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codeName="EstaPastaDeTrabalho" defaultThemeVersion="124226"/>
  <mc:AlternateContent xmlns:mc="http://schemas.openxmlformats.org/markup-compatibility/2006">
    <mc:Choice Requires="x15">
      <x15ac:absPath xmlns:x15ac="http://schemas.microsoft.com/office/spreadsheetml/2010/11/ac" url="C:\FollowUP-GY\"/>
    </mc:Choice>
  </mc:AlternateContent>
  <xr:revisionPtr revIDLastSave="0" documentId="8_{912832BE-3351-4B85-A419-5B62A417EC78}" xr6:coauthVersionLast="47" xr6:coauthVersionMax="47" xr10:uidLastSave="{00000000-0000-0000-0000-000000000000}"/>
  <bookViews>
    <workbookView xWindow="2625" yWindow="-13620" windowWidth="24240" windowHeight="13020" tabRatio="936" firstSheet="16" activeTab="16" xr2:uid="{00000000-000D-0000-FFFF-FFFF00000000}"/>
  </bookViews>
  <sheets>
    <sheet name="Proj. por Eng." sheetId="36" state="hidden" r:id="rId1"/>
    <sheet name="Comparativo 7+5 e 8+4 " sheetId="38" state="hidden" r:id="rId2"/>
    <sheet name="CONTINGENCIA 8+4" sheetId="47" state="hidden" r:id="rId3"/>
    <sheet name="WORST" sheetId="111" state="hidden" r:id="rId4"/>
    <sheet name="AME - Quarterly 2021" sheetId="93" state="hidden" r:id="rId5"/>
    <sheet name="BASE-LCP" sheetId="127" r:id="rId6"/>
    <sheet name="BASE-ICP" sheetId="126" r:id="rId7"/>
    <sheet name="BASE_558" sheetId="129" r:id="rId8"/>
    <sheet name="BASE ICP_PO_SC" sheetId="130" r:id="rId9"/>
    <sheet name="BASE_EX" sheetId="136" r:id="rId10"/>
    <sheet name="BASE_QUARTELY" sheetId="132" r:id="rId11"/>
    <sheet name="BASE_558 EX" sheetId="137" r:id="rId12"/>
    <sheet name="BASE_558 QUARTELY" sheetId="138" r:id="rId13"/>
    <sheet name="STATUS_SAP_LCP" sheetId="141" r:id="rId14"/>
    <sheet name="STATUS_SAP_ICP" sheetId="142" r:id="rId15"/>
    <sheet name="STATUS_SAP_QUARTELY" sheetId="150" r:id="rId16"/>
    <sheet name="Capex" sheetId="120" r:id="rId17"/>
    <sheet name="AME - Quarterly" sheetId="149" r:id="rId18"/>
    <sheet name="Direct Charge" sheetId="113" r:id="rId19"/>
    <sheet name="AME - Quarterly 2025" sheetId="146" r:id="rId20"/>
    <sheet name="Miscellaneous 2025" sheetId="143" r:id="rId21"/>
    <sheet name="Capital &lt;5.000,00" sheetId="60" r:id="rId22"/>
    <sheet name="Analise AOP" sheetId="147" r:id="rId23"/>
    <sheet name="Quartelys Sem Pasta na Rede" sheetId="144" r:id="rId24"/>
    <sheet name="Miscellaneous 2024" sheetId="121" r:id="rId25"/>
    <sheet name="TNCs" sheetId="97" r:id="rId26"/>
    <sheet name="CAPEX RISK" sheetId="45" state="hidden" r:id="rId27"/>
    <sheet name="COMPARATIVO CENARIOS 8+4" sheetId="48" state="hidden" r:id="rId28"/>
    <sheet name="Capex 4+8" sheetId="34" state="hidden" r:id="rId29"/>
  </sheets>
  <externalReferences>
    <externalReference r:id="rId30"/>
    <externalReference r:id="rId31"/>
    <externalReference r:id="rId32"/>
    <externalReference r:id="rId33"/>
    <externalReference r:id="rId34"/>
    <externalReference r:id="rId35"/>
  </externalReferences>
  <definedNames>
    <definedName name="_xlnm._FilterDatabase" localSheetId="17" hidden="1">'AME - Quarterly'!$A$4:$DN$44</definedName>
    <definedName name="_xlnm._FilterDatabase" localSheetId="4" hidden="1">'AME - Quarterly 2021'!$A$6:$BD$38</definedName>
    <definedName name="_xlnm._FilterDatabase" localSheetId="19" hidden="1">'AME - Quarterly 2025'!$A$6:$DD$22</definedName>
    <definedName name="_xlnm._FilterDatabase" localSheetId="8" hidden="1">'BASE ICP_PO_SC'!$A$1:$J$178</definedName>
    <definedName name="_xlnm._FilterDatabase" localSheetId="7" hidden="1">BASE_558!$D$2:$D$1764</definedName>
    <definedName name="_xlnm._FilterDatabase" localSheetId="9" hidden="1">BASE_EX!$A$1:$U$2796</definedName>
    <definedName name="_xlnm._FilterDatabase" localSheetId="10" hidden="1">BASE_QUARTELY!$A$1:$S$1490</definedName>
    <definedName name="_xlnm._FilterDatabase" localSheetId="6" hidden="1">'BASE-ICP'!$A$1:$R$3373</definedName>
    <definedName name="_xlnm._FilterDatabase" localSheetId="5" hidden="1">'BASE-LCP'!$A$1:$T$2674</definedName>
    <definedName name="_xlnm._FilterDatabase" localSheetId="16" hidden="1">Capex!$A$4:$FK$409</definedName>
    <definedName name="_xlnm._FilterDatabase" localSheetId="28" hidden="1">'Capex 4+8'!$C$9:$M$78</definedName>
    <definedName name="_xlnm._FilterDatabase" localSheetId="21" hidden="1">'Capital &lt;5.000,00'!$A$8:$K$222</definedName>
    <definedName name="_xlnm._FilterDatabase" localSheetId="18" hidden="1">'Direct Charge'!$A$7:$CD$200</definedName>
    <definedName name="_xlnm._FilterDatabase" localSheetId="24" hidden="1">'Miscellaneous 2024'!$A$7:$AO$29</definedName>
    <definedName name="_xlnm._FilterDatabase" localSheetId="20" hidden="1">'Miscellaneous 2025'!$A$7:$AO$20</definedName>
    <definedName name="_xlnm._FilterDatabase" localSheetId="25" hidden="1">TNCs!$A$2:$A$41</definedName>
    <definedName name="_xlnm._FilterDatabase" localSheetId="3" hidden="1">WORST!$A$5:$DS$274</definedName>
    <definedName name="Area">[1]LIST!$D$4:$D$10</definedName>
    <definedName name="_xlnm.Print_Area" localSheetId="17">'AME - Quarterly'!$A$2:$AI$7</definedName>
    <definedName name="_xlnm.Print_Area" localSheetId="4">'AME - Quarterly 2021'!$A$2:$Y$36</definedName>
    <definedName name="_xlnm.Print_Area" localSheetId="19">'AME - Quarterly 2025'!$A$2:$Y$11</definedName>
    <definedName name="_xlnm.Print_Area" localSheetId="16">Capex!$A$2:$AU$121</definedName>
    <definedName name="_xlnm.Print_Area" localSheetId="21">'Capital &lt;5.000,00'!$A$4:$K$8</definedName>
    <definedName name="_xlnm.Print_Area" localSheetId="18">'Direct Charge'!$A$4:$L$111</definedName>
    <definedName name="_xlnm.Print_Area" localSheetId="24">'Miscellaneous 2024'!$A$4:$K$19</definedName>
    <definedName name="_xlnm.Print_Area" localSheetId="20">'Miscellaneous 2025'!$A$4:$K$14</definedName>
    <definedName name="_xlnm.Print_Area" localSheetId="3">WORST!$A$2:$AY$121</definedName>
    <definedName name="BusinessCase" localSheetId="17">#REF!</definedName>
    <definedName name="BusinessCase" localSheetId="4">#REF!</definedName>
    <definedName name="BusinessCase" localSheetId="19">#REF!</definedName>
    <definedName name="BusinessCase" localSheetId="7">#REF!</definedName>
    <definedName name="BusinessCase" localSheetId="11">#REF!</definedName>
    <definedName name="BusinessCase" localSheetId="12">#REF!</definedName>
    <definedName name="BusinessCase" localSheetId="16">#REF!</definedName>
    <definedName name="BusinessCase" localSheetId="21">#REF!</definedName>
    <definedName name="BusinessCase" localSheetId="18">#REF!</definedName>
    <definedName name="BusinessCase" localSheetId="24">#REF!</definedName>
    <definedName name="BusinessCase" localSheetId="20">#REF!</definedName>
    <definedName name="BusinessCase">#REF!</definedName>
    <definedName name="Case" localSheetId="17">[2]LIST!#REF!</definedName>
    <definedName name="Case" localSheetId="4">[2]LIST!#REF!</definedName>
    <definedName name="Case" localSheetId="19">[2]LIST!#REF!</definedName>
    <definedName name="Case" localSheetId="16">[2]LIST!#REF!</definedName>
    <definedName name="Case" localSheetId="21">[2]LIST!#REF!</definedName>
    <definedName name="Case" localSheetId="18">[2]LIST!#REF!</definedName>
    <definedName name="Case" localSheetId="24">[2]LIST!#REF!</definedName>
    <definedName name="Case" localSheetId="20">[2]LIST!#REF!</definedName>
    <definedName name="Case">[2]LIST!#REF!</definedName>
    <definedName name="ColNo" localSheetId="16">'[3]Capital Project Plan'!#REF!</definedName>
    <definedName name="ColNo">'[3]Capital Project Plan'!#REF!</definedName>
    <definedName name="ET" localSheetId="17">#REF!</definedName>
    <definedName name="ET" localSheetId="4">#REF!</definedName>
    <definedName name="ET" localSheetId="19">#REF!</definedName>
    <definedName name="ET" localSheetId="7">#REF!</definedName>
    <definedName name="ET" localSheetId="11">#REF!</definedName>
    <definedName name="ET" localSheetId="12">#REF!</definedName>
    <definedName name="ET" localSheetId="16">#REF!</definedName>
    <definedName name="ET" localSheetId="21">#REF!</definedName>
    <definedName name="ET" localSheetId="18">#REF!</definedName>
    <definedName name="ET" localSheetId="24">#REF!</definedName>
    <definedName name="ET" localSheetId="20">#REF!</definedName>
    <definedName name="ET" localSheetId="3">#REF!</definedName>
    <definedName name="ET">#REF!</definedName>
    <definedName name="Futuro" localSheetId="17">#REF!</definedName>
    <definedName name="Futuro" localSheetId="4">#REF!</definedName>
    <definedName name="Futuro" localSheetId="19">#REF!</definedName>
    <definedName name="Futuro" localSheetId="7">#REF!</definedName>
    <definedName name="Futuro" localSheetId="11">#REF!</definedName>
    <definedName name="Futuro" localSheetId="12">#REF!</definedName>
    <definedName name="Futuro" localSheetId="16">#REF!</definedName>
    <definedName name="Futuro" localSheetId="21">#REF!</definedName>
    <definedName name="Futuro" localSheetId="18">#REF!</definedName>
    <definedName name="Futuro" localSheetId="24">#REF!</definedName>
    <definedName name="Futuro" localSheetId="20">#REF!</definedName>
    <definedName name="Futuro" localSheetId="3">#REF!</definedName>
    <definedName name="Futuro">#REF!</definedName>
    <definedName name="Justification">[1]LIST!$E$4:$E$12</definedName>
    <definedName name="Mold" localSheetId="17">[2]LIST!#REF!</definedName>
    <definedName name="Mold" localSheetId="4">[2]LIST!#REF!</definedName>
    <definedName name="Mold" localSheetId="19">[2]LIST!#REF!</definedName>
    <definedName name="Mold" localSheetId="16">[2]LIST!#REF!</definedName>
    <definedName name="Mold" localSheetId="21">[2]LIST!#REF!</definedName>
    <definedName name="Mold" localSheetId="18">[2]LIST!#REF!</definedName>
    <definedName name="Mold" localSheetId="24">[2]LIST!#REF!</definedName>
    <definedName name="Mold" localSheetId="20">[2]LIST!#REF!</definedName>
    <definedName name="Mold">[2]LIST!#REF!</definedName>
    <definedName name="Name" localSheetId="17">[2]LIST!#REF!</definedName>
    <definedName name="Name" localSheetId="4">[2]LIST!#REF!</definedName>
    <definedName name="Name" localSheetId="19">[2]LIST!#REF!</definedName>
    <definedName name="Name" localSheetId="16">[2]LIST!#REF!</definedName>
    <definedName name="Name" localSheetId="21">[2]LIST!#REF!</definedName>
    <definedName name="Name" localSheetId="18">[2]LIST!#REF!</definedName>
    <definedName name="Name" localSheetId="24">[2]LIST!#REF!</definedName>
    <definedName name="Name" localSheetId="20">[2]LIST!#REF!</definedName>
    <definedName name="Name">[2]LIST!#REF!</definedName>
    <definedName name="Plant">[1]LIST!$C$4:$C$22</definedName>
    <definedName name="PT" localSheetId="17">#REF!</definedName>
    <definedName name="PT" localSheetId="4">#REF!</definedName>
    <definedName name="PT" localSheetId="19">#REF!</definedName>
    <definedName name="PT" localSheetId="7">#REF!</definedName>
    <definedName name="PT" localSheetId="11">#REF!</definedName>
    <definedName name="PT" localSheetId="12">#REF!</definedName>
    <definedName name="PT" localSheetId="16">#REF!</definedName>
    <definedName name="PT" localSheetId="21">#REF!</definedName>
    <definedName name="PT" localSheetId="18">#REF!</definedName>
    <definedName name="PT" localSheetId="24">#REF!</definedName>
    <definedName name="PT" localSheetId="20">#REF!</definedName>
    <definedName name="PT" localSheetId="3">#REF!</definedName>
    <definedName name="PT">#REF!</definedName>
    <definedName name="RowNo" localSheetId="7">'[3]Capital Project Plan'!#REF!</definedName>
    <definedName name="RowNo" localSheetId="11">'[3]Capital Project Plan'!#REF!</definedName>
    <definedName name="RowNo" localSheetId="12">'[3]Capital Project Plan'!#REF!</definedName>
    <definedName name="RowNo" localSheetId="16">'[3]Capital Project Plan'!#REF!</definedName>
    <definedName name="RowNo">'[3]Capital Project Plan'!#REF!</definedName>
    <definedName name="SBU">[1]LIST!$B$4:$B$7</definedName>
    <definedName name="SSSS">'[4]Capital Project Plan'!#REF!</definedName>
    <definedName name="TE" localSheetId="17">#REF!</definedName>
    <definedName name="TE" localSheetId="4">#REF!</definedName>
    <definedName name="TE" localSheetId="19">#REF!</definedName>
    <definedName name="TE" localSheetId="7">#REF!</definedName>
    <definedName name="TE" localSheetId="11">#REF!</definedName>
    <definedName name="TE" localSheetId="12">#REF!</definedName>
    <definedName name="TE" localSheetId="16">#REF!</definedName>
    <definedName name="TE" localSheetId="21">#REF!</definedName>
    <definedName name="TE" localSheetId="18">#REF!</definedName>
    <definedName name="TE" localSheetId="24">#REF!</definedName>
    <definedName name="TE" localSheetId="20">#REF!</definedName>
    <definedName name="TE" localSheetId="3">#REF!</definedName>
    <definedName name="TE">#REF!</definedName>
    <definedName name="test" localSheetId="17">[2]LIST!#REF!</definedName>
    <definedName name="test" localSheetId="4">[2]LIST!#REF!</definedName>
    <definedName name="test" localSheetId="19">[2]LIST!#REF!</definedName>
    <definedName name="test" localSheetId="16">[2]LIST!#REF!</definedName>
    <definedName name="test" localSheetId="21">[2]LIST!#REF!</definedName>
    <definedName name="test" localSheetId="18">[2]LIST!#REF!</definedName>
    <definedName name="test" localSheetId="24">[2]LIST!#REF!</definedName>
    <definedName name="test" localSheetId="20">[2]LIST!#REF!</definedName>
    <definedName name="test">[2]LIST!#REF!</definedName>
    <definedName name="Z_0353662D_CFEB_493D_B682_0081A0E8080E_.wvu.FilterData" localSheetId="17" hidden="1">'AME - Quarterly'!$AI$4:$AI$7</definedName>
    <definedName name="Z_0353662D_CFEB_493D_B682_0081A0E8080E_.wvu.FilterData" localSheetId="4" hidden="1">'AME - Quarterly 2021'!$J$6:$Y$36</definedName>
    <definedName name="Z_0353662D_CFEB_493D_B682_0081A0E8080E_.wvu.FilterData" localSheetId="19" hidden="1">'AME - Quarterly 2025'!$H$6:$Y$11</definedName>
    <definedName name="Z_0353662D_CFEB_493D_B682_0081A0E8080E_.wvu.FilterData" localSheetId="16" hidden="1">Capex!$AC$4:$AU$104</definedName>
    <definedName name="Z_0353662D_CFEB_493D_B682_0081A0E8080E_.wvu.FilterData" localSheetId="21" hidden="1">'Capital &lt;5.000,00'!$B$8:$K$8</definedName>
    <definedName name="Z_0353662D_CFEB_493D_B682_0081A0E8080E_.wvu.FilterData" localSheetId="18" hidden="1">'Direct Charge'!$C$7:$K$111</definedName>
    <definedName name="Z_0353662D_CFEB_493D_B682_0081A0E8080E_.wvu.FilterData" localSheetId="24" hidden="1">'Miscellaneous 2024'!$E$7:$K$19</definedName>
    <definedName name="Z_0353662D_CFEB_493D_B682_0081A0E8080E_.wvu.FilterData" localSheetId="20" hidden="1">'Miscellaneous 2025'!$E$7:$K$14</definedName>
    <definedName name="Z_0353662D_CFEB_493D_B682_0081A0E8080E_.wvu.FilterData" localSheetId="3" hidden="1">WORST!$F$5:$AX$91</definedName>
    <definedName name="Z_0666F8A3_1149_4423_BEEF_7ACE765BD2B9_.wvu.FilterData" localSheetId="17" hidden="1">'AME - Quarterly'!$AI$4:$AI$7</definedName>
    <definedName name="Z_0666F8A3_1149_4423_BEEF_7ACE765BD2B9_.wvu.FilterData" localSheetId="4" hidden="1">'AME - Quarterly 2021'!$J$6:$Y$36</definedName>
    <definedName name="Z_0666F8A3_1149_4423_BEEF_7ACE765BD2B9_.wvu.FilterData" localSheetId="19" hidden="1">'AME - Quarterly 2025'!$H$6:$Y$11</definedName>
    <definedName name="Z_0666F8A3_1149_4423_BEEF_7ACE765BD2B9_.wvu.FilterData" localSheetId="16" hidden="1">Capex!$AC$4:$AU$104</definedName>
    <definedName name="Z_0666F8A3_1149_4423_BEEF_7ACE765BD2B9_.wvu.FilterData" localSheetId="21" hidden="1">'Capital &lt;5.000,00'!$B$8:$K$8</definedName>
    <definedName name="Z_0666F8A3_1149_4423_BEEF_7ACE765BD2B9_.wvu.FilterData" localSheetId="18" hidden="1">'Direct Charge'!$C$7:$K$111</definedName>
    <definedName name="Z_0666F8A3_1149_4423_BEEF_7ACE765BD2B9_.wvu.FilterData" localSheetId="24" hidden="1">'Miscellaneous 2024'!$E$7:$K$19</definedName>
    <definedName name="Z_0666F8A3_1149_4423_BEEF_7ACE765BD2B9_.wvu.FilterData" localSheetId="20" hidden="1">'Miscellaneous 2025'!$E$7:$K$14</definedName>
    <definedName name="Z_0666F8A3_1149_4423_BEEF_7ACE765BD2B9_.wvu.FilterData" localSheetId="3" hidden="1">WORST!$F$5:$AX$91</definedName>
    <definedName name="Z_1BB54B29_FDAF_4D8D_8751_E137E850A244_.wvu.FilterData" localSheetId="17" hidden="1">'AME - Quarterly'!$AI$4:$AI$7</definedName>
    <definedName name="Z_1BB54B29_FDAF_4D8D_8751_E137E850A244_.wvu.FilterData" localSheetId="4" hidden="1">'AME - Quarterly 2021'!$J$6:$Y$36</definedName>
    <definedName name="Z_1BB54B29_FDAF_4D8D_8751_E137E850A244_.wvu.FilterData" localSheetId="19" hidden="1">'AME - Quarterly 2025'!$H$6:$Y$11</definedName>
    <definedName name="Z_1BB54B29_FDAF_4D8D_8751_E137E850A244_.wvu.FilterData" localSheetId="16" hidden="1">Capex!$AC$4:$AU$104</definedName>
    <definedName name="Z_1BB54B29_FDAF_4D8D_8751_E137E850A244_.wvu.FilterData" localSheetId="21" hidden="1">'Capital &lt;5.000,00'!$B$8:$K$8</definedName>
    <definedName name="Z_1BB54B29_FDAF_4D8D_8751_E137E850A244_.wvu.FilterData" localSheetId="18" hidden="1">'Direct Charge'!$C$7:$K$111</definedName>
    <definedName name="Z_1BB54B29_FDAF_4D8D_8751_E137E850A244_.wvu.FilterData" localSheetId="24" hidden="1">'Miscellaneous 2024'!$E$7:$K$19</definedName>
    <definedName name="Z_1BB54B29_FDAF_4D8D_8751_E137E850A244_.wvu.FilterData" localSheetId="20" hidden="1">'Miscellaneous 2025'!$E$7:$K$14</definedName>
    <definedName name="Z_1BB54B29_FDAF_4D8D_8751_E137E850A244_.wvu.FilterData" localSheetId="3" hidden="1">WORST!$F$5:$AX$91</definedName>
    <definedName name="Z_1EB251FF_591E_4C7E_BA42_42B17814F48B_.wvu.FilterData" localSheetId="17" hidden="1">'AME - Quarterly'!$AI$4:$AI$7</definedName>
    <definedName name="Z_1EB251FF_591E_4C7E_BA42_42B17814F48B_.wvu.FilterData" localSheetId="4" hidden="1">'AME - Quarterly 2021'!$J$6:$Y$36</definedName>
    <definedName name="Z_1EB251FF_591E_4C7E_BA42_42B17814F48B_.wvu.FilterData" localSheetId="19" hidden="1">'AME - Quarterly 2025'!$H$6:$Y$11</definedName>
    <definedName name="Z_1EB251FF_591E_4C7E_BA42_42B17814F48B_.wvu.FilterData" localSheetId="16" hidden="1">Capex!$AC$4:$AU$117</definedName>
    <definedName name="Z_1EB251FF_591E_4C7E_BA42_42B17814F48B_.wvu.FilterData" localSheetId="21" hidden="1">'Capital &lt;5.000,00'!$B$8:$K$8</definedName>
    <definedName name="Z_1EB251FF_591E_4C7E_BA42_42B17814F48B_.wvu.FilterData" localSheetId="18" hidden="1">'Direct Charge'!$C$7:$K$111</definedName>
    <definedName name="Z_1EB251FF_591E_4C7E_BA42_42B17814F48B_.wvu.FilterData" localSheetId="24" hidden="1">'Miscellaneous 2024'!$E$7:$K$19</definedName>
    <definedName name="Z_1EB251FF_591E_4C7E_BA42_42B17814F48B_.wvu.FilterData" localSheetId="20" hidden="1">'Miscellaneous 2025'!$E$7:$K$14</definedName>
    <definedName name="Z_1EB251FF_591E_4C7E_BA42_42B17814F48B_.wvu.FilterData" localSheetId="3" hidden="1">WORST!$F$5:$AX$106</definedName>
    <definedName name="Z_2AEE6C6A_7D00_4007_9FF5_3F442F9FB6F7_.wvu.Cols" localSheetId="17" hidden="1">'AME - Quarterly'!#REF!</definedName>
    <definedName name="Z_2AEE6C6A_7D00_4007_9FF5_3F442F9FB6F7_.wvu.Cols" localSheetId="4" hidden="1">'AME - Quarterly 2021'!#REF!</definedName>
    <definedName name="Z_2AEE6C6A_7D00_4007_9FF5_3F442F9FB6F7_.wvu.Cols" localSheetId="19" hidden="1">'AME - Quarterly 2025'!#REF!</definedName>
    <definedName name="Z_2AEE6C6A_7D00_4007_9FF5_3F442F9FB6F7_.wvu.Cols" localSheetId="16" hidden="1">Capex!#REF!</definedName>
    <definedName name="Z_2AEE6C6A_7D00_4007_9FF5_3F442F9FB6F7_.wvu.Cols" localSheetId="21" hidden="1">'Capital &lt;5.000,00'!#REF!</definedName>
    <definedName name="Z_2AEE6C6A_7D00_4007_9FF5_3F442F9FB6F7_.wvu.Cols" localSheetId="18" hidden="1">'Direct Charge'!#REF!</definedName>
    <definedName name="Z_2AEE6C6A_7D00_4007_9FF5_3F442F9FB6F7_.wvu.Cols" localSheetId="24" hidden="1">'Miscellaneous 2024'!#REF!</definedName>
    <definedName name="Z_2AEE6C6A_7D00_4007_9FF5_3F442F9FB6F7_.wvu.Cols" localSheetId="20" hidden="1">'Miscellaneous 2025'!#REF!</definedName>
    <definedName name="Z_2AEE6C6A_7D00_4007_9FF5_3F442F9FB6F7_.wvu.Cols" localSheetId="3" hidden="1">WORST!#REF!</definedName>
    <definedName name="Z_2AEE6C6A_7D00_4007_9FF5_3F442F9FB6F7_.wvu.FilterData" localSheetId="17" hidden="1">'AME - Quarterly'!$AI$4:$AI$7</definedName>
    <definedName name="Z_2AEE6C6A_7D00_4007_9FF5_3F442F9FB6F7_.wvu.FilterData" localSheetId="4" hidden="1">'AME - Quarterly 2021'!$J$6:$Y$36</definedName>
    <definedName name="Z_2AEE6C6A_7D00_4007_9FF5_3F442F9FB6F7_.wvu.FilterData" localSheetId="19" hidden="1">'AME - Quarterly 2025'!$H$6:$Y$11</definedName>
    <definedName name="Z_2AEE6C6A_7D00_4007_9FF5_3F442F9FB6F7_.wvu.FilterData" localSheetId="16" hidden="1">Capex!$AC$4:$AU$117</definedName>
    <definedName name="Z_2AEE6C6A_7D00_4007_9FF5_3F442F9FB6F7_.wvu.FilterData" localSheetId="21" hidden="1">'Capital &lt;5.000,00'!$B$8:$K$8</definedName>
    <definedName name="Z_2AEE6C6A_7D00_4007_9FF5_3F442F9FB6F7_.wvu.FilterData" localSheetId="18" hidden="1">'Direct Charge'!$C$7:$K$111</definedName>
    <definedName name="Z_2AEE6C6A_7D00_4007_9FF5_3F442F9FB6F7_.wvu.FilterData" localSheetId="24" hidden="1">'Miscellaneous 2024'!$E$7:$K$19</definedName>
    <definedName name="Z_2AEE6C6A_7D00_4007_9FF5_3F442F9FB6F7_.wvu.FilterData" localSheetId="20" hidden="1">'Miscellaneous 2025'!$E$7:$K$14</definedName>
    <definedName name="Z_2AEE6C6A_7D00_4007_9FF5_3F442F9FB6F7_.wvu.FilterData" localSheetId="3" hidden="1">WORST!$F$5:$AX$106</definedName>
    <definedName name="Z_2AEE6C6A_7D00_4007_9FF5_3F442F9FB6F7_.wvu.PrintArea" localSheetId="17" hidden="1">'AME - Quarterly'!$A$2:$AI$7</definedName>
    <definedName name="Z_2AEE6C6A_7D00_4007_9FF5_3F442F9FB6F7_.wvu.PrintArea" localSheetId="4" hidden="1">'AME - Quarterly 2021'!$A$2:$Y$36</definedName>
    <definedName name="Z_2AEE6C6A_7D00_4007_9FF5_3F442F9FB6F7_.wvu.PrintArea" localSheetId="19" hidden="1">'AME - Quarterly 2025'!$A$2:$Y$11</definedName>
    <definedName name="Z_2AEE6C6A_7D00_4007_9FF5_3F442F9FB6F7_.wvu.PrintArea" localSheetId="16" hidden="1">Capex!$A$2:$AU$121</definedName>
    <definedName name="Z_2AEE6C6A_7D00_4007_9FF5_3F442F9FB6F7_.wvu.PrintArea" localSheetId="21" hidden="1">'Capital &lt;5.000,00'!$A$4:$K$8</definedName>
    <definedName name="Z_2AEE6C6A_7D00_4007_9FF5_3F442F9FB6F7_.wvu.PrintArea" localSheetId="18" hidden="1">'Direct Charge'!$A$4:$L$111</definedName>
    <definedName name="Z_2AEE6C6A_7D00_4007_9FF5_3F442F9FB6F7_.wvu.PrintArea" localSheetId="24" hidden="1">'Miscellaneous 2024'!$A$4:$K$19</definedName>
    <definedName name="Z_2AEE6C6A_7D00_4007_9FF5_3F442F9FB6F7_.wvu.PrintArea" localSheetId="20" hidden="1">'Miscellaneous 2025'!$A$4:$K$14</definedName>
    <definedName name="Z_2AEE6C6A_7D00_4007_9FF5_3F442F9FB6F7_.wvu.PrintArea" localSheetId="3" hidden="1">WORST!$A$2:$AY$121</definedName>
    <definedName name="Z_3BB66918_E1B2_427E_A514_049B3C518B58_.wvu.FilterData" localSheetId="17" hidden="1">'AME - Quarterly'!$AI$4:$AI$7</definedName>
    <definedName name="Z_3BB66918_E1B2_427E_A514_049B3C518B58_.wvu.FilterData" localSheetId="4" hidden="1">'AME - Quarterly 2021'!$J$6:$Y$36</definedName>
    <definedName name="Z_3BB66918_E1B2_427E_A514_049B3C518B58_.wvu.FilterData" localSheetId="19" hidden="1">'AME - Quarterly 2025'!$H$6:$Y$11</definedName>
    <definedName name="Z_3BB66918_E1B2_427E_A514_049B3C518B58_.wvu.FilterData" localSheetId="16" hidden="1">Capex!$AC$4:$AU$104</definedName>
    <definedName name="Z_3BB66918_E1B2_427E_A514_049B3C518B58_.wvu.FilterData" localSheetId="21" hidden="1">'Capital &lt;5.000,00'!$B$8:$K$8</definedName>
    <definedName name="Z_3BB66918_E1B2_427E_A514_049B3C518B58_.wvu.FilterData" localSheetId="18" hidden="1">'Direct Charge'!$C$7:$K$111</definedName>
    <definedName name="Z_3BB66918_E1B2_427E_A514_049B3C518B58_.wvu.FilterData" localSheetId="24" hidden="1">'Miscellaneous 2024'!$E$7:$K$19</definedName>
    <definedName name="Z_3BB66918_E1B2_427E_A514_049B3C518B58_.wvu.FilterData" localSheetId="20" hidden="1">'Miscellaneous 2025'!$E$7:$K$14</definedName>
    <definedName name="Z_3BB66918_E1B2_427E_A514_049B3C518B58_.wvu.FilterData" localSheetId="3" hidden="1">WORST!$F$5:$AX$91</definedName>
    <definedName name="Z_50770425_C6E8_4B4E_9747_E4AE60A9F61D_.wvu.FilterData" localSheetId="17" hidden="1">'AME - Quarterly'!$AI$4:$AI$7</definedName>
    <definedName name="Z_50770425_C6E8_4B4E_9747_E4AE60A9F61D_.wvu.FilterData" localSheetId="4" hidden="1">'AME - Quarterly 2021'!$J$6:$Y$36</definedName>
    <definedName name="Z_50770425_C6E8_4B4E_9747_E4AE60A9F61D_.wvu.FilterData" localSheetId="19" hidden="1">'AME - Quarterly 2025'!$H$6:$Y$11</definedName>
    <definedName name="Z_50770425_C6E8_4B4E_9747_E4AE60A9F61D_.wvu.FilterData" localSheetId="16" hidden="1">Capex!$AC$4:$AU$104</definedName>
    <definedName name="Z_50770425_C6E8_4B4E_9747_E4AE60A9F61D_.wvu.FilterData" localSheetId="21" hidden="1">'Capital &lt;5.000,00'!$B$8:$K$8</definedName>
    <definedName name="Z_50770425_C6E8_4B4E_9747_E4AE60A9F61D_.wvu.FilterData" localSheetId="18" hidden="1">'Direct Charge'!$C$7:$K$111</definedName>
    <definedName name="Z_50770425_C6E8_4B4E_9747_E4AE60A9F61D_.wvu.FilterData" localSheetId="24" hidden="1">'Miscellaneous 2024'!$E$7:$K$19</definedName>
    <definedName name="Z_50770425_C6E8_4B4E_9747_E4AE60A9F61D_.wvu.FilterData" localSheetId="20" hidden="1">'Miscellaneous 2025'!$E$7:$K$14</definedName>
    <definedName name="Z_50770425_C6E8_4B4E_9747_E4AE60A9F61D_.wvu.FilterData" localSheetId="3" hidden="1">WORST!$F$5:$AX$91</definedName>
    <definedName name="Z_8CB9A7E8_159B_45A3_9634_141F3D267BEE_.wvu.FilterData" localSheetId="17" hidden="1">'AME - Quarterly'!$AI$4:$AI$7</definedName>
    <definedName name="Z_8CB9A7E8_159B_45A3_9634_141F3D267BEE_.wvu.FilterData" localSheetId="4" hidden="1">'AME - Quarterly 2021'!$J$6:$Y$36</definedName>
    <definedName name="Z_8CB9A7E8_159B_45A3_9634_141F3D267BEE_.wvu.FilterData" localSheetId="19" hidden="1">'AME - Quarterly 2025'!$H$6:$Y$11</definedName>
    <definedName name="Z_8CB9A7E8_159B_45A3_9634_141F3D267BEE_.wvu.FilterData" localSheetId="16" hidden="1">Capex!$AC$4:$AU$104</definedName>
    <definedName name="Z_8CB9A7E8_159B_45A3_9634_141F3D267BEE_.wvu.FilterData" localSheetId="21" hidden="1">'Capital &lt;5.000,00'!$B$8:$K$8</definedName>
    <definedName name="Z_8CB9A7E8_159B_45A3_9634_141F3D267BEE_.wvu.FilterData" localSheetId="18" hidden="1">'Direct Charge'!$C$7:$K$111</definedName>
    <definedName name="Z_8CB9A7E8_159B_45A3_9634_141F3D267BEE_.wvu.FilterData" localSheetId="24" hidden="1">'Miscellaneous 2024'!$E$7:$K$19</definedName>
    <definedName name="Z_8CB9A7E8_159B_45A3_9634_141F3D267BEE_.wvu.FilterData" localSheetId="20" hidden="1">'Miscellaneous 2025'!$E$7:$K$14</definedName>
    <definedName name="Z_8CB9A7E8_159B_45A3_9634_141F3D267BEE_.wvu.FilterData" localSheetId="3" hidden="1">WORST!$F$5:$AX$91</definedName>
    <definedName name="Z_9F7CD1C6_89AF_41A4_91AE_163EC3BDE768_.wvu.FilterData" localSheetId="17" hidden="1">'AME - Quarterly'!$AI$4:$AI$7</definedName>
    <definedName name="Z_9F7CD1C6_89AF_41A4_91AE_163EC3BDE768_.wvu.FilterData" localSheetId="4" hidden="1">'AME - Quarterly 2021'!$J$6:$Y$36</definedName>
    <definedName name="Z_9F7CD1C6_89AF_41A4_91AE_163EC3BDE768_.wvu.FilterData" localSheetId="19" hidden="1">'AME - Quarterly 2025'!$H$6:$Y$11</definedName>
    <definedName name="Z_9F7CD1C6_89AF_41A4_91AE_163EC3BDE768_.wvu.FilterData" localSheetId="16" hidden="1">Capex!$AC$4:$AU$104</definedName>
    <definedName name="Z_9F7CD1C6_89AF_41A4_91AE_163EC3BDE768_.wvu.FilterData" localSheetId="21" hidden="1">'Capital &lt;5.000,00'!$B$8:$K$8</definedName>
    <definedName name="Z_9F7CD1C6_89AF_41A4_91AE_163EC3BDE768_.wvu.FilterData" localSheetId="18" hidden="1">'Direct Charge'!$C$7:$K$111</definedName>
    <definedName name="Z_9F7CD1C6_89AF_41A4_91AE_163EC3BDE768_.wvu.FilterData" localSheetId="24" hidden="1">'Miscellaneous 2024'!$E$7:$K$19</definedName>
    <definedName name="Z_9F7CD1C6_89AF_41A4_91AE_163EC3BDE768_.wvu.FilterData" localSheetId="20" hidden="1">'Miscellaneous 2025'!$E$7:$K$14</definedName>
    <definedName name="Z_9F7CD1C6_89AF_41A4_91AE_163EC3BDE768_.wvu.FilterData" localSheetId="3" hidden="1">WORST!$F$5:$AX$91</definedName>
    <definedName name="Z_B273F215_1CB4_42AE_BD0F_0EF6FCEDED0F_.wvu.FilterData" localSheetId="17" hidden="1">'AME - Quarterly'!$AI$4:$AI$4</definedName>
    <definedName name="Z_B273F215_1CB4_42AE_BD0F_0EF6FCEDED0F_.wvu.FilterData" localSheetId="4" hidden="1">'AME - Quarterly 2021'!$J$6:$Y$6</definedName>
    <definedName name="Z_B273F215_1CB4_42AE_BD0F_0EF6FCEDED0F_.wvu.FilterData" localSheetId="19" hidden="1">'AME - Quarterly 2025'!$H$6:$Y$6</definedName>
    <definedName name="Z_B273F215_1CB4_42AE_BD0F_0EF6FCEDED0F_.wvu.FilterData" localSheetId="16" hidden="1">Capex!$AC$4:$AU$47</definedName>
    <definedName name="Z_B273F215_1CB4_42AE_BD0F_0EF6FCEDED0F_.wvu.FilterData" localSheetId="21" hidden="1">'Capital &lt;5.000,00'!$B$8:$K$8</definedName>
    <definedName name="Z_B273F215_1CB4_42AE_BD0F_0EF6FCEDED0F_.wvu.FilterData" localSheetId="18" hidden="1">'Direct Charge'!$C$7:$K$9</definedName>
    <definedName name="Z_B273F215_1CB4_42AE_BD0F_0EF6FCEDED0F_.wvu.FilterData" localSheetId="24" hidden="1">'Miscellaneous 2024'!$E$7:$K$9</definedName>
    <definedName name="Z_B273F215_1CB4_42AE_BD0F_0EF6FCEDED0F_.wvu.FilterData" localSheetId="20" hidden="1">'Miscellaneous 2025'!$E$7:$K$8</definedName>
    <definedName name="Z_B273F215_1CB4_42AE_BD0F_0EF6FCEDED0F_.wvu.FilterData" localSheetId="3" hidden="1">WORST!$F$5:$AX$43</definedName>
    <definedName name="Z_B273F215_1CB4_42AE_BD0F_0EF6FCEDED0F_.wvu.PrintArea" localSheetId="17" hidden="1">'AME - Quarterly'!$AI$2:$AI$7</definedName>
    <definedName name="Z_B273F215_1CB4_42AE_BD0F_0EF6FCEDED0F_.wvu.PrintArea" localSheetId="4" hidden="1">'AME - Quarterly 2021'!$J$2:$Y$36</definedName>
    <definedName name="Z_B273F215_1CB4_42AE_BD0F_0EF6FCEDED0F_.wvu.PrintArea" localSheetId="19" hidden="1">'AME - Quarterly 2025'!$H$2:$Y$11</definedName>
    <definedName name="Z_B273F215_1CB4_42AE_BD0F_0EF6FCEDED0F_.wvu.PrintArea" localSheetId="16" hidden="1">Capex!$AC$2:$AU$106</definedName>
    <definedName name="Z_B273F215_1CB4_42AE_BD0F_0EF6FCEDED0F_.wvu.PrintArea" localSheetId="21" hidden="1">'Capital &lt;5.000,00'!$B$4:$K$8</definedName>
    <definedName name="Z_B273F215_1CB4_42AE_BD0F_0EF6FCEDED0F_.wvu.PrintArea" localSheetId="18" hidden="1">'Direct Charge'!$C$4:$K$111</definedName>
    <definedName name="Z_B273F215_1CB4_42AE_BD0F_0EF6FCEDED0F_.wvu.PrintArea" localSheetId="24" hidden="1">'Miscellaneous 2024'!$E$4:$K$19</definedName>
    <definedName name="Z_B273F215_1CB4_42AE_BD0F_0EF6FCEDED0F_.wvu.PrintArea" localSheetId="20" hidden="1">'Miscellaneous 2025'!$E$4:$K$14</definedName>
    <definedName name="Z_B273F215_1CB4_42AE_BD0F_0EF6FCEDED0F_.wvu.PrintArea" localSheetId="3" hidden="1">WORST!$F$2:$AX$93</definedName>
    <definedName name="Z_F087C858_DFC8_4933_9B48_4725C81CA5A1_.wvu.FilterData" localSheetId="17" hidden="1">'AME - Quarterly'!$AI$4:$AI$7</definedName>
    <definedName name="Z_F087C858_DFC8_4933_9B48_4725C81CA5A1_.wvu.FilterData" localSheetId="4" hidden="1">'AME - Quarterly 2021'!$J$6:$Y$36</definedName>
    <definedName name="Z_F087C858_DFC8_4933_9B48_4725C81CA5A1_.wvu.FilterData" localSheetId="19" hidden="1">'AME - Quarterly 2025'!$H$6:$Y$11</definedName>
    <definedName name="Z_F087C858_DFC8_4933_9B48_4725C81CA5A1_.wvu.FilterData" localSheetId="16" hidden="1">Capex!$AC$4:$AU$117</definedName>
    <definedName name="Z_F087C858_DFC8_4933_9B48_4725C81CA5A1_.wvu.FilterData" localSheetId="21" hidden="1">'Capital &lt;5.000,00'!$B$8:$K$8</definedName>
    <definedName name="Z_F087C858_DFC8_4933_9B48_4725C81CA5A1_.wvu.FilterData" localSheetId="18" hidden="1">'Direct Charge'!$C$7:$K$111</definedName>
    <definedName name="Z_F087C858_DFC8_4933_9B48_4725C81CA5A1_.wvu.FilterData" localSheetId="24" hidden="1">'Miscellaneous 2024'!$E$7:$K$19</definedName>
    <definedName name="Z_F087C858_DFC8_4933_9B48_4725C81CA5A1_.wvu.FilterData" localSheetId="20" hidden="1">'Miscellaneous 2025'!$E$7:$K$14</definedName>
    <definedName name="Z_F087C858_DFC8_4933_9B48_4725C81CA5A1_.wvu.FilterData" localSheetId="3" hidden="1">WORST!$F$5:$AX$106</definedName>
    <definedName name="Z_F087C858_DFC8_4933_9B48_4725C81CA5A1_.wvu.PrintArea" localSheetId="17" hidden="1">'AME - Quarterly'!$A$2:$AI$7</definedName>
    <definedName name="Z_F087C858_DFC8_4933_9B48_4725C81CA5A1_.wvu.PrintArea" localSheetId="4" hidden="1">'AME - Quarterly 2021'!$A$2:$Y$36</definedName>
    <definedName name="Z_F087C858_DFC8_4933_9B48_4725C81CA5A1_.wvu.PrintArea" localSheetId="19" hidden="1">'AME - Quarterly 2025'!$A$2:$Y$11</definedName>
    <definedName name="Z_F087C858_DFC8_4933_9B48_4725C81CA5A1_.wvu.PrintArea" localSheetId="16" hidden="1">Capex!$A$2:$AU$121</definedName>
    <definedName name="Z_F087C858_DFC8_4933_9B48_4725C81CA5A1_.wvu.PrintArea" localSheetId="21" hidden="1">'Capital &lt;5.000,00'!$A$4:$K$8</definedName>
    <definedName name="Z_F087C858_DFC8_4933_9B48_4725C81CA5A1_.wvu.PrintArea" localSheetId="18" hidden="1">'Direct Charge'!$A$4:$L$111</definedName>
    <definedName name="Z_F087C858_DFC8_4933_9B48_4725C81CA5A1_.wvu.PrintArea" localSheetId="24" hidden="1">'Miscellaneous 2024'!$A$4:$K$19</definedName>
    <definedName name="Z_F087C858_DFC8_4933_9B48_4725C81CA5A1_.wvu.PrintArea" localSheetId="20" hidden="1">'Miscellaneous 2025'!$A$4:$K$14</definedName>
    <definedName name="Z_F087C858_DFC8_4933_9B48_4725C81CA5A1_.wvu.PrintArea" localSheetId="3" hidden="1">WORST!$A$2:$AY$121</definedName>
    <definedName name="Z_F784EEE0_488C_4484_8E7F_DB02D6488A81_.wvu.Cols" localSheetId="17" hidden="1">'AME - Quarterly'!#REF!</definedName>
    <definedName name="Z_F784EEE0_488C_4484_8E7F_DB02D6488A81_.wvu.Cols" localSheetId="4" hidden="1">'AME - Quarterly 2021'!#REF!</definedName>
    <definedName name="Z_F784EEE0_488C_4484_8E7F_DB02D6488A81_.wvu.Cols" localSheetId="19" hidden="1">'AME - Quarterly 2025'!#REF!</definedName>
    <definedName name="Z_F784EEE0_488C_4484_8E7F_DB02D6488A81_.wvu.Cols" localSheetId="16" hidden="1">Capex!#REF!</definedName>
    <definedName name="Z_F784EEE0_488C_4484_8E7F_DB02D6488A81_.wvu.Cols" localSheetId="21" hidden="1">'Capital &lt;5.000,00'!#REF!</definedName>
    <definedName name="Z_F784EEE0_488C_4484_8E7F_DB02D6488A81_.wvu.Cols" localSheetId="18" hidden="1">'Direct Charge'!#REF!</definedName>
    <definedName name="Z_F784EEE0_488C_4484_8E7F_DB02D6488A81_.wvu.Cols" localSheetId="24" hidden="1">'Miscellaneous 2024'!#REF!</definedName>
    <definedName name="Z_F784EEE0_488C_4484_8E7F_DB02D6488A81_.wvu.Cols" localSheetId="20" hidden="1">'Miscellaneous 2025'!#REF!</definedName>
    <definedName name="Z_F784EEE0_488C_4484_8E7F_DB02D6488A81_.wvu.Cols" localSheetId="3" hidden="1">WORST!#REF!</definedName>
    <definedName name="Z_F784EEE0_488C_4484_8E7F_DB02D6488A81_.wvu.FilterData" localSheetId="17" hidden="1">'AME - Quarterly'!$AI$4:$AI$7</definedName>
    <definedName name="Z_F784EEE0_488C_4484_8E7F_DB02D6488A81_.wvu.FilterData" localSheetId="4" hidden="1">'AME - Quarterly 2021'!$J$6:$Y$36</definedName>
    <definedName name="Z_F784EEE0_488C_4484_8E7F_DB02D6488A81_.wvu.FilterData" localSheetId="19" hidden="1">'AME - Quarterly 2025'!$H$6:$Y$11</definedName>
    <definedName name="Z_F784EEE0_488C_4484_8E7F_DB02D6488A81_.wvu.FilterData" localSheetId="16" hidden="1">Capex!$AC$4:$AU$117</definedName>
    <definedName name="Z_F784EEE0_488C_4484_8E7F_DB02D6488A81_.wvu.FilterData" localSheetId="21" hidden="1">'Capital &lt;5.000,00'!$B$8:$K$8</definedName>
    <definedName name="Z_F784EEE0_488C_4484_8E7F_DB02D6488A81_.wvu.FilterData" localSheetId="18" hidden="1">'Direct Charge'!$C$7:$K$111</definedName>
    <definedName name="Z_F784EEE0_488C_4484_8E7F_DB02D6488A81_.wvu.FilterData" localSheetId="24" hidden="1">'Miscellaneous 2024'!$E$7:$K$19</definedName>
    <definedName name="Z_F784EEE0_488C_4484_8E7F_DB02D6488A81_.wvu.FilterData" localSheetId="20" hidden="1">'Miscellaneous 2025'!$E$7:$K$14</definedName>
    <definedName name="Z_F784EEE0_488C_4484_8E7F_DB02D6488A81_.wvu.FilterData" localSheetId="3" hidden="1">WORST!$F$5:$AX$106</definedName>
    <definedName name="Z_F784EEE0_488C_4484_8E7F_DB02D6488A81_.wvu.PrintArea" localSheetId="17" hidden="1">'AME - Quarterly'!$A$2:$AI$7</definedName>
    <definedName name="Z_F784EEE0_488C_4484_8E7F_DB02D6488A81_.wvu.PrintArea" localSheetId="4" hidden="1">'AME - Quarterly 2021'!$A$2:$Y$36</definedName>
    <definedName name="Z_F784EEE0_488C_4484_8E7F_DB02D6488A81_.wvu.PrintArea" localSheetId="19" hidden="1">'AME - Quarterly 2025'!$A$2:$Y$11</definedName>
    <definedName name="Z_F784EEE0_488C_4484_8E7F_DB02D6488A81_.wvu.PrintArea" localSheetId="16" hidden="1">Capex!$A$2:$AU$121</definedName>
    <definedName name="Z_F784EEE0_488C_4484_8E7F_DB02D6488A81_.wvu.PrintArea" localSheetId="21" hidden="1">'Capital &lt;5.000,00'!$A$4:$K$8</definedName>
    <definedName name="Z_F784EEE0_488C_4484_8E7F_DB02D6488A81_.wvu.PrintArea" localSheetId="18" hidden="1">'Direct Charge'!$A$4:$L$111</definedName>
    <definedName name="Z_F784EEE0_488C_4484_8E7F_DB02D6488A81_.wvu.PrintArea" localSheetId="24" hidden="1">'Miscellaneous 2024'!$A$4:$K$19</definedName>
    <definedName name="Z_F784EEE0_488C_4484_8E7F_DB02D6488A81_.wvu.PrintArea" localSheetId="20" hidden="1">'Miscellaneous 2025'!$A$4:$K$14</definedName>
    <definedName name="Z_F784EEE0_488C_4484_8E7F_DB02D6488A81_.wvu.PrintArea" localSheetId="3" hidden="1">WORST!$A$2:$AY$121</definedName>
    <definedName name="Z_F794388B_83B1_4DFD_A886_B32B24335E83_.wvu.FilterData" localSheetId="17" hidden="1">'AME - Quarterly'!$AI$4:$AI$7</definedName>
    <definedName name="Z_F794388B_83B1_4DFD_A886_B32B24335E83_.wvu.FilterData" localSheetId="4" hidden="1">'AME - Quarterly 2021'!$J$6:$Y$36</definedName>
    <definedName name="Z_F794388B_83B1_4DFD_A886_B32B24335E83_.wvu.FilterData" localSheetId="19" hidden="1">'AME - Quarterly 2025'!$H$6:$Y$11</definedName>
    <definedName name="Z_F794388B_83B1_4DFD_A886_B32B24335E83_.wvu.FilterData" localSheetId="16" hidden="1">Capex!$AC$4:$AU$104</definedName>
    <definedName name="Z_F794388B_83B1_4DFD_A886_B32B24335E83_.wvu.FilterData" localSheetId="21" hidden="1">'Capital &lt;5.000,00'!$B$8:$K$8</definedName>
    <definedName name="Z_F794388B_83B1_4DFD_A886_B32B24335E83_.wvu.FilterData" localSheetId="18" hidden="1">'Direct Charge'!$C$7:$K$111</definedName>
    <definedName name="Z_F794388B_83B1_4DFD_A886_B32B24335E83_.wvu.FilterData" localSheetId="24" hidden="1">'Miscellaneous 2024'!$E$7:$K$19</definedName>
    <definedName name="Z_F794388B_83B1_4DFD_A886_B32B24335E83_.wvu.FilterData" localSheetId="20" hidden="1">'Miscellaneous 2025'!$E$7:$K$14</definedName>
    <definedName name="Z_F794388B_83B1_4DFD_A886_B32B24335E83_.wvu.FilterData" localSheetId="3" hidden="1">WORST!$F$5:$AX$91</definedName>
  </definedNames>
  <calcPr calcId="191029"/>
  <customWorkbookViews>
    <customWorkbookView name="Diego Ragonha - Modo de exibição pessoal" guid="{F087C858-DFC8-4933-9B48-4725C81CA5A1}" mergeInterval="0" personalView="1" maximized="1" windowWidth="1362" windowHeight="543" tabRatio="750" activeSheetId="3"/>
    <customWorkbookView name="Fernando De Toledo - Modo de exibição pessoal" guid="{F784EEE0-488C-4484-8E7F-DB02D6488A81}" mergeInterval="0" personalView="1" maximized="1" xWindow="-8" yWindow="-8" windowWidth="1696" windowHeight="1066" tabRatio="748" activeSheetId="1"/>
    <customWorkbookView name="Ricardo Severnini - Modo de exibição pessoal" guid="{B273F215-1CB4-42AE-BD0F-0EF6FCEDED0F}" mergeInterval="0" personalView="1" maximized="1" windowWidth="1276" windowHeight="781" activeSheetId="4"/>
    <customWorkbookView name="Ricardo Tinti Perez - Modo de exibição pessoal" guid="{2AEE6C6A-7D00-4007-9FF5-3F442F9FB6F7}" mergeInterval="0" personalView="1" maximized="1" xWindow="-8" yWindow="-8" windowWidth="1616" windowHeight="876" tabRatio="748" activeSheetId="2"/>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Y27" i="120" l="1"/>
  <c r="EZ27" i="120"/>
  <c r="FA27" i="120"/>
  <c r="FB27" i="120"/>
  <c r="EY366" i="120"/>
  <c r="EZ366" i="120"/>
  <c r="FA366" i="120"/>
  <c r="FB366" i="120"/>
  <c r="EY22" i="120"/>
  <c r="EZ22" i="120"/>
  <c r="FA22" i="120"/>
  <c r="FB22" i="120"/>
  <c r="EA30" i="120"/>
  <c r="EC30" i="120"/>
  <c r="ED30" i="120"/>
  <c r="EE30" i="120"/>
  <c r="EF30" i="120"/>
  <c r="EA31" i="120"/>
  <c r="EC31" i="120"/>
  <c r="ED31" i="120"/>
  <c r="EE31" i="120"/>
  <c r="EF31" i="120"/>
  <c r="EA32" i="120"/>
  <c r="EC32" i="120"/>
  <c r="ED32" i="120"/>
  <c r="EE32" i="120"/>
  <c r="EF32" i="120"/>
  <c r="EA33" i="120"/>
  <c r="EC33" i="120"/>
  <c r="ED33" i="120"/>
  <c r="EE33" i="120"/>
  <c r="EF33" i="120"/>
  <c r="EA34" i="120"/>
  <c r="EC34" i="120"/>
  <c r="ED34" i="120"/>
  <c r="EE34" i="120"/>
  <c r="EF34" i="120"/>
  <c r="EA35" i="120"/>
  <c r="EC35" i="120"/>
  <c r="ED35" i="120"/>
  <c r="EE35" i="120"/>
  <c r="EF35" i="120"/>
  <c r="EA36" i="120"/>
  <c r="EC36" i="120"/>
  <c r="ED36" i="120"/>
  <c r="EE36" i="120"/>
  <c r="EF36" i="120"/>
  <c r="EA37" i="120"/>
  <c r="EC37" i="120"/>
  <c r="ED37" i="120"/>
  <c r="EE37" i="120"/>
  <c r="EF37" i="120"/>
  <c r="EA38" i="120"/>
  <c r="EC38" i="120"/>
  <c r="ED38" i="120"/>
  <c r="EE38" i="120"/>
  <c r="EF38" i="120"/>
  <c r="EA39" i="120"/>
  <c r="EC39" i="120"/>
  <c r="ED39" i="120"/>
  <c r="EE39" i="120"/>
  <c r="EF39" i="120"/>
  <c r="EA40" i="120"/>
  <c r="EC40" i="120"/>
  <c r="ED40" i="120"/>
  <c r="EE40" i="120"/>
  <c r="EF40" i="120"/>
  <c r="EA41" i="120"/>
  <c r="EC41" i="120"/>
  <c r="ED41" i="120"/>
  <c r="EE41" i="120"/>
  <c r="EF41" i="120"/>
  <c r="EA42" i="120"/>
  <c r="EC42" i="120"/>
  <c r="ED42" i="120"/>
  <c r="EE42" i="120"/>
  <c r="EF42" i="120"/>
  <c r="EA43" i="120"/>
  <c r="EC43" i="120"/>
  <c r="ED43" i="120"/>
  <c r="EE43" i="120"/>
  <c r="EF43" i="120"/>
  <c r="EA44" i="120"/>
  <c r="EC44" i="120"/>
  <c r="ED44" i="120"/>
  <c r="EE44" i="120"/>
  <c r="EF44" i="120"/>
  <c r="EA45" i="120"/>
  <c r="EC45" i="120"/>
  <c r="ED45" i="120"/>
  <c r="EE45" i="120"/>
  <c r="EF45" i="120"/>
  <c r="EA46" i="120"/>
  <c r="EC46" i="120"/>
  <c r="ED46" i="120"/>
  <c r="EE46" i="120"/>
  <c r="EF46" i="120"/>
  <c r="EA47" i="120"/>
  <c r="EC47" i="120"/>
  <c r="ED47" i="120"/>
  <c r="EE47" i="120"/>
  <c r="EF47" i="120"/>
  <c r="EA48" i="120"/>
  <c r="EC48" i="120"/>
  <c r="ED48" i="120"/>
  <c r="EE48" i="120"/>
  <c r="EF48" i="120"/>
  <c r="EA49" i="120"/>
  <c r="EC49" i="120"/>
  <c r="ED49" i="120"/>
  <c r="EE49" i="120"/>
  <c r="EF49" i="120"/>
  <c r="EA50" i="120"/>
  <c r="EC50" i="120"/>
  <c r="ED50" i="120"/>
  <c r="EE50" i="120"/>
  <c r="EF50" i="120"/>
  <c r="EA51" i="120"/>
  <c r="EC51" i="120"/>
  <c r="ED51" i="120"/>
  <c r="EE51" i="120"/>
  <c r="EF51" i="120"/>
  <c r="EA10" i="120"/>
  <c r="EC10" i="120"/>
  <c r="ED10" i="120"/>
  <c r="EF10" i="120"/>
  <c r="EA52" i="120"/>
  <c r="EC52" i="120"/>
  <c r="ED52" i="120"/>
  <c r="EE52" i="120"/>
  <c r="EF52" i="120"/>
  <c r="EA18" i="120"/>
  <c r="EC18" i="120"/>
  <c r="ED18" i="120"/>
  <c r="EF18" i="120"/>
  <c r="EA53" i="120"/>
  <c r="EC53" i="120"/>
  <c r="ED53" i="120"/>
  <c r="EE53" i="120"/>
  <c r="EF53" i="120"/>
  <c r="EA54" i="120"/>
  <c r="EC54" i="120"/>
  <c r="ED54" i="120"/>
  <c r="EE54" i="120"/>
  <c r="EF54" i="120"/>
  <c r="EA55" i="120"/>
  <c r="EC55" i="120"/>
  <c r="ED55" i="120"/>
  <c r="EE55" i="120"/>
  <c r="EF55" i="120"/>
  <c r="EA56" i="120"/>
  <c r="EC56" i="120"/>
  <c r="ED56" i="120"/>
  <c r="EE56" i="120"/>
  <c r="EF56" i="120"/>
  <c r="EA373" i="120"/>
  <c r="EC373" i="120"/>
  <c r="ED373" i="120"/>
  <c r="EE373" i="120"/>
  <c r="EA57" i="120"/>
  <c r="EC57" i="120"/>
  <c r="ED57" i="120"/>
  <c r="EE57" i="120"/>
  <c r="EF57" i="120"/>
  <c r="EA58" i="120"/>
  <c r="EC58" i="120"/>
  <c r="ED58" i="120"/>
  <c r="EE58" i="120"/>
  <c r="EF58" i="120"/>
  <c r="EA59" i="120"/>
  <c r="EC59" i="120"/>
  <c r="ED59" i="120"/>
  <c r="EE59" i="120"/>
  <c r="EF59" i="120"/>
  <c r="EA60" i="120"/>
  <c r="EC60" i="120"/>
  <c r="ED60" i="120"/>
  <c r="EE60" i="120"/>
  <c r="EF60" i="120"/>
  <c r="EA61" i="120"/>
  <c r="EC61" i="120"/>
  <c r="ED61" i="120"/>
  <c r="EE61" i="120"/>
  <c r="EF61" i="120"/>
  <c r="EA62" i="120"/>
  <c r="EC62" i="120"/>
  <c r="ED62" i="120"/>
  <c r="EE62" i="120"/>
  <c r="EF62" i="120"/>
  <c r="EA63" i="120"/>
  <c r="EC63" i="120"/>
  <c r="ED63" i="120"/>
  <c r="EE63" i="120"/>
  <c r="EF63" i="120"/>
  <c r="EA64" i="120"/>
  <c r="EC64" i="120"/>
  <c r="ED64" i="120"/>
  <c r="EE64" i="120"/>
  <c r="EF64" i="120"/>
  <c r="EA65" i="120"/>
  <c r="EC65" i="120"/>
  <c r="ED65" i="120"/>
  <c r="EE65" i="120"/>
  <c r="EF65" i="120"/>
  <c r="EA66" i="120"/>
  <c r="EC66" i="120"/>
  <c r="ED66" i="120"/>
  <c r="EE66" i="120"/>
  <c r="EF66" i="120"/>
  <c r="EA390" i="120"/>
  <c r="EC390" i="120"/>
  <c r="ED390" i="120"/>
  <c r="EE390" i="120"/>
  <c r="EA67" i="120"/>
  <c r="EC67" i="120"/>
  <c r="ED67" i="120"/>
  <c r="EE67" i="120"/>
  <c r="EF67" i="120"/>
  <c r="EA374" i="120"/>
  <c r="EC374" i="120"/>
  <c r="ED374" i="120"/>
  <c r="EE374" i="120"/>
  <c r="EF374" i="120"/>
  <c r="EA395" i="120"/>
  <c r="EC395" i="120"/>
  <c r="ED395" i="120"/>
  <c r="EF395" i="120"/>
  <c r="EA68" i="120"/>
  <c r="EC68" i="120"/>
  <c r="ED68" i="120"/>
  <c r="EE68" i="120"/>
  <c r="EF68" i="120"/>
  <c r="EA69" i="120"/>
  <c r="EC69" i="120"/>
  <c r="ED69" i="120"/>
  <c r="EE69" i="120"/>
  <c r="EF69" i="120"/>
  <c r="EA24" i="120"/>
  <c r="EC24" i="120"/>
  <c r="ED24" i="120"/>
  <c r="EE24" i="120"/>
  <c r="EF24" i="120"/>
  <c r="EA375" i="120"/>
  <c r="EC375" i="120"/>
  <c r="ED375" i="120"/>
  <c r="EE375" i="120"/>
  <c r="EF375" i="120"/>
  <c r="EA408" i="120"/>
  <c r="EC408" i="120"/>
  <c r="ED408" i="120"/>
  <c r="EE408" i="120"/>
  <c r="EA409" i="120"/>
  <c r="EC409" i="120"/>
  <c r="ED409" i="120"/>
  <c r="EE409" i="120"/>
  <c r="EF409" i="120"/>
  <c r="EA407" i="120"/>
  <c r="EC407" i="120"/>
  <c r="ED407" i="120"/>
  <c r="EE407" i="120"/>
  <c r="EF407" i="120"/>
  <c r="EA21" i="120"/>
  <c r="EC21" i="120"/>
  <c r="ED21" i="120"/>
  <c r="EE21" i="120"/>
  <c r="EF21" i="120"/>
  <c r="EA70" i="120"/>
  <c r="EC70" i="120"/>
  <c r="ED70" i="120"/>
  <c r="EE70" i="120"/>
  <c r="EF70" i="120"/>
  <c r="EA406" i="120"/>
  <c r="EC406" i="120"/>
  <c r="ED406" i="120"/>
  <c r="EE406" i="120"/>
  <c r="EF406" i="120"/>
  <c r="EA23" i="120"/>
  <c r="EC23" i="120"/>
  <c r="ED23" i="120"/>
  <c r="EE23" i="120"/>
  <c r="EF23" i="120"/>
  <c r="EA71" i="120"/>
  <c r="EC71" i="120"/>
  <c r="ED71" i="120"/>
  <c r="EE71" i="120"/>
  <c r="EF71" i="120"/>
  <c r="EA6" i="120"/>
  <c r="EC6" i="120"/>
  <c r="ED6" i="120"/>
  <c r="EF6" i="120"/>
  <c r="EA72" i="120"/>
  <c r="EC72" i="120"/>
  <c r="ED72" i="120"/>
  <c r="EE72" i="120"/>
  <c r="EF72" i="120"/>
  <c r="EA73" i="120"/>
  <c r="EC73" i="120"/>
  <c r="ED73" i="120"/>
  <c r="EE73" i="120"/>
  <c r="EF73" i="120"/>
  <c r="EA74" i="120"/>
  <c r="EC74" i="120"/>
  <c r="ED74" i="120"/>
  <c r="EE74" i="120"/>
  <c r="EF74" i="120"/>
  <c r="EA75" i="120"/>
  <c r="EC75" i="120"/>
  <c r="ED75" i="120"/>
  <c r="EE75" i="120"/>
  <c r="EF75" i="120"/>
  <c r="EA76" i="120"/>
  <c r="EC76" i="120"/>
  <c r="ED76" i="120"/>
  <c r="EE76" i="120"/>
  <c r="EF76" i="120"/>
  <c r="EA77" i="120"/>
  <c r="EC77" i="120"/>
  <c r="ED77" i="120"/>
  <c r="EE77" i="120"/>
  <c r="EF77" i="120"/>
  <c r="EA78" i="120"/>
  <c r="EC78" i="120"/>
  <c r="ED78" i="120"/>
  <c r="EE78" i="120"/>
  <c r="EF78" i="120"/>
  <c r="EA79" i="120"/>
  <c r="EC79" i="120"/>
  <c r="ED79" i="120"/>
  <c r="EE79" i="120"/>
  <c r="EF79" i="120"/>
  <c r="EA80" i="120"/>
  <c r="EC80" i="120"/>
  <c r="ED80" i="120"/>
  <c r="EE80" i="120"/>
  <c r="EF80" i="120"/>
  <c r="EA81" i="120"/>
  <c r="EC81" i="120"/>
  <c r="ED81" i="120"/>
  <c r="EE81" i="120"/>
  <c r="EF81" i="120"/>
  <c r="EA82" i="120"/>
  <c r="EC82" i="120"/>
  <c r="ED82" i="120"/>
  <c r="EE82" i="120"/>
  <c r="EF82" i="120"/>
  <c r="EA83" i="120"/>
  <c r="EC83" i="120"/>
  <c r="ED83" i="120"/>
  <c r="EE83" i="120"/>
  <c r="EF83" i="120"/>
  <c r="EA84" i="120"/>
  <c r="EC84" i="120"/>
  <c r="ED84" i="120"/>
  <c r="EE84" i="120"/>
  <c r="EF84" i="120"/>
  <c r="EA85" i="120"/>
  <c r="EC85" i="120"/>
  <c r="ED85" i="120"/>
  <c r="EE85" i="120"/>
  <c r="EF85" i="120"/>
  <c r="EA86" i="120"/>
  <c r="EC86" i="120"/>
  <c r="ED86" i="120"/>
  <c r="EE86" i="120"/>
  <c r="EF86" i="120"/>
  <c r="EA87" i="120"/>
  <c r="EC87" i="120"/>
  <c r="ED87" i="120"/>
  <c r="EE87" i="120"/>
  <c r="EF87" i="120"/>
  <c r="EA88" i="120"/>
  <c r="EC88" i="120"/>
  <c r="ED88" i="120"/>
  <c r="EE88" i="120"/>
  <c r="EF88" i="120"/>
  <c r="EA89" i="120"/>
  <c r="EC89" i="120"/>
  <c r="ED89" i="120"/>
  <c r="EE89" i="120"/>
  <c r="EF89" i="120"/>
  <c r="EA90" i="120"/>
  <c r="EC90" i="120"/>
  <c r="ED90" i="120"/>
  <c r="EE90" i="120"/>
  <c r="EF90" i="120"/>
  <c r="EA91" i="120"/>
  <c r="EC91" i="120"/>
  <c r="ED91" i="120"/>
  <c r="EE91" i="120"/>
  <c r="EF91" i="120"/>
  <c r="EA92" i="120"/>
  <c r="EC92" i="120"/>
  <c r="ED92" i="120"/>
  <c r="EE92" i="120"/>
  <c r="EF92" i="120"/>
  <c r="EA93" i="120"/>
  <c r="EC93" i="120"/>
  <c r="ED93" i="120"/>
  <c r="EE93" i="120"/>
  <c r="EF93" i="120"/>
  <c r="EA94" i="120"/>
  <c r="EC94" i="120"/>
  <c r="ED94" i="120"/>
  <c r="EE94" i="120"/>
  <c r="EF94" i="120"/>
  <c r="EA95" i="120"/>
  <c r="EC95" i="120"/>
  <c r="ED95" i="120"/>
  <c r="EE95" i="120"/>
  <c r="EF95" i="120"/>
  <c r="EA96" i="120"/>
  <c r="EC96" i="120"/>
  <c r="ED96" i="120"/>
  <c r="EE96" i="120"/>
  <c r="EF96" i="120"/>
  <c r="EA97" i="120"/>
  <c r="EC97" i="120"/>
  <c r="ED97" i="120"/>
  <c r="EE97" i="120"/>
  <c r="EF97" i="120"/>
  <c r="EA98" i="120"/>
  <c r="EC98" i="120"/>
  <c r="ED98" i="120"/>
  <c r="EE98" i="120"/>
  <c r="EF98" i="120"/>
  <c r="EA99" i="120"/>
  <c r="EC99" i="120"/>
  <c r="ED99" i="120"/>
  <c r="EE99" i="120"/>
  <c r="EF99" i="120"/>
  <c r="EA100" i="120"/>
  <c r="EC100" i="120"/>
  <c r="ED100" i="120"/>
  <c r="EE100" i="120"/>
  <c r="EF100" i="120"/>
  <c r="EA101" i="120"/>
  <c r="EC101" i="120"/>
  <c r="ED101" i="120"/>
  <c r="EE101" i="120"/>
  <c r="EF101" i="120"/>
  <c r="EA102" i="120"/>
  <c r="EC102" i="120"/>
  <c r="ED102" i="120"/>
  <c r="EE102" i="120"/>
  <c r="EF102" i="120"/>
  <c r="EA103" i="120"/>
  <c r="EC103" i="120"/>
  <c r="ED103" i="120"/>
  <c r="EE103" i="120"/>
  <c r="EF103" i="120"/>
  <c r="EA104" i="120"/>
  <c r="EC104" i="120"/>
  <c r="ED104" i="120"/>
  <c r="EE104" i="120"/>
  <c r="EF104" i="120"/>
  <c r="EA105" i="120"/>
  <c r="EC105" i="120"/>
  <c r="ED105" i="120"/>
  <c r="EE105" i="120"/>
  <c r="EF105" i="120"/>
  <c r="EA106" i="120"/>
  <c r="EC106" i="120"/>
  <c r="ED106" i="120"/>
  <c r="EE106" i="120"/>
  <c r="EF106" i="120"/>
  <c r="EA107" i="120"/>
  <c r="EC107" i="120"/>
  <c r="ED107" i="120"/>
  <c r="EE107" i="120"/>
  <c r="EF107" i="120"/>
  <c r="EA108" i="120"/>
  <c r="EC108" i="120"/>
  <c r="ED108" i="120"/>
  <c r="EE108" i="120"/>
  <c r="EF108" i="120"/>
  <c r="EA109" i="120"/>
  <c r="EC109" i="120"/>
  <c r="ED109" i="120"/>
  <c r="EE109" i="120"/>
  <c r="EF109" i="120"/>
  <c r="EA110" i="120"/>
  <c r="EC110" i="120"/>
  <c r="ED110" i="120"/>
  <c r="EE110" i="120"/>
  <c r="EF110" i="120"/>
  <c r="EA111" i="120"/>
  <c r="EC111" i="120"/>
  <c r="ED111" i="120"/>
  <c r="EE111" i="120"/>
  <c r="EF111" i="120"/>
  <c r="EA112" i="120"/>
  <c r="EC112" i="120"/>
  <c r="ED112" i="120"/>
  <c r="EE112" i="120"/>
  <c r="EF112" i="120"/>
  <c r="EA113" i="120"/>
  <c r="EC113" i="120"/>
  <c r="ED113" i="120"/>
  <c r="EE113" i="120"/>
  <c r="EF113" i="120"/>
  <c r="EA114" i="120"/>
  <c r="EC114" i="120"/>
  <c r="ED114" i="120"/>
  <c r="EE114" i="120"/>
  <c r="EF114" i="120"/>
  <c r="EA115" i="120"/>
  <c r="EC115" i="120"/>
  <c r="ED115" i="120"/>
  <c r="EE115" i="120"/>
  <c r="EF115" i="120"/>
  <c r="EA116" i="120"/>
  <c r="EC116" i="120"/>
  <c r="ED116" i="120"/>
  <c r="EE116" i="120"/>
  <c r="EF116" i="120"/>
  <c r="EA117" i="120"/>
  <c r="EC117" i="120"/>
  <c r="ED117" i="120"/>
  <c r="EE117" i="120"/>
  <c r="EF117" i="120"/>
  <c r="EA118" i="120"/>
  <c r="EC118" i="120"/>
  <c r="ED118" i="120"/>
  <c r="EE118" i="120"/>
  <c r="EF118" i="120"/>
  <c r="EA119" i="120"/>
  <c r="EC119" i="120"/>
  <c r="ED119" i="120"/>
  <c r="EE119" i="120"/>
  <c r="EF119" i="120"/>
  <c r="EA120" i="120"/>
  <c r="EC120" i="120"/>
  <c r="ED120" i="120"/>
  <c r="EE120" i="120"/>
  <c r="EF120" i="120"/>
  <c r="EA121" i="120"/>
  <c r="EC121" i="120"/>
  <c r="ED121" i="120"/>
  <c r="EE121" i="120"/>
  <c r="EF121" i="120"/>
  <c r="EA122" i="120"/>
  <c r="EC122" i="120"/>
  <c r="ED122" i="120"/>
  <c r="EE122" i="120"/>
  <c r="EF122" i="120"/>
  <c r="EA123" i="120"/>
  <c r="EC123" i="120"/>
  <c r="ED123" i="120"/>
  <c r="EE123" i="120"/>
  <c r="EF123" i="120"/>
  <c r="EA124" i="120"/>
  <c r="EC124" i="120"/>
  <c r="ED124" i="120"/>
  <c r="EE124" i="120"/>
  <c r="EF124" i="120"/>
  <c r="EA125" i="120"/>
  <c r="EC125" i="120"/>
  <c r="ED125" i="120"/>
  <c r="EE125" i="120"/>
  <c r="EF125" i="120"/>
  <c r="EA126" i="120"/>
  <c r="EC126" i="120"/>
  <c r="ED126" i="120"/>
  <c r="EE126" i="120"/>
  <c r="EF126" i="120"/>
  <c r="EA127" i="120"/>
  <c r="EC127" i="120"/>
  <c r="ED127" i="120"/>
  <c r="EE127" i="120"/>
  <c r="EF127" i="120"/>
  <c r="EA128" i="120"/>
  <c r="EC128" i="120"/>
  <c r="ED128" i="120"/>
  <c r="EE128" i="120"/>
  <c r="EF128" i="120"/>
  <c r="EA129" i="120"/>
  <c r="EC129" i="120"/>
  <c r="ED129" i="120"/>
  <c r="EE129" i="120"/>
  <c r="EF129" i="120"/>
  <c r="EA130" i="120"/>
  <c r="EC130" i="120"/>
  <c r="ED130" i="120"/>
  <c r="EE130" i="120"/>
  <c r="EF130" i="120"/>
  <c r="EA131" i="120"/>
  <c r="EC131" i="120"/>
  <c r="ED131" i="120"/>
  <c r="EE131" i="120"/>
  <c r="EF131" i="120"/>
  <c r="EA132" i="120"/>
  <c r="EC132" i="120"/>
  <c r="ED132" i="120"/>
  <c r="EE132" i="120"/>
  <c r="EF132" i="120"/>
  <c r="EA133" i="120"/>
  <c r="EC133" i="120"/>
  <c r="ED133" i="120"/>
  <c r="EE133" i="120"/>
  <c r="EF133" i="120"/>
  <c r="EA134" i="120"/>
  <c r="EC134" i="120"/>
  <c r="ED134" i="120"/>
  <c r="EE134" i="120"/>
  <c r="EF134" i="120"/>
  <c r="EA135" i="120"/>
  <c r="EC135" i="120"/>
  <c r="ED135" i="120"/>
  <c r="EE135" i="120"/>
  <c r="EF135" i="120"/>
  <c r="EA136" i="120"/>
  <c r="EC136" i="120"/>
  <c r="ED136" i="120"/>
  <c r="EE136" i="120"/>
  <c r="EF136" i="120"/>
  <c r="EA137" i="120"/>
  <c r="EC137" i="120"/>
  <c r="ED137" i="120"/>
  <c r="EE137" i="120"/>
  <c r="EF137" i="120"/>
  <c r="EA138" i="120"/>
  <c r="EC138" i="120"/>
  <c r="ED138" i="120"/>
  <c r="EE138" i="120"/>
  <c r="EF138" i="120"/>
  <c r="EA139" i="120"/>
  <c r="EC139" i="120"/>
  <c r="ED139" i="120"/>
  <c r="EE139" i="120"/>
  <c r="EF139" i="120"/>
  <c r="EA140" i="120"/>
  <c r="EC140" i="120"/>
  <c r="ED140" i="120"/>
  <c r="EE140" i="120"/>
  <c r="EF140" i="120"/>
  <c r="EA141" i="120"/>
  <c r="EC141" i="120"/>
  <c r="ED141" i="120"/>
  <c r="EE141" i="120"/>
  <c r="EF141" i="120"/>
  <c r="EA142" i="120"/>
  <c r="EC142" i="120"/>
  <c r="ED142" i="120"/>
  <c r="EE142" i="120"/>
  <c r="EF142" i="120"/>
  <c r="EA143" i="120"/>
  <c r="EC143" i="120"/>
  <c r="ED143" i="120"/>
  <c r="EE143" i="120"/>
  <c r="EF143" i="120"/>
  <c r="EA144" i="120"/>
  <c r="EC144" i="120"/>
  <c r="ED144" i="120"/>
  <c r="EE144" i="120"/>
  <c r="EF144" i="120"/>
  <c r="EA145" i="120"/>
  <c r="EC145" i="120"/>
  <c r="ED145" i="120"/>
  <c r="EE145" i="120"/>
  <c r="EF145" i="120"/>
  <c r="EA146" i="120"/>
  <c r="EC146" i="120"/>
  <c r="ED146" i="120"/>
  <c r="EE146" i="120"/>
  <c r="EF146" i="120"/>
  <c r="EA147" i="120"/>
  <c r="EC147" i="120"/>
  <c r="ED147" i="120"/>
  <c r="EE147" i="120"/>
  <c r="EF147" i="120"/>
  <c r="EA148" i="120"/>
  <c r="EC148" i="120"/>
  <c r="ED148" i="120"/>
  <c r="EE148" i="120"/>
  <c r="EF148" i="120"/>
  <c r="EA149" i="120"/>
  <c r="EC149" i="120"/>
  <c r="ED149" i="120"/>
  <c r="EE149" i="120"/>
  <c r="EF149" i="120"/>
  <c r="EA150" i="120"/>
  <c r="EC150" i="120"/>
  <c r="ED150" i="120"/>
  <c r="EE150" i="120"/>
  <c r="EF150" i="120"/>
  <c r="EA151" i="120"/>
  <c r="EC151" i="120"/>
  <c r="ED151" i="120"/>
  <c r="EE151" i="120"/>
  <c r="EF151" i="120"/>
  <c r="EA152" i="120"/>
  <c r="EC152" i="120"/>
  <c r="ED152" i="120"/>
  <c r="EE152" i="120"/>
  <c r="EF152" i="120"/>
  <c r="EA153" i="120"/>
  <c r="EC153" i="120"/>
  <c r="ED153" i="120"/>
  <c r="EE153" i="120"/>
  <c r="EF153" i="120"/>
  <c r="EA154" i="120"/>
  <c r="EC154" i="120"/>
  <c r="ED154" i="120"/>
  <c r="EE154" i="120"/>
  <c r="EF154" i="120"/>
  <c r="EA155" i="120"/>
  <c r="EC155" i="120"/>
  <c r="ED155" i="120"/>
  <c r="EE155" i="120"/>
  <c r="EF155" i="120"/>
  <c r="EA156" i="120"/>
  <c r="EC156" i="120"/>
  <c r="ED156" i="120"/>
  <c r="EE156" i="120"/>
  <c r="EF156" i="120"/>
  <c r="EA157" i="120"/>
  <c r="EC157" i="120"/>
  <c r="ED157" i="120"/>
  <c r="EE157" i="120"/>
  <c r="EF157" i="120"/>
  <c r="EA158" i="120"/>
  <c r="EC158" i="120"/>
  <c r="ED158" i="120"/>
  <c r="EE158" i="120"/>
  <c r="EF158" i="120"/>
  <c r="EA159" i="120"/>
  <c r="EC159" i="120"/>
  <c r="ED159" i="120"/>
  <c r="EE159" i="120"/>
  <c r="EF159" i="120"/>
  <c r="EA160" i="120"/>
  <c r="EC160" i="120"/>
  <c r="ED160" i="120"/>
  <c r="EE160" i="120"/>
  <c r="EF160" i="120"/>
  <c r="EA161" i="120"/>
  <c r="EC161" i="120"/>
  <c r="ED161" i="120"/>
  <c r="EE161" i="120"/>
  <c r="EF161" i="120"/>
  <c r="EA162" i="120"/>
  <c r="EC162" i="120"/>
  <c r="ED162" i="120"/>
  <c r="EE162" i="120"/>
  <c r="EF162" i="120"/>
  <c r="EA163" i="120"/>
  <c r="EC163" i="120"/>
  <c r="ED163" i="120"/>
  <c r="EE163" i="120"/>
  <c r="EF163" i="120"/>
  <c r="EA164" i="120"/>
  <c r="EC164" i="120"/>
  <c r="ED164" i="120"/>
  <c r="EE164" i="120"/>
  <c r="EF164" i="120"/>
  <c r="EA165" i="120"/>
  <c r="EC165" i="120"/>
  <c r="ED165" i="120"/>
  <c r="EE165" i="120"/>
  <c r="EF165" i="120"/>
  <c r="EA166" i="120"/>
  <c r="EC166" i="120"/>
  <c r="ED166" i="120"/>
  <c r="EE166" i="120"/>
  <c r="EF166" i="120"/>
  <c r="EA167" i="120"/>
  <c r="EC167" i="120"/>
  <c r="ED167" i="120"/>
  <c r="EE167" i="120"/>
  <c r="EF167" i="120"/>
  <c r="EA168" i="120"/>
  <c r="EC168" i="120"/>
  <c r="ED168" i="120"/>
  <c r="EE168" i="120"/>
  <c r="EF168" i="120"/>
  <c r="EA169" i="120"/>
  <c r="EC169" i="120"/>
  <c r="ED169" i="120"/>
  <c r="EE169" i="120"/>
  <c r="EF169" i="120"/>
  <c r="EA170" i="120"/>
  <c r="EC170" i="120"/>
  <c r="ED170" i="120"/>
  <c r="EE170" i="120"/>
  <c r="EF170" i="120"/>
  <c r="EA399" i="120"/>
  <c r="EC399" i="120"/>
  <c r="ED399" i="120"/>
  <c r="EF399" i="120"/>
  <c r="EA171" i="120"/>
  <c r="EC171" i="120"/>
  <c r="ED171" i="120"/>
  <c r="EE171" i="120"/>
  <c r="EF171" i="120"/>
  <c r="EA172" i="120"/>
  <c r="EC172" i="120"/>
  <c r="ED172" i="120"/>
  <c r="EE172" i="120"/>
  <c r="EF172" i="120"/>
  <c r="EA173" i="120"/>
  <c r="EC173" i="120"/>
  <c r="ED173" i="120"/>
  <c r="EE173" i="120"/>
  <c r="EF173" i="120"/>
  <c r="EA174" i="120"/>
  <c r="EC174" i="120"/>
  <c r="ED174" i="120"/>
  <c r="EE174" i="120"/>
  <c r="EF174" i="120"/>
  <c r="EA175" i="120"/>
  <c r="EC175" i="120"/>
  <c r="ED175" i="120"/>
  <c r="EE175" i="120"/>
  <c r="EA176" i="120"/>
  <c r="EC176" i="120"/>
  <c r="ED176" i="120"/>
  <c r="EE176" i="120"/>
  <c r="EF176" i="120"/>
  <c r="EA177" i="120"/>
  <c r="EC177" i="120"/>
  <c r="ED177" i="120"/>
  <c r="EE177" i="120"/>
  <c r="EF177" i="120"/>
  <c r="EA178" i="120"/>
  <c r="EC178" i="120"/>
  <c r="ED178" i="120"/>
  <c r="EE178" i="120"/>
  <c r="EF178" i="120"/>
  <c r="EA179" i="120"/>
  <c r="EC179" i="120"/>
  <c r="ED179" i="120"/>
  <c r="EE179" i="120"/>
  <c r="EF179" i="120"/>
  <c r="EA180" i="120"/>
  <c r="EC180" i="120"/>
  <c r="ED180" i="120"/>
  <c r="EE180" i="120"/>
  <c r="EF180" i="120"/>
  <c r="EA181" i="120"/>
  <c r="EC181" i="120"/>
  <c r="ED181" i="120"/>
  <c r="EE181" i="120"/>
  <c r="EF181" i="120"/>
  <c r="EA182" i="120"/>
  <c r="EC182" i="120"/>
  <c r="ED182" i="120"/>
  <c r="EE182" i="120"/>
  <c r="EF182" i="120"/>
  <c r="EA183" i="120"/>
  <c r="EC183" i="120"/>
  <c r="ED183" i="120"/>
  <c r="EE183" i="120"/>
  <c r="EF183" i="120"/>
  <c r="EA184" i="120"/>
  <c r="EC184" i="120"/>
  <c r="ED184" i="120"/>
  <c r="EE184" i="120"/>
  <c r="EF184" i="120"/>
  <c r="EA185" i="120"/>
  <c r="EC185" i="120"/>
  <c r="ED185" i="120"/>
  <c r="EE185" i="120"/>
  <c r="EF185" i="120"/>
  <c r="EA186" i="120"/>
  <c r="EC186" i="120"/>
  <c r="ED186" i="120"/>
  <c r="EE186" i="120"/>
  <c r="EF186" i="120"/>
  <c r="EA187" i="120"/>
  <c r="EC187" i="120"/>
  <c r="ED187" i="120"/>
  <c r="EE187" i="120"/>
  <c r="EF187" i="120"/>
  <c r="EA188" i="120"/>
  <c r="EC188" i="120"/>
  <c r="ED188" i="120"/>
  <c r="EE188" i="120"/>
  <c r="EF188" i="120"/>
  <c r="EA189" i="120"/>
  <c r="EC189" i="120"/>
  <c r="ED189" i="120"/>
  <c r="EE189" i="120"/>
  <c r="EF189" i="120"/>
  <c r="EA190" i="120"/>
  <c r="EC190" i="120"/>
  <c r="ED190" i="120"/>
  <c r="EE190" i="120"/>
  <c r="EF190" i="120"/>
  <c r="EA191" i="120"/>
  <c r="EC191" i="120"/>
  <c r="ED191" i="120"/>
  <c r="EE191" i="120"/>
  <c r="EF191" i="120"/>
  <c r="EA192" i="120"/>
  <c r="EC192" i="120"/>
  <c r="ED192" i="120"/>
  <c r="EE192" i="120"/>
  <c r="EF192" i="120"/>
  <c r="EA193" i="120"/>
  <c r="EC193" i="120"/>
  <c r="ED193" i="120"/>
  <c r="EE193" i="120"/>
  <c r="EF193" i="120"/>
  <c r="EA194" i="120"/>
  <c r="EC194" i="120"/>
  <c r="ED194" i="120"/>
  <c r="EE194" i="120"/>
  <c r="EF194" i="120"/>
  <c r="EA195" i="120"/>
  <c r="EC195" i="120"/>
  <c r="ED195" i="120"/>
  <c r="EE195" i="120"/>
  <c r="EF195" i="120"/>
  <c r="EA11" i="120"/>
  <c r="EC11" i="120"/>
  <c r="ED11" i="120"/>
  <c r="EE11" i="120"/>
  <c r="EF11" i="120"/>
  <c r="EA196" i="120"/>
  <c r="EC196" i="120"/>
  <c r="ED196" i="120"/>
  <c r="EE196" i="120"/>
  <c r="EF196" i="120"/>
  <c r="EA197" i="120"/>
  <c r="EC197" i="120"/>
  <c r="ED197" i="120"/>
  <c r="EE197" i="120"/>
  <c r="EF197" i="120"/>
  <c r="EA198" i="120"/>
  <c r="EC198" i="120"/>
  <c r="ED198" i="120"/>
  <c r="EE198" i="120"/>
  <c r="EF198" i="120"/>
  <c r="EA199" i="120"/>
  <c r="EC199" i="120"/>
  <c r="ED199" i="120"/>
  <c r="EE199" i="120"/>
  <c r="EF199" i="120"/>
  <c r="EA200" i="120"/>
  <c r="EC200" i="120"/>
  <c r="ED200" i="120"/>
  <c r="EE200" i="120"/>
  <c r="EF200" i="120"/>
  <c r="EA201" i="120"/>
  <c r="EC201" i="120"/>
  <c r="ED201" i="120"/>
  <c r="EE201" i="120"/>
  <c r="EF201" i="120"/>
  <c r="EA202" i="120"/>
  <c r="EC202" i="120"/>
  <c r="ED202" i="120"/>
  <c r="EE202" i="120"/>
  <c r="EF202" i="120"/>
  <c r="EA203" i="120"/>
  <c r="EC203" i="120"/>
  <c r="ED203" i="120"/>
  <c r="EE203" i="120"/>
  <c r="EF203" i="120"/>
  <c r="EA204" i="120"/>
  <c r="EC204" i="120"/>
  <c r="ED204" i="120"/>
  <c r="EE204" i="120"/>
  <c r="EF204" i="120"/>
  <c r="EA205" i="120"/>
  <c r="EC205" i="120"/>
  <c r="ED205" i="120"/>
  <c r="EE205" i="120"/>
  <c r="EF205" i="120"/>
  <c r="EA394" i="120"/>
  <c r="EC394" i="120"/>
  <c r="ED394" i="120"/>
  <c r="EE394" i="120"/>
  <c r="EF394" i="120"/>
  <c r="EA206" i="120"/>
  <c r="EC206" i="120"/>
  <c r="ED206" i="120"/>
  <c r="EE206" i="120"/>
  <c r="EF206" i="120"/>
  <c r="EA207" i="120"/>
  <c r="EC207" i="120"/>
  <c r="ED207" i="120"/>
  <c r="EE207" i="120"/>
  <c r="EF207" i="120"/>
  <c r="EA208" i="120"/>
  <c r="EC208" i="120"/>
  <c r="ED208" i="120"/>
  <c r="EE208" i="120"/>
  <c r="EF208" i="120"/>
  <c r="EA209" i="120"/>
  <c r="EC209" i="120"/>
  <c r="ED209" i="120"/>
  <c r="EE209" i="120"/>
  <c r="EF209" i="120"/>
  <c r="EA210" i="120"/>
  <c r="EC210" i="120"/>
  <c r="ED210" i="120"/>
  <c r="EE210" i="120"/>
  <c r="EF210" i="120"/>
  <c r="EA211" i="120"/>
  <c r="EC211" i="120"/>
  <c r="ED211" i="120"/>
  <c r="EE211" i="120"/>
  <c r="EF211" i="120"/>
  <c r="EA391" i="120"/>
  <c r="EC391" i="120"/>
  <c r="ED391" i="120"/>
  <c r="EE391" i="120"/>
  <c r="EF391" i="120"/>
  <c r="EA212" i="120"/>
  <c r="EC212" i="120"/>
  <c r="ED212" i="120"/>
  <c r="EE212" i="120"/>
  <c r="EF212" i="120"/>
  <c r="EA213" i="120"/>
  <c r="EC213" i="120"/>
  <c r="ED213" i="120"/>
  <c r="EE213" i="120"/>
  <c r="EF213" i="120"/>
  <c r="EA214" i="120"/>
  <c r="EC214" i="120"/>
  <c r="ED214" i="120"/>
  <c r="EE214" i="120"/>
  <c r="EF214" i="120"/>
  <c r="EA215" i="120"/>
  <c r="EC215" i="120"/>
  <c r="ED215" i="120"/>
  <c r="EE215" i="120"/>
  <c r="EF215" i="120"/>
  <c r="EA216" i="120"/>
  <c r="EC216" i="120"/>
  <c r="ED216" i="120"/>
  <c r="EE216" i="120"/>
  <c r="EF216" i="120"/>
  <c r="EA217" i="120"/>
  <c r="EC217" i="120"/>
  <c r="ED217" i="120"/>
  <c r="EE217" i="120"/>
  <c r="EF217" i="120"/>
  <c r="EA218" i="120"/>
  <c r="EC218" i="120"/>
  <c r="ED218" i="120"/>
  <c r="EE218" i="120"/>
  <c r="EF218" i="120"/>
  <c r="EA219" i="120"/>
  <c r="EC219" i="120"/>
  <c r="ED219" i="120"/>
  <c r="EE219" i="120"/>
  <c r="EF219" i="120"/>
  <c r="EA220" i="120"/>
  <c r="EC220" i="120"/>
  <c r="ED220" i="120"/>
  <c r="EE220" i="120"/>
  <c r="EF220" i="120"/>
  <c r="EA221" i="120"/>
  <c r="EC221" i="120"/>
  <c r="ED221" i="120"/>
  <c r="EE221" i="120"/>
  <c r="EF221" i="120"/>
  <c r="EA222" i="120"/>
  <c r="EC222" i="120"/>
  <c r="ED222" i="120"/>
  <c r="EE222" i="120"/>
  <c r="EF222" i="120"/>
  <c r="EA223" i="120"/>
  <c r="EC223" i="120"/>
  <c r="ED223" i="120"/>
  <c r="EE223" i="120"/>
  <c r="EF223" i="120"/>
  <c r="EA224" i="120"/>
  <c r="EC224" i="120"/>
  <c r="ED224" i="120"/>
  <c r="EE224" i="120"/>
  <c r="EF224" i="120"/>
  <c r="EA225" i="120"/>
  <c r="EC225" i="120"/>
  <c r="ED225" i="120"/>
  <c r="EE225" i="120"/>
  <c r="EF225" i="120"/>
  <c r="EA226" i="120"/>
  <c r="EC226" i="120"/>
  <c r="ED226" i="120"/>
  <c r="EE226" i="120"/>
  <c r="EF226" i="120"/>
  <c r="EA227" i="120"/>
  <c r="EC227" i="120"/>
  <c r="ED227" i="120"/>
  <c r="EE227" i="120"/>
  <c r="EF227" i="120"/>
  <c r="EA228" i="120"/>
  <c r="EC228" i="120"/>
  <c r="ED228" i="120"/>
  <c r="EE228" i="120"/>
  <c r="EF228" i="120"/>
  <c r="EA229" i="120"/>
  <c r="EC229" i="120"/>
  <c r="ED229" i="120"/>
  <c r="EE229" i="120"/>
  <c r="EF229" i="120"/>
  <c r="EA230" i="120"/>
  <c r="EC230" i="120"/>
  <c r="ED230" i="120"/>
  <c r="EE230" i="120"/>
  <c r="EF230" i="120"/>
  <c r="EA231" i="120"/>
  <c r="EC231" i="120"/>
  <c r="ED231" i="120"/>
  <c r="EE231" i="120"/>
  <c r="EF231" i="120"/>
  <c r="EA232" i="120"/>
  <c r="EC232" i="120"/>
  <c r="ED232" i="120"/>
  <c r="EE232" i="120"/>
  <c r="EF232" i="120"/>
  <c r="EA233" i="120"/>
  <c r="EC233" i="120"/>
  <c r="ED233" i="120"/>
  <c r="EE233" i="120"/>
  <c r="EF233" i="120"/>
  <c r="EA234" i="120"/>
  <c r="EC234" i="120"/>
  <c r="ED234" i="120"/>
  <c r="EE234" i="120"/>
  <c r="EF234" i="120"/>
  <c r="EA235" i="120"/>
  <c r="EC235" i="120"/>
  <c r="ED235" i="120"/>
  <c r="EE235" i="120"/>
  <c r="EF235" i="120"/>
  <c r="EA236" i="120"/>
  <c r="EC236" i="120"/>
  <c r="ED236" i="120"/>
  <c r="EE236" i="120"/>
  <c r="EF236" i="120"/>
  <c r="EA237" i="120"/>
  <c r="EC237" i="120"/>
  <c r="ED237" i="120"/>
  <c r="EE237" i="120"/>
  <c r="EF237" i="120"/>
  <c r="EA238" i="120"/>
  <c r="EC238" i="120"/>
  <c r="ED238" i="120"/>
  <c r="EE238" i="120"/>
  <c r="EF238" i="120"/>
  <c r="EA20" i="120"/>
  <c r="EC20" i="120"/>
  <c r="ED20" i="120"/>
  <c r="EE20" i="120"/>
  <c r="EF20" i="120"/>
  <c r="EA239" i="120"/>
  <c r="EC239" i="120"/>
  <c r="ED239" i="120"/>
  <c r="EE239" i="120"/>
  <c r="EF239" i="120"/>
  <c r="EA240" i="120"/>
  <c r="EC240" i="120"/>
  <c r="ED240" i="120"/>
  <c r="EE240" i="120"/>
  <c r="EF240" i="120"/>
  <c r="EA241" i="120"/>
  <c r="EC241" i="120"/>
  <c r="ED241" i="120"/>
  <c r="EE241" i="120"/>
  <c r="EF241" i="120"/>
  <c r="EA242" i="120"/>
  <c r="EC242" i="120"/>
  <c r="ED242" i="120"/>
  <c r="EE242" i="120"/>
  <c r="EF242" i="120"/>
  <c r="EA243" i="120"/>
  <c r="EC243" i="120"/>
  <c r="ED243" i="120"/>
  <c r="EE243" i="120"/>
  <c r="EF243" i="120"/>
  <c r="EA244" i="120"/>
  <c r="EC244" i="120"/>
  <c r="ED244" i="120"/>
  <c r="EE244" i="120"/>
  <c r="EF244" i="120"/>
  <c r="EA245" i="120"/>
  <c r="EC245" i="120"/>
  <c r="ED245" i="120"/>
  <c r="EE245" i="120"/>
  <c r="EF245" i="120"/>
  <c r="EA17" i="120"/>
  <c r="EC17" i="120"/>
  <c r="ED17" i="120"/>
  <c r="EF17" i="120"/>
  <c r="EA246" i="120"/>
  <c r="EC246" i="120"/>
  <c r="ED246" i="120"/>
  <c r="EE246" i="120"/>
  <c r="EF246" i="120"/>
  <c r="EA247" i="120"/>
  <c r="EC247" i="120"/>
  <c r="ED247" i="120"/>
  <c r="EE247" i="120"/>
  <c r="EF247" i="120"/>
  <c r="EA248" i="120"/>
  <c r="EC248" i="120"/>
  <c r="ED248" i="120"/>
  <c r="EE248" i="120"/>
  <c r="EF248" i="120"/>
  <c r="EA249" i="120"/>
  <c r="EC249" i="120"/>
  <c r="ED249" i="120"/>
  <c r="EE249" i="120"/>
  <c r="EF249" i="120"/>
  <c r="EA26" i="120"/>
  <c r="EC26" i="120"/>
  <c r="ED26" i="120"/>
  <c r="EE26" i="120"/>
  <c r="EF26" i="120"/>
  <c r="EA250" i="120"/>
  <c r="EC250" i="120"/>
  <c r="ED250" i="120"/>
  <c r="EE250" i="120"/>
  <c r="EF250" i="120"/>
  <c r="EA386" i="120"/>
  <c r="EC386" i="120"/>
  <c r="ED386" i="120"/>
  <c r="EE386" i="120"/>
  <c r="EF386" i="120"/>
  <c r="EA251" i="120"/>
  <c r="EC251" i="120"/>
  <c r="ED251" i="120"/>
  <c r="EE251" i="120"/>
  <c r="EF251" i="120"/>
  <c r="EA252" i="120"/>
  <c r="EC252" i="120"/>
  <c r="ED252" i="120"/>
  <c r="EE252" i="120"/>
  <c r="EF252" i="120"/>
  <c r="EA253" i="120"/>
  <c r="EC253" i="120"/>
  <c r="ED253" i="120"/>
  <c r="EE253" i="120"/>
  <c r="EF253" i="120"/>
  <c r="EA254" i="120"/>
  <c r="EC254" i="120"/>
  <c r="ED254" i="120"/>
  <c r="EE254" i="120"/>
  <c r="EF254" i="120"/>
  <c r="EA255" i="120"/>
  <c r="EC255" i="120"/>
  <c r="ED255" i="120"/>
  <c r="EE255" i="120"/>
  <c r="EF255" i="120"/>
  <c r="EA256" i="120"/>
  <c r="EC256" i="120"/>
  <c r="ED256" i="120"/>
  <c r="EE256" i="120"/>
  <c r="EF256" i="120"/>
  <c r="EA385" i="120"/>
  <c r="EC385" i="120"/>
  <c r="ED385" i="120"/>
  <c r="EA257" i="120"/>
  <c r="EC257" i="120"/>
  <c r="ED257" i="120"/>
  <c r="EE257" i="120"/>
  <c r="EF257" i="120"/>
  <c r="EA258" i="120"/>
  <c r="EC258" i="120"/>
  <c r="ED258" i="120"/>
  <c r="EE258" i="120"/>
  <c r="EF258" i="120"/>
  <c r="EA259" i="120"/>
  <c r="EC259" i="120"/>
  <c r="ED259" i="120"/>
  <c r="EE259" i="120"/>
  <c r="EF259" i="120"/>
  <c r="EA260" i="120"/>
  <c r="EC260" i="120"/>
  <c r="ED260" i="120"/>
  <c r="EE260" i="120"/>
  <c r="EF260" i="120"/>
  <c r="EA261" i="120"/>
  <c r="EC261" i="120"/>
  <c r="ED261" i="120"/>
  <c r="EF261" i="120"/>
  <c r="EA15" i="120"/>
  <c r="EC15" i="120"/>
  <c r="ED15" i="120"/>
  <c r="EF15" i="120"/>
  <c r="EA404" i="120"/>
  <c r="EC404" i="120"/>
  <c r="ED404" i="120"/>
  <c r="EE404" i="120"/>
  <c r="EF404" i="120"/>
  <c r="EA262" i="120"/>
  <c r="EC262" i="120"/>
  <c r="ED262" i="120"/>
  <c r="EE262" i="120"/>
  <c r="EF262" i="120"/>
  <c r="EA263" i="120"/>
  <c r="EC263" i="120"/>
  <c r="ED263" i="120"/>
  <c r="EE263" i="120"/>
  <c r="EF263" i="120"/>
  <c r="EA264" i="120"/>
  <c r="EC264" i="120"/>
  <c r="ED264" i="120"/>
  <c r="EE264" i="120"/>
  <c r="EF264" i="120"/>
  <c r="EA265" i="120"/>
  <c r="EC265" i="120"/>
  <c r="ED265" i="120"/>
  <c r="EE265" i="120"/>
  <c r="EF265" i="120"/>
  <c r="EA266" i="120"/>
  <c r="EC266" i="120"/>
  <c r="ED266" i="120"/>
  <c r="EE266" i="120"/>
  <c r="EA267" i="120"/>
  <c r="EC267" i="120"/>
  <c r="ED267" i="120"/>
  <c r="EE267" i="120"/>
  <c r="EF267" i="120"/>
  <c r="EA268" i="120"/>
  <c r="EC268" i="120"/>
  <c r="ED268" i="120"/>
  <c r="EE268" i="120"/>
  <c r="EF268" i="120"/>
  <c r="EA269" i="120"/>
  <c r="EC269" i="120"/>
  <c r="ED269" i="120"/>
  <c r="EE269" i="120"/>
  <c r="EF269" i="120"/>
  <c r="EA270" i="120"/>
  <c r="EC270" i="120"/>
  <c r="ED270" i="120"/>
  <c r="EE270" i="120"/>
  <c r="EF270" i="120"/>
  <c r="EA271" i="120"/>
  <c r="EC271" i="120"/>
  <c r="ED271" i="120"/>
  <c r="EE271" i="120"/>
  <c r="EF271" i="120"/>
  <c r="EA272" i="120"/>
  <c r="EC272" i="120"/>
  <c r="ED272" i="120"/>
  <c r="EE272" i="120"/>
  <c r="EF272" i="120"/>
  <c r="EA273" i="120"/>
  <c r="EC273" i="120"/>
  <c r="ED273" i="120"/>
  <c r="EE273" i="120"/>
  <c r="EF273" i="120"/>
  <c r="EA387" i="120"/>
  <c r="EC387" i="120"/>
  <c r="ED387" i="120"/>
  <c r="EE387" i="120"/>
  <c r="EF387" i="120"/>
  <c r="EA274" i="120"/>
  <c r="EC274" i="120"/>
  <c r="ED274" i="120"/>
  <c r="EE274" i="120"/>
  <c r="EF274" i="120"/>
  <c r="EA275" i="120"/>
  <c r="EC275" i="120"/>
  <c r="ED275" i="120"/>
  <c r="EE275" i="120"/>
  <c r="EF275" i="120"/>
  <c r="EA276" i="120"/>
  <c r="EC276" i="120"/>
  <c r="ED276" i="120"/>
  <c r="EE276" i="120"/>
  <c r="EF276" i="120"/>
  <c r="EA277" i="120"/>
  <c r="EC277" i="120"/>
  <c r="ED277" i="120"/>
  <c r="EE277" i="120"/>
  <c r="EF277" i="120"/>
  <c r="EA278" i="120"/>
  <c r="EC278" i="120"/>
  <c r="ED278" i="120"/>
  <c r="EE278" i="120"/>
  <c r="EF278" i="120"/>
  <c r="EA279" i="120"/>
  <c r="EC279" i="120"/>
  <c r="ED279" i="120"/>
  <c r="EE279" i="120"/>
  <c r="EF279" i="120"/>
  <c r="EA280" i="120"/>
  <c r="EC280" i="120"/>
  <c r="ED280" i="120"/>
  <c r="EE280" i="120"/>
  <c r="EF280" i="120"/>
  <c r="EA281" i="120"/>
  <c r="EC281" i="120"/>
  <c r="ED281" i="120"/>
  <c r="EE281" i="120"/>
  <c r="EF281" i="120"/>
  <c r="EA282" i="120"/>
  <c r="EC282" i="120"/>
  <c r="ED282" i="120"/>
  <c r="EE282" i="120"/>
  <c r="EF282" i="120"/>
  <c r="EA283" i="120"/>
  <c r="EC283" i="120"/>
  <c r="ED283" i="120"/>
  <c r="EE283" i="120"/>
  <c r="EF283" i="120"/>
  <c r="EA284" i="120"/>
  <c r="EC284" i="120"/>
  <c r="ED284" i="120"/>
  <c r="EE284" i="120"/>
  <c r="EF284" i="120"/>
  <c r="EA285" i="120"/>
  <c r="EC285" i="120"/>
  <c r="ED285" i="120"/>
  <c r="EE285" i="120"/>
  <c r="EF285" i="120"/>
  <c r="EA286" i="120"/>
  <c r="EC286" i="120"/>
  <c r="ED286" i="120"/>
  <c r="EE286" i="120"/>
  <c r="EF286" i="120"/>
  <c r="EA287" i="120"/>
  <c r="EC287" i="120"/>
  <c r="ED287" i="120"/>
  <c r="EE287" i="120"/>
  <c r="EF287" i="120"/>
  <c r="EA288" i="120"/>
  <c r="EC288" i="120"/>
  <c r="ED288" i="120"/>
  <c r="EE288" i="120"/>
  <c r="EF288" i="120"/>
  <c r="EA289" i="120"/>
  <c r="EC289" i="120"/>
  <c r="ED289" i="120"/>
  <c r="EE289" i="120"/>
  <c r="EF289" i="120"/>
  <c r="EA290" i="120"/>
  <c r="EC290" i="120"/>
  <c r="ED290" i="120"/>
  <c r="EE290" i="120"/>
  <c r="EF290" i="120"/>
  <c r="EA291" i="120"/>
  <c r="EC291" i="120"/>
  <c r="ED291" i="120"/>
  <c r="EE291" i="120"/>
  <c r="EF291" i="120"/>
  <c r="EA292" i="120"/>
  <c r="EC292" i="120"/>
  <c r="ED292" i="120"/>
  <c r="EE292" i="120"/>
  <c r="EF292" i="120"/>
  <c r="EA293" i="120"/>
  <c r="EC293" i="120"/>
  <c r="ED293" i="120"/>
  <c r="EE293" i="120"/>
  <c r="EF293" i="120"/>
  <c r="EA294" i="120"/>
  <c r="EC294" i="120"/>
  <c r="ED294" i="120"/>
  <c r="EE294" i="120"/>
  <c r="EF294" i="120"/>
  <c r="EA295" i="120"/>
  <c r="EC295" i="120"/>
  <c r="ED295" i="120"/>
  <c r="EE295" i="120"/>
  <c r="EF295" i="120"/>
  <c r="EA296" i="120"/>
  <c r="EC296" i="120"/>
  <c r="ED296" i="120"/>
  <c r="EE296" i="120"/>
  <c r="EF296" i="120"/>
  <c r="EA297" i="120"/>
  <c r="EC297" i="120"/>
  <c r="ED297" i="120"/>
  <c r="EE297" i="120"/>
  <c r="EF297" i="120"/>
  <c r="EA7" i="120"/>
  <c r="EC7" i="120"/>
  <c r="ED7" i="120"/>
  <c r="EA298" i="120"/>
  <c r="EC298" i="120"/>
  <c r="ED298" i="120"/>
  <c r="EE298" i="120"/>
  <c r="EF298" i="120"/>
  <c r="EA384" i="120"/>
  <c r="EC384" i="120"/>
  <c r="ED384" i="120"/>
  <c r="EE384" i="120"/>
  <c r="EF384" i="120"/>
  <c r="EA299" i="120"/>
  <c r="EC299" i="120"/>
  <c r="ED299" i="120"/>
  <c r="EE299" i="120"/>
  <c r="EF299" i="120"/>
  <c r="EA389" i="120"/>
  <c r="EC389" i="120"/>
  <c r="ED389" i="120"/>
  <c r="EE389" i="120"/>
  <c r="EF389" i="120"/>
  <c r="EA300" i="120"/>
  <c r="EC300" i="120"/>
  <c r="ED300" i="120"/>
  <c r="EF300" i="120"/>
  <c r="EA301" i="120"/>
  <c r="EC301" i="120"/>
  <c r="ED301" i="120"/>
  <c r="EE301" i="120"/>
  <c r="EF301" i="120"/>
  <c r="EA302" i="120"/>
  <c r="EC302" i="120"/>
  <c r="ED302" i="120"/>
  <c r="EE302" i="120"/>
  <c r="EF302" i="120"/>
  <c r="EA303" i="120"/>
  <c r="EC303" i="120"/>
  <c r="ED303" i="120"/>
  <c r="EE303" i="120"/>
  <c r="EF303" i="120"/>
  <c r="EA304" i="120"/>
  <c r="EC304" i="120"/>
  <c r="ED304" i="120"/>
  <c r="EE304" i="120"/>
  <c r="EF304" i="120"/>
  <c r="EA305" i="120"/>
  <c r="EC305" i="120"/>
  <c r="ED305" i="120"/>
  <c r="EE305" i="120"/>
  <c r="EF305" i="120"/>
  <c r="EA5" i="120"/>
  <c r="EC5" i="120"/>
  <c r="ED5" i="120"/>
  <c r="EA28" i="120"/>
  <c r="EC28" i="120"/>
  <c r="ED28" i="120"/>
  <c r="EE28" i="120"/>
  <c r="EF28" i="120"/>
  <c r="EA306" i="120"/>
  <c r="EC306" i="120"/>
  <c r="ED306" i="120"/>
  <c r="EE306" i="120"/>
  <c r="EF306" i="120"/>
  <c r="EA307" i="120"/>
  <c r="EC307" i="120"/>
  <c r="ED307" i="120"/>
  <c r="EE307" i="120"/>
  <c r="EF307" i="120"/>
  <c r="EA308" i="120"/>
  <c r="EC308" i="120"/>
  <c r="ED308" i="120"/>
  <c r="EE308" i="120"/>
  <c r="EF308" i="120"/>
  <c r="EA309" i="120"/>
  <c r="EC309" i="120"/>
  <c r="ED309" i="120"/>
  <c r="EE309" i="120"/>
  <c r="EA310" i="120"/>
  <c r="EC310" i="120"/>
  <c r="ED310" i="120"/>
  <c r="EE310" i="120"/>
  <c r="EF310" i="120"/>
  <c r="EA311" i="120"/>
  <c r="EC311" i="120"/>
  <c r="ED311" i="120"/>
  <c r="EE311" i="120"/>
  <c r="EF311" i="120"/>
  <c r="EA312" i="120"/>
  <c r="EC312" i="120"/>
  <c r="ED312" i="120"/>
  <c r="EE312" i="120"/>
  <c r="EF312" i="120"/>
  <c r="EA313" i="120"/>
  <c r="EC313" i="120"/>
  <c r="ED313" i="120"/>
  <c r="EE313" i="120"/>
  <c r="EF313" i="120"/>
  <c r="EA314" i="120"/>
  <c r="EC314" i="120"/>
  <c r="ED314" i="120"/>
  <c r="EE314" i="120"/>
  <c r="EF314" i="120"/>
  <c r="EA315" i="120"/>
  <c r="EC315" i="120"/>
  <c r="ED315" i="120"/>
  <c r="EE315" i="120"/>
  <c r="EF315" i="120"/>
  <c r="EA316" i="120"/>
  <c r="EC316" i="120"/>
  <c r="ED316" i="120"/>
  <c r="EE316" i="120"/>
  <c r="EF316" i="120"/>
  <c r="EA317" i="120"/>
  <c r="EC317" i="120"/>
  <c r="ED317" i="120"/>
  <c r="EF317" i="120"/>
  <c r="EA318" i="120"/>
  <c r="EC318" i="120"/>
  <c r="ED318" i="120"/>
  <c r="EE318" i="120"/>
  <c r="EF318" i="120"/>
  <c r="EA319" i="120"/>
  <c r="EC319" i="120"/>
  <c r="ED319" i="120"/>
  <c r="EE319" i="120"/>
  <c r="EF319" i="120"/>
  <c r="EA388" i="120"/>
  <c r="EC388" i="120"/>
  <c r="ED388" i="120"/>
  <c r="EE388" i="120"/>
  <c r="EF388" i="120"/>
  <c r="EA320" i="120"/>
  <c r="EC320" i="120"/>
  <c r="ED320" i="120"/>
  <c r="EE320" i="120"/>
  <c r="EF320" i="120"/>
  <c r="EA321" i="120"/>
  <c r="EC321" i="120"/>
  <c r="ED321" i="120"/>
  <c r="EE321" i="120"/>
  <c r="EF321" i="120"/>
  <c r="EA402" i="120"/>
  <c r="EC402" i="120"/>
  <c r="ED402" i="120"/>
  <c r="EF402" i="120"/>
  <c r="EA393" i="120"/>
  <c r="EC393" i="120"/>
  <c r="ED393" i="120"/>
  <c r="EE393" i="120"/>
  <c r="EA400" i="120"/>
  <c r="EC400" i="120"/>
  <c r="ED400" i="120"/>
  <c r="EA322" i="120"/>
  <c r="EC322" i="120"/>
  <c r="ED322" i="120"/>
  <c r="EF322" i="120"/>
  <c r="EA382" i="120"/>
  <c r="EC382" i="120"/>
  <c r="ED382" i="120"/>
  <c r="EA323" i="120"/>
  <c r="EC323" i="120"/>
  <c r="ED323" i="120"/>
  <c r="EE323" i="120"/>
  <c r="EF323" i="120"/>
  <c r="EA324" i="120"/>
  <c r="EC324" i="120"/>
  <c r="ED324" i="120"/>
  <c r="EE324" i="120"/>
  <c r="EF324" i="120"/>
  <c r="EA325" i="120"/>
  <c r="EC325" i="120"/>
  <c r="ED325" i="120"/>
  <c r="EE325" i="120"/>
  <c r="EF325" i="120"/>
  <c r="EA326" i="120"/>
  <c r="EC326" i="120"/>
  <c r="ED326" i="120"/>
  <c r="EE326" i="120"/>
  <c r="EF326" i="120"/>
  <c r="EA327" i="120"/>
  <c r="EC327" i="120"/>
  <c r="ED327" i="120"/>
  <c r="EE327" i="120"/>
  <c r="EF327" i="120"/>
  <c r="EA328" i="120"/>
  <c r="EC328" i="120"/>
  <c r="ED328" i="120"/>
  <c r="EE328" i="120"/>
  <c r="EF328" i="120"/>
  <c r="EA329" i="120"/>
  <c r="EC329" i="120"/>
  <c r="ED329" i="120"/>
  <c r="EE329" i="120"/>
  <c r="EF329" i="120"/>
  <c r="EA396" i="120"/>
  <c r="EC396" i="120"/>
  <c r="ED396" i="120"/>
  <c r="EE396" i="120"/>
  <c r="EA392" i="120"/>
  <c r="EC392" i="120"/>
  <c r="ED392" i="120"/>
  <c r="EE392" i="120"/>
  <c r="EF392" i="120"/>
  <c r="EA398" i="120"/>
  <c r="EC398" i="120"/>
  <c r="ED398" i="120"/>
  <c r="EF398" i="120"/>
  <c r="EA330" i="120"/>
  <c r="EC330" i="120"/>
  <c r="ED330" i="120"/>
  <c r="EE330" i="120"/>
  <c r="EF330" i="120"/>
  <c r="EA401" i="120"/>
  <c r="EC401" i="120"/>
  <c r="ED401" i="120"/>
  <c r="EF401" i="120"/>
  <c r="EA380" i="120"/>
  <c r="EC380" i="120"/>
  <c r="ED380" i="120"/>
  <c r="EA331" i="120"/>
  <c r="EC331" i="120"/>
  <c r="ED331" i="120"/>
  <c r="EE331" i="120"/>
  <c r="EF331" i="120"/>
  <c r="EA332" i="120"/>
  <c r="EC332" i="120"/>
  <c r="ED332" i="120"/>
  <c r="EE332" i="120"/>
  <c r="EF332" i="120"/>
  <c r="EA19" i="120"/>
  <c r="EC19" i="120"/>
  <c r="ED19" i="120"/>
  <c r="EE19" i="120"/>
  <c r="EF19" i="120"/>
  <c r="EA333" i="120"/>
  <c r="EC333" i="120"/>
  <c r="ED333" i="120"/>
  <c r="EE333" i="120"/>
  <c r="EF333" i="120"/>
  <c r="EA381" i="120"/>
  <c r="EC381" i="120"/>
  <c r="ED381" i="120"/>
  <c r="EE381" i="120"/>
  <c r="EF381" i="120"/>
  <c r="EA334" i="120"/>
  <c r="EC334" i="120"/>
  <c r="ED334" i="120"/>
  <c r="EE334" i="120"/>
  <c r="EF334" i="120"/>
  <c r="EA335" i="120"/>
  <c r="EC335" i="120"/>
  <c r="ED335" i="120"/>
  <c r="EE335" i="120"/>
  <c r="EF335" i="120"/>
  <c r="EA336" i="120"/>
  <c r="EC336" i="120"/>
  <c r="ED336" i="120"/>
  <c r="EE336" i="120"/>
  <c r="EF336" i="120"/>
  <c r="EA337" i="120"/>
  <c r="EC337" i="120"/>
  <c r="ED337" i="120"/>
  <c r="EE337" i="120"/>
  <c r="EF337" i="120"/>
  <c r="EA338" i="120"/>
  <c r="EC338" i="120"/>
  <c r="ED338" i="120"/>
  <c r="EE338" i="120"/>
  <c r="EF338" i="120"/>
  <c r="EA339" i="120"/>
  <c r="EC339" i="120"/>
  <c r="ED339" i="120"/>
  <c r="EE339" i="120"/>
  <c r="EF339" i="120"/>
  <c r="EA340" i="120"/>
  <c r="EC340" i="120"/>
  <c r="ED340" i="120"/>
  <c r="EE340" i="120"/>
  <c r="EF340" i="120"/>
  <c r="EA341" i="120"/>
  <c r="EC341" i="120"/>
  <c r="ED341" i="120"/>
  <c r="EE341" i="120"/>
  <c r="EF341" i="120"/>
  <c r="EA403" i="120"/>
  <c r="EC403" i="120"/>
  <c r="ED403" i="120"/>
  <c r="EE403" i="120"/>
  <c r="EF403" i="120"/>
  <c r="EA342" i="120"/>
  <c r="EC342" i="120"/>
  <c r="ED342" i="120"/>
  <c r="EE342" i="120"/>
  <c r="EF342" i="120"/>
  <c r="EA343" i="120"/>
  <c r="EC343" i="120"/>
  <c r="ED343" i="120"/>
  <c r="EE343" i="120"/>
  <c r="EF343" i="120"/>
  <c r="EA344" i="120"/>
  <c r="EC344" i="120"/>
  <c r="ED344" i="120"/>
  <c r="EE344" i="120"/>
  <c r="EF344" i="120"/>
  <c r="EA345" i="120"/>
  <c r="EC345" i="120"/>
  <c r="ED345" i="120"/>
  <c r="EE345" i="120"/>
  <c r="EA346" i="120"/>
  <c r="EC346" i="120"/>
  <c r="ED346" i="120"/>
  <c r="EE346" i="120"/>
  <c r="EF346" i="120"/>
  <c r="EA347" i="120"/>
  <c r="EC347" i="120"/>
  <c r="ED347" i="120"/>
  <c r="EE347" i="120"/>
  <c r="EF347" i="120"/>
  <c r="EA348" i="120"/>
  <c r="EC348" i="120"/>
  <c r="ED348" i="120"/>
  <c r="EE348" i="120"/>
  <c r="EF348" i="120"/>
  <c r="EA349" i="120"/>
  <c r="EC349" i="120"/>
  <c r="ED349" i="120"/>
  <c r="EE349" i="120"/>
  <c r="EF349" i="120"/>
  <c r="EA350" i="120"/>
  <c r="EC350" i="120"/>
  <c r="ED350" i="120"/>
  <c r="EF350" i="120"/>
  <c r="EA351" i="120"/>
  <c r="EC351" i="120"/>
  <c r="ED351" i="120"/>
  <c r="EE351" i="120"/>
  <c r="EF351" i="120"/>
  <c r="EA383" i="120"/>
  <c r="EC383" i="120"/>
  <c r="ED383" i="120"/>
  <c r="EE383" i="120"/>
  <c r="EF383" i="120"/>
  <c r="EA352" i="120"/>
  <c r="EC352" i="120"/>
  <c r="ED352" i="120"/>
  <c r="EE352" i="120"/>
  <c r="EF352" i="120"/>
  <c r="EA353" i="120"/>
  <c r="EC353" i="120"/>
  <c r="ED353" i="120"/>
  <c r="EE353" i="120"/>
  <c r="EF353" i="120"/>
  <c r="EA397" i="120"/>
  <c r="EC397" i="120"/>
  <c r="ED397" i="120"/>
  <c r="EE397" i="120"/>
  <c r="EF397" i="120"/>
  <c r="EA379" i="120"/>
  <c r="EC379" i="120"/>
  <c r="ED379" i="120"/>
  <c r="EE379" i="120"/>
  <c r="EF379" i="120"/>
  <c r="EA378" i="120"/>
  <c r="EC378" i="120"/>
  <c r="ED378" i="120"/>
  <c r="EE378" i="120"/>
  <c r="EF378" i="120"/>
  <c r="EA405" i="120"/>
  <c r="EC405" i="120"/>
  <c r="ED405" i="120"/>
  <c r="EE405" i="120"/>
  <c r="EA354" i="120"/>
  <c r="EC354" i="120"/>
  <c r="ED354" i="120"/>
  <c r="EE354" i="120"/>
  <c r="EF354" i="120"/>
  <c r="EA8" i="120"/>
  <c r="EC8" i="120"/>
  <c r="ED8" i="120"/>
  <c r="EE8" i="120"/>
  <c r="EA25" i="120"/>
  <c r="EC25" i="120"/>
  <c r="ED25" i="120"/>
  <c r="EE25" i="120"/>
  <c r="EF25" i="120"/>
  <c r="EA355" i="120"/>
  <c r="EC355" i="120"/>
  <c r="ED355" i="120"/>
  <c r="EE355" i="120"/>
  <c r="EF355" i="120"/>
  <c r="EA356" i="120"/>
  <c r="EC356" i="120"/>
  <c r="ED356" i="120"/>
  <c r="EE356" i="120"/>
  <c r="EF356" i="120"/>
  <c r="EA9" i="120"/>
  <c r="EC9" i="120"/>
  <c r="ED9" i="120"/>
  <c r="EE9" i="120"/>
  <c r="EF9" i="120"/>
  <c r="EA357" i="120"/>
  <c r="EC357" i="120"/>
  <c r="ED357" i="120"/>
  <c r="EE357" i="120"/>
  <c r="EF357" i="120"/>
  <c r="EA13" i="120"/>
  <c r="EC13" i="120"/>
  <c r="ED13" i="120"/>
  <c r="EE13" i="120"/>
  <c r="EF13" i="120"/>
  <c r="EA377" i="120"/>
  <c r="EC377" i="120"/>
  <c r="ED377" i="120"/>
  <c r="EE377" i="120"/>
  <c r="EF377" i="120"/>
  <c r="EA16" i="120"/>
  <c r="EC16" i="120"/>
  <c r="ED16" i="120"/>
  <c r="EE16" i="120"/>
  <c r="EF16" i="120"/>
  <c r="EA14" i="120"/>
  <c r="EC14" i="120"/>
  <c r="ED14" i="120"/>
  <c r="EE14" i="120"/>
  <c r="EF14" i="120"/>
  <c r="EA12" i="120"/>
  <c r="EC12" i="120"/>
  <c r="ED12" i="120"/>
  <c r="EE12" i="120"/>
  <c r="EF12" i="120"/>
  <c r="EA358" i="120"/>
  <c r="EC358" i="120"/>
  <c r="ED358" i="120"/>
  <c r="EE358" i="120"/>
  <c r="EF358" i="120"/>
  <c r="EA359" i="120"/>
  <c r="EC359" i="120"/>
  <c r="ED359" i="120"/>
  <c r="EE359" i="120"/>
  <c r="EF359" i="120"/>
  <c r="EA360" i="120"/>
  <c r="EC360" i="120"/>
  <c r="ED360" i="120"/>
  <c r="EE360" i="120"/>
  <c r="EF360" i="120"/>
  <c r="EA361" i="120"/>
  <c r="EC361" i="120"/>
  <c r="ED361" i="120"/>
  <c r="EE361" i="120"/>
  <c r="EF361" i="120"/>
  <c r="EA362" i="120"/>
  <c r="EC362" i="120"/>
  <c r="ED362" i="120"/>
  <c r="EE362" i="120"/>
  <c r="EF362" i="120"/>
  <c r="EA363" i="120"/>
  <c r="EC363" i="120"/>
  <c r="ED363" i="120"/>
  <c r="EE363" i="120"/>
  <c r="EF363" i="120"/>
  <c r="EA364" i="120"/>
  <c r="EC364" i="120"/>
  <c r="ED364" i="120"/>
  <c r="EE364" i="120"/>
  <c r="EF364" i="120"/>
  <c r="EA365" i="120"/>
  <c r="EC365" i="120"/>
  <c r="ED365" i="120"/>
  <c r="EE365" i="120"/>
  <c r="EF365" i="120"/>
  <c r="EA27" i="120"/>
  <c r="EC27" i="120"/>
  <c r="ED27" i="120"/>
  <c r="EE27" i="120"/>
  <c r="EF27" i="120"/>
  <c r="EA366" i="120"/>
  <c r="EC366" i="120"/>
  <c r="ED366" i="120"/>
  <c r="EE366" i="120"/>
  <c r="EF366" i="120"/>
  <c r="EA367" i="120"/>
  <c r="EC367" i="120"/>
  <c r="ED367" i="120"/>
  <c r="EE367" i="120"/>
  <c r="EF367" i="120"/>
  <c r="EA368" i="120"/>
  <c r="EC368" i="120"/>
  <c r="ED368" i="120"/>
  <c r="EE368" i="120"/>
  <c r="EF368" i="120"/>
  <c r="EA376" i="120"/>
  <c r="EC376" i="120"/>
  <c r="ED376" i="120"/>
  <c r="EE376" i="120"/>
  <c r="EF376" i="120"/>
  <c r="EA22" i="120"/>
  <c r="EC22" i="120"/>
  <c r="ED22" i="120"/>
  <c r="EE22" i="120"/>
  <c r="EF22" i="120"/>
  <c r="EA369" i="120"/>
  <c r="EC369" i="120"/>
  <c r="ED369" i="120"/>
  <c r="EE369" i="120"/>
  <c r="EF369" i="120"/>
  <c r="EA370" i="120"/>
  <c r="EC370" i="120"/>
  <c r="ED370" i="120"/>
  <c r="EE370" i="120"/>
  <c r="EF370" i="120"/>
  <c r="EA371" i="120"/>
  <c r="EC371" i="120"/>
  <c r="ED371" i="120"/>
  <c r="EE371" i="120"/>
  <c r="EF371" i="120"/>
  <c r="EA372" i="120"/>
  <c r="EC372" i="120"/>
  <c r="ED372" i="120"/>
  <c r="EE372" i="120"/>
  <c r="EL27" i="120"/>
  <c r="EL366" i="120"/>
  <c r="EL22" i="120"/>
  <c r="FB126" i="120" l="1"/>
  <c r="FK126" i="120" s="1"/>
  <c r="FB124" i="120"/>
  <c r="FK124" i="120" s="1"/>
  <c r="FB122" i="120"/>
  <c r="FK122" i="120" s="1"/>
  <c r="FB120" i="120"/>
  <c r="FK120" i="120" s="1"/>
  <c r="FB118" i="120"/>
  <c r="FK118" i="120" s="1"/>
  <c r="FB116" i="120"/>
  <c r="FK116" i="120" s="1"/>
  <c r="FB114" i="120"/>
  <c r="FK114" i="120" s="1"/>
  <c r="FB112" i="120"/>
  <c r="FK112" i="120" s="1"/>
  <c r="FB110" i="120"/>
  <c r="FK110" i="120" s="1"/>
  <c r="FB108" i="120"/>
  <c r="FK108" i="120" s="1"/>
  <c r="FB106" i="120"/>
  <c r="FK106" i="120" s="1"/>
  <c r="FB104" i="120"/>
  <c r="FK104" i="120" s="1"/>
  <c r="FB102" i="120"/>
  <c r="FK102" i="120" s="1"/>
  <c r="FB100" i="120"/>
  <c r="FK100" i="120" s="1"/>
  <c r="FB98" i="120"/>
  <c r="FK98" i="120" s="1"/>
  <c r="FB96" i="120"/>
  <c r="FK96" i="120" s="1"/>
  <c r="FB94" i="120"/>
  <c r="FK94" i="120" s="1"/>
  <c r="FB92" i="120"/>
  <c r="FK92" i="120" s="1"/>
  <c r="FB90" i="120"/>
  <c r="FK90" i="120" s="1"/>
  <c r="FB88" i="120"/>
  <c r="FK88" i="120" s="1"/>
  <c r="FB86" i="120"/>
  <c r="FK86" i="120" s="1"/>
  <c r="FB84" i="120"/>
  <c r="FK84" i="120" s="1"/>
  <c r="FB82" i="120"/>
  <c r="FK82" i="120" s="1"/>
  <c r="FB80" i="120"/>
  <c r="FK80" i="120" s="1"/>
  <c r="FB78" i="120"/>
  <c r="FK78" i="120" s="1"/>
  <c r="FB76" i="120"/>
  <c r="FK76" i="120" s="1"/>
  <c r="FB74" i="120"/>
  <c r="FK74" i="120" s="1"/>
  <c r="FB72" i="120"/>
  <c r="FK72" i="120" s="1"/>
  <c r="FB71" i="120"/>
  <c r="FK71" i="120" s="1"/>
  <c r="FB406" i="120"/>
  <c r="FK406" i="120" s="1"/>
  <c r="FB21" i="120"/>
  <c r="FK21" i="120" s="1"/>
  <c r="FB409" i="120"/>
  <c r="FK409" i="120" s="1"/>
  <c r="FB375" i="120"/>
  <c r="FK375" i="120" s="1"/>
  <c r="FB69" i="120"/>
  <c r="FK69" i="120" s="1"/>
  <c r="FB395" i="120"/>
  <c r="FK395" i="120" s="1"/>
  <c r="FB67" i="120"/>
  <c r="FK67" i="120" s="1"/>
  <c r="FB66" i="120"/>
  <c r="FK66" i="120" s="1"/>
  <c r="FB64" i="120"/>
  <c r="FK64" i="120" s="1"/>
  <c r="FB62" i="120"/>
  <c r="FK62" i="120" s="1"/>
  <c r="FB60" i="120"/>
  <c r="FK60" i="120" s="1"/>
  <c r="FB58" i="120"/>
  <c r="FK58" i="120" s="1"/>
  <c r="EY40" i="120"/>
  <c r="EY36" i="120"/>
  <c r="EY34" i="120"/>
  <c r="EY32" i="120"/>
  <c r="EY30" i="120"/>
  <c r="FB29" i="120"/>
  <c r="FA372" i="120"/>
  <c r="FJ372" i="120" s="1"/>
  <c r="FA370" i="120"/>
  <c r="FJ370" i="120" s="1"/>
  <c r="FA376" i="120"/>
  <c r="FJ376" i="120" s="1"/>
  <c r="FA367" i="120"/>
  <c r="FJ367" i="120" s="1"/>
  <c r="FA364" i="120"/>
  <c r="FJ364" i="120" s="1"/>
  <c r="FA362" i="120"/>
  <c r="FJ362" i="120" s="1"/>
  <c r="FA360" i="120"/>
  <c r="FJ360" i="120" s="1"/>
  <c r="FA358" i="120"/>
  <c r="FJ358" i="120" s="1"/>
  <c r="FA14" i="120"/>
  <c r="FJ14" i="120" s="1"/>
  <c r="FA377" i="120"/>
  <c r="FJ377" i="120" s="1"/>
  <c r="FA357" i="120"/>
  <c r="FJ357" i="120" s="1"/>
  <c r="FA356" i="120"/>
  <c r="FJ356" i="120" s="1"/>
  <c r="FA25" i="120"/>
  <c r="FJ25" i="120" s="1"/>
  <c r="FA354" i="120"/>
  <c r="FJ354" i="120" s="1"/>
  <c r="FA378" i="120"/>
  <c r="FJ378" i="120" s="1"/>
  <c r="FA397" i="120"/>
  <c r="FJ397" i="120" s="1"/>
  <c r="FA352" i="120"/>
  <c r="FJ352" i="120" s="1"/>
  <c r="FA351" i="120"/>
  <c r="FJ351" i="120" s="1"/>
  <c r="FA349" i="120"/>
  <c r="FJ349" i="120" s="1"/>
  <c r="FA347" i="120"/>
  <c r="FJ347" i="120" s="1"/>
  <c r="FA345" i="120"/>
  <c r="FJ345" i="120" s="1"/>
  <c r="FA343" i="120"/>
  <c r="FJ343" i="120" s="1"/>
  <c r="FA403" i="120"/>
  <c r="FJ403" i="120" s="1"/>
  <c r="FA340" i="120"/>
  <c r="FJ340" i="120" s="1"/>
  <c r="FA338" i="120"/>
  <c r="FJ338" i="120" s="1"/>
  <c r="FA336" i="120"/>
  <c r="FJ336" i="120" s="1"/>
  <c r="FA334" i="120"/>
  <c r="FJ334" i="120" s="1"/>
  <c r="FA333" i="120"/>
  <c r="FJ333" i="120" s="1"/>
  <c r="FA332" i="120"/>
  <c r="FJ332" i="120" s="1"/>
  <c r="FA380" i="120"/>
  <c r="FA330" i="120"/>
  <c r="FJ330" i="120" s="1"/>
  <c r="FA392" i="120"/>
  <c r="FJ392" i="120" s="1"/>
  <c r="FA329" i="120"/>
  <c r="FJ329" i="120" s="1"/>
  <c r="FA327" i="120"/>
  <c r="FJ327" i="120" s="1"/>
  <c r="FA325" i="120"/>
  <c r="FJ325" i="120" s="1"/>
  <c r="FA323" i="120"/>
  <c r="FJ323" i="120" s="1"/>
  <c r="FA322" i="120"/>
  <c r="FA393" i="120"/>
  <c r="FJ393" i="120" s="1"/>
  <c r="FA321" i="120"/>
  <c r="FJ321" i="120" s="1"/>
  <c r="FA388" i="120"/>
  <c r="FJ388" i="120" s="1"/>
  <c r="FA318" i="120"/>
  <c r="FJ318" i="120" s="1"/>
  <c r="FA316" i="120"/>
  <c r="FJ316" i="120" s="1"/>
  <c r="FA314" i="120"/>
  <c r="FA312" i="120"/>
  <c r="FJ312" i="120" s="1"/>
  <c r="FA310" i="120"/>
  <c r="FJ310" i="120" s="1"/>
  <c r="FA308" i="120"/>
  <c r="FJ308" i="120" s="1"/>
  <c r="FA306" i="120"/>
  <c r="FJ306" i="120" s="1"/>
  <c r="FA5" i="120"/>
  <c r="FA304" i="120"/>
  <c r="FJ304" i="120" s="1"/>
  <c r="FA302" i="120"/>
  <c r="FJ302" i="120" s="1"/>
  <c r="FA300" i="120"/>
  <c r="FA299" i="120"/>
  <c r="FJ299" i="120" s="1"/>
  <c r="FA298" i="120"/>
  <c r="FJ298" i="120" s="1"/>
  <c r="FA297" i="120"/>
  <c r="FJ297" i="120" s="1"/>
  <c r="FA295" i="120"/>
  <c r="FJ295" i="120" s="1"/>
  <c r="FA293" i="120"/>
  <c r="FJ293" i="120" s="1"/>
  <c r="FA291" i="120"/>
  <c r="FJ291" i="120" s="1"/>
  <c r="FA289" i="120"/>
  <c r="FA287" i="120"/>
  <c r="FJ287" i="120" s="1"/>
  <c r="FA285" i="120"/>
  <c r="FJ285" i="120" s="1"/>
  <c r="FA283" i="120"/>
  <c r="FJ283" i="120" s="1"/>
  <c r="FA281" i="120"/>
  <c r="FA279" i="120"/>
  <c r="FJ279" i="120" s="1"/>
  <c r="FA277" i="120"/>
  <c r="FJ277" i="120" s="1"/>
  <c r="FA275" i="120"/>
  <c r="FJ275" i="120" s="1"/>
  <c r="FA387" i="120"/>
  <c r="FJ387" i="120" s="1"/>
  <c r="FA272" i="120"/>
  <c r="FJ272" i="120" s="1"/>
  <c r="FA270" i="120"/>
  <c r="FJ270" i="120" s="1"/>
  <c r="FA268" i="120"/>
  <c r="FJ268" i="120" s="1"/>
  <c r="FA266" i="120"/>
  <c r="FJ266" i="120" s="1"/>
  <c r="FA264" i="120"/>
  <c r="FJ264" i="120" s="1"/>
  <c r="FA262" i="120"/>
  <c r="FJ262" i="120" s="1"/>
  <c r="FA15" i="120"/>
  <c r="FA260" i="120"/>
  <c r="FJ260" i="120" s="1"/>
  <c r="FA258" i="120"/>
  <c r="FJ258" i="120" s="1"/>
  <c r="FA385" i="120"/>
  <c r="FA255" i="120"/>
  <c r="FJ255" i="120" s="1"/>
  <c r="FA253" i="120"/>
  <c r="FJ253" i="120" s="1"/>
  <c r="FA251" i="120"/>
  <c r="FJ251" i="120" s="1"/>
  <c r="FA250" i="120"/>
  <c r="FJ250" i="120" s="1"/>
  <c r="FA249" i="120"/>
  <c r="FJ249" i="120" s="1"/>
  <c r="FA247" i="120"/>
  <c r="FJ247" i="120" s="1"/>
  <c r="FA17" i="120"/>
  <c r="FA244" i="120"/>
  <c r="FJ244" i="120" s="1"/>
  <c r="FA242" i="120"/>
  <c r="FJ242" i="120" s="1"/>
  <c r="FA240" i="120"/>
  <c r="FJ240" i="120" s="1"/>
  <c r="FA20" i="120"/>
  <c r="FJ20" i="120" s="1"/>
  <c r="FA237" i="120"/>
  <c r="FJ237" i="120" s="1"/>
  <c r="FA235" i="120"/>
  <c r="FJ235" i="120" s="1"/>
  <c r="FA233" i="120"/>
  <c r="FJ233" i="120" s="1"/>
  <c r="FA231" i="120"/>
  <c r="FJ231" i="120" s="1"/>
  <c r="FA229" i="120"/>
  <c r="FJ229" i="120" s="1"/>
  <c r="FA227" i="120"/>
  <c r="FJ227" i="120" s="1"/>
  <c r="FA225" i="120"/>
  <c r="FJ225" i="120" s="1"/>
  <c r="FA223" i="120"/>
  <c r="FJ223" i="120" s="1"/>
  <c r="FA221" i="120"/>
  <c r="FJ221" i="120" s="1"/>
  <c r="FA219" i="120"/>
  <c r="FJ219" i="120" s="1"/>
  <c r="FA217" i="120"/>
  <c r="FJ217" i="120" s="1"/>
  <c r="FA215" i="120"/>
  <c r="FJ215" i="120" s="1"/>
  <c r="FA213" i="120"/>
  <c r="FJ213" i="120" s="1"/>
  <c r="FA391" i="120"/>
  <c r="FA210" i="120"/>
  <c r="FJ210" i="120" s="1"/>
  <c r="FA208" i="120"/>
  <c r="FJ208" i="120" s="1"/>
  <c r="FA206" i="120"/>
  <c r="FJ206" i="120" s="1"/>
  <c r="FA205" i="120"/>
  <c r="FJ205" i="120" s="1"/>
  <c r="FA203" i="120"/>
  <c r="FJ203" i="120" s="1"/>
  <c r="FA201" i="120"/>
  <c r="FJ201" i="120" s="1"/>
  <c r="FA199" i="120"/>
  <c r="FJ199" i="120" s="1"/>
  <c r="FA197" i="120"/>
  <c r="FA11" i="120"/>
  <c r="FJ11" i="120" s="1"/>
  <c r="FA194" i="120"/>
  <c r="FJ194" i="120" s="1"/>
  <c r="FA192" i="120"/>
  <c r="FJ192" i="120" s="1"/>
  <c r="FA190" i="120"/>
  <c r="FJ190" i="120" s="1"/>
  <c r="FA188" i="120"/>
  <c r="FJ188" i="120" s="1"/>
  <c r="FA186" i="120"/>
  <c r="FJ186" i="120" s="1"/>
  <c r="FA184" i="120"/>
  <c r="FJ184" i="120" s="1"/>
  <c r="FB389" i="120"/>
  <c r="FK389" i="120" s="1"/>
  <c r="FA182" i="120"/>
  <c r="FJ182" i="120" s="1"/>
  <c r="FA180" i="120"/>
  <c r="FJ180" i="120" s="1"/>
  <c r="FA178" i="120"/>
  <c r="FJ178" i="120" s="1"/>
  <c r="FA176" i="120"/>
  <c r="FJ176" i="120" s="1"/>
  <c r="FA174" i="120"/>
  <c r="FJ174" i="120" s="1"/>
  <c r="FA172" i="120"/>
  <c r="FJ172" i="120" s="1"/>
  <c r="FA399" i="120"/>
  <c r="FA169" i="120"/>
  <c r="FJ169" i="120" s="1"/>
  <c r="FA167" i="120"/>
  <c r="FJ167" i="120" s="1"/>
  <c r="FA165" i="120"/>
  <c r="FJ165" i="120" s="1"/>
  <c r="FA163" i="120"/>
  <c r="FJ163" i="120" s="1"/>
  <c r="FA161" i="120"/>
  <c r="FJ161" i="120" s="1"/>
  <c r="FA159" i="120"/>
  <c r="FJ159" i="120" s="1"/>
  <c r="FA157" i="120"/>
  <c r="FJ157" i="120" s="1"/>
  <c r="FA155" i="120"/>
  <c r="FJ155" i="120" s="1"/>
  <c r="FA153" i="120"/>
  <c r="FJ153" i="120" s="1"/>
  <c r="FA151" i="120"/>
  <c r="FJ151" i="120" s="1"/>
  <c r="FA149" i="120"/>
  <c r="FJ149" i="120" s="1"/>
  <c r="FA147" i="120"/>
  <c r="FJ147" i="120" s="1"/>
  <c r="FA145" i="120"/>
  <c r="FJ145" i="120" s="1"/>
  <c r="FA143" i="120"/>
  <c r="FJ143" i="120" s="1"/>
  <c r="FA141" i="120"/>
  <c r="FJ141" i="120" s="1"/>
  <c r="FA139" i="120"/>
  <c r="FJ139" i="120" s="1"/>
  <c r="FA137" i="120"/>
  <c r="FJ137" i="120" s="1"/>
  <c r="FA135" i="120"/>
  <c r="FJ135" i="120" s="1"/>
  <c r="FA133" i="120"/>
  <c r="FJ133" i="120" s="1"/>
  <c r="FA131" i="120"/>
  <c r="FJ131" i="120" s="1"/>
  <c r="FA129" i="120"/>
  <c r="FJ129" i="120" s="1"/>
  <c r="FA127" i="120"/>
  <c r="FJ127" i="120" s="1"/>
  <c r="FA125" i="120"/>
  <c r="FJ125" i="120" s="1"/>
  <c r="FA123" i="120"/>
  <c r="FJ123" i="120" s="1"/>
  <c r="FA121" i="120"/>
  <c r="FJ121" i="120" s="1"/>
  <c r="FA119" i="120"/>
  <c r="FJ119" i="120" s="1"/>
  <c r="FA117" i="120"/>
  <c r="FJ117" i="120" s="1"/>
  <c r="FA115" i="120"/>
  <c r="FJ115" i="120" s="1"/>
  <c r="FA113" i="120"/>
  <c r="FJ113" i="120" s="1"/>
  <c r="FA111" i="120"/>
  <c r="FJ111" i="120" s="1"/>
  <c r="FA109" i="120"/>
  <c r="FJ109" i="120" s="1"/>
  <c r="FA107" i="120"/>
  <c r="FJ107" i="120" s="1"/>
  <c r="FA105" i="120"/>
  <c r="FJ105" i="120" s="1"/>
  <c r="FA103" i="120"/>
  <c r="FJ103" i="120" s="1"/>
  <c r="FA101" i="120"/>
  <c r="FJ101" i="120" s="1"/>
  <c r="FA99" i="120"/>
  <c r="FJ99" i="120" s="1"/>
  <c r="FA97" i="120"/>
  <c r="FJ97" i="120" s="1"/>
  <c r="FA95" i="120"/>
  <c r="FJ95" i="120" s="1"/>
  <c r="FA93" i="120"/>
  <c r="FJ93" i="120" s="1"/>
  <c r="FA91" i="120"/>
  <c r="FJ91" i="120" s="1"/>
  <c r="FA89" i="120"/>
  <c r="FJ89" i="120" s="1"/>
  <c r="FA87" i="120"/>
  <c r="FJ87" i="120" s="1"/>
  <c r="FA85" i="120"/>
  <c r="FJ85" i="120" s="1"/>
  <c r="FA83" i="120"/>
  <c r="FJ83" i="120" s="1"/>
  <c r="FA81" i="120"/>
  <c r="FJ81" i="120" s="1"/>
  <c r="FA79" i="120"/>
  <c r="FJ79" i="120" s="1"/>
  <c r="FA77" i="120"/>
  <c r="FA75" i="120"/>
  <c r="FJ75" i="120" s="1"/>
  <c r="FA73" i="120"/>
  <c r="FJ73" i="120" s="1"/>
  <c r="FA6" i="120"/>
  <c r="FA23" i="120"/>
  <c r="FJ23" i="120" s="1"/>
  <c r="FA70" i="120"/>
  <c r="FJ70" i="120" s="1"/>
  <c r="FA407" i="120"/>
  <c r="FJ407" i="120" s="1"/>
  <c r="FA408" i="120"/>
  <c r="FJ408" i="120" s="1"/>
  <c r="FA24" i="120"/>
  <c r="FJ24" i="120" s="1"/>
  <c r="FA68" i="120"/>
  <c r="FJ68" i="120" s="1"/>
  <c r="FA374" i="120"/>
  <c r="FJ374" i="120" s="1"/>
  <c r="FA390" i="120"/>
  <c r="FJ390" i="120" s="1"/>
  <c r="FA65" i="120"/>
  <c r="FJ65" i="120" s="1"/>
  <c r="FA63" i="120"/>
  <c r="FJ63" i="120" s="1"/>
  <c r="FA61" i="120"/>
  <c r="FJ61" i="120" s="1"/>
  <c r="FA59" i="120"/>
  <c r="FJ59" i="120" s="1"/>
  <c r="FA57" i="120"/>
  <c r="FJ57" i="120" s="1"/>
  <c r="FA56" i="120"/>
  <c r="FJ56" i="120" s="1"/>
  <c r="FA54" i="120"/>
  <c r="FJ54" i="120" s="1"/>
  <c r="FA18" i="120"/>
  <c r="FA10" i="120"/>
  <c r="FA50" i="120"/>
  <c r="FJ50" i="120" s="1"/>
  <c r="FA48" i="120"/>
  <c r="FJ48" i="120" s="1"/>
  <c r="FA46" i="120"/>
  <c r="FJ46" i="120" s="1"/>
  <c r="FA44" i="120"/>
  <c r="FJ44" i="120" s="1"/>
  <c r="FA42" i="120"/>
  <c r="FJ42" i="120" s="1"/>
  <c r="FA40" i="120"/>
  <c r="FJ40" i="120" s="1"/>
  <c r="FA38" i="120"/>
  <c r="FJ38" i="120" s="1"/>
  <c r="FA36" i="120"/>
  <c r="FJ36" i="120" s="1"/>
  <c r="FA34" i="120"/>
  <c r="FJ34" i="120" s="1"/>
  <c r="FA32" i="120"/>
  <c r="FJ32" i="120" s="1"/>
  <c r="FA30" i="120"/>
  <c r="FJ30" i="120" s="1"/>
  <c r="EZ29" i="120"/>
  <c r="EZ371" i="120"/>
  <c r="FI371" i="120" s="1"/>
  <c r="EZ369" i="120"/>
  <c r="FI369" i="120" s="1"/>
  <c r="EZ368" i="120"/>
  <c r="FI368" i="120" s="1"/>
  <c r="EZ365" i="120"/>
  <c r="FI365" i="120" s="1"/>
  <c r="EZ363" i="120"/>
  <c r="FI363" i="120" s="1"/>
  <c r="EZ361" i="120"/>
  <c r="FI361" i="120" s="1"/>
  <c r="EZ359" i="120"/>
  <c r="FI359" i="120" s="1"/>
  <c r="EZ12" i="120"/>
  <c r="FI12" i="120" s="1"/>
  <c r="EZ16" i="120"/>
  <c r="FI16" i="120" s="1"/>
  <c r="EZ13" i="120"/>
  <c r="FI13" i="120" s="1"/>
  <c r="EZ9" i="120"/>
  <c r="FI9" i="120" s="1"/>
  <c r="EZ355" i="120"/>
  <c r="FI355" i="120" s="1"/>
  <c r="EZ8" i="120"/>
  <c r="FI8" i="120" s="1"/>
  <c r="EZ405" i="120"/>
  <c r="FI405" i="120" s="1"/>
  <c r="EZ379" i="120"/>
  <c r="FI379" i="120" s="1"/>
  <c r="EZ353" i="120"/>
  <c r="FI353" i="120" s="1"/>
  <c r="EZ383" i="120"/>
  <c r="FI383" i="120" s="1"/>
  <c r="FJ314" i="120"/>
  <c r="FJ289" i="120"/>
  <c r="FJ281" i="120"/>
  <c r="FJ391" i="120"/>
  <c r="FJ197" i="120"/>
  <c r="FJ77" i="120"/>
  <c r="EY134" i="120"/>
  <c r="EY132" i="120"/>
  <c r="EY130" i="120"/>
  <c r="EY128" i="120"/>
  <c r="EY126" i="120"/>
  <c r="EY124" i="120"/>
  <c r="EY122" i="120"/>
  <c r="EY120" i="120"/>
  <c r="EY118" i="120"/>
  <c r="EY116" i="120"/>
  <c r="EY114" i="120"/>
  <c r="EY112" i="120"/>
  <c r="EY110" i="120"/>
  <c r="EY108" i="120"/>
  <c r="EY106" i="120"/>
  <c r="EY104" i="120"/>
  <c r="EY102" i="120"/>
  <c r="EY100" i="120"/>
  <c r="EY98" i="120"/>
  <c r="EY96" i="120"/>
  <c r="EY94" i="120"/>
  <c r="EY92" i="120"/>
  <c r="EY90" i="120"/>
  <c r="EY88" i="120"/>
  <c r="EY86" i="120"/>
  <c r="EY84" i="120"/>
  <c r="EY82" i="120"/>
  <c r="EY80" i="120"/>
  <c r="EY78" i="120"/>
  <c r="EY76" i="120"/>
  <c r="EY74" i="120"/>
  <c r="EZ32" i="120"/>
  <c r="FI32" i="120" s="1"/>
  <c r="EZ30" i="120"/>
  <c r="FI30" i="120" s="1"/>
  <c r="FA395" i="120"/>
  <c r="FA67" i="120"/>
  <c r="FJ67" i="120" s="1"/>
  <c r="FA66" i="120"/>
  <c r="FJ66" i="120" s="1"/>
  <c r="FA64" i="120"/>
  <c r="FJ64" i="120" s="1"/>
  <c r="FA62" i="120"/>
  <c r="FJ62" i="120" s="1"/>
  <c r="FA60" i="120"/>
  <c r="FJ60" i="120" s="1"/>
  <c r="FA58" i="120"/>
  <c r="FJ58" i="120" s="1"/>
  <c r="FA373" i="120"/>
  <c r="FJ373" i="120" s="1"/>
  <c r="FA55" i="120"/>
  <c r="FJ55" i="120" s="1"/>
  <c r="FA53" i="120"/>
  <c r="FJ53" i="120" s="1"/>
  <c r="FA52" i="120"/>
  <c r="FJ52" i="120" s="1"/>
  <c r="FA51" i="120"/>
  <c r="FJ51" i="120" s="1"/>
  <c r="FA49" i="120"/>
  <c r="FJ49" i="120" s="1"/>
  <c r="FA47" i="120"/>
  <c r="FJ47" i="120" s="1"/>
  <c r="FA45" i="120"/>
  <c r="FJ45" i="120" s="1"/>
  <c r="FA43" i="120"/>
  <c r="FJ43" i="120" s="1"/>
  <c r="FB42" i="120"/>
  <c r="FK42" i="120" s="1"/>
  <c r="FB40" i="120"/>
  <c r="FK40" i="120" s="1"/>
  <c r="FB38" i="120"/>
  <c r="FK38" i="120" s="1"/>
  <c r="FB36" i="120"/>
  <c r="FK36" i="120" s="1"/>
  <c r="FJ27" i="120"/>
  <c r="EY125" i="120"/>
  <c r="EY121" i="120"/>
  <c r="EY119" i="120"/>
  <c r="EY117" i="120"/>
  <c r="EY115" i="120"/>
  <c r="EY109" i="120"/>
  <c r="EY70" i="120"/>
  <c r="EY407" i="120"/>
  <c r="EY408" i="120"/>
  <c r="EY24" i="120"/>
  <c r="EY374" i="120"/>
  <c r="EY390" i="120"/>
  <c r="EY65" i="120"/>
  <c r="EY63" i="120"/>
  <c r="EY61" i="120"/>
  <c r="EY57" i="120"/>
  <c r="EY56" i="120"/>
  <c r="EY54" i="120"/>
  <c r="EY18" i="120"/>
  <c r="EY10" i="120"/>
  <c r="EY50" i="120"/>
  <c r="EY48" i="120"/>
  <c r="EY46" i="120"/>
  <c r="EY44" i="120"/>
  <c r="EY42" i="120"/>
  <c r="EY38" i="120"/>
  <c r="EZ350" i="120"/>
  <c r="FI350" i="120" s="1"/>
  <c r="EZ348" i="120"/>
  <c r="FI348" i="120" s="1"/>
  <c r="EZ346" i="120"/>
  <c r="FI346" i="120" s="1"/>
  <c r="EZ344" i="120"/>
  <c r="FI344" i="120" s="1"/>
  <c r="EZ342" i="120"/>
  <c r="FI342" i="120" s="1"/>
  <c r="EZ341" i="120"/>
  <c r="FI341" i="120" s="1"/>
  <c r="EZ339" i="120"/>
  <c r="FI339" i="120" s="1"/>
  <c r="EZ337" i="120"/>
  <c r="FI337" i="120" s="1"/>
  <c r="EZ335" i="120"/>
  <c r="FI335" i="120" s="1"/>
  <c r="EZ381" i="120"/>
  <c r="FI381" i="120" s="1"/>
  <c r="EZ19" i="120"/>
  <c r="FI19" i="120" s="1"/>
  <c r="EZ331" i="120"/>
  <c r="FI331" i="120" s="1"/>
  <c r="EZ401" i="120"/>
  <c r="FI401" i="120" s="1"/>
  <c r="EZ398" i="120"/>
  <c r="FI398" i="120" s="1"/>
  <c r="EZ396" i="120"/>
  <c r="FI396" i="120" s="1"/>
  <c r="EZ328" i="120"/>
  <c r="FI328" i="120" s="1"/>
  <c r="EZ326" i="120"/>
  <c r="FI326" i="120" s="1"/>
  <c r="EZ324" i="120"/>
  <c r="FI324" i="120" s="1"/>
  <c r="EZ382" i="120"/>
  <c r="FI382" i="120" s="1"/>
  <c r="EZ400" i="120"/>
  <c r="FI400" i="120" s="1"/>
  <c r="EZ402" i="120"/>
  <c r="FI402" i="120" s="1"/>
  <c r="EZ320" i="120"/>
  <c r="FI320" i="120" s="1"/>
  <c r="EZ319" i="120"/>
  <c r="FI319" i="120" s="1"/>
  <c r="EZ317" i="120"/>
  <c r="FI317" i="120" s="1"/>
  <c r="EZ315" i="120"/>
  <c r="FI315" i="120" s="1"/>
  <c r="EZ313" i="120"/>
  <c r="FI313" i="120" s="1"/>
  <c r="EZ311" i="120"/>
  <c r="FI311" i="120" s="1"/>
  <c r="EZ309" i="120"/>
  <c r="FI309" i="120" s="1"/>
  <c r="EZ307" i="120"/>
  <c r="FI307" i="120" s="1"/>
  <c r="EZ28" i="120"/>
  <c r="FI28" i="120" s="1"/>
  <c r="EZ305" i="120"/>
  <c r="FI305" i="120" s="1"/>
  <c r="EZ303" i="120"/>
  <c r="FI303" i="120" s="1"/>
  <c r="EZ301" i="120"/>
  <c r="FI301" i="120" s="1"/>
  <c r="EZ389" i="120"/>
  <c r="FI389" i="120" s="1"/>
  <c r="EZ384" i="120"/>
  <c r="FI384" i="120" s="1"/>
  <c r="EZ7" i="120"/>
  <c r="FI7" i="120" s="1"/>
  <c r="EZ296" i="120"/>
  <c r="FI296" i="120" s="1"/>
  <c r="EZ294" i="120"/>
  <c r="FI294" i="120" s="1"/>
  <c r="EZ292" i="120"/>
  <c r="FI292" i="120" s="1"/>
  <c r="EZ290" i="120"/>
  <c r="FI290" i="120" s="1"/>
  <c r="EZ288" i="120"/>
  <c r="FI288" i="120" s="1"/>
  <c r="EZ286" i="120"/>
  <c r="FI286" i="120" s="1"/>
  <c r="EZ284" i="120"/>
  <c r="FI284" i="120" s="1"/>
  <c r="EZ282" i="120"/>
  <c r="FI282" i="120" s="1"/>
  <c r="EZ280" i="120"/>
  <c r="FI280" i="120" s="1"/>
  <c r="EZ278" i="120"/>
  <c r="FI278" i="120" s="1"/>
  <c r="EZ276" i="120"/>
  <c r="FI276" i="120" s="1"/>
  <c r="EZ274" i="120"/>
  <c r="FI274" i="120" s="1"/>
  <c r="EZ273" i="120"/>
  <c r="FI273" i="120" s="1"/>
  <c r="EZ271" i="120"/>
  <c r="FI271" i="120" s="1"/>
  <c r="EZ269" i="120"/>
  <c r="FI269" i="120" s="1"/>
  <c r="EZ267" i="120"/>
  <c r="FI267" i="120" s="1"/>
  <c r="EZ265" i="120"/>
  <c r="FI265" i="120" s="1"/>
  <c r="EZ263" i="120"/>
  <c r="FI263" i="120" s="1"/>
  <c r="EZ404" i="120"/>
  <c r="FI404" i="120" s="1"/>
  <c r="EZ261" i="120"/>
  <c r="FI261" i="120" s="1"/>
  <c r="EZ259" i="120"/>
  <c r="FI259" i="120" s="1"/>
  <c r="EZ257" i="120"/>
  <c r="FI257" i="120" s="1"/>
  <c r="EZ256" i="120"/>
  <c r="FI256" i="120" s="1"/>
  <c r="EZ254" i="120"/>
  <c r="FI254" i="120" s="1"/>
  <c r="EZ252" i="120"/>
  <c r="FI252" i="120" s="1"/>
  <c r="EZ386" i="120"/>
  <c r="FI386" i="120" s="1"/>
  <c r="EZ26" i="120"/>
  <c r="FI26" i="120" s="1"/>
  <c r="EZ248" i="120"/>
  <c r="FI248" i="120" s="1"/>
  <c r="EZ246" i="120"/>
  <c r="FI246" i="120" s="1"/>
  <c r="EZ245" i="120"/>
  <c r="FI245" i="120" s="1"/>
  <c r="EZ243" i="120"/>
  <c r="FI243" i="120" s="1"/>
  <c r="EZ241" i="120"/>
  <c r="FI241" i="120" s="1"/>
  <c r="EZ239" i="120"/>
  <c r="FI239" i="120" s="1"/>
  <c r="EZ238" i="120"/>
  <c r="FI238" i="120" s="1"/>
  <c r="EZ236" i="120"/>
  <c r="FI236" i="120" s="1"/>
  <c r="EZ234" i="120"/>
  <c r="FI234" i="120" s="1"/>
  <c r="EZ232" i="120"/>
  <c r="FI232" i="120" s="1"/>
  <c r="EZ230" i="120"/>
  <c r="FI230" i="120" s="1"/>
  <c r="EZ228" i="120"/>
  <c r="FI228" i="120" s="1"/>
  <c r="EZ226" i="120"/>
  <c r="FI226" i="120" s="1"/>
  <c r="EZ224" i="120"/>
  <c r="FI224" i="120" s="1"/>
  <c r="EZ222" i="120"/>
  <c r="FI222" i="120" s="1"/>
  <c r="EZ220" i="120"/>
  <c r="FI220" i="120" s="1"/>
  <c r="EZ218" i="120"/>
  <c r="FI218" i="120" s="1"/>
  <c r="EZ216" i="120"/>
  <c r="FI216" i="120" s="1"/>
  <c r="EZ214" i="120"/>
  <c r="FI214" i="120" s="1"/>
  <c r="EZ212" i="120"/>
  <c r="FI212" i="120" s="1"/>
  <c r="EZ211" i="120"/>
  <c r="FI211" i="120" s="1"/>
  <c r="EZ209" i="120"/>
  <c r="FI209" i="120" s="1"/>
  <c r="FB359" i="120"/>
  <c r="FK359" i="120" s="1"/>
  <c r="FB16" i="120"/>
  <c r="FK16" i="120" s="1"/>
  <c r="FB355" i="120"/>
  <c r="FK355" i="120" s="1"/>
  <c r="FB405" i="120"/>
  <c r="FB350" i="120"/>
  <c r="FK350" i="120" s="1"/>
  <c r="FB346" i="120"/>
  <c r="FK346" i="120" s="1"/>
  <c r="FB342" i="120"/>
  <c r="FK342" i="120" s="1"/>
  <c r="FB339" i="120"/>
  <c r="FK339" i="120" s="1"/>
  <c r="FB335" i="120"/>
  <c r="FK335" i="120" s="1"/>
  <c r="FB19" i="120"/>
  <c r="FK19" i="120" s="1"/>
  <c r="FB400" i="120"/>
  <c r="FB315" i="120"/>
  <c r="FK315" i="120" s="1"/>
  <c r="FB311" i="120"/>
  <c r="FK311" i="120" s="1"/>
  <c r="FB307" i="120"/>
  <c r="FK307" i="120" s="1"/>
  <c r="FB305" i="120"/>
  <c r="FK305" i="120" s="1"/>
  <c r="EY365" i="120"/>
  <c r="EY361" i="120"/>
  <c r="EY359" i="120"/>
  <c r="EY12" i="120"/>
  <c r="EY16" i="120"/>
  <c r="EY13" i="120"/>
  <c r="EY9" i="120"/>
  <c r="EY355" i="120"/>
  <c r="EY8" i="120"/>
  <c r="EY405" i="120"/>
  <c r="EY379" i="120"/>
  <c r="EY353" i="120"/>
  <c r="EY383" i="120"/>
  <c r="EY350" i="120"/>
  <c r="EY348" i="120"/>
  <c r="EY346" i="120"/>
  <c r="EY344" i="120"/>
  <c r="EY342" i="120"/>
  <c r="EY341" i="120"/>
  <c r="EY339" i="120"/>
  <c r="EY337" i="120"/>
  <c r="EY335" i="120"/>
  <c r="EY381" i="120"/>
  <c r="EY19" i="120"/>
  <c r="EY331" i="120"/>
  <c r="EY401" i="120"/>
  <c r="EY398" i="120"/>
  <c r="EY396" i="120"/>
  <c r="FB369" i="120"/>
  <c r="FK369" i="120" s="1"/>
  <c r="FB9" i="120"/>
  <c r="FK9" i="120" s="1"/>
  <c r="FB8" i="120"/>
  <c r="FB379" i="120"/>
  <c r="FK379" i="120" s="1"/>
  <c r="FB381" i="120"/>
  <c r="FK381" i="120" s="1"/>
  <c r="FB331" i="120"/>
  <c r="FK331" i="120" s="1"/>
  <c r="FB398" i="120"/>
  <c r="FK398" i="120" s="1"/>
  <c r="FB382" i="120"/>
  <c r="FB317" i="120"/>
  <c r="FK317" i="120" s="1"/>
  <c r="FB313" i="120"/>
  <c r="FK313" i="120" s="1"/>
  <c r="EY371" i="120"/>
  <c r="EY368" i="120"/>
  <c r="EY363" i="120"/>
  <c r="EZ372" i="120"/>
  <c r="FI372" i="120" s="1"/>
  <c r="EZ370" i="120"/>
  <c r="FI370" i="120" s="1"/>
  <c r="EZ376" i="120"/>
  <c r="FI376" i="120" s="1"/>
  <c r="EZ367" i="120"/>
  <c r="FI367" i="120" s="1"/>
  <c r="EZ364" i="120"/>
  <c r="FI364" i="120" s="1"/>
  <c r="EZ362" i="120"/>
  <c r="FI362" i="120" s="1"/>
  <c r="EZ360" i="120"/>
  <c r="FI360" i="120" s="1"/>
  <c r="EZ358" i="120"/>
  <c r="FI358" i="120" s="1"/>
  <c r="EZ14" i="120"/>
  <c r="FI14" i="120" s="1"/>
  <c r="EZ377" i="120"/>
  <c r="FI377" i="120" s="1"/>
  <c r="EZ357" i="120"/>
  <c r="FI357" i="120" s="1"/>
  <c r="EZ356" i="120"/>
  <c r="FI356" i="120" s="1"/>
  <c r="EZ25" i="120"/>
  <c r="FI25" i="120" s="1"/>
  <c r="EZ354" i="120"/>
  <c r="FI354" i="120" s="1"/>
  <c r="EZ378" i="120"/>
  <c r="FI378" i="120" s="1"/>
  <c r="EZ397" i="120"/>
  <c r="FI397" i="120" s="1"/>
  <c r="EZ352" i="120"/>
  <c r="FI352" i="120" s="1"/>
  <c r="EZ351" i="120"/>
  <c r="FI351" i="120" s="1"/>
  <c r="EZ349" i="120"/>
  <c r="FI349" i="120" s="1"/>
  <c r="EZ347" i="120"/>
  <c r="FI347" i="120" s="1"/>
  <c r="EZ345" i="120"/>
  <c r="FI345" i="120" s="1"/>
  <c r="EZ343" i="120"/>
  <c r="FI343" i="120" s="1"/>
  <c r="EZ403" i="120"/>
  <c r="FI403" i="120" s="1"/>
  <c r="EZ340" i="120"/>
  <c r="FI340" i="120" s="1"/>
  <c r="EZ338" i="120"/>
  <c r="FI338" i="120" s="1"/>
  <c r="EZ336" i="120"/>
  <c r="FI336" i="120" s="1"/>
  <c r="FB363" i="120"/>
  <c r="FK363" i="120" s="1"/>
  <c r="FB353" i="120"/>
  <c r="FK353" i="120" s="1"/>
  <c r="FB324" i="120"/>
  <c r="FK324" i="120" s="1"/>
  <c r="FB309" i="120"/>
  <c r="FB28" i="120"/>
  <c r="FK28" i="120" s="1"/>
  <c r="FB303" i="120"/>
  <c r="FK303" i="120" s="1"/>
  <c r="FA368" i="120"/>
  <c r="FJ368" i="120" s="1"/>
  <c r="FA365" i="120"/>
  <c r="FJ365" i="120" s="1"/>
  <c r="FA363" i="120"/>
  <c r="FJ363" i="120" s="1"/>
  <c r="FA361" i="120"/>
  <c r="FJ361" i="120" s="1"/>
  <c r="FA359" i="120"/>
  <c r="FJ359" i="120" s="1"/>
  <c r="FA12" i="120"/>
  <c r="FJ12" i="120" s="1"/>
  <c r="FA16" i="120"/>
  <c r="FJ16" i="120" s="1"/>
  <c r="FA13" i="120"/>
  <c r="FJ13" i="120" s="1"/>
  <c r="FA9" i="120"/>
  <c r="FJ9" i="120" s="1"/>
  <c r="FA355" i="120"/>
  <c r="FJ355" i="120" s="1"/>
  <c r="FA8" i="120"/>
  <c r="FJ8" i="120" s="1"/>
  <c r="FA405" i="120"/>
  <c r="FJ405" i="120" s="1"/>
  <c r="FA379" i="120"/>
  <c r="FJ379" i="120" s="1"/>
  <c r="FA353" i="120"/>
  <c r="FJ353" i="120" s="1"/>
  <c r="FA383" i="120"/>
  <c r="FJ383" i="120" s="1"/>
  <c r="FA350" i="120"/>
  <c r="FA348" i="120"/>
  <c r="FJ348" i="120" s="1"/>
  <c r="FA346" i="120"/>
  <c r="FJ346" i="120" s="1"/>
  <c r="FA344" i="120"/>
  <c r="FJ344" i="120" s="1"/>
  <c r="FA342" i="120"/>
  <c r="FJ342" i="120" s="1"/>
  <c r="FB383" i="120"/>
  <c r="FK383" i="120" s="1"/>
  <c r="FB344" i="120"/>
  <c r="FK344" i="120" s="1"/>
  <c r="FB401" i="120"/>
  <c r="FK401" i="120" s="1"/>
  <c r="FB396" i="120"/>
  <c r="FB402" i="120"/>
  <c r="FK402" i="120" s="1"/>
  <c r="FA29" i="120"/>
  <c r="FB372" i="120"/>
  <c r="FB370" i="120"/>
  <c r="FK370" i="120" s="1"/>
  <c r="FB376" i="120"/>
  <c r="FK376" i="120" s="1"/>
  <c r="FB367" i="120"/>
  <c r="FK367" i="120" s="1"/>
  <c r="FB364" i="120"/>
  <c r="FK364" i="120" s="1"/>
  <c r="FB362" i="120"/>
  <c r="FK362" i="120" s="1"/>
  <c r="FB360" i="120"/>
  <c r="FK360" i="120" s="1"/>
  <c r="FB358" i="120"/>
  <c r="FK358" i="120" s="1"/>
  <c r="FB14" i="120"/>
  <c r="FK14" i="120" s="1"/>
  <c r="FB377" i="120"/>
  <c r="FK377" i="120" s="1"/>
  <c r="FB357" i="120"/>
  <c r="FK357" i="120" s="1"/>
  <c r="FB356" i="120"/>
  <c r="FK356" i="120" s="1"/>
  <c r="FB25" i="120"/>
  <c r="FK25" i="120" s="1"/>
  <c r="FB354" i="120"/>
  <c r="FK354" i="120" s="1"/>
  <c r="FB378" i="120"/>
  <c r="FK378" i="120" s="1"/>
  <c r="FB397" i="120"/>
  <c r="FK397" i="120" s="1"/>
  <c r="FB352" i="120"/>
  <c r="FK352" i="120" s="1"/>
  <c r="FB351" i="120"/>
  <c r="FK351" i="120" s="1"/>
  <c r="FB349" i="120"/>
  <c r="FK349" i="120" s="1"/>
  <c r="FB347" i="120"/>
  <c r="FK347" i="120" s="1"/>
  <c r="FB345" i="120"/>
  <c r="FB343" i="120"/>
  <c r="FK343" i="120" s="1"/>
  <c r="FB403" i="120"/>
  <c r="FK403" i="120" s="1"/>
  <c r="FB340" i="120"/>
  <c r="FK340" i="120" s="1"/>
  <c r="FB365" i="120"/>
  <c r="FK365" i="120" s="1"/>
  <c r="FB361" i="120"/>
  <c r="FK361" i="120" s="1"/>
  <c r="FB12" i="120"/>
  <c r="FK12" i="120" s="1"/>
  <c r="FB328" i="120"/>
  <c r="FK328" i="120" s="1"/>
  <c r="FB320" i="120"/>
  <c r="FK320" i="120" s="1"/>
  <c r="EY369" i="120"/>
  <c r="FA369" i="120"/>
  <c r="FJ369" i="120" s="1"/>
  <c r="EY372" i="120"/>
  <c r="EY370" i="120"/>
  <c r="EY376" i="120"/>
  <c r="EY367" i="120"/>
  <c r="EY364" i="120"/>
  <c r="EY362" i="120"/>
  <c r="EY360" i="120"/>
  <c r="EY358" i="120"/>
  <c r="EY14" i="120"/>
  <c r="EY377" i="120"/>
  <c r="EY357" i="120"/>
  <c r="EY356" i="120"/>
  <c r="EY25" i="120"/>
  <c r="EY354" i="120"/>
  <c r="EY378" i="120"/>
  <c r="EY397" i="120"/>
  <c r="EY352" i="120"/>
  <c r="EY351" i="120"/>
  <c r="EY349" i="120"/>
  <c r="EY347" i="120"/>
  <c r="EY345" i="120"/>
  <c r="EY343" i="120"/>
  <c r="EY403" i="120"/>
  <c r="EY340" i="120"/>
  <c r="FB371" i="120"/>
  <c r="FK371" i="120" s="1"/>
  <c r="FB368" i="120"/>
  <c r="FK368" i="120" s="1"/>
  <c r="FB13" i="120"/>
  <c r="FK13" i="120" s="1"/>
  <c r="FB348" i="120"/>
  <c r="FK348" i="120" s="1"/>
  <c r="FB341" i="120"/>
  <c r="FK341" i="120" s="1"/>
  <c r="FB337" i="120"/>
  <c r="FK337" i="120" s="1"/>
  <c r="FB326" i="120"/>
  <c r="FK326" i="120" s="1"/>
  <c r="FB319" i="120"/>
  <c r="FK319" i="120" s="1"/>
  <c r="FB301" i="120"/>
  <c r="FK301" i="120" s="1"/>
  <c r="FA371" i="120"/>
  <c r="FJ371" i="120" s="1"/>
  <c r="EY29" i="120"/>
  <c r="FB384" i="120"/>
  <c r="FK384" i="120" s="1"/>
  <c r="FB7" i="120"/>
  <c r="FB296" i="120"/>
  <c r="FK296" i="120" s="1"/>
  <c r="FB294" i="120"/>
  <c r="FK294" i="120" s="1"/>
  <c r="FB292" i="120"/>
  <c r="FK292" i="120" s="1"/>
  <c r="FB290" i="120"/>
  <c r="FK290" i="120" s="1"/>
  <c r="FB288" i="120"/>
  <c r="FK288" i="120" s="1"/>
  <c r="FB286" i="120"/>
  <c r="FK286" i="120" s="1"/>
  <c r="FB284" i="120"/>
  <c r="FK284" i="120" s="1"/>
  <c r="FB282" i="120"/>
  <c r="FK282" i="120" s="1"/>
  <c r="FB280" i="120"/>
  <c r="FK280" i="120" s="1"/>
  <c r="FB278" i="120"/>
  <c r="FK278" i="120" s="1"/>
  <c r="FB276" i="120"/>
  <c r="FK276" i="120" s="1"/>
  <c r="FB274" i="120"/>
  <c r="FK274" i="120" s="1"/>
  <c r="FB273" i="120"/>
  <c r="FK273" i="120" s="1"/>
  <c r="FB271" i="120"/>
  <c r="FK271" i="120" s="1"/>
  <c r="FB269" i="120"/>
  <c r="FK269" i="120" s="1"/>
  <c r="FB267" i="120"/>
  <c r="FK267" i="120" s="1"/>
  <c r="FB265" i="120"/>
  <c r="FK265" i="120" s="1"/>
  <c r="FB263" i="120"/>
  <c r="FK263" i="120" s="1"/>
  <c r="FB404" i="120"/>
  <c r="FK404" i="120" s="1"/>
  <c r="FB261" i="120"/>
  <c r="FK261" i="120" s="1"/>
  <c r="FB259" i="120"/>
  <c r="FK259" i="120" s="1"/>
  <c r="FB257" i="120"/>
  <c r="FK257" i="120" s="1"/>
  <c r="FB256" i="120"/>
  <c r="FK256" i="120" s="1"/>
  <c r="FB254" i="120"/>
  <c r="FK254" i="120" s="1"/>
  <c r="FB252" i="120"/>
  <c r="FK252" i="120" s="1"/>
  <c r="FB386" i="120"/>
  <c r="FK386" i="120" s="1"/>
  <c r="FB26" i="120"/>
  <c r="FK26" i="120" s="1"/>
  <c r="FB248" i="120"/>
  <c r="FK248" i="120" s="1"/>
  <c r="FB246" i="120"/>
  <c r="FK246" i="120" s="1"/>
  <c r="FB245" i="120"/>
  <c r="FK245" i="120" s="1"/>
  <c r="FB243" i="120"/>
  <c r="FK243" i="120" s="1"/>
  <c r="FB241" i="120"/>
  <c r="FK241" i="120" s="1"/>
  <c r="FB239" i="120"/>
  <c r="FK239" i="120" s="1"/>
  <c r="FB238" i="120"/>
  <c r="FK238" i="120" s="1"/>
  <c r="FB236" i="120"/>
  <c r="FK236" i="120" s="1"/>
  <c r="FB234" i="120"/>
  <c r="FK234" i="120" s="1"/>
  <c r="FB232" i="120"/>
  <c r="FK232" i="120" s="1"/>
  <c r="FB230" i="120"/>
  <c r="FK230" i="120" s="1"/>
  <c r="FB228" i="120"/>
  <c r="FK228" i="120" s="1"/>
  <c r="FB226" i="120"/>
  <c r="FK226" i="120" s="1"/>
  <c r="FB224" i="120"/>
  <c r="FK224" i="120" s="1"/>
  <c r="FB222" i="120"/>
  <c r="FK222" i="120" s="1"/>
  <c r="FB220" i="120"/>
  <c r="FK220" i="120" s="1"/>
  <c r="FB218" i="120"/>
  <c r="FK218" i="120" s="1"/>
  <c r="FB216" i="120"/>
  <c r="FK216" i="120" s="1"/>
  <c r="FB214" i="120"/>
  <c r="FK214" i="120" s="1"/>
  <c r="FB212" i="120"/>
  <c r="FK212" i="120" s="1"/>
  <c r="FB211" i="120"/>
  <c r="FK211" i="120" s="1"/>
  <c r="FB209" i="120"/>
  <c r="FK209" i="120" s="1"/>
  <c r="FB207" i="120"/>
  <c r="FK207" i="120" s="1"/>
  <c r="FB394" i="120"/>
  <c r="FK394" i="120" s="1"/>
  <c r="FB204" i="120"/>
  <c r="FK204" i="120" s="1"/>
  <c r="FB202" i="120"/>
  <c r="FK202" i="120" s="1"/>
  <c r="FB200" i="120"/>
  <c r="FK200" i="120" s="1"/>
  <c r="FB198" i="120"/>
  <c r="FK198" i="120" s="1"/>
  <c r="FB196" i="120"/>
  <c r="FK196" i="120" s="1"/>
  <c r="FB195" i="120"/>
  <c r="FK195" i="120" s="1"/>
  <c r="FB193" i="120"/>
  <c r="FK193" i="120" s="1"/>
  <c r="FB191" i="120"/>
  <c r="FK191" i="120" s="1"/>
  <c r="FB189" i="120"/>
  <c r="FK189" i="120" s="1"/>
  <c r="FB187" i="120"/>
  <c r="FK187" i="120" s="1"/>
  <c r="FB185" i="120"/>
  <c r="FK185" i="120" s="1"/>
  <c r="FB183" i="120"/>
  <c r="FK183" i="120" s="1"/>
  <c r="FB181" i="120"/>
  <c r="FK181" i="120" s="1"/>
  <c r="FB179" i="120"/>
  <c r="FK179" i="120" s="1"/>
  <c r="FB177" i="120"/>
  <c r="FK177" i="120" s="1"/>
  <c r="FB175" i="120"/>
  <c r="FB173" i="120"/>
  <c r="FK173" i="120" s="1"/>
  <c r="FB171" i="120"/>
  <c r="FK171" i="120" s="1"/>
  <c r="FB170" i="120"/>
  <c r="FK170" i="120" s="1"/>
  <c r="FB168" i="120"/>
  <c r="FK168" i="120" s="1"/>
  <c r="FB166" i="120"/>
  <c r="FK166" i="120" s="1"/>
  <c r="FB164" i="120"/>
  <c r="FK164" i="120" s="1"/>
  <c r="FB162" i="120"/>
  <c r="FK162" i="120" s="1"/>
  <c r="FB160" i="120"/>
  <c r="FK160" i="120" s="1"/>
  <c r="FB158" i="120"/>
  <c r="FK158" i="120" s="1"/>
  <c r="FB156" i="120"/>
  <c r="FK156" i="120" s="1"/>
  <c r="FB154" i="120"/>
  <c r="FK154" i="120" s="1"/>
  <c r="FB152" i="120"/>
  <c r="FK152" i="120" s="1"/>
  <c r="FB150" i="120"/>
  <c r="FK150" i="120" s="1"/>
  <c r="FB148" i="120"/>
  <c r="FK148" i="120" s="1"/>
  <c r="FB146" i="120"/>
  <c r="FK146" i="120" s="1"/>
  <c r="FB144" i="120"/>
  <c r="FK144" i="120" s="1"/>
  <c r="FB142" i="120"/>
  <c r="FK142" i="120" s="1"/>
  <c r="FB140" i="120"/>
  <c r="FK140" i="120" s="1"/>
  <c r="FB138" i="120"/>
  <c r="FK138" i="120" s="1"/>
  <c r="FB136" i="120"/>
  <c r="FK136" i="120" s="1"/>
  <c r="FB134" i="120"/>
  <c r="FK134" i="120" s="1"/>
  <c r="FB132" i="120"/>
  <c r="FK132" i="120" s="1"/>
  <c r="FB130" i="120"/>
  <c r="FK130" i="120" s="1"/>
  <c r="FB128" i="120"/>
  <c r="FK128" i="120" s="1"/>
  <c r="FB373" i="120"/>
  <c r="FB55" i="120"/>
  <c r="FK55" i="120" s="1"/>
  <c r="FB53" i="120"/>
  <c r="FK53" i="120" s="1"/>
  <c r="FB52" i="120"/>
  <c r="FK52" i="120" s="1"/>
  <c r="FB51" i="120"/>
  <c r="FK51" i="120" s="1"/>
  <c r="FB49" i="120"/>
  <c r="FK49" i="120" s="1"/>
  <c r="FB47" i="120"/>
  <c r="FK47" i="120" s="1"/>
  <c r="FB45" i="120"/>
  <c r="FK45" i="120" s="1"/>
  <c r="FB43" i="120"/>
  <c r="FK43" i="120" s="1"/>
  <c r="FB33" i="120"/>
  <c r="FK33" i="120" s="1"/>
  <c r="EY328" i="120"/>
  <c r="EY326" i="120"/>
  <c r="EY324" i="120"/>
  <c r="EY382" i="120"/>
  <c r="EY400" i="120"/>
  <c r="EY402" i="120"/>
  <c r="EY320" i="120"/>
  <c r="EY319" i="120"/>
  <c r="EY317" i="120"/>
  <c r="EY315" i="120"/>
  <c r="EY313" i="120"/>
  <c r="EY311" i="120"/>
  <c r="EY309" i="120"/>
  <c r="EY307" i="120"/>
  <c r="EY28" i="120"/>
  <c r="EY305" i="120"/>
  <c r="EY303" i="120"/>
  <c r="EY301" i="120"/>
  <c r="EY389" i="120"/>
  <c r="EY384" i="120"/>
  <c r="EY7" i="120"/>
  <c r="EY296" i="120"/>
  <c r="EY294" i="120"/>
  <c r="EY292" i="120"/>
  <c r="EY290" i="120"/>
  <c r="EY288" i="120"/>
  <c r="EY286" i="120"/>
  <c r="EY284" i="120"/>
  <c r="EY282" i="120"/>
  <c r="EY280" i="120"/>
  <c r="EY278" i="120"/>
  <c r="EY276" i="120"/>
  <c r="EY274" i="120"/>
  <c r="EY273" i="120"/>
  <c r="EY271" i="120"/>
  <c r="EY269" i="120"/>
  <c r="EY267" i="120"/>
  <c r="EY265" i="120"/>
  <c r="EY263" i="120"/>
  <c r="EY404" i="120"/>
  <c r="EY261" i="120"/>
  <c r="EY259" i="120"/>
  <c r="EY257" i="120"/>
  <c r="EY256" i="120"/>
  <c r="EY254" i="120"/>
  <c r="EY252" i="120"/>
  <c r="EY386" i="120"/>
  <c r="EY26" i="120"/>
  <c r="EY248" i="120"/>
  <c r="EY246" i="120"/>
  <c r="EY245" i="120"/>
  <c r="EY243" i="120"/>
  <c r="EY241" i="120"/>
  <c r="EY239" i="120"/>
  <c r="EY238" i="120"/>
  <c r="EY236" i="120"/>
  <c r="EY234" i="120"/>
  <c r="EY232" i="120"/>
  <c r="EY230" i="120"/>
  <c r="EY228" i="120"/>
  <c r="EY226" i="120"/>
  <c r="EY224" i="120"/>
  <c r="EY222" i="120"/>
  <c r="EY220" i="120"/>
  <c r="EY218" i="120"/>
  <c r="EY216" i="120"/>
  <c r="EY214" i="120"/>
  <c r="EY212" i="120"/>
  <c r="EY211" i="120"/>
  <c r="EY209" i="120"/>
  <c r="EY207" i="120"/>
  <c r="EY394" i="120"/>
  <c r="EY204" i="120"/>
  <c r="EY202" i="120"/>
  <c r="EY200" i="120"/>
  <c r="EY198" i="120"/>
  <c r="EY196" i="120"/>
  <c r="EY195" i="120"/>
  <c r="EY193" i="120"/>
  <c r="EY191" i="120"/>
  <c r="EY189" i="120"/>
  <c r="EY187" i="120"/>
  <c r="EY185" i="120"/>
  <c r="EY183" i="120"/>
  <c r="EY181" i="120"/>
  <c r="EY179" i="120"/>
  <c r="EY177" i="120"/>
  <c r="EY175" i="120"/>
  <c r="EY173" i="120"/>
  <c r="EY171" i="120"/>
  <c r="EY170" i="120"/>
  <c r="EY168" i="120"/>
  <c r="EY166" i="120"/>
  <c r="EY164" i="120"/>
  <c r="EY162" i="120"/>
  <c r="EY160" i="120"/>
  <c r="EY158" i="120"/>
  <c r="EY156" i="120"/>
  <c r="EY154" i="120"/>
  <c r="EY152" i="120"/>
  <c r="EY150" i="120"/>
  <c r="EY148" i="120"/>
  <c r="EY146" i="120"/>
  <c r="EY144" i="120"/>
  <c r="EY142" i="120"/>
  <c r="EY140" i="120"/>
  <c r="EY138" i="120"/>
  <c r="EY136" i="120"/>
  <c r="EY72" i="120"/>
  <c r="EY71" i="120"/>
  <c r="EY406" i="120"/>
  <c r="EY21" i="120"/>
  <c r="EY409" i="120"/>
  <c r="EY375" i="120"/>
  <c r="EY69" i="120"/>
  <c r="EY395" i="120"/>
  <c r="EY67" i="120"/>
  <c r="EY66" i="120"/>
  <c r="EY64" i="120"/>
  <c r="EY62" i="120"/>
  <c r="EY60" i="120"/>
  <c r="EY58" i="120"/>
  <c r="EY373" i="120"/>
  <c r="EY55" i="120"/>
  <c r="EY53" i="120"/>
  <c r="EY52" i="120"/>
  <c r="EY51" i="120"/>
  <c r="EY49" i="120"/>
  <c r="EY47" i="120"/>
  <c r="EY45" i="120"/>
  <c r="EY43" i="120"/>
  <c r="EZ334" i="120"/>
  <c r="FI334" i="120" s="1"/>
  <c r="EZ333" i="120"/>
  <c r="FI333" i="120" s="1"/>
  <c r="EZ332" i="120"/>
  <c r="FI332" i="120" s="1"/>
  <c r="EZ380" i="120"/>
  <c r="FI380" i="120" s="1"/>
  <c r="EZ330" i="120"/>
  <c r="FI330" i="120" s="1"/>
  <c r="EZ392" i="120"/>
  <c r="FI392" i="120" s="1"/>
  <c r="EZ329" i="120"/>
  <c r="FI329" i="120" s="1"/>
  <c r="EZ327" i="120"/>
  <c r="FI327" i="120" s="1"/>
  <c r="EZ325" i="120"/>
  <c r="FI325" i="120" s="1"/>
  <c r="EZ323" i="120"/>
  <c r="FI323" i="120" s="1"/>
  <c r="EZ322" i="120"/>
  <c r="FI322" i="120" s="1"/>
  <c r="EZ393" i="120"/>
  <c r="FI393" i="120" s="1"/>
  <c r="EZ321" i="120"/>
  <c r="FI321" i="120" s="1"/>
  <c r="EZ388" i="120"/>
  <c r="FI388" i="120" s="1"/>
  <c r="EZ318" i="120"/>
  <c r="FI318" i="120" s="1"/>
  <c r="EZ316" i="120"/>
  <c r="FI316" i="120" s="1"/>
  <c r="EZ314" i="120"/>
  <c r="FI314" i="120" s="1"/>
  <c r="EZ312" i="120"/>
  <c r="FI312" i="120" s="1"/>
  <c r="EZ310" i="120"/>
  <c r="FI310" i="120" s="1"/>
  <c r="EZ308" i="120"/>
  <c r="FI308" i="120" s="1"/>
  <c r="EZ306" i="120"/>
  <c r="FI306" i="120" s="1"/>
  <c r="EZ5" i="120"/>
  <c r="EZ304" i="120"/>
  <c r="FI304" i="120" s="1"/>
  <c r="EZ302" i="120"/>
  <c r="FI302" i="120" s="1"/>
  <c r="EZ300" i="120"/>
  <c r="FI300" i="120" s="1"/>
  <c r="EZ299" i="120"/>
  <c r="FI299" i="120" s="1"/>
  <c r="EZ298" i="120"/>
  <c r="FI298" i="120" s="1"/>
  <c r="EZ297" i="120"/>
  <c r="FI297" i="120" s="1"/>
  <c r="EZ295" i="120"/>
  <c r="FI295" i="120" s="1"/>
  <c r="EZ293" i="120"/>
  <c r="FI293" i="120" s="1"/>
  <c r="EZ291" i="120"/>
  <c r="FI291" i="120" s="1"/>
  <c r="EZ289" i="120"/>
  <c r="FI289" i="120" s="1"/>
  <c r="EZ287" i="120"/>
  <c r="FI287" i="120" s="1"/>
  <c r="EZ285" i="120"/>
  <c r="FI285" i="120" s="1"/>
  <c r="EZ283" i="120"/>
  <c r="FI283" i="120" s="1"/>
  <c r="EZ281" i="120"/>
  <c r="FI281" i="120" s="1"/>
  <c r="EZ279" i="120"/>
  <c r="FI279" i="120" s="1"/>
  <c r="EZ277" i="120"/>
  <c r="FI277" i="120" s="1"/>
  <c r="EZ275" i="120"/>
  <c r="FI275" i="120" s="1"/>
  <c r="EZ387" i="120"/>
  <c r="FI387" i="120" s="1"/>
  <c r="EZ272" i="120"/>
  <c r="FI272" i="120" s="1"/>
  <c r="EZ270" i="120"/>
  <c r="FI270" i="120" s="1"/>
  <c r="EZ268" i="120"/>
  <c r="FI268" i="120" s="1"/>
  <c r="EZ266" i="120"/>
  <c r="FI266" i="120" s="1"/>
  <c r="EZ264" i="120"/>
  <c r="FI264" i="120" s="1"/>
  <c r="EZ262" i="120"/>
  <c r="FI262" i="120" s="1"/>
  <c r="EZ15" i="120"/>
  <c r="FI15" i="120" s="1"/>
  <c r="EZ260" i="120"/>
  <c r="FI260" i="120" s="1"/>
  <c r="EZ258" i="120"/>
  <c r="FI258" i="120" s="1"/>
  <c r="EZ385" i="120"/>
  <c r="FI385" i="120" s="1"/>
  <c r="EZ255" i="120"/>
  <c r="FI255" i="120" s="1"/>
  <c r="EZ253" i="120"/>
  <c r="FI253" i="120" s="1"/>
  <c r="EZ251" i="120"/>
  <c r="FI251" i="120" s="1"/>
  <c r="EZ250" i="120"/>
  <c r="FI250" i="120" s="1"/>
  <c r="EZ249" i="120"/>
  <c r="FI249" i="120" s="1"/>
  <c r="EZ247" i="120"/>
  <c r="FI247" i="120" s="1"/>
  <c r="EZ17" i="120"/>
  <c r="FI17" i="120" s="1"/>
  <c r="EZ244" i="120"/>
  <c r="FI244" i="120" s="1"/>
  <c r="EZ242" i="120"/>
  <c r="FI242" i="120" s="1"/>
  <c r="EZ240" i="120"/>
  <c r="FI240" i="120" s="1"/>
  <c r="EZ20" i="120"/>
  <c r="FI20" i="120" s="1"/>
  <c r="EZ237" i="120"/>
  <c r="FI237" i="120" s="1"/>
  <c r="EZ235" i="120"/>
  <c r="FI235" i="120" s="1"/>
  <c r="EZ233" i="120"/>
  <c r="FI233" i="120" s="1"/>
  <c r="EZ231" i="120"/>
  <c r="FI231" i="120" s="1"/>
  <c r="EZ229" i="120"/>
  <c r="FI229" i="120" s="1"/>
  <c r="EZ227" i="120"/>
  <c r="FI227" i="120" s="1"/>
  <c r="EZ225" i="120"/>
  <c r="FI225" i="120" s="1"/>
  <c r="EZ223" i="120"/>
  <c r="FI223" i="120" s="1"/>
  <c r="EZ221" i="120"/>
  <c r="FI221" i="120" s="1"/>
  <c r="EZ219" i="120"/>
  <c r="FI219" i="120" s="1"/>
  <c r="EZ217" i="120"/>
  <c r="FI217" i="120" s="1"/>
  <c r="EZ215" i="120"/>
  <c r="FI215" i="120" s="1"/>
  <c r="EZ213" i="120"/>
  <c r="FI213" i="120" s="1"/>
  <c r="EZ391" i="120"/>
  <c r="FI391" i="120" s="1"/>
  <c r="EZ210" i="120"/>
  <c r="FI210" i="120" s="1"/>
  <c r="EZ208" i="120"/>
  <c r="FI208" i="120" s="1"/>
  <c r="EZ206" i="120"/>
  <c r="FI206" i="120" s="1"/>
  <c r="EZ205" i="120"/>
  <c r="FI205" i="120" s="1"/>
  <c r="EZ203" i="120"/>
  <c r="FI203" i="120" s="1"/>
  <c r="EZ201" i="120"/>
  <c r="FI201" i="120" s="1"/>
  <c r="EZ199" i="120"/>
  <c r="FI199" i="120" s="1"/>
  <c r="EZ197" i="120"/>
  <c r="FI197" i="120" s="1"/>
  <c r="EZ11" i="120"/>
  <c r="FI11" i="120" s="1"/>
  <c r="EZ194" i="120"/>
  <c r="FI194" i="120" s="1"/>
  <c r="EZ192" i="120"/>
  <c r="FI192" i="120" s="1"/>
  <c r="EZ190" i="120"/>
  <c r="FI190" i="120" s="1"/>
  <c r="EZ188" i="120"/>
  <c r="FI188" i="120" s="1"/>
  <c r="EZ186" i="120"/>
  <c r="FI186" i="120" s="1"/>
  <c r="EZ184" i="120"/>
  <c r="FI184" i="120" s="1"/>
  <c r="EZ182" i="120"/>
  <c r="FI182" i="120" s="1"/>
  <c r="EZ180" i="120"/>
  <c r="FI180" i="120" s="1"/>
  <c r="EZ178" i="120"/>
  <c r="FI178" i="120" s="1"/>
  <c r="EZ176" i="120"/>
  <c r="FI176" i="120" s="1"/>
  <c r="EZ174" i="120"/>
  <c r="FI174" i="120" s="1"/>
  <c r="EZ172" i="120"/>
  <c r="FI172" i="120" s="1"/>
  <c r="EZ399" i="120"/>
  <c r="FI399" i="120" s="1"/>
  <c r="EZ169" i="120"/>
  <c r="FI169" i="120" s="1"/>
  <c r="EZ167" i="120"/>
  <c r="FI167" i="120" s="1"/>
  <c r="EZ165" i="120"/>
  <c r="FI165" i="120" s="1"/>
  <c r="EZ163" i="120"/>
  <c r="FI163" i="120" s="1"/>
  <c r="EZ161" i="120"/>
  <c r="FI161" i="120" s="1"/>
  <c r="EZ159" i="120"/>
  <c r="FI159" i="120" s="1"/>
  <c r="EZ157" i="120"/>
  <c r="FI157" i="120" s="1"/>
  <c r="EZ155" i="120"/>
  <c r="FI155" i="120" s="1"/>
  <c r="EZ153" i="120"/>
  <c r="FI153" i="120" s="1"/>
  <c r="EZ151" i="120"/>
  <c r="FI151" i="120" s="1"/>
  <c r="EZ149" i="120"/>
  <c r="FI149" i="120" s="1"/>
  <c r="EZ147" i="120"/>
  <c r="FI147" i="120" s="1"/>
  <c r="EZ145" i="120"/>
  <c r="FI145" i="120" s="1"/>
  <c r="EZ143" i="120"/>
  <c r="FI143" i="120" s="1"/>
  <c r="EZ141" i="120"/>
  <c r="FI141" i="120" s="1"/>
  <c r="EZ139" i="120"/>
  <c r="FI139" i="120" s="1"/>
  <c r="EZ137" i="120"/>
  <c r="FI137" i="120" s="1"/>
  <c r="EZ135" i="120"/>
  <c r="FI135" i="120" s="1"/>
  <c r="EZ133" i="120"/>
  <c r="FI133" i="120" s="1"/>
  <c r="EZ131" i="120"/>
  <c r="FI131" i="120" s="1"/>
  <c r="EZ129" i="120"/>
  <c r="FI129" i="120" s="1"/>
  <c r="EZ127" i="120"/>
  <c r="FI127" i="120" s="1"/>
  <c r="EZ125" i="120"/>
  <c r="FI125" i="120" s="1"/>
  <c r="EZ123" i="120"/>
  <c r="FI123" i="120" s="1"/>
  <c r="EZ121" i="120"/>
  <c r="FI121" i="120" s="1"/>
  <c r="EZ119" i="120"/>
  <c r="FI119" i="120" s="1"/>
  <c r="EZ117" i="120"/>
  <c r="FI117" i="120" s="1"/>
  <c r="EZ115" i="120"/>
  <c r="FI115" i="120" s="1"/>
  <c r="EZ113" i="120"/>
  <c r="FI113" i="120" s="1"/>
  <c r="EZ111" i="120"/>
  <c r="FI111" i="120" s="1"/>
  <c r="EZ109" i="120"/>
  <c r="FI109" i="120" s="1"/>
  <c r="EZ107" i="120"/>
  <c r="FI107" i="120" s="1"/>
  <c r="EZ105" i="120"/>
  <c r="FI105" i="120" s="1"/>
  <c r="EZ103" i="120"/>
  <c r="FI103" i="120" s="1"/>
  <c r="EZ101" i="120"/>
  <c r="FI101" i="120" s="1"/>
  <c r="EZ99" i="120"/>
  <c r="FI99" i="120" s="1"/>
  <c r="EZ97" i="120"/>
  <c r="FI97" i="120" s="1"/>
  <c r="EZ95" i="120"/>
  <c r="FI95" i="120" s="1"/>
  <c r="EZ93" i="120"/>
  <c r="FI93" i="120" s="1"/>
  <c r="EZ91" i="120"/>
  <c r="FI91" i="120" s="1"/>
  <c r="EZ89" i="120"/>
  <c r="FI89" i="120" s="1"/>
  <c r="EZ87" i="120"/>
  <c r="FI87" i="120" s="1"/>
  <c r="EZ85" i="120"/>
  <c r="FI85" i="120" s="1"/>
  <c r="EZ83" i="120"/>
  <c r="FI83" i="120" s="1"/>
  <c r="EZ81" i="120"/>
  <c r="FI81" i="120" s="1"/>
  <c r="EZ79" i="120"/>
  <c r="FI79" i="120" s="1"/>
  <c r="EZ77" i="120"/>
  <c r="FI77" i="120" s="1"/>
  <c r="EZ75" i="120"/>
  <c r="FI75" i="120" s="1"/>
  <c r="EZ73" i="120"/>
  <c r="FI73" i="120" s="1"/>
  <c r="EZ6" i="120"/>
  <c r="FI6" i="120" s="1"/>
  <c r="EZ23" i="120"/>
  <c r="FI23" i="120" s="1"/>
  <c r="EZ70" i="120"/>
  <c r="FI70" i="120" s="1"/>
  <c r="EZ407" i="120"/>
  <c r="FI407" i="120" s="1"/>
  <c r="EZ408" i="120"/>
  <c r="FI408" i="120" s="1"/>
  <c r="EZ24" i="120"/>
  <c r="FI24" i="120" s="1"/>
  <c r="EZ68" i="120"/>
  <c r="FI68" i="120" s="1"/>
  <c r="EZ374" i="120"/>
  <c r="FI374" i="120" s="1"/>
  <c r="EZ390" i="120"/>
  <c r="FI390" i="120" s="1"/>
  <c r="EZ65" i="120"/>
  <c r="FI65" i="120" s="1"/>
  <c r="EZ63" i="120"/>
  <c r="FI63" i="120" s="1"/>
  <c r="EZ61" i="120"/>
  <c r="FI61" i="120" s="1"/>
  <c r="EZ59" i="120"/>
  <c r="FI59" i="120" s="1"/>
  <c r="EZ57" i="120"/>
  <c r="FI57" i="120" s="1"/>
  <c r="EZ56" i="120"/>
  <c r="FI56" i="120" s="1"/>
  <c r="EZ54" i="120"/>
  <c r="FI54" i="120" s="1"/>
  <c r="EZ18" i="120"/>
  <c r="FI18" i="120" s="1"/>
  <c r="EZ10" i="120"/>
  <c r="FI10" i="120" s="1"/>
  <c r="EZ50" i="120"/>
  <c r="FI50" i="120" s="1"/>
  <c r="EZ48" i="120"/>
  <c r="FI48" i="120" s="1"/>
  <c r="EZ46" i="120"/>
  <c r="FI46" i="120" s="1"/>
  <c r="EZ44" i="120"/>
  <c r="FI44" i="120" s="1"/>
  <c r="FA341" i="120"/>
  <c r="FJ341" i="120" s="1"/>
  <c r="FA339" i="120"/>
  <c r="FJ339" i="120" s="1"/>
  <c r="FA337" i="120"/>
  <c r="FJ337" i="120" s="1"/>
  <c r="FA335" i="120"/>
  <c r="FJ335" i="120" s="1"/>
  <c r="FA381" i="120"/>
  <c r="FJ381" i="120" s="1"/>
  <c r="FA19" i="120"/>
  <c r="FJ19" i="120" s="1"/>
  <c r="FA331" i="120"/>
  <c r="FJ331" i="120" s="1"/>
  <c r="FA401" i="120"/>
  <c r="FA398" i="120"/>
  <c r="FA396" i="120"/>
  <c r="FJ396" i="120" s="1"/>
  <c r="FA328" i="120"/>
  <c r="FJ328" i="120" s="1"/>
  <c r="FA326" i="120"/>
  <c r="FJ326" i="120" s="1"/>
  <c r="FA324" i="120"/>
  <c r="FJ324" i="120" s="1"/>
  <c r="FA382" i="120"/>
  <c r="FA400" i="120"/>
  <c r="FA402" i="120"/>
  <c r="FA320" i="120"/>
  <c r="FJ320" i="120" s="1"/>
  <c r="FA319" i="120"/>
  <c r="FJ319" i="120" s="1"/>
  <c r="FA317" i="120"/>
  <c r="FA315" i="120"/>
  <c r="FJ315" i="120" s="1"/>
  <c r="FA313" i="120"/>
  <c r="FJ313" i="120" s="1"/>
  <c r="FA311" i="120"/>
  <c r="FJ311" i="120" s="1"/>
  <c r="FA309" i="120"/>
  <c r="FJ309" i="120" s="1"/>
  <c r="FA307" i="120"/>
  <c r="FJ307" i="120" s="1"/>
  <c r="FA28" i="120"/>
  <c r="FJ28" i="120" s="1"/>
  <c r="FA305" i="120"/>
  <c r="FJ305" i="120" s="1"/>
  <c r="FA303" i="120"/>
  <c r="FJ303" i="120" s="1"/>
  <c r="FA301" i="120"/>
  <c r="FJ301" i="120" s="1"/>
  <c r="FA389" i="120"/>
  <c r="FJ389" i="120" s="1"/>
  <c r="FA384" i="120"/>
  <c r="FJ384" i="120" s="1"/>
  <c r="FA7" i="120"/>
  <c r="FA296" i="120"/>
  <c r="FJ296" i="120" s="1"/>
  <c r="FA294" i="120"/>
  <c r="FJ294" i="120" s="1"/>
  <c r="FA292" i="120"/>
  <c r="FJ292" i="120" s="1"/>
  <c r="FA290" i="120"/>
  <c r="FJ290" i="120" s="1"/>
  <c r="FA288" i="120"/>
  <c r="FJ288" i="120" s="1"/>
  <c r="FA286" i="120"/>
  <c r="FJ286" i="120" s="1"/>
  <c r="FA284" i="120"/>
  <c r="FJ284" i="120" s="1"/>
  <c r="FA282" i="120"/>
  <c r="FJ282" i="120" s="1"/>
  <c r="FA280" i="120"/>
  <c r="FJ280" i="120" s="1"/>
  <c r="FA278" i="120"/>
  <c r="FJ278" i="120" s="1"/>
  <c r="FA276" i="120"/>
  <c r="FJ276" i="120" s="1"/>
  <c r="FA274" i="120"/>
  <c r="FJ274" i="120" s="1"/>
  <c r="FA273" i="120"/>
  <c r="FJ273" i="120" s="1"/>
  <c r="FA271" i="120"/>
  <c r="FJ271" i="120" s="1"/>
  <c r="FA269" i="120"/>
  <c r="FJ269" i="120" s="1"/>
  <c r="FA267" i="120"/>
  <c r="FJ267" i="120" s="1"/>
  <c r="FA265" i="120"/>
  <c r="FJ265" i="120" s="1"/>
  <c r="FA263" i="120"/>
  <c r="FJ263" i="120" s="1"/>
  <c r="FA404" i="120"/>
  <c r="FJ404" i="120" s="1"/>
  <c r="FA261" i="120"/>
  <c r="FA259" i="120"/>
  <c r="FJ259" i="120" s="1"/>
  <c r="FA257" i="120"/>
  <c r="FJ257" i="120" s="1"/>
  <c r="FA256" i="120"/>
  <c r="FJ256" i="120" s="1"/>
  <c r="FA254" i="120"/>
  <c r="FJ254" i="120" s="1"/>
  <c r="FA252" i="120"/>
  <c r="FJ252" i="120" s="1"/>
  <c r="FA386" i="120"/>
  <c r="FJ386" i="120" s="1"/>
  <c r="FA26" i="120"/>
  <c r="FJ26" i="120" s="1"/>
  <c r="FA248" i="120"/>
  <c r="FJ248" i="120" s="1"/>
  <c r="FA246" i="120"/>
  <c r="FJ246" i="120" s="1"/>
  <c r="FA245" i="120"/>
  <c r="FJ245" i="120" s="1"/>
  <c r="FA243" i="120"/>
  <c r="FJ243" i="120" s="1"/>
  <c r="FA241" i="120"/>
  <c r="FJ241" i="120" s="1"/>
  <c r="FA239" i="120"/>
  <c r="FJ239" i="120" s="1"/>
  <c r="FA238" i="120"/>
  <c r="FJ238" i="120" s="1"/>
  <c r="FA236" i="120"/>
  <c r="FJ236" i="120" s="1"/>
  <c r="FA234" i="120"/>
  <c r="FJ234" i="120" s="1"/>
  <c r="FA232" i="120"/>
  <c r="FJ232" i="120" s="1"/>
  <c r="FA230" i="120"/>
  <c r="FJ230" i="120" s="1"/>
  <c r="FA228" i="120"/>
  <c r="FJ228" i="120" s="1"/>
  <c r="FA226" i="120"/>
  <c r="FJ226" i="120" s="1"/>
  <c r="FA224" i="120"/>
  <c r="FJ224" i="120" s="1"/>
  <c r="FA222" i="120"/>
  <c r="FJ222" i="120" s="1"/>
  <c r="FA220" i="120"/>
  <c r="FJ220" i="120" s="1"/>
  <c r="FA218" i="120"/>
  <c r="FJ218" i="120" s="1"/>
  <c r="FA216" i="120"/>
  <c r="FJ216" i="120" s="1"/>
  <c r="FA214" i="120"/>
  <c r="FJ214" i="120" s="1"/>
  <c r="FA212" i="120"/>
  <c r="FJ212" i="120" s="1"/>
  <c r="FA211" i="120"/>
  <c r="FJ211" i="120" s="1"/>
  <c r="FA209" i="120"/>
  <c r="FJ209" i="120" s="1"/>
  <c r="FA207" i="120"/>
  <c r="FJ207" i="120" s="1"/>
  <c r="FA394" i="120"/>
  <c r="FJ394" i="120" s="1"/>
  <c r="FA204" i="120"/>
  <c r="FJ204" i="120" s="1"/>
  <c r="FA202" i="120"/>
  <c r="FJ202" i="120" s="1"/>
  <c r="FA200" i="120"/>
  <c r="FJ200" i="120" s="1"/>
  <c r="FA198" i="120"/>
  <c r="FJ198" i="120" s="1"/>
  <c r="FA196" i="120"/>
  <c r="FJ196" i="120" s="1"/>
  <c r="FA195" i="120"/>
  <c r="FJ195" i="120" s="1"/>
  <c r="FA193" i="120"/>
  <c r="FJ193" i="120" s="1"/>
  <c r="FA191" i="120"/>
  <c r="FJ191" i="120" s="1"/>
  <c r="FA189" i="120"/>
  <c r="FJ189" i="120" s="1"/>
  <c r="FA187" i="120"/>
  <c r="FJ187" i="120" s="1"/>
  <c r="FA185" i="120"/>
  <c r="FJ185" i="120" s="1"/>
  <c r="FA183" i="120"/>
  <c r="FJ183" i="120" s="1"/>
  <c r="FA181" i="120"/>
  <c r="FJ181" i="120" s="1"/>
  <c r="FA179" i="120"/>
  <c r="FJ179" i="120" s="1"/>
  <c r="FA177" i="120"/>
  <c r="FJ177" i="120" s="1"/>
  <c r="FA175" i="120"/>
  <c r="FJ175" i="120" s="1"/>
  <c r="FA173" i="120"/>
  <c r="FJ173" i="120" s="1"/>
  <c r="FA171" i="120"/>
  <c r="FJ171" i="120" s="1"/>
  <c r="FA170" i="120"/>
  <c r="FJ170" i="120" s="1"/>
  <c r="FA168" i="120"/>
  <c r="FJ168" i="120" s="1"/>
  <c r="FA166" i="120"/>
  <c r="FJ166" i="120" s="1"/>
  <c r="FA164" i="120"/>
  <c r="FJ164" i="120" s="1"/>
  <c r="FA162" i="120"/>
  <c r="FJ162" i="120" s="1"/>
  <c r="FA160" i="120"/>
  <c r="FJ160" i="120" s="1"/>
  <c r="FA158" i="120"/>
  <c r="FJ158" i="120" s="1"/>
  <c r="FA156" i="120"/>
  <c r="FJ156" i="120" s="1"/>
  <c r="FA154" i="120"/>
  <c r="FJ154" i="120" s="1"/>
  <c r="FA152" i="120"/>
  <c r="FJ152" i="120" s="1"/>
  <c r="FA150" i="120"/>
  <c r="FJ150" i="120" s="1"/>
  <c r="FA148" i="120"/>
  <c r="FJ148" i="120" s="1"/>
  <c r="FA146" i="120"/>
  <c r="FJ146" i="120" s="1"/>
  <c r="FA144" i="120"/>
  <c r="FJ144" i="120" s="1"/>
  <c r="FA142" i="120"/>
  <c r="FJ142" i="120" s="1"/>
  <c r="FA140" i="120"/>
  <c r="FJ140" i="120" s="1"/>
  <c r="FA138" i="120"/>
  <c r="FJ138" i="120" s="1"/>
  <c r="FA136" i="120"/>
  <c r="FJ136" i="120" s="1"/>
  <c r="FA134" i="120"/>
  <c r="FJ134" i="120" s="1"/>
  <c r="FA132" i="120"/>
  <c r="FJ132" i="120" s="1"/>
  <c r="FA130" i="120"/>
  <c r="FJ130" i="120" s="1"/>
  <c r="FA128" i="120"/>
  <c r="FJ128" i="120" s="1"/>
  <c r="FA126" i="120"/>
  <c r="FJ126" i="120" s="1"/>
  <c r="FA124" i="120"/>
  <c r="FJ124" i="120" s="1"/>
  <c r="FA122" i="120"/>
  <c r="FJ122" i="120" s="1"/>
  <c r="FA120" i="120"/>
  <c r="FJ120" i="120" s="1"/>
  <c r="FA118" i="120"/>
  <c r="FJ118" i="120" s="1"/>
  <c r="FA116" i="120"/>
  <c r="FJ116" i="120" s="1"/>
  <c r="FA114" i="120"/>
  <c r="FJ114" i="120" s="1"/>
  <c r="FA112" i="120"/>
  <c r="FJ112" i="120" s="1"/>
  <c r="FA110" i="120"/>
  <c r="FJ110" i="120" s="1"/>
  <c r="FA108" i="120"/>
  <c r="FJ108" i="120" s="1"/>
  <c r="FA106" i="120"/>
  <c r="FJ106" i="120" s="1"/>
  <c r="FA104" i="120"/>
  <c r="FJ104" i="120" s="1"/>
  <c r="FA102" i="120"/>
  <c r="FJ102" i="120" s="1"/>
  <c r="FA100" i="120"/>
  <c r="FJ100" i="120" s="1"/>
  <c r="FA98" i="120"/>
  <c r="FJ98" i="120" s="1"/>
  <c r="FA96" i="120"/>
  <c r="FJ96" i="120" s="1"/>
  <c r="FA94" i="120"/>
  <c r="FJ94" i="120" s="1"/>
  <c r="FA92" i="120"/>
  <c r="FJ92" i="120" s="1"/>
  <c r="FA90" i="120"/>
  <c r="FJ90" i="120" s="1"/>
  <c r="FA88" i="120"/>
  <c r="FJ88" i="120" s="1"/>
  <c r="FA86" i="120"/>
  <c r="FJ86" i="120" s="1"/>
  <c r="FA84" i="120"/>
  <c r="FJ84" i="120" s="1"/>
  <c r="FA82" i="120"/>
  <c r="FJ82" i="120" s="1"/>
  <c r="FA80" i="120"/>
  <c r="FJ80" i="120" s="1"/>
  <c r="FA78" i="120"/>
  <c r="FJ78" i="120" s="1"/>
  <c r="FA76" i="120"/>
  <c r="FJ76" i="120" s="1"/>
  <c r="FA74" i="120"/>
  <c r="FJ74" i="120" s="1"/>
  <c r="FA72" i="120"/>
  <c r="FJ72" i="120" s="1"/>
  <c r="FA71" i="120"/>
  <c r="FJ71" i="120" s="1"/>
  <c r="FA406" i="120"/>
  <c r="FJ406" i="120" s="1"/>
  <c r="FA21" i="120"/>
  <c r="FJ21" i="120" s="1"/>
  <c r="FA409" i="120"/>
  <c r="FJ409" i="120" s="1"/>
  <c r="FA375" i="120"/>
  <c r="FJ375" i="120" s="1"/>
  <c r="FA69" i="120"/>
  <c r="FJ69" i="120" s="1"/>
  <c r="FB338" i="120"/>
  <c r="FK338" i="120" s="1"/>
  <c r="FB336" i="120"/>
  <c r="FK336" i="120" s="1"/>
  <c r="FB334" i="120"/>
  <c r="FK334" i="120" s="1"/>
  <c r="FB333" i="120"/>
  <c r="FK333" i="120" s="1"/>
  <c r="FB332" i="120"/>
  <c r="FK332" i="120" s="1"/>
  <c r="FB380" i="120"/>
  <c r="FB330" i="120"/>
  <c r="FK330" i="120" s="1"/>
  <c r="FB392" i="120"/>
  <c r="FK392" i="120" s="1"/>
  <c r="FB329" i="120"/>
  <c r="FK329" i="120" s="1"/>
  <c r="FB327" i="120"/>
  <c r="FK327" i="120" s="1"/>
  <c r="FB325" i="120"/>
  <c r="FK325" i="120" s="1"/>
  <c r="FB323" i="120"/>
  <c r="FK323" i="120" s="1"/>
  <c r="FB322" i="120"/>
  <c r="FK322" i="120" s="1"/>
  <c r="FB393" i="120"/>
  <c r="FB321" i="120"/>
  <c r="FK321" i="120" s="1"/>
  <c r="FB388" i="120"/>
  <c r="FK388" i="120" s="1"/>
  <c r="FB318" i="120"/>
  <c r="FK318" i="120" s="1"/>
  <c r="FB316" i="120"/>
  <c r="FK316" i="120" s="1"/>
  <c r="FB314" i="120"/>
  <c r="FK314" i="120" s="1"/>
  <c r="FB312" i="120"/>
  <c r="FK312" i="120" s="1"/>
  <c r="FB310" i="120"/>
  <c r="FK310" i="120" s="1"/>
  <c r="FB308" i="120"/>
  <c r="FK308" i="120" s="1"/>
  <c r="FB306" i="120"/>
  <c r="FK306" i="120" s="1"/>
  <c r="FB5" i="120"/>
  <c r="FB304" i="120"/>
  <c r="FK304" i="120" s="1"/>
  <c r="FB302" i="120"/>
  <c r="FK302" i="120" s="1"/>
  <c r="FB300" i="120"/>
  <c r="FK300" i="120" s="1"/>
  <c r="FB299" i="120"/>
  <c r="FK299" i="120" s="1"/>
  <c r="FB298" i="120"/>
  <c r="FK298" i="120" s="1"/>
  <c r="FB297" i="120"/>
  <c r="FK297" i="120" s="1"/>
  <c r="FB295" i="120"/>
  <c r="FK295" i="120" s="1"/>
  <c r="FB293" i="120"/>
  <c r="FK293" i="120" s="1"/>
  <c r="FB291" i="120"/>
  <c r="FK291" i="120" s="1"/>
  <c r="FB289" i="120"/>
  <c r="FK289" i="120" s="1"/>
  <c r="FB287" i="120"/>
  <c r="FK287" i="120" s="1"/>
  <c r="FB285" i="120"/>
  <c r="FK285" i="120" s="1"/>
  <c r="FB283" i="120"/>
  <c r="FK283" i="120" s="1"/>
  <c r="FB281" i="120"/>
  <c r="FK281" i="120" s="1"/>
  <c r="FB279" i="120"/>
  <c r="FK279" i="120" s="1"/>
  <c r="FB277" i="120"/>
  <c r="FK277" i="120" s="1"/>
  <c r="FB275" i="120"/>
  <c r="FK275" i="120" s="1"/>
  <c r="FB387" i="120"/>
  <c r="FK387" i="120" s="1"/>
  <c r="FB272" i="120"/>
  <c r="FK272" i="120" s="1"/>
  <c r="FB270" i="120"/>
  <c r="FK270" i="120" s="1"/>
  <c r="FB268" i="120"/>
  <c r="FK268" i="120" s="1"/>
  <c r="FB266" i="120"/>
  <c r="FB264" i="120"/>
  <c r="FK264" i="120" s="1"/>
  <c r="FB262" i="120"/>
  <c r="FK262" i="120" s="1"/>
  <c r="FB15" i="120"/>
  <c r="FK15" i="120" s="1"/>
  <c r="FB260" i="120"/>
  <c r="FK260" i="120" s="1"/>
  <c r="FB258" i="120"/>
  <c r="FK258" i="120" s="1"/>
  <c r="FB385" i="120"/>
  <c r="FB255" i="120"/>
  <c r="FK255" i="120" s="1"/>
  <c r="FB253" i="120"/>
  <c r="FK253" i="120" s="1"/>
  <c r="FB251" i="120"/>
  <c r="FK251" i="120" s="1"/>
  <c r="FB250" i="120"/>
  <c r="FK250" i="120" s="1"/>
  <c r="FB249" i="120"/>
  <c r="FK249" i="120" s="1"/>
  <c r="FB247" i="120"/>
  <c r="FK247" i="120" s="1"/>
  <c r="FB17" i="120"/>
  <c r="FK17" i="120" s="1"/>
  <c r="FB244" i="120"/>
  <c r="FK244" i="120" s="1"/>
  <c r="FB242" i="120"/>
  <c r="FK242" i="120" s="1"/>
  <c r="FB240" i="120"/>
  <c r="FK240" i="120" s="1"/>
  <c r="FB20" i="120"/>
  <c r="FK20" i="120" s="1"/>
  <c r="FB237" i="120"/>
  <c r="FK237" i="120" s="1"/>
  <c r="FB235" i="120"/>
  <c r="FK235" i="120" s="1"/>
  <c r="FB233" i="120"/>
  <c r="FK233" i="120" s="1"/>
  <c r="FB231" i="120"/>
  <c r="FK231" i="120" s="1"/>
  <c r="FB229" i="120"/>
  <c r="FK229" i="120" s="1"/>
  <c r="FB227" i="120"/>
  <c r="FK227" i="120" s="1"/>
  <c r="FB225" i="120"/>
  <c r="FK225" i="120" s="1"/>
  <c r="FB223" i="120"/>
  <c r="FK223" i="120" s="1"/>
  <c r="FB221" i="120"/>
  <c r="FK221" i="120" s="1"/>
  <c r="FB219" i="120"/>
  <c r="FK219" i="120" s="1"/>
  <c r="FB217" i="120"/>
  <c r="FK217" i="120" s="1"/>
  <c r="FB215" i="120"/>
  <c r="FK215" i="120" s="1"/>
  <c r="FB213" i="120"/>
  <c r="FK213" i="120" s="1"/>
  <c r="FB391" i="120"/>
  <c r="FK391" i="120" s="1"/>
  <c r="FB210" i="120"/>
  <c r="FK210" i="120" s="1"/>
  <c r="FB208" i="120"/>
  <c r="FK208" i="120" s="1"/>
  <c r="FB206" i="120"/>
  <c r="FK206" i="120" s="1"/>
  <c r="FB205" i="120"/>
  <c r="FK205" i="120" s="1"/>
  <c r="FB203" i="120"/>
  <c r="FK203" i="120" s="1"/>
  <c r="FB201" i="120"/>
  <c r="FK201" i="120" s="1"/>
  <c r="FB199" i="120"/>
  <c r="FK199" i="120" s="1"/>
  <c r="FB197" i="120"/>
  <c r="FK197" i="120" s="1"/>
  <c r="FB11" i="120"/>
  <c r="FK11" i="120" s="1"/>
  <c r="FB194" i="120"/>
  <c r="FK194" i="120" s="1"/>
  <c r="FB192" i="120"/>
  <c r="FK192" i="120" s="1"/>
  <c r="FB190" i="120"/>
  <c r="FK190" i="120" s="1"/>
  <c r="FB188" i="120"/>
  <c r="FK188" i="120" s="1"/>
  <c r="FB186" i="120"/>
  <c r="FK186" i="120" s="1"/>
  <c r="FB184" i="120"/>
  <c r="FK184" i="120" s="1"/>
  <c r="FB182" i="120"/>
  <c r="FK182" i="120" s="1"/>
  <c r="FB180" i="120"/>
  <c r="FK180" i="120" s="1"/>
  <c r="FB178" i="120"/>
  <c r="FK178" i="120" s="1"/>
  <c r="FB176" i="120"/>
  <c r="FK176" i="120" s="1"/>
  <c r="FB174" i="120"/>
  <c r="FK174" i="120" s="1"/>
  <c r="FB172" i="120"/>
  <c r="FK172" i="120" s="1"/>
  <c r="FB399" i="120"/>
  <c r="FK399" i="120" s="1"/>
  <c r="FB169" i="120"/>
  <c r="FK169" i="120" s="1"/>
  <c r="FB167" i="120"/>
  <c r="FK167" i="120" s="1"/>
  <c r="FB165" i="120"/>
  <c r="FK165" i="120" s="1"/>
  <c r="FB163" i="120"/>
  <c r="FK163" i="120" s="1"/>
  <c r="FB161" i="120"/>
  <c r="FK161" i="120" s="1"/>
  <c r="FB159" i="120"/>
  <c r="FK159" i="120" s="1"/>
  <c r="FB157" i="120"/>
  <c r="FK157" i="120" s="1"/>
  <c r="FB155" i="120"/>
  <c r="FK155" i="120" s="1"/>
  <c r="FB153" i="120"/>
  <c r="FK153" i="120" s="1"/>
  <c r="FB151" i="120"/>
  <c r="FK151" i="120" s="1"/>
  <c r="FB149" i="120"/>
  <c r="FK149" i="120" s="1"/>
  <c r="FB147" i="120"/>
  <c r="FK147" i="120" s="1"/>
  <c r="FB145" i="120"/>
  <c r="FK145" i="120" s="1"/>
  <c r="FB143" i="120"/>
  <c r="FK143" i="120" s="1"/>
  <c r="FB141" i="120"/>
  <c r="FK141" i="120" s="1"/>
  <c r="FB139" i="120"/>
  <c r="FK139" i="120" s="1"/>
  <c r="FB137" i="120"/>
  <c r="FK137" i="120" s="1"/>
  <c r="FB135" i="120"/>
  <c r="FK135" i="120" s="1"/>
  <c r="FB133" i="120"/>
  <c r="FK133" i="120" s="1"/>
  <c r="FB131" i="120"/>
  <c r="FK131" i="120" s="1"/>
  <c r="FB129" i="120"/>
  <c r="FK129" i="120" s="1"/>
  <c r="FB127" i="120"/>
  <c r="FK127" i="120" s="1"/>
  <c r="FB125" i="120"/>
  <c r="FK125" i="120" s="1"/>
  <c r="FB123" i="120"/>
  <c r="FK123" i="120" s="1"/>
  <c r="FB121" i="120"/>
  <c r="FK121" i="120" s="1"/>
  <c r="FB119" i="120"/>
  <c r="FK119" i="120" s="1"/>
  <c r="FB117" i="120"/>
  <c r="FK117" i="120" s="1"/>
  <c r="FB115" i="120"/>
  <c r="FK115" i="120" s="1"/>
  <c r="FB113" i="120"/>
  <c r="FK113" i="120" s="1"/>
  <c r="FB111" i="120"/>
  <c r="FK111" i="120" s="1"/>
  <c r="FB109" i="120"/>
  <c r="FK109" i="120" s="1"/>
  <c r="FB107" i="120"/>
  <c r="FK107" i="120" s="1"/>
  <c r="FB105" i="120"/>
  <c r="FK105" i="120" s="1"/>
  <c r="FB103" i="120"/>
  <c r="FK103" i="120" s="1"/>
  <c r="FB101" i="120"/>
  <c r="FK101" i="120" s="1"/>
  <c r="FB99" i="120"/>
  <c r="FK99" i="120" s="1"/>
  <c r="FB97" i="120"/>
  <c r="FK97" i="120" s="1"/>
  <c r="FB95" i="120"/>
  <c r="FK95" i="120" s="1"/>
  <c r="FB93" i="120"/>
  <c r="FK93" i="120" s="1"/>
  <c r="FB91" i="120"/>
  <c r="FK91" i="120" s="1"/>
  <c r="FB89" i="120"/>
  <c r="FK89" i="120" s="1"/>
  <c r="FB87" i="120"/>
  <c r="FK87" i="120" s="1"/>
  <c r="FB85" i="120"/>
  <c r="FK85" i="120" s="1"/>
  <c r="FB83" i="120"/>
  <c r="FK83" i="120" s="1"/>
  <c r="FB81" i="120"/>
  <c r="FK81" i="120" s="1"/>
  <c r="FB79" i="120"/>
  <c r="FK79" i="120" s="1"/>
  <c r="FB77" i="120"/>
  <c r="FK77" i="120" s="1"/>
  <c r="FB75" i="120"/>
  <c r="FK75" i="120" s="1"/>
  <c r="FB73" i="120"/>
  <c r="FK73" i="120" s="1"/>
  <c r="FB6" i="120"/>
  <c r="FK6" i="120" s="1"/>
  <c r="FB23" i="120"/>
  <c r="FK23" i="120" s="1"/>
  <c r="FB70" i="120"/>
  <c r="FK70" i="120" s="1"/>
  <c r="FB407" i="120"/>
  <c r="FK407" i="120" s="1"/>
  <c r="FB408" i="120"/>
  <c r="FB24" i="120"/>
  <c r="FK24" i="120" s="1"/>
  <c r="FB68" i="120"/>
  <c r="FK68" i="120" s="1"/>
  <c r="FB374" i="120"/>
  <c r="FK374" i="120" s="1"/>
  <c r="FB390" i="120"/>
  <c r="FB65" i="120"/>
  <c r="FK65" i="120" s="1"/>
  <c r="FB63" i="120"/>
  <c r="FK63" i="120" s="1"/>
  <c r="FB61" i="120"/>
  <c r="FK61" i="120" s="1"/>
  <c r="FB59" i="120"/>
  <c r="FK59" i="120" s="1"/>
  <c r="FB57" i="120"/>
  <c r="FK57" i="120" s="1"/>
  <c r="FB56" i="120"/>
  <c r="FK56" i="120" s="1"/>
  <c r="FB54" i="120"/>
  <c r="FK54" i="120" s="1"/>
  <c r="FB18" i="120"/>
  <c r="FK18" i="120" s="1"/>
  <c r="FB10" i="120"/>
  <c r="FK10" i="120" s="1"/>
  <c r="FB50" i="120"/>
  <c r="FK50" i="120" s="1"/>
  <c r="FB48" i="120"/>
  <c r="FK48" i="120" s="1"/>
  <c r="FB46" i="120"/>
  <c r="FK46" i="120" s="1"/>
  <c r="FB44" i="120"/>
  <c r="FK44" i="120" s="1"/>
  <c r="EY338" i="120"/>
  <c r="EY336" i="120"/>
  <c r="EY334" i="120"/>
  <c r="EY333" i="120"/>
  <c r="EY332" i="120"/>
  <c r="EY380" i="120"/>
  <c r="EY330" i="120"/>
  <c r="EY392" i="120"/>
  <c r="EY329" i="120"/>
  <c r="EY327" i="120"/>
  <c r="EY325" i="120"/>
  <c r="EY323" i="120"/>
  <c r="EY322" i="120"/>
  <c r="EY393" i="120"/>
  <c r="EY321" i="120"/>
  <c r="EY388" i="120"/>
  <c r="EY318" i="120"/>
  <c r="EY316" i="120"/>
  <c r="EY314" i="120"/>
  <c r="EY312" i="120"/>
  <c r="EY310" i="120"/>
  <c r="EY308" i="120"/>
  <c r="EY306" i="120"/>
  <c r="EY5" i="120"/>
  <c r="EY304" i="120"/>
  <c r="EY302" i="120"/>
  <c r="EY300" i="120"/>
  <c r="EY299" i="120"/>
  <c r="EY298" i="120"/>
  <c r="EY297" i="120"/>
  <c r="EY295" i="120"/>
  <c r="EY293" i="120"/>
  <c r="EY291" i="120"/>
  <c r="EY289" i="120"/>
  <c r="EY287" i="120"/>
  <c r="EY285" i="120"/>
  <c r="EY283" i="120"/>
  <c r="EY281" i="120"/>
  <c r="EY279" i="120"/>
  <c r="EY277" i="120"/>
  <c r="EY275" i="120"/>
  <c r="EY387" i="120"/>
  <c r="EY272" i="120"/>
  <c r="EY270" i="120"/>
  <c r="EY268" i="120"/>
  <c r="EY266" i="120"/>
  <c r="EY264" i="120"/>
  <c r="EY262" i="120"/>
  <c r="EY15" i="120"/>
  <c r="EY260" i="120"/>
  <c r="EY258" i="120"/>
  <c r="EY385" i="120"/>
  <c r="EY255" i="120"/>
  <c r="EY253" i="120"/>
  <c r="EY251" i="120"/>
  <c r="EY250" i="120"/>
  <c r="EY249" i="120"/>
  <c r="EY247" i="120"/>
  <c r="EY17" i="120"/>
  <c r="EY244" i="120"/>
  <c r="EY242" i="120"/>
  <c r="EY240" i="120"/>
  <c r="EY20" i="120"/>
  <c r="EY237" i="120"/>
  <c r="EY235" i="120"/>
  <c r="EY233" i="120"/>
  <c r="EY231" i="120"/>
  <c r="EY229" i="120"/>
  <c r="EY227" i="120"/>
  <c r="EY225" i="120"/>
  <c r="EY223" i="120"/>
  <c r="EY221" i="120"/>
  <c r="EY219" i="120"/>
  <c r="EY217" i="120"/>
  <c r="EY215" i="120"/>
  <c r="EY213" i="120"/>
  <c r="EY391" i="120"/>
  <c r="EY210" i="120"/>
  <c r="EY208" i="120"/>
  <c r="EY206" i="120"/>
  <c r="EY205" i="120"/>
  <c r="EY203" i="120"/>
  <c r="EY201" i="120"/>
  <c r="EY199" i="120"/>
  <c r="EY197" i="120"/>
  <c r="EY11" i="120"/>
  <c r="EY194" i="120"/>
  <c r="EY192" i="120"/>
  <c r="EY190" i="120"/>
  <c r="EY188" i="120"/>
  <c r="EY186" i="120"/>
  <c r="EY184" i="120"/>
  <c r="EY182" i="120"/>
  <c r="EY180" i="120"/>
  <c r="EY178" i="120"/>
  <c r="EY176" i="120"/>
  <c r="EY174" i="120"/>
  <c r="EY172" i="120"/>
  <c r="EY399" i="120"/>
  <c r="EY169" i="120"/>
  <c r="EY167" i="120"/>
  <c r="EY165" i="120"/>
  <c r="EY163" i="120"/>
  <c r="EY161" i="120"/>
  <c r="EY159" i="120"/>
  <c r="EY157" i="120"/>
  <c r="EY155" i="120"/>
  <c r="EY153" i="120"/>
  <c r="EY151" i="120"/>
  <c r="EY149" i="120"/>
  <c r="EY147" i="120"/>
  <c r="EY145" i="120"/>
  <c r="EY143" i="120"/>
  <c r="EY141" i="120"/>
  <c r="EY139" i="120"/>
  <c r="EY137" i="120"/>
  <c r="EY135" i="120"/>
  <c r="EY133" i="120"/>
  <c r="EY131" i="120"/>
  <c r="EY129" i="120"/>
  <c r="EY127" i="120"/>
  <c r="EY123" i="120"/>
  <c r="EY113" i="120"/>
  <c r="EY111" i="120"/>
  <c r="EY107" i="120"/>
  <c r="EY105" i="120"/>
  <c r="EY103" i="120"/>
  <c r="EY101" i="120"/>
  <c r="EY99" i="120"/>
  <c r="EY97" i="120"/>
  <c r="EY95" i="120"/>
  <c r="EY93" i="120"/>
  <c r="EY91" i="120"/>
  <c r="EY89" i="120"/>
  <c r="EY87" i="120"/>
  <c r="EY85" i="120"/>
  <c r="EY83" i="120"/>
  <c r="EY81" i="120"/>
  <c r="EY79" i="120"/>
  <c r="EY77" i="120"/>
  <c r="EY75" i="120"/>
  <c r="EY73" i="120"/>
  <c r="EY6" i="120"/>
  <c r="EY23" i="120"/>
  <c r="EY68" i="120"/>
  <c r="EY59" i="120"/>
  <c r="EZ207" i="120"/>
  <c r="FI207" i="120" s="1"/>
  <c r="EZ394" i="120"/>
  <c r="FI394" i="120" s="1"/>
  <c r="EZ204" i="120"/>
  <c r="FI204" i="120" s="1"/>
  <c r="EZ202" i="120"/>
  <c r="FI202" i="120" s="1"/>
  <c r="EZ200" i="120"/>
  <c r="FI200" i="120" s="1"/>
  <c r="EZ198" i="120"/>
  <c r="FI198" i="120" s="1"/>
  <c r="EZ196" i="120"/>
  <c r="FI196" i="120" s="1"/>
  <c r="EZ195" i="120"/>
  <c r="FI195" i="120" s="1"/>
  <c r="EZ193" i="120"/>
  <c r="FI193" i="120" s="1"/>
  <c r="EZ191" i="120"/>
  <c r="FI191" i="120" s="1"/>
  <c r="EZ189" i="120"/>
  <c r="FI189" i="120" s="1"/>
  <c r="EZ187" i="120"/>
  <c r="FI187" i="120" s="1"/>
  <c r="EZ185" i="120"/>
  <c r="FI185" i="120" s="1"/>
  <c r="EZ183" i="120"/>
  <c r="FI183" i="120" s="1"/>
  <c r="EZ181" i="120"/>
  <c r="FI181" i="120" s="1"/>
  <c r="EZ179" i="120"/>
  <c r="FI179" i="120" s="1"/>
  <c r="EZ177" i="120"/>
  <c r="FI177" i="120" s="1"/>
  <c r="EZ175" i="120"/>
  <c r="FI175" i="120" s="1"/>
  <c r="EZ173" i="120"/>
  <c r="FI173" i="120" s="1"/>
  <c r="EZ171" i="120"/>
  <c r="FI171" i="120" s="1"/>
  <c r="EZ170" i="120"/>
  <c r="FI170" i="120" s="1"/>
  <c r="EZ168" i="120"/>
  <c r="FI168" i="120" s="1"/>
  <c r="EZ166" i="120"/>
  <c r="FI166" i="120" s="1"/>
  <c r="EZ164" i="120"/>
  <c r="FI164" i="120" s="1"/>
  <c r="EZ162" i="120"/>
  <c r="FI162" i="120" s="1"/>
  <c r="EZ160" i="120"/>
  <c r="FI160" i="120" s="1"/>
  <c r="EZ158" i="120"/>
  <c r="FI158" i="120" s="1"/>
  <c r="EZ156" i="120"/>
  <c r="FI156" i="120" s="1"/>
  <c r="EZ154" i="120"/>
  <c r="FI154" i="120" s="1"/>
  <c r="EZ152" i="120"/>
  <c r="FI152" i="120" s="1"/>
  <c r="EZ150" i="120"/>
  <c r="FI150" i="120" s="1"/>
  <c r="EZ148" i="120"/>
  <c r="FI148" i="120" s="1"/>
  <c r="EZ146" i="120"/>
  <c r="FI146" i="120" s="1"/>
  <c r="EZ144" i="120"/>
  <c r="FI144" i="120" s="1"/>
  <c r="EZ142" i="120"/>
  <c r="FI142" i="120" s="1"/>
  <c r="EZ140" i="120"/>
  <c r="FI140" i="120" s="1"/>
  <c r="EZ138" i="120"/>
  <c r="FI138" i="120" s="1"/>
  <c r="EZ136" i="120"/>
  <c r="FI136" i="120" s="1"/>
  <c r="EZ134" i="120"/>
  <c r="FI134" i="120" s="1"/>
  <c r="EZ132" i="120"/>
  <c r="FI132" i="120" s="1"/>
  <c r="EZ130" i="120"/>
  <c r="FI130" i="120" s="1"/>
  <c r="EZ128" i="120"/>
  <c r="FI128" i="120" s="1"/>
  <c r="EZ126" i="120"/>
  <c r="FI126" i="120" s="1"/>
  <c r="EZ124" i="120"/>
  <c r="FI124" i="120" s="1"/>
  <c r="EZ122" i="120"/>
  <c r="FI122" i="120" s="1"/>
  <c r="EZ120" i="120"/>
  <c r="FI120" i="120" s="1"/>
  <c r="EZ118" i="120"/>
  <c r="FI118" i="120" s="1"/>
  <c r="EZ116" i="120"/>
  <c r="FI116" i="120" s="1"/>
  <c r="EZ114" i="120"/>
  <c r="FI114" i="120" s="1"/>
  <c r="EZ112" i="120"/>
  <c r="FI112" i="120" s="1"/>
  <c r="EZ110" i="120"/>
  <c r="FI110" i="120" s="1"/>
  <c r="EZ108" i="120"/>
  <c r="FI108" i="120" s="1"/>
  <c r="EZ106" i="120"/>
  <c r="FI106" i="120" s="1"/>
  <c r="EZ104" i="120"/>
  <c r="FI104" i="120" s="1"/>
  <c r="EZ102" i="120"/>
  <c r="FI102" i="120" s="1"/>
  <c r="EZ100" i="120"/>
  <c r="FI100" i="120" s="1"/>
  <c r="EZ98" i="120"/>
  <c r="FI98" i="120" s="1"/>
  <c r="EZ96" i="120"/>
  <c r="FI96" i="120" s="1"/>
  <c r="EZ94" i="120"/>
  <c r="FI94" i="120" s="1"/>
  <c r="EZ92" i="120"/>
  <c r="FI92" i="120" s="1"/>
  <c r="EZ90" i="120"/>
  <c r="FI90" i="120" s="1"/>
  <c r="EZ88" i="120"/>
  <c r="FI88" i="120" s="1"/>
  <c r="EZ86" i="120"/>
  <c r="FI86" i="120" s="1"/>
  <c r="EZ84" i="120"/>
  <c r="FI84" i="120" s="1"/>
  <c r="EZ82" i="120"/>
  <c r="FI82" i="120" s="1"/>
  <c r="EZ80" i="120"/>
  <c r="FI80" i="120" s="1"/>
  <c r="EZ78" i="120"/>
  <c r="FI78" i="120" s="1"/>
  <c r="EZ76" i="120"/>
  <c r="FI76" i="120" s="1"/>
  <c r="EZ74" i="120"/>
  <c r="FI74" i="120" s="1"/>
  <c r="EZ72" i="120"/>
  <c r="FI72" i="120" s="1"/>
  <c r="EZ71" i="120"/>
  <c r="FI71" i="120" s="1"/>
  <c r="EZ406" i="120"/>
  <c r="FI406" i="120" s="1"/>
  <c r="EZ21" i="120"/>
  <c r="FI21" i="120" s="1"/>
  <c r="EZ409" i="120"/>
  <c r="FI409" i="120" s="1"/>
  <c r="EZ375" i="120"/>
  <c r="FI375" i="120" s="1"/>
  <c r="EZ69" i="120"/>
  <c r="FI69" i="120" s="1"/>
  <c r="EZ395" i="120"/>
  <c r="FI395" i="120" s="1"/>
  <c r="EZ67" i="120"/>
  <c r="FI67" i="120" s="1"/>
  <c r="EZ66" i="120"/>
  <c r="FI66" i="120" s="1"/>
  <c r="EZ64" i="120"/>
  <c r="FI64" i="120" s="1"/>
  <c r="EZ62" i="120"/>
  <c r="FI62" i="120" s="1"/>
  <c r="EZ60" i="120"/>
  <c r="FI60" i="120" s="1"/>
  <c r="EZ58" i="120"/>
  <c r="FI58" i="120" s="1"/>
  <c r="EZ373" i="120"/>
  <c r="FI373" i="120" s="1"/>
  <c r="EZ55" i="120"/>
  <c r="FI55" i="120" s="1"/>
  <c r="EZ53" i="120"/>
  <c r="FI53" i="120" s="1"/>
  <c r="EZ52" i="120"/>
  <c r="FI52" i="120" s="1"/>
  <c r="EZ51" i="120"/>
  <c r="FI51" i="120" s="1"/>
  <c r="EZ49" i="120"/>
  <c r="FI49" i="120" s="1"/>
  <c r="EZ47" i="120"/>
  <c r="FI47" i="120" s="1"/>
  <c r="EZ45" i="120"/>
  <c r="FI45" i="120" s="1"/>
  <c r="EZ43" i="120"/>
  <c r="FI43" i="120" s="1"/>
  <c r="EZ41" i="120"/>
  <c r="FI41" i="120" s="1"/>
  <c r="EZ39" i="120"/>
  <c r="FI39" i="120" s="1"/>
  <c r="EZ37" i="120"/>
  <c r="FI37" i="120" s="1"/>
  <c r="EZ35" i="120"/>
  <c r="FI35" i="120" s="1"/>
  <c r="EZ33" i="120"/>
  <c r="FI33" i="120" s="1"/>
  <c r="EZ31" i="120"/>
  <c r="FI31" i="120" s="1"/>
  <c r="FK27" i="120"/>
  <c r="FB41" i="120"/>
  <c r="FK41" i="120" s="1"/>
  <c r="FB39" i="120"/>
  <c r="FK39" i="120" s="1"/>
  <c r="FB37" i="120"/>
  <c r="FK37" i="120" s="1"/>
  <c r="FB35" i="120"/>
  <c r="FK35" i="120" s="1"/>
  <c r="FB31" i="120"/>
  <c r="FK31" i="120" s="1"/>
  <c r="FI27" i="120"/>
  <c r="EY41" i="120"/>
  <c r="EY39" i="120"/>
  <c r="EY37" i="120"/>
  <c r="EY35" i="120"/>
  <c r="EY33" i="120"/>
  <c r="EY31" i="120"/>
  <c r="EZ42" i="120"/>
  <c r="FI42" i="120" s="1"/>
  <c r="EZ40" i="120"/>
  <c r="FI40" i="120" s="1"/>
  <c r="EZ38" i="120"/>
  <c r="FI38" i="120" s="1"/>
  <c r="EZ36" i="120"/>
  <c r="FI36" i="120" s="1"/>
  <c r="EZ34" i="120"/>
  <c r="FI34" i="120" s="1"/>
  <c r="FK22" i="120"/>
  <c r="FK366" i="120"/>
  <c r="FA41" i="120"/>
  <c r="FJ41" i="120" s="1"/>
  <c r="FA39" i="120"/>
  <c r="FJ39" i="120" s="1"/>
  <c r="FA37" i="120"/>
  <c r="FJ37" i="120" s="1"/>
  <c r="FA35" i="120"/>
  <c r="FJ35" i="120" s="1"/>
  <c r="FA33" i="120"/>
  <c r="FJ33" i="120" s="1"/>
  <c r="FA31" i="120"/>
  <c r="FJ31" i="120" s="1"/>
  <c r="FJ22" i="120"/>
  <c r="FJ366" i="120"/>
  <c r="FB34" i="120"/>
  <c r="FK34" i="120" s="1"/>
  <c r="FB32" i="120"/>
  <c r="FK32" i="120" s="1"/>
  <c r="FB30" i="120"/>
  <c r="FK30" i="120" s="1"/>
  <c r="FI22" i="120"/>
  <c r="FI366" i="120"/>
  <c r="EL149" i="120"/>
  <c r="EL30" i="120"/>
  <c r="EL353" i="120"/>
  <c r="EL263" i="120"/>
  <c r="EL211" i="120"/>
  <c r="EL200" i="120"/>
  <c r="EL191" i="120"/>
  <c r="EL134" i="120"/>
  <c r="EL132" i="120"/>
  <c r="EL100" i="120"/>
  <c r="EL86" i="120"/>
  <c r="EL84" i="120"/>
  <c r="EL71" i="120"/>
  <c r="EL66" i="120"/>
  <c r="EL64" i="120"/>
  <c r="EL148" i="120"/>
  <c r="EL202" i="120"/>
  <c r="EL118" i="120"/>
  <c r="EL10" i="120"/>
  <c r="EL50" i="120"/>
  <c r="EL102" i="120"/>
  <c r="EL326" i="120"/>
  <c r="EL181" i="120"/>
  <c r="EL298" i="120"/>
  <c r="EL232" i="120"/>
  <c r="EL210" i="120"/>
  <c r="EL190" i="120"/>
  <c r="EL180" i="120"/>
  <c r="EL159" i="120"/>
  <c r="EL170" i="120"/>
  <c r="EL406" i="120"/>
  <c r="EL171" i="120"/>
  <c r="EL160" i="120"/>
  <c r="EL116" i="120"/>
  <c r="EL370" i="120"/>
  <c r="EL362" i="120"/>
  <c r="EL377" i="120"/>
  <c r="EL354" i="120"/>
  <c r="EL351" i="120"/>
  <c r="EL343" i="120"/>
  <c r="EL336" i="120"/>
  <c r="EL332" i="120"/>
  <c r="EL380" i="120"/>
  <c r="EL330" i="120"/>
  <c r="EL392" i="120"/>
  <c r="EL329" i="120"/>
  <c r="EL327" i="120"/>
  <c r="EL325" i="120"/>
  <c r="EL323" i="120"/>
  <c r="EL322" i="120"/>
  <c r="EL393" i="120"/>
  <c r="EL321" i="120"/>
  <c r="EL388" i="120"/>
  <c r="EL318" i="120"/>
  <c r="EL316" i="120"/>
  <c r="EL314" i="120"/>
  <c r="EL312" i="120"/>
  <c r="EL310" i="120"/>
  <c r="EL308" i="120"/>
  <c r="EL306" i="120"/>
  <c r="EL5" i="120"/>
  <c r="EL304" i="120"/>
  <c r="EL302" i="120"/>
  <c r="EL300" i="120"/>
  <c r="EL299" i="120"/>
  <c r="EL297" i="120"/>
  <c r="EL295" i="120"/>
  <c r="EL293" i="120"/>
  <c r="EL291" i="120"/>
  <c r="EL289" i="120"/>
  <c r="EL287" i="120"/>
  <c r="EL285" i="120"/>
  <c r="EL283" i="120"/>
  <c r="EL281" i="120"/>
  <c r="EL279" i="120"/>
  <c r="EL277" i="120"/>
  <c r="EL275" i="120"/>
  <c r="EL387" i="120"/>
  <c r="EL272" i="120"/>
  <c r="EL270" i="120"/>
  <c r="EL268" i="120"/>
  <c r="EL266" i="120"/>
  <c r="EL264" i="120"/>
  <c r="EL262" i="120"/>
  <c r="EL15" i="120"/>
  <c r="EL260" i="120"/>
  <c r="EL258" i="120"/>
  <c r="EL385" i="120"/>
  <c r="EL255" i="120"/>
  <c r="EL253" i="120"/>
  <c r="EL251" i="120"/>
  <c r="EL250" i="120"/>
  <c r="EL249" i="120"/>
  <c r="EL247" i="120"/>
  <c r="EL17" i="120"/>
  <c r="EL244" i="120"/>
  <c r="EL242" i="120"/>
  <c r="EL240" i="120"/>
  <c r="EL20" i="120"/>
  <c r="EL237" i="120"/>
  <c r="EL235" i="120"/>
  <c r="EL233" i="120"/>
  <c r="EL231" i="120"/>
  <c r="EL229" i="120"/>
  <c r="EL227" i="120"/>
  <c r="EL219" i="120"/>
  <c r="EL372" i="120"/>
  <c r="EL367" i="120"/>
  <c r="EL14" i="120"/>
  <c r="EL25" i="120"/>
  <c r="EL397" i="120"/>
  <c r="EL345" i="120"/>
  <c r="EL338" i="120"/>
  <c r="EL364" i="120"/>
  <c r="EL358" i="120"/>
  <c r="EL356" i="120"/>
  <c r="EL352" i="120"/>
  <c r="EL347" i="120"/>
  <c r="EL340" i="120"/>
  <c r="EL333" i="120"/>
  <c r="EL376" i="120"/>
  <c r="EL360" i="120"/>
  <c r="EL357" i="120"/>
  <c r="EL378" i="120"/>
  <c r="EL349" i="120"/>
  <c r="EL403" i="120"/>
  <c r="EL334" i="120"/>
  <c r="EL29" i="120"/>
  <c r="EL371" i="120"/>
  <c r="EL369" i="120"/>
  <c r="EL368" i="120"/>
  <c r="EL365" i="120"/>
  <c r="EL363" i="120"/>
  <c r="EL361" i="120"/>
  <c r="EL359" i="120"/>
  <c r="EL12" i="120"/>
  <c r="EL16" i="120"/>
  <c r="EL13" i="120"/>
  <c r="EL9" i="120"/>
  <c r="EL355" i="120"/>
  <c r="EL8" i="120"/>
  <c r="EL405" i="120"/>
  <c r="EL379" i="120"/>
  <c r="EL383" i="120"/>
  <c r="EL350" i="120"/>
  <c r="EL348" i="120"/>
  <c r="EL346" i="120"/>
  <c r="EL344" i="120"/>
  <c r="EL342" i="120"/>
  <c r="EL341" i="120"/>
  <c r="EL339" i="120"/>
  <c r="EL337" i="120"/>
  <c r="EL335" i="120"/>
  <c r="EL381" i="120"/>
  <c r="EL19" i="120"/>
  <c r="EL331" i="120"/>
  <c r="EL401" i="120"/>
  <c r="EL398" i="120"/>
  <c r="EL396" i="120"/>
  <c r="EL328" i="120"/>
  <c r="EL324" i="120"/>
  <c r="EL382" i="120"/>
  <c r="EL400" i="120"/>
  <c r="EL402" i="120"/>
  <c r="EL320" i="120"/>
  <c r="EL319" i="120"/>
  <c r="EL317" i="120"/>
  <c r="EL315" i="120"/>
  <c r="EL313" i="120"/>
  <c r="EL311" i="120"/>
  <c r="EL309" i="120"/>
  <c r="EL307" i="120"/>
  <c r="EL28" i="120"/>
  <c r="EL305" i="120"/>
  <c r="EL303" i="120"/>
  <c r="EL301" i="120"/>
  <c r="EL389" i="120"/>
  <c r="EL384" i="120"/>
  <c r="EL7" i="120"/>
  <c r="EL296" i="120"/>
  <c r="EL294" i="120"/>
  <c r="EL292" i="120"/>
  <c r="EL290" i="120"/>
  <c r="EL288" i="120"/>
  <c r="EL286" i="120"/>
  <c r="EL284" i="120"/>
  <c r="EL282" i="120"/>
  <c r="EL280" i="120"/>
  <c r="EL278" i="120"/>
  <c r="EL276" i="120"/>
  <c r="EL274" i="120"/>
  <c r="EL273" i="120"/>
  <c r="EL271" i="120"/>
  <c r="EL269" i="120"/>
  <c r="EL267" i="120"/>
  <c r="EL265" i="120"/>
  <c r="EL404" i="120"/>
  <c r="EL261" i="120"/>
  <c r="EL259" i="120"/>
  <c r="EL257" i="120"/>
  <c r="EL256" i="120"/>
  <c r="EL254" i="120"/>
  <c r="EL252" i="120"/>
  <c r="EL386" i="120"/>
  <c r="EL26" i="120"/>
  <c r="EL248" i="120"/>
  <c r="EL246" i="120"/>
  <c r="EL245" i="120"/>
  <c r="EL243" i="120"/>
  <c r="EL241" i="120"/>
  <c r="EL239" i="120"/>
  <c r="EL238" i="120"/>
  <c r="EL230" i="120"/>
  <c r="EL220" i="120"/>
  <c r="EL225" i="120"/>
  <c r="EL223" i="120"/>
  <c r="EL221" i="120"/>
  <c r="EL217" i="120"/>
  <c r="EL215" i="120"/>
  <c r="EL213" i="120"/>
  <c r="EL391" i="120"/>
  <c r="EL208" i="120"/>
  <c r="EL206" i="120"/>
  <c r="EL205" i="120"/>
  <c r="EL203" i="120"/>
  <c r="EL201" i="120"/>
  <c r="EL199" i="120"/>
  <c r="EL197" i="120"/>
  <c r="EL11" i="120"/>
  <c r="EL194" i="120"/>
  <c r="EL192" i="120"/>
  <c r="EL188" i="120"/>
  <c r="EL186" i="120"/>
  <c r="EL184" i="120"/>
  <c r="EL182" i="120"/>
  <c r="EL178" i="120"/>
  <c r="EL176" i="120"/>
  <c r="EL174" i="120"/>
  <c r="EL172" i="120"/>
  <c r="EL399" i="120"/>
  <c r="EL169" i="120"/>
  <c r="EL167" i="120"/>
  <c r="EL165" i="120"/>
  <c r="EL163" i="120"/>
  <c r="EL161" i="120"/>
  <c r="EL157" i="120"/>
  <c r="EL155" i="120"/>
  <c r="EL153" i="120"/>
  <c r="EL151" i="120"/>
  <c r="EL147" i="120"/>
  <c r="EL145" i="120"/>
  <c r="EL143" i="120"/>
  <c r="EL141" i="120"/>
  <c r="EL139" i="120"/>
  <c r="EL137" i="120"/>
  <c r="EL135" i="120"/>
  <c r="EL133" i="120"/>
  <c r="EL131" i="120"/>
  <c r="EL129" i="120"/>
  <c r="EL127" i="120"/>
  <c r="EL125" i="120"/>
  <c r="EL123" i="120"/>
  <c r="EL121" i="120"/>
  <c r="EL119" i="120"/>
  <c r="EL117" i="120"/>
  <c r="EL115" i="120"/>
  <c r="EL113" i="120"/>
  <c r="EL111" i="120"/>
  <c r="EL109" i="120"/>
  <c r="EL107" i="120"/>
  <c r="EL105" i="120"/>
  <c r="EL103" i="120"/>
  <c r="EL101" i="120"/>
  <c r="EL99" i="120"/>
  <c r="EL95" i="120"/>
  <c r="EL87" i="120"/>
  <c r="EL79" i="120"/>
  <c r="EL6" i="120"/>
  <c r="EL408" i="120"/>
  <c r="EL390" i="120"/>
  <c r="EL59" i="120"/>
  <c r="EL18" i="120"/>
  <c r="EL44" i="120"/>
  <c r="EL42" i="120"/>
  <c r="EL38" i="120"/>
  <c r="EL34" i="120"/>
  <c r="EL236" i="120"/>
  <c r="EL234" i="120"/>
  <c r="EL228" i="120"/>
  <c r="EL226" i="120"/>
  <c r="EL224" i="120"/>
  <c r="EL222" i="120"/>
  <c r="EL218" i="120"/>
  <c r="EL216" i="120"/>
  <c r="EL214" i="120"/>
  <c r="EL212" i="120"/>
  <c r="EL209" i="120"/>
  <c r="EL207" i="120"/>
  <c r="EL394" i="120"/>
  <c r="EL204" i="120"/>
  <c r="EL198" i="120"/>
  <c r="EL196" i="120"/>
  <c r="EL195" i="120"/>
  <c r="EL193" i="120"/>
  <c r="EL189" i="120"/>
  <c r="EL187" i="120"/>
  <c r="EL185" i="120"/>
  <c r="EL183" i="120"/>
  <c r="EL179" i="120"/>
  <c r="EL177" i="120"/>
  <c r="EL175" i="120"/>
  <c r="EL173" i="120"/>
  <c r="EL168" i="120"/>
  <c r="EL166" i="120"/>
  <c r="EL164" i="120"/>
  <c r="EL162" i="120"/>
  <c r="EL158" i="120"/>
  <c r="EL156" i="120"/>
  <c r="EL154" i="120"/>
  <c r="EL152" i="120"/>
  <c r="EL150" i="120"/>
  <c r="EL146" i="120"/>
  <c r="EL144" i="120"/>
  <c r="EL142" i="120"/>
  <c r="EL140" i="120"/>
  <c r="EL138" i="120"/>
  <c r="EL136" i="120"/>
  <c r="EL130" i="120"/>
  <c r="EL128" i="120"/>
  <c r="EL126" i="120"/>
  <c r="EL124" i="120"/>
  <c r="EL122" i="120"/>
  <c r="EL120" i="120"/>
  <c r="EL114" i="120"/>
  <c r="EL112" i="120"/>
  <c r="EL110" i="120"/>
  <c r="EL108" i="120"/>
  <c r="EL106" i="120"/>
  <c r="EL104" i="120"/>
  <c r="EL98" i="120"/>
  <c r="EL96" i="120"/>
  <c r="EL94" i="120"/>
  <c r="EL92" i="120"/>
  <c r="EL90" i="120"/>
  <c r="EL88" i="120"/>
  <c r="EL82" i="120"/>
  <c r="EL80" i="120"/>
  <c r="EL78" i="120"/>
  <c r="EL76" i="120"/>
  <c r="EL74" i="120"/>
  <c r="EL72" i="120"/>
  <c r="EL21" i="120"/>
  <c r="EL409" i="120"/>
  <c r="EL375" i="120"/>
  <c r="EL69" i="120"/>
  <c r="EL395" i="120"/>
  <c r="EL67" i="120"/>
  <c r="EL62" i="120"/>
  <c r="EL60" i="120"/>
  <c r="EL58" i="120"/>
  <c r="EL373" i="120"/>
  <c r="EL55" i="120"/>
  <c r="EL53" i="120"/>
  <c r="EL52" i="120"/>
  <c r="EL51" i="120"/>
  <c r="EL49" i="120"/>
  <c r="EL47" i="120"/>
  <c r="EL45" i="120"/>
  <c r="EL43" i="120"/>
  <c r="EL41" i="120"/>
  <c r="EL39" i="120"/>
  <c r="EL37" i="120"/>
  <c r="EL35" i="120"/>
  <c r="EL33" i="120"/>
  <c r="EL31" i="120"/>
  <c r="EL97" i="120"/>
  <c r="EL93" i="120"/>
  <c r="EL91" i="120"/>
  <c r="EL89" i="120"/>
  <c r="EL85" i="120"/>
  <c r="EL83" i="120"/>
  <c r="EL81" i="120"/>
  <c r="EL77" i="120"/>
  <c r="EL75" i="120"/>
  <c r="EL73" i="120"/>
  <c r="EL23" i="120"/>
  <c r="EL70" i="120"/>
  <c r="EL407" i="120"/>
  <c r="EL24" i="120"/>
  <c r="EL68" i="120"/>
  <c r="EL374" i="120"/>
  <c r="EL65" i="120"/>
  <c r="EL63" i="120"/>
  <c r="EL61" i="120"/>
  <c r="EL57" i="120"/>
  <c r="EL56" i="120"/>
  <c r="EL54" i="120"/>
  <c r="EL48" i="120"/>
  <c r="EL46" i="120"/>
  <c r="EL40" i="120"/>
  <c r="EL36" i="120"/>
  <c r="EL32" i="120"/>
  <c r="EY1" i="120" l="1"/>
  <c r="FI5" i="120"/>
  <c r="EZ1" i="120"/>
  <c r="FA1" i="120"/>
  <c r="FB1" i="120"/>
  <c r="P363" i="120" l="1"/>
  <c r="Q363" i="120"/>
  <c r="R363" i="120"/>
  <c r="S363" i="120"/>
  <c r="T363" i="120"/>
  <c r="U363" i="120"/>
  <c r="V363" i="120"/>
  <c r="W363" i="120"/>
  <c r="X363" i="120"/>
  <c r="Y363" i="120"/>
  <c r="Z363" i="120"/>
  <c r="P27" i="120"/>
  <c r="Q27" i="120"/>
  <c r="R27" i="120"/>
  <c r="S27" i="120"/>
  <c r="T27" i="120"/>
  <c r="U27" i="120"/>
  <c r="V27" i="120"/>
  <c r="W27" i="120"/>
  <c r="X27" i="120"/>
  <c r="Y27" i="120"/>
  <c r="Z27" i="120"/>
  <c r="P22" i="120"/>
  <c r="Q22" i="120"/>
  <c r="R22" i="120"/>
  <c r="S22" i="120"/>
  <c r="T22" i="120"/>
  <c r="U22" i="120"/>
  <c r="V22" i="120"/>
  <c r="W22" i="120"/>
  <c r="X22" i="120"/>
  <c r="Y22" i="120"/>
  <c r="Z22" i="120"/>
  <c r="CQ6" i="120" l="1"/>
  <c r="EE6" i="120" s="1"/>
  <c r="FJ6" i="120" s="1"/>
  <c r="CQ395" i="120" l="1"/>
  <c r="EE395" i="120" s="1"/>
  <c r="FJ395" i="120" s="1"/>
  <c r="DG390" i="120"/>
  <c r="CU398" i="120"/>
  <c r="EE398" i="120" s="1"/>
  <c r="FJ398" i="120" s="1"/>
  <c r="DK390" i="120"/>
  <c r="CQ10" i="120"/>
  <c r="EE10" i="120" s="1"/>
  <c r="FJ10" i="120" s="1"/>
  <c r="EF390" i="120" l="1"/>
  <c r="FK390" i="120" s="1"/>
  <c r="CL30" i="120"/>
  <c r="EB30" i="120" s="1"/>
  <c r="CL31" i="120"/>
  <c r="EB31" i="120" s="1"/>
  <c r="CL32" i="120"/>
  <c r="EB32" i="120" s="1"/>
  <c r="CL33" i="120"/>
  <c r="EB33" i="120" s="1"/>
  <c r="CL34" i="120"/>
  <c r="EB34" i="120" s="1"/>
  <c r="CL35" i="120"/>
  <c r="EB35" i="120" s="1"/>
  <c r="CL36" i="120"/>
  <c r="EB36" i="120" s="1"/>
  <c r="CL37" i="120"/>
  <c r="EB37" i="120" s="1"/>
  <c r="CL38" i="120"/>
  <c r="EB38" i="120" s="1"/>
  <c r="CL39" i="120"/>
  <c r="EB39" i="120" s="1"/>
  <c r="CL40" i="120"/>
  <c r="EB40" i="120" s="1"/>
  <c r="CL41" i="120"/>
  <c r="EB41" i="120" s="1"/>
  <c r="CL42" i="120"/>
  <c r="EB42" i="120" s="1"/>
  <c r="CL43" i="120"/>
  <c r="EB43" i="120" s="1"/>
  <c r="CL44" i="120"/>
  <c r="EB44" i="120" s="1"/>
  <c r="CL45" i="120"/>
  <c r="EB45" i="120" s="1"/>
  <c r="CL46" i="120"/>
  <c r="EB46" i="120" s="1"/>
  <c r="CL47" i="120"/>
  <c r="EB47" i="120" s="1"/>
  <c r="CL48" i="120"/>
  <c r="EB48" i="120" s="1"/>
  <c r="CL49" i="120"/>
  <c r="EB49" i="120" s="1"/>
  <c r="CL50" i="120"/>
  <c r="EB50" i="120" s="1"/>
  <c r="CL51" i="120"/>
  <c r="EB51" i="120" s="1"/>
  <c r="CL10" i="120"/>
  <c r="EB10" i="120" s="1"/>
  <c r="CL52" i="120"/>
  <c r="EB52" i="120" s="1"/>
  <c r="CL18" i="120"/>
  <c r="EB18" i="120" s="1"/>
  <c r="CL53" i="120"/>
  <c r="EB53" i="120" s="1"/>
  <c r="CL54" i="120"/>
  <c r="EB54" i="120" s="1"/>
  <c r="CL55" i="120"/>
  <c r="EB55" i="120" s="1"/>
  <c r="CL56" i="120"/>
  <c r="EB56" i="120" s="1"/>
  <c r="CL373" i="120"/>
  <c r="EB373" i="120" s="1"/>
  <c r="CL57" i="120"/>
  <c r="EB57" i="120" s="1"/>
  <c r="CL58" i="120"/>
  <c r="EB58" i="120" s="1"/>
  <c r="CL59" i="120"/>
  <c r="EB59" i="120" s="1"/>
  <c r="CL60" i="120"/>
  <c r="EB60" i="120" s="1"/>
  <c r="CL61" i="120"/>
  <c r="EB61" i="120" s="1"/>
  <c r="CL62" i="120"/>
  <c r="EB62" i="120" s="1"/>
  <c r="CL63" i="120"/>
  <c r="EB63" i="120" s="1"/>
  <c r="CL64" i="120"/>
  <c r="EB64" i="120" s="1"/>
  <c r="CL65" i="120"/>
  <c r="EB65" i="120" s="1"/>
  <c r="CL66" i="120"/>
  <c r="EB66" i="120" s="1"/>
  <c r="CL390" i="120"/>
  <c r="EB390" i="120" s="1"/>
  <c r="CL67" i="120"/>
  <c r="EB67" i="120" s="1"/>
  <c r="CL374" i="120"/>
  <c r="EB374" i="120" s="1"/>
  <c r="CL395" i="120"/>
  <c r="EB395" i="120" s="1"/>
  <c r="CL68" i="120"/>
  <c r="EB68" i="120" s="1"/>
  <c r="CL69" i="120"/>
  <c r="EB69" i="120" s="1"/>
  <c r="CL24" i="120"/>
  <c r="EB24" i="120" s="1"/>
  <c r="CL375" i="120"/>
  <c r="EB375" i="120" s="1"/>
  <c r="CL408" i="120"/>
  <c r="EB408" i="120" s="1"/>
  <c r="CL409" i="120"/>
  <c r="EB409" i="120" s="1"/>
  <c r="CL407" i="120"/>
  <c r="EB407" i="120" s="1"/>
  <c r="CL21" i="120"/>
  <c r="EB21" i="120" s="1"/>
  <c r="CL70" i="120"/>
  <c r="EB70" i="120" s="1"/>
  <c r="CL406" i="120"/>
  <c r="EB406" i="120" s="1"/>
  <c r="CL23" i="120"/>
  <c r="EB23" i="120" s="1"/>
  <c r="CL71" i="120"/>
  <c r="EB71" i="120" s="1"/>
  <c r="CL6" i="120"/>
  <c r="EB6" i="120" s="1"/>
  <c r="CL72" i="120"/>
  <c r="EB72" i="120" s="1"/>
  <c r="CL73" i="120"/>
  <c r="EB73" i="120" s="1"/>
  <c r="CL74" i="120"/>
  <c r="EB74" i="120" s="1"/>
  <c r="CL75" i="120"/>
  <c r="EB75" i="120" s="1"/>
  <c r="CL76" i="120"/>
  <c r="EB76" i="120" s="1"/>
  <c r="CL77" i="120"/>
  <c r="EB77" i="120" s="1"/>
  <c r="CL78" i="120"/>
  <c r="EB78" i="120" s="1"/>
  <c r="CL79" i="120"/>
  <c r="EB79" i="120" s="1"/>
  <c r="CL80" i="120"/>
  <c r="EB80" i="120" s="1"/>
  <c r="CL81" i="120"/>
  <c r="EB81" i="120" s="1"/>
  <c r="CL82" i="120"/>
  <c r="EB82" i="120" s="1"/>
  <c r="CL83" i="120"/>
  <c r="EB83" i="120" s="1"/>
  <c r="CL84" i="120"/>
  <c r="EB84" i="120" s="1"/>
  <c r="CL85" i="120"/>
  <c r="EB85" i="120" s="1"/>
  <c r="CL86" i="120"/>
  <c r="EB86" i="120" s="1"/>
  <c r="CL87" i="120"/>
  <c r="EB87" i="120" s="1"/>
  <c r="CL88" i="120"/>
  <c r="EB88" i="120" s="1"/>
  <c r="CL89" i="120"/>
  <c r="EB89" i="120" s="1"/>
  <c r="CL90" i="120"/>
  <c r="EB90" i="120" s="1"/>
  <c r="CL91" i="120"/>
  <c r="EB91" i="120" s="1"/>
  <c r="CL92" i="120"/>
  <c r="EB92" i="120" s="1"/>
  <c r="CL93" i="120"/>
  <c r="EB93" i="120" s="1"/>
  <c r="CL94" i="120"/>
  <c r="EB94" i="120" s="1"/>
  <c r="CL95" i="120"/>
  <c r="EB95" i="120" s="1"/>
  <c r="CL96" i="120"/>
  <c r="EB96" i="120" s="1"/>
  <c r="CL97" i="120"/>
  <c r="EB97" i="120" s="1"/>
  <c r="CL98" i="120"/>
  <c r="EB98" i="120" s="1"/>
  <c r="CL99" i="120"/>
  <c r="EB99" i="120" s="1"/>
  <c r="CL100" i="120"/>
  <c r="EB100" i="120" s="1"/>
  <c r="CL101" i="120"/>
  <c r="EB101" i="120" s="1"/>
  <c r="CL102" i="120"/>
  <c r="EB102" i="120" s="1"/>
  <c r="CL103" i="120"/>
  <c r="EB103" i="120" s="1"/>
  <c r="CL104" i="120"/>
  <c r="EB104" i="120" s="1"/>
  <c r="CL105" i="120"/>
  <c r="EB105" i="120" s="1"/>
  <c r="CL106" i="120"/>
  <c r="EB106" i="120" s="1"/>
  <c r="CL107" i="120"/>
  <c r="EB107" i="120" s="1"/>
  <c r="CL108" i="120"/>
  <c r="EB108" i="120" s="1"/>
  <c r="CL109" i="120"/>
  <c r="EB109" i="120" s="1"/>
  <c r="CL110" i="120"/>
  <c r="EB110" i="120" s="1"/>
  <c r="CL111" i="120"/>
  <c r="EB111" i="120" s="1"/>
  <c r="CL112" i="120"/>
  <c r="EB112" i="120" s="1"/>
  <c r="CL113" i="120"/>
  <c r="EB113" i="120" s="1"/>
  <c r="CL114" i="120"/>
  <c r="EB114" i="120" s="1"/>
  <c r="CL115" i="120"/>
  <c r="EB115" i="120" s="1"/>
  <c r="CL116" i="120"/>
  <c r="EB116" i="120" s="1"/>
  <c r="CL117" i="120"/>
  <c r="EB117" i="120" s="1"/>
  <c r="CL118" i="120"/>
  <c r="EB118" i="120" s="1"/>
  <c r="CL119" i="120"/>
  <c r="EB119" i="120" s="1"/>
  <c r="CL120" i="120"/>
  <c r="EB120" i="120" s="1"/>
  <c r="CL121" i="120"/>
  <c r="EB121" i="120" s="1"/>
  <c r="CL122" i="120"/>
  <c r="EB122" i="120" s="1"/>
  <c r="CL123" i="120"/>
  <c r="EB123" i="120" s="1"/>
  <c r="CL124" i="120"/>
  <c r="EB124" i="120" s="1"/>
  <c r="CL125" i="120"/>
  <c r="EB125" i="120" s="1"/>
  <c r="CL126" i="120"/>
  <c r="EB126" i="120" s="1"/>
  <c r="CL127" i="120"/>
  <c r="EB127" i="120" s="1"/>
  <c r="CL128" i="120"/>
  <c r="EB128" i="120" s="1"/>
  <c r="CL129" i="120"/>
  <c r="EB129" i="120" s="1"/>
  <c r="CL130" i="120"/>
  <c r="EB130" i="120" s="1"/>
  <c r="CL131" i="120"/>
  <c r="EB131" i="120" s="1"/>
  <c r="CL132" i="120"/>
  <c r="EB132" i="120" s="1"/>
  <c r="CL133" i="120"/>
  <c r="EB133" i="120" s="1"/>
  <c r="CL134" i="120"/>
  <c r="EB134" i="120" s="1"/>
  <c r="CL135" i="120"/>
  <c r="EB135" i="120" s="1"/>
  <c r="CL136" i="120"/>
  <c r="EB136" i="120" s="1"/>
  <c r="CL137" i="120"/>
  <c r="EB137" i="120" s="1"/>
  <c r="CL138" i="120"/>
  <c r="EB138" i="120" s="1"/>
  <c r="CL139" i="120"/>
  <c r="EB139" i="120" s="1"/>
  <c r="CL140" i="120"/>
  <c r="EB140" i="120" s="1"/>
  <c r="CL141" i="120"/>
  <c r="EB141" i="120" s="1"/>
  <c r="CL142" i="120"/>
  <c r="EB142" i="120" s="1"/>
  <c r="CL143" i="120"/>
  <c r="EB143" i="120" s="1"/>
  <c r="CL144" i="120"/>
  <c r="EB144" i="120" s="1"/>
  <c r="CL145" i="120"/>
  <c r="EB145" i="120" s="1"/>
  <c r="CL146" i="120"/>
  <c r="EB146" i="120" s="1"/>
  <c r="CL147" i="120"/>
  <c r="EB147" i="120" s="1"/>
  <c r="CL148" i="120"/>
  <c r="EB148" i="120" s="1"/>
  <c r="CL149" i="120"/>
  <c r="EB149" i="120" s="1"/>
  <c r="CL150" i="120"/>
  <c r="EB150" i="120" s="1"/>
  <c r="CL151" i="120"/>
  <c r="EB151" i="120" s="1"/>
  <c r="CL152" i="120"/>
  <c r="EB152" i="120" s="1"/>
  <c r="CL153" i="120"/>
  <c r="EB153" i="120" s="1"/>
  <c r="CL154" i="120"/>
  <c r="EB154" i="120" s="1"/>
  <c r="CL155" i="120"/>
  <c r="EB155" i="120" s="1"/>
  <c r="CL156" i="120"/>
  <c r="EB156" i="120" s="1"/>
  <c r="CL157" i="120"/>
  <c r="EB157" i="120" s="1"/>
  <c r="CL158" i="120"/>
  <c r="EB158" i="120" s="1"/>
  <c r="CL159" i="120"/>
  <c r="EB159" i="120" s="1"/>
  <c r="CL160" i="120"/>
  <c r="EB160" i="120" s="1"/>
  <c r="CL161" i="120"/>
  <c r="EB161" i="120" s="1"/>
  <c r="CL162" i="120"/>
  <c r="EB162" i="120" s="1"/>
  <c r="CL163" i="120"/>
  <c r="EB163" i="120" s="1"/>
  <c r="CL164" i="120"/>
  <c r="EB164" i="120" s="1"/>
  <c r="CL165" i="120"/>
  <c r="EB165" i="120" s="1"/>
  <c r="CL166" i="120"/>
  <c r="EB166" i="120" s="1"/>
  <c r="CL167" i="120"/>
  <c r="EB167" i="120" s="1"/>
  <c r="CL168" i="120"/>
  <c r="EB168" i="120" s="1"/>
  <c r="CL169" i="120"/>
  <c r="EB169" i="120" s="1"/>
  <c r="CL170" i="120"/>
  <c r="EB170" i="120" s="1"/>
  <c r="CL399" i="120"/>
  <c r="EB399" i="120" s="1"/>
  <c r="CL171" i="120"/>
  <c r="EB171" i="120" s="1"/>
  <c r="CL172" i="120"/>
  <c r="EB172" i="120" s="1"/>
  <c r="CL173" i="120"/>
  <c r="EB173" i="120" s="1"/>
  <c r="CL174" i="120"/>
  <c r="EB174" i="120" s="1"/>
  <c r="CL175" i="120"/>
  <c r="EB175" i="120" s="1"/>
  <c r="CL176" i="120"/>
  <c r="EB176" i="120" s="1"/>
  <c r="CL177" i="120"/>
  <c r="EB177" i="120" s="1"/>
  <c r="CL178" i="120"/>
  <c r="EB178" i="120" s="1"/>
  <c r="CL179" i="120"/>
  <c r="EB179" i="120" s="1"/>
  <c r="CL180" i="120"/>
  <c r="EB180" i="120" s="1"/>
  <c r="CL181" i="120"/>
  <c r="EB181" i="120" s="1"/>
  <c r="CL182" i="120"/>
  <c r="EB182" i="120" s="1"/>
  <c r="CL183" i="120"/>
  <c r="EB183" i="120" s="1"/>
  <c r="CL184" i="120"/>
  <c r="EB184" i="120" s="1"/>
  <c r="CL185" i="120"/>
  <c r="EB185" i="120" s="1"/>
  <c r="CL186" i="120"/>
  <c r="EB186" i="120" s="1"/>
  <c r="CL187" i="120"/>
  <c r="EB187" i="120" s="1"/>
  <c r="CL188" i="120"/>
  <c r="EB188" i="120" s="1"/>
  <c r="CL189" i="120"/>
  <c r="EB189" i="120" s="1"/>
  <c r="CL190" i="120"/>
  <c r="EB190" i="120" s="1"/>
  <c r="CL191" i="120"/>
  <c r="EB191" i="120" s="1"/>
  <c r="CL192" i="120"/>
  <c r="EB192" i="120" s="1"/>
  <c r="CL193" i="120"/>
  <c r="EB193" i="120" s="1"/>
  <c r="CL194" i="120"/>
  <c r="EB194" i="120" s="1"/>
  <c r="CL195" i="120"/>
  <c r="EB195" i="120" s="1"/>
  <c r="CL11" i="120"/>
  <c r="EB11" i="120" s="1"/>
  <c r="CL196" i="120"/>
  <c r="EB196" i="120" s="1"/>
  <c r="CL197" i="120"/>
  <c r="EB197" i="120" s="1"/>
  <c r="CL198" i="120"/>
  <c r="EB198" i="120" s="1"/>
  <c r="CL199" i="120"/>
  <c r="EB199" i="120" s="1"/>
  <c r="CL200" i="120"/>
  <c r="EB200" i="120" s="1"/>
  <c r="CL201" i="120"/>
  <c r="EB201" i="120" s="1"/>
  <c r="CL202" i="120"/>
  <c r="EB202" i="120" s="1"/>
  <c r="CL203" i="120"/>
  <c r="EB203" i="120" s="1"/>
  <c r="CL204" i="120"/>
  <c r="EB204" i="120" s="1"/>
  <c r="CL205" i="120"/>
  <c r="EB205" i="120" s="1"/>
  <c r="CL394" i="120"/>
  <c r="EB394" i="120" s="1"/>
  <c r="CL206" i="120"/>
  <c r="EB206" i="120" s="1"/>
  <c r="CL207" i="120"/>
  <c r="EB207" i="120" s="1"/>
  <c r="CL208" i="120"/>
  <c r="EB208" i="120" s="1"/>
  <c r="CL209" i="120"/>
  <c r="EB209" i="120" s="1"/>
  <c r="CL210" i="120"/>
  <c r="EB210" i="120" s="1"/>
  <c r="CL211" i="120"/>
  <c r="EB211" i="120" s="1"/>
  <c r="CL391" i="120"/>
  <c r="EB391" i="120" s="1"/>
  <c r="CL212" i="120"/>
  <c r="EB212" i="120" s="1"/>
  <c r="CL213" i="120"/>
  <c r="EB213" i="120" s="1"/>
  <c r="CL214" i="120"/>
  <c r="EB214" i="120" s="1"/>
  <c r="CL215" i="120"/>
  <c r="EB215" i="120" s="1"/>
  <c r="CL216" i="120"/>
  <c r="EB216" i="120" s="1"/>
  <c r="CL217" i="120"/>
  <c r="EB217" i="120" s="1"/>
  <c r="CL218" i="120"/>
  <c r="EB218" i="120" s="1"/>
  <c r="CL219" i="120"/>
  <c r="EB219" i="120" s="1"/>
  <c r="CL220" i="120"/>
  <c r="EB220" i="120" s="1"/>
  <c r="CL221" i="120"/>
  <c r="EB221" i="120" s="1"/>
  <c r="CL222" i="120"/>
  <c r="EB222" i="120" s="1"/>
  <c r="CL223" i="120"/>
  <c r="EB223" i="120" s="1"/>
  <c r="CL224" i="120"/>
  <c r="EB224" i="120" s="1"/>
  <c r="CL225" i="120"/>
  <c r="EB225" i="120" s="1"/>
  <c r="CL226" i="120"/>
  <c r="EB226" i="120" s="1"/>
  <c r="CL227" i="120"/>
  <c r="EB227" i="120" s="1"/>
  <c r="CL228" i="120"/>
  <c r="EB228" i="120" s="1"/>
  <c r="CL229" i="120"/>
  <c r="EB229" i="120" s="1"/>
  <c r="CL230" i="120"/>
  <c r="EB230" i="120" s="1"/>
  <c r="CL231" i="120"/>
  <c r="EB231" i="120" s="1"/>
  <c r="CL232" i="120"/>
  <c r="EB232" i="120" s="1"/>
  <c r="CL233" i="120"/>
  <c r="EB233" i="120" s="1"/>
  <c r="CL234" i="120"/>
  <c r="EB234" i="120" s="1"/>
  <c r="CL235" i="120"/>
  <c r="EB235" i="120" s="1"/>
  <c r="CL236" i="120"/>
  <c r="EB236" i="120" s="1"/>
  <c r="CL237" i="120"/>
  <c r="EB237" i="120" s="1"/>
  <c r="CL238" i="120"/>
  <c r="EB238" i="120" s="1"/>
  <c r="CL20" i="120"/>
  <c r="EB20" i="120" s="1"/>
  <c r="CL239" i="120"/>
  <c r="EB239" i="120" s="1"/>
  <c r="CL240" i="120"/>
  <c r="EB240" i="120" s="1"/>
  <c r="CL241" i="120"/>
  <c r="EB241" i="120" s="1"/>
  <c r="CL242" i="120"/>
  <c r="EB242" i="120" s="1"/>
  <c r="CL243" i="120"/>
  <c r="EB243" i="120" s="1"/>
  <c r="CL244" i="120"/>
  <c r="EB244" i="120" s="1"/>
  <c r="CL245" i="120"/>
  <c r="EB245" i="120" s="1"/>
  <c r="CL17" i="120"/>
  <c r="EB17" i="120" s="1"/>
  <c r="CL246" i="120"/>
  <c r="EB246" i="120" s="1"/>
  <c r="CL247" i="120"/>
  <c r="EB247" i="120" s="1"/>
  <c r="CL248" i="120"/>
  <c r="EB248" i="120" s="1"/>
  <c r="CL249" i="120"/>
  <c r="EB249" i="120" s="1"/>
  <c r="CL26" i="120"/>
  <c r="EB26" i="120" s="1"/>
  <c r="CL250" i="120"/>
  <c r="EB250" i="120" s="1"/>
  <c r="CL386" i="120"/>
  <c r="EB386" i="120" s="1"/>
  <c r="CL251" i="120"/>
  <c r="EB251" i="120" s="1"/>
  <c r="CL252" i="120"/>
  <c r="EB252" i="120" s="1"/>
  <c r="CL253" i="120"/>
  <c r="EB253" i="120" s="1"/>
  <c r="CL254" i="120"/>
  <c r="EB254" i="120" s="1"/>
  <c r="CL255" i="120"/>
  <c r="EB255" i="120" s="1"/>
  <c r="CL256" i="120"/>
  <c r="EB256" i="120" s="1"/>
  <c r="CL385" i="120"/>
  <c r="EB385" i="120" s="1"/>
  <c r="CL257" i="120"/>
  <c r="EB257" i="120" s="1"/>
  <c r="CL258" i="120"/>
  <c r="EB258" i="120" s="1"/>
  <c r="CL259" i="120"/>
  <c r="EB259" i="120" s="1"/>
  <c r="CL260" i="120"/>
  <c r="EB260" i="120" s="1"/>
  <c r="CL261" i="120"/>
  <c r="EB261" i="120" s="1"/>
  <c r="CL15" i="120"/>
  <c r="EB15" i="120" s="1"/>
  <c r="CL404" i="120"/>
  <c r="EB404" i="120" s="1"/>
  <c r="CL262" i="120"/>
  <c r="EB262" i="120" s="1"/>
  <c r="CL263" i="120"/>
  <c r="EB263" i="120" s="1"/>
  <c r="CL264" i="120"/>
  <c r="EB264" i="120" s="1"/>
  <c r="CL265" i="120"/>
  <c r="EB265" i="120" s="1"/>
  <c r="CL266" i="120"/>
  <c r="EB266" i="120" s="1"/>
  <c r="CL267" i="120"/>
  <c r="EB267" i="120" s="1"/>
  <c r="CL268" i="120"/>
  <c r="EB268" i="120" s="1"/>
  <c r="CL269" i="120"/>
  <c r="EB269" i="120" s="1"/>
  <c r="CL270" i="120"/>
  <c r="EB270" i="120" s="1"/>
  <c r="CL271" i="120"/>
  <c r="EB271" i="120" s="1"/>
  <c r="CL272" i="120"/>
  <c r="EB272" i="120" s="1"/>
  <c r="CL273" i="120"/>
  <c r="EB273" i="120" s="1"/>
  <c r="CL387" i="120"/>
  <c r="EB387" i="120" s="1"/>
  <c r="CL274" i="120"/>
  <c r="EB274" i="120" s="1"/>
  <c r="CL275" i="120"/>
  <c r="EB275" i="120" s="1"/>
  <c r="CL276" i="120"/>
  <c r="EB276" i="120" s="1"/>
  <c r="CL277" i="120"/>
  <c r="EB277" i="120" s="1"/>
  <c r="CL278" i="120"/>
  <c r="EB278" i="120" s="1"/>
  <c r="CL279" i="120"/>
  <c r="EB279" i="120" s="1"/>
  <c r="CL280" i="120"/>
  <c r="EB280" i="120" s="1"/>
  <c r="CL281" i="120"/>
  <c r="EB281" i="120" s="1"/>
  <c r="CL282" i="120"/>
  <c r="EB282" i="120" s="1"/>
  <c r="CL283" i="120"/>
  <c r="EB283" i="120" s="1"/>
  <c r="CL284" i="120"/>
  <c r="EB284" i="120" s="1"/>
  <c r="CL285" i="120"/>
  <c r="EB285" i="120" s="1"/>
  <c r="CL286" i="120"/>
  <c r="EB286" i="120" s="1"/>
  <c r="CL287" i="120"/>
  <c r="EB287" i="120" s="1"/>
  <c r="CL288" i="120"/>
  <c r="EB288" i="120" s="1"/>
  <c r="CL289" i="120"/>
  <c r="EB289" i="120" s="1"/>
  <c r="CL290" i="120"/>
  <c r="EB290" i="120" s="1"/>
  <c r="CL291" i="120"/>
  <c r="EB291" i="120" s="1"/>
  <c r="CL292" i="120"/>
  <c r="EB292" i="120" s="1"/>
  <c r="CL293" i="120"/>
  <c r="EB293" i="120" s="1"/>
  <c r="CL294" i="120"/>
  <c r="EB294" i="120" s="1"/>
  <c r="CL295" i="120"/>
  <c r="EB295" i="120" s="1"/>
  <c r="CL296" i="120"/>
  <c r="EB296" i="120" s="1"/>
  <c r="CL297" i="120"/>
  <c r="EB297" i="120" s="1"/>
  <c r="CL7" i="120"/>
  <c r="EB7" i="120" s="1"/>
  <c r="CL298" i="120"/>
  <c r="EB298" i="120" s="1"/>
  <c r="CL384" i="120"/>
  <c r="EB384" i="120" s="1"/>
  <c r="CL299" i="120"/>
  <c r="EB299" i="120" s="1"/>
  <c r="CL389" i="120"/>
  <c r="EB389" i="120" s="1"/>
  <c r="CL300" i="120"/>
  <c r="EB300" i="120" s="1"/>
  <c r="CL301" i="120"/>
  <c r="EB301" i="120" s="1"/>
  <c r="CL302" i="120"/>
  <c r="EB302" i="120" s="1"/>
  <c r="CL303" i="120"/>
  <c r="EB303" i="120" s="1"/>
  <c r="CL304" i="120"/>
  <c r="EB304" i="120" s="1"/>
  <c r="CL305" i="120"/>
  <c r="EB305" i="120" s="1"/>
  <c r="CL5" i="120"/>
  <c r="EB5" i="120" s="1"/>
  <c r="CL28" i="120"/>
  <c r="EB28" i="120" s="1"/>
  <c r="CL306" i="120"/>
  <c r="EB306" i="120" s="1"/>
  <c r="CL307" i="120"/>
  <c r="EB307" i="120" s="1"/>
  <c r="CL308" i="120"/>
  <c r="EB308" i="120" s="1"/>
  <c r="CL309" i="120"/>
  <c r="EB309" i="120" s="1"/>
  <c r="CL310" i="120"/>
  <c r="EB310" i="120" s="1"/>
  <c r="CL311" i="120"/>
  <c r="EB311" i="120" s="1"/>
  <c r="CL312" i="120"/>
  <c r="EB312" i="120" s="1"/>
  <c r="CL313" i="120"/>
  <c r="EB313" i="120" s="1"/>
  <c r="CL314" i="120"/>
  <c r="EB314" i="120" s="1"/>
  <c r="CL315" i="120"/>
  <c r="EB315" i="120" s="1"/>
  <c r="CL316" i="120"/>
  <c r="EB316" i="120" s="1"/>
  <c r="CL317" i="120"/>
  <c r="EB317" i="120" s="1"/>
  <c r="CL318" i="120"/>
  <c r="EB318" i="120" s="1"/>
  <c r="CL319" i="120"/>
  <c r="EB319" i="120" s="1"/>
  <c r="CL388" i="120"/>
  <c r="EB388" i="120" s="1"/>
  <c r="CL320" i="120"/>
  <c r="EB320" i="120" s="1"/>
  <c r="CL321" i="120"/>
  <c r="EB321" i="120" s="1"/>
  <c r="CL402" i="120"/>
  <c r="EB402" i="120" s="1"/>
  <c r="CL393" i="120"/>
  <c r="EB393" i="120" s="1"/>
  <c r="CL400" i="120"/>
  <c r="EB400" i="120" s="1"/>
  <c r="CL322" i="120"/>
  <c r="EB322" i="120" s="1"/>
  <c r="CL382" i="120"/>
  <c r="EB382" i="120" s="1"/>
  <c r="CL323" i="120"/>
  <c r="EB323" i="120" s="1"/>
  <c r="CL324" i="120"/>
  <c r="EB324" i="120" s="1"/>
  <c r="CL325" i="120"/>
  <c r="EB325" i="120" s="1"/>
  <c r="CL326" i="120"/>
  <c r="EB326" i="120" s="1"/>
  <c r="CL327" i="120"/>
  <c r="EB327" i="120" s="1"/>
  <c r="CL328" i="120"/>
  <c r="EB328" i="120" s="1"/>
  <c r="CL329" i="120"/>
  <c r="EB329" i="120" s="1"/>
  <c r="CL396" i="120"/>
  <c r="EB396" i="120" s="1"/>
  <c r="CL392" i="120"/>
  <c r="EB392" i="120" s="1"/>
  <c r="CL398" i="120"/>
  <c r="EB398" i="120" s="1"/>
  <c r="CL330" i="120"/>
  <c r="EB330" i="120" s="1"/>
  <c r="CL401" i="120"/>
  <c r="EB401" i="120" s="1"/>
  <c r="CL380" i="120"/>
  <c r="EB380" i="120" s="1"/>
  <c r="CL331" i="120"/>
  <c r="EB331" i="120" s="1"/>
  <c r="CL332" i="120"/>
  <c r="EB332" i="120" s="1"/>
  <c r="CL19" i="120"/>
  <c r="EB19" i="120" s="1"/>
  <c r="CL333" i="120"/>
  <c r="EB333" i="120" s="1"/>
  <c r="CL381" i="120"/>
  <c r="EB381" i="120" s="1"/>
  <c r="CL334" i="120"/>
  <c r="EB334" i="120" s="1"/>
  <c r="CL335" i="120"/>
  <c r="EB335" i="120" s="1"/>
  <c r="CL336" i="120"/>
  <c r="EB336" i="120" s="1"/>
  <c r="CL337" i="120"/>
  <c r="EB337" i="120" s="1"/>
  <c r="CL338" i="120"/>
  <c r="EB338" i="120" s="1"/>
  <c r="CL339" i="120"/>
  <c r="EB339" i="120" s="1"/>
  <c r="CL340" i="120"/>
  <c r="EB340" i="120" s="1"/>
  <c r="CL341" i="120"/>
  <c r="EB341" i="120" s="1"/>
  <c r="CL403" i="120"/>
  <c r="EB403" i="120" s="1"/>
  <c r="CL342" i="120"/>
  <c r="EB342" i="120" s="1"/>
  <c r="CL343" i="120"/>
  <c r="EB343" i="120" s="1"/>
  <c r="CL344" i="120"/>
  <c r="EB344" i="120" s="1"/>
  <c r="CL345" i="120"/>
  <c r="EB345" i="120" s="1"/>
  <c r="CL346" i="120"/>
  <c r="EB346" i="120" s="1"/>
  <c r="CL347" i="120"/>
  <c r="EB347" i="120" s="1"/>
  <c r="CL348" i="120"/>
  <c r="EB348" i="120" s="1"/>
  <c r="CL349" i="120"/>
  <c r="EB349" i="120" s="1"/>
  <c r="CL350" i="120"/>
  <c r="EB350" i="120" s="1"/>
  <c r="CL351" i="120"/>
  <c r="EB351" i="120" s="1"/>
  <c r="CL383" i="120"/>
  <c r="EB383" i="120" s="1"/>
  <c r="CL352" i="120"/>
  <c r="EB352" i="120" s="1"/>
  <c r="CL353" i="120"/>
  <c r="EB353" i="120" s="1"/>
  <c r="CL397" i="120"/>
  <c r="EB397" i="120" s="1"/>
  <c r="CL379" i="120"/>
  <c r="EB379" i="120" s="1"/>
  <c r="CL378" i="120"/>
  <c r="EB378" i="120" s="1"/>
  <c r="CL405" i="120"/>
  <c r="EB405" i="120" s="1"/>
  <c r="CL354" i="120"/>
  <c r="EB354" i="120" s="1"/>
  <c r="CL8" i="120"/>
  <c r="EB8" i="120" s="1"/>
  <c r="CL25" i="120"/>
  <c r="EB25" i="120" s="1"/>
  <c r="CL355" i="120"/>
  <c r="EB355" i="120" s="1"/>
  <c r="CL356" i="120"/>
  <c r="EB356" i="120" s="1"/>
  <c r="CL9" i="120"/>
  <c r="EB9" i="120" s="1"/>
  <c r="CL357" i="120"/>
  <c r="EB357" i="120" s="1"/>
  <c r="CL13" i="120"/>
  <c r="EB13" i="120" s="1"/>
  <c r="CL377" i="120"/>
  <c r="EB377" i="120" s="1"/>
  <c r="CL16" i="120"/>
  <c r="EB16" i="120" s="1"/>
  <c r="CL14" i="120"/>
  <c r="EB14" i="120" s="1"/>
  <c r="CL12" i="120"/>
  <c r="EB12" i="120" s="1"/>
  <c r="CL358" i="120"/>
  <c r="EB358" i="120" s="1"/>
  <c r="CL359" i="120"/>
  <c r="EB359" i="120" s="1"/>
  <c r="CL360" i="120"/>
  <c r="EB360" i="120" s="1"/>
  <c r="CL361" i="120"/>
  <c r="EB361" i="120" s="1"/>
  <c r="CL362" i="120"/>
  <c r="EB362" i="120" s="1"/>
  <c r="CL363" i="120"/>
  <c r="EB363" i="120" s="1"/>
  <c r="CL364" i="120"/>
  <c r="EB364" i="120" s="1"/>
  <c r="CL365" i="120"/>
  <c r="EB365" i="120" s="1"/>
  <c r="CL27" i="120"/>
  <c r="EB27" i="120" s="1"/>
  <c r="CL366" i="120"/>
  <c r="EB366" i="120" s="1"/>
  <c r="CL367" i="120"/>
  <c r="EB367" i="120" s="1"/>
  <c r="CL368" i="120"/>
  <c r="EB368" i="120" s="1"/>
  <c r="CL376" i="120"/>
  <c r="EB376" i="120" s="1"/>
  <c r="CL22" i="120"/>
  <c r="EB22" i="120" s="1"/>
  <c r="CL369" i="120"/>
  <c r="EB369" i="120" s="1"/>
  <c r="CL370" i="120"/>
  <c r="EB370" i="120" s="1"/>
  <c r="CL371" i="120"/>
  <c r="EB371" i="120" s="1"/>
  <c r="CL372" i="120"/>
  <c r="EB372" i="120" s="1"/>
  <c r="AA363" i="120" l="1"/>
  <c r="AA27" i="120"/>
  <c r="AA22" i="120"/>
  <c r="T38" i="149" l="1"/>
  <c r="T39" i="149"/>
  <c r="T40" i="149"/>
  <c r="T41" i="149"/>
  <c r="T42" i="149"/>
  <c r="T43" i="149"/>
  <c r="U43" i="149" s="1"/>
  <c r="S43" i="149" s="1"/>
  <c r="T44" i="149"/>
  <c r="CV6" i="149"/>
  <c r="CX6" i="149"/>
  <c r="CY6" i="149"/>
  <c r="CZ6" i="149"/>
  <c r="DA6" i="149"/>
  <c r="DC6" i="149"/>
  <c r="DG6" i="149"/>
  <c r="DH6" i="149"/>
  <c r="DI6" i="149"/>
  <c r="DJ6" i="149"/>
  <c r="DK6" i="149"/>
  <c r="DL6" i="149"/>
  <c r="CV7" i="149"/>
  <c r="CX7" i="149"/>
  <c r="CY7" i="149"/>
  <c r="CZ7" i="149"/>
  <c r="DA7" i="149"/>
  <c r="DC7" i="149"/>
  <c r="DG7" i="149"/>
  <c r="DH7" i="149"/>
  <c r="DI7" i="149"/>
  <c r="DJ7" i="149"/>
  <c r="DK7" i="149"/>
  <c r="DL7" i="149"/>
  <c r="CV8" i="149"/>
  <c r="CX8" i="149"/>
  <c r="CY8" i="149"/>
  <c r="CZ8" i="149"/>
  <c r="DA8" i="149"/>
  <c r="DC8" i="149"/>
  <c r="DG8" i="149"/>
  <c r="DH8" i="149"/>
  <c r="DI8" i="149"/>
  <c r="DJ8" i="149"/>
  <c r="DK8" i="149"/>
  <c r="DL8" i="149"/>
  <c r="CV9" i="149"/>
  <c r="CX9" i="149"/>
  <c r="CY9" i="149"/>
  <c r="CZ9" i="149"/>
  <c r="DA9" i="149"/>
  <c r="DC9" i="149"/>
  <c r="DG9" i="149"/>
  <c r="DH9" i="149"/>
  <c r="DI9" i="149"/>
  <c r="DJ9" i="149"/>
  <c r="DK9" i="149"/>
  <c r="DL9" i="149"/>
  <c r="CV10" i="149"/>
  <c r="CX10" i="149"/>
  <c r="CY10" i="149"/>
  <c r="CZ10" i="149"/>
  <c r="DA10" i="149"/>
  <c r="DC10" i="149"/>
  <c r="DG10" i="149"/>
  <c r="DH10" i="149"/>
  <c r="DI10" i="149"/>
  <c r="DJ10" i="149"/>
  <c r="DK10" i="149"/>
  <c r="DL10" i="149"/>
  <c r="CV11" i="149"/>
  <c r="CX11" i="149"/>
  <c r="CY11" i="149"/>
  <c r="CZ11" i="149"/>
  <c r="DA11" i="149"/>
  <c r="DC11" i="149"/>
  <c r="DG11" i="149"/>
  <c r="DH11" i="149"/>
  <c r="DI11" i="149"/>
  <c r="DJ11" i="149"/>
  <c r="DK11" i="149"/>
  <c r="DL11" i="149"/>
  <c r="CV12" i="149"/>
  <c r="CX12" i="149"/>
  <c r="CY12" i="149"/>
  <c r="CZ12" i="149"/>
  <c r="DA12" i="149"/>
  <c r="DC12" i="149"/>
  <c r="DG12" i="149"/>
  <c r="DH12" i="149"/>
  <c r="DI12" i="149"/>
  <c r="DJ12" i="149"/>
  <c r="DK12" i="149"/>
  <c r="DL12" i="149"/>
  <c r="CV13" i="149"/>
  <c r="CX13" i="149"/>
  <c r="CY13" i="149"/>
  <c r="CZ13" i="149"/>
  <c r="DA13" i="149"/>
  <c r="DC13" i="149"/>
  <c r="DG13" i="149"/>
  <c r="DH13" i="149"/>
  <c r="DI13" i="149"/>
  <c r="DJ13" i="149"/>
  <c r="DK13" i="149"/>
  <c r="DL13" i="149"/>
  <c r="CV14" i="149"/>
  <c r="CX14" i="149"/>
  <c r="CY14" i="149"/>
  <c r="CZ14" i="149"/>
  <c r="DA14" i="149"/>
  <c r="DC14" i="149"/>
  <c r="DG14" i="149"/>
  <c r="DH14" i="149"/>
  <c r="DI14" i="149"/>
  <c r="DJ14" i="149"/>
  <c r="DK14" i="149"/>
  <c r="DL14" i="149"/>
  <c r="CV15" i="149"/>
  <c r="CX15" i="149"/>
  <c r="CY15" i="149"/>
  <c r="CZ15" i="149"/>
  <c r="DA15" i="149"/>
  <c r="DC15" i="149"/>
  <c r="DG15" i="149"/>
  <c r="DH15" i="149"/>
  <c r="DI15" i="149"/>
  <c r="DJ15" i="149"/>
  <c r="DK15" i="149"/>
  <c r="DL15" i="149"/>
  <c r="CV16" i="149"/>
  <c r="CX16" i="149"/>
  <c r="CY16" i="149"/>
  <c r="CZ16" i="149"/>
  <c r="DA16" i="149"/>
  <c r="DC16" i="149"/>
  <c r="DG16" i="149"/>
  <c r="DH16" i="149"/>
  <c r="DI16" i="149"/>
  <c r="DJ16" i="149"/>
  <c r="DK16" i="149"/>
  <c r="DL16" i="149"/>
  <c r="CV17" i="149"/>
  <c r="CX17" i="149"/>
  <c r="CY17" i="149"/>
  <c r="CZ17" i="149"/>
  <c r="DA17" i="149"/>
  <c r="DC17" i="149"/>
  <c r="DG17" i="149"/>
  <c r="DH17" i="149"/>
  <c r="DI17" i="149"/>
  <c r="DJ17" i="149"/>
  <c r="DK17" i="149"/>
  <c r="DL17" i="149"/>
  <c r="CV18" i="149"/>
  <c r="CX18" i="149"/>
  <c r="CY18" i="149"/>
  <c r="CZ18" i="149"/>
  <c r="DA18" i="149"/>
  <c r="DC18" i="149"/>
  <c r="DG18" i="149"/>
  <c r="DH18" i="149"/>
  <c r="DI18" i="149"/>
  <c r="DJ18" i="149"/>
  <c r="DK18" i="149"/>
  <c r="DL18" i="149"/>
  <c r="CV19" i="149"/>
  <c r="CX19" i="149"/>
  <c r="CY19" i="149"/>
  <c r="CZ19" i="149"/>
  <c r="DA19" i="149"/>
  <c r="DC19" i="149"/>
  <c r="DG19" i="149"/>
  <c r="DH19" i="149"/>
  <c r="DI19" i="149"/>
  <c r="DJ19" i="149"/>
  <c r="DK19" i="149"/>
  <c r="DL19" i="149"/>
  <c r="CV20" i="149"/>
  <c r="CX20" i="149"/>
  <c r="CY20" i="149"/>
  <c r="CZ20" i="149"/>
  <c r="DA20" i="149"/>
  <c r="DC20" i="149"/>
  <c r="DG20" i="149"/>
  <c r="DH20" i="149"/>
  <c r="DI20" i="149"/>
  <c r="DJ20" i="149"/>
  <c r="DK20" i="149"/>
  <c r="DL20" i="149"/>
  <c r="CV21" i="149"/>
  <c r="CX21" i="149"/>
  <c r="CY21" i="149"/>
  <c r="CZ21" i="149"/>
  <c r="DA21" i="149"/>
  <c r="DC21" i="149"/>
  <c r="DG21" i="149"/>
  <c r="DH21" i="149"/>
  <c r="DI21" i="149"/>
  <c r="DJ21" i="149"/>
  <c r="DK21" i="149"/>
  <c r="DL21" i="149"/>
  <c r="CV22" i="149"/>
  <c r="CX22" i="149"/>
  <c r="CY22" i="149"/>
  <c r="CZ22" i="149"/>
  <c r="DA22" i="149"/>
  <c r="DC22" i="149"/>
  <c r="DG22" i="149"/>
  <c r="DH22" i="149"/>
  <c r="DI22" i="149"/>
  <c r="DJ22" i="149"/>
  <c r="DK22" i="149"/>
  <c r="DL22" i="149"/>
  <c r="CV23" i="149"/>
  <c r="CX23" i="149"/>
  <c r="CY23" i="149"/>
  <c r="CZ23" i="149"/>
  <c r="DA23" i="149"/>
  <c r="DC23" i="149"/>
  <c r="DG23" i="149"/>
  <c r="DH23" i="149"/>
  <c r="DI23" i="149"/>
  <c r="DJ23" i="149"/>
  <c r="DK23" i="149"/>
  <c r="DL23" i="149"/>
  <c r="CV24" i="149"/>
  <c r="CX24" i="149"/>
  <c r="CY24" i="149"/>
  <c r="CZ24" i="149"/>
  <c r="DA24" i="149"/>
  <c r="DC24" i="149"/>
  <c r="DG24" i="149"/>
  <c r="DH24" i="149"/>
  <c r="DI24" i="149"/>
  <c r="DJ24" i="149"/>
  <c r="DK24" i="149"/>
  <c r="DL24" i="149"/>
  <c r="CV25" i="149"/>
  <c r="CX25" i="149"/>
  <c r="CY25" i="149"/>
  <c r="CZ25" i="149"/>
  <c r="DA25" i="149"/>
  <c r="DC25" i="149"/>
  <c r="DG25" i="149"/>
  <c r="DH25" i="149"/>
  <c r="DI25" i="149"/>
  <c r="DJ25" i="149"/>
  <c r="DK25" i="149"/>
  <c r="DL25" i="149"/>
  <c r="CV26" i="149"/>
  <c r="CX26" i="149"/>
  <c r="CY26" i="149"/>
  <c r="CZ26" i="149"/>
  <c r="DA26" i="149"/>
  <c r="DC26" i="149"/>
  <c r="DG26" i="149"/>
  <c r="DH26" i="149"/>
  <c r="DI26" i="149"/>
  <c r="DJ26" i="149"/>
  <c r="DK26" i="149"/>
  <c r="DL26" i="149"/>
  <c r="CV27" i="149"/>
  <c r="CX27" i="149"/>
  <c r="CY27" i="149"/>
  <c r="CZ27" i="149"/>
  <c r="DA27" i="149"/>
  <c r="DC27" i="149"/>
  <c r="DG27" i="149"/>
  <c r="DH27" i="149"/>
  <c r="DI27" i="149"/>
  <c r="DJ27" i="149"/>
  <c r="DK27" i="149"/>
  <c r="DL27" i="149"/>
  <c r="CV28" i="149"/>
  <c r="CX28" i="149"/>
  <c r="CY28" i="149"/>
  <c r="CZ28" i="149"/>
  <c r="DA28" i="149"/>
  <c r="DC28" i="149"/>
  <c r="DG28" i="149"/>
  <c r="DH28" i="149"/>
  <c r="DI28" i="149"/>
  <c r="DJ28" i="149"/>
  <c r="DK28" i="149"/>
  <c r="DL28" i="149"/>
  <c r="CV29" i="149"/>
  <c r="CX29" i="149"/>
  <c r="CY29" i="149"/>
  <c r="CZ29" i="149"/>
  <c r="DA29" i="149"/>
  <c r="DC29" i="149"/>
  <c r="DG29" i="149"/>
  <c r="DH29" i="149"/>
  <c r="DI29" i="149"/>
  <c r="DJ29" i="149"/>
  <c r="DK29" i="149"/>
  <c r="DL29" i="149"/>
  <c r="CV30" i="149"/>
  <c r="CX30" i="149"/>
  <c r="CY30" i="149"/>
  <c r="CZ30" i="149"/>
  <c r="DA30" i="149"/>
  <c r="DC30" i="149"/>
  <c r="DG30" i="149"/>
  <c r="DH30" i="149"/>
  <c r="DI30" i="149"/>
  <c r="DJ30" i="149"/>
  <c r="DK30" i="149"/>
  <c r="DL30" i="149"/>
  <c r="CV31" i="149"/>
  <c r="CX31" i="149"/>
  <c r="CY31" i="149"/>
  <c r="CZ31" i="149"/>
  <c r="DA31" i="149"/>
  <c r="DC31" i="149"/>
  <c r="DG31" i="149"/>
  <c r="DH31" i="149"/>
  <c r="DI31" i="149"/>
  <c r="DJ31" i="149"/>
  <c r="DK31" i="149"/>
  <c r="DL31" i="149"/>
  <c r="CV32" i="149"/>
  <c r="CX32" i="149"/>
  <c r="CY32" i="149"/>
  <c r="CZ32" i="149"/>
  <c r="DA32" i="149"/>
  <c r="DC32" i="149"/>
  <c r="DG32" i="149"/>
  <c r="DH32" i="149"/>
  <c r="DI32" i="149"/>
  <c r="DJ32" i="149"/>
  <c r="DK32" i="149"/>
  <c r="DL32" i="149"/>
  <c r="CV33" i="149"/>
  <c r="CX33" i="149"/>
  <c r="CY33" i="149"/>
  <c r="CZ33" i="149"/>
  <c r="DA33" i="149"/>
  <c r="DC33" i="149"/>
  <c r="DG33" i="149"/>
  <c r="DH33" i="149"/>
  <c r="DI33" i="149"/>
  <c r="DJ33" i="149"/>
  <c r="DK33" i="149"/>
  <c r="DL33" i="149"/>
  <c r="CV34" i="149"/>
  <c r="CX34" i="149"/>
  <c r="CY34" i="149"/>
  <c r="CZ34" i="149"/>
  <c r="DA34" i="149"/>
  <c r="DC34" i="149"/>
  <c r="DG34" i="149"/>
  <c r="DH34" i="149"/>
  <c r="DI34" i="149"/>
  <c r="DJ34" i="149"/>
  <c r="DK34" i="149"/>
  <c r="DL34" i="149"/>
  <c r="CV35" i="149"/>
  <c r="CX35" i="149"/>
  <c r="CY35" i="149"/>
  <c r="CZ35" i="149"/>
  <c r="DA35" i="149"/>
  <c r="DC35" i="149"/>
  <c r="DG35" i="149"/>
  <c r="DH35" i="149"/>
  <c r="DI35" i="149"/>
  <c r="DJ35" i="149"/>
  <c r="DK35" i="149"/>
  <c r="DL35" i="149"/>
  <c r="CV36" i="149"/>
  <c r="CX36" i="149"/>
  <c r="CY36" i="149"/>
  <c r="CZ36" i="149"/>
  <c r="DA36" i="149"/>
  <c r="DC36" i="149"/>
  <c r="DG36" i="149"/>
  <c r="DH36" i="149"/>
  <c r="DI36" i="149"/>
  <c r="DJ36" i="149"/>
  <c r="DK36" i="149"/>
  <c r="DL36" i="149"/>
  <c r="CV37" i="149"/>
  <c r="CX37" i="149"/>
  <c r="CY37" i="149"/>
  <c r="CZ37" i="149"/>
  <c r="DA37" i="149"/>
  <c r="DC37" i="149"/>
  <c r="DG37" i="149"/>
  <c r="DH37" i="149"/>
  <c r="DI37" i="149"/>
  <c r="DJ37" i="149"/>
  <c r="DK37" i="149"/>
  <c r="DL37" i="149"/>
  <c r="CV38" i="149"/>
  <c r="CX38" i="149"/>
  <c r="CY38" i="149"/>
  <c r="CZ38" i="149"/>
  <c r="DA38" i="149"/>
  <c r="DC38" i="149"/>
  <c r="DG38" i="149"/>
  <c r="DH38" i="149"/>
  <c r="DI38" i="149"/>
  <c r="DJ38" i="149"/>
  <c r="DK38" i="149"/>
  <c r="DL38" i="149"/>
  <c r="CV39" i="149"/>
  <c r="CX39" i="149"/>
  <c r="CY39" i="149"/>
  <c r="CZ39" i="149"/>
  <c r="DA39" i="149"/>
  <c r="DC39" i="149"/>
  <c r="DG39" i="149"/>
  <c r="DH39" i="149"/>
  <c r="DI39" i="149"/>
  <c r="DJ39" i="149"/>
  <c r="DK39" i="149"/>
  <c r="DL39" i="149"/>
  <c r="CV40" i="149"/>
  <c r="CX40" i="149"/>
  <c r="CY40" i="149"/>
  <c r="CZ40" i="149"/>
  <c r="DA40" i="149"/>
  <c r="DC40" i="149"/>
  <c r="DG40" i="149"/>
  <c r="DH40" i="149"/>
  <c r="DI40" i="149"/>
  <c r="DJ40" i="149"/>
  <c r="DK40" i="149"/>
  <c r="DL40" i="149"/>
  <c r="CV41" i="149"/>
  <c r="CX41" i="149"/>
  <c r="CY41" i="149"/>
  <c r="CZ41" i="149"/>
  <c r="DA41" i="149"/>
  <c r="DC41" i="149"/>
  <c r="DG41" i="149"/>
  <c r="DH41" i="149"/>
  <c r="DI41" i="149"/>
  <c r="DJ41" i="149"/>
  <c r="DK41" i="149"/>
  <c r="DL41" i="149"/>
  <c r="CV42" i="149"/>
  <c r="CX42" i="149"/>
  <c r="CY42" i="149"/>
  <c r="CZ42" i="149"/>
  <c r="DA42" i="149"/>
  <c r="DC42" i="149"/>
  <c r="DG42" i="149"/>
  <c r="DH42" i="149"/>
  <c r="DI42" i="149"/>
  <c r="DJ42" i="149"/>
  <c r="DK42" i="149"/>
  <c r="DL42" i="149"/>
  <c r="CV43" i="149"/>
  <c r="CX43" i="149"/>
  <c r="CY43" i="149"/>
  <c r="CZ43" i="149"/>
  <c r="DA43" i="149"/>
  <c r="DC43" i="149"/>
  <c r="DG43" i="149"/>
  <c r="DH43" i="149"/>
  <c r="DI43" i="149"/>
  <c r="DJ43" i="149"/>
  <c r="DK43" i="149"/>
  <c r="DL43" i="149"/>
  <c r="CV44" i="149"/>
  <c r="CX44" i="149"/>
  <c r="CY44" i="149"/>
  <c r="CZ44" i="149"/>
  <c r="DA44" i="149"/>
  <c r="DC44" i="149"/>
  <c r="DG44" i="149"/>
  <c r="DH44" i="149"/>
  <c r="DI44" i="149"/>
  <c r="DJ44" i="149"/>
  <c r="DK44" i="149"/>
  <c r="DL44" i="149"/>
  <c r="CH6" i="149"/>
  <c r="CH7" i="149"/>
  <c r="CH8" i="149"/>
  <c r="CH9" i="149"/>
  <c r="CH10" i="149"/>
  <c r="CH11" i="149"/>
  <c r="CH12" i="149"/>
  <c r="CH13" i="149"/>
  <c r="CH14" i="149"/>
  <c r="CH15" i="149"/>
  <c r="CH16" i="149"/>
  <c r="CH17" i="149"/>
  <c r="CH18" i="149"/>
  <c r="CH19" i="149"/>
  <c r="CH20" i="149"/>
  <c r="CH21" i="149"/>
  <c r="CH22" i="149"/>
  <c r="CH23" i="149"/>
  <c r="CH24" i="149"/>
  <c r="CH25" i="149"/>
  <c r="CH26" i="149"/>
  <c r="CH27" i="149"/>
  <c r="CH28" i="149"/>
  <c r="CH29" i="149"/>
  <c r="CH30" i="149"/>
  <c r="CH31" i="149"/>
  <c r="CH32" i="149"/>
  <c r="CH33" i="149"/>
  <c r="CH34" i="149"/>
  <c r="CH35" i="149"/>
  <c r="CH36" i="149"/>
  <c r="CH37" i="149"/>
  <c r="CH38" i="149"/>
  <c r="CH39" i="149"/>
  <c r="CH40" i="149"/>
  <c r="CH41" i="149"/>
  <c r="CH42" i="149"/>
  <c r="CH43" i="149"/>
  <c r="CH44" i="149"/>
  <c r="CF6" i="149"/>
  <c r="CF7" i="149"/>
  <c r="CF8" i="149"/>
  <c r="CF9" i="149"/>
  <c r="CF10" i="149"/>
  <c r="CF11" i="149"/>
  <c r="CF12" i="149"/>
  <c r="CF13" i="149"/>
  <c r="CF14" i="149"/>
  <c r="CF15" i="149"/>
  <c r="CF16" i="149"/>
  <c r="CF17" i="149"/>
  <c r="CF18" i="149"/>
  <c r="CF19" i="149"/>
  <c r="CF20" i="149"/>
  <c r="CF21" i="149"/>
  <c r="CF22" i="149"/>
  <c r="CF23" i="149"/>
  <c r="CF24" i="149"/>
  <c r="CF25" i="149"/>
  <c r="CF26" i="149"/>
  <c r="CF27" i="149"/>
  <c r="CF28" i="149"/>
  <c r="CF29" i="149"/>
  <c r="CF30" i="149"/>
  <c r="CF31" i="149"/>
  <c r="CF32" i="149"/>
  <c r="CF33" i="149"/>
  <c r="CF34" i="149"/>
  <c r="CF35" i="149"/>
  <c r="CF36" i="149"/>
  <c r="CF37" i="149"/>
  <c r="CF38" i="149"/>
  <c r="CF39" i="149"/>
  <c r="CF40" i="149"/>
  <c r="CF41" i="149"/>
  <c r="CF42" i="149"/>
  <c r="CF43" i="149"/>
  <c r="CF44" i="149"/>
  <c r="CB6" i="149"/>
  <c r="CB7" i="149"/>
  <c r="CB8" i="149"/>
  <c r="CB9" i="149"/>
  <c r="CB10" i="149"/>
  <c r="CB11" i="149"/>
  <c r="CB12" i="149"/>
  <c r="CB13" i="149"/>
  <c r="CB14" i="149"/>
  <c r="CB15" i="149"/>
  <c r="CB16" i="149"/>
  <c r="CB17" i="149"/>
  <c r="CB18" i="149"/>
  <c r="CB19" i="149"/>
  <c r="CB20" i="149"/>
  <c r="CB21" i="149"/>
  <c r="CB22" i="149"/>
  <c r="CB23" i="149"/>
  <c r="CB24" i="149"/>
  <c r="CB25" i="149"/>
  <c r="CB26" i="149"/>
  <c r="CB27" i="149"/>
  <c r="CB28" i="149"/>
  <c r="CB29" i="149"/>
  <c r="CB30" i="149"/>
  <c r="CB31" i="149"/>
  <c r="CB32" i="149"/>
  <c r="CB33" i="149"/>
  <c r="CB34" i="149"/>
  <c r="CB35" i="149"/>
  <c r="CB36" i="149"/>
  <c r="CB37" i="149"/>
  <c r="CB38" i="149"/>
  <c r="CB39" i="149"/>
  <c r="CB40" i="149"/>
  <c r="CB41" i="149"/>
  <c r="CB42" i="149"/>
  <c r="CB43" i="149"/>
  <c r="CB44" i="149"/>
  <c r="BX6" i="149"/>
  <c r="BX7" i="149"/>
  <c r="BX8" i="149"/>
  <c r="BX9" i="149"/>
  <c r="BX10" i="149"/>
  <c r="BX11" i="149"/>
  <c r="BX12" i="149"/>
  <c r="BX13" i="149"/>
  <c r="BX14" i="149"/>
  <c r="BX15" i="149"/>
  <c r="BX16" i="149"/>
  <c r="BX17" i="149"/>
  <c r="BX18" i="149"/>
  <c r="BX19" i="149"/>
  <c r="BX20" i="149"/>
  <c r="BX21" i="149"/>
  <c r="BX22" i="149"/>
  <c r="BX23" i="149"/>
  <c r="BX24" i="149"/>
  <c r="BX25" i="149"/>
  <c r="BX26" i="149"/>
  <c r="BX27" i="149"/>
  <c r="BX28" i="149"/>
  <c r="BX29" i="149"/>
  <c r="BX30" i="149"/>
  <c r="BX31" i="149"/>
  <c r="BX32" i="149"/>
  <c r="BX33" i="149"/>
  <c r="BX34" i="149"/>
  <c r="BX35" i="149"/>
  <c r="BX36" i="149"/>
  <c r="BX37" i="149"/>
  <c r="BX38" i="149"/>
  <c r="BX39" i="149"/>
  <c r="BX40" i="149"/>
  <c r="BX41" i="149"/>
  <c r="BX42" i="149"/>
  <c r="BX43" i="149"/>
  <c r="BX44" i="149"/>
  <c r="BT6" i="149"/>
  <c r="BT7" i="149"/>
  <c r="BT8" i="149"/>
  <c r="BT9" i="149"/>
  <c r="BT10" i="149"/>
  <c r="BT11" i="149"/>
  <c r="BT12" i="149"/>
  <c r="BT13" i="149"/>
  <c r="BT14" i="149"/>
  <c r="BT15" i="149"/>
  <c r="BT16" i="149"/>
  <c r="BT17" i="149"/>
  <c r="BT18" i="149"/>
  <c r="BT19" i="149"/>
  <c r="BT20" i="149"/>
  <c r="BT21" i="149"/>
  <c r="BT22" i="149"/>
  <c r="BT23" i="149"/>
  <c r="BT24" i="149"/>
  <c r="BT25" i="149"/>
  <c r="BT26" i="149"/>
  <c r="BT27" i="149"/>
  <c r="BT28" i="149"/>
  <c r="BT29" i="149"/>
  <c r="BT30" i="149"/>
  <c r="BT31" i="149"/>
  <c r="BT32" i="149"/>
  <c r="BT33" i="149"/>
  <c r="BT34" i="149"/>
  <c r="BT35" i="149"/>
  <c r="BT36" i="149"/>
  <c r="BT37" i="149"/>
  <c r="BT38" i="149"/>
  <c r="BT39" i="149"/>
  <c r="BT40" i="149"/>
  <c r="BT41" i="149"/>
  <c r="BT42" i="149"/>
  <c r="BT43" i="149"/>
  <c r="BT44" i="149"/>
  <c r="BP6" i="149"/>
  <c r="BP7" i="149"/>
  <c r="BP8" i="149"/>
  <c r="BP9" i="149"/>
  <c r="BP10" i="149"/>
  <c r="BP11" i="149"/>
  <c r="BP12" i="149"/>
  <c r="BP13" i="149"/>
  <c r="BP14" i="149"/>
  <c r="BP15" i="149"/>
  <c r="BP16" i="149"/>
  <c r="BP17" i="149"/>
  <c r="BP18" i="149"/>
  <c r="BP19" i="149"/>
  <c r="BP20" i="149"/>
  <c r="BP21" i="149"/>
  <c r="BP22" i="149"/>
  <c r="BP23" i="149"/>
  <c r="BP24" i="149"/>
  <c r="BP25" i="149"/>
  <c r="BP26" i="149"/>
  <c r="BP27" i="149"/>
  <c r="BP28" i="149"/>
  <c r="BP29" i="149"/>
  <c r="BP30" i="149"/>
  <c r="BP31" i="149"/>
  <c r="BP32" i="149"/>
  <c r="BP33" i="149"/>
  <c r="BP34" i="149"/>
  <c r="BP35" i="149"/>
  <c r="BP36" i="149"/>
  <c r="BP37" i="149"/>
  <c r="BP38" i="149"/>
  <c r="BP39" i="149"/>
  <c r="BP40" i="149"/>
  <c r="BP41" i="149"/>
  <c r="BP42" i="149"/>
  <c r="BP43" i="149"/>
  <c r="BP44" i="149"/>
  <c r="BL6" i="149"/>
  <c r="BL7" i="149"/>
  <c r="BL8" i="149"/>
  <c r="BL9" i="149"/>
  <c r="BL10" i="149"/>
  <c r="BL11" i="149"/>
  <c r="BL12" i="149"/>
  <c r="BL13" i="149"/>
  <c r="BL14" i="149"/>
  <c r="BL15" i="149"/>
  <c r="BL16" i="149"/>
  <c r="BL17" i="149"/>
  <c r="BL18" i="149"/>
  <c r="BL19" i="149"/>
  <c r="BL20" i="149"/>
  <c r="BL21" i="149"/>
  <c r="BL22" i="149"/>
  <c r="BL23" i="149"/>
  <c r="BL24" i="149"/>
  <c r="BL25" i="149"/>
  <c r="BL26" i="149"/>
  <c r="BL27" i="149"/>
  <c r="BL28" i="149"/>
  <c r="BL29" i="149"/>
  <c r="BL30" i="149"/>
  <c r="BL31" i="149"/>
  <c r="BL32" i="149"/>
  <c r="BL33" i="149"/>
  <c r="BL34" i="149"/>
  <c r="BL35" i="149"/>
  <c r="BL36" i="149"/>
  <c r="BL37" i="149"/>
  <c r="BL38" i="149"/>
  <c r="BL39" i="149"/>
  <c r="BL40" i="149"/>
  <c r="BL41" i="149"/>
  <c r="BL42" i="149"/>
  <c r="BL43" i="149"/>
  <c r="BL44" i="149"/>
  <c r="BH6" i="149"/>
  <c r="CW6" i="149" s="1"/>
  <c r="BH7" i="149"/>
  <c r="CW7" i="149" s="1"/>
  <c r="BH8" i="149"/>
  <c r="CW8" i="149" s="1"/>
  <c r="BH9" i="149"/>
  <c r="CW9" i="149" s="1"/>
  <c r="BH10" i="149"/>
  <c r="CW10" i="149" s="1"/>
  <c r="BH11" i="149"/>
  <c r="CW11" i="149" s="1"/>
  <c r="BH12" i="149"/>
  <c r="CW12" i="149" s="1"/>
  <c r="BH13" i="149"/>
  <c r="CW13" i="149" s="1"/>
  <c r="BH14" i="149"/>
  <c r="CW14" i="149" s="1"/>
  <c r="BH15" i="149"/>
  <c r="CW15" i="149" s="1"/>
  <c r="BH16" i="149"/>
  <c r="CW16" i="149" s="1"/>
  <c r="BH17" i="149"/>
  <c r="CW17" i="149" s="1"/>
  <c r="BH18" i="149"/>
  <c r="CW18" i="149" s="1"/>
  <c r="BH19" i="149"/>
  <c r="CW19" i="149" s="1"/>
  <c r="BH20" i="149"/>
  <c r="CW20" i="149" s="1"/>
  <c r="BH21" i="149"/>
  <c r="CW21" i="149" s="1"/>
  <c r="BH22" i="149"/>
  <c r="CW22" i="149" s="1"/>
  <c r="BH23" i="149"/>
  <c r="CW23" i="149" s="1"/>
  <c r="BH24" i="149"/>
  <c r="CW24" i="149" s="1"/>
  <c r="BH25" i="149"/>
  <c r="CW25" i="149" s="1"/>
  <c r="BH26" i="149"/>
  <c r="CW26" i="149" s="1"/>
  <c r="BH27" i="149"/>
  <c r="CW27" i="149" s="1"/>
  <c r="BH28" i="149"/>
  <c r="CW28" i="149" s="1"/>
  <c r="BH29" i="149"/>
  <c r="CW29" i="149" s="1"/>
  <c r="BH30" i="149"/>
  <c r="CW30" i="149" s="1"/>
  <c r="BH31" i="149"/>
  <c r="CW31" i="149" s="1"/>
  <c r="BH32" i="149"/>
  <c r="CW32" i="149" s="1"/>
  <c r="BH33" i="149"/>
  <c r="CW33" i="149" s="1"/>
  <c r="BH34" i="149"/>
  <c r="CW34" i="149" s="1"/>
  <c r="BH35" i="149"/>
  <c r="CW35" i="149" s="1"/>
  <c r="BH36" i="149"/>
  <c r="CW36" i="149" s="1"/>
  <c r="BH37" i="149"/>
  <c r="CW37" i="149" s="1"/>
  <c r="BH38" i="149"/>
  <c r="CW38" i="149" s="1"/>
  <c r="BH39" i="149"/>
  <c r="CW39" i="149" s="1"/>
  <c r="BH40" i="149"/>
  <c r="CW40" i="149" s="1"/>
  <c r="BH41" i="149"/>
  <c r="CW41" i="149" s="1"/>
  <c r="BH42" i="149"/>
  <c r="CW42" i="149" s="1"/>
  <c r="BH43" i="149"/>
  <c r="CW43" i="149" s="1"/>
  <c r="BH44" i="149"/>
  <c r="CW44" i="149" s="1"/>
  <c r="BD6" i="149"/>
  <c r="DE6" i="149" s="1"/>
  <c r="BD7" i="149"/>
  <c r="DE7" i="149" s="1"/>
  <c r="BD8" i="149"/>
  <c r="DD8" i="149" s="1"/>
  <c r="BD9" i="149"/>
  <c r="DD9" i="149" s="1"/>
  <c r="BD10" i="149"/>
  <c r="DD10" i="149" s="1"/>
  <c r="BD11" i="149"/>
  <c r="DD11" i="149" s="1"/>
  <c r="BD12" i="149"/>
  <c r="DD12" i="149" s="1"/>
  <c r="BD13" i="149"/>
  <c r="DD13" i="149" s="1"/>
  <c r="BD14" i="149"/>
  <c r="DD14" i="149" s="1"/>
  <c r="BD15" i="149"/>
  <c r="DD15" i="149" s="1"/>
  <c r="BD16" i="149"/>
  <c r="DD16" i="149" s="1"/>
  <c r="BD17" i="149"/>
  <c r="DD17" i="149" s="1"/>
  <c r="BD18" i="149"/>
  <c r="DD18" i="149" s="1"/>
  <c r="BD19" i="149"/>
  <c r="DD19" i="149" s="1"/>
  <c r="BD20" i="149"/>
  <c r="DD20" i="149" s="1"/>
  <c r="BD21" i="149"/>
  <c r="DD21" i="149" s="1"/>
  <c r="BD22" i="149"/>
  <c r="DD22" i="149" s="1"/>
  <c r="BD23" i="149"/>
  <c r="DE23" i="149" s="1"/>
  <c r="BD24" i="149"/>
  <c r="DD24" i="149" s="1"/>
  <c r="BD25" i="149"/>
  <c r="DD25" i="149" s="1"/>
  <c r="BD26" i="149"/>
  <c r="DD26" i="149" s="1"/>
  <c r="BD27" i="149"/>
  <c r="DD27" i="149" s="1"/>
  <c r="BD28" i="149"/>
  <c r="DD28" i="149" s="1"/>
  <c r="BD29" i="149"/>
  <c r="DD29" i="149" s="1"/>
  <c r="BD30" i="149"/>
  <c r="DD30" i="149" s="1"/>
  <c r="BD31" i="149"/>
  <c r="DD31" i="149" s="1"/>
  <c r="BD32" i="149"/>
  <c r="DD32" i="149" s="1"/>
  <c r="BD33" i="149"/>
  <c r="DD33" i="149" s="1"/>
  <c r="BD34" i="149"/>
  <c r="DD34" i="149" s="1"/>
  <c r="BD35" i="149"/>
  <c r="DE35" i="149" s="1"/>
  <c r="BD36" i="149"/>
  <c r="DD36" i="149" s="1"/>
  <c r="BD37" i="149"/>
  <c r="DD37" i="149" s="1"/>
  <c r="BD38" i="149"/>
  <c r="DD38" i="149" s="1"/>
  <c r="BD39" i="149"/>
  <c r="DD39" i="149" s="1"/>
  <c r="BD40" i="149"/>
  <c r="DD40" i="149" s="1"/>
  <c r="BD41" i="149"/>
  <c r="DD41" i="149" s="1"/>
  <c r="BD42" i="149"/>
  <c r="DD42" i="149" s="1"/>
  <c r="BD43" i="149"/>
  <c r="DD43" i="149" s="1"/>
  <c r="BD44" i="149"/>
  <c r="DD44" i="149" s="1"/>
  <c r="AZ6" i="149"/>
  <c r="AZ7" i="149"/>
  <c r="AZ8" i="149"/>
  <c r="AZ9" i="149"/>
  <c r="AZ10" i="149"/>
  <c r="AZ11" i="149"/>
  <c r="AZ12" i="149"/>
  <c r="AZ13" i="149"/>
  <c r="AZ14" i="149"/>
  <c r="AZ15" i="149"/>
  <c r="AZ16" i="149"/>
  <c r="AZ17" i="149"/>
  <c r="AZ18" i="149"/>
  <c r="AZ19" i="149"/>
  <c r="AZ20" i="149"/>
  <c r="AZ21" i="149"/>
  <c r="AZ22" i="149"/>
  <c r="AZ23" i="149"/>
  <c r="AZ24" i="149"/>
  <c r="AZ25" i="149"/>
  <c r="AZ26" i="149"/>
  <c r="AZ27" i="149"/>
  <c r="AZ28" i="149"/>
  <c r="AZ29" i="149"/>
  <c r="AZ30" i="149"/>
  <c r="AZ31" i="149"/>
  <c r="AZ32" i="149"/>
  <c r="AZ33" i="149"/>
  <c r="AZ34" i="149"/>
  <c r="AZ35" i="149"/>
  <c r="AZ36" i="149"/>
  <c r="AZ37" i="149"/>
  <c r="AZ38" i="149"/>
  <c r="AZ39" i="149"/>
  <c r="AZ40" i="149"/>
  <c r="AZ41" i="149"/>
  <c r="AZ42" i="149"/>
  <c r="AZ43" i="149"/>
  <c r="AZ44" i="149"/>
  <c r="AV6" i="149"/>
  <c r="AV7" i="149"/>
  <c r="AV8" i="149"/>
  <c r="AV9" i="149"/>
  <c r="AV10" i="149"/>
  <c r="AV11" i="149"/>
  <c r="AV12" i="149"/>
  <c r="AV13" i="149"/>
  <c r="AV14" i="149"/>
  <c r="AV15" i="149"/>
  <c r="AV16" i="149"/>
  <c r="AV17" i="149"/>
  <c r="AV18" i="149"/>
  <c r="AV19" i="149"/>
  <c r="AV20" i="149"/>
  <c r="AV21" i="149"/>
  <c r="AV22" i="149"/>
  <c r="AV23" i="149"/>
  <c r="AV24" i="149"/>
  <c r="AV25" i="149"/>
  <c r="AV26" i="149"/>
  <c r="AV27" i="149"/>
  <c r="AV28" i="149"/>
  <c r="AV29" i="149"/>
  <c r="AV30" i="149"/>
  <c r="AV31" i="149"/>
  <c r="AV32" i="149"/>
  <c r="AV33" i="149"/>
  <c r="AV34" i="149"/>
  <c r="AV35" i="149"/>
  <c r="AV36" i="149"/>
  <c r="AV37" i="149"/>
  <c r="AV38" i="149"/>
  <c r="AV39" i="149"/>
  <c r="AV40" i="149"/>
  <c r="AV41" i="149"/>
  <c r="AV42" i="149"/>
  <c r="AV43" i="149"/>
  <c r="AV44" i="149"/>
  <c r="AR6" i="149"/>
  <c r="AR7" i="149"/>
  <c r="AR8" i="149"/>
  <c r="AR9" i="149"/>
  <c r="AR10" i="149"/>
  <c r="AR11" i="149"/>
  <c r="AR12" i="149"/>
  <c r="AR13" i="149"/>
  <c r="AR14" i="149"/>
  <c r="AR15" i="149"/>
  <c r="AR16" i="149"/>
  <c r="AR17" i="149"/>
  <c r="AR18" i="149"/>
  <c r="AR19" i="149"/>
  <c r="AR20" i="149"/>
  <c r="AR21" i="149"/>
  <c r="AR22" i="149"/>
  <c r="AR23" i="149"/>
  <c r="AR24" i="149"/>
  <c r="AR25" i="149"/>
  <c r="AR26" i="149"/>
  <c r="AR27" i="149"/>
  <c r="AR28" i="149"/>
  <c r="AR29" i="149"/>
  <c r="AR30" i="149"/>
  <c r="AR31" i="149"/>
  <c r="AR32" i="149"/>
  <c r="AR33" i="149"/>
  <c r="AR34" i="149"/>
  <c r="AR35" i="149"/>
  <c r="AR36" i="149"/>
  <c r="AR37" i="149"/>
  <c r="AR38" i="149"/>
  <c r="AR39" i="149"/>
  <c r="AR40" i="149"/>
  <c r="AR41" i="149"/>
  <c r="AR42" i="149"/>
  <c r="AR43" i="149"/>
  <c r="AR44" i="149"/>
  <c r="AN6" i="149"/>
  <c r="AN7" i="149"/>
  <c r="AN8" i="149"/>
  <c r="AN9" i="149"/>
  <c r="AN10" i="149"/>
  <c r="AN11" i="149"/>
  <c r="AN12" i="149"/>
  <c r="AN13" i="149"/>
  <c r="AN14" i="149"/>
  <c r="AN15" i="149"/>
  <c r="AN16" i="149"/>
  <c r="AN17" i="149"/>
  <c r="AN18" i="149"/>
  <c r="AN19" i="149"/>
  <c r="AN20" i="149"/>
  <c r="AN21" i="149"/>
  <c r="AN22" i="149"/>
  <c r="AN23" i="149"/>
  <c r="AN24" i="149"/>
  <c r="AN25" i="149"/>
  <c r="AN26" i="149"/>
  <c r="AN27" i="149"/>
  <c r="AN28" i="149"/>
  <c r="AN29" i="149"/>
  <c r="AN30" i="149"/>
  <c r="AN31" i="149"/>
  <c r="AN32" i="149"/>
  <c r="AN33" i="149"/>
  <c r="AN34" i="149"/>
  <c r="AN35" i="149"/>
  <c r="AN36" i="149"/>
  <c r="AN37" i="149"/>
  <c r="AN38" i="149"/>
  <c r="AN39" i="149"/>
  <c r="AN40" i="149"/>
  <c r="AN41" i="149"/>
  <c r="AN42" i="149"/>
  <c r="AN43" i="149"/>
  <c r="AN44" i="149"/>
  <c r="AK6" i="149"/>
  <c r="DB6" i="149" s="1"/>
  <c r="AK7" i="149"/>
  <c r="AK8" i="149"/>
  <c r="AK9" i="149"/>
  <c r="DB9" i="149" s="1"/>
  <c r="AK10" i="149"/>
  <c r="DB10" i="149" s="1"/>
  <c r="AK11" i="149"/>
  <c r="AK12" i="149"/>
  <c r="DB12" i="149" s="1"/>
  <c r="AK13" i="149"/>
  <c r="DB13" i="149" s="1"/>
  <c r="AK14" i="149"/>
  <c r="DB14" i="149" s="1"/>
  <c r="AK15" i="149"/>
  <c r="DB15" i="149" s="1"/>
  <c r="AK16" i="149"/>
  <c r="DB16" i="149" s="1"/>
  <c r="AK17" i="149"/>
  <c r="DB17" i="149" s="1"/>
  <c r="AK18" i="149"/>
  <c r="DB18" i="149" s="1"/>
  <c r="AK19" i="149"/>
  <c r="DB19" i="149" s="1"/>
  <c r="AK20" i="149"/>
  <c r="DB20" i="149" s="1"/>
  <c r="AK21" i="149"/>
  <c r="DB21" i="149" s="1"/>
  <c r="AK22" i="149"/>
  <c r="AK23" i="149"/>
  <c r="DF23" i="149" s="1"/>
  <c r="AK24" i="149"/>
  <c r="AK25" i="149"/>
  <c r="DB25" i="149" s="1"/>
  <c r="AK26" i="149"/>
  <c r="AK27" i="149"/>
  <c r="DB27" i="149" s="1"/>
  <c r="AK28" i="149"/>
  <c r="DB28" i="149" s="1"/>
  <c r="AK29" i="149"/>
  <c r="DB29" i="149" s="1"/>
  <c r="AK30" i="149"/>
  <c r="DB30" i="149" s="1"/>
  <c r="AK31" i="149"/>
  <c r="DB31" i="149" s="1"/>
  <c r="AK32" i="149"/>
  <c r="DB32" i="149" s="1"/>
  <c r="AK33" i="149"/>
  <c r="DB33" i="149" s="1"/>
  <c r="AK34" i="149"/>
  <c r="AK35" i="149"/>
  <c r="AK36" i="149"/>
  <c r="DB36" i="149" s="1"/>
  <c r="AK37" i="149"/>
  <c r="DB37" i="149" s="1"/>
  <c r="AK38" i="149"/>
  <c r="AK39" i="149"/>
  <c r="AK40" i="149"/>
  <c r="DB40" i="149" s="1"/>
  <c r="AK41" i="149"/>
  <c r="DB41" i="149" s="1"/>
  <c r="AK42" i="149"/>
  <c r="DB42" i="149" s="1"/>
  <c r="AK43" i="149"/>
  <c r="DB43" i="149" s="1"/>
  <c r="AK44" i="149"/>
  <c r="DB44" i="149" s="1"/>
  <c r="U38" i="149"/>
  <c r="U44" i="149"/>
  <c r="S44" i="149" s="1"/>
  <c r="CC44" i="149"/>
  <c r="BY44" i="149"/>
  <c r="CC43" i="149"/>
  <c r="BY43" i="149"/>
  <c r="BU36" i="149"/>
  <c r="DF35" i="149" l="1"/>
  <c r="DF6" i="149"/>
  <c r="DF7" i="149"/>
  <c r="DF44" i="149"/>
  <c r="DB39" i="149"/>
  <c r="DD35" i="149"/>
  <c r="DE34" i="149"/>
  <c r="DF34" i="149" s="1"/>
  <c r="DE33" i="149"/>
  <c r="DF33" i="149" s="1"/>
  <c r="DB26" i="149"/>
  <c r="DD23" i="149"/>
  <c r="DE22" i="149"/>
  <c r="DF22" i="149" s="1"/>
  <c r="DE21" i="149"/>
  <c r="DF21" i="149" s="1"/>
  <c r="DE20" i="149"/>
  <c r="DF20" i="149" s="1"/>
  <c r="DB11" i="149"/>
  <c r="DD7" i="149"/>
  <c r="DD6" i="149"/>
  <c r="DE44" i="149"/>
  <c r="DB38" i="149"/>
  <c r="DE32" i="149"/>
  <c r="DF32" i="149" s="1"/>
  <c r="DB24" i="149"/>
  <c r="DE19" i="149"/>
  <c r="DF19" i="149" s="1"/>
  <c r="DB8" i="149"/>
  <c r="DE43" i="149"/>
  <c r="DF43" i="149" s="1"/>
  <c r="DB35" i="149"/>
  <c r="DE31" i="149"/>
  <c r="DF31" i="149" s="1"/>
  <c r="DB23" i="149"/>
  <c r="DE18" i="149"/>
  <c r="DF18" i="149" s="1"/>
  <c r="DE17" i="149"/>
  <c r="DF17" i="149" s="1"/>
  <c r="DB7" i="149"/>
  <c r="DE42" i="149"/>
  <c r="DF42" i="149" s="1"/>
  <c r="DE41" i="149"/>
  <c r="DF41" i="149" s="1"/>
  <c r="DB34" i="149"/>
  <c r="DE30" i="149"/>
  <c r="DF30" i="149" s="1"/>
  <c r="DE29" i="149"/>
  <c r="DF29" i="149" s="1"/>
  <c r="DE28" i="149"/>
  <c r="DF28" i="149" s="1"/>
  <c r="DB22" i="149"/>
  <c r="DE16" i="149"/>
  <c r="DF16" i="149" s="1"/>
  <c r="DE40" i="149"/>
  <c r="DF40" i="149" s="1"/>
  <c r="DE27" i="149"/>
  <c r="DF27" i="149" s="1"/>
  <c r="DE15" i="149"/>
  <c r="DF15" i="149" s="1"/>
  <c r="DE14" i="149"/>
  <c r="DF14" i="149" s="1"/>
  <c r="DE13" i="149"/>
  <c r="DF13" i="149" s="1"/>
  <c r="DE12" i="149"/>
  <c r="DF12" i="149" s="1"/>
  <c r="DE39" i="149"/>
  <c r="DF39" i="149" s="1"/>
  <c r="DE26" i="149"/>
  <c r="DF26" i="149" s="1"/>
  <c r="DE25" i="149"/>
  <c r="DF25" i="149" s="1"/>
  <c r="DE11" i="149"/>
  <c r="DF11" i="149" s="1"/>
  <c r="DE10" i="149"/>
  <c r="DF10" i="149" s="1"/>
  <c r="DE9" i="149"/>
  <c r="DF9" i="149" s="1"/>
  <c r="DE38" i="149"/>
  <c r="DF38" i="149" s="1"/>
  <c r="DE37" i="149"/>
  <c r="DF37" i="149" s="1"/>
  <c r="DE36" i="149"/>
  <c r="DF36" i="149" s="1"/>
  <c r="DE24" i="149"/>
  <c r="DF24" i="149" s="1"/>
  <c r="DE8" i="149"/>
  <c r="DF8" i="149" s="1"/>
  <c r="AR9" i="113"/>
  <c r="AR10" i="113"/>
  <c r="AR11" i="113"/>
  <c r="AR12" i="113"/>
  <c r="AR13" i="113"/>
  <c r="AR14" i="113"/>
  <c r="AR15" i="113"/>
  <c r="AR16" i="113"/>
  <c r="AR17" i="113"/>
  <c r="AR18" i="113"/>
  <c r="AR19" i="113"/>
  <c r="AR20" i="113"/>
  <c r="AR21" i="113"/>
  <c r="AR22" i="113"/>
  <c r="AR23" i="113"/>
  <c r="AR24" i="113"/>
  <c r="AR25" i="113"/>
  <c r="AR26" i="113"/>
  <c r="AR27" i="113"/>
  <c r="AR28" i="113"/>
  <c r="AR29" i="113"/>
  <c r="AR30" i="113"/>
  <c r="AR31" i="113"/>
  <c r="AR32" i="113"/>
  <c r="AR33" i="113"/>
  <c r="AR34" i="113"/>
  <c r="AR35" i="113"/>
  <c r="AR36" i="113"/>
  <c r="AR37" i="113"/>
  <c r="AR38" i="113"/>
  <c r="AR39" i="113"/>
  <c r="AR40" i="113"/>
  <c r="AR41" i="113"/>
  <c r="AR42" i="113"/>
  <c r="AR43" i="113"/>
  <c r="AR44" i="113"/>
  <c r="AR45" i="113"/>
  <c r="AR46" i="113"/>
  <c r="AR47" i="113"/>
  <c r="AR48" i="113"/>
  <c r="AR49" i="113"/>
  <c r="AR50" i="113"/>
  <c r="AR51" i="113"/>
  <c r="AR52" i="113"/>
  <c r="AR53" i="113"/>
  <c r="AR54" i="113"/>
  <c r="AR55" i="113"/>
  <c r="AR56" i="113"/>
  <c r="AR57" i="113"/>
  <c r="AR58" i="113"/>
  <c r="AR59" i="113"/>
  <c r="AR60" i="113"/>
  <c r="AR61" i="113"/>
  <c r="AR62" i="113"/>
  <c r="AR63" i="113"/>
  <c r="AR64" i="113"/>
  <c r="AR65" i="113"/>
  <c r="AR66" i="113"/>
  <c r="AR67" i="113"/>
  <c r="AR68" i="113"/>
  <c r="AR69" i="113"/>
  <c r="AR70" i="113"/>
  <c r="AR71" i="113"/>
  <c r="AR72" i="113"/>
  <c r="AR73" i="113"/>
  <c r="AR74" i="113"/>
  <c r="AR75" i="113"/>
  <c r="AR76" i="113"/>
  <c r="AR77" i="113"/>
  <c r="AR78" i="113"/>
  <c r="AR79" i="113"/>
  <c r="AR80" i="113"/>
  <c r="AR81" i="113"/>
  <c r="AR82" i="113"/>
  <c r="AR83" i="113"/>
  <c r="AR84" i="113"/>
  <c r="AR85" i="113"/>
  <c r="AR86" i="113"/>
  <c r="AR87" i="113"/>
  <c r="AR88" i="113"/>
  <c r="AR89" i="113"/>
  <c r="AR90" i="113"/>
  <c r="AR91" i="113"/>
  <c r="AR92" i="113"/>
  <c r="AR93" i="113"/>
  <c r="AR94" i="113"/>
  <c r="AR95" i="113"/>
  <c r="AR96" i="113"/>
  <c r="AR97" i="113"/>
  <c r="AR98" i="113"/>
  <c r="AR99" i="113"/>
  <c r="AR100" i="113"/>
  <c r="AR101" i="113"/>
  <c r="AR102" i="113"/>
  <c r="AR103" i="113"/>
  <c r="AR104" i="113"/>
  <c r="AR105" i="113"/>
  <c r="AR106" i="113"/>
  <c r="AR107" i="113"/>
  <c r="AR108" i="113"/>
  <c r="AR109" i="113"/>
  <c r="AR110" i="113"/>
  <c r="AR111" i="113"/>
  <c r="AR112" i="113"/>
  <c r="AR113" i="113"/>
  <c r="AR114" i="113"/>
  <c r="AR115" i="113"/>
  <c r="AR116" i="113"/>
  <c r="AR117" i="113"/>
  <c r="AR118" i="113"/>
  <c r="AR119" i="113"/>
  <c r="AR120" i="113"/>
  <c r="AR121" i="113"/>
  <c r="AR122" i="113"/>
  <c r="AR123" i="113"/>
  <c r="AR124" i="113"/>
  <c r="AR125" i="113"/>
  <c r="AR126" i="113"/>
  <c r="AR127" i="113"/>
  <c r="AR128" i="113"/>
  <c r="AR129" i="113"/>
  <c r="AR130" i="113"/>
  <c r="AR131" i="113"/>
  <c r="AR132" i="113"/>
  <c r="AR133" i="113"/>
  <c r="AR134" i="113"/>
  <c r="AR135" i="113"/>
  <c r="AR136" i="113"/>
  <c r="AR137" i="113"/>
  <c r="AR138" i="113"/>
  <c r="AR139" i="113"/>
  <c r="AR140" i="113"/>
  <c r="AR141" i="113"/>
  <c r="AR142" i="113"/>
  <c r="AR143" i="113"/>
  <c r="AR144" i="113"/>
  <c r="AR145" i="113"/>
  <c r="AR146" i="113"/>
  <c r="AR147" i="113"/>
  <c r="AR148" i="113"/>
  <c r="AR149" i="113"/>
  <c r="AR150" i="113"/>
  <c r="AR151" i="113"/>
  <c r="AR152" i="113"/>
  <c r="AR153" i="113"/>
  <c r="AR154" i="113"/>
  <c r="AR155" i="113"/>
  <c r="AR156" i="113"/>
  <c r="AR157" i="113"/>
  <c r="AR158" i="113"/>
  <c r="AR159" i="113"/>
  <c r="AR160" i="113"/>
  <c r="AR161" i="113"/>
  <c r="AR162" i="113"/>
  <c r="AR163" i="113"/>
  <c r="AR164" i="113"/>
  <c r="AR165" i="113"/>
  <c r="AR166" i="113"/>
  <c r="AR167" i="113"/>
  <c r="AR168" i="113"/>
  <c r="AR169" i="113"/>
  <c r="AR170" i="113"/>
  <c r="AR171" i="113"/>
  <c r="AR172" i="113"/>
  <c r="AR173" i="113"/>
  <c r="AR174" i="113"/>
  <c r="AR175" i="113"/>
  <c r="AR176" i="113"/>
  <c r="AR177" i="113"/>
  <c r="AR178" i="113"/>
  <c r="AR179" i="113"/>
  <c r="AR180" i="113"/>
  <c r="AR181" i="113"/>
  <c r="AR182" i="113"/>
  <c r="AR183" i="113"/>
  <c r="AR184" i="113"/>
  <c r="AR185" i="113"/>
  <c r="AR186" i="113"/>
  <c r="AR187" i="113"/>
  <c r="AR188" i="113"/>
  <c r="AR189" i="113"/>
  <c r="AR190" i="113"/>
  <c r="AR191" i="113"/>
  <c r="AR192" i="113"/>
  <c r="AR193" i="113"/>
  <c r="AR194" i="113"/>
  <c r="AR195" i="113"/>
  <c r="AR196" i="113"/>
  <c r="AR197" i="113"/>
  <c r="AR198" i="113"/>
  <c r="AR199" i="113"/>
  <c r="AR200" i="113"/>
  <c r="U9" i="113"/>
  <c r="U10" i="113"/>
  <c r="U11" i="113"/>
  <c r="U12" i="113"/>
  <c r="U13" i="113"/>
  <c r="U14" i="113"/>
  <c r="U15" i="113"/>
  <c r="U16" i="113"/>
  <c r="U17" i="113"/>
  <c r="U18" i="113"/>
  <c r="U19" i="113"/>
  <c r="U20" i="113"/>
  <c r="U21" i="113"/>
  <c r="U22" i="113"/>
  <c r="U23" i="113"/>
  <c r="U24" i="113"/>
  <c r="U25" i="113"/>
  <c r="U26" i="113"/>
  <c r="U27" i="113"/>
  <c r="U28" i="113"/>
  <c r="U29" i="113"/>
  <c r="U30" i="113"/>
  <c r="U31" i="113"/>
  <c r="U32" i="113"/>
  <c r="U33" i="113"/>
  <c r="U34" i="113"/>
  <c r="U35" i="113"/>
  <c r="U36" i="113"/>
  <c r="U37" i="113"/>
  <c r="U38" i="113"/>
  <c r="U39" i="113"/>
  <c r="U40" i="113"/>
  <c r="U41" i="113"/>
  <c r="U42" i="113"/>
  <c r="U43" i="113"/>
  <c r="U44" i="113"/>
  <c r="U45" i="113"/>
  <c r="U46" i="113"/>
  <c r="U47" i="113"/>
  <c r="U48" i="113"/>
  <c r="U49" i="113"/>
  <c r="U50" i="113"/>
  <c r="U51" i="113"/>
  <c r="U52" i="113"/>
  <c r="U53" i="113"/>
  <c r="U54" i="113"/>
  <c r="U55" i="113"/>
  <c r="U56" i="113"/>
  <c r="U57" i="113"/>
  <c r="U58" i="113"/>
  <c r="U59" i="113"/>
  <c r="U60" i="113"/>
  <c r="U61" i="113"/>
  <c r="U62" i="113"/>
  <c r="U63" i="113"/>
  <c r="U64" i="113"/>
  <c r="U65" i="113"/>
  <c r="U66" i="113"/>
  <c r="U67" i="113"/>
  <c r="U68" i="113"/>
  <c r="U69" i="113"/>
  <c r="U70" i="113"/>
  <c r="U71" i="113"/>
  <c r="U72" i="113"/>
  <c r="U73" i="113"/>
  <c r="U74" i="113"/>
  <c r="U75" i="113"/>
  <c r="U76" i="113"/>
  <c r="U77" i="113"/>
  <c r="U78" i="113"/>
  <c r="U79" i="113"/>
  <c r="U80" i="113"/>
  <c r="U81" i="113"/>
  <c r="U82" i="113"/>
  <c r="U83" i="113"/>
  <c r="U84" i="113"/>
  <c r="U85" i="113"/>
  <c r="U86" i="113"/>
  <c r="U87" i="113"/>
  <c r="U88" i="113"/>
  <c r="U89" i="113"/>
  <c r="U90" i="113"/>
  <c r="U91" i="113"/>
  <c r="U92" i="113"/>
  <c r="U93" i="113"/>
  <c r="U94" i="113"/>
  <c r="U95" i="113"/>
  <c r="U96" i="113"/>
  <c r="U97" i="113"/>
  <c r="U98" i="113"/>
  <c r="U99" i="113"/>
  <c r="U100" i="113"/>
  <c r="U101" i="113"/>
  <c r="U102" i="113"/>
  <c r="U103" i="113"/>
  <c r="U104" i="113"/>
  <c r="U105" i="113"/>
  <c r="U106" i="113"/>
  <c r="U107" i="113"/>
  <c r="U108" i="113"/>
  <c r="U109" i="113"/>
  <c r="U110" i="113"/>
  <c r="U111" i="113"/>
  <c r="U112" i="113"/>
  <c r="U113" i="113"/>
  <c r="U114" i="113"/>
  <c r="U115" i="113"/>
  <c r="U116" i="113"/>
  <c r="U117" i="113"/>
  <c r="U118" i="113"/>
  <c r="U119" i="113"/>
  <c r="U120" i="113"/>
  <c r="U121" i="113"/>
  <c r="U122" i="113"/>
  <c r="U123" i="113"/>
  <c r="U124" i="113"/>
  <c r="U125" i="113"/>
  <c r="U126" i="113"/>
  <c r="U127" i="113"/>
  <c r="U128" i="113"/>
  <c r="U129" i="113"/>
  <c r="U130" i="113"/>
  <c r="U131" i="113"/>
  <c r="U132" i="113"/>
  <c r="U133" i="113"/>
  <c r="U134" i="113"/>
  <c r="U135" i="113"/>
  <c r="U136" i="113"/>
  <c r="U137" i="113"/>
  <c r="U138" i="113"/>
  <c r="U139" i="113"/>
  <c r="U140" i="113"/>
  <c r="U141" i="113"/>
  <c r="U142" i="113"/>
  <c r="U143" i="113"/>
  <c r="U144" i="113"/>
  <c r="U145" i="113"/>
  <c r="U146" i="113"/>
  <c r="U147" i="113"/>
  <c r="U148" i="113"/>
  <c r="U149" i="113"/>
  <c r="U150" i="113"/>
  <c r="U151" i="113"/>
  <c r="U152" i="113"/>
  <c r="U153" i="113"/>
  <c r="U154" i="113"/>
  <c r="U155" i="113"/>
  <c r="U156" i="113"/>
  <c r="U157" i="113"/>
  <c r="U158" i="113"/>
  <c r="U159" i="113"/>
  <c r="U160" i="113"/>
  <c r="U161" i="113"/>
  <c r="U162" i="113"/>
  <c r="U163" i="113"/>
  <c r="U164" i="113"/>
  <c r="U165" i="113"/>
  <c r="U166" i="113"/>
  <c r="U167" i="113"/>
  <c r="U168" i="113"/>
  <c r="U169" i="113"/>
  <c r="U170" i="113"/>
  <c r="U171" i="113"/>
  <c r="U172" i="113"/>
  <c r="U173" i="113"/>
  <c r="U174" i="113"/>
  <c r="U175" i="113"/>
  <c r="U176" i="113"/>
  <c r="U177" i="113"/>
  <c r="U178" i="113"/>
  <c r="U179" i="113"/>
  <c r="U180" i="113"/>
  <c r="U181" i="113"/>
  <c r="U182" i="113"/>
  <c r="U183" i="113"/>
  <c r="U184" i="113"/>
  <c r="U185" i="113"/>
  <c r="U186" i="113"/>
  <c r="U187" i="113"/>
  <c r="U188" i="113"/>
  <c r="U189" i="113"/>
  <c r="U190" i="113"/>
  <c r="U191" i="113"/>
  <c r="U192" i="113"/>
  <c r="U193" i="113"/>
  <c r="U194" i="113"/>
  <c r="U195" i="113"/>
  <c r="U196" i="113"/>
  <c r="U197" i="113"/>
  <c r="U198" i="113"/>
  <c r="U199" i="113"/>
  <c r="U200" i="113"/>
  <c r="BA165" i="113"/>
  <c r="BA95" i="113"/>
  <c r="BE95" i="113"/>
  <c r="AW94" i="113"/>
  <c r="BA94" i="113"/>
  <c r="B3" i="132" l="1"/>
  <c r="B4" i="132"/>
  <c r="B5" i="132"/>
  <c r="B6" i="132"/>
  <c r="B7" i="132"/>
  <c r="B8" i="132"/>
  <c r="B9" i="132"/>
  <c r="B10" i="132"/>
  <c r="B11" i="132"/>
  <c r="B12" i="132"/>
  <c r="B13" i="132"/>
  <c r="B14" i="132"/>
  <c r="B15" i="132"/>
  <c r="B16" i="132"/>
  <c r="B17" i="132"/>
  <c r="B18" i="132"/>
  <c r="B19" i="132"/>
  <c r="B20" i="132"/>
  <c r="B21" i="132"/>
  <c r="B22" i="132"/>
  <c r="B23" i="132"/>
  <c r="B24" i="132"/>
  <c r="B25" i="132"/>
  <c r="B26" i="132"/>
  <c r="B27" i="132"/>
  <c r="B28" i="132"/>
  <c r="B29" i="132"/>
  <c r="B30" i="132"/>
  <c r="B31" i="132"/>
  <c r="B32" i="132"/>
  <c r="B33" i="132"/>
  <c r="B34" i="132"/>
  <c r="B35" i="132"/>
  <c r="B36" i="132"/>
  <c r="B37" i="132"/>
  <c r="B38" i="132"/>
  <c r="B39" i="132"/>
  <c r="B40" i="132"/>
  <c r="B41" i="132"/>
  <c r="B42" i="132"/>
  <c r="B43" i="132"/>
  <c r="B44" i="132"/>
  <c r="B45" i="132"/>
  <c r="B46" i="132"/>
  <c r="B47" i="132"/>
  <c r="B48" i="132"/>
  <c r="B49" i="132"/>
  <c r="B50" i="132"/>
  <c r="B51" i="132"/>
  <c r="B52" i="132"/>
  <c r="B53" i="132"/>
  <c r="B54" i="132"/>
  <c r="B55" i="132"/>
  <c r="B56" i="132"/>
  <c r="B57" i="132"/>
  <c r="B58" i="132"/>
  <c r="B59" i="132"/>
  <c r="B60" i="132"/>
  <c r="B61" i="132"/>
  <c r="B62" i="132"/>
  <c r="B63" i="132"/>
  <c r="B64" i="132"/>
  <c r="B65" i="132"/>
  <c r="B66" i="132"/>
  <c r="B67" i="132"/>
  <c r="B68" i="132"/>
  <c r="B69" i="132"/>
  <c r="B70" i="132"/>
  <c r="B71" i="132"/>
  <c r="B72" i="132"/>
  <c r="B73" i="132"/>
  <c r="B74" i="132"/>
  <c r="B75" i="132"/>
  <c r="B76" i="132"/>
  <c r="B77" i="132"/>
  <c r="B78" i="132"/>
  <c r="B79" i="132"/>
  <c r="B80" i="132"/>
  <c r="B81" i="132"/>
  <c r="B82" i="132"/>
  <c r="B83" i="132"/>
  <c r="B84" i="132"/>
  <c r="B85" i="132"/>
  <c r="B86" i="132"/>
  <c r="B87" i="132"/>
  <c r="B88" i="132"/>
  <c r="B89" i="132"/>
  <c r="B90" i="132"/>
  <c r="B91" i="132"/>
  <c r="B92" i="132"/>
  <c r="B93" i="132"/>
  <c r="B94" i="132"/>
  <c r="B95" i="132"/>
  <c r="B96" i="132"/>
  <c r="B97" i="132"/>
  <c r="B98" i="132"/>
  <c r="B99" i="132"/>
  <c r="B100" i="132"/>
  <c r="B101" i="132"/>
  <c r="B102" i="132"/>
  <c r="B103" i="132"/>
  <c r="B104" i="132"/>
  <c r="B105" i="132"/>
  <c r="B106" i="132"/>
  <c r="B107" i="132"/>
  <c r="B108" i="132"/>
  <c r="B109" i="132"/>
  <c r="B110" i="132"/>
  <c r="B111" i="132"/>
  <c r="B112" i="132"/>
  <c r="B113" i="132"/>
  <c r="B114" i="132"/>
  <c r="B115" i="132"/>
  <c r="B116" i="132"/>
  <c r="B117" i="132"/>
  <c r="B118" i="132"/>
  <c r="B119" i="132"/>
  <c r="B120" i="132"/>
  <c r="B121" i="132"/>
  <c r="B122" i="132"/>
  <c r="B123" i="132"/>
  <c r="B124" i="132"/>
  <c r="B125" i="132"/>
  <c r="B126" i="132"/>
  <c r="B127" i="132"/>
  <c r="B128" i="132"/>
  <c r="B129" i="132"/>
  <c r="B130" i="132"/>
  <c r="B131" i="132"/>
  <c r="B132" i="132"/>
  <c r="B133" i="132"/>
  <c r="B134" i="132"/>
  <c r="B135" i="132"/>
  <c r="B136" i="132"/>
  <c r="B137" i="132"/>
  <c r="B138" i="132"/>
  <c r="B139" i="132"/>
  <c r="B140" i="132"/>
  <c r="B141" i="132"/>
  <c r="B142" i="132"/>
  <c r="B143" i="132"/>
  <c r="B144" i="132"/>
  <c r="B145" i="132"/>
  <c r="B146" i="132"/>
  <c r="B147" i="132"/>
  <c r="B148" i="132"/>
  <c r="B149" i="132"/>
  <c r="B150" i="132"/>
  <c r="B151" i="132"/>
  <c r="B152" i="132"/>
  <c r="B153" i="132"/>
  <c r="B154" i="132"/>
  <c r="B155" i="132"/>
  <c r="B156" i="132"/>
  <c r="B157" i="132"/>
  <c r="B158" i="132"/>
  <c r="B159" i="132"/>
  <c r="B160" i="132"/>
  <c r="B161" i="132"/>
  <c r="B162" i="132"/>
  <c r="B163" i="132"/>
  <c r="B164" i="132"/>
  <c r="B165" i="132"/>
  <c r="B166" i="132"/>
  <c r="B167" i="132"/>
  <c r="B168" i="132"/>
  <c r="B169" i="132"/>
  <c r="B170" i="132"/>
  <c r="B171" i="132"/>
  <c r="B172" i="132"/>
  <c r="B173" i="132"/>
  <c r="B174" i="132"/>
  <c r="B175" i="132"/>
  <c r="B176" i="132"/>
  <c r="B177" i="132"/>
  <c r="B178" i="132"/>
  <c r="B179" i="132"/>
  <c r="B180" i="132"/>
  <c r="B181" i="132"/>
  <c r="B182" i="132"/>
  <c r="B183" i="132"/>
  <c r="B184" i="132"/>
  <c r="B185" i="132"/>
  <c r="B186" i="132"/>
  <c r="B187" i="132"/>
  <c r="B188" i="132"/>
  <c r="B189" i="132"/>
  <c r="B190" i="132"/>
  <c r="B191" i="132"/>
  <c r="B192" i="132"/>
  <c r="B193" i="132"/>
  <c r="B194" i="132"/>
  <c r="B195" i="132"/>
  <c r="B196" i="132"/>
  <c r="B197" i="132"/>
  <c r="B198" i="132"/>
  <c r="B199" i="132"/>
  <c r="B200" i="132"/>
  <c r="B201" i="132"/>
  <c r="B202" i="132"/>
  <c r="B203" i="132"/>
  <c r="B204" i="132"/>
  <c r="B205" i="132"/>
  <c r="B206" i="132"/>
  <c r="B207" i="132"/>
  <c r="B208" i="132"/>
  <c r="B209" i="132"/>
  <c r="B210" i="132"/>
  <c r="B211" i="132"/>
  <c r="B212" i="132"/>
  <c r="B213" i="132"/>
  <c r="B214" i="132"/>
  <c r="B215" i="132"/>
  <c r="B216" i="132"/>
  <c r="B217" i="132"/>
  <c r="B218" i="132"/>
  <c r="B219" i="132"/>
  <c r="B220" i="132"/>
  <c r="B221" i="132"/>
  <c r="B222" i="132"/>
  <c r="B223" i="132"/>
  <c r="B224" i="132"/>
  <c r="B225" i="132"/>
  <c r="B226" i="132"/>
  <c r="B227" i="132"/>
  <c r="B228" i="132"/>
  <c r="B229" i="132"/>
  <c r="B230" i="132"/>
  <c r="B231" i="132"/>
  <c r="B232" i="132"/>
  <c r="B233" i="132"/>
  <c r="B234" i="132"/>
  <c r="B235" i="132"/>
  <c r="B236" i="132"/>
  <c r="B237" i="132"/>
  <c r="B238" i="132"/>
  <c r="B239" i="132"/>
  <c r="B240" i="132"/>
  <c r="B241" i="132"/>
  <c r="B242" i="132"/>
  <c r="B243" i="132"/>
  <c r="B244" i="132"/>
  <c r="B245" i="132"/>
  <c r="B246" i="132"/>
  <c r="B247" i="132"/>
  <c r="B248" i="132"/>
  <c r="B249" i="132"/>
  <c r="B250" i="132"/>
  <c r="B251" i="132"/>
  <c r="B252" i="132"/>
  <c r="B253" i="132"/>
  <c r="B254" i="132"/>
  <c r="B255" i="132"/>
  <c r="B256" i="132"/>
  <c r="B257" i="132"/>
  <c r="B258" i="132"/>
  <c r="B259" i="132"/>
  <c r="B260" i="132"/>
  <c r="B261" i="132"/>
  <c r="B262" i="132"/>
  <c r="B263" i="132"/>
  <c r="B264" i="132"/>
  <c r="B265" i="132"/>
  <c r="B266" i="132"/>
  <c r="B267" i="132"/>
  <c r="B268" i="132"/>
  <c r="B269" i="132"/>
  <c r="B270" i="132"/>
  <c r="B271" i="132"/>
  <c r="B272" i="132"/>
  <c r="B273" i="132"/>
  <c r="B274" i="132"/>
  <c r="B275" i="132"/>
  <c r="B276" i="132"/>
  <c r="B277" i="132"/>
  <c r="B278" i="132"/>
  <c r="B279" i="132"/>
  <c r="B280" i="132"/>
  <c r="B281" i="132"/>
  <c r="B282" i="132"/>
  <c r="B283" i="132"/>
  <c r="B284" i="132"/>
  <c r="B285" i="132"/>
  <c r="B286" i="132"/>
  <c r="B287" i="132"/>
  <c r="B288" i="132"/>
  <c r="B289" i="132"/>
  <c r="B290" i="132"/>
  <c r="B291" i="132"/>
  <c r="B292" i="132"/>
  <c r="B293" i="132"/>
  <c r="B294" i="132"/>
  <c r="B295" i="132"/>
  <c r="B296" i="132"/>
  <c r="B297" i="132"/>
  <c r="B298" i="132"/>
  <c r="B299" i="132"/>
  <c r="B300" i="132"/>
  <c r="B301" i="132"/>
  <c r="B302" i="132"/>
  <c r="B303" i="132"/>
  <c r="B304" i="132"/>
  <c r="B305" i="132"/>
  <c r="B306" i="132"/>
  <c r="B307" i="132"/>
  <c r="B308" i="132"/>
  <c r="B309" i="132"/>
  <c r="B310" i="132"/>
  <c r="B311" i="132"/>
  <c r="B312" i="132"/>
  <c r="B313" i="132"/>
  <c r="B314" i="132"/>
  <c r="B315" i="132"/>
  <c r="B316" i="132"/>
  <c r="B317" i="132"/>
  <c r="B318" i="132"/>
  <c r="B319" i="132"/>
  <c r="B320" i="132"/>
  <c r="B321" i="132"/>
  <c r="B322" i="132"/>
  <c r="B323" i="132"/>
  <c r="B324" i="132"/>
  <c r="B325" i="132"/>
  <c r="B326" i="132"/>
  <c r="B327" i="132"/>
  <c r="B328" i="132"/>
  <c r="B329" i="132"/>
  <c r="B330" i="132"/>
  <c r="B331" i="132"/>
  <c r="B332" i="132"/>
  <c r="B333" i="132"/>
  <c r="B334" i="132"/>
  <c r="B335" i="132"/>
  <c r="B336" i="132"/>
  <c r="B337" i="132"/>
  <c r="B338" i="132"/>
  <c r="B339" i="132"/>
  <c r="B340" i="132"/>
  <c r="B341" i="132"/>
  <c r="B342" i="132"/>
  <c r="B343" i="132"/>
  <c r="B344" i="132"/>
  <c r="B345" i="132"/>
  <c r="B346" i="132"/>
  <c r="B347" i="132"/>
  <c r="B348" i="132"/>
  <c r="B349" i="132"/>
  <c r="B350" i="132"/>
  <c r="B351" i="132"/>
  <c r="B352" i="132"/>
  <c r="B353" i="132"/>
  <c r="B354" i="132"/>
  <c r="B355" i="132"/>
  <c r="B356" i="132"/>
  <c r="B357" i="132"/>
  <c r="B358" i="132"/>
  <c r="B359" i="132"/>
  <c r="B360" i="132"/>
  <c r="B361" i="132"/>
  <c r="B362" i="132"/>
  <c r="B363" i="132"/>
  <c r="B364" i="132"/>
  <c r="B365" i="132"/>
  <c r="B366" i="132"/>
  <c r="B367" i="132"/>
  <c r="B368" i="132"/>
  <c r="B369" i="132"/>
  <c r="B370" i="132"/>
  <c r="B371" i="132"/>
  <c r="B372" i="132"/>
  <c r="B373" i="132"/>
  <c r="B374" i="132"/>
  <c r="B375" i="132"/>
  <c r="B376" i="132"/>
  <c r="B377" i="132"/>
  <c r="B378" i="132"/>
  <c r="B379" i="132"/>
  <c r="B380" i="132"/>
  <c r="B381" i="132"/>
  <c r="B382" i="132"/>
  <c r="B383" i="132"/>
  <c r="B384" i="132"/>
  <c r="B385" i="132"/>
  <c r="B386" i="132"/>
  <c r="B387" i="132"/>
  <c r="B388" i="132"/>
  <c r="B389" i="132"/>
  <c r="B390" i="132"/>
  <c r="B391" i="132"/>
  <c r="B392" i="132"/>
  <c r="B393" i="132"/>
  <c r="B394" i="132"/>
  <c r="B395" i="132"/>
  <c r="B396" i="132"/>
  <c r="B397" i="132"/>
  <c r="B398" i="132"/>
  <c r="B399" i="132"/>
  <c r="B400" i="132"/>
  <c r="B401" i="132"/>
  <c r="B402" i="132"/>
  <c r="B403" i="132"/>
  <c r="B404" i="132"/>
  <c r="B405" i="132"/>
  <c r="B406" i="132"/>
  <c r="B407" i="132"/>
  <c r="B408" i="132"/>
  <c r="B409" i="132"/>
  <c r="B410" i="132"/>
  <c r="B411" i="132"/>
  <c r="B412" i="132"/>
  <c r="B413" i="132"/>
  <c r="B414" i="132"/>
  <c r="B415" i="132"/>
  <c r="B416" i="132"/>
  <c r="B417" i="132"/>
  <c r="B418" i="132"/>
  <c r="B419" i="132"/>
  <c r="B420" i="132"/>
  <c r="B421" i="132"/>
  <c r="B422" i="132"/>
  <c r="B423" i="132"/>
  <c r="B424" i="132"/>
  <c r="B425" i="132"/>
  <c r="B426" i="132"/>
  <c r="B427" i="132"/>
  <c r="B428" i="132"/>
  <c r="B429" i="132"/>
  <c r="B430" i="132"/>
  <c r="B431" i="132"/>
  <c r="B432" i="132"/>
  <c r="B433" i="132"/>
  <c r="B434" i="132"/>
  <c r="B435" i="132"/>
  <c r="B436" i="132"/>
  <c r="B437" i="132"/>
  <c r="B438" i="132"/>
  <c r="B439" i="132"/>
  <c r="B440" i="132"/>
  <c r="B441" i="132"/>
  <c r="B442" i="132"/>
  <c r="B443" i="132"/>
  <c r="B444" i="132"/>
  <c r="B445" i="132"/>
  <c r="B446" i="132"/>
  <c r="B447" i="132"/>
  <c r="B448" i="132"/>
  <c r="B449" i="132"/>
  <c r="B450" i="132"/>
  <c r="B451" i="132"/>
  <c r="B452" i="132"/>
  <c r="B453" i="132"/>
  <c r="B454" i="132"/>
  <c r="B455" i="132"/>
  <c r="B456" i="132"/>
  <c r="B457" i="132"/>
  <c r="B458" i="132"/>
  <c r="B459" i="132"/>
  <c r="B460" i="132"/>
  <c r="B461" i="132"/>
  <c r="B462" i="132"/>
  <c r="B463" i="132"/>
  <c r="B464" i="132"/>
  <c r="B465" i="132"/>
  <c r="B466" i="132"/>
  <c r="B467" i="132"/>
  <c r="B468" i="132"/>
  <c r="B469" i="132"/>
  <c r="B470" i="132"/>
  <c r="B471" i="132"/>
  <c r="B472" i="132"/>
  <c r="B473" i="132"/>
  <c r="B474" i="132"/>
  <c r="B475" i="132"/>
  <c r="B476" i="132"/>
  <c r="B477" i="132"/>
  <c r="B478" i="132"/>
  <c r="B479" i="132"/>
  <c r="B480" i="132"/>
  <c r="B481" i="132"/>
  <c r="B482" i="132"/>
  <c r="B483" i="132"/>
  <c r="B484" i="132"/>
  <c r="B485" i="132"/>
  <c r="B486" i="132"/>
  <c r="B487" i="132"/>
  <c r="B488" i="132"/>
  <c r="B489" i="132"/>
  <c r="B490" i="132"/>
  <c r="B491" i="132"/>
  <c r="B492" i="132"/>
  <c r="B493" i="132"/>
  <c r="B494" i="132"/>
  <c r="B495" i="132"/>
  <c r="B496" i="132"/>
  <c r="B497" i="132"/>
  <c r="B498" i="132"/>
  <c r="B499" i="132"/>
  <c r="B500" i="132"/>
  <c r="B501" i="132"/>
  <c r="B502" i="132"/>
  <c r="B503" i="132"/>
  <c r="B504" i="132"/>
  <c r="B505" i="132"/>
  <c r="B506" i="132"/>
  <c r="B507" i="132"/>
  <c r="B508" i="132"/>
  <c r="B509" i="132"/>
  <c r="B510" i="132"/>
  <c r="B511" i="132"/>
  <c r="B512" i="132"/>
  <c r="B513" i="132"/>
  <c r="B514" i="132"/>
  <c r="B515" i="132"/>
  <c r="B516" i="132"/>
  <c r="B517" i="132"/>
  <c r="B518" i="132"/>
  <c r="B519" i="132"/>
  <c r="B520" i="132"/>
  <c r="B521" i="132"/>
  <c r="B522" i="132"/>
  <c r="B523" i="132"/>
  <c r="B524" i="132"/>
  <c r="B525" i="132"/>
  <c r="B526" i="132"/>
  <c r="B527" i="132"/>
  <c r="B528" i="132"/>
  <c r="B529" i="132"/>
  <c r="B530" i="132"/>
  <c r="B531" i="132"/>
  <c r="B532" i="132"/>
  <c r="B533" i="132"/>
  <c r="B534" i="132"/>
  <c r="B535" i="132"/>
  <c r="B536" i="132"/>
  <c r="B537" i="132"/>
  <c r="B538" i="132"/>
  <c r="B539" i="132"/>
  <c r="B540" i="132"/>
  <c r="B541" i="132"/>
  <c r="B542" i="132"/>
  <c r="B543" i="132"/>
  <c r="B544" i="132"/>
  <c r="B545" i="132"/>
  <c r="B546" i="132"/>
  <c r="B547" i="132"/>
  <c r="B548" i="132"/>
  <c r="B549" i="132"/>
  <c r="B550" i="132"/>
  <c r="B551" i="132"/>
  <c r="B552" i="132"/>
  <c r="B553" i="132"/>
  <c r="B554" i="132"/>
  <c r="B555" i="132"/>
  <c r="B556" i="132"/>
  <c r="B557" i="132"/>
  <c r="B558" i="132"/>
  <c r="B559" i="132"/>
  <c r="B560" i="132"/>
  <c r="B561" i="132"/>
  <c r="B562" i="132"/>
  <c r="B563" i="132"/>
  <c r="B564" i="132"/>
  <c r="B565" i="132"/>
  <c r="B566" i="132"/>
  <c r="B567" i="132"/>
  <c r="B568" i="132"/>
  <c r="B569" i="132"/>
  <c r="B570" i="132"/>
  <c r="B571" i="132"/>
  <c r="B572" i="132"/>
  <c r="B573" i="132"/>
  <c r="B574" i="132"/>
  <c r="B575" i="132"/>
  <c r="B576" i="132"/>
  <c r="B577" i="132"/>
  <c r="B578" i="132"/>
  <c r="B579" i="132"/>
  <c r="B580" i="132"/>
  <c r="B581" i="132"/>
  <c r="B582" i="132"/>
  <c r="B583" i="132"/>
  <c r="B584" i="132"/>
  <c r="B585" i="132"/>
  <c r="B586" i="132"/>
  <c r="B587" i="132"/>
  <c r="B588" i="132"/>
  <c r="B589" i="132"/>
  <c r="B590" i="132"/>
  <c r="B591" i="132"/>
  <c r="B592" i="132"/>
  <c r="B593" i="132"/>
  <c r="B594" i="132"/>
  <c r="B595" i="132"/>
  <c r="B596" i="132"/>
  <c r="B597" i="132"/>
  <c r="B598" i="132"/>
  <c r="B599" i="132"/>
  <c r="B600" i="132"/>
  <c r="B601" i="132"/>
  <c r="B602" i="132"/>
  <c r="B603" i="132"/>
  <c r="B604" i="132"/>
  <c r="B605" i="132"/>
  <c r="B606" i="132"/>
  <c r="B607" i="132"/>
  <c r="B608" i="132"/>
  <c r="B609" i="132"/>
  <c r="B610" i="132"/>
  <c r="B611" i="132"/>
  <c r="B612" i="132"/>
  <c r="B613" i="132"/>
  <c r="B614" i="132"/>
  <c r="B615" i="132"/>
  <c r="B616" i="132"/>
  <c r="B617" i="132"/>
  <c r="B618" i="132"/>
  <c r="B619" i="132"/>
  <c r="B620" i="132"/>
  <c r="B621" i="132"/>
  <c r="B622" i="132"/>
  <c r="B623" i="132"/>
  <c r="B624" i="132"/>
  <c r="B625" i="132"/>
  <c r="B626" i="132"/>
  <c r="B627" i="132"/>
  <c r="B628" i="132"/>
  <c r="B629" i="132"/>
  <c r="B630" i="132"/>
  <c r="B631" i="132"/>
  <c r="B632" i="132"/>
  <c r="B633" i="132"/>
  <c r="B634" i="132"/>
  <c r="B635" i="132"/>
  <c r="B636" i="132"/>
  <c r="B637" i="132"/>
  <c r="B638" i="132"/>
  <c r="B639" i="132"/>
  <c r="B640" i="132"/>
  <c r="B641" i="132"/>
  <c r="B642" i="132"/>
  <c r="B643" i="132"/>
  <c r="B644" i="132"/>
  <c r="B645" i="132"/>
  <c r="B646" i="132"/>
  <c r="B647" i="132"/>
  <c r="B648" i="132"/>
  <c r="B649" i="132"/>
  <c r="B650" i="132"/>
  <c r="B651" i="132"/>
  <c r="B652" i="132"/>
  <c r="B653" i="132"/>
  <c r="B654" i="132"/>
  <c r="B655" i="132"/>
  <c r="B656" i="132"/>
  <c r="B657" i="132"/>
  <c r="B658" i="132"/>
  <c r="B659" i="132"/>
  <c r="B660" i="132"/>
  <c r="B661" i="132"/>
  <c r="B662" i="132"/>
  <c r="B663" i="132"/>
  <c r="B664" i="132"/>
  <c r="B665" i="132"/>
  <c r="B666" i="132"/>
  <c r="B667" i="132"/>
  <c r="B668" i="132"/>
  <c r="B669" i="132"/>
  <c r="B670" i="132"/>
  <c r="B671" i="132"/>
  <c r="B672" i="132"/>
  <c r="B673" i="132"/>
  <c r="B674" i="132"/>
  <c r="B675" i="132"/>
  <c r="B676" i="132"/>
  <c r="B677" i="132"/>
  <c r="B678" i="132"/>
  <c r="B679" i="132"/>
  <c r="B680" i="132"/>
  <c r="B681" i="132"/>
  <c r="B682" i="132"/>
  <c r="B683" i="132"/>
  <c r="B684" i="132"/>
  <c r="B685" i="132"/>
  <c r="B686" i="132"/>
  <c r="B687" i="132"/>
  <c r="B688" i="132"/>
  <c r="B689" i="132"/>
  <c r="B690" i="132"/>
  <c r="B691" i="132"/>
  <c r="B692" i="132"/>
  <c r="B693" i="132"/>
  <c r="B694" i="132"/>
  <c r="B695" i="132"/>
  <c r="B696" i="132"/>
  <c r="B697" i="132"/>
  <c r="B698" i="132"/>
  <c r="B699" i="132"/>
  <c r="B700" i="132"/>
  <c r="B701" i="132"/>
  <c r="B702" i="132"/>
  <c r="B703" i="132"/>
  <c r="B704" i="132"/>
  <c r="B705" i="132"/>
  <c r="B706" i="132"/>
  <c r="B707" i="132"/>
  <c r="B708" i="132"/>
  <c r="B709" i="132"/>
  <c r="B710" i="132"/>
  <c r="B711" i="132"/>
  <c r="B712" i="132"/>
  <c r="B713" i="132"/>
  <c r="B714" i="132"/>
  <c r="B715" i="132"/>
  <c r="B716" i="132"/>
  <c r="B717" i="132"/>
  <c r="B718" i="132"/>
  <c r="B719" i="132"/>
  <c r="B720" i="132"/>
  <c r="B721" i="132"/>
  <c r="B722" i="132"/>
  <c r="B723" i="132"/>
  <c r="B724" i="132"/>
  <c r="B725" i="132"/>
  <c r="B726" i="132"/>
  <c r="B727" i="132"/>
  <c r="B728" i="132"/>
  <c r="B729" i="132"/>
  <c r="B730" i="132"/>
  <c r="B731" i="132"/>
  <c r="B732" i="132"/>
  <c r="B733" i="132"/>
  <c r="B734" i="132"/>
  <c r="B735" i="132"/>
  <c r="B736" i="132"/>
  <c r="B737" i="132"/>
  <c r="B738" i="132"/>
  <c r="B739" i="132"/>
  <c r="B740" i="132"/>
  <c r="B741" i="132"/>
  <c r="B742" i="132"/>
  <c r="B743" i="132"/>
  <c r="B744" i="132"/>
  <c r="B745" i="132"/>
  <c r="B746" i="132"/>
  <c r="B747" i="132"/>
  <c r="B748" i="132"/>
  <c r="B749" i="132"/>
  <c r="B750" i="132"/>
  <c r="B751" i="132"/>
  <c r="B752" i="132"/>
  <c r="B753" i="132"/>
  <c r="B754" i="132"/>
  <c r="B755" i="132"/>
  <c r="B756" i="132"/>
  <c r="B757" i="132"/>
  <c r="B758" i="132"/>
  <c r="B759" i="132"/>
  <c r="B760" i="132"/>
  <c r="B761" i="132"/>
  <c r="B762" i="132"/>
  <c r="B763" i="132"/>
  <c r="B764" i="132"/>
  <c r="B765" i="132"/>
  <c r="B766" i="132"/>
  <c r="B767" i="132"/>
  <c r="B768" i="132"/>
  <c r="B769" i="132"/>
  <c r="B770" i="132"/>
  <c r="B771" i="132"/>
  <c r="B772" i="132"/>
  <c r="B773" i="132"/>
  <c r="B774" i="132"/>
  <c r="B775" i="132"/>
  <c r="B776" i="132"/>
  <c r="B777" i="132"/>
  <c r="B778" i="132"/>
  <c r="B779" i="132"/>
  <c r="B780" i="132"/>
  <c r="B781" i="132"/>
  <c r="B782" i="132"/>
  <c r="B783" i="132"/>
  <c r="B784" i="132"/>
  <c r="B785" i="132"/>
  <c r="B786" i="132"/>
  <c r="B787" i="132"/>
  <c r="B788" i="132"/>
  <c r="B789" i="132"/>
  <c r="B790" i="132"/>
  <c r="B791" i="132"/>
  <c r="B792" i="132"/>
  <c r="B793" i="132"/>
  <c r="B794" i="132"/>
  <c r="B795" i="132"/>
  <c r="B796" i="132"/>
  <c r="B797" i="132"/>
  <c r="B798" i="132"/>
  <c r="B799" i="132"/>
  <c r="B800" i="132"/>
  <c r="B801" i="132"/>
  <c r="B802" i="132"/>
  <c r="B803" i="132"/>
  <c r="B804" i="132"/>
  <c r="B805" i="132"/>
  <c r="B806" i="132"/>
  <c r="B807" i="132"/>
  <c r="B808" i="132"/>
  <c r="B809" i="132"/>
  <c r="B810" i="132"/>
  <c r="B811" i="132"/>
  <c r="B812" i="132"/>
  <c r="B813" i="132"/>
  <c r="B814" i="132"/>
  <c r="B815" i="132"/>
  <c r="B816" i="132"/>
  <c r="B817" i="132"/>
  <c r="B818" i="132"/>
  <c r="B819" i="132"/>
  <c r="B820" i="132"/>
  <c r="B821" i="132"/>
  <c r="B822" i="132"/>
  <c r="B823" i="132"/>
  <c r="B824" i="132"/>
  <c r="B825" i="132"/>
  <c r="B826" i="132"/>
  <c r="B827" i="132"/>
  <c r="B828" i="132"/>
  <c r="B829" i="132"/>
  <c r="B830" i="132"/>
  <c r="B831" i="132"/>
  <c r="B832" i="132"/>
  <c r="B833" i="132"/>
  <c r="B834" i="132"/>
  <c r="B835" i="132"/>
  <c r="B836" i="132"/>
  <c r="B837" i="132"/>
  <c r="B838" i="132"/>
  <c r="B839" i="132"/>
  <c r="B840" i="132"/>
  <c r="B841" i="132"/>
  <c r="B842" i="132"/>
  <c r="B843" i="132"/>
  <c r="B844" i="132"/>
  <c r="B845" i="132"/>
  <c r="B846" i="132"/>
  <c r="B847" i="132"/>
  <c r="B848" i="132"/>
  <c r="B849" i="132"/>
  <c r="B850" i="132"/>
  <c r="B851" i="132"/>
  <c r="B852" i="132"/>
  <c r="B853" i="132"/>
  <c r="B854" i="132"/>
  <c r="B855" i="132"/>
  <c r="B856" i="132"/>
  <c r="B857" i="132"/>
  <c r="B858" i="132"/>
  <c r="B859" i="132"/>
  <c r="B860" i="132"/>
  <c r="B861" i="132"/>
  <c r="B862" i="132"/>
  <c r="B863" i="132"/>
  <c r="B864" i="132"/>
  <c r="B865" i="132"/>
  <c r="B866" i="132"/>
  <c r="B867" i="132"/>
  <c r="B868" i="132"/>
  <c r="B869" i="132"/>
  <c r="B870" i="132"/>
  <c r="B871" i="132"/>
  <c r="B872" i="132"/>
  <c r="B873" i="132"/>
  <c r="B874" i="132"/>
  <c r="B875" i="132"/>
  <c r="B876" i="132"/>
  <c r="B877" i="132"/>
  <c r="B878" i="132"/>
  <c r="B879" i="132"/>
  <c r="B880" i="132"/>
  <c r="B881" i="132"/>
  <c r="B882" i="132"/>
  <c r="B883" i="132"/>
  <c r="B884" i="132"/>
  <c r="B885" i="132"/>
  <c r="B886" i="132"/>
  <c r="B887" i="132"/>
  <c r="B888" i="132"/>
  <c r="B889" i="132"/>
  <c r="B890" i="132"/>
  <c r="B891" i="132"/>
  <c r="B892" i="132"/>
  <c r="B893" i="132"/>
  <c r="B894" i="132"/>
  <c r="B895" i="132"/>
  <c r="B896" i="132"/>
  <c r="B897" i="132"/>
  <c r="B898" i="132"/>
  <c r="B899" i="132"/>
  <c r="B900" i="132"/>
  <c r="B901" i="132"/>
  <c r="B902" i="132"/>
  <c r="B903" i="132"/>
  <c r="B904" i="132"/>
  <c r="B905" i="132"/>
  <c r="B906" i="132"/>
  <c r="B907" i="132"/>
  <c r="B908" i="132"/>
  <c r="B909" i="132"/>
  <c r="B910" i="132"/>
  <c r="B911" i="132"/>
  <c r="B912" i="132"/>
  <c r="B913" i="132"/>
  <c r="B914" i="132"/>
  <c r="B915" i="132"/>
  <c r="B916" i="132"/>
  <c r="B917" i="132"/>
  <c r="B918" i="132"/>
  <c r="B919" i="132"/>
  <c r="B920" i="132"/>
  <c r="B921" i="132"/>
  <c r="B922" i="132"/>
  <c r="B923" i="132"/>
  <c r="B924" i="132"/>
  <c r="B925" i="132"/>
  <c r="B926" i="132"/>
  <c r="B927" i="132"/>
  <c r="B928" i="132"/>
  <c r="B929" i="132"/>
  <c r="B930" i="132"/>
  <c r="B931" i="132"/>
  <c r="B932" i="132"/>
  <c r="B933" i="132"/>
  <c r="B934" i="132"/>
  <c r="B935" i="132"/>
  <c r="B936" i="132"/>
  <c r="B937" i="132"/>
  <c r="B938" i="132"/>
  <c r="B939" i="132"/>
  <c r="B940" i="132"/>
  <c r="B941" i="132"/>
  <c r="B942" i="132"/>
  <c r="B943" i="132"/>
  <c r="B944" i="132"/>
  <c r="B945" i="132"/>
  <c r="B946" i="132"/>
  <c r="B947" i="132"/>
  <c r="B948" i="132"/>
  <c r="B949" i="132"/>
  <c r="B950" i="132"/>
  <c r="B951" i="132"/>
  <c r="B952" i="132"/>
  <c r="B953" i="132"/>
  <c r="B954" i="132"/>
  <c r="B955" i="132"/>
  <c r="B956" i="132"/>
  <c r="B957" i="132"/>
  <c r="B958" i="132"/>
  <c r="B959" i="132"/>
  <c r="B960" i="132"/>
  <c r="B961" i="132"/>
  <c r="B962" i="132"/>
  <c r="B963" i="132"/>
  <c r="B964" i="132"/>
  <c r="B965" i="132"/>
  <c r="B966" i="132"/>
  <c r="B967" i="132"/>
  <c r="B968" i="132"/>
  <c r="B969" i="132"/>
  <c r="B970" i="132"/>
  <c r="B971" i="132"/>
  <c r="B972" i="132"/>
  <c r="B973" i="132"/>
  <c r="B974" i="132"/>
  <c r="B975" i="132"/>
  <c r="B976" i="132"/>
  <c r="B977" i="132"/>
  <c r="B978" i="132"/>
  <c r="B979" i="132"/>
  <c r="B980" i="132"/>
  <c r="B981" i="132"/>
  <c r="B982" i="132"/>
  <c r="B983" i="132"/>
  <c r="B984" i="132"/>
  <c r="B985" i="132"/>
  <c r="B986" i="132"/>
  <c r="B987" i="132"/>
  <c r="B988" i="132"/>
  <c r="B989" i="132"/>
  <c r="B990" i="132"/>
  <c r="B991" i="132"/>
  <c r="B992" i="132"/>
  <c r="B993" i="132"/>
  <c r="B994" i="132"/>
  <c r="B995" i="132"/>
  <c r="B996" i="132"/>
  <c r="B997" i="132"/>
  <c r="B998" i="132"/>
  <c r="B999" i="132"/>
  <c r="B1000" i="132"/>
  <c r="B1001" i="132"/>
  <c r="B1002" i="132"/>
  <c r="B1003" i="132"/>
  <c r="B1004" i="132"/>
  <c r="B1005" i="132"/>
  <c r="B1006" i="132"/>
  <c r="B1007" i="132"/>
  <c r="B1008" i="132"/>
  <c r="B1009" i="132"/>
  <c r="B1010" i="132"/>
  <c r="B1011" i="132"/>
  <c r="B1012" i="132"/>
  <c r="B1013" i="132"/>
  <c r="B1014" i="132"/>
  <c r="B1015" i="132"/>
  <c r="B1016" i="132"/>
  <c r="B1017" i="132"/>
  <c r="B1018" i="132"/>
  <c r="B1019" i="132"/>
  <c r="B1020" i="132"/>
  <c r="B1021" i="132"/>
  <c r="B1022" i="132"/>
  <c r="B1023" i="132"/>
  <c r="B1024" i="132"/>
  <c r="B1025" i="132"/>
  <c r="B1026" i="132"/>
  <c r="B1027" i="132"/>
  <c r="B1028" i="132"/>
  <c r="B1029" i="132"/>
  <c r="B1030" i="132"/>
  <c r="B1031" i="132"/>
  <c r="B1032" i="132"/>
  <c r="B1033" i="132"/>
  <c r="B1034" i="132"/>
  <c r="B1035" i="132"/>
  <c r="B1036" i="132"/>
  <c r="B1037" i="132"/>
  <c r="B1038" i="132"/>
  <c r="B1039" i="132"/>
  <c r="B1040" i="132"/>
  <c r="B1041" i="132"/>
  <c r="B1042" i="132"/>
  <c r="B1043" i="132"/>
  <c r="B1044" i="132"/>
  <c r="B1045" i="132"/>
  <c r="B1046" i="132"/>
  <c r="B1047" i="132"/>
  <c r="B1048" i="132"/>
  <c r="B1049" i="132"/>
  <c r="B1050" i="132"/>
  <c r="B1051" i="132"/>
  <c r="B1052" i="132"/>
  <c r="B1053" i="132"/>
  <c r="B1054" i="132"/>
  <c r="B1055" i="132"/>
  <c r="B1056" i="132"/>
  <c r="B1057" i="132"/>
  <c r="B1058" i="132"/>
  <c r="B1059" i="132"/>
  <c r="B1060" i="132"/>
  <c r="B1061" i="132"/>
  <c r="B1062" i="132"/>
  <c r="B1063" i="132"/>
  <c r="B1064" i="132"/>
  <c r="B1065" i="132"/>
  <c r="B1066" i="132"/>
  <c r="B1067" i="132"/>
  <c r="B1068" i="132"/>
  <c r="B1069" i="132"/>
  <c r="B1070" i="132"/>
  <c r="B1071" i="132"/>
  <c r="B1072" i="132"/>
  <c r="B1073" i="132"/>
  <c r="B1074" i="132"/>
  <c r="B1075" i="132"/>
  <c r="B1076" i="132"/>
  <c r="B1077" i="132"/>
  <c r="B1078" i="132"/>
  <c r="B1079" i="132"/>
  <c r="B1080" i="132"/>
  <c r="B1081" i="132"/>
  <c r="B1082" i="132"/>
  <c r="B1083" i="132"/>
  <c r="B1084" i="132"/>
  <c r="B1085" i="132"/>
  <c r="B1086" i="132"/>
  <c r="B1087" i="132"/>
  <c r="B1088" i="132"/>
  <c r="B1089" i="132"/>
  <c r="B1090" i="132"/>
  <c r="B1091" i="132"/>
  <c r="B1092" i="132"/>
  <c r="B1093" i="132"/>
  <c r="B1094" i="132"/>
  <c r="B1095" i="132"/>
  <c r="B1096" i="132"/>
  <c r="B1097" i="132"/>
  <c r="B1098" i="132"/>
  <c r="B1099" i="132"/>
  <c r="B1100" i="132"/>
  <c r="B1101" i="132"/>
  <c r="B1102" i="132"/>
  <c r="B1103" i="132"/>
  <c r="B1104" i="132"/>
  <c r="B1105" i="132"/>
  <c r="B1106" i="132"/>
  <c r="B1107" i="132"/>
  <c r="B1108" i="132"/>
  <c r="B1109" i="132"/>
  <c r="B1110" i="132"/>
  <c r="B1111" i="132"/>
  <c r="B1112" i="132"/>
  <c r="B1113" i="132"/>
  <c r="B1114" i="132"/>
  <c r="B1115" i="132"/>
  <c r="B1116" i="132"/>
  <c r="B1117" i="132"/>
  <c r="B1118" i="132"/>
  <c r="B1119" i="132"/>
  <c r="B1120" i="132"/>
  <c r="B1121" i="132"/>
  <c r="B1122" i="132"/>
  <c r="B1123" i="132"/>
  <c r="B1124" i="132"/>
  <c r="B1125" i="132"/>
  <c r="B1126" i="132"/>
  <c r="B1127" i="132"/>
  <c r="B1128" i="132"/>
  <c r="B1129" i="132"/>
  <c r="B1130" i="132"/>
  <c r="B1131" i="132"/>
  <c r="B1132" i="132"/>
  <c r="B1133" i="132"/>
  <c r="B1134" i="132"/>
  <c r="B1135" i="132"/>
  <c r="B1136" i="132"/>
  <c r="B1137" i="132"/>
  <c r="B1138" i="132"/>
  <c r="B1139" i="132"/>
  <c r="B1140" i="132"/>
  <c r="B1141" i="132"/>
  <c r="B1142" i="132"/>
  <c r="B1143" i="132"/>
  <c r="B1144" i="132"/>
  <c r="B1145" i="132"/>
  <c r="B1146" i="132"/>
  <c r="B1147" i="132"/>
  <c r="B1148" i="132"/>
  <c r="B1149" i="132"/>
  <c r="B1150" i="132"/>
  <c r="B1151" i="132"/>
  <c r="B1152" i="132"/>
  <c r="B1153" i="132"/>
  <c r="B1154" i="132"/>
  <c r="B1155" i="132"/>
  <c r="B1156" i="132"/>
  <c r="B1157" i="132"/>
  <c r="B1158" i="132"/>
  <c r="B1159" i="132"/>
  <c r="B1160" i="132"/>
  <c r="B1161" i="132"/>
  <c r="B1162" i="132"/>
  <c r="B1163" i="132"/>
  <c r="B1164" i="132"/>
  <c r="B1165" i="132"/>
  <c r="B1166" i="132"/>
  <c r="B1167" i="132"/>
  <c r="B1168" i="132"/>
  <c r="B1169" i="132"/>
  <c r="B1170" i="132"/>
  <c r="B1171" i="132"/>
  <c r="B1172" i="132"/>
  <c r="B1173" i="132"/>
  <c r="B1174" i="132"/>
  <c r="B1175" i="132"/>
  <c r="B1176" i="132"/>
  <c r="B1177" i="132"/>
  <c r="B1178" i="132"/>
  <c r="B1179" i="132"/>
  <c r="B1180" i="132"/>
  <c r="B1181" i="132"/>
  <c r="B1182" i="132"/>
  <c r="B1183" i="132"/>
  <c r="B1184" i="132"/>
  <c r="B1185" i="132"/>
  <c r="B1186" i="132"/>
  <c r="B1187" i="132"/>
  <c r="B1188" i="132"/>
  <c r="B1189" i="132"/>
  <c r="B1190" i="132"/>
  <c r="B1191" i="132"/>
  <c r="B1192" i="132"/>
  <c r="B1193" i="132"/>
  <c r="B1194" i="132"/>
  <c r="B1195" i="132"/>
  <c r="B1196" i="132"/>
  <c r="B1197" i="132"/>
  <c r="B1198" i="132"/>
  <c r="B1199" i="132"/>
  <c r="B1200" i="132"/>
  <c r="B1201" i="132"/>
  <c r="B1202" i="132"/>
  <c r="B1203" i="132"/>
  <c r="B1204" i="132"/>
  <c r="B1205" i="132"/>
  <c r="B1206" i="132"/>
  <c r="B1207" i="132"/>
  <c r="B1208" i="132"/>
  <c r="B1209" i="132"/>
  <c r="B1210" i="132"/>
  <c r="B1211" i="132"/>
  <c r="B1212" i="132"/>
  <c r="B1213" i="132"/>
  <c r="B1214" i="132"/>
  <c r="B1215" i="132"/>
  <c r="B1216" i="132"/>
  <c r="B1217" i="132"/>
  <c r="B1218" i="132"/>
  <c r="B1219" i="132"/>
  <c r="B1220" i="132"/>
  <c r="B1221" i="132"/>
  <c r="B1222" i="132"/>
  <c r="B1223" i="132"/>
  <c r="B1224" i="132"/>
  <c r="B1225" i="132"/>
  <c r="B1226" i="132"/>
  <c r="B1227" i="132"/>
  <c r="B1228" i="132"/>
  <c r="B1229" i="132"/>
  <c r="B1230" i="132"/>
  <c r="B1231" i="132"/>
  <c r="B1232" i="132"/>
  <c r="B1233" i="132"/>
  <c r="B1234" i="132"/>
  <c r="B1235" i="132"/>
  <c r="B1236" i="132"/>
  <c r="B1237" i="132"/>
  <c r="B1238" i="132"/>
  <c r="B1239" i="132"/>
  <c r="B1240" i="132"/>
  <c r="B1241" i="132"/>
  <c r="B1242" i="132"/>
  <c r="B1243" i="132"/>
  <c r="B1244" i="132"/>
  <c r="B1245" i="132"/>
  <c r="B1246" i="132"/>
  <c r="B1247" i="132"/>
  <c r="B1248" i="132"/>
  <c r="B1249" i="132"/>
  <c r="B1250" i="132"/>
  <c r="B1251" i="132"/>
  <c r="B1252" i="132"/>
  <c r="B1253" i="132"/>
  <c r="B1254" i="132"/>
  <c r="B1255" i="132"/>
  <c r="B1256" i="132"/>
  <c r="B1257" i="132"/>
  <c r="B1258" i="132"/>
  <c r="B1259" i="132"/>
  <c r="B1260" i="132"/>
  <c r="B1261" i="132"/>
  <c r="B1262" i="132"/>
  <c r="B1263" i="132"/>
  <c r="B1264" i="132"/>
  <c r="B1265" i="132"/>
  <c r="B1266" i="132"/>
  <c r="B1267" i="132"/>
  <c r="B1268" i="132"/>
  <c r="B1269" i="132"/>
  <c r="B1270" i="132"/>
  <c r="B1271" i="132"/>
  <c r="B1272" i="132"/>
  <c r="B1273" i="132"/>
  <c r="B1274" i="132"/>
  <c r="B1275" i="132"/>
  <c r="B1276" i="132"/>
  <c r="B1277" i="132"/>
  <c r="B1278" i="132"/>
  <c r="B1279" i="132"/>
  <c r="B1280" i="132"/>
  <c r="B1281" i="132"/>
  <c r="B1282" i="132"/>
  <c r="B1283" i="132"/>
  <c r="B1284" i="132"/>
  <c r="B1285" i="132"/>
  <c r="B1286" i="132"/>
  <c r="B1287" i="132"/>
  <c r="B1288" i="132"/>
  <c r="B1289" i="132"/>
  <c r="B1290" i="132"/>
  <c r="B1291" i="132"/>
  <c r="B1292" i="132"/>
  <c r="B1293" i="132"/>
  <c r="B1294" i="132"/>
  <c r="B1295" i="132"/>
  <c r="B1296" i="132"/>
  <c r="B1297" i="132"/>
  <c r="B1298" i="132"/>
  <c r="B1299" i="132"/>
  <c r="B1300" i="132"/>
  <c r="B1301" i="132"/>
  <c r="B1302" i="132"/>
  <c r="B1303" i="132"/>
  <c r="B1304" i="132"/>
  <c r="B1305" i="132"/>
  <c r="B1306" i="132"/>
  <c r="B1307" i="132"/>
  <c r="B1308" i="132"/>
  <c r="B1309" i="132"/>
  <c r="B1310" i="132"/>
  <c r="B1311" i="132"/>
  <c r="B1312" i="132"/>
  <c r="B1313" i="132"/>
  <c r="B1314" i="132"/>
  <c r="B1315" i="132"/>
  <c r="B1316" i="132"/>
  <c r="B1317" i="132"/>
  <c r="B1318" i="132"/>
  <c r="B1319" i="132"/>
  <c r="B1320" i="132"/>
  <c r="B1321" i="132"/>
  <c r="B1322" i="132"/>
  <c r="B1323" i="132"/>
  <c r="B1324" i="132"/>
  <c r="B1325" i="132"/>
  <c r="B1326" i="132"/>
  <c r="B1327" i="132"/>
  <c r="B1328" i="132"/>
  <c r="B1329" i="132"/>
  <c r="B1330" i="132"/>
  <c r="B1331" i="132"/>
  <c r="B1332" i="132"/>
  <c r="B1333" i="132"/>
  <c r="B1334" i="132"/>
  <c r="B1335" i="132"/>
  <c r="B1336" i="132"/>
  <c r="B1337" i="132"/>
  <c r="B1338" i="132"/>
  <c r="B1339" i="132"/>
  <c r="B1340" i="132"/>
  <c r="B1341" i="132"/>
  <c r="B1342" i="132"/>
  <c r="B1343" i="132"/>
  <c r="B1344" i="132"/>
  <c r="B1345" i="132"/>
  <c r="B1346" i="132"/>
  <c r="B1347" i="132"/>
  <c r="B1348" i="132"/>
  <c r="B1349" i="132"/>
  <c r="B1350" i="132"/>
  <c r="B1351" i="132"/>
  <c r="B1352" i="132"/>
  <c r="B1353" i="132"/>
  <c r="B1354" i="132"/>
  <c r="B1355" i="132"/>
  <c r="B1356" i="132"/>
  <c r="B1357" i="132"/>
  <c r="B1358" i="132"/>
  <c r="B1359" i="132"/>
  <c r="B1360" i="132"/>
  <c r="B1361" i="132"/>
  <c r="B1362" i="132"/>
  <c r="B1363" i="132"/>
  <c r="B1364" i="132"/>
  <c r="B1365" i="132"/>
  <c r="B1366" i="132"/>
  <c r="B1367" i="132"/>
  <c r="B1368" i="132"/>
  <c r="B1369" i="132"/>
  <c r="B1370" i="132"/>
  <c r="B1371" i="132"/>
  <c r="B1372" i="132"/>
  <c r="B1373" i="132"/>
  <c r="B1374" i="132"/>
  <c r="B1375" i="132"/>
  <c r="B1376" i="132"/>
  <c r="B1377" i="132"/>
  <c r="B1378" i="132"/>
  <c r="B1379" i="132"/>
  <c r="B1380" i="132"/>
  <c r="B1381" i="132"/>
  <c r="B1382" i="132"/>
  <c r="B1383" i="132"/>
  <c r="B1384" i="132"/>
  <c r="B1385" i="132"/>
  <c r="B1386" i="132"/>
  <c r="B1387" i="132"/>
  <c r="B1388" i="132"/>
  <c r="B1389" i="132"/>
  <c r="B1390" i="132"/>
  <c r="B1391" i="132"/>
  <c r="B1392" i="132"/>
  <c r="B1393" i="132"/>
  <c r="B1394" i="132"/>
  <c r="B1395" i="132"/>
  <c r="B1396" i="132"/>
  <c r="B1397" i="132"/>
  <c r="B1398" i="132"/>
  <c r="B1399" i="132"/>
  <c r="B1400" i="132"/>
  <c r="B1401" i="132"/>
  <c r="B1402" i="132"/>
  <c r="B1403" i="132"/>
  <c r="B1404" i="132"/>
  <c r="B1405" i="132"/>
  <c r="B1406" i="132"/>
  <c r="B1407" i="132"/>
  <c r="B1408" i="132"/>
  <c r="B1409" i="132"/>
  <c r="B1410" i="132"/>
  <c r="B1411" i="132"/>
  <c r="B1412" i="132"/>
  <c r="B1413" i="132"/>
  <c r="B1414" i="132"/>
  <c r="B1415" i="132"/>
  <c r="B1416" i="132"/>
  <c r="B1417" i="132"/>
  <c r="B1418" i="132"/>
  <c r="B1419" i="132"/>
  <c r="B1420" i="132"/>
  <c r="B1421" i="132"/>
  <c r="B1422" i="132"/>
  <c r="B1423" i="132"/>
  <c r="B1424" i="132"/>
  <c r="B1425" i="132"/>
  <c r="B1426" i="132"/>
  <c r="B1427" i="132"/>
  <c r="B1428" i="132"/>
  <c r="B1429" i="132"/>
  <c r="B1430" i="132"/>
  <c r="B1431" i="132"/>
  <c r="B1432" i="132"/>
  <c r="B1433" i="132"/>
  <c r="B1434" i="132"/>
  <c r="B1435" i="132"/>
  <c r="B1436" i="132"/>
  <c r="B1437" i="132"/>
  <c r="B1438" i="132"/>
  <c r="B1439" i="132"/>
  <c r="B1440" i="132"/>
  <c r="B1441" i="132"/>
  <c r="B1442" i="132"/>
  <c r="B1443" i="132"/>
  <c r="B1444" i="132"/>
  <c r="B1445" i="132"/>
  <c r="B1446" i="132"/>
  <c r="B1447" i="132"/>
  <c r="B1448" i="132"/>
  <c r="B1449" i="132"/>
  <c r="B1450" i="132"/>
  <c r="B1451" i="132"/>
  <c r="B1452" i="132"/>
  <c r="B1453" i="132"/>
  <c r="B1454" i="132"/>
  <c r="B1455" i="132"/>
  <c r="B1456" i="132"/>
  <c r="B1457" i="132"/>
  <c r="B1458" i="132"/>
  <c r="B1459" i="132"/>
  <c r="B1460" i="132"/>
  <c r="B1461" i="132"/>
  <c r="B1462" i="132"/>
  <c r="B1463" i="132"/>
  <c r="B1464" i="132"/>
  <c r="B1465" i="132"/>
  <c r="B1466" i="132"/>
  <c r="B1467" i="132"/>
  <c r="B1468" i="132"/>
  <c r="B1469" i="132"/>
  <c r="B1470" i="132"/>
  <c r="B1471" i="132"/>
  <c r="B1472" i="132"/>
  <c r="B1473" i="132"/>
  <c r="B1474" i="132"/>
  <c r="B1475" i="132"/>
  <c r="B1476" i="132"/>
  <c r="B1477" i="132"/>
  <c r="B1478" i="132"/>
  <c r="B1479" i="132"/>
  <c r="B1480" i="132"/>
  <c r="B1481" i="132"/>
  <c r="B1482" i="132"/>
  <c r="B1483" i="132"/>
  <c r="B1484" i="132"/>
  <c r="B1485" i="132"/>
  <c r="B1486" i="132"/>
  <c r="B1487" i="132"/>
  <c r="B1488" i="132"/>
  <c r="B1489" i="132"/>
  <c r="B1490" i="132"/>
  <c r="B2" i="132"/>
  <c r="C3" i="136"/>
  <c r="C4" i="136"/>
  <c r="C5" i="136"/>
  <c r="C6" i="136"/>
  <c r="C7" i="136"/>
  <c r="C8" i="136"/>
  <c r="C9" i="136"/>
  <c r="C10" i="136"/>
  <c r="C11" i="136"/>
  <c r="C12" i="136"/>
  <c r="C13" i="136"/>
  <c r="C14" i="136"/>
  <c r="C15" i="136"/>
  <c r="C16" i="136"/>
  <c r="C17" i="136"/>
  <c r="C18" i="136"/>
  <c r="C19" i="136"/>
  <c r="C20" i="136"/>
  <c r="C21" i="136"/>
  <c r="C22" i="136"/>
  <c r="C23" i="136"/>
  <c r="C24" i="136"/>
  <c r="C25" i="136"/>
  <c r="C26" i="136"/>
  <c r="C27" i="136"/>
  <c r="C28" i="136"/>
  <c r="C29" i="136"/>
  <c r="C30" i="136"/>
  <c r="C31" i="136"/>
  <c r="C32" i="136"/>
  <c r="C33" i="136"/>
  <c r="C34" i="136"/>
  <c r="C35" i="136"/>
  <c r="C36" i="136"/>
  <c r="C37" i="136"/>
  <c r="C38" i="136"/>
  <c r="C39" i="136"/>
  <c r="C40" i="136"/>
  <c r="C41" i="136"/>
  <c r="C42" i="136"/>
  <c r="C43" i="136"/>
  <c r="C44" i="136"/>
  <c r="C45" i="136"/>
  <c r="C46" i="136"/>
  <c r="C47" i="136"/>
  <c r="C48" i="136"/>
  <c r="C49" i="136"/>
  <c r="C50" i="136"/>
  <c r="C51" i="136"/>
  <c r="C52" i="136"/>
  <c r="C53" i="136"/>
  <c r="C54" i="136"/>
  <c r="C55" i="136"/>
  <c r="C56" i="136"/>
  <c r="C57" i="136"/>
  <c r="C58" i="136"/>
  <c r="C59" i="136"/>
  <c r="C60" i="136"/>
  <c r="C61" i="136"/>
  <c r="C62" i="136"/>
  <c r="C63" i="136"/>
  <c r="C64" i="136"/>
  <c r="C65" i="136"/>
  <c r="C66" i="136"/>
  <c r="C67" i="136"/>
  <c r="C68" i="136"/>
  <c r="C69" i="136"/>
  <c r="C70" i="136"/>
  <c r="C71" i="136"/>
  <c r="C72" i="136"/>
  <c r="C73" i="136"/>
  <c r="C74" i="136"/>
  <c r="C75" i="136"/>
  <c r="C76" i="136"/>
  <c r="C77" i="136"/>
  <c r="C78" i="136"/>
  <c r="C79" i="136"/>
  <c r="C80" i="136"/>
  <c r="C81" i="136"/>
  <c r="C82" i="136"/>
  <c r="C83" i="136"/>
  <c r="C84" i="136"/>
  <c r="C85" i="136"/>
  <c r="C86" i="136"/>
  <c r="C87" i="136"/>
  <c r="C88" i="136"/>
  <c r="C89" i="136"/>
  <c r="C90" i="136"/>
  <c r="C91" i="136"/>
  <c r="C92" i="136"/>
  <c r="C93" i="136"/>
  <c r="C94" i="136"/>
  <c r="C95" i="136"/>
  <c r="C96" i="136"/>
  <c r="C97" i="136"/>
  <c r="C98" i="136"/>
  <c r="C99" i="136"/>
  <c r="C100" i="136"/>
  <c r="C101" i="136"/>
  <c r="C102" i="136"/>
  <c r="C103" i="136"/>
  <c r="C104" i="136"/>
  <c r="C105" i="136"/>
  <c r="C106" i="136"/>
  <c r="C107" i="136"/>
  <c r="C108" i="136"/>
  <c r="C109" i="136"/>
  <c r="C110" i="136"/>
  <c r="C111" i="136"/>
  <c r="C112" i="136"/>
  <c r="C113" i="136"/>
  <c r="C114" i="136"/>
  <c r="C115" i="136"/>
  <c r="C116" i="136"/>
  <c r="C117" i="136"/>
  <c r="C118" i="136"/>
  <c r="C119" i="136"/>
  <c r="C120" i="136"/>
  <c r="C121" i="136"/>
  <c r="C122" i="136"/>
  <c r="C123" i="136"/>
  <c r="C124" i="136"/>
  <c r="C125" i="136"/>
  <c r="C126" i="136"/>
  <c r="C127" i="136"/>
  <c r="C128" i="136"/>
  <c r="C129" i="136"/>
  <c r="C130" i="136"/>
  <c r="C131" i="136"/>
  <c r="C132" i="136"/>
  <c r="C133" i="136"/>
  <c r="C134" i="136"/>
  <c r="C135" i="136"/>
  <c r="C136" i="136"/>
  <c r="C137" i="136"/>
  <c r="C138" i="136"/>
  <c r="C139" i="136"/>
  <c r="C140" i="136"/>
  <c r="C141" i="136"/>
  <c r="C142" i="136"/>
  <c r="C143" i="136"/>
  <c r="C144" i="136"/>
  <c r="C145" i="136"/>
  <c r="C146" i="136"/>
  <c r="C147" i="136"/>
  <c r="C148" i="136"/>
  <c r="C149" i="136"/>
  <c r="C150" i="136"/>
  <c r="C151" i="136"/>
  <c r="C152" i="136"/>
  <c r="C153" i="136"/>
  <c r="C154" i="136"/>
  <c r="C155" i="136"/>
  <c r="C156" i="136"/>
  <c r="C157" i="136"/>
  <c r="C158" i="136"/>
  <c r="C159" i="136"/>
  <c r="C160" i="136"/>
  <c r="C161" i="136"/>
  <c r="C162" i="136"/>
  <c r="C163" i="136"/>
  <c r="C164" i="136"/>
  <c r="C165" i="136"/>
  <c r="C166" i="136"/>
  <c r="C167" i="136"/>
  <c r="C168" i="136"/>
  <c r="C169" i="136"/>
  <c r="C170" i="136"/>
  <c r="C171" i="136"/>
  <c r="C172" i="136"/>
  <c r="C173" i="136"/>
  <c r="C174" i="136"/>
  <c r="C175" i="136"/>
  <c r="C176" i="136"/>
  <c r="C177" i="136"/>
  <c r="C178" i="136"/>
  <c r="C179" i="136"/>
  <c r="C180" i="136"/>
  <c r="C181" i="136"/>
  <c r="C182" i="136"/>
  <c r="C183" i="136"/>
  <c r="C184" i="136"/>
  <c r="C185" i="136"/>
  <c r="C186" i="136"/>
  <c r="C187" i="136"/>
  <c r="C188" i="136"/>
  <c r="C189" i="136"/>
  <c r="C190" i="136"/>
  <c r="C191" i="136"/>
  <c r="C192" i="136"/>
  <c r="C193" i="136"/>
  <c r="C194" i="136"/>
  <c r="C195" i="136"/>
  <c r="C196" i="136"/>
  <c r="C197" i="136"/>
  <c r="C198" i="136"/>
  <c r="C199" i="136"/>
  <c r="C200" i="136"/>
  <c r="C201" i="136"/>
  <c r="C202" i="136"/>
  <c r="C203" i="136"/>
  <c r="C204" i="136"/>
  <c r="C205" i="136"/>
  <c r="C206" i="136"/>
  <c r="C207" i="136"/>
  <c r="C208" i="136"/>
  <c r="C209" i="136"/>
  <c r="C210" i="136"/>
  <c r="C211" i="136"/>
  <c r="C212" i="136"/>
  <c r="C213" i="136"/>
  <c r="C214" i="136"/>
  <c r="C215" i="136"/>
  <c r="C216" i="136"/>
  <c r="C217" i="136"/>
  <c r="C218" i="136"/>
  <c r="C219" i="136"/>
  <c r="C220" i="136"/>
  <c r="C221" i="136"/>
  <c r="C222" i="136"/>
  <c r="C223" i="136"/>
  <c r="C224" i="136"/>
  <c r="C225" i="136"/>
  <c r="C226" i="136"/>
  <c r="C227" i="136"/>
  <c r="C228" i="136"/>
  <c r="C229" i="136"/>
  <c r="C230" i="136"/>
  <c r="C231" i="136"/>
  <c r="C232" i="136"/>
  <c r="C233" i="136"/>
  <c r="C234" i="136"/>
  <c r="C235" i="136"/>
  <c r="C236" i="136"/>
  <c r="C237" i="136"/>
  <c r="C238" i="136"/>
  <c r="C239" i="136"/>
  <c r="C240" i="136"/>
  <c r="C241" i="136"/>
  <c r="C242" i="136"/>
  <c r="C243" i="136"/>
  <c r="C244" i="136"/>
  <c r="C245" i="136"/>
  <c r="C246" i="136"/>
  <c r="C247" i="136"/>
  <c r="C248" i="136"/>
  <c r="C249" i="136"/>
  <c r="C250" i="136"/>
  <c r="C251" i="136"/>
  <c r="C252" i="136"/>
  <c r="C253" i="136"/>
  <c r="C254" i="136"/>
  <c r="C255" i="136"/>
  <c r="C256" i="136"/>
  <c r="C257" i="136"/>
  <c r="C258" i="136"/>
  <c r="C259" i="136"/>
  <c r="C260" i="136"/>
  <c r="C261" i="136"/>
  <c r="C262" i="136"/>
  <c r="C263" i="136"/>
  <c r="C264" i="136"/>
  <c r="C265" i="136"/>
  <c r="C266" i="136"/>
  <c r="C267" i="136"/>
  <c r="C268" i="136"/>
  <c r="C269" i="136"/>
  <c r="C270" i="136"/>
  <c r="C271" i="136"/>
  <c r="C272" i="136"/>
  <c r="C273" i="136"/>
  <c r="C274" i="136"/>
  <c r="C275" i="136"/>
  <c r="C276" i="136"/>
  <c r="C277" i="136"/>
  <c r="C278" i="136"/>
  <c r="C279" i="136"/>
  <c r="C280" i="136"/>
  <c r="C281" i="136"/>
  <c r="C282" i="136"/>
  <c r="C283" i="136"/>
  <c r="C284" i="136"/>
  <c r="C285" i="136"/>
  <c r="C286" i="136"/>
  <c r="C287" i="136"/>
  <c r="C288" i="136"/>
  <c r="C289" i="136"/>
  <c r="C290" i="136"/>
  <c r="C291" i="136"/>
  <c r="C292" i="136"/>
  <c r="C293" i="136"/>
  <c r="C294" i="136"/>
  <c r="C295" i="136"/>
  <c r="C296" i="136"/>
  <c r="C297" i="136"/>
  <c r="C298" i="136"/>
  <c r="C299" i="136"/>
  <c r="C300" i="136"/>
  <c r="C301" i="136"/>
  <c r="C302" i="136"/>
  <c r="C303" i="136"/>
  <c r="C304" i="136"/>
  <c r="C305" i="136"/>
  <c r="C306" i="136"/>
  <c r="C307" i="136"/>
  <c r="C308" i="136"/>
  <c r="C309" i="136"/>
  <c r="C310" i="136"/>
  <c r="C311" i="136"/>
  <c r="C312" i="136"/>
  <c r="C313" i="136"/>
  <c r="C314" i="136"/>
  <c r="C315" i="136"/>
  <c r="C316" i="136"/>
  <c r="C317" i="136"/>
  <c r="C318" i="136"/>
  <c r="C319" i="136"/>
  <c r="C320" i="136"/>
  <c r="C321" i="136"/>
  <c r="C322" i="136"/>
  <c r="C323" i="136"/>
  <c r="C324" i="136"/>
  <c r="C325" i="136"/>
  <c r="C326" i="136"/>
  <c r="C327" i="136"/>
  <c r="C328" i="136"/>
  <c r="C329" i="136"/>
  <c r="C330" i="136"/>
  <c r="C331" i="136"/>
  <c r="C332" i="136"/>
  <c r="C333" i="136"/>
  <c r="C334" i="136"/>
  <c r="C335" i="136"/>
  <c r="C336" i="136"/>
  <c r="C337" i="136"/>
  <c r="C338" i="136"/>
  <c r="C339" i="136"/>
  <c r="C340" i="136"/>
  <c r="C341" i="136"/>
  <c r="C342" i="136"/>
  <c r="C343" i="136"/>
  <c r="C344" i="136"/>
  <c r="C345" i="136"/>
  <c r="C346" i="136"/>
  <c r="C347" i="136"/>
  <c r="C348" i="136"/>
  <c r="C349" i="136"/>
  <c r="C350" i="136"/>
  <c r="C351" i="136"/>
  <c r="C352" i="136"/>
  <c r="C353" i="136"/>
  <c r="C354" i="136"/>
  <c r="C355" i="136"/>
  <c r="C356" i="136"/>
  <c r="C357" i="136"/>
  <c r="C358" i="136"/>
  <c r="C359" i="136"/>
  <c r="C360" i="136"/>
  <c r="C361" i="136"/>
  <c r="C362" i="136"/>
  <c r="C363" i="136"/>
  <c r="C364" i="136"/>
  <c r="C365" i="136"/>
  <c r="C366" i="136"/>
  <c r="C367" i="136"/>
  <c r="C368" i="136"/>
  <c r="C369" i="136"/>
  <c r="C370" i="136"/>
  <c r="C371" i="136"/>
  <c r="C372" i="136"/>
  <c r="C373" i="136"/>
  <c r="C374" i="136"/>
  <c r="C375" i="136"/>
  <c r="C376" i="136"/>
  <c r="C377" i="136"/>
  <c r="C378" i="136"/>
  <c r="C379" i="136"/>
  <c r="C380" i="136"/>
  <c r="C381" i="136"/>
  <c r="C382" i="136"/>
  <c r="C383" i="136"/>
  <c r="C384" i="136"/>
  <c r="C385" i="136"/>
  <c r="C386" i="136"/>
  <c r="C387" i="136"/>
  <c r="C388" i="136"/>
  <c r="C389" i="136"/>
  <c r="C390" i="136"/>
  <c r="C391" i="136"/>
  <c r="C392" i="136"/>
  <c r="C393" i="136"/>
  <c r="C394" i="136"/>
  <c r="C395" i="136"/>
  <c r="C396" i="136"/>
  <c r="C397" i="136"/>
  <c r="C398" i="136"/>
  <c r="C399" i="136"/>
  <c r="C400" i="136"/>
  <c r="C401" i="136"/>
  <c r="C402" i="136"/>
  <c r="C403" i="136"/>
  <c r="C404" i="136"/>
  <c r="C405" i="136"/>
  <c r="C406" i="136"/>
  <c r="C407" i="136"/>
  <c r="C408" i="136"/>
  <c r="C409" i="136"/>
  <c r="C410" i="136"/>
  <c r="C411" i="136"/>
  <c r="C412" i="136"/>
  <c r="C413" i="136"/>
  <c r="C414" i="136"/>
  <c r="C415" i="136"/>
  <c r="C416" i="136"/>
  <c r="C417" i="136"/>
  <c r="C418" i="136"/>
  <c r="C419" i="136"/>
  <c r="C420" i="136"/>
  <c r="C421" i="136"/>
  <c r="C422" i="136"/>
  <c r="C423" i="136"/>
  <c r="C424" i="136"/>
  <c r="C425" i="136"/>
  <c r="C426" i="136"/>
  <c r="C427" i="136"/>
  <c r="C428" i="136"/>
  <c r="C429" i="136"/>
  <c r="C430" i="136"/>
  <c r="C431" i="136"/>
  <c r="C432" i="136"/>
  <c r="C433" i="136"/>
  <c r="C434" i="136"/>
  <c r="C435" i="136"/>
  <c r="C436" i="136"/>
  <c r="C437" i="136"/>
  <c r="C438" i="136"/>
  <c r="C439" i="136"/>
  <c r="C440" i="136"/>
  <c r="C441" i="136"/>
  <c r="C442" i="136"/>
  <c r="C443" i="136"/>
  <c r="C444" i="136"/>
  <c r="C445" i="136"/>
  <c r="C446" i="136"/>
  <c r="C447" i="136"/>
  <c r="C448" i="136"/>
  <c r="C449" i="136"/>
  <c r="C450" i="136"/>
  <c r="C451" i="136"/>
  <c r="C452" i="136"/>
  <c r="C453" i="136"/>
  <c r="C454" i="136"/>
  <c r="C455" i="136"/>
  <c r="C456" i="136"/>
  <c r="C457" i="136"/>
  <c r="C458" i="136"/>
  <c r="C459" i="136"/>
  <c r="C460" i="136"/>
  <c r="C461" i="136"/>
  <c r="C462" i="136"/>
  <c r="C463" i="136"/>
  <c r="C464" i="136"/>
  <c r="C465" i="136"/>
  <c r="C466" i="136"/>
  <c r="C467" i="136"/>
  <c r="C468" i="136"/>
  <c r="C469" i="136"/>
  <c r="C470" i="136"/>
  <c r="C471" i="136"/>
  <c r="C472" i="136"/>
  <c r="C473" i="136"/>
  <c r="C474" i="136"/>
  <c r="C475" i="136"/>
  <c r="C476" i="136"/>
  <c r="C477" i="136"/>
  <c r="C478" i="136"/>
  <c r="C479" i="136"/>
  <c r="C480" i="136"/>
  <c r="C481" i="136"/>
  <c r="C482" i="136"/>
  <c r="C483" i="136"/>
  <c r="C484" i="136"/>
  <c r="C485" i="136"/>
  <c r="C486" i="136"/>
  <c r="C487" i="136"/>
  <c r="C488" i="136"/>
  <c r="C489" i="136"/>
  <c r="C490" i="136"/>
  <c r="C491" i="136"/>
  <c r="C492" i="136"/>
  <c r="C493" i="136"/>
  <c r="C494" i="136"/>
  <c r="C495" i="136"/>
  <c r="C496" i="136"/>
  <c r="C497" i="136"/>
  <c r="C498" i="136"/>
  <c r="C499" i="136"/>
  <c r="C500" i="136"/>
  <c r="C501" i="136"/>
  <c r="C502" i="136"/>
  <c r="C503" i="136"/>
  <c r="C504" i="136"/>
  <c r="C505" i="136"/>
  <c r="C506" i="136"/>
  <c r="C507" i="136"/>
  <c r="C508" i="136"/>
  <c r="C509" i="136"/>
  <c r="C510" i="136"/>
  <c r="C511" i="136"/>
  <c r="C512" i="136"/>
  <c r="C513" i="136"/>
  <c r="C514" i="136"/>
  <c r="C515" i="136"/>
  <c r="C516" i="136"/>
  <c r="C517" i="136"/>
  <c r="C518" i="136"/>
  <c r="C519" i="136"/>
  <c r="C520" i="136"/>
  <c r="C521" i="136"/>
  <c r="C522" i="136"/>
  <c r="C523" i="136"/>
  <c r="C524" i="136"/>
  <c r="C525" i="136"/>
  <c r="C526" i="136"/>
  <c r="C527" i="136"/>
  <c r="C528" i="136"/>
  <c r="C529" i="136"/>
  <c r="C530" i="136"/>
  <c r="C531" i="136"/>
  <c r="C532" i="136"/>
  <c r="C533" i="136"/>
  <c r="C534" i="136"/>
  <c r="C535" i="136"/>
  <c r="C536" i="136"/>
  <c r="C537" i="136"/>
  <c r="C538" i="136"/>
  <c r="C539" i="136"/>
  <c r="C540" i="136"/>
  <c r="C541" i="136"/>
  <c r="C542" i="136"/>
  <c r="C543" i="136"/>
  <c r="C544" i="136"/>
  <c r="C545" i="136"/>
  <c r="C546" i="136"/>
  <c r="C547" i="136"/>
  <c r="C548" i="136"/>
  <c r="C549" i="136"/>
  <c r="C550" i="136"/>
  <c r="C551" i="136"/>
  <c r="C552" i="136"/>
  <c r="C553" i="136"/>
  <c r="C554" i="136"/>
  <c r="C555" i="136"/>
  <c r="C556" i="136"/>
  <c r="C557" i="136"/>
  <c r="C558" i="136"/>
  <c r="C559" i="136"/>
  <c r="C560" i="136"/>
  <c r="C561" i="136"/>
  <c r="C562" i="136"/>
  <c r="C563" i="136"/>
  <c r="C564" i="136"/>
  <c r="C565" i="136"/>
  <c r="C566" i="136"/>
  <c r="C567" i="136"/>
  <c r="C568" i="136"/>
  <c r="C569" i="136"/>
  <c r="C570" i="136"/>
  <c r="C571" i="136"/>
  <c r="C572" i="136"/>
  <c r="C573" i="136"/>
  <c r="C574" i="136"/>
  <c r="C575" i="136"/>
  <c r="C576" i="136"/>
  <c r="C577" i="136"/>
  <c r="C578" i="136"/>
  <c r="C579" i="136"/>
  <c r="C580" i="136"/>
  <c r="C581" i="136"/>
  <c r="C582" i="136"/>
  <c r="C583" i="136"/>
  <c r="C584" i="136"/>
  <c r="C585" i="136"/>
  <c r="C586" i="136"/>
  <c r="C587" i="136"/>
  <c r="C588" i="136"/>
  <c r="C589" i="136"/>
  <c r="C590" i="136"/>
  <c r="C591" i="136"/>
  <c r="C592" i="136"/>
  <c r="C593" i="136"/>
  <c r="C594" i="136"/>
  <c r="C595" i="136"/>
  <c r="C596" i="136"/>
  <c r="C597" i="136"/>
  <c r="C598" i="136"/>
  <c r="C599" i="136"/>
  <c r="C600" i="136"/>
  <c r="C601" i="136"/>
  <c r="C602" i="136"/>
  <c r="C603" i="136"/>
  <c r="C604" i="136"/>
  <c r="C605" i="136"/>
  <c r="C606" i="136"/>
  <c r="C607" i="136"/>
  <c r="C608" i="136"/>
  <c r="C609" i="136"/>
  <c r="C610" i="136"/>
  <c r="C611" i="136"/>
  <c r="C612" i="136"/>
  <c r="C613" i="136"/>
  <c r="C614" i="136"/>
  <c r="C615" i="136"/>
  <c r="C616" i="136"/>
  <c r="C617" i="136"/>
  <c r="C618" i="136"/>
  <c r="C619" i="136"/>
  <c r="C620" i="136"/>
  <c r="C621" i="136"/>
  <c r="C622" i="136"/>
  <c r="C623" i="136"/>
  <c r="C624" i="136"/>
  <c r="C625" i="136"/>
  <c r="C626" i="136"/>
  <c r="C627" i="136"/>
  <c r="C628" i="136"/>
  <c r="C629" i="136"/>
  <c r="C630" i="136"/>
  <c r="C631" i="136"/>
  <c r="C632" i="136"/>
  <c r="C633" i="136"/>
  <c r="C634" i="136"/>
  <c r="C635" i="136"/>
  <c r="C636" i="136"/>
  <c r="C637" i="136"/>
  <c r="C638" i="136"/>
  <c r="C639" i="136"/>
  <c r="C640" i="136"/>
  <c r="C641" i="136"/>
  <c r="C642" i="136"/>
  <c r="C643" i="136"/>
  <c r="C644" i="136"/>
  <c r="C645" i="136"/>
  <c r="C646" i="136"/>
  <c r="C647" i="136"/>
  <c r="C648" i="136"/>
  <c r="C649" i="136"/>
  <c r="C650" i="136"/>
  <c r="C651" i="136"/>
  <c r="C652" i="136"/>
  <c r="C653" i="136"/>
  <c r="C654" i="136"/>
  <c r="C655" i="136"/>
  <c r="C656" i="136"/>
  <c r="C657" i="136"/>
  <c r="C658" i="136"/>
  <c r="C659" i="136"/>
  <c r="C660" i="136"/>
  <c r="C661" i="136"/>
  <c r="C662" i="136"/>
  <c r="C663" i="136"/>
  <c r="C664" i="136"/>
  <c r="C665" i="136"/>
  <c r="C666" i="136"/>
  <c r="C667" i="136"/>
  <c r="C668" i="136"/>
  <c r="C669" i="136"/>
  <c r="C670" i="136"/>
  <c r="C671" i="136"/>
  <c r="C672" i="136"/>
  <c r="C673" i="136"/>
  <c r="C674" i="136"/>
  <c r="C675" i="136"/>
  <c r="C676" i="136"/>
  <c r="C677" i="136"/>
  <c r="C678" i="136"/>
  <c r="C679" i="136"/>
  <c r="C680" i="136"/>
  <c r="C681" i="136"/>
  <c r="C682" i="136"/>
  <c r="C683" i="136"/>
  <c r="C684" i="136"/>
  <c r="C685" i="136"/>
  <c r="C686" i="136"/>
  <c r="C687" i="136"/>
  <c r="C688" i="136"/>
  <c r="C689" i="136"/>
  <c r="C690" i="136"/>
  <c r="C691" i="136"/>
  <c r="C692" i="136"/>
  <c r="C693" i="136"/>
  <c r="C694" i="136"/>
  <c r="C695" i="136"/>
  <c r="C696" i="136"/>
  <c r="C697" i="136"/>
  <c r="C698" i="136"/>
  <c r="C699" i="136"/>
  <c r="C700" i="136"/>
  <c r="C701" i="136"/>
  <c r="C702" i="136"/>
  <c r="C703" i="136"/>
  <c r="C704" i="136"/>
  <c r="C705" i="136"/>
  <c r="C706" i="136"/>
  <c r="C707" i="136"/>
  <c r="C708" i="136"/>
  <c r="C709" i="136"/>
  <c r="C710" i="136"/>
  <c r="C711" i="136"/>
  <c r="C712" i="136"/>
  <c r="C713" i="136"/>
  <c r="C714" i="136"/>
  <c r="C715" i="136"/>
  <c r="C716" i="136"/>
  <c r="C717" i="136"/>
  <c r="C718" i="136"/>
  <c r="C719" i="136"/>
  <c r="C720" i="136"/>
  <c r="C721" i="136"/>
  <c r="C722" i="136"/>
  <c r="C723" i="136"/>
  <c r="C724" i="136"/>
  <c r="C725" i="136"/>
  <c r="C726" i="136"/>
  <c r="C727" i="136"/>
  <c r="C728" i="136"/>
  <c r="C729" i="136"/>
  <c r="C730" i="136"/>
  <c r="C731" i="136"/>
  <c r="C732" i="136"/>
  <c r="C733" i="136"/>
  <c r="C734" i="136"/>
  <c r="C735" i="136"/>
  <c r="C736" i="136"/>
  <c r="C737" i="136"/>
  <c r="C738" i="136"/>
  <c r="C739" i="136"/>
  <c r="C740" i="136"/>
  <c r="C741" i="136"/>
  <c r="C742" i="136"/>
  <c r="C743" i="136"/>
  <c r="C744" i="136"/>
  <c r="C745" i="136"/>
  <c r="C746" i="136"/>
  <c r="C747" i="136"/>
  <c r="C748" i="136"/>
  <c r="C749" i="136"/>
  <c r="C750" i="136"/>
  <c r="C751" i="136"/>
  <c r="C752" i="136"/>
  <c r="C753" i="136"/>
  <c r="C754" i="136"/>
  <c r="C755" i="136"/>
  <c r="C756" i="136"/>
  <c r="C757" i="136"/>
  <c r="C758" i="136"/>
  <c r="C759" i="136"/>
  <c r="C760" i="136"/>
  <c r="C761" i="136"/>
  <c r="C762" i="136"/>
  <c r="C763" i="136"/>
  <c r="C764" i="136"/>
  <c r="C765" i="136"/>
  <c r="C766" i="136"/>
  <c r="C767" i="136"/>
  <c r="C768" i="136"/>
  <c r="C769" i="136"/>
  <c r="C770" i="136"/>
  <c r="C771" i="136"/>
  <c r="C772" i="136"/>
  <c r="C773" i="136"/>
  <c r="C774" i="136"/>
  <c r="C775" i="136"/>
  <c r="C776" i="136"/>
  <c r="C777" i="136"/>
  <c r="C778" i="136"/>
  <c r="C779" i="136"/>
  <c r="C780" i="136"/>
  <c r="C781" i="136"/>
  <c r="C782" i="136"/>
  <c r="C783" i="136"/>
  <c r="C784" i="136"/>
  <c r="C785" i="136"/>
  <c r="C786" i="136"/>
  <c r="C787" i="136"/>
  <c r="C788" i="136"/>
  <c r="C789" i="136"/>
  <c r="C790" i="136"/>
  <c r="C791" i="136"/>
  <c r="C792" i="136"/>
  <c r="C793" i="136"/>
  <c r="C794" i="136"/>
  <c r="C795" i="136"/>
  <c r="C796" i="136"/>
  <c r="C797" i="136"/>
  <c r="C798" i="136"/>
  <c r="C799" i="136"/>
  <c r="C800" i="136"/>
  <c r="C801" i="136"/>
  <c r="C802" i="136"/>
  <c r="C803" i="136"/>
  <c r="C804" i="136"/>
  <c r="C805" i="136"/>
  <c r="C806" i="136"/>
  <c r="C807" i="136"/>
  <c r="C808" i="136"/>
  <c r="C809" i="136"/>
  <c r="C810" i="136"/>
  <c r="C811" i="136"/>
  <c r="C812" i="136"/>
  <c r="C813" i="136"/>
  <c r="C814" i="136"/>
  <c r="C815" i="136"/>
  <c r="C816" i="136"/>
  <c r="C817" i="136"/>
  <c r="C818" i="136"/>
  <c r="C819" i="136"/>
  <c r="C820" i="136"/>
  <c r="C821" i="136"/>
  <c r="C822" i="136"/>
  <c r="C823" i="136"/>
  <c r="C824" i="136"/>
  <c r="C825" i="136"/>
  <c r="C826" i="136"/>
  <c r="C827" i="136"/>
  <c r="C828" i="136"/>
  <c r="C829" i="136"/>
  <c r="C830" i="136"/>
  <c r="C831" i="136"/>
  <c r="C832" i="136"/>
  <c r="C833" i="136"/>
  <c r="C834" i="136"/>
  <c r="C835" i="136"/>
  <c r="C836" i="136"/>
  <c r="C837" i="136"/>
  <c r="C838" i="136"/>
  <c r="C839" i="136"/>
  <c r="C840" i="136"/>
  <c r="C841" i="136"/>
  <c r="C842" i="136"/>
  <c r="C843" i="136"/>
  <c r="C844" i="136"/>
  <c r="C845" i="136"/>
  <c r="C846" i="136"/>
  <c r="C847" i="136"/>
  <c r="C848" i="136"/>
  <c r="C849" i="136"/>
  <c r="C850" i="136"/>
  <c r="C851" i="136"/>
  <c r="C852" i="136"/>
  <c r="C853" i="136"/>
  <c r="C854" i="136"/>
  <c r="C855" i="136"/>
  <c r="C856" i="136"/>
  <c r="C857" i="136"/>
  <c r="C858" i="136"/>
  <c r="C859" i="136"/>
  <c r="C860" i="136"/>
  <c r="C861" i="136"/>
  <c r="C862" i="136"/>
  <c r="C863" i="136"/>
  <c r="C864" i="136"/>
  <c r="C865" i="136"/>
  <c r="C866" i="136"/>
  <c r="C867" i="136"/>
  <c r="C868" i="136"/>
  <c r="C869" i="136"/>
  <c r="C870" i="136"/>
  <c r="C871" i="136"/>
  <c r="C872" i="136"/>
  <c r="C873" i="136"/>
  <c r="C874" i="136"/>
  <c r="C875" i="136"/>
  <c r="C876" i="136"/>
  <c r="C877" i="136"/>
  <c r="C878" i="136"/>
  <c r="C879" i="136"/>
  <c r="C880" i="136"/>
  <c r="C881" i="136"/>
  <c r="C882" i="136"/>
  <c r="C883" i="136"/>
  <c r="C884" i="136"/>
  <c r="C885" i="136"/>
  <c r="C886" i="136"/>
  <c r="C887" i="136"/>
  <c r="C888" i="136"/>
  <c r="C889" i="136"/>
  <c r="C890" i="136"/>
  <c r="C891" i="136"/>
  <c r="C892" i="136"/>
  <c r="C893" i="136"/>
  <c r="C894" i="136"/>
  <c r="C895" i="136"/>
  <c r="C896" i="136"/>
  <c r="C897" i="136"/>
  <c r="C898" i="136"/>
  <c r="C899" i="136"/>
  <c r="C900" i="136"/>
  <c r="C901" i="136"/>
  <c r="C902" i="136"/>
  <c r="C903" i="136"/>
  <c r="C904" i="136"/>
  <c r="C905" i="136"/>
  <c r="C906" i="136"/>
  <c r="C907" i="136"/>
  <c r="C908" i="136"/>
  <c r="C909" i="136"/>
  <c r="C910" i="136"/>
  <c r="C911" i="136"/>
  <c r="C912" i="136"/>
  <c r="C913" i="136"/>
  <c r="C914" i="136"/>
  <c r="C915" i="136"/>
  <c r="C916" i="136"/>
  <c r="C917" i="136"/>
  <c r="C918" i="136"/>
  <c r="C919" i="136"/>
  <c r="C920" i="136"/>
  <c r="C921" i="136"/>
  <c r="C922" i="136"/>
  <c r="C923" i="136"/>
  <c r="C924" i="136"/>
  <c r="C925" i="136"/>
  <c r="C926" i="136"/>
  <c r="C927" i="136"/>
  <c r="C928" i="136"/>
  <c r="C929" i="136"/>
  <c r="C930" i="136"/>
  <c r="C931" i="136"/>
  <c r="C932" i="136"/>
  <c r="C933" i="136"/>
  <c r="C934" i="136"/>
  <c r="C935" i="136"/>
  <c r="C936" i="136"/>
  <c r="C937" i="136"/>
  <c r="C938" i="136"/>
  <c r="C939" i="136"/>
  <c r="C940" i="136"/>
  <c r="C941" i="136"/>
  <c r="C942" i="136"/>
  <c r="C943" i="136"/>
  <c r="C944" i="136"/>
  <c r="C945" i="136"/>
  <c r="C946" i="136"/>
  <c r="C947" i="136"/>
  <c r="C948" i="136"/>
  <c r="C949" i="136"/>
  <c r="C950" i="136"/>
  <c r="C951" i="136"/>
  <c r="C952" i="136"/>
  <c r="C953" i="136"/>
  <c r="C954" i="136"/>
  <c r="C955" i="136"/>
  <c r="C956" i="136"/>
  <c r="C957" i="136"/>
  <c r="C958" i="136"/>
  <c r="C959" i="136"/>
  <c r="C960" i="136"/>
  <c r="C961" i="136"/>
  <c r="C962" i="136"/>
  <c r="C963" i="136"/>
  <c r="C964" i="136"/>
  <c r="C965" i="136"/>
  <c r="C966" i="136"/>
  <c r="C967" i="136"/>
  <c r="C968" i="136"/>
  <c r="C969" i="136"/>
  <c r="C970" i="136"/>
  <c r="C971" i="136"/>
  <c r="C972" i="136"/>
  <c r="C973" i="136"/>
  <c r="C974" i="136"/>
  <c r="C975" i="136"/>
  <c r="C976" i="136"/>
  <c r="C977" i="136"/>
  <c r="C978" i="136"/>
  <c r="C979" i="136"/>
  <c r="C980" i="136"/>
  <c r="C981" i="136"/>
  <c r="C982" i="136"/>
  <c r="C983" i="136"/>
  <c r="C984" i="136"/>
  <c r="C985" i="136"/>
  <c r="C986" i="136"/>
  <c r="C987" i="136"/>
  <c r="C988" i="136"/>
  <c r="C989" i="136"/>
  <c r="C990" i="136"/>
  <c r="C991" i="136"/>
  <c r="C992" i="136"/>
  <c r="C993" i="136"/>
  <c r="C994" i="136"/>
  <c r="C995" i="136"/>
  <c r="C996" i="136"/>
  <c r="C997" i="136"/>
  <c r="C998" i="136"/>
  <c r="C999" i="136"/>
  <c r="C1000" i="136"/>
  <c r="C1001" i="136"/>
  <c r="C1002" i="136"/>
  <c r="C1003" i="136"/>
  <c r="C1004" i="136"/>
  <c r="C1005" i="136"/>
  <c r="C1006" i="136"/>
  <c r="C1007" i="136"/>
  <c r="C1008" i="136"/>
  <c r="C1009" i="136"/>
  <c r="C1010" i="136"/>
  <c r="C1011" i="136"/>
  <c r="C1012" i="136"/>
  <c r="C1013" i="136"/>
  <c r="C1014" i="136"/>
  <c r="C1015" i="136"/>
  <c r="C1016" i="136"/>
  <c r="C1017" i="136"/>
  <c r="C1018" i="136"/>
  <c r="C1019" i="136"/>
  <c r="C1020" i="136"/>
  <c r="C1021" i="136"/>
  <c r="C1022" i="136"/>
  <c r="C1023" i="136"/>
  <c r="C1024" i="136"/>
  <c r="C1025" i="136"/>
  <c r="C1026" i="136"/>
  <c r="C1027" i="136"/>
  <c r="C1028" i="136"/>
  <c r="C1029" i="136"/>
  <c r="C1030" i="136"/>
  <c r="C1031" i="136"/>
  <c r="C1032" i="136"/>
  <c r="C1033" i="136"/>
  <c r="C1034" i="136"/>
  <c r="C1035" i="136"/>
  <c r="C1036" i="136"/>
  <c r="C1037" i="136"/>
  <c r="C1038" i="136"/>
  <c r="C1039" i="136"/>
  <c r="C1040" i="136"/>
  <c r="C1041" i="136"/>
  <c r="C1042" i="136"/>
  <c r="C1043" i="136"/>
  <c r="C1044" i="136"/>
  <c r="C1045" i="136"/>
  <c r="C1046" i="136"/>
  <c r="C1047" i="136"/>
  <c r="C1048" i="136"/>
  <c r="C1049" i="136"/>
  <c r="C1050" i="136"/>
  <c r="C1051" i="136"/>
  <c r="C1052" i="136"/>
  <c r="C1053" i="136"/>
  <c r="C1054" i="136"/>
  <c r="C1055" i="136"/>
  <c r="C1056" i="136"/>
  <c r="C1057" i="136"/>
  <c r="C1058" i="136"/>
  <c r="C1059" i="136"/>
  <c r="C1060" i="136"/>
  <c r="C1061" i="136"/>
  <c r="C1062" i="136"/>
  <c r="C1063" i="136"/>
  <c r="C1064" i="136"/>
  <c r="C1065" i="136"/>
  <c r="C1066" i="136"/>
  <c r="C1067" i="136"/>
  <c r="C1068" i="136"/>
  <c r="C1069" i="136"/>
  <c r="C1070" i="136"/>
  <c r="C1071" i="136"/>
  <c r="C1072" i="136"/>
  <c r="C1073" i="136"/>
  <c r="C1074" i="136"/>
  <c r="C1075" i="136"/>
  <c r="C1076" i="136"/>
  <c r="C1077" i="136"/>
  <c r="C1078" i="136"/>
  <c r="C1079" i="136"/>
  <c r="C1080" i="136"/>
  <c r="C1081" i="136"/>
  <c r="C1082" i="136"/>
  <c r="C1083" i="136"/>
  <c r="C1084" i="136"/>
  <c r="C1085" i="136"/>
  <c r="C1086" i="136"/>
  <c r="C1087" i="136"/>
  <c r="C1088" i="136"/>
  <c r="C1089" i="136"/>
  <c r="C1090" i="136"/>
  <c r="C1091" i="136"/>
  <c r="C1092" i="136"/>
  <c r="C1093" i="136"/>
  <c r="C1094" i="136"/>
  <c r="C1095" i="136"/>
  <c r="C1096" i="136"/>
  <c r="C1097" i="136"/>
  <c r="C1098" i="136"/>
  <c r="C1099" i="136"/>
  <c r="C1100" i="136"/>
  <c r="C1101" i="136"/>
  <c r="C1102" i="136"/>
  <c r="C1103" i="136"/>
  <c r="C1104" i="136"/>
  <c r="C1105" i="136"/>
  <c r="C1106" i="136"/>
  <c r="C1107" i="136"/>
  <c r="C1108" i="136"/>
  <c r="C1109" i="136"/>
  <c r="C1110" i="136"/>
  <c r="C1111" i="136"/>
  <c r="C1112" i="136"/>
  <c r="C1113" i="136"/>
  <c r="C1114" i="136"/>
  <c r="C1115" i="136"/>
  <c r="C1116" i="136"/>
  <c r="C1117" i="136"/>
  <c r="C1118" i="136"/>
  <c r="C1119" i="136"/>
  <c r="C1120" i="136"/>
  <c r="C1121" i="136"/>
  <c r="C1122" i="136"/>
  <c r="C1123" i="136"/>
  <c r="C1124" i="136"/>
  <c r="C1125" i="136"/>
  <c r="C1126" i="136"/>
  <c r="C1127" i="136"/>
  <c r="C1128" i="136"/>
  <c r="C1129" i="136"/>
  <c r="C1130" i="136"/>
  <c r="C1131" i="136"/>
  <c r="C1132" i="136"/>
  <c r="C1133" i="136"/>
  <c r="C1134" i="136"/>
  <c r="C1135" i="136"/>
  <c r="C1136" i="136"/>
  <c r="C1137" i="136"/>
  <c r="C1138" i="136"/>
  <c r="C1139" i="136"/>
  <c r="C1140" i="136"/>
  <c r="C1141" i="136"/>
  <c r="C1142" i="136"/>
  <c r="C1143" i="136"/>
  <c r="C1144" i="136"/>
  <c r="C1145" i="136"/>
  <c r="C1146" i="136"/>
  <c r="C1147" i="136"/>
  <c r="C1148" i="136"/>
  <c r="C1149" i="136"/>
  <c r="C1150" i="136"/>
  <c r="C1151" i="136"/>
  <c r="C1152" i="136"/>
  <c r="C1153" i="136"/>
  <c r="C1154" i="136"/>
  <c r="C1155" i="136"/>
  <c r="C1156" i="136"/>
  <c r="C1157" i="136"/>
  <c r="C1158" i="136"/>
  <c r="C1159" i="136"/>
  <c r="C1160" i="136"/>
  <c r="C1161" i="136"/>
  <c r="C1162" i="136"/>
  <c r="C1163" i="136"/>
  <c r="C1164" i="136"/>
  <c r="C1165" i="136"/>
  <c r="C1166" i="136"/>
  <c r="C1167" i="136"/>
  <c r="C1168" i="136"/>
  <c r="C1169" i="136"/>
  <c r="C1170" i="136"/>
  <c r="C1171" i="136"/>
  <c r="C1172" i="136"/>
  <c r="C1173" i="136"/>
  <c r="C1174" i="136"/>
  <c r="C1175" i="136"/>
  <c r="C1176" i="136"/>
  <c r="C1177" i="136"/>
  <c r="C1178" i="136"/>
  <c r="C1179" i="136"/>
  <c r="C1180" i="136"/>
  <c r="C1181" i="136"/>
  <c r="C1182" i="136"/>
  <c r="C1183" i="136"/>
  <c r="C1184" i="136"/>
  <c r="C1185" i="136"/>
  <c r="C1186" i="136"/>
  <c r="C1187" i="136"/>
  <c r="C1188" i="136"/>
  <c r="C1189" i="136"/>
  <c r="C1190" i="136"/>
  <c r="C1191" i="136"/>
  <c r="C1192" i="136"/>
  <c r="C1193" i="136"/>
  <c r="C1194" i="136"/>
  <c r="C1195" i="136"/>
  <c r="C1196" i="136"/>
  <c r="C1197" i="136"/>
  <c r="C1198" i="136"/>
  <c r="C1199" i="136"/>
  <c r="C1200" i="136"/>
  <c r="C1201" i="136"/>
  <c r="C1202" i="136"/>
  <c r="C1203" i="136"/>
  <c r="C1204" i="136"/>
  <c r="C1205" i="136"/>
  <c r="C1206" i="136"/>
  <c r="C1207" i="136"/>
  <c r="C1208" i="136"/>
  <c r="C1209" i="136"/>
  <c r="C1210" i="136"/>
  <c r="C1211" i="136"/>
  <c r="C1212" i="136"/>
  <c r="C1213" i="136"/>
  <c r="C1214" i="136"/>
  <c r="C1215" i="136"/>
  <c r="C1216" i="136"/>
  <c r="C1217" i="136"/>
  <c r="C1218" i="136"/>
  <c r="C1219" i="136"/>
  <c r="C1220" i="136"/>
  <c r="C1221" i="136"/>
  <c r="C1222" i="136"/>
  <c r="C1223" i="136"/>
  <c r="C1224" i="136"/>
  <c r="C1225" i="136"/>
  <c r="C1226" i="136"/>
  <c r="C1227" i="136"/>
  <c r="C1228" i="136"/>
  <c r="C1229" i="136"/>
  <c r="C1230" i="136"/>
  <c r="C1231" i="136"/>
  <c r="C1232" i="136"/>
  <c r="C1233" i="136"/>
  <c r="C1234" i="136"/>
  <c r="C1235" i="136"/>
  <c r="C1236" i="136"/>
  <c r="C1237" i="136"/>
  <c r="C1238" i="136"/>
  <c r="C1239" i="136"/>
  <c r="C1240" i="136"/>
  <c r="C1241" i="136"/>
  <c r="C1242" i="136"/>
  <c r="C1243" i="136"/>
  <c r="C1244" i="136"/>
  <c r="C1245" i="136"/>
  <c r="C1246" i="136"/>
  <c r="C1247" i="136"/>
  <c r="C1248" i="136"/>
  <c r="C1249" i="136"/>
  <c r="C1250" i="136"/>
  <c r="C1251" i="136"/>
  <c r="C1252" i="136"/>
  <c r="C1253" i="136"/>
  <c r="C1254" i="136"/>
  <c r="C1255" i="136"/>
  <c r="C1256" i="136"/>
  <c r="C1257" i="136"/>
  <c r="C1258" i="136"/>
  <c r="C1259" i="136"/>
  <c r="C1260" i="136"/>
  <c r="C1261" i="136"/>
  <c r="C1262" i="136"/>
  <c r="C1263" i="136"/>
  <c r="C1264" i="136"/>
  <c r="C1265" i="136"/>
  <c r="C1266" i="136"/>
  <c r="C1267" i="136"/>
  <c r="C1268" i="136"/>
  <c r="C1269" i="136"/>
  <c r="C1270" i="136"/>
  <c r="C1271" i="136"/>
  <c r="C1272" i="136"/>
  <c r="C1273" i="136"/>
  <c r="C1274" i="136"/>
  <c r="C1275" i="136"/>
  <c r="C1276" i="136"/>
  <c r="C1277" i="136"/>
  <c r="C1278" i="136"/>
  <c r="C1279" i="136"/>
  <c r="C1280" i="136"/>
  <c r="C1281" i="136"/>
  <c r="C1282" i="136"/>
  <c r="C1283" i="136"/>
  <c r="C1284" i="136"/>
  <c r="C1285" i="136"/>
  <c r="C1286" i="136"/>
  <c r="C1287" i="136"/>
  <c r="C1288" i="136"/>
  <c r="C1289" i="136"/>
  <c r="C1290" i="136"/>
  <c r="C1291" i="136"/>
  <c r="C1292" i="136"/>
  <c r="C1293" i="136"/>
  <c r="C1294" i="136"/>
  <c r="C1295" i="136"/>
  <c r="C1296" i="136"/>
  <c r="C1297" i="136"/>
  <c r="C1298" i="136"/>
  <c r="C1299" i="136"/>
  <c r="C1300" i="136"/>
  <c r="C1301" i="136"/>
  <c r="C1302" i="136"/>
  <c r="C1303" i="136"/>
  <c r="C1304" i="136"/>
  <c r="C1305" i="136"/>
  <c r="C1306" i="136"/>
  <c r="C1307" i="136"/>
  <c r="C1308" i="136"/>
  <c r="C1309" i="136"/>
  <c r="C1310" i="136"/>
  <c r="C1311" i="136"/>
  <c r="C1312" i="136"/>
  <c r="C1313" i="136"/>
  <c r="C1314" i="136"/>
  <c r="C1315" i="136"/>
  <c r="C1316" i="136"/>
  <c r="C1317" i="136"/>
  <c r="C1318" i="136"/>
  <c r="C1319" i="136"/>
  <c r="C1320" i="136"/>
  <c r="C1321" i="136"/>
  <c r="C1322" i="136"/>
  <c r="C1323" i="136"/>
  <c r="C1324" i="136"/>
  <c r="C1325" i="136"/>
  <c r="C1326" i="136"/>
  <c r="C1327" i="136"/>
  <c r="C1328" i="136"/>
  <c r="C1329" i="136"/>
  <c r="C1330" i="136"/>
  <c r="C1331" i="136"/>
  <c r="C1332" i="136"/>
  <c r="C1333" i="136"/>
  <c r="C1334" i="136"/>
  <c r="C1335" i="136"/>
  <c r="C1336" i="136"/>
  <c r="C1337" i="136"/>
  <c r="C1338" i="136"/>
  <c r="C1339" i="136"/>
  <c r="C1340" i="136"/>
  <c r="C1341" i="136"/>
  <c r="C1342" i="136"/>
  <c r="C1343" i="136"/>
  <c r="C1344" i="136"/>
  <c r="C1345" i="136"/>
  <c r="C1346" i="136"/>
  <c r="C1347" i="136"/>
  <c r="C1348" i="136"/>
  <c r="C1349" i="136"/>
  <c r="C1350" i="136"/>
  <c r="C1351" i="136"/>
  <c r="C1352" i="136"/>
  <c r="C1353" i="136"/>
  <c r="C1354" i="136"/>
  <c r="C1355" i="136"/>
  <c r="C1356" i="136"/>
  <c r="C1357" i="136"/>
  <c r="C1358" i="136"/>
  <c r="C1359" i="136"/>
  <c r="C1360" i="136"/>
  <c r="C1361" i="136"/>
  <c r="C1362" i="136"/>
  <c r="C1363" i="136"/>
  <c r="C1364" i="136"/>
  <c r="C1365" i="136"/>
  <c r="C1366" i="136"/>
  <c r="C1367" i="136"/>
  <c r="C1368" i="136"/>
  <c r="C1369" i="136"/>
  <c r="C1370" i="136"/>
  <c r="C1371" i="136"/>
  <c r="C1372" i="136"/>
  <c r="C1373" i="136"/>
  <c r="C1374" i="136"/>
  <c r="C1375" i="136"/>
  <c r="C1376" i="136"/>
  <c r="C1377" i="136"/>
  <c r="C1378" i="136"/>
  <c r="C1379" i="136"/>
  <c r="C1380" i="136"/>
  <c r="C1381" i="136"/>
  <c r="C1382" i="136"/>
  <c r="C1383" i="136"/>
  <c r="C1384" i="136"/>
  <c r="C1385" i="136"/>
  <c r="C1386" i="136"/>
  <c r="C1387" i="136"/>
  <c r="C1388" i="136"/>
  <c r="C1389" i="136"/>
  <c r="C1390" i="136"/>
  <c r="C1391" i="136"/>
  <c r="C1392" i="136"/>
  <c r="C1393" i="136"/>
  <c r="C1394" i="136"/>
  <c r="C1395" i="136"/>
  <c r="C1396" i="136"/>
  <c r="C1397" i="136"/>
  <c r="C1398" i="136"/>
  <c r="C1399" i="136"/>
  <c r="C1400" i="136"/>
  <c r="C1401" i="136"/>
  <c r="C1402" i="136"/>
  <c r="C1403" i="136"/>
  <c r="C1404" i="136"/>
  <c r="C2" i="136"/>
  <c r="B3" i="136"/>
  <c r="B4" i="136"/>
  <c r="B5" i="136"/>
  <c r="B6" i="136"/>
  <c r="B7" i="136"/>
  <c r="B8" i="136"/>
  <c r="B9" i="136"/>
  <c r="B10" i="136"/>
  <c r="B11" i="136"/>
  <c r="B12" i="136"/>
  <c r="B13" i="136"/>
  <c r="B14" i="136"/>
  <c r="B15" i="136"/>
  <c r="B16" i="136"/>
  <c r="B17" i="136"/>
  <c r="B18" i="136"/>
  <c r="B19" i="136"/>
  <c r="B20" i="136"/>
  <c r="B21" i="136"/>
  <c r="B22" i="136"/>
  <c r="B23" i="136"/>
  <c r="B24" i="136"/>
  <c r="B25" i="136"/>
  <c r="B26" i="136"/>
  <c r="B27" i="136"/>
  <c r="B28" i="136"/>
  <c r="B29" i="136"/>
  <c r="B30" i="136"/>
  <c r="B31" i="136"/>
  <c r="B32" i="136"/>
  <c r="B33" i="136"/>
  <c r="B34" i="136"/>
  <c r="B35" i="136"/>
  <c r="B36" i="136"/>
  <c r="B37" i="136"/>
  <c r="B38" i="136"/>
  <c r="B39" i="136"/>
  <c r="B40" i="136"/>
  <c r="B41" i="136"/>
  <c r="B42" i="136"/>
  <c r="B43" i="136"/>
  <c r="B44" i="136"/>
  <c r="B45" i="136"/>
  <c r="B46" i="136"/>
  <c r="B47" i="136"/>
  <c r="B48" i="136"/>
  <c r="B49" i="136"/>
  <c r="B50" i="136"/>
  <c r="B51" i="136"/>
  <c r="B52" i="136"/>
  <c r="B53" i="136"/>
  <c r="B54" i="136"/>
  <c r="B55" i="136"/>
  <c r="B56" i="136"/>
  <c r="B57" i="136"/>
  <c r="B58" i="136"/>
  <c r="B59" i="136"/>
  <c r="B60" i="136"/>
  <c r="B61" i="136"/>
  <c r="B62" i="136"/>
  <c r="B63" i="136"/>
  <c r="B64" i="136"/>
  <c r="B65" i="136"/>
  <c r="B66" i="136"/>
  <c r="B67" i="136"/>
  <c r="B68" i="136"/>
  <c r="B69" i="136"/>
  <c r="B70" i="136"/>
  <c r="B71" i="136"/>
  <c r="B72" i="136"/>
  <c r="B73" i="136"/>
  <c r="B74" i="136"/>
  <c r="B75" i="136"/>
  <c r="B76" i="136"/>
  <c r="B77" i="136"/>
  <c r="B78" i="136"/>
  <c r="B79" i="136"/>
  <c r="B80" i="136"/>
  <c r="B81" i="136"/>
  <c r="B82" i="136"/>
  <c r="B83" i="136"/>
  <c r="B84" i="136"/>
  <c r="B85" i="136"/>
  <c r="B86" i="136"/>
  <c r="B87" i="136"/>
  <c r="B88" i="136"/>
  <c r="B89" i="136"/>
  <c r="B90" i="136"/>
  <c r="B91" i="136"/>
  <c r="B92" i="136"/>
  <c r="B93" i="136"/>
  <c r="B94" i="136"/>
  <c r="B95" i="136"/>
  <c r="B96" i="136"/>
  <c r="B97" i="136"/>
  <c r="B98" i="136"/>
  <c r="B99" i="136"/>
  <c r="B100" i="136"/>
  <c r="B101" i="136"/>
  <c r="B102" i="136"/>
  <c r="B103" i="136"/>
  <c r="B104" i="136"/>
  <c r="B105" i="136"/>
  <c r="B106" i="136"/>
  <c r="B107" i="136"/>
  <c r="B108" i="136"/>
  <c r="B109" i="136"/>
  <c r="B110" i="136"/>
  <c r="B111" i="136"/>
  <c r="B112" i="136"/>
  <c r="B113" i="136"/>
  <c r="B114" i="136"/>
  <c r="B115" i="136"/>
  <c r="B116" i="136"/>
  <c r="B117" i="136"/>
  <c r="B118" i="136"/>
  <c r="B119" i="136"/>
  <c r="B120" i="136"/>
  <c r="B121" i="136"/>
  <c r="B122" i="136"/>
  <c r="B123" i="136"/>
  <c r="B124" i="136"/>
  <c r="B125" i="136"/>
  <c r="B126" i="136"/>
  <c r="B127" i="136"/>
  <c r="B128" i="136"/>
  <c r="B129" i="136"/>
  <c r="B130" i="136"/>
  <c r="B131" i="136"/>
  <c r="B132" i="136"/>
  <c r="B133" i="136"/>
  <c r="B134" i="136"/>
  <c r="B135" i="136"/>
  <c r="B136" i="136"/>
  <c r="B137" i="136"/>
  <c r="B138" i="136"/>
  <c r="B139" i="136"/>
  <c r="B140" i="136"/>
  <c r="B141" i="136"/>
  <c r="B142" i="136"/>
  <c r="B143" i="136"/>
  <c r="B144" i="136"/>
  <c r="B145" i="136"/>
  <c r="B146" i="136"/>
  <c r="B147" i="136"/>
  <c r="B148" i="136"/>
  <c r="B149" i="136"/>
  <c r="B150" i="136"/>
  <c r="B151" i="136"/>
  <c r="B152" i="136"/>
  <c r="B153" i="136"/>
  <c r="B154" i="136"/>
  <c r="B155" i="136"/>
  <c r="B156" i="136"/>
  <c r="B157" i="136"/>
  <c r="B158" i="136"/>
  <c r="B159" i="136"/>
  <c r="B160" i="136"/>
  <c r="B161" i="136"/>
  <c r="B162" i="136"/>
  <c r="B163" i="136"/>
  <c r="B164" i="136"/>
  <c r="B165" i="136"/>
  <c r="B166" i="136"/>
  <c r="B167" i="136"/>
  <c r="B168" i="136"/>
  <c r="B169" i="136"/>
  <c r="B170" i="136"/>
  <c r="B171" i="136"/>
  <c r="B172" i="136"/>
  <c r="B173" i="136"/>
  <c r="B174" i="136"/>
  <c r="B175" i="136"/>
  <c r="B176" i="136"/>
  <c r="B177" i="136"/>
  <c r="B178" i="136"/>
  <c r="B179" i="136"/>
  <c r="B180" i="136"/>
  <c r="B181" i="136"/>
  <c r="B182" i="136"/>
  <c r="B183" i="136"/>
  <c r="B184" i="136"/>
  <c r="B185" i="136"/>
  <c r="B186" i="136"/>
  <c r="B187" i="136"/>
  <c r="B188" i="136"/>
  <c r="B189" i="136"/>
  <c r="B190" i="136"/>
  <c r="B191" i="136"/>
  <c r="B192" i="136"/>
  <c r="B193" i="136"/>
  <c r="B194" i="136"/>
  <c r="B195" i="136"/>
  <c r="B196" i="136"/>
  <c r="B197" i="136"/>
  <c r="B198" i="136"/>
  <c r="B199" i="136"/>
  <c r="B200" i="136"/>
  <c r="B201" i="136"/>
  <c r="B202" i="136"/>
  <c r="B203" i="136"/>
  <c r="B204" i="136"/>
  <c r="B205" i="136"/>
  <c r="B206" i="136"/>
  <c r="B207" i="136"/>
  <c r="B208" i="136"/>
  <c r="B209" i="136"/>
  <c r="B210" i="136"/>
  <c r="B211" i="136"/>
  <c r="B212" i="136"/>
  <c r="B213" i="136"/>
  <c r="B214" i="136"/>
  <c r="B215" i="136"/>
  <c r="B216" i="136"/>
  <c r="B217" i="136"/>
  <c r="B218" i="136"/>
  <c r="B219" i="136"/>
  <c r="B220" i="136"/>
  <c r="B221" i="136"/>
  <c r="B222" i="136"/>
  <c r="B223" i="136"/>
  <c r="B224" i="136"/>
  <c r="B225" i="136"/>
  <c r="B226" i="136"/>
  <c r="B227" i="136"/>
  <c r="B228" i="136"/>
  <c r="B229" i="136"/>
  <c r="B230" i="136"/>
  <c r="B231" i="136"/>
  <c r="B232" i="136"/>
  <c r="B233" i="136"/>
  <c r="B234" i="136"/>
  <c r="B235" i="136"/>
  <c r="B236" i="136"/>
  <c r="B237" i="136"/>
  <c r="B238" i="136"/>
  <c r="B239" i="136"/>
  <c r="B240" i="136"/>
  <c r="B241" i="136"/>
  <c r="B242" i="136"/>
  <c r="B243" i="136"/>
  <c r="B244" i="136"/>
  <c r="B245" i="136"/>
  <c r="B246" i="136"/>
  <c r="B247" i="136"/>
  <c r="B248" i="136"/>
  <c r="B249" i="136"/>
  <c r="B250" i="136"/>
  <c r="B251" i="136"/>
  <c r="B252" i="136"/>
  <c r="B253" i="136"/>
  <c r="B254" i="136"/>
  <c r="B255" i="136"/>
  <c r="B256" i="136"/>
  <c r="B257" i="136"/>
  <c r="B258" i="136"/>
  <c r="B259" i="136"/>
  <c r="B260" i="136"/>
  <c r="B261" i="136"/>
  <c r="B262" i="136"/>
  <c r="B263" i="136"/>
  <c r="B264" i="136"/>
  <c r="B265" i="136"/>
  <c r="B266" i="136"/>
  <c r="B267" i="136"/>
  <c r="B268" i="136"/>
  <c r="B269" i="136"/>
  <c r="B270" i="136"/>
  <c r="B271" i="136"/>
  <c r="B272" i="136"/>
  <c r="B273" i="136"/>
  <c r="B274" i="136"/>
  <c r="B275" i="136"/>
  <c r="B276" i="136"/>
  <c r="B277" i="136"/>
  <c r="B278" i="136"/>
  <c r="B279" i="136"/>
  <c r="B280" i="136"/>
  <c r="B281" i="136"/>
  <c r="B282" i="136"/>
  <c r="B283" i="136"/>
  <c r="B284" i="136"/>
  <c r="B285" i="136"/>
  <c r="B286" i="136"/>
  <c r="B287" i="136"/>
  <c r="B288" i="136"/>
  <c r="B289" i="136"/>
  <c r="B290" i="136"/>
  <c r="B291" i="136"/>
  <c r="B292" i="136"/>
  <c r="B293" i="136"/>
  <c r="B294" i="136"/>
  <c r="B295" i="136"/>
  <c r="B296" i="136"/>
  <c r="B297" i="136"/>
  <c r="B298" i="136"/>
  <c r="B299" i="136"/>
  <c r="B300" i="136"/>
  <c r="B301" i="136"/>
  <c r="B302" i="136"/>
  <c r="B303" i="136"/>
  <c r="B304" i="136"/>
  <c r="B305" i="136"/>
  <c r="B306" i="136"/>
  <c r="B307" i="136"/>
  <c r="B308" i="136"/>
  <c r="B309" i="136"/>
  <c r="B310" i="136"/>
  <c r="B311" i="136"/>
  <c r="B312" i="136"/>
  <c r="B313" i="136"/>
  <c r="B314" i="136"/>
  <c r="B315" i="136"/>
  <c r="B316" i="136"/>
  <c r="B317" i="136"/>
  <c r="B318" i="136"/>
  <c r="B319" i="136"/>
  <c r="B320" i="136"/>
  <c r="B321" i="136"/>
  <c r="B322" i="136"/>
  <c r="B323" i="136"/>
  <c r="B324" i="136"/>
  <c r="B325" i="136"/>
  <c r="B326" i="136"/>
  <c r="B327" i="136"/>
  <c r="B328" i="136"/>
  <c r="B329" i="136"/>
  <c r="B330" i="136"/>
  <c r="B331" i="136"/>
  <c r="B332" i="136"/>
  <c r="B333" i="136"/>
  <c r="B334" i="136"/>
  <c r="B335" i="136"/>
  <c r="B336" i="136"/>
  <c r="B337" i="136"/>
  <c r="B338" i="136"/>
  <c r="B339" i="136"/>
  <c r="B340" i="136"/>
  <c r="B341" i="136"/>
  <c r="B342" i="136"/>
  <c r="B343" i="136"/>
  <c r="B344" i="136"/>
  <c r="B345" i="136"/>
  <c r="B346" i="136"/>
  <c r="B347" i="136"/>
  <c r="B348" i="136"/>
  <c r="B349" i="136"/>
  <c r="B350" i="136"/>
  <c r="B351" i="136"/>
  <c r="B352" i="136"/>
  <c r="B353" i="136"/>
  <c r="B354" i="136"/>
  <c r="B355" i="136"/>
  <c r="B356" i="136"/>
  <c r="B357" i="136"/>
  <c r="B358" i="136"/>
  <c r="B359" i="136"/>
  <c r="B360" i="136"/>
  <c r="B361" i="136"/>
  <c r="B362" i="136"/>
  <c r="B363" i="136"/>
  <c r="B364" i="136"/>
  <c r="B365" i="136"/>
  <c r="B366" i="136"/>
  <c r="B367" i="136"/>
  <c r="B368" i="136"/>
  <c r="B369" i="136"/>
  <c r="B370" i="136"/>
  <c r="B371" i="136"/>
  <c r="B372" i="136"/>
  <c r="B373" i="136"/>
  <c r="B374" i="136"/>
  <c r="B375" i="136"/>
  <c r="B376" i="136"/>
  <c r="B377" i="136"/>
  <c r="B378" i="136"/>
  <c r="B379" i="136"/>
  <c r="B380" i="136"/>
  <c r="B381" i="136"/>
  <c r="B382" i="136"/>
  <c r="B383" i="136"/>
  <c r="B384" i="136"/>
  <c r="B385" i="136"/>
  <c r="B386" i="136"/>
  <c r="B387" i="136"/>
  <c r="B388" i="136"/>
  <c r="B389" i="136"/>
  <c r="B390" i="136"/>
  <c r="B391" i="136"/>
  <c r="B392" i="136"/>
  <c r="B393" i="136"/>
  <c r="B394" i="136"/>
  <c r="B395" i="136"/>
  <c r="B396" i="136"/>
  <c r="B397" i="136"/>
  <c r="B398" i="136"/>
  <c r="B399" i="136"/>
  <c r="B400" i="136"/>
  <c r="B401" i="136"/>
  <c r="B402" i="136"/>
  <c r="B403" i="136"/>
  <c r="B404" i="136"/>
  <c r="B405" i="136"/>
  <c r="B406" i="136"/>
  <c r="B407" i="136"/>
  <c r="B408" i="136"/>
  <c r="B409" i="136"/>
  <c r="B410" i="136"/>
  <c r="B411" i="136"/>
  <c r="B412" i="136"/>
  <c r="B413" i="136"/>
  <c r="B414" i="136"/>
  <c r="B415" i="136"/>
  <c r="B416" i="136"/>
  <c r="B417" i="136"/>
  <c r="B418" i="136"/>
  <c r="B419" i="136"/>
  <c r="B420" i="136"/>
  <c r="B421" i="136"/>
  <c r="B422" i="136"/>
  <c r="B423" i="136"/>
  <c r="B424" i="136"/>
  <c r="B425" i="136"/>
  <c r="B426" i="136"/>
  <c r="B427" i="136"/>
  <c r="B428" i="136"/>
  <c r="B429" i="136"/>
  <c r="B430" i="136"/>
  <c r="B431" i="136"/>
  <c r="B432" i="136"/>
  <c r="B433" i="136"/>
  <c r="B434" i="136"/>
  <c r="B435" i="136"/>
  <c r="B436" i="136"/>
  <c r="B437" i="136"/>
  <c r="B438" i="136"/>
  <c r="B439" i="136"/>
  <c r="B440" i="136"/>
  <c r="B441" i="136"/>
  <c r="B442" i="136"/>
  <c r="B443" i="136"/>
  <c r="B444" i="136"/>
  <c r="B445" i="136"/>
  <c r="B446" i="136"/>
  <c r="B447" i="136"/>
  <c r="B448" i="136"/>
  <c r="B449" i="136"/>
  <c r="B450" i="136"/>
  <c r="B451" i="136"/>
  <c r="B452" i="136"/>
  <c r="B453" i="136"/>
  <c r="B454" i="136"/>
  <c r="B455" i="136"/>
  <c r="B456" i="136"/>
  <c r="B457" i="136"/>
  <c r="B458" i="136"/>
  <c r="B459" i="136"/>
  <c r="B460" i="136"/>
  <c r="B461" i="136"/>
  <c r="B462" i="136"/>
  <c r="B463" i="136"/>
  <c r="B464" i="136"/>
  <c r="B465" i="136"/>
  <c r="B466" i="136"/>
  <c r="B467" i="136"/>
  <c r="B468" i="136"/>
  <c r="B469" i="136"/>
  <c r="B470" i="136"/>
  <c r="B471" i="136"/>
  <c r="B472" i="136"/>
  <c r="B473" i="136"/>
  <c r="B474" i="136"/>
  <c r="B475" i="136"/>
  <c r="B476" i="136"/>
  <c r="B477" i="136"/>
  <c r="B478" i="136"/>
  <c r="B479" i="136"/>
  <c r="B480" i="136"/>
  <c r="B481" i="136"/>
  <c r="B482" i="136"/>
  <c r="B483" i="136"/>
  <c r="B484" i="136"/>
  <c r="B485" i="136"/>
  <c r="B486" i="136"/>
  <c r="B487" i="136"/>
  <c r="B488" i="136"/>
  <c r="B489" i="136"/>
  <c r="B490" i="136"/>
  <c r="B491" i="136"/>
  <c r="B492" i="136"/>
  <c r="B493" i="136"/>
  <c r="B494" i="136"/>
  <c r="B495" i="136"/>
  <c r="B496" i="136"/>
  <c r="B497" i="136"/>
  <c r="B498" i="136"/>
  <c r="B499" i="136"/>
  <c r="B500" i="136"/>
  <c r="B501" i="136"/>
  <c r="B502" i="136"/>
  <c r="B503" i="136"/>
  <c r="B504" i="136"/>
  <c r="B505" i="136"/>
  <c r="B506" i="136"/>
  <c r="B507" i="136"/>
  <c r="B508" i="136"/>
  <c r="B509" i="136"/>
  <c r="B510" i="136"/>
  <c r="B511" i="136"/>
  <c r="B512" i="136"/>
  <c r="B513" i="136"/>
  <c r="B514" i="136"/>
  <c r="B515" i="136"/>
  <c r="B516" i="136"/>
  <c r="B517" i="136"/>
  <c r="B518" i="136"/>
  <c r="B519" i="136"/>
  <c r="B520" i="136"/>
  <c r="B521" i="136"/>
  <c r="B522" i="136"/>
  <c r="B523" i="136"/>
  <c r="B524" i="136"/>
  <c r="B525" i="136"/>
  <c r="B526" i="136"/>
  <c r="B527" i="136"/>
  <c r="B528" i="136"/>
  <c r="B529" i="136"/>
  <c r="B530" i="136"/>
  <c r="B531" i="136"/>
  <c r="B532" i="136"/>
  <c r="B533" i="136"/>
  <c r="B534" i="136"/>
  <c r="B535" i="136"/>
  <c r="B536" i="136"/>
  <c r="B537" i="136"/>
  <c r="B538" i="136"/>
  <c r="B539" i="136"/>
  <c r="B540" i="136"/>
  <c r="B541" i="136"/>
  <c r="B542" i="136"/>
  <c r="B543" i="136"/>
  <c r="B544" i="136"/>
  <c r="B545" i="136"/>
  <c r="B546" i="136"/>
  <c r="B547" i="136"/>
  <c r="B548" i="136"/>
  <c r="B549" i="136"/>
  <c r="B550" i="136"/>
  <c r="B551" i="136"/>
  <c r="B552" i="136"/>
  <c r="B553" i="136"/>
  <c r="B554" i="136"/>
  <c r="B555" i="136"/>
  <c r="B556" i="136"/>
  <c r="B557" i="136"/>
  <c r="B558" i="136"/>
  <c r="B559" i="136"/>
  <c r="B560" i="136"/>
  <c r="B561" i="136"/>
  <c r="B562" i="136"/>
  <c r="B563" i="136"/>
  <c r="B564" i="136"/>
  <c r="B565" i="136"/>
  <c r="B566" i="136"/>
  <c r="B567" i="136"/>
  <c r="B568" i="136"/>
  <c r="B569" i="136"/>
  <c r="B570" i="136"/>
  <c r="B571" i="136"/>
  <c r="B572" i="136"/>
  <c r="B573" i="136"/>
  <c r="B574" i="136"/>
  <c r="B575" i="136"/>
  <c r="B576" i="136"/>
  <c r="B577" i="136"/>
  <c r="B578" i="136"/>
  <c r="B579" i="136"/>
  <c r="B580" i="136"/>
  <c r="B581" i="136"/>
  <c r="B582" i="136"/>
  <c r="B583" i="136"/>
  <c r="B584" i="136"/>
  <c r="B585" i="136"/>
  <c r="B586" i="136"/>
  <c r="B587" i="136"/>
  <c r="B588" i="136"/>
  <c r="B589" i="136"/>
  <c r="B590" i="136"/>
  <c r="B591" i="136"/>
  <c r="B592" i="136"/>
  <c r="B593" i="136"/>
  <c r="B594" i="136"/>
  <c r="B595" i="136"/>
  <c r="B596" i="136"/>
  <c r="B597" i="136"/>
  <c r="B598" i="136"/>
  <c r="B599" i="136"/>
  <c r="B600" i="136"/>
  <c r="B601" i="136"/>
  <c r="B602" i="136"/>
  <c r="B603" i="136"/>
  <c r="B604" i="136"/>
  <c r="B605" i="136"/>
  <c r="B606" i="136"/>
  <c r="B607" i="136"/>
  <c r="B608" i="136"/>
  <c r="B609" i="136"/>
  <c r="B610" i="136"/>
  <c r="B611" i="136"/>
  <c r="B612" i="136"/>
  <c r="B613" i="136"/>
  <c r="B614" i="136"/>
  <c r="B615" i="136"/>
  <c r="B616" i="136"/>
  <c r="B617" i="136"/>
  <c r="B618" i="136"/>
  <c r="B619" i="136"/>
  <c r="B620" i="136"/>
  <c r="B621" i="136"/>
  <c r="B622" i="136"/>
  <c r="B623" i="136"/>
  <c r="B624" i="136"/>
  <c r="B625" i="136"/>
  <c r="B626" i="136"/>
  <c r="B627" i="136"/>
  <c r="B628" i="136"/>
  <c r="B629" i="136"/>
  <c r="B630" i="136"/>
  <c r="B631" i="136"/>
  <c r="B632" i="136"/>
  <c r="B633" i="136"/>
  <c r="B634" i="136"/>
  <c r="B635" i="136"/>
  <c r="B636" i="136"/>
  <c r="B637" i="136"/>
  <c r="B638" i="136"/>
  <c r="B639" i="136"/>
  <c r="B640" i="136"/>
  <c r="B641" i="136"/>
  <c r="B642" i="136"/>
  <c r="B643" i="136"/>
  <c r="B644" i="136"/>
  <c r="B645" i="136"/>
  <c r="B646" i="136"/>
  <c r="B647" i="136"/>
  <c r="B648" i="136"/>
  <c r="B649" i="136"/>
  <c r="B650" i="136"/>
  <c r="B651" i="136"/>
  <c r="B652" i="136"/>
  <c r="B653" i="136"/>
  <c r="B654" i="136"/>
  <c r="B655" i="136"/>
  <c r="B656" i="136"/>
  <c r="B657" i="136"/>
  <c r="B658" i="136"/>
  <c r="B659" i="136"/>
  <c r="B660" i="136"/>
  <c r="B661" i="136"/>
  <c r="B662" i="136"/>
  <c r="B663" i="136"/>
  <c r="B664" i="136"/>
  <c r="B665" i="136"/>
  <c r="B666" i="136"/>
  <c r="B667" i="136"/>
  <c r="B668" i="136"/>
  <c r="B669" i="136"/>
  <c r="B670" i="136"/>
  <c r="B671" i="136"/>
  <c r="B672" i="136"/>
  <c r="B673" i="136"/>
  <c r="B674" i="136"/>
  <c r="B675" i="136"/>
  <c r="B676" i="136"/>
  <c r="B677" i="136"/>
  <c r="B678" i="136"/>
  <c r="B679" i="136"/>
  <c r="B680" i="136"/>
  <c r="B681" i="136"/>
  <c r="B682" i="136"/>
  <c r="B683" i="136"/>
  <c r="B684" i="136"/>
  <c r="B685" i="136"/>
  <c r="B686" i="136"/>
  <c r="B687" i="136"/>
  <c r="B688" i="136"/>
  <c r="B689" i="136"/>
  <c r="B690" i="136"/>
  <c r="B691" i="136"/>
  <c r="B692" i="136"/>
  <c r="B693" i="136"/>
  <c r="B694" i="136"/>
  <c r="B695" i="136"/>
  <c r="B696" i="136"/>
  <c r="B697" i="136"/>
  <c r="B698" i="136"/>
  <c r="B699" i="136"/>
  <c r="B700" i="136"/>
  <c r="B701" i="136"/>
  <c r="B702" i="136"/>
  <c r="B703" i="136"/>
  <c r="B704" i="136"/>
  <c r="B705" i="136"/>
  <c r="B706" i="136"/>
  <c r="B707" i="136"/>
  <c r="B708" i="136"/>
  <c r="B709" i="136"/>
  <c r="B710" i="136"/>
  <c r="B711" i="136"/>
  <c r="B712" i="136"/>
  <c r="B713" i="136"/>
  <c r="B714" i="136"/>
  <c r="B715" i="136"/>
  <c r="B716" i="136"/>
  <c r="B717" i="136"/>
  <c r="B718" i="136"/>
  <c r="B719" i="136"/>
  <c r="B720" i="136"/>
  <c r="B721" i="136"/>
  <c r="B722" i="136"/>
  <c r="B723" i="136"/>
  <c r="B724" i="136"/>
  <c r="B725" i="136"/>
  <c r="B726" i="136"/>
  <c r="B727" i="136"/>
  <c r="B728" i="136"/>
  <c r="B729" i="136"/>
  <c r="B730" i="136"/>
  <c r="B731" i="136"/>
  <c r="B732" i="136"/>
  <c r="B733" i="136"/>
  <c r="B734" i="136"/>
  <c r="B735" i="136"/>
  <c r="B736" i="136"/>
  <c r="B737" i="136"/>
  <c r="B738" i="136"/>
  <c r="B739" i="136"/>
  <c r="B740" i="136"/>
  <c r="B741" i="136"/>
  <c r="B742" i="136"/>
  <c r="B743" i="136"/>
  <c r="B744" i="136"/>
  <c r="B745" i="136"/>
  <c r="B746" i="136"/>
  <c r="B747" i="136"/>
  <c r="B748" i="136"/>
  <c r="B749" i="136"/>
  <c r="B750" i="136"/>
  <c r="B751" i="136"/>
  <c r="B752" i="136"/>
  <c r="B753" i="136"/>
  <c r="B754" i="136"/>
  <c r="B755" i="136"/>
  <c r="B756" i="136"/>
  <c r="B757" i="136"/>
  <c r="B758" i="136"/>
  <c r="B759" i="136"/>
  <c r="B760" i="136"/>
  <c r="B761" i="136"/>
  <c r="B762" i="136"/>
  <c r="B763" i="136"/>
  <c r="B764" i="136"/>
  <c r="B765" i="136"/>
  <c r="B766" i="136"/>
  <c r="B767" i="136"/>
  <c r="B768" i="136"/>
  <c r="B769" i="136"/>
  <c r="B770" i="136"/>
  <c r="B771" i="136"/>
  <c r="B772" i="136"/>
  <c r="B773" i="136"/>
  <c r="B774" i="136"/>
  <c r="B775" i="136"/>
  <c r="B776" i="136"/>
  <c r="B777" i="136"/>
  <c r="B778" i="136"/>
  <c r="B779" i="136"/>
  <c r="B780" i="136"/>
  <c r="B781" i="136"/>
  <c r="B782" i="136"/>
  <c r="B783" i="136"/>
  <c r="B784" i="136"/>
  <c r="B785" i="136"/>
  <c r="B786" i="136"/>
  <c r="B787" i="136"/>
  <c r="B788" i="136"/>
  <c r="B789" i="136"/>
  <c r="B790" i="136"/>
  <c r="B791" i="136"/>
  <c r="B792" i="136"/>
  <c r="B793" i="136"/>
  <c r="B794" i="136"/>
  <c r="B795" i="136"/>
  <c r="B796" i="136"/>
  <c r="B797" i="136"/>
  <c r="B798" i="136"/>
  <c r="B799" i="136"/>
  <c r="B800" i="136"/>
  <c r="B801" i="136"/>
  <c r="B802" i="136"/>
  <c r="B803" i="136"/>
  <c r="B804" i="136"/>
  <c r="B805" i="136"/>
  <c r="B806" i="136"/>
  <c r="B807" i="136"/>
  <c r="B808" i="136"/>
  <c r="B809" i="136"/>
  <c r="B810" i="136"/>
  <c r="B811" i="136"/>
  <c r="B812" i="136"/>
  <c r="B813" i="136"/>
  <c r="B814" i="136"/>
  <c r="B815" i="136"/>
  <c r="B816" i="136"/>
  <c r="B817" i="136"/>
  <c r="B818" i="136"/>
  <c r="B819" i="136"/>
  <c r="B820" i="136"/>
  <c r="B821" i="136"/>
  <c r="B822" i="136"/>
  <c r="B823" i="136"/>
  <c r="B824" i="136"/>
  <c r="B825" i="136"/>
  <c r="B826" i="136"/>
  <c r="B827" i="136"/>
  <c r="B828" i="136"/>
  <c r="B829" i="136"/>
  <c r="B830" i="136"/>
  <c r="B831" i="136"/>
  <c r="B832" i="136"/>
  <c r="B833" i="136"/>
  <c r="B834" i="136"/>
  <c r="B835" i="136"/>
  <c r="B836" i="136"/>
  <c r="B837" i="136"/>
  <c r="B838" i="136"/>
  <c r="B839" i="136"/>
  <c r="B840" i="136"/>
  <c r="B841" i="136"/>
  <c r="B842" i="136"/>
  <c r="B843" i="136"/>
  <c r="B844" i="136"/>
  <c r="B845" i="136"/>
  <c r="B846" i="136"/>
  <c r="B847" i="136"/>
  <c r="B848" i="136"/>
  <c r="B849" i="136"/>
  <c r="B850" i="136"/>
  <c r="B851" i="136"/>
  <c r="B852" i="136"/>
  <c r="B853" i="136"/>
  <c r="B854" i="136"/>
  <c r="B855" i="136"/>
  <c r="B856" i="136"/>
  <c r="B857" i="136"/>
  <c r="B858" i="136"/>
  <c r="B859" i="136"/>
  <c r="B860" i="136"/>
  <c r="B861" i="136"/>
  <c r="B862" i="136"/>
  <c r="B863" i="136"/>
  <c r="B864" i="136"/>
  <c r="B865" i="136"/>
  <c r="B866" i="136"/>
  <c r="B867" i="136"/>
  <c r="B868" i="136"/>
  <c r="B869" i="136"/>
  <c r="B870" i="136"/>
  <c r="B871" i="136"/>
  <c r="B872" i="136"/>
  <c r="B873" i="136"/>
  <c r="B874" i="136"/>
  <c r="B875" i="136"/>
  <c r="B876" i="136"/>
  <c r="B877" i="136"/>
  <c r="B878" i="136"/>
  <c r="B879" i="136"/>
  <c r="B880" i="136"/>
  <c r="B881" i="136"/>
  <c r="B882" i="136"/>
  <c r="B883" i="136"/>
  <c r="B884" i="136"/>
  <c r="B885" i="136"/>
  <c r="B886" i="136"/>
  <c r="B887" i="136"/>
  <c r="B888" i="136"/>
  <c r="B889" i="136"/>
  <c r="B890" i="136"/>
  <c r="B891" i="136"/>
  <c r="B892" i="136"/>
  <c r="B893" i="136"/>
  <c r="B894" i="136"/>
  <c r="B895" i="136"/>
  <c r="B896" i="136"/>
  <c r="B897" i="136"/>
  <c r="B898" i="136"/>
  <c r="B899" i="136"/>
  <c r="B900" i="136"/>
  <c r="B901" i="136"/>
  <c r="B902" i="136"/>
  <c r="B903" i="136"/>
  <c r="B904" i="136"/>
  <c r="B905" i="136"/>
  <c r="B906" i="136"/>
  <c r="B907" i="136"/>
  <c r="B908" i="136"/>
  <c r="B909" i="136"/>
  <c r="B910" i="136"/>
  <c r="B911" i="136"/>
  <c r="B912" i="136"/>
  <c r="B913" i="136"/>
  <c r="B914" i="136"/>
  <c r="B915" i="136"/>
  <c r="B916" i="136"/>
  <c r="B917" i="136"/>
  <c r="B918" i="136"/>
  <c r="B919" i="136"/>
  <c r="B920" i="136"/>
  <c r="B921" i="136"/>
  <c r="B922" i="136"/>
  <c r="B923" i="136"/>
  <c r="B924" i="136"/>
  <c r="B925" i="136"/>
  <c r="B926" i="136"/>
  <c r="B927" i="136"/>
  <c r="B928" i="136"/>
  <c r="B929" i="136"/>
  <c r="B930" i="136"/>
  <c r="B931" i="136"/>
  <c r="B932" i="136"/>
  <c r="B933" i="136"/>
  <c r="B934" i="136"/>
  <c r="B935" i="136"/>
  <c r="B936" i="136"/>
  <c r="B937" i="136"/>
  <c r="B938" i="136"/>
  <c r="B939" i="136"/>
  <c r="B940" i="136"/>
  <c r="B941" i="136"/>
  <c r="B942" i="136"/>
  <c r="B943" i="136"/>
  <c r="B944" i="136"/>
  <c r="B945" i="136"/>
  <c r="B946" i="136"/>
  <c r="B947" i="136"/>
  <c r="B948" i="136"/>
  <c r="B949" i="136"/>
  <c r="B950" i="136"/>
  <c r="B951" i="136"/>
  <c r="B952" i="136"/>
  <c r="B953" i="136"/>
  <c r="B954" i="136"/>
  <c r="B955" i="136"/>
  <c r="B956" i="136"/>
  <c r="B957" i="136"/>
  <c r="B958" i="136"/>
  <c r="B959" i="136"/>
  <c r="B960" i="136"/>
  <c r="B961" i="136"/>
  <c r="B962" i="136"/>
  <c r="B963" i="136"/>
  <c r="B964" i="136"/>
  <c r="B965" i="136"/>
  <c r="B966" i="136"/>
  <c r="B967" i="136"/>
  <c r="B968" i="136"/>
  <c r="B969" i="136"/>
  <c r="B970" i="136"/>
  <c r="B971" i="136"/>
  <c r="B972" i="136"/>
  <c r="B973" i="136"/>
  <c r="B974" i="136"/>
  <c r="B975" i="136"/>
  <c r="B976" i="136"/>
  <c r="B977" i="136"/>
  <c r="B978" i="136"/>
  <c r="B979" i="136"/>
  <c r="B980" i="136"/>
  <c r="B981" i="136"/>
  <c r="B982" i="136"/>
  <c r="B983" i="136"/>
  <c r="B984" i="136"/>
  <c r="B985" i="136"/>
  <c r="B986" i="136"/>
  <c r="B987" i="136"/>
  <c r="B988" i="136"/>
  <c r="B989" i="136"/>
  <c r="B990" i="136"/>
  <c r="B991" i="136"/>
  <c r="B992" i="136"/>
  <c r="B993" i="136"/>
  <c r="B994" i="136"/>
  <c r="B995" i="136"/>
  <c r="B996" i="136"/>
  <c r="B997" i="136"/>
  <c r="B998" i="136"/>
  <c r="B999" i="136"/>
  <c r="B1000" i="136"/>
  <c r="B1001" i="136"/>
  <c r="B1002" i="136"/>
  <c r="B1003" i="136"/>
  <c r="B1004" i="136"/>
  <c r="B1005" i="136"/>
  <c r="B1006" i="136"/>
  <c r="B1007" i="136"/>
  <c r="B1008" i="136"/>
  <c r="B1009" i="136"/>
  <c r="B1010" i="136"/>
  <c r="B1011" i="136"/>
  <c r="B1012" i="136"/>
  <c r="B1013" i="136"/>
  <c r="B1014" i="136"/>
  <c r="B1015" i="136"/>
  <c r="B1016" i="136"/>
  <c r="B1017" i="136"/>
  <c r="B1018" i="136"/>
  <c r="B1019" i="136"/>
  <c r="B1020" i="136"/>
  <c r="B1021" i="136"/>
  <c r="B1022" i="136"/>
  <c r="B1023" i="136"/>
  <c r="B1024" i="136"/>
  <c r="B1025" i="136"/>
  <c r="B1026" i="136"/>
  <c r="B1027" i="136"/>
  <c r="B1028" i="136"/>
  <c r="B1029" i="136"/>
  <c r="B1030" i="136"/>
  <c r="B1031" i="136"/>
  <c r="B1032" i="136"/>
  <c r="B1033" i="136"/>
  <c r="B1034" i="136"/>
  <c r="B1035" i="136"/>
  <c r="B1036" i="136"/>
  <c r="B1037" i="136"/>
  <c r="B1038" i="136"/>
  <c r="B1039" i="136"/>
  <c r="B1040" i="136"/>
  <c r="B1041" i="136"/>
  <c r="B1042" i="136"/>
  <c r="B1043" i="136"/>
  <c r="B1044" i="136"/>
  <c r="B1045" i="136"/>
  <c r="B1046" i="136"/>
  <c r="B1047" i="136"/>
  <c r="B1048" i="136"/>
  <c r="B1049" i="136"/>
  <c r="B1050" i="136"/>
  <c r="B1051" i="136"/>
  <c r="B1052" i="136"/>
  <c r="B1053" i="136"/>
  <c r="B1054" i="136"/>
  <c r="B1055" i="136"/>
  <c r="B1056" i="136"/>
  <c r="B1057" i="136"/>
  <c r="B1058" i="136"/>
  <c r="B1059" i="136"/>
  <c r="B1060" i="136"/>
  <c r="B1061" i="136"/>
  <c r="B1062" i="136"/>
  <c r="B1063" i="136"/>
  <c r="B1064" i="136"/>
  <c r="B1065" i="136"/>
  <c r="B1066" i="136"/>
  <c r="B1067" i="136"/>
  <c r="B1068" i="136"/>
  <c r="B1069" i="136"/>
  <c r="B1070" i="136"/>
  <c r="B1071" i="136"/>
  <c r="B1072" i="136"/>
  <c r="B1073" i="136"/>
  <c r="B1074" i="136"/>
  <c r="B1075" i="136"/>
  <c r="B1076" i="136"/>
  <c r="B1077" i="136"/>
  <c r="B1078" i="136"/>
  <c r="B1079" i="136"/>
  <c r="B1080" i="136"/>
  <c r="B1081" i="136"/>
  <c r="B1082" i="136"/>
  <c r="B1083" i="136"/>
  <c r="B1084" i="136"/>
  <c r="B1085" i="136"/>
  <c r="B1086" i="136"/>
  <c r="B1087" i="136"/>
  <c r="B1088" i="136"/>
  <c r="B1089" i="136"/>
  <c r="B1090" i="136"/>
  <c r="B1091" i="136"/>
  <c r="B1092" i="136"/>
  <c r="B1093" i="136"/>
  <c r="B1094" i="136"/>
  <c r="B1095" i="136"/>
  <c r="B1096" i="136"/>
  <c r="B1097" i="136"/>
  <c r="B1098" i="136"/>
  <c r="B1099" i="136"/>
  <c r="B1100" i="136"/>
  <c r="B1101" i="136"/>
  <c r="B1102" i="136"/>
  <c r="B1103" i="136"/>
  <c r="B1104" i="136"/>
  <c r="B1105" i="136"/>
  <c r="B1106" i="136"/>
  <c r="B1107" i="136"/>
  <c r="B1108" i="136"/>
  <c r="B1109" i="136"/>
  <c r="B1110" i="136"/>
  <c r="B1111" i="136"/>
  <c r="B1112" i="136"/>
  <c r="B1113" i="136"/>
  <c r="B1114" i="136"/>
  <c r="B1115" i="136"/>
  <c r="B1116" i="136"/>
  <c r="B1117" i="136"/>
  <c r="B1118" i="136"/>
  <c r="B1119" i="136"/>
  <c r="B1120" i="136"/>
  <c r="B1121" i="136"/>
  <c r="B1122" i="136"/>
  <c r="B1123" i="136"/>
  <c r="B1124" i="136"/>
  <c r="B1125" i="136"/>
  <c r="B1126" i="136"/>
  <c r="B1127" i="136"/>
  <c r="B1128" i="136"/>
  <c r="B1129" i="136"/>
  <c r="B1130" i="136"/>
  <c r="B1131" i="136"/>
  <c r="B1132" i="136"/>
  <c r="B1133" i="136"/>
  <c r="B1134" i="136"/>
  <c r="B1135" i="136"/>
  <c r="B1136" i="136"/>
  <c r="B1137" i="136"/>
  <c r="B1138" i="136"/>
  <c r="B1139" i="136"/>
  <c r="B1140" i="136"/>
  <c r="B1141" i="136"/>
  <c r="B1142" i="136"/>
  <c r="B1143" i="136"/>
  <c r="B1144" i="136"/>
  <c r="B1145" i="136"/>
  <c r="B1146" i="136"/>
  <c r="B1147" i="136"/>
  <c r="B1148" i="136"/>
  <c r="B1149" i="136"/>
  <c r="B1150" i="136"/>
  <c r="B1151" i="136"/>
  <c r="B1152" i="136"/>
  <c r="B1153" i="136"/>
  <c r="B1154" i="136"/>
  <c r="B1155" i="136"/>
  <c r="B1156" i="136"/>
  <c r="B1157" i="136"/>
  <c r="B1158" i="136"/>
  <c r="B1159" i="136"/>
  <c r="B1160" i="136"/>
  <c r="B1161" i="136"/>
  <c r="B1162" i="136"/>
  <c r="B1163" i="136"/>
  <c r="B1164" i="136"/>
  <c r="B1165" i="136"/>
  <c r="B1166" i="136"/>
  <c r="B1167" i="136"/>
  <c r="B1168" i="136"/>
  <c r="B1169" i="136"/>
  <c r="B1170" i="136"/>
  <c r="B1171" i="136"/>
  <c r="B1172" i="136"/>
  <c r="B1173" i="136"/>
  <c r="B1174" i="136"/>
  <c r="B1175" i="136"/>
  <c r="B1176" i="136"/>
  <c r="B1177" i="136"/>
  <c r="B1178" i="136"/>
  <c r="B1179" i="136"/>
  <c r="B1180" i="136"/>
  <c r="B1181" i="136"/>
  <c r="B1182" i="136"/>
  <c r="B1183" i="136"/>
  <c r="B1184" i="136"/>
  <c r="B1185" i="136"/>
  <c r="B1186" i="136"/>
  <c r="B1187" i="136"/>
  <c r="B1188" i="136"/>
  <c r="B1189" i="136"/>
  <c r="B1190" i="136"/>
  <c r="B1191" i="136"/>
  <c r="B1192" i="136"/>
  <c r="B1193" i="136"/>
  <c r="B1194" i="136"/>
  <c r="B1195" i="136"/>
  <c r="B1196" i="136"/>
  <c r="B1197" i="136"/>
  <c r="B1198" i="136"/>
  <c r="B1199" i="136"/>
  <c r="B1200" i="136"/>
  <c r="B1201" i="136"/>
  <c r="B1202" i="136"/>
  <c r="B1203" i="136"/>
  <c r="B1204" i="136"/>
  <c r="B1205" i="136"/>
  <c r="B1206" i="136"/>
  <c r="B1207" i="136"/>
  <c r="B1208" i="136"/>
  <c r="B1209" i="136"/>
  <c r="B1210" i="136"/>
  <c r="B1211" i="136"/>
  <c r="B1212" i="136"/>
  <c r="B1213" i="136"/>
  <c r="B1214" i="136"/>
  <c r="B1215" i="136"/>
  <c r="B1216" i="136"/>
  <c r="B1217" i="136"/>
  <c r="B1218" i="136"/>
  <c r="B1219" i="136"/>
  <c r="B1220" i="136"/>
  <c r="B1221" i="136"/>
  <c r="B1222" i="136"/>
  <c r="B1223" i="136"/>
  <c r="B1224" i="136"/>
  <c r="B1225" i="136"/>
  <c r="B1226" i="136"/>
  <c r="B1227" i="136"/>
  <c r="B1228" i="136"/>
  <c r="B1229" i="136"/>
  <c r="B1230" i="136"/>
  <c r="B1231" i="136"/>
  <c r="B1232" i="136"/>
  <c r="B1233" i="136"/>
  <c r="B1234" i="136"/>
  <c r="B1235" i="136"/>
  <c r="B1236" i="136"/>
  <c r="B1237" i="136"/>
  <c r="B1238" i="136"/>
  <c r="B1239" i="136"/>
  <c r="B1240" i="136"/>
  <c r="B1241" i="136"/>
  <c r="B1242" i="136"/>
  <c r="B1243" i="136"/>
  <c r="B1244" i="136"/>
  <c r="B1245" i="136"/>
  <c r="B1246" i="136"/>
  <c r="B1247" i="136"/>
  <c r="B1248" i="136"/>
  <c r="B1249" i="136"/>
  <c r="B1250" i="136"/>
  <c r="B1251" i="136"/>
  <c r="B1252" i="136"/>
  <c r="B1253" i="136"/>
  <c r="B1254" i="136"/>
  <c r="B1255" i="136"/>
  <c r="B1256" i="136"/>
  <c r="B1257" i="136"/>
  <c r="B1258" i="136"/>
  <c r="B1259" i="136"/>
  <c r="B1260" i="136"/>
  <c r="B1261" i="136"/>
  <c r="B1262" i="136"/>
  <c r="B1263" i="136"/>
  <c r="B1264" i="136"/>
  <c r="B1265" i="136"/>
  <c r="B1266" i="136"/>
  <c r="B1267" i="136"/>
  <c r="B1268" i="136"/>
  <c r="B1269" i="136"/>
  <c r="B1270" i="136"/>
  <c r="B1271" i="136"/>
  <c r="B1272" i="136"/>
  <c r="B1273" i="136"/>
  <c r="B1274" i="136"/>
  <c r="B1275" i="136"/>
  <c r="B1276" i="136"/>
  <c r="B1277" i="136"/>
  <c r="B1278" i="136"/>
  <c r="B1279" i="136"/>
  <c r="B1280" i="136"/>
  <c r="B1281" i="136"/>
  <c r="B1282" i="136"/>
  <c r="B1283" i="136"/>
  <c r="B1284" i="136"/>
  <c r="B1285" i="136"/>
  <c r="B1286" i="136"/>
  <c r="B1287" i="136"/>
  <c r="B1288" i="136"/>
  <c r="B1289" i="136"/>
  <c r="B1290" i="136"/>
  <c r="B1291" i="136"/>
  <c r="B1292" i="136"/>
  <c r="B1293" i="136"/>
  <c r="B1294" i="136"/>
  <c r="B1295" i="136"/>
  <c r="B1296" i="136"/>
  <c r="B1297" i="136"/>
  <c r="B1298" i="136"/>
  <c r="B1299" i="136"/>
  <c r="B1300" i="136"/>
  <c r="B1301" i="136"/>
  <c r="B1302" i="136"/>
  <c r="B1303" i="136"/>
  <c r="B1304" i="136"/>
  <c r="B1305" i="136"/>
  <c r="B1306" i="136"/>
  <c r="B1307" i="136"/>
  <c r="B1308" i="136"/>
  <c r="B1309" i="136"/>
  <c r="B1310" i="136"/>
  <c r="B1311" i="136"/>
  <c r="B1312" i="136"/>
  <c r="B1313" i="136"/>
  <c r="B1314" i="136"/>
  <c r="B1315" i="136"/>
  <c r="B1316" i="136"/>
  <c r="B1317" i="136"/>
  <c r="B1318" i="136"/>
  <c r="B1319" i="136"/>
  <c r="B1320" i="136"/>
  <c r="B1321" i="136"/>
  <c r="B1322" i="136"/>
  <c r="B1323" i="136"/>
  <c r="B1324" i="136"/>
  <c r="B1325" i="136"/>
  <c r="B1326" i="136"/>
  <c r="B1327" i="136"/>
  <c r="B1328" i="136"/>
  <c r="B1329" i="136"/>
  <c r="B1330" i="136"/>
  <c r="B1331" i="136"/>
  <c r="B1332" i="136"/>
  <c r="B1333" i="136"/>
  <c r="B1334" i="136"/>
  <c r="B1335" i="136"/>
  <c r="B1336" i="136"/>
  <c r="B1337" i="136"/>
  <c r="B1338" i="136"/>
  <c r="B1339" i="136"/>
  <c r="B1340" i="136"/>
  <c r="B1341" i="136"/>
  <c r="B1342" i="136"/>
  <c r="B1343" i="136"/>
  <c r="B1344" i="136"/>
  <c r="B1345" i="136"/>
  <c r="B1346" i="136"/>
  <c r="B1347" i="136"/>
  <c r="B1348" i="136"/>
  <c r="B1349" i="136"/>
  <c r="B1350" i="136"/>
  <c r="B1351" i="136"/>
  <c r="B1352" i="136"/>
  <c r="B1353" i="136"/>
  <c r="B1354" i="136"/>
  <c r="B1355" i="136"/>
  <c r="B1356" i="136"/>
  <c r="B1357" i="136"/>
  <c r="B1358" i="136"/>
  <c r="B1359" i="136"/>
  <c r="B1360" i="136"/>
  <c r="B1361" i="136"/>
  <c r="B1362" i="136"/>
  <c r="B1363" i="136"/>
  <c r="B1364" i="136"/>
  <c r="B1365" i="136"/>
  <c r="B1366" i="136"/>
  <c r="B1367" i="136"/>
  <c r="B1368" i="136"/>
  <c r="B1369" i="136"/>
  <c r="B1370" i="136"/>
  <c r="B1371" i="136"/>
  <c r="B1372" i="136"/>
  <c r="B1373" i="136"/>
  <c r="B1374" i="136"/>
  <c r="B1375" i="136"/>
  <c r="B1376" i="136"/>
  <c r="B1377" i="136"/>
  <c r="B1378" i="136"/>
  <c r="B1379" i="136"/>
  <c r="B1380" i="136"/>
  <c r="B1381" i="136"/>
  <c r="B1382" i="136"/>
  <c r="B1383" i="136"/>
  <c r="B1384" i="136"/>
  <c r="B1385" i="136"/>
  <c r="B1386" i="136"/>
  <c r="B1387" i="136"/>
  <c r="B1388" i="136"/>
  <c r="B1389" i="136"/>
  <c r="B1390" i="136"/>
  <c r="B1391" i="136"/>
  <c r="B1392" i="136"/>
  <c r="B1393" i="136"/>
  <c r="B1394" i="136"/>
  <c r="B1395" i="136"/>
  <c r="B1396" i="136"/>
  <c r="B1397" i="136"/>
  <c r="B1398" i="136"/>
  <c r="B1399" i="136"/>
  <c r="B1400" i="136"/>
  <c r="B1401" i="136"/>
  <c r="B1402" i="136"/>
  <c r="B1403" i="136"/>
  <c r="B1404" i="136"/>
  <c r="B2" i="136"/>
  <c r="K241" i="60"/>
  <c r="K240" i="60"/>
  <c r="K239" i="60"/>
  <c r="CQ401" i="120" l="1"/>
  <c r="EE401" i="120" s="1"/>
  <c r="FJ401" i="120" s="1"/>
  <c r="DG382" i="120"/>
  <c r="CQ402" i="120"/>
  <c r="EE402" i="120" s="1"/>
  <c r="FJ402" i="120" s="1"/>
  <c r="CY18" i="120"/>
  <c r="EE18" i="120" s="1"/>
  <c r="FJ18" i="120" s="1"/>
  <c r="CU7" i="120" l="1"/>
  <c r="BO30" i="120"/>
  <c r="BO31" i="120"/>
  <c r="BO32" i="120"/>
  <c r="BO33" i="120"/>
  <c r="BO34" i="120"/>
  <c r="BO35" i="120"/>
  <c r="BO36" i="120"/>
  <c r="BO37" i="120"/>
  <c r="BO38" i="120"/>
  <c r="BO39" i="120"/>
  <c r="BO40" i="120"/>
  <c r="BO41" i="120"/>
  <c r="BO42" i="120"/>
  <c r="BO43" i="120"/>
  <c r="BO44" i="120"/>
  <c r="BO45" i="120"/>
  <c r="BO46" i="120"/>
  <c r="BO47" i="120"/>
  <c r="BO48" i="120"/>
  <c r="BO49" i="120"/>
  <c r="BO50" i="120"/>
  <c r="BO51" i="120"/>
  <c r="BO10" i="120"/>
  <c r="BO52" i="120"/>
  <c r="BO18" i="120"/>
  <c r="BO53" i="120"/>
  <c r="BO54" i="120"/>
  <c r="BO55" i="120"/>
  <c r="BO56" i="120"/>
  <c r="BO57" i="120"/>
  <c r="BO58" i="120"/>
  <c r="BO59" i="120"/>
  <c r="BO60" i="120"/>
  <c r="BO61" i="120"/>
  <c r="BO62" i="120"/>
  <c r="BO63" i="120"/>
  <c r="BO64" i="120"/>
  <c r="BO65" i="120"/>
  <c r="BO66" i="120"/>
  <c r="BO390" i="120"/>
  <c r="BO67" i="120"/>
  <c r="BO374" i="120"/>
  <c r="BO395" i="120"/>
  <c r="BO68" i="120"/>
  <c r="BO69" i="120"/>
  <c r="BO24" i="120"/>
  <c r="BO375" i="120"/>
  <c r="BO409" i="120"/>
  <c r="BO407" i="120"/>
  <c r="BO21" i="120"/>
  <c r="BO70" i="120"/>
  <c r="BO406" i="120"/>
  <c r="BO23" i="120"/>
  <c r="BO71" i="120"/>
  <c r="BO6" i="120"/>
  <c r="BO72" i="120"/>
  <c r="BO73" i="120"/>
  <c r="BO74" i="120"/>
  <c r="BO75" i="120"/>
  <c r="BO76" i="120"/>
  <c r="BO77" i="120"/>
  <c r="BO78" i="120"/>
  <c r="BO79" i="120"/>
  <c r="BO80" i="120"/>
  <c r="BO81" i="120"/>
  <c r="BO82" i="120"/>
  <c r="BO83" i="120"/>
  <c r="BO84" i="120"/>
  <c r="BO85" i="120"/>
  <c r="BO86" i="120"/>
  <c r="BO87" i="120"/>
  <c r="BO88" i="120"/>
  <c r="BO89" i="120"/>
  <c r="BO90" i="120"/>
  <c r="BO91" i="120"/>
  <c r="BO92" i="120"/>
  <c r="BO93" i="120"/>
  <c r="BO94" i="120"/>
  <c r="BO95" i="120"/>
  <c r="BO96" i="120"/>
  <c r="BO97" i="120"/>
  <c r="BO98" i="120"/>
  <c r="BO99" i="120"/>
  <c r="BO100" i="120"/>
  <c r="BO101" i="120"/>
  <c r="BO102" i="120"/>
  <c r="BO103" i="120"/>
  <c r="BO104" i="120"/>
  <c r="BO105" i="120"/>
  <c r="BO106" i="120"/>
  <c r="BO107" i="120"/>
  <c r="BO108" i="120"/>
  <c r="BO109" i="120"/>
  <c r="BO110" i="120"/>
  <c r="BO111" i="120"/>
  <c r="BO112" i="120"/>
  <c r="BO113" i="120"/>
  <c r="BO114" i="120"/>
  <c r="BO115" i="120"/>
  <c r="BO116" i="120"/>
  <c r="BO117" i="120"/>
  <c r="BO118" i="120"/>
  <c r="BO119" i="120"/>
  <c r="BO120" i="120"/>
  <c r="BO121" i="120"/>
  <c r="BO122" i="120"/>
  <c r="BO123" i="120"/>
  <c r="BO124" i="120"/>
  <c r="BO125" i="120"/>
  <c r="BO126" i="120"/>
  <c r="BO127" i="120"/>
  <c r="BO128" i="120"/>
  <c r="BO129" i="120"/>
  <c r="BO130" i="120"/>
  <c r="BO131" i="120"/>
  <c r="BO132" i="120"/>
  <c r="BO133" i="120"/>
  <c r="BO134" i="120"/>
  <c r="BO135" i="120"/>
  <c r="BO136" i="120"/>
  <c r="BO137" i="120"/>
  <c r="BO138" i="120"/>
  <c r="BO139" i="120"/>
  <c r="BO140" i="120"/>
  <c r="BO141" i="120"/>
  <c r="BO142" i="120"/>
  <c r="BO143" i="120"/>
  <c r="BO144" i="120"/>
  <c r="BO145" i="120"/>
  <c r="BO146" i="120"/>
  <c r="BO147" i="120"/>
  <c r="BO148" i="120"/>
  <c r="BO149" i="120"/>
  <c r="BO150" i="120"/>
  <c r="BO151" i="120"/>
  <c r="BO152" i="120"/>
  <c r="BO153" i="120"/>
  <c r="BO154" i="120"/>
  <c r="BO155" i="120"/>
  <c r="BO156" i="120"/>
  <c r="BO157" i="120"/>
  <c r="BO158" i="120"/>
  <c r="BO159" i="120"/>
  <c r="BO160" i="120"/>
  <c r="BO161" i="120"/>
  <c r="BO162" i="120"/>
  <c r="BO163" i="120"/>
  <c r="BO164" i="120"/>
  <c r="BO165" i="120"/>
  <c r="BO166" i="120"/>
  <c r="BO167" i="120"/>
  <c r="BO168" i="120"/>
  <c r="BO169" i="120"/>
  <c r="BO170" i="120"/>
  <c r="BO171" i="120"/>
  <c r="BO172" i="120"/>
  <c r="BO173" i="120"/>
  <c r="BO174" i="120"/>
  <c r="BO176" i="120"/>
  <c r="BO177" i="120"/>
  <c r="BO178" i="120"/>
  <c r="BO179" i="120"/>
  <c r="BO180" i="120"/>
  <c r="BO181" i="120"/>
  <c r="BO182" i="120"/>
  <c r="BO183" i="120"/>
  <c r="BO184" i="120"/>
  <c r="BO185" i="120"/>
  <c r="BO186" i="120"/>
  <c r="BO187" i="120"/>
  <c r="BO188" i="120"/>
  <c r="BO189" i="120"/>
  <c r="BO190" i="120"/>
  <c r="BO191" i="120"/>
  <c r="BO192" i="120"/>
  <c r="BO193" i="120"/>
  <c r="BO194" i="120"/>
  <c r="BO195" i="120"/>
  <c r="BO11" i="120"/>
  <c r="BO196" i="120"/>
  <c r="BO197" i="120"/>
  <c r="BO198" i="120"/>
  <c r="BO199" i="120"/>
  <c r="BO200" i="120"/>
  <c r="BO201" i="120"/>
  <c r="BO202" i="120"/>
  <c r="BO203" i="120"/>
  <c r="BO204" i="120"/>
  <c r="BO205" i="120"/>
  <c r="BO394" i="120"/>
  <c r="BO206" i="120"/>
  <c r="BO207" i="120"/>
  <c r="BO208" i="120"/>
  <c r="BO209" i="120"/>
  <c r="BO210" i="120"/>
  <c r="BO211" i="120"/>
  <c r="BO391" i="120"/>
  <c r="BO212" i="120"/>
  <c r="BO213" i="120"/>
  <c r="BO214" i="120"/>
  <c r="BO215" i="120"/>
  <c r="BO216" i="120"/>
  <c r="BO217" i="120"/>
  <c r="BO218" i="120"/>
  <c r="BO219" i="120"/>
  <c r="BO220" i="120"/>
  <c r="BO221" i="120"/>
  <c r="BO222" i="120"/>
  <c r="BO223" i="120"/>
  <c r="BO224" i="120"/>
  <c r="BO225" i="120"/>
  <c r="BO226" i="120"/>
  <c r="BO227" i="120"/>
  <c r="BO228" i="120"/>
  <c r="BO229" i="120"/>
  <c r="BO230" i="120"/>
  <c r="BO231" i="120"/>
  <c r="BO232" i="120"/>
  <c r="BO233" i="120"/>
  <c r="BO234" i="120"/>
  <c r="BO235" i="120"/>
  <c r="BO236" i="120"/>
  <c r="BO237" i="120"/>
  <c r="BO238" i="120"/>
  <c r="BO20" i="120"/>
  <c r="BO239" i="120"/>
  <c r="BO240" i="120"/>
  <c r="BO241" i="120"/>
  <c r="BO242" i="120"/>
  <c r="BO243" i="120"/>
  <c r="BO244" i="120"/>
  <c r="BO245" i="120"/>
  <c r="BO246" i="120"/>
  <c r="BO247" i="120"/>
  <c r="BO248" i="120"/>
  <c r="BO249" i="120"/>
  <c r="BO26" i="120"/>
  <c r="BO250" i="120"/>
  <c r="BO386" i="120"/>
  <c r="BO251" i="120"/>
  <c r="BO252" i="120"/>
  <c r="BO253" i="120"/>
  <c r="BO254" i="120"/>
  <c r="BO255" i="120"/>
  <c r="BO256" i="120"/>
  <c r="BO257" i="120"/>
  <c r="BO258" i="120"/>
  <c r="BO259" i="120"/>
  <c r="BO260" i="120"/>
  <c r="BO404" i="120"/>
  <c r="BO262" i="120"/>
  <c r="BO263" i="120"/>
  <c r="BO264" i="120"/>
  <c r="BO265" i="120"/>
  <c r="BO267" i="120"/>
  <c r="BO268" i="120"/>
  <c r="BO269" i="120"/>
  <c r="BO270" i="120"/>
  <c r="BO271" i="120"/>
  <c r="BO272" i="120"/>
  <c r="BO273" i="120"/>
  <c r="BO387" i="120"/>
  <c r="BO274" i="120"/>
  <c r="BO275" i="120"/>
  <c r="BO276" i="120"/>
  <c r="BO277" i="120"/>
  <c r="BO278" i="120"/>
  <c r="BO279" i="120"/>
  <c r="BO280" i="120"/>
  <c r="BO281" i="120"/>
  <c r="BO282" i="120"/>
  <c r="BO283" i="120"/>
  <c r="BO284" i="120"/>
  <c r="BO285" i="120"/>
  <c r="BO286" i="120"/>
  <c r="BO287" i="120"/>
  <c r="BO288" i="120"/>
  <c r="BO289" i="120"/>
  <c r="BO290" i="120"/>
  <c r="BO291" i="120"/>
  <c r="BO292" i="120"/>
  <c r="BO293" i="120"/>
  <c r="BO294" i="120"/>
  <c r="BO295" i="120"/>
  <c r="BO296" i="120"/>
  <c r="BO297" i="120"/>
  <c r="BO298" i="120"/>
  <c r="BO384" i="120"/>
  <c r="BO299" i="120"/>
  <c r="BO389" i="120"/>
  <c r="BO301" i="120"/>
  <c r="BO302" i="120"/>
  <c r="BO303" i="120"/>
  <c r="BO304" i="120"/>
  <c r="BO305" i="120"/>
  <c r="BO28" i="120"/>
  <c r="BO306" i="120"/>
  <c r="BO307" i="120"/>
  <c r="BO308" i="120"/>
  <c r="BO310" i="120"/>
  <c r="BO311" i="120"/>
  <c r="BO312" i="120"/>
  <c r="BO313" i="120"/>
  <c r="BO314" i="120"/>
  <c r="BO315" i="120"/>
  <c r="BO316" i="120"/>
  <c r="BO318" i="120"/>
  <c r="BO319" i="120"/>
  <c r="BO388" i="120"/>
  <c r="BO320" i="120"/>
  <c r="BO321" i="120"/>
  <c r="BO402" i="120"/>
  <c r="BO323" i="120"/>
  <c r="BO324" i="120"/>
  <c r="BO325" i="120"/>
  <c r="BO326" i="120"/>
  <c r="BO327" i="120"/>
  <c r="BO328" i="120"/>
  <c r="BO329" i="120"/>
  <c r="BO392" i="120"/>
  <c r="BO398" i="120"/>
  <c r="BO330" i="120"/>
  <c r="BO401" i="120"/>
  <c r="BO331" i="120"/>
  <c r="BO332" i="120"/>
  <c r="BO19" i="120"/>
  <c r="BO333" i="120"/>
  <c r="BO381" i="120"/>
  <c r="BO334" i="120"/>
  <c r="BO335" i="120"/>
  <c r="BO336" i="120"/>
  <c r="BO337" i="120"/>
  <c r="BO338" i="120"/>
  <c r="BO339" i="120"/>
  <c r="BO340" i="120"/>
  <c r="BO341" i="120"/>
  <c r="BO403" i="120"/>
  <c r="BO342" i="120"/>
  <c r="BO343" i="120"/>
  <c r="BO344" i="120"/>
  <c r="BO346" i="120"/>
  <c r="BO347" i="120"/>
  <c r="BO348" i="120"/>
  <c r="BO349" i="120"/>
  <c r="BO351" i="120"/>
  <c r="BO383" i="120"/>
  <c r="BO352" i="120"/>
  <c r="BO353" i="120"/>
  <c r="BO397" i="120"/>
  <c r="BO379" i="120"/>
  <c r="BO378" i="120"/>
  <c r="BO354" i="120"/>
  <c r="BO25" i="120"/>
  <c r="BO355" i="120"/>
  <c r="BO356" i="120"/>
  <c r="BO9" i="120"/>
  <c r="BO357" i="120"/>
  <c r="BO13" i="120"/>
  <c r="BO377" i="120"/>
  <c r="BO16" i="120"/>
  <c r="BO14" i="120"/>
  <c r="BO12" i="120"/>
  <c r="BO358" i="120"/>
  <c r="BO359" i="120"/>
  <c r="BO360" i="120"/>
  <c r="BO361" i="120"/>
  <c r="BO362" i="120"/>
  <c r="BO363" i="120"/>
  <c r="BO364" i="120"/>
  <c r="BO365" i="120"/>
  <c r="BO27" i="120"/>
  <c r="BO366" i="120"/>
  <c r="BO367" i="120"/>
  <c r="BO368" i="120"/>
  <c r="BO376" i="120"/>
  <c r="BO22" i="120"/>
  <c r="BO369" i="120"/>
  <c r="BO370" i="120"/>
  <c r="BO371" i="120"/>
  <c r="DK373" i="120"/>
  <c r="BO373" i="120" l="1"/>
  <c r="EF373" i="120"/>
  <c r="FK373" i="120" s="1"/>
  <c r="BU39" i="149"/>
  <c r="BM25" i="149"/>
  <c r="CQ5" i="120"/>
  <c r="CQ15" i="120"/>
  <c r="BO15" i="120" l="1"/>
  <c r="EE15" i="120"/>
  <c r="FJ15" i="120" s="1"/>
  <c r="AW96" i="113"/>
  <c r="CQ399" i="120"/>
  <c r="CQ385" i="120"/>
  <c r="EE385" i="120" s="1"/>
  <c r="FJ385" i="120" s="1"/>
  <c r="DG385" i="120"/>
  <c r="EF385" i="120" s="1"/>
  <c r="FK385" i="120" s="1"/>
  <c r="DG380" i="120"/>
  <c r="EF380" i="120" s="1"/>
  <c r="FK380" i="120" s="1"/>
  <c r="CY380" i="120"/>
  <c r="CQ380" i="120"/>
  <c r="CQ400" i="120"/>
  <c r="BO399" i="120" l="1"/>
  <c r="EE399" i="120"/>
  <c r="FJ399" i="120" s="1"/>
  <c r="BO380" i="120"/>
  <c r="EE380" i="120"/>
  <c r="FJ380" i="120" s="1"/>
  <c r="BO385" i="120"/>
  <c r="DC408" i="120"/>
  <c r="BO408" i="120" l="1"/>
  <c r="EF408" i="120"/>
  <c r="FK408" i="120" s="1"/>
  <c r="DC405" i="120"/>
  <c r="BO405" i="120" l="1"/>
  <c r="EF405" i="120"/>
  <c r="FK405" i="120" s="1"/>
  <c r="CQ17" i="120"/>
  <c r="CY350" i="120"/>
  <c r="DC5" i="120"/>
  <c r="CY5" i="120"/>
  <c r="CU5" i="120"/>
  <c r="DK5" i="120"/>
  <c r="DG5" i="120"/>
  <c r="CY7" i="120"/>
  <c r="DG7" i="120"/>
  <c r="DC7" i="120"/>
  <c r="CQ7" i="120"/>
  <c r="EE7" i="120" s="1"/>
  <c r="FJ7" i="120" s="1"/>
  <c r="CC41" i="149"/>
  <c r="EF5" i="120" l="1"/>
  <c r="FK5" i="120" s="1"/>
  <c r="BO5" i="120"/>
  <c r="EE5" i="120"/>
  <c r="FJ5" i="120" s="1"/>
  <c r="BO350" i="120"/>
  <c r="EE350" i="120"/>
  <c r="FJ350" i="120" s="1"/>
  <c r="BO17" i="120"/>
  <c r="EE17" i="120"/>
  <c r="FJ17" i="120" s="1"/>
  <c r="FC30" i="120"/>
  <c r="FD30" i="120"/>
  <c r="FE30" i="120"/>
  <c r="FF30" i="120"/>
  <c r="FG30" i="120"/>
  <c r="FH30" i="120"/>
  <c r="FC31" i="120"/>
  <c r="FD31" i="120"/>
  <c r="FE31" i="120"/>
  <c r="FF31" i="120"/>
  <c r="FG31" i="120"/>
  <c r="FH31" i="120"/>
  <c r="FC32" i="120"/>
  <c r="FD32" i="120"/>
  <c r="FE32" i="120"/>
  <c r="FF32" i="120"/>
  <c r="FG32" i="120"/>
  <c r="FH32" i="120"/>
  <c r="FC33" i="120"/>
  <c r="FD33" i="120"/>
  <c r="FE33" i="120"/>
  <c r="FF33" i="120"/>
  <c r="FG33" i="120"/>
  <c r="FH33" i="120"/>
  <c r="FC34" i="120"/>
  <c r="FD34" i="120"/>
  <c r="FE34" i="120"/>
  <c r="FF34" i="120"/>
  <c r="FG34" i="120"/>
  <c r="FH34" i="120"/>
  <c r="FC35" i="120"/>
  <c r="FD35" i="120"/>
  <c r="FE35" i="120"/>
  <c r="FF35" i="120"/>
  <c r="FG35" i="120"/>
  <c r="FH35" i="120"/>
  <c r="FC36" i="120"/>
  <c r="FD36" i="120"/>
  <c r="FE36" i="120"/>
  <c r="FF36" i="120"/>
  <c r="FG36" i="120"/>
  <c r="FH36" i="120"/>
  <c r="FC37" i="120"/>
  <c r="FD37" i="120"/>
  <c r="FE37" i="120"/>
  <c r="FF37" i="120"/>
  <c r="FG37" i="120"/>
  <c r="FH37" i="120"/>
  <c r="FC38" i="120"/>
  <c r="FD38" i="120"/>
  <c r="FE38" i="120"/>
  <c r="FF38" i="120"/>
  <c r="FG38" i="120"/>
  <c r="FH38" i="120"/>
  <c r="FC39" i="120"/>
  <c r="FD39" i="120"/>
  <c r="FE39" i="120"/>
  <c r="FF39" i="120"/>
  <c r="FG39" i="120"/>
  <c r="FH39" i="120"/>
  <c r="FC40" i="120"/>
  <c r="FD40" i="120"/>
  <c r="FE40" i="120"/>
  <c r="FF40" i="120"/>
  <c r="FG40" i="120"/>
  <c r="FH40" i="120"/>
  <c r="FC41" i="120"/>
  <c r="FD41" i="120"/>
  <c r="FE41" i="120"/>
  <c r="FF41" i="120"/>
  <c r="FG41" i="120"/>
  <c r="FH41" i="120"/>
  <c r="FC42" i="120"/>
  <c r="FD42" i="120"/>
  <c r="FE42" i="120"/>
  <c r="FF42" i="120"/>
  <c r="FG42" i="120"/>
  <c r="FH42" i="120"/>
  <c r="FC43" i="120"/>
  <c r="FD43" i="120"/>
  <c r="FE43" i="120"/>
  <c r="FF43" i="120"/>
  <c r="FG43" i="120"/>
  <c r="FH43" i="120"/>
  <c r="FC44" i="120"/>
  <c r="FD44" i="120"/>
  <c r="FE44" i="120"/>
  <c r="FF44" i="120"/>
  <c r="FG44" i="120"/>
  <c r="FH44" i="120"/>
  <c r="FC45" i="120"/>
  <c r="FD45" i="120"/>
  <c r="FE45" i="120"/>
  <c r="FF45" i="120"/>
  <c r="FG45" i="120"/>
  <c r="FH45" i="120"/>
  <c r="FC46" i="120"/>
  <c r="FD46" i="120"/>
  <c r="FE46" i="120"/>
  <c r="FF46" i="120"/>
  <c r="FG46" i="120"/>
  <c r="FH46" i="120"/>
  <c r="FC47" i="120"/>
  <c r="FD47" i="120"/>
  <c r="FE47" i="120"/>
  <c r="FF47" i="120"/>
  <c r="FG47" i="120"/>
  <c r="FH47" i="120"/>
  <c r="FC48" i="120"/>
  <c r="FD48" i="120"/>
  <c r="FE48" i="120"/>
  <c r="FF48" i="120"/>
  <c r="FG48" i="120"/>
  <c r="FH48" i="120"/>
  <c r="FC49" i="120"/>
  <c r="FD49" i="120"/>
  <c r="FE49" i="120"/>
  <c r="FF49" i="120"/>
  <c r="FG49" i="120"/>
  <c r="FH49" i="120"/>
  <c r="FC50" i="120"/>
  <c r="FD50" i="120"/>
  <c r="FE50" i="120"/>
  <c r="FF50" i="120"/>
  <c r="FG50" i="120"/>
  <c r="FH50" i="120"/>
  <c r="FC51" i="120"/>
  <c r="FD51" i="120"/>
  <c r="FE51" i="120"/>
  <c r="FF51" i="120"/>
  <c r="FG51" i="120"/>
  <c r="FH51" i="120"/>
  <c r="FC10" i="120"/>
  <c r="FD10" i="120"/>
  <c r="FE10" i="120"/>
  <c r="FF10" i="120"/>
  <c r="FG10" i="120"/>
  <c r="FH10" i="120"/>
  <c r="FC52" i="120"/>
  <c r="FD52" i="120"/>
  <c r="FE52" i="120"/>
  <c r="FF52" i="120"/>
  <c r="FG52" i="120"/>
  <c r="FH52" i="120"/>
  <c r="FC18" i="120"/>
  <c r="FD18" i="120"/>
  <c r="FE18" i="120"/>
  <c r="FF18" i="120"/>
  <c r="FG18" i="120"/>
  <c r="FH18" i="120"/>
  <c r="FC53" i="120"/>
  <c r="FD53" i="120"/>
  <c r="FE53" i="120"/>
  <c r="FF53" i="120"/>
  <c r="FG53" i="120"/>
  <c r="FH53" i="120"/>
  <c r="FC54" i="120"/>
  <c r="FD54" i="120"/>
  <c r="FE54" i="120"/>
  <c r="FF54" i="120"/>
  <c r="FG54" i="120"/>
  <c r="FH54" i="120"/>
  <c r="FC55" i="120"/>
  <c r="FD55" i="120"/>
  <c r="FE55" i="120"/>
  <c r="FF55" i="120"/>
  <c r="FG55" i="120"/>
  <c r="FH55" i="120"/>
  <c r="FC56" i="120"/>
  <c r="FD56" i="120"/>
  <c r="FE56" i="120"/>
  <c r="FF56" i="120"/>
  <c r="FG56" i="120"/>
  <c r="FH56" i="120"/>
  <c r="FC373" i="120"/>
  <c r="FD373" i="120"/>
  <c r="FE373" i="120"/>
  <c r="FF373" i="120"/>
  <c r="FG373" i="120"/>
  <c r="FH373" i="120"/>
  <c r="FC57" i="120"/>
  <c r="FD57" i="120"/>
  <c r="FE57" i="120"/>
  <c r="FF57" i="120"/>
  <c r="FG57" i="120"/>
  <c r="FH57" i="120"/>
  <c r="FC58" i="120"/>
  <c r="FD58" i="120"/>
  <c r="FE58" i="120"/>
  <c r="FF58" i="120"/>
  <c r="FG58" i="120"/>
  <c r="FH58" i="120"/>
  <c r="FC59" i="120"/>
  <c r="FD59" i="120"/>
  <c r="FE59" i="120"/>
  <c r="FF59" i="120"/>
  <c r="FG59" i="120"/>
  <c r="FH59" i="120"/>
  <c r="FC60" i="120"/>
  <c r="FD60" i="120"/>
  <c r="FE60" i="120"/>
  <c r="FF60" i="120"/>
  <c r="FG60" i="120"/>
  <c r="FH60" i="120"/>
  <c r="FC61" i="120"/>
  <c r="FD61" i="120"/>
  <c r="FE61" i="120"/>
  <c r="FF61" i="120"/>
  <c r="FG61" i="120"/>
  <c r="FH61" i="120"/>
  <c r="FC62" i="120"/>
  <c r="FD62" i="120"/>
  <c r="FE62" i="120"/>
  <c r="FF62" i="120"/>
  <c r="FG62" i="120"/>
  <c r="FH62" i="120"/>
  <c r="FC63" i="120"/>
  <c r="FD63" i="120"/>
  <c r="FE63" i="120"/>
  <c r="FF63" i="120"/>
  <c r="FG63" i="120"/>
  <c r="FH63" i="120"/>
  <c r="FC64" i="120"/>
  <c r="FD64" i="120"/>
  <c r="FE64" i="120"/>
  <c r="FF64" i="120"/>
  <c r="FG64" i="120"/>
  <c r="FH64" i="120"/>
  <c r="FC65" i="120"/>
  <c r="FD65" i="120"/>
  <c r="FE65" i="120"/>
  <c r="FF65" i="120"/>
  <c r="FG65" i="120"/>
  <c r="FH65" i="120"/>
  <c r="FC66" i="120"/>
  <c r="FD66" i="120"/>
  <c r="FE66" i="120"/>
  <c r="FF66" i="120"/>
  <c r="FG66" i="120"/>
  <c r="FH66" i="120"/>
  <c r="FC390" i="120"/>
  <c r="FD390" i="120"/>
  <c r="FE390" i="120"/>
  <c r="FF390" i="120"/>
  <c r="FG390" i="120"/>
  <c r="FH390" i="120"/>
  <c r="FC67" i="120"/>
  <c r="FD67" i="120"/>
  <c r="FE67" i="120"/>
  <c r="FF67" i="120"/>
  <c r="FG67" i="120"/>
  <c r="FH67" i="120"/>
  <c r="FC374" i="120"/>
  <c r="FD374" i="120"/>
  <c r="FE374" i="120"/>
  <c r="FF374" i="120"/>
  <c r="FG374" i="120"/>
  <c r="FH374" i="120"/>
  <c r="FC395" i="120"/>
  <c r="FD395" i="120"/>
  <c r="FE395" i="120"/>
  <c r="FF395" i="120"/>
  <c r="FG395" i="120"/>
  <c r="FH395" i="120"/>
  <c r="FC68" i="120"/>
  <c r="FD68" i="120"/>
  <c r="FE68" i="120"/>
  <c r="FF68" i="120"/>
  <c r="FG68" i="120"/>
  <c r="FH68" i="120"/>
  <c r="FC69" i="120"/>
  <c r="FD69" i="120"/>
  <c r="FE69" i="120"/>
  <c r="FF69" i="120"/>
  <c r="FG69" i="120"/>
  <c r="FH69" i="120"/>
  <c r="FC24" i="120"/>
  <c r="FD24" i="120"/>
  <c r="FE24" i="120"/>
  <c r="FF24" i="120"/>
  <c r="FG24" i="120"/>
  <c r="FH24" i="120"/>
  <c r="FC375" i="120"/>
  <c r="FD375" i="120"/>
  <c r="FE375" i="120"/>
  <c r="FF375" i="120"/>
  <c r="FG375" i="120"/>
  <c r="FH375" i="120"/>
  <c r="FC408" i="120"/>
  <c r="FD408" i="120"/>
  <c r="FE408" i="120"/>
  <c r="FF408" i="120"/>
  <c r="FG408" i="120"/>
  <c r="FH408" i="120"/>
  <c r="FC409" i="120"/>
  <c r="FD409" i="120"/>
  <c r="FE409" i="120"/>
  <c r="FF409" i="120"/>
  <c r="FG409" i="120"/>
  <c r="FH409" i="120"/>
  <c r="FC407" i="120"/>
  <c r="FD407" i="120"/>
  <c r="FE407" i="120"/>
  <c r="FF407" i="120"/>
  <c r="FG407" i="120"/>
  <c r="FH407" i="120"/>
  <c r="FC21" i="120"/>
  <c r="FD21" i="120"/>
  <c r="FE21" i="120"/>
  <c r="FF21" i="120"/>
  <c r="FG21" i="120"/>
  <c r="FH21" i="120"/>
  <c r="FC70" i="120"/>
  <c r="FD70" i="120"/>
  <c r="FE70" i="120"/>
  <c r="FF70" i="120"/>
  <c r="FG70" i="120"/>
  <c r="FH70" i="120"/>
  <c r="FC406" i="120"/>
  <c r="FD406" i="120"/>
  <c r="FE406" i="120"/>
  <c r="FF406" i="120"/>
  <c r="FG406" i="120"/>
  <c r="FH406" i="120"/>
  <c r="FC23" i="120"/>
  <c r="FD23" i="120"/>
  <c r="FE23" i="120"/>
  <c r="FF23" i="120"/>
  <c r="FG23" i="120"/>
  <c r="FH23" i="120"/>
  <c r="FC71" i="120"/>
  <c r="FD71" i="120"/>
  <c r="FE71" i="120"/>
  <c r="FF71" i="120"/>
  <c r="FG71" i="120"/>
  <c r="FH71" i="120"/>
  <c r="FC6" i="120"/>
  <c r="FD6" i="120"/>
  <c r="FE6" i="120"/>
  <c r="FF6" i="120"/>
  <c r="FG6" i="120"/>
  <c r="FH6" i="120"/>
  <c r="FC72" i="120"/>
  <c r="FD72" i="120"/>
  <c r="FE72" i="120"/>
  <c r="FF72" i="120"/>
  <c r="FG72" i="120"/>
  <c r="FH72" i="120"/>
  <c r="FC73" i="120"/>
  <c r="FD73" i="120"/>
  <c r="FE73" i="120"/>
  <c r="FF73" i="120"/>
  <c r="FG73" i="120"/>
  <c r="FH73" i="120"/>
  <c r="FC74" i="120"/>
  <c r="FD74" i="120"/>
  <c r="FE74" i="120"/>
  <c r="FF74" i="120"/>
  <c r="FG74" i="120"/>
  <c r="FH74" i="120"/>
  <c r="FC75" i="120"/>
  <c r="FD75" i="120"/>
  <c r="FE75" i="120"/>
  <c r="FF75" i="120"/>
  <c r="FG75" i="120"/>
  <c r="FH75" i="120"/>
  <c r="FC76" i="120"/>
  <c r="FD76" i="120"/>
  <c r="FE76" i="120"/>
  <c r="FF76" i="120"/>
  <c r="FG76" i="120"/>
  <c r="FH76" i="120"/>
  <c r="FC77" i="120"/>
  <c r="FD77" i="120"/>
  <c r="FE77" i="120"/>
  <c r="FF77" i="120"/>
  <c r="FG77" i="120"/>
  <c r="FH77" i="120"/>
  <c r="FC78" i="120"/>
  <c r="FD78" i="120"/>
  <c r="FE78" i="120"/>
  <c r="FF78" i="120"/>
  <c r="FG78" i="120"/>
  <c r="FH78" i="120"/>
  <c r="FC79" i="120"/>
  <c r="FD79" i="120"/>
  <c r="FE79" i="120"/>
  <c r="FF79" i="120"/>
  <c r="FG79" i="120"/>
  <c r="FH79" i="120"/>
  <c r="FC80" i="120"/>
  <c r="FD80" i="120"/>
  <c r="FE80" i="120"/>
  <c r="FF80" i="120"/>
  <c r="FG80" i="120"/>
  <c r="FH80" i="120"/>
  <c r="FC81" i="120"/>
  <c r="FD81" i="120"/>
  <c r="FE81" i="120"/>
  <c r="FF81" i="120"/>
  <c r="FG81" i="120"/>
  <c r="FH81" i="120"/>
  <c r="FC82" i="120"/>
  <c r="FD82" i="120"/>
  <c r="FE82" i="120"/>
  <c r="FF82" i="120"/>
  <c r="FG82" i="120"/>
  <c r="FH82" i="120"/>
  <c r="FC83" i="120"/>
  <c r="FD83" i="120"/>
  <c r="FE83" i="120"/>
  <c r="FF83" i="120"/>
  <c r="FG83" i="120"/>
  <c r="FH83" i="120"/>
  <c r="FC84" i="120"/>
  <c r="FD84" i="120"/>
  <c r="FE84" i="120"/>
  <c r="FF84" i="120"/>
  <c r="FG84" i="120"/>
  <c r="FH84" i="120"/>
  <c r="FC85" i="120"/>
  <c r="FD85" i="120"/>
  <c r="FE85" i="120"/>
  <c r="FF85" i="120"/>
  <c r="FG85" i="120"/>
  <c r="FH85" i="120"/>
  <c r="FC86" i="120"/>
  <c r="FD86" i="120"/>
  <c r="FE86" i="120"/>
  <c r="FF86" i="120"/>
  <c r="FG86" i="120"/>
  <c r="FH86" i="120"/>
  <c r="FC87" i="120"/>
  <c r="FD87" i="120"/>
  <c r="FE87" i="120"/>
  <c r="FF87" i="120"/>
  <c r="FG87" i="120"/>
  <c r="FH87" i="120"/>
  <c r="FC88" i="120"/>
  <c r="FD88" i="120"/>
  <c r="FE88" i="120"/>
  <c r="FF88" i="120"/>
  <c r="FG88" i="120"/>
  <c r="FH88" i="120"/>
  <c r="FC89" i="120"/>
  <c r="FD89" i="120"/>
  <c r="FE89" i="120"/>
  <c r="FF89" i="120"/>
  <c r="FG89" i="120"/>
  <c r="FH89" i="120"/>
  <c r="FC90" i="120"/>
  <c r="FD90" i="120"/>
  <c r="FE90" i="120"/>
  <c r="FF90" i="120"/>
  <c r="FG90" i="120"/>
  <c r="FH90" i="120"/>
  <c r="FC91" i="120"/>
  <c r="FD91" i="120"/>
  <c r="FE91" i="120"/>
  <c r="FF91" i="120"/>
  <c r="FG91" i="120"/>
  <c r="FH91" i="120"/>
  <c r="FC92" i="120"/>
  <c r="FD92" i="120"/>
  <c r="FE92" i="120"/>
  <c r="FF92" i="120"/>
  <c r="FG92" i="120"/>
  <c r="FH92" i="120"/>
  <c r="FC93" i="120"/>
  <c r="FD93" i="120"/>
  <c r="FE93" i="120"/>
  <c r="FF93" i="120"/>
  <c r="FG93" i="120"/>
  <c r="FH93" i="120"/>
  <c r="FC94" i="120"/>
  <c r="FD94" i="120"/>
  <c r="FE94" i="120"/>
  <c r="FF94" i="120"/>
  <c r="FG94" i="120"/>
  <c r="FH94" i="120"/>
  <c r="FC95" i="120"/>
  <c r="FD95" i="120"/>
  <c r="FE95" i="120"/>
  <c r="FF95" i="120"/>
  <c r="FG95" i="120"/>
  <c r="FH95" i="120"/>
  <c r="FC96" i="120"/>
  <c r="FD96" i="120"/>
  <c r="FE96" i="120"/>
  <c r="FF96" i="120"/>
  <c r="FG96" i="120"/>
  <c r="FH96" i="120"/>
  <c r="FC97" i="120"/>
  <c r="FD97" i="120"/>
  <c r="FE97" i="120"/>
  <c r="FF97" i="120"/>
  <c r="FG97" i="120"/>
  <c r="FH97" i="120"/>
  <c r="FC98" i="120"/>
  <c r="FD98" i="120"/>
  <c r="FE98" i="120"/>
  <c r="FF98" i="120"/>
  <c r="FG98" i="120"/>
  <c r="FH98" i="120"/>
  <c r="FC99" i="120"/>
  <c r="FD99" i="120"/>
  <c r="FE99" i="120"/>
  <c r="FF99" i="120"/>
  <c r="FG99" i="120"/>
  <c r="FH99" i="120"/>
  <c r="FC100" i="120"/>
  <c r="FD100" i="120"/>
  <c r="FE100" i="120"/>
  <c r="FF100" i="120"/>
  <c r="FG100" i="120"/>
  <c r="FH100" i="120"/>
  <c r="FC101" i="120"/>
  <c r="FD101" i="120"/>
  <c r="FE101" i="120"/>
  <c r="FF101" i="120"/>
  <c r="FG101" i="120"/>
  <c r="FH101" i="120"/>
  <c r="FC102" i="120"/>
  <c r="FD102" i="120"/>
  <c r="FE102" i="120"/>
  <c r="FF102" i="120"/>
  <c r="FG102" i="120"/>
  <c r="FH102" i="120"/>
  <c r="FC103" i="120"/>
  <c r="FD103" i="120"/>
  <c r="FE103" i="120"/>
  <c r="FF103" i="120"/>
  <c r="FG103" i="120"/>
  <c r="FH103" i="120"/>
  <c r="FC104" i="120"/>
  <c r="FD104" i="120"/>
  <c r="FE104" i="120"/>
  <c r="FF104" i="120"/>
  <c r="FG104" i="120"/>
  <c r="FH104" i="120"/>
  <c r="FC105" i="120"/>
  <c r="FD105" i="120"/>
  <c r="FE105" i="120"/>
  <c r="FF105" i="120"/>
  <c r="FG105" i="120"/>
  <c r="FH105" i="120"/>
  <c r="FC106" i="120"/>
  <c r="FD106" i="120"/>
  <c r="FE106" i="120"/>
  <c r="FF106" i="120"/>
  <c r="FG106" i="120"/>
  <c r="FH106" i="120"/>
  <c r="FC107" i="120"/>
  <c r="FD107" i="120"/>
  <c r="FE107" i="120"/>
  <c r="FF107" i="120"/>
  <c r="FG107" i="120"/>
  <c r="FH107" i="120"/>
  <c r="FC108" i="120"/>
  <c r="FD108" i="120"/>
  <c r="FE108" i="120"/>
  <c r="FF108" i="120"/>
  <c r="FG108" i="120"/>
  <c r="FH108" i="120"/>
  <c r="FC109" i="120"/>
  <c r="FD109" i="120"/>
  <c r="FE109" i="120"/>
  <c r="FF109" i="120"/>
  <c r="FG109" i="120"/>
  <c r="FH109" i="120"/>
  <c r="FC110" i="120"/>
  <c r="FD110" i="120"/>
  <c r="FE110" i="120"/>
  <c r="FF110" i="120"/>
  <c r="FG110" i="120"/>
  <c r="FH110" i="120"/>
  <c r="FC111" i="120"/>
  <c r="FD111" i="120"/>
  <c r="FE111" i="120"/>
  <c r="FF111" i="120"/>
  <c r="FG111" i="120"/>
  <c r="FH111" i="120"/>
  <c r="FC112" i="120"/>
  <c r="FD112" i="120"/>
  <c r="FE112" i="120"/>
  <c r="FF112" i="120"/>
  <c r="FG112" i="120"/>
  <c r="FH112" i="120"/>
  <c r="FC113" i="120"/>
  <c r="FD113" i="120"/>
  <c r="FE113" i="120"/>
  <c r="FF113" i="120"/>
  <c r="FG113" i="120"/>
  <c r="FH113" i="120"/>
  <c r="FC114" i="120"/>
  <c r="FD114" i="120"/>
  <c r="FE114" i="120"/>
  <c r="FF114" i="120"/>
  <c r="FG114" i="120"/>
  <c r="FH114" i="120"/>
  <c r="FC115" i="120"/>
  <c r="FD115" i="120"/>
  <c r="FE115" i="120"/>
  <c r="FF115" i="120"/>
  <c r="FG115" i="120"/>
  <c r="FH115" i="120"/>
  <c r="FC116" i="120"/>
  <c r="FD116" i="120"/>
  <c r="FE116" i="120"/>
  <c r="FF116" i="120"/>
  <c r="FG116" i="120"/>
  <c r="FH116" i="120"/>
  <c r="FC117" i="120"/>
  <c r="FD117" i="120"/>
  <c r="FE117" i="120"/>
  <c r="FF117" i="120"/>
  <c r="FG117" i="120"/>
  <c r="FH117" i="120"/>
  <c r="FC118" i="120"/>
  <c r="FD118" i="120"/>
  <c r="FE118" i="120"/>
  <c r="FF118" i="120"/>
  <c r="FG118" i="120"/>
  <c r="FH118" i="120"/>
  <c r="FC119" i="120"/>
  <c r="FD119" i="120"/>
  <c r="FE119" i="120"/>
  <c r="FF119" i="120"/>
  <c r="FG119" i="120"/>
  <c r="FH119" i="120"/>
  <c r="FC120" i="120"/>
  <c r="FD120" i="120"/>
  <c r="FE120" i="120"/>
  <c r="FF120" i="120"/>
  <c r="FG120" i="120"/>
  <c r="FH120" i="120"/>
  <c r="FC121" i="120"/>
  <c r="FD121" i="120"/>
  <c r="FE121" i="120"/>
  <c r="FF121" i="120"/>
  <c r="FG121" i="120"/>
  <c r="FH121" i="120"/>
  <c r="FC122" i="120"/>
  <c r="FD122" i="120"/>
  <c r="FE122" i="120"/>
  <c r="FF122" i="120"/>
  <c r="FG122" i="120"/>
  <c r="FH122" i="120"/>
  <c r="FC123" i="120"/>
  <c r="FD123" i="120"/>
  <c r="FE123" i="120"/>
  <c r="FF123" i="120"/>
  <c r="FG123" i="120"/>
  <c r="FH123" i="120"/>
  <c r="FC124" i="120"/>
  <c r="FD124" i="120"/>
  <c r="FE124" i="120"/>
  <c r="FF124" i="120"/>
  <c r="FG124" i="120"/>
  <c r="FH124" i="120"/>
  <c r="FC125" i="120"/>
  <c r="FD125" i="120"/>
  <c r="FE125" i="120"/>
  <c r="FF125" i="120"/>
  <c r="FG125" i="120"/>
  <c r="FH125" i="120"/>
  <c r="FC126" i="120"/>
  <c r="FD126" i="120"/>
  <c r="FE126" i="120"/>
  <c r="FF126" i="120"/>
  <c r="FG126" i="120"/>
  <c r="FH126" i="120"/>
  <c r="FC127" i="120"/>
  <c r="FD127" i="120"/>
  <c r="FE127" i="120"/>
  <c r="FF127" i="120"/>
  <c r="FG127" i="120"/>
  <c r="FH127" i="120"/>
  <c r="FC128" i="120"/>
  <c r="FD128" i="120"/>
  <c r="FE128" i="120"/>
  <c r="FF128" i="120"/>
  <c r="FG128" i="120"/>
  <c r="FH128" i="120"/>
  <c r="FC129" i="120"/>
  <c r="FD129" i="120"/>
  <c r="FE129" i="120"/>
  <c r="FF129" i="120"/>
  <c r="FG129" i="120"/>
  <c r="FH129" i="120"/>
  <c r="FC130" i="120"/>
  <c r="FD130" i="120"/>
  <c r="FE130" i="120"/>
  <c r="FF130" i="120"/>
  <c r="FG130" i="120"/>
  <c r="FH130" i="120"/>
  <c r="FC131" i="120"/>
  <c r="FD131" i="120"/>
  <c r="FE131" i="120"/>
  <c r="FF131" i="120"/>
  <c r="FG131" i="120"/>
  <c r="FH131" i="120"/>
  <c r="FC132" i="120"/>
  <c r="FD132" i="120"/>
  <c r="FE132" i="120"/>
  <c r="FF132" i="120"/>
  <c r="FG132" i="120"/>
  <c r="FH132" i="120"/>
  <c r="FC133" i="120"/>
  <c r="FD133" i="120"/>
  <c r="FE133" i="120"/>
  <c r="FF133" i="120"/>
  <c r="FG133" i="120"/>
  <c r="FH133" i="120"/>
  <c r="FC134" i="120"/>
  <c r="FD134" i="120"/>
  <c r="FE134" i="120"/>
  <c r="FF134" i="120"/>
  <c r="FG134" i="120"/>
  <c r="FH134" i="120"/>
  <c r="FC135" i="120"/>
  <c r="FD135" i="120"/>
  <c r="FE135" i="120"/>
  <c r="FF135" i="120"/>
  <c r="FG135" i="120"/>
  <c r="FH135" i="120"/>
  <c r="FC136" i="120"/>
  <c r="FD136" i="120"/>
  <c r="FE136" i="120"/>
  <c r="FF136" i="120"/>
  <c r="FG136" i="120"/>
  <c r="FH136" i="120"/>
  <c r="FC137" i="120"/>
  <c r="FD137" i="120"/>
  <c r="FE137" i="120"/>
  <c r="FF137" i="120"/>
  <c r="FG137" i="120"/>
  <c r="FH137" i="120"/>
  <c r="FC138" i="120"/>
  <c r="FD138" i="120"/>
  <c r="FE138" i="120"/>
  <c r="FF138" i="120"/>
  <c r="FG138" i="120"/>
  <c r="FH138" i="120"/>
  <c r="FC139" i="120"/>
  <c r="FD139" i="120"/>
  <c r="FE139" i="120"/>
  <c r="FF139" i="120"/>
  <c r="FG139" i="120"/>
  <c r="FH139" i="120"/>
  <c r="FC140" i="120"/>
  <c r="FD140" i="120"/>
  <c r="FE140" i="120"/>
  <c r="FF140" i="120"/>
  <c r="FG140" i="120"/>
  <c r="FH140" i="120"/>
  <c r="FC141" i="120"/>
  <c r="FD141" i="120"/>
  <c r="FE141" i="120"/>
  <c r="FF141" i="120"/>
  <c r="FG141" i="120"/>
  <c r="FH141" i="120"/>
  <c r="FC142" i="120"/>
  <c r="FD142" i="120"/>
  <c r="FE142" i="120"/>
  <c r="FF142" i="120"/>
  <c r="FG142" i="120"/>
  <c r="FH142" i="120"/>
  <c r="FC143" i="120"/>
  <c r="FD143" i="120"/>
  <c r="FE143" i="120"/>
  <c r="FF143" i="120"/>
  <c r="FG143" i="120"/>
  <c r="FH143" i="120"/>
  <c r="FC144" i="120"/>
  <c r="FD144" i="120"/>
  <c r="FE144" i="120"/>
  <c r="FF144" i="120"/>
  <c r="FG144" i="120"/>
  <c r="FH144" i="120"/>
  <c r="FC145" i="120"/>
  <c r="FD145" i="120"/>
  <c r="FE145" i="120"/>
  <c r="FF145" i="120"/>
  <c r="FG145" i="120"/>
  <c r="FH145" i="120"/>
  <c r="FC146" i="120"/>
  <c r="FD146" i="120"/>
  <c r="FE146" i="120"/>
  <c r="FF146" i="120"/>
  <c r="FG146" i="120"/>
  <c r="FH146" i="120"/>
  <c r="FC147" i="120"/>
  <c r="FD147" i="120"/>
  <c r="FE147" i="120"/>
  <c r="FF147" i="120"/>
  <c r="FG147" i="120"/>
  <c r="FH147" i="120"/>
  <c r="FC148" i="120"/>
  <c r="FD148" i="120"/>
  <c r="FE148" i="120"/>
  <c r="FF148" i="120"/>
  <c r="FG148" i="120"/>
  <c r="FH148" i="120"/>
  <c r="FC149" i="120"/>
  <c r="FD149" i="120"/>
  <c r="FE149" i="120"/>
  <c r="FF149" i="120"/>
  <c r="FG149" i="120"/>
  <c r="FH149" i="120"/>
  <c r="FC150" i="120"/>
  <c r="FD150" i="120"/>
  <c r="FE150" i="120"/>
  <c r="FF150" i="120"/>
  <c r="FG150" i="120"/>
  <c r="FH150" i="120"/>
  <c r="FC151" i="120"/>
  <c r="FD151" i="120"/>
  <c r="FE151" i="120"/>
  <c r="FF151" i="120"/>
  <c r="FG151" i="120"/>
  <c r="FH151" i="120"/>
  <c r="FC152" i="120"/>
  <c r="FD152" i="120"/>
  <c r="FE152" i="120"/>
  <c r="FF152" i="120"/>
  <c r="FG152" i="120"/>
  <c r="FH152" i="120"/>
  <c r="FC153" i="120"/>
  <c r="FD153" i="120"/>
  <c r="FE153" i="120"/>
  <c r="FF153" i="120"/>
  <c r="FG153" i="120"/>
  <c r="FH153" i="120"/>
  <c r="FC154" i="120"/>
  <c r="FD154" i="120"/>
  <c r="FE154" i="120"/>
  <c r="FF154" i="120"/>
  <c r="FG154" i="120"/>
  <c r="FH154" i="120"/>
  <c r="FC155" i="120"/>
  <c r="FD155" i="120"/>
  <c r="FE155" i="120"/>
  <c r="FF155" i="120"/>
  <c r="FG155" i="120"/>
  <c r="FH155" i="120"/>
  <c r="FC156" i="120"/>
  <c r="FD156" i="120"/>
  <c r="FE156" i="120"/>
  <c r="FF156" i="120"/>
  <c r="FG156" i="120"/>
  <c r="FH156" i="120"/>
  <c r="FC157" i="120"/>
  <c r="FD157" i="120"/>
  <c r="FE157" i="120"/>
  <c r="FF157" i="120"/>
  <c r="FG157" i="120"/>
  <c r="FH157" i="120"/>
  <c r="FC158" i="120"/>
  <c r="FD158" i="120"/>
  <c r="FE158" i="120"/>
  <c r="FF158" i="120"/>
  <c r="FG158" i="120"/>
  <c r="FH158" i="120"/>
  <c r="FC159" i="120"/>
  <c r="FD159" i="120"/>
  <c r="FE159" i="120"/>
  <c r="FF159" i="120"/>
  <c r="FG159" i="120"/>
  <c r="FH159" i="120"/>
  <c r="FC160" i="120"/>
  <c r="FD160" i="120"/>
  <c r="FE160" i="120"/>
  <c r="FF160" i="120"/>
  <c r="FG160" i="120"/>
  <c r="FH160" i="120"/>
  <c r="FC161" i="120"/>
  <c r="FD161" i="120"/>
  <c r="FE161" i="120"/>
  <c r="FF161" i="120"/>
  <c r="FG161" i="120"/>
  <c r="FH161" i="120"/>
  <c r="FC162" i="120"/>
  <c r="FD162" i="120"/>
  <c r="FE162" i="120"/>
  <c r="FF162" i="120"/>
  <c r="FG162" i="120"/>
  <c r="FH162" i="120"/>
  <c r="FC163" i="120"/>
  <c r="FD163" i="120"/>
  <c r="FE163" i="120"/>
  <c r="FF163" i="120"/>
  <c r="FG163" i="120"/>
  <c r="FH163" i="120"/>
  <c r="FC164" i="120"/>
  <c r="FD164" i="120"/>
  <c r="FE164" i="120"/>
  <c r="FF164" i="120"/>
  <c r="FG164" i="120"/>
  <c r="FH164" i="120"/>
  <c r="FC165" i="120"/>
  <c r="FD165" i="120"/>
  <c r="FE165" i="120"/>
  <c r="FF165" i="120"/>
  <c r="FG165" i="120"/>
  <c r="FH165" i="120"/>
  <c r="FC166" i="120"/>
  <c r="FD166" i="120"/>
  <c r="FE166" i="120"/>
  <c r="FF166" i="120"/>
  <c r="FG166" i="120"/>
  <c r="FH166" i="120"/>
  <c r="FC167" i="120"/>
  <c r="FD167" i="120"/>
  <c r="FE167" i="120"/>
  <c r="FF167" i="120"/>
  <c r="FG167" i="120"/>
  <c r="FH167" i="120"/>
  <c r="FC168" i="120"/>
  <c r="FD168" i="120"/>
  <c r="FE168" i="120"/>
  <c r="FF168" i="120"/>
  <c r="FG168" i="120"/>
  <c r="FH168" i="120"/>
  <c r="FC169" i="120"/>
  <c r="FD169" i="120"/>
  <c r="FE169" i="120"/>
  <c r="FF169" i="120"/>
  <c r="FG169" i="120"/>
  <c r="FH169" i="120"/>
  <c r="FC170" i="120"/>
  <c r="FD170" i="120"/>
  <c r="FE170" i="120"/>
  <c r="FF170" i="120"/>
  <c r="FG170" i="120"/>
  <c r="FH170" i="120"/>
  <c r="FC399" i="120"/>
  <c r="FD399" i="120"/>
  <c r="FE399" i="120"/>
  <c r="FF399" i="120"/>
  <c r="FG399" i="120"/>
  <c r="FH399" i="120"/>
  <c r="FC171" i="120"/>
  <c r="FD171" i="120"/>
  <c r="FE171" i="120"/>
  <c r="FF171" i="120"/>
  <c r="FG171" i="120"/>
  <c r="FH171" i="120"/>
  <c r="FC172" i="120"/>
  <c r="FD172" i="120"/>
  <c r="FE172" i="120"/>
  <c r="FF172" i="120"/>
  <c r="FG172" i="120"/>
  <c r="FH172" i="120"/>
  <c r="FC173" i="120"/>
  <c r="FD173" i="120"/>
  <c r="FE173" i="120"/>
  <c r="FF173" i="120"/>
  <c r="FG173" i="120"/>
  <c r="FH173" i="120"/>
  <c r="FC174" i="120"/>
  <c r="FD174" i="120"/>
  <c r="FE174" i="120"/>
  <c r="FF174" i="120"/>
  <c r="FG174" i="120"/>
  <c r="FH174" i="120"/>
  <c r="FC175" i="120"/>
  <c r="FD175" i="120"/>
  <c r="FE175" i="120"/>
  <c r="FF175" i="120"/>
  <c r="FG175" i="120"/>
  <c r="FH175" i="120"/>
  <c r="FC176" i="120"/>
  <c r="FD176" i="120"/>
  <c r="FE176" i="120"/>
  <c r="FF176" i="120"/>
  <c r="FG176" i="120"/>
  <c r="FH176" i="120"/>
  <c r="FC177" i="120"/>
  <c r="FD177" i="120"/>
  <c r="FE177" i="120"/>
  <c r="FF177" i="120"/>
  <c r="FG177" i="120"/>
  <c r="FH177" i="120"/>
  <c r="FC178" i="120"/>
  <c r="FD178" i="120"/>
  <c r="FE178" i="120"/>
  <c r="FF178" i="120"/>
  <c r="FG178" i="120"/>
  <c r="FH178" i="120"/>
  <c r="FC179" i="120"/>
  <c r="FD179" i="120"/>
  <c r="FE179" i="120"/>
  <c r="FF179" i="120"/>
  <c r="FG179" i="120"/>
  <c r="FH179" i="120"/>
  <c r="FC180" i="120"/>
  <c r="FD180" i="120"/>
  <c r="FE180" i="120"/>
  <c r="FF180" i="120"/>
  <c r="FG180" i="120"/>
  <c r="FH180" i="120"/>
  <c r="FC181" i="120"/>
  <c r="FD181" i="120"/>
  <c r="FE181" i="120"/>
  <c r="FF181" i="120"/>
  <c r="FG181" i="120"/>
  <c r="FH181" i="120"/>
  <c r="FC182" i="120"/>
  <c r="FD182" i="120"/>
  <c r="FE182" i="120"/>
  <c r="FF182" i="120"/>
  <c r="FG182" i="120"/>
  <c r="FH182" i="120"/>
  <c r="FC183" i="120"/>
  <c r="FD183" i="120"/>
  <c r="FE183" i="120"/>
  <c r="FF183" i="120"/>
  <c r="FG183" i="120"/>
  <c r="FH183" i="120"/>
  <c r="FC184" i="120"/>
  <c r="FD184" i="120"/>
  <c r="FE184" i="120"/>
  <c r="FF184" i="120"/>
  <c r="FG184" i="120"/>
  <c r="FH184" i="120"/>
  <c r="FC185" i="120"/>
  <c r="FD185" i="120"/>
  <c r="FE185" i="120"/>
  <c r="FF185" i="120"/>
  <c r="FG185" i="120"/>
  <c r="FH185" i="120"/>
  <c r="FC186" i="120"/>
  <c r="FD186" i="120"/>
  <c r="FE186" i="120"/>
  <c r="FF186" i="120"/>
  <c r="FG186" i="120"/>
  <c r="FH186" i="120"/>
  <c r="FC187" i="120"/>
  <c r="FD187" i="120"/>
  <c r="FE187" i="120"/>
  <c r="FF187" i="120"/>
  <c r="FG187" i="120"/>
  <c r="FH187" i="120"/>
  <c r="FC188" i="120"/>
  <c r="FD188" i="120"/>
  <c r="FE188" i="120"/>
  <c r="FF188" i="120"/>
  <c r="FG188" i="120"/>
  <c r="FH188" i="120"/>
  <c r="FC189" i="120"/>
  <c r="FD189" i="120"/>
  <c r="FE189" i="120"/>
  <c r="FF189" i="120"/>
  <c r="FG189" i="120"/>
  <c r="FH189" i="120"/>
  <c r="FC190" i="120"/>
  <c r="FD190" i="120"/>
  <c r="FE190" i="120"/>
  <c r="FF190" i="120"/>
  <c r="FG190" i="120"/>
  <c r="FH190" i="120"/>
  <c r="FC191" i="120"/>
  <c r="FD191" i="120"/>
  <c r="FE191" i="120"/>
  <c r="FF191" i="120"/>
  <c r="FG191" i="120"/>
  <c r="FH191" i="120"/>
  <c r="FC192" i="120"/>
  <c r="FD192" i="120"/>
  <c r="FE192" i="120"/>
  <c r="FF192" i="120"/>
  <c r="FG192" i="120"/>
  <c r="FH192" i="120"/>
  <c r="FC193" i="120"/>
  <c r="FD193" i="120"/>
  <c r="FE193" i="120"/>
  <c r="FF193" i="120"/>
  <c r="FG193" i="120"/>
  <c r="FH193" i="120"/>
  <c r="FC194" i="120"/>
  <c r="FD194" i="120"/>
  <c r="FE194" i="120"/>
  <c r="FF194" i="120"/>
  <c r="FG194" i="120"/>
  <c r="FH194" i="120"/>
  <c r="FC195" i="120"/>
  <c r="FD195" i="120"/>
  <c r="FE195" i="120"/>
  <c r="FF195" i="120"/>
  <c r="FG195" i="120"/>
  <c r="FH195" i="120"/>
  <c r="FC11" i="120"/>
  <c r="FD11" i="120"/>
  <c r="FE11" i="120"/>
  <c r="FF11" i="120"/>
  <c r="FG11" i="120"/>
  <c r="FH11" i="120"/>
  <c r="FC196" i="120"/>
  <c r="FD196" i="120"/>
  <c r="FE196" i="120"/>
  <c r="FF196" i="120"/>
  <c r="FG196" i="120"/>
  <c r="FH196" i="120"/>
  <c r="FC197" i="120"/>
  <c r="FD197" i="120"/>
  <c r="FE197" i="120"/>
  <c r="FF197" i="120"/>
  <c r="FG197" i="120"/>
  <c r="FH197" i="120"/>
  <c r="FC198" i="120"/>
  <c r="FD198" i="120"/>
  <c r="FE198" i="120"/>
  <c r="FF198" i="120"/>
  <c r="FG198" i="120"/>
  <c r="FH198" i="120"/>
  <c r="FC199" i="120"/>
  <c r="FD199" i="120"/>
  <c r="FE199" i="120"/>
  <c r="FF199" i="120"/>
  <c r="FG199" i="120"/>
  <c r="FH199" i="120"/>
  <c r="FC200" i="120"/>
  <c r="FD200" i="120"/>
  <c r="FE200" i="120"/>
  <c r="FF200" i="120"/>
  <c r="FG200" i="120"/>
  <c r="FH200" i="120"/>
  <c r="FC201" i="120"/>
  <c r="FD201" i="120"/>
  <c r="FE201" i="120"/>
  <c r="FF201" i="120"/>
  <c r="FG201" i="120"/>
  <c r="FH201" i="120"/>
  <c r="FC202" i="120"/>
  <c r="FD202" i="120"/>
  <c r="FE202" i="120"/>
  <c r="FF202" i="120"/>
  <c r="FG202" i="120"/>
  <c r="FH202" i="120"/>
  <c r="FC203" i="120"/>
  <c r="FD203" i="120"/>
  <c r="FE203" i="120"/>
  <c r="FF203" i="120"/>
  <c r="FG203" i="120"/>
  <c r="FH203" i="120"/>
  <c r="FC204" i="120"/>
  <c r="FD204" i="120"/>
  <c r="FE204" i="120"/>
  <c r="FF204" i="120"/>
  <c r="FG204" i="120"/>
  <c r="FH204" i="120"/>
  <c r="FC205" i="120"/>
  <c r="FD205" i="120"/>
  <c r="FE205" i="120"/>
  <c r="FF205" i="120"/>
  <c r="FG205" i="120"/>
  <c r="FH205" i="120"/>
  <c r="FC394" i="120"/>
  <c r="FD394" i="120"/>
  <c r="FE394" i="120"/>
  <c r="FF394" i="120"/>
  <c r="FG394" i="120"/>
  <c r="FH394" i="120"/>
  <c r="FC206" i="120"/>
  <c r="FD206" i="120"/>
  <c r="FE206" i="120"/>
  <c r="FF206" i="120"/>
  <c r="FG206" i="120"/>
  <c r="FH206" i="120"/>
  <c r="FC207" i="120"/>
  <c r="FD207" i="120"/>
  <c r="FE207" i="120"/>
  <c r="FF207" i="120"/>
  <c r="FG207" i="120"/>
  <c r="FH207" i="120"/>
  <c r="FC208" i="120"/>
  <c r="FD208" i="120"/>
  <c r="FE208" i="120"/>
  <c r="FF208" i="120"/>
  <c r="FG208" i="120"/>
  <c r="FH208" i="120"/>
  <c r="FC209" i="120"/>
  <c r="FD209" i="120"/>
  <c r="FE209" i="120"/>
  <c r="FF209" i="120"/>
  <c r="FG209" i="120"/>
  <c r="FH209" i="120"/>
  <c r="FC210" i="120"/>
  <c r="FD210" i="120"/>
  <c r="FE210" i="120"/>
  <c r="FF210" i="120"/>
  <c r="FG210" i="120"/>
  <c r="FH210" i="120"/>
  <c r="FC211" i="120"/>
  <c r="FD211" i="120"/>
  <c r="FE211" i="120"/>
  <c r="FF211" i="120"/>
  <c r="FG211" i="120"/>
  <c r="FH211" i="120"/>
  <c r="FC391" i="120"/>
  <c r="FD391" i="120"/>
  <c r="FE391" i="120"/>
  <c r="FF391" i="120"/>
  <c r="FG391" i="120"/>
  <c r="FH391" i="120"/>
  <c r="FC212" i="120"/>
  <c r="FD212" i="120"/>
  <c r="FE212" i="120"/>
  <c r="FF212" i="120"/>
  <c r="FG212" i="120"/>
  <c r="FH212" i="120"/>
  <c r="FC213" i="120"/>
  <c r="FD213" i="120"/>
  <c r="FE213" i="120"/>
  <c r="FF213" i="120"/>
  <c r="FG213" i="120"/>
  <c r="FH213" i="120"/>
  <c r="FC214" i="120"/>
  <c r="FD214" i="120"/>
  <c r="FE214" i="120"/>
  <c r="FF214" i="120"/>
  <c r="FG214" i="120"/>
  <c r="FH214" i="120"/>
  <c r="FC215" i="120"/>
  <c r="FD215" i="120"/>
  <c r="FE215" i="120"/>
  <c r="FF215" i="120"/>
  <c r="FG215" i="120"/>
  <c r="FH215" i="120"/>
  <c r="FC216" i="120"/>
  <c r="FD216" i="120"/>
  <c r="FE216" i="120"/>
  <c r="FF216" i="120"/>
  <c r="FG216" i="120"/>
  <c r="FH216" i="120"/>
  <c r="FC217" i="120"/>
  <c r="FD217" i="120"/>
  <c r="FE217" i="120"/>
  <c r="FF217" i="120"/>
  <c r="FG217" i="120"/>
  <c r="FH217" i="120"/>
  <c r="FC218" i="120"/>
  <c r="FD218" i="120"/>
  <c r="FE218" i="120"/>
  <c r="FF218" i="120"/>
  <c r="FG218" i="120"/>
  <c r="FH218" i="120"/>
  <c r="FC219" i="120"/>
  <c r="FD219" i="120"/>
  <c r="FE219" i="120"/>
  <c r="FF219" i="120"/>
  <c r="FG219" i="120"/>
  <c r="FH219" i="120"/>
  <c r="FC220" i="120"/>
  <c r="FD220" i="120"/>
  <c r="FE220" i="120"/>
  <c r="FF220" i="120"/>
  <c r="FG220" i="120"/>
  <c r="FH220" i="120"/>
  <c r="FC221" i="120"/>
  <c r="FD221" i="120"/>
  <c r="FE221" i="120"/>
  <c r="FF221" i="120"/>
  <c r="FG221" i="120"/>
  <c r="FH221" i="120"/>
  <c r="FC222" i="120"/>
  <c r="FD222" i="120"/>
  <c r="FE222" i="120"/>
  <c r="FF222" i="120"/>
  <c r="FG222" i="120"/>
  <c r="FH222" i="120"/>
  <c r="FC223" i="120"/>
  <c r="FD223" i="120"/>
  <c r="FE223" i="120"/>
  <c r="FF223" i="120"/>
  <c r="FG223" i="120"/>
  <c r="FH223" i="120"/>
  <c r="FC224" i="120"/>
  <c r="FD224" i="120"/>
  <c r="FE224" i="120"/>
  <c r="FF224" i="120"/>
  <c r="FG224" i="120"/>
  <c r="FH224" i="120"/>
  <c r="FC225" i="120"/>
  <c r="FD225" i="120"/>
  <c r="FE225" i="120"/>
  <c r="FF225" i="120"/>
  <c r="FG225" i="120"/>
  <c r="FH225" i="120"/>
  <c r="FC226" i="120"/>
  <c r="FD226" i="120"/>
  <c r="FE226" i="120"/>
  <c r="FF226" i="120"/>
  <c r="FG226" i="120"/>
  <c r="FH226" i="120"/>
  <c r="FC227" i="120"/>
  <c r="FD227" i="120"/>
  <c r="FE227" i="120"/>
  <c r="FF227" i="120"/>
  <c r="FG227" i="120"/>
  <c r="FH227" i="120"/>
  <c r="FC228" i="120"/>
  <c r="FD228" i="120"/>
  <c r="FE228" i="120"/>
  <c r="FF228" i="120"/>
  <c r="FG228" i="120"/>
  <c r="FH228" i="120"/>
  <c r="FC229" i="120"/>
  <c r="FD229" i="120"/>
  <c r="FE229" i="120"/>
  <c r="FF229" i="120"/>
  <c r="FG229" i="120"/>
  <c r="FH229" i="120"/>
  <c r="FC230" i="120"/>
  <c r="FD230" i="120"/>
  <c r="FE230" i="120"/>
  <c r="FF230" i="120"/>
  <c r="FG230" i="120"/>
  <c r="FH230" i="120"/>
  <c r="FC231" i="120"/>
  <c r="FD231" i="120"/>
  <c r="FE231" i="120"/>
  <c r="FF231" i="120"/>
  <c r="FG231" i="120"/>
  <c r="FH231" i="120"/>
  <c r="FC232" i="120"/>
  <c r="FD232" i="120"/>
  <c r="FE232" i="120"/>
  <c r="FF232" i="120"/>
  <c r="FG232" i="120"/>
  <c r="FH232" i="120"/>
  <c r="FC233" i="120"/>
  <c r="FD233" i="120"/>
  <c r="FE233" i="120"/>
  <c r="FF233" i="120"/>
  <c r="FG233" i="120"/>
  <c r="FH233" i="120"/>
  <c r="FC234" i="120"/>
  <c r="FD234" i="120"/>
  <c r="FE234" i="120"/>
  <c r="FF234" i="120"/>
  <c r="FG234" i="120"/>
  <c r="FH234" i="120"/>
  <c r="FC235" i="120"/>
  <c r="FD235" i="120"/>
  <c r="FE235" i="120"/>
  <c r="FF235" i="120"/>
  <c r="FG235" i="120"/>
  <c r="FH235" i="120"/>
  <c r="FC236" i="120"/>
  <c r="FD236" i="120"/>
  <c r="FE236" i="120"/>
  <c r="FF236" i="120"/>
  <c r="FG236" i="120"/>
  <c r="FH236" i="120"/>
  <c r="FC237" i="120"/>
  <c r="FD237" i="120"/>
  <c r="FE237" i="120"/>
  <c r="FF237" i="120"/>
  <c r="FG237" i="120"/>
  <c r="FH237" i="120"/>
  <c r="FC238" i="120"/>
  <c r="FD238" i="120"/>
  <c r="FE238" i="120"/>
  <c r="FF238" i="120"/>
  <c r="FG238" i="120"/>
  <c r="FH238" i="120"/>
  <c r="FC20" i="120"/>
  <c r="FD20" i="120"/>
  <c r="FE20" i="120"/>
  <c r="FF20" i="120"/>
  <c r="FG20" i="120"/>
  <c r="FH20" i="120"/>
  <c r="FC239" i="120"/>
  <c r="FD239" i="120"/>
  <c r="FE239" i="120"/>
  <c r="FF239" i="120"/>
  <c r="FG239" i="120"/>
  <c r="FH239" i="120"/>
  <c r="FC240" i="120"/>
  <c r="FD240" i="120"/>
  <c r="FE240" i="120"/>
  <c r="FF240" i="120"/>
  <c r="FG240" i="120"/>
  <c r="FH240" i="120"/>
  <c r="FC241" i="120"/>
  <c r="FD241" i="120"/>
  <c r="FE241" i="120"/>
  <c r="FF241" i="120"/>
  <c r="FG241" i="120"/>
  <c r="FH241" i="120"/>
  <c r="FC242" i="120"/>
  <c r="FD242" i="120"/>
  <c r="FE242" i="120"/>
  <c r="FF242" i="120"/>
  <c r="FG242" i="120"/>
  <c r="FH242" i="120"/>
  <c r="FC243" i="120"/>
  <c r="FD243" i="120"/>
  <c r="FE243" i="120"/>
  <c r="FF243" i="120"/>
  <c r="FG243" i="120"/>
  <c r="FH243" i="120"/>
  <c r="FC244" i="120"/>
  <c r="FD244" i="120"/>
  <c r="FE244" i="120"/>
  <c r="FF244" i="120"/>
  <c r="FG244" i="120"/>
  <c r="FH244" i="120"/>
  <c r="FC245" i="120"/>
  <c r="FD245" i="120"/>
  <c r="FE245" i="120"/>
  <c r="FF245" i="120"/>
  <c r="FG245" i="120"/>
  <c r="FH245" i="120"/>
  <c r="FC17" i="120"/>
  <c r="FD17" i="120"/>
  <c r="FE17" i="120"/>
  <c r="FF17" i="120"/>
  <c r="FG17" i="120"/>
  <c r="FH17" i="120"/>
  <c r="FC246" i="120"/>
  <c r="FD246" i="120"/>
  <c r="FE246" i="120"/>
  <c r="FF246" i="120"/>
  <c r="FG246" i="120"/>
  <c r="FH246" i="120"/>
  <c r="FC247" i="120"/>
  <c r="FD247" i="120"/>
  <c r="FE247" i="120"/>
  <c r="FF247" i="120"/>
  <c r="FG247" i="120"/>
  <c r="FH247" i="120"/>
  <c r="FC248" i="120"/>
  <c r="FD248" i="120"/>
  <c r="FE248" i="120"/>
  <c r="FF248" i="120"/>
  <c r="FG248" i="120"/>
  <c r="FH248" i="120"/>
  <c r="FC249" i="120"/>
  <c r="FD249" i="120"/>
  <c r="FE249" i="120"/>
  <c r="FF249" i="120"/>
  <c r="FG249" i="120"/>
  <c r="FH249" i="120"/>
  <c r="FC26" i="120"/>
  <c r="FD26" i="120"/>
  <c r="FE26" i="120"/>
  <c r="FF26" i="120"/>
  <c r="FG26" i="120"/>
  <c r="FH26" i="120"/>
  <c r="FC250" i="120"/>
  <c r="FD250" i="120"/>
  <c r="FE250" i="120"/>
  <c r="FF250" i="120"/>
  <c r="FG250" i="120"/>
  <c r="FH250" i="120"/>
  <c r="FC386" i="120"/>
  <c r="FD386" i="120"/>
  <c r="FE386" i="120"/>
  <c r="FF386" i="120"/>
  <c r="FG386" i="120"/>
  <c r="FH386" i="120"/>
  <c r="FC251" i="120"/>
  <c r="FD251" i="120"/>
  <c r="FE251" i="120"/>
  <c r="FF251" i="120"/>
  <c r="FG251" i="120"/>
  <c r="FH251" i="120"/>
  <c r="FC252" i="120"/>
  <c r="FD252" i="120"/>
  <c r="FE252" i="120"/>
  <c r="FF252" i="120"/>
  <c r="FG252" i="120"/>
  <c r="FH252" i="120"/>
  <c r="FC253" i="120"/>
  <c r="FD253" i="120"/>
  <c r="FE253" i="120"/>
  <c r="FF253" i="120"/>
  <c r="FG253" i="120"/>
  <c r="FH253" i="120"/>
  <c r="FC254" i="120"/>
  <c r="FD254" i="120"/>
  <c r="FE254" i="120"/>
  <c r="FF254" i="120"/>
  <c r="FG254" i="120"/>
  <c r="FH254" i="120"/>
  <c r="FC255" i="120"/>
  <c r="FD255" i="120"/>
  <c r="FE255" i="120"/>
  <c r="FF255" i="120"/>
  <c r="FG255" i="120"/>
  <c r="FH255" i="120"/>
  <c r="FC256" i="120"/>
  <c r="FD256" i="120"/>
  <c r="FE256" i="120"/>
  <c r="FF256" i="120"/>
  <c r="FG256" i="120"/>
  <c r="FH256" i="120"/>
  <c r="FC385" i="120"/>
  <c r="FD385" i="120"/>
  <c r="FE385" i="120"/>
  <c r="FF385" i="120"/>
  <c r="FG385" i="120"/>
  <c r="FH385" i="120"/>
  <c r="FC257" i="120"/>
  <c r="FD257" i="120"/>
  <c r="FE257" i="120"/>
  <c r="FF257" i="120"/>
  <c r="FG257" i="120"/>
  <c r="FH257" i="120"/>
  <c r="FC258" i="120"/>
  <c r="FD258" i="120"/>
  <c r="FE258" i="120"/>
  <c r="FF258" i="120"/>
  <c r="FG258" i="120"/>
  <c r="FH258" i="120"/>
  <c r="FC259" i="120"/>
  <c r="FD259" i="120"/>
  <c r="FE259" i="120"/>
  <c r="FF259" i="120"/>
  <c r="FG259" i="120"/>
  <c r="FH259" i="120"/>
  <c r="FC260" i="120"/>
  <c r="FD260" i="120"/>
  <c r="FE260" i="120"/>
  <c r="FF260" i="120"/>
  <c r="FG260" i="120"/>
  <c r="FH260" i="120"/>
  <c r="FC261" i="120"/>
  <c r="FD261" i="120"/>
  <c r="FE261" i="120"/>
  <c r="FF261" i="120"/>
  <c r="FG261" i="120"/>
  <c r="FH261" i="120"/>
  <c r="FC15" i="120"/>
  <c r="FD15" i="120"/>
  <c r="FE15" i="120"/>
  <c r="FF15" i="120"/>
  <c r="FG15" i="120"/>
  <c r="FH15" i="120"/>
  <c r="FC404" i="120"/>
  <c r="FD404" i="120"/>
  <c r="FE404" i="120"/>
  <c r="FF404" i="120"/>
  <c r="FG404" i="120"/>
  <c r="FH404" i="120"/>
  <c r="FC262" i="120"/>
  <c r="FD262" i="120"/>
  <c r="FE262" i="120"/>
  <c r="FF262" i="120"/>
  <c r="FG262" i="120"/>
  <c r="FH262" i="120"/>
  <c r="FC263" i="120"/>
  <c r="FD263" i="120"/>
  <c r="FE263" i="120"/>
  <c r="FF263" i="120"/>
  <c r="FG263" i="120"/>
  <c r="FH263" i="120"/>
  <c r="FC264" i="120"/>
  <c r="FD264" i="120"/>
  <c r="FE264" i="120"/>
  <c r="FF264" i="120"/>
  <c r="FG264" i="120"/>
  <c r="FH264" i="120"/>
  <c r="FC265" i="120"/>
  <c r="FD265" i="120"/>
  <c r="FE265" i="120"/>
  <c r="FF265" i="120"/>
  <c r="FG265" i="120"/>
  <c r="FH265" i="120"/>
  <c r="FC266" i="120"/>
  <c r="FD266" i="120"/>
  <c r="FE266" i="120"/>
  <c r="FF266" i="120"/>
  <c r="FG266" i="120"/>
  <c r="FH266" i="120"/>
  <c r="FC267" i="120"/>
  <c r="FD267" i="120"/>
  <c r="FE267" i="120"/>
  <c r="FF267" i="120"/>
  <c r="FG267" i="120"/>
  <c r="FH267" i="120"/>
  <c r="FC268" i="120"/>
  <c r="FD268" i="120"/>
  <c r="FE268" i="120"/>
  <c r="FF268" i="120"/>
  <c r="FG268" i="120"/>
  <c r="FH268" i="120"/>
  <c r="FC269" i="120"/>
  <c r="FD269" i="120"/>
  <c r="FE269" i="120"/>
  <c r="FF269" i="120"/>
  <c r="FG269" i="120"/>
  <c r="FH269" i="120"/>
  <c r="FC270" i="120"/>
  <c r="FD270" i="120"/>
  <c r="FE270" i="120"/>
  <c r="FF270" i="120"/>
  <c r="FG270" i="120"/>
  <c r="FH270" i="120"/>
  <c r="FC271" i="120"/>
  <c r="FD271" i="120"/>
  <c r="FE271" i="120"/>
  <c r="FF271" i="120"/>
  <c r="FG271" i="120"/>
  <c r="FH271" i="120"/>
  <c r="FC272" i="120"/>
  <c r="FD272" i="120"/>
  <c r="FE272" i="120"/>
  <c r="FF272" i="120"/>
  <c r="FG272" i="120"/>
  <c r="FH272" i="120"/>
  <c r="FC273" i="120"/>
  <c r="FD273" i="120"/>
  <c r="FE273" i="120"/>
  <c r="FF273" i="120"/>
  <c r="FG273" i="120"/>
  <c r="FH273" i="120"/>
  <c r="FC387" i="120"/>
  <c r="FD387" i="120"/>
  <c r="FE387" i="120"/>
  <c r="FF387" i="120"/>
  <c r="FG387" i="120"/>
  <c r="FH387" i="120"/>
  <c r="FC274" i="120"/>
  <c r="FD274" i="120"/>
  <c r="FE274" i="120"/>
  <c r="FF274" i="120"/>
  <c r="FG274" i="120"/>
  <c r="FH274" i="120"/>
  <c r="FC275" i="120"/>
  <c r="FD275" i="120"/>
  <c r="FE275" i="120"/>
  <c r="FF275" i="120"/>
  <c r="FG275" i="120"/>
  <c r="FH275" i="120"/>
  <c r="FC276" i="120"/>
  <c r="FD276" i="120"/>
  <c r="FE276" i="120"/>
  <c r="FF276" i="120"/>
  <c r="FG276" i="120"/>
  <c r="FH276" i="120"/>
  <c r="FC277" i="120"/>
  <c r="FD277" i="120"/>
  <c r="FE277" i="120"/>
  <c r="FF277" i="120"/>
  <c r="FG277" i="120"/>
  <c r="FH277" i="120"/>
  <c r="FC278" i="120"/>
  <c r="FD278" i="120"/>
  <c r="FE278" i="120"/>
  <c r="FF278" i="120"/>
  <c r="FG278" i="120"/>
  <c r="FH278" i="120"/>
  <c r="FC279" i="120"/>
  <c r="FD279" i="120"/>
  <c r="FE279" i="120"/>
  <c r="FF279" i="120"/>
  <c r="FG279" i="120"/>
  <c r="FH279" i="120"/>
  <c r="FC280" i="120"/>
  <c r="FD280" i="120"/>
  <c r="FE280" i="120"/>
  <c r="FF280" i="120"/>
  <c r="FG280" i="120"/>
  <c r="FH280" i="120"/>
  <c r="FC281" i="120"/>
  <c r="FD281" i="120"/>
  <c r="FE281" i="120"/>
  <c r="FF281" i="120"/>
  <c r="FG281" i="120"/>
  <c r="FH281" i="120"/>
  <c r="FC282" i="120"/>
  <c r="FD282" i="120"/>
  <c r="FE282" i="120"/>
  <c r="FF282" i="120"/>
  <c r="FG282" i="120"/>
  <c r="FH282" i="120"/>
  <c r="FC283" i="120"/>
  <c r="FD283" i="120"/>
  <c r="FE283" i="120"/>
  <c r="FF283" i="120"/>
  <c r="FG283" i="120"/>
  <c r="FH283" i="120"/>
  <c r="FC284" i="120"/>
  <c r="FD284" i="120"/>
  <c r="FE284" i="120"/>
  <c r="FF284" i="120"/>
  <c r="FG284" i="120"/>
  <c r="FH284" i="120"/>
  <c r="FC285" i="120"/>
  <c r="FD285" i="120"/>
  <c r="FE285" i="120"/>
  <c r="FF285" i="120"/>
  <c r="FG285" i="120"/>
  <c r="FH285" i="120"/>
  <c r="FC286" i="120"/>
  <c r="FD286" i="120"/>
  <c r="FE286" i="120"/>
  <c r="FF286" i="120"/>
  <c r="FG286" i="120"/>
  <c r="FH286" i="120"/>
  <c r="FC287" i="120"/>
  <c r="FD287" i="120"/>
  <c r="FE287" i="120"/>
  <c r="FF287" i="120"/>
  <c r="FG287" i="120"/>
  <c r="FH287" i="120"/>
  <c r="FC288" i="120"/>
  <c r="FD288" i="120"/>
  <c r="FE288" i="120"/>
  <c r="FF288" i="120"/>
  <c r="FG288" i="120"/>
  <c r="FH288" i="120"/>
  <c r="FC289" i="120"/>
  <c r="FD289" i="120"/>
  <c r="FE289" i="120"/>
  <c r="FF289" i="120"/>
  <c r="FG289" i="120"/>
  <c r="FH289" i="120"/>
  <c r="FC290" i="120"/>
  <c r="FD290" i="120"/>
  <c r="FE290" i="120"/>
  <c r="FF290" i="120"/>
  <c r="FG290" i="120"/>
  <c r="FH290" i="120"/>
  <c r="FC291" i="120"/>
  <c r="FD291" i="120"/>
  <c r="FE291" i="120"/>
  <c r="FF291" i="120"/>
  <c r="FG291" i="120"/>
  <c r="FH291" i="120"/>
  <c r="FC292" i="120"/>
  <c r="FD292" i="120"/>
  <c r="FE292" i="120"/>
  <c r="FF292" i="120"/>
  <c r="FG292" i="120"/>
  <c r="FH292" i="120"/>
  <c r="FC293" i="120"/>
  <c r="FD293" i="120"/>
  <c r="FE293" i="120"/>
  <c r="FF293" i="120"/>
  <c r="FG293" i="120"/>
  <c r="FH293" i="120"/>
  <c r="FC294" i="120"/>
  <c r="FD294" i="120"/>
  <c r="FE294" i="120"/>
  <c r="FF294" i="120"/>
  <c r="FG294" i="120"/>
  <c r="FH294" i="120"/>
  <c r="FC295" i="120"/>
  <c r="FD295" i="120"/>
  <c r="FE295" i="120"/>
  <c r="FF295" i="120"/>
  <c r="FG295" i="120"/>
  <c r="FH295" i="120"/>
  <c r="FC296" i="120"/>
  <c r="FD296" i="120"/>
  <c r="FE296" i="120"/>
  <c r="FF296" i="120"/>
  <c r="FG296" i="120"/>
  <c r="FH296" i="120"/>
  <c r="FC297" i="120"/>
  <c r="FD297" i="120"/>
  <c r="FE297" i="120"/>
  <c r="FF297" i="120"/>
  <c r="FG297" i="120"/>
  <c r="FH297" i="120"/>
  <c r="FC7" i="120"/>
  <c r="FD7" i="120"/>
  <c r="FE7" i="120"/>
  <c r="FF7" i="120"/>
  <c r="FG7" i="120"/>
  <c r="FH7" i="120"/>
  <c r="FC298" i="120"/>
  <c r="FD298" i="120"/>
  <c r="FE298" i="120"/>
  <c r="FF298" i="120"/>
  <c r="FG298" i="120"/>
  <c r="FH298" i="120"/>
  <c r="FC384" i="120"/>
  <c r="FD384" i="120"/>
  <c r="FE384" i="120"/>
  <c r="FF384" i="120"/>
  <c r="FG384" i="120"/>
  <c r="FH384" i="120"/>
  <c r="FC299" i="120"/>
  <c r="FD299" i="120"/>
  <c r="FE299" i="120"/>
  <c r="FF299" i="120"/>
  <c r="FG299" i="120"/>
  <c r="FH299" i="120"/>
  <c r="FC389" i="120"/>
  <c r="FD389" i="120"/>
  <c r="FE389" i="120"/>
  <c r="FF389" i="120"/>
  <c r="FG389" i="120"/>
  <c r="FH389" i="120"/>
  <c r="FC300" i="120"/>
  <c r="FD300" i="120"/>
  <c r="FE300" i="120"/>
  <c r="FF300" i="120"/>
  <c r="FG300" i="120"/>
  <c r="FH300" i="120"/>
  <c r="FC301" i="120"/>
  <c r="FD301" i="120"/>
  <c r="FE301" i="120"/>
  <c r="FF301" i="120"/>
  <c r="FG301" i="120"/>
  <c r="FH301" i="120"/>
  <c r="FC302" i="120"/>
  <c r="FD302" i="120"/>
  <c r="FE302" i="120"/>
  <c r="FF302" i="120"/>
  <c r="FG302" i="120"/>
  <c r="FH302" i="120"/>
  <c r="FC303" i="120"/>
  <c r="FD303" i="120"/>
  <c r="FE303" i="120"/>
  <c r="FF303" i="120"/>
  <c r="FG303" i="120"/>
  <c r="FH303" i="120"/>
  <c r="FC304" i="120"/>
  <c r="FD304" i="120"/>
  <c r="FE304" i="120"/>
  <c r="FF304" i="120"/>
  <c r="FG304" i="120"/>
  <c r="FH304" i="120"/>
  <c r="FC305" i="120"/>
  <c r="FD305" i="120"/>
  <c r="FE305" i="120"/>
  <c r="FF305" i="120"/>
  <c r="FG305" i="120"/>
  <c r="FH305" i="120"/>
  <c r="FC5" i="120"/>
  <c r="FD5" i="120"/>
  <c r="FE5" i="120"/>
  <c r="FF5" i="120"/>
  <c r="FG5" i="120"/>
  <c r="FH5" i="120"/>
  <c r="FC28" i="120"/>
  <c r="FD28" i="120"/>
  <c r="FE28" i="120"/>
  <c r="FF28" i="120"/>
  <c r="FG28" i="120"/>
  <c r="FH28" i="120"/>
  <c r="FC306" i="120"/>
  <c r="FD306" i="120"/>
  <c r="FE306" i="120"/>
  <c r="FF306" i="120"/>
  <c r="FG306" i="120"/>
  <c r="FH306" i="120"/>
  <c r="FC307" i="120"/>
  <c r="FD307" i="120"/>
  <c r="FE307" i="120"/>
  <c r="FF307" i="120"/>
  <c r="FG307" i="120"/>
  <c r="FH307" i="120"/>
  <c r="FC308" i="120"/>
  <c r="FD308" i="120"/>
  <c r="FE308" i="120"/>
  <c r="FF308" i="120"/>
  <c r="FG308" i="120"/>
  <c r="FH308" i="120"/>
  <c r="FC309" i="120"/>
  <c r="FD309" i="120"/>
  <c r="FE309" i="120"/>
  <c r="FF309" i="120"/>
  <c r="FG309" i="120"/>
  <c r="FH309" i="120"/>
  <c r="FC310" i="120"/>
  <c r="FD310" i="120"/>
  <c r="FE310" i="120"/>
  <c r="FF310" i="120"/>
  <c r="FG310" i="120"/>
  <c r="FH310" i="120"/>
  <c r="FC311" i="120"/>
  <c r="FD311" i="120"/>
  <c r="FE311" i="120"/>
  <c r="FF311" i="120"/>
  <c r="FG311" i="120"/>
  <c r="FH311" i="120"/>
  <c r="FC312" i="120"/>
  <c r="FD312" i="120"/>
  <c r="FE312" i="120"/>
  <c r="FF312" i="120"/>
  <c r="FG312" i="120"/>
  <c r="FH312" i="120"/>
  <c r="FC313" i="120"/>
  <c r="FD313" i="120"/>
  <c r="FE313" i="120"/>
  <c r="FF313" i="120"/>
  <c r="FG313" i="120"/>
  <c r="FH313" i="120"/>
  <c r="FC314" i="120"/>
  <c r="FD314" i="120"/>
  <c r="FE314" i="120"/>
  <c r="FF314" i="120"/>
  <c r="FG314" i="120"/>
  <c r="FH314" i="120"/>
  <c r="FC315" i="120"/>
  <c r="FD315" i="120"/>
  <c r="FE315" i="120"/>
  <c r="FF315" i="120"/>
  <c r="FG315" i="120"/>
  <c r="FH315" i="120"/>
  <c r="FC316" i="120"/>
  <c r="FD316" i="120"/>
  <c r="FE316" i="120"/>
  <c r="FF316" i="120"/>
  <c r="FG316" i="120"/>
  <c r="FH316" i="120"/>
  <c r="FC317" i="120"/>
  <c r="FD317" i="120"/>
  <c r="FE317" i="120"/>
  <c r="FF317" i="120"/>
  <c r="FG317" i="120"/>
  <c r="FH317" i="120"/>
  <c r="FC318" i="120"/>
  <c r="FD318" i="120"/>
  <c r="FE318" i="120"/>
  <c r="FF318" i="120"/>
  <c r="FG318" i="120"/>
  <c r="FH318" i="120"/>
  <c r="FC319" i="120"/>
  <c r="FD319" i="120"/>
  <c r="FE319" i="120"/>
  <c r="FF319" i="120"/>
  <c r="FG319" i="120"/>
  <c r="FH319" i="120"/>
  <c r="FC388" i="120"/>
  <c r="FD388" i="120"/>
  <c r="FE388" i="120"/>
  <c r="FF388" i="120"/>
  <c r="FG388" i="120"/>
  <c r="FH388" i="120"/>
  <c r="FC320" i="120"/>
  <c r="FD320" i="120"/>
  <c r="FE320" i="120"/>
  <c r="FF320" i="120"/>
  <c r="FG320" i="120"/>
  <c r="FH320" i="120"/>
  <c r="FC321" i="120"/>
  <c r="FD321" i="120"/>
  <c r="FE321" i="120"/>
  <c r="FF321" i="120"/>
  <c r="FG321" i="120"/>
  <c r="FH321" i="120"/>
  <c r="FC402" i="120"/>
  <c r="FD402" i="120"/>
  <c r="FE402" i="120"/>
  <c r="FF402" i="120"/>
  <c r="FG402" i="120"/>
  <c r="FH402" i="120"/>
  <c r="FC393" i="120"/>
  <c r="FD393" i="120"/>
  <c r="FE393" i="120"/>
  <c r="FF393" i="120"/>
  <c r="FG393" i="120"/>
  <c r="FH393" i="120"/>
  <c r="FC400" i="120"/>
  <c r="FD400" i="120"/>
  <c r="FE400" i="120"/>
  <c r="FF400" i="120"/>
  <c r="FG400" i="120"/>
  <c r="FH400" i="120"/>
  <c r="FC322" i="120"/>
  <c r="FD322" i="120"/>
  <c r="FE322" i="120"/>
  <c r="FF322" i="120"/>
  <c r="FG322" i="120"/>
  <c r="FH322" i="120"/>
  <c r="FC382" i="120"/>
  <c r="FD382" i="120"/>
  <c r="FE382" i="120"/>
  <c r="FF382" i="120"/>
  <c r="FG382" i="120"/>
  <c r="FH382" i="120"/>
  <c r="FC323" i="120"/>
  <c r="FD323" i="120"/>
  <c r="FE323" i="120"/>
  <c r="FF323" i="120"/>
  <c r="FG323" i="120"/>
  <c r="FH323" i="120"/>
  <c r="FC324" i="120"/>
  <c r="FD324" i="120"/>
  <c r="FE324" i="120"/>
  <c r="FF324" i="120"/>
  <c r="FG324" i="120"/>
  <c r="FH324" i="120"/>
  <c r="FC325" i="120"/>
  <c r="FD325" i="120"/>
  <c r="FE325" i="120"/>
  <c r="FF325" i="120"/>
  <c r="FG325" i="120"/>
  <c r="FH325" i="120"/>
  <c r="FC326" i="120"/>
  <c r="FD326" i="120"/>
  <c r="FE326" i="120"/>
  <c r="FF326" i="120"/>
  <c r="FG326" i="120"/>
  <c r="FH326" i="120"/>
  <c r="FC327" i="120"/>
  <c r="FD327" i="120"/>
  <c r="FE327" i="120"/>
  <c r="FF327" i="120"/>
  <c r="FG327" i="120"/>
  <c r="FH327" i="120"/>
  <c r="FC328" i="120"/>
  <c r="FD328" i="120"/>
  <c r="FE328" i="120"/>
  <c r="FF328" i="120"/>
  <c r="FG328" i="120"/>
  <c r="FH328" i="120"/>
  <c r="FC329" i="120"/>
  <c r="FD329" i="120"/>
  <c r="FE329" i="120"/>
  <c r="FF329" i="120"/>
  <c r="FG329" i="120"/>
  <c r="FH329" i="120"/>
  <c r="FC396" i="120"/>
  <c r="FD396" i="120"/>
  <c r="FE396" i="120"/>
  <c r="FF396" i="120"/>
  <c r="FG396" i="120"/>
  <c r="FH396" i="120"/>
  <c r="FC392" i="120"/>
  <c r="FD392" i="120"/>
  <c r="FE392" i="120"/>
  <c r="FF392" i="120"/>
  <c r="FG392" i="120"/>
  <c r="FH392" i="120"/>
  <c r="FC398" i="120"/>
  <c r="FD398" i="120"/>
  <c r="FE398" i="120"/>
  <c r="FF398" i="120"/>
  <c r="FG398" i="120"/>
  <c r="FH398" i="120"/>
  <c r="FC330" i="120"/>
  <c r="FD330" i="120"/>
  <c r="FE330" i="120"/>
  <c r="FF330" i="120"/>
  <c r="FG330" i="120"/>
  <c r="FH330" i="120"/>
  <c r="FC401" i="120"/>
  <c r="FD401" i="120"/>
  <c r="FE401" i="120"/>
  <c r="FF401" i="120"/>
  <c r="FG401" i="120"/>
  <c r="FH401" i="120"/>
  <c r="FC380" i="120"/>
  <c r="FD380" i="120"/>
  <c r="FE380" i="120"/>
  <c r="FF380" i="120"/>
  <c r="FG380" i="120"/>
  <c r="FH380" i="120"/>
  <c r="FC331" i="120"/>
  <c r="FD331" i="120"/>
  <c r="FE331" i="120"/>
  <c r="FF331" i="120"/>
  <c r="FG331" i="120"/>
  <c r="FH331" i="120"/>
  <c r="FC332" i="120"/>
  <c r="FD332" i="120"/>
  <c r="FE332" i="120"/>
  <c r="FF332" i="120"/>
  <c r="FG332" i="120"/>
  <c r="FH332" i="120"/>
  <c r="FC19" i="120"/>
  <c r="FD19" i="120"/>
  <c r="FE19" i="120"/>
  <c r="FF19" i="120"/>
  <c r="FG19" i="120"/>
  <c r="FH19" i="120"/>
  <c r="FC333" i="120"/>
  <c r="FD333" i="120"/>
  <c r="FE333" i="120"/>
  <c r="FF333" i="120"/>
  <c r="FG333" i="120"/>
  <c r="FH333" i="120"/>
  <c r="FC381" i="120"/>
  <c r="FD381" i="120"/>
  <c r="FE381" i="120"/>
  <c r="FF381" i="120"/>
  <c r="FG381" i="120"/>
  <c r="FH381" i="120"/>
  <c r="FC334" i="120"/>
  <c r="FD334" i="120"/>
  <c r="FE334" i="120"/>
  <c r="FF334" i="120"/>
  <c r="FG334" i="120"/>
  <c r="FH334" i="120"/>
  <c r="FC335" i="120"/>
  <c r="FD335" i="120"/>
  <c r="FE335" i="120"/>
  <c r="FF335" i="120"/>
  <c r="FG335" i="120"/>
  <c r="FH335" i="120"/>
  <c r="FC336" i="120"/>
  <c r="FD336" i="120"/>
  <c r="FE336" i="120"/>
  <c r="FF336" i="120"/>
  <c r="FG336" i="120"/>
  <c r="FH336" i="120"/>
  <c r="FC337" i="120"/>
  <c r="FD337" i="120"/>
  <c r="FE337" i="120"/>
  <c r="FF337" i="120"/>
  <c r="FG337" i="120"/>
  <c r="FH337" i="120"/>
  <c r="FC338" i="120"/>
  <c r="FD338" i="120"/>
  <c r="FE338" i="120"/>
  <c r="FF338" i="120"/>
  <c r="FG338" i="120"/>
  <c r="FH338" i="120"/>
  <c r="FC339" i="120"/>
  <c r="FD339" i="120"/>
  <c r="FE339" i="120"/>
  <c r="FF339" i="120"/>
  <c r="FG339" i="120"/>
  <c r="FH339" i="120"/>
  <c r="FC340" i="120"/>
  <c r="FD340" i="120"/>
  <c r="FE340" i="120"/>
  <c r="FF340" i="120"/>
  <c r="FG340" i="120"/>
  <c r="FH340" i="120"/>
  <c r="FC341" i="120"/>
  <c r="FD341" i="120"/>
  <c r="FE341" i="120"/>
  <c r="FF341" i="120"/>
  <c r="FG341" i="120"/>
  <c r="FH341" i="120"/>
  <c r="FC403" i="120"/>
  <c r="FD403" i="120"/>
  <c r="FE403" i="120"/>
  <c r="FF403" i="120"/>
  <c r="FG403" i="120"/>
  <c r="FH403" i="120"/>
  <c r="FC342" i="120"/>
  <c r="FD342" i="120"/>
  <c r="FE342" i="120"/>
  <c r="FF342" i="120"/>
  <c r="FG342" i="120"/>
  <c r="FH342" i="120"/>
  <c r="FC343" i="120"/>
  <c r="FD343" i="120"/>
  <c r="FE343" i="120"/>
  <c r="FF343" i="120"/>
  <c r="FG343" i="120"/>
  <c r="FH343" i="120"/>
  <c r="FC344" i="120"/>
  <c r="FD344" i="120"/>
  <c r="FE344" i="120"/>
  <c r="FF344" i="120"/>
  <c r="FG344" i="120"/>
  <c r="FH344" i="120"/>
  <c r="FC345" i="120"/>
  <c r="FD345" i="120"/>
  <c r="FE345" i="120"/>
  <c r="FF345" i="120"/>
  <c r="FG345" i="120"/>
  <c r="FH345" i="120"/>
  <c r="FC346" i="120"/>
  <c r="FD346" i="120"/>
  <c r="FE346" i="120"/>
  <c r="FF346" i="120"/>
  <c r="FG346" i="120"/>
  <c r="FH346" i="120"/>
  <c r="FC347" i="120"/>
  <c r="FD347" i="120"/>
  <c r="FE347" i="120"/>
  <c r="FF347" i="120"/>
  <c r="FG347" i="120"/>
  <c r="FH347" i="120"/>
  <c r="FC348" i="120"/>
  <c r="FD348" i="120"/>
  <c r="FE348" i="120"/>
  <c r="FF348" i="120"/>
  <c r="FG348" i="120"/>
  <c r="FH348" i="120"/>
  <c r="FC349" i="120"/>
  <c r="FD349" i="120"/>
  <c r="FE349" i="120"/>
  <c r="FF349" i="120"/>
  <c r="FG349" i="120"/>
  <c r="FH349" i="120"/>
  <c r="FC350" i="120"/>
  <c r="FD350" i="120"/>
  <c r="FE350" i="120"/>
  <c r="FF350" i="120"/>
  <c r="FG350" i="120"/>
  <c r="FH350" i="120"/>
  <c r="FC351" i="120"/>
  <c r="FD351" i="120"/>
  <c r="FE351" i="120"/>
  <c r="FF351" i="120"/>
  <c r="FG351" i="120"/>
  <c r="FH351" i="120"/>
  <c r="FC383" i="120"/>
  <c r="FD383" i="120"/>
  <c r="FE383" i="120"/>
  <c r="FF383" i="120"/>
  <c r="FG383" i="120"/>
  <c r="FH383" i="120"/>
  <c r="FC352" i="120"/>
  <c r="FD352" i="120"/>
  <c r="FE352" i="120"/>
  <c r="FF352" i="120"/>
  <c r="FG352" i="120"/>
  <c r="FH352" i="120"/>
  <c r="FC353" i="120"/>
  <c r="FD353" i="120"/>
  <c r="FE353" i="120"/>
  <c r="FF353" i="120"/>
  <c r="FG353" i="120"/>
  <c r="FH353" i="120"/>
  <c r="FC397" i="120"/>
  <c r="FD397" i="120"/>
  <c r="FE397" i="120"/>
  <c r="FF397" i="120"/>
  <c r="FG397" i="120"/>
  <c r="FH397" i="120"/>
  <c r="FC379" i="120"/>
  <c r="FD379" i="120"/>
  <c r="FE379" i="120"/>
  <c r="FF379" i="120"/>
  <c r="FG379" i="120"/>
  <c r="FH379" i="120"/>
  <c r="FC378" i="120"/>
  <c r="FD378" i="120"/>
  <c r="FE378" i="120"/>
  <c r="FF378" i="120"/>
  <c r="FG378" i="120"/>
  <c r="FH378" i="120"/>
  <c r="FC405" i="120"/>
  <c r="FD405" i="120"/>
  <c r="FE405" i="120"/>
  <c r="FF405" i="120"/>
  <c r="FG405" i="120"/>
  <c r="FH405" i="120"/>
  <c r="FC354" i="120"/>
  <c r="FD354" i="120"/>
  <c r="FE354" i="120"/>
  <c r="FF354" i="120"/>
  <c r="FG354" i="120"/>
  <c r="FH354" i="120"/>
  <c r="FC8" i="120"/>
  <c r="FD8" i="120"/>
  <c r="FE8" i="120"/>
  <c r="FF8" i="120"/>
  <c r="FG8" i="120"/>
  <c r="FH8" i="120"/>
  <c r="FC25" i="120"/>
  <c r="FD25" i="120"/>
  <c r="FE25" i="120"/>
  <c r="FF25" i="120"/>
  <c r="FG25" i="120"/>
  <c r="FH25" i="120"/>
  <c r="FC355" i="120"/>
  <c r="FD355" i="120"/>
  <c r="FE355" i="120"/>
  <c r="FF355" i="120"/>
  <c r="FG355" i="120"/>
  <c r="FH355" i="120"/>
  <c r="FC356" i="120"/>
  <c r="FD356" i="120"/>
  <c r="FE356" i="120"/>
  <c r="FF356" i="120"/>
  <c r="FG356" i="120"/>
  <c r="FH356" i="120"/>
  <c r="FC9" i="120"/>
  <c r="FD9" i="120"/>
  <c r="FE9" i="120"/>
  <c r="FF9" i="120"/>
  <c r="FG9" i="120"/>
  <c r="FH9" i="120"/>
  <c r="FC357" i="120"/>
  <c r="FD357" i="120"/>
  <c r="FE357" i="120"/>
  <c r="FF357" i="120"/>
  <c r="FG357" i="120"/>
  <c r="FH357" i="120"/>
  <c r="FC13" i="120"/>
  <c r="FD13" i="120"/>
  <c r="FE13" i="120"/>
  <c r="FF13" i="120"/>
  <c r="FG13" i="120"/>
  <c r="FH13" i="120"/>
  <c r="FC377" i="120"/>
  <c r="FD377" i="120"/>
  <c r="FE377" i="120"/>
  <c r="FF377" i="120"/>
  <c r="FG377" i="120"/>
  <c r="FH377" i="120"/>
  <c r="FC16" i="120"/>
  <c r="FD16" i="120"/>
  <c r="FE16" i="120"/>
  <c r="FF16" i="120"/>
  <c r="FG16" i="120"/>
  <c r="FH16" i="120"/>
  <c r="FC14" i="120"/>
  <c r="FD14" i="120"/>
  <c r="FE14" i="120"/>
  <c r="FF14" i="120"/>
  <c r="FG14" i="120"/>
  <c r="FH14" i="120"/>
  <c r="FC12" i="120"/>
  <c r="FD12" i="120"/>
  <c r="FE12" i="120"/>
  <c r="FF12" i="120"/>
  <c r="FG12" i="120"/>
  <c r="FH12" i="120"/>
  <c r="FC358" i="120"/>
  <c r="FD358" i="120"/>
  <c r="FE358" i="120"/>
  <c r="FF358" i="120"/>
  <c r="FG358" i="120"/>
  <c r="FH358" i="120"/>
  <c r="FC359" i="120"/>
  <c r="FD359" i="120"/>
  <c r="FE359" i="120"/>
  <c r="FF359" i="120"/>
  <c r="FG359" i="120"/>
  <c r="FH359" i="120"/>
  <c r="FC360" i="120"/>
  <c r="FD360" i="120"/>
  <c r="FE360" i="120"/>
  <c r="FF360" i="120"/>
  <c r="FG360" i="120"/>
  <c r="FH360" i="120"/>
  <c r="FC361" i="120"/>
  <c r="FD361" i="120"/>
  <c r="FE361" i="120"/>
  <c r="FF361" i="120"/>
  <c r="FG361" i="120"/>
  <c r="FH361" i="120"/>
  <c r="FC362" i="120"/>
  <c r="FD362" i="120"/>
  <c r="FE362" i="120"/>
  <c r="FF362" i="120"/>
  <c r="FG362" i="120"/>
  <c r="FH362" i="120"/>
  <c r="FC363" i="120"/>
  <c r="FD363" i="120"/>
  <c r="FE363" i="120"/>
  <c r="FF363" i="120"/>
  <c r="FG363" i="120"/>
  <c r="FH363" i="120"/>
  <c r="FC364" i="120"/>
  <c r="FD364" i="120"/>
  <c r="FE364" i="120"/>
  <c r="FF364" i="120"/>
  <c r="FG364" i="120"/>
  <c r="FH364" i="120"/>
  <c r="FC365" i="120"/>
  <c r="FD365" i="120"/>
  <c r="FE365" i="120"/>
  <c r="FF365" i="120"/>
  <c r="FG365" i="120"/>
  <c r="FH365" i="120"/>
  <c r="FC27" i="120"/>
  <c r="FD27" i="120"/>
  <c r="FE27" i="120"/>
  <c r="FF27" i="120"/>
  <c r="FG27" i="120"/>
  <c r="FH27" i="120"/>
  <c r="FC366" i="120"/>
  <c r="FD366" i="120"/>
  <c r="FE366" i="120"/>
  <c r="FF366" i="120"/>
  <c r="FG366" i="120"/>
  <c r="FH366" i="120"/>
  <c r="FC367" i="120"/>
  <c r="FD367" i="120"/>
  <c r="FE367" i="120"/>
  <c r="FF367" i="120"/>
  <c r="FG367" i="120"/>
  <c r="FH367" i="120"/>
  <c r="FC368" i="120"/>
  <c r="FD368" i="120"/>
  <c r="FE368" i="120"/>
  <c r="FF368" i="120"/>
  <c r="FG368" i="120"/>
  <c r="FH368" i="120"/>
  <c r="FC376" i="120"/>
  <c r="FD376" i="120"/>
  <c r="FE376" i="120"/>
  <c r="FF376" i="120"/>
  <c r="FG376" i="120"/>
  <c r="FH376" i="120"/>
  <c r="FC22" i="120"/>
  <c r="FD22" i="120"/>
  <c r="FE22" i="120"/>
  <c r="FF22" i="120"/>
  <c r="FG22" i="120"/>
  <c r="FH22" i="120"/>
  <c r="FC369" i="120"/>
  <c r="FD369" i="120"/>
  <c r="FE369" i="120"/>
  <c r="FF369" i="120"/>
  <c r="FG369" i="120"/>
  <c r="FH369" i="120"/>
  <c r="FC370" i="120"/>
  <c r="FD370" i="120"/>
  <c r="FE370" i="120"/>
  <c r="FF370" i="120"/>
  <c r="FG370" i="120"/>
  <c r="FH370" i="120"/>
  <c r="FC371" i="120"/>
  <c r="FD371" i="120"/>
  <c r="FE371" i="120"/>
  <c r="FF371" i="120"/>
  <c r="FG371" i="120"/>
  <c r="FH371" i="120"/>
  <c r="FC372" i="120"/>
  <c r="FD372" i="120"/>
  <c r="FE372" i="120"/>
  <c r="FF372" i="120"/>
  <c r="FG372" i="120"/>
  <c r="FH372" i="120"/>
  <c r="T6" i="149"/>
  <c r="T7" i="149"/>
  <c r="T8" i="149"/>
  <c r="T9" i="149"/>
  <c r="T10" i="149"/>
  <c r="T11" i="149"/>
  <c r="T12" i="149"/>
  <c r="T13" i="149"/>
  <c r="T14" i="149"/>
  <c r="T15" i="149"/>
  <c r="T16" i="149"/>
  <c r="T17" i="149"/>
  <c r="T18" i="149"/>
  <c r="T19" i="149"/>
  <c r="T20" i="149"/>
  <c r="T21" i="149"/>
  <c r="T22" i="149"/>
  <c r="T23" i="149"/>
  <c r="T24" i="149"/>
  <c r="T25" i="149"/>
  <c r="T26" i="149"/>
  <c r="T27" i="149"/>
  <c r="T28" i="149"/>
  <c r="T29" i="149"/>
  <c r="T30" i="149"/>
  <c r="T31" i="149"/>
  <c r="T32" i="149"/>
  <c r="T33" i="149"/>
  <c r="T34" i="149"/>
  <c r="T35" i="149"/>
  <c r="T36" i="149"/>
  <c r="T37" i="149"/>
  <c r="AL30" i="120"/>
  <c r="AL31" i="120"/>
  <c r="AL32" i="120"/>
  <c r="AL33" i="120"/>
  <c r="AL34" i="120"/>
  <c r="AL35" i="120"/>
  <c r="AL36" i="120"/>
  <c r="AL37" i="120"/>
  <c r="AL38" i="120"/>
  <c r="AL39" i="120"/>
  <c r="AL40" i="120"/>
  <c r="AL41" i="120"/>
  <c r="AL42" i="120"/>
  <c r="AL43" i="120"/>
  <c r="AL44" i="120"/>
  <c r="AL45" i="120"/>
  <c r="AL46" i="120"/>
  <c r="AL47" i="120"/>
  <c r="AL48" i="120"/>
  <c r="AL49" i="120"/>
  <c r="AL50" i="120"/>
  <c r="AL51" i="120"/>
  <c r="AL10" i="120"/>
  <c r="AL52" i="120"/>
  <c r="AL18" i="120"/>
  <c r="AL53" i="120"/>
  <c r="AL54" i="120"/>
  <c r="AL55" i="120"/>
  <c r="AL56" i="120"/>
  <c r="AL373" i="120"/>
  <c r="AL57" i="120"/>
  <c r="AL58" i="120"/>
  <c r="AL59" i="120"/>
  <c r="AK60" i="120"/>
  <c r="AL60" i="120"/>
  <c r="AL61" i="120"/>
  <c r="AL62" i="120"/>
  <c r="AL63" i="120"/>
  <c r="AL64" i="120"/>
  <c r="AK65" i="120"/>
  <c r="AL65" i="120"/>
  <c r="AL66" i="120"/>
  <c r="AL390" i="120"/>
  <c r="AL67" i="120"/>
  <c r="AL374" i="120"/>
  <c r="AL395" i="120"/>
  <c r="AL68" i="120"/>
  <c r="AL69" i="120"/>
  <c r="AL24" i="120"/>
  <c r="AL375" i="120"/>
  <c r="AL408" i="120"/>
  <c r="AL409" i="120"/>
  <c r="AL407" i="120"/>
  <c r="AL21" i="120"/>
  <c r="AL70" i="120"/>
  <c r="AL406" i="120"/>
  <c r="AL23" i="120"/>
  <c r="AL71" i="120"/>
  <c r="AL6" i="120"/>
  <c r="AL72" i="120"/>
  <c r="AL73" i="120"/>
  <c r="AL74" i="120"/>
  <c r="AL75" i="120"/>
  <c r="AL76" i="120"/>
  <c r="AL77" i="120"/>
  <c r="AL78" i="120"/>
  <c r="AL79" i="120"/>
  <c r="AL80" i="120"/>
  <c r="AL81" i="120"/>
  <c r="AL82" i="120"/>
  <c r="AL83" i="120"/>
  <c r="AL84" i="120"/>
  <c r="AL85" i="120"/>
  <c r="AL86" i="120"/>
  <c r="AL87" i="120"/>
  <c r="AL88" i="120"/>
  <c r="AL89" i="120"/>
  <c r="AL90" i="120"/>
  <c r="AL91" i="120"/>
  <c r="AL92" i="120"/>
  <c r="AL93" i="120"/>
  <c r="AL94" i="120"/>
  <c r="AL95" i="120"/>
  <c r="AL96" i="120"/>
  <c r="AL97" i="120"/>
  <c r="AL98" i="120"/>
  <c r="AL99" i="120"/>
  <c r="AL100" i="120"/>
  <c r="AL101" i="120"/>
  <c r="AL102" i="120"/>
  <c r="AL103" i="120"/>
  <c r="AL104" i="120"/>
  <c r="AL105" i="120"/>
  <c r="AL106" i="120"/>
  <c r="AL107" i="120"/>
  <c r="AL108" i="120"/>
  <c r="AL109" i="120"/>
  <c r="AL110" i="120"/>
  <c r="AL111" i="120"/>
  <c r="AL112" i="120"/>
  <c r="AL113" i="120"/>
  <c r="AL114" i="120"/>
  <c r="AL115" i="120"/>
  <c r="AL116" i="120"/>
  <c r="AL117" i="120"/>
  <c r="AL118" i="120"/>
  <c r="AL119" i="120"/>
  <c r="AL120" i="120"/>
  <c r="AL121" i="120"/>
  <c r="AL122" i="120"/>
  <c r="AL123" i="120"/>
  <c r="AL124" i="120"/>
  <c r="AL125" i="120"/>
  <c r="AL126" i="120"/>
  <c r="AL127" i="120"/>
  <c r="AL128" i="120"/>
  <c r="AL129" i="120"/>
  <c r="AL130" i="120"/>
  <c r="AL131" i="120"/>
  <c r="AL132" i="120"/>
  <c r="AL133" i="120"/>
  <c r="AL134" i="120"/>
  <c r="AL135" i="120"/>
  <c r="AL136" i="120"/>
  <c r="AL137" i="120"/>
  <c r="AL138" i="120"/>
  <c r="AL139" i="120"/>
  <c r="AL140" i="120"/>
  <c r="AL141" i="120"/>
  <c r="AL142" i="120"/>
  <c r="AL143" i="120"/>
  <c r="AL144" i="120"/>
  <c r="AL145" i="120"/>
  <c r="AL146" i="120"/>
  <c r="AL147" i="120"/>
  <c r="AL148" i="120"/>
  <c r="AL149" i="120"/>
  <c r="AL150" i="120"/>
  <c r="AL151" i="120"/>
  <c r="AL152" i="120"/>
  <c r="AL153" i="120"/>
  <c r="AL154" i="120"/>
  <c r="AL155" i="120"/>
  <c r="AL156" i="120"/>
  <c r="AL157" i="120"/>
  <c r="AL158" i="120"/>
  <c r="AL159" i="120"/>
  <c r="AL160" i="120"/>
  <c r="AL161" i="120"/>
  <c r="AL162" i="120"/>
  <c r="AL163" i="120"/>
  <c r="AL164" i="120"/>
  <c r="AL165" i="120"/>
  <c r="AL166" i="120"/>
  <c r="AL167" i="120"/>
  <c r="AL168" i="120"/>
  <c r="AL169" i="120"/>
  <c r="AL170" i="120"/>
  <c r="AL399" i="120"/>
  <c r="AL171" i="120"/>
  <c r="AL172" i="120"/>
  <c r="AL173" i="120"/>
  <c r="AL174" i="120"/>
  <c r="AL175" i="120"/>
  <c r="AL176" i="120"/>
  <c r="AL177" i="120"/>
  <c r="AL178" i="120"/>
  <c r="AL179" i="120"/>
  <c r="AL180" i="120"/>
  <c r="AL181" i="120"/>
  <c r="AL182" i="120"/>
  <c r="AL183" i="120"/>
  <c r="AL184" i="120"/>
  <c r="AL185" i="120"/>
  <c r="AL186" i="120"/>
  <c r="AL187" i="120"/>
  <c r="AL188" i="120"/>
  <c r="AL189" i="120"/>
  <c r="AL190" i="120"/>
  <c r="AL191" i="120"/>
  <c r="AL192" i="120"/>
  <c r="AL193" i="120"/>
  <c r="AL194" i="120"/>
  <c r="AL195" i="120"/>
  <c r="AL11" i="120"/>
  <c r="AL196" i="120"/>
  <c r="AL197" i="120"/>
  <c r="AL198" i="120"/>
  <c r="AL199" i="120"/>
  <c r="AL200" i="120"/>
  <c r="AL201" i="120"/>
  <c r="AL202" i="120"/>
  <c r="AL203" i="120"/>
  <c r="AL204" i="120"/>
  <c r="AL205" i="120"/>
  <c r="AL394" i="120"/>
  <c r="AL206" i="120"/>
  <c r="AL207" i="120"/>
  <c r="AL208" i="120"/>
  <c r="AL209" i="120"/>
  <c r="AL210" i="120"/>
  <c r="AL211" i="120"/>
  <c r="AL391" i="120"/>
  <c r="AL212" i="120"/>
  <c r="AL213" i="120"/>
  <c r="AL214" i="120"/>
  <c r="AL215" i="120"/>
  <c r="AL216" i="120"/>
  <c r="AL217" i="120"/>
  <c r="AL218" i="120"/>
  <c r="AL219" i="120"/>
  <c r="AL220" i="120"/>
  <c r="AL221" i="120"/>
  <c r="AL222" i="120"/>
  <c r="AL223" i="120"/>
  <c r="AL224" i="120"/>
  <c r="AL225" i="120"/>
  <c r="AL226" i="120"/>
  <c r="AL227" i="120"/>
  <c r="AL228" i="120"/>
  <c r="AL229" i="120"/>
  <c r="AL230" i="120"/>
  <c r="AL231" i="120"/>
  <c r="AL232" i="120"/>
  <c r="AL233" i="120"/>
  <c r="AL234" i="120"/>
  <c r="AL235" i="120"/>
  <c r="AL236" i="120"/>
  <c r="AL237" i="120"/>
  <c r="AL238" i="120"/>
  <c r="AL20" i="120"/>
  <c r="AL239" i="120"/>
  <c r="AL240" i="120"/>
  <c r="AL241" i="120"/>
  <c r="AL242" i="120"/>
  <c r="AL243" i="120"/>
  <c r="AL244" i="120"/>
  <c r="AL245" i="120"/>
  <c r="AL17" i="120"/>
  <c r="AL246" i="120"/>
  <c r="AL247" i="120"/>
  <c r="AL248" i="120"/>
  <c r="AL249" i="120"/>
  <c r="AL26" i="120"/>
  <c r="AL250" i="120"/>
  <c r="AL386" i="120"/>
  <c r="AL251" i="120"/>
  <c r="AL252" i="120"/>
  <c r="AL253" i="120"/>
  <c r="AL254" i="120"/>
  <c r="AL255" i="120"/>
  <c r="AL256" i="120"/>
  <c r="AL385" i="120"/>
  <c r="AL257" i="120"/>
  <c r="AL258" i="120"/>
  <c r="AL259" i="120"/>
  <c r="AL260" i="120"/>
  <c r="AL261" i="120"/>
  <c r="AL15" i="120"/>
  <c r="AL404" i="120"/>
  <c r="AL262" i="120"/>
  <c r="AL263" i="120"/>
  <c r="AL264" i="120"/>
  <c r="AL265" i="120"/>
  <c r="AL266" i="120"/>
  <c r="AL267" i="120"/>
  <c r="AL268" i="120"/>
  <c r="AL269" i="120"/>
  <c r="AL270" i="120"/>
  <c r="AL271" i="120"/>
  <c r="AL272" i="120"/>
  <c r="AL273" i="120"/>
  <c r="AL387" i="120"/>
  <c r="AL274" i="120"/>
  <c r="AL275" i="120"/>
  <c r="AL276" i="120"/>
  <c r="AL277" i="120"/>
  <c r="AL278" i="120"/>
  <c r="AL279" i="120"/>
  <c r="AL280" i="120"/>
  <c r="AL281" i="120"/>
  <c r="AL282" i="120"/>
  <c r="AL283" i="120"/>
  <c r="AL284" i="120"/>
  <c r="AL285" i="120"/>
  <c r="AL286" i="120"/>
  <c r="AL287" i="120"/>
  <c r="AL288" i="120"/>
  <c r="AL289" i="120"/>
  <c r="AL290" i="120"/>
  <c r="AL291" i="120"/>
  <c r="AL292" i="120"/>
  <c r="AL293" i="120"/>
  <c r="AL294" i="120"/>
  <c r="AL295" i="120"/>
  <c r="AL296" i="120"/>
  <c r="AL297" i="120"/>
  <c r="AL7" i="120"/>
  <c r="AL298" i="120"/>
  <c r="AL384" i="120"/>
  <c r="AL299" i="120"/>
  <c r="AL389" i="120"/>
  <c r="AL300" i="120"/>
  <c r="AL301" i="120"/>
  <c r="AL302" i="120"/>
  <c r="AL303" i="120"/>
  <c r="AL304" i="120"/>
  <c r="AL305" i="120"/>
  <c r="AL5" i="120"/>
  <c r="AL28" i="120"/>
  <c r="AL306" i="120"/>
  <c r="AL307" i="120"/>
  <c r="AL308" i="120"/>
  <c r="AL309" i="120"/>
  <c r="AL310" i="120"/>
  <c r="AL311" i="120"/>
  <c r="AL312" i="120"/>
  <c r="AL313" i="120"/>
  <c r="AL314" i="120"/>
  <c r="AL315" i="120"/>
  <c r="AL316" i="120"/>
  <c r="AL317" i="120"/>
  <c r="AL318" i="120"/>
  <c r="AL319" i="120"/>
  <c r="AL388" i="120"/>
  <c r="AL320" i="120"/>
  <c r="AL321" i="120"/>
  <c r="AL402" i="120"/>
  <c r="AL393" i="120"/>
  <c r="AL400" i="120"/>
  <c r="AL322" i="120"/>
  <c r="AL382" i="120"/>
  <c r="AL323" i="120"/>
  <c r="AL324" i="120"/>
  <c r="AL325" i="120"/>
  <c r="AL326" i="120"/>
  <c r="AL327" i="120"/>
  <c r="AL328" i="120"/>
  <c r="AL329" i="120"/>
  <c r="AL396" i="120"/>
  <c r="AL392" i="120"/>
  <c r="AL398" i="120"/>
  <c r="AL330" i="120"/>
  <c r="AL401" i="120"/>
  <c r="AL380" i="120"/>
  <c r="AL331" i="120"/>
  <c r="AL332" i="120"/>
  <c r="AL19" i="120"/>
  <c r="AL333" i="120"/>
  <c r="AL381" i="120"/>
  <c r="AL334" i="120"/>
  <c r="AL335" i="120"/>
  <c r="AL336" i="120"/>
  <c r="AL337" i="120"/>
  <c r="AL338" i="120"/>
  <c r="AL339" i="120"/>
  <c r="AL340" i="120"/>
  <c r="AL341" i="120"/>
  <c r="AL403" i="120"/>
  <c r="AL342" i="120"/>
  <c r="AL343" i="120"/>
  <c r="AL344" i="120"/>
  <c r="AL345" i="120"/>
  <c r="AL346" i="120"/>
  <c r="AL347" i="120"/>
  <c r="AL348" i="120"/>
  <c r="AL349" i="120"/>
  <c r="AL350" i="120"/>
  <c r="AL351" i="120"/>
  <c r="AL383" i="120"/>
  <c r="AL352" i="120"/>
  <c r="AL353" i="120"/>
  <c r="AL397" i="120"/>
  <c r="AL379" i="120"/>
  <c r="AL378" i="120"/>
  <c r="AL405" i="120"/>
  <c r="AL354" i="120"/>
  <c r="AL8" i="120"/>
  <c r="AL25" i="120"/>
  <c r="AL355" i="120"/>
  <c r="AL356" i="120"/>
  <c r="AL9" i="120"/>
  <c r="AL357" i="120"/>
  <c r="AL13" i="120"/>
  <c r="AL377" i="120"/>
  <c r="AL16" i="120"/>
  <c r="AL14" i="120"/>
  <c r="AL12" i="120"/>
  <c r="AL358" i="120"/>
  <c r="AL359" i="120"/>
  <c r="AL360" i="120"/>
  <c r="AL361" i="120"/>
  <c r="AL362" i="120"/>
  <c r="AL363" i="120"/>
  <c r="AL364" i="120"/>
  <c r="AL365" i="120"/>
  <c r="AL27" i="120"/>
  <c r="AL366" i="120"/>
  <c r="AL367" i="120"/>
  <c r="AL368" i="120"/>
  <c r="AL376" i="120"/>
  <c r="AL22" i="120"/>
  <c r="AL369" i="120"/>
  <c r="AL370" i="120"/>
  <c r="AL371" i="120"/>
  <c r="AL372" i="120"/>
  <c r="BL74" i="113"/>
  <c r="BP89" i="113"/>
  <c r="BP110" i="113"/>
  <c r="AB148" i="113"/>
  <c r="BP158" i="113"/>
  <c r="BP165" i="113"/>
  <c r="BP178" i="113"/>
  <c r="AB188" i="113"/>
  <c r="AB190" i="113"/>
  <c r="BP194" i="113"/>
  <c r="BP195" i="113"/>
  <c r="BP11" i="113"/>
  <c r="BZ9" i="113"/>
  <c r="CA9" i="113"/>
  <c r="CB9" i="113"/>
  <c r="BZ10" i="113"/>
  <c r="CA10" i="113"/>
  <c r="CB10" i="113"/>
  <c r="BZ11" i="113"/>
  <c r="CA11" i="113"/>
  <c r="CB11" i="113"/>
  <c r="BZ12" i="113"/>
  <c r="CA12" i="113"/>
  <c r="CB12" i="113"/>
  <c r="BZ13" i="113"/>
  <c r="CA13" i="113"/>
  <c r="CB13" i="113"/>
  <c r="BZ14" i="113"/>
  <c r="CA14" i="113"/>
  <c r="CB14" i="113"/>
  <c r="BZ15" i="113"/>
  <c r="CA15" i="113"/>
  <c r="CB15" i="113"/>
  <c r="BZ16" i="113"/>
  <c r="CA16" i="113"/>
  <c r="CB16" i="113"/>
  <c r="BZ17" i="113"/>
  <c r="CA17" i="113"/>
  <c r="CB17" i="113"/>
  <c r="BZ18" i="113"/>
  <c r="CA18" i="113"/>
  <c r="CB18" i="113"/>
  <c r="BZ19" i="113"/>
  <c r="CA19" i="113"/>
  <c r="CB19" i="113"/>
  <c r="BZ20" i="113"/>
  <c r="CA20" i="113"/>
  <c r="CB20" i="113"/>
  <c r="BZ21" i="113"/>
  <c r="CA21" i="113"/>
  <c r="CB21" i="113"/>
  <c r="BZ22" i="113"/>
  <c r="CA22" i="113"/>
  <c r="CB22" i="113"/>
  <c r="BZ23" i="113"/>
  <c r="CA23" i="113"/>
  <c r="CB23" i="113"/>
  <c r="BZ24" i="113"/>
  <c r="CA24" i="113"/>
  <c r="CB24" i="113"/>
  <c r="BZ25" i="113"/>
  <c r="CA25" i="113"/>
  <c r="CB25" i="113"/>
  <c r="BZ26" i="113"/>
  <c r="CA26" i="113"/>
  <c r="CB26" i="113"/>
  <c r="BZ27" i="113"/>
  <c r="CA27" i="113"/>
  <c r="CB27" i="113"/>
  <c r="BZ28" i="113"/>
  <c r="CA28" i="113"/>
  <c r="CB28" i="113"/>
  <c r="BZ29" i="113"/>
  <c r="CA29" i="113"/>
  <c r="CB29" i="113"/>
  <c r="BZ30" i="113"/>
  <c r="CA30" i="113"/>
  <c r="CB30" i="113"/>
  <c r="BZ31" i="113"/>
  <c r="CA31" i="113"/>
  <c r="CB31" i="113"/>
  <c r="BZ32" i="113"/>
  <c r="CA32" i="113"/>
  <c r="CB32" i="113"/>
  <c r="BZ33" i="113"/>
  <c r="CA33" i="113"/>
  <c r="CB33" i="113"/>
  <c r="BZ34" i="113"/>
  <c r="CA34" i="113"/>
  <c r="CB34" i="113"/>
  <c r="BZ35" i="113"/>
  <c r="CA35" i="113"/>
  <c r="CB35" i="113"/>
  <c r="BZ36" i="113"/>
  <c r="CA36" i="113"/>
  <c r="CB36" i="113"/>
  <c r="BZ37" i="113"/>
  <c r="CA37" i="113"/>
  <c r="CB37" i="113"/>
  <c r="BZ38" i="113"/>
  <c r="CA38" i="113"/>
  <c r="CB38" i="113"/>
  <c r="BZ39" i="113"/>
  <c r="CA39" i="113"/>
  <c r="CB39" i="113"/>
  <c r="BZ40" i="113"/>
  <c r="CA40" i="113"/>
  <c r="CB40" i="113"/>
  <c r="BZ41" i="113"/>
  <c r="CA41" i="113"/>
  <c r="CB41" i="113"/>
  <c r="BZ42" i="113"/>
  <c r="CA42" i="113"/>
  <c r="CB42" i="113"/>
  <c r="BZ43" i="113"/>
  <c r="CA43" i="113"/>
  <c r="CB43" i="113"/>
  <c r="BZ44" i="113"/>
  <c r="CA44" i="113"/>
  <c r="CB44" i="113"/>
  <c r="BZ45" i="113"/>
  <c r="CA45" i="113"/>
  <c r="CB45" i="113"/>
  <c r="BZ46" i="113"/>
  <c r="CA46" i="113"/>
  <c r="CB46" i="113"/>
  <c r="BZ47" i="113"/>
  <c r="CA47" i="113"/>
  <c r="CB47" i="113"/>
  <c r="BZ48" i="113"/>
  <c r="CA48" i="113"/>
  <c r="CB48" i="113"/>
  <c r="BZ49" i="113"/>
  <c r="CA49" i="113"/>
  <c r="CB49" i="113"/>
  <c r="BZ50" i="113"/>
  <c r="CA50" i="113"/>
  <c r="CB50" i="113"/>
  <c r="BZ51" i="113"/>
  <c r="CA51" i="113"/>
  <c r="CB51" i="113"/>
  <c r="BZ52" i="113"/>
  <c r="CA52" i="113"/>
  <c r="CB52" i="113"/>
  <c r="BZ53" i="113"/>
  <c r="CA53" i="113"/>
  <c r="CB53" i="113"/>
  <c r="BZ54" i="113"/>
  <c r="CA54" i="113"/>
  <c r="CB54" i="113"/>
  <c r="BZ55" i="113"/>
  <c r="CA55" i="113"/>
  <c r="CB55" i="113"/>
  <c r="BZ56" i="113"/>
  <c r="CA56" i="113"/>
  <c r="CB56" i="113"/>
  <c r="BZ57" i="113"/>
  <c r="CA57" i="113"/>
  <c r="CB57" i="113"/>
  <c r="BZ58" i="113"/>
  <c r="CA58" i="113"/>
  <c r="CB58" i="113"/>
  <c r="BZ59" i="113"/>
  <c r="CA59" i="113"/>
  <c r="CB59" i="113"/>
  <c r="BZ60" i="113"/>
  <c r="CA60" i="113"/>
  <c r="CB60" i="113"/>
  <c r="BZ61" i="113"/>
  <c r="CA61" i="113"/>
  <c r="CB61" i="113"/>
  <c r="BZ62" i="113"/>
  <c r="CA62" i="113"/>
  <c r="CB62" i="113"/>
  <c r="BZ63" i="113"/>
  <c r="CA63" i="113"/>
  <c r="CB63" i="113"/>
  <c r="BZ64" i="113"/>
  <c r="CA64" i="113"/>
  <c r="CB64" i="113"/>
  <c r="BZ65" i="113"/>
  <c r="CA65" i="113"/>
  <c r="CB65" i="113"/>
  <c r="BZ66" i="113"/>
  <c r="CA66" i="113"/>
  <c r="CB66" i="113"/>
  <c r="BZ67" i="113"/>
  <c r="CA67" i="113"/>
  <c r="CB67" i="113"/>
  <c r="BZ68" i="113"/>
  <c r="CA68" i="113"/>
  <c r="CB68" i="113"/>
  <c r="BZ69" i="113"/>
  <c r="CA69" i="113"/>
  <c r="CB69" i="113"/>
  <c r="BZ70" i="113"/>
  <c r="CA70" i="113"/>
  <c r="CB70" i="113"/>
  <c r="BZ71" i="113"/>
  <c r="CA71" i="113"/>
  <c r="CB71" i="113"/>
  <c r="BZ72" i="113"/>
  <c r="CA72" i="113"/>
  <c r="CB72" i="113"/>
  <c r="BZ73" i="113"/>
  <c r="CA73" i="113"/>
  <c r="CB73" i="113"/>
  <c r="BZ74" i="113"/>
  <c r="CA74" i="113"/>
  <c r="CB74" i="113"/>
  <c r="BZ75" i="113"/>
  <c r="CA75" i="113"/>
  <c r="CB75" i="113"/>
  <c r="BZ76" i="113"/>
  <c r="CA76" i="113"/>
  <c r="CB76" i="113"/>
  <c r="BZ77" i="113"/>
  <c r="CA77" i="113"/>
  <c r="CB77" i="113"/>
  <c r="BZ78" i="113"/>
  <c r="CA78" i="113"/>
  <c r="CB78" i="113"/>
  <c r="BZ79" i="113"/>
  <c r="CA79" i="113"/>
  <c r="CB79" i="113"/>
  <c r="BZ80" i="113"/>
  <c r="CA80" i="113"/>
  <c r="CB80" i="113"/>
  <c r="BZ81" i="113"/>
  <c r="CA81" i="113"/>
  <c r="CB81" i="113"/>
  <c r="BZ82" i="113"/>
  <c r="CA82" i="113"/>
  <c r="CB82" i="113"/>
  <c r="BZ83" i="113"/>
  <c r="CA83" i="113"/>
  <c r="CB83" i="113"/>
  <c r="BZ84" i="113"/>
  <c r="CA84" i="113"/>
  <c r="CB84" i="113"/>
  <c r="BZ85" i="113"/>
  <c r="CA85" i="113"/>
  <c r="CB85" i="113"/>
  <c r="BZ86" i="113"/>
  <c r="CA86" i="113"/>
  <c r="CB86" i="113"/>
  <c r="BZ87" i="113"/>
  <c r="CA87" i="113"/>
  <c r="CB87" i="113"/>
  <c r="BZ88" i="113"/>
  <c r="CA88" i="113"/>
  <c r="CB88" i="113"/>
  <c r="BZ89" i="113"/>
  <c r="CA89" i="113"/>
  <c r="CB89" i="113"/>
  <c r="BZ90" i="113"/>
  <c r="CA90" i="113"/>
  <c r="CB90" i="113"/>
  <c r="BZ91" i="113"/>
  <c r="CA91" i="113"/>
  <c r="CB91" i="113"/>
  <c r="BZ92" i="113"/>
  <c r="CA92" i="113"/>
  <c r="CB92" i="113"/>
  <c r="BZ93" i="113"/>
  <c r="CA93" i="113"/>
  <c r="CB93" i="113"/>
  <c r="BZ94" i="113"/>
  <c r="CA94" i="113"/>
  <c r="CB94" i="113"/>
  <c r="BZ95" i="113"/>
  <c r="CA95" i="113"/>
  <c r="CB95" i="113"/>
  <c r="BZ96" i="113"/>
  <c r="CA96" i="113"/>
  <c r="CB96" i="113"/>
  <c r="BZ97" i="113"/>
  <c r="CA97" i="113"/>
  <c r="CB97" i="113"/>
  <c r="BZ98" i="113"/>
  <c r="CA98" i="113"/>
  <c r="CB98" i="113"/>
  <c r="BZ99" i="113"/>
  <c r="CA99" i="113"/>
  <c r="CB99" i="113"/>
  <c r="BZ100" i="113"/>
  <c r="CA100" i="113"/>
  <c r="CB100" i="113"/>
  <c r="BZ101" i="113"/>
  <c r="CA101" i="113"/>
  <c r="CB101" i="113"/>
  <c r="BZ102" i="113"/>
  <c r="CA102" i="113"/>
  <c r="CB102" i="113"/>
  <c r="BZ103" i="113"/>
  <c r="CA103" i="113"/>
  <c r="CB103" i="113"/>
  <c r="BZ104" i="113"/>
  <c r="CA104" i="113"/>
  <c r="CB104" i="113"/>
  <c r="BZ105" i="113"/>
  <c r="CA105" i="113"/>
  <c r="CB105" i="113"/>
  <c r="BZ106" i="113"/>
  <c r="CA106" i="113"/>
  <c r="CB106" i="113"/>
  <c r="BZ107" i="113"/>
  <c r="CA107" i="113"/>
  <c r="CB107" i="113"/>
  <c r="BZ108" i="113"/>
  <c r="CA108" i="113"/>
  <c r="CB108" i="113"/>
  <c r="BZ109" i="113"/>
  <c r="CA109" i="113"/>
  <c r="CB109" i="113"/>
  <c r="BZ110" i="113"/>
  <c r="CA110" i="113"/>
  <c r="CB110" i="113"/>
  <c r="BZ111" i="113"/>
  <c r="CA111" i="113"/>
  <c r="CB111" i="113"/>
  <c r="BZ112" i="113"/>
  <c r="CA112" i="113"/>
  <c r="CB112" i="113"/>
  <c r="BZ113" i="113"/>
  <c r="CA113" i="113"/>
  <c r="CB113" i="113"/>
  <c r="BZ114" i="113"/>
  <c r="CA114" i="113"/>
  <c r="CB114" i="113"/>
  <c r="BZ115" i="113"/>
  <c r="CA115" i="113"/>
  <c r="CB115" i="113"/>
  <c r="BZ116" i="113"/>
  <c r="CA116" i="113"/>
  <c r="CB116" i="113"/>
  <c r="BZ117" i="113"/>
  <c r="CA117" i="113"/>
  <c r="CB117" i="113"/>
  <c r="BZ118" i="113"/>
  <c r="CA118" i="113"/>
  <c r="CB118" i="113"/>
  <c r="BZ119" i="113"/>
  <c r="CA119" i="113"/>
  <c r="CB119" i="113"/>
  <c r="BZ120" i="113"/>
  <c r="CA120" i="113"/>
  <c r="CB120" i="113"/>
  <c r="BZ121" i="113"/>
  <c r="CA121" i="113"/>
  <c r="CB121" i="113"/>
  <c r="BZ122" i="113"/>
  <c r="CA122" i="113"/>
  <c r="CB122" i="113"/>
  <c r="BZ123" i="113"/>
  <c r="CA123" i="113"/>
  <c r="CB123" i="113"/>
  <c r="BZ124" i="113"/>
  <c r="CA124" i="113"/>
  <c r="CB124" i="113"/>
  <c r="BZ125" i="113"/>
  <c r="CA125" i="113"/>
  <c r="CB125" i="113"/>
  <c r="BZ126" i="113"/>
  <c r="CA126" i="113"/>
  <c r="CB126" i="113"/>
  <c r="BZ127" i="113"/>
  <c r="CA127" i="113"/>
  <c r="CB127" i="113"/>
  <c r="BZ128" i="113"/>
  <c r="CA128" i="113"/>
  <c r="CB128" i="113"/>
  <c r="BZ129" i="113"/>
  <c r="CA129" i="113"/>
  <c r="CB129" i="113"/>
  <c r="BZ130" i="113"/>
  <c r="CA130" i="113"/>
  <c r="CB130" i="113"/>
  <c r="BZ131" i="113"/>
  <c r="CA131" i="113"/>
  <c r="CB131" i="113"/>
  <c r="BZ132" i="113"/>
  <c r="CA132" i="113"/>
  <c r="CB132" i="113"/>
  <c r="BZ133" i="113"/>
  <c r="CA133" i="113"/>
  <c r="CB133" i="113"/>
  <c r="BZ134" i="113"/>
  <c r="CA134" i="113"/>
  <c r="CB134" i="113"/>
  <c r="BZ135" i="113"/>
  <c r="CA135" i="113"/>
  <c r="CB135" i="113"/>
  <c r="BZ136" i="113"/>
  <c r="CA136" i="113"/>
  <c r="CB136" i="113"/>
  <c r="BZ137" i="113"/>
  <c r="CA137" i="113"/>
  <c r="CB137" i="113"/>
  <c r="BZ138" i="113"/>
  <c r="CA138" i="113"/>
  <c r="CB138" i="113"/>
  <c r="BZ139" i="113"/>
  <c r="CA139" i="113"/>
  <c r="CB139" i="113"/>
  <c r="BZ140" i="113"/>
  <c r="CA140" i="113"/>
  <c r="CB140" i="113"/>
  <c r="BZ141" i="113"/>
  <c r="CA141" i="113"/>
  <c r="CB141" i="113"/>
  <c r="BZ142" i="113"/>
  <c r="CA142" i="113"/>
  <c r="CB142" i="113"/>
  <c r="BZ143" i="113"/>
  <c r="CA143" i="113"/>
  <c r="CB143" i="113"/>
  <c r="BZ144" i="113"/>
  <c r="CA144" i="113"/>
  <c r="CB144" i="113"/>
  <c r="BZ145" i="113"/>
  <c r="CA145" i="113"/>
  <c r="CB145" i="113"/>
  <c r="BZ146" i="113"/>
  <c r="CA146" i="113"/>
  <c r="CB146" i="113"/>
  <c r="BZ147" i="113"/>
  <c r="CA147" i="113"/>
  <c r="CB147" i="113"/>
  <c r="BZ148" i="113"/>
  <c r="CA148" i="113"/>
  <c r="CB148" i="113"/>
  <c r="BZ149" i="113"/>
  <c r="CA149" i="113"/>
  <c r="CB149" i="113"/>
  <c r="BZ150" i="113"/>
  <c r="CA150" i="113"/>
  <c r="CB150" i="113"/>
  <c r="BZ151" i="113"/>
  <c r="CA151" i="113"/>
  <c r="CB151" i="113"/>
  <c r="BZ152" i="113"/>
  <c r="CA152" i="113"/>
  <c r="CB152" i="113"/>
  <c r="BZ153" i="113"/>
  <c r="CA153" i="113"/>
  <c r="CB153" i="113"/>
  <c r="BZ154" i="113"/>
  <c r="CA154" i="113"/>
  <c r="CB154" i="113"/>
  <c r="BZ155" i="113"/>
  <c r="CA155" i="113"/>
  <c r="CB155" i="113"/>
  <c r="BZ156" i="113"/>
  <c r="CA156" i="113"/>
  <c r="CB156" i="113"/>
  <c r="BZ157" i="113"/>
  <c r="CA157" i="113"/>
  <c r="CB157" i="113"/>
  <c r="BZ158" i="113"/>
  <c r="CA158" i="113"/>
  <c r="CB158" i="113"/>
  <c r="BZ159" i="113"/>
  <c r="CA159" i="113"/>
  <c r="CB159" i="113"/>
  <c r="BZ160" i="113"/>
  <c r="CA160" i="113"/>
  <c r="CB160" i="113"/>
  <c r="BZ161" i="113"/>
  <c r="CA161" i="113"/>
  <c r="CB161" i="113"/>
  <c r="BZ162" i="113"/>
  <c r="CA162" i="113"/>
  <c r="CB162" i="113"/>
  <c r="BZ163" i="113"/>
  <c r="CA163" i="113"/>
  <c r="CB163" i="113"/>
  <c r="BZ164" i="113"/>
  <c r="CA164" i="113"/>
  <c r="CB164" i="113"/>
  <c r="BZ165" i="113"/>
  <c r="CA165" i="113"/>
  <c r="CB165" i="113"/>
  <c r="BZ166" i="113"/>
  <c r="CA166" i="113"/>
  <c r="CB166" i="113"/>
  <c r="BZ167" i="113"/>
  <c r="CA167" i="113"/>
  <c r="CB167" i="113"/>
  <c r="BZ168" i="113"/>
  <c r="CA168" i="113"/>
  <c r="CB168" i="113"/>
  <c r="BZ169" i="113"/>
  <c r="CA169" i="113"/>
  <c r="CB169" i="113"/>
  <c r="BZ170" i="113"/>
  <c r="CA170" i="113"/>
  <c r="CB170" i="113"/>
  <c r="BZ171" i="113"/>
  <c r="CA171" i="113"/>
  <c r="CB171" i="113"/>
  <c r="BZ172" i="113"/>
  <c r="CA172" i="113"/>
  <c r="CB172" i="113"/>
  <c r="BZ173" i="113"/>
  <c r="CA173" i="113"/>
  <c r="CB173" i="113"/>
  <c r="BZ174" i="113"/>
  <c r="CA174" i="113"/>
  <c r="CB174" i="113"/>
  <c r="BZ175" i="113"/>
  <c r="CA175" i="113"/>
  <c r="CB175" i="113"/>
  <c r="BZ176" i="113"/>
  <c r="CA176" i="113"/>
  <c r="CB176" i="113"/>
  <c r="BZ177" i="113"/>
  <c r="CA177" i="113"/>
  <c r="CB177" i="113"/>
  <c r="BZ178" i="113"/>
  <c r="CA178" i="113"/>
  <c r="CB178" i="113"/>
  <c r="BZ179" i="113"/>
  <c r="CA179" i="113"/>
  <c r="CB179" i="113"/>
  <c r="BZ180" i="113"/>
  <c r="CA180" i="113"/>
  <c r="CB180" i="113"/>
  <c r="BZ181" i="113"/>
  <c r="CA181" i="113"/>
  <c r="CB181" i="113"/>
  <c r="BZ182" i="113"/>
  <c r="CA182" i="113"/>
  <c r="CB182" i="113"/>
  <c r="BZ183" i="113"/>
  <c r="CA183" i="113"/>
  <c r="CB183" i="113"/>
  <c r="BZ184" i="113"/>
  <c r="CA184" i="113"/>
  <c r="CB184" i="113"/>
  <c r="BZ185" i="113"/>
  <c r="CA185" i="113"/>
  <c r="CB185" i="113"/>
  <c r="BZ186" i="113"/>
  <c r="CA186" i="113"/>
  <c r="CB186" i="113"/>
  <c r="BZ187" i="113"/>
  <c r="CA187" i="113"/>
  <c r="CB187" i="113"/>
  <c r="BZ188" i="113"/>
  <c r="CA188" i="113"/>
  <c r="CB188" i="113"/>
  <c r="BZ189" i="113"/>
  <c r="CA189" i="113"/>
  <c r="CB189" i="113"/>
  <c r="BZ190" i="113"/>
  <c r="CA190" i="113"/>
  <c r="CB190" i="113"/>
  <c r="BZ191" i="113"/>
  <c r="CA191" i="113"/>
  <c r="CB191" i="113"/>
  <c r="BZ192" i="113"/>
  <c r="CA192" i="113"/>
  <c r="CB192" i="113"/>
  <c r="BZ193" i="113"/>
  <c r="CA193" i="113"/>
  <c r="CB193" i="113"/>
  <c r="BZ194" i="113"/>
  <c r="CA194" i="113"/>
  <c r="CB194" i="113"/>
  <c r="BZ195" i="113"/>
  <c r="CA195" i="113"/>
  <c r="CB195" i="113"/>
  <c r="BZ196" i="113"/>
  <c r="CA196" i="113"/>
  <c r="CB196" i="113"/>
  <c r="BZ197" i="113"/>
  <c r="CA197" i="113"/>
  <c r="CB197" i="113"/>
  <c r="BZ200" i="113"/>
  <c r="CA200" i="113"/>
  <c r="CB200" i="113"/>
  <c r="BZ198" i="113"/>
  <c r="CA198" i="113"/>
  <c r="CB198" i="113"/>
  <c r="BZ199" i="113"/>
  <c r="CA199" i="113"/>
  <c r="CB199" i="113"/>
  <c r="BW9" i="113"/>
  <c r="BX9" i="113"/>
  <c r="BY9" i="113"/>
  <c r="BW10" i="113"/>
  <c r="BX10" i="113"/>
  <c r="BY10" i="113"/>
  <c r="BW11" i="113"/>
  <c r="BX11" i="113"/>
  <c r="BY11" i="113"/>
  <c r="BW12" i="113"/>
  <c r="BX12" i="113"/>
  <c r="BY12" i="113"/>
  <c r="BW13" i="113"/>
  <c r="BX13" i="113"/>
  <c r="BY13" i="113"/>
  <c r="BW14" i="113"/>
  <c r="BX14" i="113"/>
  <c r="BY14" i="113"/>
  <c r="BW15" i="113"/>
  <c r="BX15" i="113"/>
  <c r="BY15" i="113"/>
  <c r="BW16" i="113"/>
  <c r="BX16" i="113"/>
  <c r="BY16" i="113"/>
  <c r="BW17" i="113"/>
  <c r="BX17" i="113"/>
  <c r="BY17" i="113"/>
  <c r="BW18" i="113"/>
  <c r="BX18" i="113"/>
  <c r="BY18" i="113"/>
  <c r="BW19" i="113"/>
  <c r="BX19" i="113"/>
  <c r="BY19" i="113"/>
  <c r="BW20" i="113"/>
  <c r="BX20" i="113"/>
  <c r="BY20" i="113"/>
  <c r="BW21" i="113"/>
  <c r="BX21" i="113"/>
  <c r="BY21" i="113"/>
  <c r="BW22" i="113"/>
  <c r="BX22" i="113"/>
  <c r="BY22" i="113"/>
  <c r="BW23" i="113"/>
  <c r="BX23" i="113"/>
  <c r="BY23" i="113"/>
  <c r="BW24" i="113"/>
  <c r="BX24" i="113"/>
  <c r="BY24" i="113"/>
  <c r="BW25" i="113"/>
  <c r="BX25" i="113"/>
  <c r="BY25" i="113"/>
  <c r="BW26" i="113"/>
  <c r="BX26" i="113"/>
  <c r="BY26" i="113"/>
  <c r="BW27" i="113"/>
  <c r="BX27" i="113"/>
  <c r="BY27" i="113"/>
  <c r="BW28" i="113"/>
  <c r="BX28" i="113"/>
  <c r="BY28" i="113"/>
  <c r="BW29" i="113"/>
  <c r="BX29" i="113"/>
  <c r="BY29" i="113"/>
  <c r="BW30" i="113"/>
  <c r="BX30" i="113"/>
  <c r="BY30" i="113"/>
  <c r="BW31" i="113"/>
  <c r="BX31" i="113"/>
  <c r="BY31" i="113"/>
  <c r="BW32" i="113"/>
  <c r="BX32" i="113"/>
  <c r="BY32" i="113"/>
  <c r="BW33" i="113"/>
  <c r="BX33" i="113"/>
  <c r="BY33" i="113"/>
  <c r="BW34" i="113"/>
  <c r="BX34" i="113"/>
  <c r="BY34" i="113"/>
  <c r="BW35" i="113"/>
  <c r="BX35" i="113"/>
  <c r="BY35" i="113"/>
  <c r="BW36" i="113"/>
  <c r="BX36" i="113"/>
  <c r="BY36" i="113"/>
  <c r="BW37" i="113"/>
  <c r="BX37" i="113"/>
  <c r="BY37" i="113"/>
  <c r="BW38" i="113"/>
  <c r="BX38" i="113"/>
  <c r="BY38" i="113"/>
  <c r="BW39" i="113"/>
  <c r="BX39" i="113"/>
  <c r="BY39" i="113"/>
  <c r="BW40" i="113"/>
  <c r="BX40" i="113"/>
  <c r="BY40" i="113"/>
  <c r="BW41" i="113"/>
  <c r="BX41" i="113"/>
  <c r="BY41" i="113"/>
  <c r="BW42" i="113"/>
  <c r="BX42" i="113"/>
  <c r="BY42" i="113"/>
  <c r="BW43" i="113"/>
  <c r="BX43" i="113"/>
  <c r="BY43" i="113"/>
  <c r="BW44" i="113"/>
  <c r="BX44" i="113"/>
  <c r="BY44" i="113"/>
  <c r="BW45" i="113"/>
  <c r="BX45" i="113"/>
  <c r="BY45" i="113"/>
  <c r="BW46" i="113"/>
  <c r="BX46" i="113"/>
  <c r="BY46" i="113"/>
  <c r="BW47" i="113"/>
  <c r="BX47" i="113"/>
  <c r="BY47" i="113"/>
  <c r="BW48" i="113"/>
  <c r="BX48" i="113"/>
  <c r="BY48" i="113"/>
  <c r="BW49" i="113"/>
  <c r="BX49" i="113"/>
  <c r="BY49" i="113"/>
  <c r="BW50" i="113"/>
  <c r="BX50" i="113"/>
  <c r="BY50" i="113"/>
  <c r="BW51" i="113"/>
  <c r="BX51" i="113"/>
  <c r="BY51" i="113"/>
  <c r="BW52" i="113"/>
  <c r="BX52" i="113"/>
  <c r="BY52" i="113"/>
  <c r="BW53" i="113"/>
  <c r="BX53" i="113"/>
  <c r="BY53" i="113"/>
  <c r="BW54" i="113"/>
  <c r="BX54" i="113"/>
  <c r="BY54" i="113"/>
  <c r="BW55" i="113"/>
  <c r="BX55" i="113"/>
  <c r="BY55" i="113"/>
  <c r="BW56" i="113"/>
  <c r="BX56" i="113"/>
  <c r="BY56" i="113"/>
  <c r="BW57" i="113"/>
  <c r="BX57" i="113"/>
  <c r="BY57" i="113"/>
  <c r="BW58" i="113"/>
  <c r="BX58" i="113"/>
  <c r="BY58" i="113"/>
  <c r="BW59" i="113"/>
  <c r="BX59" i="113"/>
  <c r="BY59" i="113"/>
  <c r="BW60" i="113"/>
  <c r="BX60" i="113"/>
  <c r="BY60" i="113"/>
  <c r="BW61" i="113"/>
  <c r="BX61" i="113"/>
  <c r="BY61" i="113"/>
  <c r="BW62" i="113"/>
  <c r="BX62" i="113"/>
  <c r="BY62" i="113"/>
  <c r="BW63" i="113"/>
  <c r="BX63" i="113"/>
  <c r="BY63" i="113"/>
  <c r="BW64" i="113"/>
  <c r="BX64" i="113"/>
  <c r="BY64" i="113"/>
  <c r="BW65" i="113"/>
  <c r="BX65" i="113"/>
  <c r="BY65" i="113"/>
  <c r="BW66" i="113"/>
  <c r="BX66" i="113"/>
  <c r="BY66" i="113"/>
  <c r="BW67" i="113"/>
  <c r="BX67" i="113"/>
  <c r="BY67" i="113"/>
  <c r="BW68" i="113"/>
  <c r="BX68" i="113"/>
  <c r="BY68" i="113"/>
  <c r="BW69" i="113"/>
  <c r="BX69" i="113"/>
  <c r="BY69" i="113"/>
  <c r="BW70" i="113"/>
  <c r="BX70" i="113"/>
  <c r="BY70" i="113"/>
  <c r="BW71" i="113"/>
  <c r="BX71" i="113"/>
  <c r="BY71" i="113"/>
  <c r="BW72" i="113"/>
  <c r="BX72" i="113"/>
  <c r="BY72" i="113"/>
  <c r="BW73" i="113"/>
  <c r="BX73" i="113"/>
  <c r="BY73" i="113"/>
  <c r="BW74" i="113"/>
  <c r="BX74" i="113"/>
  <c r="BY74" i="113"/>
  <c r="BW75" i="113"/>
  <c r="BX75" i="113"/>
  <c r="BY75" i="113"/>
  <c r="BW76" i="113"/>
  <c r="BX76" i="113"/>
  <c r="BY76" i="113"/>
  <c r="BW77" i="113"/>
  <c r="BX77" i="113"/>
  <c r="BY77" i="113"/>
  <c r="BW78" i="113"/>
  <c r="BX78" i="113"/>
  <c r="BY78" i="113"/>
  <c r="BW79" i="113"/>
  <c r="BX79" i="113"/>
  <c r="BY79" i="113"/>
  <c r="BW80" i="113"/>
  <c r="BX80" i="113"/>
  <c r="BY80" i="113"/>
  <c r="BW81" i="113"/>
  <c r="BX81" i="113"/>
  <c r="BY81" i="113"/>
  <c r="BW82" i="113"/>
  <c r="BX82" i="113"/>
  <c r="BY82" i="113"/>
  <c r="BW83" i="113"/>
  <c r="BX83" i="113"/>
  <c r="BY83" i="113"/>
  <c r="BW84" i="113"/>
  <c r="BX84" i="113"/>
  <c r="BY84" i="113"/>
  <c r="BW85" i="113"/>
  <c r="BX85" i="113"/>
  <c r="BY85" i="113"/>
  <c r="BW86" i="113"/>
  <c r="BX86" i="113"/>
  <c r="BY86" i="113"/>
  <c r="BW87" i="113"/>
  <c r="BX87" i="113"/>
  <c r="BY87" i="113"/>
  <c r="BW88" i="113"/>
  <c r="BX88" i="113"/>
  <c r="BY88" i="113"/>
  <c r="BW89" i="113"/>
  <c r="BX89" i="113"/>
  <c r="BY89" i="113"/>
  <c r="BW90" i="113"/>
  <c r="BX90" i="113"/>
  <c r="BY90" i="113"/>
  <c r="BW91" i="113"/>
  <c r="BX91" i="113"/>
  <c r="BY91" i="113"/>
  <c r="BW92" i="113"/>
  <c r="BX92" i="113"/>
  <c r="BY92" i="113"/>
  <c r="BW93" i="113"/>
  <c r="BX93" i="113"/>
  <c r="BY93" i="113"/>
  <c r="BW94" i="113"/>
  <c r="BX94" i="113"/>
  <c r="BY94" i="113"/>
  <c r="BW95" i="113"/>
  <c r="BX95" i="113"/>
  <c r="BY95" i="113"/>
  <c r="BW96" i="113"/>
  <c r="BX96" i="113"/>
  <c r="BY96" i="113"/>
  <c r="BW97" i="113"/>
  <c r="BX97" i="113"/>
  <c r="BY97" i="113"/>
  <c r="BW98" i="113"/>
  <c r="BX98" i="113"/>
  <c r="BY98" i="113"/>
  <c r="BW99" i="113"/>
  <c r="BX99" i="113"/>
  <c r="BY99" i="113"/>
  <c r="BW100" i="113"/>
  <c r="BX100" i="113"/>
  <c r="BY100" i="113"/>
  <c r="BW101" i="113"/>
  <c r="BX101" i="113"/>
  <c r="BY101" i="113"/>
  <c r="BW102" i="113"/>
  <c r="BX102" i="113"/>
  <c r="BY102" i="113"/>
  <c r="BW103" i="113"/>
  <c r="BX103" i="113"/>
  <c r="BY103" i="113"/>
  <c r="BW104" i="113"/>
  <c r="BX104" i="113"/>
  <c r="BY104" i="113"/>
  <c r="BW105" i="113"/>
  <c r="BX105" i="113"/>
  <c r="BY105" i="113"/>
  <c r="BW106" i="113"/>
  <c r="BX106" i="113"/>
  <c r="BY106" i="113"/>
  <c r="BW107" i="113"/>
  <c r="BX107" i="113"/>
  <c r="BY107" i="113"/>
  <c r="BW108" i="113"/>
  <c r="BX108" i="113"/>
  <c r="BY108" i="113"/>
  <c r="BW109" i="113"/>
  <c r="BX109" i="113"/>
  <c r="BY109" i="113"/>
  <c r="BW110" i="113"/>
  <c r="BX110" i="113"/>
  <c r="BY110" i="113"/>
  <c r="BW111" i="113"/>
  <c r="BX111" i="113"/>
  <c r="BY111" i="113"/>
  <c r="BW112" i="113"/>
  <c r="BX112" i="113"/>
  <c r="BY112" i="113"/>
  <c r="BW113" i="113"/>
  <c r="BX113" i="113"/>
  <c r="BY113" i="113"/>
  <c r="BW114" i="113"/>
  <c r="BX114" i="113"/>
  <c r="BY114" i="113"/>
  <c r="BW115" i="113"/>
  <c r="BX115" i="113"/>
  <c r="BY115" i="113"/>
  <c r="BW116" i="113"/>
  <c r="BX116" i="113"/>
  <c r="BY116" i="113"/>
  <c r="BW117" i="113"/>
  <c r="BX117" i="113"/>
  <c r="BY117" i="113"/>
  <c r="BW118" i="113"/>
  <c r="BX118" i="113"/>
  <c r="BY118" i="113"/>
  <c r="BW119" i="113"/>
  <c r="BX119" i="113"/>
  <c r="BY119" i="113"/>
  <c r="BW120" i="113"/>
  <c r="BX120" i="113"/>
  <c r="BY120" i="113"/>
  <c r="BW121" i="113"/>
  <c r="BX121" i="113"/>
  <c r="BY121" i="113"/>
  <c r="BW122" i="113"/>
  <c r="BX122" i="113"/>
  <c r="BY122" i="113"/>
  <c r="BW123" i="113"/>
  <c r="BX123" i="113"/>
  <c r="BY123" i="113"/>
  <c r="BW124" i="113"/>
  <c r="BX124" i="113"/>
  <c r="BY124" i="113"/>
  <c r="BW125" i="113"/>
  <c r="BX125" i="113"/>
  <c r="BY125" i="113"/>
  <c r="BW126" i="113"/>
  <c r="BX126" i="113"/>
  <c r="BY126" i="113"/>
  <c r="BW127" i="113"/>
  <c r="BX127" i="113"/>
  <c r="BY127" i="113"/>
  <c r="BW128" i="113"/>
  <c r="BX128" i="113"/>
  <c r="BY128" i="113"/>
  <c r="BW129" i="113"/>
  <c r="BX129" i="113"/>
  <c r="BY129" i="113"/>
  <c r="BW130" i="113"/>
  <c r="BX130" i="113"/>
  <c r="BY130" i="113"/>
  <c r="BW131" i="113"/>
  <c r="BX131" i="113"/>
  <c r="BY131" i="113"/>
  <c r="BW132" i="113"/>
  <c r="BX132" i="113"/>
  <c r="BY132" i="113"/>
  <c r="BW133" i="113"/>
  <c r="BX133" i="113"/>
  <c r="BY133" i="113"/>
  <c r="BW134" i="113"/>
  <c r="BX134" i="113"/>
  <c r="BY134" i="113"/>
  <c r="BW135" i="113"/>
  <c r="BX135" i="113"/>
  <c r="BY135" i="113"/>
  <c r="BW136" i="113"/>
  <c r="BX136" i="113"/>
  <c r="BY136" i="113"/>
  <c r="BW137" i="113"/>
  <c r="BX137" i="113"/>
  <c r="BY137" i="113"/>
  <c r="BW138" i="113"/>
  <c r="BX138" i="113"/>
  <c r="BY138" i="113"/>
  <c r="BW139" i="113"/>
  <c r="BX139" i="113"/>
  <c r="BY139" i="113"/>
  <c r="BW140" i="113"/>
  <c r="BX140" i="113"/>
  <c r="BY140" i="113"/>
  <c r="BW141" i="113"/>
  <c r="BX141" i="113"/>
  <c r="BY141" i="113"/>
  <c r="BW142" i="113"/>
  <c r="BX142" i="113"/>
  <c r="BY142" i="113"/>
  <c r="BW143" i="113"/>
  <c r="BX143" i="113"/>
  <c r="BY143" i="113"/>
  <c r="BW144" i="113"/>
  <c r="BX144" i="113"/>
  <c r="BY144" i="113"/>
  <c r="BW145" i="113"/>
  <c r="BX145" i="113"/>
  <c r="BY145" i="113"/>
  <c r="BW146" i="113"/>
  <c r="BX146" i="113"/>
  <c r="BY146" i="113"/>
  <c r="BW147" i="113"/>
  <c r="BX147" i="113"/>
  <c r="BY147" i="113"/>
  <c r="BW148" i="113"/>
  <c r="BX148" i="113"/>
  <c r="BY148" i="113"/>
  <c r="BW149" i="113"/>
  <c r="BX149" i="113"/>
  <c r="BY149" i="113"/>
  <c r="BW150" i="113"/>
  <c r="BX150" i="113"/>
  <c r="BY150" i="113"/>
  <c r="BW151" i="113"/>
  <c r="BX151" i="113"/>
  <c r="BY151" i="113"/>
  <c r="BW152" i="113"/>
  <c r="BX152" i="113"/>
  <c r="BY152" i="113"/>
  <c r="BW153" i="113"/>
  <c r="BX153" i="113"/>
  <c r="BY153" i="113"/>
  <c r="BW154" i="113"/>
  <c r="BX154" i="113"/>
  <c r="BY154" i="113"/>
  <c r="BW155" i="113"/>
  <c r="BX155" i="113"/>
  <c r="BY155" i="113"/>
  <c r="BW156" i="113"/>
  <c r="BX156" i="113"/>
  <c r="BY156" i="113"/>
  <c r="BW157" i="113"/>
  <c r="BX157" i="113"/>
  <c r="BY157" i="113"/>
  <c r="BW158" i="113"/>
  <c r="BX158" i="113"/>
  <c r="BY158" i="113"/>
  <c r="BW159" i="113"/>
  <c r="BX159" i="113"/>
  <c r="BY159" i="113"/>
  <c r="BW160" i="113"/>
  <c r="BX160" i="113"/>
  <c r="BY160" i="113"/>
  <c r="BW161" i="113"/>
  <c r="BX161" i="113"/>
  <c r="BY161" i="113"/>
  <c r="BW162" i="113"/>
  <c r="BX162" i="113"/>
  <c r="BY162" i="113"/>
  <c r="BW163" i="113"/>
  <c r="BX163" i="113"/>
  <c r="BY163" i="113"/>
  <c r="BW164" i="113"/>
  <c r="BX164" i="113"/>
  <c r="BY164" i="113"/>
  <c r="BW165" i="113"/>
  <c r="BX165" i="113"/>
  <c r="BY165" i="113"/>
  <c r="BW166" i="113"/>
  <c r="BX166" i="113"/>
  <c r="BY166" i="113"/>
  <c r="BW167" i="113"/>
  <c r="BX167" i="113"/>
  <c r="BY167" i="113"/>
  <c r="BW168" i="113"/>
  <c r="BX168" i="113"/>
  <c r="BY168" i="113"/>
  <c r="BW169" i="113"/>
  <c r="BX169" i="113"/>
  <c r="BY169" i="113"/>
  <c r="BW170" i="113"/>
  <c r="BX170" i="113"/>
  <c r="BY170" i="113"/>
  <c r="BW171" i="113"/>
  <c r="BX171" i="113"/>
  <c r="BY171" i="113"/>
  <c r="BW172" i="113"/>
  <c r="BX172" i="113"/>
  <c r="BY172" i="113"/>
  <c r="BW173" i="113"/>
  <c r="BX173" i="113"/>
  <c r="BY173" i="113"/>
  <c r="BW174" i="113"/>
  <c r="BX174" i="113"/>
  <c r="BY174" i="113"/>
  <c r="BW175" i="113"/>
  <c r="BX175" i="113"/>
  <c r="BY175" i="113"/>
  <c r="BW176" i="113"/>
  <c r="BX176" i="113"/>
  <c r="BY176" i="113"/>
  <c r="BW177" i="113"/>
  <c r="BX177" i="113"/>
  <c r="BY177" i="113"/>
  <c r="BW178" i="113"/>
  <c r="BX178" i="113"/>
  <c r="BY178" i="113"/>
  <c r="BW179" i="113"/>
  <c r="BX179" i="113"/>
  <c r="BY179" i="113"/>
  <c r="BW180" i="113"/>
  <c r="BX180" i="113"/>
  <c r="BY180" i="113"/>
  <c r="BW181" i="113"/>
  <c r="BX181" i="113"/>
  <c r="BY181" i="113"/>
  <c r="BW182" i="113"/>
  <c r="BX182" i="113"/>
  <c r="BY182" i="113"/>
  <c r="BW183" i="113"/>
  <c r="BX183" i="113"/>
  <c r="BY183" i="113"/>
  <c r="BW184" i="113"/>
  <c r="BX184" i="113"/>
  <c r="BY184" i="113"/>
  <c r="BW185" i="113"/>
  <c r="BX185" i="113"/>
  <c r="BY185" i="113"/>
  <c r="BW186" i="113"/>
  <c r="BX186" i="113"/>
  <c r="BY186" i="113"/>
  <c r="BW187" i="113"/>
  <c r="BX187" i="113"/>
  <c r="BY187" i="113"/>
  <c r="BW188" i="113"/>
  <c r="BX188" i="113"/>
  <c r="BY188" i="113"/>
  <c r="BW189" i="113"/>
  <c r="BX189" i="113"/>
  <c r="BY189" i="113"/>
  <c r="BW190" i="113"/>
  <c r="BX190" i="113"/>
  <c r="BY190" i="113"/>
  <c r="BW191" i="113"/>
  <c r="BX191" i="113"/>
  <c r="BY191" i="113"/>
  <c r="BW192" i="113"/>
  <c r="BX192" i="113"/>
  <c r="BY192" i="113"/>
  <c r="BW193" i="113"/>
  <c r="BX193" i="113"/>
  <c r="BY193" i="113"/>
  <c r="BW194" i="113"/>
  <c r="BX194" i="113"/>
  <c r="BY194" i="113"/>
  <c r="BW195" i="113"/>
  <c r="BX195" i="113"/>
  <c r="BY195" i="113"/>
  <c r="BW196" i="113"/>
  <c r="BX196" i="113"/>
  <c r="BY196" i="113"/>
  <c r="BW197" i="113"/>
  <c r="BX197" i="113"/>
  <c r="BY197" i="113"/>
  <c r="BU200" i="113"/>
  <c r="BV200" i="113"/>
  <c r="BW200" i="113"/>
  <c r="BX200" i="113"/>
  <c r="BY200" i="113"/>
  <c r="BW198" i="113"/>
  <c r="BX198" i="113"/>
  <c r="BY198" i="113"/>
  <c r="BW199" i="113"/>
  <c r="BX199" i="113"/>
  <c r="BY199" i="113"/>
  <c r="BS9" i="113"/>
  <c r="BS10" i="113"/>
  <c r="BS11" i="113"/>
  <c r="BS12" i="113"/>
  <c r="BS13" i="113"/>
  <c r="BS14" i="113"/>
  <c r="BS15" i="113"/>
  <c r="BS16" i="113"/>
  <c r="BS17" i="113"/>
  <c r="BS18" i="113"/>
  <c r="BS19" i="113"/>
  <c r="BS20" i="113"/>
  <c r="BS21" i="113"/>
  <c r="BS22" i="113"/>
  <c r="BS23" i="113"/>
  <c r="BS24" i="113"/>
  <c r="BS25" i="113"/>
  <c r="BS26" i="113"/>
  <c r="BS27" i="113"/>
  <c r="BS28" i="113"/>
  <c r="BS29" i="113"/>
  <c r="BS30" i="113"/>
  <c r="BS31" i="113"/>
  <c r="BS32" i="113"/>
  <c r="BS33" i="113"/>
  <c r="BS34" i="113"/>
  <c r="BS35" i="113"/>
  <c r="BS36" i="113"/>
  <c r="BS37" i="113"/>
  <c r="BS38" i="113"/>
  <c r="BS39" i="113"/>
  <c r="BS40" i="113"/>
  <c r="BS41" i="113"/>
  <c r="BS42" i="113"/>
  <c r="BS43" i="113"/>
  <c r="BS44" i="113"/>
  <c r="BS45" i="113"/>
  <c r="BS46" i="113"/>
  <c r="BS47" i="113"/>
  <c r="BS48" i="113"/>
  <c r="BS49" i="113"/>
  <c r="BS50" i="113"/>
  <c r="BS51" i="113"/>
  <c r="BS52" i="113"/>
  <c r="BS53" i="113"/>
  <c r="BS54" i="113"/>
  <c r="BS55" i="113"/>
  <c r="BS56" i="113"/>
  <c r="BS57" i="113"/>
  <c r="BS58" i="113"/>
  <c r="BS59" i="113"/>
  <c r="BS60" i="113"/>
  <c r="BS61" i="113"/>
  <c r="BS62" i="113"/>
  <c r="BS63" i="113"/>
  <c r="BS64" i="113"/>
  <c r="BS65" i="113"/>
  <c r="BS66" i="113"/>
  <c r="BS67" i="113"/>
  <c r="BS68" i="113"/>
  <c r="BS69" i="113"/>
  <c r="BS70" i="113"/>
  <c r="BS71" i="113"/>
  <c r="BS72" i="113"/>
  <c r="BS73" i="113"/>
  <c r="BS74" i="113"/>
  <c r="BS75" i="113"/>
  <c r="BS76" i="113"/>
  <c r="BS77" i="113"/>
  <c r="BS78" i="113"/>
  <c r="BS79" i="113"/>
  <c r="BS80" i="113"/>
  <c r="BS81" i="113"/>
  <c r="BS82" i="113"/>
  <c r="BS83" i="113"/>
  <c r="BS84" i="113"/>
  <c r="BS85" i="113"/>
  <c r="BS86" i="113"/>
  <c r="BS87" i="113"/>
  <c r="BS88" i="113"/>
  <c r="BS89" i="113"/>
  <c r="BS90" i="113"/>
  <c r="BS91" i="113"/>
  <c r="BS92" i="113"/>
  <c r="BS93" i="113"/>
  <c r="BS94" i="113"/>
  <c r="BS95" i="113"/>
  <c r="BS96" i="113"/>
  <c r="BS97" i="113"/>
  <c r="BS98" i="113"/>
  <c r="BS99" i="113"/>
  <c r="BS100" i="113"/>
  <c r="BS101" i="113"/>
  <c r="BS102" i="113"/>
  <c r="BS103" i="113"/>
  <c r="BS104" i="113"/>
  <c r="BS105" i="113"/>
  <c r="BS106" i="113"/>
  <c r="BS107" i="113"/>
  <c r="BS108" i="113"/>
  <c r="BS109" i="113"/>
  <c r="BS110" i="113"/>
  <c r="BS111" i="113"/>
  <c r="BS112" i="113"/>
  <c r="BS113" i="113"/>
  <c r="BS114" i="113"/>
  <c r="BS115" i="113"/>
  <c r="BS116" i="113"/>
  <c r="BS117" i="113"/>
  <c r="BS118" i="113"/>
  <c r="BS119" i="113"/>
  <c r="BS120" i="113"/>
  <c r="BS121" i="113"/>
  <c r="BS122" i="113"/>
  <c r="BS123" i="113"/>
  <c r="BS124" i="113"/>
  <c r="BS125" i="113"/>
  <c r="BS126" i="113"/>
  <c r="BS127" i="113"/>
  <c r="BS128" i="113"/>
  <c r="BS129" i="113"/>
  <c r="BS130" i="113"/>
  <c r="BS131" i="113"/>
  <c r="BS132" i="113"/>
  <c r="BS133" i="113"/>
  <c r="BS134" i="113"/>
  <c r="BS135" i="113"/>
  <c r="BS136" i="113"/>
  <c r="BS137" i="113"/>
  <c r="BS138" i="113"/>
  <c r="BS139" i="113"/>
  <c r="BS140" i="113"/>
  <c r="BS141" i="113"/>
  <c r="BS142" i="113"/>
  <c r="BS143" i="113"/>
  <c r="BS144" i="113"/>
  <c r="BS145" i="113"/>
  <c r="BS146" i="113"/>
  <c r="BS147" i="113"/>
  <c r="BS148" i="113"/>
  <c r="BS149" i="113"/>
  <c r="BS150" i="113"/>
  <c r="BS151" i="113"/>
  <c r="BS152" i="113"/>
  <c r="BS153" i="113"/>
  <c r="BS154" i="113"/>
  <c r="BS155" i="113"/>
  <c r="BS156" i="113"/>
  <c r="BS157" i="113"/>
  <c r="BS158" i="113"/>
  <c r="BS159" i="113"/>
  <c r="BS160" i="113"/>
  <c r="BS161" i="113"/>
  <c r="BS162" i="113"/>
  <c r="BS163" i="113"/>
  <c r="BS164" i="113"/>
  <c r="BS165" i="113"/>
  <c r="BS166" i="113"/>
  <c r="BS167" i="113"/>
  <c r="BS168" i="113"/>
  <c r="BS169" i="113"/>
  <c r="BS170" i="113"/>
  <c r="BS171" i="113"/>
  <c r="BS172" i="113"/>
  <c r="BS173" i="113"/>
  <c r="BS174" i="113"/>
  <c r="BS175" i="113"/>
  <c r="BS176" i="113"/>
  <c r="BS177" i="113"/>
  <c r="BS178" i="113"/>
  <c r="BS179" i="113"/>
  <c r="BS180" i="113"/>
  <c r="BS181" i="113"/>
  <c r="BS182" i="113"/>
  <c r="BS183" i="113"/>
  <c r="BS184" i="113"/>
  <c r="BS185" i="113"/>
  <c r="BS186" i="113"/>
  <c r="BS187" i="113"/>
  <c r="BS188" i="113"/>
  <c r="BS189" i="113"/>
  <c r="BS190" i="113"/>
  <c r="BS191" i="113"/>
  <c r="BS192" i="113"/>
  <c r="BS193" i="113"/>
  <c r="BS194" i="113"/>
  <c r="BS195" i="113"/>
  <c r="BS196" i="113"/>
  <c r="BS197" i="113"/>
  <c r="BS200" i="113"/>
  <c r="BS198" i="113"/>
  <c r="BS199" i="113"/>
  <c r="BP10" i="113"/>
  <c r="BP16" i="113"/>
  <c r="BP18" i="113"/>
  <c r="BP24" i="113"/>
  <c r="BP26" i="113"/>
  <c r="BP30" i="113"/>
  <c r="BP32" i="113"/>
  <c r="BP34" i="113"/>
  <c r="BP38" i="113"/>
  <c r="BP40" i="113"/>
  <c r="BP42" i="113"/>
  <c r="BP46" i="113"/>
  <c r="BP48" i="113"/>
  <c r="BP50" i="113"/>
  <c r="BP54" i="113"/>
  <c r="BP56" i="113"/>
  <c r="BP58" i="113"/>
  <c r="BP62" i="113"/>
  <c r="BP64" i="113"/>
  <c r="BP65" i="113"/>
  <c r="BP66" i="113"/>
  <c r="BP70" i="113"/>
  <c r="BP72" i="113"/>
  <c r="BP73" i="113"/>
  <c r="BP78" i="113"/>
  <c r="BP80" i="113"/>
  <c r="BP81" i="113"/>
  <c r="BP82" i="113"/>
  <c r="BP83" i="113"/>
  <c r="BP86" i="113"/>
  <c r="BP88" i="113"/>
  <c r="BP90" i="113"/>
  <c r="BP91" i="113"/>
  <c r="BP93" i="113"/>
  <c r="BP94" i="113"/>
  <c r="BP96" i="113"/>
  <c r="BP97" i="113"/>
  <c r="BP98" i="113"/>
  <c r="BP99" i="113"/>
  <c r="BP100" i="113"/>
  <c r="BP101" i="113"/>
  <c r="BP102" i="113"/>
  <c r="BP103" i="113"/>
  <c r="BP104" i="113"/>
  <c r="BP105" i="113"/>
  <c r="BP106" i="113"/>
  <c r="BP107" i="113"/>
  <c r="BP108" i="113"/>
  <c r="BP109" i="113"/>
  <c r="BP111" i="113"/>
  <c r="BP112" i="113"/>
  <c r="BP113" i="113"/>
  <c r="BP114" i="113"/>
  <c r="BP115" i="113"/>
  <c r="BP116" i="113"/>
  <c r="BP117" i="113"/>
  <c r="BP118" i="113"/>
  <c r="BP119" i="113"/>
  <c r="BP120" i="113"/>
  <c r="BP121" i="113"/>
  <c r="BP122" i="113"/>
  <c r="BP123" i="113"/>
  <c r="BP124" i="113"/>
  <c r="BP125" i="113"/>
  <c r="BP126" i="113"/>
  <c r="BP127" i="113"/>
  <c r="BP128" i="113"/>
  <c r="BP129" i="113"/>
  <c r="BP130" i="113"/>
  <c r="BP131" i="113"/>
  <c r="BP132" i="113"/>
  <c r="BP133" i="113"/>
  <c r="BP134" i="113"/>
  <c r="BP135" i="113"/>
  <c r="BP136" i="113"/>
  <c r="BP137" i="113"/>
  <c r="BP138" i="113"/>
  <c r="BP139" i="113"/>
  <c r="BP140" i="113"/>
  <c r="BP141" i="113"/>
  <c r="BP142" i="113"/>
  <c r="BP143" i="113"/>
  <c r="BP144" i="113"/>
  <c r="BP145" i="113"/>
  <c r="BP146" i="113"/>
  <c r="BP147" i="113"/>
  <c r="BP149" i="113"/>
  <c r="BP150" i="113"/>
  <c r="BP151" i="113"/>
  <c r="BP152" i="113"/>
  <c r="BP153" i="113"/>
  <c r="BP154" i="113"/>
  <c r="BP155" i="113"/>
  <c r="BP156" i="113"/>
  <c r="BP157" i="113"/>
  <c r="BP159" i="113"/>
  <c r="BP160" i="113"/>
  <c r="BP161" i="113"/>
  <c r="BP162" i="113"/>
  <c r="BP163" i="113"/>
  <c r="BP164" i="113"/>
  <c r="BP166" i="113"/>
  <c r="BP167" i="113"/>
  <c r="BP168" i="113"/>
  <c r="BP169" i="113"/>
  <c r="BP170" i="113"/>
  <c r="BP171" i="113"/>
  <c r="BP172" i="113"/>
  <c r="BP173" i="113"/>
  <c r="BP174" i="113"/>
  <c r="BP175" i="113"/>
  <c r="BP176" i="113"/>
  <c r="BP177" i="113"/>
  <c r="BP179" i="113"/>
  <c r="BP180" i="113"/>
  <c r="BP181" i="113"/>
  <c r="BP182" i="113"/>
  <c r="BP183" i="113"/>
  <c r="BP184" i="113"/>
  <c r="BP185" i="113"/>
  <c r="BP186" i="113"/>
  <c r="BP187" i="113"/>
  <c r="BP189" i="113"/>
  <c r="BP191" i="113"/>
  <c r="BP192" i="113"/>
  <c r="BP193" i="113"/>
  <c r="BP196" i="113"/>
  <c r="BP197" i="113"/>
  <c r="BP200" i="113"/>
  <c r="BP198" i="113"/>
  <c r="BP199" i="113"/>
  <c r="BL9" i="113"/>
  <c r="BL10" i="113"/>
  <c r="BL11" i="113"/>
  <c r="BL12" i="113"/>
  <c r="BL13" i="113"/>
  <c r="BL14" i="113"/>
  <c r="BL15" i="113"/>
  <c r="BL16" i="113"/>
  <c r="BL17" i="113"/>
  <c r="BL18" i="113"/>
  <c r="BL19" i="113"/>
  <c r="BL20" i="113"/>
  <c r="BL21" i="113"/>
  <c r="BL22" i="113"/>
  <c r="BL23" i="113"/>
  <c r="BL24" i="113"/>
  <c r="BL25" i="113"/>
  <c r="BL26" i="113"/>
  <c r="BL27" i="113"/>
  <c r="BL28" i="113"/>
  <c r="BL29" i="113"/>
  <c r="BL30" i="113"/>
  <c r="BL31" i="113"/>
  <c r="BL32" i="113"/>
  <c r="BL33" i="113"/>
  <c r="BL34" i="113"/>
  <c r="BL35" i="113"/>
  <c r="BL36" i="113"/>
  <c r="BL37" i="113"/>
  <c r="BL38" i="113"/>
  <c r="BL39" i="113"/>
  <c r="BL40" i="113"/>
  <c r="BL41" i="113"/>
  <c r="BL42" i="113"/>
  <c r="BL43" i="113"/>
  <c r="BL44" i="113"/>
  <c r="BL45" i="113"/>
  <c r="BL46" i="113"/>
  <c r="BL47" i="113"/>
  <c r="BL48" i="113"/>
  <c r="BL49" i="113"/>
  <c r="BL50" i="113"/>
  <c r="BL51" i="113"/>
  <c r="BL52" i="113"/>
  <c r="BL53" i="113"/>
  <c r="BL54" i="113"/>
  <c r="BL55" i="113"/>
  <c r="BL56" i="113"/>
  <c r="BL57" i="113"/>
  <c r="BL58" i="113"/>
  <c r="BL59" i="113"/>
  <c r="BL60" i="113"/>
  <c r="BL61" i="113"/>
  <c r="BL62" i="113"/>
  <c r="BL63" i="113"/>
  <c r="BL64" i="113"/>
  <c r="BL65" i="113"/>
  <c r="BL66" i="113"/>
  <c r="BL67" i="113"/>
  <c r="BL68" i="113"/>
  <c r="BL69" i="113"/>
  <c r="BL70" i="113"/>
  <c r="BL71" i="113"/>
  <c r="BL72" i="113"/>
  <c r="BL73" i="113"/>
  <c r="BL75" i="113"/>
  <c r="BL76" i="113"/>
  <c r="BL77" i="113"/>
  <c r="BL78" i="113"/>
  <c r="BL79" i="113"/>
  <c r="BL80" i="113"/>
  <c r="BL81" i="113"/>
  <c r="BL82" i="113"/>
  <c r="BL83" i="113"/>
  <c r="BL84" i="113"/>
  <c r="BL85" i="113"/>
  <c r="BL86" i="113"/>
  <c r="BL87" i="113"/>
  <c r="BL88" i="113"/>
  <c r="BL90" i="113"/>
  <c r="BL91" i="113"/>
  <c r="BL92" i="113"/>
  <c r="BL93" i="113"/>
  <c r="BL94" i="113"/>
  <c r="BL95" i="113"/>
  <c r="BL96" i="113"/>
  <c r="BL97" i="113"/>
  <c r="BL98" i="113"/>
  <c r="BL99" i="113"/>
  <c r="BL100" i="113"/>
  <c r="BL101" i="113"/>
  <c r="BL102" i="113"/>
  <c r="BL103" i="113"/>
  <c r="BL104" i="113"/>
  <c r="BL105" i="113"/>
  <c r="BL106" i="113"/>
  <c r="BL107" i="113"/>
  <c r="BL108" i="113"/>
  <c r="BL109" i="113"/>
  <c r="BL111" i="113"/>
  <c r="BL112" i="113"/>
  <c r="BL113" i="113"/>
  <c r="BL114" i="113"/>
  <c r="BL115" i="113"/>
  <c r="BL116" i="113"/>
  <c r="BL117" i="113"/>
  <c r="BL118" i="113"/>
  <c r="BL119" i="113"/>
  <c r="BL120" i="113"/>
  <c r="BL121" i="113"/>
  <c r="BL122" i="113"/>
  <c r="BL123" i="113"/>
  <c r="BL124" i="113"/>
  <c r="BL125" i="113"/>
  <c r="BL126" i="113"/>
  <c r="BL127" i="113"/>
  <c r="BL128" i="113"/>
  <c r="BL129" i="113"/>
  <c r="BL130" i="113"/>
  <c r="BL131" i="113"/>
  <c r="BL132" i="113"/>
  <c r="BL133" i="113"/>
  <c r="BL134" i="113"/>
  <c r="BL135" i="113"/>
  <c r="BL136" i="113"/>
  <c r="BL137" i="113"/>
  <c r="BL138" i="113"/>
  <c r="BL139" i="113"/>
  <c r="BL140" i="113"/>
  <c r="BL141" i="113"/>
  <c r="BL142" i="113"/>
  <c r="BL143" i="113"/>
  <c r="BL144" i="113"/>
  <c r="BL145" i="113"/>
  <c r="BL146" i="113"/>
  <c r="BL147" i="113"/>
  <c r="BL149" i="113"/>
  <c r="BL150" i="113"/>
  <c r="BL151" i="113"/>
  <c r="BL152" i="113"/>
  <c r="BL153" i="113"/>
  <c r="BL154" i="113"/>
  <c r="BL155" i="113"/>
  <c r="BL156" i="113"/>
  <c r="BL157" i="113"/>
  <c r="BL159" i="113"/>
  <c r="BL160" i="113"/>
  <c r="BL161" i="113"/>
  <c r="BL162" i="113"/>
  <c r="BL163" i="113"/>
  <c r="BL164" i="113"/>
  <c r="BL166" i="113"/>
  <c r="BL167" i="113"/>
  <c r="BL168" i="113"/>
  <c r="BL169" i="113"/>
  <c r="BL170" i="113"/>
  <c r="BL171" i="113"/>
  <c r="BL172" i="113"/>
  <c r="BL173" i="113"/>
  <c r="BL174" i="113"/>
  <c r="BL175" i="113"/>
  <c r="BL176" i="113"/>
  <c r="BL177" i="113"/>
  <c r="BL179" i="113"/>
  <c r="BL180" i="113"/>
  <c r="BL181" i="113"/>
  <c r="BL182" i="113"/>
  <c r="BL183" i="113"/>
  <c r="BL184" i="113"/>
  <c r="BL185" i="113"/>
  <c r="BL186" i="113"/>
  <c r="BL187" i="113"/>
  <c r="BL189" i="113"/>
  <c r="BL191" i="113"/>
  <c r="BL192" i="113"/>
  <c r="BL193" i="113"/>
  <c r="BL196" i="113"/>
  <c r="BL197" i="113"/>
  <c r="BL200" i="113"/>
  <c r="BL198" i="113"/>
  <c r="BL199" i="113"/>
  <c r="BH9" i="113"/>
  <c r="BH10" i="113"/>
  <c r="BH11" i="113"/>
  <c r="BH12" i="113"/>
  <c r="BH13" i="113"/>
  <c r="BH14" i="113"/>
  <c r="BH15" i="113"/>
  <c r="BH16" i="113"/>
  <c r="BH17" i="113"/>
  <c r="BH18" i="113"/>
  <c r="BH19" i="113"/>
  <c r="BH20" i="113"/>
  <c r="BH21" i="113"/>
  <c r="BH22" i="113"/>
  <c r="BH23" i="113"/>
  <c r="BH24" i="113"/>
  <c r="BH25" i="113"/>
  <c r="BH26" i="113"/>
  <c r="BH27" i="113"/>
  <c r="BH28" i="113"/>
  <c r="BH29" i="113"/>
  <c r="BH30" i="113"/>
  <c r="BH31" i="113"/>
  <c r="BH32" i="113"/>
  <c r="BH33" i="113"/>
  <c r="BH34" i="113"/>
  <c r="BH35" i="113"/>
  <c r="BH36" i="113"/>
  <c r="BH37" i="113"/>
  <c r="BH38" i="113"/>
  <c r="BH39" i="113"/>
  <c r="BH40" i="113"/>
  <c r="BH41" i="113"/>
  <c r="BH42" i="113"/>
  <c r="BH43" i="113"/>
  <c r="BH44" i="113"/>
  <c r="BH45" i="113"/>
  <c r="BH46" i="113"/>
  <c r="BH47" i="113"/>
  <c r="BH48" i="113"/>
  <c r="BH49" i="113"/>
  <c r="BH50" i="113"/>
  <c r="BH51" i="113"/>
  <c r="BH52" i="113"/>
  <c r="BH53" i="113"/>
  <c r="BH54" i="113"/>
  <c r="BH55" i="113"/>
  <c r="BH56" i="113"/>
  <c r="BH57" i="113"/>
  <c r="BH58" i="113"/>
  <c r="BH59" i="113"/>
  <c r="BH60" i="113"/>
  <c r="BH61" i="113"/>
  <c r="BH62" i="113"/>
  <c r="BH63" i="113"/>
  <c r="BH64" i="113"/>
  <c r="BH65" i="113"/>
  <c r="BH66" i="113"/>
  <c r="BH67" i="113"/>
  <c r="BH68" i="113"/>
  <c r="BH69" i="113"/>
  <c r="BH70" i="113"/>
  <c r="BH71" i="113"/>
  <c r="BH72" i="113"/>
  <c r="BH73" i="113"/>
  <c r="BH75" i="113"/>
  <c r="BH76" i="113"/>
  <c r="BH77" i="113"/>
  <c r="BH78" i="113"/>
  <c r="BH79" i="113"/>
  <c r="BH80" i="113"/>
  <c r="BH81" i="113"/>
  <c r="BH82" i="113"/>
  <c r="BH83" i="113"/>
  <c r="BH84" i="113"/>
  <c r="BH85" i="113"/>
  <c r="BH86" i="113"/>
  <c r="BH87" i="113"/>
  <c r="BH88" i="113"/>
  <c r="BH90" i="113"/>
  <c r="BH91" i="113"/>
  <c r="BH92" i="113"/>
  <c r="BH93" i="113"/>
  <c r="BH94" i="113"/>
  <c r="BH95" i="113"/>
  <c r="BH96" i="113"/>
  <c r="BH97" i="113"/>
  <c r="BH98" i="113"/>
  <c r="BH99" i="113"/>
  <c r="BH100" i="113"/>
  <c r="BH101" i="113"/>
  <c r="BH102" i="113"/>
  <c r="BH103" i="113"/>
  <c r="BH104" i="113"/>
  <c r="BH105" i="113"/>
  <c r="BH106" i="113"/>
  <c r="BH107" i="113"/>
  <c r="BH108" i="113"/>
  <c r="BH109" i="113"/>
  <c r="BH111" i="113"/>
  <c r="BH112" i="113"/>
  <c r="BH113" i="113"/>
  <c r="BH114" i="113"/>
  <c r="BH115" i="113"/>
  <c r="BH116" i="113"/>
  <c r="BH117" i="113"/>
  <c r="BH118" i="113"/>
  <c r="BH119" i="113"/>
  <c r="BH120" i="113"/>
  <c r="BH121" i="113"/>
  <c r="BH122" i="113"/>
  <c r="BH123" i="113"/>
  <c r="BH124" i="113"/>
  <c r="BH125" i="113"/>
  <c r="BH126" i="113"/>
  <c r="BH127" i="113"/>
  <c r="BH128" i="113"/>
  <c r="BH129" i="113"/>
  <c r="BH130" i="113"/>
  <c r="BH131" i="113"/>
  <c r="BH132" i="113"/>
  <c r="BH133" i="113"/>
  <c r="BH134" i="113"/>
  <c r="BH135" i="113"/>
  <c r="BH136" i="113"/>
  <c r="BH137" i="113"/>
  <c r="BH138" i="113"/>
  <c r="BH139" i="113"/>
  <c r="BH140" i="113"/>
  <c r="BH141" i="113"/>
  <c r="BH142" i="113"/>
  <c r="BH143" i="113"/>
  <c r="BH144" i="113"/>
  <c r="BH145" i="113"/>
  <c r="BH146" i="113"/>
  <c r="BH147" i="113"/>
  <c r="BH149" i="113"/>
  <c r="BH150" i="113"/>
  <c r="BH151" i="113"/>
  <c r="BH152" i="113"/>
  <c r="BH153" i="113"/>
  <c r="BH154" i="113"/>
  <c r="BH155" i="113"/>
  <c r="BH156" i="113"/>
  <c r="BH157" i="113"/>
  <c r="BH159" i="113"/>
  <c r="BH160" i="113"/>
  <c r="BH161" i="113"/>
  <c r="BH162" i="113"/>
  <c r="BH163" i="113"/>
  <c r="BH164" i="113"/>
  <c r="BH166" i="113"/>
  <c r="BH167" i="113"/>
  <c r="BH168" i="113"/>
  <c r="BH169" i="113"/>
  <c r="BH170" i="113"/>
  <c r="BH171" i="113"/>
  <c r="BH172" i="113"/>
  <c r="BH173" i="113"/>
  <c r="BH174" i="113"/>
  <c r="BH175" i="113"/>
  <c r="BH176" i="113"/>
  <c r="BH177" i="113"/>
  <c r="BH179" i="113"/>
  <c r="BH180" i="113"/>
  <c r="BH181" i="113"/>
  <c r="BH182" i="113"/>
  <c r="BH183" i="113"/>
  <c r="BH184" i="113"/>
  <c r="BH185" i="113"/>
  <c r="BH186" i="113"/>
  <c r="BH187" i="113"/>
  <c r="BH189" i="113"/>
  <c r="BH191" i="113"/>
  <c r="BH192" i="113"/>
  <c r="BH193" i="113"/>
  <c r="BH196" i="113"/>
  <c r="BH197" i="113"/>
  <c r="BH200" i="113"/>
  <c r="BH198" i="113"/>
  <c r="BH199" i="113"/>
  <c r="BD9" i="113"/>
  <c r="BD10" i="113"/>
  <c r="BD11" i="113"/>
  <c r="BD12" i="113"/>
  <c r="BD13" i="113"/>
  <c r="BD14" i="113"/>
  <c r="BD15" i="113"/>
  <c r="BD16" i="113"/>
  <c r="BD17" i="113"/>
  <c r="BD18" i="113"/>
  <c r="BD19" i="113"/>
  <c r="BD20" i="113"/>
  <c r="BD21" i="113"/>
  <c r="BD22" i="113"/>
  <c r="BD23" i="113"/>
  <c r="BD24" i="113"/>
  <c r="BD25" i="113"/>
  <c r="BD26" i="113"/>
  <c r="BD27" i="113"/>
  <c r="BD28" i="113"/>
  <c r="BD29" i="113"/>
  <c r="BD30" i="113"/>
  <c r="BD31" i="113"/>
  <c r="BD32" i="113"/>
  <c r="BD33" i="113"/>
  <c r="BD34" i="113"/>
  <c r="BD35" i="113"/>
  <c r="BD36" i="113"/>
  <c r="BD37" i="113"/>
  <c r="BD38" i="113"/>
  <c r="BD39" i="113"/>
  <c r="BD40" i="113"/>
  <c r="BD41" i="113"/>
  <c r="BD42" i="113"/>
  <c r="BD43" i="113"/>
  <c r="BD44" i="113"/>
  <c r="BD45" i="113"/>
  <c r="BD46" i="113"/>
  <c r="BD47" i="113"/>
  <c r="BD48" i="113"/>
  <c r="BD49" i="113"/>
  <c r="BD50" i="113"/>
  <c r="BD51" i="113"/>
  <c r="BD52" i="113"/>
  <c r="BD53" i="113"/>
  <c r="BD54" i="113"/>
  <c r="BD55" i="113"/>
  <c r="BD56" i="113"/>
  <c r="BD57" i="113"/>
  <c r="BD58" i="113"/>
  <c r="BD59" i="113"/>
  <c r="BD60" i="113"/>
  <c r="BD61" i="113"/>
  <c r="BD62" i="113"/>
  <c r="BD63" i="113"/>
  <c r="BD64" i="113"/>
  <c r="BD65" i="113"/>
  <c r="BD66" i="113"/>
  <c r="BD67" i="113"/>
  <c r="BD68" i="113"/>
  <c r="BD69" i="113"/>
  <c r="BD70" i="113"/>
  <c r="BD71" i="113"/>
  <c r="BD72" i="113"/>
  <c r="BD73" i="113"/>
  <c r="BD75" i="113"/>
  <c r="BD76" i="113"/>
  <c r="BD77" i="113"/>
  <c r="BD78" i="113"/>
  <c r="BD79" i="113"/>
  <c r="BD80" i="113"/>
  <c r="BD81" i="113"/>
  <c r="BD82" i="113"/>
  <c r="BD83" i="113"/>
  <c r="BD84" i="113"/>
  <c r="BD85" i="113"/>
  <c r="BD86" i="113"/>
  <c r="BD87" i="113"/>
  <c r="BD88" i="113"/>
  <c r="BD90" i="113"/>
  <c r="BD91" i="113"/>
  <c r="BD92" i="113"/>
  <c r="BD93" i="113"/>
  <c r="BD94" i="113"/>
  <c r="BD95" i="113"/>
  <c r="BD96" i="113"/>
  <c r="BD97" i="113"/>
  <c r="BD98" i="113"/>
  <c r="BD99" i="113"/>
  <c r="BD100" i="113"/>
  <c r="BD101" i="113"/>
  <c r="BD102" i="113"/>
  <c r="BD103" i="113"/>
  <c r="BD104" i="113"/>
  <c r="BD105" i="113"/>
  <c r="BD106" i="113"/>
  <c r="BD107" i="113"/>
  <c r="BD108" i="113"/>
  <c r="BD109" i="113"/>
  <c r="BD111" i="113"/>
  <c r="BD112" i="113"/>
  <c r="BD113" i="113"/>
  <c r="BD114" i="113"/>
  <c r="BD115" i="113"/>
  <c r="BD116" i="113"/>
  <c r="BD117" i="113"/>
  <c r="BD118" i="113"/>
  <c r="BD119" i="113"/>
  <c r="BD120" i="113"/>
  <c r="BD121" i="113"/>
  <c r="BD122" i="113"/>
  <c r="BD123" i="113"/>
  <c r="BD124" i="113"/>
  <c r="BD125" i="113"/>
  <c r="BD126" i="113"/>
  <c r="BD127" i="113"/>
  <c r="BD128" i="113"/>
  <c r="BD129" i="113"/>
  <c r="BD130" i="113"/>
  <c r="BD131" i="113"/>
  <c r="BD132" i="113"/>
  <c r="BD133" i="113"/>
  <c r="BD134" i="113"/>
  <c r="BD135" i="113"/>
  <c r="BD136" i="113"/>
  <c r="BD137" i="113"/>
  <c r="BD138" i="113"/>
  <c r="BD139" i="113"/>
  <c r="BD140" i="113"/>
  <c r="BD141" i="113"/>
  <c r="BD142" i="113"/>
  <c r="BD143" i="113"/>
  <c r="BD144" i="113"/>
  <c r="BD145" i="113"/>
  <c r="BD146" i="113"/>
  <c r="BD147" i="113"/>
  <c r="BD149" i="113"/>
  <c r="BD150" i="113"/>
  <c r="BD151" i="113"/>
  <c r="BD152" i="113"/>
  <c r="BD153" i="113"/>
  <c r="BD154" i="113"/>
  <c r="BD155" i="113"/>
  <c r="BD156" i="113"/>
  <c r="BD157" i="113"/>
  <c r="BD159" i="113"/>
  <c r="BD160" i="113"/>
  <c r="BD161" i="113"/>
  <c r="BD162" i="113"/>
  <c r="BD163" i="113"/>
  <c r="BD164" i="113"/>
  <c r="BD166" i="113"/>
  <c r="BD167" i="113"/>
  <c r="BD168" i="113"/>
  <c r="BD169" i="113"/>
  <c r="BD170" i="113"/>
  <c r="BD171" i="113"/>
  <c r="BD172" i="113"/>
  <c r="BD173" i="113"/>
  <c r="BD174" i="113"/>
  <c r="BD175" i="113"/>
  <c r="BD176" i="113"/>
  <c r="BD177" i="113"/>
  <c r="BD179" i="113"/>
  <c r="BD180" i="113"/>
  <c r="BD181" i="113"/>
  <c r="BD182" i="113"/>
  <c r="BD183" i="113"/>
  <c r="BD184" i="113"/>
  <c r="BD185" i="113"/>
  <c r="BD186" i="113"/>
  <c r="BD187" i="113"/>
  <c r="BD189" i="113"/>
  <c r="BD191" i="113"/>
  <c r="BD192" i="113"/>
  <c r="BD193" i="113"/>
  <c r="BD196" i="113"/>
  <c r="BD197" i="113"/>
  <c r="BD200" i="113"/>
  <c r="BD198" i="113"/>
  <c r="BD199" i="113"/>
  <c r="AZ9" i="113"/>
  <c r="AZ10" i="113"/>
  <c r="AZ11" i="113"/>
  <c r="AZ12" i="113"/>
  <c r="AZ13" i="113"/>
  <c r="AZ14" i="113"/>
  <c r="AZ15" i="113"/>
  <c r="AZ16" i="113"/>
  <c r="AZ17" i="113"/>
  <c r="AZ18" i="113"/>
  <c r="AZ19" i="113"/>
  <c r="AZ20" i="113"/>
  <c r="AZ21" i="113"/>
  <c r="AZ22" i="113"/>
  <c r="AZ23" i="113"/>
  <c r="AZ24" i="113"/>
  <c r="AZ25" i="113"/>
  <c r="AZ26" i="113"/>
  <c r="AZ27" i="113"/>
  <c r="AZ28" i="113"/>
  <c r="AZ29" i="113"/>
  <c r="AZ30" i="113"/>
  <c r="AZ31" i="113"/>
  <c r="AZ32" i="113"/>
  <c r="AZ33" i="113"/>
  <c r="AZ34" i="113"/>
  <c r="AZ35" i="113"/>
  <c r="AZ36" i="113"/>
  <c r="AZ37" i="113"/>
  <c r="AZ38" i="113"/>
  <c r="AZ39" i="113"/>
  <c r="AZ40" i="113"/>
  <c r="AZ41" i="113"/>
  <c r="AZ42" i="113"/>
  <c r="AZ43" i="113"/>
  <c r="AZ44" i="113"/>
  <c r="AZ45" i="113"/>
  <c r="AZ46" i="113"/>
  <c r="AZ47" i="113"/>
  <c r="AZ48" i="113"/>
  <c r="AZ49" i="113"/>
  <c r="AZ50" i="113"/>
  <c r="AZ51" i="113"/>
  <c r="AZ52" i="113"/>
  <c r="AZ53" i="113"/>
  <c r="AZ54" i="113"/>
  <c r="AZ55" i="113"/>
  <c r="AZ56" i="113"/>
  <c r="AZ57" i="113"/>
  <c r="AZ58" i="113"/>
  <c r="AZ59" i="113"/>
  <c r="AZ60" i="113"/>
  <c r="AZ61" i="113"/>
  <c r="AZ62" i="113"/>
  <c r="AZ63" i="113"/>
  <c r="AZ64" i="113"/>
  <c r="AZ65" i="113"/>
  <c r="AZ66" i="113"/>
  <c r="AZ67" i="113"/>
  <c r="AZ68" i="113"/>
  <c r="AZ69" i="113"/>
  <c r="AZ70" i="113"/>
  <c r="AZ71" i="113"/>
  <c r="AZ72" i="113"/>
  <c r="AZ73" i="113"/>
  <c r="AZ75" i="113"/>
  <c r="AZ76" i="113"/>
  <c r="AZ77" i="113"/>
  <c r="AZ78" i="113"/>
  <c r="AZ79" i="113"/>
  <c r="AZ80" i="113"/>
  <c r="AZ81" i="113"/>
  <c r="AZ82" i="113"/>
  <c r="AZ83" i="113"/>
  <c r="AZ84" i="113"/>
  <c r="AZ85" i="113"/>
  <c r="AZ86" i="113"/>
  <c r="AZ87" i="113"/>
  <c r="AZ88" i="113"/>
  <c r="AZ90" i="113"/>
  <c r="AZ91" i="113"/>
  <c r="AZ92" i="113"/>
  <c r="AZ93" i="113"/>
  <c r="AZ94" i="113"/>
  <c r="AZ95" i="113"/>
  <c r="AZ96" i="113"/>
  <c r="AZ97" i="113"/>
  <c r="AZ98" i="113"/>
  <c r="AZ99" i="113"/>
  <c r="AZ100" i="113"/>
  <c r="AZ101" i="113"/>
  <c r="AZ102" i="113"/>
  <c r="AZ103" i="113"/>
  <c r="AZ104" i="113"/>
  <c r="AZ105" i="113"/>
  <c r="AZ106" i="113"/>
  <c r="AZ107" i="113"/>
  <c r="AZ108" i="113"/>
  <c r="AZ109" i="113"/>
  <c r="AZ111" i="113"/>
  <c r="AZ112" i="113"/>
  <c r="AZ113" i="113"/>
  <c r="AZ114" i="113"/>
  <c r="AZ115" i="113"/>
  <c r="AZ116" i="113"/>
  <c r="AZ117" i="113"/>
  <c r="AZ118" i="113"/>
  <c r="AZ119" i="113"/>
  <c r="AZ120" i="113"/>
  <c r="AZ121" i="113"/>
  <c r="AZ122" i="113"/>
  <c r="AZ123" i="113"/>
  <c r="AZ124" i="113"/>
  <c r="AZ125" i="113"/>
  <c r="AZ126" i="113"/>
  <c r="AZ127" i="113"/>
  <c r="AZ128" i="113"/>
  <c r="AZ129" i="113"/>
  <c r="AZ130" i="113"/>
  <c r="AZ131" i="113"/>
  <c r="AZ132" i="113"/>
  <c r="AZ133" i="113"/>
  <c r="AZ134" i="113"/>
  <c r="AZ135" i="113"/>
  <c r="AZ136" i="113"/>
  <c r="AZ137" i="113"/>
  <c r="AZ138" i="113"/>
  <c r="AZ139" i="113"/>
  <c r="AZ140" i="113"/>
  <c r="AZ141" i="113"/>
  <c r="AZ142" i="113"/>
  <c r="AZ143" i="113"/>
  <c r="AZ144" i="113"/>
  <c r="AZ145" i="113"/>
  <c r="AZ146" i="113"/>
  <c r="AZ147" i="113"/>
  <c r="AZ149" i="113"/>
  <c r="AZ150" i="113"/>
  <c r="AZ151" i="113"/>
  <c r="AZ152" i="113"/>
  <c r="AZ153" i="113"/>
  <c r="AZ154" i="113"/>
  <c r="AZ155" i="113"/>
  <c r="AZ156" i="113"/>
  <c r="AZ157" i="113"/>
  <c r="AZ159" i="113"/>
  <c r="AZ160" i="113"/>
  <c r="AZ161" i="113"/>
  <c r="AZ162" i="113"/>
  <c r="AZ163" i="113"/>
  <c r="AZ164" i="113"/>
  <c r="AZ166" i="113"/>
  <c r="AZ167" i="113"/>
  <c r="AZ168" i="113"/>
  <c r="AZ169" i="113"/>
  <c r="AZ170" i="113"/>
  <c r="AZ171" i="113"/>
  <c r="AZ172" i="113"/>
  <c r="AZ173" i="113"/>
  <c r="AZ174" i="113"/>
  <c r="AZ175" i="113"/>
  <c r="AZ176" i="113"/>
  <c r="AZ177" i="113"/>
  <c r="AZ179" i="113"/>
  <c r="AZ180" i="113"/>
  <c r="AZ181" i="113"/>
  <c r="AZ182" i="113"/>
  <c r="AZ183" i="113"/>
  <c r="AZ184" i="113"/>
  <c r="AZ185" i="113"/>
  <c r="AZ186" i="113"/>
  <c r="AZ187" i="113"/>
  <c r="AZ189" i="113"/>
  <c r="AZ191" i="113"/>
  <c r="AZ192" i="113"/>
  <c r="AZ193" i="113"/>
  <c r="AZ196" i="113"/>
  <c r="AZ197" i="113"/>
  <c r="AZ200" i="113"/>
  <c r="AZ198" i="113"/>
  <c r="AZ199" i="113"/>
  <c r="AV9" i="113"/>
  <c r="AV10" i="113"/>
  <c r="AV11" i="113"/>
  <c r="AV12" i="113"/>
  <c r="AV13" i="113"/>
  <c r="AV14" i="113"/>
  <c r="AV15" i="113"/>
  <c r="AV16" i="113"/>
  <c r="AV17" i="113"/>
  <c r="AV18" i="113"/>
  <c r="AV19" i="113"/>
  <c r="AV20" i="113"/>
  <c r="AV21" i="113"/>
  <c r="AV22" i="113"/>
  <c r="AV23" i="113"/>
  <c r="AV24" i="113"/>
  <c r="AV25" i="113"/>
  <c r="AV26" i="113"/>
  <c r="AV27" i="113"/>
  <c r="AV28" i="113"/>
  <c r="AV29" i="113"/>
  <c r="AV30" i="113"/>
  <c r="AV31" i="113"/>
  <c r="AV32" i="113"/>
  <c r="AV33" i="113"/>
  <c r="AV34" i="113"/>
  <c r="AV35" i="113"/>
  <c r="AV36" i="113"/>
  <c r="AV37" i="113"/>
  <c r="AV38" i="113"/>
  <c r="AV39" i="113"/>
  <c r="AV40" i="113"/>
  <c r="AV41" i="113"/>
  <c r="AV42" i="113"/>
  <c r="AV43" i="113"/>
  <c r="AV44" i="113"/>
  <c r="AV45" i="113"/>
  <c r="AV46" i="113"/>
  <c r="AV47" i="113"/>
  <c r="AV48" i="113"/>
  <c r="AV49" i="113"/>
  <c r="AV50" i="113"/>
  <c r="AV51" i="113"/>
  <c r="AV52" i="113"/>
  <c r="AV53" i="113"/>
  <c r="AV54" i="113"/>
  <c r="AV55" i="113"/>
  <c r="AV56" i="113"/>
  <c r="AV57" i="113"/>
  <c r="AV58" i="113"/>
  <c r="AV59" i="113"/>
  <c r="AV60" i="113"/>
  <c r="AV61" i="113"/>
  <c r="AV62" i="113"/>
  <c r="AV63" i="113"/>
  <c r="AV64" i="113"/>
  <c r="AV65" i="113"/>
  <c r="AV66" i="113"/>
  <c r="AV67" i="113"/>
  <c r="AV68" i="113"/>
  <c r="AV69" i="113"/>
  <c r="AV70" i="113"/>
  <c r="AV71" i="113"/>
  <c r="AV72" i="113"/>
  <c r="AV73" i="113"/>
  <c r="AV75" i="113"/>
  <c r="AV76" i="113"/>
  <c r="AV77" i="113"/>
  <c r="AV78" i="113"/>
  <c r="AV79" i="113"/>
  <c r="AV80" i="113"/>
  <c r="AV81" i="113"/>
  <c r="AV82" i="113"/>
  <c r="AV83" i="113"/>
  <c r="AV84" i="113"/>
  <c r="AV85" i="113"/>
  <c r="AV86" i="113"/>
  <c r="AV87" i="113"/>
  <c r="AV88" i="113"/>
  <c r="AV90" i="113"/>
  <c r="AV91" i="113"/>
  <c r="AV92" i="113"/>
  <c r="AV93" i="113"/>
  <c r="AV94" i="113"/>
  <c r="AV95" i="113"/>
  <c r="AV96" i="113"/>
  <c r="AV97" i="113"/>
  <c r="AV98" i="113"/>
  <c r="AV99" i="113"/>
  <c r="AV100" i="113"/>
  <c r="AV101" i="113"/>
  <c r="AV102" i="113"/>
  <c r="AV103" i="113"/>
  <c r="AV104" i="113"/>
  <c r="AV105" i="113"/>
  <c r="AV106" i="113"/>
  <c r="AV107" i="113"/>
  <c r="AV108" i="113"/>
  <c r="AV109" i="113"/>
  <c r="AV111" i="113"/>
  <c r="AV112" i="113"/>
  <c r="AV113" i="113"/>
  <c r="AV114" i="113"/>
  <c r="AV115" i="113"/>
  <c r="AV116" i="113"/>
  <c r="AV117" i="113"/>
  <c r="AV118" i="113"/>
  <c r="AV119" i="113"/>
  <c r="AV120" i="113"/>
  <c r="AV121" i="113"/>
  <c r="AV122" i="113"/>
  <c r="AV123" i="113"/>
  <c r="AV124" i="113"/>
  <c r="AV125" i="113"/>
  <c r="AV126" i="113"/>
  <c r="AV127" i="113"/>
  <c r="AV128" i="113"/>
  <c r="AV129" i="113"/>
  <c r="AV130" i="113"/>
  <c r="AV131" i="113"/>
  <c r="AV132" i="113"/>
  <c r="AV133" i="113"/>
  <c r="AV134" i="113"/>
  <c r="AV135" i="113"/>
  <c r="AV136" i="113"/>
  <c r="AV137" i="113"/>
  <c r="AV138" i="113"/>
  <c r="AV139" i="113"/>
  <c r="AV140" i="113"/>
  <c r="AV141" i="113"/>
  <c r="AV142" i="113"/>
  <c r="AV143" i="113"/>
  <c r="AV144" i="113"/>
  <c r="AV145" i="113"/>
  <c r="AV146" i="113"/>
  <c r="AV147" i="113"/>
  <c r="AV149" i="113"/>
  <c r="AV150" i="113"/>
  <c r="AV151" i="113"/>
  <c r="AV152" i="113"/>
  <c r="AV153" i="113"/>
  <c r="AV154" i="113"/>
  <c r="AV155" i="113"/>
  <c r="AV156" i="113"/>
  <c r="AV157" i="113"/>
  <c r="AV159" i="113"/>
  <c r="AV160" i="113"/>
  <c r="AV161" i="113"/>
  <c r="AV162" i="113"/>
  <c r="AV163" i="113"/>
  <c r="AV164" i="113"/>
  <c r="AV166" i="113"/>
  <c r="AV167" i="113"/>
  <c r="AV168" i="113"/>
  <c r="AV169" i="113"/>
  <c r="AV170" i="113"/>
  <c r="AV171" i="113"/>
  <c r="AV172" i="113"/>
  <c r="AV173" i="113"/>
  <c r="AV174" i="113"/>
  <c r="AV175" i="113"/>
  <c r="AV176" i="113"/>
  <c r="AV177" i="113"/>
  <c r="AV179" i="113"/>
  <c r="AV180" i="113"/>
  <c r="AV181" i="113"/>
  <c r="AV182" i="113"/>
  <c r="AV183" i="113"/>
  <c r="AV184" i="113"/>
  <c r="AV185" i="113"/>
  <c r="AV186" i="113"/>
  <c r="AV187" i="113"/>
  <c r="AV189" i="113"/>
  <c r="AV191" i="113"/>
  <c r="AV192" i="113"/>
  <c r="AV193" i="113"/>
  <c r="AV196" i="113"/>
  <c r="AV197" i="113"/>
  <c r="AV200" i="113"/>
  <c r="AV198" i="113"/>
  <c r="AV199" i="113"/>
  <c r="AN9" i="113"/>
  <c r="AN10" i="113"/>
  <c r="AN11" i="113"/>
  <c r="AN12" i="113"/>
  <c r="AN13" i="113"/>
  <c r="AN14" i="113"/>
  <c r="AN15" i="113"/>
  <c r="AN16" i="113"/>
  <c r="AN17" i="113"/>
  <c r="AN18" i="113"/>
  <c r="AN19" i="113"/>
  <c r="AN20" i="113"/>
  <c r="AN21" i="113"/>
  <c r="AN22" i="113"/>
  <c r="AN23" i="113"/>
  <c r="AN24" i="113"/>
  <c r="AN25" i="113"/>
  <c r="AN26" i="113"/>
  <c r="AN27" i="113"/>
  <c r="AN28" i="113"/>
  <c r="AN29" i="113"/>
  <c r="AN30" i="113"/>
  <c r="AN31" i="113"/>
  <c r="AN32" i="113"/>
  <c r="AN33" i="113"/>
  <c r="AN34" i="113"/>
  <c r="AN35" i="113"/>
  <c r="AN36" i="113"/>
  <c r="AN37" i="113"/>
  <c r="AN38" i="113"/>
  <c r="AN39" i="113"/>
  <c r="AN40" i="113"/>
  <c r="AN41" i="113"/>
  <c r="AN42" i="113"/>
  <c r="AN43" i="113"/>
  <c r="AN44" i="113"/>
  <c r="AN45" i="113"/>
  <c r="AN46" i="113"/>
  <c r="AN47" i="113"/>
  <c r="AN48" i="113"/>
  <c r="AN49" i="113"/>
  <c r="AN50" i="113"/>
  <c r="AN51" i="113"/>
  <c r="AN52" i="113"/>
  <c r="AN53" i="113"/>
  <c r="AN54" i="113"/>
  <c r="AN55" i="113"/>
  <c r="AN56" i="113"/>
  <c r="AN57" i="113"/>
  <c r="AN58" i="113"/>
  <c r="AN59" i="113"/>
  <c r="AN60" i="113"/>
  <c r="AN61" i="113"/>
  <c r="AN62" i="113"/>
  <c r="AN63" i="113"/>
  <c r="AN64" i="113"/>
  <c r="AN65" i="113"/>
  <c r="AN66" i="113"/>
  <c r="AN67" i="113"/>
  <c r="AN68" i="113"/>
  <c r="AN69" i="113"/>
  <c r="AN70" i="113"/>
  <c r="AN71" i="113"/>
  <c r="AN72" i="113"/>
  <c r="AN73" i="113"/>
  <c r="AN75" i="113"/>
  <c r="AN76" i="113"/>
  <c r="AN77" i="113"/>
  <c r="AN78" i="113"/>
  <c r="AN79" i="113"/>
  <c r="AN80" i="113"/>
  <c r="AN81" i="113"/>
  <c r="AN82" i="113"/>
  <c r="AN83" i="113"/>
  <c r="AN84" i="113"/>
  <c r="AN85" i="113"/>
  <c r="AN86" i="113"/>
  <c r="AN87" i="113"/>
  <c r="AN88" i="113"/>
  <c r="AN90" i="113"/>
  <c r="AN91" i="113"/>
  <c r="AN92" i="113"/>
  <c r="AN93" i="113"/>
  <c r="AN94" i="113"/>
  <c r="AN95" i="113"/>
  <c r="AN96" i="113"/>
  <c r="AN97" i="113"/>
  <c r="AN98" i="113"/>
  <c r="AN99" i="113"/>
  <c r="AN100" i="113"/>
  <c r="AN101" i="113"/>
  <c r="AN102" i="113"/>
  <c r="AN103" i="113"/>
  <c r="AN104" i="113"/>
  <c r="AN105" i="113"/>
  <c r="AN106" i="113"/>
  <c r="AN107" i="113"/>
  <c r="AN108" i="113"/>
  <c r="AN109" i="113"/>
  <c r="AN111" i="113"/>
  <c r="AN112" i="113"/>
  <c r="AN113" i="113"/>
  <c r="AN114" i="113"/>
  <c r="AN115" i="113"/>
  <c r="AN116" i="113"/>
  <c r="AN117" i="113"/>
  <c r="AN118" i="113"/>
  <c r="AN119" i="113"/>
  <c r="AN120" i="113"/>
  <c r="AN121" i="113"/>
  <c r="AN122" i="113"/>
  <c r="AN123" i="113"/>
  <c r="AN124" i="113"/>
  <c r="AN125" i="113"/>
  <c r="AN126" i="113"/>
  <c r="AN127" i="113"/>
  <c r="AN128" i="113"/>
  <c r="AN129" i="113"/>
  <c r="AN130" i="113"/>
  <c r="AN131" i="113"/>
  <c r="AN132" i="113"/>
  <c r="AN133" i="113"/>
  <c r="AN134" i="113"/>
  <c r="AN135" i="113"/>
  <c r="AN136" i="113"/>
  <c r="AN137" i="113"/>
  <c r="AN138" i="113"/>
  <c r="AN139" i="113"/>
  <c r="AN140" i="113"/>
  <c r="AN141" i="113"/>
  <c r="AN142" i="113"/>
  <c r="AN143" i="113"/>
  <c r="AN144" i="113"/>
  <c r="AN145" i="113"/>
  <c r="AN146" i="113"/>
  <c r="AN147" i="113"/>
  <c r="AN149" i="113"/>
  <c r="AN150" i="113"/>
  <c r="AN151" i="113"/>
  <c r="AN152" i="113"/>
  <c r="AN153" i="113"/>
  <c r="AN154" i="113"/>
  <c r="AN155" i="113"/>
  <c r="AN156" i="113"/>
  <c r="AN157" i="113"/>
  <c r="AN159" i="113"/>
  <c r="AN160" i="113"/>
  <c r="AN161" i="113"/>
  <c r="AN162" i="113"/>
  <c r="AN163" i="113"/>
  <c r="AN164" i="113"/>
  <c r="AN166" i="113"/>
  <c r="AN167" i="113"/>
  <c r="AN168" i="113"/>
  <c r="AN169" i="113"/>
  <c r="AN170" i="113"/>
  <c r="AN171" i="113"/>
  <c r="AN172" i="113"/>
  <c r="AN173" i="113"/>
  <c r="AN174" i="113"/>
  <c r="AN175" i="113"/>
  <c r="AN176" i="113"/>
  <c r="AN177" i="113"/>
  <c r="AN179" i="113"/>
  <c r="AN180" i="113"/>
  <c r="AN181" i="113"/>
  <c r="AN182" i="113"/>
  <c r="AN183" i="113"/>
  <c r="AN184" i="113"/>
  <c r="AN185" i="113"/>
  <c r="AN186" i="113"/>
  <c r="AN187" i="113"/>
  <c r="AN189" i="113"/>
  <c r="AN191" i="113"/>
  <c r="AN192" i="113"/>
  <c r="AN193" i="113"/>
  <c r="AN196" i="113"/>
  <c r="AN197" i="113"/>
  <c r="AN200" i="113"/>
  <c r="AN198" i="113"/>
  <c r="AN199" i="113"/>
  <c r="AJ9" i="113"/>
  <c r="AJ10" i="113"/>
  <c r="AJ11" i="113"/>
  <c r="AJ12" i="113"/>
  <c r="AJ13" i="113"/>
  <c r="AJ14" i="113"/>
  <c r="AJ15" i="113"/>
  <c r="AJ16" i="113"/>
  <c r="AJ17" i="113"/>
  <c r="AJ18" i="113"/>
  <c r="AJ19" i="113"/>
  <c r="AJ20" i="113"/>
  <c r="AJ21" i="113"/>
  <c r="AJ22" i="113"/>
  <c r="AJ23" i="113"/>
  <c r="AJ24" i="113"/>
  <c r="AJ25" i="113"/>
  <c r="AJ26" i="113"/>
  <c r="AJ27" i="113"/>
  <c r="AJ28" i="113"/>
  <c r="AJ29" i="113"/>
  <c r="AJ30" i="113"/>
  <c r="AJ31" i="113"/>
  <c r="AJ32" i="113"/>
  <c r="AJ33" i="113"/>
  <c r="AJ34" i="113"/>
  <c r="AJ35" i="113"/>
  <c r="AJ36" i="113"/>
  <c r="AJ37" i="113"/>
  <c r="AJ38" i="113"/>
  <c r="AJ39" i="113"/>
  <c r="AJ40" i="113"/>
  <c r="AJ41" i="113"/>
  <c r="AJ42" i="113"/>
  <c r="AJ43" i="113"/>
  <c r="AJ44" i="113"/>
  <c r="AJ45" i="113"/>
  <c r="AJ46" i="113"/>
  <c r="AJ47" i="113"/>
  <c r="AJ48" i="113"/>
  <c r="AJ49" i="113"/>
  <c r="AJ50" i="113"/>
  <c r="AJ51" i="113"/>
  <c r="AJ52" i="113"/>
  <c r="AJ53" i="113"/>
  <c r="AJ54" i="113"/>
  <c r="AJ55" i="113"/>
  <c r="AJ56" i="113"/>
  <c r="AJ57" i="113"/>
  <c r="AJ58" i="113"/>
  <c r="AJ59" i="113"/>
  <c r="AJ60" i="113"/>
  <c r="AJ61" i="113"/>
  <c r="AJ62" i="113"/>
  <c r="AJ63" i="113"/>
  <c r="AJ64" i="113"/>
  <c r="AJ65" i="113"/>
  <c r="AJ66" i="113"/>
  <c r="AJ67" i="113"/>
  <c r="AJ68" i="113"/>
  <c r="AJ69" i="113"/>
  <c r="AJ70" i="113"/>
  <c r="AJ71" i="113"/>
  <c r="AJ72" i="113"/>
  <c r="AJ73" i="113"/>
  <c r="AJ75" i="113"/>
  <c r="AJ76" i="113"/>
  <c r="AJ77" i="113"/>
  <c r="AJ78" i="113"/>
  <c r="AJ79" i="113"/>
  <c r="AJ80" i="113"/>
  <c r="AJ81" i="113"/>
  <c r="AJ82" i="113"/>
  <c r="AJ83" i="113"/>
  <c r="AJ84" i="113"/>
  <c r="AJ85" i="113"/>
  <c r="AJ86" i="113"/>
  <c r="AJ87" i="113"/>
  <c r="AJ88" i="113"/>
  <c r="AJ90" i="113"/>
  <c r="AJ91" i="113"/>
  <c r="AJ92" i="113"/>
  <c r="AJ93" i="113"/>
  <c r="AJ94" i="113"/>
  <c r="AJ95" i="113"/>
  <c r="AJ96" i="113"/>
  <c r="AJ97" i="113"/>
  <c r="AJ98" i="113"/>
  <c r="AJ99" i="113"/>
  <c r="AJ100" i="113"/>
  <c r="AJ101" i="113"/>
  <c r="AJ102" i="113"/>
  <c r="AJ103" i="113"/>
  <c r="AJ104" i="113"/>
  <c r="AJ105" i="113"/>
  <c r="AJ106" i="113"/>
  <c r="AJ107" i="113"/>
  <c r="AJ108" i="113"/>
  <c r="AJ109" i="113"/>
  <c r="AJ111" i="113"/>
  <c r="AJ112" i="113"/>
  <c r="AJ113" i="113"/>
  <c r="AJ114" i="113"/>
  <c r="AJ115" i="113"/>
  <c r="AJ116" i="113"/>
  <c r="AJ117" i="113"/>
  <c r="AJ118" i="113"/>
  <c r="AJ119" i="113"/>
  <c r="AJ120" i="113"/>
  <c r="AJ121" i="113"/>
  <c r="AJ122" i="113"/>
  <c r="AJ123" i="113"/>
  <c r="AJ124" i="113"/>
  <c r="AJ125" i="113"/>
  <c r="AJ126" i="113"/>
  <c r="AJ127" i="113"/>
  <c r="AJ128" i="113"/>
  <c r="AJ129" i="113"/>
  <c r="AJ130" i="113"/>
  <c r="AJ131" i="113"/>
  <c r="AJ132" i="113"/>
  <c r="AJ133" i="113"/>
  <c r="AJ134" i="113"/>
  <c r="AJ135" i="113"/>
  <c r="AJ136" i="113"/>
  <c r="AJ137" i="113"/>
  <c r="AJ138" i="113"/>
  <c r="AJ139" i="113"/>
  <c r="AJ140" i="113"/>
  <c r="AJ141" i="113"/>
  <c r="AJ142" i="113"/>
  <c r="AJ143" i="113"/>
  <c r="AJ144" i="113"/>
  <c r="AJ145" i="113"/>
  <c r="AJ146" i="113"/>
  <c r="AJ147" i="113"/>
  <c r="AJ149" i="113"/>
  <c r="AJ150" i="113"/>
  <c r="AJ151" i="113"/>
  <c r="AJ152" i="113"/>
  <c r="AJ153" i="113"/>
  <c r="AJ154" i="113"/>
  <c r="AJ155" i="113"/>
  <c r="AJ156" i="113"/>
  <c r="AJ157" i="113"/>
  <c r="AJ159" i="113"/>
  <c r="AJ160" i="113"/>
  <c r="AJ161" i="113"/>
  <c r="AJ162" i="113"/>
  <c r="AJ163" i="113"/>
  <c r="AJ164" i="113"/>
  <c r="AJ166" i="113"/>
  <c r="AJ167" i="113"/>
  <c r="AJ168" i="113"/>
  <c r="AJ169" i="113"/>
  <c r="AJ170" i="113"/>
  <c r="AJ171" i="113"/>
  <c r="AJ172" i="113"/>
  <c r="AJ173" i="113"/>
  <c r="AJ174" i="113"/>
  <c r="AJ175" i="113"/>
  <c r="AJ176" i="113"/>
  <c r="AJ177" i="113"/>
  <c r="AJ179" i="113"/>
  <c r="AJ180" i="113"/>
  <c r="AJ181" i="113"/>
  <c r="AJ182" i="113"/>
  <c r="AJ183" i="113"/>
  <c r="AJ184" i="113"/>
  <c r="AJ185" i="113"/>
  <c r="AJ186" i="113"/>
  <c r="AJ187" i="113"/>
  <c r="AJ189" i="113"/>
  <c r="AJ191" i="113"/>
  <c r="AJ192" i="113"/>
  <c r="AJ193" i="113"/>
  <c r="AJ196" i="113"/>
  <c r="AJ197" i="113"/>
  <c r="AJ200" i="113"/>
  <c r="AJ198" i="113"/>
  <c r="AJ199" i="113"/>
  <c r="AF9" i="113"/>
  <c r="AF10" i="113"/>
  <c r="AF11" i="113"/>
  <c r="AF12" i="113"/>
  <c r="AF13" i="113"/>
  <c r="AF14" i="113"/>
  <c r="AF15" i="113"/>
  <c r="AF16" i="113"/>
  <c r="AF17" i="113"/>
  <c r="AF18" i="113"/>
  <c r="AF19" i="113"/>
  <c r="AF20" i="113"/>
  <c r="AF21" i="113"/>
  <c r="AF22" i="113"/>
  <c r="AF23" i="113"/>
  <c r="AF24" i="113"/>
  <c r="AF25" i="113"/>
  <c r="AF26" i="113"/>
  <c r="AF27" i="113"/>
  <c r="AF28" i="113"/>
  <c r="AF29" i="113"/>
  <c r="AF30" i="113"/>
  <c r="AF31" i="113"/>
  <c r="AF32" i="113"/>
  <c r="AF33" i="113"/>
  <c r="AF34" i="113"/>
  <c r="AF35" i="113"/>
  <c r="AF36" i="113"/>
  <c r="AF37" i="113"/>
  <c r="AF38" i="113"/>
  <c r="AF39" i="113"/>
  <c r="AF40" i="113"/>
  <c r="AF41" i="113"/>
  <c r="AF42" i="113"/>
  <c r="AF43" i="113"/>
  <c r="AF44" i="113"/>
  <c r="AF45" i="113"/>
  <c r="AF46" i="113"/>
  <c r="AF47" i="113"/>
  <c r="AF48" i="113"/>
  <c r="AF49" i="113"/>
  <c r="AF50" i="113"/>
  <c r="AF51" i="113"/>
  <c r="AF52" i="113"/>
  <c r="AF53" i="113"/>
  <c r="AF54" i="113"/>
  <c r="AF55" i="113"/>
  <c r="AF56" i="113"/>
  <c r="AF57" i="113"/>
  <c r="AF58" i="113"/>
  <c r="AF59" i="113"/>
  <c r="AF60" i="113"/>
  <c r="AF61" i="113"/>
  <c r="AF62" i="113"/>
  <c r="AF63" i="113"/>
  <c r="AF64" i="113"/>
  <c r="AF65" i="113"/>
  <c r="AF66" i="113"/>
  <c r="AF67" i="113"/>
  <c r="AF68" i="113"/>
  <c r="AF69" i="113"/>
  <c r="AF70" i="113"/>
  <c r="AF71" i="113"/>
  <c r="AF72" i="113"/>
  <c r="AF73" i="113"/>
  <c r="AF75" i="113"/>
  <c r="AF76" i="113"/>
  <c r="AF77" i="113"/>
  <c r="AF78" i="113"/>
  <c r="AF79" i="113"/>
  <c r="AF80" i="113"/>
  <c r="AF81" i="113"/>
  <c r="AF82" i="113"/>
  <c r="AF83" i="113"/>
  <c r="AF84" i="113"/>
  <c r="AF85" i="113"/>
  <c r="AF86" i="113"/>
  <c r="AF87" i="113"/>
  <c r="AF88" i="113"/>
  <c r="AF90" i="113"/>
  <c r="AF91" i="113"/>
  <c r="AF92" i="113"/>
  <c r="AF93" i="113"/>
  <c r="AF94" i="113"/>
  <c r="AF95" i="113"/>
  <c r="AF96" i="113"/>
  <c r="AF97" i="113"/>
  <c r="AF98" i="113"/>
  <c r="AF99" i="113"/>
  <c r="AF100" i="113"/>
  <c r="AF101" i="113"/>
  <c r="AF102" i="113"/>
  <c r="AF103" i="113"/>
  <c r="AF104" i="113"/>
  <c r="AF105" i="113"/>
  <c r="AF106" i="113"/>
  <c r="AF107" i="113"/>
  <c r="AF108" i="113"/>
  <c r="AF109" i="113"/>
  <c r="AF111" i="113"/>
  <c r="AF112" i="113"/>
  <c r="AF113" i="113"/>
  <c r="AF114" i="113"/>
  <c r="AF115" i="113"/>
  <c r="AF116" i="113"/>
  <c r="AF117" i="113"/>
  <c r="AF118" i="113"/>
  <c r="AF119" i="113"/>
  <c r="AF120" i="113"/>
  <c r="AF121" i="113"/>
  <c r="AF122" i="113"/>
  <c r="AF123" i="113"/>
  <c r="AF124" i="113"/>
  <c r="AF125" i="113"/>
  <c r="AF126" i="113"/>
  <c r="AF127" i="113"/>
  <c r="AF128" i="113"/>
  <c r="AF129" i="113"/>
  <c r="AF130" i="113"/>
  <c r="AF131" i="113"/>
  <c r="AF132" i="113"/>
  <c r="AF133" i="113"/>
  <c r="AF134" i="113"/>
  <c r="AF135" i="113"/>
  <c r="AF136" i="113"/>
  <c r="AF137" i="113"/>
  <c r="AF138" i="113"/>
  <c r="AF139" i="113"/>
  <c r="AF140" i="113"/>
  <c r="AF141" i="113"/>
  <c r="AF142" i="113"/>
  <c r="AF143" i="113"/>
  <c r="AF144" i="113"/>
  <c r="AF145" i="113"/>
  <c r="AF146" i="113"/>
  <c r="AF147" i="113"/>
  <c r="AF149" i="113"/>
  <c r="AF150" i="113"/>
  <c r="AF151" i="113"/>
  <c r="AF152" i="113"/>
  <c r="AF153" i="113"/>
  <c r="AF154" i="113"/>
  <c r="AF155" i="113"/>
  <c r="AF156" i="113"/>
  <c r="AF157" i="113"/>
  <c r="AF159" i="113"/>
  <c r="AF160" i="113"/>
  <c r="AF161" i="113"/>
  <c r="AF162" i="113"/>
  <c r="AF163" i="113"/>
  <c r="AF164" i="113"/>
  <c r="AF166" i="113"/>
  <c r="AF167" i="113"/>
  <c r="AF168" i="113"/>
  <c r="AF169" i="113"/>
  <c r="AF170" i="113"/>
  <c r="AF171" i="113"/>
  <c r="AF172" i="113"/>
  <c r="AF173" i="113"/>
  <c r="AF174" i="113"/>
  <c r="AF175" i="113"/>
  <c r="AF176" i="113"/>
  <c r="AF177" i="113"/>
  <c r="AF179" i="113"/>
  <c r="AF180" i="113"/>
  <c r="AF181" i="113"/>
  <c r="AF182" i="113"/>
  <c r="AF183" i="113"/>
  <c r="AF184" i="113"/>
  <c r="AF185" i="113"/>
  <c r="AF186" i="113"/>
  <c r="AF187" i="113"/>
  <c r="AF189" i="113"/>
  <c r="AF191" i="113"/>
  <c r="AF192" i="113"/>
  <c r="AF193" i="113"/>
  <c r="AF196" i="113"/>
  <c r="AF197" i="113"/>
  <c r="AF200" i="113"/>
  <c r="AF198" i="113"/>
  <c r="AF199" i="113"/>
  <c r="AB9" i="113"/>
  <c r="AB10" i="113"/>
  <c r="AB11" i="113"/>
  <c r="AB12" i="113"/>
  <c r="AB13" i="113"/>
  <c r="AB14" i="113"/>
  <c r="AB15" i="113"/>
  <c r="AB16" i="113"/>
  <c r="AB17" i="113"/>
  <c r="AB18" i="113"/>
  <c r="AB19" i="113"/>
  <c r="AB20" i="113"/>
  <c r="AB21" i="113"/>
  <c r="AB22" i="113"/>
  <c r="AB23" i="113"/>
  <c r="AB24" i="113"/>
  <c r="AB25" i="113"/>
  <c r="AB26" i="113"/>
  <c r="AB27" i="113"/>
  <c r="AB28" i="113"/>
  <c r="AB29" i="113"/>
  <c r="AB30" i="113"/>
  <c r="AB31" i="113"/>
  <c r="AB32" i="113"/>
  <c r="AB33" i="113"/>
  <c r="AB34" i="113"/>
  <c r="AB35" i="113"/>
  <c r="AB36" i="113"/>
  <c r="AB37" i="113"/>
  <c r="AB38" i="113"/>
  <c r="AB39" i="113"/>
  <c r="AB40" i="113"/>
  <c r="AB41" i="113"/>
  <c r="AB42" i="113"/>
  <c r="AB43" i="113"/>
  <c r="AB44" i="113"/>
  <c r="AB45" i="113"/>
  <c r="AB46" i="113"/>
  <c r="AB47" i="113"/>
  <c r="AB48" i="113"/>
  <c r="AB49" i="113"/>
  <c r="AB50" i="113"/>
  <c r="AB51" i="113"/>
  <c r="AB52" i="113"/>
  <c r="AB53" i="113"/>
  <c r="AB54" i="113"/>
  <c r="AB55" i="113"/>
  <c r="AB56" i="113"/>
  <c r="AB57" i="113"/>
  <c r="AB58" i="113"/>
  <c r="AB59" i="113"/>
  <c r="AB60" i="113"/>
  <c r="AB61" i="113"/>
  <c r="AB62" i="113"/>
  <c r="AB63" i="113"/>
  <c r="AB64" i="113"/>
  <c r="AB65" i="113"/>
  <c r="AB66" i="113"/>
  <c r="AB67" i="113"/>
  <c r="AB68" i="113"/>
  <c r="AB69" i="113"/>
  <c r="AB70" i="113"/>
  <c r="AB71" i="113"/>
  <c r="AB72" i="113"/>
  <c r="AB73" i="113"/>
  <c r="AB75" i="113"/>
  <c r="AB76" i="113"/>
  <c r="AB77" i="113"/>
  <c r="AB78" i="113"/>
  <c r="AB79" i="113"/>
  <c r="AB80" i="113"/>
  <c r="AB81" i="113"/>
  <c r="AB82" i="113"/>
  <c r="AB83" i="113"/>
  <c r="AB84" i="113"/>
  <c r="AB85" i="113"/>
  <c r="AB86" i="113"/>
  <c r="AB87" i="113"/>
  <c r="AB88" i="113"/>
  <c r="AB90" i="113"/>
  <c r="AB91" i="113"/>
  <c r="AB92" i="113"/>
  <c r="AB93" i="113"/>
  <c r="AB94" i="113"/>
  <c r="AB95" i="113"/>
  <c r="AB96" i="113"/>
  <c r="AB97" i="113"/>
  <c r="AB98" i="113"/>
  <c r="AB99" i="113"/>
  <c r="AB100" i="113"/>
  <c r="AB101" i="113"/>
  <c r="AB102" i="113"/>
  <c r="AB103" i="113"/>
  <c r="AB104" i="113"/>
  <c r="AB105" i="113"/>
  <c r="AB106" i="113"/>
  <c r="AB107" i="113"/>
  <c r="AB108" i="113"/>
  <c r="AB109" i="113"/>
  <c r="AB111" i="113"/>
  <c r="AB112" i="113"/>
  <c r="AB113" i="113"/>
  <c r="AB114" i="113"/>
  <c r="AB115" i="113"/>
  <c r="AB116" i="113"/>
  <c r="AB117" i="113"/>
  <c r="AB118" i="113"/>
  <c r="AB119" i="113"/>
  <c r="AB120" i="113"/>
  <c r="AB121" i="113"/>
  <c r="AB122" i="113"/>
  <c r="AB123" i="113"/>
  <c r="AB124" i="113"/>
  <c r="AB125" i="113"/>
  <c r="AB126" i="113"/>
  <c r="AB127" i="113"/>
  <c r="AB128" i="113"/>
  <c r="AB129" i="113"/>
  <c r="AB130" i="113"/>
  <c r="AB131" i="113"/>
  <c r="AB132" i="113"/>
  <c r="AB133" i="113"/>
  <c r="AB134" i="113"/>
  <c r="AB135" i="113"/>
  <c r="AB136" i="113"/>
  <c r="AB137" i="113"/>
  <c r="AB138" i="113"/>
  <c r="AB139" i="113"/>
  <c r="AB140" i="113"/>
  <c r="AB141" i="113"/>
  <c r="AB142" i="113"/>
  <c r="AB143" i="113"/>
  <c r="AB144" i="113"/>
  <c r="AB145" i="113"/>
  <c r="AB146" i="113"/>
  <c r="AB147" i="113"/>
  <c r="AB149" i="113"/>
  <c r="AB150" i="113"/>
  <c r="AB151" i="113"/>
  <c r="AB152" i="113"/>
  <c r="AB153" i="113"/>
  <c r="AB154" i="113"/>
  <c r="AB155" i="113"/>
  <c r="AB156" i="113"/>
  <c r="AB157" i="113"/>
  <c r="AB159" i="113"/>
  <c r="AB160" i="113"/>
  <c r="AB161" i="113"/>
  <c r="AB162" i="113"/>
  <c r="AB163" i="113"/>
  <c r="AB164" i="113"/>
  <c r="AB166" i="113"/>
  <c r="AB167" i="113"/>
  <c r="AB168" i="113"/>
  <c r="AB169" i="113"/>
  <c r="AB170" i="113"/>
  <c r="AB171" i="113"/>
  <c r="AB172" i="113"/>
  <c r="AB173" i="113"/>
  <c r="AB174" i="113"/>
  <c r="AB175" i="113"/>
  <c r="AB176" i="113"/>
  <c r="AB177" i="113"/>
  <c r="AB179" i="113"/>
  <c r="AB180" i="113"/>
  <c r="AB181" i="113"/>
  <c r="AB182" i="113"/>
  <c r="AB183" i="113"/>
  <c r="AB184" i="113"/>
  <c r="AB185" i="113"/>
  <c r="AB186" i="113"/>
  <c r="AB187" i="113"/>
  <c r="AB189" i="113"/>
  <c r="AB191" i="113"/>
  <c r="AB192" i="113"/>
  <c r="AB193" i="113"/>
  <c r="AB196" i="113"/>
  <c r="AB197" i="113"/>
  <c r="AB200" i="113"/>
  <c r="AB198" i="113"/>
  <c r="AB199" i="113"/>
  <c r="X9" i="113"/>
  <c r="X10" i="113"/>
  <c r="X11" i="113"/>
  <c r="X12" i="113"/>
  <c r="X13" i="113"/>
  <c r="X14" i="113"/>
  <c r="X15" i="113"/>
  <c r="X16" i="113"/>
  <c r="X17" i="113"/>
  <c r="X18" i="113"/>
  <c r="X19" i="113"/>
  <c r="X20" i="113"/>
  <c r="X21" i="113"/>
  <c r="X22" i="113"/>
  <c r="X23" i="113"/>
  <c r="X24" i="113"/>
  <c r="X25" i="113"/>
  <c r="X26" i="113"/>
  <c r="X27" i="113"/>
  <c r="X28" i="113"/>
  <c r="X29" i="113"/>
  <c r="X30" i="113"/>
  <c r="X31" i="113"/>
  <c r="X32" i="113"/>
  <c r="X33" i="113"/>
  <c r="X34" i="113"/>
  <c r="X35" i="113"/>
  <c r="X36" i="113"/>
  <c r="X37" i="113"/>
  <c r="X38" i="113"/>
  <c r="X39" i="113"/>
  <c r="X40" i="113"/>
  <c r="X41" i="113"/>
  <c r="X42" i="113"/>
  <c r="X43" i="113"/>
  <c r="X44" i="113"/>
  <c r="X45" i="113"/>
  <c r="X46" i="113"/>
  <c r="X47" i="113"/>
  <c r="X48" i="113"/>
  <c r="X49" i="113"/>
  <c r="X50" i="113"/>
  <c r="X51" i="113"/>
  <c r="X52" i="113"/>
  <c r="X53" i="113"/>
  <c r="X54" i="113"/>
  <c r="X55" i="113"/>
  <c r="X56" i="113"/>
  <c r="X57" i="113"/>
  <c r="X58" i="113"/>
  <c r="X59" i="113"/>
  <c r="X60" i="113"/>
  <c r="X61" i="113"/>
  <c r="X62" i="113"/>
  <c r="X63" i="113"/>
  <c r="X64" i="113"/>
  <c r="X65" i="113"/>
  <c r="X66" i="113"/>
  <c r="X67" i="113"/>
  <c r="X68" i="113"/>
  <c r="X69" i="113"/>
  <c r="X70" i="113"/>
  <c r="X71" i="113"/>
  <c r="X72" i="113"/>
  <c r="X73" i="113"/>
  <c r="X75" i="113"/>
  <c r="X76" i="113"/>
  <c r="X77" i="113"/>
  <c r="X78" i="113"/>
  <c r="X79" i="113"/>
  <c r="X80" i="113"/>
  <c r="X81" i="113"/>
  <c r="X82" i="113"/>
  <c r="X83" i="113"/>
  <c r="X84" i="113"/>
  <c r="X85" i="113"/>
  <c r="X86" i="113"/>
  <c r="X87" i="113"/>
  <c r="X88" i="113"/>
  <c r="X90" i="113"/>
  <c r="X91" i="113"/>
  <c r="X92" i="113"/>
  <c r="X93" i="113"/>
  <c r="X94" i="113"/>
  <c r="X95" i="113"/>
  <c r="X96" i="113"/>
  <c r="X97" i="113"/>
  <c r="X98" i="113"/>
  <c r="X99" i="113"/>
  <c r="X100" i="113"/>
  <c r="X101" i="113"/>
  <c r="X102" i="113"/>
  <c r="X103" i="113"/>
  <c r="X104" i="113"/>
  <c r="X105" i="113"/>
  <c r="X106" i="113"/>
  <c r="X107" i="113"/>
  <c r="X108" i="113"/>
  <c r="X109" i="113"/>
  <c r="X111" i="113"/>
  <c r="X112" i="113"/>
  <c r="X113" i="113"/>
  <c r="X114" i="113"/>
  <c r="X115" i="113"/>
  <c r="X116" i="113"/>
  <c r="X117" i="113"/>
  <c r="X118" i="113"/>
  <c r="X119" i="113"/>
  <c r="X120" i="113"/>
  <c r="X121" i="113"/>
  <c r="X122" i="113"/>
  <c r="X123" i="113"/>
  <c r="X124" i="113"/>
  <c r="X125" i="113"/>
  <c r="X126" i="113"/>
  <c r="X127" i="113"/>
  <c r="X128" i="113"/>
  <c r="X129" i="113"/>
  <c r="X130" i="113"/>
  <c r="X131" i="113"/>
  <c r="X132" i="113"/>
  <c r="X133" i="113"/>
  <c r="X134" i="113"/>
  <c r="X135" i="113"/>
  <c r="X136" i="113"/>
  <c r="X137" i="113"/>
  <c r="X138" i="113"/>
  <c r="X139" i="113"/>
  <c r="X140" i="113"/>
  <c r="X141" i="113"/>
  <c r="X142" i="113"/>
  <c r="X143" i="113"/>
  <c r="X144" i="113"/>
  <c r="X145" i="113"/>
  <c r="X146" i="113"/>
  <c r="X147" i="113"/>
  <c r="X149" i="113"/>
  <c r="X150" i="113"/>
  <c r="X151" i="113"/>
  <c r="X152" i="113"/>
  <c r="X153" i="113"/>
  <c r="X154" i="113"/>
  <c r="X155" i="113"/>
  <c r="X156" i="113"/>
  <c r="X157" i="113"/>
  <c r="X159" i="113"/>
  <c r="X160" i="113"/>
  <c r="X161" i="113"/>
  <c r="X162" i="113"/>
  <c r="X163" i="113"/>
  <c r="X164" i="113"/>
  <c r="X166" i="113"/>
  <c r="X167" i="113"/>
  <c r="X168" i="113"/>
  <c r="X169" i="113"/>
  <c r="X170" i="113"/>
  <c r="X171" i="113"/>
  <c r="X172" i="113"/>
  <c r="X173" i="113"/>
  <c r="X174" i="113"/>
  <c r="X175" i="113"/>
  <c r="X176" i="113"/>
  <c r="X177" i="113"/>
  <c r="X179" i="113"/>
  <c r="X180" i="113"/>
  <c r="X181" i="113"/>
  <c r="X182" i="113"/>
  <c r="X183" i="113"/>
  <c r="X184" i="113"/>
  <c r="X185" i="113"/>
  <c r="X186" i="113"/>
  <c r="X187" i="113"/>
  <c r="X189" i="113"/>
  <c r="X191" i="113"/>
  <c r="X192" i="113"/>
  <c r="X193" i="113"/>
  <c r="X196" i="113"/>
  <c r="X197" i="113"/>
  <c r="X200" i="113"/>
  <c r="X198" i="113"/>
  <c r="X199" i="113"/>
  <c r="BT181" i="113" l="1"/>
  <c r="CD181" i="113"/>
  <c r="BT154" i="113"/>
  <c r="CD154" i="113"/>
  <c r="BT129" i="113"/>
  <c r="CD129" i="113"/>
  <c r="BT104" i="113"/>
  <c r="CD104" i="113"/>
  <c r="BT79" i="113"/>
  <c r="CD79" i="113"/>
  <c r="BT46" i="113"/>
  <c r="CD46" i="113"/>
  <c r="BT22" i="113"/>
  <c r="CD22" i="113"/>
  <c r="BT199" i="113"/>
  <c r="CD199" i="113"/>
  <c r="BT189" i="113"/>
  <c r="CD189" i="113"/>
  <c r="BT180" i="113"/>
  <c r="CD180" i="113"/>
  <c r="BT171" i="113"/>
  <c r="CD171" i="113"/>
  <c r="BT162" i="113"/>
  <c r="CD162" i="113"/>
  <c r="BT153" i="113"/>
  <c r="CD153" i="113"/>
  <c r="BT144" i="113"/>
  <c r="CD144" i="113"/>
  <c r="BT136" i="113"/>
  <c r="CD136" i="113"/>
  <c r="BT128" i="113"/>
  <c r="CD128" i="113"/>
  <c r="BT120" i="113"/>
  <c r="CD120" i="113"/>
  <c r="BT112" i="113"/>
  <c r="CD112" i="113"/>
  <c r="BT103" i="113"/>
  <c r="CD103" i="113"/>
  <c r="BT95" i="113"/>
  <c r="CD95" i="113"/>
  <c r="BT86" i="113"/>
  <c r="CD86" i="113"/>
  <c r="BT78" i="113"/>
  <c r="CD78" i="113"/>
  <c r="BT69" i="113"/>
  <c r="CD69" i="113"/>
  <c r="BT61" i="113"/>
  <c r="CD61" i="113"/>
  <c r="BT53" i="113"/>
  <c r="CD53" i="113"/>
  <c r="BT45" i="113"/>
  <c r="CD45" i="113"/>
  <c r="BT37" i="113"/>
  <c r="CD37" i="113"/>
  <c r="BT29" i="113"/>
  <c r="CD29" i="113"/>
  <c r="BT21" i="113"/>
  <c r="CD21" i="113"/>
  <c r="BT13" i="113"/>
  <c r="CD13" i="113"/>
  <c r="BT173" i="113"/>
  <c r="CD173" i="113"/>
  <c r="BT130" i="113"/>
  <c r="CD130" i="113"/>
  <c r="BT97" i="113"/>
  <c r="CD97" i="113"/>
  <c r="BT55" i="113"/>
  <c r="CD55" i="113"/>
  <c r="BT15" i="113"/>
  <c r="CD15" i="113"/>
  <c r="BT191" i="113"/>
  <c r="CD191" i="113"/>
  <c r="BT172" i="113"/>
  <c r="CD172" i="113"/>
  <c r="BT145" i="113"/>
  <c r="CD145" i="113"/>
  <c r="BT121" i="113"/>
  <c r="CD121" i="113"/>
  <c r="BT96" i="113"/>
  <c r="CD96" i="113"/>
  <c r="BT70" i="113"/>
  <c r="CD70" i="113"/>
  <c r="BT54" i="113"/>
  <c r="CD54" i="113"/>
  <c r="BT30" i="113"/>
  <c r="CD30" i="113"/>
  <c r="BT14" i="113"/>
  <c r="CD14" i="113"/>
  <c r="BT198" i="113"/>
  <c r="CD198" i="113"/>
  <c r="BT187" i="113"/>
  <c r="CD187" i="113"/>
  <c r="BT179" i="113"/>
  <c r="CD179" i="113"/>
  <c r="BT170" i="113"/>
  <c r="CD170" i="113"/>
  <c r="BT161" i="113"/>
  <c r="CD161" i="113"/>
  <c r="BT152" i="113"/>
  <c r="CD152" i="113"/>
  <c r="BT143" i="113"/>
  <c r="CD143" i="113"/>
  <c r="BT135" i="113"/>
  <c r="CD135" i="113"/>
  <c r="BT127" i="113"/>
  <c r="CD127" i="113"/>
  <c r="BT119" i="113"/>
  <c r="CD119" i="113"/>
  <c r="BT111" i="113"/>
  <c r="CD111" i="113"/>
  <c r="BT102" i="113"/>
  <c r="CD102" i="113"/>
  <c r="BT94" i="113"/>
  <c r="CD94" i="113"/>
  <c r="BT85" i="113"/>
  <c r="CD85" i="113"/>
  <c r="BT77" i="113"/>
  <c r="CD77" i="113"/>
  <c r="BT68" i="113"/>
  <c r="CD68" i="113"/>
  <c r="BT60" i="113"/>
  <c r="CD60" i="113"/>
  <c r="BT52" i="113"/>
  <c r="CD52" i="113"/>
  <c r="BT44" i="113"/>
  <c r="CD44" i="113"/>
  <c r="BT36" i="113"/>
  <c r="CD36" i="113"/>
  <c r="BT28" i="113"/>
  <c r="CD28" i="113"/>
  <c r="BT20" i="113"/>
  <c r="CD20" i="113"/>
  <c r="BT12" i="113"/>
  <c r="CD12" i="113"/>
  <c r="BT192" i="113"/>
  <c r="CD192" i="113"/>
  <c r="BT138" i="113"/>
  <c r="CD138" i="113"/>
  <c r="BT88" i="113"/>
  <c r="CD88" i="113"/>
  <c r="BT31" i="113"/>
  <c r="CD31" i="113"/>
  <c r="BT163" i="113"/>
  <c r="CD163" i="113"/>
  <c r="BT137" i="113"/>
  <c r="CD137" i="113"/>
  <c r="BT113" i="113"/>
  <c r="CD113" i="113"/>
  <c r="BT87" i="113"/>
  <c r="CD87" i="113"/>
  <c r="BT62" i="113"/>
  <c r="CD62" i="113"/>
  <c r="BT38" i="113"/>
  <c r="CD38" i="113"/>
  <c r="BT200" i="113"/>
  <c r="CD200" i="113"/>
  <c r="BT186" i="113"/>
  <c r="CD186" i="113"/>
  <c r="BT177" i="113"/>
  <c r="CD177" i="113"/>
  <c r="BT169" i="113"/>
  <c r="CD169" i="113"/>
  <c r="BT160" i="113"/>
  <c r="CD160" i="113"/>
  <c r="BT151" i="113"/>
  <c r="CD151" i="113"/>
  <c r="BT142" i="113"/>
  <c r="CD142" i="113"/>
  <c r="BT134" i="113"/>
  <c r="CD134" i="113"/>
  <c r="BT126" i="113"/>
  <c r="CD126" i="113"/>
  <c r="BT118" i="113"/>
  <c r="CD118" i="113"/>
  <c r="BT109" i="113"/>
  <c r="CD109" i="113"/>
  <c r="BT101" i="113"/>
  <c r="CD101" i="113"/>
  <c r="BT93" i="113"/>
  <c r="CD93" i="113"/>
  <c r="BT84" i="113"/>
  <c r="CD84" i="113"/>
  <c r="BT76" i="113"/>
  <c r="CD76" i="113"/>
  <c r="BT67" i="113"/>
  <c r="CD67" i="113"/>
  <c r="BT59" i="113"/>
  <c r="CD59" i="113"/>
  <c r="BT51" i="113"/>
  <c r="CD51" i="113"/>
  <c r="BT43" i="113"/>
  <c r="CD43" i="113"/>
  <c r="BT35" i="113"/>
  <c r="CD35" i="113"/>
  <c r="BT27" i="113"/>
  <c r="CD27" i="113"/>
  <c r="BT19" i="113"/>
  <c r="CD19" i="113"/>
  <c r="BT11" i="113"/>
  <c r="CD11" i="113"/>
  <c r="BT164" i="113"/>
  <c r="CD164" i="113"/>
  <c r="BT122" i="113"/>
  <c r="CD122" i="113"/>
  <c r="BT63" i="113"/>
  <c r="CD63" i="113"/>
  <c r="BT23" i="113"/>
  <c r="CD23" i="113"/>
  <c r="BT168" i="113"/>
  <c r="CD168" i="113"/>
  <c r="BT141" i="113"/>
  <c r="CD141" i="113"/>
  <c r="BT108" i="113"/>
  <c r="CD108" i="113"/>
  <c r="BT75" i="113"/>
  <c r="CD75" i="113"/>
  <c r="BT58" i="113"/>
  <c r="CD58" i="113"/>
  <c r="BT34" i="113"/>
  <c r="CD34" i="113"/>
  <c r="BT10" i="113"/>
  <c r="CD10" i="113"/>
  <c r="BT182" i="113"/>
  <c r="CD182" i="113"/>
  <c r="BT146" i="113"/>
  <c r="CD146" i="113"/>
  <c r="BT105" i="113"/>
  <c r="CD105" i="113"/>
  <c r="BT71" i="113"/>
  <c r="CD71" i="113"/>
  <c r="BT39" i="113"/>
  <c r="CD39" i="113"/>
  <c r="BT197" i="113"/>
  <c r="CD197" i="113"/>
  <c r="BT176" i="113"/>
  <c r="CD176" i="113"/>
  <c r="BT150" i="113"/>
  <c r="CD150" i="113"/>
  <c r="BT125" i="113"/>
  <c r="CD125" i="113"/>
  <c r="BT100" i="113"/>
  <c r="CD100" i="113"/>
  <c r="BT92" i="113"/>
  <c r="CD92" i="113"/>
  <c r="BT66" i="113"/>
  <c r="CD66" i="113"/>
  <c r="BT42" i="113"/>
  <c r="CD42" i="113"/>
  <c r="BT18" i="113"/>
  <c r="CD18" i="113"/>
  <c r="BT196" i="113"/>
  <c r="CD196" i="113"/>
  <c r="BT184" i="113"/>
  <c r="CD184" i="113"/>
  <c r="BT175" i="113"/>
  <c r="CD175" i="113"/>
  <c r="BT167" i="113"/>
  <c r="CD167" i="113"/>
  <c r="BT157" i="113"/>
  <c r="CD157" i="113"/>
  <c r="BT149" i="113"/>
  <c r="CD149" i="113"/>
  <c r="BT140" i="113"/>
  <c r="CD140" i="113"/>
  <c r="BT132" i="113"/>
  <c r="CD132" i="113"/>
  <c r="BT124" i="113"/>
  <c r="CD124" i="113"/>
  <c r="BT116" i="113"/>
  <c r="CD116" i="113"/>
  <c r="BT107" i="113"/>
  <c r="CD107" i="113"/>
  <c r="BT99" i="113"/>
  <c r="CD99" i="113"/>
  <c r="BT91" i="113"/>
  <c r="CD91" i="113"/>
  <c r="BT82" i="113"/>
  <c r="CD82" i="113"/>
  <c r="BT73" i="113"/>
  <c r="CD73" i="113"/>
  <c r="BT65" i="113"/>
  <c r="CD65" i="113"/>
  <c r="BT57" i="113"/>
  <c r="CD57" i="113"/>
  <c r="BT49" i="113"/>
  <c r="CD49" i="113"/>
  <c r="BT41" i="113"/>
  <c r="CD41" i="113"/>
  <c r="BT33" i="113"/>
  <c r="CD33" i="113"/>
  <c r="BT25" i="113"/>
  <c r="CD25" i="113"/>
  <c r="BT17" i="113"/>
  <c r="CD17" i="113"/>
  <c r="BT9" i="113"/>
  <c r="CD9" i="113"/>
  <c r="BT155" i="113"/>
  <c r="CD155" i="113"/>
  <c r="BT114" i="113"/>
  <c r="CD114" i="113"/>
  <c r="BT80" i="113"/>
  <c r="CD80" i="113"/>
  <c r="BT47" i="113"/>
  <c r="CD47" i="113"/>
  <c r="BT185" i="113"/>
  <c r="CD185" i="113"/>
  <c r="BT159" i="113"/>
  <c r="CD159" i="113"/>
  <c r="BT133" i="113"/>
  <c r="CD133" i="113"/>
  <c r="BT117" i="113"/>
  <c r="CD117" i="113"/>
  <c r="BT83" i="113"/>
  <c r="CD83" i="113"/>
  <c r="BT50" i="113"/>
  <c r="CD50" i="113"/>
  <c r="BT26" i="113"/>
  <c r="CD26" i="113"/>
  <c r="BT193" i="113"/>
  <c r="CD193" i="113"/>
  <c r="BT183" i="113"/>
  <c r="CD183" i="113"/>
  <c r="BT174" i="113"/>
  <c r="CD174" i="113"/>
  <c r="BT166" i="113"/>
  <c r="CD166" i="113"/>
  <c r="BT156" i="113"/>
  <c r="CD156" i="113"/>
  <c r="BT147" i="113"/>
  <c r="CD147" i="113"/>
  <c r="BT139" i="113"/>
  <c r="CD139" i="113"/>
  <c r="BT131" i="113"/>
  <c r="CD131" i="113"/>
  <c r="BT123" i="113"/>
  <c r="CD123" i="113"/>
  <c r="BT115" i="113"/>
  <c r="CD115" i="113"/>
  <c r="BT106" i="113"/>
  <c r="CD106" i="113"/>
  <c r="BT98" i="113"/>
  <c r="CD98" i="113"/>
  <c r="BT90" i="113"/>
  <c r="CD90" i="113"/>
  <c r="BT81" i="113"/>
  <c r="CD81" i="113"/>
  <c r="BT72" i="113"/>
  <c r="CD72" i="113"/>
  <c r="BT64" i="113"/>
  <c r="CD64" i="113"/>
  <c r="BT56" i="113"/>
  <c r="CD56" i="113"/>
  <c r="BT48" i="113"/>
  <c r="CD48" i="113"/>
  <c r="BT40" i="113"/>
  <c r="CD40" i="113"/>
  <c r="BT32" i="113"/>
  <c r="CD32" i="113"/>
  <c r="BT24" i="113"/>
  <c r="CD24" i="113"/>
  <c r="BT16" i="113"/>
  <c r="CD16" i="113"/>
  <c r="X89" i="113"/>
  <c r="AB89" i="113"/>
  <c r="AF89" i="113"/>
  <c r="AJ89" i="113"/>
  <c r="AN89" i="113"/>
  <c r="AV89" i="113"/>
  <c r="AZ89" i="113"/>
  <c r="BD89" i="113"/>
  <c r="BH89" i="113"/>
  <c r="BL89" i="113"/>
  <c r="X158" i="113"/>
  <c r="X110" i="113"/>
  <c r="AB158" i="113"/>
  <c r="AB110" i="113"/>
  <c r="AF190" i="113"/>
  <c r="AF158" i="113"/>
  <c r="AF110" i="113"/>
  <c r="AJ190" i="113"/>
  <c r="AJ158" i="113"/>
  <c r="AJ110" i="113"/>
  <c r="AN190" i="113"/>
  <c r="AN158" i="113"/>
  <c r="AN110" i="113"/>
  <c r="AV190" i="113"/>
  <c r="AV158" i="113"/>
  <c r="AV110" i="113"/>
  <c r="AZ190" i="113"/>
  <c r="AZ158" i="113"/>
  <c r="AZ110" i="113"/>
  <c r="BD190" i="113"/>
  <c r="BD158" i="113"/>
  <c r="BD110" i="113"/>
  <c r="BH190" i="113"/>
  <c r="BH158" i="113"/>
  <c r="BH110" i="113"/>
  <c r="BL190" i="113"/>
  <c r="BL158" i="113"/>
  <c r="BL110" i="113"/>
  <c r="BP190" i="113"/>
  <c r="X190" i="113"/>
  <c r="X165" i="113"/>
  <c r="AB165" i="113"/>
  <c r="AF165" i="113"/>
  <c r="AJ165" i="113"/>
  <c r="AN165" i="113"/>
  <c r="AV165" i="113"/>
  <c r="AZ165" i="113"/>
  <c r="BD165" i="113"/>
  <c r="BH165" i="113"/>
  <c r="BL165" i="113"/>
  <c r="X188" i="113"/>
  <c r="AF188" i="113"/>
  <c r="AF148" i="113"/>
  <c r="AJ188" i="113"/>
  <c r="AJ148" i="113"/>
  <c r="AN188" i="113"/>
  <c r="AN148" i="113"/>
  <c r="AV188" i="113"/>
  <c r="AV148" i="113"/>
  <c r="AZ188" i="113"/>
  <c r="AZ148" i="113"/>
  <c r="BD188" i="113"/>
  <c r="BD148" i="113"/>
  <c r="BH188" i="113"/>
  <c r="BH148" i="113"/>
  <c r="BL188" i="113"/>
  <c r="BL148" i="113"/>
  <c r="BP188" i="113"/>
  <c r="BP148" i="113"/>
  <c r="X148" i="113"/>
  <c r="X195" i="113"/>
  <c r="AB195" i="113"/>
  <c r="AF195" i="113"/>
  <c r="AJ195" i="113"/>
  <c r="AN195" i="113"/>
  <c r="AV195" i="113"/>
  <c r="AZ195" i="113"/>
  <c r="BD195" i="113"/>
  <c r="BH195" i="113"/>
  <c r="BL195" i="113"/>
  <c r="BP74" i="113"/>
  <c r="X194" i="113"/>
  <c r="X178" i="113"/>
  <c r="X74" i="113"/>
  <c r="AB194" i="113"/>
  <c r="AB178" i="113"/>
  <c r="AB74" i="113"/>
  <c r="AF194" i="113"/>
  <c r="AF178" i="113"/>
  <c r="AF74" i="113"/>
  <c r="AJ194" i="113"/>
  <c r="AJ178" i="113"/>
  <c r="AJ74" i="113"/>
  <c r="AN194" i="113"/>
  <c r="AN178" i="113"/>
  <c r="AN74" i="113"/>
  <c r="AV194" i="113"/>
  <c r="AV178" i="113"/>
  <c r="AV74" i="113"/>
  <c r="AZ194" i="113"/>
  <c r="AZ178" i="113"/>
  <c r="AZ74" i="113"/>
  <c r="BD194" i="113"/>
  <c r="BD178" i="113"/>
  <c r="BD74" i="113"/>
  <c r="BH194" i="113"/>
  <c r="BH178" i="113"/>
  <c r="BH74" i="113"/>
  <c r="BL194" i="113"/>
  <c r="BL178" i="113"/>
  <c r="BP57" i="113"/>
  <c r="BP49" i="113"/>
  <c r="BP41" i="113"/>
  <c r="BP33" i="113"/>
  <c r="BP25" i="113"/>
  <c r="BP17" i="113"/>
  <c r="BP9" i="113"/>
  <c r="BP95" i="113"/>
  <c r="BP87" i="113"/>
  <c r="BP79" i="113"/>
  <c r="BP71" i="113"/>
  <c r="BP63" i="113"/>
  <c r="BP55" i="113"/>
  <c r="BP47" i="113"/>
  <c r="BP39" i="113"/>
  <c r="BP31" i="113"/>
  <c r="BP23" i="113"/>
  <c r="BP15" i="113"/>
  <c r="BP22" i="113"/>
  <c r="BP14" i="113"/>
  <c r="BP85" i="113"/>
  <c r="BP77" i="113"/>
  <c r="BP69" i="113"/>
  <c r="BP61" i="113"/>
  <c r="BP53" i="113"/>
  <c r="BP45" i="113"/>
  <c r="BP37" i="113"/>
  <c r="BP29" i="113"/>
  <c r="BP21" i="113"/>
  <c r="BP13" i="113"/>
  <c r="BP92" i="113"/>
  <c r="BP84" i="113"/>
  <c r="BP76" i="113"/>
  <c r="BP68" i="113"/>
  <c r="BP60" i="113"/>
  <c r="BP52" i="113"/>
  <c r="BP44" i="113"/>
  <c r="BP36" i="113"/>
  <c r="BP28" i="113"/>
  <c r="BP20" i="113"/>
  <c r="BP12" i="113"/>
  <c r="BP75" i="113"/>
  <c r="BP67" i="113"/>
  <c r="BP59" i="113"/>
  <c r="BP51" i="113"/>
  <c r="BP43" i="113"/>
  <c r="BP35" i="113"/>
  <c r="BP27" i="113"/>
  <c r="BP19" i="113"/>
  <c r="EA29" i="120"/>
  <c r="BT165" i="113" l="1"/>
  <c r="CD165" i="113"/>
  <c r="BT158" i="113"/>
  <c r="CD158" i="113"/>
  <c r="BT194" i="113"/>
  <c r="CD194" i="113"/>
  <c r="BT190" i="113"/>
  <c r="CD190" i="113"/>
  <c r="BT148" i="113"/>
  <c r="CD148" i="113"/>
  <c r="BT89" i="113"/>
  <c r="CD89" i="113"/>
  <c r="BT188" i="113"/>
  <c r="CD188" i="113"/>
  <c r="BT178" i="113"/>
  <c r="CD178" i="113"/>
  <c r="BT74" i="113"/>
  <c r="CD74" i="113"/>
  <c r="BT195" i="113"/>
  <c r="CD195" i="113"/>
  <c r="BT110" i="113"/>
  <c r="CD110" i="113"/>
  <c r="BU197" i="113"/>
  <c r="BV197" i="113"/>
  <c r="BV196" i="113"/>
  <c r="BU196" i="113"/>
  <c r="BU199" i="113"/>
  <c r="BV199" i="113"/>
  <c r="BU195" i="113"/>
  <c r="BV195" i="113"/>
  <c r="BV194" i="113"/>
  <c r="BU194" i="113"/>
  <c r="BU193" i="113"/>
  <c r="BV193" i="113"/>
  <c r="BR97" i="113" l="1"/>
  <c r="BQ97" i="113"/>
  <c r="BM97" i="113"/>
  <c r="BI97" i="113"/>
  <c r="BE97" i="113"/>
  <c r="BE98" i="113"/>
  <c r="K238" i="60"/>
  <c r="BV98" i="113" l="1"/>
  <c r="BU98" i="113"/>
  <c r="EI376" i="120"/>
  <c r="EH376" i="120"/>
  <c r="EI27" i="120"/>
  <c r="EH27" i="120"/>
  <c r="EI358" i="120"/>
  <c r="EH358" i="120"/>
  <c r="EI356" i="120"/>
  <c r="EH356" i="120"/>
  <c r="EI25" i="120"/>
  <c r="EH25" i="120"/>
  <c r="EI8" i="120"/>
  <c r="EH8" i="120"/>
  <c r="EI397" i="120"/>
  <c r="EH397" i="120"/>
  <c r="EI349" i="120"/>
  <c r="EH349" i="120"/>
  <c r="EI343" i="120"/>
  <c r="EH343" i="120"/>
  <c r="DL376" i="120"/>
  <c r="DZ376" i="120" s="1"/>
  <c r="DL27" i="120"/>
  <c r="DZ27" i="120" s="1"/>
  <c r="DL358" i="120"/>
  <c r="DZ358" i="120" s="1"/>
  <c r="DL356" i="120"/>
  <c r="DZ356" i="120" s="1"/>
  <c r="DL25" i="120"/>
  <c r="DZ25" i="120" s="1"/>
  <c r="DL8" i="120"/>
  <c r="DZ8" i="120" s="1"/>
  <c r="DJ376" i="120"/>
  <c r="DJ27" i="120"/>
  <c r="DJ358" i="120"/>
  <c r="DJ356" i="120"/>
  <c r="DJ25" i="120"/>
  <c r="DJ8" i="120"/>
  <c r="DJ397" i="120"/>
  <c r="DF376" i="120"/>
  <c r="DF27" i="120"/>
  <c r="DF358" i="120"/>
  <c r="DF356" i="120"/>
  <c r="DF25" i="120"/>
  <c r="DF8" i="120"/>
  <c r="DF397" i="120"/>
  <c r="DB376" i="120"/>
  <c r="DB27" i="120"/>
  <c r="DB358" i="120"/>
  <c r="DB356" i="120"/>
  <c r="DB25" i="120"/>
  <c r="DB8" i="120"/>
  <c r="DB397" i="120"/>
  <c r="CX376" i="120"/>
  <c r="CX27" i="120"/>
  <c r="CX358" i="120"/>
  <c r="CX356" i="120"/>
  <c r="CX25" i="120"/>
  <c r="CX8" i="120"/>
  <c r="CX397" i="120"/>
  <c r="CX349" i="120"/>
  <c r="CT376" i="120"/>
  <c r="CT27" i="120"/>
  <c r="CT358" i="120"/>
  <c r="CT356" i="120"/>
  <c r="CT25" i="120"/>
  <c r="CT8" i="120"/>
  <c r="CT397" i="120"/>
  <c r="CT349" i="120"/>
  <c r="CP376" i="120"/>
  <c r="CP27" i="120"/>
  <c r="CP358" i="120"/>
  <c r="CP356" i="120"/>
  <c r="CP25" i="120"/>
  <c r="CP8" i="120"/>
  <c r="CP397" i="120"/>
  <c r="CP349" i="120"/>
  <c r="EJ8" i="120"/>
  <c r="CD376" i="120"/>
  <c r="CD27" i="120"/>
  <c r="CD358" i="120"/>
  <c r="CD356" i="120"/>
  <c r="CD25" i="120"/>
  <c r="CD8" i="120"/>
  <c r="CD397" i="120"/>
  <c r="CD349" i="120"/>
  <c r="BZ376" i="120"/>
  <c r="BZ27" i="120"/>
  <c r="BZ358" i="120"/>
  <c r="BZ356" i="120"/>
  <c r="BZ25" i="120"/>
  <c r="BZ8" i="120"/>
  <c r="BZ397" i="120"/>
  <c r="BZ349" i="120"/>
  <c r="BV376" i="120"/>
  <c r="BV27" i="120"/>
  <c r="BV358" i="120"/>
  <c r="BV356" i="120"/>
  <c r="BV25" i="120"/>
  <c r="BV8" i="120"/>
  <c r="BV397" i="120"/>
  <c r="BV349" i="120"/>
  <c r="BR376" i="120"/>
  <c r="BR27" i="120"/>
  <c r="BR358" i="120"/>
  <c r="BR356" i="120"/>
  <c r="BR25" i="120"/>
  <c r="AM27" i="120"/>
  <c r="EG27" i="120"/>
  <c r="EH14" i="120"/>
  <c r="EI14" i="120"/>
  <c r="EH12" i="120"/>
  <c r="EI12" i="120"/>
  <c r="EH359" i="120"/>
  <c r="EI359" i="120"/>
  <c r="EH360" i="120"/>
  <c r="EI360" i="120"/>
  <c r="EH361" i="120"/>
  <c r="EI361" i="120"/>
  <c r="EH362" i="120"/>
  <c r="EI362" i="120"/>
  <c r="EH363" i="120"/>
  <c r="EI363" i="120"/>
  <c r="EH364" i="120"/>
  <c r="EI364" i="120"/>
  <c r="EH365" i="120"/>
  <c r="EI365" i="120"/>
  <c r="EH366" i="120"/>
  <c r="EI366" i="120"/>
  <c r="EH367" i="120"/>
  <c r="EI367" i="120"/>
  <c r="EH368" i="120"/>
  <c r="EI368" i="120"/>
  <c r="EH369" i="120"/>
  <c r="EI369" i="120"/>
  <c r="EH370" i="120"/>
  <c r="EI370" i="120"/>
  <c r="EH371" i="120"/>
  <c r="EI371" i="120"/>
  <c r="EH22" i="120"/>
  <c r="EI22" i="120"/>
  <c r="EH372" i="120"/>
  <c r="EI372" i="120"/>
  <c r="DL359" i="120"/>
  <c r="DZ359" i="120" s="1"/>
  <c r="DL360" i="120"/>
  <c r="DZ360" i="120" s="1"/>
  <c r="DL361" i="120"/>
  <c r="DZ361" i="120" s="1"/>
  <c r="DL363" i="120"/>
  <c r="DL364" i="120"/>
  <c r="DZ364" i="120" s="1"/>
  <c r="DL365" i="120"/>
  <c r="DZ365" i="120" s="1"/>
  <c r="DL366" i="120"/>
  <c r="DZ366" i="120" s="1"/>
  <c r="DL367" i="120"/>
  <c r="DZ367" i="120" s="1"/>
  <c r="DL368" i="120"/>
  <c r="DZ368" i="120" s="1"/>
  <c r="DL369" i="120"/>
  <c r="DZ369" i="120" s="1"/>
  <c r="DL370" i="120"/>
  <c r="DZ370" i="120" s="1"/>
  <c r="DL371" i="120"/>
  <c r="DZ371" i="120" s="1"/>
  <c r="DL22" i="120"/>
  <c r="DZ22" i="120" s="1"/>
  <c r="DL372" i="120"/>
  <c r="DZ372" i="120" s="1"/>
  <c r="DJ14" i="120"/>
  <c r="DJ12" i="120"/>
  <c r="DJ359" i="120"/>
  <c r="DJ360" i="120"/>
  <c r="DJ361" i="120"/>
  <c r="DJ362" i="120"/>
  <c r="DJ363" i="120"/>
  <c r="DJ364" i="120"/>
  <c r="DJ365" i="120"/>
  <c r="DJ366" i="120"/>
  <c r="DJ367" i="120"/>
  <c r="DJ368" i="120"/>
  <c r="DJ369" i="120"/>
  <c r="DJ370" i="120"/>
  <c r="DJ371" i="120"/>
  <c r="DJ22" i="120"/>
  <c r="DJ372" i="120"/>
  <c r="DF14" i="120"/>
  <c r="DF12" i="120"/>
  <c r="DF359" i="120"/>
  <c r="DF360" i="120"/>
  <c r="DF361" i="120"/>
  <c r="DF362" i="120"/>
  <c r="DF363" i="120"/>
  <c r="DF364" i="120"/>
  <c r="DF365" i="120"/>
  <c r="DF366" i="120"/>
  <c r="DF367" i="120"/>
  <c r="DF368" i="120"/>
  <c r="DF369" i="120"/>
  <c r="DF370" i="120"/>
  <c r="DF371" i="120"/>
  <c r="DF22" i="120"/>
  <c r="DF372" i="120"/>
  <c r="DB359" i="120"/>
  <c r="DB360" i="120"/>
  <c r="DB361" i="120"/>
  <c r="DB362" i="120"/>
  <c r="DB363" i="120"/>
  <c r="DB364" i="120"/>
  <c r="DB365" i="120"/>
  <c r="DB366" i="120"/>
  <c r="DB367" i="120"/>
  <c r="DB368" i="120"/>
  <c r="DB369" i="120"/>
  <c r="DB370" i="120"/>
  <c r="DB371" i="120"/>
  <c r="DB22" i="120"/>
  <c r="DB372" i="120"/>
  <c r="CX360" i="120"/>
  <c r="CX361" i="120"/>
  <c r="CX362" i="120"/>
  <c r="CX363" i="120"/>
  <c r="CX364" i="120"/>
  <c r="CX365" i="120"/>
  <c r="CX366" i="120"/>
  <c r="CX367" i="120"/>
  <c r="CX368" i="120"/>
  <c r="CX369" i="120"/>
  <c r="CX370" i="120"/>
  <c r="CX371" i="120"/>
  <c r="CX22" i="120"/>
  <c r="CX372" i="120"/>
  <c r="CT360" i="120"/>
  <c r="CT361" i="120"/>
  <c r="CT362" i="120"/>
  <c r="CT363" i="120"/>
  <c r="CT364" i="120"/>
  <c r="CT365" i="120"/>
  <c r="CT366" i="120"/>
  <c r="CT367" i="120"/>
  <c r="CT368" i="120"/>
  <c r="CT369" i="120"/>
  <c r="CT370" i="120"/>
  <c r="CT371" i="120"/>
  <c r="CT22" i="120"/>
  <c r="CT372" i="120"/>
  <c r="CP362" i="120"/>
  <c r="CP363" i="120"/>
  <c r="CP364" i="120"/>
  <c r="CP365" i="120"/>
  <c r="CP366" i="120"/>
  <c r="CP367" i="120"/>
  <c r="CP368" i="120"/>
  <c r="CP369" i="120"/>
  <c r="CP370" i="120"/>
  <c r="CP371" i="120"/>
  <c r="CP22" i="120"/>
  <c r="CP372" i="120"/>
  <c r="EJ362" i="120"/>
  <c r="EJ363" i="120"/>
  <c r="EJ364" i="120"/>
  <c r="EJ365" i="120"/>
  <c r="EJ368" i="120"/>
  <c r="EJ369" i="120"/>
  <c r="EJ371" i="120"/>
  <c r="EJ22" i="120"/>
  <c r="CD359" i="120"/>
  <c r="CD360" i="120"/>
  <c r="CD361" i="120"/>
  <c r="CD362" i="120"/>
  <c r="CD363" i="120"/>
  <c r="CD364" i="120"/>
  <c r="CD365" i="120"/>
  <c r="CD366" i="120"/>
  <c r="CD367" i="120"/>
  <c r="CD368" i="120"/>
  <c r="CD369" i="120"/>
  <c r="CD370" i="120"/>
  <c r="CD371" i="120"/>
  <c r="CD22" i="120"/>
  <c r="CD372" i="120"/>
  <c r="BZ359" i="120"/>
  <c r="BZ360" i="120"/>
  <c r="BZ361" i="120"/>
  <c r="BZ362" i="120"/>
  <c r="BZ363" i="120"/>
  <c r="BZ364" i="120"/>
  <c r="BZ365" i="120"/>
  <c r="BZ366" i="120"/>
  <c r="BZ367" i="120"/>
  <c r="BZ368" i="120"/>
  <c r="BZ369" i="120"/>
  <c r="BZ370" i="120"/>
  <c r="BZ371" i="120"/>
  <c r="BZ22" i="120"/>
  <c r="BZ372" i="120"/>
  <c r="BV359" i="120"/>
  <c r="BV360" i="120"/>
  <c r="BV361" i="120"/>
  <c r="BV362" i="120"/>
  <c r="BV363" i="120"/>
  <c r="BV364" i="120"/>
  <c r="BV365" i="120"/>
  <c r="BV366" i="120"/>
  <c r="BV367" i="120"/>
  <c r="BV368" i="120"/>
  <c r="BV369" i="120"/>
  <c r="BV370" i="120"/>
  <c r="BV371" i="120"/>
  <c r="BV22" i="120"/>
  <c r="BV372" i="120"/>
  <c r="BR359" i="120"/>
  <c r="BR360" i="120"/>
  <c r="BR361" i="120"/>
  <c r="BR362" i="120"/>
  <c r="BR363" i="120"/>
  <c r="BR364" i="120"/>
  <c r="BR365" i="120"/>
  <c r="BR366" i="120"/>
  <c r="BR367" i="120"/>
  <c r="BR368" i="120"/>
  <c r="BR369" i="120"/>
  <c r="BR370" i="120"/>
  <c r="BR371" i="120"/>
  <c r="BR22" i="120"/>
  <c r="BR372" i="120"/>
  <c r="BB22" i="120"/>
  <c r="AM22" i="120"/>
  <c r="AK22" i="120" s="1"/>
  <c r="AK27" i="120" l="1"/>
  <c r="EJ376" i="120"/>
  <c r="EJ397" i="120"/>
  <c r="EJ356" i="120"/>
  <c r="EJ358" i="120"/>
  <c r="EJ349" i="120"/>
  <c r="EJ25" i="120"/>
  <c r="EJ27" i="120"/>
  <c r="EK27" i="120" s="1"/>
  <c r="DZ363" i="120"/>
  <c r="EJ370" i="120"/>
  <c r="EG22" i="120"/>
  <c r="EJ366" i="120"/>
  <c r="EK22" i="120"/>
  <c r="EJ372" i="120"/>
  <c r="EJ367" i="120"/>
  <c r="U42" i="149" l="1"/>
  <c r="S42" i="149" s="1"/>
  <c r="DL409" i="120"/>
  <c r="DL23" i="120"/>
  <c r="DL24" i="120"/>
  <c r="DL407" i="120"/>
  <c r="DL70" i="120"/>
  <c r="DL6" i="120"/>
  <c r="DL406" i="120"/>
  <c r="DL374" i="120"/>
  <c r="DL66" i="120"/>
  <c r="DL56" i="120"/>
  <c r="DL18" i="120"/>
  <c r="DL61" i="120"/>
  <c r="DL69" i="120"/>
  <c r="DL375" i="120"/>
  <c r="DL67" i="120"/>
  <c r="DL68" i="120"/>
  <c r="DL71" i="120"/>
  <c r="DL21" i="120"/>
  <c r="DL29" i="120"/>
  <c r="DL30" i="120"/>
  <c r="DL31" i="120"/>
  <c r="DL32" i="120"/>
  <c r="DL33" i="120"/>
  <c r="DL34" i="120"/>
  <c r="DL35" i="120"/>
  <c r="DL36" i="120"/>
  <c r="DL37" i="120"/>
  <c r="DL38" i="120"/>
  <c r="DL39" i="120"/>
  <c r="DL40" i="120"/>
  <c r="DL41" i="120"/>
  <c r="DL42" i="120"/>
  <c r="DL43" i="120"/>
  <c r="DL44" i="120"/>
  <c r="DL45" i="120"/>
  <c r="DL46" i="120"/>
  <c r="DL47" i="120"/>
  <c r="DL48" i="120"/>
  <c r="DL49" i="120"/>
  <c r="DL50" i="120"/>
  <c r="DL51" i="120"/>
  <c r="DL52" i="120"/>
  <c r="DL53" i="120"/>
  <c r="DL54" i="120"/>
  <c r="DL55" i="120"/>
  <c r="DL373" i="120"/>
  <c r="DL57" i="120"/>
  <c r="DL58" i="120"/>
  <c r="DL59" i="120"/>
  <c r="DL60" i="120"/>
  <c r="DL62" i="120"/>
  <c r="DL63" i="120"/>
  <c r="DL64" i="120"/>
  <c r="DL65" i="120"/>
  <c r="DL390" i="120"/>
  <c r="DL408" i="120"/>
  <c r="DL72" i="120"/>
  <c r="DL73" i="120"/>
  <c r="DL74" i="120"/>
  <c r="DL75" i="120"/>
  <c r="DL76" i="120"/>
  <c r="DL77" i="120"/>
  <c r="DL78" i="120"/>
  <c r="DL79" i="120"/>
  <c r="DL80" i="120"/>
  <c r="DL81" i="120"/>
  <c r="DL82" i="120"/>
  <c r="DL83" i="120"/>
  <c r="DL84" i="120"/>
  <c r="DL85" i="120"/>
  <c r="DL86" i="120"/>
  <c r="DL87" i="120"/>
  <c r="DL88" i="120"/>
  <c r="DL89" i="120"/>
  <c r="DL90" i="120"/>
  <c r="DL91" i="120"/>
  <c r="DL92" i="120"/>
  <c r="DL93" i="120"/>
  <c r="DL94" i="120"/>
  <c r="DL95" i="120"/>
  <c r="DL96" i="120"/>
  <c r="DL97" i="120"/>
  <c r="DL98" i="120"/>
  <c r="DL99" i="120"/>
  <c r="DL100" i="120"/>
  <c r="DL101" i="120"/>
  <c r="DL102" i="120"/>
  <c r="DL103" i="120"/>
  <c r="DL104" i="120"/>
  <c r="DL105" i="120"/>
  <c r="DL106" i="120"/>
  <c r="DL107" i="120"/>
  <c r="DL108" i="120"/>
  <c r="DL109" i="120"/>
  <c r="DL110" i="120"/>
  <c r="DL111" i="120"/>
  <c r="DL112" i="120"/>
  <c r="DL113" i="120"/>
  <c r="DL114" i="120"/>
  <c r="DL115" i="120"/>
  <c r="DL116" i="120"/>
  <c r="DL117" i="120"/>
  <c r="DL118" i="120"/>
  <c r="DL119" i="120"/>
  <c r="DL120" i="120"/>
  <c r="DL121" i="120"/>
  <c r="DL122" i="120"/>
  <c r="DL123" i="120"/>
  <c r="DL124" i="120"/>
  <c r="DL125" i="120"/>
  <c r="DL126" i="120"/>
  <c r="DL127" i="120"/>
  <c r="DL128" i="120"/>
  <c r="DL129" i="120"/>
  <c r="DL130" i="120"/>
  <c r="DL131" i="120"/>
  <c r="DL132" i="120"/>
  <c r="DL133" i="120"/>
  <c r="DL134" i="120"/>
  <c r="DL135" i="120"/>
  <c r="DL136" i="120"/>
  <c r="DL137" i="120"/>
  <c r="DL138" i="120"/>
  <c r="DL139" i="120"/>
  <c r="DL140" i="120"/>
  <c r="DL141" i="120"/>
  <c r="DL142" i="120"/>
  <c r="DL143" i="120"/>
  <c r="DL144" i="120"/>
  <c r="DL145" i="120"/>
  <c r="DL146" i="120"/>
  <c r="DL147" i="120"/>
  <c r="DL148" i="120"/>
  <c r="DL149" i="120"/>
  <c r="DL150" i="120"/>
  <c r="DL151" i="120"/>
  <c r="DL152" i="120"/>
  <c r="DL153" i="120"/>
  <c r="DL154" i="120"/>
  <c r="DL155" i="120"/>
  <c r="DL156" i="120"/>
  <c r="DL157" i="120"/>
  <c r="DL158" i="120"/>
  <c r="DL159" i="120"/>
  <c r="DL160" i="120"/>
  <c r="DL161" i="120"/>
  <c r="DL162" i="120"/>
  <c r="DL163" i="120"/>
  <c r="DL164" i="120"/>
  <c r="DL165" i="120"/>
  <c r="DL166" i="120"/>
  <c r="DL167" i="120"/>
  <c r="DL168" i="120"/>
  <c r="DL169" i="120"/>
  <c r="DL170" i="120"/>
  <c r="DL399" i="120"/>
  <c r="DL171" i="120"/>
  <c r="DL172" i="120"/>
  <c r="DL173" i="120"/>
  <c r="DL174" i="120"/>
  <c r="DL175" i="120"/>
  <c r="DL176" i="120"/>
  <c r="DL177" i="120"/>
  <c r="DL178" i="120"/>
  <c r="DL179" i="120"/>
  <c r="DL180" i="120"/>
  <c r="DL181" i="120"/>
  <c r="DL182" i="120"/>
  <c r="DL183" i="120"/>
  <c r="DL184" i="120"/>
  <c r="DL185" i="120"/>
  <c r="DL186" i="120"/>
  <c r="DL187" i="120"/>
  <c r="DL188" i="120"/>
  <c r="DL189" i="120"/>
  <c r="DL190" i="120"/>
  <c r="DL191" i="120"/>
  <c r="DL192" i="120"/>
  <c r="DL193" i="120"/>
  <c r="DL194" i="120"/>
  <c r="DL195" i="120"/>
  <c r="DL196" i="120"/>
  <c r="DL197" i="120"/>
  <c r="DL198" i="120"/>
  <c r="DL199" i="120"/>
  <c r="DL200" i="120"/>
  <c r="DL201" i="120"/>
  <c r="DL202" i="120"/>
  <c r="DL203" i="120"/>
  <c r="DL204" i="120"/>
  <c r="DL205" i="120"/>
  <c r="DL394" i="120"/>
  <c r="DL206" i="120"/>
  <c r="DL207" i="120"/>
  <c r="DL208" i="120"/>
  <c r="DL209" i="120"/>
  <c r="DL210" i="120"/>
  <c r="DL211" i="120"/>
  <c r="DL391" i="120"/>
  <c r="DL212" i="120"/>
  <c r="DL213" i="120"/>
  <c r="DL214" i="120"/>
  <c r="DL215" i="120"/>
  <c r="DL216" i="120"/>
  <c r="DL217" i="120"/>
  <c r="DL218" i="120"/>
  <c r="DL219" i="120"/>
  <c r="DL220" i="120"/>
  <c r="DL221" i="120"/>
  <c r="DL222" i="120"/>
  <c r="DL223" i="120"/>
  <c r="DL224" i="120"/>
  <c r="DL225" i="120"/>
  <c r="DL226" i="120"/>
  <c r="DL227" i="120"/>
  <c r="DL228" i="120"/>
  <c r="DL229" i="120"/>
  <c r="DL230" i="120"/>
  <c r="DL231" i="120"/>
  <c r="DL232" i="120"/>
  <c r="DL233" i="120"/>
  <c r="DL234" i="120"/>
  <c r="DL235" i="120"/>
  <c r="DL236" i="120"/>
  <c r="DL237" i="120"/>
  <c r="DL238" i="120"/>
  <c r="DL20" i="120"/>
  <c r="DL239" i="120"/>
  <c r="DL240" i="120"/>
  <c r="DL241" i="120"/>
  <c r="DL242" i="120"/>
  <c r="DL243" i="120"/>
  <c r="DL244" i="120"/>
  <c r="DL245" i="120"/>
  <c r="DL246" i="120"/>
  <c r="DL247" i="120"/>
  <c r="DL248" i="120"/>
  <c r="DL249" i="120"/>
  <c r="DL26" i="120"/>
  <c r="DL250" i="120"/>
  <c r="DL386" i="120"/>
  <c r="DL251" i="120"/>
  <c r="DL252" i="120"/>
  <c r="DL253" i="120"/>
  <c r="DL254" i="120"/>
  <c r="DL255" i="120"/>
  <c r="DL256" i="120"/>
  <c r="DL385" i="120"/>
  <c r="DL257" i="120"/>
  <c r="DL258" i="120"/>
  <c r="DL259" i="120"/>
  <c r="DL260" i="120"/>
  <c r="DL261" i="120"/>
  <c r="DL15" i="120"/>
  <c r="DL404" i="120"/>
  <c r="DL262" i="120"/>
  <c r="DL263" i="120"/>
  <c r="DL264" i="120"/>
  <c r="DL265" i="120"/>
  <c r="DL267" i="120"/>
  <c r="DL268" i="120"/>
  <c r="DL269" i="120"/>
  <c r="DL270" i="120"/>
  <c r="DL271" i="120"/>
  <c r="DL272" i="120"/>
  <c r="DL273" i="120"/>
  <c r="DL387" i="120"/>
  <c r="DL274" i="120"/>
  <c r="DL275" i="120"/>
  <c r="DL276" i="120"/>
  <c r="DL277" i="120"/>
  <c r="DL278" i="120"/>
  <c r="DL279" i="120"/>
  <c r="DL280" i="120"/>
  <c r="DL281" i="120"/>
  <c r="DL282" i="120"/>
  <c r="DL283" i="120"/>
  <c r="DL284" i="120"/>
  <c r="DL285" i="120"/>
  <c r="DL286" i="120"/>
  <c r="DL287" i="120"/>
  <c r="DL288" i="120"/>
  <c r="DL289" i="120"/>
  <c r="DL290" i="120"/>
  <c r="DL291" i="120"/>
  <c r="DL292" i="120"/>
  <c r="DL293" i="120"/>
  <c r="DL294" i="120"/>
  <c r="DL295" i="120"/>
  <c r="DL296" i="120"/>
  <c r="DL297" i="120"/>
  <c r="DL7" i="120"/>
  <c r="DL298" i="120"/>
  <c r="DL384" i="120"/>
  <c r="DL299" i="120"/>
  <c r="DL389" i="120"/>
  <c r="DL300" i="120"/>
  <c r="DL301" i="120"/>
  <c r="DL302" i="120"/>
  <c r="DL303" i="120"/>
  <c r="DL304" i="120"/>
  <c r="DL305" i="120"/>
  <c r="DL5" i="120"/>
  <c r="DL28" i="120"/>
  <c r="DL306" i="120"/>
  <c r="DL307" i="120"/>
  <c r="DL308" i="120"/>
  <c r="DL309" i="120"/>
  <c r="DL310" i="120"/>
  <c r="DL311" i="120"/>
  <c r="DL312" i="120"/>
  <c r="DL313" i="120"/>
  <c r="DL314" i="120"/>
  <c r="DL315" i="120"/>
  <c r="DL316" i="120"/>
  <c r="DL317" i="120"/>
  <c r="DL318" i="120"/>
  <c r="DL319" i="120"/>
  <c r="DL388" i="120"/>
  <c r="DL320" i="120"/>
  <c r="DL321" i="120"/>
  <c r="DL402" i="120"/>
  <c r="DL400" i="120"/>
  <c r="DL322" i="120"/>
  <c r="DL382" i="120"/>
  <c r="DL323" i="120"/>
  <c r="DL324" i="120"/>
  <c r="DL325" i="120"/>
  <c r="DL326" i="120"/>
  <c r="DL327" i="120"/>
  <c r="DL328" i="120"/>
  <c r="DL329" i="120"/>
  <c r="DL392" i="120"/>
  <c r="DL398" i="120"/>
  <c r="DL330" i="120"/>
  <c r="DL401" i="120"/>
  <c r="DL380" i="120"/>
  <c r="DL331" i="120"/>
  <c r="DL332" i="120"/>
  <c r="DZ332" i="120" s="1"/>
  <c r="DL19" i="120"/>
  <c r="DL333" i="120"/>
  <c r="DL381" i="120"/>
  <c r="DL334" i="120"/>
  <c r="DL335" i="120"/>
  <c r="DL336" i="120"/>
  <c r="DL337" i="120"/>
  <c r="DL338" i="120"/>
  <c r="DL339" i="120"/>
  <c r="DL340" i="120"/>
  <c r="DL341" i="120"/>
  <c r="DL403" i="120"/>
  <c r="DL342" i="120"/>
  <c r="DL343" i="120"/>
  <c r="DZ343" i="120" s="1"/>
  <c r="DL344" i="120"/>
  <c r="DL345" i="120"/>
  <c r="DL346" i="120"/>
  <c r="DL347" i="120"/>
  <c r="DL348" i="120"/>
  <c r="DL349" i="120"/>
  <c r="DZ349" i="120" s="1"/>
  <c r="DL351" i="120"/>
  <c r="DL383" i="120"/>
  <c r="DL352" i="120"/>
  <c r="DL353" i="120"/>
  <c r="DL397" i="120"/>
  <c r="DZ397" i="120" s="1"/>
  <c r="DL379" i="120"/>
  <c r="DL378" i="120"/>
  <c r="DL405" i="120"/>
  <c r="DL354" i="120"/>
  <c r="DL9" i="120"/>
  <c r="DL357" i="120"/>
  <c r="DL377" i="120"/>
  <c r="DL16" i="120"/>
  <c r="DL14" i="120"/>
  <c r="DZ14" i="120" s="1"/>
  <c r="BS8" i="113"/>
  <c r="CV5" i="149"/>
  <c r="EH30" i="120"/>
  <c r="EI30" i="120"/>
  <c r="EH31" i="120"/>
  <c r="EI31" i="120"/>
  <c r="EH32" i="120"/>
  <c r="EI32" i="120"/>
  <c r="EH33" i="120"/>
  <c r="EI33" i="120"/>
  <c r="EH34" i="120"/>
  <c r="EI34" i="120"/>
  <c r="EH35" i="120"/>
  <c r="EI35" i="120"/>
  <c r="EH36" i="120"/>
  <c r="EI36" i="120"/>
  <c r="EH37" i="120"/>
  <c r="EI37" i="120"/>
  <c r="EH38" i="120"/>
  <c r="EI38" i="120"/>
  <c r="EH39" i="120"/>
  <c r="EI39" i="120"/>
  <c r="EH40" i="120"/>
  <c r="EI40" i="120"/>
  <c r="EH41" i="120"/>
  <c r="EI41" i="120"/>
  <c r="EH42" i="120"/>
  <c r="EI42" i="120"/>
  <c r="EH43" i="120"/>
  <c r="EI43" i="120"/>
  <c r="EH44" i="120"/>
  <c r="EI44" i="120"/>
  <c r="EH45" i="120"/>
  <c r="EI45" i="120"/>
  <c r="EH46" i="120"/>
  <c r="EI46" i="120"/>
  <c r="EH47" i="120"/>
  <c r="EI47" i="120"/>
  <c r="EH48" i="120"/>
  <c r="EI48" i="120"/>
  <c r="EH49" i="120"/>
  <c r="EI49" i="120"/>
  <c r="EH50" i="120"/>
  <c r="EI50" i="120"/>
  <c r="EH51" i="120"/>
  <c r="EI51" i="120"/>
  <c r="EH10" i="120"/>
  <c r="EI10" i="120"/>
  <c r="EH52" i="120"/>
  <c r="EI52" i="120"/>
  <c r="EH18" i="120"/>
  <c r="EI18" i="120"/>
  <c r="EH53" i="120"/>
  <c r="EI53" i="120"/>
  <c r="EH54" i="120"/>
  <c r="EI54" i="120"/>
  <c r="EH55" i="120"/>
  <c r="EI55" i="120"/>
  <c r="EH56" i="120"/>
  <c r="EI56" i="120"/>
  <c r="EH373" i="120"/>
  <c r="EI373" i="120"/>
  <c r="EH57" i="120"/>
  <c r="EI57" i="120"/>
  <c r="EH58" i="120"/>
  <c r="EI58" i="120"/>
  <c r="EH59" i="120"/>
  <c r="EI59" i="120"/>
  <c r="EH60" i="120"/>
  <c r="EI60" i="120"/>
  <c r="EH61" i="120"/>
  <c r="EI61" i="120"/>
  <c r="EH62" i="120"/>
  <c r="EI62" i="120"/>
  <c r="EH63" i="120"/>
  <c r="EI63" i="120"/>
  <c r="EH64" i="120"/>
  <c r="EI64" i="120"/>
  <c r="EH65" i="120"/>
  <c r="EI65" i="120"/>
  <c r="EH66" i="120"/>
  <c r="EI66" i="120"/>
  <c r="EH390" i="120"/>
  <c r="EI390" i="120"/>
  <c r="EH67" i="120"/>
  <c r="EI67" i="120"/>
  <c r="EH374" i="120"/>
  <c r="EI374" i="120"/>
  <c r="EH395" i="120"/>
  <c r="EI395" i="120"/>
  <c r="EH68" i="120"/>
  <c r="EI68" i="120"/>
  <c r="EH69" i="120"/>
  <c r="EI69" i="120"/>
  <c r="EH24" i="120"/>
  <c r="EI24" i="120"/>
  <c r="EH375" i="120"/>
  <c r="EI375" i="120"/>
  <c r="EH408" i="120"/>
  <c r="EI408" i="120"/>
  <c r="EH409" i="120"/>
  <c r="EI409" i="120"/>
  <c r="EH407" i="120"/>
  <c r="EI407" i="120"/>
  <c r="EH21" i="120"/>
  <c r="EI21" i="120"/>
  <c r="EH70" i="120"/>
  <c r="EI70" i="120"/>
  <c r="EH406" i="120"/>
  <c r="EI406" i="120"/>
  <c r="EH23" i="120"/>
  <c r="EI23" i="120"/>
  <c r="EH71" i="120"/>
  <c r="EI71" i="120"/>
  <c r="EH6" i="120"/>
  <c r="EI6" i="120"/>
  <c r="EH72" i="120"/>
  <c r="EI72" i="120"/>
  <c r="EH73" i="120"/>
  <c r="EI73" i="120"/>
  <c r="EH74" i="120"/>
  <c r="EI74" i="120"/>
  <c r="EH75" i="120"/>
  <c r="EI75" i="120"/>
  <c r="EH76" i="120"/>
  <c r="EI76" i="120"/>
  <c r="EH77" i="120"/>
  <c r="EI77" i="120"/>
  <c r="EH78" i="120"/>
  <c r="EI78" i="120"/>
  <c r="EH79" i="120"/>
  <c r="EI79" i="120"/>
  <c r="EH80" i="120"/>
  <c r="EI80" i="120"/>
  <c r="EH81" i="120"/>
  <c r="EI81" i="120"/>
  <c r="EH82" i="120"/>
  <c r="EI82" i="120"/>
  <c r="EH83" i="120"/>
  <c r="EI83" i="120"/>
  <c r="EH84" i="120"/>
  <c r="EI84" i="120"/>
  <c r="EH85" i="120"/>
  <c r="EI85" i="120"/>
  <c r="EH86" i="120"/>
  <c r="EI86" i="120"/>
  <c r="EH87" i="120"/>
  <c r="EI87" i="120"/>
  <c r="EH88" i="120"/>
  <c r="EI88" i="120"/>
  <c r="EH89" i="120"/>
  <c r="EI89" i="120"/>
  <c r="EH90" i="120"/>
  <c r="EI90" i="120"/>
  <c r="EH91" i="120"/>
  <c r="EI91" i="120"/>
  <c r="EH92" i="120"/>
  <c r="EI92" i="120"/>
  <c r="EH93" i="120"/>
  <c r="EI93" i="120"/>
  <c r="EH94" i="120"/>
  <c r="EI94" i="120"/>
  <c r="EH95" i="120"/>
  <c r="EI95" i="120"/>
  <c r="EH96" i="120"/>
  <c r="EI96" i="120"/>
  <c r="EH97" i="120"/>
  <c r="EI97" i="120"/>
  <c r="EH98" i="120"/>
  <c r="EI98" i="120"/>
  <c r="EH99" i="120"/>
  <c r="EI99" i="120"/>
  <c r="EH100" i="120"/>
  <c r="EI100" i="120"/>
  <c r="EH101" i="120"/>
  <c r="EI101" i="120"/>
  <c r="EH102" i="120"/>
  <c r="EI102" i="120"/>
  <c r="EH103" i="120"/>
  <c r="EI103" i="120"/>
  <c r="EH104" i="120"/>
  <c r="EI104" i="120"/>
  <c r="EH105" i="120"/>
  <c r="EI105" i="120"/>
  <c r="EH106" i="120"/>
  <c r="EI106" i="120"/>
  <c r="EH107" i="120"/>
  <c r="EI107" i="120"/>
  <c r="EH108" i="120"/>
  <c r="EI108" i="120"/>
  <c r="EH109" i="120"/>
  <c r="EI109" i="120"/>
  <c r="EH110" i="120"/>
  <c r="EI110" i="120"/>
  <c r="EH111" i="120"/>
  <c r="EI111" i="120"/>
  <c r="EH112" i="120"/>
  <c r="EI112" i="120"/>
  <c r="EH113" i="120"/>
  <c r="EI113" i="120"/>
  <c r="EH114" i="120"/>
  <c r="EI114" i="120"/>
  <c r="EH115" i="120"/>
  <c r="EI115" i="120"/>
  <c r="EH116" i="120"/>
  <c r="EI116" i="120"/>
  <c r="EH117" i="120"/>
  <c r="EI117" i="120"/>
  <c r="EH118" i="120"/>
  <c r="EI118" i="120"/>
  <c r="EH119" i="120"/>
  <c r="EI119" i="120"/>
  <c r="EH120" i="120"/>
  <c r="EI120" i="120"/>
  <c r="EH121" i="120"/>
  <c r="EI121" i="120"/>
  <c r="EH122" i="120"/>
  <c r="EI122" i="120"/>
  <c r="EH123" i="120"/>
  <c r="EI123" i="120"/>
  <c r="EH124" i="120"/>
  <c r="EI124" i="120"/>
  <c r="EH125" i="120"/>
  <c r="EI125" i="120"/>
  <c r="EH126" i="120"/>
  <c r="EI126" i="120"/>
  <c r="EH127" i="120"/>
  <c r="EI127" i="120"/>
  <c r="EH128" i="120"/>
  <c r="EI128" i="120"/>
  <c r="EH129" i="120"/>
  <c r="EI129" i="120"/>
  <c r="EH130" i="120"/>
  <c r="EI130" i="120"/>
  <c r="EH131" i="120"/>
  <c r="EI131" i="120"/>
  <c r="EH132" i="120"/>
  <c r="EI132" i="120"/>
  <c r="EH133" i="120"/>
  <c r="EI133" i="120"/>
  <c r="EH134" i="120"/>
  <c r="EI134" i="120"/>
  <c r="EH135" i="120"/>
  <c r="EI135" i="120"/>
  <c r="EH136" i="120"/>
  <c r="EI136" i="120"/>
  <c r="EH137" i="120"/>
  <c r="EI137" i="120"/>
  <c r="EH138" i="120"/>
  <c r="EI138" i="120"/>
  <c r="EH139" i="120"/>
  <c r="EI139" i="120"/>
  <c r="EH140" i="120"/>
  <c r="EI140" i="120"/>
  <c r="EH141" i="120"/>
  <c r="EI141" i="120"/>
  <c r="EH142" i="120"/>
  <c r="EI142" i="120"/>
  <c r="EH143" i="120"/>
  <c r="EI143" i="120"/>
  <c r="EH144" i="120"/>
  <c r="EI144" i="120"/>
  <c r="EH145" i="120"/>
  <c r="EI145" i="120"/>
  <c r="EH146" i="120"/>
  <c r="EI146" i="120"/>
  <c r="EH147" i="120"/>
  <c r="EI147" i="120"/>
  <c r="EH148" i="120"/>
  <c r="EI148" i="120"/>
  <c r="EH149" i="120"/>
  <c r="EI149" i="120"/>
  <c r="EH150" i="120"/>
  <c r="EI150" i="120"/>
  <c r="EH151" i="120"/>
  <c r="EI151" i="120"/>
  <c r="EH152" i="120"/>
  <c r="EI152" i="120"/>
  <c r="EH153" i="120"/>
  <c r="EI153" i="120"/>
  <c r="EH154" i="120"/>
  <c r="EI154" i="120"/>
  <c r="EH155" i="120"/>
  <c r="EI155" i="120"/>
  <c r="EH156" i="120"/>
  <c r="EI156" i="120"/>
  <c r="EH157" i="120"/>
  <c r="EI157" i="120"/>
  <c r="EH158" i="120"/>
  <c r="EI158" i="120"/>
  <c r="EH159" i="120"/>
  <c r="EI159" i="120"/>
  <c r="EH160" i="120"/>
  <c r="EI160" i="120"/>
  <c r="EH161" i="120"/>
  <c r="EI161" i="120"/>
  <c r="EH162" i="120"/>
  <c r="EI162" i="120"/>
  <c r="EH163" i="120"/>
  <c r="EI163" i="120"/>
  <c r="EH164" i="120"/>
  <c r="EI164" i="120"/>
  <c r="EH165" i="120"/>
  <c r="EI165" i="120"/>
  <c r="EH166" i="120"/>
  <c r="EI166" i="120"/>
  <c r="EH167" i="120"/>
  <c r="EI167" i="120"/>
  <c r="EH168" i="120"/>
  <c r="EI168" i="120"/>
  <c r="EH169" i="120"/>
  <c r="EI169" i="120"/>
  <c r="EH170" i="120"/>
  <c r="EI170" i="120"/>
  <c r="EH399" i="120"/>
  <c r="EI399" i="120"/>
  <c r="EH171" i="120"/>
  <c r="EI171" i="120"/>
  <c r="EH172" i="120"/>
  <c r="EI172" i="120"/>
  <c r="EH173" i="120"/>
  <c r="EI173" i="120"/>
  <c r="EH174" i="120"/>
  <c r="EI174" i="120"/>
  <c r="EH175" i="120"/>
  <c r="EI175" i="120"/>
  <c r="EH176" i="120"/>
  <c r="EI176" i="120"/>
  <c r="EH177" i="120"/>
  <c r="EI177" i="120"/>
  <c r="EH178" i="120"/>
  <c r="EI178" i="120"/>
  <c r="EH179" i="120"/>
  <c r="EI179" i="120"/>
  <c r="EH180" i="120"/>
  <c r="EI180" i="120"/>
  <c r="EH181" i="120"/>
  <c r="EI181" i="120"/>
  <c r="EH182" i="120"/>
  <c r="EI182" i="120"/>
  <c r="EH183" i="120"/>
  <c r="EI183" i="120"/>
  <c r="EH184" i="120"/>
  <c r="EI184" i="120"/>
  <c r="EH185" i="120"/>
  <c r="EI185" i="120"/>
  <c r="EH186" i="120"/>
  <c r="EI186" i="120"/>
  <c r="EH187" i="120"/>
  <c r="EI187" i="120"/>
  <c r="EH188" i="120"/>
  <c r="EI188" i="120"/>
  <c r="EH189" i="120"/>
  <c r="EI189" i="120"/>
  <c r="EH190" i="120"/>
  <c r="EI190" i="120"/>
  <c r="EH191" i="120"/>
  <c r="EI191" i="120"/>
  <c r="EH192" i="120"/>
  <c r="EI192" i="120"/>
  <c r="EH193" i="120"/>
  <c r="EI193" i="120"/>
  <c r="EH194" i="120"/>
  <c r="EI194" i="120"/>
  <c r="EH195" i="120"/>
  <c r="EI195" i="120"/>
  <c r="EH11" i="120"/>
  <c r="EI11" i="120"/>
  <c r="EH196" i="120"/>
  <c r="EI196" i="120"/>
  <c r="EH197" i="120"/>
  <c r="EI197" i="120"/>
  <c r="EH198" i="120"/>
  <c r="EI198" i="120"/>
  <c r="EH199" i="120"/>
  <c r="EI199" i="120"/>
  <c r="EH200" i="120"/>
  <c r="EI200" i="120"/>
  <c r="EH201" i="120"/>
  <c r="EI201" i="120"/>
  <c r="EH202" i="120"/>
  <c r="EI202" i="120"/>
  <c r="EH203" i="120"/>
  <c r="EI203" i="120"/>
  <c r="EH204" i="120"/>
  <c r="EI204" i="120"/>
  <c r="EH205" i="120"/>
  <c r="EI205" i="120"/>
  <c r="EH394" i="120"/>
  <c r="EI394" i="120"/>
  <c r="EH206" i="120"/>
  <c r="EI206" i="120"/>
  <c r="EH207" i="120"/>
  <c r="EI207" i="120"/>
  <c r="EH208" i="120"/>
  <c r="EI208" i="120"/>
  <c r="EH209" i="120"/>
  <c r="EI209" i="120"/>
  <c r="EH210" i="120"/>
  <c r="EI210" i="120"/>
  <c r="EH211" i="120"/>
  <c r="EI211" i="120"/>
  <c r="EH391" i="120"/>
  <c r="EI391" i="120"/>
  <c r="EH212" i="120"/>
  <c r="EI212" i="120"/>
  <c r="EH213" i="120"/>
  <c r="EI213" i="120"/>
  <c r="EH214" i="120"/>
  <c r="EI214" i="120"/>
  <c r="EH215" i="120"/>
  <c r="EI215" i="120"/>
  <c r="EH216" i="120"/>
  <c r="EI216" i="120"/>
  <c r="EH217" i="120"/>
  <c r="EI217" i="120"/>
  <c r="EH218" i="120"/>
  <c r="EI218" i="120"/>
  <c r="EH219" i="120"/>
  <c r="EI219" i="120"/>
  <c r="EH220" i="120"/>
  <c r="EI220" i="120"/>
  <c r="EH221" i="120"/>
  <c r="EI221" i="120"/>
  <c r="EH222" i="120"/>
  <c r="EI222" i="120"/>
  <c r="EH223" i="120"/>
  <c r="EI223" i="120"/>
  <c r="EH224" i="120"/>
  <c r="EI224" i="120"/>
  <c r="EH225" i="120"/>
  <c r="EI225" i="120"/>
  <c r="EH226" i="120"/>
  <c r="EI226" i="120"/>
  <c r="EH227" i="120"/>
  <c r="EI227" i="120"/>
  <c r="EH228" i="120"/>
  <c r="EI228" i="120"/>
  <c r="EH229" i="120"/>
  <c r="EI229" i="120"/>
  <c r="EH230" i="120"/>
  <c r="EI230" i="120"/>
  <c r="EH231" i="120"/>
  <c r="EI231" i="120"/>
  <c r="EH232" i="120"/>
  <c r="EI232" i="120"/>
  <c r="EH233" i="120"/>
  <c r="EI233" i="120"/>
  <c r="EH234" i="120"/>
  <c r="EI234" i="120"/>
  <c r="EH235" i="120"/>
  <c r="EI235" i="120"/>
  <c r="EH236" i="120"/>
  <c r="EI236" i="120"/>
  <c r="EH237" i="120"/>
  <c r="EI237" i="120"/>
  <c r="EH238" i="120"/>
  <c r="EI238" i="120"/>
  <c r="EH20" i="120"/>
  <c r="EI20" i="120"/>
  <c r="EH239" i="120"/>
  <c r="EI239" i="120"/>
  <c r="EH240" i="120"/>
  <c r="EI240" i="120"/>
  <c r="EH241" i="120"/>
  <c r="EI241" i="120"/>
  <c r="EH242" i="120"/>
  <c r="EI242" i="120"/>
  <c r="EH243" i="120"/>
  <c r="EI243" i="120"/>
  <c r="EH244" i="120"/>
  <c r="EI244" i="120"/>
  <c r="EH245" i="120"/>
  <c r="EI245" i="120"/>
  <c r="EH17" i="120"/>
  <c r="EI17" i="120"/>
  <c r="EH246" i="120"/>
  <c r="EI246" i="120"/>
  <c r="EH247" i="120"/>
  <c r="EI247" i="120"/>
  <c r="EH248" i="120"/>
  <c r="EI248" i="120"/>
  <c r="EH249" i="120"/>
  <c r="EI249" i="120"/>
  <c r="EH26" i="120"/>
  <c r="EI26" i="120"/>
  <c r="EH250" i="120"/>
  <c r="EI250" i="120"/>
  <c r="EH386" i="120"/>
  <c r="EI386" i="120"/>
  <c r="EH251" i="120"/>
  <c r="EI251" i="120"/>
  <c r="EH252" i="120"/>
  <c r="EI252" i="120"/>
  <c r="EH253" i="120"/>
  <c r="EI253" i="120"/>
  <c r="EH254" i="120"/>
  <c r="EI254" i="120"/>
  <c r="EH255" i="120"/>
  <c r="EI255" i="120"/>
  <c r="EH256" i="120"/>
  <c r="EI256" i="120"/>
  <c r="EH385" i="120"/>
  <c r="EI385" i="120"/>
  <c r="EH257" i="120"/>
  <c r="EI257" i="120"/>
  <c r="EH258" i="120"/>
  <c r="EI258" i="120"/>
  <c r="EH259" i="120"/>
  <c r="EI259" i="120"/>
  <c r="EH260" i="120"/>
  <c r="EI260" i="120"/>
  <c r="EH261" i="120"/>
  <c r="EI261" i="120"/>
  <c r="EH15" i="120"/>
  <c r="EI15" i="120"/>
  <c r="EH404" i="120"/>
  <c r="EI404" i="120"/>
  <c r="EH262" i="120"/>
  <c r="EI262" i="120"/>
  <c r="EH263" i="120"/>
  <c r="EI263" i="120"/>
  <c r="EH264" i="120"/>
  <c r="EI264" i="120"/>
  <c r="EH265" i="120"/>
  <c r="EI265" i="120"/>
  <c r="EH266" i="120"/>
  <c r="EI266" i="120"/>
  <c r="EH267" i="120"/>
  <c r="EI267" i="120"/>
  <c r="EH268" i="120"/>
  <c r="EI268" i="120"/>
  <c r="EH269" i="120"/>
  <c r="EI269" i="120"/>
  <c r="EH270" i="120"/>
  <c r="EI270" i="120"/>
  <c r="EH271" i="120"/>
  <c r="EI271" i="120"/>
  <c r="EH272" i="120"/>
  <c r="EI272" i="120"/>
  <c r="EH273" i="120"/>
  <c r="EI273" i="120"/>
  <c r="EH387" i="120"/>
  <c r="EI387" i="120"/>
  <c r="EH274" i="120"/>
  <c r="EI274" i="120"/>
  <c r="EH275" i="120"/>
  <c r="EI275" i="120"/>
  <c r="EH276" i="120"/>
  <c r="EI276" i="120"/>
  <c r="EH277" i="120"/>
  <c r="EI277" i="120"/>
  <c r="EH278" i="120"/>
  <c r="EI278" i="120"/>
  <c r="EH279" i="120"/>
  <c r="EI279" i="120"/>
  <c r="EH280" i="120"/>
  <c r="EI280" i="120"/>
  <c r="EH281" i="120"/>
  <c r="EI281" i="120"/>
  <c r="EH282" i="120"/>
  <c r="EI282" i="120"/>
  <c r="EH283" i="120"/>
  <c r="EI283" i="120"/>
  <c r="EH284" i="120"/>
  <c r="EI284" i="120"/>
  <c r="EH285" i="120"/>
  <c r="EI285" i="120"/>
  <c r="EH286" i="120"/>
  <c r="EI286" i="120"/>
  <c r="EH287" i="120"/>
  <c r="EI287" i="120"/>
  <c r="EH288" i="120"/>
  <c r="EI288" i="120"/>
  <c r="EH289" i="120"/>
  <c r="EI289" i="120"/>
  <c r="EH290" i="120"/>
  <c r="EI290" i="120"/>
  <c r="EH291" i="120"/>
  <c r="EI291" i="120"/>
  <c r="EH292" i="120"/>
  <c r="EI292" i="120"/>
  <c r="EH293" i="120"/>
  <c r="EI293" i="120"/>
  <c r="EH294" i="120"/>
  <c r="EI294" i="120"/>
  <c r="EH295" i="120"/>
  <c r="EI295" i="120"/>
  <c r="EH296" i="120"/>
  <c r="EI296" i="120"/>
  <c r="EH297" i="120"/>
  <c r="EI297" i="120"/>
  <c r="EH7" i="120"/>
  <c r="EI7" i="120"/>
  <c r="EH298" i="120"/>
  <c r="EI298" i="120"/>
  <c r="EH384" i="120"/>
  <c r="EI384" i="120"/>
  <c r="EH299" i="120"/>
  <c r="EI299" i="120"/>
  <c r="EH389" i="120"/>
  <c r="EI389" i="120"/>
  <c r="EH300" i="120"/>
  <c r="EI300" i="120"/>
  <c r="EH301" i="120"/>
  <c r="EI301" i="120"/>
  <c r="EH302" i="120"/>
  <c r="EI302" i="120"/>
  <c r="EH303" i="120"/>
  <c r="EI303" i="120"/>
  <c r="EH304" i="120"/>
  <c r="EI304" i="120"/>
  <c r="EH305" i="120"/>
  <c r="EI305" i="120"/>
  <c r="EH5" i="120"/>
  <c r="EI5" i="120"/>
  <c r="EH28" i="120"/>
  <c r="EI28" i="120"/>
  <c r="EH306" i="120"/>
  <c r="EI306" i="120"/>
  <c r="EH307" i="120"/>
  <c r="EI307" i="120"/>
  <c r="EH308" i="120"/>
  <c r="EI308" i="120"/>
  <c r="EH309" i="120"/>
  <c r="EI309" i="120"/>
  <c r="EH310" i="120"/>
  <c r="EI310" i="120"/>
  <c r="EH311" i="120"/>
  <c r="EI311" i="120"/>
  <c r="EH312" i="120"/>
  <c r="EI312" i="120"/>
  <c r="EH313" i="120"/>
  <c r="EI313" i="120"/>
  <c r="EH314" i="120"/>
  <c r="EI314" i="120"/>
  <c r="EH315" i="120"/>
  <c r="EI315" i="120"/>
  <c r="EH316" i="120"/>
  <c r="EI316" i="120"/>
  <c r="EH317" i="120"/>
  <c r="EI317" i="120"/>
  <c r="EH318" i="120"/>
  <c r="EI318" i="120"/>
  <c r="EH319" i="120"/>
  <c r="EI319" i="120"/>
  <c r="EH388" i="120"/>
  <c r="EI388" i="120"/>
  <c r="EH320" i="120"/>
  <c r="EI320" i="120"/>
  <c r="EH321" i="120"/>
  <c r="EI321" i="120"/>
  <c r="EH402" i="120"/>
  <c r="EI402" i="120"/>
  <c r="EH393" i="120"/>
  <c r="EI393" i="120"/>
  <c r="EH400" i="120"/>
  <c r="EI400" i="120"/>
  <c r="EH322" i="120"/>
  <c r="EI322" i="120"/>
  <c r="EH382" i="120"/>
  <c r="EI382" i="120"/>
  <c r="EH323" i="120"/>
  <c r="EI323" i="120"/>
  <c r="EH324" i="120"/>
  <c r="EI324" i="120"/>
  <c r="EH325" i="120"/>
  <c r="EI325" i="120"/>
  <c r="EH326" i="120"/>
  <c r="EI326" i="120"/>
  <c r="EH327" i="120"/>
  <c r="EI327" i="120"/>
  <c r="EH328" i="120"/>
  <c r="EI328" i="120"/>
  <c r="EH329" i="120"/>
  <c r="EI329" i="120"/>
  <c r="EH396" i="120"/>
  <c r="EI396" i="120"/>
  <c r="EH392" i="120"/>
  <c r="EI392" i="120"/>
  <c r="EH398" i="120"/>
  <c r="EI398" i="120"/>
  <c r="EH330" i="120"/>
  <c r="EI330" i="120"/>
  <c r="EH401" i="120"/>
  <c r="EI401" i="120"/>
  <c r="EH380" i="120"/>
  <c r="EI380" i="120"/>
  <c r="EH331" i="120"/>
  <c r="EI331" i="120"/>
  <c r="EH332" i="120"/>
  <c r="EI332" i="120"/>
  <c r="EH19" i="120"/>
  <c r="EI19" i="120"/>
  <c r="EH333" i="120"/>
  <c r="EI333" i="120"/>
  <c r="EH381" i="120"/>
  <c r="EI381" i="120"/>
  <c r="EH334" i="120"/>
  <c r="EI334" i="120"/>
  <c r="EH335" i="120"/>
  <c r="EI335" i="120"/>
  <c r="EH336" i="120"/>
  <c r="EI336" i="120"/>
  <c r="EH337" i="120"/>
  <c r="EI337" i="120"/>
  <c r="EH338" i="120"/>
  <c r="EI338" i="120"/>
  <c r="EH339" i="120"/>
  <c r="EI339" i="120"/>
  <c r="EH340" i="120"/>
  <c r="EI340" i="120"/>
  <c r="EH341" i="120"/>
  <c r="EI341" i="120"/>
  <c r="EH403" i="120"/>
  <c r="EI403" i="120"/>
  <c r="EH342" i="120"/>
  <c r="EI342" i="120"/>
  <c r="EH344" i="120"/>
  <c r="EI344" i="120"/>
  <c r="EH345" i="120"/>
  <c r="EI345" i="120"/>
  <c r="EH346" i="120"/>
  <c r="EI346" i="120"/>
  <c r="EH347" i="120"/>
  <c r="EI347" i="120"/>
  <c r="EH348" i="120"/>
  <c r="EI348" i="120"/>
  <c r="EH350" i="120"/>
  <c r="EI350" i="120"/>
  <c r="EH351" i="120"/>
  <c r="EI351" i="120"/>
  <c r="EH383" i="120"/>
  <c r="EI383" i="120"/>
  <c r="EH352" i="120"/>
  <c r="EI352" i="120"/>
  <c r="EH353" i="120"/>
  <c r="EI353" i="120"/>
  <c r="EH379" i="120"/>
  <c r="EI379" i="120"/>
  <c r="EH378" i="120"/>
  <c r="EI378" i="120"/>
  <c r="EH405" i="120"/>
  <c r="EI405" i="120"/>
  <c r="EH354" i="120"/>
  <c r="EI354" i="120"/>
  <c r="EH355" i="120"/>
  <c r="EI355" i="120"/>
  <c r="EH9" i="120"/>
  <c r="EI9" i="120"/>
  <c r="EH357" i="120"/>
  <c r="EI357" i="120"/>
  <c r="EH13" i="120"/>
  <c r="EI13" i="120"/>
  <c r="EH377" i="120"/>
  <c r="EI377" i="120"/>
  <c r="EH16" i="120"/>
  <c r="EI16" i="120"/>
  <c r="DC8" i="120"/>
  <c r="AW191" i="113"/>
  <c r="BO8" i="120" l="1"/>
  <c r="EF8" i="120"/>
  <c r="FK8" i="120" s="1"/>
  <c r="BU174" i="113"/>
  <c r="BV174" i="113"/>
  <c r="BV108" i="113"/>
  <c r="BU108" i="113"/>
  <c r="BU39" i="113"/>
  <c r="BV39" i="113"/>
  <c r="BU189" i="113"/>
  <c r="BV189" i="113"/>
  <c r="BU181" i="113"/>
  <c r="BV181" i="113"/>
  <c r="BU173" i="113"/>
  <c r="BV173" i="113"/>
  <c r="BV164" i="113"/>
  <c r="BU164" i="113"/>
  <c r="BU155" i="113"/>
  <c r="BV155" i="113"/>
  <c r="BV147" i="113"/>
  <c r="BU147" i="113"/>
  <c r="BU139" i="113"/>
  <c r="BV139" i="113"/>
  <c r="BU131" i="113"/>
  <c r="BV131" i="113"/>
  <c r="BU123" i="113"/>
  <c r="BV123" i="113"/>
  <c r="BV115" i="113"/>
  <c r="BU115" i="113"/>
  <c r="BU107" i="113"/>
  <c r="BV107" i="113"/>
  <c r="BU99" i="113"/>
  <c r="BV99" i="113"/>
  <c r="BU86" i="113"/>
  <c r="BV86" i="113"/>
  <c r="BU78" i="113"/>
  <c r="BV78" i="113"/>
  <c r="BU70" i="113"/>
  <c r="BV70" i="113"/>
  <c r="BU62" i="113"/>
  <c r="BV62" i="113"/>
  <c r="BU54" i="113"/>
  <c r="BV54" i="113"/>
  <c r="BU46" i="113"/>
  <c r="BV46" i="113"/>
  <c r="BU38" i="113"/>
  <c r="BV38" i="113"/>
  <c r="BU30" i="113"/>
  <c r="BV30" i="113"/>
  <c r="BU22" i="113"/>
  <c r="BV22" i="113"/>
  <c r="BU14" i="113"/>
  <c r="BV14" i="113"/>
  <c r="BU190" i="113"/>
  <c r="BV190" i="113"/>
  <c r="BU63" i="113"/>
  <c r="BV63" i="113"/>
  <c r="BV188" i="113"/>
  <c r="BU188" i="113"/>
  <c r="BV180" i="113"/>
  <c r="BU180" i="113"/>
  <c r="BV172" i="113"/>
  <c r="BU172" i="113"/>
  <c r="BU163" i="113"/>
  <c r="BV163" i="113"/>
  <c r="BV154" i="113"/>
  <c r="BU154" i="113"/>
  <c r="BV146" i="113"/>
  <c r="BU146" i="113"/>
  <c r="BV138" i="113"/>
  <c r="BU138" i="113"/>
  <c r="BV130" i="113"/>
  <c r="BU130" i="113"/>
  <c r="BV122" i="113"/>
  <c r="BU122" i="113"/>
  <c r="BV114" i="113"/>
  <c r="BU114" i="113"/>
  <c r="BV106" i="113"/>
  <c r="BU106" i="113"/>
  <c r="BU97" i="113"/>
  <c r="BV97" i="113"/>
  <c r="BU85" i="113"/>
  <c r="BV85" i="113"/>
  <c r="BU77" i="113"/>
  <c r="BV77" i="113"/>
  <c r="BU69" i="113"/>
  <c r="BV69" i="113"/>
  <c r="BU61" i="113"/>
  <c r="BV61" i="113"/>
  <c r="BU53" i="113"/>
  <c r="BV53" i="113"/>
  <c r="BU45" i="113"/>
  <c r="BV45" i="113"/>
  <c r="BU37" i="113"/>
  <c r="BV37" i="113"/>
  <c r="BU29" i="113"/>
  <c r="BV29" i="113"/>
  <c r="BU21" i="113"/>
  <c r="BV21" i="113"/>
  <c r="BU13" i="113"/>
  <c r="BV13" i="113"/>
  <c r="BV140" i="113"/>
  <c r="BU140" i="113"/>
  <c r="BU87" i="113"/>
  <c r="BV87" i="113"/>
  <c r="BU23" i="113"/>
  <c r="BV23" i="113"/>
  <c r="BV96" i="113"/>
  <c r="BU96" i="113"/>
  <c r="BU187" i="113"/>
  <c r="BV187" i="113"/>
  <c r="BV179" i="113"/>
  <c r="BU179" i="113"/>
  <c r="BU171" i="113"/>
  <c r="BV171" i="113"/>
  <c r="BV162" i="113"/>
  <c r="BU162" i="113"/>
  <c r="BU153" i="113"/>
  <c r="BV153" i="113"/>
  <c r="BU145" i="113"/>
  <c r="BV145" i="113"/>
  <c r="BU137" i="113"/>
  <c r="BV137" i="113"/>
  <c r="BU129" i="113"/>
  <c r="BV129" i="113"/>
  <c r="BU121" i="113"/>
  <c r="BV121" i="113"/>
  <c r="BU113" i="113"/>
  <c r="BV113" i="113"/>
  <c r="BU105" i="113"/>
  <c r="BV105" i="113"/>
  <c r="BU93" i="113"/>
  <c r="BV93" i="113"/>
  <c r="BV84" i="113"/>
  <c r="BU84" i="113"/>
  <c r="BV76" i="113"/>
  <c r="BU76" i="113"/>
  <c r="BV68" i="113"/>
  <c r="BU68" i="113"/>
  <c r="BV60" i="113"/>
  <c r="BU60" i="113"/>
  <c r="BV52" i="113"/>
  <c r="BU52" i="113"/>
  <c r="BV44" i="113"/>
  <c r="BU44" i="113"/>
  <c r="BV36" i="113"/>
  <c r="BU36" i="113"/>
  <c r="BV28" i="113"/>
  <c r="BU28" i="113"/>
  <c r="BV20" i="113"/>
  <c r="BU20" i="113"/>
  <c r="BV12" i="113"/>
  <c r="BU12" i="113"/>
  <c r="BV156" i="113"/>
  <c r="BU156" i="113"/>
  <c r="BV116" i="113"/>
  <c r="BU116" i="113"/>
  <c r="BU55" i="113"/>
  <c r="BV55" i="113"/>
  <c r="BU165" i="113"/>
  <c r="BV165" i="113"/>
  <c r="BV186" i="113"/>
  <c r="BU186" i="113"/>
  <c r="BV178" i="113"/>
  <c r="BU178" i="113"/>
  <c r="BV170" i="113"/>
  <c r="BU170" i="113"/>
  <c r="BU161" i="113"/>
  <c r="BV161" i="113"/>
  <c r="BU152" i="113"/>
  <c r="BV152" i="113"/>
  <c r="BU144" i="113"/>
  <c r="BV144" i="113"/>
  <c r="BU136" i="113"/>
  <c r="BV136" i="113"/>
  <c r="BV128" i="113"/>
  <c r="BU128" i="113"/>
  <c r="BU120" i="113"/>
  <c r="BV120" i="113"/>
  <c r="BU112" i="113"/>
  <c r="BV112" i="113"/>
  <c r="BU104" i="113"/>
  <c r="BV104" i="113"/>
  <c r="BV92" i="113"/>
  <c r="BU92" i="113"/>
  <c r="BV83" i="113"/>
  <c r="BU83" i="113"/>
  <c r="BU75" i="113"/>
  <c r="BV75" i="113"/>
  <c r="BU67" i="113"/>
  <c r="BV67" i="113"/>
  <c r="BU59" i="113"/>
  <c r="BV59" i="113"/>
  <c r="BV51" i="113"/>
  <c r="BU51" i="113"/>
  <c r="BU43" i="113"/>
  <c r="BV43" i="113"/>
  <c r="BU35" i="113"/>
  <c r="BV35" i="113"/>
  <c r="BU27" i="113"/>
  <c r="BV27" i="113"/>
  <c r="BV19" i="113"/>
  <c r="BU19" i="113"/>
  <c r="BV11" i="113"/>
  <c r="BU11" i="113"/>
  <c r="BU166" i="113"/>
  <c r="BV166" i="113"/>
  <c r="BV124" i="113"/>
  <c r="BU124" i="113"/>
  <c r="BU79" i="113"/>
  <c r="BV79" i="113"/>
  <c r="BU47" i="113"/>
  <c r="BV47" i="113"/>
  <c r="BU191" i="113"/>
  <c r="BV191" i="113"/>
  <c r="BU185" i="113"/>
  <c r="BV185" i="113"/>
  <c r="BU177" i="113"/>
  <c r="BV177" i="113"/>
  <c r="BU169" i="113"/>
  <c r="BV169" i="113"/>
  <c r="BV160" i="113"/>
  <c r="BU160" i="113"/>
  <c r="BU151" i="113"/>
  <c r="BV151" i="113"/>
  <c r="BU143" i="113"/>
  <c r="BV143" i="113"/>
  <c r="BU135" i="113"/>
  <c r="BV135" i="113"/>
  <c r="BU127" i="113"/>
  <c r="BV127" i="113"/>
  <c r="BU119" i="113"/>
  <c r="BV119" i="113"/>
  <c r="BU111" i="113"/>
  <c r="BV111" i="113"/>
  <c r="BU103" i="113"/>
  <c r="BV103" i="113"/>
  <c r="BU91" i="113"/>
  <c r="BV91" i="113"/>
  <c r="BV82" i="113"/>
  <c r="BU82" i="113"/>
  <c r="BV74" i="113"/>
  <c r="BU74" i="113"/>
  <c r="BV66" i="113"/>
  <c r="BU66" i="113"/>
  <c r="BV58" i="113"/>
  <c r="BU58" i="113"/>
  <c r="BV50" i="113"/>
  <c r="BU50" i="113"/>
  <c r="BV42" i="113"/>
  <c r="BU42" i="113"/>
  <c r="BV34" i="113"/>
  <c r="BU34" i="113"/>
  <c r="BV26" i="113"/>
  <c r="BU26" i="113"/>
  <c r="BV18" i="113"/>
  <c r="BU18" i="113"/>
  <c r="BV10" i="113"/>
  <c r="BU10" i="113"/>
  <c r="BV148" i="113"/>
  <c r="BU148" i="113"/>
  <c r="BV100" i="113"/>
  <c r="BU100" i="113"/>
  <c r="BU31" i="113"/>
  <c r="BV31" i="113"/>
  <c r="BU198" i="113"/>
  <c r="BV198" i="113"/>
  <c r="BU184" i="113"/>
  <c r="BV184" i="113"/>
  <c r="BU176" i="113"/>
  <c r="BV176" i="113"/>
  <c r="BU168" i="113"/>
  <c r="BV168" i="113"/>
  <c r="BU159" i="113"/>
  <c r="BV159" i="113"/>
  <c r="BU150" i="113"/>
  <c r="BV150" i="113"/>
  <c r="BU142" i="113"/>
  <c r="BV142" i="113"/>
  <c r="BU134" i="113"/>
  <c r="BV134" i="113"/>
  <c r="BU126" i="113"/>
  <c r="BV126" i="113"/>
  <c r="BU118" i="113"/>
  <c r="BV118" i="113"/>
  <c r="BU110" i="113"/>
  <c r="BV110" i="113"/>
  <c r="BU102" i="113"/>
  <c r="BV102" i="113"/>
  <c r="BV90" i="113"/>
  <c r="BU90" i="113"/>
  <c r="BU81" i="113"/>
  <c r="BV81" i="113"/>
  <c r="BU73" i="113"/>
  <c r="BV73" i="113"/>
  <c r="BU65" i="113"/>
  <c r="BV65" i="113"/>
  <c r="BU57" i="113"/>
  <c r="BV57" i="113"/>
  <c r="BU49" i="113"/>
  <c r="BV49" i="113"/>
  <c r="BU41" i="113"/>
  <c r="BV41" i="113"/>
  <c r="BU33" i="113"/>
  <c r="BV33" i="113"/>
  <c r="BU25" i="113"/>
  <c r="BV25" i="113"/>
  <c r="BU17" i="113"/>
  <c r="BV17" i="113"/>
  <c r="BU9" i="113"/>
  <c r="BV9" i="113"/>
  <c r="BU182" i="113"/>
  <c r="BV182" i="113"/>
  <c r="BV132" i="113"/>
  <c r="BU132" i="113"/>
  <c r="BU71" i="113"/>
  <c r="BV71" i="113"/>
  <c r="BU15" i="113"/>
  <c r="BV15" i="113"/>
  <c r="BV192" i="113"/>
  <c r="BU192" i="113"/>
  <c r="BU183" i="113"/>
  <c r="BV183" i="113"/>
  <c r="BU175" i="113"/>
  <c r="BV175" i="113"/>
  <c r="BU167" i="113"/>
  <c r="BV167" i="113"/>
  <c r="BU157" i="113"/>
  <c r="BV157" i="113"/>
  <c r="BU149" i="113"/>
  <c r="BV149" i="113"/>
  <c r="BU141" i="113"/>
  <c r="BV141" i="113"/>
  <c r="BU133" i="113"/>
  <c r="BV133" i="113"/>
  <c r="BU125" i="113"/>
  <c r="BV125" i="113"/>
  <c r="BU117" i="113"/>
  <c r="BV117" i="113"/>
  <c r="BU109" i="113"/>
  <c r="BV109" i="113"/>
  <c r="BU101" i="113"/>
  <c r="BV101" i="113"/>
  <c r="BU89" i="113"/>
  <c r="BV89" i="113"/>
  <c r="BU80" i="113"/>
  <c r="BV80" i="113"/>
  <c r="BU72" i="113"/>
  <c r="BV72" i="113"/>
  <c r="BV64" i="113"/>
  <c r="BU64" i="113"/>
  <c r="BU56" i="113"/>
  <c r="BV56" i="113"/>
  <c r="BU48" i="113"/>
  <c r="BV48" i="113"/>
  <c r="BU40" i="113"/>
  <c r="BV40" i="113"/>
  <c r="BV32" i="113"/>
  <c r="BU32" i="113"/>
  <c r="BU24" i="113"/>
  <c r="BV24" i="113"/>
  <c r="BV16" i="113"/>
  <c r="BU16" i="113"/>
  <c r="EK397" i="120"/>
  <c r="EK356" i="120"/>
  <c r="EK376" i="120"/>
  <c r="EK25" i="120"/>
  <c r="EK358" i="120"/>
  <c r="EK349" i="120"/>
  <c r="EJ343" i="120"/>
  <c r="EK343" i="120" s="1"/>
  <c r="EK368" i="120"/>
  <c r="EJ359" i="120"/>
  <c r="EK359" i="120" s="1"/>
  <c r="EK367" i="120"/>
  <c r="EK366" i="120"/>
  <c r="EJ12" i="120"/>
  <c r="EK12" i="120" s="1"/>
  <c r="EJ14" i="120"/>
  <c r="EK14" i="120" s="1"/>
  <c r="EK365" i="120"/>
  <c r="EK371" i="120"/>
  <c r="EK364" i="120"/>
  <c r="EK370" i="120"/>
  <c r="EK363" i="120"/>
  <c r="EG363" i="120"/>
  <c r="EJ361" i="120"/>
  <c r="EK361" i="120" s="1"/>
  <c r="EK369" i="120"/>
  <c r="EK362" i="120"/>
  <c r="EJ360" i="120"/>
  <c r="EK360" i="120" s="1"/>
  <c r="EJ13" i="120"/>
  <c r="EK13" i="120" s="1"/>
  <c r="EJ405" i="120"/>
  <c r="EK405" i="120" s="1"/>
  <c r="EJ350" i="120"/>
  <c r="EJ342" i="120"/>
  <c r="EK342" i="120" s="1"/>
  <c r="EJ335" i="120"/>
  <c r="EK335" i="120" s="1"/>
  <c r="EJ401" i="120"/>
  <c r="EJ326" i="120"/>
  <c r="EK326" i="120" s="1"/>
  <c r="EJ402" i="120"/>
  <c r="EK402" i="120" s="1"/>
  <c r="EJ315" i="120"/>
  <c r="EK315" i="120" s="1"/>
  <c r="EJ307" i="120"/>
  <c r="EK307" i="120" s="1"/>
  <c r="EJ301" i="120"/>
  <c r="EK301" i="120" s="1"/>
  <c r="EJ296" i="120"/>
  <c r="EK296" i="120" s="1"/>
  <c r="EJ288" i="120"/>
  <c r="EK288" i="120" s="1"/>
  <c r="EJ280" i="120"/>
  <c r="EK280" i="120" s="1"/>
  <c r="EJ273" i="120"/>
  <c r="EK273" i="120" s="1"/>
  <c r="EJ265" i="120"/>
  <c r="EK265" i="120" s="1"/>
  <c r="EJ259" i="120"/>
  <c r="EK259" i="120" s="1"/>
  <c r="EJ252" i="120"/>
  <c r="EK252" i="120" s="1"/>
  <c r="EJ246" i="120"/>
  <c r="EK246" i="120" s="1"/>
  <c r="EJ239" i="120"/>
  <c r="EK239" i="120" s="1"/>
  <c r="EJ232" i="120"/>
  <c r="EK232" i="120" s="1"/>
  <c r="EJ224" i="120"/>
  <c r="EK224" i="120" s="1"/>
  <c r="EJ216" i="120"/>
  <c r="EK216" i="120" s="1"/>
  <c r="EJ209" i="120"/>
  <c r="EK209" i="120" s="1"/>
  <c r="EJ202" i="120"/>
  <c r="EK202" i="120" s="1"/>
  <c r="EJ195" i="120"/>
  <c r="EK195" i="120" s="1"/>
  <c r="EJ187" i="120"/>
  <c r="EK187" i="120" s="1"/>
  <c r="EJ179" i="120"/>
  <c r="EK179" i="120" s="1"/>
  <c r="EJ171" i="120"/>
  <c r="EK171" i="120" s="1"/>
  <c r="EJ357" i="120"/>
  <c r="EK357" i="120" s="1"/>
  <c r="EJ378" i="120"/>
  <c r="EK378" i="120" s="1"/>
  <c r="EJ403" i="120"/>
  <c r="EK403" i="120" s="1"/>
  <c r="EJ334" i="120"/>
  <c r="EK334" i="120" s="1"/>
  <c r="EJ330" i="120"/>
  <c r="EK330" i="120" s="1"/>
  <c r="EJ325" i="120"/>
  <c r="EK325" i="120" s="1"/>
  <c r="EJ321" i="120"/>
  <c r="EK321" i="120" s="1"/>
  <c r="EJ314" i="120"/>
  <c r="EK314" i="120" s="1"/>
  <c r="EJ306" i="120"/>
  <c r="EK306" i="120" s="1"/>
  <c r="EJ300" i="120"/>
  <c r="EJ295" i="120"/>
  <c r="EK295" i="120" s="1"/>
  <c r="EJ287" i="120"/>
  <c r="EK287" i="120" s="1"/>
  <c r="EJ279" i="120"/>
  <c r="EK279" i="120" s="1"/>
  <c r="EJ272" i="120"/>
  <c r="EK272" i="120" s="1"/>
  <c r="EJ264" i="120"/>
  <c r="EK264" i="120" s="1"/>
  <c r="EJ258" i="120"/>
  <c r="EK258" i="120" s="1"/>
  <c r="EJ251" i="120"/>
  <c r="EK251" i="120" s="1"/>
  <c r="EJ17" i="120"/>
  <c r="EJ20" i="120"/>
  <c r="EJ231" i="120"/>
  <c r="EK231" i="120" s="1"/>
  <c r="EJ223" i="120"/>
  <c r="EK223" i="120" s="1"/>
  <c r="EJ215" i="120"/>
  <c r="EK215" i="120" s="1"/>
  <c r="EJ208" i="120"/>
  <c r="EK208" i="120" s="1"/>
  <c r="EJ201" i="120"/>
  <c r="EK201" i="120" s="1"/>
  <c r="EJ194" i="120"/>
  <c r="EK194" i="120" s="1"/>
  <c r="EJ186" i="120"/>
  <c r="EK186" i="120" s="1"/>
  <c r="EJ178" i="120"/>
  <c r="EK178" i="120" s="1"/>
  <c r="EJ399" i="120"/>
  <c r="EJ163" i="120"/>
  <c r="EK163" i="120" s="1"/>
  <c r="EJ155" i="120"/>
  <c r="EK155" i="120" s="1"/>
  <c r="EJ147" i="120"/>
  <c r="EK147" i="120" s="1"/>
  <c r="EJ139" i="120"/>
  <c r="EK139" i="120" s="1"/>
  <c r="EJ131" i="120"/>
  <c r="EK131" i="120" s="1"/>
  <c r="EJ379" i="120"/>
  <c r="EK379" i="120" s="1"/>
  <c r="EJ348" i="120"/>
  <c r="EK348" i="120" s="1"/>
  <c r="EJ341" i="120"/>
  <c r="EK341" i="120" s="1"/>
  <c r="EJ381" i="120"/>
  <c r="EK381" i="120" s="1"/>
  <c r="EJ398" i="120"/>
  <c r="EK398" i="120" s="1"/>
  <c r="EJ324" i="120"/>
  <c r="EK324" i="120" s="1"/>
  <c r="EJ320" i="120"/>
  <c r="EK320" i="120" s="1"/>
  <c r="EJ313" i="120"/>
  <c r="EK313" i="120" s="1"/>
  <c r="EJ28" i="120"/>
  <c r="EK28" i="120" s="1"/>
  <c r="EJ389" i="120"/>
  <c r="EK389" i="120" s="1"/>
  <c r="EJ294" i="120"/>
  <c r="EK294" i="120" s="1"/>
  <c r="EJ286" i="120"/>
  <c r="EK286" i="120" s="1"/>
  <c r="EJ278" i="120"/>
  <c r="EK278" i="120" s="1"/>
  <c r="EJ271" i="120"/>
  <c r="EK271" i="120" s="1"/>
  <c r="EJ263" i="120"/>
  <c r="EK263" i="120" s="1"/>
  <c r="EJ257" i="120"/>
  <c r="EK257" i="120" s="1"/>
  <c r="EJ386" i="120"/>
  <c r="EK386" i="120" s="1"/>
  <c r="EJ245" i="120"/>
  <c r="EK245" i="120" s="1"/>
  <c r="EJ238" i="120"/>
  <c r="EK238" i="120" s="1"/>
  <c r="EJ230" i="120"/>
  <c r="EK230" i="120" s="1"/>
  <c r="EJ222" i="120"/>
  <c r="EK222" i="120" s="1"/>
  <c r="EJ214" i="120"/>
  <c r="EK214" i="120" s="1"/>
  <c r="EJ207" i="120"/>
  <c r="EK207" i="120" s="1"/>
  <c r="EJ200" i="120"/>
  <c r="EK200" i="120" s="1"/>
  <c r="EJ193" i="120"/>
  <c r="EK193" i="120" s="1"/>
  <c r="EJ185" i="120"/>
  <c r="EK185" i="120" s="1"/>
  <c r="EJ177" i="120"/>
  <c r="EK177" i="120" s="1"/>
  <c r="EJ170" i="120"/>
  <c r="EK170" i="120" s="1"/>
  <c r="EJ162" i="120"/>
  <c r="EK162" i="120" s="1"/>
  <c r="EJ154" i="120"/>
  <c r="EK154" i="120" s="1"/>
  <c r="EJ146" i="120"/>
  <c r="EK146" i="120" s="1"/>
  <c r="EJ138" i="120"/>
  <c r="EK138" i="120" s="1"/>
  <c r="EJ130" i="120"/>
  <c r="EK130" i="120" s="1"/>
  <c r="EJ122" i="120"/>
  <c r="EK122" i="120" s="1"/>
  <c r="EJ114" i="120"/>
  <c r="EK114" i="120" s="1"/>
  <c r="EJ9" i="120"/>
  <c r="EK9" i="120" s="1"/>
  <c r="EJ347" i="120"/>
  <c r="EK347" i="120" s="1"/>
  <c r="EJ340" i="120"/>
  <c r="EK340" i="120" s="1"/>
  <c r="EJ333" i="120"/>
  <c r="EK333" i="120" s="1"/>
  <c r="EJ392" i="120"/>
  <c r="EJ323" i="120"/>
  <c r="EK323" i="120" s="1"/>
  <c r="EJ388" i="120"/>
  <c r="EK388" i="120" s="1"/>
  <c r="EJ312" i="120"/>
  <c r="EK312" i="120" s="1"/>
  <c r="EJ5" i="120"/>
  <c r="EJ299" i="120"/>
  <c r="EK299" i="120" s="1"/>
  <c r="EJ293" i="120"/>
  <c r="EK293" i="120" s="1"/>
  <c r="EJ285" i="120"/>
  <c r="EK285" i="120" s="1"/>
  <c r="EJ277" i="120"/>
  <c r="EK277" i="120" s="1"/>
  <c r="EJ270" i="120"/>
  <c r="EK270" i="120" s="1"/>
  <c r="EJ262" i="120"/>
  <c r="EK262" i="120" s="1"/>
  <c r="EJ385" i="120"/>
  <c r="EK385" i="120" s="1"/>
  <c r="EJ250" i="120"/>
  <c r="EK250" i="120" s="1"/>
  <c r="EJ244" i="120"/>
  <c r="EK244" i="120" s="1"/>
  <c r="EJ237" i="120"/>
  <c r="EK237" i="120" s="1"/>
  <c r="EJ229" i="120"/>
  <c r="EK229" i="120" s="1"/>
  <c r="EJ221" i="120"/>
  <c r="EK221" i="120" s="1"/>
  <c r="EJ213" i="120"/>
  <c r="EK213" i="120" s="1"/>
  <c r="EJ206" i="120"/>
  <c r="EK206" i="120" s="1"/>
  <c r="EJ199" i="120"/>
  <c r="EK199" i="120" s="1"/>
  <c r="EJ192" i="120"/>
  <c r="EK192" i="120" s="1"/>
  <c r="EJ184" i="120"/>
  <c r="EK184" i="120" s="1"/>
  <c r="EJ176" i="120"/>
  <c r="EK176" i="120" s="1"/>
  <c r="EJ169" i="120"/>
  <c r="EK169" i="120" s="1"/>
  <c r="EJ161" i="120"/>
  <c r="EK161" i="120" s="1"/>
  <c r="EJ355" i="120"/>
  <c r="EK355" i="120" s="1"/>
  <c r="EJ353" i="120"/>
  <c r="EK353" i="120" s="1"/>
  <c r="EJ346" i="120"/>
  <c r="EK346" i="120" s="1"/>
  <c r="EJ339" i="120"/>
  <c r="EK339" i="120" s="1"/>
  <c r="EJ19" i="120"/>
  <c r="EK19" i="120" s="1"/>
  <c r="EJ396" i="120"/>
  <c r="EJ382" i="120"/>
  <c r="EJ319" i="120"/>
  <c r="EK319" i="120" s="1"/>
  <c r="EJ311" i="120"/>
  <c r="EK311" i="120" s="1"/>
  <c r="EJ305" i="120"/>
  <c r="EK305" i="120" s="1"/>
  <c r="EJ384" i="120"/>
  <c r="EK384" i="120" s="1"/>
  <c r="EJ292" i="120"/>
  <c r="EK292" i="120" s="1"/>
  <c r="EJ284" i="120"/>
  <c r="EK284" i="120" s="1"/>
  <c r="EJ276" i="120"/>
  <c r="EK276" i="120" s="1"/>
  <c r="EJ269" i="120"/>
  <c r="EK269" i="120" s="1"/>
  <c r="EJ404" i="120"/>
  <c r="EJ256" i="120"/>
  <c r="EK256" i="120" s="1"/>
  <c r="EJ26" i="120"/>
  <c r="EK26" i="120" s="1"/>
  <c r="EJ243" i="120"/>
  <c r="EK243" i="120" s="1"/>
  <c r="EJ236" i="120"/>
  <c r="EK236" i="120" s="1"/>
  <c r="EJ228" i="120"/>
  <c r="EK228" i="120" s="1"/>
  <c r="EJ220" i="120"/>
  <c r="EK220" i="120" s="1"/>
  <c r="EJ212" i="120"/>
  <c r="EK212" i="120" s="1"/>
  <c r="EJ394" i="120"/>
  <c r="EJ198" i="120"/>
  <c r="EK198" i="120" s="1"/>
  <c r="EJ191" i="120"/>
  <c r="EK191" i="120" s="1"/>
  <c r="EJ183" i="120"/>
  <c r="EK183" i="120" s="1"/>
  <c r="EJ175" i="120"/>
  <c r="EJ168" i="120"/>
  <c r="EK168" i="120" s="1"/>
  <c r="EJ160" i="120"/>
  <c r="EK160" i="120" s="1"/>
  <c r="EJ352" i="120"/>
  <c r="EK352" i="120" s="1"/>
  <c r="EJ345" i="120"/>
  <c r="EJ338" i="120"/>
  <c r="EK338" i="120" s="1"/>
  <c r="EJ332" i="120"/>
  <c r="EK332" i="120" s="1"/>
  <c r="EJ329" i="120"/>
  <c r="EK329" i="120" s="1"/>
  <c r="EJ322" i="120"/>
  <c r="EJ318" i="120"/>
  <c r="EK318" i="120" s="1"/>
  <c r="EJ310" i="120"/>
  <c r="EK310" i="120" s="1"/>
  <c r="EJ304" i="120"/>
  <c r="EK304" i="120" s="1"/>
  <c r="EJ298" i="120"/>
  <c r="EK298" i="120" s="1"/>
  <c r="EJ291" i="120"/>
  <c r="EK291" i="120" s="1"/>
  <c r="EJ283" i="120"/>
  <c r="EK283" i="120" s="1"/>
  <c r="EJ275" i="120"/>
  <c r="EK275" i="120" s="1"/>
  <c r="EJ268" i="120"/>
  <c r="EK268" i="120" s="1"/>
  <c r="EJ15" i="120"/>
  <c r="EJ255" i="120"/>
  <c r="EK255" i="120" s="1"/>
  <c r="EJ249" i="120"/>
  <c r="EK249" i="120" s="1"/>
  <c r="EJ242" i="120"/>
  <c r="EK242" i="120" s="1"/>
  <c r="EJ235" i="120"/>
  <c r="EK235" i="120" s="1"/>
  <c r="EJ227" i="120"/>
  <c r="EK227" i="120" s="1"/>
  <c r="EJ219" i="120"/>
  <c r="EK219" i="120" s="1"/>
  <c r="EJ391" i="120"/>
  <c r="EK391" i="120" s="1"/>
  <c r="EJ205" i="120"/>
  <c r="EK205" i="120" s="1"/>
  <c r="EJ197" i="120"/>
  <c r="EK197" i="120" s="1"/>
  <c r="EJ190" i="120"/>
  <c r="EK190" i="120" s="1"/>
  <c r="EJ182" i="120"/>
  <c r="EK182" i="120" s="1"/>
  <c r="EJ174" i="120"/>
  <c r="EK174" i="120" s="1"/>
  <c r="EJ167" i="120"/>
  <c r="EK167" i="120" s="1"/>
  <c r="EJ16" i="120"/>
  <c r="EK16" i="120" s="1"/>
  <c r="EJ383" i="120"/>
  <c r="EK383" i="120" s="1"/>
  <c r="EJ344" i="120"/>
  <c r="EK344" i="120" s="1"/>
  <c r="EJ337" i="120"/>
  <c r="EK337" i="120" s="1"/>
  <c r="EJ331" i="120"/>
  <c r="EK331" i="120" s="1"/>
  <c r="EJ328" i="120"/>
  <c r="EK328" i="120" s="1"/>
  <c r="EJ400" i="120"/>
  <c r="EJ317" i="120"/>
  <c r="EJ309" i="120"/>
  <c r="EJ303" i="120"/>
  <c r="EK303" i="120" s="1"/>
  <c r="EJ7" i="120"/>
  <c r="EJ290" i="120"/>
  <c r="EK290" i="120" s="1"/>
  <c r="EJ282" i="120"/>
  <c r="EK282" i="120" s="1"/>
  <c r="EJ274" i="120"/>
  <c r="EK274" i="120" s="1"/>
  <c r="EJ267" i="120"/>
  <c r="EK267" i="120" s="1"/>
  <c r="EJ261" i="120"/>
  <c r="EJ254" i="120"/>
  <c r="EK254" i="120" s="1"/>
  <c r="EJ248" i="120"/>
  <c r="EK248" i="120" s="1"/>
  <c r="EJ241" i="120"/>
  <c r="EK241" i="120" s="1"/>
  <c r="EJ234" i="120"/>
  <c r="EK234" i="120" s="1"/>
  <c r="EJ226" i="120"/>
  <c r="EK226" i="120" s="1"/>
  <c r="EJ218" i="120"/>
  <c r="EK218" i="120" s="1"/>
  <c r="EJ211" i="120"/>
  <c r="EK211" i="120" s="1"/>
  <c r="EJ204" i="120"/>
  <c r="EK204" i="120" s="1"/>
  <c r="EJ196" i="120"/>
  <c r="EK196" i="120" s="1"/>
  <c r="EJ189" i="120"/>
  <c r="EK189" i="120" s="1"/>
  <c r="EJ181" i="120"/>
  <c r="EK181" i="120" s="1"/>
  <c r="EJ173" i="120"/>
  <c r="EK173" i="120" s="1"/>
  <c r="EJ166" i="120"/>
  <c r="EK166" i="120" s="1"/>
  <c r="EJ158" i="120"/>
  <c r="EK158" i="120" s="1"/>
  <c r="EJ377" i="120"/>
  <c r="EJ354" i="120"/>
  <c r="EK354" i="120" s="1"/>
  <c r="EJ351" i="120"/>
  <c r="EJ336" i="120"/>
  <c r="EK336" i="120" s="1"/>
  <c r="EJ380" i="120"/>
  <c r="EJ327" i="120"/>
  <c r="EK327" i="120" s="1"/>
  <c r="EJ393" i="120"/>
  <c r="EJ316" i="120"/>
  <c r="EK316" i="120" s="1"/>
  <c r="EJ308" i="120"/>
  <c r="EK308" i="120" s="1"/>
  <c r="EJ302" i="120"/>
  <c r="EK302" i="120" s="1"/>
  <c r="EJ297" i="120"/>
  <c r="EK297" i="120" s="1"/>
  <c r="EJ289" i="120"/>
  <c r="EK289" i="120" s="1"/>
  <c r="EJ281" i="120"/>
  <c r="EK281" i="120" s="1"/>
  <c r="EJ387" i="120"/>
  <c r="EK387" i="120" s="1"/>
  <c r="EJ266" i="120"/>
  <c r="EJ260" i="120"/>
  <c r="EK260" i="120" s="1"/>
  <c r="EJ253" i="120"/>
  <c r="EK253" i="120" s="1"/>
  <c r="EJ247" i="120"/>
  <c r="EK247" i="120" s="1"/>
  <c r="EJ240" i="120"/>
  <c r="EK240" i="120" s="1"/>
  <c r="EJ233" i="120"/>
  <c r="EK233" i="120" s="1"/>
  <c r="EJ225" i="120"/>
  <c r="EK225" i="120" s="1"/>
  <c r="EJ217" i="120"/>
  <c r="EK217" i="120" s="1"/>
  <c r="EJ210" i="120"/>
  <c r="EK210" i="120" s="1"/>
  <c r="EJ203" i="120"/>
  <c r="EJ11" i="120"/>
  <c r="EK11" i="120" s="1"/>
  <c r="EJ188" i="120"/>
  <c r="EK188" i="120" s="1"/>
  <c r="EJ180" i="120"/>
  <c r="EK180" i="120" s="1"/>
  <c r="EJ172" i="120"/>
  <c r="EK172" i="120" s="1"/>
  <c r="EJ165" i="120"/>
  <c r="EK165" i="120" s="1"/>
  <c r="EJ150" i="120"/>
  <c r="EK150" i="120" s="1"/>
  <c r="EJ142" i="120"/>
  <c r="EK142" i="120" s="1"/>
  <c r="EJ134" i="120"/>
  <c r="EK134" i="120" s="1"/>
  <c r="EJ126" i="120"/>
  <c r="EK126" i="120" s="1"/>
  <c r="EJ118" i="120"/>
  <c r="EK118" i="120" s="1"/>
  <c r="EJ110" i="120"/>
  <c r="EK110" i="120" s="1"/>
  <c r="EJ102" i="120"/>
  <c r="EK102" i="120" s="1"/>
  <c r="EJ94" i="120"/>
  <c r="EK94" i="120" s="1"/>
  <c r="EJ86" i="120"/>
  <c r="EK86" i="120" s="1"/>
  <c r="EJ78" i="120"/>
  <c r="EK78" i="120" s="1"/>
  <c r="EJ71" i="120"/>
  <c r="EK71" i="120" s="1"/>
  <c r="EJ375" i="120"/>
  <c r="EK375" i="120" s="1"/>
  <c r="EJ66" i="120"/>
  <c r="EK66" i="120" s="1"/>
  <c r="EJ58" i="120"/>
  <c r="EK58" i="120" s="1"/>
  <c r="EJ52" i="120"/>
  <c r="EK52" i="120" s="1"/>
  <c r="EJ45" i="120"/>
  <c r="EK45" i="120" s="1"/>
  <c r="EJ37" i="120"/>
  <c r="EK37" i="120" s="1"/>
  <c r="EJ157" i="120"/>
  <c r="EK157" i="120" s="1"/>
  <c r="EJ149" i="120"/>
  <c r="EK149" i="120" s="1"/>
  <c r="EJ141" i="120"/>
  <c r="EK141" i="120" s="1"/>
  <c r="EJ133" i="120"/>
  <c r="EK133" i="120" s="1"/>
  <c r="EJ125" i="120"/>
  <c r="EK125" i="120" s="1"/>
  <c r="EJ117" i="120"/>
  <c r="EK117" i="120" s="1"/>
  <c r="EJ109" i="120"/>
  <c r="EK109" i="120" s="1"/>
  <c r="EJ101" i="120"/>
  <c r="EK101" i="120" s="1"/>
  <c r="EJ93" i="120"/>
  <c r="EK93" i="120" s="1"/>
  <c r="EJ85" i="120"/>
  <c r="EK85" i="120" s="1"/>
  <c r="EJ77" i="120"/>
  <c r="EK77" i="120" s="1"/>
  <c r="EJ23" i="120"/>
  <c r="EK23" i="120" s="1"/>
  <c r="EJ24" i="120"/>
  <c r="EK24" i="120" s="1"/>
  <c r="EJ65" i="120"/>
  <c r="EK65" i="120" s="1"/>
  <c r="EJ57" i="120"/>
  <c r="EK57" i="120" s="1"/>
  <c r="EJ10" i="120"/>
  <c r="EJ44" i="120"/>
  <c r="EK44" i="120" s="1"/>
  <c r="EJ36" i="120"/>
  <c r="EK36" i="120" s="1"/>
  <c r="EJ164" i="120"/>
  <c r="EK164" i="120" s="1"/>
  <c r="EJ156" i="120"/>
  <c r="EK156" i="120" s="1"/>
  <c r="EJ148" i="120"/>
  <c r="EK148" i="120" s="1"/>
  <c r="EJ140" i="120"/>
  <c r="EK140" i="120" s="1"/>
  <c r="EJ132" i="120"/>
  <c r="EK132" i="120" s="1"/>
  <c r="EJ124" i="120"/>
  <c r="EK124" i="120" s="1"/>
  <c r="EJ116" i="120"/>
  <c r="EK116" i="120" s="1"/>
  <c r="EJ108" i="120"/>
  <c r="EK108" i="120" s="1"/>
  <c r="EJ100" i="120"/>
  <c r="EK100" i="120" s="1"/>
  <c r="EJ92" i="120"/>
  <c r="EK92" i="120" s="1"/>
  <c r="EJ84" i="120"/>
  <c r="EK84" i="120" s="1"/>
  <c r="EJ76" i="120"/>
  <c r="EK76" i="120" s="1"/>
  <c r="EJ406" i="120"/>
  <c r="EK406" i="120" s="1"/>
  <c r="EJ69" i="120"/>
  <c r="EK69" i="120" s="1"/>
  <c r="EJ64" i="120"/>
  <c r="EK64" i="120" s="1"/>
  <c r="EJ373" i="120"/>
  <c r="EJ51" i="120"/>
  <c r="EK51" i="120" s="1"/>
  <c r="EJ43" i="120"/>
  <c r="EK43" i="120" s="1"/>
  <c r="EJ35" i="120"/>
  <c r="EK35" i="120" s="1"/>
  <c r="EJ123" i="120"/>
  <c r="EK123" i="120" s="1"/>
  <c r="EJ115" i="120"/>
  <c r="EK115" i="120" s="1"/>
  <c r="EJ107" i="120"/>
  <c r="EK107" i="120" s="1"/>
  <c r="EJ99" i="120"/>
  <c r="EK99" i="120" s="1"/>
  <c r="EJ91" i="120"/>
  <c r="EK91" i="120" s="1"/>
  <c r="EJ83" i="120"/>
  <c r="EK83" i="120" s="1"/>
  <c r="EJ75" i="120"/>
  <c r="EK75" i="120" s="1"/>
  <c r="EJ70" i="120"/>
  <c r="EK70" i="120" s="1"/>
  <c r="EJ68" i="120"/>
  <c r="EK68" i="120" s="1"/>
  <c r="EJ63" i="120"/>
  <c r="EK63" i="120" s="1"/>
  <c r="EJ56" i="120"/>
  <c r="EK56" i="120" s="1"/>
  <c r="EJ50" i="120"/>
  <c r="EK50" i="120" s="1"/>
  <c r="EJ42" i="120"/>
  <c r="EK42" i="120" s="1"/>
  <c r="EJ34" i="120"/>
  <c r="EK34" i="120" s="1"/>
  <c r="EJ106" i="120"/>
  <c r="EK106" i="120" s="1"/>
  <c r="EJ98" i="120"/>
  <c r="EK98" i="120" s="1"/>
  <c r="EJ90" i="120"/>
  <c r="EK90" i="120" s="1"/>
  <c r="EJ82" i="120"/>
  <c r="EK82" i="120" s="1"/>
  <c r="EJ74" i="120"/>
  <c r="EK74" i="120" s="1"/>
  <c r="EJ21" i="120"/>
  <c r="EJ395" i="120"/>
  <c r="EK395" i="120" s="1"/>
  <c r="EJ62" i="120"/>
  <c r="EK62" i="120" s="1"/>
  <c r="EJ55" i="120"/>
  <c r="EK55" i="120" s="1"/>
  <c r="EJ49" i="120"/>
  <c r="EK49" i="120" s="1"/>
  <c r="EJ41" i="120"/>
  <c r="EK41" i="120" s="1"/>
  <c r="EJ33" i="120"/>
  <c r="EK33" i="120" s="1"/>
  <c r="EJ153" i="120"/>
  <c r="EK153" i="120" s="1"/>
  <c r="EJ145" i="120"/>
  <c r="EK145" i="120" s="1"/>
  <c r="EJ137" i="120"/>
  <c r="EK137" i="120" s="1"/>
  <c r="EJ129" i="120"/>
  <c r="EK129" i="120" s="1"/>
  <c r="EJ121" i="120"/>
  <c r="EK121" i="120" s="1"/>
  <c r="EJ113" i="120"/>
  <c r="EK113" i="120" s="1"/>
  <c r="EJ105" i="120"/>
  <c r="EK105" i="120" s="1"/>
  <c r="EJ97" i="120"/>
  <c r="EK97" i="120" s="1"/>
  <c r="EJ89" i="120"/>
  <c r="EK89" i="120" s="1"/>
  <c r="EJ81" i="120"/>
  <c r="EK81" i="120" s="1"/>
  <c r="EJ73" i="120"/>
  <c r="EK73" i="120" s="1"/>
  <c r="EJ407" i="120"/>
  <c r="EK407" i="120" s="1"/>
  <c r="EJ374" i="120"/>
  <c r="EK374" i="120" s="1"/>
  <c r="EJ61" i="120"/>
  <c r="EK61" i="120" s="1"/>
  <c r="EJ54" i="120"/>
  <c r="EK54" i="120" s="1"/>
  <c r="EJ48" i="120"/>
  <c r="EK48" i="120" s="1"/>
  <c r="EJ40" i="120"/>
  <c r="EK40" i="120" s="1"/>
  <c r="EJ32" i="120"/>
  <c r="EK32" i="120" s="1"/>
  <c r="EJ152" i="120"/>
  <c r="EK152" i="120" s="1"/>
  <c r="EJ144" i="120"/>
  <c r="EK144" i="120" s="1"/>
  <c r="EJ136" i="120"/>
  <c r="EK136" i="120" s="1"/>
  <c r="EJ128" i="120"/>
  <c r="EK128" i="120" s="1"/>
  <c r="EJ120" i="120"/>
  <c r="EK120" i="120" s="1"/>
  <c r="EJ112" i="120"/>
  <c r="EK112" i="120" s="1"/>
  <c r="EJ104" i="120"/>
  <c r="EK104" i="120" s="1"/>
  <c r="EJ96" i="120"/>
  <c r="EK96" i="120" s="1"/>
  <c r="EJ88" i="120"/>
  <c r="EK88" i="120" s="1"/>
  <c r="EJ80" i="120"/>
  <c r="EK80" i="120" s="1"/>
  <c r="EJ72" i="120"/>
  <c r="EK72" i="120" s="1"/>
  <c r="EJ409" i="120"/>
  <c r="EK409" i="120" s="1"/>
  <c r="EJ67" i="120"/>
  <c r="EK67" i="120" s="1"/>
  <c r="EJ60" i="120"/>
  <c r="EK60" i="120" s="1"/>
  <c r="EJ53" i="120"/>
  <c r="EK53" i="120" s="1"/>
  <c r="EJ47" i="120"/>
  <c r="EK47" i="120" s="1"/>
  <c r="EJ39" i="120"/>
  <c r="EK39" i="120" s="1"/>
  <c r="EJ31" i="120"/>
  <c r="EK31" i="120" s="1"/>
  <c r="EJ159" i="120"/>
  <c r="EK159" i="120" s="1"/>
  <c r="EJ151" i="120"/>
  <c r="EK151" i="120" s="1"/>
  <c r="EJ143" i="120"/>
  <c r="EK143" i="120" s="1"/>
  <c r="EJ135" i="120"/>
  <c r="EK135" i="120" s="1"/>
  <c r="EJ127" i="120"/>
  <c r="EK127" i="120" s="1"/>
  <c r="EJ119" i="120"/>
  <c r="EK119" i="120" s="1"/>
  <c r="EJ111" i="120"/>
  <c r="EK111" i="120" s="1"/>
  <c r="EJ103" i="120"/>
  <c r="EK103" i="120" s="1"/>
  <c r="EJ95" i="120"/>
  <c r="EK95" i="120" s="1"/>
  <c r="EJ87" i="120"/>
  <c r="EK87" i="120" s="1"/>
  <c r="EJ79" i="120"/>
  <c r="EK79" i="120" s="1"/>
  <c r="EJ6" i="120"/>
  <c r="EK6" i="120" s="1"/>
  <c r="EJ408" i="120"/>
  <c r="EJ390" i="120"/>
  <c r="EJ59" i="120"/>
  <c r="EK59" i="120" s="1"/>
  <c r="EJ18" i="120"/>
  <c r="EJ46" i="120"/>
  <c r="EK46" i="120" s="1"/>
  <c r="EJ38" i="120"/>
  <c r="EK38" i="120" s="1"/>
  <c r="EJ30" i="120"/>
  <c r="EK30" i="120" s="1"/>
  <c r="DN395" i="120"/>
  <c r="DL395" i="120" s="1"/>
  <c r="EK8" i="120" l="1"/>
  <c r="BU94" i="113"/>
  <c r="BV94" i="113"/>
  <c r="DZ30" i="120"/>
  <c r="DZ31" i="120"/>
  <c r="DZ32" i="120"/>
  <c r="DZ33" i="120"/>
  <c r="DZ34" i="120"/>
  <c r="DZ35" i="120"/>
  <c r="DZ36" i="120"/>
  <c r="DZ37" i="120"/>
  <c r="DZ38" i="120"/>
  <c r="DZ39" i="120"/>
  <c r="DZ40" i="120"/>
  <c r="DZ41" i="120"/>
  <c r="DZ42" i="120"/>
  <c r="DZ43" i="120"/>
  <c r="DZ44" i="120"/>
  <c r="DZ45" i="120"/>
  <c r="DZ46" i="120"/>
  <c r="DZ47" i="120"/>
  <c r="DZ48" i="120"/>
  <c r="DZ49" i="120"/>
  <c r="DZ50" i="120"/>
  <c r="DZ51" i="120"/>
  <c r="DL10" i="120"/>
  <c r="DZ52" i="120"/>
  <c r="DZ18" i="120"/>
  <c r="DZ53" i="120"/>
  <c r="DZ54" i="120"/>
  <c r="DZ55" i="120"/>
  <c r="DZ56" i="120"/>
  <c r="DZ373" i="120"/>
  <c r="DZ57" i="120"/>
  <c r="DZ58" i="120"/>
  <c r="DZ59" i="120"/>
  <c r="DZ60" i="120"/>
  <c r="DZ61" i="120"/>
  <c r="DZ62" i="120"/>
  <c r="DZ63" i="120"/>
  <c r="DZ64" i="120"/>
  <c r="DZ65" i="120"/>
  <c r="DZ66" i="120"/>
  <c r="DZ390" i="120"/>
  <c r="DZ67" i="120"/>
  <c r="DZ374" i="120"/>
  <c r="DZ395" i="120"/>
  <c r="DZ68" i="120"/>
  <c r="DZ69" i="120"/>
  <c r="DZ24" i="120"/>
  <c r="DZ375" i="120"/>
  <c r="DZ408" i="120"/>
  <c r="DZ409" i="120"/>
  <c r="DZ407" i="120"/>
  <c r="DZ21" i="120"/>
  <c r="DZ70" i="120"/>
  <c r="DZ406" i="120"/>
  <c r="DZ23" i="120"/>
  <c r="DZ71" i="120"/>
  <c r="DZ6" i="120"/>
  <c r="DZ72" i="120"/>
  <c r="DZ73" i="120"/>
  <c r="DZ74" i="120"/>
  <c r="DZ75" i="120"/>
  <c r="DZ76" i="120"/>
  <c r="DZ77" i="120"/>
  <c r="DZ78" i="120"/>
  <c r="DZ79" i="120"/>
  <c r="DZ80" i="120"/>
  <c r="DZ81" i="120"/>
  <c r="DZ82" i="120"/>
  <c r="DZ83" i="120"/>
  <c r="DZ84" i="120"/>
  <c r="DZ85" i="120"/>
  <c r="DZ86" i="120"/>
  <c r="DZ87" i="120"/>
  <c r="DZ88" i="120"/>
  <c r="DZ89" i="120"/>
  <c r="DZ90" i="120"/>
  <c r="DZ91" i="120"/>
  <c r="DZ92" i="120"/>
  <c r="DZ93" i="120"/>
  <c r="DZ94" i="120"/>
  <c r="DZ95" i="120"/>
  <c r="DZ96" i="120"/>
  <c r="DZ97" i="120"/>
  <c r="DZ98" i="120"/>
  <c r="DZ99" i="120"/>
  <c r="DZ100" i="120"/>
  <c r="DZ101" i="120"/>
  <c r="DZ102" i="120"/>
  <c r="DZ104" i="120"/>
  <c r="DZ105" i="120"/>
  <c r="DZ106" i="120"/>
  <c r="DZ107" i="120"/>
  <c r="DZ108" i="120"/>
  <c r="DZ109" i="120"/>
  <c r="DZ110" i="120"/>
  <c r="DZ111" i="120"/>
  <c r="DZ112" i="120"/>
  <c r="DZ113" i="120"/>
  <c r="DZ114" i="120"/>
  <c r="DZ115" i="120"/>
  <c r="DZ116" i="120"/>
  <c r="DZ117" i="120"/>
  <c r="DZ118" i="120"/>
  <c r="DZ119" i="120"/>
  <c r="DZ120" i="120"/>
  <c r="DZ121" i="120"/>
  <c r="DZ122" i="120"/>
  <c r="DZ123" i="120"/>
  <c r="DZ124" i="120"/>
  <c r="DZ125" i="120"/>
  <c r="DZ126" i="120"/>
  <c r="DZ127" i="120"/>
  <c r="DZ128" i="120"/>
  <c r="DZ129" i="120"/>
  <c r="DZ130" i="120"/>
  <c r="DZ131" i="120"/>
  <c r="DZ132" i="120"/>
  <c r="DZ133" i="120"/>
  <c r="DZ134" i="120"/>
  <c r="DZ135" i="120"/>
  <c r="DZ136" i="120"/>
  <c r="DZ137" i="120"/>
  <c r="DZ138" i="120"/>
  <c r="DZ139" i="120"/>
  <c r="DZ140" i="120"/>
  <c r="DZ141" i="120"/>
  <c r="DZ142" i="120"/>
  <c r="DZ143" i="120"/>
  <c r="DZ144" i="120"/>
  <c r="DZ145" i="120"/>
  <c r="DZ146" i="120"/>
  <c r="DZ147" i="120"/>
  <c r="DZ148" i="120"/>
  <c r="DZ149" i="120"/>
  <c r="DZ150" i="120"/>
  <c r="DZ151" i="120"/>
  <c r="DZ152" i="120"/>
  <c r="DZ153" i="120"/>
  <c r="DZ154" i="120"/>
  <c r="DZ155" i="120"/>
  <c r="DZ156" i="120"/>
  <c r="DZ157" i="120"/>
  <c r="DZ158" i="120"/>
  <c r="DZ159" i="120"/>
  <c r="DZ160" i="120"/>
  <c r="DZ161" i="120"/>
  <c r="DZ162" i="120"/>
  <c r="DZ163" i="120"/>
  <c r="DZ164" i="120"/>
  <c r="DZ165" i="120"/>
  <c r="DZ166" i="120"/>
  <c r="DZ167" i="120"/>
  <c r="DZ168" i="120"/>
  <c r="DZ169" i="120"/>
  <c r="DZ170" i="120"/>
  <c r="DZ399" i="120"/>
  <c r="DZ171" i="120"/>
  <c r="DZ172" i="120"/>
  <c r="DZ173" i="120"/>
  <c r="DZ174" i="120"/>
  <c r="DZ175" i="120"/>
  <c r="DZ176" i="120"/>
  <c r="DZ177" i="120"/>
  <c r="DZ178" i="120"/>
  <c r="DZ179" i="120"/>
  <c r="DZ180" i="120"/>
  <c r="DZ181" i="120"/>
  <c r="DZ182" i="120"/>
  <c r="DZ183" i="120"/>
  <c r="DZ184" i="120"/>
  <c r="DZ185" i="120"/>
  <c r="DZ186" i="120"/>
  <c r="DZ187" i="120"/>
  <c r="DZ188" i="120"/>
  <c r="DZ189" i="120"/>
  <c r="DZ190" i="120"/>
  <c r="DZ191" i="120"/>
  <c r="DZ192" i="120"/>
  <c r="DZ193" i="120"/>
  <c r="DZ194" i="120"/>
  <c r="DZ195" i="120"/>
  <c r="DZ196" i="120"/>
  <c r="DZ197" i="120"/>
  <c r="DZ198" i="120"/>
  <c r="DZ199" i="120"/>
  <c r="DZ200" i="120"/>
  <c r="DZ201" i="120"/>
  <c r="DZ202" i="120"/>
  <c r="DZ203" i="120"/>
  <c r="DZ204" i="120"/>
  <c r="DZ205" i="120"/>
  <c r="DZ394" i="120"/>
  <c r="DZ206" i="120"/>
  <c r="DZ207" i="120"/>
  <c r="DZ208" i="120"/>
  <c r="DZ209" i="120"/>
  <c r="DZ210" i="120"/>
  <c r="DZ211" i="120"/>
  <c r="DZ391" i="120"/>
  <c r="DZ212" i="120"/>
  <c r="DZ213" i="120"/>
  <c r="DZ214" i="120"/>
  <c r="DZ215" i="120"/>
  <c r="DZ216" i="120"/>
  <c r="DZ217" i="120"/>
  <c r="DZ218" i="120"/>
  <c r="DZ219" i="120"/>
  <c r="DZ220" i="120"/>
  <c r="DZ222" i="120"/>
  <c r="DZ223" i="120"/>
  <c r="DZ224" i="120"/>
  <c r="DZ225" i="120"/>
  <c r="DZ226" i="120"/>
  <c r="DZ227" i="120"/>
  <c r="DZ228" i="120"/>
  <c r="DZ229" i="120"/>
  <c r="DZ230" i="120"/>
  <c r="DZ231" i="120"/>
  <c r="DZ232" i="120"/>
  <c r="DZ233" i="120"/>
  <c r="DZ234" i="120"/>
  <c r="DZ235" i="120"/>
  <c r="DZ236" i="120"/>
  <c r="DZ237" i="120"/>
  <c r="DZ238" i="120"/>
  <c r="DZ20" i="120"/>
  <c r="DZ239" i="120"/>
  <c r="DZ240" i="120"/>
  <c r="DZ241" i="120"/>
  <c r="DZ242" i="120"/>
  <c r="DZ243" i="120"/>
  <c r="DZ244" i="120"/>
  <c r="DZ245" i="120"/>
  <c r="DZ246" i="120"/>
  <c r="DZ247" i="120"/>
  <c r="DZ248" i="120"/>
  <c r="DZ249" i="120"/>
  <c r="DZ26" i="120"/>
  <c r="DZ250" i="120"/>
  <c r="DZ386" i="120"/>
  <c r="DZ251" i="120"/>
  <c r="DZ252" i="120"/>
  <c r="DZ253" i="120"/>
  <c r="DZ254" i="120"/>
  <c r="DZ255" i="120"/>
  <c r="DZ256" i="120"/>
  <c r="DZ385" i="120"/>
  <c r="DZ257" i="120"/>
  <c r="DZ258" i="120"/>
  <c r="DZ259" i="120"/>
  <c r="DZ260" i="120"/>
  <c r="DZ261" i="120"/>
  <c r="DZ15" i="120"/>
  <c r="DZ404" i="120"/>
  <c r="DZ262" i="120"/>
  <c r="DZ263" i="120"/>
  <c r="DZ264" i="120"/>
  <c r="DZ265" i="120"/>
  <c r="DZ267" i="120"/>
  <c r="DZ268" i="120"/>
  <c r="DZ269" i="120"/>
  <c r="DZ270" i="120"/>
  <c r="DZ271" i="120"/>
  <c r="DZ272" i="120"/>
  <c r="DZ273" i="120"/>
  <c r="DZ387" i="120"/>
  <c r="DZ275" i="120"/>
  <c r="DZ276" i="120"/>
  <c r="DZ277" i="120"/>
  <c r="DZ278" i="120"/>
  <c r="DZ279" i="120"/>
  <c r="DZ280" i="120"/>
  <c r="DZ281" i="120"/>
  <c r="DZ282" i="120"/>
  <c r="DZ283" i="120"/>
  <c r="DZ284" i="120"/>
  <c r="DZ285" i="120"/>
  <c r="DZ286" i="120"/>
  <c r="DZ287" i="120"/>
  <c r="DZ288" i="120"/>
  <c r="DZ289" i="120"/>
  <c r="DZ290" i="120"/>
  <c r="DZ291" i="120"/>
  <c r="DZ292" i="120"/>
  <c r="DZ293" i="120"/>
  <c r="DZ294" i="120"/>
  <c r="DZ295" i="120"/>
  <c r="DZ296" i="120"/>
  <c r="DZ297" i="120"/>
  <c r="DZ7" i="120"/>
  <c r="DZ298" i="120"/>
  <c r="DZ384" i="120"/>
  <c r="DZ299" i="120"/>
  <c r="DZ389" i="120"/>
  <c r="DZ300" i="120"/>
  <c r="DZ301" i="120"/>
  <c r="DZ302" i="120"/>
  <c r="DZ303" i="120"/>
  <c r="DZ304" i="120"/>
  <c r="DZ305" i="120"/>
  <c r="DZ5" i="120"/>
  <c r="DZ28" i="120"/>
  <c r="DZ306" i="120"/>
  <c r="DZ307" i="120"/>
  <c r="DZ308" i="120"/>
  <c r="DZ309" i="120"/>
  <c r="DZ310" i="120"/>
  <c r="DZ311" i="120"/>
  <c r="DZ312" i="120"/>
  <c r="DZ313" i="120"/>
  <c r="DZ314" i="120"/>
  <c r="DZ315" i="120"/>
  <c r="DZ316" i="120"/>
  <c r="DZ317" i="120"/>
  <c r="DZ318" i="120"/>
  <c r="DZ319" i="120"/>
  <c r="DZ388" i="120"/>
  <c r="DZ320" i="120"/>
  <c r="DZ321" i="120"/>
  <c r="DZ402" i="120"/>
  <c r="DZ400" i="120"/>
  <c r="DZ322" i="120"/>
  <c r="DZ382" i="120"/>
  <c r="DZ323" i="120"/>
  <c r="DZ324" i="120"/>
  <c r="DZ325" i="120"/>
  <c r="DZ326" i="120"/>
  <c r="DZ327" i="120"/>
  <c r="DZ328" i="120"/>
  <c r="DZ329" i="120"/>
  <c r="DZ392" i="120"/>
  <c r="DZ398" i="120"/>
  <c r="DZ330" i="120"/>
  <c r="DZ401" i="120"/>
  <c r="DZ380" i="120"/>
  <c r="DZ331" i="120"/>
  <c r="DZ19" i="120"/>
  <c r="DZ333" i="120"/>
  <c r="DZ381" i="120"/>
  <c r="DZ334" i="120"/>
  <c r="DZ335" i="120"/>
  <c r="DZ336" i="120"/>
  <c r="DZ337" i="120"/>
  <c r="DZ338" i="120"/>
  <c r="DZ339" i="120"/>
  <c r="DZ340" i="120"/>
  <c r="DZ341" i="120"/>
  <c r="DZ403" i="120"/>
  <c r="DZ342" i="120"/>
  <c r="DZ344" i="120"/>
  <c r="DZ345" i="120"/>
  <c r="DZ346" i="120"/>
  <c r="DZ347" i="120"/>
  <c r="DZ348" i="120"/>
  <c r="DZ351" i="120"/>
  <c r="DZ383" i="120"/>
  <c r="DZ352" i="120"/>
  <c r="DZ353" i="120"/>
  <c r="DZ379" i="120"/>
  <c r="DZ378" i="120"/>
  <c r="DZ405" i="120"/>
  <c r="DZ354" i="120"/>
  <c r="DZ9" i="120"/>
  <c r="DZ357" i="120"/>
  <c r="DZ377" i="120"/>
  <c r="DZ16" i="120"/>
  <c r="DZ10" i="120" l="1"/>
  <c r="EK10" i="120" l="1"/>
  <c r="K237" i="60"/>
  <c r="EK390" i="120" l="1"/>
  <c r="EK18" i="120"/>
  <c r="DK372" i="120"/>
  <c r="EF372" i="120" s="1"/>
  <c r="FK372" i="120" s="1"/>
  <c r="BO372" i="120" l="1"/>
  <c r="DJ30" i="120"/>
  <c r="DJ31" i="120"/>
  <c r="DJ32" i="120"/>
  <c r="DJ33" i="120"/>
  <c r="DJ34" i="120"/>
  <c r="DJ35" i="120"/>
  <c r="DJ36" i="120"/>
  <c r="DJ37" i="120"/>
  <c r="DJ38" i="120"/>
  <c r="DJ39" i="120"/>
  <c r="DJ40" i="120"/>
  <c r="DJ41" i="120"/>
  <c r="DJ42" i="120"/>
  <c r="DJ43" i="120"/>
  <c r="DJ44" i="120"/>
  <c r="DJ45" i="120"/>
  <c r="DJ46" i="120"/>
  <c r="DJ47" i="120"/>
  <c r="DJ48" i="120"/>
  <c r="DJ49" i="120"/>
  <c r="DJ50" i="120"/>
  <c r="DJ51" i="120"/>
  <c r="DJ10" i="120"/>
  <c r="DJ52" i="120"/>
  <c r="DJ18" i="120"/>
  <c r="DJ53" i="120"/>
  <c r="DJ54" i="120"/>
  <c r="DJ55" i="120"/>
  <c r="DJ56" i="120"/>
  <c r="DJ373" i="120"/>
  <c r="DJ57" i="120"/>
  <c r="DJ58" i="120"/>
  <c r="DJ59" i="120"/>
  <c r="DJ60" i="120"/>
  <c r="DJ61" i="120"/>
  <c r="DJ62" i="120"/>
  <c r="DJ63" i="120"/>
  <c r="DJ64" i="120"/>
  <c r="DJ65" i="120"/>
  <c r="DJ66" i="120"/>
  <c r="DJ390" i="120"/>
  <c r="DJ67" i="120"/>
  <c r="DJ374" i="120"/>
  <c r="DJ395" i="120"/>
  <c r="DJ68" i="120"/>
  <c r="DJ69" i="120"/>
  <c r="DJ24" i="120"/>
  <c r="DJ375" i="120"/>
  <c r="DJ408" i="120"/>
  <c r="DJ409" i="120"/>
  <c r="DJ407" i="120"/>
  <c r="DJ21" i="120"/>
  <c r="DJ70" i="120"/>
  <c r="DJ406" i="120"/>
  <c r="DJ23" i="120"/>
  <c r="DJ71" i="120"/>
  <c r="DJ6" i="120"/>
  <c r="DJ72" i="120"/>
  <c r="DJ73" i="120"/>
  <c r="DJ74" i="120"/>
  <c r="DJ75" i="120"/>
  <c r="DJ76" i="120"/>
  <c r="DJ77" i="120"/>
  <c r="DJ78" i="120"/>
  <c r="DJ79" i="120"/>
  <c r="DJ80" i="120"/>
  <c r="DJ81" i="120"/>
  <c r="DJ82" i="120"/>
  <c r="DJ83" i="120"/>
  <c r="DJ84" i="120"/>
  <c r="DJ85" i="120"/>
  <c r="DJ86" i="120"/>
  <c r="DJ87" i="120"/>
  <c r="DJ88" i="120"/>
  <c r="DJ89" i="120"/>
  <c r="DJ90" i="120"/>
  <c r="DJ91" i="120"/>
  <c r="DJ92" i="120"/>
  <c r="DJ93" i="120"/>
  <c r="DJ94" i="120"/>
  <c r="DJ95" i="120"/>
  <c r="DJ96" i="120"/>
  <c r="DJ97" i="120"/>
  <c r="DJ98" i="120"/>
  <c r="DJ99" i="120"/>
  <c r="DJ100" i="120"/>
  <c r="DJ101" i="120"/>
  <c r="DJ102" i="120"/>
  <c r="DJ103" i="120"/>
  <c r="DJ104" i="120"/>
  <c r="DJ105" i="120"/>
  <c r="DJ106" i="120"/>
  <c r="DJ107" i="120"/>
  <c r="DJ108" i="120"/>
  <c r="DJ109" i="120"/>
  <c r="DJ110" i="120"/>
  <c r="DJ111" i="120"/>
  <c r="DJ112" i="120"/>
  <c r="DJ113" i="120"/>
  <c r="DJ114" i="120"/>
  <c r="DJ115" i="120"/>
  <c r="DJ116" i="120"/>
  <c r="DJ117" i="120"/>
  <c r="DJ118" i="120"/>
  <c r="DJ119" i="120"/>
  <c r="DJ120" i="120"/>
  <c r="DJ121" i="120"/>
  <c r="DJ122" i="120"/>
  <c r="DJ123" i="120"/>
  <c r="DJ124" i="120"/>
  <c r="DJ125" i="120"/>
  <c r="DJ126" i="120"/>
  <c r="DJ127" i="120"/>
  <c r="DJ128" i="120"/>
  <c r="DJ129" i="120"/>
  <c r="DJ130" i="120"/>
  <c r="DJ131" i="120"/>
  <c r="DJ132" i="120"/>
  <c r="DJ133" i="120"/>
  <c r="DJ134" i="120"/>
  <c r="DJ135" i="120"/>
  <c r="DJ136" i="120"/>
  <c r="DJ137" i="120"/>
  <c r="DJ138" i="120"/>
  <c r="DJ139" i="120"/>
  <c r="DJ140" i="120"/>
  <c r="DJ141" i="120"/>
  <c r="DJ142" i="120"/>
  <c r="DJ143" i="120"/>
  <c r="DJ144" i="120"/>
  <c r="DJ145" i="120"/>
  <c r="DJ146" i="120"/>
  <c r="DJ147" i="120"/>
  <c r="DJ148" i="120"/>
  <c r="DJ149" i="120"/>
  <c r="DJ150" i="120"/>
  <c r="DJ151" i="120"/>
  <c r="DJ152" i="120"/>
  <c r="DJ153" i="120"/>
  <c r="DJ154" i="120"/>
  <c r="DJ155" i="120"/>
  <c r="DJ156" i="120"/>
  <c r="DJ157" i="120"/>
  <c r="DJ158" i="120"/>
  <c r="DJ159" i="120"/>
  <c r="DJ160" i="120"/>
  <c r="DJ161" i="120"/>
  <c r="DJ162" i="120"/>
  <c r="DJ163" i="120"/>
  <c r="DJ164" i="120"/>
  <c r="DJ165" i="120"/>
  <c r="DJ166" i="120"/>
  <c r="DJ167" i="120"/>
  <c r="DJ168" i="120"/>
  <c r="DJ169" i="120"/>
  <c r="DJ170" i="120"/>
  <c r="DJ399" i="120"/>
  <c r="DJ171" i="120"/>
  <c r="DJ172" i="120"/>
  <c r="DJ173" i="120"/>
  <c r="DJ174" i="120"/>
  <c r="DJ175" i="120"/>
  <c r="DJ176" i="120"/>
  <c r="DJ177" i="120"/>
  <c r="DJ178" i="120"/>
  <c r="DJ179" i="120"/>
  <c r="DJ180" i="120"/>
  <c r="DJ181" i="120"/>
  <c r="DJ182" i="120"/>
  <c r="DJ183" i="120"/>
  <c r="DJ184" i="120"/>
  <c r="DJ185" i="120"/>
  <c r="DJ186" i="120"/>
  <c r="DJ187" i="120"/>
  <c r="DJ188" i="120"/>
  <c r="DJ189" i="120"/>
  <c r="DJ190" i="120"/>
  <c r="DJ191" i="120"/>
  <c r="DJ192" i="120"/>
  <c r="DJ193" i="120"/>
  <c r="DJ194" i="120"/>
  <c r="DJ195" i="120"/>
  <c r="DJ11" i="120"/>
  <c r="DJ196" i="120"/>
  <c r="DJ197" i="120"/>
  <c r="DJ198" i="120"/>
  <c r="DJ199" i="120"/>
  <c r="DJ200" i="120"/>
  <c r="DJ201" i="120"/>
  <c r="DJ202" i="120"/>
  <c r="DJ203" i="120"/>
  <c r="DJ204" i="120"/>
  <c r="DJ205" i="120"/>
  <c r="DJ394" i="120"/>
  <c r="DJ206" i="120"/>
  <c r="DJ207" i="120"/>
  <c r="DJ208" i="120"/>
  <c r="DJ209" i="120"/>
  <c r="DJ210" i="120"/>
  <c r="DJ211" i="120"/>
  <c r="DJ391" i="120"/>
  <c r="DJ212" i="120"/>
  <c r="DJ213" i="120"/>
  <c r="DJ214" i="120"/>
  <c r="DJ215" i="120"/>
  <c r="DJ216" i="120"/>
  <c r="DJ217" i="120"/>
  <c r="DJ218" i="120"/>
  <c r="DJ219" i="120"/>
  <c r="DJ220" i="120"/>
  <c r="DJ221" i="120"/>
  <c r="DJ222" i="120"/>
  <c r="DJ223" i="120"/>
  <c r="DJ224" i="120"/>
  <c r="DJ225" i="120"/>
  <c r="DJ226" i="120"/>
  <c r="DJ227" i="120"/>
  <c r="DJ228" i="120"/>
  <c r="DJ229" i="120"/>
  <c r="DJ230" i="120"/>
  <c r="DJ231" i="120"/>
  <c r="DJ232" i="120"/>
  <c r="DJ233" i="120"/>
  <c r="DJ234" i="120"/>
  <c r="DJ235" i="120"/>
  <c r="DJ236" i="120"/>
  <c r="DJ237" i="120"/>
  <c r="DJ238" i="120"/>
  <c r="DJ20" i="120"/>
  <c r="DJ239" i="120"/>
  <c r="DJ240" i="120"/>
  <c r="DJ241" i="120"/>
  <c r="DJ242" i="120"/>
  <c r="DJ243" i="120"/>
  <c r="DJ244" i="120"/>
  <c r="DJ245" i="120"/>
  <c r="DJ17" i="120"/>
  <c r="DJ246" i="120"/>
  <c r="DJ247" i="120"/>
  <c r="DJ248" i="120"/>
  <c r="DJ249" i="120"/>
  <c r="DJ26" i="120"/>
  <c r="DJ250" i="120"/>
  <c r="DJ386" i="120"/>
  <c r="DJ251" i="120"/>
  <c r="DJ252" i="120"/>
  <c r="DJ253" i="120"/>
  <c r="DJ254" i="120"/>
  <c r="DJ255" i="120"/>
  <c r="DJ256" i="120"/>
  <c r="DJ385" i="120"/>
  <c r="DJ257" i="120"/>
  <c r="DJ258" i="120"/>
  <c r="DJ259" i="120"/>
  <c r="DJ260" i="120"/>
  <c r="DJ261" i="120"/>
  <c r="DJ15" i="120"/>
  <c r="DJ404" i="120"/>
  <c r="DJ262" i="120"/>
  <c r="DJ263" i="120"/>
  <c r="DJ264" i="120"/>
  <c r="DJ265" i="120"/>
  <c r="DJ266" i="120"/>
  <c r="DJ267" i="120"/>
  <c r="DJ268" i="120"/>
  <c r="DJ269" i="120"/>
  <c r="DJ270" i="120"/>
  <c r="DJ271" i="120"/>
  <c r="DJ272" i="120"/>
  <c r="DJ273" i="120"/>
  <c r="DJ387" i="120"/>
  <c r="DJ274" i="120"/>
  <c r="DJ275" i="120"/>
  <c r="DJ276" i="120"/>
  <c r="DJ277" i="120"/>
  <c r="DJ278" i="120"/>
  <c r="DJ279" i="120"/>
  <c r="DJ280" i="120"/>
  <c r="DJ281" i="120"/>
  <c r="DJ282" i="120"/>
  <c r="DJ283" i="120"/>
  <c r="DJ284" i="120"/>
  <c r="DJ285" i="120"/>
  <c r="DJ286" i="120"/>
  <c r="DJ287" i="120"/>
  <c r="DJ288" i="120"/>
  <c r="DJ289" i="120"/>
  <c r="DJ290" i="120"/>
  <c r="DJ291" i="120"/>
  <c r="DJ292" i="120"/>
  <c r="DJ293" i="120"/>
  <c r="DJ294" i="120"/>
  <c r="DJ295" i="120"/>
  <c r="DJ296" i="120"/>
  <c r="DJ297" i="120"/>
  <c r="DJ7" i="120"/>
  <c r="DJ298" i="120"/>
  <c r="DJ384" i="120"/>
  <c r="DJ299" i="120"/>
  <c r="DJ389" i="120"/>
  <c r="DJ300" i="120"/>
  <c r="DJ301" i="120"/>
  <c r="DJ302" i="120"/>
  <c r="DJ303" i="120"/>
  <c r="DJ304" i="120"/>
  <c r="DJ305" i="120"/>
  <c r="DJ5" i="120"/>
  <c r="DJ28" i="120"/>
  <c r="DJ306" i="120"/>
  <c r="DJ307" i="120"/>
  <c r="DJ308" i="120"/>
  <c r="DJ309" i="120"/>
  <c r="DJ310" i="120"/>
  <c r="DJ311" i="120"/>
  <c r="DJ312" i="120"/>
  <c r="DJ313" i="120"/>
  <c r="DJ314" i="120"/>
  <c r="DJ315" i="120"/>
  <c r="DJ316" i="120"/>
  <c r="DJ317" i="120"/>
  <c r="DJ318" i="120"/>
  <c r="DJ319" i="120"/>
  <c r="DJ388" i="120"/>
  <c r="DJ320" i="120"/>
  <c r="DJ321" i="120"/>
  <c r="DJ402" i="120"/>
  <c r="DJ393" i="120"/>
  <c r="DJ400" i="120"/>
  <c r="DJ322" i="120"/>
  <c r="DJ382" i="120"/>
  <c r="DJ323" i="120"/>
  <c r="DJ324" i="120"/>
  <c r="DJ325" i="120"/>
  <c r="DJ326" i="120"/>
  <c r="DJ327" i="120"/>
  <c r="DJ328" i="120"/>
  <c r="DJ329" i="120"/>
  <c r="DJ396" i="120"/>
  <c r="DJ392" i="120"/>
  <c r="DJ398" i="120"/>
  <c r="DJ330" i="120"/>
  <c r="DJ401" i="120"/>
  <c r="DJ380" i="120"/>
  <c r="DJ331" i="120"/>
  <c r="DJ332" i="120"/>
  <c r="DJ19" i="120"/>
  <c r="DJ333" i="120"/>
  <c r="DJ381" i="120"/>
  <c r="DJ334" i="120"/>
  <c r="DJ335" i="120"/>
  <c r="DJ336" i="120"/>
  <c r="DJ337" i="120"/>
  <c r="DJ338" i="120"/>
  <c r="DJ339" i="120"/>
  <c r="DJ340" i="120"/>
  <c r="DJ341" i="120"/>
  <c r="DJ403" i="120"/>
  <c r="DJ342" i="120"/>
  <c r="DJ343" i="120"/>
  <c r="DJ344" i="120"/>
  <c r="DJ345" i="120"/>
  <c r="DJ346" i="120"/>
  <c r="DJ347" i="120"/>
  <c r="DJ348" i="120"/>
  <c r="DJ349" i="120"/>
  <c r="DJ350" i="120"/>
  <c r="DJ351" i="120"/>
  <c r="DJ383" i="120"/>
  <c r="DJ352" i="120"/>
  <c r="DJ353" i="120"/>
  <c r="DJ379" i="120"/>
  <c r="DJ378" i="120"/>
  <c r="DJ405" i="120"/>
  <c r="DJ354" i="120"/>
  <c r="DJ355" i="120"/>
  <c r="DJ9" i="120"/>
  <c r="DJ357" i="120"/>
  <c r="DJ13" i="120"/>
  <c r="DJ377" i="120"/>
  <c r="DJ16" i="120"/>
  <c r="DF30" i="120"/>
  <c r="DF31" i="120"/>
  <c r="DF32" i="120"/>
  <c r="DF33" i="120"/>
  <c r="DF34" i="120"/>
  <c r="DF35" i="120"/>
  <c r="DF36" i="120"/>
  <c r="DF37" i="120"/>
  <c r="DF38" i="120"/>
  <c r="DF39" i="120"/>
  <c r="DF40" i="120"/>
  <c r="DF41" i="120"/>
  <c r="DF42" i="120"/>
  <c r="DF43" i="120"/>
  <c r="DF44" i="120"/>
  <c r="DF45" i="120"/>
  <c r="DF46" i="120"/>
  <c r="DF47" i="120"/>
  <c r="DF48" i="120"/>
  <c r="DF49" i="120"/>
  <c r="DF50" i="120"/>
  <c r="DF51" i="120"/>
  <c r="DF10" i="120"/>
  <c r="DF52" i="120"/>
  <c r="DF18" i="120"/>
  <c r="DF53" i="120"/>
  <c r="DF54" i="120"/>
  <c r="DF55" i="120"/>
  <c r="DF56" i="120"/>
  <c r="DF373" i="120"/>
  <c r="DF57" i="120"/>
  <c r="DF58" i="120"/>
  <c r="DF59" i="120"/>
  <c r="DF60" i="120"/>
  <c r="DF61" i="120"/>
  <c r="DF62" i="120"/>
  <c r="DF63" i="120"/>
  <c r="DF64" i="120"/>
  <c r="DF65" i="120"/>
  <c r="DF66" i="120"/>
  <c r="DF390" i="120"/>
  <c r="DF67" i="120"/>
  <c r="DF374" i="120"/>
  <c r="DF395" i="120"/>
  <c r="DF68" i="120"/>
  <c r="DF69" i="120"/>
  <c r="DF24" i="120"/>
  <c r="DF375" i="120"/>
  <c r="DF408" i="120"/>
  <c r="DF409" i="120"/>
  <c r="DF407" i="120"/>
  <c r="DF21" i="120"/>
  <c r="DF70" i="120"/>
  <c r="DF406" i="120"/>
  <c r="DF23" i="120"/>
  <c r="DF71" i="120"/>
  <c r="DF6" i="120"/>
  <c r="DF72" i="120"/>
  <c r="DF73" i="120"/>
  <c r="DF74" i="120"/>
  <c r="DF75" i="120"/>
  <c r="DF76" i="120"/>
  <c r="DF77" i="120"/>
  <c r="DF78" i="120"/>
  <c r="DF79" i="120"/>
  <c r="DF80" i="120"/>
  <c r="DF81" i="120"/>
  <c r="DF82" i="120"/>
  <c r="DF83" i="120"/>
  <c r="DF84" i="120"/>
  <c r="DF85" i="120"/>
  <c r="DF86" i="120"/>
  <c r="DF87" i="120"/>
  <c r="DF88" i="120"/>
  <c r="DF89" i="120"/>
  <c r="DF90" i="120"/>
  <c r="DF91" i="120"/>
  <c r="DF92" i="120"/>
  <c r="DF93" i="120"/>
  <c r="DF94" i="120"/>
  <c r="DF95" i="120"/>
  <c r="DF96" i="120"/>
  <c r="DF97" i="120"/>
  <c r="DF98" i="120"/>
  <c r="DF99" i="120"/>
  <c r="DF100" i="120"/>
  <c r="DF101" i="120"/>
  <c r="DF102" i="120"/>
  <c r="DF103" i="120"/>
  <c r="DF104" i="120"/>
  <c r="DF105" i="120"/>
  <c r="DF106" i="120"/>
  <c r="DF107" i="120"/>
  <c r="DF108" i="120"/>
  <c r="DF109" i="120"/>
  <c r="DF110" i="120"/>
  <c r="DF111" i="120"/>
  <c r="DF112" i="120"/>
  <c r="DF113" i="120"/>
  <c r="DF114" i="120"/>
  <c r="DF115" i="120"/>
  <c r="DF116" i="120"/>
  <c r="DF117" i="120"/>
  <c r="DF118" i="120"/>
  <c r="DF119" i="120"/>
  <c r="DF120" i="120"/>
  <c r="DF121" i="120"/>
  <c r="DF122" i="120"/>
  <c r="DF123" i="120"/>
  <c r="DF124" i="120"/>
  <c r="DF125" i="120"/>
  <c r="DF126" i="120"/>
  <c r="DF127" i="120"/>
  <c r="DF128" i="120"/>
  <c r="DF129" i="120"/>
  <c r="DF130" i="120"/>
  <c r="DF131" i="120"/>
  <c r="DF132" i="120"/>
  <c r="DF133" i="120"/>
  <c r="DF134" i="120"/>
  <c r="DF135" i="120"/>
  <c r="DF136" i="120"/>
  <c r="DF137" i="120"/>
  <c r="DF138" i="120"/>
  <c r="DF139" i="120"/>
  <c r="DF140" i="120"/>
  <c r="DF141" i="120"/>
  <c r="DF142" i="120"/>
  <c r="DF143" i="120"/>
  <c r="DF144" i="120"/>
  <c r="DF145" i="120"/>
  <c r="DF146" i="120"/>
  <c r="DF147" i="120"/>
  <c r="DF148" i="120"/>
  <c r="DF149" i="120"/>
  <c r="DF150" i="120"/>
  <c r="DF151" i="120"/>
  <c r="DF152" i="120"/>
  <c r="DF153" i="120"/>
  <c r="DF154" i="120"/>
  <c r="DF155" i="120"/>
  <c r="DF156" i="120"/>
  <c r="DF157" i="120"/>
  <c r="DF158" i="120"/>
  <c r="DF159" i="120"/>
  <c r="DF160" i="120"/>
  <c r="DF161" i="120"/>
  <c r="DF162" i="120"/>
  <c r="DF163" i="120"/>
  <c r="DF164" i="120"/>
  <c r="DF165" i="120"/>
  <c r="DF166" i="120"/>
  <c r="DF167" i="120"/>
  <c r="DF168" i="120"/>
  <c r="DF169" i="120"/>
  <c r="DF170" i="120"/>
  <c r="DF399" i="120"/>
  <c r="DF171" i="120"/>
  <c r="DF172" i="120"/>
  <c r="DF173" i="120"/>
  <c r="DF174" i="120"/>
  <c r="DF175" i="120"/>
  <c r="DF176" i="120"/>
  <c r="DF177" i="120"/>
  <c r="DF178" i="120"/>
  <c r="DF179" i="120"/>
  <c r="DF180" i="120"/>
  <c r="DF181" i="120"/>
  <c r="DF182" i="120"/>
  <c r="DF183" i="120"/>
  <c r="DF184" i="120"/>
  <c r="DF185" i="120"/>
  <c r="DF186" i="120"/>
  <c r="DF187" i="120"/>
  <c r="DF188" i="120"/>
  <c r="DF189" i="120"/>
  <c r="DF190" i="120"/>
  <c r="DF191" i="120"/>
  <c r="DF192" i="120"/>
  <c r="DF193" i="120"/>
  <c r="DF194" i="120"/>
  <c r="DF195" i="120"/>
  <c r="DF11" i="120"/>
  <c r="DF196" i="120"/>
  <c r="DF197" i="120"/>
  <c r="DF198" i="120"/>
  <c r="DF199" i="120"/>
  <c r="DF200" i="120"/>
  <c r="DF201" i="120"/>
  <c r="DF202" i="120"/>
  <c r="DF203" i="120"/>
  <c r="DF204" i="120"/>
  <c r="DF205" i="120"/>
  <c r="DF394" i="120"/>
  <c r="DF206" i="120"/>
  <c r="DF207" i="120"/>
  <c r="DF208" i="120"/>
  <c r="DF209" i="120"/>
  <c r="DF210" i="120"/>
  <c r="DF211" i="120"/>
  <c r="DF391" i="120"/>
  <c r="DF212" i="120"/>
  <c r="DF213" i="120"/>
  <c r="DF214" i="120"/>
  <c r="DF215" i="120"/>
  <c r="DF216" i="120"/>
  <c r="DF217" i="120"/>
  <c r="DF218" i="120"/>
  <c r="DF219" i="120"/>
  <c r="DF220" i="120"/>
  <c r="DF221" i="120"/>
  <c r="DF222" i="120"/>
  <c r="DF223" i="120"/>
  <c r="DF224" i="120"/>
  <c r="DF225" i="120"/>
  <c r="DF226" i="120"/>
  <c r="DF227" i="120"/>
  <c r="DF228" i="120"/>
  <c r="DF229" i="120"/>
  <c r="DF230" i="120"/>
  <c r="DF231" i="120"/>
  <c r="DF232" i="120"/>
  <c r="DF233" i="120"/>
  <c r="DF234" i="120"/>
  <c r="DF235" i="120"/>
  <c r="DF236" i="120"/>
  <c r="DF237" i="120"/>
  <c r="DF238" i="120"/>
  <c r="DF20" i="120"/>
  <c r="DF239" i="120"/>
  <c r="DF240" i="120"/>
  <c r="DF241" i="120"/>
  <c r="DF242" i="120"/>
  <c r="DF243" i="120"/>
  <c r="DF244" i="120"/>
  <c r="DF245" i="120"/>
  <c r="DF17" i="120"/>
  <c r="DF246" i="120"/>
  <c r="DF247" i="120"/>
  <c r="DF248" i="120"/>
  <c r="DF249" i="120"/>
  <c r="DF26" i="120"/>
  <c r="DF250" i="120"/>
  <c r="DF386" i="120"/>
  <c r="DF251" i="120"/>
  <c r="DF252" i="120"/>
  <c r="DF253" i="120"/>
  <c r="DF254" i="120"/>
  <c r="DF255" i="120"/>
  <c r="DF256" i="120"/>
  <c r="DF385" i="120"/>
  <c r="DF257" i="120"/>
  <c r="DF258" i="120"/>
  <c r="DF259" i="120"/>
  <c r="DF260" i="120"/>
  <c r="DF261" i="120"/>
  <c r="DF15" i="120"/>
  <c r="DF404" i="120"/>
  <c r="DF262" i="120"/>
  <c r="DF263" i="120"/>
  <c r="DF264" i="120"/>
  <c r="DF265" i="120"/>
  <c r="DF266" i="120"/>
  <c r="DF267" i="120"/>
  <c r="DF268" i="120"/>
  <c r="DF269" i="120"/>
  <c r="DF270" i="120"/>
  <c r="DF271" i="120"/>
  <c r="DF272" i="120"/>
  <c r="DF273" i="120"/>
  <c r="DF387" i="120"/>
  <c r="DF274" i="120"/>
  <c r="DF275" i="120"/>
  <c r="DF276" i="120"/>
  <c r="DF277" i="120"/>
  <c r="DF278" i="120"/>
  <c r="DF279" i="120"/>
  <c r="DF280" i="120"/>
  <c r="DF281" i="120"/>
  <c r="DF282" i="120"/>
  <c r="DF283" i="120"/>
  <c r="DF284" i="120"/>
  <c r="DF285" i="120"/>
  <c r="DF286" i="120"/>
  <c r="DF287" i="120"/>
  <c r="DF288" i="120"/>
  <c r="DF289" i="120"/>
  <c r="DF290" i="120"/>
  <c r="DF291" i="120"/>
  <c r="DF292" i="120"/>
  <c r="DF293" i="120"/>
  <c r="DF294" i="120"/>
  <c r="DF295" i="120"/>
  <c r="DF296" i="120"/>
  <c r="DF297" i="120"/>
  <c r="DF7" i="120"/>
  <c r="DF298" i="120"/>
  <c r="DF384" i="120"/>
  <c r="DF299" i="120"/>
  <c r="DF389" i="120"/>
  <c r="DF300" i="120"/>
  <c r="DF301" i="120"/>
  <c r="DF302" i="120"/>
  <c r="DF303" i="120"/>
  <c r="DF304" i="120"/>
  <c r="DF305" i="120"/>
  <c r="DF5" i="120"/>
  <c r="DF28" i="120"/>
  <c r="DF306" i="120"/>
  <c r="DF307" i="120"/>
  <c r="DF308" i="120"/>
  <c r="DF309" i="120"/>
  <c r="DF310" i="120"/>
  <c r="DF311" i="120"/>
  <c r="DF312" i="120"/>
  <c r="DF313" i="120"/>
  <c r="DF314" i="120"/>
  <c r="DF315" i="120"/>
  <c r="DF316" i="120"/>
  <c r="DF317" i="120"/>
  <c r="DF318" i="120"/>
  <c r="DF319" i="120"/>
  <c r="DF388" i="120"/>
  <c r="DF320" i="120"/>
  <c r="DF321" i="120"/>
  <c r="DF402" i="120"/>
  <c r="DF393" i="120"/>
  <c r="DF400" i="120"/>
  <c r="DF322" i="120"/>
  <c r="DF382" i="120"/>
  <c r="DF323" i="120"/>
  <c r="DF324" i="120"/>
  <c r="DF325" i="120"/>
  <c r="DF326" i="120"/>
  <c r="DF327" i="120"/>
  <c r="DF328" i="120"/>
  <c r="DF329" i="120"/>
  <c r="DF396" i="120"/>
  <c r="DF392" i="120"/>
  <c r="DF398" i="120"/>
  <c r="DF330" i="120"/>
  <c r="DF401" i="120"/>
  <c r="DF380" i="120"/>
  <c r="DF331" i="120"/>
  <c r="DF332" i="120"/>
  <c r="DF19" i="120"/>
  <c r="DF333" i="120"/>
  <c r="DF381" i="120"/>
  <c r="DF334" i="120"/>
  <c r="DF335" i="120"/>
  <c r="DF336" i="120"/>
  <c r="DF337" i="120"/>
  <c r="DF338" i="120"/>
  <c r="DF339" i="120"/>
  <c r="DF340" i="120"/>
  <c r="DF341" i="120"/>
  <c r="DF403" i="120"/>
  <c r="DF342" i="120"/>
  <c r="DF343" i="120"/>
  <c r="DF344" i="120"/>
  <c r="DF345" i="120"/>
  <c r="DF346" i="120"/>
  <c r="DF347" i="120"/>
  <c r="DF348" i="120"/>
  <c r="DF349" i="120"/>
  <c r="DF350" i="120"/>
  <c r="DF351" i="120"/>
  <c r="DF383" i="120"/>
  <c r="DF352" i="120"/>
  <c r="DF353" i="120"/>
  <c r="DF379" i="120"/>
  <c r="DF378" i="120"/>
  <c r="DF405" i="120"/>
  <c r="DF354" i="120"/>
  <c r="DF355" i="120"/>
  <c r="DF9" i="120"/>
  <c r="DF357" i="120"/>
  <c r="DF13" i="120"/>
  <c r="DF377" i="120"/>
  <c r="DF16" i="120"/>
  <c r="DB30" i="120"/>
  <c r="DB31" i="120"/>
  <c r="DB32" i="120"/>
  <c r="DB33" i="120"/>
  <c r="DB34" i="120"/>
  <c r="DB35" i="120"/>
  <c r="DB36" i="120"/>
  <c r="DB37" i="120"/>
  <c r="DB38" i="120"/>
  <c r="DB39" i="120"/>
  <c r="DB40" i="120"/>
  <c r="DB41" i="120"/>
  <c r="DB42" i="120"/>
  <c r="DB43" i="120"/>
  <c r="DB44" i="120"/>
  <c r="DB45" i="120"/>
  <c r="DB46" i="120"/>
  <c r="DB47" i="120"/>
  <c r="DB48" i="120"/>
  <c r="DB49" i="120"/>
  <c r="DB50" i="120"/>
  <c r="DB51" i="120"/>
  <c r="DB10" i="120"/>
  <c r="DB52" i="120"/>
  <c r="DB18" i="120"/>
  <c r="DB53" i="120"/>
  <c r="DB54" i="120"/>
  <c r="DB55" i="120"/>
  <c r="DB56" i="120"/>
  <c r="DB373" i="120"/>
  <c r="DB57" i="120"/>
  <c r="DB58" i="120"/>
  <c r="DB59" i="120"/>
  <c r="DB60" i="120"/>
  <c r="DB61" i="120"/>
  <c r="DB62" i="120"/>
  <c r="DB63" i="120"/>
  <c r="DB64" i="120"/>
  <c r="DB65" i="120"/>
  <c r="DB66" i="120"/>
  <c r="DB390" i="120"/>
  <c r="DB67" i="120"/>
  <c r="DB374" i="120"/>
  <c r="DB395" i="120"/>
  <c r="DB68" i="120"/>
  <c r="DB69" i="120"/>
  <c r="DB24" i="120"/>
  <c r="DB375" i="120"/>
  <c r="DB408" i="120"/>
  <c r="DB409" i="120"/>
  <c r="DB407" i="120"/>
  <c r="DB21" i="120"/>
  <c r="DB70" i="120"/>
  <c r="DB406" i="120"/>
  <c r="DB23" i="120"/>
  <c r="DB71" i="120"/>
  <c r="DB6" i="120"/>
  <c r="DB72" i="120"/>
  <c r="DB73" i="120"/>
  <c r="DB74" i="120"/>
  <c r="DB75" i="120"/>
  <c r="DB76" i="120"/>
  <c r="DB77" i="120"/>
  <c r="DB78" i="120"/>
  <c r="DB79" i="120"/>
  <c r="DB80" i="120"/>
  <c r="DB81" i="120"/>
  <c r="DB82" i="120"/>
  <c r="DB83" i="120"/>
  <c r="DB84" i="120"/>
  <c r="DB85" i="120"/>
  <c r="DB86" i="120"/>
  <c r="DB87" i="120"/>
  <c r="DB88" i="120"/>
  <c r="DB89" i="120"/>
  <c r="DB90" i="120"/>
  <c r="DB91" i="120"/>
  <c r="DB92" i="120"/>
  <c r="DB93" i="120"/>
  <c r="DB94" i="120"/>
  <c r="DB95" i="120"/>
  <c r="DB96" i="120"/>
  <c r="DB97" i="120"/>
  <c r="DB98" i="120"/>
  <c r="DB99" i="120"/>
  <c r="DB100" i="120"/>
  <c r="DB101" i="120"/>
  <c r="DB102" i="120"/>
  <c r="DB103" i="120"/>
  <c r="DB104" i="120"/>
  <c r="DB105" i="120"/>
  <c r="DB106" i="120"/>
  <c r="DB107" i="120"/>
  <c r="DB108" i="120"/>
  <c r="DB109" i="120"/>
  <c r="DB110" i="120"/>
  <c r="DB111" i="120"/>
  <c r="DB112" i="120"/>
  <c r="DB113" i="120"/>
  <c r="DB114" i="120"/>
  <c r="DB115" i="120"/>
  <c r="DB116" i="120"/>
  <c r="DB117" i="120"/>
  <c r="DB118" i="120"/>
  <c r="DB119" i="120"/>
  <c r="DB120" i="120"/>
  <c r="DB121" i="120"/>
  <c r="DB122" i="120"/>
  <c r="DB123" i="120"/>
  <c r="DB124" i="120"/>
  <c r="DB125" i="120"/>
  <c r="DB126" i="120"/>
  <c r="DB127" i="120"/>
  <c r="DB128" i="120"/>
  <c r="DB129" i="120"/>
  <c r="DB130" i="120"/>
  <c r="DB131" i="120"/>
  <c r="DB132" i="120"/>
  <c r="DB133" i="120"/>
  <c r="DB134" i="120"/>
  <c r="DB135" i="120"/>
  <c r="DB136" i="120"/>
  <c r="DB137" i="120"/>
  <c r="DB138" i="120"/>
  <c r="DB139" i="120"/>
  <c r="DB140" i="120"/>
  <c r="DB141" i="120"/>
  <c r="DB142" i="120"/>
  <c r="DB143" i="120"/>
  <c r="DB144" i="120"/>
  <c r="DB145" i="120"/>
  <c r="DB146" i="120"/>
  <c r="DB147" i="120"/>
  <c r="DB148" i="120"/>
  <c r="DB149" i="120"/>
  <c r="DB150" i="120"/>
  <c r="DB151" i="120"/>
  <c r="DB152" i="120"/>
  <c r="DB153" i="120"/>
  <c r="DB154" i="120"/>
  <c r="DB155" i="120"/>
  <c r="DB156" i="120"/>
  <c r="DB157" i="120"/>
  <c r="DB158" i="120"/>
  <c r="DB159" i="120"/>
  <c r="DB160" i="120"/>
  <c r="DB161" i="120"/>
  <c r="DB162" i="120"/>
  <c r="DB163" i="120"/>
  <c r="DB164" i="120"/>
  <c r="DB165" i="120"/>
  <c r="DB166" i="120"/>
  <c r="DB167" i="120"/>
  <c r="DB168" i="120"/>
  <c r="DB169" i="120"/>
  <c r="DB170" i="120"/>
  <c r="DB399" i="120"/>
  <c r="DB171" i="120"/>
  <c r="DB172" i="120"/>
  <c r="DB173" i="120"/>
  <c r="DB174" i="120"/>
  <c r="DB175" i="120"/>
  <c r="DB176" i="120"/>
  <c r="DB177" i="120"/>
  <c r="DB178" i="120"/>
  <c r="DB179" i="120"/>
  <c r="DB180" i="120"/>
  <c r="DB181" i="120"/>
  <c r="DB182" i="120"/>
  <c r="DB183" i="120"/>
  <c r="DB184" i="120"/>
  <c r="DB185" i="120"/>
  <c r="DB186" i="120"/>
  <c r="DB187" i="120"/>
  <c r="DB188" i="120"/>
  <c r="DB189" i="120"/>
  <c r="DB190" i="120"/>
  <c r="DB191" i="120"/>
  <c r="DB192" i="120"/>
  <c r="DB193" i="120"/>
  <c r="DB194" i="120"/>
  <c r="DB195" i="120"/>
  <c r="DB11" i="120"/>
  <c r="DB196" i="120"/>
  <c r="DB197" i="120"/>
  <c r="DB198" i="120"/>
  <c r="DB199" i="120"/>
  <c r="DB200" i="120"/>
  <c r="DB201" i="120"/>
  <c r="DB202" i="120"/>
  <c r="DB203" i="120"/>
  <c r="DB204" i="120"/>
  <c r="DB205" i="120"/>
  <c r="DB394" i="120"/>
  <c r="DB206" i="120"/>
  <c r="DB207" i="120"/>
  <c r="DB208" i="120"/>
  <c r="DB209" i="120"/>
  <c r="DB210" i="120"/>
  <c r="DB211" i="120"/>
  <c r="DB391" i="120"/>
  <c r="DB212" i="120"/>
  <c r="DB213" i="120"/>
  <c r="DB214" i="120"/>
  <c r="DB215" i="120"/>
  <c r="DB216" i="120"/>
  <c r="DB217" i="120"/>
  <c r="DB218" i="120"/>
  <c r="DB219" i="120"/>
  <c r="DB220" i="120"/>
  <c r="DB221" i="120"/>
  <c r="DB222" i="120"/>
  <c r="DB223" i="120"/>
  <c r="DB224" i="120"/>
  <c r="DB225" i="120"/>
  <c r="DB226" i="120"/>
  <c r="DB227" i="120"/>
  <c r="DB228" i="120"/>
  <c r="DB229" i="120"/>
  <c r="DB230" i="120"/>
  <c r="DB231" i="120"/>
  <c r="DB232" i="120"/>
  <c r="DB233" i="120"/>
  <c r="DB234" i="120"/>
  <c r="DB235" i="120"/>
  <c r="DB236" i="120"/>
  <c r="DB237" i="120"/>
  <c r="DB238" i="120"/>
  <c r="DB20" i="120"/>
  <c r="DB239" i="120"/>
  <c r="DB240" i="120"/>
  <c r="DB241" i="120"/>
  <c r="DB242" i="120"/>
  <c r="DB243" i="120"/>
  <c r="DB244" i="120"/>
  <c r="DB245" i="120"/>
  <c r="DB17" i="120"/>
  <c r="DB246" i="120"/>
  <c r="DB247" i="120"/>
  <c r="DB248" i="120"/>
  <c r="DB249" i="120"/>
  <c r="DB26" i="120"/>
  <c r="DB250" i="120"/>
  <c r="DB386" i="120"/>
  <c r="DB251" i="120"/>
  <c r="DB252" i="120"/>
  <c r="DB253" i="120"/>
  <c r="DB254" i="120"/>
  <c r="DB255" i="120"/>
  <c r="DB256" i="120"/>
  <c r="DB385" i="120"/>
  <c r="DB257" i="120"/>
  <c r="DB258" i="120"/>
  <c r="DB259" i="120"/>
  <c r="DB260" i="120"/>
  <c r="DB261" i="120"/>
  <c r="DB15" i="120"/>
  <c r="DB404" i="120"/>
  <c r="DB262" i="120"/>
  <c r="DB263" i="120"/>
  <c r="DB264" i="120"/>
  <c r="DB265" i="120"/>
  <c r="DB266" i="120"/>
  <c r="DB267" i="120"/>
  <c r="DB268" i="120"/>
  <c r="DB269" i="120"/>
  <c r="DB270" i="120"/>
  <c r="DB271" i="120"/>
  <c r="DB272" i="120"/>
  <c r="DB273" i="120"/>
  <c r="DB387" i="120"/>
  <c r="DB274" i="120"/>
  <c r="DB275" i="120"/>
  <c r="DB276" i="120"/>
  <c r="DB277" i="120"/>
  <c r="DB278" i="120"/>
  <c r="DB279" i="120"/>
  <c r="DB280" i="120"/>
  <c r="DB281" i="120"/>
  <c r="DB282" i="120"/>
  <c r="DB283" i="120"/>
  <c r="DB284" i="120"/>
  <c r="DB285" i="120"/>
  <c r="DB286" i="120"/>
  <c r="DB287" i="120"/>
  <c r="DB288" i="120"/>
  <c r="DB289" i="120"/>
  <c r="DB290" i="120"/>
  <c r="DB291" i="120"/>
  <c r="DB292" i="120"/>
  <c r="DB293" i="120"/>
  <c r="DB294" i="120"/>
  <c r="DB295" i="120"/>
  <c r="DB296" i="120"/>
  <c r="DB297" i="120"/>
  <c r="DB7" i="120"/>
  <c r="DB298" i="120"/>
  <c r="DB384" i="120"/>
  <c r="DB299" i="120"/>
  <c r="DB389" i="120"/>
  <c r="DB300" i="120"/>
  <c r="DB301" i="120"/>
  <c r="DB302" i="120"/>
  <c r="DB303" i="120"/>
  <c r="DB304" i="120"/>
  <c r="DB305" i="120"/>
  <c r="DB5" i="120"/>
  <c r="DB28" i="120"/>
  <c r="DB306" i="120"/>
  <c r="DB307" i="120"/>
  <c r="DB308" i="120"/>
  <c r="DB309" i="120"/>
  <c r="DB310" i="120"/>
  <c r="DB311" i="120"/>
  <c r="DB312" i="120"/>
  <c r="DB313" i="120"/>
  <c r="DB314" i="120"/>
  <c r="DB315" i="120"/>
  <c r="DB316" i="120"/>
  <c r="DB317" i="120"/>
  <c r="DB318" i="120"/>
  <c r="DB319" i="120"/>
  <c r="DB388" i="120"/>
  <c r="DB320" i="120"/>
  <c r="DB321" i="120"/>
  <c r="DB402" i="120"/>
  <c r="DB393" i="120"/>
  <c r="DB400" i="120"/>
  <c r="DB322" i="120"/>
  <c r="DB382" i="120"/>
  <c r="DB323" i="120"/>
  <c r="DB324" i="120"/>
  <c r="DB325" i="120"/>
  <c r="DB326" i="120"/>
  <c r="DB327" i="120"/>
  <c r="DB328" i="120"/>
  <c r="DB329" i="120"/>
  <c r="DB396" i="120"/>
  <c r="DB392" i="120"/>
  <c r="DB398" i="120"/>
  <c r="DB330" i="120"/>
  <c r="DB401" i="120"/>
  <c r="DB380" i="120"/>
  <c r="DB331" i="120"/>
  <c r="DB332" i="120"/>
  <c r="DB19" i="120"/>
  <c r="DB333" i="120"/>
  <c r="DB381" i="120"/>
  <c r="DB334" i="120"/>
  <c r="DB335" i="120"/>
  <c r="DB336" i="120"/>
  <c r="DB337" i="120"/>
  <c r="DB338" i="120"/>
  <c r="DB339" i="120"/>
  <c r="DB340" i="120"/>
  <c r="DB341" i="120"/>
  <c r="DB403" i="120"/>
  <c r="DB342" i="120"/>
  <c r="DB343" i="120"/>
  <c r="DB344" i="120"/>
  <c r="DB345" i="120"/>
  <c r="DB346" i="120"/>
  <c r="DB347" i="120"/>
  <c r="DB348" i="120"/>
  <c r="DB349" i="120"/>
  <c r="DB350" i="120"/>
  <c r="DB351" i="120"/>
  <c r="DB383" i="120"/>
  <c r="DB352" i="120"/>
  <c r="DB353" i="120"/>
  <c r="DB379" i="120"/>
  <c r="DB378" i="120"/>
  <c r="DB405" i="120"/>
  <c r="DB354" i="120"/>
  <c r="DB355" i="120"/>
  <c r="DB9" i="120"/>
  <c r="DB357" i="120"/>
  <c r="DB13" i="120"/>
  <c r="DB377" i="120"/>
  <c r="DB16" i="120"/>
  <c r="DB14" i="120"/>
  <c r="DB12" i="120"/>
  <c r="CX30" i="120"/>
  <c r="CX31" i="120"/>
  <c r="CX32" i="120"/>
  <c r="CX33" i="120"/>
  <c r="CX34" i="120"/>
  <c r="CX35" i="120"/>
  <c r="CX36" i="120"/>
  <c r="CX37" i="120"/>
  <c r="CX38" i="120"/>
  <c r="CX39" i="120"/>
  <c r="CX40" i="120"/>
  <c r="CX41" i="120"/>
  <c r="CX42" i="120"/>
  <c r="CX43" i="120"/>
  <c r="CX44" i="120"/>
  <c r="CX45" i="120"/>
  <c r="CX46" i="120"/>
  <c r="CX47" i="120"/>
  <c r="CX48" i="120"/>
  <c r="CX49" i="120"/>
  <c r="CX50" i="120"/>
  <c r="CX51" i="120"/>
  <c r="CX10" i="120"/>
  <c r="CX52" i="120"/>
  <c r="CX18" i="120"/>
  <c r="CX53" i="120"/>
  <c r="CX54" i="120"/>
  <c r="CX55" i="120"/>
  <c r="CX56" i="120"/>
  <c r="CX373" i="120"/>
  <c r="CX57" i="120"/>
  <c r="CX58" i="120"/>
  <c r="CX59" i="120"/>
  <c r="CX60" i="120"/>
  <c r="CX61" i="120"/>
  <c r="CX62" i="120"/>
  <c r="CX63" i="120"/>
  <c r="CX64" i="120"/>
  <c r="CX65" i="120"/>
  <c r="CX66" i="120"/>
  <c r="CX390" i="120"/>
  <c r="CX67" i="120"/>
  <c r="CX374" i="120"/>
  <c r="CX395" i="120"/>
  <c r="CX68" i="120"/>
  <c r="CX69" i="120"/>
  <c r="CX24" i="120"/>
  <c r="CX375" i="120"/>
  <c r="CX408" i="120"/>
  <c r="CX409" i="120"/>
  <c r="CX407" i="120"/>
  <c r="CX21" i="120"/>
  <c r="CX70" i="120"/>
  <c r="CX406" i="120"/>
  <c r="CX23" i="120"/>
  <c r="CX71" i="120"/>
  <c r="CX6" i="120"/>
  <c r="CX72" i="120"/>
  <c r="CX73" i="120"/>
  <c r="CX74" i="120"/>
  <c r="CX75" i="120"/>
  <c r="CX76" i="120"/>
  <c r="CX77" i="120"/>
  <c r="CX78" i="120"/>
  <c r="CX79" i="120"/>
  <c r="CX80" i="120"/>
  <c r="CX81" i="120"/>
  <c r="CX82" i="120"/>
  <c r="CX83" i="120"/>
  <c r="CX84" i="120"/>
  <c r="CX85" i="120"/>
  <c r="CX86" i="120"/>
  <c r="CX87" i="120"/>
  <c r="CX88" i="120"/>
  <c r="CX89" i="120"/>
  <c r="CX90" i="120"/>
  <c r="CX91" i="120"/>
  <c r="CX92" i="120"/>
  <c r="CX93" i="120"/>
  <c r="CX94" i="120"/>
  <c r="CX95" i="120"/>
  <c r="CX96" i="120"/>
  <c r="CX97" i="120"/>
  <c r="CX98" i="120"/>
  <c r="CX99" i="120"/>
  <c r="CX100" i="120"/>
  <c r="CX101" i="120"/>
  <c r="CX102" i="120"/>
  <c r="CX103" i="120"/>
  <c r="CX104" i="120"/>
  <c r="CX105" i="120"/>
  <c r="CX106" i="120"/>
  <c r="CX107" i="120"/>
  <c r="CX108" i="120"/>
  <c r="CX109" i="120"/>
  <c r="CX110" i="120"/>
  <c r="CX111" i="120"/>
  <c r="CX112" i="120"/>
  <c r="CX113" i="120"/>
  <c r="CX114" i="120"/>
  <c r="CX115" i="120"/>
  <c r="CX116" i="120"/>
  <c r="CX117" i="120"/>
  <c r="CX118" i="120"/>
  <c r="CX119" i="120"/>
  <c r="CX120" i="120"/>
  <c r="CX121" i="120"/>
  <c r="CX122" i="120"/>
  <c r="CX123" i="120"/>
  <c r="CX124" i="120"/>
  <c r="CX125" i="120"/>
  <c r="CX126" i="120"/>
  <c r="CX127" i="120"/>
  <c r="CX128" i="120"/>
  <c r="CX129" i="120"/>
  <c r="CX130" i="120"/>
  <c r="CX131" i="120"/>
  <c r="CX132" i="120"/>
  <c r="CX133" i="120"/>
  <c r="CX134" i="120"/>
  <c r="CX135" i="120"/>
  <c r="CX136" i="120"/>
  <c r="CX137" i="120"/>
  <c r="CX138" i="120"/>
  <c r="CX139" i="120"/>
  <c r="CX140" i="120"/>
  <c r="CX141" i="120"/>
  <c r="CX142" i="120"/>
  <c r="CX143" i="120"/>
  <c r="CX144" i="120"/>
  <c r="CX145" i="120"/>
  <c r="CX146" i="120"/>
  <c r="CX147" i="120"/>
  <c r="CX148" i="120"/>
  <c r="CX149" i="120"/>
  <c r="CX150" i="120"/>
  <c r="CX151" i="120"/>
  <c r="CX152" i="120"/>
  <c r="CX153" i="120"/>
  <c r="CX154" i="120"/>
  <c r="CX155" i="120"/>
  <c r="CX156" i="120"/>
  <c r="CX157" i="120"/>
  <c r="CX158" i="120"/>
  <c r="CX159" i="120"/>
  <c r="CX160" i="120"/>
  <c r="CX161" i="120"/>
  <c r="CX162" i="120"/>
  <c r="CX163" i="120"/>
  <c r="CX164" i="120"/>
  <c r="CX165" i="120"/>
  <c r="CX166" i="120"/>
  <c r="CX167" i="120"/>
  <c r="CX168" i="120"/>
  <c r="CX169" i="120"/>
  <c r="CX170" i="120"/>
  <c r="CX399" i="120"/>
  <c r="CX171" i="120"/>
  <c r="CX172" i="120"/>
  <c r="CX173" i="120"/>
  <c r="CX174" i="120"/>
  <c r="CX175" i="120"/>
  <c r="CX176" i="120"/>
  <c r="CX177" i="120"/>
  <c r="CX178" i="120"/>
  <c r="CX179" i="120"/>
  <c r="CX180" i="120"/>
  <c r="CX181" i="120"/>
  <c r="CX182" i="120"/>
  <c r="CX183" i="120"/>
  <c r="CX184" i="120"/>
  <c r="CX185" i="120"/>
  <c r="CX186" i="120"/>
  <c r="CX187" i="120"/>
  <c r="CX188" i="120"/>
  <c r="CX189" i="120"/>
  <c r="CX190" i="120"/>
  <c r="CX191" i="120"/>
  <c r="CX192" i="120"/>
  <c r="CX193" i="120"/>
  <c r="CX194" i="120"/>
  <c r="CX195" i="120"/>
  <c r="CX11" i="120"/>
  <c r="CX196" i="120"/>
  <c r="CX197" i="120"/>
  <c r="CX198" i="120"/>
  <c r="CX199" i="120"/>
  <c r="CX200" i="120"/>
  <c r="CX201" i="120"/>
  <c r="CX202" i="120"/>
  <c r="CX203" i="120"/>
  <c r="CX204" i="120"/>
  <c r="CX205" i="120"/>
  <c r="CX394" i="120"/>
  <c r="CX206" i="120"/>
  <c r="CX207" i="120"/>
  <c r="CX208" i="120"/>
  <c r="CX209" i="120"/>
  <c r="CX210" i="120"/>
  <c r="CX211" i="120"/>
  <c r="CX391" i="120"/>
  <c r="CX212" i="120"/>
  <c r="CX213" i="120"/>
  <c r="CX214" i="120"/>
  <c r="CX215" i="120"/>
  <c r="CX216" i="120"/>
  <c r="CX217" i="120"/>
  <c r="CX218" i="120"/>
  <c r="CX219" i="120"/>
  <c r="CX220" i="120"/>
  <c r="CX221" i="120"/>
  <c r="CX222" i="120"/>
  <c r="CX223" i="120"/>
  <c r="CX224" i="120"/>
  <c r="CX225" i="120"/>
  <c r="CX226" i="120"/>
  <c r="CX227" i="120"/>
  <c r="CX228" i="120"/>
  <c r="CX229" i="120"/>
  <c r="CX230" i="120"/>
  <c r="CX231" i="120"/>
  <c r="CX232" i="120"/>
  <c r="CX233" i="120"/>
  <c r="CX234" i="120"/>
  <c r="CX235" i="120"/>
  <c r="CX236" i="120"/>
  <c r="CX237" i="120"/>
  <c r="CX238" i="120"/>
  <c r="CX20" i="120"/>
  <c r="CX239" i="120"/>
  <c r="CX240" i="120"/>
  <c r="CX241" i="120"/>
  <c r="CX242" i="120"/>
  <c r="CX243" i="120"/>
  <c r="CX244" i="120"/>
  <c r="CX245" i="120"/>
  <c r="CX17" i="120"/>
  <c r="CX246" i="120"/>
  <c r="CX247" i="120"/>
  <c r="CX248" i="120"/>
  <c r="CX249" i="120"/>
  <c r="CX26" i="120"/>
  <c r="CX250" i="120"/>
  <c r="CX386" i="120"/>
  <c r="CX251" i="120"/>
  <c r="CX252" i="120"/>
  <c r="CX253" i="120"/>
  <c r="CX254" i="120"/>
  <c r="CX255" i="120"/>
  <c r="CX256" i="120"/>
  <c r="CX385" i="120"/>
  <c r="CX257" i="120"/>
  <c r="CX258" i="120"/>
  <c r="CX259" i="120"/>
  <c r="CX260" i="120"/>
  <c r="CX261" i="120"/>
  <c r="CX15" i="120"/>
  <c r="CX404" i="120"/>
  <c r="CX262" i="120"/>
  <c r="CX263" i="120"/>
  <c r="CX264" i="120"/>
  <c r="CX265" i="120"/>
  <c r="CX266" i="120"/>
  <c r="CX267" i="120"/>
  <c r="CX268" i="120"/>
  <c r="CX269" i="120"/>
  <c r="CX270" i="120"/>
  <c r="CX271" i="120"/>
  <c r="CX272" i="120"/>
  <c r="CX273" i="120"/>
  <c r="CX387" i="120"/>
  <c r="CX274" i="120"/>
  <c r="CX275" i="120"/>
  <c r="CX276" i="120"/>
  <c r="CX277" i="120"/>
  <c r="CX278" i="120"/>
  <c r="CX279" i="120"/>
  <c r="CX280" i="120"/>
  <c r="CX281" i="120"/>
  <c r="CX282" i="120"/>
  <c r="CX283" i="120"/>
  <c r="CX284" i="120"/>
  <c r="CX285" i="120"/>
  <c r="CX286" i="120"/>
  <c r="CX287" i="120"/>
  <c r="CX288" i="120"/>
  <c r="CX289" i="120"/>
  <c r="CX290" i="120"/>
  <c r="CX291" i="120"/>
  <c r="CX292" i="120"/>
  <c r="CX293" i="120"/>
  <c r="CX294" i="120"/>
  <c r="CX295" i="120"/>
  <c r="CX296" i="120"/>
  <c r="CX297" i="120"/>
  <c r="CX7" i="120"/>
  <c r="CX298" i="120"/>
  <c r="CX384" i="120"/>
  <c r="CX299" i="120"/>
  <c r="CX389" i="120"/>
  <c r="CX300" i="120"/>
  <c r="CX301" i="120"/>
  <c r="CX302" i="120"/>
  <c r="CX303" i="120"/>
  <c r="CX304" i="120"/>
  <c r="CX305" i="120"/>
  <c r="CX5" i="120"/>
  <c r="CX28" i="120"/>
  <c r="CX306" i="120"/>
  <c r="CX307" i="120"/>
  <c r="CX308" i="120"/>
  <c r="CX309" i="120"/>
  <c r="CX310" i="120"/>
  <c r="CX311" i="120"/>
  <c r="CX312" i="120"/>
  <c r="CX313" i="120"/>
  <c r="CX314" i="120"/>
  <c r="CX315" i="120"/>
  <c r="CX316" i="120"/>
  <c r="CX317" i="120"/>
  <c r="CX318" i="120"/>
  <c r="CX319" i="120"/>
  <c r="CX388" i="120"/>
  <c r="CX320" i="120"/>
  <c r="CX321" i="120"/>
  <c r="CX402" i="120"/>
  <c r="CX393" i="120"/>
  <c r="CX400" i="120"/>
  <c r="CX322" i="120"/>
  <c r="CX382" i="120"/>
  <c r="CX323" i="120"/>
  <c r="CX324" i="120"/>
  <c r="CX325" i="120"/>
  <c r="CX326" i="120"/>
  <c r="CX327" i="120"/>
  <c r="CX328" i="120"/>
  <c r="CX329" i="120"/>
  <c r="CX396" i="120"/>
  <c r="CX392" i="120"/>
  <c r="CX398" i="120"/>
  <c r="CX330" i="120"/>
  <c r="CX401" i="120"/>
  <c r="CX380" i="120"/>
  <c r="CX331" i="120"/>
  <c r="CX332" i="120"/>
  <c r="CX19" i="120"/>
  <c r="CX333" i="120"/>
  <c r="CX381" i="120"/>
  <c r="CX334" i="120"/>
  <c r="CX335" i="120"/>
  <c r="CX336" i="120"/>
  <c r="CX337" i="120"/>
  <c r="CX338" i="120"/>
  <c r="CX339" i="120"/>
  <c r="CX340" i="120"/>
  <c r="CX341" i="120"/>
  <c r="CX403" i="120"/>
  <c r="CX342" i="120"/>
  <c r="CX343" i="120"/>
  <c r="CX344" i="120"/>
  <c r="CX345" i="120"/>
  <c r="CX346" i="120"/>
  <c r="CX347" i="120"/>
  <c r="CX348" i="120"/>
  <c r="CX350" i="120"/>
  <c r="CX351" i="120"/>
  <c r="CX383" i="120"/>
  <c r="CX352" i="120"/>
  <c r="CX353" i="120"/>
  <c r="CX379" i="120"/>
  <c r="CX378" i="120"/>
  <c r="CX405" i="120"/>
  <c r="CX354" i="120"/>
  <c r="CX355" i="120"/>
  <c r="CX9" i="120"/>
  <c r="CX357" i="120"/>
  <c r="CX13" i="120"/>
  <c r="CX377" i="120"/>
  <c r="CX16" i="120"/>
  <c r="CX14" i="120"/>
  <c r="CX12" i="120"/>
  <c r="CX359" i="120"/>
  <c r="CT30" i="120"/>
  <c r="CT31" i="120"/>
  <c r="CT32" i="120"/>
  <c r="CT33" i="120"/>
  <c r="CT34" i="120"/>
  <c r="CT35" i="120"/>
  <c r="CT36" i="120"/>
  <c r="CT37" i="120"/>
  <c r="CT38" i="120"/>
  <c r="CT39" i="120"/>
  <c r="CT40" i="120"/>
  <c r="CT41" i="120"/>
  <c r="CT42" i="120"/>
  <c r="CT43" i="120"/>
  <c r="CT44" i="120"/>
  <c r="CT45" i="120"/>
  <c r="CT46" i="120"/>
  <c r="CT47" i="120"/>
  <c r="CT48" i="120"/>
  <c r="CT49" i="120"/>
  <c r="CT50" i="120"/>
  <c r="CT51" i="120"/>
  <c r="CT10" i="120"/>
  <c r="CT52" i="120"/>
  <c r="CT18" i="120"/>
  <c r="CT53" i="120"/>
  <c r="CT54" i="120"/>
  <c r="CT55" i="120"/>
  <c r="CT56" i="120"/>
  <c r="CT373" i="120"/>
  <c r="CT57" i="120"/>
  <c r="CT58" i="120"/>
  <c r="CT59" i="120"/>
  <c r="CT60" i="120"/>
  <c r="CT61" i="120"/>
  <c r="CT62" i="120"/>
  <c r="CT63" i="120"/>
  <c r="CT64" i="120"/>
  <c r="CT65" i="120"/>
  <c r="CT66" i="120"/>
  <c r="CT390" i="120"/>
  <c r="CT67" i="120"/>
  <c r="CT374" i="120"/>
  <c r="CT395" i="120"/>
  <c r="CT68" i="120"/>
  <c r="CT69" i="120"/>
  <c r="CT24" i="120"/>
  <c r="CT375" i="120"/>
  <c r="CT408" i="120"/>
  <c r="CT409" i="120"/>
  <c r="CT407" i="120"/>
  <c r="CT21" i="120"/>
  <c r="CT70" i="120"/>
  <c r="CT406" i="120"/>
  <c r="CT23" i="120"/>
  <c r="CT71" i="120"/>
  <c r="CT6" i="120"/>
  <c r="CT72" i="120"/>
  <c r="CT73" i="120"/>
  <c r="CT74" i="120"/>
  <c r="CT75" i="120"/>
  <c r="CT76" i="120"/>
  <c r="CT77" i="120"/>
  <c r="CT78" i="120"/>
  <c r="CT79" i="120"/>
  <c r="CT80" i="120"/>
  <c r="CT81" i="120"/>
  <c r="CT82" i="120"/>
  <c r="CT83" i="120"/>
  <c r="CT84" i="120"/>
  <c r="CT85" i="120"/>
  <c r="CT86" i="120"/>
  <c r="CT87" i="120"/>
  <c r="CT88" i="120"/>
  <c r="CT89" i="120"/>
  <c r="CT90" i="120"/>
  <c r="CT91" i="120"/>
  <c r="CT92" i="120"/>
  <c r="CT93" i="120"/>
  <c r="CT94" i="120"/>
  <c r="CT95" i="120"/>
  <c r="CT96" i="120"/>
  <c r="CT97" i="120"/>
  <c r="CT98" i="120"/>
  <c r="CT99" i="120"/>
  <c r="CT100" i="120"/>
  <c r="CT101" i="120"/>
  <c r="CT102" i="120"/>
  <c r="CT103" i="120"/>
  <c r="CT104" i="120"/>
  <c r="CT105" i="120"/>
  <c r="CT106" i="120"/>
  <c r="CT107" i="120"/>
  <c r="CT108" i="120"/>
  <c r="CT109" i="120"/>
  <c r="CT110" i="120"/>
  <c r="CT111" i="120"/>
  <c r="CT112" i="120"/>
  <c r="CT113" i="120"/>
  <c r="CT114" i="120"/>
  <c r="CT115" i="120"/>
  <c r="CT116" i="120"/>
  <c r="CT117" i="120"/>
  <c r="CT118" i="120"/>
  <c r="CT119" i="120"/>
  <c r="CT120" i="120"/>
  <c r="CT121" i="120"/>
  <c r="CT122" i="120"/>
  <c r="CT123" i="120"/>
  <c r="CT124" i="120"/>
  <c r="CT125" i="120"/>
  <c r="CT126" i="120"/>
  <c r="CT127" i="120"/>
  <c r="CT128" i="120"/>
  <c r="CT129" i="120"/>
  <c r="CT130" i="120"/>
  <c r="CT131" i="120"/>
  <c r="CT132" i="120"/>
  <c r="CT133" i="120"/>
  <c r="CT134" i="120"/>
  <c r="CT135" i="120"/>
  <c r="CT136" i="120"/>
  <c r="CT137" i="120"/>
  <c r="CT138" i="120"/>
  <c r="CT139" i="120"/>
  <c r="CT140" i="120"/>
  <c r="CT141" i="120"/>
  <c r="CT142" i="120"/>
  <c r="CT143" i="120"/>
  <c r="CT144" i="120"/>
  <c r="CT145" i="120"/>
  <c r="CT146" i="120"/>
  <c r="CT147" i="120"/>
  <c r="CT148" i="120"/>
  <c r="CT149" i="120"/>
  <c r="CT150" i="120"/>
  <c r="CT151" i="120"/>
  <c r="CT152" i="120"/>
  <c r="CT153" i="120"/>
  <c r="CT154" i="120"/>
  <c r="CT155" i="120"/>
  <c r="CT156" i="120"/>
  <c r="CT157" i="120"/>
  <c r="CT158" i="120"/>
  <c r="CT159" i="120"/>
  <c r="CT160" i="120"/>
  <c r="CT161" i="120"/>
  <c r="CT162" i="120"/>
  <c r="CT163" i="120"/>
  <c r="CT164" i="120"/>
  <c r="CT165" i="120"/>
  <c r="CT166" i="120"/>
  <c r="CT167" i="120"/>
  <c r="CT168" i="120"/>
  <c r="CT169" i="120"/>
  <c r="CT170" i="120"/>
  <c r="CT399" i="120"/>
  <c r="CT171" i="120"/>
  <c r="CT172" i="120"/>
  <c r="CT173" i="120"/>
  <c r="CT174" i="120"/>
  <c r="CT175" i="120"/>
  <c r="CT176" i="120"/>
  <c r="CT177" i="120"/>
  <c r="CT178" i="120"/>
  <c r="CT179" i="120"/>
  <c r="CT180" i="120"/>
  <c r="CT181" i="120"/>
  <c r="CT182" i="120"/>
  <c r="CT183" i="120"/>
  <c r="CT184" i="120"/>
  <c r="CT185" i="120"/>
  <c r="CT186" i="120"/>
  <c r="CT187" i="120"/>
  <c r="CT188" i="120"/>
  <c r="CT189" i="120"/>
  <c r="CT190" i="120"/>
  <c r="CT191" i="120"/>
  <c r="CT192" i="120"/>
  <c r="CT193" i="120"/>
  <c r="CT194" i="120"/>
  <c r="CT195" i="120"/>
  <c r="CT11" i="120"/>
  <c r="CT196" i="120"/>
  <c r="CT197" i="120"/>
  <c r="CT198" i="120"/>
  <c r="CT199" i="120"/>
  <c r="CT200" i="120"/>
  <c r="CT201" i="120"/>
  <c r="CT202" i="120"/>
  <c r="CT203" i="120"/>
  <c r="CT204" i="120"/>
  <c r="CT205" i="120"/>
  <c r="CT394" i="120"/>
  <c r="CT206" i="120"/>
  <c r="CT207" i="120"/>
  <c r="CT208" i="120"/>
  <c r="CT209" i="120"/>
  <c r="CT210" i="120"/>
  <c r="CT211" i="120"/>
  <c r="CT391" i="120"/>
  <c r="CT212" i="120"/>
  <c r="CT213" i="120"/>
  <c r="CT214" i="120"/>
  <c r="CT215" i="120"/>
  <c r="CT216" i="120"/>
  <c r="CT217" i="120"/>
  <c r="CT218" i="120"/>
  <c r="CT219" i="120"/>
  <c r="CT220" i="120"/>
  <c r="CT221" i="120"/>
  <c r="CT222" i="120"/>
  <c r="CT223" i="120"/>
  <c r="CT224" i="120"/>
  <c r="CT225" i="120"/>
  <c r="CT226" i="120"/>
  <c r="CT227" i="120"/>
  <c r="CT228" i="120"/>
  <c r="CT229" i="120"/>
  <c r="CT230" i="120"/>
  <c r="CT231" i="120"/>
  <c r="CT232" i="120"/>
  <c r="CT233" i="120"/>
  <c r="CT234" i="120"/>
  <c r="CT235" i="120"/>
  <c r="CT236" i="120"/>
  <c r="CT237" i="120"/>
  <c r="CT238" i="120"/>
  <c r="CT20" i="120"/>
  <c r="CT239" i="120"/>
  <c r="CT240" i="120"/>
  <c r="CT241" i="120"/>
  <c r="CT242" i="120"/>
  <c r="CT243" i="120"/>
  <c r="CT244" i="120"/>
  <c r="CT245" i="120"/>
  <c r="CT17" i="120"/>
  <c r="CT246" i="120"/>
  <c r="CT247" i="120"/>
  <c r="CT248" i="120"/>
  <c r="CT249" i="120"/>
  <c r="CT26" i="120"/>
  <c r="CT250" i="120"/>
  <c r="CT386" i="120"/>
  <c r="CT251" i="120"/>
  <c r="CT252" i="120"/>
  <c r="CT253" i="120"/>
  <c r="CT254" i="120"/>
  <c r="CT255" i="120"/>
  <c r="CT256" i="120"/>
  <c r="CT385" i="120"/>
  <c r="CT257" i="120"/>
  <c r="CT258" i="120"/>
  <c r="CT259" i="120"/>
  <c r="CT260" i="120"/>
  <c r="CT261" i="120"/>
  <c r="CT15" i="120"/>
  <c r="CT404" i="120"/>
  <c r="CT262" i="120"/>
  <c r="CT263" i="120"/>
  <c r="CT264" i="120"/>
  <c r="CT265" i="120"/>
  <c r="CT266" i="120"/>
  <c r="CT267" i="120"/>
  <c r="CT268" i="120"/>
  <c r="CT269" i="120"/>
  <c r="CT270" i="120"/>
  <c r="CT271" i="120"/>
  <c r="CT272" i="120"/>
  <c r="CT273" i="120"/>
  <c r="CT387" i="120"/>
  <c r="CT274" i="120"/>
  <c r="CT275" i="120"/>
  <c r="CT276" i="120"/>
  <c r="CT277" i="120"/>
  <c r="CT278" i="120"/>
  <c r="CT279" i="120"/>
  <c r="CT280" i="120"/>
  <c r="CT281" i="120"/>
  <c r="CT282" i="120"/>
  <c r="CT283" i="120"/>
  <c r="CT284" i="120"/>
  <c r="CT285" i="120"/>
  <c r="CT286" i="120"/>
  <c r="CT287" i="120"/>
  <c r="CT288" i="120"/>
  <c r="CT289" i="120"/>
  <c r="CT290" i="120"/>
  <c r="CT291" i="120"/>
  <c r="CT292" i="120"/>
  <c r="CT293" i="120"/>
  <c r="CT294" i="120"/>
  <c r="CT295" i="120"/>
  <c r="CT296" i="120"/>
  <c r="CT297" i="120"/>
  <c r="CT7" i="120"/>
  <c r="CT298" i="120"/>
  <c r="CT384" i="120"/>
  <c r="CT299" i="120"/>
  <c r="CT389" i="120"/>
  <c r="CT300" i="120"/>
  <c r="CT301" i="120"/>
  <c r="CT302" i="120"/>
  <c r="CT303" i="120"/>
  <c r="CT304" i="120"/>
  <c r="CT305" i="120"/>
  <c r="CT5" i="120"/>
  <c r="CT28" i="120"/>
  <c r="CT306" i="120"/>
  <c r="CT307" i="120"/>
  <c r="CT308" i="120"/>
  <c r="CT309" i="120"/>
  <c r="CT310" i="120"/>
  <c r="CT311" i="120"/>
  <c r="CT312" i="120"/>
  <c r="CT313" i="120"/>
  <c r="CT314" i="120"/>
  <c r="CT315" i="120"/>
  <c r="CT316" i="120"/>
  <c r="CT317" i="120"/>
  <c r="CT318" i="120"/>
  <c r="CT319" i="120"/>
  <c r="CT388" i="120"/>
  <c r="CT320" i="120"/>
  <c r="CT321" i="120"/>
  <c r="CT402" i="120"/>
  <c r="CT393" i="120"/>
  <c r="CT400" i="120"/>
  <c r="CT322" i="120"/>
  <c r="CT382" i="120"/>
  <c r="CT323" i="120"/>
  <c r="CT324" i="120"/>
  <c r="CT325" i="120"/>
  <c r="CT326" i="120"/>
  <c r="CT327" i="120"/>
  <c r="CT328" i="120"/>
  <c r="CT329" i="120"/>
  <c r="CT396" i="120"/>
  <c r="CT392" i="120"/>
  <c r="CT398" i="120"/>
  <c r="CT330" i="120"/>
  <c r="CT401" i="120"/>
  <c r="CT380" i="120"/>
  <c r="CT331" i="120"/>
  <c r="CT332" i="120"/>
  <c r="CT19" i="120"/>
  <c r="CT333" i="120"/>
  <c r="CT381" i="120"/>
  <c r="CT334" i="120"/>
  <c r="CT335" i="120"/>
  <c r="CT336" i="120"/>
  <c r="CT337" i="120"/>
  <c r="CT338" i="120"/>
  <c r="CT339" i="120"/>
  <c r="CT340" i="120"/>
  <c r="CT341" i="120"/>
  <c r="CT403" i="120"/>
  <c r="CT342" i="120"/>
  <c r="CT343" i="120"/>
  <c r="CT344" i="120"/>
  <c r="CT345" i="120"/>
  <c r="CT346" i="120"/>
  <c r="CT347" i="120"/>
  <c r="CT348" i="120"/>
  <c r="CT350" i="120"/>
  <c r="CT351" i="120"/>
  <c r="CT383" i="120"/>
  <c r="CT352" i="120"/>
  <c r="CT353" i="120"/>
  <c r="CT379" i="120"/>
  <c r="CT378" i="120"/>
  <c r="CT405" i="120"/>
  <c r="CT354" i="120"/>
  <c r="CT355" i="120"/>
  <c r="CT9" i="120"/>
  <c r="CT357" i="120"/>
  <c r="CT13" i="120"/>
  <c r="CT377" i="120"/>
  <c r="CT16" i="120"/>
  <c r="CT14" i="120"/>
  <c r="CT12" i="120"/>
  <c r="CT359" i="120"/>
  <c r="CP30" i="120"/>
  <c r="CP31" i="120"/>
  <c r="CP32" i="120"/>
  <c r="CP33" i="120"/>
  <c r="CP34" i="120"/>
  <c r="CP35" i="120"/>
  <c r="CP36" i="120"/>
  <c r="CP37" i="120"/>
  <c r="CP38" i="120"/>
  <c r="CP39" i="120"/>
  <c r="CP40" i="120"/>
  <c r="CP41" i="120"/>
  <c r="CP42" i="120"/>
  <c r="CP43" i="120"/>
  <c r="CP44" i="120"/>
  <c r="CP45" i="120"/>
  <c r="CP46" i="120"/>
  <c r="CP47" i="120"/>
  <c r="CP48" i="120"/>
  <c r="CP49" i="120"/>
  <c r="CP50" i="120"/>
  <c r="CP51" i="120"/>
  <c r="CP10" i="120"/>
  <c r="CP52" i="120"/>
  <c r="CP18" i="120"/>
  <c r="CP53" i="120"/>
  <c r="CP54" i="120"/>
  <c r="CP55" i="120"/>
  <c r="CP56" i="120"/>
  <c r="CP373" i="120"/>
  <c r="CP57" i="120"/>
  <c r="CP58" i="120"/>
  <c r="CP59" i="120"/>
  <c r="CP60" i="120"/>
  <c r="CP61" i="120"/>
  <c r="CP62" i="120"/>
  <c r="CP63" i="120"/>
  <c r="CP64" i="120"/>
  <c r="CP65" i="120"/>
  <c r="CP66" i="120"/>
  <c r="CP390" i="120"/>
  <c r="CP67" i="120"/>
  <c r="CP374" i="120"/>
  <c r="CP395" i="120"/>
  <c r="CP68" i="120"/>
  <c r="CP69" i="120"/>
  <c r="CP24" i="120"/>
  <c r="CP375" i="120"/>
  <c r="CP408" i="120"/>
  <c r="CP409" i="120"/>
  <c r="CP407" i="120"/>
  <c r="CP21" i="120"/>
  <c r="CP70" i="120"/>
  <c r="CP406" i="120"/>
  <c r="CP23" i="120"/>
  <c r="CP71" i="120"/>
  <c r="CP6" i="120"/>
  <c r="CP72" i="120"/>
  <c r="CP73" i="120"/>
  <c r="CP74" i="120"/>
  <c r="CP75" i="120"/>
  <c r="CP76" i="120"/>
  <c r="CP77" i="120"/>
  <c r="CP78" i="120"/>
  <c r="CP79" i="120"/>
  <c r="CP80" i="120"/>
  <c r="CP81" i="120"/>
  <c r="CP82" i="120"/>
  <c r="CP83" i="120"/>
  <c r="CP84" i="120"/>
  <c r="CP85" i="120"/>
  <c r="CP86" i="120"/>
  <c r="CP87" i="120"/>
  <c r="CP88" i="120"/>
  <c r="CP89" i="120"/>
  <c r="CP90" i="120"/>
  <c r="CP91" i="120"/>
  <c r="CP92" i="120"/>
  <c r="CP93" i="120"/>
  <c r="CP94" i="120"/>
  <c r="CP95" i="120"/>
  <c r="CP96" i="120"/>
  <c r="CP97" i="120"/>
  <c r="CP98" i="120"/>
  <c r="CP99" i="120"/>
  <c r="CP100" i="120"/>
  <c r="CP101" i="120"/>
  <c r="CP102" i="120"/>
  <c r="CP103" i="120"/>
  <c r="CP104" i="120"/>
  <c r="CP105" i="120"/>
  <c r="CP106" i="120"/>
  <c r="CP107" i="120"/>
  <c r="CP108" i="120"/>
  <c r="CP109" i="120"/>
  <c r="CP110" i="120"/>
  <c r="CP111" i="120"/>
  <c r="CP112" i="120"/>
  <c r="CP113" i="120"/>
  <c r="CP114" i="120"/>
  <c r="CP115" i="120"/>
  <c r="CP116" i="120"/>
  <c r="CP117" i="120"/>
  <c r="CP118" i="120"/>
  <c r="CP119" i="120"/>
  <c r="CP120" i="120"/>
  <c r="CP121" i="120"/>
  <c r="CP122" i="120"/>
  <c r="CP123" i="120"/>
  <c r="CP124" i="120"/>
  <c r="CP125" i="120"/>
  <c r="CP126" i="120"/>
  <c r="CP127" i="120"/>
  <c r="CP128" i="120"/>
  <c r="CP129" i="120"/>
  <c r="CP130" i="120"/>
  <c r="CP131" i="120"/>
  <c r="CP132" i="120"/>
  <c r="CP133" i="120"/>
  <c r="CP134" i="120"/>
  <c r="CP135" i="120"/>
  <c r="CP136" i="120"/>
  <c r="CP137" i="120"/>
  <c r="CP138" i="120"/>
  <c r="CP139" i="120"/>
  <c r="CP140" i="120"/>
  <c r="CP141" i="120"/>
  <c r="CP142" i="120"/>
  <c r="CP143" i="120"/>
  <c r="CP144" i="120"/>
  <c r="CP145" i="120"/>
  <c r="CP146" i="120"/>
  <c r="CP147" i="120"/>
  <c r="CP148" i="120"/>
  <c r="CP149" i="120"/>
  <c r="CP150" i="120"/>
  <c r="CP151" i="120"/>
  <c r="CP152" i="120"/>
  <c r="CP153" i="120"/>
  <c r="CP154" i="120"/>
  <c r="CP155" i="120"/>
  <c r="CP156" i="120"/>
  <c r="CP157" i="120"/>
  <c r="CP158" i="120"/>
  <c r="CP159" i="120"/>
  <c r="CP160" i="120"/>
  <c r="CP161" i="120"/>
  <c r="CP162" i="120"/>
  <c r="CP163" i="120"/>
  <c r="CP164" i="120"/>
  <c r="CP165" i="120"/>
  <c r="CP166" i="120"/>
  <c r="CP167" i="120"/>
  <c r="CP168" i="120"/>
  <c r="CP169" i="120"/>
  <c r="CP170" i="120"/>
  <c r="CP399" i="120"/>
  <c r="CP171" i="120"/>
  <c r="CP172" i="120"/>
  <c r="CP173" i="120"/>
  <c r="CP174" i="120"/>
  <c r="CP175" i="120"/>
  <c r="CP176" i="120"/>
  <c r="CP177" i="120"/>
  <c r="CP178" i="120"/>
  <c r="CP179" i="120"/>
  <c r="CP180" i="120"/>
  <c r="CP181" i="120"/>
  <c r="CP182" i="120"/>
  <c r="CP183" i="120"/>
  <c r="CP184" i="120"/>
  <c r="CP185" i="120"/>
  <c r="CP186" i="120"/>
  <c r="CP187" i="120"/>
  <c r="CP188" i="120"/>
  <c r="CP189" i="120"/>
  <c r="CP190" i="120"/>
  <c r="CP191" i="120"/>
  <c r="CP192" i="120"/>
  <c r="CP193" i="120"/>
  <c r="CP194" i="120"/>
  <c r="CP195" i="120"/>
  <c r="CP11" i="120"/>
  <c r="CP196" i="120"/>
  <c r="CP197" i="120"/>
  <c r="CP198" i="120"/>
  <c r="CP199" i="120"/>
  <c r="CP200" i="120"/>
  <c r="CP201" i="120"/>
  <c r="CP202" i="120"/>
  <c r="CP203" i="120"/>
  <c r="CP204" i="120"/>
  <c r="CP205" i="120"/>
  <c r="CP394" i="120"/>
  <c r="CP206" i="120"/>
  <c r="CP207" i="120"/>
  <c r="CP208" i="120"/>
  <c r="CP209" i="120"/>
  <c r="CP210" i="120"/>
  <c r="CP211" i="120"/>
  <c r="CP391" i="120"/>
  <c r="CP212" i="120"/>
  <c r="CP213" i="120"/>
  <c r="CP214" i="120"/>
  <c r="CP215" i="120"/>
  <c r="CP216" i="120"/>
  <c r="CP217" i="120"/>
  <c r="CP218" i="120"/>
  <c r="CP219" i="120"/>
  <c r="CP220" i="120"/>
  <c r="CP221" i="120"/>
  <c r="CP222" i="120"/>
  <c r="CP223" i="120"/>
  <c r="CP224" i="120"/>
  <c r="CP225" i="120"/>
  <c r="CP226" i="120"/>
  <c r="CP227" i="120"/>
  <c r="CP228" i="120"/>
  <c r="CP229" i="120"/>
  <c r="CP230" i="120"/>
  <c r="CP231" i="120"/>
  <c r="CP232" i="120"/>
  <c r="CP233" i="120"/>
  <c r="CP234" i="120"/>
  <c r="CP235" i="120"/>
  <c r="CP236" i="120"/>
  <c r="CP237" i="120"/>
  <c r="CP238" i="120"/>
  <c r="CP20" i="120"/>
  <c r="CP239" i="120"/>
  <c r="CP240" i="120"/>
  <c r="CP241" i="120"/>
  <c r="CP242" i="120"/>
  <c r="CP243" i="120"/>
  <c r="CP244" i="120"/>
  <c r="CP245" i="120"/>
  <c r="CP17" i="120"/>
  <c r="CP246" i="120"/>
  <c r="CP247" i="120"/>
  <c r="CP248" i="120"/>
  <c r="CP249" i="120"/>
  <c r="CP26" i="120"/>
  <c r="CP250" i="120"/>
  <c r="CP386" i="120"/>
  <c r="CP251" i="120"/>
  <c r="CP252" i="120"/>
  <c r="CP253" i="120"/>
  <c r="CP254" i="120"/>
  <c r="CP255" i="120"/>
  <c r="CP256" i="120"/>
  <c r="CP385" i="120"/>
  <c r="CP257" i="120"/>
  <c r="CP258" i="120"/>
  <c r="CP259" i="120"/>
  <c r="CP260" i="120"/>
  <c r="CP261" i="120"/>
  <c r="CP15" i="120"/>
  <c r="CP404" i="120"/>
  <c r="CP262" i="120"/>
  <c r="CP263" i="120"/>
  <c r="CP264" i="120"/>
  <c r="CP265" i="120"/>
  <c r="CP266" i="120"/>
  <c r="CP267" i="120"/>
  <c r="CP268" i="120"/>
  <c r="CP269" i="120"/>
  <c r="CP270" i="120"/>
  <c r="CP271" i="120"/>
  <c r="CP272" i="120"/>
  <c r="CP273" i="120"/>
  <c r="CP387" i="120"/>
  <c r="CP274" i="120"/>
  <c r="CP275" i="120"/>
  <c r="CP276" i="120"/>
  <c r="CP277" i="120"/>
  <c r="CP278" i="120"/>
  <c r="CP279" i="120"/>
  <c r="CP280" i="120"/>
  <c r="CP281" i="120"/>
  <c r="CP282" i="120"/>
  <c r="CP283" i="120"/>
  <c r="CP284" i="120"/>
  <c r="CP285" i="120"/>
  <c r="CP286" i="120"/>
  <c r="CP287" i="120"/>
  <c r="CP288" i="120"/>
  <c r="CP289" i="120"/>
  <c r="CP290" i="120"/>
  <c r="CP291" i="120"/>
  <c r="CP292" i="120"/>
  <c r="CP293" i="120"/>
  <c r="CP294" i="120"/>
  <c r="CP295" i="120"/>
  <c r="CP296" i="120"/>
  <c r="CP297" i="120"/>
  <c r="CP7" i="120"/>
  <c r="CP298" i="120"/>
  <c r="CP384" i="120"/>
  <c r="CP299" i="120"/>
  <c r="CP389" i="120"/>
  <c r="CP300" i="120"/>
  <c r="CP301" i="120"/>
  <c r="CP302" i="120"/>
  <c r="CP303" i="120"/>
  <c r="CP304" i="120"/>
  <c r="CP305" i="120"/>
  <c r="CP5" i="120"/>
  <c r="CP28" i="120"/>
  <c r="CP306" i="120"/>
  <c r="CP307" i="120"/>
  <c r="CP308" i="120"/>
  <c r="CP309" i="120"/>
  <c r="CP310" i="120"/>
  <c r="CP311" i="120"/>
  <c r="CP312" i="120"/>
  <c r="CP313" i="120"/>
  <c r="CP314" i="120"/>
  <c r="CP315" i="120"/>
  <c r="CP316" i="120"/>
  <c r="CP317" i="120"/>
  <c r="CP318" i="120"/>
  <c r="CP319" i="120"/>
  <c r="CP388" i="120"/>
  <c r="CP320" i="120"/>
  <c r="CP321" i="120"/>
  <c r="CP402" i="120"/>
  <c r="CP393" i="120"/>
  <c r="CP400" i="120"/>
  <c r="CP322" i="120"/>
  <c r="CP382" i="120"/>
  <c r="CP323" i="120"/>
  <c r="CP324" i="120"/>
  <c r="CP325" i="120"/>
  <c r="CP326" i="120"/>
  <c r="CP327" i="120"/>
  <c r="CP328" i="120"/>
  <c r="CP329" i="120"/>
  <c r="CP396" i="120"/>
  <c r="CP392" i="120"/>
  <c r="CP398" i="120"/>
  <c r="CP330" i="120"/>
  <c r="CP401" i="120"/>
  <c r="CP380" i="120"/>
  <c r="CP331" i="120"/>
  <c r="CP332" i="120"/>
  <c r="CP19" i="120"/>
  <c r="CP333" i="120"/>
  <c r="CP381" i="120"/>
  <c r="CP334" i="120"/>
  <c r="CP335" i="120"/>
  <c r="CP336" i="120"/>
  <c r="CP337" i="120"/>
  <c r="CP338" i="120"/>
  <c r="CP339" i="120"/>
  <c r="CP340" i="120"/>
  <c r="CP341" i="120"/>
  <c r="CP403" i="120"/>
  <c r="CP342" i="120"/>
  <c r="CP343" i="120"/>
  <c r="CP344" i="120"/>
  <c r="CP345" i="120"/>
  <c r="CP346" i="120"/>
  <c r="CP347" i="120"/>
  <c r="CP348" i="120"/>
  <c r="CP350" i="120"/>
  <c r="CP351" i="120"/>
  <c r="CP383" i="120"/>
  <c r="CP352" i="120"/>
  <c r="CP353" i="120"/>
  <c r="CP379" i="120"/>
  <c r="CP378" i="120"/>
  <c r="CP405" i="120"/>
  <c r="CP354" i="120"/>
  <c r="CP355" i="120"/>
  <c r="CP9" i="120"/>
  <c r="CP357" i="120"/>
  <c r="CP13" i="120"/>
  <c r="CP377" i="120"/>
  <c r="CP16" i="120"/>
  <c r="CP14" i="120"/>
  <c r="CP12" i="120"/>
  <c r="CP359" i="120"/>
  <c r="CP360" i="120"/>
  <c r="CP361" i="120"/>
  <c r="CG31" i="120"/>
  <c r="CG32" i="120"/>
  <c r="CG33" i="120"/>
  <c r="CG35" i="120"/>
  <c r="CG36" i="120"/>
  <c r="CG37" i="120"/>
  <c r="CG38" i="120"/>
  <c r="CG39" i="120"/>
  <c r="CG40" i="120"/>
  <c r="CG41" i="120"/>
  <c r="CG43" i="120"/>
  <c r="CG44" i="120"/>
  <c r="CG47" i="120"/>
  <c r="CG48" i="120"/>
  <c r="CG49" i="120"/>
  <c r="CG51" i="120"/>
  <c r="CG10" i="120"/>
  <c r="CG52" i="120"/>
  <c r="CG18" i="120"/>
  <c r="CG53" i="120"/>
  <c r="CG54" i="120"/>
  <c r="CG55" i="120"/>
  <c r="CG373" i="120"/>
  <c r="CG57" i="120"/>
  <c r="CG60" i="120"/>
  <c r="CG61" i="120"/>
  <c r="CG62" i="120"/>
  <c r="CG64" i="120"/>
  <c r="CG65" i="120"/>
  <c r="CG66" i="120"/>
  <c r="CG390" i="120"/>
  <c r="CG67" i="120"/>
  <c r="CG374" i="120"/>
  <c r="CG395" i="120"/>
  <c r="CG69" i="120"/>
  <c r="CG24" i="120"/>
  <c r="CG409" i="120"/>
  <c r="CG407" i="120"/>
  <c r="CG21" i="120"/>
  <c r="CG406" i="120"/>
  <c r="CG23" i="120"/>
  <c r="CG6" i="120"/>
  <c r="CD30" i="120"/>
  <c r="CD31" i="120"/>
  <c r="CD32" i="120"/>
  <c r="CD33" i="120"/>
  <c r="CD34" i="120"/>
  <c r="CD35" i="120"/>
  <c r="CD36" i="120"/>
  <c r="CD37" i="120"/>
  <c r="CD38" i="120"/>
  <c r="CD39" i="120"/>
  <c r="CD40" i="120"/>
  <c r="CD41" i="120"/>
  <c r="CD42" i="120"/>
  <c r="CD43" i="120"/>
  <c r="CD44" i="120"/>
  <c r="CD45" i="120"/>
  <c r="CD46" i="120"/>
  <c r="CD47" i="120"/>
  <c r="CD48" i="120"/>
  <c r="CD49" i="120"/>
  <c r="CD50" i="120"/>
  <c r="CD51" i="120"/>
  <c r="CD10" i="120"/>
  <c r="CD52" i="120"/>
  <c r="CD18" i="120"/>
  <c r="CD53" i="120"/>
  <c r="CD54" i="120"/>
  <c r="CD55" i="120"/>
  <c r="CD56" i="120"/>
  <c r="CD373" i="120"/>
  <c r="CD57" i="120"/>
  <c r="CD58" i="120"/>
  <c r="CD59" i="120"/>
  <c r="CD60" i="120"/>
  <c r="CD61" i="120"/>
  <c r="CD62" i="120"/>
  <c r="CD63" i="120"/>
  <c r="CD64" i="120"/>
  <c r="CD65" i="120"/>
  <c r="CD66" i="120"/>
  <c r="CD390" i="120"/>
  <c r="CD67" i="120"/>
  <c r="CD374" i="120"/>
  <c r="CD395" i="120"/>
  <c r="CD68" i="120"/>
  <c r="CD69" i="120"/>
  <c r="CD24" i="120"/>
  <c r="CD375" i="120"/>
  <c r="CD408" i="120"/>
  <c r="CD409" i="120"/>
  <c r="CD407" i="120"/>
  <c r="CD21" i="120"/>
  <c r="CD70" i="120"/>
  <c r="CD406" i="120"/>
  <c r="CD23" i="120"/>
  <c r="CD71" i="120"/>
  <c r="CD6" i="120"/>
  <c r="CD72" i="120"/>
  <c r="CD73" i="120"/>
  <c r="CD74" i="120"/>
  <c r="CD75" i="120"/>
  <c r="CD76" i="120"/>
  <c r="CD77" i="120"/>
  <c r="CD78" i="120"/>
  <c r="CD79" i="120"/>
  <c r="CD80" i="120"/>
  <c r="CD81" i="120"/>
  <c r="CD82" i="120"/>
  <c r="CD83" i="120"/>
  <c r="CD84" i="120"/>
  <c r="CD85" i="120"/>
  <c r="CD86" i="120"/>
  <c r="CD87" i="120"/>
  <c r="CD88" i="120"/>
  <c r="CD89" i="120"/>
  <c r="CD90" i="120"/>
  <c r="CD91" i="120"/>
  <c r="CD92" i="120"/>
  <c r="CD93" i="120"/>
  <c r="CD94" i="120"/>
  <c r="CD95" i="120"/>
  <c r="CD96" i="120"/>
  <c r="CD97" i="120"/>
  <c r="CD98" i="120"/>
  <c r="CD99" i="120"/>
  <c r="CD100" i="120"/>
  <c r="CD101" i="120"/>
  <c r="CD102" i="120"/>
  <c r="CD103" i="120"/>
  <c r="CD104" i="120"/>
  <c r="CD105" i="120"/>
  <c r="CD106" i="120"/>
  <c r="CD107" i="120"/>
  <c r="CD108" i="120"/>
  <c r="CD109" i="120"/>
  <c r="CD110" i="120"/>
  <c r="CD111" i="120"/>
  <c r="CD112" i="120"/>
  <c r="CD113" i="120"/>
  <c r="CD114" i="120"/>
  <c r="CD115" i="120"/>
  <c r="CD116" i="120"/>
  <c r="CD117" i="120"/>
  <c r="CD118" i="120"/>
  <c r="CD119" i="120"/>
  <c r="CD120" i="120"/>
  <c r="CD121" i="120"/>
  <c r="CD122" i="120"/>
  <c r="CD123" i="120"/>
  <c r="CD124" i="120"/>
  <c r="CD125" i="120"/>
  <c r="CD126" i="120"/>
  <c r="CD127" i="120"/>
  <c r="CD128" i="120"/>
  <c r="CD129" i="120"/>
  <c r="CD130" i="120"/>
  <c r="CD131" i="120"/>
  <c r="CD132" i="120"/>
  <c r="CD133" i="120"/>
  <c r="CD134" i="120"/>
  <c r="CD135" i="120"/>
  <c r="CD136" i="120"/>
  <c r="CD137" i="120"/>
  <c r="CD138" i="120"/>
  <c r="CD139" i="120"/>
  <c r="CD140" i="120"/>
  <c r="CD141" i="120"/>
  <c r="CD142" i="120"/>
  <c r="CD143" i="120"/>
  <c r="CD144" i="120"/>
  <c r="CD145" i="120"/>
  <c r="CD146" i="120"/>
  <c r="CD147" i="120"/>
  <c r="CD148" i="120"/>
  <c r="CD149" i="120"/>
  <c r="CD150" i="120"/>
  <c r="CD151" i="120"/>
  <c r="CD152" i="120"/>
  <c r="CD153" i="120"/>
  <c r="CD154" i="120"/>
  <c r="CD155" i="120"/>
  <c r="CD156" i="120"/>
  <c r="CD157" i="120"/>
  <c r="CD158" i="120"/>
  <c r="CD159" i="120"/>
  <c r="CD160" i="120"/>
  <c r="CD161" i="120"/>
  <c r="CD162" i="120"/>
  <c r="CD163" i="120"/>
  <c r="CD164" i="120"/>
  <c r="CD165" i="120"/>
  <c r="CD166" i="120"/>
  <c r="CD167" i="120"/>
  <c r="CD168" i="120"/>
  <c r="CD169" i="120"/>
  <c r="CD170" i="120"/>
  <c r="CD399" i="120"/>
  <c r="CD171" i="120"/>
  <c r="CD172" i="120"/>
  <c r="CD173" i="120"/>
  <c r="CD174" i="120"/>
  <c r="CD175" i="120"/>
  <c r="CD176" i="120"/>
  <c r="CD177" i="120"/>
  <c r="CD178" i="120"/>
  <c r="CD179" i="120"/>
  <c r="CD180" i="120"/>
  <c r="CD181" i="120"/>
  <c r="CD182" i="120"/>
  <c r="CD183" i="120"/>
  <c r="CD184" i="120"/>
  <c r="CD185" i="120"/>
  <c r="CD186" i="120"/>
  <c r="CD187" i="120"/>
  <c r="CD188" i="120"/>
  <c r="CD189" i="120"/>
  <c r="CD190" i="120"/>
  <c r="CD191" i="120"/>
  <c r="CD192" i="120"/>
  <c r="CD193" i="120"/>
  <c r="CD194" i="120"/>
  <c r="CD195" i="120"/>
  <c r="CD11" i="120"/>
  <c r="CD196" i="120"/>
  <c r="CD197" i="120"/>
  <c r="CD198" i="120"/>
  <c r="CD199" i="120"/>
  <c r="CD200" i="120"/>
  <c r="CD201" i="120"/>
  <c r="CD202" i="120"/>
  <c r="CD203" i="120"/>
  <c r="CD204" i="120"/>
  <c r="CD205" i="120"/>
  <c r="CD394" i="120"/>
  <c r="CD206" i="120"/>
  <c r="CD207" i="120"/>
  <c r="CD208" i="120"/>
  <c r="CD209" i="120"/>
  <c r="CD210" i="120"/>
  <c r="CD211" i="120"/>
  <c r="CD391" i="120"/>
  <c r="CD212" i="120"/>
  <c r="CD213" i="120"/>
  <c r="CD214" i="120"/>
  <c r="CD215" i="120"/>
  <c r="CD216" i="120"/>
  <c r="CD217" i="120"/>
  <c r="CD218" i="120"/>
  <c r="CD219" i="120"/>
  <c r="CD220" i="120"/>
  <c r="CD221" i="120"/>
  <c r="CD222" i="120"/>
  <c r="CD223" i="120"/>
  <c r="CD224" i="120"/>
  <c r="CD225" i="120"/>
  <c r="CD226" i="120"/>
  <c r="CD227" i="120"/>
  <c r="CD228" i="120"/>
  <c r="CD229" i="120"/>
  <c r="CD230" i="120"/>
  <c r="CD231" i="120"/>
  <c r="CD232" i="120"/>
  <c r="CD233" i="120"/>
  <c r="CD234" i="120"/>
  <c r="CD235" i="120"/>
  <c r="CD236" i="120"/>
  <c r="CD237" i="120"/>
  <c r="CD238" i="120"/>
  <c r="CD20" i="120"/>
  <c r="CD239" i="120"/>
  <c r="CD240" i="120"/>
  <c r="CD241" i="120"/>
  <c r="CD242" i="120"/>
  <c r="CD243" i="120"/>
  <c r="CD244" i="120"/>
  <c r="CD245" i="120"/>
  <c r="CD17" i="120"/>
  <c r="CD246" i="120"/>
  <c r="CD247" i="120"/>
  <c r="CD248" i="120"/>
  <c r="CD249" i="120"/>
  <c r="CD26" i="120"/>
  <c r="CD250" i="120"/>
  <c r="CD386" i="120"/>
  <c r="CD251" i="120"/>
  <c r="CD252" i="120"/>
  <c r="CD253" i="120"/>
  <c r="CD254" i="120"/>
  <c r="CD255" i="120"/>
  <c r="CD256" i="120"/>
  <c r="CD385" i="120"/>
  <c r="CD257" i="120"/>
  <c r="CD258" i="120"/>
  <c r="CD259" i="120"/>
  <c r="CD260" i="120"/>
  <c r="CD261" i="120"/>
  <c r="CD15" i="120"/>
  <c r="CD404" i="120"/>
  <c r="CD262" i="120"/>
  <c r="CD263" i="120"/>
  <c r="CD264" i="120"/>
  <c r="CD265" i="120"/>
  <c r="CD266" i="120"/>
  <c r="CD267" i="120"/>
  <c r="CD268" i="120"/>
  <c r="CD269" i="120"/>
  <c r="CD270" i="120"/>
  <c r="CD271" i="120"/>
  <c r="CD272" i="120"/>
  <c r="CD273" i="120"/>
  <c r="CD387" i="120"/>
  <c r="CD274" i="120"/>
  <c r="CD275" i="120"/>
  <c r="CD276" i="120"/>
  <c r="CD277" i="120"/>
  <c r="CD278" i="120"/>
  <c r="CD279" i="120"/>
  <c r="CD280" i="120"/>
  <c r="CD281" i="120"/>
  <c r="CD282" i="120"/>
  <c r="CD283" i="120"/>
  <c r="CD284" i="120"/>
  <c r="CD285" i="120"/>
  <c r="CD286" i="120"/>
  <c r="CD287" i="120"/>
  <c r="CD288" i="120"/>
  <c r="CD289" i="120"/>
  <c r="CD290" i="120"/>
  <c r="CD291" i="120"/>
  <c r="CD292" i="120"/>
  <c r="CD293" i="120"/>
  <c r="CD294" i="120"/>
  <c r="CD295" i="120"/>
  <c r="CD296" i="120"/>
  <c r="CD297" i="120"/>
  <c r="CD7" i="120"/>
  <c r="CD298" i="120"/>
  <c r="CD384" i="120"/>
  <c r="CD299" i="120"/>
  <c r="CD389" i="120"/>
  <c r="CD300" i="120"/>
  <c r="CD301" i="120"/>
  <c r="CD302" i="120"/>
  <c r="CD303" i="120"/>
  <c r="CD304" i="120"/>
  <c r="CD305" i="120"/>
  <c r="CD5" i="120"/>
  <c r="CD28" i="120"/>
  <c r="CD306" i="120"/>
  <c r="CD307" i="120"/>
  <c r="CD308" i="120"/>
  <c r="CD309" i="120"/>
  <c r="CD310" i="120"/>
  <c r="CD311" i="120"/>
  <c r="CD312" i="120"/>
  <c r="CD313" i="120"/>
  <c r="CD314" i="120"/>
  <c r="CD315" i="120"/>
  <c r="CD316" i="120"/>
  <c r="CD317" i="120"/>
  <c r="CD318" i="120"/>
  <c r="CD319" i="120"/>
  <c r="CD388" i="120"/>
  <c r="CD320" i="120"/>
  <c r="CD321" i="120"/>
  <c r="CD402" i="120"/>
  <c r="CD393" i="120"/>
  <c r="CD400" i="120"/>
  <c r="CD322" i="120"/>
  <c r="CD382" i="120"/>
  <c r="CD323" i="120"/>
  <c r="CD324" i="120"/>
  <c r="CD325" i="120"/>
  <c r="CD326" i="120"/>
  <c r="CD327" i="120"/>
  <c r="CD328" i="120"/>
  <c r="CD329" i="120"/>
  <c r="CD396" i="120"/>
  <c r="CD392" i="120"/>
  <c r="CD398" i="120"/>
  <c r="CD330" i="120"/>
  <c r="CD401" i="120"/>
  <c r="CD380" i="120"/>
  <c r="CD331" i="120"/>
  <c r="CD332" i="120"/>
  <c r="CD19" i="120"/>
  <c r="CD333" i="120"/>
  <c r="CD381" i="120"/>
  <c r="CD334" i="120"/>
  <c r="CD335" i="120"/>
  <c r="CD336" i="120"/>
  <c r="CD337" i="120"/>
  <c r="CD338" i="120"/>
  <c r="CD339" i="120"/>
  <c r="CD340" i="120"/>
  <c r="CD341" i="120"/>
  <c r="CD403" i="120"/>
  <c r="CD342" i="120"/>
  <c r="CD343" i="120"/>
  <c r="CD344" i="120"/>
  <c r="CD345" i="120"/>
  <c r="CD346" i="120"/>
  <c r="CD347" i="120"/>
  <c r="CD348" i="120"/>
  <c r="CD350" i="120"/>
  <c r="CD351" i="120"/>
  <c r="CD383" i="120"/>
  <c r="CD352" i="120"/>
  <c r="CD353" i="120"/>
  <c r="CD379" i="120"/>
  <c r="CD378" i="120"/>
  <c r="CD405" i="120"/>
  <c r="CD354" i="120"/>
  <c r="CD355" i="120"/>
  <c r="CD9" i="120"/>
  <c r="CD357" i="120"/>
  <c r="CD13" i="120"/>
  <c r="CD377" i="120"/>
  <c r="CD16" i="120"/>
  <c r="CD14" i="120"/>
  <c r="CD12" i="120"/>
  <c r="BZ30" i="120"/>
  <c r="BZ31" i="120"/>
  <c r="BZ32" i="120"/>
  <c r="BZ33" i="120"/>
  <c r="BZ34" i="120"/>
  <c r="BZ35" i="120"/>
  <c r="BZ36" i="120"/>
  <c r="BZ37" i="120"/>
  <c r="BZ38" i="120"/>
  <c r="BZ39" i="120"/>
  <c r="BZ40" i="120"/>
  <c r="BZ41" i="120"/>
  <c r="BZ42" i="120"/>
  <c r="BZ43" i="120"/>
  <c r="BZ44" i="120"/>
  <c r="BZ45" i="120"/>
  <c r="BZ46" i="120"/>
  <c r="BZ47" i="120"/>
  <c r="BZ48" i="120"/>
  <c r="BZ49" i="120"/>
  <c r="BZ50" i="120"/>
  <c r="BZ51" i="120"/>
  <c r="BZ10" i="120"/>
  <c r="BZ52" i="120"/>
  <c r="BZ18" i="120"/>
  <c r="BZ53" i="120"/>
  <c r="BZ54" i="120"/>
  <c r="BZ55" i="120"/>
  <c r="BZ56" i="120"/>
  <c r="BZ373" i="120"/>
  <c r="BZ57" i="120"/>
  <c r="BZ58" i="120"/>
  <c r="BZ59" i="120"/>
  <c r="BZ60" i="120"/>
  <c r="BZ61" i="120"/>
  <c r="BZ62" i="120"/>
  <c r="BZ63" i="120"/>
  <c r="BZ64" i="120"/>
  <c r="BZ65" i="120"/>
  <c r="BZ66" i="120"/>
  <c r="BZ390" i="120"/>
  <c r="BZ67" i="120"/>
  <c r="BZ374" i="120"/>
  <c r="BZ395" i="120"/>
  <c r="BZ68" i="120"/>
  <c r="BZ69" i="120"/>
  <c r="BZ24" i="120"/>
  <c r="BZ375" i="120"/>
  <c r="BZ408" i="120"/>
  <c r="BZ409" i="120"/>
  <c r="BZ407" i="120"/>
  <c r="BZ21" i="120"/>
  <c r="BZ70" i="120"/>
  <c r="BZ406" i="120"/>
  <c r="BZ23" i="120"/>
  <c r="BZ71" i="120"/>
  <c r="BZ6" i="120"/>
  <c r="BZ72" i="120"/>
  <c r="BZ73" i="120"/>
  <c r="BZ74" i="120"/>
  <c r="BZ75" i="120"/>
  <c r="BZ76" i="120"/>
  <c r="BZ77" i="120"/>
  <c r="BZ78" i="120"/>
  <c r="BZ79" i="120"/>
  <c r="BZ80" i="120"/>
  <c r="BZ81" i="120"/>
  <c r="BZ82" i="120"/>
  <c r="BZ83" i="120"/>
  <c r="BZ84" i="120"/>
  <c r="BZ85" i="120"/>
  <c r="BZ86" i="120"/>
  <c r="BZ87" i="120"/>
  <c r="BZ88" i="120"/>
  <c r="BZ89" i="120"/>
  <c r="BZ90" i="120"/>
  <c r="BZ91" i="120"/>
  <c r="BZ92" i="120"/>
  <c r="BZ93" i="120"/>
  <c r="BZ94" i="120"/>
  <c r="BZ95" i="120"/>
  <c r="BZ96" i="120"/>
  <c r="BZ97" i="120"/>
  <c r="BZ98" i="120"/>
  <c r="BZ99" i="120"/>
  <c r="BZ100" i="120"/>
  <c r="BZ101" i="120"/>
  <c r="BZ102" i="120"/>
  <c r="BZ103" i="120"/>
  <c r="BZ104" i="120"/>
  <c r="BZ105" i="120"/>
  <c r="BZ106" i="120"/>
  <c r="BZ107" i="120"/>
  <c r="BZ108" i="120"/>
  <c r="BZ109" i="120"/>
  <c r="BZ110" i="120"/>
  <c r="BZ111" i="120"/>
  <c r="BZ112" i="120"/>
  <c r="BZ113" i="120"/>
  <c r="BZ114" i="120"/>
  <c r="BZ115" i="120"/>
  <c r="BZ116" i="120"/>
  <c r="BZ117" i="120"/>
  <c r="BZ118" i="120"/>
  <c r="BZ119" i="120"/>
  <c r="BZ120" i="120"/>
  <c r="BZ121" i="120"/>
  <c r="BZ122" i="120"/>
  <c r="BZ123" i="120"/>
  <c r="BZ124" i="120"/>
  <c r="BZ125" i="120"/>
  <c r="BZ126" i="120"/>
  <c r="BZ127" i="120"/>
  <c r="BZ128" i="120"/>
  <c r="BZ129" i="120"/>
  <c r="BZ130" i="120"/>
  <c r="BZ131" i="120"/>
  <c r="BZ132" i="120"/>
  <c r="BZ133" i="120"/>
  <c r="BZ134" i="120"/>
  <c r="BZ135" i="120"/>
  <c r="BZ136" i="120"/>
  <c r="BZ137" i="120"/>
  <c r="BZ138" i="120"/>
  <c r="BZ139" i="120"/>
  <c r="BZ140" i="120"/>
  <c r="BZ141" i="120"/>
  <c r="BZ142" i="120"/>
  <c r="BZ143" i="120"/>
  <c r="BZ144" i="120"/>
  <c r="BZ145" i="120"/>
  <c r="BZ146" i="120"/>
  <c r="BZ147" i="120"/>
  <c r="BZ148" i="120"/>
  <c r="BZ149" i="120"/>
  <c r="BZ150" i="120"/>
  <c r="BZ151" i="120"/>
  <c r="BZ152" i="120"/>
  <c r="BZ153" i="120"/>
  <c r="BZ154" i="120"/>
  <c r="BZ155" i="120"/>
  <c r="BZ156" i="120"/>
  <c r="BZ157" i="120"/>
  <c r="BZ158" i="120"/>
  <c r="BZ159" i="120"/>
  <c r="BZ160" i="120"/>
  <c r="BZ161" i="120"/>
  <c r="BZ162" i="120"/>
  <c r="BZ163" i="120"/>
  <c r="BZ164" i="120"/>
  <c r="BZ165" i="120"/>
  <c r="BZ166" i="120"/>
  <c r="BZ167" i="120"/>
  <c r="BZ168" i="120"/>
  <c r="BZ169" i="120"/>
  <c r="BZ170" i="120"/>
  <c r="BZ399" i="120"/>
  <c r="BZ171" i="120"/>
  <c r="BZ172" i="120"/>
  <c r="BZ173" i="120"/>
  <c r="BZ174" i="120"/>
  <c r="BZ175" i="120"/>
  <c r="BZ176" i="120"/>
  <c r="BZ177" i="120"/>
  <c r="BZ178" i="120"/>
  <c r="BZ179" i="120"/>
  <c r="BZ180" i="120"/>
  <c r="BZ181" i="120"/>
  <c r="BZ182" i="120"/>
  <c r="BZ183" i="120"/>
  <c r="BZ184" i="120"/>
  <c r="BZ185" i="120"/>
  <c r="BZ186" i="120"/>
  <c r="BZ187" i="120"/>
  <c r="BZ188" i="120"/>
  <c r="BZ189" i="120"/>
  <c r="BZ190" i="120"/>
  <c r="BZ191" i="120"/>
  <c r="BZ192" i="120"/>
  <c r="BZ193" i="120"/>
  <c r="BZ194" i="120"/>
  <c r="BZ195" i="120"/>
  <c r="BZ11" i="120"/>
  <c r="BZ196" i="120"/>
  <c r="BZ197" i="120"/>
  <c r="BZ198" i="120"/>
  <c r="BZ199" i="120"/>
  <c r="BZ200" i="120"/>
  <c r="BZ201" i="120"/>
  <c r="BZ202" i="120"/>
  <c r="BZ203" i="120"/>
  <c r="BZ204" i="120"/>
  <c r="BZ205" i="120"/>
  <c r="BZ394" i="120"/>
  <c r="BZ206" i="120"/>
  <c r="BZ207" i="120"/>
  <c r="BZ208" i="120"/>
  <c r="BZ209" i="120"/>
  <c r="BZ210" i="120"/>
  <c r="BZ211" i="120"/>
  <c r="BZ391" i="120"/>
  <c r="BZ212" i="120"/>
  <c r="BZ213" i="120"/>
  <c r="BZ214" i="120"/>
  <c r="BZ215" i="120"/>
  <c r="BZ216" i="120"/>
  <c r="BZ217" i="120"/>
  <c r="BZ218" i="120"/>
  <c r="BZ219" i="120"/>
  <c r="BZ220" i="120"/>
  <c r="BZ221" i="120"/>
  <c r="BZ222" i="120"/>
  <c r="BZ223" i="120"/>
  <c r="BZ224" i="120"/>
  <c r="BZ225" i="120"/>
  <c r="BZ226" i="120"/>
  <c r="BZ227" i="120"/>
  <c r="BZ228" i="120"/>
  <c r="BZ229" i="120"/>
  <c r="BZ230" i="120"/>
  <c r="BZ231" i="120"/>
  <c r="BZ232" i="120"/>
  <c r="BZ233" i="120"/>
  <c r="BZ234" i="120"/>
  <c r="BZ235" i="120"/>
  <c r="BZ236" i="120"/>
  <c r="BZ237" i="120"/>
  <c r="BZ238" i="120"/>
  <c r="BZ20" i="120"/>
  <c r="BZ239" i="120"/>
  <c r="BZ240" i="120"/>
  <c r="BZ241" i="120"/>
  <c r="BZ242" i="120"/>
  <c r="BZ243" i="120"/>
  <c r="BZ244" i="120"/>
  <c r="BZ245" i="120"/>
  <c r="BZ17" i="120"/>
  <c r="BZ246" i="120"/>
  <c r="BZ247" i="120"/>
  <c r="BZ248" i="120"/>
  <c r="BZ249" i="120"/>
  <c r="BZ26" i="120"/>
  <c r="BZ250" i="120"/>
  <c r="BZ386" i="120"/>
  <c r="BZ251" i="120"/>
  <c r="BZ252" i="120"/>
  <c r="BZ253" i="120"/>
  <c r="BZ254" i="120"/>
  <c r="BZ255" i="120"/>
  <c r="BZ256" i="120"/>
  <c r="BZ385" i="120"/>
  <c r="BZ257" i="120"/>
  <c r="BZ258" i="120"/>
  <c r="BZ259" i="120"/>
  <c r="BZ260" i="120"/>
  <c r="BZ261" i="120"/>
  <c r="BZ15" i="120"/>
  <c r="BZ404" i="120"/>
  <c r="BZ262" i="120"/>
  <c r="BZ263" i="120"/>
  <c r="BZ264" i="120"/>
  <c r="BZ265" i="120"/>
  <c r="BZ266" i="120"/>
  <c r="BZ267" i="120"/>
  <c r="BZ268" i="120"/>
  <c r="BZ269" i="120"/>
  <c r="BZ270" i="120"/>
  <c r="BZ271" i="120"/>
  <c r="BZ272" i="120"/>
  <c r="BZ273" i="120"/>
  <c r="BZ387" i="120"/>
  <c r="BZ274" i="120"/>
  <c r="BZ275" i="120"/>
  <c r="BZ276" i="120"/>
  <c r="BZ277" i="120"/>
  <c r="BZ278" i="120"/>
  <c r="BZ279" i="120"/>
  <c r="BZ280" i="120"/>
  <c r="BZ281" i="120"/>
  <c r="BZ282" i="120"/>
  <c r="BZ283" i="120"/>
  <c r="BZ284" i="120"/>
  <c r="BZ285" i="120"/>
  <c r="BZ286" i="120"/>
  <c r="BZ287" i="120"/>
  <c r="BZ288" i="120"/>
  <c r="BZ289" i="120"/>
  <c r="BZ290" i="120"/>
  <c r="BZ291" i="120"/>
  <c r="BZ292" i="120"/>
  <c r="BZ293" i="120"/>
  <c r="BZ294" i="120"/>
  <c r="BZ295" i="120"/>
  <c r="BZ296" i="120"/>
  <c r="BZ297" i="120"/>
  <c r="BZ7" i="120"/>
  <c r="BZ298" i="120"/>
  <c r="BZ384" i="120"/>
  <c r="BZ299" i="120"/>
  <c r="BZ389" i="120"/>
  <c r="BZ300" i="120"/>
  <c r="BZ301" i="120"/>
  <c r="BZ302" i="120"/>
  <c r="BZ303" i="120"/>
  <c r="BZ304" i="120"/>
  <c r="BZ305" i="120"/>
  <c r="BZ5" i="120"/>
  <c r="BZ28" i="120"/>
  <c r="BZ306" i="120"/>
  <c r="BZ307" i="120"/>
  <c r="BZ308" i="120"/>
  <c r="BZ309" i="120"/>
  <c r="BZ310" i="120"/>
  <c r="BZ311" i="120"/>
  <c r="BZ312" i="120"/>
  <c r="BZ313" i="120"/>
  <c r="BZ314" i="120"/>
  <c r="BZ315" i="120"/>
  <c r="BZ316" i="120"/>
  <c r="BZ317" i="120"/>
  <c r="BZ318" i="120"/>
  <c r="BZ319" i="120"/>
  <c r="BZ388" i="120"/>
  <c r="BZ320" i="120"/>
  <c r="BZ321" i="120"/>
  <c r="BZ402" i="120"/>
  <c r="BZ393" i="120"/>
  <c r="BZ400" i="120"/>
  <c r="BZ322" i="120"/>
  <c r="BZ382" i="120"/>
  <c r="BZ323" i="120"/>
  <c r="BZ324" i="120"/>
  <c r="BZ325" i="120"/>
  <c r="BZ326" i="120"/>
  <c r="BZ327" i="120"/>
  <c r="BZ328" i="120"/>
  <c r="BZ329" i="120"/>
  <c r="BZ396" i="120"/>
  <c r="BZ392" i="120"/>
  <c r="BZ398" i="120"/>
  <c r="BZ330" i="120"/>
  <c r="BZ401" i="120"/>
  <c r="BZ380" i="120"/>
  <c r="BZ331" i="120"/>
  <c r="BZ332" i="120"/>
  <c r="BZ19" i="120"/>
  <c r="BZ333" i="120"/>
  <c r="BZ381" i="120"/>
  <c r="BZ334" i="120"/>
  <c r="BZ335" i="120"/>
  <c r="BZ336" i="120"/>
  <c r="BZ337" i="120"/>
  <c r="BZ338" i="120"/>
  <c r="BZ339" i="120"/>
  <c r="BZ340" i="120"/>
  <c r="BZ341" i="120"/>
  <c r="BZ403" i="120"/>
  <c r="BZ342" i="120"/>
  <c r="BZ343" i="120"/>
  <c r="BZ344" i="120"/>
  <c r="BZ345" i="120"/>
  <c r="BZ346" i="120"/>
  <c r="BZ347" i="120"/>
  <c r="BZ348" i="120"/>
  <c r="BZ350" i="120"/>
  <c r="BZ351" i="120"/>
  <c r="BZ383" i="120"/>
  <c r="BZ352" i="120"/>
  <c r="BZ353" i="120"/>
  <c r="BZ379" i="120"/>
  <c r="BZ378" i="120"/>
  <c r="BZ405" i="120"/>
  <c r="BZ354" i="120"/>
  <c r="BZ355" i="120"/>
  <c r="BZ9" i="120"/>
  <c r="BZ357" i="120"/>
  <c r="BZ13" i="120"/>
  <c r="BZ377" i="120"/>
  <c r="BZ16" i="120"/>
  <c r="BZ14" i="120"/>
  <c r="BZ12" i="120"/>
  <c r="BV30" i="120"/>
  <c r="BV31" i="120"/>
  <c r="BV32" i="120"/>
  <c r="BV33" i="120"/>
  <c r="BV34" i="120"/>
  <c r="BV35" i="120"/>
  <c r="BV36" i="120"/>
  <c r="BV37" i="120"/>
  <c r="BV38" i="120"/>
  <c r="BV39" i="120"/>
  <c r="BV40" i="120"/>
  <c r="BV41" i="120"/>
  <c r="BV42" i="120"/>
  <c r="BV43" i="120"/>
  <c r="BV44" i="120"/>
  <c r="BV45" i="120"/>
  <c r="BV46" i="120"/>
  <c r="BV47" i="120"/>
  <c r="BV48" i="120"/>
  <c r="BV49" i="120"/>
  <c r="BV50" i="120"/>
  <c r="BV51" i="120"/>
  <c r="BV10" i="120"/>
  <c r="BV52" i="120"/>
  <c r="BV18" i="120"/>
  <c r="BV53" i="120"/>
  <c r="BV54" i="120"/>
  <c r="BV55" i="120"/>
  <c r="BV56" i="120"/>
  <c r="BV373" i="120"/>
  <c r="BV57" i="120"/>
  <c r="BV58" i="120"/>
  <c r="BV59" i="120"/>
  <c r="BV60" i="120"/>
  <c r="BV61" i="120"/>
  <c r="BV62" i="120"/>
  <c r="BV63" i="120"/>
  <c r="BV64" i="120"/>
  <c r="BV65" i="120"/>
  <c r="BV66" i="120"/>
  <c r="BV390" i="120"/>
  <c r="BV67" i="120"/>
  <c r="BV374" i="120"/>
  <c r="BV395" i="120"/>
  <c r="BV68" i="120"/>
  <c r="BV69" i="120"/>
  <c r="BV24" i="120"/>
  <c r="BV375" i="120"/>
  <c r="BV408" i="120"/>
  <c r="BV409" i="120"/>
  <c r="BV407" i="120"/>
  <c r="BV21" i="120"/>
  <c r="BV70" i="120"/>
  <c r="BV406" i="120"/>
  <c r="BV23" i="120"/>
  <c r="BV71" i="120"/>
  <c r="BV6" i="120"/>
  <c r="BV72" i="120"/>
  <c r="BV73" i="120"/>
  <c r="BV74" i="120"/>
  <c r="BV75" i="120"/>
  <c r="BV76" i="120"/>
  <c r="BV77" i="120"/>
  <c r="BV78" i="120"/>
  <c r="BV79" i="120"/>
  <c r="BV80" i="120"/>
  <c r="BV81" i="120"/>
  <c r="BV82" i="120"/>
  <c r="BV83" i="120"/>
  <c r="BV84" i="120"/>
  <c r="BV85" i="120"/>
  <c r="BV86" i="120"/>
  <c r="BV87" i="120"/>
  <c r="BV88" i="120"/>
  <c r="BV89" i="120"/>
  <c r="BV90" i="120"/>
  <c r="BV91" i="120"/>
  <c r="BV92" i="120"/>
  <c r="BV93" i="120"/>
  <c r="BV94" i="120"/>
  <c r="BV95" i="120"/>
  <c r="BV96" i="120"/>
  <c r="BV97" i="120"/>
  <c r="BV98" i="120"/>
  <c r="BV99" i="120"/>
  <c r="BV100" i="120"/>
  <c r="BV101" i="120"/>
  <c r="BV102" i="120"/>
  <c r="BV103" i="120"/>
  <c r="BV104" i="120"/>
  <c r="BV105" i="120"/>
  <c r="BV106" i="120"/>
  <c r="BV107" i="120"/>
  <c r="BV108" i="120"/>
  <c r="BV109" i="120"/>
  <c r="BV110" i="120"/>
  <c r="BV111" i="120"/>
  <c r="BV112" i="120"/>
  <c r="BV113" i="120"/>
  <c r="BV114" i="120"/>
  <c r="BV115" i="120"/>
  <c r="BV116" i="120"/>
  <c r="BV117" i="120"/>
  <c r="BV118" i="120"/>
  <c r="BV119" i="120"/>
  <c r="BV120" i="120"/>
  <c r="BV121" i="120"/>
  <c r="BV122" i="120"/>
  <c r="BV123" i="120"/>
  <c r="BV124" i="120"/>
  <c r="BV125" i="120"/>
  <c r="BV126" i="120"/>
  <c r="BV127" i="120"/>
  <c r="BV128" i="120"/>
  <c r="BV129" i="120"/>
  <c r="BV130" i="120"/>
  <c r="BV131" i="120"/>
  <c r="BV132" i="120"/>
  <c r="BV133" i="120"/>
  <c r="BV134" i="120"/>
  <c r="BV135" i="120"/>
  <c r="BV136" i="120"/>
  <c r="BV137" i="120"/>
  <c r="BV138" i="120"/>
  <c r="BV139" i="120"/>
  <c r="BV140" i="120"/>
  <c r="BV141" i="120"/>
  <c r="BV142" i="120"/>
  <c r="BV143" i="120"/>
  <c r="BV144" i="120"/>
  <c r="BV145" i="120"/>
  <c r="BV146" i="120"/>
  <c r="BV147" i="120"/>
  <c r="BV148" i="120"/>
  <c r="BV149" i="120"/>
  <c r="BV150" i="120"/>
  <c r="BV151" i="120"/>
  <c r="BV152" i="120"/>
  <c r="BV153" i="120"/>
  <c r="BV154" i="120"/>
  <c r="BV155" i="120"/>
  <c r="BV156" i="120"/>
  <c r="BV157" i="120"/>
  <c r="BV158" i="120"/>
  <c r="BV159" i="120"/>
  <c r="BV160" i="120"/>
  <c r="BV161" i="120"/>
  <c r="BV162" i="120"/>
  <c r="BV163" i="120"/>
  <c r="BV164" i="120"/>
  <c r="BV165" i="120"/>
  <c r="BV166" i="120"/>
  <c r="BV167" i="120"/>
  <c r="BV168" i="120"/>
  <c r="BV169" i="120"/>
  <c r="BV170" i="120"/>
  <c r="BV399" i="120"/>
  <c r="BV171" i="120"/>
  <c r="BV172" i="120"/>
  <c r="BV173" i="120"/>
  <c r="BV174" i="120"/>
  <c r="BV175" i="120"/>
  <c r="BV176" i="120"/>
  <c r="BV177" i="120"/>
  <c r="BV178" i="120"/>
  <c r="BV179" i="120"/>
  <c r="BV180" i="120"/>
  <c r="BV181" i="120"/>
  <c r="BV182" i="120"/>
  <c r="BV183" i="120"/>
  <c r="BV184" i="120"/>
  <c r="BV185" i="120"/>
  <c r="BV186" i="120"/>
  <c r="BV187" i="120"/>
  <c r="BV188" i="120"/>
  <c r="BV189" i="120"/>
  <c r="BV190" i="120"/>
  <c r="BV191" i="120"/>
  <c r="BV192" i="120"/>
  <c r="BV193" i="120"/>
  <c r="BV194" i="120"/>
  <c r="BV195" i="120"/>
  <c r="BV11" i="120"/>
  <c r="BV196" i="120"/>
  <c r="BV197" i="120"/>
  <c r="BV198" i="120"/>
  <c r="BV199" i="120"/>
  <c r="BV200" i="120"/>
  <c r="BV201" i="120"/>
  <c r="BV202" i="120"/>
  <c r="BV203" i="120"/>
  <c r="BV204" i="120"/>
  <c r="BV205" i="120"/>
  <c r="BV394" i="120"/>
  <c r="BV206" i="120"/>
  <c r="BV207" i="120"/>
  <c r="BV208" i="120"/>
  <c r="BV209" i="120"/>
  <c r="BV210" i="120"/>
  <c r="BV211" i="120"/>
  <c r="BV391" i="120"/>
  <c r="BV212" i="120"/>
  <c r="BV213" i="120"/>
  <c r="BV214" i="120"/>
  <c r="BV215" i="120"/>
  <c r="BV216" i="120"/>
  <c r="BV217" i="120"/>
  <c r="BV218" i="120"/>
  <c r="BV219" i="120"/>
  <c r="BV220" i="120"/>
  <c r="BV221" i="120"/>
  <c r="BV222" i="120"/>
  <c r="BV223" i="120"/>
  <c r="BV224" i="120"/>
  <c r="BV225" i="120"/>
  <c r="BV226" i="120"/>
  <c r="BV227" i="120"/>
  <c r="BV228" i="120"/>
  <c r="BV229" i="120"/>
  <c r="BV230" i="120"/>
  <c r="BV231" i="120"/>
  <c r="BV232" i="120"/>
  <c r="BV233" i="120"/>
  <c r="BV234" i="120"/>
  <c r="BV235" i="120"/>
  <c r="BV236" i="120"/>
  <c r="BV237" i="120"/>
  <c r="BV238" i="120"/>
  <c r="BV20" i="120"/>
  <c r="BV239" i="120"/>
  <c r="BV240" i="120"/>
  <c r="BV241" i="120"/>
  <c r="BV242" i="120"/>
  <c r="BV243" i="120"/>
  <c r="BV244" i="120"/>
  <c r="BV245" i="120"/>
  <c r="BV17" i="120"/>
  <c r="BV246" i="120"/>
  <c r="BV247" i="120"/>
  <c r="BV248" i="120"/>
  <c r="BV249" i="120"/>
  <c r="BV26" i="120"/>
  <c r="BV250" i="120"/>
  <c r="BV386" i="120"/>
  <c r="BV251" i="120"/>
  <c r="BV252" i="120"/>
  <c r="BV253" i="120"/>
  <c r="BV254" i="120"/>
  <c r="BV255" i="120"/>
  <c r="BV256" i="120"/>
  <c r="BV385" i="120"/>
  <c r="BV257" i="120"/>
  <c r="BV258" i="120"/>
  <c r="BV259" i="120"/>
  <c r="BV260" i="120"/>
  <c r="BV261" i="120"/>
  <c r="BV15" i="120"/>
  <c r="BV404" i="120"/>
  <c r="BV262" i="120"/>
  <c r="BV263" i="120"/>
  <c r="BV264" i="120"/>
  <c r="BV265" i="120"/>
  <c r="BV266" i="120"/>
  <c r="BV267" i="120"/>
  <c r="BV268" i="120"/>
  <c r="BV269" i="120"/>
  <c r="BV270" i="120"/>
  <c r="BV271" i="120"/>
  <c r="BV272" i="120"/>
  <c r="BV273" i="120"/>
  <c r="BV387" i="120"/>
  <c r="BV274" i="120"/>
  <c r="BV275" i="120"/>
  <c r="BV276" i="120"/>
  <c r="BV277" i="120"/>
  <c r="BV278" i="120"/>
  <c r="BV279" i="120"/>
  <c r="BV280" i="120"/>
  <c r="BV281" i="120"/>
  <c r="BV282" i="120"/>
  <c r="BV283" i="120"/>
  <c r="BV284" i="120"/>
  <c r="BV285" i="120"/>
  <c r="BV286" i="120"/>
  <c r="BV287" i="120"/>
  <c r="BV288" i="120"/>
  <c r="BV289" i="120"/>
  <c r="BV290" i="120"/>
  <c r="BV291" i="120"/>
  <c r="BV292" i="120"/>
  <c r="BV293" i="120"/>
  <c r="BV294" i="120"/>
  <c r="BV295" i="120"/>
  <c r="BV296" i="120"/>
  <c r="BV297" i="120"/>
  <c r="BV7" i="120"/>
  <c r="BV298" i="120"/>
  <c r="BV384" i="120"/>
  <c r="BV299" i="120"/>
  <c r="BV389" i="120"/>
  <c r="BV300" i="120"/>
  <c r="BV301" i="120"/>
  <c r="BV302" i="120"/>
  <c r="BV303" i="120"/>
  <c r="BV304" i="120"/>
  <c r="BV305" i="120"/>
  <c r="BV5" i="120"/>
  <c r="BV28" i="120"/>
  <c r="BV306" i="120"/>
  <c r="BV307" i="120"/>
  <c r="BV308" i="120"/>
  <c r="BV309" i="120"/>
  <c r="BV310" i="120"/>
  <c r="BV311" i="120"/>
  <c r="BV312" i="120"/>
  <c r="BV313" i="120"/>
  <c r="BV314" i="120"/>
  <c r="BV315" i="120"/>
  <c r="BV316" i="120"/>
  <c r="BV317" i="120"/>
  <c r="BV318" i="120"/>
  <c r="BV319" i="120"/>
  <c r="BV388" i="120"/>
  <c r="BV320" i="120"/>
  <c r="BV321" i="120"/>
  <c r="BV402" i="120"/>
  <c r="BV393" i="120"/>
  <c r="BV400" i="120"/>
  <c r="BV322" i="120"/>
  <c r="BV382" i="120"/>
  <c r="BV323" i="120"/>
  <c r="BV324" i="120"/>
  <c r="BV325" i="120"/>
  <c r="BV326" i="120"/>
  <c r="BV327" i="120"/>
  <c r="BV328" i="120"/>
  <c r="BV329" i="120"/>
  <c r="BV396" i="120"/>
  <c r="BV392" i="120"/>
  <c r="BV398" i="120"/>
  <c r="BV330" i="120"/>
  <c r="BV401" i="120"/>
  <c r="BV380" i="120"/>
  <c r="BV331" i="120"/>
  <c r="BV332" i="120"/>
  <c r="BV19" i="120"/>
  <c r="BV333" i="120"/>
  <c r="BV381" i="120"/>
  <c r="BV334" i="120"/>
  <c r="BV335" i="120"/>
  <c r="BV336" i="120"/>
  <c r="BV337" i="120"/>
  <c r="BV338" i="120"/>
  <c r="BV339" i="120"/>
  <c r="BV340" i="120"/>
  <c r="BV341" i="120"/>
  <c r="BV403" i="120"/>
  <c r="BV342" i="120"/>
  <c r="BV343" i="120"/>
  <c r="BV344" i="120"/>
  <c r="BV345" i="120"/>
  <c r="BV346" i="120"/>
  <c r="BV347" i="120"/>
  <c r="BV348" i="120"/>
  <c r="BV350" i="120"/>
  <c r="BV351" i="120"/>
  <c r="BV383" i="120"/>
  <c r="BV352" i="120"/>
  <c r="BV353" i="120"/>
  <c r="BV379" i="120"/>
  <c r="BV378" i="120"/>
  <c r="BV405" i="120"/>
  <c r="BV354" i="120"/>
  <c r="BV355" i="120"/>
  <c r="BV9" i="120"/>
  <c r="BV357" i="120"/>
  <c r="BV13" i="120"/>
  <c r="BV377" i="120"/>
  <c r="BV16" i="120"/>
  <c r="BV14" i="120"/>
  <c r="BV12" i="120"/>
  <c r="BR30" i="120"/>
  <c r="BR31" i="120"/>
  <c r="BR32" i="120"/>
  <c r="BR33" i="120"/>
  <c r="BR34" i="120"/>
  <c r="BR35" i="120"/>
  <c r="BR36" i="120"/>
  <c r="BR37" i="120"/>
  <c r="BR38" i="120"/>
  <c r="BR39" i="120"/>
  <c r="BR40" i="120"/>
  <c r="BR41" i="120"/>
  <c r="BR42" i="120"/>
  <c r="BR43" i="120"/>
  <c r="BR44" i="120"/>
  <c r="BR45" i="120"/>
  <c r="BR46" i="120"/>
  <c r="BR47" i="120"/>
  <c r="BR48" i="120"/>
  <c r="BR49" i="120"/>
  <c r="BR50" i="120"/>
  <c r="BR51" i="120"/>
  <c r="BR10" i="120"/>
  <c r="BR52" i="120"/>
  <c r="BR18" i="120"/>
  <c r="BR53" i="120"/>
  <c r="BR54" i="120"/>
  <c r="BR55" i="120"/>
  <c r="BR56" i="120"/>
  <c r="BR373" i="120"/>
  <c r="BR57" i="120"/>
  <c r="BR58" i="120"/>
  <c r="BR59" i="120"/>
  <c r="BR60" i="120"/>
  <c r="BR61" i="120"/>
  <c r="BR62" i="120"/>
  <c r="BR63" i="120"/>
  <c r="BR64" i="120"/>
  <c r="BR65" i="120"/>
  <c r="BR66" i="120"/>
  <c r="BR390" i="120"/>
  <c r="BR67" i="120"/>
  <c r="BR374" i="120"/>
  <c r="BR395" i="120"/>
  <c r="BR68" i="120"/>
  <c r="BR69" i="120"/>
  <c r="BR24" i="120"/>
  <c r="BR375" i="120"/>
  <c r="BR408" i="120"/>
  <c r="BR409" i="120"/>
  <c r="BR407" i="120"/>
  <c r="BR21" i="120"/>
  <c r="BR70" i="120"/>
  <c r="BR406" i="120"/>
  <c r="BR23" i="120"/>
  <c r="BR71" i="120"/>
  <c r="BR6" i="120"/>
  <c r="BR72" i="120"/>
  <c r="BR73" i="120"/>
  <c r="BR74" i="120"/>
  <c r="BR75" i="120"/>
  <c r="BR76" i="120"/>
  <c r="BR77" i="120"/>
  <c r="BR78" i="120"/>
  <c r="BR79" i="120"/>
  <c r="BR80" i="120"/>
  <c r="BR81" i="120"/>
  <c r="BR82" i="120"/>
  <c r="BR83" i="120"/>
  <c r="BR84" i="120"/>
  <c r="BR85" i="120"/>
  <c r="BR86" i="120"/>
  <c r="BR87" i="120"/>
  <c r="BR88" i="120"/>
  <c r="BR89" i="120"/>
  <c r="BR90" i="120"/>
  <c r="BR91" i="120"/>
  <c r="BR92" i="120"/>
  <c r="BR93" i="120"/>
  <c r="BR94" i="120"/>
  <c r="BR95" i="120"/>
  <c r="BR96" i="120"/>
  <c r="BR97" i="120"/>
  <c r="BR98" i="120"/>
  <c r="BR99" i="120"/>
  <c r="BR100" i="120"/>
  <c r="BR101" i="120"/>
  <c r="BR102" i="120"/>
  <c r="BR103" i="120"/>
  <c r="BR104" i="120"/>
  <c r="BR105" i="120"/>
  <c r="BR106" i="120"/>
  <c r="BR107" i="120"/>
  <c r="BR108" i="120"/>
  <c r="BR109" i="120"/>
  <c r="BR110" i="120"/>
  <c r="BR111" i="120"/>
  <c r="BR112" i="120"/>
  <c r="BR113" i="120"/>
  <c r="BR114" i="120"/>
  <c r="BR115" i="120"/>
  <c r="BR116" i="120"/>
  <c r="BR117" i="120"/>
  <c r="BR118" i="120"/>
  <c r="BR119" i="120"/>
  <c r="BR120" i="120"/>
  <c r="BR121" i="120"/>
  <c r="BR122" i="120"/>
  <c r="BR123" i="120"/>
  <c r="BR124" i="120"/>
  <c r="BR125" i="120"/>
  <c r="BR126" i="120"/>
  <c r="BR127" i="120"/>
  <c r="BR128" i="120"/>
  <c r="BR129" i="120"/>
  <c r="BR130" i="120"/>
  <c r="BR131" i="120"/>
  <c r="BR132" i="120"/>
  <c r="BR133" i="120"/>
  <c r="BR134" i="120"/>
  <c r="BR135" i="120"/>
  <c r="BR136" i="120"/>
  <c r="BR137" i="120"/>
  <c r="BR138" i="120"/>
  <c r="BR139" i="120"/>
  <c r="BR140" i="120"/>
  <c r="BR141" i="120"/>
  <c r="BR142" i="120"/>
  <c r="BR143" i="120"/>
  <c r="BR144" i="120"/>
  <c r="BR145" i="120"/>
  <c r="BR146" i="120"/>
  <c r="BR147" i="120"/>
  <c r="BR148" i="120"/>
  <c r="BR149" i="120"/>
  <c r="BR150" i="120"/>
  <c r="BR151" i="120"/>
  <c r="BR152" i="120"/>
  <c r="BR153" i="120"/>
  <c r="BR154" i="120"/>
  <c r="BR155" i="120"/>
  <c r="BR156" i="120"/>
  <c r="BR157" i="120"/>
  <c r="BR158" i="120"/>
  <c r="BR159" i="120"/>
  <c r="BR160" i="120"/>
  <c r="BR161" i="120"/>
  <c r="BR162" i="120"/>
  <c r="BR163" i="120"/>
  <c r="BR164" i="120"/>
  <c r="BR165" i="120"/>
  <c r="BR166" i="120"/>
  <c r="BR167" i="120"/>
  <c r="BR168" i="120"/>
  <c r="BR169" i="120"/>
  <c r="BR170" i="120"/>
  <c r="BR399" i="120"/>
  <c r="BR171" i="120"/>
  <c r="BR172" i="120"/>
  <c r="BR173" i="120"/>
  <c r="BR174" i="120"/>
  <c r="BR175" i="120"/>
  <c r="BR176" i="120"/>
  <c r="BR177" i="120"/>
  <c r="BR178" i="120"/>
  <c r="BR179" i="120"/>
  <c r="BR180" i="120"/>
  <c r="BR181" i="120"/>
  <c r="BR182" i="120"/>
  <c r="BR183" i="120"/>
  <c r="BR184" i="120"/>
  <c r="BR185" i="120"/>
  <c r="BR186" i="120"/>
  <c r="BR187" i="120"/>
  <c r="BR188" i="120"/>
  <c r="BR189" i="120"/>
  <c r="BR190" i="120"/>
  <c r="BR191" i="120"/>
  <c r="BR192" i="120"/>
  <c r="BR193" i="120"/>
  <c r="BR194" i="120"/>
  <c r="BR195" i="120"/>
  <c r="BR11" i="120"/>
  <c r="BR196" i="120"/>
  <c r="BR197" i="120"/>
  <c r="BR198" i="120"/>
  <c r="BR199" i="120"/>
  <c r="BR200" i="120"/>
  <c r="BR201" i="120"/>
  <c r="BR202" i="120"/>
  <c r="BR203" i="120"/>
  <c r="BR204" i="120"/>
  <c r="BR205" i="120"/>
  <c r="BR394" i="120"/>
  <c r="BR206" i="120"/>
  <c r="BR207" i="120"/>
  <c r="BR208" i="120"/>
  <c r="BR209" i="120"/>
  <c r="BR210" i="120"/>
  <c r="BR211" i="120"/>
  <c r="BR391" i="120"/>
  <c r="BR212" i="120"/>
  <c r="BR213" i="120"/>
  <c r="BR214" i="120"/>
  <c r="BR215" i="120"/>
  <c r="BR216" i="120"/>
  <c r="BR217" i="120"/>
  <c r="BR218" i="120"/>
  <c r="BR219" i="120"/>
  <c r="BR220" i="120"/>
  <c r="BR221" i="120"/>
  <c r="BR222" i="120"/>
  <c r="BR223" i="120"/>
  <c r="BR224" i="120"/>
  <c r="BR225" i="120"/>
  <c r="BR226" i="120"/>
  <c r="BR227" i="120"/>
  <c r="BR228" i="120"/>
  <c r="BR229" i="120"/>
  <c r="BR230" i="120"/>
  <c r="BR231" i="120"/>
  <c r="BR232" i="120"/>
  <c r="BR233" i="120"/>
  <c r="BR234" i="120"/>
  <c r="BR235" i="120"/>
  <c r="BR236" i="120"/>
  <c r="BR237" i="120"/>
  <c r="BR238" i="120"/>
  <c r="BR20" i="120"/>
  <c r="BR239" i="120"/>
  <c r="BR240" i="120"/>
  <c r="BR241" i="120"/>
  <c r="BR242" i="120"/>
  <c r="BR243" i="120"/>
  <c r="BR244" i="120"/>
  <c r="BR245" i="120"/>
  <c r="BR17" i="120"/>
  <c r="BR246" i="120"/>
  <c r="BR247" i="120"/>
  <c r="BR248" i="120"/>
  <c r="BR249" i="120"/>
  <c r="BR26" i="120"/>
  <c r="BR250" i="120"/>
  <c r="BR386" i="120"/>
  <c r="BR251" i="120"/>
  <c r="BR252" i="120"/>
  <c r="BR253" i="120"/>
  <c r="BR254" i="120"/>
  <c r="BR255" i="120"/>
  <c r="BR256" i="120"/>
  <c r="BR385" i="120"/>
  <c r="BR257" i="120"/>
  <c r="BR258" i="120"/>
  <c r="BR259" i="120"/>
  <c r="BR260" i="120"/>
  <c r="BR261" i="120"/>
  <c r="BR15" i="120"/>
  <c r="BR404" i="120"/>
  <c r="BR262" i="120"/>
  <c r="BR263" i="120"/>
  <c r="BR264" i="120"/>
  <c r="BR265" i="120"/>
  <c r="BR266" i="120"/>
  <c r="BR267" i="120"/>
  <c r="BR268" i="120"/>
  <c r="BR269" i="120"/>
  <c r="BR270" i="120"/>
  <c r="BR271" i="120"/>
  <c r="BR272" i="120"/>
  <c r="BR273" i="120"/>
  <c r="BR387" i="120"/>
  <c r="BR274" i="120"/>
  <c r="BR275" i="120"/>
  <c r="BR276" i="120"/>
  <c r="BR277" i="120"/>
  <c r="BR278" i="120"/>
  <c r="BR279" i="120"/>
  <c r="BR280" i="120"/>
  <c r="BR281" i="120"/>
  <c r="BR282" i="120"/>
  <c r="BR283" i="120"/>
  <c r="BR284" i="120"/>
  <c r="BR285" i="120"/>
  <c r="BR286" i="120"/>
  <c r="BR287" i="120"/>
  <c r="BR288" i="120"/>
  <c r="BR289" i="120"/>
  <c r="BR290" i="120"/>
  <c r="BR291" i="120"/>
  <c r="BR292" i="120"/>
  <c r="BR293" i="120"/>
  <c r="BR294" i="120"/>
  <c r="BR295" i="120"/>
  <c r="BR296" i="120"/>
  <c r="BR297" i="120"/>
  <c r="BR7" i="120"/>
  <c r="BR298" i="120"/>
  <c r="BR384" i="120"/>
  <c r="BR299" i="120"/>
  <c r="BR389" i="120"/>
  <c r="BR300" i="120"/>
  <c r="BR301" i="120"/>
  <c r="BR302" i="120"/>
  <c r="BR303" i="120"/>
  <c r="BR304" i="120"/>
  <c r="BR305" i="120"/>
  <c r="BR5" i="120"/>
  <c r="BR28" i="120"/>
  <c r="BR306" i="120"/>
  <c r="BR307" i="120"/>
  <c r="BR308" i="120"/>
  <c r="BR309" i="120"/>
  <c r="BR310" i="120"/>
  <c r="BR311" i="120"/>
  <c r="BR312" i="120"/>
  <c r="BR313" i="120"/>
  <c r="BR314" i="120"/>
  <c r="BR315" i="120"/>
  <c r="BR316" i="120"/>
  <c r="BR317" i="120"/>
  <c r="BR318" i="120"/>
  <c r="BR319" i="120"/>
  <c r="BR388" i="120"/>
  <c r="BR320" i="120"/>
  <c r="BR321" i="120"/>
  <c r="BR402" i="120"/>
  <c r="BR393" i="120"/>
  <c r="BR400" i="120"/>
  <c r="BR322" i="120"/>
  <c r="BR382" i="120"/>
  <c r="BR323" i="120"/>
  <c r="BR324" i="120"/>
  <c r="BR325" i="120"/>
  <c r="BR326" i="120"/>
  <c r="BR327" i="120"/>
  <c r="BR328" i="120"/>
  <c r="BR329" i="120"/>
  <c r="BR396" i="120"/>
  <c r="BR392" i="120"/>
  <c r="BR398" i="120"/>
  <c r="BR330" i="120"/>
  <c r="BR401" i="120"/>
  <c r="BR380" i="120"/>
  <c r="BR331" i="120"/>
  <c r="BR332" i="120"/>
  <c r="BR19" i="120"/>
  <c r="BR333" i="120"/>
  <c r="BR381" i="120"/>
  <c r="BR334" i="120"/>
  <c r="BR335" i="120"/>
  <c r="BR336" i="120"/>
  <c r="BR337" i="120"/>
  <c r="BR338" i="120"/>
  <c r="BR339" i="120"/>
  <c r="BR340" i="120"/>
  <c r="BR341" i="120"/>
  <c r="BR403" i="120"/>
  <c r="BR342" i="120"/>
  <c r="BR343" i="120"/>
  <c r="BR344" i="120"/>
  <c r="BR345" i="120"/>
  <c r="BR346" i="120"/>
  <c r="BR347" i="120"/>
  <c r="BR348" i="120"/>
  <c r="BR349" i="120"/>
  <c r="BR350" i="120"/>
  <c r="BR351" i="120"/>
  <c r="BR383" i="120"/>
  <c r="BR352" i="120"/>
  <c r="BR353" i="120"/>
  <c r="BR397" i="120"/>
  <c r="BR379" i="120"/>
  <c r="BR378" i="120"/>
  <c r="BR405" i="120"/>
  <c r="BR354" i="120"/>
  <c r="BR8" i="120"/>
  <c r="BR355" i="120"/>
  <c r="BR9" i="120"/>
  <c r="BR357" i="120"/>
  <c r="BR13" i="120"/>
  <c r="BR377" i="120"/>
  <c r="BR16" i="120"/>
  <c r="BR14" i="120"/>
  <c r="BR12" i="120"/>
  <c r="AM363" i="120"/>
  <c r="EK372" i="120" l="1"/>
  <c r="AK363" i="120"/>
  <c r="EK351" i="120"/>
  <c r="CG70" i="120"/>
  <c r="CG68" i="120"/>
  <c r="CG63" i="120"/>
  <c r="CG56" i="120"/>
  <c r="CG50" i="120"/>
  <c r="CG42" i="120"/>
  <c r="CG34" i="120"/>
  <c r="CG408" i="120"/>
  <c r="CG59" i="120"/>
  <c r="CG46" i="120"/>
  <c r="CG30" i="120"/>
  <c r="CG71" i="120"/>
  <c r="CG375" i="120"/>
  <c r="CG58" i="120"/>
  <c r="CG45" i="120"/>
  <c r="AY363" i="120"/>
  <c r="EK20" i="120" l="1"/>
  <c r="CQ261" i="120"/>
  <c r="DC396" i="120"/>
  <c r="EF396" i="120" s="1"/>
  <c r="FK396" i="120" s="1"/>
  <c r="DN396" i="120"/>
  <c r="DL396" i="120" s="1"/>
  <c r="DK382" i="120"/>
  <c r="EF382" i="120" s="1"/>
  <c r="FK382" i="120" s="1"/>
  <c r="CY382" i="120"/>
  <c r="CU322" i="120"/>
  <c r="CQ322" i="120"/>
  <c r="EE322" i="120" s="1"/>
  <c r="FJ322" i="120" s="1"/>
  <c r="DC400" i="120"/>
  <c r="EF400" i="120" s="1"/>
  <c r="FK400" i="120" s="1"/>
  <c r="CY400" i="120"/>
  <c r="EE400" i="120" s="1"/>
  <c r="FJ400" i="120" s="1"/>
  <c r="DG393" i="120"/>
  <c r="DN393" i="120"/>
  <c r="DL393" i="120" s="1"/>
  <c r="BO393" i="120" l="1"/>
  <c r="EF393" i="120"/>
  <c r="FK393" i="120" s="1"/>
  <c r="BO261" i="120"/>
  <c r="EE261" i="120"/>
  <c r="FJ261" i="120" s="1"/>
  <c r="BO382" i="120"/>
  <c r="EE382" i="120"/>
  <c r="FJ382" i="120" s="1"/>
  <c r="BO396" i="120"/>
  <c r="BO400" i="120"/>
  <c r="BO322" i="120"/>
  <c r="DZ396" i="120"/>
  <c r="EK408" i="120"/>
  <c r="DZ393" i="120"/>
  <c r="DC175" i="120"/>
  <c r="BO175" i="120" l="1"/>
  <c r="EF175" i="120"/>
  <c r="FK175" i="120" s="1"/>
  <c r="EK392" i="120"/>
  <c r="EK393" i="120"/>
  <c r="EK322" i="120"/>
  <c r="EK203" i="120"/>
  <c r="EK382" i="120"/>
  <c r="EK396" i="120"/>
  <c r="EK400" i="120"/>
  <c r="EK261" i="120"/>
  <c r="DZ103" i="120"/>
  <c r="DZ221" i="120"/>
  <c r="DZ274" i="120"/>
  <c r="EK399" i="120" l="1"/>
  <c r="EK404" i="120"/>
  <c r="EK175" i="120"/>
  <c r="EK394" i="120"/>
  <c r="EK17" i="120"/>
  <c r="DN13" i="120"/>
  <c r="DL13" i="120" s="1"/>
  <c r="DZ13" i="120" s="1"/>
  <c r="AX2" i="120"/>
  <c r="AF14" i="146" l="1"/>
  <c r="U41" i="149" l="1"/>
  <c r="S41" i="149" s="1"/>
  <c r="DC5" i="149" l="1"/>
  <c r="EH29" i="120"/>
  <c r="U40" i="149" l="1"/>
  <c r="S40" i="149" s="1"/>
  <c r="S38" i="149"/>
  <c r="U39" i="149"/>
  <c r="S39" i="149" s="1"/>
  <c r="AF13" i="146"/>
  <c r="AY329" i="120" l="1"/>
  <c r="AY264" i="120"/>
  <c r="AY391" i="120"/>
  <c r="AY147" i="120"/>
  <c r="AY83" i="120"/>
  <c r="AY372" i="120"/>
  <c r="AY366" i="120"/>
  <c r="AY14" i="120"/>
  <c r="AY8" i="120"/>
  <c r="AY383" i="120"/>
  <c r="AY403" i="120"/>
  <c r="AY381" i="120"/>
  <c r="AY328" i="120"/>
  <c r="AY388" i="120"/>
  <c r="AY311" i="120"/>
  <c r="AY302" i="120"/>
  <c r="AY295" i="120"/>
  <c r="AY287" i="120"/>
  <c r="AY279" i="120"/>
  <c r="AY272" i="120"/>
  <c r="AY263" i="120"/>
  <c r="AY255" i="120"/>
  <c r="AY249" i="120"/>
  <c r="AY242" i="120"/>
  <c r="AY234" i="120"/>
  <c r="AY226" i="120"/>
  <c r="AY218" i="120"/>
  <c r="AY211" i="120"/>
  <c r="AY202" i="120"/>
  <c r="AY195" i="120"/>
  <c r="AY187" i="120"/>
  <c r="AY179" i="120"/>
  <c r="AY170" i="120"/>
  <c r="AY162" i="120"/>
  <c r="AY154" i="120"/>
  <c r="AY146" i="120"/>
  <c r="AY138" i="120"/>
  <c r="AY130" i="120"/>
  <c r="AY122" i="120"/>
  <c r="AY114" i="120"/>
  <c r="AY106" i="120"/>
  <c r="AY98" i="120"/>
  <c r="AY90" i="120"/>
  <c r="AY82" i="120"/>
  <c r="AY74" i="120"/>
  <c r="AY407" i="120"/>
  <c r="AY66" i="120"/>
  <c r="AY58" i="120"/>
  <c r="AY50" i="120"/>
  <c r="AY42" i="120"/>
  <c r="AY34" i="120"/>
  <c r="AY342" i="120"/>
  <c r="AY288" i="120"/>
  <c r="AY227" i="120"/>
  <c r="AY171" i="120"/>
  <c r="AY115" i="120"/>
  <c r="AY75" i="120"/>
  <c r="AY67" i="120"/>
  <c r="AY51" i="120"/>
  <c r="AY364" i="120"/>
  <c r="AY16" i="120"/>
  <c r="AY354" i="120"/>
  <c r="AY349" i="120"/>
  <c r="AY341" i="120"/>
  <c r="AY333" i="120"/>
  <c r="AY327" i="120"/>
  <c r="AY319" i="120"/>
  <c r="AY310" i="120"/>
  <c r="AY301" i="120"/>
  <c r="AY294" i="120"/>
  <c r="AY286" i="120"/>
  <c r="AY278" i="120"/>
  <c r="AY271" i="120"/>
  <c r="AY262" i="120"/>
  <c r="AY254" i="120"/>
  <c r="AY248" i="120"/>
  <c r="AY241" i="120"/>
  <c r="AY233" i="120"/>
  <c r="AY225" i="120"/>
  <c r="AY217" i="120"/>
  <c r="AY210" i="120"/>
  <c r="AY201" i="120"/>
  <c r="AY194" i="120"/>
  <c r="AY186" i="120"/>
  <c r="AY178" i="120"/>
  <c r="AY169" i="120"/>
  <c r="AY161" i="120"/>
  <c r="AY153" i="120"/>
  <c r="AY145" i="120"/>
  <c r="AY137" i="120"/>
  <c r="AY129" i="120"/>
  <c r="AY121" i="120"/>
  <c r="AY113" i="120"/>
  <c r="AY105" i="120"/>
  <c r="AY97" i="120"/>
  <c r="AY89" i="120"/>
  <c r="AY81" i="120"/>
  <c r="AY73" i="120"/>
  <c r="AY409" i="120"/>
  <c r="AY65" i="120"/>
  <c r="AY57" i="120"/>
  <c r="AY49" i="120"/>
  <c r="AY41" i="120"/>
  <c r="AY33" i="120"/>
  <c r="AY352" i="120"/>
  <c r="AY280" i="120"/>
  <c r="AY235" i="120"/>
  <c r="AY180" i="120"/>
  <c r="AY131" i="120"/>
  <c r="AY70" i="120"/>
  <c r="AY59" i="120"/>
  <c r="AY43" i="120"/>
  <c r="AY371" i="120"/>
  <c r="AY362" i="120"/>
  <c r="AY13" i="120"/>
  <c r="AY405" i="120"/>
  <c r="AY348" i="120"/>
  <c r="AY340" i="120"/>
  <c r="AY332" i="120"/>
  <c r="AY326" i="120"/>
  <c r="AY318" i="120"/>
  <c r="AY308" i="120"/>
  <c r="AY389" i="120"/>
  <c r="AY293" i="120"/>
  <c r="AY285" i="120"/>
  <c r="AY277" i="120"/>
  <c r="AY270" i="120"/>
  <c r="AY260" i="120"/>
  <c r="AY253" i="120"/>
  <c r="AY247" i="120"/>
  <c r="AY240" i="120"/>
  <c r="AY232" i="120"/>
  <c r="AY224" i="120"/>
  <c r="AY216" i="120"/>
  <c r="AY209" i="120"/>
  <c r="AY200" i="120"/>
  <c r="AY193" i="120"/>
  <c r="AY185" i="120"/>
  <c r="AY177" i="120"/>
  <c r="AY168" i="120"/>
  <c r="AY160" i="120"/>
  <c r="AY152" i="120"/>
  <c r="AY144" i="120"/>
  <c r="AY136" i="120"/>
  <c r="AY128" i="120"/>
  <c r="AY120" i="120"/>
  <c r="AY112" i="120"/>
  <c r="AY104" i="120"/>
  <c r="AY96" i="120"/>
  <c r="AY88" i="120"/>
  <c r="AY80" i="120"/>
  <c r="AY72" i="120"/>
  <c r="AY375" i="120"/>
  <c r="AY64" i="120"/>
  <c r="AY56" i="120"/>
  <c r="AY48" i="120"/>
  <c r="AY40" i="120"/>
  <c r="AY32" i="120"/>
  <c r="AY334" i="120"/>
  <c r="AY296" i="120"/>
  <c r="AY243" i="120"/>
  <c r="AY188" i="120"/>
  <c r="AY123" i="120"/>
  <c r="AY35" i="120"/>
  <c r="AY370" i="120"/>
  <c r="AY369" i="120"/>
  <c r="AY361" i="120"/>
  <c r="AY357" i="120"/>
  <c r="AY378" i="120"/>
  <c r="AY347" i="120"/>
  <c r="AY339" i="120"/>
  <c r="AY331" i="120"/>
  <c r="AY325" i="120"/>
  <c r="AY316" i="120"/>
  <c r="AY307" i="120"/>
  <c r="AY299" i="120"/>
  <c r="AY292" i="120"/>
  <c r="AY284" i="120"/>
  <c r="AY276" i="120"/>
  <c r="AY269" i="120"/>
  <c r="AY259" i="120"/>
  <c r="AY252" i="120"/>
  <c r="AY246" i="120"/>
  <c r="AY239" i="120"/>
  <c r="AY231" i="120"/>
  <c r="AY223" i="120"/>
  <c r="AY215" i="120"/>
  <c r="AY208" i="120"/>
  <c r="AY199" i="120"/>
  <c r="AY192" i="120"/>
  <c r="AY184" i="120"/>
  <c r="AY176" i="120"/>
  <c r="AY167" i="120"/>
  <c r="AY159" i="120"/>
  <c r="AY151" i="120"/>
  <c r="AY143" i="120"/>
  <c r="AY135" i="120"/>
  <c r="AY127" i="120"/>
  <c r="AY119" i="120"/>
  <c r="AY111" i="120"/>
  <c r="AY103" i="120"/>
  <c r="AY95" i="120"/>
  <c r="AY87" i="120"/>
  <c r="AY79" i="120"/>
  <c r="AY6" i="120"/>
  <c r="AY24" i="120"/>
  <c r="AY63" i="120"/>
  <c r="AY55" i="120"/>
  <c r="AY47" i="120"/>
  <c r="AY39" i="120"/>
  <c r="AY31" i="120"/>
  <c r="AY12" i="120"/>
  <c r="AY303" i="120"/>
  <c r="AY26" i="120"/>
  <c r="AY11" i="120"/>
  <c r="AY155" i="120"/>
  <c r="AY91" i="120"/>
  <c r="AY376" i="120"/>
  <c r="AY360" i="120"/>
  <c r="AY9" i="120"/>
  <c r="AY379" i="120"/>
  <c r="AY346" i="120"/>
  <c r="AY338" i="120"/>
  <c r="AY330" i="120"/>
  <c r="AY324" i="120"/>
  <c r="AY315" i="120"/>
  <c r="AY306" i="120"/>
  <c r="AY384" i="120"/>
  <c r="AY291" i="120"/>
  <c r="AY283" i="120"/>
  <c r="AY275" i="120"/>
  <c r="AY268" i="120"/>
  <c r="AY258" i="120"/>
  <c r="AY251" i="120"/>
  <c r="AY17" i="120"/>
  <c r="AY238" i="120"/>
  <c r="AY230" i="120"/>
  <c r="AY222" i="120"/>
  <c r="AY214" i="120"/>
  <c r="AY207" i="120"/>
  <c r="AY198" i="120"/>
  <c r="AY191" i="120"/>
  <c r="AY183" i="120"/>
  <c r="AY174" i="120"/>
  <c r="AY166" i="120"/>
  <c r="AY158" i="120"/>
  <c r="AY150" i="120"/>
  <c r="AY142" i="120"/>
  <c r="AY134" i="120"/>
  <c r="AY126" i="120"/>
  <c r="AY118" i="120"/>
  <c r="AY110" i="120"/>
  <c r="AY102" i="120"/>
  <c r="AY94" i="120"/>
  <c r="AY86" i="120"/>
  <c r="AY78" i="120"/>
  <c r="AY71" i="120"/>
  <c r="AY69" i="120"/>
  <c r="AY62" i="120"/>
  <c r="AY54" i="120"/>
  <c r="AY46" i="120"/>
  <c r="AY38" i="120"/>
  <c r="AY30" i="120"/>
  <c r="AY365" i="120"/>
  <c r="AY320" i="120"/>
  <c r="AY273" i="120"/>
  <c r="AY219" i="120"/>
  <c r="AY163" i="120"/>
  <c r="AY107" i="120"/>
  <c r="AY368" i="120"/>
  <c r="AY359" i="120"/>
  <c r="AY356" i="120"/>
  <c r="AY397" i="120"/>
  <c r="AY344" i="120"/>
  <c r="AY336" i="120"/>
  <c r="AY398" i="120"/>
  <c r="AY323" i="120"/>
  <c r="AY314" i="120"/>
  <c r="AY305" i="120"/>
  <c r="AY298" i="120"/>
  <c r="AY290" i="120"/>
  <c r="AY282" i="120"/>
  <c r="AY274" i="120"/>
  <c r="AY267" i="120"/>
  <c r="AY257" i="120"/>
  <c r="AY386" i="120"/>
  <c r="AY245" i="120"/>
  <c r="AY237" i="120"/>
  <c r="AY229" i="120"/>
  <c r="AY221" i="120"/>
  <c r="AY213" i="120"/>
  <c r="AY206" i="120"/>
  <c r="AY197" i="120"/>
  <c r="AY190" i="120"/>
  <c r="AY182" i="120"/>
  <c r="AY173" i="120"/>
  <c r="AY165" i="120"/>
  <c r="AY157" i="120"/>
  <c r="AY149" i="120"/>
  <c r="AY141" i="120"/>
  <c r="AY133" i="120"/>
  <c r="AY125" i="120"/>
  <c r="AY117" i="120"/>
  <c r="AY109" i="120"/>
  <c r="AY101" i="120"/>
  <c r="AY93" i="120"/>
  <c r="AY85" i="120"/>
  <c r="AY77" i="120"/>
  <c r="AY23" i="120"/>
  <c r="AY68" i="120"/>
  <c r="AY61" i="120"/>
  <c r="AY53" i="120"/>
  <c r="AY45" i="120"/>
  <c r="AY37" i="120"/>
  <c r="AY25" i="120"/>
  <c r="AY312" i="120"/>
  <c r="AY256" i="120"/>
  <c r="AY204" i="120"/>
  <c r="AY139" i="120"/>
  <c r="AY99" i="120"/>
  <c r="AY367" i="120"/>
  <c r="AY358" i="120"/>
  <c r="AY355" i="120"/>
  <c r="AY353" i="120"/>
  <c r="AY343" i="120"/>
  <c r="AY335" i="120"/>
  <c r="AY392" i="120"/>
  <c r="AY321" i="120"/>
  <c r="AY313" i="120"/>
  <c r="AY304" i="120"/>
  <c r="AY297" i="120"/>
  <c r="AY289" i="120"/>
  <c r="AY281" i="120"/>
  <c r="AY387" i="120"/>
  <c r="AY265" i="120"/>
  <c r="AY385" i="120"/>
  <c r="AY250" i="120"/>
  <c r="AY244" i="120"/>
  <c r="AY236" i="120"/>
  <c r="AY228" i="120"/>
  <c r="AY220" i="120"/>
  <c r="AY212" i="120"/>
  <c r="AY205" i="120"/>
  <c r="AY196" i="120"/>
  <c r="AY189" i="120"/>
  <c r="AY181" i="120"/>
  <c r="AY172" i="120"/>
  <c r="AY164" i="120"/>
  <c r="AY156" i="120"/>
  <c r="AY148" i="120"/>
  <c r="AY140" i="120"/>
  <c r="AY132" i="120"/>
  <c r="AY124" i="120"/>
  <c r="AY116" i="120"/>
  <c r="AY108" i="120"/>
  <c r="AY100" i="120"/>
  <c r="AY92" i="120"/>
  <c r="AY84" i="120"/>
  <c r="AY76" i="120"/>
  <c r="AY406" i="120"/>
  <c r="AY374" i="120"/>
  <c r="AY60" i="120"/>
  <c r="AY52" i="120"/>
  <c r="AY44" i="120"/>
  <c r="AY36" i="120"/>
  <c r="DN11" i="120"/>
  <c r="DL11" i="120" s="1"/>
  <c r="DZ11" i="120" l="1"/>
  <c r="DN350" i="120"/>
  <c r="DL350" i="120" s="1"/>
  <c r="DK7" i="120"/>
  <c r="BO7" i="120" l="1"/>
  <c r="EF7" i="120"/>
  <c r="FK7" i="120" s="1"/>
  <c r="DZ350" i="120"/>
  <c r="EK350" i="120" l="1"/>
  <c r="EK7" i="120"/>
  <c r="EK5" i="120"/>
  <c r="AY10" i="120"/>
  <c r="AY350" i="120"/>
  <c r="AY390" i="120"/>
  <c r="AY395" i="120"/>
  <c r="AY5" i="120"/>
  <c r="AY7" i="120"/>
  <c r="CQ317" i="120"/>
  <c r="BO317" i="120" l="1"/>
  <c r="EE317" i="120"/>
  <c r="FJ317" i="120" s="1"/>
  <c r="BU95" i="113"/>
  <c r="BV95" i="113"/>
  <c r="AY18" i="120"/>
  <c r="AY337" i="120"/>
  <c r="DK345" i="120"/>
  <c r="DG345" i="120"/>
  <c r="BO345" i="120" l="1"/>
  <c r="EF345" i="120"/>
  <c r="FK345" i="120" s="1"/>
  <c r="EK317" i="120"/>
  <c r="AY317" i="120"/>
  <c r="AY19" i="120"/>
  <c r="CQ300" i="120"/>
  <c r="BO300" i="120" l="1"/>
  <c r="EE300" i="120"/>
  <c r="FJ300" i="120" s="1"/>
  <c r="EK345" i="120"/>
  <c r="AY404" i="120"/>
  <c r="AY351" i="120"/>
  <c r="AY20" i="120"/>
  <c r="AY345" i="120"/>
  <c r="K236" i="60"/>
  <c r="K235" i="60"/>
  <c r="EK300" i="120" l="1"/>
  <c r="AY394" i="120"/>
  <c r="AY300" i="120"/>
  <c r="AY399" i="120"/>
  <c r="AY175" i="120"/>
  <c r="K234" i="60" l="1"/>
  <c r="CP12" i="146"/>
  <c r="CQ12" i="146"/>
  <c r="CR12" i="146"/>
  <c r="CS12" i="146"/>
  <c r="CT12" i="146"/>
  <c r="CU12" i="146"/>
  <c r="CV12" i="146"/>
  <c r="CW12" i="146"/>
  <c r="AF12" i="146"/>
  <c r="U33" i="149"/>
  <c r="S33" i="149" s="1"/>
  <c r="U34" i="149"/>
  <c r="S34" i="149" s="1"/>
  <c r="U35" i="149"/>
  <c r="S35" i="149" s="1"/>
  <c r="U36" i="149"/>
  <c r="S36" i="149" s="1"/>
  <c r="U37" i="149"/>
  <c r="S37" i="149" s="1"/>
  <c r="BU158" i="113" l="1"/>
  <c r="BV158" i="113"/>
  <c r="EK401" i="120"/>
  <c r="EK380" i="120"/>
  <c r="EK15" i="120"/>
  <c r="AY401" i="120"/>
  <c r="AY396" i="120"/>
  <c r="AY261" i="120"/>
  <c r="AY15" i="120"/>
  <c r="AY400" i="120"/>
  <c r="AY402" i="120"/>
  <c r="AY203" i="120"/>
  <c r="AY322" i="120"/>
  <c r="AY408" i="120"/>
  <c r="AY380" i="120"/>
  <c r="AY382" i="120"/>
  <c r="AY393" i="120"/>
  <c r="EM1" i="120"/>
  <c r="EN1" i="120"/>
  <c r="EO1" i="120"/>
  <c r="EP1" i="120"/>
  <c r="EQ1" i="120"/>
  <c r="ER1" i="120"/>
  <c r="ES1" i="120"/>
  <c r="ET1" i="120"/>
  <c r="EU1" i="120"/>
  <c r="EV1" i="120"/>
  <c r="EW1" i="120"/>
  <c r="EX1" i="120"/>
  <c r="EL1" i="120" l="1"/>
  <c r="K233" i="60"/>
  <c r="DN355" i="120"/>
  <c r="DL355" i="120" s="1"/>
  <c r="DZ355" i="120" l="1"/>
  <c r="DN17" i="120"/>
  <c r="DL17" i="120" s="1"/>
  <c r="DK266" i="120"/>
  <c r="DG266" i="120"/>
  <c r="DC266" i="120"/>
  <c r="DN266" i="120"/>
  <c r="DL266" i="120" s="1"/>
  <c r="BO266" i="120" l="1"/>
  <c r="EF266" i="120"/>
  <c r="FK266" i="120" s="1"/>
  <c r="DZ17" i="120"/>
  <c r="DZ266" i="120"/>
  <c r="EK266" i="120" l="1"/>
  <c r="AY266" i="120"/>
  <c r="EK377" i="120" l="1"/>
  <c r="AY377" i="120"/>
  <c r="BE3" i="120"/>
  <c r="EK21" i="120" l="1"/>
  <c r="AY21" i="120"/>
  <c r="BC1" i="120"/>
  <c r="BD1" i="120"/>
  <c r="BE1" i="120"/>
  <c r="BF1" i="120"/>
  <c r="BG1" i="120"/>
  <c r="BH1" i="120"/>
  <c r="BI1" i="120"/>
  <c r="BJ1" i="120"/>
  <c r="BK1" i="120"/>
  <c r="BL1" i="120"/>
  <c r="BM1" i="120"/>
  <c r="BN1" i="120"/>
  <c r="BB30" i="120"/>
  <c r="EG30" i="120" s="1"/>
  <c r="BB31" i="120"/>
  <c r="EG31" i="120" s="1"/>
  <c r="BB32" i="120"/>
  <c r="EG32" i="120" s="1"/>
  <c r="BB33" i="120"/>
  <c r="EG33" i="120" s="1"/>
  <c r="BB34" i="120"/>
  <c r="EG34" i="120" s="1"/>
  <c r="BB35" i="120"/>
  <c r="EG35" i="120" s="1"/>
  <c r="BB36" i="120"/>
  <c r="EG36" i="120" s="1"/>
  <c r="BB37" i="120"/>
  <c r="EG37" i="120" s="1"/>
  <c r="BB38" i="120"/>
  <c r="EG38" i="120" s="1"/>
  <c r="BB39" i="120"/>
  <c r="EG39" i="120" s="1"/>
  <c r="BB40" i="120"/>
  <c r="EG40" i="120" s="1"/>
  <c r="BB41" i="120"/>
  <c r="EG41" i="120" s="1"/>
  <c r="BB42" i="120"/>
  <c r="EG42" i="120" s="1"/>
  <c r="BB43" i="120"/>
  <c r="EG43" i="120" s="1"/>
  <c r="BB44" i="120"/>
  <c r="EG44" i="120" s="1"/>
  <c r="BB45" i="120"/>
  <c r="EG45" i="120" s="1"/>
  <c r="BB46" i="120"/>
  <c r="EG46" i="120" s="1"/>
  <c r="BB47" i="120"/>
  <c r="EG47" i="120" s="1"/>
  <c r="BB48" i="120"/>
  <c r="EG48" i="120" s="1"/>
  <c r="BB49" i="120"/>
  <c r="EG49" i="120" s="1"/>
  <c r="BB50" i="120"/>
  <c r="EG50" i="120" s="1"/>
  <c r="BB51" i="120"/>
  <c r="EG51" i="120" s="1"/>
  <c r="BB10" i="120"/>
  <c r="EG10" i="120" s="1"/>
  <c r="BB52" i="120"/>
  <c r="EG52" i="120" s="1"/>
  <c r="BB18" i="120"/>
  <c r="EG18" i="120" s="1"/>
  <c r="BB53" i="120"/>
  <c r="EG53" i="120" s="1"/>
  <c r="BB54" i="120"/>
  <c r="EG54" i="120" s="1"/>
  <c r="BB55" i="120"/>
  <c r="EG55" i="120" s="1"/>
  <c r="BB56" i="120"/>
  <c r="EG56" i="120" s="1"/>
  <c r="BB373" i="120"/>
  <c r="BB57" i="120"/>
  <c r="EG57" i="120" s="1"/>
  <c r="BB58" i="120"/>
  <c r="EG58" i="120" s="1"/>
  <c r="BB59" i="120"/>
  <c r="EG59" i="120" s="1"/>
  <c r="BB60" i="120"/>
  <c r="EG60" i="120" s="1"/>
  <c r="BB61" i="120"/>
  <c r="EG61" i="120" s="1"/>
  <c r="BB62" i="120"/>
  <c r="EG62" i="120" s="1"/>
  <c r="BB63" i="120"/>
  <c r="EG63" i="120" s="1"/>
  <c r="BB64" i="120"/>
  <c r="EG64" i="120" s="1"/>
  <c r="BB65" i="120"/>
  <c r="EG65" i="120" s="1"/>
  <c r="BB66" i="120"/>
  <c r="EG66" i="120" s="1"/>
  <c r="BB390" i="120"/>
  <c r="EG390" i="120" s="1"/>
  <c r="BB67" i="120"/>
  <c r="EG67" i="120" s="1"/>
  <c r="BB374" i="120"/>
  <c r="EG374" i="120" s="1"/>
  <c r="BB395" i="120"/>
  <c r="EG395" i="120" s="1"/>
  <c r="BB68" i="120"/>
  <c r="EG68" i="120" s="1"/>
  <c r="BB69" i="120"/>
  <c r="EG69" i="120" s="1"/>
  <c r="BB24" i="120"/>
  <c r="EG24" i="120" s="1"/>
  <c r="BB375" i="120"/>
  <c r="EG375" i="120" s="1"/>
  <c r="BB408" i="120"/>
  <c r="EG408" i="120" s="1"/>
  <c r="BB409" i="120"/>
  <c r="EG409" i="120" s="1"/>
  <c r="BB407" i="120"/>
  <c r="EG407" i="120" s="1"/>
  <c r="BB21" i="120"/>
  <c r="EG21" i="120" s="1"/>
  <c r="BB70" i="120"/>
  <c r="EG70" i="120" s="1"/>
  <c r="BB406" i="120"/>
  <c r="EG406" i="120" s="1"/>
  <c r="BB23" i="120"/>
  <c r="EG23" i="120" s="1"/>
  <c r="BB71" i="120"/>
  <c r="EG71" i="120" s="1"/>
  <c r="BB6" i="120"/>
  <c r="EG6" i="120" s="1"/>
  <c r="BB72" i="120"/>
  <c r="EG72" i="120" s="1"/>
  <c r="BB73" i="120"/>
  <c r="EG73" i="120" s="1"/>
  <c r="BB74" i="120"/>
  <c r="EG74" i="120" s="1"/>
  <c r="BB75" i="120"/>
  <c r="EG75" i="120" s="1"/>
  <c r="BB76" i="120"/>
  <c r="EG76" i="120" s="1"/>
  <c r="BB77" i="120"/>
  <c r="EG77" i="120" s="1"/>
  <c r="BB78" i="120"/>
  <c r="EG78" i="120" s="1"/>
  <c r="BB79" i="120"/>
  <c r="EG79" i="120" s="1"/>
  <c r="BB80" i="120"/>
  <c r="EG80" i="120" s="1"/>
  <c r="BB81" i="120"/>
  <c r="EG81" i="120" s="1"/>
  <c r="BB82" i="120"/>
  <c r="EG82" i="120" s="1"/>
  <c r="BB83" i="120"/>
  <c r="EG83" i="120" s="1"/>
  <c r="BB84" i="120"/>
  <c r="EG84" i="120" s="1"/>
  <c r="BB85" i="120"/>
  <c r="EG85" i="120" s="1"/>
  <c r="BB86" i="120"/>
  <c r="EG86" i="120" s="1"/>
  <c r="BB87" i="120"/>
  <c r="EG87" i="120" s="1"/>
  <c r="BB88" i="120"/>
  <c r="EG88" i="120" s="1"/>
  <c r="BB89" i="120"/>
  <c r="EG89" i="120" s="1"/>
  <c r="BB90" i="120"/>
  <c r="EG90" i="120" s="1"/>
  <c r="BB91" i="120"/>
  <c r="EG91" i="120" s="1"/>
  <c r="BB92" i="120"/>
  <c r="EG92" i="120" s="1"/>
  <c r="BB93" i="120"/>
  <c r="EG93" i="120" s="1"/>
  <c r="BB94" i="120"/>
  <c r="EG94" i="120" s="1"/>
  <c r="BB95" i="120"/>
  <c r="EG95" i="120" s="1"/>
  <c r="BB96" i="120"/>
  <c r="EG96" i="120" s="1"/>
  <c r="BB97" i="120"/>
  <c r="EG97" i="120" s="1"/>
  <c r="BB98" i="120"/>
  <c r="EG98" i="120" s="1"/>
  <c r="BB99" i="120"/>
  <c r="EG99" i="120" s="1"/>
  <c r="BB100" i="120"/>
  <c r="EG100" i="120" s="1"/>
  <c r="BB101" i="120"/>
  <c r="EG101" i="120" s="1"/>
  <c r="BB102" i="120"/>
  <c r="EG102" i="120" s="1"/>
  <c r="BB103" i="120"/>
  <c r="EG103" i="120" s="1"/>
  <c r="BB104" i="120"/>
  <c r="EG104" i="120" s="1"/>
  <c r="BB105" i="120"/>
  <c r="EG105" i="120" s="1"/>
  <c r="BB106" i="120"/>
  <c r="EG106" i="120" s="1"/>
  <c r="BB107" i="120"/>
  <c r="EG107" i="120" s="1"/>
  <c r="BB108" i="120"/>
  <c r="EG108" i="120" s="1"/>
  <c r="BB109" i="120"/>
  <c r="EG109" i="120" s="1"/>
  <c r="BB110" i="120"/>
  <c r="EG110" i="120" s="1"/>
  <c r="BB111" i="120"/>
  <c r="EG111" i="120" s="1"/>
  <c r="BB112" i="120"/>
  <c r="EG112" i="120" s="1"/>
  <c r="BB113" i="120"/>
  <c r="EG113" i="120" s="1"/>
  <c r="BB114" i="120"/>
  <c r="EG114" i="120" s="1"/>
  <c r="BB115" i="120"/>
  <c r="EG115" i="120" s="1"/>
  <c r="BB116" i="120"/>
  <c r="EG116" i="120" s="1"/>
  <c r="BB117" i="120"/>
  <c r="EG117" i="120" s="1"/>
  <c r="BB118" i="120"/>
  <c r="EG118" i="120" s="1"/>
  <c r="BB119" i="120"/>
  <c r="EG119" i="120" s="1"/>
  <c r="BB120" i="120"/>
  <c r="EG120" i="120" s="1"/>
  <c r="BB121" i="120"/>
  <c r="EG121" i="120" s="1"/>
  <c r="BB122" i="120"/>
  <c r="EG122" i="120" s="1"/>
  <c r="BB123" i="120"/>
  <c r="EG123" i="120" s="1"/>
  <c r="BB124" i="120"/>
  <c r="EG124" i="120" s="1"/>
  <c r="BB125" i="120"/>
  <c r="EG125" i="120" s="1"/>
  <c r="BB126" i="120"/>
  <c r="EG126" i="120" s="1"/>
  <c r="BB127" i="120"/>
  <c r="EG127" i="120" s="1"/>
  <c r="BB128" i="120"/>
  <c r="EG128" i="120" s="1"/>
  <c r="BB129" i="120"/>
  <c r="EG129" i="120" s="1"/>
  <c r="BB130" i="120"/>
  <c r="EG130" i="120" s="1"/>
  <c r="BB131" i="120"/>
  <c r="EG131" i="120" s="1"/>
  <c r="BB132" i="120"/>
  <c r="EG132" i="120" s="1"/>
  <c r="BB133" i="120"/>
  <c r="EG133" i="120" s="1"/>
  <c r="BB134" i="120"/>
  <c r="EG134" i="120" s="1"/>
  <c r="BB135" i="120"/>
  <c r="EG135" i="120" s="1"/>
  <c r="BB136" i="120"/>
  <c r="EG136" i="120" s="1"/>
  <c r="BB137" i="120"/>
  <c r="EG137" i="120" s="1"/>
  <c r="BB138" i="120"/>
  <c r="EG138" i="120" s="1"/>
  <c r="BB139" i="120"/>
  <c r="EG139" i="120" s="1"/>
  <c r="BB140" i="120"/>
  <c r="EG140" i="120" s="1"/>
  <c r="BB141" i="120"/>
  <c r="EG141" i="120" s="1"/>
  <c r="BB142" i="120"/>
  <c r="EG142" i="120" s="1"/>
  <c r="BB143" i="120"/>
  <c r="EG143" i="120" s="1"/>
  <c r="BB144" i="120"/>
  <c r="EG144" i="120" s="1"/>
  <c r="BB145" i="120"/>
  <c r="EG145" i="120" s="1"/>
  <c r="BB146" i="120"/>
  <c r="EG146" i="120" s="1"/>
  <c r="BB147" i="120"/>
  <c r="EG147" i="120" s="1"/>
  <c r="BB148" i="120"/>
  <c r="EG148" i="120" s="1"/>
  <c r="BB149" i="120"/>
  <c r="EG149" i="120" s="1"/>
  <c r="BB150" i="120"/>
  <c r="EG150" i="120" s="1"/>
  <c r="BB151" i="120"/>
  <c r="EG151" i="120" s="1"/>
  <c r="BB152" i="120"/>
  <c r="EG152" i="120" s="1"/>
  <c r="BB153" i="120"/>
  <c r="EG153" i="120" s="1"/>
  <c r="BB154" i="120"/>
  <c r="EG154" i="120" s="1"/>
  <c r="BB155" i="120"/>
  <c r="EG155" i="120" s="1"/>
  <c r="BB156" i="120"/>
  <c r="EG156" i="120" s="1"/>
  <c r="BB157" i="120"/>
  <c r="EG157" i="120" s="1"/>
  <c r="BB158" i="120"/>
  <c r="EG158" i="120" s="1"/>
  <c r="BB159" i="120"/>
  <c r="EG159" i="120" s="1"/>
  <c r="BB160" i="120"/>
  <c r="EG160" i="120" s="1"/>
  <c r="BB161" i="120"/>
  <c r="EG161" i="120" s="1"/>
  <c r="BB162" i="120"/>
  <c r="EG162" i="120" s="1"/>
  <c r="BB163" i="120"/>
  <c r="EG163" i="120" s="1"/>
  <c r="BB164" i="120"/>
  <c r="EG164" i="120" s="1"/>
  <c r="BB165" i="120"/>
  <c r="EG165" i="120" s="1"/>
  <c r="BB166" i="120"/>
  <c r="EG166" i="120" s="1"/>
  <c r="BB167" i="120"/>
  <c r="EG167" i="120" s="1"/>
  <c r="BB168" i="120"/>
  <c r="EG168" i="120" s="1"/>
  <c r="BB169" i="120"/>
  <c r="EG169" i="120" s="1"/>
  <c r="BB170" i="120"/>
  <c r="EG170" i="120" s="1"/>
  <c r="BB399" i="120"/>
  <c r="EG399" i="120" s="1"/>
  <c r="BB171" i="120"/>
  <c r="EG171" i="120" s="1"/>
  <c r="BB172" i="120"/>
  <c r="EG172" i="120" s="1"/>
  <c r="BB173" i="120"/>
  <c r="EG173" i="120" s="1"/>
  <c r="BB174" i="120"/>
  <c r="EG174" i="120" s="1"/>
  <c r="BB175" i="120"/>
  <c r="EG175" i="120" s="1"/>
  <c r="BB176" i="120"/>
  <c r="EG176" i="120" s="1"/>
  <c r="BB177" i="120"/>
  <c r="EG177" i="120" s="1"/>
  <c r="BB178" i="120"/>
  <c r="EG178" i="120" s="1"/>
  <c r="BB179" i="120"/>
  <c r="EG179" i="120" s="1"/>
  <c r="BB180" i="120"/>
  <c r="EG180" i="120" s="1"/>
  <c r="BB181" i="120"/>
  <c r="EG181" i="120" s="1"/>
  <c r="BB182" i="120"/>
  <c r="EG182" i="120" s="1"/>
  <c r="BB183" i="120"/>
  <c r="EG183" i="120" s="1"/>
  <c r="BB184" i="120"/>
  <c r="EG184" i="120" s="1"/>
  <c r="BB185" i="120"/>
  <c r="EG185" i="120" s="1"/>
  <c r="BB186" i="120"/>
  <c r="EG186" i="120" s="1"/>
  <c r="BB187" i="120"/>
  <c r="EG187" i="120" s="1"/>
  <c r="BB188" i="120"/>
  <c r="EG188" i="120" s="1"/>
  <c r="BB189" i="120"/>
  <c r="EG189" i="120" s="1"/>
  <c r="BB190" i="120"/>
  <c r="EG190" i="120" s="1"/>
  <c r="BB191" i="120"/>
  <c r="EG191" i="120" s="1"/>
  <c r="BB192" i="120"/>
  <c r="EG192" i="120" s="1"/>
  <c r="BB193" i="120"/>
  <c r="EG193" i="120" s="1"/>
  <c r="BB194" i="120"/>
  <c r="EG194" i="120" s="1"/>
  <c r="BB195" i="120"/>
  <c r="EG195" i="120" s="1"/>
  <c r="BB11" i="120"/>
  <c r="EG11" i="120" s="1"/>
  <c r="BB196" i="120"/>
  <c r="EG196" i="120" s="1"/>
  <c r="BB197" i="120"/>
  <c r="EG197" i="120" s="1"/>
  <c r="BB198" i="120"/>
  <c r="EG198" i="120" s="1"/>
  <c r="BB199" i="120"/>
  <c r="EG199" i="120" s="1"/>
  <c r="BB200" i="120"/>
  <c r="EG200" i="120" s="1"/>
  <c r="BB201" i="120"/>
  <c r="EG201" i="120" s="1"/>
  <c r="BB202" i="120"/>
  <c r="EG202" i="120" s="1"/>
  <c r="BB203" i="120"/>
  <c r="EG203" i="120" s="1"/>
  <c r="BB204" i="120"/>
  <c r="EG204" i="120" s="1"/>
  <c r="BB205" i="120"/>
  <c r="EG205" i="120" s="1"/>
  <c r="BB394" i="120"/>
  <c r="EG394" i="120" s="1"/>
  <c r="BB206" i="120"/>
  <c r="EG206" i="120" s="1"/>
  <c r="BB207" i="120"/>
  <c r="EG207" i="120" s="1"/>
  <c r="BB208" i="120"/>
  <c r="EG208" i="120" s="1"/>
  <c r="BB209" i="120"/>
  <c r="EG209" i="120" s="1"/>
  <c r="BB210" i="120"/>
  <c r="EG210" i="120" s="1"/>
  <c r="BB211" i="120"/>
  <c r="EG211" i="120" s="1"/>
  <c r="BB391" i="120"/>
  <c r="EG391" i="120" s="1"/>
  <c r="BB212" i="120"/>
  <c r="EG212" i="120" s="1"/>
  <c r="BB213" i="120"/>
  <c r="EG213" i="120" s="1"/>
  <c r="BB214" i="120"/>
  <c r="EG214" i="120" s="1"/>
  <c r="BB215" i="120"/>
  <c r="EG215" i="120" s="1"/>
  <c r="BB216" i="120"/>
  <c r="EG216" i="120" s="1"/>
  <c r="BB217" i="120"/>
  <c r="EG217" i="120" s="1"/>
  <c r="BB218" i="120"/>
  <c r="EG218" i="120" s="1"/>
  <c r="BB219" i="120"/>
  <c r="EG219" i="120" s="1"/>
  <c r="BB220" i="120"/>
  <c r="EG220" i="120" s="1"/>
  <c r="BB221" i="120"/>
  <c r="EG221" i="120" s="1"/>
  <c r="BB222" i="120"/>
  <c r="EG222" i="120" s="1"/>
  <c r="BB223" i="120"/>
  <c r="EG223" i="120" s="1"/>
  <c r="BB224" i="120"/>
  <c r="EG224" i="120" s="1"/>
  <c r="BB225" i="120"/>
  <c r="EG225" i="120" s="1"/>
  <c r="BB226" i="120"/>
  <c r="EG226" i="120" s="1"/>
  <c r="BB227" i="120"/>
  <c r="EG227" i="120" s="1"/>
  <c r="BB228" i="120"/>
  <c r="EG228" i="120" s="1"/>
  <c r="BB229" i="120"/>
  <c r="EG229" i="120" s="1"/>
  <c r="BB230" i="120"/>
  <c r="EG230" i="120" s="1"/>
  <c r="BB231" i="120"/>
  <c r="EG231" i="120" s="1"/>
  <c r="BB232" i="120"/>
  <c r="EG232" i="120" s="1"/>
  <c r="BB233" i="120"/>
  <c r="EG233" i="120" s="1"/>
  <c r="BB234" i="120"/>
  <c r="EG234" i="120" s="1"/>
  <c r="BB235" i="120"/>
  <c r="EG235" i="120" s="1"/>
  <c r="BB236" i="120"/>
  <c r="EG236" i="120" s="1"/>
  <c r="BB237" i="120"/>
  <c r="EG237" i="120" s="1"/>
  <c r="BB238" i="120"/>
  <c r="EG238" i="120" s="1"/>
  <c r="BB20" i="120"/>
  <c r="EG20" i="120" s="1"/>
  <c r="BB239" i="120"/>
  <c r="EG239" i="120" s="1"/>
  <c r="BB240" i="120"/>
  <c r="EG240" i="120" s="1"/>
  <c r="BB241" i="120"/>
  <c r="EG241" i="120" s="1"/>
  <c r="BB242" i="120"/>
  <c r="EG242" i="120" s="1"/>
  <c r="BB243" i="120"/>
  <c r="EG243" i="120" s="1"/>
  <c r="BB244" i="120"/>
  <c r="EG244" i="120" s="1"/>
  <c r="BB245" i="120"/>
  <c r="EG245" i="120" s="1"/>
  <c r="BB17" i="120"/>
  <c r="EG17" i="120" s="1"/>
  <c r="BB246" i="120"/>
  <c r="EG246" i="120" s="1"/>
  <c r="BB247" i="120"/>
  <c r="EG247" i="120" s="1"/>
  <c r="BB248" i="120"/>
  <c r="EG248" i="120" s="1"/>
  <c r="BB249" i="120"/>
  <c r="EG249" i="120" s="1"/>
  <c r="BB26" i="120"/>
  <c r="EG26" i="120" s="1"/>
  <c r="BB250" i="120"/>
  <c r="EG250" i="120" s="1"/>
  <c r="BB386" i="120"/>
  <c r="EG386" i="120" s="1"/>
  <c r="BB251" i="120"/>
  <c r="EG251" i="120" s="1"/>
  <c r="BB252" i="120"/>
  <c r="EG252" i="120" s="1"/>
  <c r="BB253" i="120"/>
  <c r="EG253" i="120" s="1"/>
  <c r="BB254" i="120"/>
  <c r="EG254" i="120" s="1"/>
  <c r="BB255" i="120"/>
  <c r="EG255" i="120" s="1"/>
  <c r="BB256" i="120"/>
  <c r="EG256" i="120" s="1"/>
  <c r="BB385" i="120"/>
  <c r="EG385" i="120" s="1"/>
  <c r="BB257" i="120"/>
  <c r="EG257" i="120" s="1"/>
  <c r="BB258" i="120"/>
  <c r="EG258" i="120" s="1"/>
  <c r="BB259" i="120"/>
  <c r="EG259" i="120" s="1"/>
  <c r="BB260" i="120"/>
  <c r="EG260" i="120" s="1"/>
  <c r="BB261" i="120"/>
  <c r="EG261" i="120" s="1"/>
  <c r="BB15" i="120"/>
  <c r="EG15" i="120" s="1"/>
  <c r="BB404" i="120"/>
  <c r="EG404" i="120" s="1"/>
  <c r="BB262" i="120"/>
  <c r="EG262" i="120" s="1"/>
  <c r="BB263" i="120"/>
  <c r="EG263" i="120" s="1"/>
  <c r="BB264" i="120"/>
  <c r="EG264" i="120" s="1"/>
  <c r="BB265" i="120"/>
  <c r="EG265" i="120" s="1"/>
  <c r="BB266" i="120"/>
  <c r="EG266" i="120" s="1"/>
  <c r="BB267" i="120"/>
  <c r="EG267" i="120" s="1"/>
  <c r="BB268" i="120"/>
  <c r="EG268" i="120" s="1"/>
  <c r="BB269" i="120"/>
  <c r="EG269" i="120" s="1"/>
  <c r="BB270" i="120"/>
  <c r="EG270" i="120" s="1"/>
  <c r="BB271" i="120"/>
  <c r="EG271" i="120" s="1"/>
  <c r="BB272" i="120"/>
  <c r="EG272" i="120" s="1"/>
  <c r="BB273" i="120"/>
  <c r="EG273" i="120" s="1"/>
  <c r="BB387" i="120"/>
  <c r="EG387" i="120" s="1"/>
  <c r="BB274" i="120"/>
  <c r="EG274" i="120" s="1"/>
  <c r="BB275" i="120"/>
  <c r="EG275" i="120" s="1"/>
  <c r="BB276" i="120"/>
  <c r="EG276" i="120" s="1"/>
  <c r="BB277" i="120"/>
  <c r="EG277" i="120" s="1"/>
  <c r="BB278" i="120"/>
  <c r="EG278" i="120" s="1"/>
  <c r="BB279" i="120"/>
  <c r="EG279" i="120" s="1"/>
  <c r="BB280" i="120"/>
  <c r="EG280" i="120" s="1"/>
  <c r="BB281" i="120"/>
  <c r="EG281" i="120" s="1"/>
  <c r="BB282" i="120"/>
  <c r="EG282" i="120" s="1"/>
  <c r="BB283" i="120"/>
  <c r="EG283" i="120" s="1"/>
  <c r="BB284" i="120"/>
  <c r="EG284" i="120" s="1"/>
  <c r="BB285" i="120"/>
  <c r="EG285" i="120" s="1"/>
  <c r="BB286" i="120"/>
  <c r="EG286" i="120" s="1"/>
  <c r="BB287" i="120"/>
  <c r="EG287" i="120" s="1"/>
  <c r="BB288" i="120"/>
  <c r="EG288" i="120" s="1"/>
  <c r="BB289" i="120"/>
  <c r="EG289" i="120" s="1"/>
  <c r="BB290" i="120"/>
  <c r="EG290" i="120" s="1"/>
  <c r="BB291" i="120"/>
  <c r="EG291" i="120" s="1"/>
  <c r="BB292" i="120"/>
  <c r="EG292" i="120" s="1"/>
  <c r="BB293" i="120"/>
  <c r="EG293" i="120" s="1"/>
  <c r="BB294" i="120"/>
  <c r="EG294" i="120" s="1"/>
  <c r="BB295" i="120"/>
  <c r="EG295" i="120" s="1"/>
  <c r="BB296" i="120"/>
  <c r="EG296" i="120" s="1"/>
  <c r="BB297" i="120"/>
  <c r="EG297" i="120" s="1"/>
  <c r="BB7" i="120"/>
  <c r="EG7" i="120" s="1"/>
  <c r="BB298" i="120"/>
  <c r="EG298" i="120" s="1"/>
  <c r="BB384" i="120"/>
  <c r="EG384" i="120" s="1"/>
  <c r="BB299" i="120"/>
  <c r="EG299" i="120" s="1"/>
  <c r="BB389" i="120"/>
  <c r="EG389" i="120" s="1"/>
  <c r="BB300" i="120"/>
  <c r="EG300" i="120" s="1"/>
  <c r="BB301" i="120"/>
  <c r="EG301" i="120" s="1"/>
  <c r="BB302" i="120"/>
  <c r="EG302" i="120" s="1"/>
  <c r="BB303" i="120"/>
  <c r="EG303" i="120" s="1"/>
  <c r="BB304" i="120"/>
  <c r="EG304" i="120" s="1"/>
  <c r="BB305" i="120"/>
  <c r="EG305" i="120" s="1"/>
  <c r="BB5" i="120"/>
  <c r="EG5" i="120" s="1"/>
  <c r="BB28" i="120"/>
  <c r="EG28" i="120" s="1"/>
  <c r="BB306" i="120"/>
  <c r="EG306" i="120" s="1"/>
  <c r="BB307" i="120"/>
  <c r="EG307" i="120" s="1"/>
  <c r="BB308" i="120"/>
  <c r="EG308" i="120" s="1"/>
  <c r="BB309" i="120"/>
  <c r="BB310" i="120"/>
  <c r="EG310" i="120" s="1"/>
  <c r="BB311" i="120"/>
  <c r="EG311" i="120" s="1"/>
  <c r="BB312" i="120"/>
  <c r="EG312" i="120" s="1"/>
  <c r="BB313" i="120"/>
  <c r="EG313" i="120" s="1"/>
  <c r="BB314" i="120"/>
  <c r="EG314" i="120" s="1"/>
  <c r="BB315" i="120"/>
  <c r="EG315" i="120" s="1"/>
  <c r="BB316" i="120"/>
  <c r="EG316" i="120" s="1"/>
  <c r="BB317" i="120"/>
  <c r="EG317" i="120" s="1"/>
  <c r="BB318" i="120"/>
  <c r="EG318" i="120" s="1"/>
  <c r="BB319" i="120"/>
  <c r="EG319" i="120" s="1"/>
  <c r="BB388" i="120"/>
  <c r="EG388" i="120" s="1"/>
  <c r="BB320" i="120"/>
  <c r="EG320" i="120" s="1"/>
  <c r="BB321" i="120"/>
  <c r="EG321" i="120" s="1"/>
  <c r="BB402" i="120"/>
  <c r="EG402" i="120" s="1"/>
  <c r="BB393" i="120"/>
  <c r="EG393" i="120" s="1"/>
  <c r="BB400" i="120"/>
  <c r="EG400" i="120" s="1"/>
  <c r="BB322" i="120"/>
  <c r="EG322" i="120" s="1"/>
  <c r="BB382" i="120"/>
  <c r="EG382" i="120" s="1"/>
  <c r="BB323" i="120"/>
  <c r="EG323" i="120" s="1"/>
  <c r="BB324" i="120"/>
  <c r="EG324" i="120" s="1"/>
  <c r="BB325" i="120"/>
  <c r="EG325" i="120" s="1"/>
  <c r="BB326" i="120"/>
  <c r="EG326" i="120" s="1"/>
  <c r="BB327" i="120"/>
  <c r="EG327" i="120" s="1"/>
  <c r="BB328" i="120"/>
  <c r="EG328" i="120" s="1"/>
  <c r="BB329" i="120"/>
  <c r="EG329" i="120" s="1"/>
  <c r="BB396" i="120"/>
  <c r="EG396" i="120" s="1"/>
  <c r="BB392" i="120"/>
  <c r="EG392" i="120" s="1"/>
  <c r="BB398" i="120"/>
  <c r="EG398" i="120" s="1"/>
  <c r="BB330" i="120"/>
  <c r="EG330" i="120" s="1"/>
  <c r="BB401" i="120"/>
  <c r="EG401" i="120" s="1"/>
  <c r="BB380" i="120"/>
  <c r="EG380" i="120" s="1"/>
  <c r="BB331" i="120"/>
  <c r="EG331" i="120" s="1"/>
  <c r="BB332" i="120"/>
  <c r="EG332" i="120" s="1"/>
  <c r="BB19" i="120"/>
  <c r="EG19" i="120" s="1"/>
  <c r="BB333" i="120"/>
  <c r="EG333" i="120" s="1"/>
  <c r="BB381" i="120"/>
  <c r="EG381" i="120" s="1"/>
  <c r="BB334" i="120"/>
  <c r="EG334" i="120" s="1"/>
  <c r="BB335" i="120"/>
  <c r="EG335" i="120" s="1"/>
  <c r="BB336" i="120"/>
  <c r="EG336" i="120" s="1"/>
  <c r="BB337" i="120"/>
  <c r="EG337" i="120" s="1"/>
  <c r="BB338" i="120"/>
  <c r="EG338" i="120" s="1"/>
  <c r="BB339" i="120"/>
  <c r="EG339" i="120" s="1"/>
  <c r="BB340" i="120"/>
  <c r="EG340" i="120" s="1"/>
  <c r="BB341" i="120"/>
  <c r="EG341" i="120" s="1"/>
  <c r="BB403" i="120"/>
  <c r="EG403" i="120" s="1"/>
  <c r="BB342" i="120"/>
  <c r="EG342" i="120" s="1"/>
  <c r="BB343" i="120"/>
  <c r="EG343" i="120" s="1"/>
  <c r="BB344" i="120"/>
  <c r="EG344" i="120" s="1"/>
  <c r="BB345" i="120"/>
  <c r="EG345" i="120" s="1"/>
  <c r="BB346" i="120"/>
  <c r="EG346" i="120" s="1"/>
  <c r="BB347" i="120"/>
  <c r="EG347" i="120" s="1"/>
  <c r="BB348" i="120"/>
  <c r="EG348" i="120" s="1"/>
  <c r="BB349" i="120"/>
  <c r="EG349" i="120" s="1"/>
  <c r="BB350" i="120"/>
  <c r="EG350" i="120" s="1"/>
  <c r="BB351" i="120"/>
  <c r="EG351" i="120" s="1"/>
  <c r="BB383" i="120"/>
  <c r="EG383" i="120" s="1"/>
  <c r="BB352" i="120"/>
  <c r="EG352" i="120" s="1"/>
  <c r="BB353" i="120"/>
  <c r="EG353" i="120" s="1"/>
  <c r="BB397" i="120"/>
  <c r="EG397" i="120" s="1"/>
  <c r="BB379" i="120"/>
  <c r="EG379" i="120" s="1"/>
  <c r="BB378" i="120"/>
  <c r="EG378" i="120" s="1"/>
  <c r="BB405" i="120"/>
  <c r="EG405" i="120" s="1"/>
  <c r="BB354" i="120"/>
  <c r="EG354" i="120" s="1"/>
  <c r="BB8" i="120"/>
  <c r="EG8" i="120" s="1"/>
  <c r="BB25" i="120"/>
  <c r="EG25" i="120" s="1"/>
  <c r="BB355" i="120"/>
  <c r="EG355" i="120" s="1"/>
  <c r="BB356" i="120"/>
  <c r="EG356" i="120" s="1"/>
  <c r="BB364" i="120"/>
  <c r="EG364" i="120" s="1"/>
  <c r="BB9" i="120"/>
  <c r="EG9" i="120" s="1"/>
  <c r="BB357" i="120"/>
  <c r="EG357" i="120" s="1"/>
  <c r="BB13" i="120"/>
  <c r="EG13" i="120" s="1"/>
  <c r="BB377" i="120"/>
  <c r="EG377" i="120" s="1"/>
  <c r="BB16" i="120"/>
  <c r="EG16" i="120" s="1"/>
  <c r="BB14" i="120"/>
  <c r="EG14" i="120" s="1"/>
  <c r="BB12" i="120"/>
  <c r="EG12" i="120" s="1"/>
  <c r="BB358" i="120"/>
  <c r="EG358" i="120" s="1"/>
  <c r="BB359" i="120"/>
  <c r="EG359" i="120" s="1"/>
  <c r="BB360" i="120"/>
  <c r="EG360" i="120" s="1"/>
  <c r="BB361" i="120"/>
  <c r="EG361" i="120" s="1"/>
  <c r="BB362" i="120"/>
  <c r="EG362" i="120" s="1"/>
  <c r="BB367" i="120"/>
  <c r="EG367" i="120" s="1"/>
  <c r="BB376" i="120"/>
  <c r="EG376" i="120" s="1"/>
  <c r="BB366" i="120"/>
  <c r="EG366" i="120" s="1"/>
  <c r="BB365" i="120"/>
  <c r="EG365" i="120" s="1"/>
  <c r="BB368" i="120"/>
  <c r="EG368" i="120" s="1"/>
  <c r="BB369" i="120"/>
  <c r="EG369" i="120" s="1"/>
  <c r="BB370" i="120"/>
  <c r="EG370" i="120" s="1"/>
  <c r="BB371" i="120"/>
  <c r="EG371" i="120" s="1"/>
  <c r="BB372" i="120"/>
  <c r="EG372" i="120" s="1"/>
  <c r="BB29" i="120"/>
  <c r="BB2" i="120" l="1"/>
  <c r="BB1" i="120"/>
  <c r="DC309" i="120"/>
  <c r="BO309" i="120" l="1"/>
  <c r="EF309" i="120"/>
  <c r="FK309" i="120" s="1"/>
  <c r="K232" i="60"/>
  <c r="EK373" i="120" l="1"/>
  <c r="EG373" i="120"/>
  <c r="EK309" i="120"/>
  <c r="EG309" i="120"/>
  <c r="AY309" i="120"/>
  <c r="AY28" i="120"/>
  <c r="AY373" i="120"/>
  <c r="BU88" i="113" l="1"/>
  <c r="BV88" i="113"/>
  <c r="K230" i="60"/>
  <c r="K231" i="60" l="1"/>
  <c r="U6" i="149" l="1"/>
  <c r="S6" i="149" s="1"/>
  <c r="U7" i="149"/>
  <c r="U8" i="149"/>
  <c r="S8" i="149" s="1"/>
  <c r="U9" i="149"/>
  <c r="S9" i="149" s="1"/>
  <c r="U10" i="149"/>
  <c r="S10" i="149" s="1"/>
  <c r="U11" i="149"/>
  <c r="S11" i="149" s="1"/>
  <c r="U12" i="149"/>
  <c r="S12" i="149" s="1"/>
  <c r="U13" i="149"/>
  <c r="S13" i="149" s="1"/>
  <c r="U14" i="149"/>
  <c r="S14" i="149" s="1"/>
  <c r="U15" i="149"/>
  <c r="S15" i="149" s="1"/>
  <c r="U16" i="149"/>
  <c r="S16" i="149" s="1"/>
  <c r="U17" i="149"/>
  <c r="S17" i="149" s="1"/>
  <c r="U18" i="149"/>
  <c r="S18" i="149" s="1"/>
  <c r="U19" i="149"/>
  <c r="S19" i="149" s="1"/>
  <c r="U20" i="149"/>
  <c r="S20" i="149" s="1"/>
  <c r="U21" i="149"/>
  <c r="S21" i="149" s="1"/>
  <c r="U22" i="149"/>
  <c r="S22" i="149" s="1"/>
  <c r="U23" i="149"/>
  <c r="S23" i="149" s="1"/>
  <c r="U24" i="149"/>
  <c r="S24" i="149" s="1"/>
  <c r="U25" i="149"/>
  <c r="S25" i="149" s="1"/>
  <c r="U26" i="149"/>
  <c r="S26" i="149" s="1"/>
  <c r="U27" i="149"/>
  <c r="S27" i="149" s="1"/>
  <c r="U28" i="149"/>
  <c r="S28" i="149" s="1"/>
  <c r="U29" i="149"/>
  <c r="S29" i="149" s="1"/>
  <c r="U30" i="149"/>
  <c r="S30" i="149" s="1"/>
  <c r="U31" i="149"/>
  <c r="S31" i="149" s="1"/>
  <c r="U32" i="149"/>
  <c r="S32" i="149" s="1"/>
  <c r="T5" i="149"/>
  <c r="U5" i="149" s="1"/>
  <c r="S5" i="149" s="1"/>
  <c r="S7" i="149" l="1"/>
  <c r="K227" i="60" l="1"/>
  <c r="AA1" i="149"/>
  <c r="AB1" i="149"/>
  <c r="AD1" i="149"/>
  <c r="AE1" i="149"/>
  <c r="AF1" i="149"/>
  <c r="AG1" i="149"/>
  <c r="AH1" i="149"/>
  <c r="AI1" i="149"/>
  <c r="AJ1" i="149"/>
  <c r="AL1" i="149"/>
  <c r="AM1" i="149"/>
  <c r="AO1" i="149"/>
  <c r="AP1" i="149"/>
  <c r="AQ1" i="149"/>
  <c r="AS1" i="149"/>
  <c r="AT1" i="149"/>
  <c r="AU1" i="149"/>
  <c r="AW1" i="149"/>
  <c r="AX1" i="149"/>
  <c r="AY1" i="149"/>
  <c r="BA1" i="149"/>
  <c r="BB1" i="149"/>
  <c r="BC1" i="149"/>
  <c r="BE1" i="149"/>
  <c r="BF1" i="149"/>
  <c r="BG1" i="149"/>
  <c r="BI1" i="149"/>
  <c r="BJ1" i="149"/>
  <c r="BK1" i="149"/>
  <c r="BM1" i="149"/>
  <c r="BN1" i="149"/>
  <c r="BO1" i="149"/>
  <c r="BQ1" i="149"/>
  <c r="BR1" i="149"/>
  <c r="BS1" i="149"/>
  <c r="BU1" i="149"/>
  <c r="BV1" i="149"/>
  <c r="BW1" i="149"/>
  <c r="BY1" i="149"/>
  <c r="BZ1" i="149"/>
  <c r="CA1" i="149"/>
  <c r="CC1" i="149"/>
  <c r="CD1" i="149"/>
  <c r="CE1" i="149"/>
  <c r="CG1" i="149"/>
  <c r="CI1" i="149"/>
  <c r="CJ1" i="149"/>
  <c r="CK1" i="149"/>
  <c r="CL1" i="149"/>
  <c r="CM1" i="149"/>
  <c r="CN1" i="149"/>
  <c r="CO1" i="149"/>
  <c r="CP1" i="149"/>
  <c r="CQ1" i="149"/>
  <c r="CR1" i="149"/>
  <c r="CS1" i="149"/>
  <c r="CT1" i="149"/>
  <c r="CU1" i="149"/>
  <c r="DM1" i="149"/>
  <c r="DN1" i="149"/>
  <c r="AK5" i="149"/>
  <c r="AC5" i="149" s="1"/>
  <c r="AN5" i="149"/>
  <c r="AR5" i="149"/>
  <c r="AV5" i="149"/>
  <c r="AZ5" i="149"/>
  <c r="BD5" i="149"/>
  <c r="BH5" i="149"/>
  <c r="CW5" i="149" s="1"/>
  <c r="BL5" i="149"/>
  <c r="BP5" i="149"/>
  <c r="BT5" i="149"/>
  <c r="BX5" i="149"/>
  <c r="CB5" i="149"/>
  <c r="CF5" i="149"/>
  <c r="CH5" i="149"/>
  <c r="CX5" i="149"/>
  <c r="CY5" i="149"/>
  <c r="CZ5" i="149"/>
  <c r="DA5" i="149"/>
  <c r="DG5" i="149"/>
  <c r="DH5" i="149"/>
  <c r="DI5" i="149"/>
  <c r="DJ5" i="149"/>
  <c r="DK5" i="149"/>
  <c r="DL5" i="149"/>
  <c r="AC7" i="149"/>
  <c r="AC11" i="149"/>
  <c r="AC16" i="149"/>
  <c r="AC19" i="149"/>
  <c r="AC20" i="149"/>
  <c r="AC24" i="149"/>
  <c r="AC28" i="149"/>
  <c r="AC30" i="149"/>
  <c r="AC32" i="149"/>
  <c r="DE5" i="149" l="1"/>
  <c r="DF5" i="149" s="1"/>
  <c r="DD5" i="149"/>
  <c r="AC15" i="149"/>
  <c r="AR1" i="149"/>
  <c r="AZ1" i="149"/>
  <c r="BP1" i="149"/>
  <c r="CB1" i="149"/>
  <c r="BL1" i="149"/>
  <c r="BH1" i="149"/>
  <c r="BT1" i="149"/>
  <c r="AC23" i="149"/>
  <c r="AC8" i="149"/>
  <c r="AC34" i="149"/>
  <c r="AC27" i="149"/>
  <c r="AC12" i="149"/>
  <c r="DJ1" i="149"/>
  <c r="DJ3" i="149" s="1"/>
  <c r="AC31" i="149"/>
  <c r="AC9" i="149"/>
  <c r="AC26" i="149"/>
  <c r="AC22" i="149"/>
  <c r="AC18" i="149"/>
  <c r="AC14" i="149"/>
  <c r="AC10" i="149"/>
  <c r="AC6" i="149"/>
  <c r="CV1" i="149"/>
  <c r="DH1" i="149"/>
  <c r="DH3" i="149" s="1"/>
  <c r="CY1" i="149"/>
  <c r="AC29" i="149"/>
  <c r="AC25" i="149"/>
  <c r="AC21" i="149"/>
  <c r="AC17" i="149"/>
  <c r="AC13" i="149"/>
  <c r="DG1" i="149"/>
  <c r="DG3" i="149" s="1"/>
  <c r="CX1" i="149"/>
  <c r="AK1" i="149"/>
  <c r="DL1" i="149"/>
  <c r="DL3" i="149" s="1"/>
  <c r="DC1" i="149"/>
  <c r="CH1" i="149"/>
  <c r="BD1" i="149"/>
  <c r="DI1" i="149"/>
  <c r="DI3" i="149" s="1"/>
  <c r="CZ1" i="149"/>
  <c r="AN1" i="149"/>
  <c r="AC33" i="149"/>
  <c r="DK1" i="149"/>
  <c r="DK3" i="149" s="1"/>
  <c r="DB5" i="149"/>
  <c r="CF1" i="149"/>
  <c r="DA1" i="149"/>
  <c r="AV1" i="149"/>
  <c r="BX1" i="149" l="1"/>
  <c r="DD1" i="149"/>
  <c r="DB1" i="149"/>
  <c r="AC1" i="149"/>
  <c r="CW1" i="149"/>
  <c r="DF1" i="149"/>
  <c r="DE1" i="149"/>
  <c r="FH29" i="120" l="1"/>
  <c r="AF8" i="146" l="1"/>
  <c r="AF9" i="146"/>
  <c r="AF22" i="146"/>
  <c r="AF21" i="146"/>
  <c r="AF17" i="146"/>
  <c r="AF18" i="146"/>
  <c r="AF19" i="146"/>
  <c r="AF20" i="146"/>
  <c r="AF15" i="146"/>
  <c r="AF16" i="146"/>
  <c r="AF10" i="146"/>
  <c r="AF11" i="146"/>
  <c r="K229" i="60" l="1"/>
  <c r="K228" i="60"/>
  <c r="AM358" i="120"/>
  <c r="O376" i="120"/>
  <c r="N376" i="120"/>
  <c r="O358" i="120"/>
  <c r="N358" i="120"/>
  <c r="V376" i="120" l="1"/>
  <c r="W376" i="120"/>
  <c r="P376" i="120"/>
  <c r="X376" i="120"/>
  <c r="Q376" i="120"/>
  <c r="Y376" i="120"/>
  <c r="R376" i="120"/>
  <c r="S376" i="120"/>
  <c r="T376" i="120"/>
  <c r="Z376" i="120"/>
  <c r="U376" i="120"/>
  <c r="R358" i="120"/>
  <c r="Z358" i="120"/>
  <c r="S358" i="120"/>
  <c r="T358" i="120"/>
  <c r="U358" i="120"/>
  <c r="W358" i="120"/>
  <c r="X358" i="120"/>
  <c r="Y358" i="120"/>
  <c r="P358" i="120"/>
  <c r="Q358" i="120"/>
  <c r="V358" i="120"/>
  <c r="AA358" i="120"/>
  <c r="AA376" i="120"/>
  <c r="AK358" i="120"/>
  <c r="DN362" i="120"/>
  <c r="DL362" i="120" s="1"/>
  <c r="C4" i="147"/>
  <c r="C5" i="147" s="1"/>
  <c r="C6" i="147" s="1"/>
  <c r="C7" i="147" s="1"/>
  <c r="C8" i="147" s="1"/>
  <c r="C9" i="147" s="1"/>
  <c r="C10" i="147" s="1"/>
  <c r="C11" i="147" s="1"/>
  <c r="C12" i="147" s="1"/>
  <c r="C13" i="147" s="1"/>
  <c r="C3" i="147"/>
  <c r="C2" i="147"/>
  <c r="D2" i="147"/>
  <c r="E2" i="147" s="1"/>
  <c r="DZ362" i="120" l="1"/>
  <c r="D3" i="147"/>
  <c r="E3" i="147" s="1"/>
  <c r="D7" i="147" l="1"/>
  <c r="D5" i="147" l="1"/>
  <c r="D11" i="147" l="1"/>
  <c r="D8" i="147"/>
  <c r="D6" i="147" l="1"/>
  <c r="Z7" i="146"/>
  <c r="Z8" i="146"/>
  <c r="Z9" i="146"/>
  <c r="Z22" i="146"/>
  <c r="Z21" i="146"/>
  <c r="Z17" i="146"/>
  <c r="Z18" i="146"/>
  <c r="Z19" i="146"/>
  <c r="Z20" i="146"/>
  <c r="Z15" i="146"/>
  <c r="Z16" i="146"/>
  <c r="Z10" i="146"/>
  <c r="Z11" i="146"/>
  <c r="CW11" i="146"/>
  <c r="CV11" i="146"/>
  <c r="CU11" i="146"/>
  <c r="CT11" i="146"/>
  <c r="CS11" i="146"/>
  <c r="CR11" i="146"/>
  <c r="CP11" i="146"/>
  <c r="CC11" i="146"/>
  <c r="CA11" i="146"/>
  <c r="BW11" i="146"/>
  <c r="BS11" i="146"/>
  <c r="BO11" i="146"/>
  <c r="BK11" i="146"/>
  <c r="BG11" i="146"/>
  <c r="BC11" i="146"/>
  <c r="AY11" i="146"/>
  <c r="AU11" i="146"/>
  <c r="AQ11" i="146"/>
  <c r="AM11" i="146"/>
  <c r="AI11" i="146"/>
  <c r="CQ11" i="146" s="1"/>
  <c r="CW10" i="146"/>
  <c r="CV10" i="146"/>
  <c r="CU10" i="146"/>
  <c r="CT10" i="146"/>
  <c r="CS10" i="146"/>
  <c r="CR10" i="146"/>
  <c r="CP10" i="146"/>
  <c r="CC10" i="146"/>
  <c r="CA10" i="146"/>
  <c r="BW10" i="146"/>
  <c r="BS10" i="146"/>
  <c r="BO10" i="146"/>
  <c r="BK10" i="146"/>
  <c r="BG10" i="146"/>
  <c r="BC10" i="146"/>
  <c r="AY10" i="146"/>
  <c r="AU10" i="146"/>
  <c r="AQ10" i="146"/>
  <c r="AM10" i="146"/>
  <c r="AI10" i="146"/>
  <c r="CQ10" i="146" s="1"/>
  <c r="CW16" i="146"/>
  <c r="CV16" i="146"/>
  <c r="CU16" i="146"/>
  <c r="CT16" i="146"/>
  <c r="CS16" i="146"/>
  <c r="CR16" i="146"/>
  <c r="CP16" i="146"/>
  <c r="CC16" i="146"/>
  <c r="CA16" i="146"/>
  <c r="BW16" i="146"/>
  <c r="BS16" i="146"/>
  <c r="BO16" i="146"/>
  <c r="BK16" i="146"/>
  <c r="BG16" i="146"/>
  <c r="BC16" i="146"/>
  <c r="AY16" i="146"/>
  <c r="AU16" i="146"/>
  <c r="AQ16" i="146"/>
  <c r="AM16" i="146"/>
  <c r="AI16" i="146"/>
  <c r="CQ16" i="146" s="1"/>
  <c r="CW15" i="146"/>
  <c r="CV15" i="146"/>
  <c r="CU15" i="146"/>
  <c r="CT15" i="146"/>
  <c r="CS15" i="146"/>
  <c r="CR15" i="146"/>
  <c r="CP15" i="146"/>
  <c r="CC15" i="146"/>
  <c r="CA15" i="146"/>
  <c r="BW15" i="146"/>
  <c r="BS15" i="146"/>
  <c r="BO15" i="146"/>
  <c r="BK15" i="146"/>
  <c r="BG15" i="146"/>
  <c r="BC15" i="146"/>
  <c r="AY15" i="146"/>
  <c r="AU15" i="146"/>
  <c r="AQ15" i="146"/>
  <c r="AM15" i="146"/>
  <c r="AI15" i="146"/>
  <c r="CQ15" i="146" s="1"/>
  <c r="CW20" i="146"/>
  <c r="CV20" i="146"/>
  <c r="CU20" i="146"/>
  <c r="CT20" i="146"/>
  <c r="CS20" i="146"/>
  <c r="CR20" i="146"/>
  <c r="CP20" i="146"/>
  <c r="CC20" i="146"/>
  <c r="CA20" i="146"/>
  <c r="BW20" i="146"/>
  <c r="BS20" i="146"/>
  <c r="BO20" i="146"/>
  <c r="BK20" i="146"/>
  <c r="BG20" i="146"/>
  <c r="BC20" i="146"/>
  <c r="AY20" i="146"/>
  <c r="AU20" i="146"/>
  <c r="AQ20" i="146"/>
  <c r="AM20" i="146"/>
  <c r="AI20" i="146"/>
  <c r="CQ20" i="146" s="1"/>
  <c r="CW19" i="146"/>
  <c r="CV19" i="146"/>
  <c r="CU19" i="146"/>
  <c r="CT19" i="146"/>
  <c r="CS19" i="146"/>
  <c r="CR19" i="146"/>
  <c r="CP19" i="146"/>
  <c r="CC19" i="146"/>
  <c r="CA19" i="146"/>
  <c r="BW19" i="146"/>
  <c r="BS19" i="146"/>
  <c r="BO19" i="146"/>
  <c r="BK19" i="146"/>
  <c r="BG19" i="146"/>
  <c r="BC19" i="146"/>
  <c r="AY19" i="146"/>
  <c r="AU19" i="146"/>
  <c r="AQ19" i="146"/>
  <c r="AM19" i="146"/>
  <c r="AI19" i="146"/>
  <c r="CQ19" i="146" s="1"/>
  <c r="CW18" i="146"/>
  <c r="CV18" i="146"/>
  <c r="CU18" i="146"/>
  <c r="CT18" i="146"/>
  <c r="CS18" i="146"/>
  <c r="CR18" i="146"/>
  <c r="CP18" i="146"/>
  <c r="CC18" i="146"/>
  <c r="CA18" i="146"/>
  <c r="BW18" i="146"/>
  <c r="BS18" i="146"/>
  <c r="BO18" i="146"/>
  <c r="BK18" i="146"/>
  <c r="BG18" i="146"/>
  <c r="BC18" i="146"/>
  <c r="AY18" i="146"/>
  <c r="AU18" i="146"/>
  <c r="AQ18" i="146"/>
  <c r="AM18" i="146"/>
  <c r="AI18" i="146"/>
  <c r="CQ18" i="146" s="1"/>
  <c r="CW17" i="146"/>
  <c r="CV17" i="146"/>
  <c r="CU17" i="146"/>
  <c r="CT17" i="146"/>
  <c r="CS17" i="146"/>
  <c r="CR17" i="146"/>
  <c r="CP17" i="146"/>
  <c r="CC17" i="146"/>
  <c r="CA17" i="146"/>
  <c r="BW17" i="146"/>
  <c r="BS17" i="146"/>
  <c r="BO17" i="146"/>
  <c r="BK17" i="146"/>
  <c r="BG17" i="146"/>
  <c r="BC17" i="146"/>
  <c r="AY17" i="146"/>
  <c r="AU17" i="146"/>
  <c r="AQ17" i="146"/>
  <c r="AM17" i="146"/>
  <c r="AI17" i="146"/>
  <c r="CQ17" i="146" s="1"/>
  <c r="CW21" i="146"/>
  <c r="CV21" i="146"/>
  <c r="CU21" i="146"/>
  <c r="CT21" i="146"/>
  <c r="CS21" i="146"/>
  <c r="CR21" i="146"/>
  <c r="CP21" i="146"/>
  <c r="CC21" i="146"/>
  <c r="CA21" i="146"/>
  <c r="BW21" i="146"/>
  <c r="BS21" i="146"/>
  <c r="BO21" i="146"/>
  <c r="BK21" i="146"/>
  <c r="BG21" i="146"/>
  <c r="BC21" i="146"/>
  <c r="AY21" i="146"/>
  <c r="AU21" i="146"/>
  <c r="AQ21" i="146"/>
  <c r="AM21" i="146"/>
  <c r="AI21" i="146"/>
  <c r="CQ21" i="146" s="1"/>
  <c r="CW22" i="146"/>
  <c r="CV22" i="146"/>
  <c r="CU22" i="146"/>
  <c r="CT22" i="146"/>
  <c r="CS22" i="146"/>
  <c r="CR22" i="146"/>
  <c r="CP22" i="146"/>
  <c r="CC22" i="146"/>
  <c r="CA22" i="146"/>
  <c r="BW22" i="146"/>
  <c r="BS22" i="146"/>
  <c r="BO22" i="146"/>
  <c r="BK22" i="146"/>
  <c r="BG22" i="146"/>
  <c r="BC22" i="146"/>
  <c r="AY22" i="146"/>
  <c r="AU22" i="146"/>
  <c r="AQ22" i="146"/>
  <c r="AM22" i="146"/>
  <c r="AI22" i="146"/>
  <c r="CQ22" i="146" s="1"/>
  <c r="CW9" i="146"/>
  <c r="CV9" i="146"/>
  <c r="CU9" i="146"/>
  <c r="CT9" i="146"/>
  <c r="CS9" i="146"/>
  <c r="CR9" i="146"/>
  <c r="CP9" i="146"/>
  <c r="CC9" i="146"/>
  <c r="CA9" i="146"/>
  <c r="BW9" i="146"/>
  <c r="BS9" i="146"/>
  <c r="BO9" i="146"/>
  <c r="BK9" i="146"/>
  <c r="BG9" i="146"/>
  <c r="BC9" i="146"/>
  <c r="AY9" i="146"/>
  <c r="AU9" i="146"/>
  <c r="AQ9" i="146"/>
  <c r="AM9" i="146"/>
  <c r="AI9" i="146"/>
  <c r="CQ9" i="146" s="1"/>
  <c r="CW8" i="146"/>
  <c r="CV8" i="146"/>
  <c r="CU8" i="146"/>
  <c r="CT8" i="146"/>
  <c r="CS8" i="146"/>
  <c r="CR8" i="146"/>
  <c r="CP8" i="146"/>
  <c r="CC8" i="146"/>
  <c r="CA8" i="146"/>
  <c r="BW8" i="146"/>
  <c r="BS8" i="146"/>
  <c r="BO8" i="146"/>
  <c r="BK8" i="146"/>
  <c r="BG8" i="146"/>
  <c r="BC8" i="146"/>
  <c r="AY8" i="146"/>
  <c r="AU8" i="146"/>
  <c r="AQ8" i="146"/>
  <c r="AM8" i="146"/>
  <c r="AI8" i="146"/>
  <c r="CQ8" i="146" s="1"/>
  <c r="CW7" i="146"/>
  <c r="CV7" i="146"/>
  <c r="CU7" i="146"/>
  <c r="CT7" i="146"/>
  <c r="CS7" i="146"/>
  <c r="CR7" i="146"/>
  <c r="CP7" i="146"/>
  <c r="CC7" i="146"/>
  <c r="CA7" i="146"/>
  <c r="BW7" i="146"/>
  <c r="BS7" i="146"/>
  <c r="BO7" i="146"/>
  <c r="BK7" i="146"/>
  <c r="BG7" i="146"/>
  <c r="BC7" i="146"/>
  <c r="AY7" i="146"/>
  <c r="AU7" i="146"/>
  <c r="AQ7" i="146"/>
  <c r="AM7" i="146"/>
  <c r="AI7" i="146"/>
  <c r="AF7" i="146"/>
  <c r="AA7" i="146"/>
  <c r="AA5" i="146" s="1"/>
  <c r="X5" i="146"/>
  <c r="DC5" i="146"/>
  <c r="DB5" i="146"/>
  <c r="DA5" i="146"/>
  <c r="CZ5" i="146"/>
  <c r="CY5" i="146"/>
  <c r="CX5" i="146"/>
  <c r="CO5" i="146"/>
  <c r="CN5" i="146"/>
  <c r="CM5" i="146"/>
  <c r="CL5" i="146"/>
  <c r="CK5" i="146"/>
  <c r="CJ5" i="146"/>
  <c r="CI5" i="146"/>
  <c r="CH5" i="146"/>
  <c r="CG5" i="146"/>
  <c r="CF5" i="146"/>
  <c r="CE5" i="146"/>
  <c r="CD5" i="146"/>
  <c r="CB5" i="146"/>
  <c r="BZ5" i="146"/>
  <c r="BY5" i="146"/>
  <c r="BX5" i="146"/>
  <c r="BV5" i="146"/>
  <c r="BU5" i="146"/>
  <c r="BT5" i="146"/>
  <c r="BR5" i="146"/>
  <c r="BQ5" i="146"/>
  <c r="BP5" i="146"/>
  <c r="BN5" i="146"/>
  <c r="BM5" i="146"/>
  <c r="BL5" i="146"/>
  <c r="BJ5" i="146"/>
  <c r="BI5" i="146"/>
  <c r="BH5" i="146"/>
  <c r="BF5" i="146"/>
  <c r="BE5" i="146"/>
  <c r="BD5" i="146"/>
  <c r="BB5" i="146"/>
  <c r="BA5" i="146"/>
  <c r="AZ5" i="146"/>
  <c r="AX5" i="146"/>
  <c r="AW5" i="146"/>
  <c r="AV5" i="146"/>
  <c r="AT5" i="146"/>
  <c r="AS5" i="146"/>
  <c r="AR5" i="146"/>
  <c r="AP5" i="146"/>
  <c r="AO5" i="146"/>
  <c r="AN5" i="146"/>
  <c r="AL5" i="146"/>
  <c r="AK5" i="146"/>
  <c r="AJ5" i="146"/>
  <c r="AH5" i="146"/>
  <c r="AG5" i="146"/>
  <c r="AD5" i="146"/>
  <c r="AC5" i="146"/>
  <c r="AB5" i="146"/>
  <c r="AQ5" i="146" l="1"/>
  <c r="CU5" i="146"/>
  <c r="CC5" i="146"/>
  <c r="CP5" i="146"/>
  <c r="AF5" i="146"/>
  <c r="Z5" i="146"/>
  <c r="BW5" i="146"/>
  <c r="CW4" i="146"/>
  <c r="CT4" i="146"/>
  <c r="BG5" i="146"/>
  <c r="AM5" i="146"/>
  <c r="AU5" i="146"/>
  <c r="CA5" i="146"/>
  <c r="BC5" i="146"/>
  <c r="CR5" i="146"/>
  <c r="BS5" i="146"/>
  <c r="CT1" i="146"/>
  <c r="BK5" i="146"/>
  <c r="CS5" i="146"/>
  <c r="CU1" i="146"/>
  <c r="AY5" i="146"/>
  <c r="CT5" i="146"/>
  <c r="AI5" i="146"/>
  <c r="BO5" i="146"/>
  <c r="CR1" i="146"/>
  <c r="CU4" i="146"/>
  <c r="CQ7" i="146"/>
  <c r="CQ5" i="146" s="1"/>
  <c r="CS1" i="146"/>
  <c r="CV4" i="146"/>
  <c r="CV1" i="146"/>
  <c r="CW1" i="146"/>
  <c r="CR4" i="146"/>
  <c r="CS4" i="146"/>
  <c r="CV5" i="146"/>
  <c r="CW5" i="146"/>
  <c r="AM16" i="120" l="1"/>
  <c r="AM14" i="120"/>
  <c r="AM377" i="120"/>
  <c r="O12" i="120"/>
  <c r="N12" i="120"/>
  <c r="O16" i="120"/>
  <c r="N16" i="120"/>
  <c r="O14" i="120"/>
  <c r="N14" i="120"/>
  <c r="O377" i="120"/>
  <c r="N377" i="120"/>
  <c r="S16" i="120" l="1"/>
  <c r="T16" i="120"/>
  <c r="U16" i="120"/>
  <c r="V16" i="120"/>
  <c r="X16" i="120"/>
  <c r="Y16" i="120"/>
  <c r="Z16" i="120"/>
  <c r="P16" i="120"/>
  <c r="Q16" i="120"/>
  <c r="R16" i="120"/>
  <c r="W16" i="120"/>
  <c r="P14" i="120"/>
  <c r="X14" i="120"/>
  <c r="Q14" i="120"/>
  <c r="Y14" i="120"/>
  <c r="R14" i="120"/>
  <c r="Z14" i="120"/>
  <c r="S14" i="120"/>
  <c r="U14" i="120"/>
  <c r="V14" i="120"/>
  <c r="T14" i="120"/>
  <c r="W14" i="120"/>
  <c r="V377" i="120"/>
  <c r="W377" i="120"/>
  <c r="P377" i="120"/>
  <c r="X377" i="120"/>
  <c r="Q377" i="120"/>
  <c r="Y377" i="120"/>
  <c r="S377" i="120"/>
  <c r="T377" i="120"/>
  <c r="U377" i="120"/>
  <c r="Z377" i="120"/>
  <c r="R377" i="120"/>
  <c r="U12" i="120"/>
  <c r="V12" i="120"/>
  <c r="W12" i="120"/>
  <c r="P12" i="120"/>
  <c r="X12" i="120"/>
  <c r="R12" i="120"/>
  <c r="S12" i="120"/>
  <c r="T12" i="120"/>
  <c r="Y12" i="120"/>
  <c r="Z12" i="120"/>
  <c r="Q12" i="120"/>
  <c r="AA14" i="120"/>
  <c r="AA16" i="120"/>
  <c r="AA12" i="120"/>
  <c r="AA377" i="120"/>
  <c r="AK377" i="120"/>
  <c r="AK14" i="120"/>
  <c r="AK16" i="120"/>
  <c r="D10" i="147"/>
  <c r="D13" i="147" l="1"/>
  <c r="D12" i="147" l="1"/>
  <c r="D9" i="147"/>
  <c r="N381" i="120" l="1"/>
  <c r="O381" i="120"/>
  <c r="N334" i="120"/>
  <c r="O334" i="120"/>
  <c r="N335" i="120"/>
  <c r="O335" i="120"/>
  <c r="N336" i="120"/>
  <c r="O336" i="120"/>
  <c r="N337" i="120"/>
  <c r="O337" i="120"/>
  <c r="N338" i="120"/>
  <c r="O338" i="120"/>
  <c r="N339" i="120"/>
  <c r="O339" i="120"/>
  <c r="N340" i="120"/>
  <c r="O340" i="120"/>
  <c r="N341" i="120"/>
  <c r="O341" i="120"/>
  <c r="N403" i="120"/>
  <c r="O403" i="120"/>
  <c r="N342" i="120"/>
  <c r="O342" i="120"/>
  <c r="N343" i="120"/>
  <c r="O343" i="120"/>
  <c r="N344" i="120"/>
  <c r="O344" i="120"/>
  <c r="N345" i="120"/>
  <c r="O345" i="120"/>
  <c r="N346" i="120"/>
  <c r="O346" i="120"/>
  <c r="N347" i="120"/>
  <c r="O347" i="120"/>
  <c r="N348" i="120"/>
  <c r="O348" i="120"/>
  <c r="N349" i="120"/>
  <c r="O349" i="120"/>
  <c r="N350" i="120"/>
  <c r="O350" i="120"/>
  <c r="N351" i="120"/>
  <c r="O351" i="120"/>
  <c r="N383" i="120"/>
  <c r="O383" i="120"/>
  <c r="N352" i="120"/>
  <c r="O352" i="120"/>
  <c r="N353" i="120"/>
  <c r="O353" i="120"/>
  <c r="N397" i="120"/>
  <c r="O397" i="120"/>
  <c r="N379" i="120"/>
  <c r="O379" i="120"/>
  <c r="N378" i="120"/>
  <c r="O378" i="120"/>
  <c r="N405" i="120"/>
  <c r="O405" i="120"/>
  <c r="N354" i="120"/>
  <c r="O354" i="120"/>
  <c r="N8" i="120"/>
  <c r="O8" i="120"/>
  <c r="N25" i="120"/>
  <c r="O25" i="120"/>
  <c r="N355" i="120"/>
  <c r="O355" i="120"/>
  <c r="N356" i="120"/>
  <c r="O356" i="120"/>
  <c r="N361" i="120"/>
  <c r="O361" i="120"/>
  <c r="N360" i="120"/>
  <c r="O360" i="120"/>
  <c r="N9" i="120"/>
  <c r="O9" i="120"/>
  <c r="N357" i="120"/>
  <c r="O357" i="120"/>
  <c r="N13" i="120"/>
  <c r="O13" i="120"/>
  <c r="N369" i="120"/>
  <c r="O369" i="120"/>
  <c r="N370" i="120"/>
  <c r="O370" i="120"/>
  <c r="N371" i="120"/>
  <c r="O371" i="120"/>
  <c r="N372" i="120"/>
  <c r="O372" i="120"/>
  <c r="N362" i="120"/>
  <c r="O362" i="120"/>
  <c r="N366" i="120"/>
  <c r="O366" i="120"/>
  <c r="N367" i="120"/>
  <c r="O367" i="120"/>
  <c r="N364" i="120"/>
  <c r="O364" i="120"/>
  <c r="N359" i="120"/>
  <c r="O359" i="120"/>
  <c r="N365" i="120"/>
  <c r="O365" i="120"/>
  <c r="N368" i="120"/>
  <c r="O368" i="120"/>
  <c r="N30" i="120"/>
  <c r="O30" i="120"/>
  <c r="N31" i="120"/>
  <c r="O31" i="120"/>
  <c r="N32" i="120"/>
  <c r="O32" i="120"/>
  <c r="N33" i="120"/>
  <c r="O33" i="120"/>
  <c r="N34" i="120"/>
  <c r="O34" i="120"/>
  <c r="N35" i="120"/>
  <c r="O35" i="120"/>
  <c r="N36" i="120"/>
  <c r="O36" i="120"/>
  <c r="N37" i="120"/>
  <c r="O37" i="120"/>
  <c r="N38" i="120"/>
  <c r="O38" i="120"/>
  <c r="N39" i="120"/>
  <c r="O39" i="120"/>
  <c r="N40" i="120"/>
  <c r="O40" i="120"/>
  <c r="N41" i="120"/>
  <c r="O41" i="120"/>
  <c r="N42" i="120"/>
  <c r="O42" i="120"/>
  <c r="N43" i="120"/>
  <c r="O43" i="120"/>
  <c r="N44" i="120"/>
  <c r="O44" i="120"/>
  <c r="N45" i="120"/>
  <c r="O45" i="120"/>
  <c r="N46" i="120"/>
  <c r="O46" i="120"/>
  <c r="N47" i="120"/>
  <c r="O47" i="120"/>
  <c r="N48" i="120"/>
  <c r="O48" i="120"/>
  <c r="N49" i="120"/>
  <c r="O49" i="120"/>
  <c r="N50" i="120"/>
  <c r="O50" i="120"/>
  <c r="N51" i="120"/>
  <c r="O51" i="120"/>
  <c r="N10" i="120"/>
  <c r="O10" i="120"/>
  <c r="N52" i="120"/>
  <c r="O52" i="120"/>
  <c r="N18" i="120"/>
  <c r="O18" i="120"/>
  <c r="N53" i="120"/>
  <c r="O53" i="120"/>
  <c r="N54" i="120"/>
  <c r="O54" i="120"/>
  <c r="N55" i="120"/>
  <c r="O55" i="120"/>
  <c r="N56" i="120"/>
  <c r="O56" i="120"/>
  <c r="N373" i="120"/>
  <c r="O373" i="120"/>
  <c r="N57" i="120"/>
  <c r="O57" i="120"/>
  <c r="N58" i="120"/>
  <c r="O58" i="120"/>
  <c r="N59" i="120"/>
  <c r="O59" i="120"/>
  <c r="N60" i="120"/>
  <c r="O60" i="120"/>
  <c r="N61" i="120"/>
  <c r="O61" i="120"/>
  <c r="N62" i="120"/>
  <c r="O62" i="120"/>
  <c r="N63" i="120"/>
  <c r="O63" i="120"/>
  <c r="N64" i="120"/>
  <c r="O64" i="120"/>
  <c r="N65" i="120"/>
  <c r="O65" i="120"/>
  <c r="N66" i="120"/>
  <c r="O66" i="120"/>
  <c r="N390" i="120"/>
  <c r="O390" i="120"/>
  <c r="N67" i="120"/>
  <c r="O67" i="120"/>
  <c r="N374" i="120"/>
  <c r="O374" i="120"/>
  <c r="N395" i="120"/>
  <c r="O395" i="120"/>
  <c r="N68" i="120"/>
  <c r="O68" i="120"/>
  <c r="N69" i="120"/>
  <c r="O69" i="120"/>
  <c r="N24" i="120"/>
  <c r="O24" i="120"/>
  <c r="N375" i="120"/>
  <c r="O375" i="120"/>
  <c r="N408" i="120"/>
  <c r="O408" i="120"/>
  <c r="N409" i="120"/>
  <c r="O409" i="120"/>
  <c r="N407" i="120"/>
  <c r="O407" i="120"/>
  <c r="N21" i="120"/>
  <c r="O21" i="120"/>
  <c r="N70" i="120"/>
  <c r="O70" i="120"/>
  <c r="N406" i="120"/>
  <c r="O406" i="120"/>
  <c r="N23" i="120"/>
  <c r="O23" i="120"/>
  <c r="N71" i="120"/>
  <c r="O71" i="120"/>
  <c r="N6" i="120"/>
  <c r="O6" i="120"/>
  <c r="N72" i="120"/>
  <c r="O72" i="120"/>
  <c r="N73" i="120"/>
  <c r="O73" i="120"/>
  <c r="N74" i="120"/>
  <c r="O74" i="120"/>
  <c r="N75" i="120"/>
  <c r="O75" i="120"/>
  <c r="N76" i="120"/>
  <c r="O76" i="120"/>
  <c r="N77" i="120"/>
  <c r="O77" i="120"/>
  <c r="N78" i="120"/>
  <c r="O78" i="120"/>
  <c r="N79" i="120"/>
  <c r="O79" i="120"/>
  <c r="N80" i="120"/>
  <c r="O80" i="120"/>
  <c r="N81" i="120"/>
  <c r="O81" i="120"/>
  <c r="N82" i="120"/>
  <c r="O82" i="120"/>
  <c r="N83" i="120"/>
  <c r="O83" i="120"/>
  <c r="N84" i="120"/>
  <c r="O84" i="120"/>
  <c r="N85" i="120"/>
  <c r="O85" i="120"/>
  <c r="N86" i="120"/>
  <c r="O86" i="120"/>
  <c r="N87" i="120"/>
  <c r="O87" i="120"/>
  <c r="N88" i="120"/>
  <c r="O88" i="120"/>
  <c r="N89" i="120"/>
  <c r="O89" i="120"/>
  <c r="N90" i="120"/>
  <c r="O90" i="120"/>
  <c r="N91" i="120"/>
  <c r="O91" i="120"/>
  <c r="N92" i="120"/>
  <c r="O92" i="120"/>
  <c r="N93" i="120"/>
  <c r="O93" i="120"/>
  <c r="N94" i="120"/>
  <c r="O94" i="120"/>
  <c r="N95" i="120"/>
  <c r="O95" i="120"/>
  <c r="N96" i="120"/>
  <c r="O96" i="120"/>
  <c r="N97" i="120"/>
  <c r="O97" i="120"/>
  <c r="N98" i="120"/>
  <c r="O98" i="120"/>
  <c r="N99" i="120"/>
  <c r="O99" i="120"/>
  <c r="N100" i="120"/>
  <c r="O100" i="120"/>
  <c r="N101" i="120"/>
  <c r="O101" i="120"/>
  <c r="N102" i="120"/>
  <c r="O102" i="120"/>
  <c r="N103" i="120"/>
  <c r="O103" i="120"/>
  <c r="N104" i="120"/>
  <c r="O104" i="120"/>
  <c r="N105" i="120"/>
  <c r="O105" i="120"/>
  <c r="N106" i="120"/>
  <c r="O106" i="120"/>
  <c r="N107" i="120"/>
  <c r="O107" i="120"/>
  <c r="N108" i="120"/>
  <c r="O108" i="120"/>
  <c r="N109" i="120"/>
  <c r="O109" i="120"/>
  <c r="N110" i="120"/>
  <c r="O110" i="120"/>
  <c r="N111" i="120"/>
  <c r="O111" i="120"/>
  <c r="N112" i="120"/>
  <c r="O112" i="120"/>
  <c r="N113" i="120"/>
  <c r="O113" i="120"/>
  <c r="N114" i="120"/>
  <c r="O114" i="120"/>
  <c r="N115" i="120"/>
  <c r="O115" i="120"/>
  <c r="N116" i="120"/>
  <c r="O116" i="120"/>
  <c r="N117" i="120"/>
  <c r="O117" i="120"/>
  <c r="N118" i="120"/>
  <c r="O118" i="120"/>
  <c r="N119" i="120"/>
  <c r="O119" i="120"/>
  <c r="N120" i="120"/>
  <c r="O120" i="120"/>
  <c r="N121" i="120"/>
  <c r="O121" i="120"/>
  <c r="N122" i="120"/>
  <c r="O122" i="120"/>
  <c r="N123" i="120"/>
  <c r="O123" i="120"/>
  <c r="N124" i="120"/>
  <c r="O124" i="120"/>
  <c r="N125" i="120"/>
  <c r="O125" i="120"/>
  <c r="N126" i="120"/>
  <c r="O126" i="120"/>
  <c r="N127" i="120"/>
  <c r="O127" i="120"/>
  <c r="N128" i="120"/>
  <c r="O128" i="120"/>
  <c r="N129" i="120"/>
  <c r="O129" i="120"/>
  <c r="N130" i="120"/>
  <c r="O130" i="120"/>
  <c r="N131" i="120"/>
  <c r="O131" i="120"/>
  <c r="N132" i="120"/>
  <c r="O132" i="120"/>
  <c r="N133" i="120"/>
  <c r="O133" i="120"/>
  <c r="N134" i="120"/>
  <c r="O134" i="120"/>
  <c r="N135" i="120"/>
  <c r="O135" i="120"/>
  <c r="N136" i="120"/>
  <c r="O136" i="120"/>
  <c r="N137" i="120"/>
  <c r="O137" i="120"/>
  <c r="N138" i="120"/>
  <c r="O138" i="120"/>
  <c r="N139" i="120"/>
  <c r="O139" i="120"/>
  <c r="N140" i="120"/>
  <c r="O140" i="120"/>
  <c r="N141" i="120"/>
  <c r="O141" i="120"/>
  <c r="N142" i="120"/>
  <c r="O142" i="120"/>
  <c r="N143" i="120"/>
  <c r="O143" i="120"/>
  <c r="N144" i="120"/>
  <c r="O144" i="120"/>
  <c r="N145" i="120"/>
  <c r="O145" i="120"/>
  <c r="N146" i="120"/>
  <c r="O146" i="120"/>
  <c r="N147" i="120"/>
  <c r="O147" i="120"/>
  <c r="N148" i="120"/>
  <c r="O148" i="120"/>
  <c r="N149" i="120"/>
  <c r="O149" i="120"/>
  <c r="N150" i="120"/>
  <c r="O150" i="120"/>
  <c r="N151" i="120"/>
  <c r="O151" i="120"/>
  <c r="N152" i="120"/>
  <c r="O152" i="120"/>
  <c r="N153" i="120"/>
  <c r="O153" i="120"/>
  <c r="N154" i="120"/>
  <c r="O154" i="120"/>
  <c r="N155" i="120"/>
  <c r="O155" i="120"/>
  <c r="N156" i="120"/>
  <c r="O156" i="120"/>
  <c r="N157" i="120"/>
  <c r="O157" i="120"/>
  <c r="N158" i="120"/>
  <c r="O158" i="120"/>
  <c r="N159" i="120"/>
  <c r="O159" i="120"/>
  <c r="N160" i="120"/>
  <c r="O160" i="120"/>
  <c r="N161" i="120"/>
  <c r="O161" i="120"/>
  <c r="N162" i="120"/>
  <c r="O162" i="120"/>
  <c r="N163" i="120"/>
  <c r="O163" i="120"/>
  <c r="N164" i="120"/>
  <c r="O164" i="120"/>
  <c r="N165" i="120"/>
  <c r="O165" i="120"/>
  <c r="N166" i="120"/>
  <c r="O166" i="120"/>
  <c r="N167" i="120"/>
  <c r="O167" i="120"/>
  <c r="N168" i="120"/>
  <c r="O168" i="120"/>
  <c r="N169" i="120"/>
  <c r="O169" i="120"/>
  <c r="N170" i="120"/>
  <c r="O170" i="120"/>
  <c r="N399" i="120"/>
  <c r="O399" i="120"/>
  <c r="N171" i="120"/>
  <c r="O171" i="120"/>
  <c r="N172" i="120"/>
  <c r="O172" i="120"/>
  <c r="N173" i="120"/>
  <c r="O173" i="120"/>
  <c r="N174" i="120"/>
  <c r="O174" i="120"/>
  <c r="N175" i="120"/>
  <c r="O175" i="120"/>
  <c r="N176" i="120"/>
  <c r="O176" i="120"/>
  <c r="N177" i="120"/>
  <c r="O177" i="120"/>
  <c r="N178" i="120"/>
  <c r="O178" i="120"/>
  <c r="N179" i="120"/>
  <c r="O179" i="120"/>
  <c r="N180" i="120"/>
  <c r="O180" i="120"/>
  <c r="N181" i="120"/>
  <c r="O181" i="120"/>
  <c r="N182" i="120"/>
  <c r="O182" i="120"/>
  <c r="N183" i="120"/>
  <c r="O183" i="120"/>
  <c r="N184" i="120"/>
  <c r="O184" i="120"/>
  <c r="N185" i="120"/>
  <c r="O185" i="120"/>
  <c r="N186" i="120"/>
  <c r="O186" i="120"/>
  <c r="N187" i="120"/>
  <c r="O187" i="120"/>
  <c r="N188" i="120"/>
  <c r="O188" i="120"/>
  <c r="N189" i="120"/>
  <c r="O189" i="120"/>
  <c r="N190" i="120"/>
  <c r="O190" i="120"/>
  <c r="N191" i="120"/>
  <c r="O191" i="120"/>
  <c r="N192" i="120"/>
  <c r="O192" i="120"/>
  <c r="N193" i="120"/>
  <c r="O193" i="120"/>
  <c r="N194" i="120"/>
  <c r="O194" i="120"/>
  <c r="N195" i="120"/>
  <c r="O195" i="120"/>
  <c r="N11" i="120"/>
  <c r="O11" i="120"/>
  <c r="N196" i="120"/>
  <c r="O196" i="120"/>
  <c r="N197" i="120"/>
  <c r="O197" i="120"/>
  <c r="N198" i="120"/>
  <c r="O198" i="120"/>
  <c r="N199" i="120"/>
  <c r="O199" i="120"/>
  <c r="N200" i="120"/>
  <c r="O200" i="120"/>
  <c r="N201" i="120"/>
  <c r="O201" i="120"/>
  <c r="N202" i="120"/>
  <c r="O202" i="120"/>
  <c r="N203" i="120"/>
  <c r="O203" i="120"/>
  <c r="N204" i="120"/>
  <c r="O204" i="120"/>
  <c r="N205" i="120"/>
  <c r="O205" i="120"/>
  <c r="N394" i="120"/>
  <c r="O394" i="120"/>
  <c r="N206" i="120"/>
  <c r="O206" i="120"/>
  <c r="N207" i="120"/>
  <c r="O207" i="120"/>
  <c r="N208" i="120"/>
  <c r="O208" i="120"/>
  <c r="N209" i="120"/>
  <c r="O209" i="120"/>
  <c r="N210" i="120"/>
  <c r="O210" i="120"/>
  <c r="N211" i="120"/>
  <c r="O211" i="120"/>
  <c r="N391" i="120"/>
  <c r="O391" i="120"/>
  <c r="N212" i="120"/>
  <c r="O212" i="120"/>
  <c r="N213" i="120"/>
  <c r="O213" i="120"/>
  <c r="N214" i="120"/>
  <c r="O214" i="120"/>
  <c r="N215" i="120"/>
  <c r="O215" i="120"/>
  <c r="N216" i="120"/>
  <c r="O216" i="120"/>
  <c r="N217" i="120"/>
  <c r="O217" i="120"/>
  <c r="N218" i="120"/>
  <c r="O218" i="120"/>
  <c r="N219" i="120"/>
  <c r="O219" i="120"/>
  <c r="N220" i="120"/>
  <c r="O220" i="120"/>
  <c r="N221" i="120"/>
  <c r="O221" i="120"/>
  <c r="N222" i="120"/>
  <c r="O222" i="120"/>
  <c r="N223" i="120"/>
  <c r="O223" i="120"/>
  <c r="N224" i="120"/>
  <c r="O224" i="120"/>
  <c r="N225" i="120"/>
  <c r="O225" i="120"/>
  <c r="N226" i="120"/>
  <c r="O226" i="120"/>
  <c r="N227" i="120"/>
  <c r="O227" i="120"/>
  <c r="N228" i="120"/>
  <c r="O228" i="120"/>
  <c r="N229" i="120"/>
  <c r="O229" i="120"/>
  <c r="N230" i="120"/>
  <c r="O230" i="120"/>
  <c r="N231" i="120"/>
  <c r="O231" i="120"/>
  <c r="N232" i="120"/>
  <c r="O232" i="120"/>
  <c r="N233" i="120"/>
  <c r="O233" i="120"/>
  <c r="N234" i="120"/>
  <c r="O234" i="120"/>
  <c r="N235" i="120"/>
  <c r="O235" i="120"/>
  <c r="N236" i="120"/>
  <c r="O236" i="120"/>
  <c r="N237" i="120"/>
  <c r="O237" i="120"/>
  <c r="N238" i="120"/>
  <c r="O238" i="120"/>
  <c r="N20" i="120"/>
  <c r="O20" i="120"/>
  <c r="N239" i="120"/>
  <c r="O239" i="120"/>
  <c r="N240" i="120"/>
  <c r="O240" i="120"/>
  <c r="N241" i="120"/>
  <c r="O241" i="120"/>
  <c r="N242" i="120"/>
  <c r="O242" i="120"/>
  <c r="N243" i="120"/>
  <c r="O243" i="120"/>
  <c r="N244" i="120"/>
  <c r="O244" i="120"/>
  <c r="N245" i="120"/>
  <c r="O245" i="120"/>
  <c r="N17" i="120"/>
  <c r="O17" i="120"/>
  <c r="N246" i="120"/>
  <c r="O246" i="120"/>
  <c r="N247" i="120"/>
  <c r="O247" i="120"/>
  <c r="N248" i="120"/>
  <c r="O248" i="120"/>
  <c r="N249" i="120"/>
  <c r="O249" i="120"/>
  <c r="N26" i="120"/>
  <c r="O26" i="120"/>
  <c r="N250" i="120"/>
  <c r="O250" i="120"/>
  <c r="N386" i="120"/>
  <c r="O386" i="120"/>
  <c r="N251" i="120"/>
  <c r="O251" i="120"/>
  <c r="N252" i="120"/>
  <c r="O252" i="120"/>
  <c r="N253" i="120"/>
  <c r="O253" i="120"/>
  <c r="N254" i="120"/>
  <c r="O254" i="120"/>
  <c r="N255" i="120"/>
  <c r="O255" i="120"/>
  <c r="N256" i="120"/>
  <c r="O256" i="120"/>
  <c r="N385" i="120"/>
  <c r="O385" i="120"/>
  <c r="N257" i="120"/>
  <c r="O257" i="120"/>
  <c r="N258" i="120"/>
  <c r="O258" i="120"/>
  <c r="N259" i="120"/>
  <c r="O259" i="120"/>
  <c r="N260" i="120"/>
  <c r="O260" i="120"/>
  <c r="N261" i="120"/>
  <c r="O261" i="120"/>
  <c r="N15" i="120"/>
  <c r="O15" i="120"/>
  <c r="N404" i="120"/>
  <c r="O404" i="120"/>
  <c r="N262" i="120"/>
  <c r="O262" i="120"/>
  <c r="N263" i="120"/>
  <c r="O263" i="120"/>
  <c r="N264" i="120"/>
  <c r="O264" i="120"/>
  <c r="N265" i="120"/>
  <c r="O265" i="120"/>
  <c r="N266" i="120"/>
  <c r="O266" i="120"/>
  <c r="N267" i="120"/>
  <c r="O267" i="120"/>
  <c r="N268" i="120"/>
  <c r="O268" i="120"/>
  <c r="N269" i="120"/>
  <c r="O269" i="120"/>
  <c r="N270" i="120"/>
  <c r="O270" i="120"/>
  <c r="N271" i="120"/>
  <c r="O271" i="120"/>
  <c r="N272" i="120"/>
  <c r="O272" i="120"/>
  <c r="N273" i="120"/>
  <c r="O273" i="120"/>
  <c r="N387" i="120"/>
  <c r="O387" i="120"/>
  <c r="N274" i="120"/>
  <c r="O274" i="120"/>
  <c r="N275" i="120"/>
  <c r="O275" i="120"/>
  <c r="N276" i="120"/>
  <c r="O276" i="120"/>
  <c r="N277" i="120"/>
  <c r="O277" i="120"/>
  <c r="N278" i="120"/>
  <c r="O278" i="120"/>
  <c r="N279" i="120"/>
  <c r="O279" i="120"/>
  <c r="N280" i="120"/>
  <c r="O280" i="120"/>
  <c r="N281" i="120"/>
  <c r="O281" i="120"/>
  <c r="N282" i="120"/>
  <c r="O282" i="120"/>
  <c r="N283" i="120"/>
  <c r="O283" i="120"/>
  <c r="N284" i="120"/>
  <c r="O284" i="120"/>
  <c r="N285" i="120"/>
  <c r="O285" i="120"/>
  <c r="N286" i="120"/>
  <c r="O286" i="120"/>
  <c r="N287" i="120"/>
  <c r="O287" i="120"/>
  <c r="N288" i="120"/>
  <c r="O288" i="120"/>
  <c r="N289" i="120"/>
  <c r="O289" i="120"/>
  <c r="N290" i="120"/>
  <c r="O290" i="120"/>
  <c r="N291" i="120"/>
  <c r="O291" i="120"/>
  <c r="N292" i="120"/>
  <c r="O292" i="120"/>
  <c r="N293" i="120"/>
  <c r="O293" i="120"/>
  <c r="N294" i="120"/>
  <c r="O294" i="120"/>
  <c r="N295" i="120"/>
  <c r="O295" i="120"/>
  <c r="N296" i="120"/>
  <c r="O296" i="120"/>
  <c r="N297" i="120"/>
  <c r="O297" i="120"/>
  <c r="N7" i="120"/>
  <c r="O7" i="120"/>
  <c r="N298" i="120"/>
  <c r="O298" i="120"/>
  <c r="N384" i="120"/>
  <c r="O384" i="120"/>
  <c r="N299" i="120"/>
  <c r="O299" i="120"/>
  <c r="N389" i="120"/>
  <c r="O389" i="120"/>
  <c r="N300" i="120"/>
  <c r="O300" i="120"/>
  <c r="N301" i="120"/>
  <c r="O301" i="120"/>
  <c r="N302" i="120"/>
  <c r="O302" i="120"/>
  <c r="N303" i="120"/>
  <c r="O303" i="120"/>
  <c r="N304" i="120"/>
  <c r="O304" i="120"/>
  <c r="N305" i="120"/>
  <c r="O305" i="120"/>
  <c r="N5" i="120"/>
  <c r="O5" i="120"/>
  <c r="N28" i="120"/>
  <c r="O28" i="120"/>
  <c r="N306" i="120"/>
  <c r="O306" i="120"/>
  <c r="N307" i="120"/>
  <c r="O307" i="120"/>
  <c r="N308" i="120"/>
  <c r="O308" i="120"/>
  <c r="N309" i="120"/>
  <c r="O309" i="120"/>
  <c r="N310" i="120"/>
  <c r="O310" i="120"/>
  <c r="N311" i="120"/>
  <c r="O311" i="120"/>
  <c r="N312" i="120"/>
  <c r="O312" i="120"/>
  <c r="N313" i="120"/>
  <c r="O313" i="120"/>
  <c r="N314" i="120"/>
  <c r="O314" i="120"/>
  <c r="N315" i="120"/>
  <c r="O315" i="120"/>
  <c r="N316" i="120"/>
  <c r="O316" i="120"/>
  <c r="N317" i="120"/>
  <c r="O317" i="120"/>
  <c r="N318" i="120"/>
  <c r="O318" i="120"/>
  <c r="N319" i="120"/>
  <c r="O319" i="120"/>
  <c r="N388" i="120"/>
  <c r="O388" i="120"/>
  <c r="N320" i="120"/>
  <c r="O320" i="120"/>
  <c r="N321" i="120"/>
  <c r="O321" i="120"/>
  <c r="N402" i="120"/>
  <c r="O402" i="120"/>
  <c r="N393" i="120"/>
  <c r="O393" i="120"/>
  <c r="N400" i="120"/>
  <c r="O400" i="120"/>
  <c r="N322" i="120"/>
  <c r="O322" i="120"/>
  <c r="N382" i="120"/>
  <c r="O382" i="120"/>
  <c r="N323" i="120"/>
  <c r="O323" i="120"/>
  <c r="N324" i="120"/>
  <c r="O324" i="120"/>
  <c r="N325" i="120"/>
  <c r="O325" i="120"/>
  <c r="N326" i="120"/>
  <c r="O326" i="120"/>
  <c r="N327" i="120"/>
  <c r="O327" i="120"/>
  <c r="N328" i="120"/>
  <c r="O328" i="120"/>
  <c r="N329" i="120"/>
  <c r="O329" i="120"/>
  <c r="N396" i="120"/>
  <c r="O396" i="120"/>
  <c r="N392" i="120"/>
  <c r="O392" i="120"/>
  <c r="N398" i="120"/>
  <c r="O398" i="120"/>
  <c r="N330" i="120"/>
  <c r="O330" i="120"/>
  <c r="N401" i="120"/>
  <c r="O401" i="120"/>
  <c r="N380" i="120"/>
  <c r="O380" i="120"/>
  <c r="N331" i="120"/>
  <c r="O331" i="120"/>
  <c r="N332" i="120"/>
  <c r="O332" i="120"/>
  <c r="N19" i="120"/>
  <c r="O19" i="120"/>
  <c r="N333" i="120"/>
  <c r="O333" i="120"/>
  <c r="O29" i="120"/>
  <c r="N29" i="120"/>
  <c r="H10" i="143"/>
  <c r="H5" i="143" s="1"/>
  <c r="J5" i="143"/>
  <c r="AI19" i="143"/>
  <c r="AH19" i="143"/>
  <c r="AG19" i="143"/>
  <c r="R19" i="143"/>
  <c r="R15" i="143"/>
  <c r="AI17" i="143"/>
  <c r="AH17" i="143"/>
  <c r="AG17" i="143"/>
  <c r="R17" i="143"/>
  <c r="AI18" i="143"/>
  <c r="AH18" i="143"/>
  <c r="AG18" i="143"/>
  <c r="R18" i="143"/>
  <c r="AI16" i="143"/>
  <c r="AH16" i="143"/>
  <c r="AG16" i="143"/>
  <c r="R16" i="143"/>
  <c r="AI11" i="143"/>
  <c r="AH11" i="143"/>
  <c r="AG11" i="143"/>
  <c r="R11" i="143"/>
  <c r="AI14" i="143"/>
  <c r="AH14" i="143"/>
  <c r="AG14" i="143"/>
  <c r="R14" i="143"/>
  <c r="AI13" i="143"/>
  <c r="AH13" i="143"/>
  <c r="AG13" i="143"/>
  <c r="R13" i="143"/>
  <c r="AI12" i="143"/>
  <c r="AH12" i="143"/>
  <c r="AG12" i="143"/>
  <c r="R12" i="143"/>
  <c r="AI9" i="143"/>
  <c r="AH9" i="143"/>
  <c r="AG9" i="143"/>
  <c r="R9" i="143"/>
  <c r="J9" i="143"/>
  <c r="AI8" i="143"/>
  <c r="AH8" i="143"/>
  <c r="AH5" i="143" s="1"/>
  <c r="AG8" i="143"/>
  <c r="R8" i="143"/>
  <c r="AO5" i="143"/>
  <c r="AN5" i="143"/>
  <c r="AM5" i="143"/>
  <c r="AL5" i="143"/>
  <c r="AK5" i="143"/>
  <c r="AJ5" i="143"/>
  <c r="AG5" i="143"/>
  <c r="AF5" i="143"/>
  <c r="AE5" i="143"/>
  <c r="AD5" i="143"/>
  <c r="AC5" i="143"/>
  <c r="AB5" i="143"/>
  <c r="AA5" i="143"/>
  <c r="Z5" i="143"/>
  <c r="Y5" i="143"/>
  <c r="X5" i="143"/>
  <c r="W5" i="143"/>
  <c r="V5" i="143"/>
  <c r="U5" i="143"/>
  <c r="T5" i="143"/>
  <c r="S5" i="143"/>
  <c r="P5" i="143"/>
  <c r="O5" i="143"/>
  <c r="K226" i="60"/>
  <c r="K225" i="60"/>
  <c r="Q94" i="113"/>
  <c r="DL12" i="120"/>
  <c r="DZ12" i="120" s="1"/>
  <c r="AA301" i="120" l="1"/>
  <c r="AA306" i="120"/>
  <c r="AA7" i="120"/>
  <c r="S331" i="120"/>
  <c r="T331" i="120"/>
  <c r="U331" i="120"/>
  <c r="V331" i="120"/>
  <c r="P331" i="120"/>
  <c r="Q331" i="120"/>
  <c r="R331" i="120"/>
  <c r="W331" i="120"/>
  <c r="X331" i="120"/>
  <c r="Y331" i="120"/>
  <c r="Z331" i="120"/>
  <c r="W398" i="120"/>
  <c r="P398" i="120"/>
  <c r="X398" i="120"/>
  <c r="Q398" i="120"/>
  <c r="Y398" i="120"/>
  <c r="R398" i="120"/>
  <c r="Z398" i="120"/>
  <c r="U398" i="120"/>
  <c r="S398" i="120"/>
  <c r="T398" i="120"/>
  <c r="V398" i="120"/>
  <c r="S328" i="120"/>
  <c r="T328" i="120"/>
  <c r="U328" i="120"/>
  <c r="V328" i="120"/>
  <c r="X328" i="120"/>
  <c r="Y328" i="120"/>
  <c r="Z328" i="120"/>
  <c r="P328" i="120"/>
  <c r="Q328" i="120"/>
  <c r="R328" i="120"/>
  <c r="W328" i="120"/>
  <c r="W324" i="120"/>
  <c r="P324" i="120"/>
  <c r="X324" i="120"/>
  <c r="Q324" i="120"/>
  <c r="Y324" i="120"/>
  <c r="R324" i="120"/>
  <c r="Z324" i="120"/>
  <c r="T324" i="120"/>
  <c r="U324" i="120"/>
  <c r="V324" i="120"/>
  <c r="S324" i="120"/>
  <c r="S400" i="120"/>
  <c r="T400" i="120"/>
  <c r="U400" i="120"/>
  <c r="V400" i="120"/>
  <c r="P400" i="120"/>
  <c r="Q400" i="120"/>
  <c r="R400" i="120"/>
  <c r="W400" i="120"/>
  <c r="X400" i="120"/>
  <c r="Y400" i="120"/>
  <c r="Z400" i="120"/>
  <c r="W320" i="120"/>
  <c r="P320" i="120"/>
  <c r="X320" i="120"/>
  <c r="Q320" i="120"/>
  <c r="Y320" i="120"/>
  <c r="R320" i="120"/>
  <c r="Z320" i="120"/>
  <c r="U320" i="120"/>
  <c r="S320" i="120"/>
  <c r="T320" i="120"/>
  <c r="V320" i="120"/>
  <c r="S317" i="120"/>
  <c r="T317" i="120"/>
  <c r="U317" i="120"/>
  <c r="V317" i="120"/>
  <c r="X317" i="120"/>
  <c r="Y317" i="120"/>
  <c r="Q317" i="120"/>
  <c r="Z317" i="120"/>
  <c r="P317" i="120"/>
  <c r="R317" i="120"/>
  <c r="W317" i="120"/>
  <c r="W313" i="120"/>
  <c r="P313" i="120"/>
  <c r="X313" i="120"/>
  <c r="Q313" i="120"/>
  <c r="Y313" i="120"/>
  <c r="R313" i="120"/>
  <c r="Z313" i="120"/>
  <c r="T313" i="120"/>
  <c r="U313" i="120"/>
  <c r="V313" i="120"/>
  <c r="S313" i="120"/>
  <c r="S309" i="120"/>
  <c r="T309" i="120"/>
  <c r="U309" i="120"/>
  <c r="V309" i="120"/>
  <c r="P309" i="120"/>
  <c r="Q309" i="120"/>
  <c r="R309" i="120"/>
  <c r="W309" i="120"/>
  <c r="X309" i="120"/>
  <c r="Y309" i="120"/>
  <c r="Z309" i="120"/>
  <c r="W28" i="120"/>
  <c r="P28" i="120"/>
  <c r="X28" i="120"/>
  <c r="Q28" i="120"/>
  <c r="Y28" i="120"/>
  <c r="R28" i="120"/>
  <c r="Z28" i="120"/>
  <c r="S28" i="120"/>
  <c r="T28" i="120"/>
  <c r="U28" i="120"/>
  <c r="V28" i="120"/>
  <c r="S303" i="120"/>
  <c r="T303" i="120"/>
  <c r="U303" i="120"/>
  <c r="V303" i="120"/>
  <c r="X303" i="120"/>
  <c r="Y303" i="120"/>
  <c r="Q303" i="120"/>
  <c r="Z303" i="120"/>
  <c r="P303" i="120"/>
  <c r="R303" i="120"/>
  <c r="W303" i="120"/>
  <c r="W389" i="120"/>
  <c r="P389" i="120"/>
  <c r="X389" i="120"/>
  <c r="S389" i="120"/>
  <c r="Q389" i="120"/>
  <c r="Y389" i="120"/>
  <c r="R389" i="120"/>
  <c r="Z389" i="120"/>
  <c r="T389" i="120"/>
  <c r="U389" i="120"/>
  <c r="V389" i="120"/>
  <c r="S7" i="120"/>
  <c r="W7" i="120"/>
  <c r="T7" i="120"/>
  <c r="U7" i="120"/>
  <c r="V7" i="120"/>
  <c r="Z7" i="120"/>
  <c r="R7" i="120"/>
  <c r="P7" i="120"/>
  <c r="Q7" i="120"/>
  <c r="X7" i="120"/>
  <c r="Y7" i="120"/>
  <c r="W294" i="120"/>
  <c r="P294" i="120"/>
  <c r="X294" i="120"/>
  <c r="S294" i="120"/>
  <c r="Q294" i="120"/>
  <c r="Y294" i="120"/>
  <c r="R294" i="120"/>
  <c r="Z294" i="120"/>
  <c r="U294" i="120"/>
  <c r="T294" i="120"/>
  <c r="V294" i="120"/>
  <c r="S290" i="120"/>
  <c r="T290" i="120"/>
  <c r="U290" i="120"/>
  <c r="V290" i="120"/>
  <c r="W290" i="120"/>
  <c r="X290" i="120"/>
  <c r="P290" i="120"/>
  <c r="Q290" i="120"/>
  <c r="R290" i="120"/>
  <c r="Z290" i="120"/>
  <c r="Y290" i="120"/>
  <c r="W286" i="120"/>
  <c r="P286" i="120"/>
  <c r="X286" i="120"/>
  <c r="S286" i="120"/>
  <c r="Q286" i="120"/>
  <c r="Y286" i="120"/>
  <c r="R286" i="120"/>
  <c r="Z286" i="120"/>
  <c r="V286" i="120"/>
  <c r="T286" i="120"/>
  <c r="U286" i="120"/>
  <c r="S282" i="120"/>
  <c r="T282" i="120"/>
  <c r="U282" i="120"/>
  <c r="W282" i="120"/>
  <c r="V282" i="120"/>
  <c r="P282" i="120"/>
  <c r="Y282" i="120"/>
  <c r="Q282" i="120"/>
  <c r="R282" i="120"/>
  <c r="X282" i="120"/>
  <c r="Z282" i="120"/>
  <c r="W278" i="120"/>
  <c r="P278" i="120"/>
  <c r="X278" i="120"/>
  <c r="S278" i="120"/>
  <c r="Q278" i="120"/>
  <c r="Y278" i="120"/>
  <c r="R278" i="120"/>
  <c r="Z278" i="120"/>
  <c r="T278" i="120"/>
  <c r="U278" i="120"/>
  <c r="V278" i="120"/>
  <c r="S274" i="120"/>
  <c r="T274" i="120"/>
  <c r="W274" i="120"/>
  <c r="U274" i="120"/>
  <c r="V274" i="120"/>
  <c r="P274" i="120"/>
  <c r="Q274" i="120"/>
  <c r="Z274" i="120"/>
  <c r="R274" i="120"/>
  <c r="X274" i="120"/>
  <c r="Y274" i="120"/>
  <c r="W271" i="120"/>
  <c r="P271" i="120"/>
  <c r="X271" i="120"/>
  <c r="Q271" i="120"/>
  <c r="Y271" i="120"/>
  <c r="S271" i="120"/>
  <c r="R271" i="120"/>
  <c r="Z271" i="120"/>
  <c r="T271" i="120"/>
  <c r="U271" i="120"/>
  <c r="V271" i="120"/>
  <c r="S267" i="120"/>
  <c r="T267" i="120"/>
  <c r="W267" i="120"/>
  <c r="U267" i="120"/>
  <c r="V267" i="120"/>
  <c r="Q267" i="120"/>
  <c r="R267" i="120"/>
  <c r="X267" i="120"/>
  <c r="Y267" i="120"/>
  <c r="Z267" i="120"/>
  <c r="P267" i="120"/>
  <c r="W263" i="120"/>
  <c r="P263" i="120"/>
  <c r="X263" i="120"/>
  <c r="Q263" i="120"/>
  <c r="Y263" i="120"/>
  <c r="R263" i="120"/>
  <c r="Z263" i="120"/>
  <c r="S263" i="120"/>
  <c r="T263" i="120"/>
  <c r="U263" i="120"/>
  <c r="V263" i="120"/>
  <c r="S261" i="120"/>
  <c r="T261" i="120"/>
  <c r="U261" i="120"/>
  <c r="V261" i="120"/>
  <c r="W261" i="120"/>
  <c r="R261" i="120"/>
  <c r="X261" i="120"/>
  <c r="Y261" i="120"/>
  <c r="Z261" i="120"/>
  <c r="P261" i="120"/>
  <c r="Q261" i="120"/>
  <c r="W257" i="120"/>
  <c r="P257" i="120"/>
  <c r="X257" i="120"/>
  <c r="Q257" i="120"/>
  <c r="Y257" i="120"/>
  <c r="R257" i="120"/>
  <c r="Z257" i="120"/>
  <c r="S257" i="120"/>
  <c r="U257" i="120"/>
  <c r="V257" i="120"/>
  <c r="T257" i="120"/>
  <c r="P254" i="120"/>
  <c r="X254" i="120"/>
  <c r="Q254" i="120"/>
  <c r="Y254" i="120"/>
  <c r="R254" i="120"/>
  <c r="Z254" i="120"/>
  <c r="S254" i="120"/>
  <c r="T254" i="120"/>
  <c r="W254" i="120"/>
  <c r="U254" i="120"/>
  <c r="V254" i="120"/>
  <c r="T386" i="120"/>
  <c r="U386" i="120"/>
  <c r="V386" i="120"/>
  <c r="W386" i="120"/>
  <c r="X386" i="120"/>
  <c r="Y386" i="120"/>
  <c r="Z386" i="120"/>
  <c r="P386" i="120"/>
  <c r="Q386" i="120"/>
  <c r="R386" i="120"/>
  <c r="S386" i="120"/>
  <c r="P248" i="120"/>
  <c r="X248" i="120"/>
  <c r="Q248" i="120"/>
  <c r="Y248" i="120"/>
  <c r="R248" i="120"/>
  <c r="Z248" i="120"/>
  <c r="S248" i="120"/>
  <c r="T248" i="120"/>
  <c r="U248" i="120"/>
  <c r="V248" i="120"/>
  <c r="W248" i="120"/>
  <c r="T245" i="120"/>
  <c r="U245" i="120"/>
  <c r="V245" i="120"/>
  <c r="W245" i="120"/>
  <c r="P245" i="120"/>
  <c r="Q245" i="120"/>
  <c r="R245" i="120"/>
  <c r="S245" i="120"/>
  <c r="X245" i="120"/>
  <c r="Y245" i="120"/>
  <c r="Z245" i="120"/>
  <c r="P241" i="120"/>
  <c r="X241" i="120"/>
  <c r="Q241" i="120"/>
  <c r="Y241" i="120"/>
  <c r="R241" i="120"/>
  <c r="Z241" i="120"/>
  <c r="S241" i="120"/>
  <c r="T241" i="120"/>
  <c r="U241" i="120"/>
  <c r="V241" i="120"/>
  <c r="W241" i="120"/>
  <c r="T238" i="120"/>
  <c r="U238" i="120"/>
  <c r="V238" i="120"/>
  <c r="W238" i="120"/>
  <c r="X238" i="120"/>
  <c r="Y238" i="120"/>
  <c r="Z238" i="120"/>
  <c r="P238" i="120"/>
  <c r="S238" i="120"/>
  <c r="Q238" i="120"/>
  <c r="R238" i="120"/>
  <c r="P234" i="120"/>
  <c r="X234" i="120"/>
  <c r="Q234" i="120"/>
  <c r="Y234" i="120"/>
  <c r="R234" i="120"/>
  <c r="Z234" i="120"/>
  <c r="S234" i="120"/>
  <c r="T234" i="120"/>
  <c r="U234" i="120"/>
  <c r="V234" i="120"/>
  <c r="W234" i="120"/>
  <c r="T230" i="120"/>
  <c r="U230" i="120"/>
  <c r="V230" i="120"/>
  <c r="W230" i="120"/>
  <c r="P230" i="120"/>
  <c r="Q230" i="120"/>
  <c r="R230" i="120"/>
  <c r="X230" i="120"/>
  <c r="S230" i="120"/>
  <c r="Y230" i="120"/>
  <c r="Z230" i="120"/>
  <c r="P226" i="120"/>
  <c r="X226" i="120"/>
  <c r="Q226" i="120"/>
  <c r="Y226" i="120"/>
  <c r="R226" i="120"/>
  <c r="Z226" i="120"/>
  <c r="S226" i="120"/>
  <c r="T226" i="120"/>
  <c r="W226" i="120"/>
  <c r="U226" i="120"/>
  <c r="V226" i="120"/>
  <c r="T222" i="120"/>
  <c r="U222" i="120"/>
  <c r="V222" i="120"/>
  <c r="W222" i="120"/>
  <c r="X222" i="120"/>
  <c r="Y222" i="120"/>
  <c r="Z222" i="120"/>
  <c r="P222" i="120"/>
  <c r="Q222" i="120"/>
  <c r="R222" i="120"/>
  <c r="S222" i="120"/>
  <c r="P218" i="120"/>
  <c r="X218" i="120"/>
  <c r="Q218" i="120"/>
  <c r="Y218" i="120"/>
  <c r="R218" i="120"/>
  <c r="Z218" i="120"/>
  <c r="S218" i="120"/>
  <c r="T218" i="120"/>
  <c r="U218" i="120"/>
  <c r="V218" i="120"/>
  <c r="W218" i="120"/>
  <c r="T214" i="120"/>
  <c r="U214" i="120"/>
  <c r="V214" i="120"/>
  <c r="W214" i="120"/>
  <c r="P214" i="120"/>
  <c r="Q214" i="120"/>
  <c r="X214" i="120"/>
  <c r="R214" i="120"/>
  <c r="S214" i="120"/>
  <c r="Y214" i="120"/>
  <c r="Z214" i="120"/>
  <c r="P211" i="120"/>
  <c r="X211" i="120"/>
  <c r="Q211" i="120"/>
  <c r="Y211" i="120"/>
  <c r="R211" i="120"/>
  <c r="Z211" i="120"/>
  <c r="S211" i="120"/>
  <c r="T211" i="120"/>
  <c r="U211" i="120"/>
  <c r="V211" i="120"/>
  <c r="W211" i="120"/>
  <c r="T207" i="120"/>
  <c r="U207" i="120"/>
  <c r="V207" i="120"/>
  <c r="W207" i="120"/>
  <c r="X207" i="120"/>
  <c r="P207" i="120"/>
  <c r="Y207" i="120"/>
  <c r="Z207" i="120"/>
  <c r="Q207" i="120"/>
  <c r="R207" i="120"/>
  <c r="S207" i="120"/>
  <c r="P204" i="120"/>
  <c r="X204" i="120"/>
  <c r="Q204" i="120"/>
  <c r="Y204" i="120"/>
  <c r="R204" i="120"/>
  <c r="Z204" i="120"/>
  <c r="S204" i="120"/>
  <c r="T204" i="120"/>
  <c r="U204" i="120"/>
  <c r="V204" i="120"/>
  <c r="W204" i="120"/>
  <c r="V200" i="120"/>
  <c r="W200" i="120"/>
  <c r="P200" i="120"/>
  <c r="X200" i="120"/>
  <c r="U200" i="120"/>
  <c r="Y200" i="120"/>
  <c r="Z200" i="120"/>
  <c r="Q200" i="120"/>
  <c r="R200" i="120"/>
  <c r="S200" i="120"/>
  <c r="T200" i="120"/>
  <c r="R196" i="120"/>
  <c r="Z196" i="120"/>
  <c r="S196" i="120"/>
  <c r="T196" i="120"/>
  <c r="P196" i="120"/>
  <c r="Q196" i="120"/>
  <c r="U196" i="120"/>
  <c r="V196" i="120"/>
  <c r="W196" i="120"/>
  <c r="X196" i="120"/>
  <c r="Y196" i="120"/>
  <c r="V193" i="120"/>
  <c r="W193" i="120"/>
  <c r="P193" i="120"/>
  <c r="X193" i="120"/>
  <c r="T193" i="120"/>
  <c r="U193" i="120"/>
  <c r="Y193" i="120"/>
  <c r="Z193" i="120"/>
  <c r="Q193" i="120"/>
  <c r="R193" i="120"/>
  <c r="S193" i="120"/>
  <c r="R189" i="120"/>
  <c r="Z189" i="120"/>
  <c r="S189" i="120"/>
  <c r="T189" i="120"/>
  <c r="Y189" i="120"/>
  <c r="P189" i="120"/>
  <c r="Q189" i="120"/>
  <c r="U189" i="120"/>
  <c r="V189" i="120"/>
  <c r="W189" i="120"/>
  <c r="X189" i="120"/>
  <c r="U185" i="120"/>
  <c r="V185" i="120"/>
  <c r="W185" i="120"/>
  <c r="P185" i="120"/>
  <c r="X185" i="120"/>
  <c r="Q185" i="120"/>
  <c r="R185" i="120"/>
  <c r="S185" i="120"/>
  <c r="T185" i="120"/>
  <c r="Y185" i="120"/>
  <c r="Z185" i="120"/>
  <c r="Q181" i="120"/>
  <c r="Y181" i="120"/>
  <c r="R181" i="120"/>
  <c r="Z181" i="120"/>
  <c r="S181" i="120"/>
  <c r="T181" i="120"/>
  <c r="P181" i="120"/>
  <c r="U181" i="120"/>
  <c r="V181" i="120"/>
  <c r="W181" i="120"/>
  <c r="X181" i="120"/>
  <c r="U177" i="120"/>
  <c r="V177" i="120"/>
  <c r="W177" i="120"/>
  <c r="P177" i="120"/>
  <c r="X177" i="120"/>
  <c r="Y177" i="120"/>
  <c r="Z177" i="120"/>
  <c r="Q177" i="120"/>
  <c r="R177" i="120"/>
  <c r="S177" i="120"/>
  <c r="T177" i="120"/>
  <c r="Q173" i="120"/>
  <c r="Y173" i="120"/>
  <c r="R173" i="120"/>
  <c r="Z173" i="120"/>
  <c r="S173" i="120"/>
  <c r="T173" i="120"/>
  <c r="U173" i="120"/>
  <c r="V173" i="120"/>
  <c r="W173" i="120"/>
  <c r="X173" i="120"/>
  <c r="P173" i="120"/>
  <c r="U170" i="120"/>
  <c r="V170" i="120"/>
  <c r="W170" i="120"/>
  <c r="P170" i="120"/>
  <c r="X170" i="120"/>
  <c r="Q170" i="120"/>
  <c r="R170" i="120"/>
  <c r="S170" i="120"/>
  <c r="T170" i="120"/>
  <c r="Y170" i="120"/>
  <c r="Z170" i="120"/>
  <c r="Q166" i="120"/>
  <c r="Y166" i="120"/>
  <c r="R166" i="120"/>
  <c r="Z166" i="120"/>
  <c r="S166" i="120"/>
  <c r="T166" i="120"/>
  <c r="P166" i="120"/>
  <c r="U166" i="120"/>
  <c r="V166" i="120"/>
  <c r="W166" i="120"/>
  <c r="X166" i="120"/>
  <c r="U162" i="120"/>
  <c r="V162" i="120"/>
  <c r="W162" i="120"/>
  <c r="P162" i="120"/>
  <c r="X162" i="120"/>
  <c r="Y162" i="120"/>
  <c r="Z162" i="120"/>
  <c r="Q162" i="120"/>
  <c r="R162" i="120"/>
  <c r="S162" i="120"/>
  <c r="T162" i="120"/>
  <c r="Q158" i="120"/>
  <c r="Y158" i="120"/>
  <c r="R158" i="120"/>
  <c r="Z158" i="120"/>
  <c r="S158" i="120"/>
  <c r="T158" i="120"/>
  <c r="U158" i="120"/>
  <c r="V158" i="120"/>
  <c r="W158" i="120"/>
  <c r="X158" i="120"/>
  <c r="P158" i="120"/>
  <c r="U154" i="120"/>
  <c r="V154" i="120"/>
  <c r="W154" i="120"/>
  <c r="P154" i="120"/>
  <c r="X154" i="120"/>
  <c r="Q154" i="120"/>
  <c r="R154" i="120"/>
  <c r="S154" i="120"/>
  <c r="T154" i="120"/>
  <c r="Y154" i="120"/>
  <c r="Z154" i="120"/>
  <c r="Q150" i="120"/>
  <c r="Y150" i="120"/>
  <c r="R150" i="120"/>
  <c r="Z150" i="120"/>
  <c r="S150" i="120"/>
  <c r="T150" i="120"/>
  <c r="P150" i="120"/>
  <c r="U150" i="120"/>
  <c r="V150" i="120"/>
  <c r="W150" i="120"/>
  <c r="X150" i="120"/>
  <c r="U146" i="120"/>
  <c r="V146" i="120"/>
  <c r="W146" i="120"/>
  <c r="P146" i="120"/>
  <c r="X146" i="120"/>
  <c r="Y146" i="120"/>
  <c r="Z146" i="120"/>
  <c r="Q146" i="120"/>
  <c r="S146" i="120"/>
  <c r="T146" i="120"/>
  <c r="R146" i="120"/>
  <c r="Q142" i="120"/>
  <c r="Y142" i="120"/>
  <c r="R142" i="120"/>
  <c r="Z142" i="120"/>
  <c r="S142" i="120"/>
  <c r="T142" i="120"/>
  <c r="U142" i="120"/>
  <c r="V142" i="120"/>
  <c r="W142" i="120"/>
  <c r="X142" i="120"/>
  <c r="P142" i="120"/>
  <c r="U138" i="120"/>
  <c r="V138" i="120"/>
  <c r="W138" i="120"/>
  <c r="P138" i="120"/>
  <c r="X138" i="120"/>
  <c r="Q138" i="120"/>
  <c r="R138" i="120"/>
  <c r="S138" i="120"/>
  <c r="T138" i="120"/>
  <c r="Y138" i="120"/>
  <c r="Z138" i="120"/>
  <c r="Q134" i="120"/>
  <c r="Y134" i="120"/>
  <c r="R134" i="120"/>
  <c r="Z134" i="120"/>
  <c r="S134" i="120"/>
  <c r="T134" i="120"/>
  <c r="P134" i="120"/>
  <c r="U134" i="120"/>
  <c r="V134" i="120"/>
  <c r="W134" i="120"/>
  <c r="X134" i="120"/>
  <c r="U130" i="120"/>
  <c r="V130" i="120"/>
  <c r="W130" i="120"/>
  <c r="P130" i="120"/>
  <c r="X130" i="120"/>
  <c r="Y130" i="120"/>
  <c r="Z130" i="120"/>
  <c r="Q130" i="120"/>
  <c r="R130" i="120"/>
  <c r="S130" i="120"/>
  <c r="T130" i="120"/>
  <c r="Q126" i="120"/>
  <c r="Y126" i="120"/>
  <c r="R126" i="120"/>
  <c r="Z126" i="120"/>
  <c r="S126" i="120"/>
  <c r="T126" i="120"/>
  <c r="U126" i="120"/>
  <c r="V126" i="120"/>
  <c r="W126" i="120"/>
  <c r="X126" i="120"/>
  <c r="P126" i="120"/>
  <c r="U122" i="120"/>
  <c r="V122" i="120"/>
  <c r="W122" i="120"/>
  <c r="P122" i="120"/>
  <c r="X122" i="120"/>
  <c r="Q122" i="120"/>
  <c r="R122" i="120"/>
  <c r="S122" i="120"/>
  <c r="T122" i="120"/>
  <c r="Y122" i="120"/>
  <c r="Z122" i="120"/>
  <c r="Q118" i="120"/>
  <c r="Y118" i="120"/>
  <c r="R118" i="120"/>
  <c r="Z118" i="120"/>
  <c r="S118" i="120"/>
  <c r="T118" i="120"/>
  <c r="P118" i="120"/>
  <c r="U118" i="120"/>
  <c r="V118" i="120"/>
  <c r="W118" i="120"/>
  <c r="X118" i="120"/>
  <c r="U114" i="120"/>
  <c r="V114" i="120"/>
  <c r="W114" i="120"/>
  <c r="P114" i="120"/>
  <c r="X114" i="120"/>
  <c r="Y114" i="120"/>
  <c r="Z114" i="120"/>
  <c r="Q114" i="120"/>
  <c r="T114" i="120"/>
  <c r="R114" i="120"/>
  <c r="S114" i="120"/>
  <c r="W110" i="120"/>
  <c r="P110" i="120"/>
  <c r="X110" i="120"/>
  <c r="Q110" i="120"/>
  <c r="Y110" i="120"/>
  <c r="R110" i="120"/>
  <c r="Z110" i="120"/>
  <c r="S110" i="120"/>
  <c r="T110" i="120"/>
  <c r="U110" i="120"/>
  <c r="V110" i="120"/>
  <c r="S106" i="120"/>
  <c r="T106" i="120"/>
  <c r="U106" i="120"/>
  <c r="V106" i="120"/>
  <c r="W106" i="120"/>
  <c r="X106" i="120"/>
  <c r="Y106" i="120"/>
  <c r="Z106" i="120"/>
  <c r="P106" i="120"/>
  <c r="Q106" i="120"/>
  <c r="R106" i="120"/>
  <c r="W102" i="120"/>
  <c r="P102" i="120"/>
  <c r="X102" i="120"/>
  <c r="Q102" i="120"/>
  <c r="Y102" i="120"/>
  <c r="R102" i="120"/>
  <c r="Z102" i="120"/>
  <c r="S102" i="120"/>
  <c r="T102" i="120"/>
  <c r="U102" i="120"/>
  <c r="V102" i="120"/>
  <c r="S98" i="120"/>
  <c r="T98" i="120"/>
  <c r="U98" i="120"/>
  <c r="V98" i="120"/>
  <c r="P98" i="120"/>
  <c r="Q98" i="120"/>
  <c r="R98" i="120"/>
  <c r="W98" i="120"/>
  <c r="X98" i="120"/>
  <c r="Y98" i="120"/>
  <c r="Z98" i="120"/>
  <c r="W94" i="120"/>
  <c r="P94" i="120"/>
  <c r="X94" i="120"/>
  <c r="Q94" i="120"/>
  <c r="Y94" i="120"/>
  <c r="R94" i="120"/>
  <c r="Z94" i="120"/>
  <c r="S94" i="120"/>
  <c r="T94" i="120"/>
  <c r="U94" i="120"/>
  <c r="V94" i="120"/>
  <c r="S90" i="120"/>
  <c r="T90" i="120"/>
  <c r="U90" i="120"/>
  <c r="V90" i="120"/>
  <c r="W90" i="120"/>
  <c r="X90" i="120"/>
  <c r="Y90" i="120"/>
  <c r="Z90" i="120"/>
  <c r="P90" i="120"/>
  <c r="Q90" i="120"/>
  <c r="R90" i="120"/>
  <c r="W86" i="120"/>
  <c r="P86" i="120"/>
  <c r="X86" i="120"/>
  <c r="Q86" i="120"/>
  <c r="Y86" i="120"/>
  <c r="R86" i="120"/>
  <c r="Z86" i="120"/>
  <c r="S86" i="120"/>
  <c r="T86" i="120"/>
  <c r="U86" i="120"/>
  <c r="V86" i="120"/>
  <c r="S82" i="120"/>
  <c r="T82" i="120"/>
  <c r="U82" i="120"/>
  <c r="V82" i="120"/>
  <c r="P82" i="120"/>
  <c r="Q82" i="120"/>
  <c r="R82" i="120"/>
  <c r="W82" i="120"/>
  <c r="X82" i="120"/>
  <c r="Y82" i="120"/>
  <c r="Z82" i="120"/>
  <c r="W78" i="120"/>
  <c r="P78" i="120"/>
  <c r="X78" i="120"/>
  <c r="Q78" i="120"/>
  <c r="Y78" i="120"/>
  <c r="R78" i="120"/>
  <c r="Z78" i="120"/>
  <c r="S78" i="120"/>
  <c r="T78" i="120"/>
  <c r="U78" i="120"/>
  <c r="V78" i="120"/>
  <c r="P74" i="120"/>
  <c r="X74" i="120"/>
  <c r="Q74" i="120"/>
  <c r="Y74" i="120"/>
  <c r="R74" i="120"/>
  <c r="Z74" i="120"/>
  <c r="S74" i="120"/>
  <c r="W74" i="120"/>
  <c r="T74" i="120"/>
  <c r="U74" i="120"/>
  <c r="V74" i="120"/>
  <c r="T71" i="120"/>
  <c r="U71" i="120"/>
  <c r="V71" i="120"/>
  <c r="W71" i="120"/>
  <c r="S71" i="120"/>
  <c r="X71" i="120"/>
  <c r="Y71" i="120"/>
  <c r="Z71" i="120"/>
  <c r="P71" i="120"/>
  <c r="Q71" i="120"/>
  <c r="R71" i="120"/>
  <c r="P21" i="120"/>
  <c r="X21" i="120"/>
  <c r="Q21" i="120"/>
  <c r="Y21" i="120"/>
  <c r="R21" i="120"/>
  <c r="Z21" i="120"/>
  <c r="S21" i="120"/>
  <c r="T21" i="120"/>
  <c r="U21" i="120"/>
  <c r="V21" i="120"/>
  <c r="W21" i="120"/>
  <c r="T375" i="120"/>
  <c r="U375" i="120"/>
  <c r="V375" i="120"/>
  <c r="W375" i="120"/>
  <c r="P375" i="120"/>
  <c r="Q375" i="120"/>
  <c r="R375" i="120"/>
  <c r="S375" i="120"/>
  <c r="X375" i="120"/>
  <c r="Y375" i="120"/>
  <c r="Z375" i="120"/>
  <c r="P395" i="120"/>
  <c r="X395" i="120"/>
  <c r="Q395" i="120"/>
  <c r="Y395" i="120"/>
  <c r="R395" i="120"/>
  <c r="Z395" i="120"/>
  <c r="S395" i="120"/>
  <c r="W395" i="120"/>
  <c r="T395" i="120"/>
  <c r="U395" i="120"/>
  <c r="V395" i="120"/>
  <c r="T66" i="120"/>
  <c r="U66" i="120"/>
  <c r="V66" i="120"/>
  <c r="W66" i="120"/>
  <c r="R66" i="120"/>
  <c r="S66" i="120"/>
  <c r="X66" i="120"/>
  <c r="Y66" i="120"/>
  <c r="Z66" i="120"/>
  <c r="P66" i="120"/>
  <c r="Q66" i="120"/>
  <c r="P62" i="120"/>
  <c r="X62" i="120"/>
  <c r="Q62" i="120"/>
  <c r="Y62" i="120"/>
  <c r="R62" i="120"/>
  <c r="Z62" i="120"/>
  <c r="S62" i="120"/>
  <c r="V62" i="120"/>
  <c r="U62" i="120"/>
  <c r="W62" i="120"/>
  <c r="T62" i="120"/>
  <c r="T58" i="120"/>
  <c r="U58" i="120"/>
  <c r="V58" i="120"/>
  <c r="W58" i="120"/>
  <c r="R58" i="120"/>
  <c r="Z58" i="120"/>
  <c r="X58" i="120"/>
  <c r="Y58" i="120"/>
  <c r="S58" i="120"/>
  <c r="P58" i="120"/>
  <c r="Q58" i="120"/>
  <c r="P55" i="120"/>
  <c r="X55" i="120"/>
  <c r="Q55" i="120"/>
  <c r="Y55" i="120"/>
  <c r="R55" i="120"/>
  <c r="Z55" i="120"/>
  <c r="S55" i="120"/>
  <c r="V55" i="120"/>
  <c r="W55" i="120"/>
  <c r="T55" i="120"/>
  <c r="U55" i="120"/>
  <c r="T52" i="120"/>
  <c r="U52" i="120"/>
  <c r="V52" i="120"/>
  <c r="W52" i="120"/>
  <c r="R52" i="120"/>
  <c r="Z52" i="120"/>
  <c r="Y52" i="120"/>
  <c r="P52" i="120"/>
  <c r="Q52" i="120"/>
  <c r="S52" i="120"/>
  <c r="X52" i="120"/>
  <c r="P49" i="120"/>
  <c r="X49" i="120"/>
  <c r="Q49" i="120"/>
  <c r="Y49" i="120"/>
  <c r="R49" i="120"/>
  <c r="Z49" i="120"/>
  <c r="S49" i="120"/>
  <c r="V49" i="120"/>
  <c r="T49" i="120"/>
  <c r="U49" i="120"/>
  <c r="W49" i="120"/>
  <c r="T45" i="120"/>
  <c r="U45" i="120"/>
  <c r="V45" i="120"/>
  <c r="W45" i="120"/>
  <c r="R45" i="120"/>
  <c r="Z45" i="120"/>
  <c r="P45" i="120"/>
  <c r="Q45" i="120"/>
  <c r="S45" i="120"/>
  <c r="X45" i="120"/>
  <c r="Y45" i="120"/>
  <c r="P41" i="120"/>
  <c r="X41" i="120"/>
  <c r="Q41" i="120"/>
  <c r="Y41" i="120"/>
  <c r="R41" i="120"/>
  <c r="Z41" i="120"/>
  <c r="S41" i="120"/>
  <c r="V41" i="120"/>
  <c r="T41" i="120"/>
  <c r="U41" i="120"/>
  <c r="W41" i="120"/>
  <c r="T37" i="120"/>
  <c r="U37" i="120"/>
  <c r="V37" i="120"/>
  <c r="W37" i="120"/>
  <c r="R37" i="120"/>
  <c r="Z37" i="120"/>
  <c r="P37" i="120"/>
  <c r="Q37" i="120"/>
  <c r="S37" i="120"/>
  <c r="X37" i="120"/>
  <c r="Y37" i="120"/>
  <c r="P33" i="120"/>
  <c r="X33" i="120"/>
  <c r="Q33" i="120"/>
  <c r="Y33" i="120"/>
  <c r="R33" i="120"/>
  <c r="Z33" i="120"/>
  <c r="S33" i="120"/>
  <c r="V33" i="120"/>
  <c r="T33" i="120"/>
  <c r="U33" i="120"/>
  <c r="W33" i="120"/>
  <c r="Q368" i="120"/>
  <c r="Y368" i="120"/>
  <c r="R368" i="120"/>
  <c r="Z368" i="120"/>
  <c r="S368" i="120"/>
  <c r="T368" i="120"/>
  <c r="U368" i="120"/>
  <c r="P368" i="120"/>
  <c r="V368" i="120"/>
  <c r="W368" i="120"/>
  <c r="X368" i="120"/>
  <c r="T367" i="120"/>
  <c r="U367" i="120"/>
  <c r="V367" i="120"/>
  <c r="W367" i="120"/>
  <c r="X367" i="120"/>
  <c r="Y367" i="120"/>
  <c r="Z367" i="120"/>
  <c r="P367" i="120"/>
  <c r="Q367" i="120"/>
  <c r="R367" i="120"/>
  <c r="S367" i="120"/>
  <c r="R371" i="120"/>
  <c r="Z371" i="120"/>
  <c r="S371" i="120"/>
  <c r="T371" i="120"/>
  <c r="U371" i="120"/>
  <c r="P371" i="120"/>
  <c r="V371" i="120"/>
  <c r="Q371" i="120"/>
  <c r="W371" i="120"/>
  <c r="X371" i="120"/>
  <c r="Y371" i="120"/>
  <c r="T357" i="120"/>
  <c r="U357" i="120"/>
  <c r="V357" i="120"/>
  <c r="W357" i="120"/>
  <c r="Y357" i="120"/>
  <c r="Z357" i="120"/>
  <c r="P357" i="120"/>
  <c r="Q357" i="120"/>
  <c r="R357" i="120"/>
  <c r="S357" i="120"/>
  <c r="X357" i="120"/>
  <c r="R356" i="120"/>
  <c r="Z356" i="120"/>
  <c r="S356" i="120"/>
  <c r="T356" i="120"/>
  <c r="U356" i="120"/>
  <c r="P356" i="120"/>
  <c r="W356" i="120"/>
  <c r="X356" i="120"/>
  <c r="Q356" i="120"/>
  <c r="V356" i="120"/>
  <c r="Y356" i="120"/>
  <c r="V354" i="120"/>
  <c r="W354" i="120"/>
  <c r="P354" i="120"/>
  <c r="X354" i="120"/>
  <c r="Q354" i="120"/>
  <c r="Y354" i="120"/>
  <c r="R354" i="120"/>
  <c r="S354" i="120"/>
  <c r="T354" i="120"/>
  <c r="U354" i="120"/>
  <c r="Z354" i="120"/>
  <c r="R397" i="120"/>
  <c r="Z397" i="120"/>
  <c r="S397" i="120"/>
  <c r="T397" i="120"/>
  <c r="U397" i="120"/>
  <c r="W397" i="120"/>
  <c r="X397" i="120"/>
  <c r="P397" i="120"/>
  <c r="Y397" i="120"/>
  <c r="Q397" i="120"/>
  <c r="V397" i="120"/>
  <c r="V351" i="120"/>
  <c r="W351" i="120"/>
  <c r="P351" i="120"/>
  <c r="X351" i="120"/>
  <c r="Q351" i="120"/>
  <c r="Y351" i="120"/>
  <c r="S351" i="120"/>
  <c r="T351" i="120"/>
  <c r="U351" i="120"/>
  <c r="Z351" i="120"/>
  <c r="R351" i="120"/>
  <c r="R347" i="120"/>
  <c r="Z347" i="120"/>
  <c r="S347" i="120"/>
  <c r="T347" i="120"/>
  <c r="U347" i="120"/>
  <c r="P347" i="120"/>
  <c r="Q347" i="120"/>
  <c r="V347" i="120"/>
  <c r="W347" i="120"/>
  <c r="X347" i="120"/>
  <c r="Y347" i="120"/>
  <c r="V343" i="120"/>
  <c r="W343" i="120"/>
  <c r="P343" i="120"/>
  <c r="X343" i="120"/>
  <c r="Q343" i="120"/>
  <c r="Y343" i="120"/>
  <c r="T343" i="120"/>
  <c r="R343" i="120"/>
  <c r="S343" i="120"/>
  <c r="U343" i="120"/>
  <c r="Z343" i="120"/>
  <c r="R340" i="120"/>
  <c r="Z340" i="120"/>
  <c r="S340" i="120"/>
  <c r="T340" i="120"/>
  <c r="U340" i="120"/>
  <c r="W340" i="120"/>
  <c r="X340" i="120"/>
  <c r="Y340" i="120"/>
  <c r="P340" i="120"/>
  <c r="Q340" i="120"/>
  <c r="V340" i="120"/>
  <c r="V336" i="120"/>
  <c r="W336" i="120"/>
  <c r="P336" i="120"/>
  <c r="X336" i="120"/>
  <c r="Q336" i="120"/>
  <c r="Y336" i="120"/>
  <c r="S336" i="120"/>
  <c r="T336" i="120"/>
  <c r="U336" i="120"/>
  <c r="Z336" i="120"/>
  <c r="R336" i="120"/>
  <c r="R333" i="120"/>
  <c r="Z333" i="120"/>
  <c r="S333" i="120"/>
  <c r="T333" i="120"/>
  <c r="U333" i="120"/>
  <c r="P333" i="120"/>
  <c r="Q333" i="120"/>
  <c r="V333" i="120"/>
  <c r="W333" i="120"/>
  <c r="X333" i="120"/>
  <c r="Y333" i="120"/>
  <c r="V380" i="120"/>
  <c r="W380" i="120"/>
  <c r="P380" i="120"/>
  <c r="X380" i="120"/>
  <c r="Q380" i="120"/>
  <c r="Y380" i="120"/>
  <c r="T380" i="120"/>
  <c r="R380" i="120"/>
  <c r="S380" i="120"/>
  <c r="U380" i="120"/>
  <c r="Z380" i="120"/>
  <c r="R392" i="120"/>
  <c r="Z392" i="120"/>
  <c r="S392" i="120"/>
  <c r="T392" i="120"/>
  <c r="U392" i="120"/>
  <c r="W392" i="120"/>
  <c r="X392" i="120"/>
  <c r="Y392" i="120"/>
  <c r="P392" i="120"/>
  <c r="Q392" i="120"/>
  <c r="V392" i="120"/>
  <c r="V327" i="120"/>
  <c r="W327" i="120"/>
  <c r="P327" i="120"/>
  <c r="X327" i="120"/>
  <c r="Q327" i="120"/>
  <c r="Y327" i="120"/>
  <c r="S327" i="120"/>
  <c r="T327" i="120"/>
  <c r="U327" i="120"/>
  <c r="Z327" i="120"/>
  <c r="R327" i="120"/>
  <c r="R323" i="120"/>
  <c r="Z323" i="120"/>
  <c r="S323" i="120"/>
  <c r="T323" i="120"/>
  <c r="U323" i="120"/>
  <c r="P323" i="120"/>
  <c r="Q323" i="120"/>
  <c r="V323" i="120"/>
  <c r="W323" i="120"/>
  <c r="X323" i="120"/>
  <c r="Y323" i="120"/>
  <c r="V393" i="120"/>
  <c r="W393" i="120"/>
  <c r="P393" i="120"/>
  <c r="X393" i="120"/>
  <c r="Q393" i="120"/>
  <c r="Y393" i="120"/>
  <c r="T393" i="120"/>
  <c r="R393" i="120"/>
  <c r="S393" i="120"/>
  <c r="U393" i="120"/>
  <c r="Z393" i="120"/>
  <c r="R388" i="120"/>
  <c r="Z388" i="120"/>
  <c r="S388" i="120"/>
  <c r="T388" i="120"/>
  <c r="U388" i="120"/>
  <c r="W388" i="120"/>
  <c r="X388" i="120"/>
  <c r="Y388" i="120"/>
  <c r="P388" i="120"/>
  <c r="Q388" i="120"/>
  <c r="V388" i="120"/>
  <c r="V316" i="120"/>
  <c r="W316" i="120"/>
  <c r="P316" i="120"/>
  <c r="X316" i="120"/>
  <c r="Q316" i="120"/>
  <c r="Y316" i="120"/>
  <c r="S316" i="120"/>
  <c r="T316" i="120"/>
  <c r="U316" i="120"/>
  <c r="Z316" i="120"/>
  <c r="R316" i="120"/>
  <c r="R312" i="120"/>
  <c r="Z312" i="120"/>
  <c r="S312" i="120"/>
  <c r="T312" i="120"/>
  <c r="U312" i="120"/>
  <c r="P312" i="120"/>
  <c r="Q312" i="120"/>
  <c r="V312" i="120"/>
  <c r="W312" i="120"/>
  <c r="X312" i="120"/>
  <c r="Y312" i="120"/>
  <c r="V308" i="120"/>
  <c r="W308" i="120"/>
  <c r="P308" i="120"/>
  <c r="X308" i="120"/>
  <c r="Q308" i="120"/>
  <c r="Y308" i="120"/>
  <c r="T308" i="120"/>
  <c r="R308" i="120"/>
  <c r="S308" i="120"/>
  <c r="U308" i="120"/>
  <c r="Z308" i="120"/>
  <c r="R5" i="120"/>
  <c r="Z5" i="120"/>
  <c r="S5" i="120"/>
  <c r="T5" i="120"/>
  <c r="U5" i="120"/>
  <c r="W5" i="120"/>
  <c r="X5" i="120"/>
  <c r="P5" i="120"/>
  <c r="Y5" i="120"/>
  <c r="Q5" i="120"/>
  <c r="V5" i="120"/>
  <c r="V302" i="120"/>
  <c r="W302" i="120"/>
  <c r="R302" i="120"/>
  <c r="P302" i="120"/>
  <c r="X302" i="120"/>
  <c r="Q302" i="120"/>
  <c r="Y302" i="120"/>
  <c r="Z302" i="120"/>
  <c r="S302" i="120"/>
  <c r="T302" i="120"/>
  <c r="U302" i="120"/>
  <c r="R299" i="120"/>
  <c r="Z299" i="120"/>
  <c r="V299" i="120"/>
  <c r="S299" i="120"/>
  <c r="T299" i="120"/>
  <c r="U299" i="120"/>
  <c r="P299" i="120"/>
  <c r="Q299" i="120"/>
  <c r="W299" i="120"/>
  <c r="X299" i="120"/>
  <c r="Y299" i="120"/>
  <c r="V297" i="120"/>
  <c r="W297" i="120"/>
  <c r="R297" i="120"/>
  <c r="P297" i="120"/>
  <c r="X297" i="120"/>
  <c r="Q297" i="120"/>
  <c r="Y297" i="120"/>
  <c r="Z297" i="120"/>
  <c r="S297" i="120"/>
  <c r="T297" i="120"/>
  <c r="U297" i="120"/>
  <c r="R293" i="120"/>
  <c r="Z293" i="120"/>
  <c r="S293" i="120"/>
  <c r="T293" i="120"/>
  <c r="U293" i="120"/>
  <c r="V293" i="120"/>
  <c r="Q293" i="120"/>
  <c r="W293" i="120"/>
  <c r="X293" i="120"/>
  <c r="Y293" i="120"/>
  <c r="P293" i="120"/>
  <c r="V289" i="120"/>
  <c r="W289" i="120"/>
  <c r="R289" i="120"/>
  <c r="P289" i="120"/>
  <c r="X289" i="120"/>
  <c r="Z289" i="120"/>
  <c r="Q289" i="120"/>
  <c r="Y289" i="120"/>
  <c r="T289" i="120"/>
  <c r="U289" i="120"/>
  <c r="S289" i="120"/>
  <c r="R285" i="120"/>
  <c r="Z285" i="120"/>
  <c r="V285" i="120"/>
  <c r="S285" i="120"/>
  <c r="T285" i="120"/>
  <c r="U285" i="120"/>
  <c r="W285" i="120"/>
  <c r="X285" i="120"/>
  <c r="Y285" i="120"/>
  <c r="P285" i="120"/>
  <c r="Q285" i="120"/>
  <c r="V281" i="120"/>
  <c r="R281" i="120"/>
  <c r="W281" i="120"/>
  <c r="P281" i="120"/>
  <c r="X281" i="120"/>
  <c r="Q281" i="120"/>
  <c r="Y281" i="120"/>
  <c r="Z281" i="120"/>
  <c r="U281" i="120"/>
  <c r="S281" i="120"/>
  <c r="T281" i="120"/>
  <c r="R277" i="120"/>
  <c r="Z277" i="120"/>
  <c r="S277" i="120"/>
  <c r="T277" i="120"/>
  <c r="U277" i="120"/>
  <c r="V277" i="120"/>
  <c r="X277" i="120"/>
  <c r="Y277" i="120"/>
  <c r="P277" i="120"/>
  <c r="Q277" i="120"/>
  <c r="W277" i="120"/>
  <c r="V387" i="120"/>
  <c r="R387" i="120"/>
  <c r="W387" i="120"/>
  <c r="P387" i="120"/>
  <c r="X387" i="120"/>
  <c r="Z387" i="120"/>
  <c r="Q387" i="120"/>
  <c r="Y387" i="120"/>
  <c r="T387" i="120"/>
  <c r="S387" i="120"/>
  <c r="U387" i="120"/>
  <c r="R270" i="120"/>
  <c r="Z270" i="120"/>
  <c r="S270" i="120"/>
  <c r="T270" i="120"/>
  <c r="U270" i="120"/>
  <c r="V270" i="120"/>
  <c r="Y270" i="120"/>
  <c r="W270" i="120"/>
  <c r="P270" i="120"/>
  <c r="Q270" i="120"/>
  <c r="X270" i="120"/>
  <c r="V266" i="120"/>
  <c r="W266" i="120"/>
  <c r="P266" i="120"/>
  <c r="X266" i="120"/>
  <c r="Z266" i="120"/>
  <c r="Q266" i="120"/>
  <c r="Y266" i="120"/>
  <c r="R266" i="120"/>
  <c r="S266" i="120"/>
  <c r="T266" i="120"/>
  <c r="U266" i="120"/>
  <c r="R262" i="120"/>
  <c r="Z262" i="120"/>
  <c r="S262" i="120"/>
  <c r="T262" i="120"/>
  <c r="V262" i="120"/>
  <c r="U262" i="120"/>
  <c r="P262" i="120"/>
  <c r="Q262" i="120"/>
  <c r="W262" i="120"/>
  <c r="X262" i="120"/>
  <c r="Y262" i="120"/>
  <c r="V260" i="120"/>
  <c r="W260" i="120"/>
  <c r="Z260" i="120"/>
  <c r="P260" i="120"/>
  <c r="X260" i="120"/>
  <c r="R260" i="120"/>
  <c r="Q260" i="120"/>
  <c r="Y260" i="120"/>
  <c r="S260" i="120"/>
  <c r="T260" i="120"/>
  <c r="U260" i="120"/>
  <c r="P385" i="120"/>
  <c r="X385" i="120"/>
  <c r="Q385" i="120"/>
  <c r="Y385" i="120"/>
  <c r="R385" i="120"/>
  <c r="Z385" i="120"/>
  <c r="W385" i="120"/>
  <c r="S385" i="120"/>
  <c r="T385" i="120"/>
  <c r="U385" i="120"/>
  <c r="V385" i="120"/>
  <c r="S253" i="120"/>
  <c r="T253" i="120"/>
  <c r="U253" i="120"/>
  <c r="V253" i="120"/>
  <c r="W253" i="120"/>
  <c r="X253" i="120"/>
  <c r="Y253" i="120"/>
  <c r="Z253" i="120"/>
  <c r="P253" i="120"/>
  <c r="Q253" i="120"/>
  <c r="R253" i="120"/>
  <c r="W250" i="120"/>
  <c r="P250" i="120"/>
  <c r="X250" i="120"/>
  <c r="Q250" i="120"/>
  <c r="Y250" i="120"/>
  <c r="R250" i="120"/>
  <c r="Z250" i="120"/>
  <c r="S250" i="120"/>
  <c r="T250" i="120"/>
  <c r="U250" i="120"/>
  <c r="V250" i="120"/>
  <c r="S247" i="120"/>
  <c r="T247" i="120"/>
  <c r="U247" i="120"/>
  <c r="V247" i="120"/>
  <c r="P247" i="120"/>
  <c r="Q247" i="120"/>
  <c r="W247" i="120"/>
  <c r="R247" i="120"/>
  <c r="X247" i="120"/>
  <c r="Y247" i="120"/>
  <c r="Z247" i="120"/>
  <c r="W244" i="120"/>
  <c r="P244" i="120"/>
  <c r="X244" i="120"/>
  <c r="Q244" i="120"/>
  <c r="Y244" i="120"/>
  <c r="R244" i="120"/>
  <c r="Z244" i="120"/>
  <c r="S244" i="120"/>
  <c r="V244" i="120"/>
  <c r="T244" i="120"/>
  <c r="U244" i="120"/>
  <c r="S240" i="120"/>
  <c r="T240" i="120"/>
  <c r="U240" i="120"/>
  <c r="V240" i="120"/>
  <c r="W240" i="120"/>
  <c r="X240" i="120"/>
  <c r="Y240" i="120"/>
  <c r="Z240" i="120"/>
  <c r="P240" i="120"/>
  <c r="Q240" i="120"/>
  <c r="R240" i="120"/>
  <c r="W237" i="120"/>
  <c r="P237" i="120"/>
  <c r="X237" i="120"/>
  <c r="Q237" i="120"/>
  <c r="Y237" i="120"/>
  <c r="R237" i="120"/>
  <c r="Z237" i="120"/>
  <c r="S237" i="120"/>
  <c r="T237" i="120"/>
  <c r="U237" i="120"/>
  <c r="V237" i="120"/>
  <c r="S233" i="120"/>
  <c r="T233" i="120"/>
  <c r="U233" i="120"/>
  <c r="V233" i="120"/>
  <c r="P233" i="120"/>
  <c r="Q233" i="120"/>
  <c r="W233" i="120"/>
  <c r="R233" i="120"/>
  <c r="X233" i="120"/>
  <c r="Y233" i="120"/>
  <c r="Z233" i="120"/>
  <c r="W229" i="120"/>
  <c r="P229" i="120"/>
  <c r="X229" i="120"/>
  <c r="Q229" i="120"/>
  <c r="Y229" i="120"/>
  <c r="R229" i="120"/>
  <c r="Z229" i="120"/>
  <c r="S229" i="120"/>
  <c r="T229" i="120"/>
  <c r="U229" i="120"/>
  <c r="V229" i="120"/>
  <c r="S225" i="120"/>
  <c r="T225" i="120"/>
  <c r="U225" i="120"/>
  <c r="V225" i="120"/>
  <c r="W225" i="120"/>
  <c r="X225" i="120"/>
  <c r="Y225" i="120"/>
  <c r="Z225" i="120"/>
  <c r="P225" i="120"/>
  <c r="Q225" i="120"/>
  <c r="R225" i="120"/>
  <c r="W221" i="120"/>
  <c r="P221" i="120"/>
  <c r="X221" i="120"/>
  <c r="Q221" i="120"/>
  <c r="Y221" i="120"/>
  <c r="R221" i="120"/>
  <c r="Z221" i="120"/>
  <c r="S221" i="120"/>
  <c r="T221" i="120"/>
  <c r="U221" i="120"/>
  <c r="V221" i="120"/>
  <c r="S217" i="120"/>
  <c r="T217" i="120"/>
  <c r="U217" i="120"/>
  <c r="V217" i="120"/>
  <c r="P217" i="120"/>
  <c r="Q217" i="120"/>
  <c r="R217" i="120"/>
  <c r="W217" i="120"/>
  <c r="X217" i="120"/>
  <c r="Y217" i="120"/>
  <c r="Z217" i="120"/>
  <c r="W213" i="120"/>
  <c r="P213" i="120"/>
  <c r="X213" i="120"/>
  <c r="Q213" i="120"/>
  <c r="Y213" i="120"/>
  <c r="R213" i="120"/>
  <c r="Z213" i="120"/>
  <c r="S213" i="120"/>
  <c r="T213" i="120"/>
  <c r="U213" i="120"/>
  <c r="V213" i="120"/>
  <c r="S210" i="120"/>
  <c r="T210" i="120"/>
  <c r="U210" i="120"/>
  <c r="V210" i="120"/>
  <c r="W210" i="120"/>
  <c r="X210" i="120"/>
  <c r="Y210" i="120"/>
  <c r="Z210" i="120"/>
  <c r="P210" i="120"/>
  <c r="Q210" i="120"/>
  <c r="R210" i="120"/>
  <c r="W206" i="120"/>
  <c r="P206" i="120"/>
  <c r="X206" i="120"/>
  <c r="Q206" i="120"/>
  <c r="Y206" i="120"/>
  <c r="R206" i="120"/>
  <c r="Z206" i="120"/>
  <c r="S206" i="120"/>
  <c r="T206" i="120"/>
  <c r="U206" i="120"/>
  <c r="V206" i="120"/>
  <c r="U203" i="120"/>
  <c r="V203" i="120"/>
  <c r="W203" i="120"/>
  <c r="P203" i="120"/>
  <c r="Q203" i="120"/>
  <c r="R203" i="120"/>
  <c r="S203" i="120"/>
  <c r="T203" i="120"/>
  <c r="X203" i="120"/>
  <c r="Y203" i="120"/>
  <c r="Z203" i="120"/>
  <c r="Q199" i="120"/>
  <c r="Y199" i="120"/>
  <c r="R199" i="120"/>
  <c r="Z199" i="120"/>
  <c r="S199" i="120"/>
  <c r="U199" i="120"/>
  <c r="V199" i="120"/>
  <c r="W199" i="120"/>
  <c r="X199" i="120"/>
  <c r="P199" i="120"/>
  <c r="T199" i="120"/>
  <c r="U11" i="120"/>
  <c r="V11" i="120"/>
  <c r="W11" i="120"/>
  <c r="Z11" i="120"/>
  <c r="P11" i="120"/>
  <c r="Q11" i="120"/>
  <c r="R11" i="120"/>
  <c r="S11" i="120"/>
  <c r="T11" i="120"/>
  <c r="X11" i="120"/>
  <c r="Y11" i="120"/>
  <c r="Q192" i="120"/>
  <c r="Y192" i="120"/>
  <c r="R192" i="120"/>
  <c r="Z192" i="120"/>
  <c r="S192" i="120"/>
  <c r="T192" i="120"/>
  <c r="U192" i="120"/>
  <c r="V192" i="120"/>
  <c r="W192" i="120"/>
  <c r="X192" i="120"/>
  <c r="P192" i="120"/>
  <c r="U188" i="120"/>
  <c r="V188" i="120"/>
  <c r="W188" i="120"/>
  <c r="Y188" i="120"/>
  <c r="Z188" i="120"/>
  <c r="P188" i="120"/>
  <c r="Q188" i="120"/>
  <c r="R188" i="120"/>
  <c r="X188" i="120"/>
  <c r="S188" i="120"/>
  <c r="T188" i="120"/>
  <c r="P184" i="120"/>
  <c r="X184" i="120"/>
  <c r="Q184" i="120"/>
  <c r="Y184" i="120"/>
  <c r="R184" i="120"/>
  <c r="Z184" i="120"/>
  <c r="S184" i="120"/>
  <c r="T184" i="120"/>
  <c r="U184" i="120"/>
  <c r="V184" i="120"/>
  <c r="W184" i="120"/>
  <c r="T180" i="120"/>
  <c r="U180" i="120"/>
  <c r="V180" i="120"/>
  <c r="W180" i="120"/>
  <c r="X180" i="120"/>
  <c r="Y180" i="120"/>
  <c r="Z180" i="120"/>
  <c r="P180" i="120"/>
  <c r="Q180" i="120"/>
  <c r="R180" i="120"/>
  <c r="S180" i="120"/>
  <c r="P176" i="120"/>
  <c r="X176" i="120"/>
  <c r="Q176" i="120"/>
  <c r="Y176" i="120"/>
  <c r="R176" i="120"/>
  <c r="Z176" i="120"/>
  <c r="S176" i="120"/>
  <c r="T176" i="120"/>
  <c r="U176" i="120"/>
  <c r="V176" i="120"/>
  <c r="W176" i="120"/>
  <c r="T172" i="120"/>
  <c r="U172" i="120"/>
  <c r="V172" i="120"/>
  <c r="W172" i="120"/>
  <c r="P172" i="120"/>
  <c r="Q172" i="120"/>
  <c r="R172" i="120"/>
  <c r="S172" i="120"/>
  <c r="X172" i="120"/>
  <c r="Y172" i="120"/>
  <c r="Z172" i="120"/>
  <c r="P169" i="120"/>
  <c r="X169" i="120"/>
  <c r="Q169" i="120"/>
  <c r="Y169" i="120"/>
  <c r="R169" i="120"/>
  <c r="Z169" i="120"/>
  <c r="S169" i="120"/>
  <c r="T169" i="120"/>
  <c r="V169" i="120"/>
  <c r="W169" i="120"/>
  <c r="U169" i="120"/>
  <c r="T165" i="120"/>
  <c r="U165" i="120"/>
  <c r="V165" i="120"/>
  <c r="W165" i="120"/>
  <c r="X165" i="120"/>
  <c r="Y165" i="120"/>
  <c r="Z165" i="120"/>
  <c r="P165" i="120"/>
  <c r="Q165" i="120"/>
  <c r="R165" i="120"/>
  <c r="S165" i="120"/>
  <c r="P161" i="120"/>
  <c r="X161" i="120"/>
  <c r="Q161" i="120"/>
  <c r="Y161" i="120"/>
  <c r="R161" i="120"/>
  <c r="Z161" i="120"/>
  <c r="S161" i="120"/>
  <c r="T161" i="120"/>
  <c r="U161" i="120"/>
  <c r="V161" i="120"/>
  <c r="W161" i="120"/>
  <c r="T157" i="120"/>
  <c r="U157" i="120"/>
  <c r="V157" i="120"/>
  <c r="W157" i="120"/>
  <c r="P157" i="120"/>
  <c r="Q157" i="120"/>
  <c r="R157" i="120"/>
  <c r="S157" i="120"/>
  <c r="X157" i="120"/>
  <c r="Y157" i="120"/>
  <c r="Z157" i="120"/>
  <c r="P153" i="120"/>
  <c r="X153" i="120"/>
  <c r="Q153" i="120"/>
  <c r="Y153" i="120"/>
  <c r="R153" i="120"/>
  <c r="Z153" i="120"/>
  <c r="S153" i="120"/>
  <c r="T153" i="120"/>
  <c r="U153" i="120"/>
  <c r="V153" i="120"/>
  <c r="W153" i="120"/>
  <c r="T149" i="120"/>
  <c r="U149" i="120"/>
  <c r="V149" i="120"/>
  <c r="W149" i="120"/>
  <c r="X149" i="120"/>
  <c r="Y149" i="120"/>
  <c r="Z149" i="120"/>
  <c r="P149" i="120"/>
  <c r="Q149" i="120"/>
  <c r="R149" i="120"/>
  <c r="S149" i="120"/>
  <c r="P145" i="120"/>
  <c r="X145" i="120"/>
  <c r="Q145" i="120"/>
  <c r="Y145" i="120"/>
  <c r="R145" i="120"/>
  <c r="Z145" i="120"/>
  <c r="S145" i="120"/>
  <c r="T145" i="120"/>
  <c r="U145" i="120"/>
  <c r="V145" i="120"/>
  <c r="W145" i="120"/>
  <c r="T141" i="120"/>
  <c r="U141" i="120"/>
  <c r="V141" i="120"/>
  <c r="W141" i="120"/>
  <c r="P141" i="120"/>
  <c r="Q141" i="120"/>
  <c r="R141" i="120"/>
  <c r="S141" i="120"/>
  <c r="X141" i="120"/>
  <c r="Y141" i="120"/>
  <c r="Z141" i="120"/>
  <c r="P137" i="120"/>
  <c r="X137" i="120"/>
  <c r="Q137" i="120"/>
  <c r="Y137" i="120"/>
  <c r="R137" i="120"/>
  <c r="Z137" i="120"/>
  <c r="S137" i="120"/>
  <c r="T137" i="120"/>
  <c r="W137" i="120"/>
  <c r="U137" i="120"/>
  <c r="V137" i="120"/>
  <c r="T133" i="120"/>
  <c r="U133" i="120"/>
  <c r="V133" i="120"/>
  <c r="W133" i="120"/>
  <c r="X133" i="120"/>
  <c r="Y133" i="120"/>
  <c r="Z133" i="120"/>
  <c r="P133" i="120"/>
  <c r="Q133" i="120"/>
  <c r="R133" i="120"/>
  <c r="S133" i="120"/>
  <c r="P129" i="120"/>
  <c r="X129" i="120"/>
  <c r="Q129" i="120"/>
  <c r="Y129" i="120"/>
  <c r="R129" i="120"/>
  <c r="Z129" i="120"/>
  <c r="S129" i="120"/>
  <c r="T129" i="120"/>
  <c r="U129" i="120"/>
  <c r="V129" i="120"/>
  <c r="W129" i="120"/>
  <c r="T125" i="120"/>
  <c r="U125" i="120"/>
  <c r="V125" i="120"/>
  <c r="W125" i="120"/>
  <c r="P125" i="120"/>
  <c r="Q125" i="120"/>
  <c r="R125" i="120"/>
  <c r="S125" i="120"/>
  <c r="X125" i="120"/>
  <c r="Y125" i="120"/>
  <c r="Z125" i="120"/>
  <c r="P121" i="120"/>
  <c r="X121" i="120"/>
  <c r="Q121" i="120"/>
  <c r="Y121" i="120"/>
  <c r="R121" i="120"/>
  <c r="Z121" i="120"/>
  <c r="S121" i="120"/>
  <c r="T121" i="120"/>
  <c r="U121" i="120"/>
  <c r="V121" i="120"/>
  <c r="W121" i="120"/>
  <c r="T117" i="120"/>
  <c r="U117" i="120"/>
  <c r="V117" i="120"/>
  <c r="W117" i="120"/>
  <c r="X117" i="120"/>
  <c r="Y117" i="120"/>
  <c r="Z117" i="120"/>
  <c r="P117" i="120"/>
  <c r="Q117" i="120"/>
  <c r="R117" i="120"/>
  <c r="S117" i="120"/>
  <c r="W113" i="120"/>
  <c r="P113" i="120"/>
  <c r="X113" i="120"/>
  <c r="Q113" i="120"/>
  <c r="Y113" i="120"/>
  <c r="U113" i="120"/>
  <c r="V113" i="120"/>
  <c r="Z113" i="120"/>
  <c r="R113" i="120"/>
  <c r="S113" i="120"/>
  <c r="T113" i="120"/>
  <c r="R109" i="120"/>
  <c r="Z109" i="120"/>
  <c r="S109" i="120"/>
  <c r="T109" i="120"/>
  <c r="U109" i="120"/>
  <c r="V109" i="120"/>
  <c r="W109" i="120"/>
  <c r="X109" i="120"/>
  <c r="Y109" i="120"/>
  <c r="P109" i="120"/>
  <c r="Q109" i="120"/>
  <c r="V105" i="120"/>
  <c r="W105" i="120"/>
  <c r="P105" i="120"/>
  <c r="X105" i="120"/>
  <c r="Q105" i="120"/>
  <c r="Y105" i="120"/>
  <c r="R105" i="120"/>
  <c r="S105" i="120"/>
  <c r="T105" i="120"/>
  <c r="U105" i="120"/>
  <c r="Z105" i="120"/>
  <c r="R101" i="120"/>
  <c r="Z101" i="120"/>
  <c r="S101" i="120"/>
  <c r="T101" i="120"/>
  <c r="U101" i="120"/>
  <c r="P101" i="120"/>
  <c r="Q101" i="120"/>
  <c r="V101" i="120"/>
  <c r="W101" i="120"/>
  <c r="X101" i="120"/>
  <c r="Y101" i="120"/>
  <c r="V97" i="120"/>
  <c r="W97" i="120"/>
  <c r="P97" i="120"/>
  <c r="X97" i="120"/>
  <c r="Q97" i="120"/>
  <c r="Y97" i="120"/>
  <c r="Z97" i="120"/>
  <c r="R97" i="120"/>
  <c r="S97" i="120"/>
  <c r="T97" i="120"/>
  <c r="U97" i="120"/>
  <c r="R93" i="120"/>
  <c r="Z93" i="120"/>
  <c r="S93" i="120"/>
  <c r="T93" i="120"/>
  <c r="U93" i="120"/>
  <c r="V93" i="120"/>
  <c r="W93" i="120"/>
  <c r="X93" i="120"/>
  <c r="Y93" i="120"/>
  <c r="P93" i="120"/>
  <c r="Q93" i="120"/>
  <c r="V89" i="120"/>
  <c r="W89" i="120"/>
  <c r="P89" i="120"/>
  <c r="X89" i="120"/>
  <c r="Q89" i="120"/>
  <c r="Y89" i="120"/>
  <c r="R89" i="120"/>
  <c r="S89" i="120"/>
  <c r="T89" i="120"/>
  <c r="U89" i="120"/>
  <c r="Z89" i="120"/>
  <c r="R85" i="120"/>
  <c r="Z85" i="120"/>
  <c r="S85" i="120"/>
  <c r="T85" i="120"/>
  <c r="U85" i="120"/>
  <c r="P85" i="120"/>
  <c r="Q85" i="120"/>
  <c r="V85" i="120"/>
  <c r="X85" i="120"/>
  <c r="Y85" i="120"/>
  <c r="W85" i="120"/>
  <c r="V81" i="120"/>
  <c r="W81" i="120"/>
  <c r="P81" i="120"/>
  <c r="X81" i="120"/>
  <c r="Q81" i="120"/>
  <c r="Y81" i="120"/>
  <c r="Z81" i="120"/>
  <c r="R81" i="120"/>
  <c r="S81" i="120"/>
  <c r="T81" i="120"/>
  <c r="U81" i="120"/>
  <c r="R77" i="120"/>
  <c r="Z77" i="120"/>
  <c r="S77" i="120"/>
  <c r="T77" i="120"/>
  <c r="U77" i="120"/>
  <c r="V77" i="120"/>
  <c r="W77" i="120"/>
  <c r="X77" i="120"/>
  <c r="Y77" i="120"/>
  <c r="P77" i="120"/>
  <c r="Q77" i="120"/>
  <c r="S73" i="120"/>
  <c r="T73" i="120"/>
  <c r="U73" i="120"/>
  <c r="V73" i="120"/>
  <c r="R73" i="120"/>
  <c r="W73" i="120"/>
  <c r="X73" i="120"/>
  <c r="Y73" i="120"/>
  <c r="P73" i="120"/>
  <c r="Q73" i="120"/>
  <c r="Z73" i="120"/>
  <c r="W23" i="120"/>
  <c r="P23" i="120"/>
  <c r="X23" i="120"/>
  <c r="Q23" i="120"/>
  <c r="Y23" i="120"/>
  <c r="R23" i="120"/>
  <c r="Z23" i="120"/>
  <c r="S23" i="120"/>
  <c r="T23" i="120"/>
  <c r="U23" i="120"/>
  <c r="V23" i="120"/>
  <c r="S407" i="120"/>
  <c r="T407" i="120"/>
  <c r="U407" i="120"/>
  <c r="V407" i="120"/>
  <c r="Z407" i="120"/>
  <c r="P407" i="120"/>
  <c r="Q407" i="120"/>
  <c r="R407" i="120"/>
  <c r="W407" i="120"/>
  <c r="X407" i="120"/>
  <c r="Y407" i="120"/>
  <c r="W24" i="120"/>
  <c r="P24" i="120"/>
  <c r="X24" i="120"/>
  <c r="Q24" i="120"/>
  <c r="Y24" i="120"/>
  <c r="R24" i="120"/>
  <c r="Z24" i="120"/>
  <c r="V24" i="120"/>
  <c r="S24" i="120"/>
  <c r="T24" i="120"/>
  <c r="U24" i="120"/>
  <c r="S374" i="120"/>
  <c r="T374" i="120"/>
  <c r="U374" i="120"/>
  <c r="V374" i="120"/>
  <c r="R374" i="120"/>
  <c r="W374" i="120"/>
  <c r="X374" i="120"/>
  <c r="Y374" i="120"/>
  <c r="Z374" i="120"/>
  <c r="P374" i="120"/>
  <c r="Q374" i="120"/>
  <c r="W65" i="120"/>
  <c r="P65" i="120"/>
  <c r="X65" i="120"/>
  <c r="Q65" i="120"/>
  <c r="Y65" i="120"/>
  <c r="R65" i="120"/>
  <c r="Z65" i="120"/>
  <c r="U65" i="120"/>
  <c r="S65" i="120"/>
  <c r="T65" i="120"/>
  <c r="V65" i="120"/>
  <c r="S61" i="120"/>
  <c r="T61" i="120"/>
  <c r="U61" i="120"/>
  <c r="V61" i="120"/>
  <c r="Q61" i="120"/>
  <c r="Y61" i="120"/>
  <c r="P61" i="120"/>
  <c r="R61" i="120"/>
  <c r="W61" i="120"/>
  <c r="X61" i="120"/>
  <c r="Z61" i="120"/>
  <c r="W57" i="120"/>
  <c r="P57" i="120"/>
  <c r="X57" i="120"/>
  <c r="Q57" i="120"/>
  <c r="Y57" i="120"/>
  <c r="R57" i="120"/>
  <c r="Z57" i="120"/>
  <c r="U57" i="120"/>
  <c r="S57" i="120"/>
  <c r="T57" i="120"/>
  <c r="V57" i="120"/>
  <c r="S54" i="120"/>
  <c r="T54" i="120"/>
  <c r="U54" i="120"/>
  <c r="V54" i="120"/>
  <c r="Q54" i="120"/>
  <c r="Y54" i="120"/>
  <c r="P54" i="120"/>
  <c r="R54" i="120"/>
  <c r="W54" i="120"/>
  <c r="X54" i="120"/>
  <c r="Z54" i="120"/>
  <c r="W10" i="120"/>
  <c r="P10" i="120"/>
  <c r="X10" i="120"/>
  <c r="Q10" i="120"/>
  <c r="Y10" i="120"/>
  <c r="R10" i="120"/>
  <c r="Z10" i="120"/>
  <c r="U10" i="120"/>
  <c r="S10" i="120"/>
  <c r="T10" i="120"/>
  <c r="V10" i="120"/>
  <c r="S48" i="120"/>
  <c r="T48" i="120"/>
  <c r="U48" i="120"/>
  <c r="V48" i="120"/>
  <c r="Q48" i="120"/>
  <c r="Y48" i="120"/>
  <c r="P48" i="120"/>
  <c r="R48" i="120"/>
  <c r="W48" i="120"/>
  <c r="X48" i="120"/>
  <c r="Z48" i="120"/>
  <c r="W44" i="120"/>
  <c r="P44" i="120"/>
  <c r="X44" i="120"/>
  <c r="Q44" i="120"/>
  <c r="Y44" i="120"/>
  <c r="R44" i="120"/>
  <c r="Z44" i="120"/>
  <c r="U44" i="120"/>
  <c r="S44" i="120"/>
  <c r="T44" i="120"/>
  <c r="V44" i="120"/>
  <c r="S40" i="120"/>
  <c r="T40" i="120"/>
  <c r="U40" i="120"/>
  <c r="V40" i="120"/>
  <c r="Q40" i="120"/>
  <c r="Y40" i="120"/>
  <c r="R40" i="120"/>
  <c r="W40" i="120"/>
  <c r="X40" i="120"/>
  <c r="Z40" i="120"/>
  <c r="P40" i="120"/>
  <c r="W36" i="120"/>
  <c r="P36" i="120"/>
  <c r="X36" i="120"/>
  <c r="Q36" i="120"/>
  <c r="Y36" i="120"/>
  <c r="R36" i="120"/>
  <c r="Z36" i="120"/>
  <c r="U36" i="120"/>
  <c r="T36" i="120"/>
  <c r="V36" i="120"/>
  <c r="S36" i="120"/>
  <c r="S32" i="120"/>
  <c r="T32" i="120"/>
  <c r="U32" i="120"/>
  <c r="V32" i="120"/>
  <c r="Q32" i="120"/>
  <c r="Y32" i="120"/>
  <c r="W32" i="120"/>
  <c r="X32" i="120"/>
  <c r="Z32" i="120"/>
  <c r="P32" i="120"/>
  <c r="R32" i="120"/>
  <c r="U365" i="120"/>
  <c r="V365" i="120"/>
  <c r="W365" i="120"/>
  <c r="P365" i="120"/>
  <c r="X365" i="120"/>
  <c r="R365" i="120"/>
  <c r="S365" i="120"/>
  <c r="T365" i="120"/>
  <c r="Z365" i="120"/>
  <c r="Y365" i="120"/>
  <c r="Q365" i="120"/>
  <c r="W366" i="120"/>
  <c r="P366" i="120"/>
  <c r="X366" i="120"/>
  <c r="Q366" i="120"/>
  <c r="Y366" i="120"/>
  <c r="R366" i="120"/>
  <c r="Z366" i="120"/>
  <c r="S366" i="120"/>
  <c r="T366" i="120"/>
  <c r="U366" i="120"/>
  <c r="V366" i="120"/>
  <c r="U370" i="120"/>
  <c r="V370" i="120"/>
  <c r="W370" i="120"/>
  <c r="P370" i="120"/>
  <c r="X370" i="120"/>
  <c r="Y370" i="120"/>
  <c r="Z370" i="120"/>
  <c r="Q370" i="120"/>
  <c r="R370" i="120"/>
  <c r="T370" i="120"/>
  <c r="S370" i="120"/>
  <c r="W9" i="120"/>
  <c r="P9" i="120"/>
  <c r="X9" i="120"/>
  <c r="Q9" i="120"/>
  <c r="Y9" i="120"/>
  <c r="R9" i="120"/>
  <c r="Z9" i="120"/>
  <c r="T9" i="120"/>
  <c r="U9" i="120"/>
  <c r="V9" i="120"/>
  <c r="S9" i="120"/>
  <c r="U355" i="120"/>
  <c r="V355" i="120"/>
  <c r="W355" i="120"/>
  <c r="P355" i="120"/>
  <c r="X355" i="120"/>
  <c r="Z355" i="120"/>
  <c r="Q355" i="120"/>
  <c r="R355" i="120"/>
  <c r="S355" i="120"/>
  <c r="T355" i="120"/>
  <c r="Y355" i="120"/>
  <c r="Q405" i="120"/>
  <c r="Y405" i="120"/>
  <c r="R405" i="120"/>
  <c r="Z405" i="120"/>
  <c r="S405" i="120"/>
  <c r="T405" i="120"/>
  <c r="V405" i="120"/>
  <c r="W405" i="120"/>
  <c r="X405" i="120"/>
  <c r="U405" i="120"/>
  <c r="P405" i="120"/>
  <c r="U353" i="120"/>
  <c r="V353" i="120"/>
  <c r="W353" i="120"/>
  <c r="P353" i="120"/>
  <c r="X353" i="120"/>
  <c r="R353" i="120"/>
  <c r="S353" i="120"/>
  <c r="Z353" i="120"/>
  <c r="T353" i="120"/>
  <c r="Y353" i="120"/>
  <c r="Q353" i="120"/>
  <c r="Q350" i="120"/>
  <c r="Y350" i="120"/>
  <c r="R350" i="120"/>
  <c r="Z350" i="120"/>
  <c r="S350" i="120"/>
  <c r="T350" i="120"/>
  <c r="P350" i="120"/>
  <c r="U350" i="120"/>
  <c r="V350" i="120"/>
  <c r="W350" i="120"/>
  <c r="X350" i="120"/>
  <c r="U346" i="120"/>
  <c r="V346" i="120"/>
  <c r="W346" i="120"/>
  <c r="P346" i="120"/>
  <c r="X346" i="120"/>
  <c r="Z346" i="120"/>
  <c r="S346" i="120"/>
  <c r="Q346" i="120"/>
  <c r="R346" i="120"/>
  <c r="T346" i="120"/>
  <c r="Y346" i="120"/>
  <c r="Q342" i="120"/>
  <c r="Y342" i="120"/>
  <c r="R342" i="120"/>
  <c r="Z342" i="120"/>
  <c r="S342" i="120"/>
  <c r="T342" i="120"/>
  <c r="V342" i="120"/>
  <c r="W342" i="120"/>
  <c r="X342" i="120"/>
  <c r="P342" i="120"/>
  <c r="U342" i="120"/>
  <c r="U339" i="120"/>
  <c r="V339" i="120"/>
  <c r="W339" i="120"/>
  <c r="P339" i="120"/>
  <c r="X339" i="120"/>
  <c r="R339" i="120"/>
  <c r="S339" i="120"/>
  <c r="T339" i="120"/>
  <c r="Y339" i="120"/>
  <c r="Z339" i="120"/>
  <c r="Q339" i="120"/>
  <c r="Q335" i="120"/>
  <c r="Y335" i="120"/>
  <c r="R335" i="120"/>
  <c r="Z335" i="120"/>
  <c r="S335" i="120"/>
  <c r="T335" i="120"/>
  <c r="V335" i="120"/>
  <c r="W335" i="120"/>
  <c r="P335" i="120"/>
  <c r="U335" i="120"/>
  <c r="X335" i="120"/>
  <c r="U19" i="120"/>
  <c r="V19" i="120"/>
  <c r="W19" i="120"/>
  <c r="P19" i="120"/>
  <c r="X19" i="120"/>
  <c r="Z19" i="120"/>
  <c r="S19" i="120"/>
  <c r="Q19" i="120"/>
  <c r="R19" i="120"/>
  <c r="T19" i="120"/>
  <c r="Y19" i="120"/>
  <c r="Q401" i="120"/>
  <c r="Y401" i="120"/>
  <c r="R401" i="120"/>
  <c r="Z401" i="120"/>
  <c r="S401" i="120"/>
  <c r="T401" i="120"/>
  <c r="V401" i="120"/>
  <c r="W401" i="120"/>
  <c r="X401" i="120"/>
  <c r="P401" i="120"/>
  <c r="U401" i="120"/>
  <c r="U396" i="120"/>
  <c r="V396" i="120"/>
  <c r="W396" i="120"/>
  <c r="P396" i="120"/>
  <c r="X396" i="120"/>
  <c r="R396" i="120"/>
  <c r="S396" i="120"/>
  <c r="T396" i="120"/>
  <c r="Y396" i="120"/>
  <c r="Z396" i="120"/>
  <c r="Q396" i="120"/>
  <c r="Q326" i="120"/>
  <c r="Y326" i="120"/>
  <c r="R326" i="120"/>
  <c r="Z326" i="120"/>
  <c r="S326" i="120"/>
  <c r="T326" i="120"/>
  <c r="W326" i="120"/>
  <c r="P326" i="120"/>
  <c r="U326" i="120"/>
  <c r="V326" i="120"/>
  <c r="X326" i="120"/>
  <c r="U382" i="120"/>
  <c r="V382" i="120"/>
  <c r="W382" i="120"/>
  <c r="P382" i="120"/>
  <c r="X382" i="120"/>
  <c r="Z382" i="120"/>
  <c r="S382" i="120"/>
  <c r="Q382" i="120"/>
  <c r="R382" i="120"/>
  <c r="T382" i="120"/>
  <c r="Y382" i="120"/>
  <c r="Q402" i="120"/>
  <c r="Y402" i="120"/>
  <c r="R402" i="120"/>
  <c r="Z402" i="120"/>
  <c r="S402" i="120"/>
  <c r="T402" i="120"/>
  <c r="V402" i="120"/>
  <c r="W402" i="120"/>
  <c r="X402" i="120"/>
  <c r="P402" i="120"/>
  <c r="U402" i="120"/>
  <c r="U319" i="120"/>
  <c r="V319" i="120"/>
  <c r="W319" i="120"/>
  <c r="P319" i="120"/>
  <c r="X319" i="120"/>
  <c r="R319" i="120"/>
  <c r="S319" i="120"/>
  <c r="T319" i="120"/>
  <c r="Y319" i="120"/>
  <c r="Z319" i="120"/>
  <c r="Q319" i="120"/>
  <c r="Q315" i="120"/>
  <c r="Y315" i="120"/>
  <c r="R315" i="120"/>
  <c r="Z315" i="120"/>
  <c r="S315" i="120"/>
  <c r="T315" i="120"/>
  <c r="P315" i="120"/>
  <c r="U315" i="120"/>
  <c r="V315" i="120"/>
  <c r="W315" i="120"/>
  <c r="X315" i="120"/>
  <c r="U311" i="120"/>
  <c r="V311" i="120"/>
  <c r="W311" i="120"/>
  <c r="P311" i="120"/>
  <c r="X311" i="120"/>
  <c r="Z311" i="120"/>
  <c r="S311" i="120"/>
  <c r="Q311" i="120"/>
  <c r="R311" i="120"/>
  <c r="T311" i="120"/>
  <c r="Y311" i="120"/>
  <c r="Q307" i="120"/>
  <c r="Y307" i="120"/>
  <c r="R307" i="120"/>
  <c r="Z307" i="120"/>
  <c r="S307" i="120"/>
  <c r="T307" i="120"/>
  <c r="V307" i="120"/>
  <c r="W307" i="120"/>
  <c r="X307" i="120"/>
  <c r="P307" i="120"/>
  <c r="U307" i="120"/>
  <c r="U305" i="120"/>
  <c r="V305" i="120"/>
  <c r="W305" i="120"/>
  <c r="P305" i="120"/>
  <c r="X305" i="120"/>
  <c r="R305" i="120"/>
  <c r="S305" i="120"/>
  <c r="T305" i="120"/>
  <c r="Y305" i="120"/>
  <c r="Z305" i="120"/>
  <c r="Q305" i="120"/>
  <c r="Q301" i="120"/>
  <c r="Y301" i="120"/>
  <c r="U301" i="120"/>
  <c r="R301" i="120"/>
  <c r="Z301" i="120"/>
  <c r="S301" i="120"/>
  <c r="T301" i="120"/>
  <c r="X301" i="120"/>
  <c r="P301" i="120"/>
  <c r="V301" i="120"/>
  <c r="W301" i="120"/>
  <c r="U384" i="120"/>
  <c r="V384" i="120"/>
  <c r="Q384" i="120"/>
  <c r="W384" i="120"/>
  <c r="P384" i="120"/>
  <c r="X384" i="120"/>
  <c r="Y384" i="120"/>
  <c r="R384" i="120"/>
  <c r="S384" i="120"/>
  <c r="T384" i="120"/>
  <c r="Z384" i="120"/>
  <c r="Q296" i="120"/>
  <c r="Y296" i="120"/>
  <c r="R296" i="120"/>
  <c r="Z296" i="120"/>
  <c r="S296" i="120"/>
  <c r="T296" i="120"/>
  <c r="U296" i="120"/>
  <c r="P296" i="120"/>
  <c r="V296" i="120"/>
  <c r="W296" i="120"/>
  <c r="X296" i="120"/>
  <c r="U292" i="120"/>
  <c r="Q292" i="120"/>
  <c r="V292" i="120"/>
  <c r="W292" i="120"/>
  <c r="Y292" i="120"/>
  <c r="P292" i="120"/>
  <c r="X292" i="120"/>
  <c r="R292" i="120"/>
  <c r="S292" i="120"/>
  <c r="T292" i="120"/>
  <c r="Z292" i="120"/>
  <c r="Q288" i="120"/>
  <c r="Y288" i="120"/>
  <c r="U288" i="120"/>
  <c r="R288" i="120"/>
  <c r="Z288" i="120"/>
  <c r="S288" i="120"/>
  <c r="T288" i="120"/>
  <c r="P288" i="120"/>
  <c r="V288" i="120"/>
  <c r="W288" i="120"/>
  <c r="X288" i="120"/>
  <c r="U284" i="120"/>
  <c r="V284" i="120"/>
  <c r="W284" i="120"/>
  <c r="Y284" i="120"/>
  <c r="P284" i="120"/>
  <c r="X284" i="120"/>
  <c r="Q284" i="120"/>
  <c r="R284" i="120"/>
  <c r="S284" i="120"/>
  <c r="T284" i="120"/>
  <c r="Z284" i="120"/>
  <c r="Q280" i="120"/>
  <c r="Y280" i="120"/>
  <c r="R280" i="120"/>
  <c r="Z280" i="120"/>
  <c r="U280" i="120"/>
  <c r="S280" i="120"/>
  <c r="T280" i="120"/>
  <c r="P280" i="120"/>
  <c r="V280" i="120"/>
  <c r="W280" i="120"/>
  <c r="X280" i="120"/>
  <c r="U276" i="120"/>
  <c r="V276" i="120"/>
  <c r="W276" i="120"/>
  <c r="Y276" i="120"/>
  <c r="P276" i="120"/>
  <c r="X276" i="120"/>
  <c r="Q276" i="120"/>
  <c r="R276" i="120"/>
  <c r="S276" i="120"/>
  <c r="T276" i="120"/>
  <c r="Z276" i="120"/>
  <c r="Q273" i="120"/>
  <c r="Y273" i="120"/>
  <c r="R273" i="120"/>
  <c r="Z273" i="120"/>
  <c r="S273" i="120"/>
  <c r="U273" i="120"/>
  <c r="T273" i="120"/>
  <c r="P273" i="120"/>
  <c r="V273" i="120"/>
  <c r="W273" i="120"/>
  <c r="X273" i="120"/>
  <c r="U269" i="120"/>
  <c r="V269" i="120"/>
  <c r="Y269" i="120"/>
  <c r="W269" i="120"/>
  <c r="Q269" i="120"/>
  <c r="P269" i="120"/>
  <c r="X269" i="120"/>
  <c r="R269" i="120"/>
  <c r="S269" i="120"/>
  <c r="T269" i="120"/>
  <c r="Z269" i="120"/>
  <c r="Q265" i="120"/>
  <c r="Y265" i="120"/>
  <c r="U265" i="120"/>
  <c r="R265" i="120"/>
  <c r="Z265" i="120"/>
  <c r="S265" i="120"/>
  <c r="T265" i="120"/>
  <c r="P265" i="120"/>
  <c r="V265" i="120"/>
  <c r="W265" i="120"/>
  <c r="X265" i="120"/>
  <c r="U404" i="120"/>
  <c r="V404" i="120"/>
  <c r="Y404" i="120"/>
  <c r="W404" i="120"/>
  <c r="P404" i="120"/>
  <c r="X404" i="120"/>
  <c r="Q404" i="120"/>
  <c r="S404" i="120"/>
  <c r="T404" i="120"/>
  <c r="Z404" i="120"/>
  <c r="R404" i="120"/>
  <c r="Q259" i="120"/>
  <c r="Y259" i="120"/>
  <c r="R259" i="120"/>
  <c r="Z259" i="120"/>
  <c r="S259" i="120"/>
  <c r="T259" i="120"/>
  <c r="U259" i="120"/>
  <c r="V259" i="120"/>
  <c r="W259" i="120"/>
  <c r="X259" i="120"/>
  <c r="P259" i="120"/>
  <c r="R256" i="120"/>
  <c r="Z256" i="120"/>
  <c r="S256" i="120"/>
  <c r="T256" i="120"/>
  <c r="U256" i="120"/>
  <c r="V256" i="120"/>
  <c r="W256" i="120"/>
  <c r="X256" i="120"/>
  <c r="Y256" i="120"/>
  <c r="P256" i="120"/>
  <c r="Q256" i="120"/>
  <c r="V252" i="120"/>
  <c r="W252" i="120"/>
  <c r="P252" i="120"/>
  <c r="X252" i="120"/>
  <c r="Q252" i="120"/>
  <c r="Y252" i="120"/>
  <c r="R252" i="120"/>
  <c r="Z252" i="120"/>
  <c r="S252" i="120"/>
  <c r="T252" i="120"/>
  <c r="U252" i="120"/>
  <c r="R26" i="120"/>
  <c r="Z26" i="120"/>
  <c r="S26" i="120"/>
  <c r="T26" i="120"/>
  <c r="U26" i="120"/>
  <c r="P26" i="120"/>
  <c r="Q26" i="120"/>
  <c r="V26" i="120"/>
  <c r="W26" i="120"/>
  <c r="X26" i="120"/>
  <c r="Y26" i="120"/>
  <c r="V246" i="120"/>
  <c r="W246" i="120"/>
  <c r="P246" i="120"/>
  <c r="X246" i="120"/>
  <c r="Q246" i="120"/>
  <c r="Y246" i="120"/>
  <c r="Z246" i="120"/>
  <c r="R246" i="120"/>
  <c r="S246" i="120"/>
  <c r="T246" i="120"/>
  <c r="U246" i="120"/>
  <c r="R243" i="120"/>
  <c r="Z243" i="120"/>
  <c r="S243" i="120"/>
  <c r="T243" i="120"/>
  <c r="U243" i="120"/>
  <c r="V243" i="120"/>
  <c r="W243" i="120"/>
  <c r="X243" i="120"/>
  <c r="Y243" i="120"/>
  <c r="P243" i="120"/>
  <c r="Q243" i="120"/>
  <c r="V239" i="120"/>
  <c r="W239" i="120"/>
  <c r="P239" i="120"/>
  <c r="X239" i="120"/>
  <c r="Q239" i="120"/>
  <c r="Y239" i="120"/>
  <c r="R239" i="120"/>
  <c r="S239" i="120"/>
  <c r="T239" i="120"/>
  <c r="Z239" i="120"/>
  <c r="U239" i="120"/>
  <c r="R236" i="120"/>
  <c r="Z236" i="120"/>
  <c r="S236" i="120"/>
  <c r="T236" i="120"/>
  <c r="U236" i="120"/>
  <c r="V236" i="120"/>
  <c r="P236" i="120"/>
  <c r="Q236" i="120"/>
  <c r="W236" i="120"/>
  <c r="X236" i="120"/>
  <c r="Y236" i="120"/>
  <c r="V232" i="120"/>
  <c r="W232" i="120"/>
  <c r="P232" i="120"/>
  <c r="X232" i="120"/>
  <c r="Q232" i="120"/>
  <c r="Y232" i="120"/>
  <c r="Z232" i="120"/>
  <c r="R232" i="120"/>
  <c r="S232" i="120"/>
  <c r="T232" i="120"/>
  <c r="U232" i="120"/>
  <c r="R228" i="120"/>
  <c r="Z228" i="120"/>
  <c r="S228" i="120"/>
  <c r="T228" i="120"/>
  <c r="U228" i="120"/>
  <c r="V228" i="120"/>
  <c r="W228" i="120"/>
  <c r="X228" i="120"/>
  <c r="Y228" i="120"/>
  <c r="P228" i="120"/>
  <c r="Q228" i="120"/>
  <c r="V224" i="120"/>
  <c r="W224" i="120"/>
  <c r="P224" i="120"/>
  <c r="X224" i="120"/>
  <c r="Q224" i="120"/>
  <c r="Y224" i="120"/>
  <c r="R224" i="120"/>
  <c r="S224" i="120"/>
  <c r="Z224" i="120"/>
  <c r="T224" i="120"/>
  <c r="U224" i="120"/>
  <c r="R220" i="120"/>
  <c r="Z220" i="120"/>
  <c r="S220" i="120"/>
  <c r="T220" i="120"/>
  <c r="U220" i="120"/>
  <c r="P220" i="120"/>
  <c r="Q220" i="120"/>
  <c r="V220" i="120"/>
  <c r="W220" i="120"/>
  <c r="X220" i="120"/>
  <c r="Y220" i="120"/>
  <c r="V216" i="120"/>
  <c r="W216" i="120"/>
  <c r="P216" i="120"/>
  <c r="X216" i="120"/>
  <c r="Q216" i="120"/>
  <c r="Y216" i="120"/>
  <c r="Z216" i="120"/>
  <c r="R216" i="120"/>
  <c r="T216" i="120"/>
  <c r="U216" i="120"/>
  <c r="S216" i="120"/>
  <c r="R212" i="120"/>
  <c r="Z212" i="120"/>
  <c r="S212" i="120"/>
  <c r="T212" i="120"/>
  <c r="U212" i="120"/>
  <c r="V212" i="120"/>
  <c r="W212" i="120"/>
  <c r="X212" i="120"/>
  <c r="Y212" i="120"/>
  <c r="Q212" i="120"/>
  <c r="P212" i="120"/>
  <c r="V209" i="120"/>
  <c r="W209" i="120"/>
  <c r="P209" i="120"/>
  <c r="X209" i="120"/>
  <c r="Q209" i="120"/>
  <c r="Y209" i="120"/>
  <c r="R209" i="120"/>
  <c r="S209" i="120"/>
  <c r="Z209" i="120"/>
  <c r="T209" i="120"/>
  <c r="U209" i="120"/>
  <c r="R394" i="120"/>
  <c r="Z394" i="120"/>
  <c r="S394" i="120"/>
  <c r="T394" i="120"/>
  <c r="U394" i="120"/>
  <c r="P394" i="120"/>
  <c r="Q394" i="120"/>
  <c r="V394" i="120"/>
  <c r="X394" i="120"/>
  <c r="Y394" i="120"/>
  <c r="W394" i="120"/>
  <c r="P202" i="120"/>
  <c r="X202" i="120"/>
  <c r="Q202" i="120"/>
  <c r="Y202" i="120"/>
  <c r="R202" i="120"/>
  <c r="Z202" i="120"/>
  <c r="S202" i="120"/>
  <c r="T202" i="120"/>
  <c r="U202" i="120"/>
  <c r="V202" i="120"/>
  <c r="W202" i="120"/>
  <c r="T198" i="120"/>
  <c r="U198" i="120"/>
  <c r="V198" i="120"/>
  <c r="R198" i="120"/>
  <c r="S198" i="120"/>
  <c r="W198" i="120"/>
  <c r="X198" i="120"/>
  <c r="Y198" i="120"/>
  <c r="P198" i="120"/>
  <c r="Q198" i="120"/>
  <c r="Z198" i="120"/>
  <c r="P195" i="120"/>
  <c r="X195" i="120"/>
  <c r="Q195" i="120"/>
  <c r="Y195" i="120"/>
  <c r="R195" i="120"/>
  <c r="Z195" i="120"/>
  <c r="W195" i="120"/>
  <c r="S195" i="120"/>
  <c r="T195" i="120"/>
  <c r="U195" i="120"/>
  <c r="V195" i="120"/>
  <c r="T191" i="120"/>
  <c r="U191" i="120"/>
  <c r="V191" i="120"/>
  <c r="Q191" i="120"/>
  <c r="R191" i="120"/>
  <c r="S191" i="120"/>
  <c r="W191" i="120"/>
  <c r="X191" i="120"/>
  <c r="Y191" i="120"/>
  <c r="Z191" i="120"/>
  <c r="P191" i="120"/>
  <c r="P187" i="120"/>
  <c r="X187" i="120"/>
  <c r="Q187" i="120"/>
  <c r="Y187" i="120"/>
  <c r="R187" i="120"/>
  <c r="Z187" i="120"/>
  <c r="V187" i="120"/>
  <c r="W187" i="120"/>
  <c r="S187" i="120"/>
  <c r="T187" i="120"/>
  <c r="U187" i="120"/>
  <c r="S183" i="120"/>
  <c r="T183" i="120"/>
  <c r="U183" i="120"/>
  <c r="V183" i="120"/>
  <c r="W183" i="120"/>
  <c r="X183" i="120"/>
  <c r="Y183" i="120"/>
  <c r="Z183" i="120"/>
  <c r="R183" i="120"/>
  <c r="P183" i="120"/>
  <c r="Q183" i="120"/>
  <c r="W179" i="120"/>
  <c r="P179" i="120"/>
  <c r="X179" i="120"/>
  <c r="Q179" i="120"/>
  <c r="Y179" i="120"/>
  <c r="R179" i="120"/>
  <c r="Z179" i="120"/>
  <c r="S179" i="120"/>
  <c r="T179" i="120"/>
  <c r="U179" i="120"/>
  <c r="V179" i="120"/>
  <c r="S175" i="120"/>
  <c r="T175" i="120"/>
  <c r="U175" i="120"/>
  <c r="V175" i="120"/>
  <c r="P175" i="120"/>
  <c r="Q175" i="120"/>
  <c r="R175" i="120"/>
  <c r="W175" i="120"/>
  <c r="X175" i="120"/>
  <c r="Y175" i="120"/>
  <c r="Z175" i="120"/>
  <c r="W171" i="120"/>
  <c r="P171" i="120"/>
  <c r="X171" i="120"/>
  <c r="Q171" i="120"/>
  <c r="Y171" i="120"/>
  <c r="R171" i="120"/>
  <c r="Z171" i="120"/>
  <c r="S171" i="120"/>
  <c r="T171" i="120"/>
  <c r="U171" i="120"/>
  <c r="V171" i="120"/>
  <c r="S168" i="120"/>
  <c r="T168" i="120"/>
  <c r="U168" i="120"/>
  <c r="V168" i="120"/>
  <c r="W168" i="120"/>
  <c r="X168" i="120"/>
  <c r="Y168" i="120"/>
  <c r="Z168" i="120"/>
  <c r="P168" i="120"/>
  <c r="Q168" i="120"/>
  <c r="R168" i="120"/>
  <c r="W164" i="120"/>
  <c r="P164" i="120"/>
  <c r="X164" i="120"/>
  <c r="Q164" i="120"/>
  <c r="Y164" i="120"/>
  <c r="R164" i="120"/>
  <c r="Z164" i="120"/>
  <c r="S164" i="120"/>
  <c r="T164" i="120"/>
  <c r="U164" i="120"/>
  <c r="V164" i="120"/>
  <c r="S160" i="120"/>
  <c r="T160" i="120"/>
  <c r="U160" i="120"/>
  <c r="V160" i="120"/>
  <c r="P160" i="120"/>
  <c r="Q160" i="120"/>
  <c r="R160" i="120"/>
  <c r="W160" i="120"/>
  <c r="Z160" i="120"/>
  <c r="X160" i="120"/>
  <c r="Y160" i="120"/>
  <c r="W156" i="120"/>
  <c r="P156" i="120"/>
  <c r="X156" i="120"/>
  <c r="Q156" i="120"/>
  <c r="Y156" i="120"/>
  <c r="R156" i="120"/>
  <c r="Z156" i="120"/>
  <c r="S156" i="120"/>
  <c r="T156" i="120"/>
  <c r="U156" i="120"/>
  <c r="V156" i="120"/>
  <c r="S152" i="120"/>
  <c r="T152" i="120"/>
  <c r="U152" i="120"/>
  <c r="V152" i="120"/>
  <c r="W152" i="120"/>
  <c r="X152" i="120"/>
  <c r="Y152" i="120"/>
  <c r="Z152" i="120"/>
  <c r="P152" i="120"/>
  <c r="Q152" i="120"/>
  <c r="R152" i="120"/>
  <c r="W148" i="120"/>
  <c r="P148" i="120"/>
  <c r="X148" i="120"/>
  <c r="Q148" i="120"/>
  <c r="Y148" i="120"/>
  <c r="R148" i="120"/>
  <c r="Z148" i="120"/>
  <c r="S148" i="120"/>
  <c r="T148" i="120"/>
  <c r="U148" i="120"/>
  <c r="V148" i="120"/>
  <c r="S144" i="120"/>
  <c r="T144" i="120"/>
  <c r="U144" i="120"/>
  <c r="V144" i="120"/>
  <c r="P144" i="120"/>
  <c r="Q144" i="120"/>
  <c r="R144" i="120"/>
  <c r="W144" i="120"/>
  <c r="X144" i="120"/>
  <c r="Y144" i="120"/>
  <c r="Z144" i="120"/>
  <c r="W140" i="120"/>
  <c r="P140" i="120"/>
  <c r="X140" i="120"/>
  <c r="Q140" i="120"/>
  <c r="Y140" i="120"/>
  <c r="R140" i="120"/>
  <c r="Z140" i="120"/>
  <c r="S140" i="120"/>
  <c r="T140" i="120"/>
  <c r="U140" i="120"/>
  <c r="V140" i="120"/>
  <c r="S136" i="120"/>
  <c r="T136" i="120"/>
  <c r="U136" i="120"/>
  <c r="V136" i="120"/>
  <c r="W136" i="120"/>
  <c r="X136" i="120"/>
  <c r="Y136" i="120"/>
  <c r="Z136" i="120"/>
  <c r="P136" i="120"/>
  <c r="Q136" i="120"/>
  <c r="R136" i="120"/>
  <c r="W132" i="120"/>
  <c r="P132" i="120"/>
  <c r="X132" i="120"/>
  <c r="Q132" i="120"/>
  <c r="Y132" i="120"/>
  <c r="R132" i="120"/>
  <c r="Z132" i="120"/>
  <c r="S132" i="120"/>
  <c r="T132" i="120"/>
  <c r="U132" i="120"/>
  <c r="V132" i="120"/>
  <c r="S128" i="120"/>
  <c r="T128" i="120"/>
  <c r="U128" i="120"/>
  <c r="V128" i="120"/>
  <c r="P128" i="120"/>
  <c r="Q128" i="120"/>
  <c r="R128" i="120"/>
  <c r="W128" i="120"/>
  <c r="Y128" i="120"/>
  <c r="X128" i="120"/>
  <c r="Z128" i="120"/>
  <c r="W124" i="120"/>
  <c r="P124" i="120"/>
  <c r="X124" i="120"/>
  <c r="Q124" i="120"/>
  <c r="Y124" i="120"/>
  <c r="R124" i="120"/>
  <c r="Z124" i="120"/>
  <c r="S124" i="120"/>
  <c r="T124" i="120"/>
  <c r="U124" i="120"/>
  <c r="V124" i="120"/>
  <c r="S120" i="120"/>
  <c r="T120" i="120"/>
  <c r="U120" i="120"/>
  <c r="V120" i="120"/>
  <c r="W120" i="120"/>
  <c r="X120" i="120"/>
  <c r="Y120" i="120"/>
  <c r="Z120" i="120"/>
  <c r="P120" i="120"/>
  <c r="Q120" i="120"/>
  <c r="R120" i="120"/>
  <c r="W116" i="120"/>
  <c r="P116" i="120"/>
  <c r="X116" i="120"/>
  <c r="Q116" i="120"/>
  <c r="Y116" i="120"/>
  <c r="R116" i="120"/>
  <c r="Z116" i="120"/>
  <c r="S116" i="120"/>
  <c r="T116" i="120"/>
  <c r="U116" i="120"/>
  <c r="V116" i="120"/>
  <c r="Q112" i="120"/>
  <c r="R112" i="120"/>
  <c r="Z112" i="120"/>
  <c r="S112" i="120"/>
  <c r="T112" i="120"/>
  <c r="U112" i="120"/>
  <c r="V112" i="120"/>
  <c r="W112" i="120"/>
  <c r="X112" i="120"/>
  <c r="Y112" i="120"/>
  <c r="P112" i="120"/>
  <c r="U108" i="120"/>
  <c r="V108" i="120"/>
  <c r="W108" i="120"/>
  <c r="P108" i="120"/>
  <c r="X108" i="120"/>
  <c r="Q108" i="120"/>
  <c r="R108" i="120"/>
  <c r="S108" i="120"/>
  <c r="T108" i="120"/>
  <c r="Y108" i="120"/>
  <c r="Z108" i="120"/>
  <c r="Q104" i="120"/>
  <c r="Y104" i="120"/>
  <c r="R104" i="120"/>
  <c r="Z104" i="120"/>
  <c r="S104" i="120"/>
  <c r="T104" i="120"/>
  <c r="P104" i="120"/>
  <c r="U104" i="120"/>
  <c r="V104" i="120"/>
  <c r="W104" i="120"/>
  <c r="X104" i="120"/>
  <c r="U100" i="120"/>
  <c r="V100" i="120"/>
  <c r="W100" i="120"/>
  <c r="P100" i="120"/>
  <c r="X100" i="120"/>
  <c r="Y100" i="120"/>
  <c r="Z100" i="120"/>
  <c r="Q100" i="120"/>
  <c r="R100" i="120"/>
  <c r="S100" i="120"/>
  <c r="T100" i="120"/>
  <c r="Q96" i="120"/>
  <c r="Y96" i="120"/>
  <c r="R96" i="120"/>
  <c r="Z96" i="120"/>
  <c r="S96" i="120"/>
  <c r="T96" i="120"/>
  <c r="U96" i="120"/>
  <c r="V96" i="120"/>
  <c r="W96" i="120"/>
  <c r="X96" i="120"/>
  <c r="P96" i="120"/>
  <c r="U92" i="120"/>
  <c r="V92" i="120"/>
  <c r="W92" i="120"/>
  <c r="P92" i="120"/>
  <c r="X92" i="120"/>
  <c r="Q92" i="120"/>
  <c r="R92" i="120"/>
  <c r="S92" i="120"/>
  <c r="T92" i="120"/>
  <c r="Y92" i="120"/>
  <c r="Z92" i="120"/>
  <c r="Q88" i="120"/>
  <c r="Y88" i="120"/>
  <c r="R88" i="120"/>
  <c r="Z88" i="120"/>
  <c r="S88" i="120"/>
  <c r="T88" i="120"/>
  <c r="P88" i="120"/>
  <c r="U88" i="120"/>
  <c r="V88" i="120"/>
  <c r="W88" i="120"/>
  <c r="X88" i="120"/>
  <c r="U84" i="120"/>
  <c r="V84" i="120"/>
  <c r="W84" i="120"/>
  <c r="P84" i="120"/>
  <c r="X84" i="120"/>
  <c r="Y84" i="120"/>
  <c r="Z84" i="120"/>
  <c r="Q84" i="120"/>
  <c r="R84" i="120"/>
  <c r="S84" i="120"/>
  <c r="T84" i="120"/>
  <c r="Q80" i="120"/>
  <c r="Y80" i="120"/>
  <c r="R80" i="120"/>
  <c r="Z80" i="120"/>
  <c r="S80" i="120"/>
  <c r="T80" i="120"/>
  <c r="U80" i="120"/>
  <c r="V80" i="120"/>
  <c r="W80" i="120"/>
  <c r="X80" i="120"/>
  <c r="P80" i="120"/>
  <c r="R76" i="120"/>
  <c r="S76" i="120"/>
  <c r="T76" i="120"/>
  <c r="U76" i="120"/>
  <c r="Q76" i="120"/>
  <c r="V76" i="120"/>
  <c r="W76" i="120"/>
  <c r="X76" i="120"/>
  <c r="P76" i="120"/>
  <c r="Y76" i="120"/>
  <c r="Z76" i="120"/>
  <c r="V72" i="120"/>
  <c r="W72" i="120"/>
  <c r="P72" i="120"/>
  <c r="X72" i="120"/>
  <c r="Q72" i="120"/>
  <c r="Y72" i="120"/>
  <c r="R72" i="120"/>
  <c r="S72" i="120"/>
  <c r="T72" i="120"/>
  <c r="U72" i="120"/>
  <c r="Z72" i="120"/>
  <c r="R406" i="120"/>
  <c r="Z406" i="120"/>
  <c r="S406" i="120"/>
  <c r="T406" i="120"/>
  <c r="U406" i="120"/>
  <c r="Y406" i="120"/>
  <c r="P406" i="120"/>
  <c r="Q406" i="120"/>
  <c r="V406" i="120"/>
  <c r="W406" i="120"/>
  <c r="X406" i="120"/>
  <c r="V409" i="120"/>
  <c r="W409" i="120"/>
  <c r="P409" i="120"/>
  <c r="X409" i="120"/>
  <c r="Q409" i="120"/>
  <c r="Y409" i="120"/>
  <c r="U409" i="120"/>
  <c r="Z409" i="120"/>
  <c r="R409" i="120"/>
  <c r="S409" i="120"/>
  <c r="T409" i="120"/>
  <c r="R69" i="120"/>
  <c r="Z69" i="120"/>
  <c r="S69" i="120"/>
  <c r="T69" i="120"/>
  <c r="U69" i="120"/>
  <c r="Q69" i="120"/>
  <c r="V69" i="120"/>
  <c r="W69" i="120"/>
  <c r="X69" i="120"/>
  <c r="Y69" i="120"/>
  <c r="P69" i="120"/>
  <c r="V67" i="120"/>
  <c r="W67" i="120"/>
  <c r="P67" i="120"/>
  <c r="X67" i="120"/>
  <c r="Q67" i="120"/>
  <c r="Y67" i="120"/>
  <c r="R67" i="120"/>
  <c r="S67" i="120"/>
  <c r="T67" i="120"/>
  <c r="U67" i="120"/>
  <c r="Z67" i="120"/>
  <c r="R64" i="120"/>
  <c r="Z64" i="120"/>
  <c r="S64" i="120"/>
  <c r="T64" i="120"/>
  <c r="U64" i="120"/>
  <c r="P64" i="120"/>
  <c r="X64" i="120"/>
  <c r="V64" i="120"/>
  <c r="W64" i="120"/>
  <c r="Y64" i="120"/>
  <c r="Q64" i="120"/>
  <c r="V60" i="120"/>
  <c r="W60" i="120"/>
  <c r="P60" i="120"/>
  <c r="X60" i="120"/>
  <c r="Q60" i="120"/>
  <c r="Y60" i="120"/>
  <c r="T60" i="120"/>
  <c r="U60" i="120"/>
  <c r="Z60" i="120"/>
  <c r="R60" i="120"/>
  <c r="S60" i="120"/>
  <c r="R373" i="120"/>
  <c r="Z373" i="120"/>
  <c r="S373" i="120"/>
  <c r="T373" i="120"/>
  <c r="U373" i="120"/>
  <c r="P373" i="120"/>
  <c r="X373" i="120"/>
  <c r="W373" i="120"/>
  <c r="Y373" i="120"/>
  <c r="Q373" i="120"/>
  <c r="V373" i="120"/>
  <c r="V53" i="120"/>
  <c r="W53" i="120"/>
  <c r="P53" i="120"/>
  <c r="X53" i="120"/>
  <c r="Q53" i="120"/>
  <c r="Y53" i="120"/>
  <c r="T53" i="120"/>
  <c r="Z53" i="120"/>
  <c r="R53" i="120"/>
  <c r="S53" i="120"/>
  <c r="U53" i="120"/>
  <c r="R51" i="120"/>
  <c r="Z51" i="120"/>
  <c r="S51" i="120"/>
  <c r="T51" i="120"/>
  <c r="U51" i="120"/>
  <c r="P51" i="120"/>
  <c r="X51" i="120"/>
  <c r="Y51" i="120"/>
  <c r="Q51" i="120"/>
  <c r="V51" i="120"/>
  <c r="W51" i="120"/>
  <c r="V47" i="120"/>
  <c r="W47" i="120"/>
  <c r="P47" i="120"/>
  <c r="X47" i="120"/>
  <c r="Q47" i="120"/>
  <c r="Y47" i="120"/>
  <c r="T47" i="120"/>
  <c r="R47" i="120"/>
  <c r="S47" i="120"/>
  <c r="U47" i="120"/>
  <c r="Z47" i="120"/>
  <c r="R43" i="120"/>
  <c r="Z43" i="120"/>
  <c r="S43" i="120"/>
  <c r="T43" i="120"/>
  <c r="U43" i="120"/>
  <c r="P43" i="120"/>
  <c r="X43" i="120"/>
  <c r="Q43" i="120"/>
  <c r="V43" i="120"/>
  <c r="W43" i="120"/>
  <c r="Y43" i="120"/>
  <c r="V39" i="120"/>
  <c r="W39" i="120"/>
  <c r="P39" i="120"/>
  <c r="X39" i="120"/>
  <c r="Q39" i="120"/>
  <c r="Y39" i="120"/>
  <c r="T39" i="120"/>
  <c r="R39" i="120"/>
  <c r="S39" i="120"/>
  <c r="U39" i="120"/>
  <c r="Z39" i="120"/>
  <c r="R35" i="120"/>
  <c r="Z35" i="120"/>
  <c r="S35" i="120"/>
  <c r="T35" i="120"/>
  <c r="U35" i="120"/>
  <c r="P35" i="120"/>
  <c r="X35" i="120"/>
  <c r="Q35" i="120"/>
  <c r="V35" i="120"/>
  <c r="W35" i="120"/>
  <c r="Y35" i="120"/>
  <c r="V31" i="120"/>
  <c r="W31" i="120"/>
  <c r="P31" i="120"/>
  <c r="X31" i="120"/>
  <c r="Q31" i="120"/>
  <c r="Y31" i="120"/>
  <c r="T31" i="120"/>
  <c r="R31" i="120"/>
  <c r="S31" i="120"/>
  <c r="U31" i="120"/>
  <c r="Z31" i="120"/>
  <c r="W359" i="120"/>
  <c r="P359" i="120"/>
  <c r="X359" i="120"/>
  <c r="Q359" i="120"/>
  <c r="Y359" i="120"/>
  <c r="R359" i="120"/>
  <c r="Z359" i="120"/>
  <c r="T359" i="120"/>
  <c r="U359" i="120"/>
  <c r="S359" i="120"/>
  <c r="V359" i="120"/>
  <c r="V362" i="120"/>
  <c r="W362" i="120"/>
  <c r="P362" i="120"/>
  <c r="X362" i="120"/>
  <c r="Q362" i="120"/>
  <c r="Y362" i="120"/>
  <c r="S362" i="120"/>
  <c r="T362" i="120"/>
  <c r="R362" i="120"/>
  <c r="U362" i="120"/>
  <c r="Z362" i="120"/>
  <c r="P369" i="120"/>
  <c r="X369" i="120"/>
  <c r="Q369" i="120"/>
  <c r="Y369" i="120"/>
  <c r="R369" i="120"/>
  <c r="Z369" i="120"/>
  <c r="S369" i="120"/>
  <c r="T369" i="120"/>
  <c r="U369" i="120"/>
  <c r="V369" i="120"/>
  <c r="W369" i="120"/>
  <c r="T360" i="120"/>
  <c r="U360" i="120"/>
  <c r="V360" i="120"/>
  <c r="W360" i="120"/>
  <c r="Q360" i="120"/>
  <c r="R360" i="120"/>
  <c r="S360" i="120"/>
  <c r="X360" i="120"/>
  <c r="Y360" i="120"/>
  <c r="Z360" i="120"/>
  <c r="P360" i="120"/>
  <c r="P25" i="120"/>
  <c r="X25" i="120"/>
  <c r="Q25" i="120"/>
  <c r="Y25" i="120"/>
  <c r="R25" i="120"/>
  <c r="Z25" i="120"/>
  <c r="S25" i="120"/>
  <c r="U25" i="120"/>
  <c r="V25" i="120"/>
  <c r="W25" i="120"/>
  <c r="T25" i="120"/>
  <c r="T378" i="120"/>
  <c r="U378" i="120"/>
  <c r="V378" i="120"/>
  <c r="W378" i="120"/>
  <c r="Q378" i="120"/>
  <c r="R378" i="120"/>
  <c r="Y378" i="120"/>
  <c r="Z378" i="120"/>
  <c r="S378" i="120"/>
  <c r="X378" i="120"/>
  <c r="P378" i="120"/>
  <c r="P352" i="120"/>
  <c r="X352" i="120"/>
  <c r="Q352" i="120"/>
  <c r="Y352" i="120"/>
  <c r="R352" i="120"/>
  <c r="Z352" i="120"/>
  <c r="S352" i="120"/>
  <c r="T352" i="120"/>
  <c r="U352" i="120"/>
  <c r="V352" i="120"/>
  <c r="W352" i="120"/>
  <c r="T349" i="120"/>
  <c r="U349" i="120"/>
  <c r="V349" i="120"/>
  <c r="W349" i="120"/>
  <c r="Y349" i="120"/>
  <c r="Z349" i="120"/>
  <c r="Q349" i="120"/>
  <c r="R349" i="120"/>
  <c r="P349" i="120"/>
  <c r="S349" i="120"/>
  <c r="X349" i="120"/>
  <c r="P345" i="120"/>
  <c r="X345" i="120"/>
  <c r="Q345" i="120"/>
  <c r="Y345" i="120"/>
  <c r="R345" i="120"/>
  <c r="Z345" i="120"/>
  <c r="S345" i="120"/>
  <c r="U345" i="120"/>
  <c r="V345" i="120"/>
  <c r="W345" i="120"/>
  <c r="T345" i="120"/>
  <c r="T403" i="120"/>
  <c r="U403" i="120"/>
  <c r="V403" i="120"/>
  <c r="W403" i="120"/>
  <c r="Q403" i="120"/>
  <c r="R403" i="120"/>
  <c r="S403" i="120"/>
  <c r="X403" i="120"/>
  <c r="Y403" i="120"/>
  <c r="Z403" i="120"/>
  <c r="P403" i="120"/>
  <c r="P338" i="120"/>
  <c r="X338" i="120"/>
  <c r="Q338" i="120"/>
  <c r="Y338" i="120"/>
  <c r="R338" i="120"/>
  <c r="Z338" i="120"/>
  <c r="S338" i="120"/>
  <c r="V338" i="120"/>
  <c r="T338" i="120"/>
  <c r="U338" i="120"/>
  <c r="W338" i="120"/>
  <c r="T334" i="120"/>
  <c r="U334" i="120"/>
  <c r="V334" i="120"/>
  <c r="W334" i="120"/>
  <c r="Y334" i="120"/>
  <c r="Z334" i="120"/>
  <c r="P334" i="120"/>
  <c r="Q334" i="120"/>
  <c r="R334" i="120"/>
  <c r="S334" i="120"/>
  <c r="X334" i="120"/>
  <c r="P332" i="120"/>
  <c r="X332" i="120"/>
  <c r="Q332" i="120"/>
  <c r="Y332" i="120"/>
  <c r="R332" i="120"/>
  <c r="Z332" i="120"/>
  <c r="S332" i="120"/>
  <c r="U332" i="120"/>
  <c r="V332" i="120"/>
  <c r="W332" i="120"/>
  <c r="T332" i="120"/>
  <c r="T330" i="120"/>
  <c r="U330" i="120"/>
  <c r="V330" i="120"/>
  <c r="W330" i="120"/>
  <c r="Q330" i="120"/>
  <c r="R330" i="120"/>
  <c r="S330" i="120"/>
  <c r="X330" i="120"/>
  <c r="Y330" i="120"/>
  <c r="Z330" i="120"/>
  <c r="P330" i="120"/>
  <c r="P329" i="120"/>
  <c r="X329" i="120"/>
  <c r="Q329" i="120"/>
  <c r="Y329" i="120"/>
  <c r="R329" i="120"/>
  <c r="Z329" i="120"/>
  <c r="S329" i="120"/>
  <c r="V329" i="120"/>
  <c r="T329" i="120"/>
  <c r="U329" i="120"/>
  <c r="W329" i="120"/>
  <c r="T325" i="120"/>
  <c r="U325" i="120"/>
  <c r="V325" i="120"/>
  <c r="W325" i="120"/>
  <c r="Y325" i="120"/>
  <c r="Z325" i="120"/>
  <c r="P325" i="120"/>
  <c r="Q325" i="120"/>
  <c r="R325" i="120"/>
  <c r="X325" i="120"/>
  <c r="S325" i="120"/>
  <c r="P322" i="120"/>
  <c r="X322" i="120"/>
  <c r="Q322" i="120"/>
  <c r="Y322" i="120"/>
  <c r="R322" i="120"/>
  <c r="Z322" i="120"/>
  <c r="S322" i="120"/>
  <c r="U322" i="120"/>
  <c r="V322" i="120"/>
  <c r="W322" i="120"/>
  <c r="T322" i="120"/>
  <c r="T321" i="120"/>
  <c r="U321" i="120"/>
  <c r="V321" i="120"/>
  <c r="W321" i="120"/>
  <c r="Q321" i="120"/>
  <c r="R321" i="120"/>
  <c r="S321" i="120"/>
  <c r="X321" i="120"/>
  <c r="Y321" i="120"/>
  <c r="Z321" i="120"/>
  <c r="P321" i="120"/>
  <c r="P318" i="120"/>
  <c r="X318" i="120"/>
  <c r="Q318" i="120"/>
  <c r="Y318" i="120"/>
  <c r="R318" i="120"/>
  <c r="Z318" i="120"/>
  <c r="S318" i="120"/>
  <c r="T318" i="120"/>
  <c r="U318" i="120"/>
  <c r="V318" i="120"/>
  <c r="W318" i="120"/>
  <c r="T314" i="120"/>
  <c r="U314" i="120"/>
  <c r="V314" i="120"/>
  <c r="W314" i="120"/>
  <c r="Y314" i="120"/>
  <c r="Z314" i="120"/>
  <c r="P314" i="120"/>
  <c r="Q314" i="120"/>
  <c r="R314" i="120"/>
  <c r="S314" i="120"/>
  <c r="X314" i="120"/>
  <c r="P310" i="120"/>
  <c r="X310" i="120"/>
  <c r="Q310" i="120"/>
  <c r="Y310" i="120"/>
  <c r="R310" i="120"/>
  <c r="Z310" i="120"/>
  <c r="S310" i="120"/>
  <c r="U310" i="120"/>
  <c r="V310" i="120"/>
  <c r="W310" i="120"/>
  <c r="T310" i="120"/>
  <c r="T306" i="120"/>
  <c r="U306" i="120"/>
  <c r="V306" i="120"/>
  <c r="W306" i="120"/>
  <c r="Q306" i="120"/>
  <c r="R306" i="120"/>
  <c r="Z306" i="120"/>
  <c r="S306" i="120"/>
  <c r="X306" i="120"/>
  <c r="Y306" i="120"/>
  <c r="P306" i="120"/>
  <c r="P304" i="120"/>
  <c r="X304" i="120"/>
  <c r="Q304" i="120"/>
  <c r="Y304" i="120"/>
  <c r="R304" i="120"/>
  <c r="Z304" i="120"/>
  <c r="S304" i="120"/>
  <c r="V304" i="120"/>
  <c r="T304" i="120"/>
  <c r="U304" i="120"/>
  <c r="W304" i="120"/>
  <c r="T300" i="120"/>
  <c r="U300" i="120"/>
  <c r="V300" i="120"/>
  <c r="P300" i="120"/>
  <c r="W300" i="120"/>
  <c r="X300" i="120"/>
  <c r="Q300" i="120"/>
  <c r="R300" i="120"/>
  <c r="S300" i="120"/>
  <c r="Y300" i="120"/>
  <c r="Z300" i="120"/>
  <c r="P298" i="120"/>
  <c r="X298" i="120"/>
  <c r="Q298" i="120"/>
  <c r="Y298" i="120"/>
  <c r="R298" i="120"/>
  <c r="Z298" i="120"/>
  <c r="T298" i="120"/>
  <c r="S298" i="120"/>
  <c r="U298" i="120"/>
  <c r="V298" i="120"/>
  <c r="W298" i="120"/>
  <c r="T295" i="120"/>
  <c r="P295" i="120"/>
  <c r="U295" i="120"/>
  <c r="V295" i="120"/>
  <c r="X295" i="120"/>
  <c r="W295" i="120"/>
  <c r="R295" i="120"/>
  <c r="S295" i="120"/>
  <c r="Y295" i="120"/>
  <c r="Z295" i="120"/>
  <c r="Q295" i="120"/>
  <c r="P291" i="120"/>
  <c r="X291" i="120"/>
  <c r="Q291" i="120"/>
  <c r="Y291" i="120"/>
  <c r="T291" i="120"/>
  <c r="R291" i="120"/>
  <c r="Z291" i="120"/>
  <c r="S291" i="120"/>
  <c r="U291" i="120"/>
  <c r="V291" i="120"/>
  <c r="W291" i="120"/>
  <c r="T287" i="120"/>
  <c r="U287" i="120"/>
  <c r="V287" i="120"/>
  <c r="X287" i="120"/>
  <c r="W287" i="120"/>
  <c r="P287" i="120"/>
  <c r="S287" i="120"/>
  <c r="Y287" i="120"/>
  <c r="Z287" i="120"/>
  <c r="Q287" i="120"/>
  <c r="R287" i="120"/>
  <c r="P283" i="120"/>
  <c r="X283" i="120"/>
  <c r="Q283" i="120"/>
  <c r="Y283" i="120"/>
  <c r="T283" i="120"/>
  <c r="R283" i="120"/>
  <c r="Z283" i="120"/>
  <c r="S283" i="120"/>
  <c r="V283" i="120"/>
  <c r="W283" i="120"/>
  <c r="U283" i="120"/>
  <c r="T279" i="120"/>
  <c r="U279" i="120"/>
  <c r="V279" i="120"/>
  <c r="X279" i="120"/>
  <c r="W279" i="120"/>
  <c r="P279" i="120"/>
  <c r="Y279" i="120"/>
  <c r="Z279" i="120"/>
  <c r="Q279" i="120"/>
  <c r="R279" i="120"/>
  <c r="S279" i="120"/>
  <c r="P275" i="120"/>
  <c r="X275" i="120"/>
  <c r="Q275" i="120"/>
  <c r="Y275" i="120"/>
  <c r="R275" i="120"/>
  <c r="Z275" i="120"/>
  <c r="T275" i="120"/>
  <c r="S275" i="120"/>
  <c r="W275" i="120"/>
  <c r="U275" i="120"/>
  <c r="V275" i="120"/>
  <c r="T272" i="120"/>
  <c r="U272" i="120"/>
  <c r="P272" i="120"/>
  <c r="V272" i="120"/>
  <c r="W272" i="120"/>
  <c r="X272" i="120"/>
  <c r="Z272" i="120"/>
  <c r="R272" i="120"/>
  <c r="Q272" i="120"/>
  <c r="S272" i="120"/>
  <c r="Y272" i="120"/>
  <c r="P268" i="120"/>
  <c r="X268" i="120"/>
  <c r="Q268" i="120"/>
  <c r="Y268" i="120"/>
  <c r="R268" i="120"/>
  <c r="Z268" i="120"/>
  <c r="S268" i="120"/>
  <c r="T268" i="120"/>
  <c r="V268" i="120"/>
  <c r="U268" i="120"/>
  <c r="W268" i="120"/>
  <c r="T264" i="120"/>
  <c r="U264" i="120"/>
  <c r="P264" i="120"/>
  <c r="V264" i="120"/>
  <c r="X264" i="120"/>
  <c r="W264" i="120"/>
  <c r="S264" i="120"/>
  <c r="Y264" i="120"/>
  <c r="Q264" i="120"/>
  <c r="R264" i="120"/>
  <c r="Z264" i="120"/>
  <c r="P15" i="120"/>
  <c r="X15" i="120"/>
  <c r="Q15" i="120"/>
  <c r="Y15" i="120"/>
  <c r="R15" i="120"/>
  <c r="Z15" i="120"/>
  <c r="T15" i="120"/>
  <c r="S15" i="120"/>
  <c r="W15" i="120"/>
  <c r="U15" i="120"/>
  <c r="V15" i="120"/>
  <c r="T258" i="120"/>
  <c r="U258" i="120"/>
  <c r="P258" i="120"/>
  <c r="V258" i="120"/>
  <c r="X258" i="120"/>
  <c r="W258" i="120"/>
  <c r="Z258" i="120"/>
  <c r="Q258" i="120"/>
  <c r="R258" i="120"/>
  <c r="S258" i="120"/>
  <c r="Y258" i="120"/>
  <c r="U255" i="120"/>
  <c r="V255" i="120"/>
  <c r="W255" i="120"/>
  <c r="P255" i="120"/>
  <c r="X255" i="120"/>
  <c r="Q255" i="120"/>
  <c r="R255" i="120"/>
  <c r="S255" i="120"/>
  <c r="T255" i="120"/>
  <c r="Y255" i="120"/>
  <c r="Z255" i="120"/>
  <c r="Q251" i="120"/>
  <c r="Y251" i="120"/>
  <c r="R251" i="120"/>
  <c r="Z251" i="120"/>
  <c r="S251" i="120"/>
  <c r="T251" i="120"/>
  <c r="U251" i="120"/>
  <c r="P251" i="120"/>
  <c r="V251" i="120"/>
  <c r="W251" i="120"/>
  <c r="X251" i="120"/>
  <c r="U249" i="120"/>
  <c r="V249" i="120"/>
  <c r="W249" i="120"/>
  <c r="P249" i="120"/>
  <c r="X249" i="120"/>
  <c r="Y249" i="120"/>
  <c r="Z249" i="120"/>
  <c r="Q249" i="120"/>
  <c r="S249" i="120"/>
  <c r="T249" i="120"/>
  <c r="R249" i="120"/>
  <c r="Q17" i="120"/>
  <c r="Y17" i="120"/>
  <c r="R17" i="120"/>
  <c r="Z17" i="120"/>
  <c r="S17" i="120"/>
  <c r="T17" i="120"/>
  <c r="U17" i="120"/>
  <c r="V17" i="120"/>
  <c r="W17" i="120"/>
  <c r="X17" i="120"/>
  <c r="P17" i="120"/>
  <c r="U242" i="120"/>
  <c r="V242" i="120"/>
  <c r="W242" i="120"/>
  <c r="P242" i="120"/>
  <c r="X242" i="120"/>
  <c r="Q242" i="120"/>
  <c r="R242" i="120"/>
  <c r="S242" i="120"/>
  <c r="T242" i="120"/>
  <c r="Y242" i="120"/>
  <c r="Z242" i="120"/>
  <c r="Q20" i="120"/>
  <c r="Y20" i="120"/>
  <c r="R20" i="120"/>
  <c r="Z20" i="120"/>
  <c r="S20" i="120"/>
  <c r="T20" i="120"/>
  <c r="P20" i="120"/>
  <c r="U20" i="120"/>
  <c r="W20" i="120"/>
  <c r="X20" i="120"/>
  <c r="V20" i="120"/>
  <c r="U235" i="120"/>
  <c r="V235" i="120"/>
  <c r="W235" i="120"/>
  <c r="P235" i="120"/>
  <c r="X235" i="120"/>
  <c r="Y235" i="120"/>
  <c r="Z235" i="120"/>
  <c r="Q235" i="120"/>
  <c r="T235" i="120"/>
  <c r="R235" i="120"/>
  <c r="S235" i="120"/>
  <c r="Q231" i="120"/>
  <c r="Y231" i="120"/>
  <c r="R231" i="120"/>
  <c r="Z231" i="120"/>
  <c r="S231" i="120"/>
  <c r="T231" i="120"/>
  <c r="U231" i="120"/>
  <c r="V231" i="120"/>
  <c r="W231" i="120"/>
  <c r="X231" i="120"/>
  <c r="P231" i="120"/>
  <c r="U227" i="120"/>
  <c r="V227" i="120"/>
  <c r="W227" i="120"/>
  <c r="P227" i="120"/>
  <c r="X227" i="120"/>
  <c r="Q227" i="120"/>
  <c r="R227" i="120"/>
  <c r="S227" i="120"/>
  <c r="Y227" i="120"/>
  <c r="T227" i="120"/>
  <c r="Z227" i="120"/>
  <c r="Q223" i="120"/>
  <c r="Y223" i="120"/>
  <c r="R223" i="120"/>
  <c r="Z223" i="120"/>
  <c r="S223" i="120"/>
  <c r="T223" i="120"/>
  <c r="U223" i="120"/>
  <c r="P223" i="120"/>
  <c r="X223" i="120"/>
  <c r="V223" i="120"/>
  <c r="W223" i="120"/>
  <c r="U219" i="120"/>
  <c r="V219" i="120"/>
  <c r="W219" i="120"/>
  <c r="P219" i="120"/>
  <c r="X219" i="120"/>
  <c r="Y219" i="120"/>
  <c r="Z219" i="120"/>
  <c r="Q219" i="120"/>
  <c r="S219" i="120"/>
  <c r="R219" i="120"/>
  <c r="T219" i="120"/>
  <c r="Q215" i="120"/>
  <c r="Y215" i="120"/>
  <c r="R215" i="120"/>
  <c r="Z215" i="120"/>
  <c r="S215" i="120"/>
  <c r="T215" i="120"/>
  <c r="U215" i="120"/>
  <c r="V215" i="120"/>
  <c r="W215" i="120"/>
  <c r="X215" i="120"/>
  <c r="P215" i="120"/>
  <c r="U391" i="120"/>
  <c r="V391" i="120"/>
  <c r="W391" i="120"/>
  <c r="P391" i="120"/>
  <c r="X391" i="120"/>
  <c r="Q391" i="120"/>
  <c r="R391" i="120"/>
  <c r="S391" i="120"/>
  <c r="Y391" i="120"/>
  <c r="T391" i="120"/>
  <c r="Z391" i="120"/>
  <c r="Q208" i="120"/>
  <c r="Y208" i="120"/>
  <c r="R208" i="120"/>
  <c r="Z208" i="120"/>
  <c r="S208" i="120"/>
  <c r="T208" i="120"/>
  <c r="U208" i="120"/>
  <c r="P208" i="120"/>
  <c r="W208" i="120"/>
  <c r="V208" i="120"/>
  <c r="X208" i="120"/>
  <c r="U205" i="120"/>
  <c r="V205" i="120"/>
  <c r="W205" i="120"/>
  <c r="P205" i="120"/>
  <c r="X205" i="120"/>
  <c r="Y205" i="120"/>
  <c r="Z205" i="120"/>
  <c r="Q205" i="120"/>
  <c r="R205" i="120"/>
  <c r="S205" i="120"/>
  <c r="T205" i="120"/>
  <c r="S201" i="120"/>
  <c r="T201" i="120"/>
  <c r="U201" i="120"/>
  <c r="X201" i="120"/>
  <c r="Y201" i="120"/>
  <c r="Z201" i="120"/>
  <c r="P201" i="120"/>
  <c r="Q201" i="120"/>
  <c r="W201" i="120"/>
  <c r="R201" i="120"/>
  <c r="V201" i="120"/>
  <c r="W197" i="120"/>
  <c r="P197" i="120"/>
  <c r="X197" i="120"/>
  <c r="Q197" i="120"/>
  <c r="Y197" i="120"/>
  <c r="R197" i="120"/>
  <c r="S197" i="120"/>
  <c r="T197" i="120"/>
  <c r="U197" i="120"/>
  <c r="V197" i="120"/>
  <c r="Z197" i="120"/>
  <c r="S194" i="120"/>
  <c r="T194" i="120"/>
  <c r="U194" i="120"/>
  <c r="W194" i="120"/>
  <c r="X194" i="120"/>
  <c r="Y194" i="120"/>
  <c r="Z194" i="120"/>
  <c r="P194" i="120"/>
  <c r="Q194" i="120"/>
  <c r="R194" i="120"/>
  <c r="V194" i="120"/>
  <c r="W190" i="120"/>
  <c r="P190" i="120"/>
  <c r="X190" i="120"/>
  <c r="Q190" i="120"/>
  <c r="Y190" i="120"/>
  <c r="R190" i="120"/>
  <c r="S190" i="120"/>
  <c r="T190" i="120"/>
  <c r="U190" i="120"/>
  <c r="Z190" i="120"/>
  <c r="V190" i="120"/>
  <c r="R186" i="120"/>
  <c r="S186" i="120"/>
  <c r="T186" i="120"/>
  <c r="U186" i="120"/>
  <c r="V186" i="120"/>
  <c r="W186" i="120"/>
  <c r="X186" i="120"/>
  <c r="Y186" i="120"/>
  <c r="Z186" i="120"/>
  <c r="P186" i="120"/>
  <c r="Q186" i="120"/>
  <c r="V182" i="120"/>
  <c r="W182" i="120"/>
  <c r="P182" i="120"/>
  <c r="X182" i="120"/>
  <c r="Q182" i="120"/>
  <c r="Y182" i="120"/>
  <c r="R182" i="120"/>
  <c r="S182" i="120"/>
  <c r="T182" i="120"/>
  <c r="U182" i="120"/>
  <c r="Z182" i="120"/>
  <c r="R178" i="120"/>
  <c r="Z178" i="120"/>
  <c r="S178" i="120"/>
  <c r="T178" i="120"/>
  <c r="U178" i="120"/>
  <c r="P178" i="120"/>
  <c r="Q178" i="120"/>
  <c r="V178" i="120"/>
  <c r="W178" i="120"/>
  <c r="X178" i="120"/>
  <c r="Y178" i="120"/>
  <c r="V174" i="120"/>
  <c r="W174" i="120"/>
  <c r="P174" i="120"/>
  <c r="X174" i="120"/>
  <c r="Q174" i="120"/>
  <c r="Y174" i="120"/>
  <c r="Z174" i="120"/>
  <c r="R174" i="120"/>
  <c r="T174" i="120"/>
  <c r="S174" i="120"/>
  <c r="U174" i="120"/>
  <c r="R399" i="120"/>
  <c r="Z399" i="120"/>
  <c r="S399" i="120"/>
  <c r="T399" i="120"/>
  <c r="U399" i="120"/>
  <c r="V399" i="120"/>
  <c r="W399" i="120"/>
  <c r="X399" i="120"/>
  <c r="Y399" i="120"/>
  <c r="P399" i="120"/>
  <c r="Q399" i="120"/>
  <c r="V167" i="120"/>
  <c r="W167" i="120"/>
  <c r="P167" i="120"/>
  <c r="X167" i="120"/>
  <c r="Q167" i="120"/>
  <c r="Y167" i="120"/>
  <c r="R167" i="120"/>
  <c r="S167" i="120"/>
  <c r="T167" i="120"/>
  <c r="U167" i="120"/>
  <c r="Z167" i="120"/>
  <c r="R163" i="120"/>
  <c r="Z163" i="120"/>
  <c r="S163" i="120"/>
  <c r="T163" i="120"/>
  <c r="U163" i="120"/>
  <c r="P163" i="120"/>
  <c r="Q163" i="120"/>
  <c r="V163" i="120"/>
  <c r="W163" i="120"/>
  <c r="X163" i="120"/>
  <c r="Y163" i="120"/>
  <c r="V159" i="120"/>
  <c r="W159" i="120"/>
  <c r="P159" i="120"/>
  <c r="X159" i="120"/>
  <c r="Q159" i="120"/>
  <c r="Y159" i="120"/>
  <c r="Z159" i="120"/>
  <c r="R159" i="120"/>
  <c r="S159" i="120"/>
  <c r="T159" i="120"/>
  <c r="U159" i="120"/>
  <c r="R155" i="120"/>
  <c r="Z155" i="120"/>
  <c r="S155" i="120"/>
  <c r="T155" i="120"/>
  <c r="U155" i="120"/>
  <c r="V155" i="120"/>
  <c r="W155" i="120"/>
  <c r="X155" i="120"/>
  <c r="Y155" i="120"/>
  <c r="P155" i="120"/>
  <c r="Q155" i="120"/>
  <c r="V151" i="120"/>
  <c r="W151" i="120"/>
  <c r="P151" i="120"/>
  <c r="X151" i="120"/>
  <c r="Q151" i="120"/>
  <c r="Y151" i="120"/>
  <c r="R151" i="120"/>
  <c r="S151" i="120"/>
  <c r="T151" i="120"/>
  <c r="U151" i="120"/>
  <c r="Z151" i="120"/>
  <c r="R147" i="120"/>
  <c r="Z147" i="120"/>
  <c r="S147" i="120"/>
  <c r="T147" i="120"/>
  <c r="U147" i="120"/>
  <c r="P147" i="120"/>
  <c r="Q147" i="120"/>
  <c r="V147" i="120"/>
  <c r="W147" i="120"/>
  <c r="X147" i="120"/>
  <c r="Y147" i="120"/>
  <c r="V143" i="120"/>
  <c r="W143" i="120"/>
  <c r="P143" i="120"/>
  <c r="X143" i="120"/>
  <c r="Q143" i="120"/>
  <c r="Y143" i="120"/>
  <c r="Z143" i="120"/>
  <c r="R143" i="120"/>
  <c r="U143" i="120"/>
  <c r="S143" i="120"/>
  <c r="T143" i="120"/>
  <c r="R139" i="120"/>
  <c r="Z139" i="120"/>
  <c r="S139" i="120"/>
  <c r="T139" i="120"/>
  <c r="U139" i="120"/>
  <c r="V139" i="120"/>
  <c r="W139" i="120"/>
  <c r="X139" i="120"/>
  <c r="Y139" i="120"/>
  <c r="P139" i="120"/>
  <c r="Q139" i="120"/>
  <c r="V135" i="120"/>
  <c r="W135" i="120"/>
  <c r="P135" i="120"/>
  <c r="X135" i="120"/>
  <c r="Q135" i="120"/>
  <c r="Y135" i="120"/>
  <c r="R135" i="120"/>
  <c r="S135" i="120"/>
  <c r="T135" i="120"/>
  <c r="U135" i="120"/>
  <c r="Z135" i="120"/>
  <c r="R131" i="120"/>
  <c r="Z131" i="120"/>
  <c r="S131" i="120"/>
  <c r="T131" i="120"/>
  <c r="U131" i="120"/>
  <c r="P131" i="120"/>
  <c r="Q131" i="120"/>
  <c r="V131" i="120"/>
  <c r="W131" i="120"/>
  <c r="X131" i="120"/>
  <c r="Y131" i="120"/>
  <c r="V127" i="120"/>
  <c r="W127" i="120"/>
  <c r="P127" i="120"/>
  <c r="X127" i="120"/>
  <c r="Q127" i="120"/>
  <c r="Y127" i="120"/>
  <c r="Z127" i="120"/>
  <c r="R127" i="120"/>
  <c r="S127" i="120"/>
  <c r="T127" i="120"/>
  <c r="U127" i="120"/>
  <c r="R123" i="120"/>
  <c r="Z123" i="120"/>
  <c r="S123" i="120"/>
  <c r="T123" i="120"/>
  <c r="U123" i="120"/>
  <c r="V123" i="120"/>
  <c r="W123" i="120"/>
  <c r="X123" i="120"/>
  <c r="Y123" i="120"/>
  <c r="P123" i="120"/>
  <c r="Q123" i="120"/>
  <c r="V119" i="120"/>
  <c r="W119" i="120"/>
  <c r="P119" i="120"/>
  <c r="X119" i="120"/>
  <c r="Q119" i="120"/>
  <c r="Y119" i="120"/>
  <c r="R119" i="120"/>
  <c r="S119" i="120"/>
  <c r="T119" i="120"/>
  <c r="U119" i="120"/>
  <c r="Z119" i="120"/>
  <c r="R115" i="120"/>
  <c r="Z115" i="120"/>
  <c r="S115" i="120"/>
  <c r="T115" i="120"/>
  <c r="U115" i="120"/>
  <c r="P115" i="120"/>
  <c r="Q115" i="120"/>
  <c r="V115" i="120"/>
  <c r="W115" i="120"/>
  <c r="X115" i="120"/>
  <c r="Y115" i="120"/>
  <c r="T111" i="120"/>
  <c r="U111" i="120"/>
  <c r="V111" i="120"/>
  <c r="W111" i="120"/>
  <c r="P111" i="120"/>
  <c r="Q111" i="120"/>
  <c r="R111" i="120"/>
  <c r="S111" i="120"/>
  <c r="X111" i="120"/>
  <c r="Y111" i="120"/>
  <c r="Z111" i="120"/>
  <c r="P107" i="120"/>
  <c r="X107" i="120"/>
  <c r="Q107" i="120"/>
  <c r="Y107" i="120"/>
  <c r="R107" i="120"/>
  <c r="Z107" i="120"/>
  <c r="S107" i="120"/>
  <c r="T107" i="120"/>
  <c r="U107" i="120"/>
  <c r="V107" i="120"/>
  <c r="W107" i="120"/>
  <c r="T103" i="120"/>
  <c r="U103" i="120"/>
  <c r="V103" i="120"/>
  <c r="W103" i="120"/>
  <c r="X103" i="120"/>
  <c r="Y103" i="120"/>
  <c r="Z103" i="120"/>
  <c r="P103" i="120"/>
  <c r="Q103" i="120"/>
  <c r="R103" i="120"/>
  <c r="S103" i="120"/>
  <c r="P99" i="120"/>
  <c r="X99" i="120"/>
  <c r="Q99" i="120"/>
  <c r="Y99" i="120"/>
  <c r="R99" i="120"/>
  <c r="Z99" i="120"/>
  <c r="S99" i="120"/>
  <c r="T99" i="120"/>
  <c r="U99" i="120"/>
  <c r="V99" i="120"/>
  <c r="W99" i="120"/>
  <c r="T95" i="120"/>
  <c r="U95" i="120"/>
  <c r="V95" i="120"/>
  <c r="W95" i="120"/>
  <c r="P95" i="120"/>
  <c r="Q95" i="120"/>
  <c r="R95" i="120"/>
  <c r="S95" i="120"/>
  <c r="X95" i="120"/>
  <c r="Y95" i="120"/>
  <c r="Z95" i="120"/>
  <c r="P91" i="120"/>
  <c r="X91" i="120"/>
  <c r="Q91" i="120"/>
  <c r="Y91" i="120"/>
  <c r="R91" i="120"/>
  <c r="Z91" i="120"/>
  <c r="S91" i="120"/>
  <c r="T91" i="120"/>
  <c r="U91" i="120"/>
  <c r="V91" i="120"/>
  <c r="W91" i="120"/>
  <c r="T87" i="120"/>
  <c r="U87" i="120"/>
  <c r="V87" i="120"/>
  <c r="W87" i="120"/>
  <c r="X87" i="120"/>
  <c r="Y87" i="120"/>
  <c r="Z87" i="120"/>
  <c r="P87" i="120"/>
  <c r="Q87" i="120"/>
  <c r="R87" i="120"/>
  <c r="S87" i="120"/>
  <c r="P83" i="120"/>
  <c r="X83" i="120"/>
  <c r="Q83" i="120"/>
  <c r="Y83" i="120"/>
  <c r="R83" i="120"/>
  <c r="Z83" i="120"/>
  <c r="S83" i="120"/>
  <c r="T83" i="120"/>
  <c r="U83" i="120"/>
  <c r="V83" i="120"/>
  <c r="W83" i="120"/>
  <c r="T79" i="120"/>
  <c r="U79" i="120"/>
  <c r="V79" i="120"/>
  <c r="W79" i="120"/>
  <c r="P79" i="120"/>
  <c r="Q79" i="120"/>
  <c r="R79" i="120"/>
  <c r="S79" i="120"/>
  <c r="X79" i="120"/>
  <c r="Y79" i="120"/>
  <c r="Z79" i="120"/>
  <c r="U75" i="120"/>
  <c r="V75" i="120"/>
  <c r="W75" i="120"/>
  <c r="P75" i="120"/>
  <c r="X75" i="120"/>
  <c r="Q75" i="120"/>
  <c r="R75" i="120"/>
  <c r="S75" i="120"/>
  <c r="T75" i="120"/>
  <c r="Y75" i="120"/>
  <c r="Z75" i="120"/>
  <c r="Q6" i="120"/>
  <c r="Y6" i="120"/>
  <c r="R6" i="120"/>
  <c r="Z6" i="120"/>
  <c r="S6" i="120"/>
  <c r="T6" i="120"/>
  <c r="X6" i="120"/>
  <c r="P6" i="120"/>
  <c r="U6" i="120"/>
  <c r="V6" i="120"/>
  <c r="W6" i="120"/>
  <c r="U70" i="120"/>
  <c r="V70" i="120"/>
  <c r="W70" i="120"/>
  <c r="P70" i="120"/>
  <c r="X70" i="120"/>
  <c r="T70" i="120"/>
  <c r="Y70" i="120"/>
  <c r="Z70" i="120"/>
  <c r="Q70" i="120"/>
  <c r="R70" i="120"/>
  <c r="S70" i="120"/>
  <c r="Q408" i="120"/>
  <c r="Y408" i="120"/>
  <c r="R408" i="120"/>
  <c r="Z408" i="120"/>
  <c r="S408" i="120"/>
  <c r="T408" i="120"/>
  <c r="P408" i="120"/>
  <c r="U408" i="120"/>
  <c r="V408" i="120"/>
  <c r="W408" i="120"/>
  <c r="X408" i="120"/>
  <c r="U68" i="120"/>
  <c r="V68" i="120"/>
  <c r="W68" i="120"/>
  <c r="P68" i="120"/>
  <c r="X68" i="120"/>
  <c r="Q68" i="120"/>
  <c r="R68" i="120"/>
  <c r="S68" i="120"/>
  <c r="T68" i="120"/>
  <c r="Y68" i="120"/>
  <c r="Z68" i="120"/>
  <c r="Q390" i="120"/>
  <c r="Y390" i="120"/>
  <c r="R390" i="120"/>
  <c r="Z390" i="120"/>
  <c r="S390" i="120"/>
  <c r="T390" i="120"/>
  <c r="X390" i="120"/>
  <c r="P390" i="120"/>
  <c r="U390" i="120"/>
  <c r="V390" i="120"/>
  <c r="W390" i="120"/>
  <c r="U63" i="120"/>
  <c r="V63" i="120"/>
  <c r="W63" i="120"/>
  <c r="P63" i="120"/>
  <c r="X63" i="120"/>
  <c r="S63" i="120"/>
  <c r="Q63" i="120"/>
  <c r="R63" i="120"/>
  <c r="T63" i="120"/>
  <c r="Y63" i="120"/>
  <c r="Z63" i="120"/>
  <c r="Q59" i="120"/>
  <c r="Y59" i="120"/>
  <c r="R59" i="120"/>
  <c r="Z59" i="120"/>
  <c r="S59" i="120"/>
  <c r="T59" i="120"/>
  <c r="W59" i="120"/>
  <c r="P59" i="120"/>
  <c r="U59" i="120"/>
  <c r="V59" i="120"/>
  <c r="X59" i="120"/>
  <c r="U56" i="120"/>
  <c r="V56" i="120"/>
  <c r="W56" i="120"/>
  <c r="P56" i="120"/>
  <c r="X56" i="120"/>
  <c r="S56" i="120"/>
  <c r="Q56" i="120"/>
  <c r="R56" i="120"/>
  <c r="T56" i="120"/>
  <c r="Y56" i="120"/>
  <c r="Z56" i="120"/>
  <c r="Q18" i="120"/>
  <c r="Y18" i="120"/>
  <c r="R18" i="120"/>
  <c r="Z18" i="120"/>
  <c r="S18" i="120"/>
  <c r="T18" i="120"/>
  <c r="W18" i="120"/>
  <c r="P18" i="120"/>
  <c r="U18" i="120"/>
  <c r="V18" i="120"/>
  <c r="X18" i="120"/>
  <c r="U50" i="120"/>
  <c r="V50" i="120"/>
  <c r="W50" i="120"/>
  <c r="P50" i="120"/>
  <c r="X50" i="120"/>
  <c r="S50" i="120"/>
  <c r="Q50" i="120"/>
  <c r="R50" i="120"/>
  <c r="T50" i="120"/>
  <c r="Y50" i="120"/>
  <c r="Z50" i="120"/>
  <c r="Q46" i="120"/>
  <c r="Y46" i="120"/>
  <c r="R46" i="120"/>
  <c r="Z46" i="120"/>
  <c r="S46" i="120"/>
  <c r="T46" i="120"/>
  <c r="W46" i="120"/>
  <c r="P46" i="120"/>
  <c r="U46" i="120"/>
  <c r="V46" i="120"/>
  <c r="X46" i="120"/>
  <c r="U42" i="120"/>
  <c r="V42" i="120"/>
  <c r="W42" i="120"/>
  <c r="P42" i="120"/>
  <c r="X42" i="120"/>
  <c r="S42" i="120"/>
  <c r="R42" i="120"/>
  <c r="T42" i="120"/>
  <c r="Y42" i="120"/>
  <c r="Z42" i="120"/>
  <c r="Q42" i="120"/>
  <c r="Q38" i="120"/>
  <c r="Y38" i="120"/>
  <c r="R38" i="120"/>
  <c r="Z38" i="120"/>
  <c r="S38" i="120"/>
  <c r="T38" i="120"/>
  <c r="W38" i="120"/>
  <c r="U38" i="120"/>
  <c r="V38" i="120"/>
  <c r="X38" i="120"/>
  <c r="P38" i="120"/>
  <c r="U34" i="120"/>
  <c r="V34" i="120"/>
  <c r="W34" i="120"/>
  <c r="P34" i="120"/>
  <c r="X34" i="120"/>
  <c r="S34" i="120"/>
  <c r="T34" i="120"/>
  <c r="Y34" i="120"/>
  <c r="Z34" i="120"/>
  <c r="Q34" i="120"/>
  <c r="R34" i="120"/>
  <c r="P30" i="120"/>
  <c r="Q30" i="120"/>
  <c r="Y30" i="120"/>
  <c r="R30" i="120"/>
  <c r="Z30" i="120"/>
  <c r="S30" i="120"/>
  <c r="T30" i="120"/>
  <c r="V30" i="120"/>
  <c r="W30" i="120"/>
  <c r="U30" i="120"/>
  <c r="X30" i="120"/>
  <c r="P364" i="120"/>
  <c r="X364" i="120"/>
  <c r="Q364" i="120"/>
  <c r="Y364" i="120"/>
  <c r="R364" i="120"/>
  <c r="Z364" i="120"/>
  <c r="S364" i="120"/>
  <c r="T364" i="120"/>
  <c r="U364" i="120"/>
  <c r="V364" i="120"/>
  <c r="W364" i="120"/>
  <c r="W372" i="120"/>
  <c r="P372" i="120"/>
  <c r="X372" i="120"/>
  <c r="Q372" i="120"/>
  <c r="Y372" i="120"/>
  <c r="R372" i="120"/>
  <c r="Z372" i="120"/>
  <c r="S372" i="120"/>
  <c r="T372" i="120"/>
  <c r="U372" i="120"/>
  <c r="V372" i="120"/>
  <c r="Q13" i="120"/>
  <c r="Y13" i="120"/>
  <c r="R13" i="120"/>
  <c r="Z13" i="120"/>
  <c r="S13" i="120"/>
  <c r="T13" i="120"/>
  <c r="V13" i="120"/>
  <c r="W13" i="120"/>
  <c r="P13" i="120"/>
  <c r="U13" i="120"/>
  <c r="X13" i="120"/>
  <c r="Q361" i="120"/>
  <c r="Y361" i="120"/>
  <c r="R361" i="120"/>
  <c r="Z361" i="120"/>
  <c r="S361" i="120"/>
  <c r="T361" i="120"/>
  <c r="V361" i="120"/>
  <c r="W361" i="120"/>
  <c r="X361" i="120"/>
  <c r="U361" i="120"/>
  <c r="P361" i="120"/>
  <c r="S8" i="120"/>
  <c r="T8" i="120"/>
  <c r="U8" i="120"/>
  <c r="V8" i="120"/>
  <c r="P8" i="120"/>
  <c r="Q8" i="120"/>
  <c r="X8" i="120"/>
  <c r="Y8" i="120"/>
  <c r="R8" i="120"/>
  <c r="W8" i="120"/>
  <c r="Z8" i="120"/>
  <c r="W379" i="120"/>
  <c r="P379" i="120"/>
  <c r="X379" i="120"/>
  <c r="Q379" i="120"/>
  <c r="Y379" i="120"/>
  <c r="R379" i="120"/>
  <c r="Z379" i="120"/>
  <c r="S379" i="120"/>
  <c r="T379" i="120"/>
  <c r="U379" i="120"/>
  <c r="V379" i="120"/>
  <c r="S383" i="120"/>
  <c r="T383" i="120"/>
  <c r="U383" i="120"/>
  <c r="V383" i="120"/>
  <c r="X383" i="120"/>
  <c r="Y383" i="120"/>
  <c r="P383" i="120"/>
  <c r="Q383" i="120"/>
  <c r="Z383" i="120"/>
  <c r="W383" i="120"/>
  <c r="R383" i="120"/>
  <c r="W348" i="120"/>
  <c r="P348" i="120"/>
  <c r="X348" i="120"/>
  <c r="Q348" i="120"/>
  <c r="Y348" i="120"/>
  <c r="R348" i="120"/>
  <c r="Z348" i="120"/>
  <c r="T348" i="120"/>
  <c r="U348" i="120"/>
  <c r="V348" i="120"/>
  <c r="S348" i="120"/>
  <c r="S344" i="120"/>
  <c r="T344" i="120"/>
  <c r="U344" i="120"/>
  <c r="V344" i="120"/>
  <c r="P344" i="120"/>
  <c r="Q344" i="120"/>
  <c r="X344" i="120"/>
  <c r="R344" i="120"/>
  <c r="W344" i="120"/>
  <c r="Y344" i="120"/>
  <c r="Z344" i="120"/>
  <c r="W341" i="120"/>
  <c r="P341" i="120"/>
  <c r="X341" i="120"/>
  <c r="Q341" i="120"/>
  <c r="Y341" i="120"/>
  <c r="R341" i="120"/>
  <c r="Z341" i="120"/>
  <c r="U341" i="120"/>
  <c r="S341" i="120"/>
  <c r="T341" i="120"/>
  <c r="V341" i="120"/>
  <c r="S337" i="120"/>
  <c r="T337" i="120"/>
  <c r="U337" i="120"/>
  <c r="V337" i="120"/>
  <c r="X337" i="120"/>
  <c r="Y337" i="120"/>
  <c r="Z337" i="120"/>
  <c r="P337" i="120"/>
  <c r="Q337" i="120"/>
  <c r="R337" i="120"/>
  <c r="W337" i="120"/>
  <c r="W381" i="120"/>
  <c r="P381" i="120"/>
  <c r="X381" i="120"/>
  <c r="Q381" i="120"/>
  <c r="Y381" i="120"/>
  <c r="R381" i="120"/>
  <c r="Z381" i="120"/>
  <c r="T381" i="120"/>
  <c r="U381" i="120"/>
  <c r="V381" i="120"/>
  <c r="S381" i="120"/>
  <c r="W29" i="120"/>
  <c r="X29" i="120"/>
  <c r="Z29" i="120"/>
  <c r="Y29" i="120"/>
  <c r="AA222" i="120"/>
  <c r="AA218" i="120"/>
  <c r="AA214" i="120"/>
  <c r="AA211" i="120"/>
  <c r="AA207" i="120"/>
  <c r="AA204" i="120"/>
  <c r="AA200" i="120"/>
  <c r="AA196" i="120"/>
  <c r="AA193" i="120"/>
  <c r="AA189" i="120"/>
  <c r="AA185" i="120"/>
  <c r="AA181" i="120"/>
  <c r="AA177" i="120"/>
  <c r="AA173" i="120"/>
  <c r="AA170" i="120"/>
  <c r="AA166" i="120"/>
  <c r="AA162" i="120"/>
  <c r="AA158" i="120"/>
  <c r="AA154" i="120"/>
  <c r="AA150" i="120"/>
  <c r="AA146" i="120"/>
  <c r="AA142" i="120"/>
  <c r="AA138" i="120"/>
  <c r="AA134" i="120"/>
  <c r="AA130" i="120"/>
  <c r="AA126" i="120"/>
  <c r="AA122" i="120"/>
  <c r="AA118" i="120"/>
  <c r="AA114" i="120"/>
  <c r="AA110" i="120"/>
  <c r="AA106" i="120"/>
  <c r="AA102" i="120"/>
  <c r="AA98" i="120"/>
  <c r="AA94" i="120"/>
  <c r="AA90" i="120"/>
  <c r="AA86" i="120"/>
  <c r="AA82" i="120"/>
  <c r="AA78" i="120"/>
  <c r="AA74" i="120"/>
  <c r="AA71" i="120"/>
  <c r="AA21" i="120"/>
  <c r="AA375" i="120"/>
  <c r="AA395" i="120"/>
  <c r="AA66" i="120"/>
  <c r="AA62" i="120"/>
  <c r="AA58" i="120"/>
  <c r="AA55" i="120"/>
  <c r="AA52" i="120"/>
  <c r="AA49" i="120"/>
  <c r="AA45" i="120"/>
  <c r="AA41" i="120"/>
  <c r="AA37" i="120"/>
  <c r="AA33" i="120"/>
  <c r="AA368" i="120"/>
  <c r="AA367" i="120"/>
  <c r="AA371" i="120"/>
  <c r="AA357" i="120"/>
  <c r="AA356" i="120"/>
  <c r="AA354" i="120"/>
  <c r="AA397" i="120"/>
  <c r="AA351" i="120"/>
  <c r="AA347" i="120"/>
  <c r="AA343" i="120"/>
  <c r="AA340" i="120"/>
  <c r="AA336" i="120"/>
  <c r="AA398" i="120"/>
  <c r="AA400" i="120"/>
  <c r="AA303" i="120"/>
  <c r="AA286" i="120"/>
  <c r="AA263" i="120"/>
  <c r="AA241" i="120"/>
  <c r="AA320" i="120"/>
  <c r="AA271" i="120"/>
  <c r="AA386" i="120"/>
  <c r="AA234" i="120"/>
  <c r="AA312" i="120"/>
  <c r="AA281" i="120"/>
  <c r="AA253" i="120"/>
  <c r="AA237" i="120"/>
  <c r="AA229" i="120"/>
  <c r="AA225" i="120"/>
  <c r="AA221" i="120"/>
  <c r="AA217" i="120"/>
  <c r="AA213" i="120"/>
  <c r="AA11" i="120"/>
  <c r="AA192" i="120"/>
  <c r="AA188" i="120"/>
  <c r="AA184" i="120"/>
  <c r="AA180" i="120"/>
  <c r="AA176" i="120"/>
  <c r="AA172" i="120"/>
  <c r="AA169" i="120"/>
  <c r="AA165" i="120"/>
  <c r="AA161" i="120"/>
  <c r="AA157" i="120"/>
  <c r="AA153" i="120"/>
  <c r="AA149" i="120"/>
  <c r="AA145" i="120"/>
  <c r="AA141" i="120"/>
  <c r="AA137" i="120"/>
  <c r="AA133" i="120"/>
  <c r="AA129" i="120"/>
  <c r="AA125" i="120"/>
  <c r="AA121" i="120"/>
  <c r="AA117" i="120"/>
  <c r="AA113" i="120"/>
  <c r="AA109" i="120"/>
  <c r="AA105" i="120"/>
  <c r="AA101" i="120"/>
  <c r="AA97" i="120"/>
  <c r="AA93" i="120"/>
  <c r="AA89" i="120"/>
  <c r="AA85" i="120"/>
  <c r="AA81" i="120"/>
  <c r="AA77" i="120"/>
  <c r="AA73" i="120"/>
  <c r="AA23" i="120"/>
  <c r="AA407" i="120"/>
  <c r="AA24" i="120"/>
  <c r="AA374" i="120"/>
  <c r="AA65" i="120"/>
  <c r="AA61" i="120"/>
  <c r="AA57" i="120"/>
  <c r="AA54" i="120"/>
  <c r="AA10" i="120"/>
  <c r="AA48" i="120"/>
  <c r="AA44" i="120"/>
  <c r="AA40" i="120"/>
  <c r="AA36" i="120"/>
  <c r="AA32" i="120"/>
  <c r="AA365" i="120"/>
  <c r="AA366" i="120"/>
  <c r="AA370" i="120"/>
  <c r="AA9" i="120"/>
  <c r="AA355" i="120"/>
  <c r="AA405" i="120"/>
  <c r="AA353" i="120"/>
  <c r="AA350" i="120"/>
  <c r="AA346" i="120"/>
  <c r="AA342" i="120"/>
  <c r="AA339" i="120"/>
  <c r="AA335" i="120"/>
  <c r="AA317" i="120"/>
  <c r="AA290" i="120"/>
  <c r="AA267" i="120"/>
  <c r="AA248" i="120"/>
  <c r="AA230" i="120"/>
  <c r="AA327" i="120"/>
  <c r="AA388" i="120"/>
  <c r="AA302" i="120"/>
  <c r="AA293" i="120"/>
  <c r="AA387" i="120"/>
  <c r="AA385" i="120"/>
  <c r="AA240" i="120"/>
  <c r="AA199" i="120"/>
  <c r="AA328" i="120"/>
  <c r="AA309" i="120"/>
  <c r="AA389" i="120"/>
  <c r="AA278" i="120"/>
  <c r="AA257" i="120"/>
  <c r="AA226" i="120"/>
  <c r="AA333" i="120"/>
  <c r="AA380" i="120"/>
  <c r="AA323" i="120"/>
  <c r="AA308" i="120"/>
  <c r="AA297" i="120"/>
  <c r="AA270" i="120"/>
  <c r="AA260" i="120"/>
  <c r="AA244" i="120"/>
  <c r="AA206" i="120"/>
  <c r="AA19" i="120"/>
  <c r="AA401" i="120"/>
  <c r="AA396" i="120"/>
  <c r="AA326" i="120"/>
  <c r="AA382" i="120"/>
  <c r="AA402" i="120"/>
  <c r="AA319" i="120"/>
  <c r="AA315" i="120"/>
  <c r="AA311" i="120"/>
  <c r="AA307" i="120"/>
  <c r="AA305" i="120"/>
  <c r="AA384" i="120"/>
  <c r="AA296" i="120"/>
  <c r="AA292" i="120"/>
  <c r="AA288" i="120"/>
  <c r="AA284" i="120"/>
  <c r="AA280" i="120"/>
  <c r="AA276" i="120"/>
  <c r="AA273" i="120"/>
  <c r="AA269" i="120"/>
  <c r="AA265" i="120"/>
  <c r="AA404" i="120"/>
  <c r="AA259" i="120"/>
  <c r="AA256" i="120"/>
  <c r="AA252" i="120"/>
  <c r="AA26" i="120"/>
  <c r="AA246" i="120"/>
  <c r="AA243" i="120"/>
  <c r="AA239" i="120"/>
  <c r="AA236" i="120"/>
  <c r="AA232" i="120"/>
  <c r="AA228" i="120"/>
  <c r="AA224" i="120"/>
  <c r="AA220" i="120"/>
  <c r="AA216" i="120"/>
  <c r="AA212" i="120"/>
  <c r="AA209" i="120"/>
  <c r="AA394" i="120"/>
  <c r="AA202" i="120"/>
  <c r="AA198" i="120"/>
  <c r="AA195" i="120"/>
  <c r="AA191" i="120"/>
  <c r="AA187" i="120"/>
  <c r="AA183" i="120"/>
  <c r="AA179" i="120"/>
  <c r="AA175" i="120"/>
  <c r="AA171" i="120"/>
  <c r="AA168" i="120"/>
  <c r="AA164" i="120"/>
  <c r="AA160" i="120"/>
  <c r="AA156" i="120"/>
  <c r="AA152" i="120"/>
  <c r="AA148" i="120"/>
  <c r="AA144" i="120"/>
  <c r="AA140" i="120"/>
  <c r="AA136" i="120"/>
  <c r="AA132" i="120"/>
  <c r="AA128" i="120"/>
  <c r="AA124" i="120"/>
  <c r="AA120" i="120"/>
  <c r="AA116" i="120"/>
  <c r="AA112" i="120"/>
  <c r="AA108" i="120"/>
  <c r="AA104" i="120"/>
  <c r="AA100" i="120"/>
  <c r="AA96" i="120"/>
  <c r="AA92" i="120"/>
  <c r="AA88" i="120"/>
  <c r="AA84" i="120"/>
  <c r="AA80" i="120"/>
  <c r="AA76" i="120"/>
  <c r="AA72" i="120"/>
  <c r="AA406" i="120"/>
  <c r="AA409" i="120"/>
  <c r="AA69" i="120"/>
  <c r="AA67" i="120"/>
  <c r="AA64" i="120"/>
  <c r="AA60" i="120"/>
  <c r="AA373" i="120"/>
  <c r="AA53" i="120"/>
  <c r="AA51" i="120"/>
  <c r="AA47" i="120"/>
  <c r="AA43" i="120"/>
  <c r="AA39" i="120"/>
  <c r="AA35" i="120"/>
  <c r="AA31" i="120"/>
  <c r="AA359" i="120"/>
  <c r="AA362" i="120"/>
  <c r="AA369" i="120"/>
  <c r="AA360" i="120"/>
  <c r="AA25" i="120"/>
  <c r="AA378" i="120"/>
  <c r="AA352" i="120"/>
  <c r="AA349" i="120"/>
  <c r="AA345" i="120"/>
  <c r="AA403" i="120"/>
  <c r="AA338" i="120"/>
  <c r="AA334" i="120"/>
  <c r="AA331" i="120"/>
  <c r="AA324" i="120"/>
  <c r="AA28" i="120"/>
  <c r="AA282" i="120"/>
  <c r="AA254" i="120"/>
  <c r="AA238" i="120"/>
  <c r="AA316" i="120"/>
  <c r="AA299" i="120"/>
  <c r="AA285" i="120"/>
  <c r="AA266" i="120"/>
  <c r="AA247" i="120"/>
  <c r="AA203" i="120"/>
  <c r="AA313" i="120"/>
  <c r="AA294" i="120"/>
  <c r="AA274" i="120"/>
  <c r="AA261" i="120"/>
  <c r="AA245" i="120"/>
  <c r="AA392" i="120"/>
  <c r="AA393" i="120"/>
  <c r="AA5" i="120"/>
  <c r="AA289" i="120"/>
  <c r="AA277" i="120"/>
  <c r="AA262" i="120"/>
  <c r="AA250" i="120"/>
  <c r="AA233" i="120"/>
  <c r="AA210" i="120"/>
  <c r="AA332" i="120"/>
  <c r="AA330" i="120"/>
  <c r="AA329" i="120"/>
  <c r="AA325" i="120"/>
  <c r="AA322" i="120"/>
  <c r="AA321" i="120"/>
  <c r="AA318" i="120"/>
  <c r="AA314" i="120"/>
  <c r="AA310" i="120"/>
  <c r="AA304" i="120"/>
  <c r="AA300" i="120"/>
  <c r="AA298" i="120"/>
  <c r="AA295" i="120"/>
  <c r="AA291" i="120"/>
  <c r="AA287" i="120"/>
  <c r="AA283" i="120"/>
  <c r="AA279" i="120"/>
  <c r="AA275" i="120"/>
  <c r="AA272" i="120"/>
  <c r="AA268" i="120"/>
  <c r="AA264" i="120"/>
  <c r="AA15" i="120"/>
  <c r="AA258" i="120"/>
  <c r="AA255" i="120"/>
  <c r="AA251" i="120"/>
  <c r="AA249" i="120"/>
  <c r="AA17" i="120"/>
  <c r="AA242" i="120"/>
  <c r="AA20" i="120"/>
  <c r="AA235" i="120"/>
  <c r="AA231" i="120"/>
  <c r="AA227" i="120"/>
  <c r="AA223" i="120"/>
  <c r="AA219" i="120"/>
  <c r="AA215" i="120"/>
  <c r="AA391" i="120"/>
  <c r="AA208" i="120"/>
  <c r="AA205" i="120"/>
  <c r="AA201" i="120"/>
  <c r="AA197" i="120"/>
  <c r="AA194" i="120"/>
  <c r="AA190" i="120"/>
  <c r="AA186" i="120"/>
  <c r="AA182" i="120"/>
  <c r="AA178" i="120"/>
  <c r="AA174" i="120"/>
  <c r="AA399" i="120"/>
  <c r="AA167" i="120"/>
  <c r="AA163" i="120"/>
  <c r="AA159" i="120"/>
  <c r="AA155" i="120"/>
  <c r="AA151" i="120"/>
  <c r="AA147" i="120"/>
  <c r="AA143" i="120"/>
  <c r="AA139" i="120"/>
  <c r="AA135" i="120"/>
  <c r="AA131" i="120"/>
  <c r="AA127" i="120"/>
  <c r="AA123" i="120"/>
  <c r="AA119" i="120"/>
  <c r="AA115" i="120"/>
  <c r="AA111" i="120"/>
  <c r="AA107" i="120"/>
  <c r="AA103" i="120"/>
  <c r="AA99" i="120"/>
  <c r="AA95" i="120"/>
  <c r="AA91" i="120"/>
  <c r="AA87" i="120"/>
  <c r="AA83" i="120"/>
  <c r="AA79" i="120"/>
  <c r="AA75" i="120"/>
  <c r="AA6" i="120"/>
  <c r="AA70" i="120"/>
  <c r="AA408" i="120"/>
  <c r="AA68" i="120"/>
  <c r="AA390" i="120"/>
  <c r="AA63" i="120"/>
  <c r="AA59" i="120"/>
  <c r="AA56" i="120"/>
  <c r="AA18" i="120"/>
  <c r="AA50" i="120"/>
  <c r="AA46" i="120"/>
  <c r="AA42" i="120"/>
  <c r="AA38" i="120"/>
  <c r="AA34" i="120"/>
  <c r="AA30" i="120"/>
  <c r="AA364" i="120"/>
  <c r="AA372" i="120"/>
  <c r="AA13" i="120"/>
  <c r="AA361" i="120"/>
  <c r="AA8" i="120"/>
  <c r="AA379" i="120"/>
  <c r="AA383" i="120"/>
  <c r="AA348" i="120"/>
  <c r="AA344" i="120"/>
  <c r="AA341" i="120"/>
  <c r="AA337" i="120"/>
  <c r="AA381" i="120"/>
  <c r="Q196" i="113"/>
  <c r="D4" i="147"/>
  <c r="E4" i="147" s="1"/>
  <c r="E5" i="147" s="1"/>
  <c r="E6" i="147" s="1"/>
  <c r="E7" i="147" s="1"/>
  <c r="E8" i="147" s="1"/>
  <c r="E9" i="147" s="1"/>
  <c r="E10" i="147" s="1"/>
  <c r="E11" i="147" s="1"/>
  <c r="E12" i="147" s="1"/>
  <c r="E13" i="147" s="1"/>
  <c r="P29" i="120"/>
  <c r="Q29" i="120"/>
  <c r="V29" i="120"/>
  <c r="U29" i="120"/>
  <c r="R29" i="120"/>
  <c r="T29" i="120"/>
  <c r="AA29" i="120"/>
  <c r="S29" i="120"/>
  <c r="AI5" i="143"/>
  <c r="R5" i="143"/>
  <c r="Y1" i="120" l="1"/>
  <c r="Z1" i="120"/>
  <c r="X1" i="120"/>
  <c r="W1" i="120"/>
  <c r="AM379" i="120"/>
  <c r="AM378" i="120"/>
  <c r="AM354" i="120"/>
  <c r="AK354" i="120" l="1"/>
  <c r="AK378" i="120"/>
  <c r="AK379" i="120"/>
  <c r="K224" i="60"/>
  <c r="Q93" i="113"/>
  <c r="P5" i="113"/>
  <c r="R5" i="113"/>
  <c r="S5" i="113"/>
  <c r="Q172" i="113" l="1"/>
  <c r="Q140" i="113"/>
  <c r="Q87" i="113"/>
  <c r="Q79" i="113"/>
  <c r="Q71" i="113"/>
  <c r="Q63" i="113"/>
  <c r="Q55" i="113"/>
  <c r="Q47" i="113"/>
  <c r="Q39" i="113"/>
  <c r="Q31" i="113"/>
  <c r="Q23" i="113"/>
  <c r="Q15" i="113"/>
  <c r="Q195" i="113"/>
  <c r="Q187" i="113"/>
  <c r="Q179" i="113"/>
  <c r="Q171" i="113"/>
  <c r="Q163" i="113"/>
  <c r="Q155" i="113"/>
  <c r="Q147" i="113"/>
  <c r="Q139" i="113"/>
  <c r="Q131" i="113"/>
  <c r="Q123" i="113"/>
  <c r="Q115" i="113"/>
  <c r="Q107" i="113"/>
  <c r="Q86" i="113"/>
  <c r="Q78" i="113"/>
  <c r="Q70" i="113"/>
  <c r="Q62" i="113"/>
  <c r="Q54" i="113"/>
  <c r="Q46" i="113"/>
  <c r="Q38" i="113"/>
  <c r="Q30" i="113"/>
  <c r="Q22" i="113"/>
  <c r="Q14" i="113"/>
  <c r="Q156" i="113"/>
  <c r="Q108" i="113"/>
  <c r="Q170" i="113"/>
  <c r="Q146" i="113"/>
  <c r="Q122" i="113"/>
  <c r="Q106" i="113"/>
  <c r="Q77" i="113"/>
  <c r="Q53" i="113"/>
  <c r="Q29" i="113"/>
  <c r="Q193" i="113"/>
  <c r="Q161" i="113"/>
  <c r="Q137" i="113"/>
  <c r="Q129" i="113"/>
  <c r="Q105" i="113"/>
  <c r="Q84" i="113"/>
  <c r="Q76" i="113"/>
  <c r="Q68" i="113"/>
  <c r="Q60" i="113"/>
  <c r="Q52" i="113"/>
  <c r="Q44" i="113"/>
  <c r="Q36" i="113"/>
  <c r="Q28" i="113"/>
  <c r="Q20" i="113"/>
  <c r="Q12" i="113"/>
  <c r="Q148" i="113"/>
  <c r="Q162" i="113"/>
  <c r="Q138" i="113"/>
  <c r="Q114" i="113"/>
  <c r="Q69" i="113"/>
  <c r="Q45" i="113"/>
  <c r="Q21" i="113"/>
  <c r="Q185" i="113"/>
  <c r="Q169" i="113"/>
  <c r="Q145" i="113"/>
  <c r="Q121" i="113"/>
  <c r="Q192" i="113"/>
  <c r="Q184" i="113"/>
  <c r="Q176" i="113"/>
  <c r="Q168" i="113"/>
  <c r="Q160" i="113"/>
  <c r="Q152" i="113"/>
  <c r="Q144" i="113"/>
  <c r="Q136" i="113"/>
  <c r="Q128" i="113"/>
  <c r="Q120" i="113"/>
  <c r="Q112" i="113"/>
  <c r="Q104" i="113"/>
  <c r="Q83" i="113"/>
  <c r="Q75" i="113"/>
  <c r="Q67" i="113"/>
  <c r="Q59" i="113"/>
  <c r="Q51" i="113"/>
  <c r="Q43" i="113"/>
  <c r="Q35" i="113"/>
  <c r="Q27" i="113"/>
  <c r="Q19" i="113"/>
  <c r="Q11" i="113"/>
  <c r="Q164" i="113"/>
  <c r="Q116" i="113"/>
  <c r="Q186" i="113"/>
  <c r="Q154" i="113"/>
  <c r="Q130" i="113"/>
  <c r="Q85" i="113"/>
  <c r="Q61" i="113"/>
  <c r="Q37" i="113"/>
  <c r="Q13" i="113"/>
  <c r="Q177" i="113"/>
  <c r="Q153" i="113"/>
  <c r="Q113" i="113"/>
  <c r="Q191" i="113"/>
  <c r="Q183" i="113"/>
  <c r="Q175" i="113"/>
  <c r="Q167" i="113"/>
  <c r="Q159" i="113"/>
  <c r="Q151" i="113"/>
  <c r="Q143" i="113"/>
  <c r="Q135" i="113"/>
  <c r="Q127" i="113"/>
  <c r="Q119" i="113"/>
  <c r="Q111" i="113"/>
  <c r="Q103" i="113"/>
  <c r="Q82" i="113"/>
  <c r="Q74" i="113"/>
  <c r="Q66" i="113"/>
  <c r="Q58" i="113"/>
  <c r="Q50" i="113"/>
  <c r="Q42" i="113"/>
  <c r="Q34" i="113"/>
  <c r="Q26" i="113"/>
  <c r="Q18" i="113"/>
  <c r="Q10" i="113"/>
  <c r="Q180" i="113"/>
  <c r="Q124" i="113"/>
  <c r="Q194" i="113"/>
  <c r="Q190" i="113"/>
  <c r="Q182" i="113"/>
  <c r="Q174" i="113"/>
  <c r="Q166" i="113"/>
  <c r="Q158" i="113"/>
  <c r="Q150" i="113"/>
  <c r="Q142" i="113"/>
  <c r="Q134" i="113"/>
  <c r="Q126" i="113"/>
  <c r="Q118" i="113"/>
  <c r="Q110" i="113"/>
  <c r="Q89" i="113"/>
  <c r="Q81" i="113"/>
  <c r="Q73" i="113"/>
  <c r="Q65" i="113"/>
  <c r="Q57" i="113"/>
  <c r="Q49" i="113"/>
  <c r="Q41" i="113"/>
  <c r="Q33" i="113"/>
  <c r="Q25" i="113"/>
  <c r="Q17" i="113"/>
  <c r="Q9" i="113"/>
  <c r="Q188" i="113"/>
  <c r="Q132" i="113"/>
  <c r="Q178" i="113"/>
  <c r="Q189" i="113"/>
  <c r="Q181" i="113"/>
  <c r="Q173" i="113"/>
  <c r="Q165" i="113"/>
  <c r="Q157" i="113"/>
  <c r="Q149" i="113"/>
  <c r="Q141" i="113"/>
  <c r="Q133" i="113"/>
  <c r="Q125" i="113"/>
  <c r="Q117" i="113"/>
  <c r="Q109" i="113"/>
  <c r="Q88" i="113"/>
  <c r="Q80" i="113"/>
  <c r="Q72" i="113"/>
  <c r="Q64" i="113"/>
  <c r="Q56" i="113"/>
  <c r="Q48" i="113"/>
  <c r="Q40" i="113"/>
  <c r="Q32" i="113"/>
  <c r="Q24" i="113"/>
  <c r="Q16" i="113"/>
  <c r="Q100" i="113"/>
  <c r="Q92" i="113"/>
  <c r="Q91" i="113"/>
  <c r="Q99" i="113"/>
  <c r="Q90" i="113"/>
  <c r="Q102" i="113"/>
  <c r="Q101" i="113"/>
  <c r="K223" i="60"/>
  <c r="AM369" i="120" l="1"/>
  <c r="AK369" i="120" s="1"/>
  <c r="AM370" i="120"/>
  <c r="AK370" i="120" s="1"/>
  <c r="AM371" i="120"/>
  <c r="AK371" i="120" s="1"/>
  <c r="AM9" i="120"/>
  <c r="AM362" i="120"/>
  <c r="AM360" i="120"/>
  <c r="AM361" i="120"/>
  <c r="AM367" i="120"/>
  <c r="AK367" i="120" s="1"/>
  <c r="AM376" i="120"/>
  <c r="AK376" i="120" s="1"/>
  <c r="AM368" i="120"/>
  <c r="AK368" i="120" s="1"/>
  <c r="AM405" i="120"/>
  <c r="AM364" i="120"/>
  <c r="AM359" i="120"/>
  <c r="AM365" i="120"/>
  <c r="AM13" i="120"/>
  <c r="AM366" i="120"/>
  <c r="AM372" i="120"/>
  <c r="AK372" i="120" s="1"/>
  <c r="AM357" i="120"/>
  <c r="AM356" i="120"/>
  <c r="AM355" i="120"/>
  <c r="AM25" i="120"/>
  <c r="AK361" i="120" l="1"/>
  <c r="AK13" i="120"/>
  <c r="AK359" i="120"/>
  <c r="AK362" i="120"/>
  <c r="AK360" i="120"/>
  <c r="AK9" i="120"/>
  <c r="AK25" i="120"/>
  <c r="AK364" i="120"/>
  <c r="AK366" i="120"/>
  <c r="AK365" i="120"/>
  <c r="AK355" i="120"/>
  <c r="AK356" i="120"/>
  <c r="AK405" i="120"/>
  <c r="AK357" i="120"/>
  <c r="AM12" i="120"/>
  <c r="K222" i="60"/>
  <c r="K221" i="60"/>
  <c r="AK12" i="120" l="1"/>
  <c r="BS1" i="120"/>
  <c r="CC5" i="113" l="1"/>
  <c r="K220" i="60" l="1"/>
  <c r="K219" i="60" l="1"/>
  <c r="K218" i="60"/>
  <c r="K215" i="60"/>
  <c r="K217" i="60" l="1"/>
  <c r="K216" i="60"/>
  <c r="K211" i="60" l="1"/>
  <c r="K210" i="60"/>
  <c r="K214" i="60" l="1"/>
  <c r="K213" i="60"/>
  <c r="AP1" i="120" l="1"/>
  <c r="K212" i="60" l="1"/>
  <c r="BO29" i="120" l="1"/>
  <c r="EG29" i="120" l="1"/>
  <c r="AY29" i="120"/>
  <c r="AM30" i="120"/>
  <c r="AK30" i="120" s="1"/>
  <c r="AM31" i="120"/>
  <c r="AK31" i="120" s="1"/>
  <c r="AM32" i="120"/>
  <c r="AK32" i="120" s="1"/>
  <c r="AM33" i="120"/>
  <c r="AK33" i="120" s="1"/>
  <c r="AM34" i="120"/>
  <c r="AK34" i="120" s="1"/>
  <c r="AM35" i="120"/>
  <c r="AK35" i="120" s="1"/>
  <c r="AM36" i="120"/>
  <c r="AK36" i="120" s="1"/>
  <c r="AM37" i="120"/>
  <c r="AK37" i="120" s="1"/>
  <c r="AM38" i="120"/>
  <c r="AK38" i="120" s="1"/>
  <c r="AM39" i="120"/>
  <c r="AK39" i="120" s="1"/>
  <c r="AM40" i="120"/>
  <c r="AK40" i="120" s="1"/>
  <c r="AM41" i="120"/>
  <c r="AK41" i="120" s="1"/>
  <c r="AM42" i="120"/>
  <c r="AK42" i="120" s="1"/>
  <c r="AM43" i="120"/>
  <c r="AK43" i="120" s="1"/>
  <c r="AM44" i="120"/>
  <c r="AK44" i="120" s="1"/>
  <c r="AM45" i="120"/>
  <c r="AK45" i="120" s="1"/>
  <c r="AM46" i="120"/>
  <c r="AK46" i="120" s="1"/>
  <c r="AM47" i="120"/>
  <c r="AK47" i="120" s="1"/>
  <c r="AM48" i="120"/>
  <c r="AK48" i="120" s="1"/>
  <c r="AM49" i="120"/>
  <c r="AK49" i="120" s="1"/>
  <c r="AM50" i="120"/>
  <c r="AK50" i="120" s="1"/>
  <c r="AM51" i="120"/>
  <c r="AM10" i="120"/>
  <c r="AM52" i="120"/>
  <c r="AK52" i="120" s="1"/>
  <c r="AM18" i="120"/>
  <c r="AM53" i="120"/>
  <c r="AM54" i="120"/>
  <c r="AK54" i="120" s="1"/>
  <c r="AM55" i="120"/>
  <c r="AM56" i="120"/>
  <c r="AM373" i="120"/>
  <c r="AM57" i="120"/>
  <c r="AK57" i="120" s="1"/>
  <c r="AM58" i="120"/>
  <c r="AM59" i="120"/>
  <c r="AM61" i="120"/>
  <c r="AM62" i="120"/>
  <c r="AM63" i="120"/>
  <c r="AM64" i="120"/>
  <c r="AK64" i="120" s="1"/>
  <c r="AM66" i="120"/>
  <c r="AM390" i="120"/>
  <c r="AM67" i="120"/>
  <c r="AM374" i="120"/>
  <c r="AM395" i="120"/>
  <c r="AM68" i="120"/>
  <c r="AM69" i="120"/>
  <c r="AM24" i="120"/>
  <c r="AM375" i="120"/>
  <c r="AM408" i="120"/>
  <c r="AM409" i="120"/>
  <c r="AM407" i="120"/>
  <c r="AM21" i="120"/>
  <c r="AM70" i="120"/>
  <c r="AM406" i="120"/>
  <c r="AM23" i="120"/>
  <c r="AM71" i="120"/>
  <c r="AM6" i="120"/>
  <c r="AM72" i="120"/>
  <c r="AK72" i="120" s="1"/>
  <c r="AM73" i="120"/>
  <c r="AK73" i="120" s="1"/>
  <c r="AM74" i="120"/>
  <c r="AK74" i="120" s="1"/>
  <c r="AM75" i="120"/>
  <c r="AK75" i="120" s="1"/>
  <c r="AM76" i="120"/>
  <c r="AK76" i="120" s="1"/>
  <c r="AM77" i="120"/>
  <c r="AK77" i="120" s="1"/>
  <c r="AM78" i="120"/>
  <c r="AK78" i="120" s="1"/>
  <c r="AM79" i="120"/>
  <c r="AK79" i="120" s="1"/>
  <c r="AM80" i="120"/>
  <c r="AK80" i="120" s="1"/>
  <c r="AM81" i="120"/>
  <c r="AK81" i="120" s="1"/>
  <c r="AM82" i="120"/>
  <c r="AK82" i="120" s="1"/>
  <c r="AM83" i="120"/>
  <c r="AK83" i="120" s="1"/>
  <c r="AM84" i="120"/>
  <c r="AK84" i="120" s="1"/>
  <c r="AM85" i="120"/>
  <c r="AK85" i="120" s="1"/>
  <c r="AM86" i="120"/>
  <c r="AK86" i="120" s="1"/>
  <c r="AM87" i="120"/>
  <c r="AK87" i="120" s="1"/>
  <c r="AM88" i="120"/>
  <c r="AK88" i="120" s="1"/>
  <c r="AM89" i="120"/>
  <c r="AK89" i="120" s="1"/>
  <c r="AM90" i="120"/>
  <c r="AK90" i="120" s="1"/>
  <c r="AM91" i="120"/>
  <c r="AK91" i="120" s="1"/>
  <c r="AM92" i="120"/>
  <c r="AK92" i="120" s="1"/>
  <c r="AM93" i="120"/>
  <c r="AK93" i="120" s="1"/>
  <c r="AM94" i="120"/>
  <c r="AK94" i="120" s="1"/>
  <c r="AM95" i="120"/>
  <c r="AK95" i="120" s="1"/>
  <c r="AM96" i="120"/>
  <c r="AK96" i="120" s="1"/>
  <c r="AM97" i="120"/>
  <c r="AK97" i="120" s="1"/>
  <c r="AM98" i="120"/>
  <c r="AK98" i="120" s="1"/>
  <c r="AM99" i="120"/>
  <c r="AK99" i="120" s="1"/>
  <c r="AM100" i="120"/>
  <c r="AK100" i="120" s="1"/>
  <c r="AM101" i="120"/>
  <c r="AK101" i="120" s="1"/>
  <c r="AM102" i="120"/>
  <c r="AK102" i="120" s="1"/>
  <c r="AM103" i="120"/>
  <c r="AK103" i="120" s="1"/>
  <c r="AM104" i="120"/>
  <c r="AK104" i="120" s="1"/>
  <c r="AM105" i="120"/>
  <c r="AK105" i="120" s="1"/>
  <c r="AM106" i="120"/>
  <c r="AK106" i="120" s="1"/>
  <c r="AM107" i="120"/>
  <c r="AK107" i="120" s="1"/>
  <c r="AM108" i="120"/>
  <c r="AK108" i="120" s="1"/>
  <c r="AM109" i="120"/>
  <c r="AK109" i="120" s="1"/>
  <c r="AM110" i="120"/>
  <c r="AK110" i="120" s="1"/>
  <c r="AM111" i="120"/>
  <c r="AK111" i="120" s="1"/>
  <c r="AM112" i="120"/>
  <c r="AK112" i="120" s="1"/>
  <c r="AM113" i="120"/>
  <c r="AK113" i="120" s="1"/>
  <c r="AM114" i="120"/>
  <c r="AK114" i="120" s="1"/>
  <c r="AM115" i="120"/>
  <c r="AK115" i="120" s="1"/>
  <c r="AM116" i="120"/>
  <c r="AK116" i="120" s="1"/>
  <c r="AM117" i="120"/>
  <c r="AK117" i="120" s="1"/>
  <c r="AM118" i="120"/>
  <c r="AK118" i="120" s="1"/>
  <c r="AM119" i="120"/>
  <c r="AK119" i="120" s="1"/>
  <c r="AM120" i="120"/>
  <c r="AK120" i="120" s="1"/>
  <c r="AM121" i="120"/>
  <c r="AK121" i="120" s="1"/>
  <c r="AM122" i="120"/>
  <c r="AK122" i="120" s="1"/>
  <c r="AM123" i="120"/>
  <c r="AK123" i="120" s="1"/>
  <c r="AM124" i="120"/>
  <c r="AK124" i="120" s="1"/>
  <c r="AM125" i="120"/>
  <c r="AK125" i="120" s="1"/>
  <c r="AM126" i="120"/>
  <c r="AK126" i="120" s="1"/>
  <c r="AM127" i="120"/>
  <c r="AK127" i="120" s="1"/>
  <c r="AM128" i="120"/>
  <c r="AK128" i="120" s="1"/>
  <c r="AM129" i="120"/>
  <c r="AK129" i="120" s="1"/>
  <c r="AM130" i="120"/>
  <c r="AK130" i="120" s="1"/>
  <c r="AM131" i="120"/>
  <c r="AK131" i="120" s="1"/>
  <c r="AM132" i="120"/>
  <c r="AK132" i="120" s="1"/>
  <c r="AM133" i="120"/>
  <c r="AK133" i="120" s="1"/>
  <c r="AM134" i="120"/>
  <c r="AK134" i="120" s="1"/>
  <c r="AM135" i="120"/>
  <c r="AK135" i="120" s="1"/>
  <c r="AM136" i="120"/>
  <c r="AM137" i="120"/>
  <c r="AK137" i="120" s="1"/>
  <c r="AM138" i="120"/>
  <c r="AK138" i="120" s="1"/>
  <c r="AM139" i="120"/>
  <c r="AK139" i="120" s="1"/>
  <c r="AM140" i="120"/>
  <c r="AK140" i="120" s="1"/>
  <c r="AM141" i="120"/>
  <c r="AK141" i="120" s="1"/>
  <c r="AM142" i="120"/>
  <c r="AK142" i="120" s="1"/>
  <c r="AM143" i="120"/>
  <c r="AK143" i="120" s="1"/>
  <c r="AM144" i="120"/>
  <c r="AK144" i="120" s="1"/>
  <c r="AM145" i="120"/>
  <c r="AK145" i="120" s="1"/>
  <c r="AM146" i="120"/>
  <c r="AK146" i="120" s="1"/>
  <c r="AM147" i="120"/>
  <c r="AK147" i="120" s="1"/>
  <c r="AM148" i="120"/>
  <c r="AK148" i="120" s="1"/>
  <c r="AM149" i="120"/>
  <c r="AK149" i="120" s="1"/>
  <c r="AM150" i="120"/>
  <c r="AK150" i="120" s="1"/>
  <c r="AM151" i="120"/>
  <c r="AK151" i="120" s="1"/>
  <c r="AM152" i="120"/>
  <c r="AK152" i="120" s="1"/>
  <c r="AM153" i="120"/>
  <c r="AK153" i="120" s="1"/>
  <c r="AM154" i="120"/>
  <c r="AK154" i="120" s="1"/>
  <c r="AM155" i="120"/>
  <c r="AK155" i="120" s="1"/>
  <c r="AM156" i="120"/>
  <c r="AK156" i="120" s="1"/>
  <c r="AM157" i="120"/>
  <c r="AK157" i="120" s="1"/>
  <c r="AM158" i="120"/>
  <c r="AK158" i="120" s="1"/>
  <c r="AM159" i="120"/>
  <c r="AK159" i="120" s="1"/>
  <c r="AM160" i="120"/>
  <c r="AK160" i="120" s="1"/>
  <c r="AM161" i="120"/>
  <c r="AK161" i="120" s="1"/>
  <c r="AM162" i="120"/>
  <c r="AK162" i="120" s="1"/>
  <c r="AM163" i="120"/>
  <c r="AK163" i="120" s="1"/>
  <c r="AM164" i="120"/>
  <c r="AK164" i="120" s="1"/>
  <c r="AM165" i="120"/>
  <c r="AK165" i="120" s="1"/>
  <c r="AM166" i="120"/>
  <c r="AK166" i="120" s="1"/>
  <c r="AM167" i="120"/>
  <c r="AK167" i="120" s="1"/>
  <c r="AM168" i="120"/>
  <c r="AK168" i="120" s="1"/>
  <c r="AM169" i="120"/>
  <c r="AK169" i="120" s="1"/>
  <c r="AM170" i="120"/>
  <c r="AK170" i="120" s="1"/>
  <c r="AM399" i="120"/>
  <c r="AM171" i="120"/>
  <c r="AK171" i="120" s="1"/>
  <c r="AM172" i="120"/>
  <c r="AK172" i="120" s="1"/>
  <c r="AM173" i="120"/>
  <c r="AK173" i="120" s="1"/>
  <c r="AM174" i="120"/>
  <c r="AK174" i="120" s="1"/>
  <c r="AM175" i="120"/>
  <c r="AM176" i="120"/>
  <c r="AM177" i="120"/>
  <c r="AK177" i="120" s="1"/>
  <c r="AM178" i="120"/>
  <c r="AK178" i="120" s="1"/>
  <c r="AM179" i="120"/>
  <c r="AK179" i="120" s="1"/>
  <c r="AM180" i="120"/>
  <c r="AK180" i="120" s="1"/>
  <c r="AM181" i="120"/>
  <c r="AK181" i="120" s="1"/>
  <c r="AM182" i="120"/>
  <c r="AK182" i="120" s="1"/>
  <c r="AM183" i="120"/>
  <c r="AK183" i="120" s="1"/>
  <c r="AM184" i="120"/>
  <c r="AK184" i="120" s="1"/>
  <c r="AM185" i="120"/>
  <c r="AK185" i="120" s="1"/>
  <c r="AM186" i="120"/>
  <c r="AK186" i="120" s="1"/>
  <c r="AM187" i="120"/>
  <c r="AK187" i="120" s="1"/>
  <c r="AM188" i="120"/>
  <c r="AK188" i="120" s="1"/>
  <c r="AM189" i="120"/>
  <c r="AK189" i="120" s="1"/>
  <c r="AM190" i="120"/>
  <c r="AK190" i="120" s="1"/>
  <c r="AM191" i="120"/>
  <c r="AK191" i="120" s="1"/>
  <c r="AM192" i="120"/>
  <c r="AK192" i="120" s="1"/>
  <c r="AM193" i="120"/>
  <c r="AK193" i="120" s="1"/>
  <c r="AM194" i="120"/>
  <c r="AK194" i="120" s="1"/>
  <c r="AM195" i="120"/>
  <c r="AK195" i="120" s="1"/>
  <c r="AM11" i="120"/>
  <c r="AM196" i="120"/>
  <c r="AK196" i="120" s="1"/>
  <c r="AM197" i="120"/>
  <c r="AK197" i="120" s="1"/>
  <c r="AM198" i="120"/>
  <c r="AK198" i="120" s="1"/>
  <c r="AM199" i="120"/>
  <c r="AK199" i="120" s="1"/>
  <c r="AM200" i="120"/>
  <c r="AK200" i="120" s="1"/>
  <c r="AM201" i="120"/>
  <c r="AK201" i="120" s="1"/>
  <c r="AM202" i="120"/>
  <c r="AK202" i="120" s="1"/>
  <c r="AM203" i="120"/>
  <c r="AM204" i="120"/>
  <c r="AK204" i="120" s="1"/>
  <c r="AM205" i="120"/>
  <c r="AK205" i="120" s="1"/>
  <c r="AM394" i="120"/>
  <c r="AM206" i="120"/>
  <c r="AK206" i="120" s="1"/>
  <c r="AM207" i="120"/>
  <c r="AK207" i="120" s="1"/>
  <c r="AM208" i="120"/>
  <c r="AK208" i="120" s="1"/>
  <c r="AM209" i="120"/>
  <c r="AK209" i="120" s="1"/>
  <c r="AM210" i="120"/>
  <c r="AK210" i="120" s="1"/>
  <c r="AM211" i="120"/>
  <c r="AM391" i="120"/>
  <c r="AM212" i="120"/>
  <c r="AK212" i="120" s="1"/>
  <c r="AM213" i="120"/>
  <c r="AK213" i="120" s="1"/>
  <c r="AM214" i="120"/>
  <c r="AM215" i="120"/>
  <c r="AK215" i="120" s="1"/>
  <c r="AM216" i="120"/>
  <c r="AM217" i="120"/>
  <c r="AK217" i="120" s="1"/>
  <c r="AM218" i="120"/>
  <c r="AM219" i="120"/>
  <c r="AK219" i="120" s="1"/>
  <c r="AM220" i="120"/>
  <c r="AM221" i="120"/>
  <c r="AM222" i="120"/>
  <c r="AK222" i="120" s="1"/>
  <c r="AM223" i="120"/>
  <c r="AK223" i="120" s="1"/>
  <c r="AM224" i="120"/>
  <c r="AM225" i="120"/>
  <c r="AK225" i="120" s="1"/>
  <c r="AM226" i="120"/>
  <c r="AM227" i="120"/>
  <c r="AK227" i="120" s="1"/>
  <c r="AM228" i="120"/>
  <c r="AK228" i="120" s="1"/>
  <c r="AM229" i="120"/>
  <c r="AK229" i="120" s="1"/>
  <c r="AM230" i="120"/>
  <c r="AK230" i="120" s="1"/>
  <c r="AM231" i="120"/>
  <c r="AK231" i="120" s="1"/>
  <c r="AM232" i="120"/>
  <c r="AM233" i="120"/>
  <c r="AK233" i="120" s="1"/>
  <c r="AM234" i="120"/>
  <c r="AK234" i="120" s="1"/>
  <c r="AM235" i="120"/>
  <c r="AK235" i="120" s="1"/>
  <c r="AM236" i="120"/>
  <c r="AK236" i="120" s="1"/>
  <c r="AM237" i="120"/>
  <c r="AM238" i="120"/>
  <c r="AK238" i="120" s="1"/>
  <c r="AM20" i="120"/>
  <c r="AM239" i="120"/>
  <c r="AK239" i="120" s="1"/>
  <c r="AM240" i="120"/>
  <c r="AK240" i="120" s="1"/>
  <c r="AM241" i="120"/>
  <c r="AK241" i="120" s="1"/>
  <c r="AM242" i="120"/>
  <c r="AK242" i="120" s="1"/>
  <c r="AM243" i="120"/>
  <c r="AK243" i="120" s="1"/>
  <c r="AM244" i="120"/>
  <c r="AM245" i="120"/>
  <c r="AK245" i="120" s="1"/>
  <c r="AM17" i="120"/>
  <c r="AM246" i="120"/>
  <c r="AM247" i="120"/>
  <c r="AM248" i="120"/>
  <c r="AM249" i="120"/>
  <c r="AK249" i="120" s="1"/>
  <c r="AM26" i="120"/>
  <c r="AM250" i="120"/>
  <c r="AK250" i="120" s="1"/>
  <c r="AM386" i="120"/>
  <c r="AM251" i="120"/>
  <c r="AM252" i="120"/>
  <c r="AM253" i="120"/>
  <c r="AK253" i="120" s="1"/>
  <c r="AM254" i="120"/>
  <c r="AM255" i="120"/>
  <c r="AK255" i="120" s="1"/>
  <c r="AM256" i="120"/>
  <c r="AK256" i="120" s="1"/>
  <c r="AM385" i="120"/>
  <c r="AM257" i="120"/>
  <c r="AM258" i="120"/>
  <c r="AK258" i="120" s="1"/>
  <c r="AM259" i="120"/>
  <c r="AK259" i="120" s="1"/>
  <c r="AM260" i="120"/>
  <c r="AK260" i="120" s="1"/>
  <c r="AM261" i="120"/>
  <c r="AM15" i="120"/>
  <c r="AM404" i="120"/>
  <c r="AM262" i="120"/>
  <c r="AK262" i="120" s="1"/>
  <c r="AM263" i="120"/>
  <c r="AM264" i="120"/>
  <c r="AK264" i="120" s="1"/>
  <c r="AM265" i="120"/>
  <c r="AK265" i="120" s="1"/>
  <c r="AM266" i="120"/>
  <c r="AM267" i="120"/>
  <c r="AK267" i="120" s="1"/>
  <c r="AM268" i="120"/>
  <c r="AK268" i="120" s="1"/>
  <c r="AM269" i="120"/>
  <c r="AM270" i="120"/>
  <c r="AK270" i="120" s="1"/>
  <c r="AM271" i="120"/>
  <c r="AK271" i="120" s="1"/>
  <c r="AM272" i="120"/>
  <c r="AK272" i="120" s="1"/>
  <c r="AM273" i="120"/>
  <c r="AK273" i="120" s="1"/>
  <c r="AM387" i="120"/>
  <c r="AM274" i="120"/>
  <c r="AM275" i="120"/>
  <c r="AM276" i="120"/>
  <c r="AK276" i="120" s="1"/>
  <c r="AM277" i="120"/>
  <c r="AK277" i="120" s="1"/>
  <c r="AM278" i="120"/>
  <c r="AM279" i="120"/>
  <c r="AK279" i="120" s="1"/>
  <c r="AM280" i="120"/>
  <c r="AM281" i="120"/>
  <c r="AK281" i="120" s="1"/>
  <c r="AM282" i="120"/>
  <c r="AK282" i="120" s="1"/>
  <c r="AM283" i="120"/>
  <c r="AK283" i="120" s="1"/>
  <c r="AM284" i="120"/>
  <c r="AK284" i="120" s="1"/>
  <c r="AM285" i="120"/>
  <c r="AK285" i="120" s="1"/>
  <c r="AM286" i="120"/>
  <c r="AK286" i="120" s="1"/>
  <c r="AM287" i="120"/>
  <c r="AK287" i="120" s="1"/>
  <c r="AM288" i="120"/>
  <c r="AK288" i="120" s="1"/>
  <c r="AM289" i="120"/>
  <c r="AK289" i="120" s="1"/>
  <c r="AM290" i="120"/>
  <c r="AK290" i="120" s="1"/>
  <c r="AM291" i="120"/>
  <c r="AK291" i="120" s="1"/>
  <c r="AM292" i="120"/>
  <c r="AK292" i="120" s="1"/>
  <c r="AM293" i="120"/>
  <c r="AK293" i="120" s="1"/>
  <c r="AM294" i="120"/>
  <c r="AK294" i="120" s="1"/>
  <c r="AM295" i="120"/>
  <c r="AM296" i="120"/>
  <c r="AK296" i="120" s="1"/>
  <c r="AM297" i="120"/>
  <c r="AK297" i="120" s="1"/>
  <c r="AM7" i="120"/>
  <c r="AM298" i="120"/>
  <c r="AK298" i="120" s="1"/>
  <c r="AM384" i="120"/>
  <c r="AM299" i="120"/>
  <c r="AM389" i="120"/>
  <c r="AM300" i="120"/>
  <c r="AM301" i="120"/>
  <c r="AM302" i="120"/>
  <c r="AM303" i="120"/>
  <c r="AM304" i="120"/>
  <c r="AM305" i="120"/>
  <c r="AK305" i="120" s="1"/>
  <c r="AM5" i="120"/>
  <c r="AM28" i="120"/>
  <c r="AM306" i="120"/>
  <c r="AM307" i="120"/>
  <c r="AK307" i="120" s="1"/>
  <c r="AM308" i="120"/>
  <c r="AK308" i="120" s="1"/>
  <c r="AM309" i="120"/>
  <c r="AM310" i="120"/>
  <c r="AK310" i="120" s="1"/>
  <c r="AM311" i="120"/>
  <c r="AK311" i="120" s="1"/>
  <c r="AM312" i="120"/>
  <c r="AK312" i="120" s="1"/>
  <c r="AM313" i="120"/>
  <c r="AM314" i="120"/>
  <c r="AK314" i="120" s="1"/>
  <c r="AM315" i="120"/>
  <c r="AK315" i="120" s="1"/>
  <c r="AM316" i="120"/>
  <c r="AK316" i="120" s="1"/>
  <c r="AM317" i="120"/>
  <c r="AM318" i="120"/>
  <c r="AK318" i="120" s="1"/>
  <c r="AM319" i="120"/>
  <c r="AK319" i="120" s="1"/>
  <c r="AM388" i="120"/>
  <c r="AM320" i="120"/>
  <c r="AK320" i="120" s="1"/>
  <c r="AM321" i="120"/>
  <c r="AM402" i="120"/>
  <c r="AM393" i="120"/>
  <c r="AM400" i="120"/>
  <c r="AM322" i="120"/>
  <c r="AM382" i="120"/>
  <c r="AM323" i="120"/>
  <c r="AM324" i="120"/>
  <c r="AM325" i="120"/>
  <c r="AK325" i="120" s="1"/>
  <c r="AM326" i="120"/>
  <c r="AK326" i="120" s="1"/>
  <c r="AM327" i="120"/>
  <c r="AK327" i="120" s="1"/>
  <c r="AM328" i="120"/>
  <c r="AM329" i="120"/>
  <c r="AM396" i="120"/>
  <c r="AM392" i="120"/>
  <c r="AM398" i="120"/>
  <c r="AM330" i="120"/>
  <c r="AM401" i="120"/>
  <c r="AM380" i="120"/>
  <c r="AM331" i="120"/>
  <c r="AM332" i="120"/>
  <c r="AM19" i="120"/>
  <c r="AM333" i="120"/>
  <c r="AK333" i="120" s="1"/>
  <c r="AM381" i="120"/>
  <c r="AM334" i="120"/>
  <c r="AM335" i="120"/>
  <c r="AM336" i="120"/>
  <c r="AM337" i="120"/>
  <c r="AM338" i="120"/>
  <c r="AM339" i="120"/>
  <c r="AM340" i="120"/>
  <c r="AM341" i="120"/>
  <c r="AM403" i="120"/>
  <c r="AM342" i="120"/>
  <c r="AM343" i="120"/>
  <c r="AK343" i="120" s="1"/>
  <c r="AM344" i="120"/>
  <c r="AM345" i="120"/>
  <c r="AM346" i="120"/>
  <c r="AM347" i="120"/>
  <c r="AM348" i="120"/>
  <c r="AM349" i="120"/>
  <c r="AK349" i="120" s="1"/>
  <c r="AM350" i="120"/>
  <c r="AM351" i="120"/>
  <c r="AM383" i="120"/>
  <c r="AM352" i="120"/>
  <c r="AM353" i="120"/>
  <c r="AM397" i="120"/>
  <c r="AM8" i="120"/>
  <c r="AK341" i="120" l="1"/>
  <c r="AK383" i="120"/>
  <c r="AK344" i="120"/>
  <c r="AK337" i="120"/>
  <c r="AK331" i="120"/>
  <c r="AK328" i="120"/>
  <c r="AK400" i="120"/>
  <c r="AK317" i="120"/>
  <c r="AK309" i="120"/>
  <c r="AK303" i="120"/>
  <c r="AK7" i="120"/>
  <c r="AK274" i="120"/>
  <c r="AK261" i="120"/>
  <c r="AK254" i="120"/>
  <c r="AK248" i="120"/>
  <c r="AK226" i="120"/>
  <c r="AK218" i="120"/>
  <c r="AK211" i="120"/>
  <c r="AK71" i="120"/>
  <c r="AK375" i="120"/>
  <c r="AK66" i="120"/>
  <c r="AK373" i="120"/>
  <c r="AK51" i="120"/>
  <c r="AK387" i="120"/>
  <c r="AK247" i="120"/>
  <c r="AK203" i="120"/>
  <c r="AK11" i="120"/>
  <c r="AK23" i="120"/>
  <c r="AK24" i="120"/>
  <c r="AK56" i="120"/>
  <c r="AK393" i="120"/>
  <c r="AK266" i="120"/>
  <c r="AK335" i="120"/>
  <c r="AK402" i="120"/>
  <c r="AK301" i="120"/>
  <c r="AK280" i="120"/>
  <c r="AK252" i="120"/>
  <c r="AK246" i="120"/>
  <c r="AK232" i="120"/>
  <c r="AK224" i="120"/>
  <c r="AK216" i="120"/>
  <c r="AK406" i="120"/>
  <c r="AK69" i="120"/>
  <c r="AK63" i="120"/>
  <c r="AK55" i="120"/>
  <c r="AK380" i="120"/>
  <c r="AK302" i="120"/>
  <c r="AK350" i="120"/>
  <c r="AK342" i="120"/>
  <c r="AK401" i="120"/>
  <c r="AK403" i="120"/>
  <c r="AK334" i="120"/>
  <c r="AK330" i="120"/>
  <c r="AK321" i="120"/>
  <c r="AK306" i="120"/>
  <c r="AK300" i="120"/>
  <c r="AK295" i="120"/>
  <c r="AK251" i="120"/>
  <c r="AK17" i="120"/>
  <c r="AK20" i="120"/>
  <c r="AK399" i="120"/>
  <c r="AK70" i="120"/>
  <c r="AK68" i="120"/>
  <c r="AK62" i="120"/>
  <c r="AK351" i="120"/>
  <c r="AK398" i="120"/>
  <c r="AK28" i="120"/>
  <c r="AK278" i="120"/>
  <c r="AK386" i="120"/>
  <c r="AK214" i="120"/>
  <c r="AK21" i="120"/>
  <c r="AK395" i="120"/>
  <c r="AK61" i="120"/>
  <c r="AK53" i="120"/>
  <c r="AK336" i="120"/>
  <c r="AK348" i="120"/>
  <c r="AK324" i="120"/>
  <c r="AK257" i="120"/>
  <c r="AK347" i="120"/>
  <c r="AK340" i="120"/>
  <c r="AK392" i="120"/>
  <c r="AK323" i="120"/>
  <c r="AK388" i="120"/>
  <c r="AK5" i="120"/>
  <c r="AK299" i="120"/>
  <c r="AK385" i="120"/>
  <c r="AK244" i="120"/>
  <c r="AK237" i="120"/>
  <c r="AK221" i="120"/>
  <c r="AK176" i="120"/>
  <c r="AK407" i="120"/>
  <c r="AK374" i="120"/>
  <c r="AK59" i="120"/>
  <c r="AK18" i="120"/>
  <c r="AK8" i="120"/>
  <c r="AK263" i="120"/>
  <c r="AK353" i="120"/>
  <c r="AK339" i="120"/>
  <c r="AK19" i="120"/>
  <c r="AK396" i="120"/>
  <c r="AK382" i="120"/>
  <c r="AK384" i="120"/>
  <c r="AK269" i="120"/>
  <c r="AK404" i="120"/>
  <c r="AK26" i="120"/>
  <c r="AK220" i="120"/>
  <c r="AK394" i="120"/>
  <c r="AK175" i="120"/>
  <c r="AK136" i="120"/>
  <c r="AK409" i="120"/>
  <c r="AK67" i="120"/>
  <c r="AK58" i="120"/>
  <c r="AK381" i="120"/>
  <c r="AK313" i="120"/>
  <c r="AK389" i="120"/>
  <c r="AK397" i="120"/>
  <c r="AK346" i="120"/>
  <c r="AK352" i="120"/>
  <c r="AK345" i="120"/>
  <c r="AK338" i="120"/>
  <c r="AK332" i="120"/>
  <c r="AK329" i="120"/>
  <c r="AK322" i="120"/>
  <c r="AK304" i="120"/>
  <c r="AK275" i="120"/>
  <c r="AK15" i="120"/>
  <c r="AK391" i="120"/>
  <c r="AK6" i="120"/>
  <c r="AK408" i="120"/>
  <c r="AK390" i="120"/>
  <c r="AK10" i="120"/>
  <c r="AY1" i="120"/>
  <c r="AZ1" i="120"/>
  <c r="BA1" i="120"/>
  <c r="AT1" i="120"/>
  <c r="AU1" i="120"/>
  <c r="AV1" i="120"/>
  <c r="AW1" i="120"/>
  <c r="K209" i="60" l="1"/>
  <c r="DZ29" i="120" l="1"/>
  <c r="DZ1" i="120" s="1"/>
  <c r="DN1" i="120" l="1"/>
  <c r="DO1" i="120"/>
  <c r="DQ1" i="120"/>
  <c r="DS1" i="120"/>
  <c r="DT1" i="120"/>
  <c r="DU1" i="120"/>
  <c r="DV1" i="120"/>
  <c r="DW1" i="120"/>
  <c r="DX1" i="120"/>
  <c r="DR1" i="120"/>
  <c r="DM1" i="120"/>
  <c r="DP1" i="120" l="1"/>
  <c r="DL1" i="120" l="1"/>
  <c r="K208" i="60"/>
  <c r="AL29" i="120"/>
  <c r="AM29" i="120" s="1"/>
  <c r="EH1" i="120" l="1"/>
  <c r="K206" i="60" l="1"/>
  <c r="K207" i="60" l="1"/>
  <c r="AB1" i="120" l="1"/>
  <c r="V1" i="120" l="1"/>
  <c r="T1" i="120"/>
  <c r="R1" i="120"/>
  <c r="U1" i="120"/>
  <c r="P1" i="120"/>
  <c r="S1" i="120"/>
  <c r="Q1" i="120"/>
  <c r="K205" i="60"/>
  <c r="CT29" i="120" l="1"/>
  <c r="EC29" i="120"/>
  <c r="K204" i="60" l="1"/>
  <c r="K203" i="60"/>
  <c r="BR164" i="113" l="1"/>
  <c r="DY1" i="120" l="1"/>
  <c r="FG29" i="120" l="1"/>
  <c r="AK29" i="120" l="1"/>
  <c r="EE29" i="120" l="1"/>
  <c r="FJ29" i="120" s="1"/>
  <c r="AA1" i="120" l="1"/>
  <c r="K200" i="60"/>
  <c r="BX8" i="113" l="1"/>
  <c r="BY8" i="113"/>
  <c r="BZ8" i="113"/>
  <c r="BU1" i="120" l="1"/>
  <c r="BW1" i="120"/>
  <c r="BY1" i="120"/>
  <c r="CA1" i="120"/>
  <c r="CC1" i="120"/>
  <c r="CE1" i="120"/>
  <c r="CF1" i="120"/>
  <c r="CI1" i="120"/>
  <c r="CJ1" i="120"/>
  <c r="CK1" i="120"/>
  <c r="CM1" i="120"/>
  <c r="CN1" i="120"/>
  <c r="CO1" i="120"/>
  <c r="CS1" i="120"/>
  <c r="CW1" i="120"/>
  <c r="DE1" i="120"/>
  <c r="DI1" i="120"/>
  <c r="K202" i="60" l="1"/>
  <c r="K201" i="60"/>
  <c r="FF29" i="120"/>
  <c r="FE29" i="120"/>
  <c r="FC29" i="120"/>
  <c r="FD29" i="120"/>
  <c r="CU1" i="120" l="1"/>
  <c r="FE1" i="120"/>
  <c r="FE3" i="120" s="1"/>
  <c r="CB8" i="113"/>
  <c r="CA8" i="113"/>
  <c r="BW8" i="113"/>
  <c r="FG1" i="120" l="1"/>
  <c r="FG3" i="120" s="1"/>
  <c r="BZ5" i="113"/>
  <c r="BW5" i="113"/>
  <c r="BX5" i="113"/>
  <c r="BY5" i="113"/>
  <c r="CA5" i="113"/>
  <c r="CB5" i="113"/>
  <c r="EC1" i="120"/>
  <c r="ED29" i="120"/>
  <c r="FI29" i="120" s="1"/>
  <c r="FI1" i="120" s="1"/>
  <c r="EF29" i="120"/>
  <c r="FK29" i="120" s="1"/>
  <c r="ED1" i="120" l="1"/>
  <c r="V5" i="113"/>
  <c r="W5" i="113"/>
  <c r="Y5" i="113"/>
  <c r="Z5" i="113"/>
  <c r="AA5" i="113"/>
  <c r="AC5" i="113"/>
  <c r="AD5" i="113"/>
  <c r="AE5" i="113"/>
  <c r="AG5" i="113"/>
  <c r="AH5" i="113"/>
  <c r="AI5" i="113"/>
  <c r="AK5" i="113"/>
  <c r="AL5" i="113"/>
  <c r="AM5" i="113"/>
  <c r="AO5" i="113"/>
  <c r="AP5" i="113"/>
  <c r="AQ5" i="113"/>
  <c r="AS5" i="113"/>
  <c r="AU5" i="113"/>
  <c r="AY5" i="113"/>
  <c r="BC5" i="113"/>
  <c r="BE5" i="113"/>
  <c r="BF5" i="113"/>
  <c r="BG5" i="113"/>
  <c r="BI5" i="113"/>
  <c r="BJ5" i="113"/>
  <c r="BK5" i="113"/>
  <c r="BN5" i="113"/>
  <c r="BO5" i="113"/>
  <c r="BR5" i="113"/>
  <c r="BM5" i="113" l="1"/>
  <c r="U8" i="113"/>
  <c r="Q8" i="113" s="1"/>
  <c r="Q5" i="113" s="1"/>
  <c r="BQ5" i="113"/>
  <c r="K199" i="60"/>
  <c r="BP8" i="113" l="1"/>
  <c r="BL8" i="113"/>
  <c r="BH8" i="113"/>
  <c r="BD8" i="113"/>
  <c r="AZ8" i="113"/>
  <c r="AV8" i="113"/>
  <c r="AN8" i="113"/>
  <c r="AJ8" i="113"/>
  <c r="AF8" i="113"/>
  <c r="AB8" i="113"/>
  <c r="X8" i="113"/>
  <c r="AR8" i="113"/>
  <c r="BT8" i="113" l="1"/>
  <c r="CD8" i="113"/>
  <c r="CD5" i="113"/>
  <c r="BS5" i="113"/>
  <c r="AR5" i="113"/>
  <c r="L5" i="113"/>
  <c r="M5" i="113"/>
  <c r="N5" i="113"/>
  <c r="O5" i="113"/>
  <c r="T5" i="113"/>
  <c r="AW5" i="113" l="1"/>
  <c r="BA5" i="113"/>
  <c r="BD5" i="113"/>
  <c r="AJ5" i="113"/>
  <c r="AV5" i="113"/>
  <c r="AN5" i="113"/>
  <c r="AF5" i="113"/>
  <c r="AB5" i="113"/>
  <c r="BH5" i="113"/>
  <c r="AZ5" i="113"/>
  <c r="BL5" i="113"/>
  <c r="BP5" i="113"/>
  <c r="X5" i="113"/>
  <c r="BT5" i="113"/>
  <c r="U5" i="113" l="1"/>
  <c r="U6" i="113" s="1"/>
  <c r="FF1" i="120" l="1"/>
  <c r="FF3" i="120" s="1"/>
  <c r="FC1" i="120" l="1"/>
  <c r="FC3" i="120" s="1"/>
  <c r="FD1" i="120"/>
  <c r="FD3" i="120" s="1"/>
  <c r="FH1" i="120"/>
  <c r="FH3" i="120" s="1"/>
  <c r="AT5" i="113" l="1"/>
  <c r="AS1" i="120" l="1"/>
  <c r="CG29" i="120" l="1"/>
  <c r="CG1" i="120" s="1"/>
  <c r="EI29" i="120" l="1"/>
  <c r="K198" i="60"/>
  <c r="K197" i="60" l="1"/>
  <c r="K196" i="60"/>
  <c r="K195" i="60"/>
  <c r="K194" i="60"/>
  <c r="DJ29" i="120" l="1"/>
  <c r="DF29" i="120"/>
  <c r="DB29" i="120"/>
  <c r="DA1" i="120" s="1"/>
  <c r="CX29" i="120"/>
  <c r="CP29" i="120"/>
  <c r="CL29" i="120"/>
  <c r="CD29" i="120"/>
  <c r="BZ29" i="120"/>
  <c r="BV29" i="120"/>
  <c r="BR29" i="120"/>
  <c r="FJ1" i="120" l="1"/>
  <c r="FK1" i="120"/>
  <c r="EJ29" i="120"/>
  <c r="EK29" i="120" s="1"/>
  <c r="EB29" i="120"/>
  <c r="EI1" i="120"/>
  <c r="CP1" i="120"/>
  <c r="CT1" i="120"/>
  <c r="CX1" i="120"/>
  <c r="DB1" i="120"/>
  <c r="BZ1" i="120"/>
  <c r="DJ1" i="120"/>
  <c r="CD1" i="120"/>
  <c r="CH1" i="120"/>
  <c r="CL1" i="120"/>
  <c r="CL2" i="120" s="1"/>
  <c r="CQ1" i="120" l="1"/>
  <c r="EJ1" i="120"/>
  <c r="DF1" i="120" l="1"/>
  <c r="BV1" i="120" l="1"/>
  <c r="BR1" i="120"/>
  <c r="AX1" i="120" l="1"/>
  <c r="EB1" i="120"/>
  <c r="EA1" i="120"/>
  <c r="DK1" i="120"/>
  <c r="DG1" i="120"/>
  <c r="CY1" i="120"/>
  <c r="DC1" i="120"/>
  <c r="EE1" i="120" l="1"/>
  <c r="EF1" i="120"/>
  <c r="K193" i="60"/>
  <c r="K192" i="60"/>
  <c r="EK1" i="120" l="1"/>
  <c r="BB5" i="113" l="1"/>
  <c r="J11" i="121" l="1"/>
  <c r="R27" i="121" l="1"/>
  <c r="O5" i="121"/>
  <c r="K191" i="60" l="1"/>
  <c r="S5" i="121" l="1"/>
  <c r="T5" i="121"/>
  <c r="U5" i="121"/>
  <c r="V5" i="121"/>
  <c r="W5" i="121"/>
  <c r="X5" i="121"/>
  <c r="Y5" i="121"/>
  <c r="Z5" i="121"/>
  <c r="AA5" i="121"/>
  <c r="AB5" i="121"/>
  <c r="AC5" i="121"/>
  <c r="AD5" i="121"/>
  <c r="AE5" i="121"/>
  <c r="AF5" i="121"/>
  <c r="AJ5" i="121"/>
  <c r="AK5" i="121"/>
  <c r="AL5" i="121"/>
  <c r="AM5" i="121"/>
  <c r="AN5" i="121"/>
  <c r="AO5" i="121"/>
  <c r="P5" i="121"/>
  <c r="J5" i="121"/>
  <c r="H5" i="121"/>
  <c r="K188" i="60"/>
  <c r="K187" i="60"/>
  <c r="R9" i="121"/>
  <c r="R10" i="121"/>
  <c r="R11" i="121"/>
  <c r="R12" i="121"/>
  <c r="R13" i="121"/>
  <c r="R14" i="121"/>
  <c r="R15" i="121"/>
  <c r="R16" i="121"/>
  <c r="R17" i="121"/>
  <c r="R18" i="121"/>
  <c r="R19" i="121"/>
  <c r="R20" i="121"/>
  <c r="R21" i="121"/>
  <c r="R22" i="121"/>
  <c r="R23" i="121"/>
  <c r="R24" i="121"/>
  <c r="R25" i="121"/>
  <c r="R28" i="121"/>
  <c r="R29" i="121"/>
  <c r="AI25" i="121"/>
  <c r="AH25" i="121"/>
  <c r="AG25" i="121"/>
  <c r="AI24" i="121"/>
  <c r="AH24" i="121"/>
  <c r="AG24" i="121"/>
  <c r="BV8" i="113" l="1"/>
  <c r="K190" i="60" l="1"/>
  <c r="K189" i="60"/>
  <c r="CB1" i="120" l="1"/>
  <c r="AX5" i="113"/>
  <c r="K186" i="60" l="1"/>
  <c r="K185" i="60"/>
  <c r="BV5" i="113" l="1"/>
  <c r="K182" i="60" l="1"/>
  <c r="K181" i="60"/>
  <c r="K184" i="60" l="1"/>
  <c r="K183" i="60"/>
  <c r="EG1" i="120" l="1"/>
  <c r="R8" i="121" l="1"/>
  <c r="R5" i="121" s="1"/>
  <c r="AH19" i="121" l="1"/>
  <c r="AG19" i="121"/>
  <c r="AH15" i="121"/>
  <c r="AG15" i="121"/>
  <c r="AH18" i="121"/>
  <c r="AG18" i="121"/>
  <c r="AH17" i="121"/>
  <c r="AG17" i="121"/>
  <c r="AI17" i="121"/>
  <c r="AH11" i="121"/>
  <c r="AG11" i="121"/>
  <c r="AG5" i="121" s="1"/>
  <c r="AH16" i="121"/>
  <c r="AG16" i="121"/>
  <c r="AH12" i="121"/>
  <c r="AG12" i="121"/>
  <c r="AH10" i="121"/>
  <c r="AG10" i="121"/>
  <c r="AH13" i="121"/>
  <c r="AG13" i="121"/>
  <c r="AH14" i="121"/>
  <c r="AG14" i="121"/>
  <c r="AH9" i="121"/>
  <c r="AG9" i="121"/>
  <c r="AH8" i="121"/>
  <c r="AG8" i="121"/>
  <c r="AH5" i="121" l="1"/>
  <c r="AI16" i="121"/>
  <c r="AI13" i="121"/>
  <c r="AI18" i="121"/>
  <c r="AI19" i="121"/>
  <c r="AI9" i="121"/>
  <c r="AI15" i="121"/>
  <c r="AI14" i="121"/>
  <c r="AI12" i="121"/>
  <c r="AI10" i="121"/>
  <c r="AI8" i="121"/>
  <c r="AI11" i="121"/>
  <c r="AI5" i="121" s="1"/>
  <c r="BT1" i="120" l="1"/>
  <c r="CR1" i="120" l="1"/>
  <c r="DH1" i="120" l="1"/>
  <c r="DD1" i="120"/>
  <c r="CZ1" i="120"/>
  <c r="CV1" i="120"/>
  <c r="BX1" i="120"/>
  <c r="BP1" i="120"/>
  <c r="BQ1" i="120" l="1"/>
  <c r="K6" i="60" l="1"/>
  <c r="AS1" i="93" l="1"/>
  <c r="AS2" i="93" s="1"/>
  <c r="AR1" i="93" l="1"/>
  <c r="AR2" i="93" s="1"/>
  <c r="AM8" i="93" l="1"/>
  <c r="AM9" i="93"/>
  <c r="AM10" i="93"/>
  <c r="AM11" i="93"/>
  <c r="AM12" i="93"/>
  <c r="AM13" i="93"/>
  <c r="AM14" i="93"/>
  <c r="AM15" i="93"/>
  <c r="AM16" i="93"/>
  <c r="AM17" i="93"/>
  <c r="AM18" i="93"/>
  <c r="AM19" i="93"/>
  <c r="AM20" i="93"/>
  <c r="AM21" i="93"/>
  <c r="AM22" i="93"/>
  <c r="AM23" i="93"/>
  <c r="AM24" i="93"/>
  <c r="AM25" i="93"/>
  <c r="AM26" i="93"/>
  <c r="AM27" i="93"/>
  <c r="AM28" i="93"/>
  <c r="AM29" i="93"/>
  <c r="AM30" i="93"/>
  <c r="AM31" i="93"/>
  <c r="AM32" i="93"/>
  <c r="AM33" i="93"/>
  <c r="AM34" i="93"/>
  <c r="AM35" i="93"/>
  <c r="AM36" i="93"/>
  <c r="AM37" i="93"/>
  <c r="AM38" i="93"/>
  <c r="AQ1" i="93"/>
  <c r="AQ2" i="93" s="1"/>
  <c r="BU8" i="113" l="1"/>
  <c r="BU5" i="113" l="1"/>
  <c r="AN34" i="93" l="1"/>
  <c r="AN1" i="93" s="1"/>
  <c r="AM7" i="93"/>
  <c r="AO1" i="93" l="1"/>
  <c r="AO2" i="93" s="1"/>
  <c r="X4" i="93" l="1"/>
  <c r="Z8" i="93" l="1"/>
  <c r="BB8" i="93" s="1"/>
  <c r="Z9" i="93"/>
  <c r="BB9" i="93" s="1"/>
  <c r="Z10" i="93"/>
  <c r="BB10" i="93" s="1"/>
  <c r="Z11" i="93"/>
  <c r="BB11" i="93" s="1"/>
  <c r="Z12" i="93"/>
  <c r="BB12" i="93" s="1"/>
  <c r="Z13" i="93"/>
  <c r="BB13" i="93" s="1"/>
  <c r="Z14" i="93"/>
  <c r="BB14" i="93" s="1"/>
  <c r="Z15" i="93"/>
  <c r="BB15" i="93" s="1"/>
  <c r="Z16" i="93"/>
  <c r="BB16" i="93" s="1"/>
  <c r="Z17" i="93"/>
  <c r="BB17" i="93" s="1"/>
  <c r="Z18" i="93"/>
  <c r="BB18" i="93" s="1"/>
  <c r="Z19" i="93"/>
  <c r="BB19" i="93" s="1"/>
  <c r="Z20" i="93"/>
  <c r="BB20" i="93" s="1"/>
  <c r="Z21" i="93"/>
  <c r="BB21" i="93" s="1"/>
  <c r="Z22" i="93"/>
  <c r="BB22" i="93" s="1"/>
  <c r="Z23" i="93"/>
  <c r="BB23" i="93" s="1"/>
  <c r="Z24" i="93"/>
  <c r="BB24" i="93" s="1"/>
  <c r="Z25" i="93"/>
  <c r="BB25" i="93" s="1"/>
  <c r="Z26" i="93"/>
  <c r="BB26" i="93" s="1"/>
  <c r="Z27" i="93"/>
  <c r="BB27" i="93" s="1"/>
  <c r="Z28" i="93"/>
  <c r="BB28" i="93" s="1"/>
  <c r="Z29" i="93"/>
  <c r="BB29" i="93" s="1"/>
  <c r="Z30" i="93"/>
  <c r="BB30" i="93" s="1"/>
  <c r="Z31" i="93"/>
  <c r="BB31" i="93" s="1"/>
  <c r="Z32" i="93"/>
  <c r="BB32" i="93" s="1"/>
  <c r="Z33" i="93"/>
  <c r="BB33" i="93" s="1"/>
  <c r="Z34" i="93"/>
  <c r="BB34" i="93" s="1"/>
  <c r="Z35" i="93"/>
  <c r="BB35" i="93" s="1"/>
  <c r="Z36" i="93"/>
  <c r="BB36" i="93" s="1"/>
  <c r="Z37" i="93"/>
  <c r="BB37" i="93" s="1"/>
  <c r="Z38" i="93"/>
  <c r="BB38" i="93" s="1"/>
  <c r="Z7" i="93"/>
  <c r="AL5" i="93"/>
  <c r="DR274" i="111" l="1"/>
  <c r="DK274" i="111"/>
  <c r="DJ274" i="111"/>
  <c r="DI274" i="111"/>
  <c r="DH274" i="111"/>
  <c r="DF274" i="111"/>
  <c r="DB274" i="111"/>
  <c r="DA274" i="111"/>
  <c r="CZ274" i="111"/>
  <c r="CY274" i="111"/>
  <c r="CL274" i="111"/>
  <c r="CE274" i="111"/>
  <c r="CC274" i="111"/>
  <c r="CB274" i="111"/>
  <c r="AY274" i="111"/>
  <c r="AX274" i="111"/>
  <c r="AK274" i="111"/>
  <c r="L274" i="111"/>
  <c r="AE274" i="111" s="1"/>
  <c r="K274" i="111"/>
  <c r="J274" i="111"/>
  <c r="DR273" i="111"/>
  <c r="DK273" i="111"/>
  <c r="DJ273" i="111"/>
  <c r="DI273" i="111"/>
  <c r="DH273" i="111"/>
  <c r="DF273" i="111"/>
  <c r="DB273" i="111"/>
  <c r="DA273" i="111"/>
  <c r="CZ273" i="111"/>
  <c r="CY273" i="111"/>
  <c r="CL273" i="111"/>
  <c r="BY273" i="111"/>
  <c r="BR273" i="111"/>
  <c r="AY273" i="111"/>
  <c r="AX273" i="111"/>
  <c r="AK273" i="111"/>
  <c r="L273" i="111"/>
  <c r="AE273" i="111" s="1"/>
  <c r="K273" i="111"/>
  <c r="J273" i="111"/>
  <c r="DR272" i="111"/>
  <c r="DK272" i="111"/>
  <c r="DJ272" i="111"/>
  <c r="DI272" i="111"/>
  <c r="DH272" i="111"/>
  <c r="DF272" i="111"/>
  <c r="DB272" i="111"/>
  <c r="DA272" i="111"/>
  <c r="CZ272" i="111"/>
  <c r="CY272" i="111"/>
  <c r="CL272" i="111"/>
  <c r="BY272" i="111"/>
  <c r="AY272" i="111"/>
  <c r="AX272" i="111"/>
  <c r="AK272" i="111"/>
  <c r="L272" i="111"/>
  <c r="AE272" i="111" s="1"/>
  <c r="K272" i="111"/>
  <c r="J272" i="111"/>
  <c r="DK271" i="111"/>
  <c r="DJ271" i="111"/>
  <c r="DI271" i="111"/>
  <c r="DH271" i="111"/>
  <c r="DF271" i="111"/>
  <c r="DB271" i="111"/>
  <c r="DA271" i="111"/>
  <c r="CZ271" i="111"/>
  <c r="CY271" i="111"/>
  <c r="CL271" i="111"/>
  <c r="BY271" i="111"/>
  <c r="AY271" i="111"/>
  <c r="AX271" i="111"/>
  <c r="AK271" i="111"/>
  <c r="L271" i="111"/>
  <c r="AE271" i="111" s="1"/>
  <c r="K271" i="111"/>
  <c r="J271" i="111"/>
  <c r="DR270" i="111"/>
  <c r="DK270" i="111"/>
  <c r="DJ270" i="111"/>
  <c r="DI270" i="111"/>
  <c r="DH270" i="111"/>
  <c r="DF270" i="111"/>
  <c r="DB270" i="111"/>
  <c r="DA270" i="111"/>
  <c r="CZ270" i="111"/>
  <c r="CY270" i="111"/>
  <c r="CL270" i="111"/>
  <c r="BY270" i="111"/>
  <c r="AY270" i="111"/>
  <c r="AX270" i="111"/>
  <c r="AK270" i="111"/>
  <c r="L270" i="111"/>
  <c r="AE270" i="111" s="1"/>
  <c r="K270" i="111"/>
  <c r="J270" i="111"/>
  <c r="DR269" i="111"/>
  <c r="DK269" i="111"/>
  <c r="DJ269" i="111"/>
  <c r="DI269" i="111"/>
  <c r="DH269" i="111"/>
  <c r="DF269" i="111"/>
  <c r="DB269" i="111"/>
  <c r="DA269" i="111"/>
  <c r="CZ269" i="111"/>
  <c r="CY269" i="111"/>
  <c r="CL269" i="111"/>
  <c r="BY269" i="111"/>
  <c r="AY269" i="111"/>
  <c r="AX269" i="111"/>
  <c r="AK269" i="111"/>
  <c r="L269" i="111"/>
  <c r="AE269" i="111" s="1"/>
  <c r="K269" i="111"/>
  <c r="J269" i="111"/>
  <c r="DK268" i="111"/>
  <c r="DJ268" i="111"/>
  <c r="DI268" i="111"/>
  <c r="DH268" i="111"/>
  <c r="DF268" i="111"/>
  <c r="DB268" i="111"/>
  <c r="DA268" i="111"/>
  <c r="CZ268" i="111"/>
  <c r="CY268" i="111"/>
  <c r="CL268" i="111"/>
  <c r="BY268" i="111"/>
  <c r="AY268" i="111"/>
  <c r="AX268" i="111"/>
  <c r="AK268" i="111"/>
  <c r="L268" i="111"/>
  <c r="AE268" i="111" s="1"/>
  <c r="K268" i="111"/>
  <c r="J268" i="111"/>
  <c r="DK267" i="111"/>
  <c r="DJ267" i="111"/>
  <c r="DI267" i="111"/>
  <c r="DH267" i="111"/>
  <c r="DF267" i="111"/>
  <c r="DB267" i="111"/>
  <c r="DA267" i="111"/>
  <c r="CZ267" i="111"/>
  <c r="CY267" i="111"/>
  <c r="CL267" i="111"/>
  <c r="BY267" i="111"/>
  <c r="DS267" i="111" s="1"/>
  <c r="AY267" i="111"/>
  <c r="AX267" i="111"/>
  <c r="AK267" i="111"/>
  <c r="L267" i="111"/>
  <c r="AE267" i="111" s="1"/>
  <c r="K267" i="111"/>
  <c r="J267" i="111"/>
  <c r="DK266" i="111"/>
  <c r="DJ266" i="111"/>
  <c r="DI266" i="111"/>
  <c r="DH266" i="111"/>
  <c r="DF266" i="111"/>
  <c r="DB266" i="111"/>
  <c r="DA266" i="111"/>
  <c r="CZ266" i="111"/>
  <c r="CY266" i="111"/>
  <c r="CL266" i="111"/>
  <c r="BY266" i="111"/>
  <c r="DS266" i="111" s="1"/>
  <c r="AY266" i="111"/>
  <c r="AX266" i="111"/>
  <c r="AK266" i="111"/>
  <c r="L266" i="111"/>
  <c r="AE266" i="111" s="1"/>
  <c r="K266" i="111"/>
  <c r="J266" i="111"/>
  <c r="CZ265" i="111"/>
  <c r="CL265" i="111"/>
  <c r="BY265" i="111"/>
  <c r="AY265" i="111"/>
  <c r="L265" i="111"/>
  <c r="K265" i="111"/>
  <c r="J265" i="111"/>
  <c r="DK264" i="111"/>
  <c r="DJ264" i="111"/>
  <c r="DI264" i="111"/>
  <c r="DH264" i="111"/>
  <c r="DF264" i="111"/>
  <c r="DB264" i="111"/>
  <c r="DA264" i="111"/>
  <c r="CZ264" i="111"/>
  <c r="CY264" i="111"/>
  <c r="CL264" i="111"/>
  <c r="CK264" i="111"/>
  <c r="CJ264" i="111"/>
  <c r="CI264" i="111"/>
  <c r="CH264" i="111"/>
  <c r="CG264" i="111"/>
  <c r="CF264" i="111"/>
  <c r="CE264" i="111"/>
  <c r="CD264" i="111"/>
  <c r="CC264" i="111"/>
  <c r="AY264" i="111"/>
  <c r="AX264" i="111"/>
  <c r="AK264" i="111"/>
  <c r="J264" i="111"/>
  <c r="DR263" i="111"/>
  <c r="DK263" i="111"/>
  <c r="DJ263" i="111"/>
  <c r="DI263" i="111"/>
  <c r="DH263" i="111"/>
  <c r="DF263" i="111"/>
  <c r="DB263" i="111"/>
  <c r="DA263" i="111"/>
  <c r="CZ263" i="111"/>
  <c r="CY263" i="111"/>
  <c r="CX263" i="111"/>
  <c r="CX1" i="111" s="1"/>
  <c r="CW263" i="111"/>
  <c r="CW1" i="111" s="1"/>
  <c r="CV263" i="111"/>
  <c r="CV1" i="111" s="1"/>
  <c r="CU263" i="111"/>
  <c r="CU1" i="111" s="1"/>
  <c r="CT263" i="111"/>
  <c r="CT1" i="111" s="1"/>
  <c r="CS263" i="111"/>
  <c r="CS1" i="111" s="1"/>
  <c r="CR263" i="111"/>
  <c r="CR1" i="111" s="1"/>
  <c r="CQ263" i="111"/>
  <c r="CQ1" i="111" s="1"/>
  <c r="CP263" i="111"/>
  <c r="CP1" i="111" s="1"/>
  <c r="CO263" i="111"/>
  <c r="CN263" i="111"/>
  <c r="CM263" i="111"/>
  <c r="BY263" i="111"/>
  <c r="AY263" i="111"/>
  <c r="AX263" i="111"/>
  <c r="AK263" i="111"/>
  <c r="L263" i="111"/>
  <c r="K263" i="111"/>
  <c r="J263" i="111"/>
  <c r="DB262" i="111"/>
  <c r="DA262" i="111"/>
  <c r="CZ262" i="111"/>
  <c r="CY262" i="111"/>
  <c r="BY262" i="111"/>
  <c r="AY262" i="111"/>
  <c r="AX262" i="111"/>
  <c r="AK262" i="111"/>
  <c r="L262" i="111"/>
  <c r="AE262" i="111" s="1"/>
  <c r="K262" i="111"/>
  <c r="J262" i="111"/>
  <c r="DB261" i="111"/>
  <c r="DA261" i="111"/>
  <c r="CZ261" i="111"/>
  <c r="CY261" i="111"/>
  <c r="BY261" i="111"/>
  <c r="AY261" i="111"/>
  <c r="AX261" i="111"/>
  <c r="AK261" i="111"/>
  <c r="L261" i="111"/>
  <c r="AE261" i="111" s="1"/>
  <c r="K261" i="111"/>
  <c r="J261" i="111"/>
  <c r="DB260" i="111"/>
  <c r="DA260" i="111"/>
  <c r="CZ260" i="111"/>
  <c r="CY260" i="111"/>
  <c r="CC260" i="111"/>
  <c r="BY260" i="111" s="1"/>
  <c r="AY260" i="111"/>
  <c r="AX260" i="111"/>
  <c r="AK260" i="111"/>
  <c r="L260" i="111"/>
  <c r="AE260" i="111" s="1"/>
  <c r="K260" i="111"/>
  <c r="J260" i="111"/>
  <c r="DB259" i="111"/>
  <c r="DA259" i="111"/>
  <c r="CZ259" i="111"/>
  <c r="CY259" i="111"/>
  <c r="BZ259" i="111"/>
  <c r="BY259" i="111" s="1"/>
  <c r="AY259" i="111"/>
  <c r="AX259" i="111"/>
  <c r="AK259" i="111"/>
  <c r="L259" i="111"/>
  <c r="K259" i="111"/>
  <c r="J259" i="111"/>
  <c r="DB258" i="111"/>
  <c r="DA258" i="111"/>
  <c r="CZ258" i="111"/>
  <c r="CY258" i="111"/>
  <c r="BY258" i="111"/>
  <c r="AY258" i="111"/>
  <c r="AX258" i="111"/>
  <c r="AK258" i="111"/>
  <c r="L258" i="111"/>
  <c r="AE258" i="111" s="1"/>
  <c r="K258" i="111"/>
  <c r="J258" i="111"/>
  <c r="DK257" i="111"/>
  <c r="DJ257" i="111"/>
  <c r="DI257" i="111"/>
  <c r="DH257" i="111"/>
  <c r="DF257" i="111"/>
  <c r="DB257" i="111"/>
  <c r="DA257" i="111"/>
  <c r="CZ257" i="111"/>
  <c r="CY257" i="111"/>
  <c r="CL257" i="111"/>
  <c r="CA257" i="111"/>
  <c r="BY257" i="111" s="1"/>
  <c r="DS257" i="111" s="1"/>
  <c r="AY257" i="111"/>
  <c r="AX257" i="111"/>
  <c r="AK257" i="111"/>
  <c r="L257" i="111"/>
  <c r="AE257" i="111" s="1"/>
  <c r="K257" i="111"/>
  <c r="J257" i="111"/>
  <c r="DK256" i="111"/>
  <c r="DJ256" i="111"/>
  <c r="DI256" i="111"/>
  <c r="DH256" i="111"/>
  <c r="DF256" i="111"/>
  <c r="DB256" i="111"/>
  <c r="DA256" i="111"/>
  <c r="CZ256" i="111"/>
  <c r="CY256" i="111"/>
  <c r="CL256" i="111"/>
  <c r="BY256" i="111"/>
  <c r="DS256" i="111" s="1"/>
  <c r="AY256" i="111"/>
  <c r="AX256" i="111"/>
  <c r="AK256" i="111"/>
  <c r="L256" i="111"/>
  <c r="AE256" i="111" s="1"/>
  <c r="K256" i="111"/>
  <c r="J256" i="111"/>
  <c r="DK255" i="111"/>
  <c r="DF255" i="111"/>
  <c r="DB255" i="111"/>
  <c r="DA255" i="111"/>
  <c r="CZ255" i="111"/>
  <c r="CY255" i="111"/>
  <c r="BY255" i="111"/>
  <c r="BT255" i="111"/>
  <c r="AY255" i="111"/>
  <c r="AV255" i="111"/>
  <c r="AX255" i="111" s="1"/>
  <c r="AK255" i="111"/>
  <c r="L255" i="111"/>
  <c r="AE255" i="111" s="1"/>
  <c r="K255" i="111"/>
  <c r="J255" i="111"/>
  <c r="DB254" i="111"/>
  <c r="DA254" i="111"/>
  <c r="CZ254" i="111"/>
  <c r="CY254" i="111"/>
  <c r="BY254" i="111"/>
  <c r="AY254" i="111"/>
  <c r="AX254" i="111"/>
  <c r="L254" i="111"/>
  <c r="AE254" i="111" s="1"/>
  <c r="K254" i="111"/>
  <c r="J254" i="111"/>
  <c r="DR253" i="111"/>
  <c r="DK253" i="111"/>
  <c r="DJ253" i="111"/>
  <c r="DI253" i="111"/>
  <c r="DH253" i="111"/>
  <c r="DF253" i="111"/>
  <c r="DB253" i="111"/>
  <c r="DA253" i="111"/>
  <c r="CZ253" i="111"/>
  <c r="CY253" i="111"/>
  <c r="CO253" i="111"/>
  <c r="CN253" i="111"/>
  <c r="CM253" i="111"/>
  <c r="BY253" i="111"/>
  <c r="AY253" i="111"/>
  <c r="AX253" i="111"/>
  <c r="AK253" i="111"/>
  <c r="L253" i="111"/>
  <c r="AE253" i="111" s="1"/>
  <c r="K253" i="111"/>
  <c r="J253" i="111"/>
  <c r="DR252" i="111"/>
  <c r="DK252" i="111"/>
  <c r="DJ252" i="111"/>
  <c r="DI252" i="111"/>
  <c r="DH252" i="111"/>
  <c r="DF252" i="111"/>
  <c r="DB252" i="111"/>
  <c r="DA252" i="111"/>
  <c r="CZ252" i="111"/>
  <c r="CL252" i="111"/>
  <c r="CK252" i="111"/>
  <c r="CJ252" i="111"/>
  <c r="CI252" i="111"/>
  <c r="CH252" i="111"/>
  <c r="CG252" i="111"/>
  <c r="CF252" i="111"/>
  <c r="BV252" i="111"/>
  <c r="CY252" i="111" s="1"/>
  <c r="AY252" i="111"/>
  <c r="AX252" i="111"/>
  <c r="AK252" i="111"/>
  <c r="L252" i="111"/>
  <c r="K252" i="111"/>
  <c r="J252" i="111"/>
  <c r="DR251" i="111"/>
  <c r="DK251" i="111"/>
  <c r="DJ251" i="111"/>
  <c r="DI251" i="111"/>
  <c r="DH251" i="111"/>
  <c r="DF251" i="111"/>
  <c r="DB251" i="111"/>
  <c r="DA251" i="111"/>
  <c r="CZ251" i="111"/>
  <c r="CY251" i="111"/>
  <c r="CL251" i="111"/>
  <c r="CD251" i="111"/>
  <c r="BY251" i="111" s="1"/>
  <c r="AY251" i="111"/>
  <c r="AX251" i="111"/>
  <c r="AK251" i="111"/>
  <c r="L251" i="111"/>
  <c r="AE251" i="111" s="1"/>
  <c r="K251" i="111"/>
  <c r="J251" i="111"/>
  <c r="DR250" i="111"/>
  <c r="DK250" i="111"/>
  <c r="DJ250" i="111"/>
  <c r="DI250" i="111"/>
  <c r="DH250" i="111"/>
  <c r="DF250" i="111"/>
  <c r="DB250" i="111"/>
  <c r="DA250" i="111"/>
  <c r="CZ250" i="111"/>
  <c r="CL250" i="111"/>
  <c r="CF250" i="111"/>
  <c r="CE250" i="111"/>
  <c r="CD250" i="111"/>
  <c r="CC250" i="111"/>
  <c r="CB250" i="111"/>
  <c r="BV250" i="111"/>
  <c r="CY250" i="111" s="1"/>
  <c r="BT250" i="111"/>
  <c r="BR250" i="111"/>
  <c r="AY250" i="111"/>
  <c r="AX250" i="111"/>
  <c r="AK250" i="111"/>
  <c r="L250" i="111"/>
  <c r="AE250" i="111" s="1"/>
  <c r="K250" i="111"/>
  <c r="J250" i="111"/>
  <c r="DR249" i="111"/>
  <c r="DK249" i="111"/>
  <c r="DJ249" i="111"/>
  <c r="DI249" i="111"/>
  <c r="DH249" i="111"/>
  <c r="DF249" i="111"/>
  <c r="DB249" i="111"/>
  <c r="DA249" i="111"/>
  <c r="CZ249" i="111"/>
  <c r="CL249" i="111"/>
  <c r="CB249" i="111"/>
  <c r="BY249" i="111" s="1"/>
  <c r="BV249" i="111"/>
  <c r="CY249" i="111" s="1"/>
  <c r="AY249" i="111"/>
  <c r="AX249" i="111"/>
  <c r="AK249" i="111"/>
  <c r="L249" i="111"/>
  <c r="AE249" i="111" s="1"/>
  <c r="K249" i="111"/>
  <c r="J249" i="111"/>
  <c r="DR248" i="111"/>
  <c r="DK248" i="111"/>
  <c r="DJ248" i="111"/>
  <c r="DI248" i="111"/>
  <c r="DH248" i="111"/>
  <c r="DF248" i="111"/>
  <c r="DB248" i="111"/>
  <c r="DA248" i="111"/>
  <c r="CZ248" i="111"/>
  <c r="CL248" i="111"/>
  <c r="CC248" i="111"/>
  <c r="CB248" i="111"/>
  <c r="BZ248" i="111"/>
  <c r="BV248" i="111"/>
  <c r="CY248" i="111" s="1"/>
  <c r="BT248" i="111"/>
  <c r="BR248" i="111"/>
  <c r="AY248" i="111"/>
  <c r="AX248" i="111"/>
  <c r="AK248" i="111"/>
  <c r="L248" i="111"/>
  <c r="AE248" i="111" s="1"/>
  <c r="K248" i="111"/>
  <c r="J248" i="111"/>
  <c r="DR247" i="111"/>
  <c r="DK247" i="111"/>
  <c r="DJ247" i="111"/>
  <c r="DI247" i="111"/>
  <c r="DH247" i="111"/>
  <c r="DF247" i="111"/>
  <c r="DB247" i="111"/>
  <c r="DA247" i="111"/>
  <c r="CZ247" i="111"/>
  <c r="CY247" i="111"/>
  <c r="CL247" i="111"/>
  <c r="BY247" i="111"/>
  <c r="AY247" i="111"/>
  <c r="AX247" i="111"/>
  <c r="AK247" i="111"/>
  <c r="L247" i="111"/>
  <c r="AE247" i="111" s="1"/>
  <c r="K247" i="111"/>
  <c r="J247" i="111"/>
  <c r="DR246" i="111"/>
  <c r="DK246" i="111"/>
  <c r="DJ246" i="111"/>
  <c r="DI246" i="111"/>
  <c r="DH246" i="111"/>
  <c r="DF246" i="111"/>
  <c r="DB246" i="111"/>
  <c r="DA246" i="111"/>
  <c r="CZ246" i="111"/>
  <c r="CY246" i="111"/>
  <c r="CL246" i="111"/>
  <c r="BY246" i="111"/>
  <c r="AY246" i="111"/>
  <c r="AX246" i="111"/>
  <c r="AK246" i="111"/>
  <c r="L246" i="111"/>
  <c r="AE246" i="111" s="1"/>
  <c r="K246" i="111"/>
  <c r="J246" i="111"/>
  <c r="DR245" i="111"/>
  <c r="DK245" i="111"/>
  <c r="DJ245" i="111"/>
  <c r="DI245" i="111"/>
  <c r="DH245" i="111"/>
  <c r="DF245" i="111"/>
  <c r="DB245" i="111"/>
  <c r="DA245" i="111"/>
  <c r="CZ245" i="111"/>
  <c r="CL245" i="111"/>
  <c r="BY245" i="111"/>
  <c r="BV245" i="111"/>
  <c r="CY245" i="111" s="1"/>
  <c r="AY245" i="111"/>
  <c r="AX245" i="111"/>
  <c r="AK245" i="111"/>
  <c r="L245" i="111"/>
  <c r="AE245" i="111" s="1"/>
  <c r="K245" i="111"/>
  <c r="J245" i="111"/>
  <c r="DR244" i="111"/>
  <c r="DK244" i="111"/>
  <c r="DJ244" i="111"/>
  <c r="DI244" i="111"/>
  <c r="DH244" i="111"/>
  <c r="DF244" i="111"/>
  <c r="DB244" i="111"/>
  <c r="DA244" i="111"/>
  <c r="CZ244" i="111"/>
  <c r="CY244" i="111"/>
  <c r="CL244" i="111"/>
  <c r="BY244" i="111"/>
  <c r="BT244" i="111"/>
  <c r="BR244" i="111"/>
  <c r="AY244" i="111"/>
  <c r="AX244" i="111"/>
  <c r="AK244" i="111"/>
  <c r="L244" i="111"/>
  <c r="K244" i="111"/>
  <c r="J244" i="111"/>
  <c r="DR243" i="111"/>
  <c r="DK243" i="111"/>
  <c r="DJ243" i="111"/>
  <c r="DI243" i="111"/>
  <c r="DH243" i="111"/>
  <c r="DF243" i="111"/>
  <c r="DB243" i="111"/>
  <c r="DA243" i="111"/>
  <c r="CZ243" i="111"/>
  <c r="CY243" i="111"/>
  <c r="CL243" i="111"/>
  <c r="CB243" i="111"/>
  <c r="BY243" i="111" s="1"/>
  <c r="AY243" i="111"/>
  <c r="AX243" i="111"/>
  <c r="AK243" i="111"/>
  <c r="L243" i="111"/>
  <c r="AE243" i="111" s="1"/>
  <c r="K243" i="111"/>
  <c r="J243" i="111"/>
  <c r="DR242" i="111"/>
  <c r="DK242" i="111"/>
  <c r="DJ242" i="111"/>
  <c r="DI242" i="111"/>
  <c r="DH242" i="111"/>
  <c r="DF242" i="111"/>
  <c r="DB242" i="111"/>
  <c r="DA242" i="111"/>
  <c r="CZ242" i="111"/>
  <c r="CL242" i="111"/>
  <c r="BY242" i="111"/>
  <c r="BV242" i="111"/>
  <c r="CY242" i="111" s="1"/>
  <c r="AY242" i="111"/>
  <c r="AX242" i="111"/>
  <c r="AK242" i="111"/>
  <c r="L242" i="111"/>
  <c r="AE242" i="111" s="1"/>
  <c r="K242" i="111"/>
  <c r="J242" i="111"/>
  <c r="DR241" i="111"/>
  <c r="DK241" i="111"/>
  <c r="DJ241" i="111"/>
  <c r="DI241" i="111"/>
  <c r="DH241" i="111"/>
  <c r="DF241" i="111"/>
  <c r="DB241" i="111"/>
  <c r="DA241" i="111"/>
  <c r="CZ241" i="111"/>
  <c r="CL241" i="111"/>
  <c r="CK241" i="111"/>
  <c r="CJ241" i="111"/>
  <c r="CI241" i="111"/>
  <c r="CH241" i="111"/>
  <c r="CG241" i="111"/>
  <c r="CF241" i="111"/>
  <c r="CE241" i="111"/>
  <c r="CD241" i="111"/>
  <c r="BV241" i="111"/>
  <c r="CY241" i="111" s="1"/>
  <c r="AY241" i="111"/>
  <c r="AX241" i="111"/>
  <c r="AK241" i="111"/>
  <c r="L241" i="111"/>
  <c r="AE241" i="111" s="1"/>
  <c r="K241" i="111"/>
  <c r="J241" i="111"/>
  <c r="DR240" i="111"/>
  <c r="DK240" i="111"/>
  <c r="DJ240" i="111"/>
  <c r="DI240" i="111"/>
  <c r="DH240" i="111"/>
  <c r="DF240" i="111"/>
  <c r="DB240" i="111"/>
  <c r="DA240" i="111"/>
  <c r="CZ240" i="111"/>
  <c r="CL240" i="111"/>
  <c r="BY240" i="111"/>
  <c r="BV240" i="111"/>
  <c r="CY240" i="111" s="1"/>
  <c r="AY240" i="111"/>
  <c r="AX240" i="111"/>
  <c r="AK240" i="111"/>
  <c r="L240" i="111"/>
  <c r="AE240" i="111" s="1"/>
  <c r="K240" i="111"/>
  <c r="J240" i="111"/>
  <c r="DR239" i="111"/>
  <c r="DK239" i="111"/>
  <c r="DJ239" i="111"/>
  <c r="DI239" i="111"/>
  <c r="DH239" i="111"/>
  <c r="DF239" i="111"/>
  <c r="DB239" i="111"/>
  <c r="DA239" i="111"/>
  <c r="CZ239" i="111"/>
  <c r="CY239" i="111"/>
  <c r="CL239" i="111"/>
  <c r="BY239" i="111"/>
  <c r="BT239" i="111"/>
  <c r="AY239" i="111"/>
  <c r="AX239" i="111"/>
  <c r="AK239" i="111"/>
  <c r="L239" i="111"/>
  <c r="AE239" i="111" s="1"/>
  <c r="K239" i="111"/>
  <c r="J239" i="111"/>
  <c r="DR238" i="111"/>
  <c r="DK238" i="111"/>
  <c r="DJ238" i="111"/>
  <c r="DI238" i="111"/>
  <c r="DH238" i="111"/>
  <c r="DF238" i="111"/>
  <c r="DB238" i="111"/>
  <c r="DA238" i="111"/>
  <c r="CZ238" i="111"/>
  <c r="CL238" i="111"/>
  <c r="BZ238" i="111"/>
  <c r="BY238" i="111" s="1"/>
  <c r="BV238" i="111"/>
  <c r="CY238" i="111" s="1"/>
  <c r="AY238" i="111"/>
  <c r="AX238" i="111"/>
  <c r="AK238" i="111"/>
  <c r="L238" i="111"/>
  <c r="AE238" i="111" s="1"/>
  <c r="K238" i="111"/>
  <c r="J238" i="111"/>
  <c r="DR237" i="111"/>
  <c r="DK237" i="111"/>
  <c r="DJ237" i="111"/>
  <c r="DI237" i="111"/>
  <c r="DH237" i="111"/>
  <c r="DF237" i="111"/>
  <c r="DB237" i="111"/>
  <c r="DA237" i="111"/>
  <c r="CZ237" i="111"/>
  <c r="CY237" i="111"/>
  <c r="CL237" i="111"/>
  <c r="BY237" i="111"/>
  <c r="BT237" i="111"/>
  <c r="BR237" i="111"/>
  <c r="AY237" i="111"/>
  <c r="AX237" i="111"/>
  <c r="AK237" i="111"/>
  <c r="L237" i="111"/>
  <c r="AE237" i="111" s="1"/>
  <c r="K237" i="111"/>
  <c r="J237" i="111"/>
  <c r="DR236" i="111"/>
  <c r="DK236" i="111"/>
  <c r="DJ236" i="111"/>
  <c r="DI236" i="111"/>
  <c r="DH236" i="111"/>
  <c r="DF236" i="111"/>
  <c r="DB236" i="111"/>
  <c r="DA236" i="111"/>
  <c r="CZ236" i="111"/>
  <c r="CY236" i="111"/>
  <c r="CL236" i="111"/>
  <c r="CK236" i="111"/>
  <c r="CJ236" i="111"/>
  <c r="CI236" i="111"/>
  <c r="CG236" i="111"/>
  <c r="CC236" i="111"/>
  <c r="AY236" i="111"/>
  <c r="AX236" i="111"/>
  <c r="AK236" i="111"/>
  <c r="L236" i="111"/>
  <c r="AE236" i="111" s="1"/>
  <c r="K236" i="111"/>
  <c r="J236" i="111"/>
  <c r="DR235" i="111"/>
  <c r="DK235" i="111"/>
  <c r="DJ235" i="111"/>
  <c r="DI235" i="111"/>
  <c r="DH235" i="111"/>
  <c r="DF235" i="111"/>
  <c r="DB235" i="111"/>
  <c r="DA235" i="111"/>
  <c r="CZ235" i="111"/>
  <c r="CL235" i="111"/>
  <c r="BY235" i="111"/>
  <c r="BV235" i="111"/>
  <c r="CY235" i="111" s="1"/>
  <c r="BT235" i="111"/>
  <c r="AY235" i="111"/>
  <c r="AX235" i="111"/>
  <c r="AK235" i="111"/>
  <c r="L235" i="111"/>
  <c r="AE235" i="111" s="1"/>
  <c r="K235" i="111"/>
  <c r="J235" i="111"/>
  <c r="DR234" i="111"/>
  <c r="DK234" i="111"/>
  <c r="DJ234" i="111"/>
  <c r="DI234" i="111"/>
  <c r="DH234" i="111"/>
  <c r="DF234" i="111"/>
  <c r="DB234" i="111"/>
  <c r="DA234" i="111"/>
  <c r="CZ234" i="111"/>
  <c r="CY234" i="111"/>
  <c r="CL234" i="111"/>
  <c r="CI234" i="111"/>
  <c r="BY234" i="111" s="1"/>
  <c r="AY234" i="111"/>
  <c r="AX234" i="111"/>
  <c r="AK234" i="111"/>
  <c r="L234" i="111"/>
  <c r="AE234" i="111" s="1"/>
  <c r="K234" i="111"/>
  <c r="J234" i="111"/>
  <c r="DR233" i="111"/>
  <c r="DK233" i="111"/>
  <c r="DJ233" i="111"/>
  <c r="DI233" i="111"/>
  <c r="DH233" i="111"/>
  <c r="DF233" i="111"/>
  <c r="DB233" i="111"/>
  <c r="DA233" i="111"/>
  <c r="CZ233" i="111"/>
  <c r="CY233" i="111"/>
  <c r="CL233" i="111"/>
  <c r="BY233" i="111"/>
  <c r="AY233" i="111"/>
  <c r="AX233" i="111"/>
  <c r="AK233" i="111"/>
  <c r="L233" i="111"/>
  <c r="K233" i="111"/>
  <c r="J233" i="111"/>
  <c r="DR232" i="111"/>
  <c r="DK232" i="111"/>
  <c r="DJ232" i="111"/>
  <c r="DI232" i="111"/>
  <c r="DH232" i="111"/>
  <c r="DF232" i="111"/>
  <c r="DB232" i="111"/>
  <c r="DA232" i="111"/>
  <c r="CZ232" i="111"/>
  <c r="CY232" i="111"/>
  <c r="CL232" i="111"/>
  <c r="BY232" i="111"/>
  <c r="BT232" i="111"/>
  <c r="BR232" i="111"/>
  <c r="AY232" i="111"/>
  <c r="AX232" i="111"/>
  <c r="AK232" i="111"/>
  <c r="L232" i="111"/>
  <c r="AE232" i="111" s="1"/>
  <c r="K232" i="111"/>
  <c r="J232" i="111"/>
  <c r="DR231" i="111"/>
  <c r="DK231" i="111"/>
  <c r="DJ231" i="111"/>
  <c r="DI231" i="111"/>
  <c r="DH231" i="111"/>
  <c r="DF231" i="111"/>
  <c r="DB231" i="111"/>
  <c r="DA231" i="111"/>
  <c r="CZ231" i="111"/>
  <c r="CL231" i="111"/>
  <c r="CB231" i="111"/>
  <c r="BY231" i="111" s="1"/>
  <c r="BV231" i="111"/>
  <c r="CY231" i="111" s="1"/>
  <c r="AY231" i="111"/>
  <c r="AX231" i="111"/>
  <c r="AK231" i="111"/>
  <c r="L231" i="111"/>
  <c r="AE231" i="111" s="1"/>
  <c r="K231" i="111"/>
  <c r="J231" i="111"/>
  <c r="DR230" i="111"/>
  <c r="DK230" i="111"/>
  <c r="DJ230" i="111"/>
  <c r="DI230" i="111"/>
  <c r="DH230" i="111"/>
  <c r="DF230" i="111"/>
  <c r="DB230" i="111"/>
  <c r="DA230" i="111"/>
  <c r="CZ230" i="111"/>
  <c r="CY230" i="111"/>
  <c r="CL230" i="111"/>
  <c r="BY230" i="111"/>
  <c r="BT230" i="111"/>
  <c r="AY230" i="111"/>
  <c r="AX230" i="111"/>
  <c r="AK230" i="111"/>
  <c r="J230" i="111"/>
  <c r="DR229" i="111"/>
  <c r="DK229" i="111"/>
  <c r="DJ229" i="111"/>
  <c r="DI229" i="111"/>
  <c r="DH229" i="111"/>
  <c r="DF229" i="111"/>
  <c r="DB229" i="111"/>
  <c r="DA229" i="111"/>
  <c r="CZ229" i="111"/>
  <c r="CY229" i="111"/>
  <c r="CL229" i="111"/>
  <c r="BY229" i="111"/>
  <c r="BT229" i="111"/>
  <c r="AY229" i="111"/>
  <c r="AX229" i="111"/>
  <c r="AK229" i="111"/>
  <c r="L229" i="111"/>
  <c r="AE229" i="111" s="1"/>
  <c r="K229" i="111"/>
  <c r="J229" i="111"/>
  <c r="DR228" i="111"/>
  <c r="DK228" i="111"/>
  <c r="DJ228" i="111"/>
  <c r="DI228" i="111"/>
  <c r="DH228" i="111"/>
  <c r="DF228" i="111"/>
  <c r="DB228" i="111"/>
  <c r="DA228" i="111"/>
  <c r="CZ228" i="111"/>
  <c r="CL228" i="111"/>
  <c r="CA228" i="111"/>
  <c r="BY228" i="111" s="1"/>
  <c r="BV228" i="111"/>
  <c r="CY228" i="111" s="1"/>
  <c r="BR228" i="111"/>
  <c r="AY228" i="111"/>
  <c r="AX228" i="111"/>
  <c r="AK228" i="111"/>
  <c r="L228" i="111"/>
  <c r="AE228" i="111" s="1"/>
  <c r="K228" i="111"/>
  <c r="J228" i="111"/>
  <c r="DK227" i="111"/>
  <c r="DJ227" i="111"/>
  <c r="DI227" i="111"/>
  <c r="DH227" i="111"/>
  <c r="DF227" i="111"/>
  <c r="DB227" i="111"/>
  <c r="DA227" i="111"/>
  <c r="CZ227" i="111"/>
  <c r="CY227" i="111"/>
  <c r="CL227" i="111"/>
  <c r="BY227" i="111"/>
  <c r="DS227" i="111" s="1"/>
  <c r="AY227" i="111"/>
  <c r="AX227" i="111"/>
  <c r="AK227" i="111"/>
  <c r="L227" i="111"/>
  <c r="AE227" i="111" s="1"/>
  <c r="K227" i="111"/>
  <c r="J227" i="111"/>
  <c r="DR226" i="111"/>
  <c r="DK226" i="111"/>
  <c r="DJ226" i="111"/>
  <c r="DI226" i="111"/>
  <c r="DH226" i="111"/>
  <c r="DF226" i="111"/>
  <c r="DB226" i="111"/>
  <c r="DA226" i="111"/>
  <c r="CZ226" i="111"/>
  <c r="CY226" i="111"/>
  <c r="CL226" i="111"/>
  <c r="BY226" i="111"/>
  <c r="BR226" i="111"/>
  <c r="AY226" i="111"/>
  <c r="AX226" i="111"/>
  <c r="AK226" i="111"/>
  <c r="L226" i="111"/>
  <c r="AE226" i="111" s="1"/>
  <c r="K226" i="111"/>
  <c r="J226" i="111"/>
  <c r="DR225" i="111"/>
  <c r="DK225" i="111"/>
  <c r="DJ225" i="111"/>
  <c r="DI225" i="111"/>
  <c r="DH225" i="111"/>
  <c r="DF225" i="111"/>
  <c r="DB225" i="111"/>
  <c r="DA225" i="111"/>
  <c r="CZ225" i="111"/>
  <c r="CL225" i="111"/>
  <c r="CA225" i="111"/>
  <c r="BY225" i="111" s="1"/>
  <c r="BV225" i="111"/>
  <c r="CY225" i="111" s="1"/>
  <c r="BR225" i="111"/>
  <c r="AY225" i="111"/>
  <c r="AX225" i="111"/>
  <c r="AK225" i="111"/>
  <c r="L225" i="111"/>
  <c r="AE225" i="111" s="1"/>
  <c r="K225" i="111"/>
  <c r="J225" i="111"/>
  <c r="DR224" i="111"/>
  <c r="DK224" i="111"/>
  <c r="DJ224" i="111"/>
  <c r="DI224" i="111"/>
  <c r="DH224" i="111"/>
  <c r="DF224" i="111"/>
  <c r="DB224" i="111"/>
  <c r="DA224" i="111"/>
  <c r="CZ224" i="111"/>
  <c r="CY224" i="111"/>
  <c r="CL224" i="111"/>
  <c r="BY224" i="111"/>
  <c r="BT224" i="111"/>
  <c r="BR224" i="111"/>
  <c r="AY224" i="111"/>
  <c r="AX224" i="111"/>
  <c r="AK224" i="111"/>
  <c r="L224" i="111"/>
  <c r="AE224" i="111" s="1"/>
  <c r="K224" i="111"/>
  <c r="J224" i="111"/>
  <c r="DR223" i="111"/>
  <c r="DK223" i="111"/>
  <c r="DJ223" i="111"/>
  <c r="DI223" i="111"/>
  <c r="DH223" i="111"/>
  <c r="DF223" i="111"/>
  <c r="DB223" i="111"/>
  <c r="DA223" i="111"/>
  <c r="CZ223" i="111"/>
  <c r="CY223" i="111"/>
  <c r="CL223" i="111"/>
  <c r="BY223" i="111"/>
  <c r="AY223" i="111"/>
  <c r="AX223" i="111"/>
  <c r="AK223" i="111"/>
  <c r="L223" i="111"/>
  <c r="AE223" i="111" s="1"/>
  <c r="K223" i="111"/>
  <c r="J223" i="111"/>
  <c r="DR222" i="111"/>
  <c r="DK222" i="111"/>
  <c r="DJ222" i="111"/>
  <c r="DI222" i="111"/>
  <c r="DH222" i="111"/>
  <c r="DF222" i="111"/>
  <c r="DB222" i="111"/>
  <c r="DA222" i="111"/>
  <c r="CZ222" i="111"/>
  <c r="CL222" i="111"/>
  <c r="CK222" i="111"/>
  <c r="BZ222" i="111"/>
  <c r="BV222" i="111"/>
  <c r="CY222" i="111" s="1"/>
  <c r="BT222" i="111"/>
  <c r="BR222" i="111"/>
  <c r="AY222" i="111"/>
  <c r="AX222" i="111"/>
  <c r="AK222" i="111"/>
  <c r="L222" i="111"/>
  <c r="AE222" i="111" s="1"/>
  <c r="K222" i="111"/>
  <c r="J222" i="111"/>
  <c r="DR221" i="111"/>
  <c r="DK221" i="111"/>
  <c r="DJ221" i="111"/>
  <c r="DI221" i="111"/>
  <c r="DH221" i="111"/>
  <c r="DF221" i="111"/>
  <c r="DB221" i="111"/>
  <c r="DA221" i="111"/>
  <c r="CZ221" i="111"/>
  <c r="CY221" i="111"/>
  <c r="CL221" i="111"/>
  <c r="BY221" i="111"/>
  <c r="AY221" i="111"/>
  <c r="AX221" i="111"/>
  <c r="AK221" i="111"/>
  <c r="L221" i="111"/>
  <c r="AE221" i="111" s="1"/>
  <c r="K221" i="111"/>
  <c r="J221" i="111"/>
  <c r="DR220" i="111"/>
  <c r="DK220" i="111"/>
  <c r="DJ220" i="111"/>
  <c r="DI220" i="111"/>
  <c r="DH220" i="111"/>
  <c r="DF220" i="111"/>
  <c r="DB220" i="111"/>
  <c r="DA220" i="111"/>
  <c r="CZ220" i="111"/>
  <c r="CY220" i="111"/>
  <c r="CL220" i="111"/>
  <c r="BY220" i="111"/>
  <c r="AY220" i="111"/>
  <c r="AX220" i="111"/>
  <c r="AK220" i="111"/>
  <c r="L220" i="111"/>
  <c r="K220" i="111"/>
  <c r="J220" i="111"/>
  <c r="DR219" i="111"/>
  <c r="DK219" i="111"/>
  <c r="DJ219" i="111"/>
  <c r="DI219" i="111"/>
  <c r="DH219" i="111"/>
  <c r="DF219" i="111"/>
  <c r="DB219" i="111"/>
  <c r="DA219" i="111"/>
  <c r="CZ219" i="111"/>
  <c r="CL219" i="111"/>
  <c r="CC219" i="111"/>
  <c r="BZ219" i="111"/>
  <c r="BV219" i="111"/>
  <c r="CY219" i="111" s="1"/>
  <c r="BT219" i="111"/>
  <c r="BR219" i="111"/>
  <c r="AY219" i="111"/>
  <c r="AX219" i="111"/>
  <c r="AK219" i="111"/>
  <c r="L219" i="111"/>
  <c r="AE219" i="111" s="1"/>
  <c r="K219" i="111"/>
  <c r="J219" i="111"/>
  <c r="DR218" i="111"/>
  <c r="DK218" i="111"/>
  <c r="DJ218" i="111"/>
  <c r="DI218" i="111"/>
  <c r="DH218" i="111"/>
  <c r="DF218" i="111"/>
  <c r="DB218" i="111"/>
  <c r="DA218" i="111"/>
  <c r="CZ218" i="111"/>
  <c r="CL218" i="111"/>
  <c r="BZ218" i="111"/>
  <c r="BY218" i="111" s="1"/>
  <c r="BV218" i="111"/>
  <c r="CY218" i="111" s="1"/>
  <c r="BT218" i="111"/>
  <c r="AY218" i="111"/>
  <c r="AX218" i="111"/>
  <c r="AK218" i="111"/>
  <c r="L218" i="111"/>
  <c r="AE218" i="111" s="1"/>
  <c r="K218" i="111"/>
  <c r="J218" i="111"/>
  <c r="DR217" i="111"/>
  <c r="DK217" i="111"/>
  <c r="DJ217" i="111"/>
  <c r="DI217" i="111"/>
  <c r="DH217" i="111"/>
  <c r="DF217" i="111"/>
  <c r="DB217" i="111"/>
  <c r="DA217" i="111"/>
  <c r="CZ217" i="111"/>
  <c r="CY217" i="111"/>
  <c r="CL217" i="111"/>
  <c r="BY217" i="111"/>
  <c r="AY217" i="111"/>
  <c r="AX217" i="111"/>
  <c r="AK217" i="111"/>
  <c r="L217" i="111"/>
  <c r="K217" i="111"/>
  <c r="J217" i="111"/>
  <c r="DR216" i="111"/>
  <c r="DK216" i="111"/>
  <c r="DJ216" i="111"/>
  <c r="DI216" i="111"/>
  <c r="DH216" i="111"/>
  <c r="DF216" i="111"/>
  <c r="DB216" i="111"/>
  <c r="DA216" i="111"/>
  <c r="CZ216" i="111"/>
  <c r="CY216" i="111"/>
  <c r="CL216" i="111"/>
  <c r="CC216" i="111"/>
  <c r="CB216" i="111"/>
  <c r="AY216" i="111"/>
  <c r="AX216" i="111"/>
  <c r="AK216" i="111"/>
  <c r="L216" i="111"/>
  <c r="AE216" i="111" s="1"/>
  <c r="K216" i="111"/>
  <c r="J216" i="111"/>
  <c r="DR215" i="111"/>
  <c r="DK215" i="111"/>
  <c r="DJ215" i="111"/>
  <c r="DI215" i="111"/>
  <c r="DH215" i="111"/>
  <c r="DF215" i="111"/>
  <c r="DB215" i="111"/>
  <c r="DA215" i="111"/>
  <c r="CZ215" i="111"/>
  <c r="CY215" i="111"/>
  <c r="CL215" i="111"/>
  <c r="BY215" i="111"/>
  <c r="AY215" i="111"/>
  <c r="AX215" i="111"/>
  <c r="AK215" i="111"/>
  <c r="L215" i="111"/>
  <c r="K215" i="111"/>
  <c r="J215" i="111"/>
  <c r="DR214" i="111"/>
  <c r="DK214" i="111"/>
  <c r="DJ214" i="111"/>
  <c r="DI214" i="111"/>
  <c r="DH214" i="111"/>
  <c r="DF214" i="111"/>
  <c r="DB214" i="111"/>
  <c r="DA214" i="111"/>
  <c r="CZ214" i="111"/>
  <c r="CY214" i="111"/>
  <c r="CL214" i="111"/>
  <c r="BY214" i="111"/>
  <c r="AY214" i="111"/>
  <c r="AX214" i="111"/>
  <c r="AK214" i="111"/>
  <c r="L214" i="111"/>
  <c r="K214" i="111"/>
  <c r="J214" i="111"/>
  <c r="DR213" i="111"/>
  <c r="DK213" i="111"/>
  <c r="DJ213" i="111"/>
  <c r="DI213" i="111"/>
  <c r="DH213" i="111"/>
  <c r="DF213" i="111"/>
  <c r="DB213" i="111"/>
  <c r="DA213" i="111"/>
  <c r="CZ213" i="111"/>
  <c r="CY213" i="111"/>
  <c r="CL213" i="111"/>
  <c r="BY213" i="111"/>
  <c r="AY213" i="111"/>
  <c r="AX213" i="111"/>
  <c r="AK213" i="111"/>
  <c r="L213" i="111"/>
  <c r="K213" i="111"/>
  <c r="J213" i="111"/>
  <c r="DR212" i="111"/>
  <c r="DK212" i="111"/>
  <c r="DJ212" i="111"/>
  <c r="DI212" i="111"/>
  <c r="DH212" i="111"/>
  <c r="DF212" i="111"/>
  <c r="DB212" i="111"/>
  <c r="DA212" i="111"/>
  <c r="CZ212" i="111"/>
  <c r="CY212" i="111"/>
  <c r="CL212" i="111"/>
  <c r="BY212" i="111"/>
  <c r="AY212" i="111"/>
  <c r="AX212" i="111"/>
  <c r="AK212" i="111"/>
  <c r="L212" i="111"/>
  <c r="AE212" i="111" s="1"/>
  <c r="K212" i="111"/>
  <c r="J212" i="111"/>
  <c r="DR211" i="111"/>
  <c r="DK211" i="111"/>
  <c r="DJ211" i="111"/>
  <c r="DI211" i="111"/>
  <c r="DH211" i="111"/>
  <c r="DF211" i="111"/>
  <c r="DB211" i="111"/>
  <c r="DA211" i="111"/>
  <c r="CZ211" i="111"/>
  <c r="CY211" i="111"/>
  <c r="CL211" i="111"/>
  <c r="BY211" i="111"/>
  <c r="AY211" i="111"/>
  <c r="AX211" i="111"/>
  <c r="AK211" i="111"/>
  <c r="L211" i="111"/>
  <c r="AE211" i="111" s="1"/>
  <c r="K211" i="111"/>
  <c r="J211" i="111"/>
  <c r="DR210" i="111"/>
  <c r="DK210" i="111"/>
  <c r="DJ210" i="111"/>
  <c r="DI210" i="111"/>
  <c r="DH210" i="111"/>
  <c r="DF210" i="111"/>
  <c r="DB210" i="111"/>
  <c r="DA210" i="111"/>
  <c r="CZ210" i="111"/>
  <c r="CY210" i="111"/>
  <c r="CL210" i="111"/>
  <c r="BY210" i="111"/>
  <c r="BR210" i="111"/>
  <c r="AY210" i="111"/>
  <c r="AX210" i="111"/>
  <c r="AK210" i="111"/>
  <c r="L210" i="111"/>
  <c r="K210" i="111"/>
  <c r="J210" i="111"/>
  <c r="DR209" i="111"/>
  <c r="DK209" i="111"/>
  <c r="DJ209" i="111"/>
  <c r="DI209" i="111"/>
  <c r="DH209" i="111"/>
  <c r="DF209" i="111"/>
  <c r="DB209" i="111"/>
  <c r="DA209" i="111"/>
  <c r="CZ209" i="111"/>
  <c r="CY209" i="111"/>
  <c r="CL209" i="111"/>
  <c r="BY209" i="111"/>
  <c r="AY209" i="111"/>
  <c r="AX209" i="111"/>
  <c r="AK209" i="111"/>
  <c r="L209" i="111"/>
  <c r="K209" i="111"/>
  <c r="J209" i="111"/>
  <c r="DR208" i="111"/>
  <c r="DK208" i="111"/>
  <c r="DJ208" i="111"/>
  <c r="DI208" i="111"/>
  <c r="DH208" i="111"/>
  <c r="DF208" i="111"/>
  <c r="DB208" i="111"/>
  <c r="DA208" i="111"/>
  <c r="CZ208" i="111"/>
  <c r="CY208" i="111"/>
  <c r="CL208" i="111"/>
  <c r="BY208" i="111"/>
  <c r="AY208" i="111"/>
  <c r="AX208" i="111"/>
  <c r="AK208" i="111"/>
  <c r="L208" i="111"/>
  <c r="K208" i="111"/>
  <c r="J208" i="111"/>
  <c r="DR207" i="111"/>
  <c r="DK207" i="111"/>
  <c r="DJ207" i="111"/>
  <c r="DI207" i="111"/>
  <c r="DH207" i="111"/>
  <c r="DF207" i="111"/>
  <c r="DB207" i="111"/>
  <c r="DA207" i="111"/>
  <c r="CZ207" i="111"/>
  <c r="CY207" i="111"/>
  <c r="CL207" i="111"/>
  <c r="BY207" i="111"/>
  <c r="AY207" i="111"/>
  <c r="AX207" i="111"/>
  <c r="AK207" i="111"/>
  <c r="L207" i="111"/>
  <c r="K207" i="111"/>
  <c r="J207" i="111"/>
  <c r="DK206" i="111"/>
  <c r="DJ206" i="111"/>
  <c r="DI206" i="111"/>
  <c r="DH206" i="111"/>
  <c r="DF206" i="111"/>
  <c r="DB206" i="111"/>
  <c r="DA206" i="111"/>
  <c r="CZ206" i="111"/>
  <c r="CY206" i="111"/>
  <c r="CL206" i="111"/>
  <c r="BY206" i="111"/>
  <c r="DS206" i="111" s="1"/>
  <c r="AY206" i="111"/>
  <c r="AX206" i="111"/>
  <c r="AK206" i="111"/>
  <c r="L206" i="111"/>
  <c r="K206" i="111"/>
  <c r="J206" i="111"/>
  <c r="DR205" i="111"/>
  <c r="DK205" i="111"/>
  <c r="DJ205" i="111"/>
  <c r="DI205" i="111"/>
  <c r="DH205" i="111"/>
  <c r="DF205" i="111"/>
  <c r="DB205" i="111"/>
  <c r="DA205" i="111"/>
  <c r="CZ205" i="111"/>
  <c r="CY205" i="111"/>
  <c r="CL205" i="111"/>
  <c r="BY205" i="111"/>
  <c r="AY205" i="111"/>
  <c r="AX205" i="111"/>
  <c r="AK205" i="111"/>
  <c r="L205" i="111"/>
  <c r="K205" i="111"/>
  <c r="J205" i="111"/>
  <c r="DR204" i="111"/>
  <c r="DK204" i="111"/>
  <c r="DJ204" i="111"/>
  <c r="DI204" i="111"/>
  <c r="DH204" i="111"/>
  <c r="DF204" i="111"/>
  <c r="DB204" i="111"/>
  <c r="DA204" i="111"/>
  <c r="CZ204" i="111"/>
  <c r="CY204" i="111"/>
  <c r="CL204" i="111"/>
  <c r="BY204" i="111"/>
  <c r="BT204" i="111"/>
  <c r="BL204" i="111"/>
  <c r="AY204" i="111"/>
  <c r="AX204" i="111"/>
  <c r="AK204" i="111"/>
  <c r="L204" i="111"/>
  <c r="AE204" i="111" s="1"/>
  <c r="K204" i="111"/>
  <c r="J204" i="111"/>
  <c r="DR203" i="111"/>
  <c r="DK203" i="111"/>
  <c r="DJ203" i="111"/>
  <c r="DI203" i="111"/>
  <c r="DH203" i="111"/>
  <c r="DF203" i="111"/>
  <c r="DB203" i="111"/>
  <c r="DA203" i="111"/>
  <c r="CZ203" i="111"/>
  <c r="CY203" i="111"/>
  <c r="CL203" i="111"/>
  <c r="BY203" i="111"/>
  <c r="AY203" i="111"/>
  <c r="AX203" i="111"/>
  <c r="AK203" i="111"/>
  <c r="L203" i="111"/>
  <c r="K203" i="111"/>
  <c r="J203" i="111"/>
  <c r="DR202" i="111"/>
  <c r="DK202" i="111"/>
  <c r="DJ202" i="111"/>
  <c r="DI202" i="111"/>
  <c r="DH202" i="111"/>
  <c r="DF202" i="111"/>
  <c r="DB202" i="111"/>
  <c r="DA202" i="111"/>
  <c r="CZ202" i="111"/>
  <c r="CY202" i="111"/>
  <c r="CL202" i="111"/>
  <c r="BY202" i="111"/>
  <c r="AY202" i="111"/>
  <c r="AX202" i="111"/>
  <c r="AK202" i="111"/>
  <c r="L202" i="111"/>
  <c r="AE202" i="111" s="1"/>
  <c r="K202" i="111"/>
  <c r="J202" i="111"/>
  <c r="DR201" i="111"/>
  <c r="DK201" i="111"/>
  <c r="DJ201" i="111"/>
  <c r="DI201" i="111"/>
  <c r="DH201" i="111"/>
  <c r="DF201" i="111"/>
  <c r="DB201" i="111"/>
  <c r="DA201" i="111"/>
  <c r="CZ201" i="111"/>
  <c r="CY201" i="111"/>
  <c r="CL201" i="111"/>
  <c r="BY201" i="111"/>
  <c r="AY201" i="111"/>
  <c r="AX201" i="111"/>
  <c r="AK201" i="111"/>
  <c r="L201" i="111"/>
  <c r="AE201" i="111" s="1"/>
  <c r="K201" i="111"/>
  <c r="J201" i="111"/>
  <c r="DK200" i="111"/>
  <c r="DJ200" i="111"/>
  <c r="DI200" i="111"/>
  <c r="DH200" i="111"/>
  <c r="DF200" i="111"/>
  <c r="DB200" i="111"/>
  <c r="DA200" i="111"/>
  <c r="CZ200" i="111"/>
  <c r="CY200" i="111"/>
  <c r="CL200" i="111"/>
  <c r="BY200" i="111"/>
  <c r="DS200" i="111" s="1"/>
  <c r="AY200" i="111"/>
  <c r="AX200" i="111"/>
  <c r="AK200" i="111"/>
  <c r="L200" i="111"/>
  <c r="K200" i="111"/>
  <c r="J200" i="111"/>
  <c r="DK199" i="111"/>
  <c r="DJ199" i="111"/>
  <c r="DI199" i="111"/>
  <c r="DH199" i="111"/>
  <c r="DF199" i="111"/>
  <c r="DB199" i="111"/>
  <c r="DA199" i="111"/>
  <c r="CZ199" i="111"/>
  <c r="CY199" i="111"/>
  <c r="CL199" i="111"/>
  <c r="BY199" i="111"/>
  <c r="DS199" i="111" s="1"/>
  <c r="AY199" i="111"/>
  <c r="AX199" i="111"/>
  <c r="AK199" i="111"/>
  <c r="L199" i="111"/>
  <c r="K199" i="111"/>
  <c r="J199" i="111"/>
  <c r="DR198" i="111"/>
  <c r="DK198" i="111"/>
  <c r="DJ198" i="111"/>
  <c r="DI198" i="111"/>
  <c r="DH198" i="111"/>
  <c r="DF198" i="111"/>
  <c r="DB198" i="111"/>
  <c r="DA198" i="111"/>
  <c r="CZ198" i="111"/>
  <c r="CY198" i="111"/>
  <c r="CL198" i="111"/>
  <c r="BY198" i="111"/>
  <c r="AY198" i="111"/>
  <c r="AX198" i="111"/>
  <c r="AK198" i="111"/>
  <c r="L198" i="111"/>
  <c r="K198" i="111"/>
  <c r="J198" i="111"/>
  <c r="DR197" i="111"/>
  <c r="DK197" i="111"/>
  <c r="DJ197" i="111"/>
  <c r="DI197" i="111"/>
  <c r="DH197" i="111"/>
  <c r="DF197" i="111"/>
  <c r="DB197" i="111"/>
  <c r="DA197" i="111"/>
  <c r="CZ197" i="111"/>
  <c r="CY197" i="111"/>
  <c r="CL197" i="111"/>
  <c r="BY197" i="111"/>
  <c r="AY197" i="111"/>
  <c r="AX197" i="111"/>
  <c r="AK197" i="111"/>
  <c r="L197" i="111"/>
  <c r="K197" i="111"/>
  <c r="J197" i="111"/>
  <c r="DR196" i="111"/>
  <c r="DK196" i="111"/>
  <c r="DJ196" i="111"/>
  <c r="DI196" i="111"/>
  <c r="DH196" i="111"/>
  <c r="DF196" i="111"/>
  <c r="DB196" i="111"/>
  <c r="DA196" i="111"/>
  <c r="CZ196" i="111"/>
  <c r="CY196" i="111"/>
  <c r="CL196" i="111"/>
  <c r="BZ196" i="111"/>
  <c r="BY196" i="111" s="1"/>
  <c r="BT196" i="111"/>
  <c r="AY196" i="111"/>
  <c r="AX196" i="111"/>
  <c r="AK196" i="111"/>
  <c r="L196" i="111"/>
  <c r="AE196" i="111" s="1"/>
  <c r="K196" i="111"/>
  <c r="J196" i="111"/>
  <c r="DR195" i="111"/>
  <c r="DK195" i="111"/>
  <c r="DJ195" i="111"/>
  <c r="DI195" i="111"/>
  <c r="DH195" i="111"/>
  <c r="DF195" i="111"/>
  <c r="DB195" i="111"/>
  <c r="DA195" i="111"/>
  <c r="CZ195" i="111"/>
  <c r="CY195" i="111"/>
  <c r="CL195" i="111"/>
  <c r="CC195" i="111"/>
  <c r="BY195" i="111" s="1"/>
  <c r="AY195" i="111"/>
  <c r="AX195" i="111"/>
  <c r="AK195" i="111"/>
  <c r="L195" i="111"/>
  <c r="AE195" i="111" s="1"/>
  <c r="K195" i="111"/>
  <c r="J195" i="111"/>
  <c r="DR194" i="111"/>
  <c r="DK194" i="111"/>
  <c r="DJ194" i="111"/>
  <c r="DI194" i="111"/>
  <c r="DH194" i="111"/>
  <c r="DF194" i="111"/>
  <c r="DB194" i="111"/>
  <c r="DA194" i="111"/>
  <c r="CZ194" i="111"/>
  <c r="CY194" i="111"/>
  <c r="CL194" i="111"/>
  <c r="BY194" i="111"/>
  <c r="AY194" i="111"/>
  <c r="AX194" i="111"/>
  <c r="AK194" i="111"/>
  <c r="L194" i="111"/>
  <c r="AE194" i="111" s="1"/>
  <c r="K194" i="111"/>
  <c r="J194" i="111"/>
  <c r="DR193" i="111"/>
  <c r="DK193" i="111"/>
  <c r="DJ193" i="111"/>
  <c r="DI193" i="111"/>
  <c r="DH193" i="111"/>
  <c r="DF193" i="111"/>
  <c r="DB193" i="111"/>
  <c r="DA193" i="111"/>
  <c r="CZ193" i="111"/>
  <c r="CY193" i="111"/>
  <c r="CL193" i="111"/>
  <c r="BY193" i="111"/>
  <c r="BT193" i="111"/>
  <c r="AY193" i="111"/>
  <c r="AX193" i="111"/>
  <c r="AK193" i="111"/>
  <c r="L193" i="111"/>
  <c r="AE193" i="111" s="1"/>
  <c r="K193" i="111"/>
  <c r="J193" i="111"/>
  <c r="DK192" i="111"/>
  <c r="DJ192" i="111"/>
  <c r="DI192" i="111"/>
  <c r="DH192" i="111"/>
  <c r="DF192" i="111"/>
  <c r="DB192" i="111"/>
  <c r="DA192" i="111"/>
  <c r="CZ192" i="111"/>
  <c r="CY192" i="111"/>
  <c r="CL192" i="111"/>
  <c r="BY192" i="111"/>
  <c r="AY192" i="111"/>
  <c r="AX192" i="111"/>
  <c r="AK192" i="111"/>
  <c r="L192" i="111"/>
  <c r="K192" i="111"/>
  <c r="J192" i="111"/>
  <c r="DK191" i="111"/>
  <c r="DJ191" i="111"/>
  <c r="DI191" i="111"/>
  <c r="DH191" i="111"/>
  <c r="DF191" i="111"/>
  <c r="DB191" i="111"/>
  <c r="DA191" i="111"/>
  <c r="CZ191" i="111"/>
  <c r="CY191" i="111"/>
  <c r="CL191" i="111"/>
  <c r="BY191" i="111"/>
  <c r="DS191" i="111" s="1"/>
  <c r="AY191" i="111"/>
  <c r="AX191" i="111"/>
  <c r="AK191" i="111"/>
  <c r="L191" i="111"/>
  <c r="K191" i="111"/>
  <c r="J191" i="111"/>
  <c r="DK190" i="111"/>
  <c r="DJ190" i="111"/>
  <c r="DI190" i="111"/>
  <c r="DH190" i="111"/>
  <c r="DF190" i="111"/>
  <c r="DB190" i="111"/>
  <c r="DA190" i="111"/>
  <c r="CZ190" i="111"/>
  <c r="CY190" i="111"/>
  <c r="CL190" i="111"/>
  <c r="BY190" i="111"/>
  <c r="DS190" i="111" s="1"/>
  <c r="AY190" i="111"/>
  <c r="AX190" i="111"/>
  <c r="AK190" i="111"/>
  <c r="L190" i="111"/>
  <c r="K190" i="111"/>
  <c r="J190" i="111"/>
  <c r="DK189" i="111"/>
  <c r="DJ189" i="111"/>
  <c r="DI189" i="111"/>
  <c r="DH189" i="111"/>
  <c r="DF189" i="111"/>
  <c r="DB189" i="111"/>
  <c r="DA189" i="111"/>
  <c r="CZ189" i="111"/>
  <c r="CY189" i="111"/>
  <c r="CL189" i="111"/>
  <c r="BY189" i="111"/>
  <c r="DS189" i="111" s="1"/>
  <c r="AY189" i="111"/>
  <c r="AX189" i="111"/>
  <c r="AK189" i="111"/>
  <c r="L189" i="111"/>
  <c r="K189" i="111"/>
  <c r="J189" i="111"/>
  <c r="DK188" i="111"/>
  <c r="DJ188" i="111"/>
  <c r="DI188" i="111"/>
  <c r="DH188" i="111"/>
  <c r="DF188" i="111"/>
  <c r="DB188" i="111"/>
  <c r="DA188" i="111"/>
  <c r="CZ188" i="111"/>
  <c r="CY188" i="111"/>
  <c r="CL188" i="111"/>
  <c r="BY188" i="111"/>
  <c r="AY188" i="111"/>
  <c r="AX188" i="111"/>
  <c r="AK188" i="111"/>
  <c r="L188" i="111"/>
  <c r="K188" i="111"/>
  <c r="J188" i="111"/>
  <c r="DK187" i="111"/>
  <c r="DJ187" i="111"/>
  <c r="DI187" i="111"/>
  <c r="DH187" i="111"/>
  <c r="DF187" i="111"/>
  <c r="DB187" i="111"/>
  <c r="DA187" i="111"/>
  <c r="CZ187" i="111"/>
  <c r="CY187" i="111"/>
  <c r="CL187" i="111"/>
  <c r="BY187" i="111"/>
  <c r="DS187" i="111" s="1"/>
  <c r="AY187" i="111"/>
  <c r="AX187" i="111"/>
  <c r="AK187" i="111"/>
  <c r="L187" i="111"/>
  <c r="K187" i="111"/>
  <c r="J187" i="111"/>
  <c r="DK186" i="111"/>
  <c r="DJ186" i="111"/>
  <c r="DI186" i="111"/>
  <c r="DH186" i="111"/>
  <c r="DF186" i="111"/>
  <c r="DB186" i="111"/>
  <c r="DA186" i="111"/>
  <c r="CZ186" i="111"/>
  <c r="CY186" i="111"/>
  <c r="CL186" i="111"/>
  <c r="BY186" i="111"/>
  <c r="DS186" i="111" s="1"/>
  <c r="AY186" i="111"/>
  <c r="AX186" i="111"/>
  <c r="AK186" i="111"/>
  <c r="L186" i="111"/>
  <c r="K186" i="111"/>
  <c r="J186" i="111"/>
  <c r="DK185" i="111"/>
  <c r="DJ185" i="111"/>
  <c r="DI185" i="111"/>
  <c r="DH185" i="111"/>
  <c r="DF185" i="111"/>
  <c r="DB185" i="111"/>
  <c r="DA185" i="111"/>
  <c r="CZ185" i="111"/>
  <c r="CY185" i="111"/>
  <c r="CL185" i="111"/>
  <c r="BY185" i="111"/>
  <c r="DS185" i="111" s="1"/>
  <c r="AY185" i="111"/>
  <c r="AX185" i="111"/>
  <c r="AK185" i="111"/>
  <c r="L185" i="111"/>
  <c r="K185" i="111"/>
  <c r="J185" i="111"/>
  <c r="DR184" i="111"/>
  <c r="DK184" i="111"/>
  <c r="DJ184" i="111"/>
  <c r="DI184" i="111"/>
  <c r="DH184" i="111"/>
  <c r="DF184" i="111"/>
  <c r="DB184" i="111"/>
  <c r="DA184" i="111"/>
  <c r="CZ184" i="111"/>
  <c r="CY184" i="111"/>
  <c r="CL184" i="111"/>
  <c r="BY184" i="111"/>
  <c r="AY184" i="111"/>
  <c r="AX184" i="111"/>
  <c r="AK184" i="111"/>
  <c r="L184" i="111"/>
  <c r="K184" i="111"/>
  <c r="J184" i="111"/>
  <c r="DR183" i="111"/>
  <c r="DK183" i="111"/>
  <c r="DJ183" i="111"/>
  <c r="DI183" i="111"/>
  <c r="DH183" i="111"/>
  <c r="DF183" i="111"/>
  <c r="DB183" i="111"/>
  <c r="DA183" i="111"/>
  <c r="CZ183" i="111"/>
  <c r="CY183" i="111"/>
  <c r="CL183" i="111"/>
  <c r="BY183" i="111"/>
  <c r="AY183" i="111"/>
  <c r="AX183" i="111"/>
  <c r="AK183" i="111"/>
  <c r="L183" i="111"/>
  <c r="K183" i="111"/>
  <c r="J183" i="111"/>
  <c r="DK182" i="111"/>
  <c r="DJ182" i="111"/>
  <c r="DI182" i="111"/>
  <c r="DH182" i="111"/>
  <c r="DF182" i="111"/>
  <c r="DB182" i="111"/>
  <c r="DA182" i="111"/>
  <c r="CZ182" i="111"/>
  <c r="CY182" i="111"/>
  <c r="CL182" i="111"/>
  <c r="BY182" i="111"/>
  <c r="DS182" i="111" s="1"/>
  <c r="AY182" i="111"/>
  <c r="AX182" i="111"/>
  <c r="AK182" i="111"/>
  <c r="L182" i="111"/>
  <c r="K182" i="111"/>
  <c r="J182" i="111"/>
  <c r="DK181" i="111"/>
  <c r="DJ181" i="111"/>
  <c r="DI181" i="111"/>
  <c r="DH181" i="111"/>
  <c r="DF181" i="111"/>
  <c r="DB181" i="111"/>
  <c r="DA181" i="111"/>
  <c r="CZ181" i="111"/>
  <c r="CY181" i="111"/>
  <c r="CL181" i="111"/>
  <c r="BY181" i="111"/>
  <c r="DS181" i="111" s="1"/>
  <c r="AY181" i="111"/>
  <c r="AX181" i="111"/>
  <c r="AK181" i="111"/>
  <c r="L181" i="111"/>
  <c r="K181" i="111"/>
  <c r="J181" i="111"/>
  <c r="DK180" i="111"/>
  <c r="DJ180" i="111"/>
  <c r="DI180" i="111"/>
  <c r="DH180" i="111"/>
  <c r="DF180" i="111"/>
  <c r="DB180" i="111"/>
  <c r="DA180" i="111"/>
  <c r="CZ180" i="111"/>
  <c r="CY180" i="111"/>
  <c r="CL180" i="111"/>
  <c r="BY180" i="111"/>
  <c r="DS180" i="111" s="1"/>
  <c r="AY180" i="111"/>
  <c r="AX180" i="111"/>
  <c r="AK180" i="111"/>
  <c r="L180" i="111"/>
  <c r="K180" i="111"/>
  <c r="J180" i="111"/>
  <c r="DR179" i="111"/>
  <c r="DK179" i="111"/>
  <c r="DJ179" i="111"/>
  <c r="DI179" i="111"/>
  <c r="DH179" i="111"/>
  <c r="DF179" i="111"/>
  <c r="DB179" i="111"/>
  <c r="DA179" i="111"/>
  <c r="CZ179" i="111"/>
  <c r="CY179" i="111"/>
  <c r="CL179" i="111"/>
  <c r="BY179" i="111"/>
  <c r="AY179" i="111"/>
  <c r="AX179" i="111"/>
  <c r="AK179" i="111"/>
  <c r="L179" i="111"/>
  <c r="K179" i="111"/>
  <c r="J179" i="111"/>
  <c r="DR178" i="111"/>
  <c r="DK178" i="111"/>
  <c r="DJ178" i="111"/>
  <c r="DI178" i="111"/>
  <c r="DH178" i="111"/>
  <c r="DF178" i="111"/>
  <c r="DB178" i="111"/>
  <c r="DA178" i="111"/>
  <c r="CZ178" i="111"/>
  <c r="CY178" i="111"/>
  <c r="CL178" i="111"/>
  <c r="BY178" i="111"/>
  <c r="BL178" i="111"/>
  <c r="AY178" i="111"/>
  <c r="AX178" i="111"/>
  <c r="AK178" i="111"/>
  <c r="L178" i="111"/>
  <c r="AE178" i="111" s="1"/>
  <c r="K178" i="111"/>
  <c r="J178" i="111"/>
  <c r="DR177" i="111"/>
  <c r="DK177" i="111"/>
  <c r="DJ177" i="111"/>
  <c r="DI177" i="111"/>
  <c r="DH177" i="111"/>
  <c r="DF177" i="111"/>
  <c r="DB177" i="111"/>
  <c r="DA177" i="111"/>
  <c r="CZ177" i="111"/>
  <c r="CY177" i="111"/>
  <c r="CL177" i="111"/>
  <c r="BY177" i="111"/>
  <c r="AY177" i="111"/>
  <c r="AX177" i="111"/>
  <c r="AK177" i="111"/>
  <c r="L177" i="111"/>
  <c r="K177" i="111"/>
  <c r="J177" i="111"/>
  <c r="DR176" i="111"/>
  <c r="DK176" i="111"/>
  <c r="DJ176" i="111"/>
  <c r="DI176" i="111"/>
  <c r="DH176" i="111"/>
  <c r="DF176" i="111"/>
  <c r="DB176" i="111"/>
  <c r="DA176" i="111"/>
  <c r="CZ176" i="111"/>
  <c r="CY176" i="111"/>
  <c r="CL176" i="111"/>
  <c r="BY176" i="111"/>
  <c r="BR176" i="111"/>
  <c r="BL176" i="111"/>
  <c r="AY176" i="111"/>
  <c r="AX176" i="111"/>
  <c r="AK176" i="111"/>
  <c r="L176" i="111"/>
  <c r="AE176" i="111" s="1"/>
  <c r="K176" i="111"/>
  <c r="J176" i="111"/>
  <c r="DR175" i="111"/>
  <c r="DK175" i="111"/>
  <c r="DJ175" i="111"/>
  <c r="DI175" i="111"/>
  <c r="DH175" i="111"/>
  <c r="DF175" i="111"/>
  <c r="DB175" i="111"/>
  <c r="DA175" i="111"/>
  <c r="CZ175" i="111"/>
  <c r="CY175" i="111"/>
  <c r="CL175" i="111"/>
  <c r="BY175" i="111"/>
  <c r="AY175" i="111"/>
  <c r="AX175" i="111"/>
  <c r="AK175" i="111"/>
  <c r="L175" i="111"/>
  <c r="K175" i="111"/>
  <c r="J175" i="111"/>
  <c r="DK174" i="111"/>
  <c r="DJ174" i="111"/>
  <c r="DI174" i="111"/>
  <c r="DH174" i="111"/>
  <c r="DF174" i="111"/>
  <c r="DB174" i="111"/>
  <c r="DA174" i="111"/>
  <c r="CZ174" i="111"/>
  <c r="CY174" i="111"/>
  <c r="CL174" i="111"/>
  <c r="BY174" i="111"/>
  <c r="DS174" i="111" s="1"/>
  <c r="AY174" i="111"/>
  <c r="AX174" i="111"/>
  <c r="AK174" i="111"/>
  <c r="L174" i="111"/>
  <c r="K174" i="111"/>
  <c r="J174" i="111"/>
  <c r="DK173" i="111"/>
  <c r="DJ173" i="111"/>
  <c r="DI173" i="111"/>
  <c r="DH173" i="111"/>
  <c r="DF173" i="111"/>
  <c r="DB173" i="111"/>
  <c r="DA173" i="111"/>
  <c r="CZ173" i="111"/>
  <c r="CY173" i="111"/>
  <c r="CL173" i="111"/>
  <c r="BY173" i="111"/>
  <c r="AY173" i="111"/>
  <c r="AX173" i="111"/>
  <c r="AK173" i="111"/>
  <c r="L173" i="111"/>
  <c r="K173" i="111"/>
  <c r="J173" i="111"/>
  <c r="DK172" i="111"/>
  <c r="DJ172" i="111"/>
  <c r="DI172" i="111"/>
  <c r="DH172" i="111"/>
  <c r="DF172" i="111"/>
  <c r="DB172" i="111"/>
  <c r="DA172" i="111"/>
  <c r="CZ172" i="111"/>
  <c r="CY172" i="111"/>
  <c r="CL172" i="111"/>
  <c r="BY172" i="111"/>
  <c r="DS172" i="111" s="1"/>
  <c r="AY172" i="111"/>
  <c r="AX172" i="111"/>
  <c r="AK172" i="111"/>
  <c r="L172" i="111"/>
  <c r="K172" i="111"/>
  <c r="J172" i="111"/>
  <c r="DR171" i="111"/>
  <c r="DK171" i="111"/>
  <c r="DJ171" i="111"/>
  <c r="DI171" i="111"/>
  <c r="DH171" i="111"/>
  <c r="DF171" i="111"/>
  <c r="DB171" i="111"/>
  <c r="DA171" i="111"/>
  <c r="CZ171" i="111"/>
  <c r="CY171" i="111"/>
  <c r="CL171" i="111"/>
  <c r="BY171" i="111"/>
  <c r="AY171" i="111"/>
  <c r="AX171" i="111"/>
  <c r="AK171" i="111"/>
  <c r="L171" i="111"/>
  <c r="K171" i="111"/>
  <c r="J171" i="111"/>
  <c r="DK170" i="111"/>
  <c r="DJ170" i="111"/>
  <c r="DI170" i="111"/>
  <c r="DH170" i="111"/>
  <c r="DF170" i="111"/>
  <c r="DB170" i="111"/>
  <c r="DA170" i="111"/>
  <c r="CZ170" i="111"/>
  <c r="CY170" i="111"/>
  <c r="CL170" i="111"/>
  <c r="BY170" i="111"/>
  <c r="DS170" i="111" s="1"/>
  <c r="AY170" i="111"/>
  <c r="AX170" i="111"/>
  <c r="AK170" i="111"/>
  <c r="L170" i="111"/>
  <c r="K170" i="111"/>
  <c r="J170" i="111"/>
  <c r="DK169" i="111"/>
  <c r="DJ169" i="111"/>
  <c r="DI169" i="111"/>
  <c r="DH169" i="111"/>
  <c r="DF169" i="111"/>
  <c r="DB169" i="111"/>
  <c r="DA169" i="111"/>
  <c r="CZ169" i="111"/>
  <c r="CY169" i="111"/>
  <c r="CL169" i="111"/>
  <c r="BY169" i="111"/>
  <c r="DS169" i="111" s="1"/>
  <c r="AY169" i="111"/>
  <c r="AX169" i="111"/>
  <c r="AK169" i="111"/>
  <c r="L169" i="111"/>
  <c r="K169" i="111"/>
  <c r="J169" i="111"/>
  <c r="DK168" i="111"/>
  <c r="DJ168" i="111"/>
  <c r="DI168" i="111"/>
  <c r="DH168" i="111"/>
  <c r="DF168" i="111"/>
  <c r="DB168" i="111"/>
  <c r="DA168" i="111"/>
  <c r="CZ168" i="111"/>
  <c r="CY168" i="111"/>
  <c r="CL168" i="111"/>
  <c r="BY168" i="111"/>
  <c r="DS168" i="111" s="1"/>
  <c r="AY168" i="111"/>
  <c r="AX168" i="111"/>
  <c r="AK168" i="111"/>
  <c r="L168" i="111"/>
  <c r="K168" i="111"/>
  <c r="J168" i="111"/>
  <c r="DK167" i="111"/>
  <c r="DJ167" i="111"/>
  <c r="DI167" i="111"/>
  <c r="DH167" i="111"/>
  <c r="DF167" i="111"/>
  <c r="DB167" i="111"/>
  <c r="DA167" i="111"/>
  <c r="CZ167" i="111"/>
  <c r="CY167" i="111"/>
  <c r="CL167" i="111"/>
  <c r="BY167" i="111"/>
  <c r="DS167" i="111" s="1"/>
  <c r="AY167" i="111"/>
  <c r="AX167" i="111"/>
  <c r="AK167" i="111"/>
  <c r="L167" i="111"/>
  <c r="K167" i="111"/>
  <c r="J167" i="111"/>
  <c r="DR166" i="111"/>
  <c r="DK166" i="111"/>
  <c r="DJ166" i="111"/>
  <c r="DI166" i="111"/>
  <c r="DH166" i="111"/>
  <c r="DF166" i="111"/>
  <c r="DB166" i="111"/>
  <c r="DA166" i="111"/>
  <c r="CZ166" i="111"/>
  <c r="CY166" i="111"/>
  <c r="CL166" i="111"/>
  <c r="BY166" i="111"/>
  <c r="AY166" i="111"/>
  <c r="AX166" i="111"/>
  <c r="AK166" i="111"/>
  <c r="L166" i="111"/>
  <c r="K166" i="111"/>
  <c r="J166" i="111"/>
  <c r="DK165" i="111"/>
  <c r="DJ165" i="111"/>
  <c r="DI165" i="111"/>
  <c r="DH165" i="111"/>
  <c r="DF165" i="111"/>
  <c r="DB165" i="111"/>
  <c r="DA165" i="111"/>
  <c r="CZ165" i="111"/>
  <c r="CY165" i="111"/>
  <c r="CL165" i="111"/>
  <c r="BY165" i="111"/>
  <c r="DS165" i="111" s="1"/>
  <c r="AY165" i="111"/>
  <c r="AX165" i="111"/>
  <c r="AK165" i="111"/>
  <c r="L165" i="111"/>
  <c r="K165" i="111"/>
  <c r="J165" i="111"/>
  <c r="DK164" i="111"/>
  <c r="DJ164" i="111"/>
  <c r="DI164" i="111"/>
  <c r="DH164" i="111"/>
  <c r="DF164" i="111"/>
  <c r="DB164" i="111"/>
  <c r="DA164" i="111"/>
  <c r="CZ164" i="111"/>
  <c r="CY164" i="111"/>
  <c r="CL164" i="111"/>
  <c r="BY164" i="111"/>
  <c r="DS164" i="111" s="1"/>
  <c r="AY164" i="111"/>
  <c r="AX164" i="111"/>
  <c r="AK164" i="111"/>
  <c r="L164" i="111"/>
  <c r="K164" i="111"/>
  <c r="J164" i="111"/>
  <c r="DR163" i="111"/>
  <c r="DK163" i="111"/>
  <c r="DJ163" i="111"/>
  <c r="DI163" i="111"/>
  <c r="DH163" i="111"/>
  <c r="DF163" i="111"/>
  <c r="DB163" i="111"/>
  <c r="DA163" i="111"/>
  <c r="CZ163" i="111"/>
  <c r="CY163" i="111"/>
  <c r="CL163" i="111"/>
  <c r="BY163" i="111"/>
  <c r="AY163" i="111"/>
  <c r="AX163" i="111"/>
  <c r="AK163" i="111"/>
  <c r="L163" i="111"/>
  <c r="K163" i="111"/>
  <c r="J163" i="111"/>
  <c r="DK162" i="111"/>
  <c r="DJ162" i="111"/>
  <c r="DI162" i="111"/>
  <c r="DH162" i="111"/>
  <c r="DF162" i="111"/>
  <c r="DB162" i="111"/>
  <c r="DA162" i="111"/>
  <c r="CZ162" i="111"/>
  <c r="CY162" i="111"/>
  <c r="CL162" i="111"/>
  <c r="BY162" i="111"/>
  <c r="DS162" i="111" s="1"/>
  <c r="AY162" i="111"/>
  <c r="AX162" i="111"/>
  <c r="AK162" i="111"/>
  <c r="L162" i="111"/>
  <c r="K162" i="111"/>
  <c r="J162" i="111"/>
  <c r="DR161" i="111"/>
  <c r="DK161" i="111"/>
  <c r="DJ161" i="111"/>
  <c r="DI161" i="111"/>
  <c r="DH161" i="111"/>
  <c r="DF161" i="111"/>
  <c r="DB161" i="111"/>
  <c r="DA161" i="111"/>
  <c r="CZ161" i="111"/>
  <c r="CY161" i="111"/>
  <c r="CL161" i="111"/>
  <c r="BY161" i="111"/>
  <c r="AY161" i="111"/>
  <c r="AX161" i="111"/>
  <c r="AK161" i="111"/>
  <c r="L161" i="111"/>
  <c r="K161" i="111"/>
  <c r="J161" i="111"/>
  <c r="DK160" i="111"/>
  <c r="DJ160" i="111"/>
  <c r="DI160" i="111"/>
  <c r="DH160" i="111"/>
  <c r="DF160" i="111"/>
  <c r="DB160" i="111"/>
  <c r="DA160" i="111"/>
  <c r="CZ160" i="111"/>
  <c r="CY160" i="111"/>
  <c r="CL160" i="111"/>
  <c r="BY160" i="111"/>
  <c r="DS160" i="111" s="1"/>
  <c r="AY160" i="111"/>
  <c r="AX160" i="111"/>
  <c r="AK160" i="111"/>
  <c r="L160" i="111"/>
  <c r="K160" i="111"/>
  <c r="J160" i="111"/>
  <c r="DR159" i="111"/>
  <c r="DK159" i="111"/>
  <c r="DJ159" i="111"/>
  <c r="DI159" i="111"/>
  <c r="DH159" i="111"/>
  <c r="DF159" i="111"/>
  <c r="DB159" i="111"/>
  <c r="DA159" i="111"/>
  <c r="CZ159" i="111"/>
  <c r="CY159" i="111"/>
  <c r="CL159" i="111"/>
  <c r="BY159" i="111"/>
  <c r="AY159" i="111"/>
  <c r="AX159" i="111"/>
  <c r="AK159" i="111"/>
  <c r="L159" i="111"/>
  <c r="K159" i="111"/>
  <c r="J159" i="111"/>
  <c r="DR158" i="111"/>
  <c r="DK158" i="111"/>
  <c r="DJ158" i="111"/>
  <c r="DI158" i="111"/>
  <c r="DH158" i="111"/>
  <c r="DF158" i="111"/>
  <c r="DB158" i="111"/>
  <c r="DA158" i="111"/>
  <c r="CZ158" i="111"/>
  <c r="CY158" i="111"/>
  <c r="CL158" i="111"/>
  <c r="BY158" i="111"/>
  <c r="AY158" i="111"/>
  <c r="AX158" i="111"/>
  <c r="AK158" i="111"/>
  <c r="L158" i="111"/>
  <c r="K158" i="111"/>
  <c r="J158" i="111"/>
  <c r="DK157" i="111"/>
  <c r="DJ157" i="111"/>
  <c r="DI157" i="111"/>
  <c r="DH157" i="111"/>
  <c r="DF157" i="111"/>
  <c r="DB157" i="111"/>
  <c r="DA157" i="111"/>
  <c r="CZ157" i="111"/>
  <c r="CY157" i="111"/>
  <c r="CL157" i="111"/>
  <c r="BY157" i="111"/>
  <c r="DS157" i="111" s="1"/>
  <c r="AY157" i="111"/>
  <c r="AX157" i="111"/>
  <c r="AK157" i="111"/>
  <c r="L157" i="111"/>
  <c r="K157" i="111"/>
  <c r="J157" i="111"/>
  <c r="DR156" i="111"/>
  <c r="DK156" i="111"/>
  <c r="DJ156" i="111"/>
  <c r="DI156" i="111"/>
  <c r="DH156" i="111"/>
  <c r="DF156" i="111"/>
  <c r="DB156" i="111"/>
  <c r="DA156" i="111"/>
  <c r="CZ156" i="111"/>
  <c r="CY156" i="111"/>
  <c r="CL156" i="111"/>
  <c r="BY156" i="111"/>
  <c r="AY156" i="111"/>
  <c r="AX156" i="111"/>
  <c r="AK156" i="111"/>
  <c r="L156" i="111"/>
  <c r="K156" i="111"/>
  <c r="J156" i="111"/>
  <c r="DK155" i="111"/>
  <c r="DJ155" i="111"/>
  <c r="DI155" i="111"/>
  <c r="DH155" i="111"/>
  <c r="DF155" i="111"/>
  <c r="DB155" i="111"/>
  <c r="DA155" i="111"/>
  <c r="CZ155" i="111"/>
  <c r="CY155" i="111"/>
  <c r="CL155" i="111"/>
  <c r="BY155" i="111"/>
  <c r="AY155" i="111"/>
  <c r="AX155" i="111"/>
  <c r="AK155" i="111"/>
  <c r="L155" i="111"/>
  <c r="K155" i="111"/>
  <c r="J155" i="111"/>
  <c r="DK154" i="111"/>
  <c r="DJ154" i="111"/>
  <c r="DI154" i="111"/>
  <c r="DH154" i="111"/>
  <c r="DF154" i="111"/>
  <c r="DB154" i="111"/>
  <c r="DA154" i="111"/>
  <c r="CZ154" i="111"/>
  <c r="CY154" i="111"/>
  <c r="CL154" i="111"/>
  <c r="BY154" i="111"/>
  <c r="AY154" i="111"/>
  <c r="AX154" i="111"/>
  <c r="AK154" i="111"/>
  <c r="L154" i="111"/>
  <c r="K154" i="111"/>
  <c r="J154" i="111"/>
  <c r="DR153" i="111"/>
  <c r="DK153" i="111"/>
  <c r="DJ153" i="111"/>
  <c r="DI153" i="111"/>
  <c r="DH153" i="111"/>
  <c r="DF153" i="111"/>
  <c r="DB153" i="111"/>
  <c r="DA153" i="111"/>
  <c r="CZ153" i="111"/>
  <c r="CY153" i="111"/>
  <c r="CL153" i="111"/>
  <c r="BY153" i="111"/>
  <c r="AY153" i="111"/>
  <c r="AX153" i="111"/>
  <c r="AK153" i="111"/>
  <c r="L153" i="111"/>
  <c r="K153" i="111"/>
  <c r="J153" i="111"/>
  <c r="DK152" i="111"/>
  <c r="DJ152" i="111"/>
  <c r="DI152" i="111"/>
  <c r="DH152" i="111"/>
  <c r="DF152" i="111"/>
  <c r="DB152" i="111"/>
  <c r="DA152" i="111"/>
  <c r="CZ152" i="111"/>
  <c r="CY152" i="111"/>
  <c r="CL152" i="111"/>
  <c r="BY152" i="111"/>
  <c r="DS152" i="111" s="1"/>
  <c r="AY152" i="111"/>
  <c r="AX152" i="111"/>
  <c r="AK152" i="111"/>
  <c r="L152" i="111"/>
  <c r="K152" i="111"/>
  <c r="J152" i="111"/>
  <c r="DR151" i="111"/>
  <c r="DK151" i="111"/>
  <c r="DJ151" i="111"/>
  <c r="DI151" i="111"/>
  <c r="DH151" i="111"/>
  <c r="DF151" i="111"/>
  <c r="DB151" i="111"/>
  <c r="DA151" i="111"/>
  <c r="CZ151" i="111"/>
  <c r="CY151" i="111"/>
  <c r="CL151" i="111"/>
  <c r="BY151" i="111"/>
  <c r="AY151" i="111"/>
  <c r="AX151" i="111"/>
  <c r="AK151" i="111"/>
  <c r="L151" i="111"/>
  <c r="K151" i="111"/>
  <c r="J151" i="111"/>
  <c r="DK150" i="111"/>
  <c r="DJ150" i="111"/>
  <c r="DI150" i="111"/>
  <c r="DH150" i="111"/>
  <c r="DF150" i="111"/>
  <c r="DB150" i="111"/>
  <c r="DA150" i="111"/>
  <c r="CZ150" i="111"/>
  <c r="CY150" i="111"/>
  <c r="CL150" i="111"/>
  <c r="BY150" i="111"/>
  <c r="DS150" i="111" s="1"/>
  <c r="AY150" i="111"/>
  <c r="AX150" i="111"/>
  <c r="AK150" i="111"/>
  <c r="L150" i="111"/>
  <c r="K150" i="111"/>
  <c r="J150" i="111"/>
  <c r="DK149" i="111"/>
  <c r="DJ149" i="111"/>
  <c r="DI149" i="111"/>
  <c r="DH149" i="111"/>
  <c r="DF149" i="111"/>
  <c r="DB149" i="111"/>
  <c r="DA149" i="111"/>
  <c r="CZ149" i="111"/>
  <c r="CY149" i="111"/>
  <c r="CL149" i="111"/>
  <c r="BY149" i="111"/>
  <c r="DS149" i="111" s="1"/>
  <c r="AY149" i="111"/>
  <c r="AX149" i="111"/>
  <c r="AK149" i="111"/>
  <c r="L149" i="111"/>
  <c r="K149" i="111"/>
  <c r="J149" i="111"/>
  <c r="DR148" i="111"/>
  <c r="DK148" i="111"/>
  <c r="DJ148" i="111"/>
  <c r="DI148" i="111"/>
  <c r="DH148" i="111"/>
  <c r="DF148" i="111"/>
  <c r="DB148" i="111"/>
  <c r="DA148" i="111"/>
  <c r="CZ148" i="111"/>
  <c r="CY148" i="111"/>
  <c r="CL148" i="111"/>
  <c r="BY148" i="111"/>
  <c r="AY148" i="111"/>
  <c r="AX148" i="111"/>
  <c r="AK148" i="111"/>
  <c r="L148" i="111"/>
  <c r="K148" i="111"/>
  <c r="J148" i="111"/>
  <c r="DK147" i="111"/>
  <c r="DJ147" i="111"/>
  <c r="DI147" i="111"/>
  <c r="DH147" i="111"/>
  <c r="DF147" i="111"/>
  <c r="DB147" i="111"/>
  <c r="DA147" i="111"/>
  <c r="CZ147" i="111"/>
  <c r="CY147" i="111"/>
  <c r="CL147" i="111"/>
  <c r="BY147" i="111"/>
  <c r="DS147" i="111" s="1"/>
  <c r="AY147" i="111"/>
  <c r="AX147" i="111"/>
  <c r="AK147" i="111"/>
  <c r="L147" i="111"/>
  <c r="K147" i="111"/>
  <c r="J147" i="111"/>
  <c r="DK146" i="111"/>
  <c r="DJ146" i="111"/>
  <c r="DI146" i="111"/>
  <c r="DH146" i="111"/>
  <c r="DF146" i="111"/>
  <c r="DB146" i="111"/>
  <c r="DA146" i="111"/>
  <c r="CZ146" i="111"/>
  <c r="CY146" i="111"/>
  <c r="CL146" i="111"/>
  <c r="BY146" i="111"/>
  <c r="DS146" i="111" s="1"/>
  <c r="AY146" i="111"/>
  <c r="AX146" i="111"/>
  <c r="AK146" i="111"/>
  <c r="L146" i="111"/>
  <c r="K146" i="111"/>
  <c r="J146" i="111"/>
  <c r="DK145" i="111"/>
  <c r="DJ145" i="111"/>
  <c r="DI145" i="111"/>
  <c r="DH145" i="111"/>
  <c r="DF145" i="111"/>
  <c r="DB145" i="111"/>
  <c r="DA145" i="111"/>
  <c r="CZ145" i="111"/>
  <c r="CY145" i="111"/>
  <c r="CL145" i="111"/>
  <c r="BY145" i="111"/>
  <c r="DS145" i="111" s="1"/>
  <c r="AY145" i="111"/>
  <c r="AX145" i="111"/>
  <c r="AK145" i="111"/>
  <c r="L145" i="111"/>
  <c r="K145" i="111"/>
  <c r="J145" i="111"/>
  <c r="DR144" i="111"/>
  <c r="DK144" i="111"/>
  <c r="DJ144" i="111"/>
  <c r="DI144" i="111"/>
  <c r="DH144" i="111"/>
  <c r="DF144" i="111"/>
  <c r="DB144" i="111"/>
  <c r="DA144" i="111"/>
  <c r="CZ144" i="111"/>
  <c r="CY144" i="111"/>
  <c r="CL144" i="111"/>
  <c r="BY144" i="111"/>
  <c r="AY144" i="111"/>
  <c r="AX144" i="111"/>
  <c r="AK144" i="111"/>
  <c r="L144" i="111"/>
  <c r="K144" i="111"/>
  <c r="J144" i="111"/>
  <c r="DR143" i="111"/>
  <c r="DK143" i="111"/>
  <c r="DJ143" i="111"/>
  <c r="DI143" i="111"/>
  <c r="DH143" i="111"/>
  <c r="DF143" i="111"/>
  <c r="DB143" i="111"/>
  <c r="DA143" i="111"/>
  <c r="CZ143" i="111"/>
  <c r="CY143" i="111"/>
  <c r="CL143" i="111"/>
  <c r="BY143" i="111"/>
  <c r="AY143" i="111"/>
  <c r="AX143" i="111"/>
  <c r="AK143" i="111"/>
  <c r="L143" i="111"/>
  <c r="K143" i="111"/>
  <c r="J143" i="111"/>
  <c r="DK142" i="111"/>
  <c r="DJ142" i="111"/>
  <c r="DI142" i="111"/>
  <c r="DH142" i="111"/>
  <c r="DF142" i="111"/>
  <c r="DB142" i="111"/>
  <c r="DA142" i="111"/>
  <c r="CZ142" i="111"/>
  <c r="CY142" i="111"/>
  <c r="CL142" i="111"/>
  <c r="BY142" i="111"/>
  <c r="DS142" i="111" s="1"/>
  <c r="AY142" i="111"/>
  <c r="AX142" i="111"/>
  <c r="AK142" i="111"/>
  <c r="L142" i="111"/>
  <c r="K142" i="111"/>
  <c r="J142" i="111"/>
  <c r="DK141" i="111"/>
  <c r="DJ141" i="111"/>
  <c r="DI141" i="111"/>
  <c r="DH141" i="111"/>
  <c r="DF141" i="111"/>
  <c r="DB141" i="111"/>
  <c r="DA141" i="111"/>
  <c r="CZ141" i="111"/>
  <c r="CY141" i="111"/>
  <c r="CL141" i="111"/>
  <c r="BY141" i="111"/>
  <c r="DS141" i="111" s="1"/>
  <c r="AY141" i="111"/>
  <c r="AX141" i="111"/>
  <c r="AK141" i="111"/>
  <c r="L141" i="111"/>
  <c r="K141" i="111"/>
  <c r="J141" i="111"/>
  <c r="DK140" i="111"/>
  <c r="DJ140" i="111"/>
  <c r="DI140" i="111"/>
  <c r="DH140" i="111"/>
  <c r="DF140" i="111"/>
  <c r="DB140" i="111"/>
  <c r="DA140" i="111"/>
  <c r="CZ140" i="111"/>
  <c r="CY140" i="111"/>
  <c r="CL140" i="111"/>
  <c r="BY140" i="111"/>
  <c r="DS140" i="111" s="1"/>
  <c r="AY140" i="111"/>
  <c r="AX140" i="111"/>
  <c r="AK140" i="111"/>
  <c r="L140" i="111"/>
  <c r="K140" i="111"/>
  <c r="J140" i="111"/>
  <c r="DK139" i="111"/>
  <c r="DJ139" i="111"/>
  <c r="DI139" i="111"/>
  <c r="DH139" i="111"/>
  <c r="DF139" i="111"/>
  <c r="DB139" i="111"/>
  <c r="DA139" i="111"/>
  <c r="CZ139" i="111"/>
  <c r="CY139" i="111"/>
  <c r="CL139" i="111"/>
  <c r="BY139" i="111"/>
  <c r="DS139" i="111" s="1"/>
  <c r="AY139" i="111"/>
  <c r="AX139" i="111"/>
  <c r="AK139" i="111"/>
  <c r="L139" i="111"/>
  <c r="K139" i="111"/>
  <c r="J139" i="111"/>
  <c r="DK138" i="111"/>
  <c r="DJ138" i="111"/>
  <c r="DI138" i="111"/>
  <c r="DH138" i="111"/>
  <c r="DF138" i="111"/>
  <c r="DB138" i="111"/>
  <c r="DA138" i="111"/>
  <c r="CZ138" i="111"/>
  <c r="CY138" i="111"/>
  <c r="CL138" i="111"/>
  <c r="BY138" i="111"/>
  <c r="DS138" i="111" s="1"/>
  <c r="AY138" i="111"/>
  <c r="AX138" i="111"/>
  <c r="AK138" i="111"/>
  <c r="L138" i="111"/>
  <c r="K138" i="111"/>
  <c r="J138" i="111"/>
  <c r="DK137" i="111"/>
  <c r="DJ137" i="111"/>
  <c r="DI137" i="111"/>
  <c r="DH137" i="111"/>
  <c r="DF137" i="111"/>
  <c r="DB137" i="111"/>
  <c r="DA137" i="111"/>
  <c r="CZ137" i="111"/>
  <c r="CY137" i="111"/>
  <c r="CL137" i="111"/>
  <c r="BY137" i="111"/>
  <c r="DS137" i="111" s="1"/>
  <c r="AY137" i="111"/>
  <c r="AX137" i="111"/>
  <c r="AK137" i="111"/>
  <c r="L137" i="111"/>
  <c r="K137" i="111"/>
  <c r="J137" i="111"/>
  <c r="DK136" i="111"/>
  <c r="DJ136" i="111"/>
  <c r="DI136" i="111"/>
  <c r="DH136" i="111"/>
  <c r="DF136" i="111"/>
  <c r="DB136" i="111"/>
  <c r="DA136" i="111"/>
  <c r="CZ136" i="111"/>
  <c r="CY136" i="111"/>
  <c r="CL136" i="111"/>
  <c r="BY136" i="111"/>
  <c r="DS136" i="111" s="1"/>
  <c r="AY136" i="111"/>
  <c r="AX136" i="111"/>
  <c r="AK136" i="111"/>
  <c r="L136" i="111"/>
  <c r="K136" i="111"/>
  <c r="J136" i="111"/>
  <c r="DK135" i="111"/>
  <c r="DJ135" i="111"/>
  <c r="DI135" i="111"/>
  <c r="DH135" i="111"/>
  <c r="DF135" i="111"/>
  <c r="DB135" i="111"/>
  <c r="DA135" i="111"/>
  <c r="CZ135" i="111"/>
  <c r="CY135" i="111"/>
  <c r="CL135" i="111"/>
  <c r="BY135" i="111"/>
  <c r="DS135" i="111" s="1"/>
  <c r="AY135" i="111"/>
  <c r="AX135" i="111"/>
  <c r="AK135" i="111"/>
  <c r="L135" i="111"/>
  <c r="K135" i="111"/>
  <c r="J135" i="111"/>
  <c r="DR134" i="111"/>
  <c r="DK134" i="111"/>
  <c r="DJ134" i="111"/>
  <c r="DI134" i="111"/>
  <c r="DH134" i="111"/>
  <c r="DF134" i="111"/>
  <c r="DB134" i="111"/>
  <c r="DA134" i="111"/>
  <c r="CZ134" i="111"/>
  <c r="CY134" i="111"/>
  <c r="CL134" i="111"/>
  <c r="BY134" i="111"/>
  <c r="AY134" i="111"/>
  <c r="AX134" i="111"/>
  <c r="AK134" i="111"/>
  <c r="L134" i="111"/>
  <c r="K134" i="111"/>
  <c r="J134" i="111"/>
  <c r="DR133" i="111"/>
  <c r="DK133" i="111"/>
  <c r="DJ133" i="111"/>
  <c r="DI133" i="111"/>
  <c r="DH133" i="111"/>
  <c r="DF133" i="111"/>
  <c r="DB133" i="111"/>
  <c r="DA133" i="111"/>
  <c r="CZ133" i="111"/>
  <c r="CY133" i="111"/>
  <c r="CL133" i="111"/>
  <c r="BY133" i="111"/>
  <c r="AY133" i="111"/>
  <c r="AX133" i="111"/>
  <c r="AK133" i="111"/>
  <c r="L133" i="111"/>
  <c r="K133" i="111"/>
  <c r="J133" i="111"/>
  <c r="DK132" i="111"/>
  <c r="DJ132" i="111"/>
  <c r="DI132" i="111"/>
  <c r="DH132" i="111"/>
  <c r="DF132" i="111"/>
  <c r="DB132" i="111"/>
  <c r="DA132" i="111"/>
  <c r="CZ132" i="111"/>
  <c r="CY132" i="111"/>
  <c r="CL132" i="111"/>
  <c r="BY132" i="111"/>
  <c r="DS132" i="111" s="1"/>
  <c r="AY132" i="111"/>
  <c r="AX132" i="111"/>
  <c r="AK132" i="111"/>
  <c r="L132" i="111"/>
  <c r="K132" i="111"/>
  <c r="J132" i="111"/>
  <c r="DR131" i="111"/>
  <c r="DK131" i="111"/>
  <c r="DJ131" i="111"/>
  <c r="DI131" i="111"/>
  <c r="DH131" i="111"/>
  <c r="DF131" i="111"/>
  <c r="DB131" i="111"/>
  <c r="DA131" i="111"/>
  <c r="CZ131" i="111"/>
  <c r="CY131" i="111"/>
  <c r="CL131" i="111"/>
  <c r="BY131" i="111"/>
  <c r="AY131" i="111"/>
  <c r="AX131" i="111"/>
  <c r="AK131" i="111"/>
  <c r="L131" i="111"/>
  <c r="K131" i="111"/>
  <c r="J131" i="111"/>
  <c r="DK130" i="111"/>
  <c r="DJ130" i="111"/>
  <c r="DI130" i="111"/>
  <c r="DH130" i="111"/>
  <c r="DF130" i="111"/>
  <c r="DB130" i="111"/>
  <c r="DA130" i="111"/>
  <c r="CZ130" i="111"/>
  <c r="CY130" i="111"/>
  <c r="CL130" i="111"/>
  <c r="BY130" i="111"/>
  <c r="DS130" i="111" s="1"/>
  <c r="AY130" i="111"/>
  <c r="AX130" i="111"/>
  <c r="AK130" i="111"/>
  <c r="L130" i="111"/>
  <c r="K130" i="111"/>
  <c r="J130" i="111"/>
  <c r="DK129" i="111"/>
  <c r="DJ129" i="111"/>
  <c r="DI129" i="111"/>
  <c r="DH129" i="111"/>
  <c r="DF129" i="111"/>
  <c r="DB129" i="111"/>
  <c r="DA129" i="111"/>
  <c r="CZ129" i="111"/>
  <c r="CY129" i="111"/>
  <c r="CL129" i="111"/>
  <c r="BY129" i="111"/>
  <c r="AY129" i="111"/>
  <c r="AX129" i="111"/>
  <c r="AK129" i="111"/>
  <c r="L129" i="111"/>
  <c r="K129" i="111"/>
  <c r="J129" i="111"/>
  <c r="DK128" i="111"/>
  <c r="DJ128" i="111"/>
  <c r="DI128" i="111"/>
  <c r="DH128" i="111"/>
  <c r="DF128" i="111"/>
  <c r="DB128" i="111"/>
  <c r="DA128" i="111"/>
  <c r="CZ128" i="111"/>
  <c r="CY128" i="111"/>
  <c r="CL128" i="111"/>
  <c r="BY128" i="111"/>
  <c r="DS128" i="111" s="1"/>
  <c r="AY128" i="111"/>
  <c r="AX128" i="111"/>
  <c r="AK128" i="111"/>
  <c r="L128" i="111"/>
  <c r="K128" i="111"/>
  <c r="J128" i="111"/>
  <c r="DR127" i="111"/>
  <c r="DK127" i="111"/>
  <c r="DJ127" i="111"/>
  <c r="DI127" i="111"/>
  <c r="DH127" i="111"/>
  <c r="DF127" i="111"/>
  <c r="DB127" i="111"/>
  <c r="DA127" i="111"/>
  <c r="CZ127" i="111"/>
  <c r="CY127" i="111"/>
  <c r="CL127" i="111"/>
  <c r="BY127" i="111"/>
  <c r="AY127" i="111"/>
  <c r="AX127" i="111"/>
  <c r="AK127" i="111"/>
  <c r="L127" i="111"/>
  <c r="K127" i="111"/>
  <c r="J127" i="111"/>
  <c r="DR126" i="111"/>
  <c r="DK126" i="111"/>
  <c r="DJ126" i="111"/>
  <c r="DI126" i="111"/>
  <c r="DH126" i="111"/>
  <c r="DF126" i="111"/>
  <c r="DB126" i="111"/>
  <c r="DA126" i="111"/>
  <c r="CZ126" i="111"/>
  <c r="CY126" i="111"/>
  <c r="CL126" i="111"/>
  <c r="BY126" i="111"/>
  <c r="AY126" i="111"/>
  <c r="AX126" i="111"/>
  <c r="AK126" i="111"/>
  <c r="L126" i="111"/>
  <c r="K126" i="111"/>
  <c r="J126" i="111"/>
  <c r="DK125" i="111"/>
  <c r="DJ125" i="111"/>
  <c r="DI125" i="111"/>
  <c r="DH125" i="111"/>
  <c r="DF125" i="111"/>
  <c r="DB125" i="111"/>
  <c r="DA125" i="111"/>
  <c r="CZ125" i="111"/>
  <c r="CY125" i="111"/>
  <c r="CL125" i="111"/>
  <c r="BY125" i="111"/>
  <c r="DS125" i="111" s="1"/>
  <c r="AY125" i="111"/>
  <c r="AX125" i="111"/>
  <c r="AK125" i="111"/>
  <c r="L125" i="111"/>
  <c r="K125" i="111"/>
  <c r="J125" i="111"/>
  <c r="DR124" i="111"/>
  <c r="DK124" i="111"/>
  <c r="DJ124" i="111"/>
  <c r="DI124" i="111"/>
  <c r="DH124" i="111"/>
  <c r="DF124" i="111"/>
  <c r="DB124" i="111"/>
  <c r="DA124" i="111"/>
  <c r="CZ124" i="111"/>
  <c r="CY124" i="111"/>
  <c r="CL124" i="111"/>
  <c r="BY124" i="111"/>
  <c r="AY124" i="111"/>
  <c r="AX124" i="111"/>
  <c r="AK124" i="111"/>
  <c r="L124" i="111"/>
  <c r="K124" i="111"/>
  <c r="J124" i="111"/>
  <c r="DR123" i="111"/>
  <c r="DK123" i="111"/>
  <c r="DJ123" i="111"/>
  <c r="DI123" i="111"/>
  <c r="DH123" i="111"/>
  <c r="DF123" i="111"/>
  <c r="DB123" i="111"/>
  <c r="DA123" i="111"/>
  <c r="CZ123" i="111"/>
  <c r="CY123" i="111"/>
  <c r="CL123" i="111"/>
  <c r="BY123" i="111"/>
  <c r="AY123" i="111"/>
  <c r="AX123" i="111"/>
  <c r="AK123" i="111"/>
  <c r="L123" i="111"/>
  <c r="K123" i="111"/>
  <c r="J123" i="111"/>
  <c r="DR122" i="111"/>
  <c r="DK122" i="111"/>
  <c r="DJ122" i="111"/>
  <c r="DI122" i="111"/>
  <c r="DH122" i="111"/>
  <c r="DF122" i="111"/>
  <c r="DB122" i="111"/>
  <c r="DA122" i="111"/>
  <c r="CZ122" i="111"/>
  <c r="CY122" i="111"/>
  <c r="CL122" i="111"/>
  <c r="BY122" i="111"/>
  <c r="AY122" i="111"/>
  <c r="AX122" i="111"/>
  <c r="AK122" i="111"/>
  <c r="L122" i="111"/>
  <c r="K122" i="111"/>
  <c r="J122" i="111"/>
  <c r="DK121" i="111"/>
  <c r="DJ121" i="111"/>
  <c r="DI121" i="111"/>
  <c r="DH121" i="111"/>
  <c r="DF121" i="111"/>
  <c r="DB121" i="111"/>
  <c r="DA121" i="111"/>
  <c r="CZ121" i="111"/>
  <c r="CY121" i="111"/>
  <c r="CL121" i="111"/>
  <c r="BY121" i="111"/>
  <c r="DS121" i="111" s="1"/>
  <c r="AY121" i="111"/>
  <c r="AX121" i="111"/>
  <c r="AK121" i="111"/>
  <c r="L121" i="111"/>
  <c r="K121" i="111"/>
  <c r="J121" i="111"/>
  <c r="DK120" i="111"/>
  <c r="DJ120" i="111"/>
  <c r="DI120" i="111"/>
  <c r="DH120" i="111"/>
  <c r="DF120" i="111"/>
  <c r="DB120" i="111"/>
  <c r="DA120" i="111"/>
  <c r="CZ120" i="111"/>
  <c r="CY120" i="111"/>
  <c r="CL120" i="111"/>
  <c r="BY120" i="111"/>
  <c r="DS120" i="111" s="1"/>
  <c r="AY120" i="111"/>
  <c r="AX120" i="111"/>
  <c r="AK120" i="111"/>
  <c r="L120" i="111"/>
  <c r="K120" i="111"/>
  <c r="J120" i="111"/>
  <c r="DR119" i="111"/>
  <c r="DK119" i="111"/>
  <c r="DJ119" i="111"/>
  <c r="DI119" i="111"/>
  <c r="DH119" i="111"/>
  <c r="DF119" i="111"/>
  <c r="DB119" i="111"/>
  <c r="DA119" i="111"/>
  <c r="CZ119" i="111"/>
  <c r="CY119" i="111"/>
  <c r="CL119" i="111"/>
  <c r="BY119" i="111"/>
  <c r="AY119" i="111"/>
  <c r="AX119" i="111"/>
  <c r="AK119" i="111"/>
  <c r="L119" i="111"/>
  <c r="K119" i="111"/>
  <c r="J119" i="111"/>
  <c r="DK118" i="111"/>
  <c r="DJ118" i="111"/>
  <c r="DI118" i="111"/>
  <c r="DH118" i="111"/>
  <c r="DF118" i="111"/>
  <c r="DB118" i="111"/>
  <c r="DA118" i="111"/>
  <c r="CZ118" i="111"/>
  <c r="CY118" i="111"/>
  <c r="CL118" i="111"/>
  <c r="BY118" i="111"/>
  <c r="DS118" i="111" s="1"/>
  <c r="AY118" i="111"/>
  <c r="AX118" i="111"/>
  <c r="AK118" i="111"/>
  <c r="L118" i="111"/>
  <c r="K118" i="111"/>
  <c r="J118" i="111"/>
  <c r="DK117" i="111"/>
  <c r="DJ117" i="111"/>
  <c r="DI117" i="111"/>
  <c r="DH117" i="111"/>
  <c r="DF117" i="111"/>
  <c r="DB117" i="111"/>
  <c r="DA117" i="111"/>
  <c r="CZ117" i="111"/>
  <c r="CY117" i="111"/>
  <c r="CL117" i="111"/>
  <c r="BY117" i="111"/>
  <c r="DS117" i="111" s="1"/>
  <c r="AY117" i="111"/>
  <c r="AX117" i="111"/>
  <c r="AK117" i="111"/>
  <c r="L117" i="111"/>
  <c r="K117" i="111"/>
  <c r="J117" i="111"/>
  <c r="DK116" i="111"/>
  <c r="DJ116" i="111"/>
  <c r="DI116" i="111"/>
  <c r="DH116" i="111"/>
  <c r="DF116" i="111"/>
  <c r="DB116" i="111"/>
  <c r="DA116" i="111"/>
  <c r="CZ116" i="111"/>
  <c r="CY116" i="111"/>
  <c r="CL116" i="111"/>
  <c r="BY116" i="111"/>
  <c r="DS116" i="111" s="1"/>
  <c r="AY116" i="111"/>
  <c r="AX116" i="111"/>
  <c r="AK116" i="111"/>
  <c r="L116" i="111"/>
  <c r="K116" i="111"/>
  <c r="J116" i="111"/>
  <c r="DK115" i="111"/>
  <c r="DJ115" i="111"/>
  <c r="DI115" i="111"/>
  <c r="DH115" i="111"/>
  <c r="DF115" i="111"/>
  <c r="DB115" i="111"/>
  <c r="DA115" i="111"/>
  <c r="CZ115" i="111"/>
  <c r="CY115" i="111"/>
  <c r="CL115" i="111"/>
  <c r="BY115" i="111"/>
  <c r="DS115" i="111" s="1"/>
  <c r="AY115" i="111"/>
  <c r="AX115" i="111"/>
  <c r="AK115" i="111"/>
  <c r="L115" i="111"/>
  <c r="K115" i="111"/>
  <c r="J115" i="111"/>
  <c r="DK114" i="111"/>
  <c r="DJ114" i="111"/>
  <c r="DI114" i="111"/>
  <c r="DH114" i="111"/>
  <c r="DF114" i="111"/>
  <c r="DB114" i="111"/>
  <c r="DA114" i="111"/>
  <c r="CZ114" i="111"/>
  <c r="CY114" i="111"/>
  <c r="CL114" i="111"/>
  <c r="BY114" i="111"/>
  <c r="DS114" i="111" s="1"/>
  <c r="AY114" i="111"/>
  <c r="AX114" i="111"/>
  <c r="AK114" i="111"/>
  <c r="L114" i="111"/>
  <c r="K114" i="111"/>
  <c r="J114" i="111"/>
  <c r="DK113" i="111"/>
  <c r="DJ113" i="111"/>
  <c r="DI113" i="111"/>
  <c r="DH113" i="111"/>
  <c r="DF113" i="111"/>
  <c r="DB113" i="111"/>
  <c r="DA113" i="111"/>
  <c r="CZ113" i="111"/>
  <c r="CY113" i="111"/>
  <c r="CL113" i="111"/>
  <c r="BY113" i="111"/>
  <c r="DS113" i="111" s="1"/>
  <c r="AY113" i="111"/>
  <c r="AX113" i="111"/>
  <c r="AK113" i="111"/>
  <c r="L113" i="111"/>
  <c r="K113" i="111"/>
  <c r="J113" i="111"/>
  <c r="DR112" i="111"/>
  <c r="DK112" i="111"/>
  <c r="DJ112" i="111"/>
  <c r="DI112" i="111"/>
  <c r="DH112" i="111"/>
  <c r="DF112" i="111"/>
  <c r="DB112" i="111"/>
  <c r="DA112" i="111"/>
  <c r="CZ112" i="111"/>
  <c r="CY112" i="111"/>
  <c r="CL112" i="111"/>
  <c r="BY112" i="111"/>
  <c r="AY112" i="111"/>
  <c r="AV112" i="111"/>
  <c r="AX112" i="111" s="1"/>
  <c r="AK112" i="111"/>
  <c r="L112" i="111"/>
  <c r="K112" i="111"/>
  <c r="J112" i="111"/>
  <c r="DK111" i="111"/>
  <c r="DJ111" i="111"/>
  <c r="DI111" i="111"/>
  <c r="DH111" i="111"/>
  <c r="DF111" i="111"/>
  <c r="DB111" i="111"/>
  <c r="DA111" i="111"/>
  <c r="CZ111" i="111"/>
  <c r="CY111" i="111"/>
  <c r="CL111" i="111"/>
  <c r="BY111" i="111"/>
  <c r="DS111" i="111" s="1"/>
  <c r="AY111" i="111"/>
  <c r="AX111" i="111"/>
  <c r="AK111" i="111"/>
  <c r="L111" i="111"/>
  <c r="K111" i="111"/>
  <c r="J111" i="111"/>
  <c r="DK110" i="111"/>
  <c r="DJ110" i="111"/>
  <c r="DI110" i="111"/>
  <c r="DH110" i="111"/>
  <c r="DF110" i="111"/>
  <c r="DB110" i="111"/>
  <c r="DA110" i="111"/>
  <c r="CZ110" i="111"/>
  <c r="CY110" i="111"/>
  <c r="CL110" i="111"/>
  <c r="BY110" i="111"/>
  <c r="AY110" i="111"/>
  <c r="AX110" i="111"/>
  <c r="AK110" i="111"/>
  <c r="L110" i="111"/>
  <c r="K110" i="111"/>
  <c r="J110" i="111"/>
  <c r="DK109" i="111"/>
  <c r="DJ109" i="111"/>
  <c r="DI109" i="111"/>
  <c r="DH109" i="111"/>
  <c r="DF109" i="111"/>
  <c r="DB109" i="111"/>
  <c r="DA109" i="111"/>
  <c r="CZ109" i="111"/>
  <c r="CY109" i="111"/>
  <c r="CL109" i="111"/>
  <c r="BY109" i="111"/>
  <c r="DS109" i="111" s="1"/>
  <c r="AY109" i="111"/>
  <c r="AX109" i="111"/>
  <c r="AK109" i="111"/>
  <c r="L109" i="111"/>
  <c r="K109" i="111"/>
  <c r="J109" i="111"/>
  <c r="DR108" i="111"/>
  <c r="DK108" i="111"/>
  <c r="DJ108" i="111"/>
  <c r="DI108" i="111"/>
  <c r="DH108" i="111"/>
  <c r="DF108" i="111"/>
  <c r="DB108" i="111"/>
  <c r="DA108" i="111"/>
  <c r="CZ108" i="111"/>
  <c r="CY108" i="111"/>
  <c r="CL108" i="111"/>
  <c r="BY108" i="111"/>
  <c r="AY108" i="111"/>
  <c r="AX108" i="111"/>
  <c r="AK108" i="111"/>
  <c r="L108" i="111"/>
  <c r="K108" i="111"/>
  <c r="J108" i="111"/>
  <c r="DR107" i="111"/>
  <c r="DK107" i="111"/>
  <c r="DJ107" i="111"/>
  <c r="DI107" i="111"/>
  <c r="DH107" i="111"/>
  <c r="DF107" i="111"/>
  <c r="DB107" i="111"/>
  <c r="DA107" i="111"/>
  <c r="CZ107" i="111"/>
  <c r="CY107" i="111"/>
  <c r="CL107" i="111"/>
  <c r="BY107" i="111"/>
  <c r="AY107" i="111"/>
  <c r="AX107" i="111"/>
  <c r="AK107" i="111"/>
  <c r="L107" i="111"/>
  <c r="K107" i="111"/>
  <c r="J107" i="111"/>
  <c r="DK106" i="111"/>
  <c r="DJ106" i="111"/>
  <c r="DI106" i="111"/>
  <c r="DH106" i="111"/>
  <c r="DF106" i="111"/>
  <c r="DB106" i="111"/>
  <c r="DA106" i="111"/>
  <c r="CZ106" i="111"/>
  <c r="CY106" i="111"/>
  <c r="CL106" i="111"/>
  <c r="BY106" i="111"/>
  <c r="DS106" i="111" s="1"/>
  <c r="AY106" i="111"/>
  <c r="AX106" i="111"/>
  <c r="AK106" i="111"/>
  <c r="L106" i="111"/>
  <c r="K106" i="111"/>
  <c r="J106" i="111"/>
  <c r="DK105" i="111"/>
  <c r="DJ105" i="111"/>
  <c r="DI105" i="111"/>
  <c r="DH105" i="111"/>
  <c r="DF105" i="111"/>
  <c r="DB105" i="111"/>
  <c r="DA105" i="111"/>
  <c r="CZ105" i="111"/>
  <c r="CY105" i="111"/>
  <c r="CL105" i="111"/>
  <c r="BY105" i="111"/>
  <c r="AY105" i="111"/>
  <c r="AX105" i="111"/>
  <c r="AK105" i="111"/>
  <c r="L105" i="111"/>
  <c r="K105" i="111"/>
  <c r="J105" i="111"/>
  <c r="DK104" i="111"/>
  <c r="DJ104" i="111"/>
  <c r="DI104" i="111"/>
  <c r="DH104" i="111"/>
  <c r="DF104" i="111"/>
  <c r="DB104" i="111"/>
  <c r="DA104" i="111"/>
  <c r="CZ104" i="111"/>
  <c r="CY104" i="111"/>
  <c r="CL104" i="111"/>
  <c r="BY104" i="111"/>
  <c r="DS104" i="111" s="1"/>
  <c r="AY104" i="111"/>
  <c r="AX104" i="111"/>
  <c r="AK104" i="111"/>
  <c r="L104" i="111"/>
  <c r="K104" i="111"/>
  <c r="J104" i="111"/>
  <c r="DK103" i="111"/>
  <c r="DJ103" i="111"/>
  <c r="DI103" i="111"/>
  <c r="DH103" i="111"/>
  <c r="DF103" i="111"/>
  <c r="DB103" i="111"/>
  <c r="DA103" i="111"/>
  <c r="CZ103" i="111"/>
  <c r="CY103" i="111"/>
  <c r="CL103" i="111"/>
  <c r="BY103" i="111"/>
  <c r="AY103" i="111"/>
  <c r="AX103" i="111"/>
  <c r="AK103" i="111"/>
  <c r="L103" i="111"/>
  <c r="K103" i="111"/>
  <c r="J103" i="111"/>
  <c r="DK102" i="111"/>
  <c r="DJ102" i="111"/>
  <c r="DI102" i="111"/>
  <c r="DH102" i="111"/>
  <c r="DF102" i="111"/>
  <c r="DB102" i="111"/>
  <c r="DA102" i="111"/>
  <c r="CZ102" i="111"/>
  <c r="CY102" i="111"/>
  <c r="CL102" i="111"/>
  <c r="BY102" i="111"/>
  <c r="DS102" i="111" s="1"/>
  <c r="AY102" i="111"/>
  <c r="AX102" i="111"/>
  <c r="AK102" i="111"/>
  <c r="L102" i="111"/>
  <c r="K102" i="111"/>
  <c r="J102" i="111"/>
  <c r="DK101" i="111"/>
  <c r="DJ101" i="111"/>
  <c r="DI101" i="111"/>
  <c r="DH101" i="111"/>
  <c r="DF101" i="111"/>
  <c r="DB101" i="111"/>
  <c r="DA101" i="111"/>
  <c r="CZ101" i="111"/>
  <c r="CY101" i="111"/>
  <c r="CL101" i="111"/>
  <c r="BY101" i="111"/>
  <c r="AY101" i="111"/>
  <c r="AX101" i="111"/>
  <c r="AK101" i="111"/>
  <c r="L101" i="111"/>
  <c r="K101" i="111"/>
  <c r="J101" i="111"/>
  <c r="DK100" i="111"/>
  <c r="DJ100" i="111"/>
  <c r="DI100" i="111"/>
  <c r="DH100" i="111"/>
  <c r="DF100" i="111"/>
  <c r="DB100" i="111"/>
  <c r="DA100" i="111"/>
  <c r="CZ100" i="111"/>
  <c r="CY100" i="111"/>
  <c r="CL100" i="111"/>
  <c r="BY100" i="111"/>
  <c r="DS100" i="111" s="1"/>
  <c r="AY100" i="111"/>
  <c r="AX100" i="111"/>
  <c r="AK100" i="111"/>
  <c r="L100" i="111"/>
  <c r="K100" i="111"/>
  <c r="J100" i="111"/>
  <c r="DK99" i="111"/>
  <c r="DJ99" i="111"/>
  <c r="DI99" i="111"/>
  <c r="DH99" i="111"/>
  <c r="DF99" i="111"/>
  <c r="DB99" i="111"/>
  <c r="DA99" i="111"/>
  <c r="CZ99" i="111"/>
  <c r="CY99" i="111"/>
  <c r="CL99" i="111"/>
  <c r="BY99" i="111"/>
  <c r="AY99" i="111"/>
  <c r="AX99" i="111"/>
  <c r="AK99" i="111"/>
  <c r="L99" i="111"/>
  <c r="K99" i="111"/>
  <c r="J99" i="111"/>
  <c r="DK98" i="111"/>
  <c r="DJ98" i="111"/>
  <c r="DI98" i="111"/>
  <c r="DH98" i="111"/>
  <c r="DF98" i="111"/>
  <c r="DB98" i="111"/>
  <c r="DA98" i="111"/>
  <c r="CZ98" i="111"/>
  <c r="CY98" i="111"/>
  <c r="CL98" i="111"/>
  <c r="BY98" i="111"/>
  <c r="DS98" i="111" s="1"/>
  <c r="AY98" i="111"/>
  <c r="AX98" i="111"/>
  <c r="AK98" i="111"/>
  <c r="L98" i="111"/>
  <c r="K98" i="111"/>
  <c r="J98" i="111"/>
  <c r="DK97" i="111"/>
  <c r="DJ97" i="111"/>
  <c r="DI97" i="111"/>
  <c r="DH97" i="111"/>
  <c r="DF97" i="111"/>
  <c r="DB97" i="111"/>
  <c r="DA97" i="111"/>
  <c r="CZ97" i="111"/>
  <c r="CY97" i="111"/>
  <c r="CL97" i="111"/>
  <c r="BY97" i="111"/>
  <c r="AY97" i="111"/>
  <c r="AX97" i="111"/>
  <c r="AK97" i="111"/>
  <c r="L97" i="111"/>
  <c r="K97" i="111"/>
  <c r="J97" i="111"/>
  <c r="DK96" i="111"/>
  <c r="DJ96" i="111"/>
  <c r="DI96" i="111"/>
  <c r="DH96" i="111"/>
  <c r="DF96" i="111"/>
  <c r="DB96" i="111"/>
  <c r="DA96" i="111"/>
  <c r="CZ96" i="111"/>
  <c r="CY96" i="111"/>
  <c r="CL96" i="111"/>
  <c r="BY96" i="111"/>
  <c r="DS96" i="111" s="1"/>
  <c r="AY96" i="111"/>
  <c r="AX96" i="111"/>
  <c r="AK96" i="111"/>
  <c r="L96" i="111"/>
  <c r="K96" i="111"/>
  <c r="J96" i="111"/>
  <c r="DR95" i="111"/>
  <c r="DK95" i="111"/>
  <c r="DJ95" i="111"/>
  <c r="DI95" i="111"/>
  <c r="DH95" i="111"/>
  <c r="DF95" i="111"/>
  <c r="DB95" i="111"/>
  <c r="DA95" i="111"/>
  <c r="CZ95" i="111"/>
  <c r="CY95" i="111"/>
  <c r="CL95" i="111"/>
  <c r="BY95" i="111"/>
  <c r="AY95" i="111"/>
  <c r="AX95" i="111"/>
  <c r="AK95" i="111"/>
  <c r="L95" i="111"/>
  <c r="K95" i="111"/>
  <c r="J95" i="111"/>
  <c r="DK94" i="111"/>
  <c r="DJ94" i="111"/>
  <c r="DI94" i="111"/>
  <c r="DH94" i="111"/>
  <c r="DF94" i="111"/>
  <c r="DB94" i="111"/>
  <c r="DA94" i="111"/>
  <c r="CZ94" i="111"/>
  <c r="CY94" i="111"/>
  <c r="CL94" i="111"/>
  <c r="BY94" i="111"/>
  <c r="DS94" i="111" s="1"/>
  <c r="AY94" i="111"/>
  <c r="AX94" i="111"/>
  <c r="AK94" i="111"/>
  <c r="L94" i="111"/>
  <c r="K94" i="111"/>
  <c r="J94" i="111"/>
  <c r="DK93" i="111"/>
  <c r="DJ93" i="111"/>
  <c r="DI93" i="111"/>
  <c r="DH93" i="111"/>
  <c r="DF93" i="111"/>
  <c r="DB93" i="111"/>
  <c r="DA93" i="111"/>
  <c r="CZ93" i="111"/>
  <c r="CY93" i="111"/>
  <c r="CL93" i="111"/>
  <c r="BY93" i="111"/>
  <c r="DS93" i="111" s="1"/>
  <c r="AY93" i="111"/>
  <c r="AX93" i="111"/>
  <c r="AK93" i="111"/>
  <c r="L93" i="111"/>
  <c r="K93" i="111"/>
  <c r="J93" i="111"/>
  <c r="DR92" i="111"/>
  <c r="DK92" i="111"/>
  <c r="DJ92" i="111"/>
  <c r="DI92" i="111"/>
  <c r="DH92" i="111"/>
  <c r="DF92" i="111"/>
  <c r="DB92" i="111"/>
  <c r="DA92" i="111"/>
  <c r="CZ92" i="111"/>
  <c r="CY92" i="111"/>
  <c r="CL92" i="111"/>
  <c r="BY92" i="111"/>
  <c r="AY92" i="111"/>
  <c r="AX92" i="111"/>
  <c r="AK92" i="111"/>
  <c r="L92" i="111"/>
  <c r="K92" i="111"/>
  <c r="J92" i="111"/>
  <c r="DR91" i="111"/>
  <c r="DK91" i="111"/>
  <c r="DJ91" i="111"/>
  <c r="DI91" i="111"/>
  <c r="DH91" i="111"/>
  <c r="DF91" i="111"/>
  <c r="DB91" i="111"/>
  <c r="DA91" i="111"/>
  <c r="CZ91" i="111"/>
  <c r="CY91" i="111"/>
  <c r="CL91" i="111"/>
  <c r="BY91" i="111"/>
  <c r="AY91" i="111"/>
  <c r="AX91" i="111"/>
  <c r="AK91" i="111"/>
  <c r="L91" i="111"/>
  <c r="K91" i="111"/>
  <c r="J91" i="111"/>
  <c r="DK90" i="111"/>
  <c r="DJ90" i="111"/>
  <c r="DI90" i="111"/>
  <c r="DH90" i="111"/>
  <c r="DF90" i="111"/>
  <c r="DB90" i="111"/>
  <c r="DA90" i="111"/>
  <c r="CZ90" i="111"/>
  <c r="CY90" i="111"/>
  <c r="CL90" i="111"/>
  <c r="BY90" i="111"/>
  <c r="DS90" i="111" s="1"/>
  <c r="AY90" i="111"/>
  <c r="AX90" i="111"/>
  <c r="AK90" i="111"/>
  <c r="L90" i="111"/>
  <c r="K90" i="111"/>
  <c r="J90" i="111"/>
  <c r="DK89" i="111"/>
  <c r="DJ89" i="111"/>
  <c r="DI89" i="111"/>
  <c r="DH89" i="111"/>
  <c r="DF89" i="111"/>
  <c r="DB89" i="111"/>
  <c r="DA89" i="111"/>
  <c r="CZ89" i="111"/>
  <c r="CY89" i="111"/>
  <c r="CL89" i="111"/>
  <c r="BY89" i="111"/>
  <c r="DS89" i="111" s="1"/>
  <c r="AY89" i="111"/>
  <c r="AX89" i="111"/>
  <c r="AK89" i="111"/>
  <c r="L89" i="111"/>
  <c r="K89" i="111"/>
  <c r="J89" i="111"/>
  <c r="DK88" i="111"/>
  <c r="DJ88" i="111"/>
  <c r="DI88" i="111"/>
  <c r="DH88" i="111"/>
  <c r="DF88" i="111"/>
  <c r="DB88" i="111"/>
  <c r="DA88" i="111"/>
  <c r="CZ88" i="111"/>
  <c r="CY88" i="111"/>
  <c r="CL88" i="111"/>
  <c r="BY88" i="111"/>
  <c r="DS88" i="111" s="1"/>
  <c r="AY88" i="111"/>
  <c r="AX88" i="111"/>
  <c r="AK88" i="111"/>
  <c r="L88" i="111"/>
  <c r="K88" i="111"/>
  <c r="J88" i="111"/>
  <c r="DK87" i="111"/>
  <c r="DJ87" i="111"/>
  <c r="DI87" i="111"/>
  <c r="DH87" i="111"/>
  <c r="DF87" i="111"/>
  <c r="DB87" i="111"/>
  <c r="DA87" i="111"/>
  <c r="CZ87" i="111"/>
  <c r="CY87" i="111"/>
  <c r="CL87" i="111"/>
  <c r="BY87" i="111"/>
  <c r="DS87" i="111" s="1"/>
  <c r="AY87" i="111"/>
  <c r="AX87" i="111"/>
  <c r="AK87" i="111"/>
  <c r="L87" i="111"/>
  <c r="K87" i="111"/>
  <c r="J87" i="111"/>
  <c r="DK86" i="111"/>
  <c r="DJ86" i="111"/>
  <c r="DI86" i="111"/>
  <c r="DH86" i="111"/>
  <c r="DF86" i="111"/>
  <c r="DB86" i="111"/>
  <c r="DA86" i="111"/>
  <c r="CZ86" i="111"/>
  <c r="CY86" i="111"/>
  <c r="CL86" i="111"/>
  <c r="BY86" i="111"/>
  <c r="DS86" i="111" s="1"/>
  <c r="AY86" i="111"/>
  <c r="AX86" i="111"/>
  <c r="AK86" i="111"/>
  <c r="L86" i="111"/>
  <c r="K86" i="111"/>
  <c r="J86" i="111"/>
  <c r="DR85" i="111"/>
  <c r="DK85" i="111"/>
  <c r="DJ85" i="111"/>
  <c r="DI85" i="111"/>
  <c r="DH85" i="111"/>
  <c r="DF85" i="111"/>
  <c r="DB85" i="111"/>
  <c r="DA85" i="111"/>
  <c r="CZ85" i="111"/>
  <c r="CY85" i="111"/>
  <c r="CL85" i="111"/>
  <c r="BY85" i="111"/>
  <c r="AY85" i="111"/>
  <c r="AX85" i="111"/>
  <c r="AK85" i="111"/>
  <c r="L85" i="111"/>
  <c r="K85" i="111"/>
  <c r="J85" i="111"/>
  <c r="DK84" i="111"/>
  <c r="DJ84" i="111"/>
  <c r="DI84" i="111"/>
  <c r="DH84" i="111"/>
  <c r="DF84" i="111"/>
  <c r="DB84" i="111"/>
  <c r="DA84" i="111"/>
  <c r="CZ84" i="111"/>
  <c r="CY84" i="111"/>
  <c r="CL84" i="111"/>
  <c r="BY84" i="111"/>
  <c r="DS84" i="111" s="1"/>
  <c r="AY84" i="111"/>
  <c r="AX84" i="111"/>
  <c r="AK84" i="111"/>
  <c r="L84" i="111"/>
  <c r="K84" i="111"/>
  <c r="J84" i="111"/>
  <c r="DK83" i="111"/>
  <c r="DJ83" i="111"/>
  <c r="DI83" i="111"/>
  <c r="DH83" i="111"/>
  <c r="DF83" i="111"/>
  <c r="DB83" i="111"/>
  <c r="DA83" i="111"/>
  <c r="CZ83" i="111"/>
  <c r="CY83" i="111"/>
  <c r="CL83" i="111"/>
  <c r="BY83" i="111"/>
  <c r="DS83" i="111" s="1"/>
  <c r="AY83" i="111"/>
  <c r="AX83" i="111"/>
  <c r="AK83" i="111"/>
  <c r="L83" i="111"/>
  <c r="K83" i="111"/>
  <c r="J83" i="111"/>
  <c r="DK82" i="111"/>
  <c r="DJ82" i="111"/>
  <c r="DI82" i="111"/>
  <c r="DH82" i="111"/>
  <c r="DF82" i="111"/>
  <c r="DB82" i="111"/>
  <c r="DA82" i="111"/>
  <c r="CZ82" i="111"/>
  <c r="CY82" i="111"/>
  <c r="CL82" i="111"/>
  <c r="BY82" i="111"/>
  <c r="DS82" i="111" s="1"/>
  <c r="AY82" i="111"/>
  <c r="AX82" i="111"/>
  <c r="AK82" i="111"/>
  <c r="L82" i="111"/>
  <c r="K82" i="111"/>
  <c r="J82" i="111"/>
  <c r="DK81" i="111"/>
  <c r="DJ81" i="111"/>
  <c r="DI81" i="111"/>
  <c r="DH81" i="111"/>
  <c r="DF81" i="111"/>
  <c r="DB81" i="111"/>
  <c r="DA81" i="111"/>
  <c r="CZ81" i="111"/>
  <c r="CY81" i="111"/>
  <c r="CL81" i="111"/>
  <c r="BY81" i="111"/>
  <c r="DS81" i="111" s="1"/>
  <c r="AY81" i="111"/>
  <c r="AX81" i="111"/>
  <c r="AK81" i="111"/>
  <c r="L81" i="111"/>
  <c r="K81" i="111"/>
  <c r="J81" i="111"/>
  <c r="DK80" i="111"/>
  <c r="DJ80" i="111"/>
  <c r="DI80" i="111"/>
  <c r="DH80" i="111"/>
  <c r="DF80" i="111"/>
  <c r="DB80" i="111"/>
  <c r="DA80" i="111"/>
  <c r="CZ80" i="111"/>
  <c r="CY80" i="111"/>
  <c r="CL80" i="111"/>
  <c r="BY80" i="111"/>
  <c r="DS80" i="111" s="1"/>
  <c r="AY80" i="111"/>
  <c r="AX80" i="111"/>
  <c r="AK80" i="111"/>
  <c r="L80" i="111"/>
  <c r="K80" i="111"/>
  <c r="J80" i="111"/>
  <c r="DK79" i="111"/>
  <c r="DJ79" i="111"/>
  <c r="DI79" i="111"/>
  <c r="DH79" i="111"/>
  <c r="DF79" i="111"/>
  <c r="DB79" i="111"/>
  <c r="DA79" i="111"/>
  <c r="CZ79" i="111"/>
  <c r="CY79" i="111"/>
  <c r="CL79" i="111"/>
  <c r="BY79" i="111"/>
  <c r="DS79" i="111" s="1"/>
  <c r="AY79" i="111"/>
  <c r="AX79" i="111"/>
  <c r="AK79" i="111"/>
  <c r="L79" i="111"/>
  <c r="K79" i="111"/>
  <c r="J79" i="111"/>
  <c r="DK78" i="111"/>
  <c r="DJ78" i="111"/>
  <c r="DI78" i="111"/>
  <c r="DH78" i="111"/>
  <c r="DF78" i="111"/>
  <c r="DB78" i="111"/>
  <c r="DA78" i="111"/>
  <c r="CZ78" i="111"/>
  <c r="CY78" i="111"/>
  <c r="CL78" i="111"/>
  <c r="BY78" i="111"/>
  <c r="DS78" i="111" s="1"/>
  <c r="AY78" i="111"/>
  <c r="AX78" i="111"/>
  <c r="AK78" i="111"/>
  <c r="L78" i="111"/>
  <c r="K78" i="111"/>
  <c r="J78" i="111"/>
  <c r="DK77" i="111"/>
  <c r="DJ77" i="111"/>
  <c r="DI77" i="111"/>
  <c r="DH77" i="111"/>
  <c r="DF77" i="111"/>
  <c r="DB77" i="111"/>
  <c r="DA77" i="111"/>
  <c r="CZ77" i="111"/>
  <c r="CY77" i="111"/>
  <c r="CL77" i="111"/>
  <c r="BY77" i="111"/>
  <c r="DS77" i="111" s="1"/>
  <c r="AY77" i="111"/>
  <c r="AX77" i="111"/>
  <c r="AK77" i="111"/>
  <c r="L77" i="111"/>
  <c r="K77" i="111"/>
  <c r="J77" i="111"/>
  <c r="DK76" i="111"/>
  <c r="DJ76" i="111"/>
  <c r="DI76" i="111"/>
  <c r="DH76" i="111"/>
  <c r="DF76" i="111"/>
  <c r="DB76" i="111"/>
  <c r="DA76" i="111"/>
  <c r="CZ76" i="111"/>
  <c r="CY76" i="111"/>
  <c r="CL76" i="111"/>
  <c r="BY76" i="111"/>
  <c r="DS76" i="111" s="1"/>
  <c r="AY76" i="111"/>
  <c r="AX76" i="111"/>
  <c r="AK76" i="111"/>
  <c r="L76" i="111"/>
  <c r="K76" i="111"/>
  <c r="J76" i="111"/>
  <c r="DK75" i="111"/>
  <c r="DJ75" i="111"/>
  <c r="DI75" i="111"/>
  <c r="DH75" i="111"/>
  <c r="DF75" i="111"/>
  <c r="DB75" i="111"/>
  <c r="DA75" i="111"/>
  <c r="CZ75" i="111"/>
  <c r="CY75" i="111"/>
  <c r="CL75" i="111"/>
  <c r="BY75" i="111"/>
  <c r="DS75" i="111" s="1"/>
  <c r="AY75" i="111"/>
  <c r="AX75" i="111"/>
  <c r="AK75" i="111"/>
  <c r="L75" i="111"/>
  <c r="K75" i="111"/>
  <c r="J75" i="111"/>
  <c r="DK74" i="111"/>
  <c r="DJ74" i="111"/>
  <c r="DI74" i="111"/>
  <c r="DH74" i="111"/>
  <c r="DF74" i="111"/>
  <c r="DB74" i="111"/>
  <c r="DA74" i="111"/>
  <c r="CZ74" i="111"/>
  <c r="CY74" i="111"/>
  <c r="CL74" i="111"/>
  <c r="BY74" i="111"/>
  <c r="DS74" i="111" s="1"/>
  <c r="AY74" i="111"/>
  <c r="AX74" i="111"/>
  <c r="AK74" i="111"/>
  <c r="L74" i="111"/>
  <c r="K74" i="111"/>
  <c r="J74" i="111"/>
  <c r="DR73" i="111"/>
  <c r="DK73" i="111"/>
  <c r="DJ73" i="111"/>
  <c r="DI73" i="111"/>
  <c r="DH73" i="111"/>
  <c r="DF73" i="111"/>
  <c r="DB73" i="111"/>
  <c r="DA73" i="111"/>
  <c r="CZ73" i="111"/>
  <c r="CY73" i="111"/>
  <c r="CL73" i="111"/>
  <c r="CD73" i="111"/>
  <c r="BY73" i="111" s="1"/>
  <c r="BT73" i="111"/>
  <c r="AY73" i="111"/>
  <c r="AX73" i="111"/>
  <c r="AK73" i="111"/>
  <c r="L73" i="111"/>
  <c r="AE73" i="111" s="1"/>
  <c r="K73" i="111"/>
  <c r="J73" i="111"/>
  <c r="DR72" i="111"/>
  <c r="DK72" i="111"/>
  <c r="DJ72" i="111"/>
  <c r="DI72" i="111"/>
  <c r="DH72" i="111"/>
  <c r="DF72" i="111"/>
  <c r="DB72" i="111"/>
  <c r="DA72" i="111"/>
  <c r="CZ72" i="111"/>
  <c r="CL72" i="111"/>
  <c r="CB72" i="111"/>
  <c r="CA72" i="111"/>
  <c r="BV72" i="111"/>
  <c r="CY72" i="111" s="1"/>
  <c r="BR72" i="111"/>
  <c r="AY72" i="111"/>
  <c r="AX72" i="111"/>
  <c r="AK72" i="111"/>
  <c r="L72" i="111"/>
  <c r="AE72" i="111" s="1"/>
  <c r="K72" i="111"/>
  <c r="J72" i="111"/>
  <c r="DR71" i="111"/>
  <c r="DK71" i="111"/>
  <c r="DJ71" i="111"/>
  <c r="DI71" i="111"/>
  <c r="DH71" i="111"/>
  <c r="DF71" i="111"/>
  <c r="DB71" i="111"/>
  <c r="DA71" i="111"/>
  <c r="CZ71" i="111"/>
  <c r="CY71" i="111"/>
  <c r="CL71" i="111"/>
  <c r="BY71" i="111"/>
  <c r="BT71" i="111"/>
  <c r="BR71" i="111"/>
  <c r="AY71" i="111"/>
  <c r="AX71" i="111"/>
  <c r="AK71" i="111"/>
  <c r="L71" i="111"/>
  <c r="AE71" i="111" s="1"/>
  <c r="K71" i="111"/>
  <c r="J71" i="111"/>
  <c r="DR70" i="111"/>
  <c r="DK70" i="111"/>
  <c r="DJ70" i="111"/>
  <c r="DI70" i="111"/>
  <c r="DH70" i="111"/>
  <c r="DF70" i="111"/>
  <c r="DB70" i="111"/>
  <c r="DA70" i="111"/>
  <c r="CZ70" i="111"/>
  <c r="CL70" i="111"/>
  <c r="CC70" i="111"/>
  <c r="CB70" i="111"/>
  <c r="BZ70" i="111"/>
  <c r="BV70" i="111"/>
  <c r="CY70" i="111" s="1"/>
  <c r="AY70" i="111"/>
  <c r="AX70" i="111"/>
  <c r="AK70" i="111"/>
  <c r="L70" i="111"/>
  <c r="AE70" i="111" s="1"/>
  <c r="K70" i="111"/>
  <c r="J70" i="111"/>
  <c r="DR69" i="111"/>
  <c r="DK69" i="111"/>
  <c r="DJ69" i="111"/>
  <c r="DI69" i="111"/>
  <c r="DH69" i="111"/>
  <c r="DF69" i="111"/>
  <c r="DB69" i="111"/>
  <c r="DA69" i="111"/>
  <c r="CZ69" i="111"/>
  <c r="CL69" i="111"/>
  <c r="BZ69" i="111"/>
  <c r="BY69" i="111" s="1"/>
  <c r="BV69" i="111"/>
  <c r="CY69" i="111" s="1"/>
  <c r="BT69" i="111"/>
  <c r="BR69" i="111"/>
  <c r="AY69" i="111"/>
  <c r="AX69" i="111"/>
  <c r="AK69" i="111"/>
  <c r="L69" i="111"/>
  <c r="K69" i="111"/>
  <c r="J69" i="111"/>
  <c r="DR68" i="111"/>
  <c r="DK68" i="111"/>
  <c r="DJ68" i="111"/>
  <c r="DI68" i="111"/>
  <c r="DH68" i="111"/>
  <c r="DF68" i="111"/>
  <c r="DB68" i="111"/>
  <c r="DA68" i="111"/>
  <c r="CZ68" i="111"/>
  <c r="CY68" i="111"/>
  <c r="CL68" i="111"/>
  <c r="BY68" i="111"/>
  <c r="BT68" i="111"/>
  <c r="BR68" i="111"/>
  <c r="AY68" i="111"/>
  <c r="AX68" i="111"/>
  <c r="AK68" i="111"/>
  <c r="L68" i="111"/>
  <c r="AE68" i="111" s="1"/>
  <c r="K68" i="111"/>
  <c r="J68" i="111"/>
  <c r="DR67" i="111"/>
  <c r="DK67" i="111"/>
  <c r="DJ67" i="111"/>
  <c r="DI67" i="111"/>
  <c r="DH67" i="111"/>
  <c r="DF67" i="111"/>
  <c r="DB67" i="111"/>
  <c r="DA67" i="111"/>
  <c r="CZ67" i="111"/>
  <c r="CL67" i="111"/>
  <c r="BZ67" i="111"/>
  <c r="BY67" i="111" s="1"/>
  <c r="BV67" i="111"/>
  <c r="CY67" i="111" s="1"/>
  <c r="BR67" i="111"/>
  <c r="AY67" i="111"/>
  <c r="AW67" i="111"/>
  <c r="AW1" i="111" s="1"/>
  <c r="AV67" i="111"/>
  <c r="AK67" i="111"/>
  <c r="L67" i="111"/>
  <c r="K67" i="111"/>
  <c r="J67" i="111"/>
  <c r="DR66" i="111"/>
  <c r="DK66" i="111"/>
  <c r="DJ66" i="111"/>
  <c r="DI66" i="111"/>
  <c r="DH66" i="111"/>
  <c r="DF66" i="111"/>
  <c r="DB66" i="111"/>
  <c r="DA66" i="111"/>
  <c r="CZ66" i="111"/>
  <c r="CL66" i="111"/>
  <c r="CA66" i="111"/>
  <c r="BY66" i="111" s="1"/>
  <c r="BV66" i="111"/>
  <c r="CY66" i="111" s="1"/>
  <c r="AY66" i="111"/>
  <c r="AX66" i="111"/>
  <c r="AK66" i="111"/>
  <c r="L66" i="111"/>
  <c r="AE66" i="111" s="1"/>
  <c r="K66" i="111"/>
  <c r="J66" i="111"/>
  <c r="DR65" i="111"/>
  <c r="DK65" i="111"/>
  <c r="DJ65" i="111"/>
  <c r="DI65" i="111"/>
  <c r="DH65" i="111"/>
  <c r="DF65" i="111"/>
  <c r="DB65" i="111"/>
  <c r="DA65" i="111"/>
  <c r="CZ65" i="111"/>
  <c r="CL65" i="111"/>
  <c r="BZ65" i="111"/>
  <c r="BY65" i="111" s="1"/>
  <c r="BV65" i="111"/>
  <c r="CY65" i="111" s="1"/>
  <c r="AY65" i="111"/>
  <c r="AX65" i="111"/>
  <c r="AK65" i="111"/>
  <c r="L65" i="111"/>
  <c r="AE65" i="111" s="1"/>
  <c r="K65" i="111"/>
  <c r="J65" i="111"/>
  <c r="DR64" i="111"/>
  <c r="DK64" i="111"/>
  <c r="DJ64" i="111"/>
  <c r="DI64" i="111"/>
  <c r="DH64" i="111"/>
  <c r="DF64" i="111"/>
  <c r="DB64" i="111"/>
  <c r="DA64" i="111"/>
  <c r="CZ64" i="111"/>
  <c r="CL64" i="111"/>
  <c r="CK64" i="111"/>
  <c r="CA64" i="111"/>
  <c r="BV64" i="111"/>
  <c r="CY64" i="111" s="1"/>
  <c r="BT64" i="111"/>
  <c r="BR64" i="111"/>
  <c r="AY64" i="111"/>
  <c r="AX64" i="111"/>
  <c r="AK64" i="111"/>
  <c r="L64" i="111"/>
  <c r="AE64" i="111" s="1"/>
  <c r="K64" i="111"/>
  <c r="J64" i="111"/>
  <c r="DR63" i="111"/>
  <c r="DK63" i="111"/>
  <c r="DJ63" i="111"/>
  <c r="DI63" i="111"/>
  <c r="DH63" i="111"/>
  <c r="DF63" i="111"/>
  <c r="DB63" i="111"/>
  <c r="DA63" i="111"/>
  <c r="CZ63" i="111"/>
  <c r="CL63" i="111"/>
  <c r="BY63" i="111"/>
  <c r="BV63" i="111"/>
  <c r="CY63" i="111" s="1"/>
  <c r="AY63" i="111"/>
  <c r="AX63" i="111"/>
  <c r="AK63" i="111"/>
  <c r="L63" i="111"/>
  <c r="AE63" i="111" s="1"/>
  <c r="K63" i="111"/>
  <c r="J63" i="111"/>
  <c r="DR62" i="111"/>
  <c r="DK62" i="111"/>
  <c r="DJ62" i="111"/>
  <c r="DI62" i="111"/>
  <c r="DH62" i="111"/>
  <c r="DF62" i="111"/>
  <c r="DB62" i="111"/>
  <c r="DA62" i="111"/>
  <c r="CZ62" i="111"/>
  <c r="CL62" i="111"/>
  <c r="BY62" i="111"/>
  <c r="BV62" i="111"/>
  <c r="CY62" i="111" s="1"/>
  <c r="BT62" i="111"/>
  <c r="BR62" i="111"/>
  <c r="AY62" i="111"/>
  <c r="AX62" i="111"/>
  <c r="AK62" i="111"/>
  <c r="AE62" i="111"/>
  <c r="J62" i="111"/>
  <c r="DR61" i="111"/>
  <c r="DK61" i="111"/>
  <c r="DJ61" i="111"/>
  <c r="DI61" i="111"/>
  <c r="DH61" i="111"/>
  <c r="DF61" i="111"/>
  <c r="DB61" i="111"/>
  <c r="DA61" i="111"/>
  <c r="CZ61" i="111"/>
  <c r="CL61" i="111"/>
  <c r="CD61" i="111"/>
  <c r="CC61" i="111"/>
  <c r="BZ61" i="111"/>
  <c r="BV61" i="111"/>
  <c r="CY61" i="111" s="1"/>
  <c r="BT61" i="111"/>
  <c r="BR61" i="111"/>
  <c r="AY61" i="111"/>
  <c r="AX61" i="111"/>
  <c r="AK61" i="111"/>
  <c r="L61" i="111"/>
  <c r="AE61" i="111" s="1"/>
  <c r="K61" i="111"/>
  <c r="J61" i="111"/>
  <c r="DB60" i="111"/>
  <c r="DA60" i="111"/>
  <c r="CZ60" i="111"/>
  <c r="CY60" i="111"/>
  <c r="CC60" i="111"/>
  <c r="BY60" i="111" s="1"/>
  <c r="AY60" i="111"/>
  <c r="AX60" i="111"/>
  <c r="AK60" i="111"/>
  <c r="L60" i="111"/>
  <c r="AE60" i="111" s="1"/>
  <c r="K60" i="111"/>
  <c r="J60" i="111"/>
  <c r="DR59" i="111"/>
  <c r="DK59" i="111"/>
  <c r="DJ59" i="111"/>
  <c r="DI59" i="111"/>
  <c r="DH59" i="111"/>
  <c r="DF59" i="111"/>
  <c r="DB59" i="111"/>
  <c r="DA59" i="111"/>
  <c r="CZ59" i="111"/>
  <c r="CY59" i="111"/>
  <c r="CL59" i="111"/>
  <c r="CA59" i="111"/>
  <c r="BY59" i="111" s="1"/>
  <c r="BT59" i="111"/>
  <c r="BR59" i="111"/>
  <c r="AY59" i="111"/>
  <c r="AX59" i="111"/>
  <c r="AK59" i="111"/>
  <c r="L59" i="111"/>
  <c r="AE59" i="111" s="1"/>
  <c r="K59" i="111"/>
  <c r="J59" i="111"/>
  <c r="DR58" i="111"/>
  <c r="DK58" i="111"/>
  <c r="DJ58" i="111"/>
  <c r="DI58" i="111"/>
  <c r="DH58" i="111"/>
  <c r="DF58" i="111"/>
  <c r="DB58" i="111"/>
  <c r="DA58" i="111"/>
  <c r="CZ58" i="111"/>
  <c r="CL58" i="111"/>
  <c r="CA58" i="111"/>
  <c r="BZ58" i="111"/>
  <c r="BV58" i="111"/>
  <c r="CY58" i="111" s="1"/>
  <c r="BT58" i="111"/>
  <c r="BR58" i="111"/>
  <c r="AY58" i="111"/>
  <c r="AX58" i="111"/>
  <c r="AK58" i="111"/>
  <c r="L58" i="111"/>
  <c r="AE58" i="111" s="1"/>
  <c r="K58" i="111"/>
  <c r="J58" i="111"/>
  <c r="DR57" i="111"/>
  <c r="DK57" i="111"/>
  <c r="DJ57" i="111"/>
  <c r="DI57" i="111"/>
  <c r="DH57" i="111"/>
  <c r="DF57" i="111"/>
  <c r="DB57" i="111"/>
  <c r="DA57" i="111"/>
  <c r="CZ57" i="111"/>
  <c r="CY57" i="111"/>
  <c r="CL57" i="111"/>
  <c r="BY57" i="111"/>
  <c r="AY57" i="111"/>
  <c r="AX57" i="111"/>
  <c r="AK57" i="111"/>
  <c r="L57" i="111"/>
  <c r="AE57" i="111" s="1"/>
  <c r="K57" i="111"/>
  <c r="J57" i="111"/>
  <c r="DR56" i="111"/>
  <c r="DK56" i="111"/>
  <c r="DJ56" i="111"/>
  <c r="DI56" i="111"/>
  <c r="DH56" i="111"/>
  <c r="DF56" i="111"/>
  <c r="DB56" i="111"/>
  <c r="DA56" i="111"/>
  <c r="CZ56" i="111"/>
  <c r="CY56" i="111"/>
  <c r="CL56" i="111"/>
  <c r="CK56" i="111"/>
  <c r="CA56" i="111"/>
  <c r="AY56" i="111"/>
  <c r="AX56" i="111"/>
  <c r="AK56" i="111"/>
  <c r="L56" i="111"/>
  <c r="AE56" i="111" s="1"/>
  <c r="K56" i="111"/>
  <c r="J56" i="111"/>
  <c r="DR55" i="111"/>
  <c r="DK55" i="111"/>
  <c r="DJ55" i="111"/>
  <c r="DI55" i="111"/>
  <c r="DH55" i="111"/>
  <c r="DF55" i="111"/>
  <c r="DB55" i="111"/>
  <c r="DA55" i="111"/>
  <c r="CZ55" i="111"/>
  <c r="CL55" i="111"/>
  <c r="CK55" i="111"/>
  <c r="CI55" i="111"/>
  <c r="CH55" i="111"/>
  <c r="CG55" i="111"/>
  <c r="CF55" i="111"/>
  <c r="CE55" i="111"/>
  <c r="CD55" i="111"/>
  <c r="CA55" i="111"/>
  <c r="BZ55" i="111"/>
  <c r="BV55" i="111"/>
  <c r="CY55" i="111" s="1"/>
  <c r="BT55" i="111"/>
  <c r="BR55" i="111"/>
  <c r="AY55" i="111"/>
  <c r="AX55" i="111"/>
  <c r="AK55" i="111"/>
  <c r="L55" i="111"/>
  <c r="K55" i="111"/>
  <c r="J55" i="111"/>
  <c r="DR54" i="111"/>
  <c r="DK54" i="111"/>
  <c r="DJ54" i="111"/>
  <c r="DI54" i="111"/>
  <c r="DH54" i="111"/>
  <c r="DF54" i="111"/>
  <c r="DB54" i="111"/>
  <c r="DA54" i="111"/>
  <c r="CZ54" i="111"/>
  <c r="CL54" i="111"/>
  <c r="CG54" i="111"/>
  <c r="CF54" i="111"/>
  <c r="CE54" i="111"/>
  <c r="CD54" i="111"/>
  <c r="CC54" i="111"/>
  <c r="BZ54" i="111"/>
  <c r="BV54" i="111"/>
  <c r="CY54" i="111" s="1"/>
  <c r="BT54" i="111"/>
  <c r="BR54" i="111"/>
  <c r="AY54" i="111"/>
  <c r="AX54" i="111"/>
  <c r="AK54" i="111"/>
  <c r="L54" i="111"/>
  <c r="AE54" i="111" s="1"/>
  <c r="K54" i="111"/>
  <c r="J54" i="111"/>
  <c r="DR53" i="111"/>
  <c r="DK53" i="111"/>
  <c r="DJ53" i="111"/>
  <c r="DI53" i="111"/>
  <c r="DH53" i="111"/>
  <c r="DF53" i="111"/>
  <c r="DB53" i="111"/>
  <c r="DA53" i="111"/>
  <c r="CZ53" i="111"/>
  <c r="CL53" i="111"/>
  <c r="CK53" i="111"/>
  <c r="CJ53" i="111"/>
  <c r="CI53" i="111"/>
  <c r="CH53" i="111"/>
  <c r="CG53" i="111"/>
  <c r="CF53" i="111"/>
  <c r="CE53" i="111"/>
  <c r="CD53" i="111"/>
  <c r="CC53" i="111"/>
  <c r="CB53" i="111"/>
  <c r="BV53" i="111"/>
  <c r="CY53" i="111" s="1"/>
  <c r="AY53" i="111"/>
  <c r="AX53" i="111"/>
  <c r="AK53" i="111"/>
  <c r="L53" i="111"/>
  <c r="AE53" i="111" s="1"/>
  <c r="K53" i="111"/>
  <c r="J53" i="111"/>
  <c r="DR52" i="111"/>
  <c r="DK52" i="111"/>
  <c r="DJ52" i="111"/>
  <c r="DI52" i="111"/>
  <c r="DH52" i="111"/>
  <c r="DF52" i="111"/>
  <c r="DB52" i="111"/>
  <c r="DA52" i="111"/>
  <c r="CZ52" i="111"/>
  <c r="CL52" i="111"/>
  <c r="CC52" i="111"/>
  <c r="CB52" i="111"/>
  <c r="CA52" i="111"/>
  <c r="BZ52" i="111"/>
  <c r="BV52" i="111"/>
  <c r="CY52" i="111" s="1"/>
  <c r="BT52" i="111"/>
  <c r="BR52" i="111"/>
  <c r="AY52" i="111"/>
  <c r="AX52" i="111"/>
  <c r="AK52" i="111"/>
  <c r="L52" i="111"/>
  <c r="AE52" i="111" s="1"/>
  <c r="K52" i="111"/>
  <c r="J52" i="111"/>
  <c r="DR51" i="111"/>
  <c r="DK51" i="111"/>
  <c r="DJ51" i="111"/>
  <c r="DI51" i="111"/>
  <c r="DH51" i="111"/>
  <c r="DF51" i="111"/>
  <c r="DB51" i="111"/>
  <c r="DA51" i="111"/>
  <c r="CZ51" i="111"/>
  <c r="CL51" i="111"/>
  <c r="BZ51" i="111"/>
  <c r="BY51" i="111" s="1"/>
  <c r="BV51" i="111"/>
  <c r="CY51" i="111" s="1"/>
  <c r="AY51" i="111"/>
  <c r="AX51" i="111"/>
  <c r="AK51" i="111"/>
  <c r="L51" i="111"/>
  <c r="AE51" i="111" s="1"/>
  <c r="K51" i="111"/>
  <c r="J51" i="111"/>
  <c r="DR50" i="111"/>
  <c r="DK50" i="111"/>
  <c r="DJ50" i="111"/>
  <c r="DI50" i="111"/>
  <c r="DH50" i="111"/>
  <c r="DF50" i="111"/>
  <c r="DB50" i="111"/>
  <c r="DA50" i="111"/>
  <c r="CZ50" i="111"/>
  <c r="CL50" i="111"/>
  <c r="BZ50" i="111"/>
  <c r="BY50" i="111" s="1"/>
  <c r="BV50" i="111"/>
  <c r="CY50" i="111" s="1"/>
  <c r="BT50" i="111"/>
  <c r="AY50" i="111"/>
  <c r="AX50" i="111"/>
  <c r="AK50" i="111"/>
  <c r="L50" i="111"/>
  <c r="K50" i="111"/>
  <c r="J50" i="111"/>
  <c r="DR49" i="111"/>
  <c r="DK49" i="111"/>
  <c r="DJ49" i="111"/>
  <c r="DI49" i="111"/>
  <c r="DH49" i="111"/>
  <c r="DF49" i="111"/>
  <c r="DB49" i="111"/>
  <c r="DA49" i="111"/>
  <c r="CZ49" i="111"/>
  <c r="CL49" i="111"/>
  <c r="CC49" i="111"/>
  <c r="CB49" i="111"/>
  <c r="CA49" i="111"/>
  <c r="BZ49" i="111"/>
  <c r="BV49" i="111"/>
  <c r="CY49" i="111" s="1"/>
  <c r="BT49" i="111"/>
  <c r="BR49" i="111"/>
  <c r="AY49" i="111"/>
  <c r="AX49" i="111"/>
  <c r="AK49" i="111"/>
  <c r="L49" i="111"/>
  <c r="AE49" i="111" s="1"/>
  <c r="K49" i="111"/>
  <c r="J49" i="111"/>
  <c r="DR48" i="111"/>
  <c r="DK48" i="111"/>
  <c r="DJ48" i="111"/>
  <c r="DI48" i="111"/>
  <c r="DH48" i="111"/>
  <c r="DF48" i="111"/>
  <c r="DB48" i="111"/>
  <c r="DA48" i="111"/>
  <c r="CZ48" i="111"/>
  <c r="CL48" i="111"/>
  <c r="CJ48" i="111"/>
  <c r="CG48" i="111"/>
  <c r="CF48" i="111"/>
  <c r="CE48" i="111"/>
  <c r="CD48" i="111"/>
  <c r="CC48" i="111"/>
  <c r="CB48" i="111"/>
  <c r="CA48" i="111"/>
  <c r="BZ48" i="111"/>
  <c r="BV48" i="111"/>
  <c r="CY48" i="111" s="1"/>
  <c r="BT48" i="111"/>
  <c r="AY48" i="111"/>
  <c r="AX48" i="111"/>
  <c r="AK48" i="111"/>
  <c r="L48" i="111"/>
  <c r="AE48" i="111" s="1"/>
  <c r="K48" i="111"/>
  <c r="J48" i="111"/>
  <c r="DR47" i="111"/>
  <c r="DK47" i="111"/>
  <c r="DJ47" i="111"/>
  <c r="DI47" i="111"/>
  <c r="DH47" i="111"/>
  <c r="DF47" i="111"/>
  <c r="DB47" i="111"/>
  <c r="DA47" i="111"/>
  <c r="CZ47" i="111"/>
  <c r="CL47" i="111"/>
  <c r="CC47" i="111"/>
  <c r="CB47" i="111"/>
  <c r="BV47" i="111"/>
  <c r="CY47" i="111" s="1"/>
  <c r="BR47" i="111"/>
  <c r="AY47" i="111"/>
  <c r="AX47" i="111"/>
  <c r="AK47" i="111"/>
  <c r="L47" i="111"/>
  <c r="K47" i="111"/>
  <c r="J47" i="111"/>
  <c r="CZ46" i="111"/>
  <c r="BY46" i="111"/>
  <c r="AY46" i="111"/>
  <c r="J46" i="111"/>
  <c r="CZ45" i="111"/>
  <c r="BY45" i="111"/>
  <c r="AY45" i="111"/>
  <c r="DR44" i="111"/>
  <c r="DK44" i="111"/>
  <c r="DJ44" i="111"/>
  <c r="DI44" i="111"/>
  <c r="DH44" i="111"/>
  <c r="DF44" i="111"/>
  <c r="DB44" i="111"/>
  <c r="DA44" i="111"/>
  <c r="CZ44" i="111"/>
  <c r="CY44" i="111"/>
  <c r="CL44" i="111"/>
  <c r="BY44" i="111"/>
  <c r="AY44" i="111"/>
  <c r="AK44" i="111"/>
  <c r="DR43" i="111"/>
  <c r="DK43" i="111"/>
  <c r="DJ43" i="111"/>
  <c r="DI43" i="111"/>
  <c r="DH43" i="111"/>
  <c r="DF43" i="111"/>
  <c r="DB43" i="111"/>
  <c r="DA43" i="111"/>
  <c r="CZ43" i="111"/>
  <c r="CY43" i="111"/>
  <c r="CL43" i="111"/>
  <c r="BY43" i="111"/>
  <c r="AY43" i="111"/>
  <c r="AK43" i="111"/>
  <c r="L43" i="111"/>
  <c r="K43" i="111"/>
  <c r="J43" i="111"/>
  <c r="DR42" i="111"/>
  <c r="DK42" i="111"/>
  <c r="DJ42" i="111"/>
  <c r="DI42" i="111"/>
  <c r="DH42" i="111"/>
  <c r="DF42" i="111"/>
  <c r="DB42" i="111"/>
  <c r="DA42" i="111"/>
  <c r="CZ42" i="111"/>
  <c r="CY42" i="111"/>
  <c r="CL42" i="111"/>
  <c r="BY42" i="111"/>
  <c r="AY42" i="111"/>
  <c r="AK42" i="111"/>
  <c r="DR41" i="111"/>
  <c r="DK41" i="111"/>
  <c r="DJ41" i="111"/>
  <c r="DI41" i="111"/>
  <c r="DH41" i="111"/>
  <c r="DF41" i="111"/>
  <c r="DB41" i="111"/>
  <c r="DA41" i="111"/>
  <c r="CZ41" i="111"/>
  <c r="CY41" i="111"/>
  <c r="CL41" i="111"/>
  <c r="BY41" i="111"/>
  <c r="AY41" i="111"/>
  <c r="AK41" i="111"/>
  <c r="DR40" i="111"/>
  <c r="DK40" i="111"/>
  <c r="DJ40" i="111"/>
  <c r="DI40" i="111"/>
  <c r="DH40" i="111"/>
  <c r="DF40" i="111"/>
  <c r="DB40" i="111"/>
  <c r="DA40" i="111"/>
  <c r="CZ40" i="111"/>
  <c r="CY40" i="111"/>
  <c r="CL40" i="111"/>
  <c r="BY40" i="111"/>
  <c r="AY40" i="111"/>
  <c r="AK40" i="111"/>
  <c r="L40" i="111"/>
  <c r="K40" i="111"/>
  <c r="J40" i="111"/>
  <c r="DR39" i="111"/>
  <c r="DK39" i="111"/>
  <c r="DJ39" i="111"/>
  <c r="DI39" i="111"/>
  <c r="DH39" i="111"/>
  <c r="DF39" i="111"/>
  <c r="DB39" i="111"/>
  <c r="DA39" i="111"/>
  <c r="CZ39" i="111"/>
  <c r="CY39" i="111"/>
  <c r="CL39" i="111"/>
  <c r="BY39" i="111"/>
  <c r="AY39" i="111"/>
  <c r="AK39" i="111"/>
  <c r="L39" i="111"/>
  <c r="K39" i="111"/>
  <c r="J39" i="111"/>
  <c r="DR38" i="111"/>
  <c r="DK38" i="111"/>
  <c r="DJ38" i="111"/>
  <c r="DI38" i="111"/>
  <c r="DH38" i="111"/>
  <c r="DF38" i="111"/>
  <c r="DB38" i="111"/>
  <c r="DA38" i="111"/>
  <c r="CZ38" i="111"/>
  <c r="CY38" i="111"/>
  <c r="CL38" i="111"/>
  <c r="BY38" i="111"/>
  <c r="AY38" i="111"/>
  <c r="AK38" i="111"/>
  <c r="DR37" i="111"/>
  <c r="DK37" i="111"/>
  <c r="DJ37" i="111"/>
  <c r="DI37" i="111"/>
  <c r="DH37" i="111"/>
  <c r="DF37" i="111"/>
  <c r="DB37" i="111"/>
  <c r="DA37" i="111"/>
  <c r="CZ37" i="111"/>
  <c r="CY37" i="111"/>
  <c r="CL37" i="111"/>
  <c r="BY37" i="111"/>
  <c r="AY37" i="111"/>
  <c r="AK37" i="111"/>
  <c r="L37" i="111"/>
  <c r="AE37" i="111" s="1"/>
  <c r="K37" i="111"/>
  <c r="J37" i="111"/>
  <c r="DR36" i="111"/>
  <c r="DK36" i="111"/>
  <c r="DJ36" i="111"/>
  <c r="DI36" i="111"/>
  <c r="DH36" i="111"/>
  <c r="DF36" i="111"/>
  <c r="DB36" i="111"/>
  <c r="DA36" i="111"/>
  <c r="CZ36" i="111"/>
  <c r="CY36" i="111"/>
  <c r="CL36" i="111"/>
  <c r="BY36" i="111"/>
  <c r="AY36" i="111"/>
  <c r="AK36" i="111"/>
  <c r="L36" i="111"/>
  <c r="AE36" i="111" s="1"/>
  <c r="K36" i="111"/>
  <c r="J36" i="111"/>
  <c r="DR35" i="111"/>
  <c r="DK35" i="111"/>
  <c r="DJ35" i="111"/>
  <c r="DI35" i="111"/>
  <c r="DH35" i="111"/>
  <c r="DF35" i="111"/>
  <c r="DB35" i="111"/>
  <c r="DA35" i="111"/>
  <c r="CZ35" i="111"/>
  <c r="CY35" i="111"/>
  <c r="CL35" i="111"/>
  <c r="BY35" i="111"/>
  <c r="AY35" i="111"/>
  <c r="AK35" i="111"/>
  <c r="L35" i="111"/>
  <c r="AE35" i="111" s="1"/>
  <c r="K35" i="111"/>
  <c r="J35" i="111"/>
  <c r="DR34" i="111"/>
  <c r="DK34" i="111"/>
  <c r="DJ34" i="111"/>
  <c r="DI34" i="111"/>
  <c r="DH34" i="111"/>
  <c r="DF34" i="111"/>
  <c r="DB34" i="111"/>
  <c r="DA34" i="111"/>
  <c r="CZ34" i="111"/>
  <c r="CY34" i="111"/>
  <c r="CL34" i="111"/>
  <c r="BY34" i="111"/>
  <c r="BR34" i="111"/>
  <c r="AY34" i="111"/>
  <c r="AK34" i="111"/>
  <c r="L34" i="111"/>
  <c r="AE34" i="111" s="1"/>
  <c r="K34" i="111"/>
  <c r="J34" i="111"/>
  <c r="DK33" i="111"/>
  <c r="DJ33" i="111"/>
  <c r="DI33" i="111"/>
  <c r="DH33" i="111"/>
  <c r="DF33" i="111"/>
  <c r="DB33" i="111"/>
  <c r="DA33" i="111"/>
  <c r="CZ33" i="111"/>
  <c r="CL33" i="111"/>
  <c r="BY33" i="111"/>
  <c r="DS33" i="111" s="1"/>
  <c r="BV33" i="111"/>
  <c r="CY33" i="111" s="1"/>
  <c r="AY33" i="111"/>
  <c r="AX33" i="111"/>
  <c r="AK33" i="111"/>
  <c r="L33" i="111"/>
  <c r="AE33" i="111" s="1"/>
  <c r="K33" i="111"/>
  <c r="J33" i="111"/>
  <c r="DK32" i="111"/>
  <c r="DJ32" i="111"/>
  <c r="DI32" i="111"/>
  <c r="DH32" i="111"/>
  <c r="DF32" i="111"/>
  <c r="DB32" i="111"/>
  <c r="DA32" i="111"/>
  <c r="CZ32" i="111"/>
  <c r="CY32" i="111"/>
  <c r="CL32" i="111"/>
  <c r="BY32" i="111"/>
  <c r="DS32" i="111" s="1"/>
  <c r="AY32" i="111"/>
  <c r="AX32" i="111"/>
  <c r="AK32" i="111"/>
  <c r="L32" i="111"/>
  <c r="AE32" i="111" s="1"/>
  <c r="K32" i="111"/>
  <c r="J32" i="111"/>
  <c r="DK31" i="111"/>
  <c r="DJ31" i="111"/>
  <c r="DI31" i="111"/>
  <c r="DH31" i="111"/>
  <c r="DF31" i="111"/>
  <c r="DB31" i="111"/>
  <c r="DA31" i="111"/>
  <c r="CZ31" i="111"/>
  <c r="CY31" i="111"/>
  <c r="CL31" i="111"/>
  <c r="BY31" i="111"/>
  <c r="DS31" i="111" s="1"/>
  <c r="AY31" i="111"/>
  <c r="AX31" i="111"/>
  <c r="AK31" i="111"/>
  <c r="L31" i="111"/>
  <c r="AE31" i="111" s="1"/>
  <c r="K31" i="111"/>
  <c r="J31" i="111"/>
  <c r="DK30" i="111"/>
  <c r="DJ30" i="111"/>
  <c r="DI30" i="111"/>
  <c r="DH30" i="111"/>
  <c r="DF30" i="111"/>
  <c r="DB30" i="111"/>
  <c r="DA30" i="111"/>
  <c r="CZ30" i="111"/>
  <c r="CY30" i="111"/>
  <c r="CL30" i="111"/>
  <c r="BY30" i="111"/>
  <c r="DS30" i="111" s="1"/>
  <c r="AY30" i="111"/>
  <c r="AX30" i="111"/>
  <c r="AK30" i="111"/>
  <c r="L30" i="111"/>
  <c r="AE30" i="111" s="1"/>
  <c r="K30" i="111"/>
  <c r="J30" i="111"/>
  <c r="DK29" i="111"/>
  <c r="DJ29" i="111"/>
  <c r="DI29" i="111"/>
  <c r="DH29" i="111"/>
  <c r="DF29" i="111"/>
  <c r="DB29" i="111"/>
  <c r="DA29" i="111"/>
  <c r="CZ29" i="111"/>
  <c r="CY29" i="111"/>
  <c r="CL29" i="111"/>
  <c r="BY29" i="111"/>
  <c r="DS29" i="111" s="1"/>
  <c r="AY29" i="111"/>
  <c r="AX29" i="111"/>
  <c r="AK29" i="111"/>
  <c r="L29" i="111"/>
  <c r="AE29" i="111" s="1"/>
  <c r="K29" i="111"/>
  <c r="J29" i="111"/>
  <c r="DK28" i="111"/>
  <c r="DJ28" i="111"/>
  <c r="DI28" i="111"/>
  <c r="DH28" i="111"/>
  <c r="DF28" i="111"/>
  <c r="DB28" i="111"/>
  <c r="DA28" i="111"/>
  <c r="CZ28" i="111"/>
  <c r="CY28" i="111"/>
  <c r="CL28" i="111"/>
  <c r="BY28" i="111"/>
  <c r="DS28" i="111" s="1"/>
  <c r="AY28" i="111"/>
  <c r="AX28" i="111"/>
  <c r="AK28" i="111"/>
  <c r="L28" i="111"/>
  <c r="AE28" i="111" s="1"/>
  <c r="K28" i="111"/>
  <c r="J28" i="111"/>
  <c r="DK27" i="111"/>
  <c r="DJ27" i="111"/>
  <c r="DI27" i="111"/>
  <c r="DH27" i="111"/>
  <c r="DF27" i="111"/>
  <c r="DB27" i="111"/>
  <c r="DA27" i="111"/>
  <c r="CZ27" i="111"/>
  <c r="CY27" i="111"/>
  <c r="CL27" i="111"/>
  <c r="BY27" i="111"/>
  <c r="DS27" i="111" s="1"/>
  <c r="AY27" i="111"/>
  <c r="AX27" i="111"/>
  <c r="AK27" i="111"/>
  <c r="L27" i="111"/>
  <c r="AE27" i="111" s="1"/>
  <c r="K27" i="111"/>
  <c r="J27" i="111"/>
  <c r="DK26" i="111"/>
  <c r="DJ26" i="111"/>
  <c r="DI26" i="111"/>
  <c r="DH26" i="111"/>
  <c r="DF26" i="111"/>
  <c r="DB26" i="111"/>
  <c r="DA26" i="111"/>
  <c r="CZ26" i="111"/>
  <c r="CY26" i="111"/>
  <c r="CL26" i="111"/>
  <c r="BY26" i="111"/>
  <c r="DS26" i="111" s="1"/>
  <c r="AY26" i="111"/>
  <c r="AX26" i="111"/>
  <c r="AK26" i="111"/>
  <c r="L26" i="111"/>
  <c r="AE26" i="111" s="1"/>
  <c r="K26" i="111"/>
  <c r="J26" i="111"/>
  <c r="DK25" i="111"/>
  <c r="DJ25" i="111"/>
  <c r="DI25" i="111"/>
  <c r="DH25" i="111"/>
  <c r="DF25" i="111"/>
  <c r="DB25" i="111"/>
  <c r="DA25" i="111"/>
  <c r="CZ25" i="111"/>
  <c r="CY25" i="111"/>
  <c r="CL25" i="111"/>
  <c r="BY25" i="111"/>
  <c r="DS25" i="111" s="1"/>
  <c r="AY25" i="111"/>
  <c r="AX25" i="111"/>
  <c r="AK25" i="111"/>
  <c r="L25" i="111"/>
  <c r="AE25" i="111" s="1"/>
  <c r="K25" i="111"/>
  <c r="J25" i="111"/>
  <c r="DK24" i="111"/>
  <c r="DJ24" i="111"/>
  <c r="DI24" i="111"/>
  <c r="DH24" i="111"/>
  <c r="DF24" i="111"/>
  <c r="DB24" i="111"/>
  <c r="DA24" i="111"/>
  <c r="CZ24" i="111"/>
  <c r="CY24" i="111"/>
  <c r="CL24" i="111"/>
  <c r="BY24" i="111"/>
  <c r="DS24" i="111" s="1"/>
  <c r="AY24" i="111"/>
  <c r="AX24" i="111"/>
  <c r="AK24" i="111"/>
  <c r="L24" i="111"/>
  <c r="AE24" i="111" s="1"/>
  <c r="K24" i="111"/>
  <c r="J24" i="111"/>
  <c r="DK23" i="111"/>
  <c r="DJ23" i="111"/>
  <c r="DI23" i="111"/>
  <c r="DH23" i="111"/>
  <c r="DF23" i="111"/>
  <c r="DB23" i="111"/>
  <c r="DA23" i="111"/>
  <c r="CZ23" i="111"/>
  <c r="CY23" i="111"/>
  <c r="CL23" i="111"/>
  <c r="BY23" i="111"/>
  <c r="DS23" i="111" s="1"/>
  <c r="AY23" i="111"/>
  <c r="AX23" i="111"/>
  <c r="AK23" i="111"/>
  <c r="L23" i="111"/>
  <c r="K23" i="111"/>
  <c r="J23" i="111"/>
  <c r="DK22" i="111"/>
  <c r="DJ22" i="111"/>
  <c r="DI22" i="111"/>
  <c r="DH22" i="111"/>
  <c r="DF22" i="111"/>
  <c r="DB22" i="111"/>
  <c r="DA22" i="111"/>
  <c r="CZ22" i="111"/>
  <c r="CY22" i="111"/>
  <c r="CL22" i="111"/>
  <c r="BY22" i="111"/>
  <c r="DS22" i="111" s="1"/>
  <c r="AY22" i="111"/>
  <c r="AX22" i="111"/>
  <c r="AK22" i="111"/>
  <c r="L22" i="111"/>
  <c r="K22" i="111"/>
  <c r="J22" i="111"/>
  <c r="DK21" i="111"/>
  <c r="DJ21" i="111"/>
  <c r="DI21" i="111"/>
  <c r="DH21" i="111"/>
  <c r="DF21" i="111"/>
  <c r="DB21" i="111"/>
  <c r="DA21" i="111"/>
  <c r="CZ21" i="111"/>
  <c r="CY21" i="111"/>
  <c r="CL21" i="111"/>
  <c r="BY21" i="111"/>
  <c r="DS21" i="111" s="1"/>
  <c r="AY21" i="111"/>
  <c r="AX21" i="111"/>
  <c r="AK21" i="111"/>
  <c r="L21" i="111"/>
  <c r="K21" i="111"/>
  <c r="J21" i="111"/>
  <c r="DK20" i="111"/>
  <c r="DJ20" i="111"/>
  <c r="DI20" i="111"/>
  <c r="DH20" i="111"/>
  <c r="DF20" i="111"/>
  <c r="DB20" i="111"/>
  <c r="DA20" i="111"/>
  <c r="CZ20" i="111"/>
  <c r="CY20" i="111"/>
  <c r="CL20" i="111"/>
  <c r="BY20" i="111"/>
  <c r="DS20" i="111" s="1"/>
  <c r="AY20" i="111"/>
  <c r="AX20" i="111"/>
  <c r="AK20" i="111"/>
  <c r="L20" i="111"/>
  <c r="AE20" i="111" s="1"/>
  <c r="K20" i="111"/>
  <c r="J20" i="111"/>
  <c r="DK19" i="111"/>
  <c r="DJ19" i="111"/>
  <c r="DI19" i="111"/>
  <c r="DH19" i="111"/>
  <c r="DF19" i="111"/>
  <c r="DB19" i="111"/>
  <c r="DA19" i="111"/>
  <c r="CZ19" i="111"/>
  <c r="CY19" i="111"/>
  <c r="CL19" i="111"/>
  <c r="BY19" i="111"/>
  <c r="DS19" i="111" s="1"/>
  <c r="AY19" i="111"/>
  <c r="AX19" i="111"/>
  <c r="AK19" i="111"/>
  <c r="L19" i="111"/>
  <c r="K19" i="111"/>
  <c r="J19" i="111"/>
  <c r="DK18" i="111"/>
  <c r="DJ18" i="111"/>
  <c r="DI18" i="111"/>
  <c r="DH18" i="111"/>
  <c r="DF18" i="111"/>
  <c r="DB18" i="111"/>
  <c r="DA18" i="111"/>
  <c r="CZ18" i="111"/>
  <c r="CY18" i="111"/>
  <c r="CL18" i="111"/>
  <c r="BY18" i="111"/>
  <c r="DS18" i="111" s="1"/>
  <c r="AY18" i="111"/>
  <c r="AX18" i="111"/>
  <c r="AK18" i="111"/>
  <c r="L18" i="111"/>
  <c r="AE18" i="111" s="1"/>
  <c r="K18" i="111"/>
  <c r="J18" i="111"/>
  <c r="DK17" i="111"/>
  <c r="DJ17" i="111"/>
  <c r="DI17" i="111"/>
  <c r="DH17" i="111"/>
  <c r="DF17" i="111"/>
  <c r="DB17" i="111"/>
  <c r="DA17" i="111"/>
  <c r="CZ17" i="111"/>
  <c r="CY17" i="111"/>
  <c r="CL17" i="111"/>
  <c r="BY17" i="111"/>
  <c r="DS17" i="111" s="1"/>
  <c r="AY17" i="111"/>
  <c r="AX17" i="111"/>
  <c r="AK17" i="111"/>
  <c r="L17" i="111"/>
  <c r="K17" i="111"/>
  <c r="J17" i="111"/>
  <c r="DK16" i="111"/>
  <c r="DJ16" i="111"/>
  <c r="DI16" i="111"/>
  <c r="DH16" i="111"/>
  <c r="DF16" i="111"/>
  <c r="DB16" i="111"/>
  <c r="DA16" i="111"/>
  <c r="CZ16" i="111"/>
  <c r="CY16" i="111"/>
  <c r="CL16" i="111"/>
  <c r="BY16" i="111"/>
  <c r="DS16" i="111" s="1"/>
  <c r="AY16" i="111"/>
  <c r="AX16" i="111"/>
  <c r="AK16" i="111"/>
  <c r="L16" i="111"/>
  <c r="K16" i="111"/>
  <c r="J16" i="111"/>
  <c r="DK15" i="111"/>
  <c r="DJ15" i="111"/>
  <c r="DI15" i="111"/>
  <c r="DH15" i="111"/>
  <c r="DF15" i="111"/>
  <c r="DB15" i="111"/>
  <c r="DA15" i="111"/>
  <c r="CZ15" i="111"/>
  <c r="CY15" i="111"/>
  <c r="CL15" i="111"/>
  <c r="BY15" i="111"/>
  <c r="DS15" i="111" s="1"/>
  <c r="AY15" i="111"/>
  <c r="AX15" i="111"/>
  <c r="AK15" i="111"/>
  <c r="L15" i="111"/>
  <c r="AE15" i="111" s="1"/>
  <c r="K15" i="111"/>
  <c r="J15" i="111"/>
  <c r="DK14" i="111"/>
  <c r="DJ14" i="111"/>
  <c r="DI14" i="111"/>
  <c r="DH14" i="111"/>
  <c r="DF14" i="111"/>
  <c r="DB14" i="111"/>
  <c r="DA14" i="111"/>
  <c r="CZ14" i="111"/>
  <c r="CY14" i="111"/>
  <c r="CL14" i="111"/>
  <c r="BY14" i="111"/>
  <c r="DS14" i="111" s="1"/>
  <c r="AY14" i="111"/>
  <c r="AX14" i="111"/>
  <c r="AK14" i="111"/>
  <c r="L14" i="111"/>
  <c r="AE14" i="111" s="1"/>
  <c r="K14" i="111"/>
  <c r="J14" i="111"/>
  <c r="DK13" i="111"/>
  <c r="DJ13" i="111"/>
  <c r="DI13" i="111"/>
  <c r="DH13" i="111"/>
  <c r="DF13" i="111"/>
  <c r="DB13" i="111"/>
  <c r="DA13" i="111"/>
  <c r="CZ13" i="111"/>
  <c r="CY13" i="111"/>
  <c r="CL13" i="111"/>
  <c r="BY13" i="111"/>
  <c r="DS13" i="111" s="1"/>
  <c r="AY13" i="111"/>
  <c r="AX13" i="111"/>
  <c r="AK13" i="111"/>
  <c r="L13" i="111"/>
  <c r="AE13" i="111" s="1"/>
  <c r="K13" i="111"/>
  <c r="J13" i="111"/>
  <c r="DK12" i="111"/>
  <c r="DJ12" i="111"/>
  <c r="DI12" i="111"/>
  <c r="DH12" i="111"/>
  <c r="DF12" i="111"/>
  <c r="DB12" i="111"/>
  <c r="DA12" i="111"/>
  <c r="CZ12" i="111"/>
  <c r="CY12" i="111"/>
  <c r="CL12" i="111"/>
  <c r="BY12" i="111"/>
  <c r="DS12" i="111" s="1"/>
  <c r="AY12" i="111"/>
  <c r="AX12" i="111"/>
  <c r="AK12" i="111"/>
  <c r="L12" i="111"/>
  <c r="AE12" i="111" s="1"/>
  <c r="K12" i="111"/>
  <c r="J12" i="111"/>
  <c r="DK11" i="111"/>
  <c r="DJ11" i="111"/>
  <c r="DI11" i="111"/>
  <c r="DH11" i="111"/>
  <c r="DF11" i="111"/>
  <c r="DB11" i="111"/>
  <c r="DA11" i="111"/>
  <c r="CZ11" i="111"/>
  <c r="CY11" i="111"/>
  <c r="CL11" i="111"/>
  <c r="BY11" i="111"/>
  <c r="DS11" i="111" s="1"/>
  <c r="AY11" i="111"/>
  <c r="AX11" i="111"/>
  <c r="AK11" i="111"/>
  <c r="L11" i="111"/>
  <c r="AE11" i="111" s="1"/>
  <c r="K11" i="111"/>
  <c r="J11" i="111"/>
  <c r="DK10" i="111"/>
  <c r="DJ10" i="111"/>
  <c r="DI10" i="111"/>
  <c r="DH10" i="111"/>
  <c r="DF10" i="111"/>
  <c r="DB10" i="111"/>
  <c r="DA10" i="111"/>
  <c r="CZ10" i="111"/>
  <c r="CY10" i="111"/>
  <c r="CL10" i="111"/>
  <c r="BY10" i="111"/>
  <c r="AY10" i="111"/>
  <c r="AX10" i="111"/>
  <c r="AK10" i="111"/>
  <c r="L10" i="111"/>
  <c r="K10" i="111"/>
  <c r="J10" i="111"/>
  <c r="DR9" i="111"/>
  <c r="DK9" i="111"/>
  <c r="DJ9" i="111"/>
  <c r="DI9" i="111"/>
  <c r="DH9" i="111"/>
  <c r="DF9" i="111"/>
  <c r="DB9" i="111"/>
  <c r="DA9" i="111"/>
  <c r="CZ9" i="111"/>
  <c r="CL9" i="111"/>
  <c r="BZ9" i="111"/>
  <c r="BV9" i="111"/>
  <c r="CY9" i="111" s="1"/>
  <c r="AY9" i="111"/>
  <c r="AX9" i="111"/>
  <c r="AK9" i="111"/>
  <c r="J9" i="111"/>
  <c r="CZ8" i="111"/>
  <c r="BY8" i="111"/>
  <c r="AY8" i="111"/>
  <c r="DR7" i="111"/>
  <c r="DK7" i="111"/>
  <c r="DJ7" i="111"/>
  <c r="DI7" i="111"/>
  <c r="DH7" i="111"/>
  <c r="DF7" i="111"/>
  <c r="DF1" i="111" s="1"/>
  <c r="DB7" i="111"/>
  <c r="DA7" i="111"/>
  <c r="CZ7" i="111"/>
  <c r="CL7" i="111"/>
  <c r="CH7" i="111"/>
  <c r="CG7" i="111"/>
  <c r="CE7" i="111"/>
  <c r="CA7" i="111"/>
  <c r="BV7" i="111"/>
  <c r="CY7" i="111" s="1"/>
  <c r="AY7" i="111"/>
  <c r="AX7" i="111"/>
  <c r="AK7" i="111"/>
  <c r="AK1" i="111" s="1"/>
  <c r="L7" i="111"/>
  <c r="AE7" i="111" s="1"/>
  <c r="K7" i="111"/>
  <c r="J7" i="111"/>
  <c r="DR6" i="111"/>
  <c r="DK6" i="111"/>
  <c r="DJ6" i="111"/>
  <c r="DI6" i="111"/>
  <c r="DH6" i="111"/>
  <c r="DF6" i="111"/>
  <c r="DB6" i="111"/>
  <c r="DA6" i="111"/>
  <c r="CZ6" i="111"/>
  <c r="CL6" i="111"/>
  <c r="CE6" i="111"/>
  <c r="CD6" i="111"/>
  <c r="CC6" i="111"/>
  <c r="CB6" i="111"/>
  <c r="CA6" i="111"/>
  <c r="BV6" i="111"/>
  <c r="CY6" i="111" s="1"/>
  <c r="AY6" i="111"/>
  <c r="AX6" i="111"/>
  <c r="AK6" i="111"/>
  <c r="L6" i="111"/>
  <c r="AE6" i="111" s="1"/>
  <c r="K6" i="111"/>
  <c r="J6" i="111"/>
  <c r="DQ3" i="111"/>
  <c r="DP3" i="111"/>
  <c r="DO3" i="111"/>
  <c r="DN3" i="111"/>
  <c r="DM3" i="111"/>
  <c r="DL3" i="111"/>
  <c r="DQ1" i="111"/>
  <c r="DP1" i="111"/>
  <c r="DO1" i="111"/>
  <c r="DN1" i="111"/>
  <c r="DM1" i="111"/>
  <c r="DL1" i="111"/>
  <c r="DD1" i="111"/>
  <c r="BX1" i="111"/>
  <c r="BW1" i="111"/>
  <c r="BU1" i="111"/>
  <c r="BS1" i="111"/>
  <c r="BQ1" i="111"/>
  <c r="BP1" i="111"/>
  <c r="BO1" i="111"/>
  <c r="BN1" i="111"/>
  <c r="BM1" i="111"/>
  <c r="BK1" i="111"/>
  <c r="BJ1" i="111"/>
  <c r="BI1" i="111"/>
  <c r="BH1" i="111"/>
  <c r="BG1" i="111"/>
  <c r="BF1" i="111"/>
  <c r="BE1" i="111"/>
  <c r="BD1" i="111"/>
  <c r="BC1" i="111"/>
  <c r="BB1" i="111"/>
  <c r="BA1" i="111"/>
  <c r="AZ1" i="111"/>
  <c r="AU1" i="111"/>
  <c r="AT1" i="111"/>
  <c r="AS1" i="111"/>
  <c r="AR1" i="111"/>
  <c r="AN1" i="111"/>
  <c r="AL1" i="111"/>
  <c r="AH1" i="111"/>
  <c r="DC270" i="111" l="1"/>
  <c r="DE270" i="111" s="1"/>
  <c r="DS270" i="111"/>
  <c r="CM1" i="111"/>
  <c r="CO1" i="111"/>
  <c r="DC153" i="111"/>
  <c r="DE153" i="111" s="1"/>
  <c r="BY264" i="111"/>
  <c r="DS264" i="111" s="1"/>
  <c r="DC25" i="111"/>
  <c r="DE25" i="111" s="1"/>
  <c r="DC44" i="111"/>
  <c r="DE44" i="111" s="1"/>
  <c r="DC102" i="111"/>
  <c r="DE102" i="111" s="1"/>
  <c r="DC85" i="111"/>
  <c r="DE85" i="111" s="1"/>
  <c r="CN1" i="111"/>
  <c r="DC186" i="111"/>
  <c r="DE186" i="111" s="1"/>
  <c r="BY52" i="111"/>
  <c r="DC52" i="111" s="1"/>
  <c r="DE52" i="111" s="1"/>
  <c r="CB1" i="111"/>
  <c r="BY49" i="111"/>
  <c r="DS49" i="111" s="1"/>
  <c r="DC79" i="111"/>
  <c r="DE79" i="111" s="1"/>
  <c r="DC184" i="111"/>
  <c r="DE184" i="111" s="1"/>
  <c r="DS224" i="111"/>
  <c r="DC31" i="111"/>
  <c r="DE31" i="111" s="1"/>
  <c r="DC125" i="111"/>
  <c r="DE125" i="111" s="1"/>
  <c r="DC227" i="111"/>
  <c r="DE227" i="111" s="1"/>
  <c r="DC36" i="111"/>
  <c r="DE36" i="111" s="1"/>
  <c r="DS36" i="111"/>
  <c r="DC39" i="111"/>
  <c r="DE39" i="111" s="1"/>
  <c r="DS39" i="111"/>
  <c r="DC197" i="111"/>
  <c r="DE197" i="111" s="1"/>
  <c r="DS242" i="111"/>
  <c r="DC253" i="111"/>
  <c r="DE253" i="111" s="1"/>
  <c r="DC34" i="111"/>
  <c r="DE34" i="111" s="1"/>
  <c r="BY241" i="111"/>
  <c r="DC241" i="111" s="1"/>
  <c r="DE241" i="111" s="1"/>
  <c r="BY64" i="111"/>
  <c r="DS64" i="111" s="1"/>
  <c r="DS34" i="111"/>
  <c r="DC140" i="111"/>
  <c r="DE140" i="111" s="1"/>
  <c r="CL253" i="111"/>
  <c r="BR1" i="111"/>
  <c r="BY53" i="111"/>
  <c r="DC53" i="111" s="1"/>
  <c r="DE53" i="111" s="1"/>
  <c r="BT1" i="111"/>
  <c r="DC41" i="111"/>
  <c r="DE41" i="111" s="1"/>
  <c r="BL3" i="111"/>
  <c r="BZ1" i="111"/>
  <c r="BY7" i="111"/>
  <c r="DS7" i="111" s="1"/>
  <c r="BY48" i="111"/>
  <c r="DS48" i="111" s="1"/>
  <c r="BY58" i="111"/>
  <c r="DC58" i="111" s="1"/>
  <c r="DE58" i="111" s="1"/>
  <c r="DC87" i="111"/>
  <c r="DE87" i="111" s="1"/>
  <c r="DC89" i="111"/>
  <c r="DE89" i="111" s="1"/>
  <c r="DC167" i="111"/>
  <c r="DE167" i="111" s="1"/>
  <c r="DC174" i="111"/>
  <c r="DE174" i="111" s="1"/>
  <c r="BL1" i="111"/>
  <c r="DC108" i="111"/>
  <c r="DE108" i="111" s="1"/>
  <c r="DC90" i="111"/>
  <c r="DE90" i="111" s="1"/>
  <c r="DC122" i="111"/>
  <c r="DE122" i="111" s="1"/>
  <c r="DC137" i="111"/>
  <c r="DE137" i="111" s="1"/>
  <c r="DC175" i="111"/>
  <c r="DE175" i="111" s="1"/>
  <c r="DC204" i="111"/>
  <c r="DE204" i="111" s="1"/>
  <c r="DC238" i="111"/>
  <c r="DE238" i="111" s="1"/>
  <c r="BY61" i="111"/>
  <c r="DC61" i="111" s="1"/>
  <c r="DE61" i="111" s="1"/>
  <c r="DC74" i="111"/>
  <c r="DE74" i="111" s="1"/>
  <c r="DC88" i="111"/>
  <c r="DE88" i="111" s="1"/>
  <c r="DC246" i="111"/>
  <c r="DE246" i="111" s="1"/>
  <c r="CH1" i="111"/>
  <c r="BY252" i="111"/>
  <c r="DC252" i="111" s="1"/>
  <c r="DE252" i="111" s="1"/>
  <c r="DC28" i="111"/>
  <c r="DE28" i="111" s="1"/>
  <c r="DC173" i="111"/>
  <c r="DE173" i="111" s="1"/>
  <c r="BY219" i="111"/>
  <c r="DC219" i="111" s="1"/>
  <c r="DE219" i="111" s="1"/>
  <c r="CD1" i="111"/>
  <c r="AV1" i="111"/>
  <c r="DC179" i="111"/>
  <c r="DE179" i="111" s="1"/>
  <c r="BY216" i="111"/>
  <c r="DC216" i="111" s="1"/>
  <c r="DE216" i="111" s="1"/>
  <c r="CJ1" i="111"/>
  <c r="DC243" i="111"/>
  <c r="DE243" i="111" s="1"/>
  <c r="BY55" i="111"/>
  <c r="DC55" i="111" s="1"/>
  <c r="DE55" i="111" s="1"/>
  <c r="BY9" i="111"/>
  <c r="DS9" i="111" s="1"/>
  <c r="DC16" i="111"/>
  <c r="DE16" i="111" s="1"/>
  <c r="DC32" i="111"/>
  <c r="DE32" i="111" s="1"/>
  <c r="CK1" i="111"/>
  <c r="CF1" i="111"/>
  <c r="DC62" i="111"/>
  <c r="DE62" i="111" s="1"/>
  <c r="DC158" i="111"/>
  <c r="DE158" i="111" s="1"/>
  <c r="DC160" i="111"/>
  <c r="DE160" i="111" s="1"/>
  <c r="CE1" i="111"/>
  <c r="DS41" i="111"/>
  <c r="DC33" i="111"/>
  <c r="DE33" i="111" s="1"/>
  <c r="BY47" i="111"/>
  <c r="DS47" i="111" s="1"/>
  <c r="BY56" i="111"/>
  <c r="DS56" i="111" s="1"/>
  <c r="DC68" i="111"/>
  <c r="DE68" i="111" s="1"/>
  <c r="DC76" i="111"/>
  <c r="DE76" i="111" s="1"/>
  <c r="DC154" i="111"/>
  <c r="DE154" i="111" s="1"/>
  <c r="DC240" i="111"/>
  <c r="DE240" i="111" s="1"/>
  <c r="BY250" i="111"/>
  <c r="DS250" i="111" s="1"/>
  <c r="DC161" i="111"/>
  <c r="DE161" i="111" s="1"/>
  <c r="DS161" i="111"/>
  <c r="DC180" i="111"/>
  <c r="DE180" i="111" s="1"/>
  <c r="DC205" i="111"/>
  <c r="DE205" i="111" s="1"/>
  <c r="DC223" i="111"/>
  <c r="DE223" i="111" s="1"/>
  <c r="CL263" i="111"/>
  <c r="CI1" i="111"/>
  <c r="DC82" i="111"/>
  <c r="DE82" i="111" s="1"/>
  <c r="DC100" i="111"/>
  <c r="DE100" i="111" s="1"/>
  <c r="DC116" i="111"/>
  <c r="DE116" i="111" s="1"/>
  <c r="DC224" i="111"/>
  <c r="DE224" i="111" s="1"/>
  <c r="BY236" i="111"/>
  <c r="DS236" i="111" s="1"/>
  <c r="DS243" i="111"/>
  <c r="BY6" i="111"/>
  <c r="DC6" i="111" s="1"/>
  <c r="CG1" i="111"/>
  <c r="DC106" i="111"/>
  <c r="DE106" i="111" s="1"/>
  <c r="DC164" i="111"/>
  <c r="DE164" i="111" s="1"/>
  <c r="DC171" i="111"/>
  <c r="DE171" i="111" s="1"/>
  <c r="DC206" i="111"/>
  <c r="DE206" i="111" s="1"/>
  <c r="BY222" i="111"/>
  <c r="DC222" i="111" s="1"/>
  <c r="DE222" i="111" s="1"/>
  <c r="DC233" i="111"/>
  <c r="DE233" i="111" s="1"/>
  <c r="DC215" i="111"/>
  <c r="DE215" i="111" s="1"/>
  <c r="DK1" i="111"/>
  <c r="DC69" i="111"/>
  <c r="DE69" i="111" s="1"/>
  <c r="DC189" i="111"/>
  <c r="DE189" i="111" s="1"/>
  <c r="DF3" i="111"/>
  <c r="CV3" i="111"/>
  <c r="BY54" i="111"/>
  <c r="DS54" i="111" s="1"/>
  <c r="BY70" i="111"/>
  <c r="DC70" i="111" s="1"/>
  <c r="DE70" i="111" s="1"/>
  <c r="DC121" i="111"/>
  <c r="DE121" i="111" s="1"/>
  <c r="CS3" i="111"/>
  <c r="AX67" i="111"/>
  <c r="AX1" i="111" s="1"/>
  <c r="CC1" i="111"/>
  <c r="DC134" i="111"/>
  <c r="DE134" i="111" s="1"/>
  <c r="DC145" i="111"/>
  <c r="DE145" i="111" s="1"/>
  <c r="DC201" i="111"/>
  <c r="DE201" i="111" s="1"/>
  <c r="DS201" i="111"/>
  <c r="DS226" i="111"/>
  <c r="BY248" i="111"/>
  <c r="DS248" i="111" s="1"/>
  <c r="BY274" i="111"/>
  <c r="DC274" i="111" s="1"/>
  <c r="DE274" i="111" s="1"/>
  <c r="DS246" i="111"/>
  <c r="DS251" i="111"/>
  <c r="DS178" i="111"/>
  <c r="DS107" i="111"/>
  <c r="DS239" i="111"/>
  <c r="DS245" i="111"/>
  <c r="DS127" i="111"/>
  <c r="DS65" i="111"/>
  <c r="DS92" i="111"/>
  <c r="DS95" i="111"/>
  <c r="DS153" i="111"/>
  <c r="DS195" i="111"/>
  <c r="DS38" i="111"/>
  <c r="DS69" i="111"/>
  <c r="DS40" i="111"/>
  <c r="DS193" i="111"/>
  <c r="DS85" i="111"/>
  <c r="DS112" i="111"/>
  <c r="DS119" i="111"/>
  <c r="DS126" i="111"/>
  <c r="DS131" i="111"/>
  <c r="DS148" i="111"/>
  <c r="DS151" i="111"/>
  <c r="DS156" i="111"/>
  <c r="DS175" i="111"/>
  <c r="DS183" i="111"/>
  <c r="DS203" i="111"/>
  <c r="DC10" i="111"/>
  <c r="DE10" i="111" s="1"/>
  <c r="DC14" i="111"/>
  <c r="DE14" i="111" s="1"/>
  <c r="DC30" i="111"/>
  <c r="DE30" i="111" s="1"/>
  <c r="DS57" i="111"/>
  <c r="DS68" i="111"/>
  <c r="DC71" i="111"/>
  <c r="DE71" i="111" s="1"/>
  <c r="DC75" i="111"/>
  <c r="DE75" i="111" s="1"/>
  <c r="DC78" i="111"/>
  <c r="DE78" i="111" s="1"/>
  <c r="DC81" i="111"/>
  <c r="DE81" i="111" s="1"/>
  <c r="DC86" i="111"/>
  <c r="DE86" i="111" s="1"/>
  <c r="DC91" i="111"/>
  <c r="DE91" i="111" s="1"/>
  <c r="DS91" i="111"/>
  <c r="DC93" i="111"/>
  <c r="DE93" i="111" s="1"/>
  <c r="DC96" i="111"/>
  <c r="DE96" i="111" s="1"/>
  <c r="DS108" i="111"/>
  <c r="DC110" i="111"/>
  <c r="DE110" i="111" s="1"/>
  <c r="DC113" i="111"/>
  <c r="DE113" i="111" s="1"/>
  <c r="DC117" i="111"/>
  <c r="DE117" i="111" s="1"/>
  <c r="DC126" i="111"/>
  <c r="DE126" i="111" s="1"/>
  <c r="DC132" i="111"/>
  <c r="DE132" i="111" s="1"/>
  <c r="DS134" i="111"/>
  <c r="DS144" i="111"/>
  <c r="DS159" i="111"/>
  <c r="DC168" i="111"/>
  <c r="DE168" i="111" s="1"/>
  <c r="DS171" i="111"/>
  <c r="DS184" i="111"/>
  <c r="DC188" i="111"/>
  <c r="DE188" i="111" s="1"/>
  <c r="DC203" i="111"/>
  <c r="DE203" i="111" s="1"/>
  <c r="DC207" i="111"/>
  <c r="DE207" i="111" s="1"/>
  <c r="DC211" i="111"/>
  <c r="DE211" i="111" s="1"/>
  <c r="DC221" i="111"/>
  <c r="DE221" i="111" s="1"/>
  <c r="DS272" i="111"/>
  <c r="BR3" i="111"/>
  <c r="DA1" i="111"/>
  <c r="DI1" i="111"/>
  <c r="DC15" i="111"/>
  <c r="DE15" i="111" s="1"/>
  <c r="DC17" i="111"/>
  <c r="DE17" i="111" s="1"/>
  <c r="DC19" i="111"/>
  <c r="DE19" i="111" s="1"/>
  <c r="DC63" i="111"/>
  <c r="DE63" i="111" s="1"/>
  <c r="DC77" i="111"/>
  <c r="DE77" i="111" s="1"/>
  <c r="DC83" i="111"/>
  <c r="DE83" i="111" s="1"/>
  <c r="DC98" i="111"/>
  <c r="DE98" i="111" s="1"/>
  <c r="DC136" i="111"/>
  <c r="DE136" i="111" s="1"/>
  <c r="DC141" i="111"/>
  <c r="DE141" i="111" s="1"/>
  <c r="DC185" i="111"/>
  <c r="DE185" i="111" s="1"/>
  <c r="DC190" i="111"/>
  <c r="DE190" i="111" s="1"/>
  <c r="DC239" i="111"/>
  <c r="DE239" i="111" s="1"/>
  <c r="DS249" i="111"/>
  <c r="DC255" i="111"/>
  <c r="DE255" i="111" s="1"/>
  <c r="DS263" i="111"/>
  <c r="DC267" i="111"/>
  <c r="DE267" i="111" s="1"/>
  <c r="DC273" i="111"/>
  <c r="DE273" i="111" s="1"/>
  <c r="DS179" i="111"/>
  <c r="DC12" i="111"/>
  <c r="DE12" i="111" s="1"/>
  <c r="DC24" i="111"/>
  <c r="DE24" i="111" s="1"/>
  <c r="DC29" i="111"/>
  <c r="DE29" i="111" s="1"/>
  <c r="DC37" i="111"/>
  <c r="DE37" i="111" s="1"/>
  <c r="DS71" i="111"/>
  <c r="DS73" i="111"/>
  <c r="DC104" i="111"/>
  <c r="DE104" i="111" s="1"/>
  <c r="DC120" i="111"/>
  <c r="DE120" i="111" s="1"/>
  <c r="DS122" i="111"/>
  <c r="DS124" i="111"/>
  <c r="DC127" i="111"/>
  <c r="DE127" i="111" s="1"/>
  <c r="DS133" i="111"/>
  <c r="DS143" i="111"/>
  <c r="DC152" i="111"/>
  <c r="DE152" i="111" s="1"/>
  <c r="DC155" i="111"/>
  <c r="DE155" i="111" s="1"/>
  <c r="DS163" i="111"/>
  <c r="DS166" i="111"/>
  <c r="DC170" i="111"/>
  <c r="DE170" i="111" s="1"/>
  <c r="DS177" i="111"/>
  <c r="DC181" i="111"/>
  <c r="DE181" i="111" s="1"/>
  <c r="DC192" i="111"/>
  <c r="DE192" i="111" s="1"/>
  <c r="DC194" i="111"/>
  <c r="DE194" i="111" s="1"/>
  <c r="DS194" i="111"/>
  <c r="DS210" i="111"/>
  <c r="DC212" i="111"/>
  <c r="DE212" i="111" s="1"/>
  <c r="DS212" i="111"/>
  <c r="DC214" i="111"/>
  <c r="DE214" i="111" s="1"/>
  <c r="DC217" i="111"/>
  <c r="DE217" i="111" s="1"/>
  <c r="DS253" i="111"/>
  <c r="DC263" i="111"/>
  <c r="DE263" i="111" s="1"/>
  <c r="DC266" i="111"/>
  <c r="DE266" i="111" s="1"/>
  <c r="DS10" i="111"/>
  <c r="DB3" i="111"/>
  <c r="CZ1" i="111"/>
  <c r="DR1" i="111"/>
  <c r="DC18" i="111"/>
  <c r="DE18" i="111" s="1"/>
  <c r="DC21" i="111"/>
  <c r="DE21" i="111" s="1"/>
  <c r="DC23" i="111"/>
  <c r="DE23" i="111" s="1"/>
  <c r="DC84" i="111"/>
  <c r="DE84" i="111" s="1"/>
  <c r="DS101" i="111"/>
  <c r="DC101" i="111"/>
  <c r="DE101" i="111" s="1"/>
  <c r="DC107" i="111"/>
  <c r="DE107" i="111" s="1"/>
  <c r="DC135" i="111"/>
  <c r="DE135" i="111" s="1"/>
  <c r="DC139" i="111"/>
  <c r="DE139" i="111" s="1"/>
  <c r="DC143" i="111"/>
  <c r="DE143" i="111" s="1"/>
  <c r="DC148" i="111"/>
  <c r="DE148" i="111" s="1"/>
  <c r="DC151" i="111"/>
  <c r="DE151" i="111" s="1"/>
  <c r="DC172" i="111"/>
  <c r="DE172" i="111" s="1"/>
  <c r="DC187" i="111"/>
  <c r="DE187" i="111" s="1"/>
  <c r="DC191" i="111"/>
  <c r="DE191" i="111" s="1"/>
  <c r="DS215" i="111"/>
  <c r="DC268" i="111"/>
  <c r="DE268" i="111" s="1"/>
  <c r="DS268" i="111"/>
  <c r="DS103" i="111"/>
  <c r="DC103" i="111"/>
  <c r="DE103" i="111" s="1"/>
  <c r="CP3" i="111"/>
  <c r="AY1" i="111"/>
  <c r="DS99" i="111"/>
  <c r="DC99" i="111"/>
  <c r="DE99" i="111" s="1"/>
  <c r="DC176" i="111"/>
  <c r="DE176" i="111" s="1"/>
  <c r="DS176" i="111"/>
  <c r="AZ3" i="111"/>
  <c r="BF3" i="111"/>
  <c r="DH1" i="111"/>
  <c r="DJ1" i="111"/>
  <c r="DC11" i="111"/>
  <c r="DE11" i="111" s="1"/>
  <c r="DC13" i="111"/>
  <c r="DE13" i="111" s="1"/>
  <c r="DC20" i="111"/>
  <c r="DE20" i="111" s="1"/>
  <c r="DC22" i="111"/>
  <c r="DE22" i="111" s="1"/>
  <c r="DC26" i="111"/>
  <c r="DE26" i="111" s="1"/>
  <c r="DC35" i="111"/>
  <c r="DE35" i="111" s="1"/>
  <c r="DS35" i="111"/>
  <c r="DC67" i="111"/>
  <c r="DE67" i="111" s="1"/>
  <c r="DC80" i="111"/>
  <c r="DE80" i="111" s="1"/>
  <c r="DS97" i="111"/>
  <c r="DC97" i="111"/>
  <c r="DE97" i="111" s="1"/>
  <c r="DS105" i="111"/>
  <c r="DC105" i="111"/>
  <c r="DE105" i="111" s="1"/>
  <c r="DS110" i="111"/>
  <c r="DC112" i="111"/>
  <c r="DE112" i="111" s="1"/>
  <c r="DC115" i="111"/>
  <c r="DE115" i="111" s="1"/>
  <c r="DC119" i="111"/>
  <c r="DE119" i="111" s="1"/>
  <c r="DC129" i="111"/>
  <c r="DE129" i="111" s="1"/>
  <c r="DS129" i="111"/>
  <c r="DC138" i="111"/>
  <c r="DE138" i="111" s="1"/>
  <c r="DC142" i="111"/>
  <c r="DE142" i="111" s="1"/>
  <c r="DS155" i="111"/>
  <c r="DC157" i="111"/>
  <c r="DE157" i="111" s="1"/>
  <c r="DS173" i="111"/>
  <c r="DS188" i="111"/>
  <c r="DS192" i="111"/>
  <c r="DC195" i="111"/>
  <c r="DE195" i="111" s="1"/>
  <c r="DS205" i="111"/>
  <c r="DS207" i="111"/>
  <c r="DS221" i="111"/>
  <c r="DS232" i="111"/>
  <c r="DS234" i="111"/>
  <c r="DS235" i="111"/>
  <c r="DC237" i="111"/>
  <c r="DE237" i="111" s="1"/>
  <c r="DS244" i="111"/>
  <c r="DC27" i="111"/>
  <c r="DE27" i="111" s="1"/>
  <c r="DS37" i="111"/>
  <c r="DC42" i="111"/>
  <c r="DE42" i="111" s="1"/>
  <c r="DS42" i="111"/>
  <c r="DS44" i="111"/>
  <c r="DS62" i="111"/>
  <c r="DS63" i="111"/>
  <c r="DC94" i="111"/>
  <c r="DE94" i="111" s="1"/>
  <c r="DS123" i="111"/>
  <c r="DC128" i="111"/>
  <c r="DE128" i="111" s="1"/>
  <c r="DC130" i="111"/>
  <c r="DE130" i="111" s="1"/>
  <c r="DC133" i="111"/>
  <c r="DE133" i="111" s="1"/>
  <c r="DC146" i="111"/>
  <c r="DE146" i="111" s="1"/>
  <c r="DC149" i="111"/>
  <c r="DE149" i="111" s="1"/>
  <c r="DS154" i="111"/>
  <c r="DS158" i="111"/>
  <c r="DC162" i="111"/>
  <c r="DE162" i="111" s="1"/>
  <c r="DC165" i="111"/>
  <c r="DE165" i="111" s="1"/>
  <c r="DC178" i="111"/>
  <c r="DE178" i="111" s="1"/>
  <c r="DS209" i="111"/>
  <c r="DS214" i="111"/>
  <c r="DS217" i="111"/>
  <c r="DS223" i="111"/>
  <c r="DS229" i="111"/>
  <c r="DS231" i="111"/>
  <c r="DC232" i="111"/>
  <c r="DE232" i="111" s="1"/>
  <c r="DC244" i="111"/>
  <c r="DE244" i="111" s="1"/>
  <c r="DC38" i="111"/>
  <c r="DE38" i="111" s="1"/>
  <c r="DC40" i="111"/>
  <c r="DE40" i="111" s="1"/>
  <c r="DC43" i="111"/>
  <c r="DE43" i="111" s="1"/>
  <c r="DS43" i="111"/>
  <c r="DC95" i="111"/>
  <c r="DE95" i="111" s="1"/>
  <c r="DC109" i="111"/>
  <c r="DE109" i="111" s="1"/>
  <c r="DC111" i="111"/>
  <c r="DE111" i="111" s="1"/>
  <c r="DC114" i="111"/>
  <c r="DE114" i="111" s="1"/>
  <c r="DC118" i="111"/>
  <c r="DE118" i="111" s="1"/>
  <c r="DC124" i="111"/>
  <c r="DE124" i="111" s="1"/>
  <c r="DC147" i="111"/>
  <c r="DE147" i="111" s="1"/>
  <c r="DC150" i="111"/>
  <c r="DE150" i="111" s="1"/>
  <c r="DC159" i="111"/>
  <c r="DE159" i="111" s="1"/>
  <c r="DC166" i="111"/>
  <c r="DE166" i="111" s="1"/>
  <c r="DC169" i="111"/>
  <c r="DE169" i="111" s="1"/>
  <c r="DS197" i="111"/>
  <c r="DC199" i="111"/>
  <c r="DE199" i="111" s="1"/>
  <c r="DS204" i="111"/>
  <c r="DC210" i="111"/>
  <c r="DE210" i="111" s="1"/>
  <c r="DS211" i="111"/>
  <c r="DS218" i="111"/>
  <c r="DS225" i="111"/>
  <c r="DC226" i="111"/>
  <c r="DE226" i="111" s="1"/>
  <c r="DS228" i="111"/>
  <c r="DS230" i="111"/>
  <c r="DS233" i="111"/>
  <c r="DS237" i="111"/>
  <c r="DS238" i="111"/>
  <c r="DS240" i="111"/>
  <c r="DC242" i="111"/>
  <c r="DE242" i="111" s="1"/>
  <c r="DC256" i="111"/>
  <c r="DE256" i="111" s="1"/>
  <c r="DC257" i="111"/>
  <c r="DE257" i="111" s="1"/>
  <c r="DC272" i="111"/>
  <c r="DE272" i="111" s="1"/>
  <c r="DS273" i="111"/>
  <c r="DB1" i="111"/>
  <c r="CY1" i="111"/>
  <c r="CY3" i="111"/>
  <c r="DS50" i="111"/>
  <c r="DC50" i="111"/>
  <c r="DE50" i="111" s="1"/>
  <c r="DS66" i="111"/>
  <c r="DC66" i="111"/>
  <c r="DE66" i="111" s="1"/>
  <c r="DS59" i="111"/>
  <c r="DC59" i="111"/>
  <c r="DE59" i="111" s="1"/>
  <c r="BV1" i="111"/>
  <c r="DS51" i="111"/>
  <c r="DC51" i="111"/>
  <c r="DE51" i="111" s="1"/>
  <c r="DC65" i="111"/>
  <c r="DE65" i="111" s="1"/>
  <c r="DC57" i="111"/>
  <c r="DE57" i="111" s="1"/>
  <c r="CA1" i="111"/>
  <c r="DS67" i="111"/>
  <c r="DC73" i="111"/>
  <c r="DE73" i="111" s="1"/>
  <c r="DS196" i="111"/>
  <c r="DC196" i="111"/>
  <c r="DE196" i="111" s="1"/>
  <c r="BY72" i="111"/>
  <c r="DS72" i="111" s="1"/>
  <c r="DC182" i="111"/>
  <c r="DE182" i="111" s="1"/>
  <c r="DC193" i="111"/>
  <c r="DE193" i="111" s="1"/>
  <c r="DC200" i="111"/>
  <c r="DE200" i="111" s="1"/>
  <c r="DC209" i="111"/>
  <c r="DE209" i="111" s="1"/>
  <c r="DS213" i="111"/>
  <c r="DC213" i="111"/>
  <c r="DE213" i="111" s="1"/>
  <c r="DS220" i="111"/>
  <c r="DC220" i="111"/>
  <c r="DE220" i="111" s="1"/>
  <c r="DC229" i="111"/>
  <c r="DE229" i="111" s="1"/>
  <c r="DC231" i="111"/>
  <c r="DE231" i="111" s="1"/>
  <c r="DC269" i="111"/>
  <c r="DE269" i="111" s="1"/>
  <c r="DS269" i="111"/>
  <c r="DS198" i="111"/>
  <c r="DC198" i="111"/>
  <c r="DE198" i="111" s="1"/>
  <c r="DS202" i="111"/>
  <c r="DC202" i="111"/>
  <c r="DE202" i="111" s="1"/>
  <c r="DC230" i="111"/>
  <c r="DE230" i="111" s="1"/>
  <c r="DC234" i="111"/>
  <c r="DE234" i="111" s="1"/>
  <c r="DC251" i="111"/>
  <c r="DE251" i="111" s="1"/>
  <c r="DC271" i="111"/>
  <c r="DE271" i="111" s="1"/>
  <c r="DS271" i="111"/>
  <c r="DC92" i="111"/>
  <c r="DE92" i="111" s="1"/>
  <c r="DC123" i="111"/>
  <c r="DE123" i="111" s="1"/>
  <c r="DC131" i="111"/>
  <c r="DE131" i="111" s="1"/>
  <c r="DC144" i="111"/>
  <c r="DE144" i="111" s="1"/>
  <c r="DC156" i="111"/>
  <c r="DE156" i="111" s="1"/>
  <c r="DC163" i="111"/>
  <c r="DE163" i="111" s="1"/>
  <c r="DC177" i="111"/>
  <c r="DE177" i="111" s="1"/>
  <c r="DC218" i="111"/>
  <c r="DE218" i="111" s="1"/>
  <c r="DC245" i="111"/>
  <c r="DE245" i="111" s="1"/>
  <c r="DC249" i="111"/>
  <c r="DE249" i="111" s="1"/>
  <c r="DC183" i="111"/>
  <c r="DE183" i="111" s="1"/>
  <c r="DS208" i="111"/>
  <c r="DC208" i="111"/>
  <c r="DE208" i="111" s="1"/>
  <c r="DC225" i="111"/>
  <c r="DE225" i="111" s="1"/>
  <c r="DC228" i="111"/>
  <c r="DE228" i="111" s="1"/>
  <c r="DC235" i="111"/>
  <c r="DE235" i="111" s="1"/>
  <c r="DS247" i="111"/>
  <c r="DC247" i="111"/>
  <c r="DE247" i="111" s="1"/>
  <c r="DC258" i="111"/>
  <c r="DC48" i="111" l="1"/>
  <c r="DE48" i="111" s="1"/>
  <c r="DC236" i="111"/>
  <c r="DE236" i="111" s="1"/>
  <c r="CM3" i="111"/>
  <c r="CL3" i="111" s="1"/>
  <c r="DC264" i="111"/>
  <c r="DE264" i="111" s="1"/>
  <c r="DS53" i="111"/>
  <c r="DS52" i="111"/>
  <c r="DC56" i="111"/>
  <c r="DE56" i="111" s="1"/>
  <c r="DS252" i="111"/>
  <c r="CL1" i="111"/>
  <c r="DC47" i="111"/>
  <c r="DE47" i="111" s="1"/>
  <c r="DC49" i="111"/>
  <c r="DE49" i="111" s="1"/>
  <c r="DS55" i="111"/>
  <c r="DS219" i="111"/>
  <c r="DS241" i="111"/>
  <c r="DC7" i="111"/>
  <c r="DE7" i="111" s="1"/>
  <c r="DS6" i="111"/>
  <c r="DC250" i="111"/>
  <c r="DE250" i="111" s="1"/>
  <c r="DS274" i="111"/>
  <c r="DC64" i="111"/>
  <c r="DE64" i="111" s="1"/>
  <c r="BZ3" i="111"/>
  <c r="DC9" i="111"/>
  <c r="DE9" i="111" s="1"/>
  <c r="CF3" i="111"/>
  <c r="DS61" i="111"/>
  <c r="DC248" i="111"/>
  <c r="DE248" i="111" s="1"/>
  <c r="DS70" i="111"/>
  <c r="DS222" i="111"/>
  <c r="DC54" i="111"/>
  <c r="DE54" i="111" s="1"/>
  <c r="DS216" i="111"/>
  <c r="DS58" i="111"/>
  <c r="CC3" i="111"/>
  <c r="CI3" i="111"/>
  <c r="AY3" i="111"/>
  <c r="DC72" i="111"/>
  <c r="DE72" i="111" s="1"/>
  <c r="DE6" i="111"/>
  <c r="BY1" i="111"/>
  <c r="BY3" i="111" l="1"/>
  <c r="DS1" i="111"/>
  <c r="DC1" i="111"/>
  <c r="DE1" i="111"/>
  <c r="BC1" i="93"/>
  <c r="BB7" i="93" l="1"/>
  <c r="AN2" i="93"/>
  <c r="AP1" i="93"/>
  <c r="AP2" i="93" s="1"/>
  <c r="M38" i="93"/>
  <c r="AM1" i="93" l="1"/>
  <c r="AM2" i="93" s="1"/>
  <c r="Z1" i="93" l="1"/>
  <c r="AL1" i="93"/>
  <c r="AL2" i="93" s="1"/>
  <c r="AZ5" i="93" l="1"/>
  <c r="AX5" i="93"/>
  <c r="AV5" i="93"/>
  <c r="AV3" i="93" s="1"/>
  <c r="AK5" i="93"/>
  <c r="AA5" i="93"/>
  <c r="AB5" i="93"/>
  <c r="AC5" i="93"/>
  <c r="AD5" i="93"/>
  <c r="AE5" i="93"/>
  <c r="AF5" i="93"/>
  <c r="AG5" i="93"/>
  <c r="AH5" i="93"/>
  <c r="AI5" i="93"/>
  <c r="AJ5" i="93"/>
  <c r="AU5" i="93"/>
  <c r="AA1" i="93"/>
  <c r="AB1" i="93"/>
  <c r="AC1" i="93"/>
  <c r="AD1" i="93"/>
  <c r="AE1" i="93"/>
  <c r="AF1" i="93"/>
  <c r="AG1" i="93"/>
  <c r="AH1" i="93"/>
  <c r="AI1" i="93"/>
  <c r="AJ1" i="93"/>
  <c r="AK1" i="93"/>
  <c r="AU1" i="93"/>
  <c r="AV1" i="93"/>
  <c r="AX1" i="93"/>
  <c r="AJ4" i="93" l="1"/>
  <c r="AY5" i="93"/>
  <c r="AW5" i="93"/>
  <c r="BA1" i="93"/>
  <c r="BA5" i="93"/>
  <c r="AZ1" i="93"/>
  <c r="AY1" i="93"/>
  <c r="AW1" i="93"/>
  <c r="AT5" i="93"/>
  <c r="AT1" i="93" l="1"/>
  <c r="M37" i="93" l="1"/>
  <c r="AK2" i="93" l="1"/>
  <c r="M36" i="93" l="1"/>
  <c r="AJ2" i="93" l="1"/>
  <c r="Z5" i="93" l="1"/>
  <c r="BB1" i="93" l="1"/>
  <c r="AG4" i="93" l="1"/>
  <c r="AA4" i="93"/>
  <c r="AD4" i="93"/>
  <c r="AI2" i="93" l="1"/>
  <c r="W5" i="93" l="1"/>
  <c r="V5" i="93"/>
  <c r="AH2" i="93" l="1"/>
  <c r="M34" i="93" l="1"/>
  <c r="M35" i="93"/>
  <c r="M31" i="93" l="1"/>
  <c r="M32" i="93"/>
  <c r="M33" i="93"/>
  <c r="AG2" i="93" l="1"/>
  <c r="M30" i="93" l="1"/>
  <c r="AF2" i="93" l="1"/>
  <c r="AE2" i="93" l="1"/>
  <c r="AD2" i="93"/>
  <c r="AC2" i="93"/>
  <c r="AA2" i="93"/>
  <c r="M8" i="93" l="1"/>
  <c r="M9" i="93"/>
  <c r="M10" i="93"/>
  <c r="M11" i="93"/>
  <c r="M12" i="93"/>
  <c r="M13" i="93"/>
  <c r="M14" i="93"/>
  <c r="M15" i="93"/>
  <c r="M16" i="93"/>
  <c r="M17" i="93"/>
  <c r="M18" i="93"/>
  <c r="M19" i="93"/>
  <c r="M20" i="93"/>
  <c r="M21" i="93"/>
  <c r="M22" i="93"/>
  <c r="M23" i="93"/>
  <c r="M24" i="93"/>
  <c r="M25" i="93"/>
  <c r="M26" i="93"/>
  <c r="M27" i="93"/>
  <c r="M28" i="93"/>
  <c r="M29" i="93"/>
  <c r="M7" i="93"/>
  <c r="D14" i="45" l="1"/>
  <c r="D20" i="45" l="1"/>
  <c r="D17" i="45"/>
  <c r="F17" i="47"/>
  <c r="D11" i="45" l="1"/>
  <c r="D8" i="45"/>
  <c r="B5" i="45" l="1"/>
  <c r="D7" i="48" s="1"/>
  <c r="K11" i="45" l="1"/>
  <c r="F19" i="48" l="1"/>
  <c r="J19" i="48" s="1"/>
  <c r="F16" i="48"/>
  <c r="J16" i="48" s="1"/>
  <c r="F10" i="48"/>
  <c r="J10" i="48" s="1"/>
  <c r="F7" i="48"/>
  <c r="J7" i="48" s="1"/>
  <c r="F20" i="45" l="1"/>
  <c r="F17" i="45"/>
  <c r="F14" i="45"/>
  <c r="F11" i="45"/>
  <c r="F8" i="45"/>
  <c r="N10" i="38" l="1"/>
  <c r="K10" i="38"/>
  <c r="B16" i="38"/>
  <c r="B23" i="38"/>
  <c r="O8" i="38" l="1"/>
  <c r="O6" i="38"/>
  <c r="O4" i="38"/>
  <c r="G82" i="36" l="1"/>
  <c r="F82" i="36"/>
  <c r="F63" i="36" l="1"/>
  <c r="F139" i="36" l="1"/>
  <c r="G139" i="36"/>
  <c r="F127" i="36"/>
  <c r="G118" i="36"/>
  <c r="F102" i="36"/>
  <c r="F47" i="36"/>
  <c r="G34" i="36"/>
  <c r="F27" i="36"/>
  <c r="F34" i="36" s="1"/>
  <c r="F114" i="36"/>
  <c r="F118" i="36" s="1"/>
  <c r="G63" i="36"/>
  <c r="G14" i="36"/>
  <c r="G47" i="36"/>
  <c r="F14" i="36"/>
  <c r="G102" i="36" l="1"/>
  <c r="G127" i="36"/>
  <c r="K8" i="34" l="1"/>
  <c r="J8" i="34"/>
  <c r="I8" i="34"/>
  <c r="H8" i="34"/>
  <c r="G8" i="34"/>
  <c r="J92" i="34"/>
  <c r="J87" i="34" l="1"/>
  <c r="AB2" i="93" l="1"/>
  <c r="Z2" i="93" l="1"/>
  <c r="BO1" i="120" l="1"/>
  <c r="BB3" i="120" l="1"/>
  <c r="EM2" i="120"/>
</calcChain>
</file>

<file path=xl/sharedStrings.xml><?xml version="1.0" encoding="utf-8"?>
<sst xmlns="http://schemas.openxmlformats.org/spreadsheetml/2006/main" count="126523" uniqueCount="20137">
  <si>
    <t>ANO</t>
  </si>
  <si>
    <t>LÍDER</t>
  </si>
  <si>
    <t>DATA 
CONCLUSÃO</t>
  </si>
  <si>
    <t>NOME PROJETO</t>
  </si>
  <si>
    <t>STATUS</t>
  </si>
  <si>
    <t>A</t>
  </si>
  <si>
    <t>OK</t>
  </si>
  <si>
    <t>COMENTÁRIO STATUS</t>
  </si>
  <si>
    <t>New</t>
  </si>
  <si>
    <t>Carryover</t>
  </si>
  <si>
    <t>AME - REGIONAL ADJUSTMENT</t>
  </si>
  <si>
    <t>PCI IN (8) ROGERS MECHANICAL PRESSES</t>
  </si>
  <si>
    <t>LCP-160092</t>
  </si>
  <si>
    <t>STEAM COGEN</t>
  </si>
  <si>
    <t>LCP-160138</t>
  </si>
  <si>
    <t>LCP-160208</t>
  </si>
  <si>
    <t>FLEXCORD SENSOR DETECTOR UPGRADE</t>
  </si>
  <si>
    <t>LCP-170013</t>
  </si>
  <si>
    <t>ADEQUATION OF NR#12 COMPLIANCE PHASE III</t>
  </si>
  <si>
    <t>LCP-170039</t>
  </si>
  <si>
    <t>GREEN TIRE DEBOOKER FOR MRT PRESSES</t>
  </si>
  <si>
    <t>LCP-170065</t>
  </si>
  <si>
    <t>AME - ARTICULATED DRUM TIRE 20,5" GREADER LRF AND OTR LAMINATOR</t>
  </si>
  <si>
    <t>LCP-170069</t>
  </si>
  <si>
    <t>REPLACE AND UPGRADE OF ROLLS IN WIRE CALANDER</t>
  </si>
  <si>
    <t>LCP-170077</t>
  </si>
  <si>
    <t>AMERICANA WIND UP LET OFF PHASE III</t>
  </si>
  <si>
    <t>LCP-170099</t>
  </si>
  <si>
    <t>FAM PRODUCTIVITY PROJECTS</t>
  </si>
  <si>
    <t>LCP-170107</t>
  </si>
  <si>
    <t>WIRE CAL AUTOMATIC WIND UP &amp; CUTE IN ANGLE</t>
  </si>
  <si>
    <t>LCP-170118</t>
  </si>
  <si>
    <t>RET - THERMAL OIL BOILER</t>
  </si>
  <si>
    <t>LCP-170154</t>
  </si>
  <si>
    <t>BRZ - AVCB NEW WAREHOUSE-BUILDING COMMERCIAL</t>
  </si>
  <si>
    <t>LCP-170159</t>
  </si>
  <si>
    <t>AME - SEPARATED INNERLINER NEST#18 &amp; #20</t>
  </si>
  <si>
    <t>LCP-170161</t>
  </si>
  <si>
    <t>AME WAREHOUSE MANAGEMENT SYSTEM UPGRADE</t>
  </si>
  <si>
    <t>LCP-170170</t>
  </si>
  <si>
    <t>AME - R1 MACHINE STITCHER UPGRADE</t>
  </si>
  <si>
    <t>LCP-170194</t>
  </si>
  <si>
    <t>UPG MOUNTING LINE FOR MQB - ANCHIETA</t>
  </si>
  <si>
    <t>LCP-170210</t>
  </si>
  <si>
    <t>CURING EXHAUST SYSTEM - FSP</t>
  </si>
  <si>
    <t>LCP-180002</t>
  </si>
  <si>
    <t>FAM AVCB PHASE II EMERGENCY LIGHTINING AND ALARMS</t>
  </si>
  <si>
    <t>LCP-180003</t>
  </si>
  <si>
    <t>GEM PROJECT EMC GRAVATAÍ</t>
  </si>
  <si>
    <t>LCP-180005</t>
  </si>
  <si>
    <t>QUICK CHANGE OVER NGTTS#3</t>
  </si>
  <si>
    <t>LCP-180009</t>
  </si>
  <si>
    <t>VOC REDUCTION IN APEX APLIER</t>
  </si>
  <si>
    <t>LCP-180010</t>
  </si>
  <si>
    <t>(3) NEW 52 HYDRAULIC CONSUMER PRESSES</t>
  </si>
  <si>
    <t>LCP-180011</t>
  </si>
  <si>
    <t>IMPROVEMENT OF EXHAUST COMMERCIAL FINAL FINISH AREA</t>
  </si>
  <si>
    <t>LCP-180013</t>
  </si>
  <si>
    <t>MIXER#2 BODY REPLACEMENT</t>
  </si>
  <si>
    <t>LCP-180014</t>
  </si>
  <si>
    <t>SEMI AUTOMATIC BEAD STAPLER</t>
  </si>
  <si>
    <t>LCP-180015</t>
  </si>
  <si>
    <t>UPGRADE OF DRIVES NRM#2 - CAL4R#2</t>
  </si>
  <si>
    <t>LCP-180080</t>
  </si>
  <si>
    <t>COMMERCIAL TIRE BUILDING MACHINE</t>
  </si>
  <si>
    <t>LCP-180056</t>
  </si>
  <si>
    <t>AME- Cement house cointaiment area</t>
  </si>
  <si>
    <t>LCP-180104</t>
  </si>
  <si>
    <t>AME - FVM GRINDERS AUTOMATION</t>
  </si>
  <si>
    <t>LCP-180043</t>
  </si>
  <si>
    <t>AME - REPLACEMENT OF HOTFORMER CHILLER</t>
  </si>
  <si>
    <t>LCP-180115</t>
  </si>
  <si>
    <t>AME - CLOSED WATER SYSTEM - MIXERS SUBSTATIONS</t>
  </si>
  <si>
    <t>LCP-180019</t>
  </si>
  <si>
    <t>AME - ANNUAL MISCELANEOUS &lt;50K ALL PLANTS</t>
  </si>
  <si>
    <t>LCP-180049</t>
  </si>
  <si>
    <t>AME - UPG PLC OF BB#3</t>
  </si>
  <si>
    <t>LCP-190020</t>
  </si>
  <si>
    <t>AME - ROBOT FOR BEAD WINDER</t>
  </si>
  <si>
    <t>LCP-180095</t>
  </si>
  <si>
    <t>AME - METAL DETECTOR IN CALANDERS (FORD PROJECT)</t>
  </si>
  <si>
    <t>LCP-180051</t>
  </si>
  <si>
    <t>BRZ - FAM WH Loading Docks Adequacy - 5 Remaining Equipments</t>
  </si>
  <si>
    <t>LCP-180205</t>
  </si>
  <si>
    <t>SORTER B2 - MRT TIRES ADEQUACY</t>
  </si>
  <si>
    <t>LCP-180163</t>
  </si>
  <si>
    <t>2018 MISCELLANEOUS PROJECT TO MC PLANTs</t>
  </si>
  <si>
    <t>LCP-180155</t>
  </si>
  <si>
    <t>SAO - NR12 PROJECT</t>
  </si>
  <si>
    <t>LCP-180117</t>
  </si>
  <si>
    <t>SAO - NEW ORBITREAD MACHINE</t>
  </si>
  <si>
    <t>LCP-180150</t>
  </si>
  <si>
    <t>SAO - SHEROGRAPHY UPGRADE (OBSEOLESCENCE AND SOFTWARE)</t>
  </si>
  <si>
    <t>LCP-180108</t>
  </si>
  <si>
    <t>RET - ADEQ. OF NR17 &amp; NR12</t>
  </si>
  <si>
    <t>LCP-180090</t>
  </si>
  <si>
    <t>RET - UPGRADE DRIVE GV3000 TO POWERFLEX EXTRUDER</t>
  </si>
  <si>
    <t>LCP-180101</t>
  </si>
  <si>
    <t>RET - ANNUAL MISCELLANEOUS &lt;50K ALL PLANTS</t>
  </si>
  <si>
    <t>AME - CAPITALIZED INTEREST</t>
  </si>
  <si>
    <t>LCP-180111</t>
  </si>
  <si>
    <t>REG - LAPG VDA FIRE PROTECTION LINE</t>
  </si>
  <si>
    <t>LCP-180078</t>
  </si>
  <si>
    <t>BRZ - FAM WH Security Control (Control System &amp; Cameras)</t>
  </si>
  <si>
    <t>LCP-180082</t>
  </si>
  <si>
    <t>NEW RUBBER PROCESS ANALYZER (RPA)</t>
  </si>
  <si>
    <t>LCP-180081</t>
  </si>
  <si>
    <t>GEM PROJECT SÃO CAETANO DO SUL</t>
  </si>
  <si>
    <t>LCP-180018</t>
  </si>
  <si>
    <t>AUTOMATIC BARCODE READER - FF CONSUMER</t>
  </si>
  <si>
    <t>LCP-180088</t>
  </si>
  <si>
    <t>UPGRADE OF CURING WEB APPLICATION</t>
  </si>
  <si>
    <t>LCP-180097</t>
  </si>
  <si>
    <t>UPGRADE FACKTOR LINK/ GML D#4</t>
  </si>
  <si>
    <t>LCP-180113</t>
  </si>
  <si>
    <t>LCP-180114</t>
  </si>
  <si>
    <t>LAMINATOR PROFILE AUTOMATION</t>
  </si>
  <si>
    <t>LCP-180116</t>
  </si>
  <si>
    <t>HVAC – CENTRAL OFFICE</t>
  </si>
  <si>
    <t>LCP-180137</t>
  </si>
  <si>
    <t>(10) VDF PANEL INSTALLATION</t>
  </si>
  <si>
    <t>LCP-180139</t>
  </si>
  <si>
    <t>POWER HOUSE STEAM TURBINE</t>
  </si>
  <si>
    <t>LCP-180157</t>
  </si>
  <si>
    <t>FIRE FIGHTING SYSTEM BUILDING 76</t>
  </si>
  <si>
    <t>LCP-180142</t>
  </si>
  <si>
    <t>ADEQUACY OF NR#12 COMPLIANCE - PHASE IV</t>
  </si>
  <si>
    <t>LCP-180149</t>
  </si>
  <si>
    <t>EXHAUST SYSTEM - LINES A/B &amp; G/H CONSUMER PRESSES</t>
  </si>
  <si>
    <t>LCP-180174</t>
  </si>
  <si>
    <t>METAL DETECTOR IN EXTRUDERS</t>
  </si>
  <si>
    <t>LCP-180177</t>
  </si>
  <si>
    <t>NEW DUCTS TO COMMERCIAL CURING AREA</t>
  </si>
  <si>
    <t>LCP-180178</t>
  </si>
  <si>
    <t>WIND UP LET OFF NGTTS#5 &amp; #8</t>
  </si>
  <si>
    <t>LCP-180179</t>
  </si>
  <si>
    <t>UPG DRIVES &amp; CONTROLS – CAL3R</t>
  </si>
  <si>
    <t>LCP-180180</t>
  </si>
  <si>
    <t>ANCHOR SYSTEM &amp; SAFETY LINE - PHASE II</t>
  </si>
  <si>
    <t>LCP-190011</t>
  </si>
  <si>
    <t>QCO - MOTHER ROLL CALEMARD</t>
  </si>
  <si>
    <t>LCP-190004</t>
  </si>
  <si>
    <t>DRIVE OVER READER BERTOLINI</t>
  </si>
  <si>
    <t>AME- (1) BALANCE MACHINE MARKER (DOWN SIDE)</t>
  </si>
  <si>
    <t>LCP-190006</t>
  </si>
  <si>
    <t>EDGE STRIP KNIFE FOR PLY CUTTER</t>
  </si>
  <si>
    <t>LCP-190019</t>
  </si>
  <si>
    <t>LCP-190047</t>
  </si>
  <si>
    <t>SAO - ANNUAL MISCELLANEOUS  &lt;50K ALL PLANTS</t>
  </si>
  <si>
    <t>LCP-190025</t>
  </si>
  <si>
    <t>BRZ - WAREHOUSE SAFETY IMPROVEMENTS - AM PLANT</t>
  </si>
  <si>
    <t>LCP-190085</t>
  </si>
  <si>
    <t xml:space="preserve">BRZ - BLUE RACKS FOR CONSUMER TIRES </t>
  </si>
  <si>
    <t>LCP-190068</t>
  </si>
  <si>
    <t>MC Geral - Miscelanius Quartely</t>
  </si>
  <si>
    <t>LCP-190057</t>
  </si>
  <si>
    <t>AME - UP GRADE EXTRUSORA Q5 ( AUTOMAX ) PHASE 2</t>
  </si>
  <si>
    <t>LCP-190061</t>
  </si>
  <si>
    <t>SECURITY IMPROVEMENT IN (8) APEX APPLIER - NGTTS</t>
  </si>
  <si>
    <t>LCP-190069</t>
  </si>
  <si>
    <t>WAREHOUSE MANAGEMENT CONTROL</t>
  </si>
  <si>
    <t>LCP-190086</t>
  </si>
  <si>
    <t>PHYSICAL LAYOUT REVIEW</t>
  </si>
  <si>
    <t>LCP-190066</t>
  </si>
  <si>
    <t>REPLACEMENT OF BARREL AND SCREW - Q#5</t>
  </si>
  <si>
    <t>LCP-190089</t>
  </si>
  <si>
    <t>AME - X-ray B upgrade</t>
  </si>
  <si>
    <t>LCP-190078</t>
  </si>
  <si>
    <t>REPLACEMENT OF ROLLS CAL3R</t>
  </si>
  <si>
    <t>LCP-190092</t>
  </si>
  <si>
    <t>SHIPMENT SAFETY IMPROVEMENT</t>
  </si>
  <si>
    <t>LCP-190120</t>
  </si>
  <si>
    <t>CAP-PROT.SYST.RETROFITTING-MAIN SUBSTATI</t>
  </si>
  <si>
    <t>LCP-190117</t>
  </si>
  <si>
    <t>CAP-X-RAY GREEN POINT MARKER</t>
  </si>
  <si>
    <t>LCP-190129</t>
  </si>
  <si>
    <t>AME</t>
  </si>
  <si>
    <t>RET</t>
  </si>
  <si>
    <t>BRZ</t>
  </si>
  <si>
    <t>MC</t>
  </si>
  <si>
    <t>SAO</t>
  </si>
  <si>
    <t>Facilities Sustaining</t>
  </si>
  <si>
    <t>Quality - Improvement</t>
  </si>
  <si>
    <t>Capability</t>
  </si>
  <si>
    <t>Quality - Cost Savings</t>
  </si>
  <si>
    <t>Energy Conservation</t>
  </si>
  <si>
    <t>EHS</t>
  </si>
  <si>
    <t>Productivity</t>
  </si>
  <si>
    <t>SAG</t>
  </si>
  <si>
    <t>IT</t>
  </si>
  <si>
    <t>PROJECT TYPE</t>
  </si>
  <si>
    <t xml:space="preserve">New
C/O </t>
  </si>
  <si>
    <t>NUM. PROJETO</t>
  </si>
  <si>
    <t>PLANTA</t>
  </si>
  <si>
    <t>N.</t>
  </si>
  <si>
    <t>TECO</t>
  </si>
  <si>
    <t>PROJETO CANCELADO</t>
  </si>
  <si>
    <t>OK, FINALIZADO</t>
  </si>
  <si>
    <t>MOLD CLEAN S.B.O</t>
  </si>
  <si>
    <t>LCP-190143</t>
  </si>
  <si>
    <t>NEW OIL LINE SYDININI</t>
  </si>
  <si>
    <t>LCP-190142</t>
  </si>
  <si>
    <t>WIRE CALENDER EDGE TRIMMING DEVICE</t>
  </si>
  <si>
    <t>LCP-190144</t>
  </si>
  <si>
    <t>WHEEL PULSE TRANSDUCERS - CWPTA</t>
  </si>
  <si>
    <t>LCP-190138</t>
  </si>
  <si>
    <t>LCP-190140</t>
  </si>
  <si>
    <t>UPGRADE RING 18" CUV IN MC ANCHIETA</t>
  </si>
  <si>
    <t>LCP-190132</t>
  </si>
  <si>
    <t>VEHICLE DYNAMICS AREA (VDA) REPAVING</t>
  </si>
  <si>
    <t>LCP-190149</t>
  </si>
  <si>
    <t>B1 - UPGRADE HMI HF PLT2</t>
  </si>
  <si>
    <t>LCP-190151</t>
  </si>
  <si>
    <t>METAL DETECTOR IN APEXER (NAKATA)</t>
  </si>
  <si>
    <t>B1 - UPGRADE PC-ETMS BALANCE AND FVM MACHINE</t>
  </si>
  <si>
    <t>LCP-190150</t>
  </si>
  <si>
    <t>TOTAL 2020</t>
  </si>
  <si>
    <t>BUDGET CANCELADO</t>
  </si>
  <si>
    <t>CLSD</t>
  </si>
  <si>
    <t>EM EXECUÇÃO</t>
  </si>
  <si>
    <t>DIVISÃO</t>
  </si>
  <si>
    <t>FIRE FIGHTING SYSTEM BUILDING 75</t>
  </si>
  <si>
    <t>B2</t>
  </si>
  <si>
    <t>STAFF</t>
  </si>
  <si>
    <t>B1</t>
  </si>
  <si>
    <t>TRANSFER O'RING NGTT'S #01,02,04,05 AND 06</t>
  </si>
  <si>
    <t>LCP-190157</t>
  </si>
  <si>
    <t>LCP-190159</t>
  </si>
  <si>
    <t>PROJETO CANCELADO, SERÁ USADO O BUDGET EM OUTRO PROJETO USD20K</t>
  </si>
  <si>
    <t>Capital</t>
  </si>
  <si>
    <t>Expenses</t>
  </si>
  <si>
    <t>WIRE CALENDER WIGWAG FEED CONVEYOR</t>
  </si>
  <si>
    <t>DOR PROJECT IC TRANSPORTS</t>
  </si>
  <si>
    <t>LCP-190173</t>
  </si>
  <si>
    <t>REPLACE AND UPGRADE OF ROLLS IN WIRE CALENDER</t>
  </si>
  <si>
    <t>LCP-190178</t>
  </si>
  <si>
    <t>LCP-190184</t>
  </si>
  <si>
    <t>LCP-190186</t>
  </si>
  <si>
    <t>CORSAIR Project</t>
  </si>
  <si>
    <t>LCP-190187</t>
  </si>
  <si>
    <t>LCP-190188</t>
  </si>
  <si>
    <t>GUM CAL#01 ROLL REPLACEMENT</t>
  </si>
  <si>
    <t>LCP-190179</t>
  </si>
  <si>
    <t>AME-REPL &amp; UPG OF ROLLS IN CAL3R</t>
  </si>
  <si>
    <t>AME-REPL &amp; UPG OF ROLLS IN CAL4R1</t>
  </si>
  <si>
    <t>AME-REPL &amp; UPG OF ROLLS IN CAL4R2</t>
  </si>
  <si>
    <t>REPLACEMENT OF LINNER AND SCREW  EXTRUDER MIXER#01</t>
  </si>
  <si>
    <t>LCP-190198</t>
  </si>
  <si>
    <t>MOBILE DOCK LEVELER FOR NEW WAREHOUSE</t>
  </si>
  <si>
    <t>LCP-190199</t>
  </si>
  <si>
    <t>(02) TRANSFER ORING NGTTS &amp; MONO CUTTER IN ANGLE</t>
  </si>
  <si>
    <t>BUDGET CANCELADO, SUBSTITUIDO PELO LCP-190190</t>
  </si>
  <si>
    <t>LCP-190202</t>
  </si>
  <si>
    <t>MIXER#6 BODY REPLACEMENT</t>
  </si>
  <si>
    <t>SAFETY SYSTEM  RIVER PUMP AREA</t>
  </si>
  <si>
    <t>LCP-190203</t>
  </si>
  <si>
    <t>LCP-190204</t>
  </si>
  <si>
    <t>INFLATION TESTING MACHINE</t>
  </si>
  <si>
    <t>LCP-190208</t>
  </si>
  <si>
    <t>CONTOUR CORRECTION MACHINE</t>
  </si>
  <si>
    <t>ALPHA SHEAR LETOFF TREATMENT</t>
  </si>
  <si>
    <t>LCP-190213</t>
  </si>
  <si>
    <t>LCP-200001</t>
  </si>
  <si>
    <t>LCP-190215</t>
  </si>
  <si>
    <t>ADDITIONAL DS3 BEAD CHUCK</t>
  </si>
  <si>
    <t>BLUE RACKS FOR MRT TIRES</t>
  </si>
  <si>
    <t>-</t>
  </si>
  <si>
    <t>LCP-190225</t>
  </si>
  <si>
    <t>LCP-190228</t>
  </si>
  <si>
    <t>LCP-190229</t>
  </si>
  <si>
    <t>UPGRADE PANELVIEW MRT CURING PRESS</t>
  </si>
  <si>
    <t>UPGRADE TYLOR SYSTEM IN MRT CURING PRESSES</t>
  </si>
  <si>
    <t>UPGRADE (54) RTD CARD CONSUMER CURING PRESSES</t>
  </si>
  <si>
    <t>LCP-190227</t>
  </si>
  <si>
    <t>LCP-190231</t>
  </si>
  <si>
    <t>HOTFORMER UPGRADE LINNER AND SCREW</t>
  </si>
  <si>
    <t>NEW CARS BEAR TRAP FOR CONSUMER TIRES</t>
  </si>
  <si>
    <t>LCP-190232</t>
  </si>
  <si>
    <t>UPGRADE LASER MARKER TIRE BUILD MACHINE</t>
  </si>
  <si>
    <t>LCP-190233</t>
  </si>
  <si>
    <t>UPGRADE OF CUSHION DRIVES IN DUPLEX</t>
  </si>
  <si>
    <t>LCP-190234</t>
  </si>
  <si>
    <t>UPGRADE OF CUSHION MILL DRIVES</t>
  </si>
  <si>
    <t>LCP-190235</t>
  </si>
  <si>
    <t>UPGRADE OF LINNER AND SCREW EXTRUDER MIXER#1</t>
  </si>
  <si>
    <t>LCP-190237</t>
  </si>
  <si>
    <t xml:space="preserve"> UPGRADE OF MIXER#5 EXTRUDER DRIVES</t>
  </si>
  <si>
    <t>LCP-190238</t>
  </si>
  <si>
    <t>LCP-190239</t>
  </si>
  <si>
    <t>UPGRADE PANELVIEW TIRE BUILD MACHINE</t>
  </si>
  <si>
    <t>PCI IN (6) ROGERS MECHANICAL PRESSES</t>
  </si>
  <si>
    <t>LCP-200008</t>
  </si>
  <si>
    <t>LCP-200009</t>
  </si>
  <si>
    <t>LCP-200011</t>
  </si>
  <si>
    <t xml:space="preserve">UMBRELLA PROJECT CONTROL MAX </t>
  </si>
  <si>
    <t>Jan</t>
  </si>
  <si>
    <t>Fev</t>
  </si>
  <si>
    <t>Mar</t>
  </si>
  <si>
    <t>Abr</t>
  </si>
  <si>
    <t>Mai</t>
  </si>
  <si>
    <t>Jun</t>
  </si>
  <si>
    <t>Jul</t>
  </si>
  <si>
    <t>Ago</t>
  </si>
  <si>
    <t>Set</t>
  </si>
  <si>
    <t>Out</t>
  </si>
  <si>
    <t>Nov</t>
  </si>
  <si>
    <t>Dez</t>
  </si>
  <si>
    <t>TOTAL
INVEST.</t>
  </si>
  <si>
    <t>DATA DE LIBERAÇÃO</t>
  </si>
  <si>
    <t>LCP-200023</t>
  </si>
  <si>
    <t>UPGRADE KOKUSAI #01</t>
  </si>
  <si>
    <t>LCP-200026</t>
  </si>
  <si>
    <t>AME-MISCELANEOUS QUARTELY 2020</t>
  </si>
  <si>
    <t>REPLACE OF ROLLS IN HOTFORMER</t>
  </si>
  <si>
    <t>REPLACEMENT OF RING IN KOKUSAI</t>
  </si>
  <si>
    <t>LCP-200028</t>
  </si>
  <si>
    <t>Quality</t>
  </si>
  <si>
    <t>LCP-200037</t>
  </si>
  <si>
    <t>LCP-190251</t>
  </si>
  <si>
    <t>LCP-200030</t>
  </si>
  <si>
    <t>REPL OF ACCELERATOR TUBE - EBP SYSTEM FOR CAL3R</t>
  </si>
  <si>
    <t>Data Encerramento (politica 12 meses)</t>
  </si>
  <si>
    <t>ESTUDO ADEQ. CARGA/POTENCIA CM EPIACABA</t>
  </si>
  <si>
    <t>EEX-200001-00-02</t>
  </si>
  <si>
    <t>APRECIAÇÃO DE RISCO NR12</t>
  </si>
  <si>
    <t>EEX-200001-00-03</t>
  </si>
  <si>
    <t>ESTUDO VIABILIDADE SISTEMA FIO SOLTO</t>
  </si>
  <si>
    <t>EEX-200001-00-04</t>
  </si>
  <si>
    <t>ESTUDO VIABILIDADE SISTEMA DAMI K7</t>
  </si>
  <si>
    <t>EEX-200001-00-05</t>
  </si>
  <si>
    <t>LICENÇA DE OPERAÇÃO CETESB (2) VMI &amp; NAKATA</t>
  </si>
  <si>
    <t>BUDGET CANCELADO: DECISÃO FOI NÃO COMPRAR MAIS OS RACKS MRT</t>
  </si>
  <si>
    <t>MIXER#7 BODY REPLACEMENT</t>
  </si>
  <si>
    <t>LCP-200053</t>
  </si>
  <si>
    <t>TOTAL 2021</t>
  </si>
  <si>
    <t>AME - Bijinic Tank</t>
  </si>
  <si>
    <t>ADEQ. PROT. ESTEIRA INFERIOR FF B2</t>
  </si>
  <si>
    <t>LCP-200026-03</t>
  </si>
  <si>
    <t>LCP-200026-04</t>
  </si>
  <si>
    <t>HOTFORMER UPG LINNER AND SCREW STATIONS #04</t>
  </si>
  <si>
    <t>LCP-200076</t>
  </si>
  <si>
    <t>LCP-200077</t>
  </si>
  <si>
    <t xml:space="preserve">AME-CAMERAS INSTALLATION  </t>
  </si>
  <si>
    <t>AME-BATHROOM ADEQUATION FAM NR24</t>
  </si>
  <si>
    <t>UPG MÁQ. GIRAR TAMBOR OTR</t>
  </si>
  <si>
    <t>PROLONGAR PLATAFORMA RETIRADA ENRROSCO NGTTS</t>
  </si>
  <si>
    <t>UPG TROCADOR CALOR PORÃO OTR</t>
  </si>
  <si>
    <t>ADEQ. SIST. ATERRAMENTO PIT STOPS</t>
  </si>
  <si>
    <t>CTI-006-04-00028 - CALENDER ROLL CRASH PROTECTION</t>
  </si>
  <si>
    <t>RETROFIT IHM COMPRESSOR CENTAC #14</t>
  </si>
  <si>
    <t>LCP-200026-06</t>
  </si>
  <si>
    <t>LCP-200026-07</t>
  </si>
  <si>
    <t>LCP-200026-08</t>
  </si>
  <si>
    <t>LCP-200026-09</t>
  </si>
  <si>
    <t>LCP-200026-10</t>
  </si>
  <si>
    <t>LCP-200026-13</t>
  </si>
  <si>
    <t>LCP-200026-18</t>
  </si>
  <si>
    <t>LCP-200026-20</t>
  </si>
  <si>
    <t>EEX-200001-00-06</t>
  </si>
  <si>
    <t>EST. VIAB. EFICIENCIA ENERGETICA RED. CONSUMO VAPOR</t>
  </si>
  <si>
    <t>EEX-200001-00-07</t>
  </si>
  <si>
    <t>EEX-200001-00-08</t>
  </si>
  <si>
    <t>EEX-200001-00-09</t>
  </si>
  <si>
    <t>EEX-200001-00-10</t>
  </si>
  <si>
    <t>EEX-200001-00-11</t>
  </si>
  <si>
    <t>EEX-200001-00-12</t>
  </si>
  <si>
    <t>EEX-200001-00-13</t>
  </si>
  <si>
    <t>EEX-200001-00-14</t>
  </si>
  <si>
    <t>EEX-200001-00-15</t>
  </si>
  <si>
    <t>EST. VIAB. OTIM. TERMICA DOS PAINEIS ELETRICOS FF B1 E TBM</t>
  </si>
  <si>
    <t>EST. VIAB. SIST. PRESSUR. HID. 2400 LBS PRENSAS OTR</t>
  </si>
  <si>
    <t>EST. VIAB. MAQUINA TAMBOR OTR</t>
  </si>
  <si>
    <t xml:space="preserve">READEQUAÇÃO CECOM CALANDRA Z </t>
  </si>
  <si>
    <t>RELOCAR RACK DA FISCHER PARA AREA DE FITINHA</t>
  </si>
  <si>
    <t>RELOCAR SECADOR AR SALA PÓ MIXER #07 PARA AREA EXTERNA</t>
  </si>
  <si>
    <t>ESTUDO SEL. CARGA/POT SEF#901 - CUB#05</t>
  </si>
  <si>
    <t>RELOCAR BANCADA MANUT. VULC.B1 PARA FRENTE AS PRENSAS</t>
  </si>
  <si>
    <t>AME-METAL DETECTOR IN CAL 4R2</t>
  </si>
  <si>
    <t>LCP-XXXXXX</t>
  </si>
  <si>
    <t>P.O</t>
  </si>
  <si>
    <t>Gasto 2020    (Jan-Abr)</t>
  </si>
  <si>
    <t>Previsão Gasto     (Maio-Dez)</t>
  </si>
  <si>
    <t>Plano Corte 2020</t>
  </si>
  <si>
    <t>Impossivel Parar</t>
  </si>
  <si>
    <t>Equipment should arrive in Aug/20</t>
  </si>
  <si>
    <t>Equipment Obsolete, high risk of failure</t>
  </si>
  <si>
    <t>Necessary finalize the start-up</t>
  </si>
  <si>
    <t>Equipment should arrive in Oct/20, to be Installed in 2021</t>
  </si>
  <si>
    <t>Equipment should arrive on Oct/20, to be Installed in 2021</t>
  </si>
  <si>
    <t>Equipment should arrive on Jul/20, to be Installed in 2021</t>
  </si>
  <si>
    <t>Equipment should arrive in Nov/20, to be Installed in 2021</t>
  </si>
  <si>
    <t>Strategic project to business</t>
  </si>
  <si>
    <t>Manipulator / Paletization / False Truck / Whell grease application</t>
  </si>
  <si>
    <t>Equipment should arrive on Nov/20, to be Installed in 2021</t>
  </si>
  <si>
    <t>Equipment delivered, to be installed in 2021</t>
  </si>
  <si>
    <t>Condition is high critical (detachment of chamber) in the next week will be check again. If necessary the body delivery in this year, the total cost = $1.1MM (&gt;$800)</t>
  </si>
  <si>
    <t>Equipment should arrive on Jun/20, to be Installed in 2021</t>
  </si>
  <si>
    <t>All works in primary substation will be executed in 2021</t>
  </si>
  <si>
    <t>Necessary finalize to Cetesb Requirement</t>
  </si>
  <si>
    <t>Ford Healthy Chart</t>
  </si>
  <si>
    <t>CTI Requirement</t>
  </si>
  <si>
    <t>Liability</t>
  </si>
  <si>
    <t>Equipment should arrive on May/20</t>
  </si>
  <si>
    <t>Brazilian law (NR35)</t>
  </si>
  <si>
    <t>Equipment should arrive on Jul/20</t>
  </si>
  <si>
    <t>Out off spec - Comply with global standard GMS</t>
  </si>
  <si>
    <t>Fiat Requirement (Tdip Shoulder)</t>
  </si>
  <si>
    <t>Equipment should arrive on May/20, to be Installed in 2021</t>
  </si>
  <si>
    <t>Property Security</t>
  </si>
  <si>
    <t>CATEGORY</t>
  </si>
  <si>
    <t>X</t>
  </si>
  <si>
    <t>Y</t>
  </si>
  <si>
    <t>Corsair/VDA/ARO 18</t>
  </si>
  <si>
    <t>SOBRA</t>
  </si>
  <si>
    <t>Imported Equipment should arrive on May/20, to be Installed in 2021</t>
  </si>
  <si>
    <t>Final costs to be transfer (Akron), Mechanical Drum should arrive Oct/20</t>
  </si>
  <si>
    <t>Finance</t>
  </si>
  <si>
    <t>Start-up</t>
  </si>
  <si>
    <t>Exception sheet (+18 Month)</t>
  </si>
  <si>
    <t>Compliance</t>
  </si>
  <si>
    <t>Fire Protection</t>
  </si>
  <si>
    <t>Energy Saving</t>
  </si>
  <si>
    <t>EHS/PRODUCTIVITY/REALIBILITY</t>
  </si>
  <si>
    <t>VW</t>
  </si>
  <si>
    <t xml:space="preserve">Supplier Agreement </t>
  </si>
  <si>
    <t>Waste results</t>
  </si>
  <si>
    <t>Lack of MRT Capacity</t>
  </si>
  <si>
    <t>Lack of Mixers Capacity</t>
  </si>
  <si>
    <t>Cost Reduction from over weight tire</t>
  </si>
  <si>
    <t>Finalize manipulator to attend production cycle and AVCB Requirement</t>
  </si>
  <si>
    <t>Production and permits</t>
  </si>
  <si>
    <t>Project Strategy Business</t>
  </si>
  <si>
    <t>Cetesb Requirement</t>
  </si>
  <si>
    <t>GM</t>
  </si>
  <si>
    <t>Lack of aviation capacity</t>
  </si>
  <si>
    <t>lack of consumer capacity</t>
  </si>
  <si>
    <t>lack of WH capacity</t>
  </si>
  <si>
    <t>Safety deliveries</t>
  </si>
  <si>
    <t>Compensation Saving</t>
  </si>
  <si>
    <t>Ford Requirement to attendance until end of 2020</t>
  </si>
  <si>
    <t>Qualiy saving</t>
  </si>
  <si>
    <t>VW requirement to attendance until end of 2020</t>
  </si>
  <si>
    <t>VW requirement</t>
  </si>
  <si>
    <t xml:space="preserve">Quality </t>
  </si>
  <si>
    <t>Without expenses in 2020</t>
  </si>
  <si>
    <t>Budget
Total</t>
  </si>
  <si>
    <r>
      <rPr>
        <sz val="28"/>
        <color theme="1"/>
        <rFont val="Franklin Gothic Heavy"/>
        <family val="2"/>
      </rPr>
      <t>CAPEX PROJECTS 2020</t>
    </r>
    <r>
      <rPr>
        <sz val="36"/>
        <color theme="1"/>
        <rFont val="Franklin Gothic Heavy"/>
        <family val="2"/>
      </rPr>
      <t xml:space="preserve"> </t>
    </r>
    <r>
      <rPr>
        <sz val="18"/>
        <color theme="1"/>
        <rFont val="Franklin Gothic Heavy"/>
        <family val="2"/>
      </rPr>
      <t>($000)</t>
    </r>
  </si>
  <si>
    <t>REGION</t>
  </si>
  <si>
    <t>Region Adjustment</t>
  </si>
  <si>
    <t>Capitalized Interest</t>
  </si>
  <si>
    <t>IMPACT</t>
  </si>
  <si>
    <t>WITH
P.O</t>
  </si>
  <si>
    <t>COMMENTS</t>
  </si>
  <si>
    <t>LCP-200092</t>
  </si>
  <si>
    <t xml:space="preserve">NEW TRUCK FOR CLEANING </t>
  </si>
  <si>
    <t>SYSTEM STATUS SAP</t>
  </si>
  <si>
    <t>STATUS DO PROJETO</t>
  </si>
  <si>
    <t>COMENTÁRIO STATUS DO PROJETO</t>
  </si>
  <si>
    <t>Data
Abertura</t>
  </si>
  <si>
    <t>Data de
Aprovação
(GBS)</t>
  </si>
  <si>
    <t>Data Encerramento
(TECO - SAP)</t>
  </si>
  <si>
    <t>Ano</t>
  </si>
  <si>
    <t>ENCERRADO</t>
  </si>
  <si>
    <t>REL</t>
  </si>
  <si>
    <t>RESPONSÁVEL</t>
  </si>
  <si>
    <t>FORMULÁRIO</t>
  </si>
  <si>
    <t>AME - STERLINE - SOYBEAN OIL</t>
  </si>
  <si>
    <t>UPGRADE TPMS SYSTEM MC GRAVATAI</t>
  </si>
  <si>
    <t>GENERATION CONTROL SYSTEM - POWER HOUSE ADEQUACY</t>
  </si>
  <si>
    <t>EEX-200001-00-16</t>
  </si>
  <si>
    <t>PROJETO AS-BUILT ZIG ZAG CAL-Z</t>
  </si>
  <si>
    <t>EEX-200001-00-17</t>
  </si>
  <si>
    <t>IDLE ASSETS FAM</t>
  </si>
  <si>
    <t>REGINALDO MARESCHI</t>
  </si>
  <si>
    <t>HUELITON MAGNANI</t>
  </si>
  <si>
    <t>FABIO MORAES</t>
  </si>
  <si>
    <t>CHARLES BARBAN</t>
  </si>
  <si>
    <t>HEDSLEY QUINTAL</t>
  </si>
  <si>
    <t>GUSTAVO PARRAS</t>
  </si>
  <si>
    <t>HENRIQUE CARDOSO</t>
  </si>
  <si>
    <t>DIEGO CASTANHARO</t>
  </si>
  <si>
    <t>RICARDO TEIXEIRA</t>
  </si>
  <si>
    <t>TI</t>
  </si>
  <si>
    <t>DIEGO RAGONHA</t>
  </si>
  <si>
    <t>PATRICIA</t>
  </si>
  <si>
    <t>NUM. DOC APPROVAL</t>
  </si>
  <si>
    <t>AME - UPGRADE DRIVE + MOTOR AC MILL MIXER#3</t>
  </si>
  <si>
    <t>PROJETOS POR ENGENHEIROS</t>
  </si>
  <si>
    <t>CATEGORIA</t>
  </si>
  <si>
    <t>Responsavel</t>
  </si>
  <si>
    <t>LCP</t>
  </si>
  <si>
    <t>Projetos</t>
  </si>
  <si>
    <t>Prev. Termino</t>
  </si>
  <si>
    <t>CAPITAL</t>
  </si>
  <si>
    <t>BARBAN</t>
  </si>
  <si>
    <t>TOTAL</t>
  </si>
  <si>
    <t>CASTANHARO</t>
  </si>
  <si>
    <t>QUARTELY</t>
  </si>
  <si>
    <t>FABIO</t>
  </si>
  <si>
    <t>HENRIQUE</t>
  </si>
  <si>
    <t>MAGNANI</t>
  </si>
  <si>
    <t>PARRAS</t>
  </si>
  <si>
    <t>QUINTAL/REGINALDO</t>
  </si>
  <si>
    <t>RAGONHA/SIA</t>
  </si>
  <si>
    <t>AME-GATE HOUSE IMPROVEMENT</t>
  </si>
  <si>
    <t>LCP-200026-23</t>
  </si>
  <si>
    <t>OUTROS</t>
  </si>
  <si>
    <t>INSTALACAO DE LONADO RESTAURANTE</t>
  </si>
  <si>
    <t>INSTALACAO DE LONADO GOODPLACE</t>
  </si>
  <si>
    <t>INSTALACAO ENFARDADEIRA DEPTO 85</t>
  </si>
  <si>
    <t>RICARDO</t>
  </si>
  <si>
    <t>DIRECT CHARGE</t>
  </si>
  <si>
    <t>ESTUDO ANALISE MUNICIO &amp; PREFEITURA</t>
  </si>
  <si>
    <t>EEX-200001-00-18</t>
  </si>
  <si>
    <t>RELOCAÇÃO CONJ. FACA MOINHO 84 BB#04</t>
  </si>
  <si>
    <t>EEX-200001-00-19</t>
  </si>
  <si>
    <t>BUDGET CANCELADO, REFEITO P/ 02 MAQ. LCP-190159</t>
  </si>
  <si>
    <t>PROJETO CANCELADO - REPROVADO POR FINANÇAS (QUALIDADE ANALISAR O PROJETO)</t>
  </si>
  <si>
    <t>PROJETO CANCELADO - MOTIVO: ABAIXO DE US$ 50K (SEGURADO PELO LANZA)</t>
  </si>
  <si>
    <t>PROJETO CANCELADO
REPROVADO PELA REGIÃO - MAURICIO DENARDO</t>
  </si>
  <si>
    <t>PROJETO CANCELADO
BUDGET REJEITADO POR ELAINE LORENZI, EM 01/11/19</t>
  </si>
  <si>
    <t>PROJETO CANCELADO
MOTIVO: O MATERIAL NÃO CHEGA EM 2019 (NÃO TERA GASTO EM 2019)</t>
  </si>
  <si>
    <t xml:space="preserve">PROJETO CANCELADO
MOTIVO: NÃO TERA GASTO EM 2019  = item abaixo de US$ 5 K </t>
  </si>
  <si>
    <t>PROJETO CANCELADO
MOTIVO: MATERIAL NÃO CHEGA EM 2019 - NÃO TERA GASTO EM 2019</t>
  </si>
  <si>
    <t>PROJETO CANCELADO
CANCELADO DEVIDO AO ALTO TEMPO DE APROVAÇÃO (NÃO INVESTE EM 2019)</t>
  </si>
  <si>
    <t>PROJETO CANCELADO
 REJEITADO POR FINANÇÃO - NÃO É CAPITAL</t>
  </si>
  <si>
    <t>PROJETO CANCELADO
MOTIVO: O VALOR UNITARIO É ABAIXO DE US$ 5K</t>
  </si>
  <si>
    <t>PROJETO CANCELADO
DECISÃO DO TIME DE INOVAÇÀO (PATRICIA) CANCELAMENTO DO PROJETO</t>
  </si>
  <si>
    <t>Relocação de Alimentação de potência do Chiller do BB#07</t>
  </si>
  <si>
    <t>EEX-200001-00-20</t>
  </si>
  <si>
    <t>RELOCAÇÃO DA ALIMENTAÇÃO POTENCIA CHILLER BB#07</t>
  </si>
  <si>
    <t>LCP-200115</t>
  </si>
  <si>
    <t>BT DRUM WYKO UPGRADE</t>
  </si>
  <si>
    <t>LCP-200116</t>
  </si>
  <si>
    <t>PROJETO PRODITIVIDADE B2</t>
  </si>
  <si>
    <t>UPG PLC AUTOMAX EXTRUDER SBO</t>
  </si>
  <si>
    <t>LCP-200117</t>
  </si>
  <si>
    <t>AME - BT DRUM WYKO UPGRADE</t>
  </si>
  <si>
    <t>SBO - UPGRADE PLC AUTOMAX EXTRUDER</t>
  </si>
  <si>
    <t>ANDERSON BASSO</t>
  </si>
  <si>
    <t xml:space="preserve">AME - PRODUCTIVITY MRT </t>
  </si>
  <si>
    <t>LCP-200121</t>
  </si>
  <si>
    <t>LCP-200120</t>
  </si>
  <si>
    <t>LCP-200119</t>
  </si>
  <si>
    <t>REPL MAIN GEARBOX 6” &amp; 10” MRT EXTRUDER</t>
  </si>
  <si>
    <t>REWIND STATIONS MRT  BUILD MACHINES</t>
  </si>
  <si>
    <t>7+5</t>
  </si>
  <si>
    <t>AME - BAMBURIES BATCH-OFF CRANES</t>
  </si>
  <si>
    <t>AME - UPGRADE GENERAL PANEL CURING PRESSES MRT</t>
  </si>
  <si>
    <t>LCP-200131</t>
  </si>
  <si>
    <t>AME - UPGRADE PLC PRESSES MRT</t>
  </si>
  <si>
    <t>LCP-200130</t>
  </si>
  <si>
    <t>AME - SAFETY UPGRADE BEADWINDER #03</t>
  </si>
  <si>
    <t>LCP-200129</t>
  </si>
  <si>
    <t>LCP-200126</t>
  </si>
  <si>
    <t>LCP-200125</t>
  </si>
  <si>
    <t>LCP-200124</t>
  </si>
  <si>
    <t>CANCELADO</t>
  </si>
  <si>
    <t>LCP-200142</t>
  </si>
  <si>
    <t>UPGRADE XLE#7 AIR COMPRESSOR</t>
  </si>
  <si>
    <t>LCP-200137</t>
  </si>
  <si>
    <t>AUTOMATIC LOADING WIND UP – GUM CALENDER #2</t>
  </si>
  <si>
    <t>LCP-200145</t>
  </si>
  <si>
    <t>BARCODE SYSTEM IN SEQUENCING AREA ANCHIETA</t>
  </si>
  <si>
    <t xml:space="preserve">UPGRADE DRIVE VTW MICRIPOISE BALANCE MACHINE - GRAVATAI </t>
  </si>
  <si>
    <t>UPGRADE MICROPOISE BALANCE MACHINE ANCHIETA</t>
  </si>
  <si>
    <t>8+4</t>
  </si>
  <si>
    <t>1 st Quarter</t>
  </si>
  <si>
    <t>2 st Quarter</t>
  </si>
  <si>
    <t>3 st Quarter</t>
  </si>
  <si>
    <t>4 st Quarter</t>
  </si>
  <si>
    <t>ANUAL</t>
  </si>
  <si>
    <t>6+6</t>
  </si>
  <si>
    <t>EM APROVAÇÃO</t>
  </si>
  <si>
    <t>RISCOS</t>
  </si>
  <si>
    <t>AKRON MESNAC</t>
  </si>
  <si>
    <t>SHEROGRAFIA</t>
  </si>
  <si>
    <t>RAIO X (VISTO)</t>
  </si>
  <si>
    <t>OFFSET</t>
  </si>
  <si>
    <t>CAL3R</t>
  </si>
  <si>
    <t>CAL4R1</t>
  </si>
  <si>
    <t>CAL4R2</t>
  </si>
  <si>
    <t>GEARBOX 10"</t>
  </si>
  <si>
    <t>Á GASTAR</t>
  </si>
  <si>
    <t>SET-DEZ</t>
  </si>
  <si>
    <t>S.C</t>
  </si>
  <si>
    <t>NEW PROJ.</t>
  </si>
  <si>
    <t>EEX-200001-00-21</t>
  </si>
  <si>
    <t>LCP-190020-EX</t>
  </si>
  <si>
    <t>Comentários</t>
  </si>
  <si>
    <t>LCP-200149</t>
  </si>
  <si>
    <t>APROVADO</t>
  </si>
  <si>
    <t>RECUSADO</t>
  </si>
  <si>
    <t>SOLICITANTE</t>
  </si>
  <si>
    <t>LCP-200119-EX</t>
  </si>
  <si>
    <t>LCP-200130-EX</t>
  </si>
  <si>
    <t xml:space="preserve">   BUDGET</t>
  </si>
  <si>
    <t xml:space="preserve">   ACTUAL</t>
  </si>
  <si>
    <t xml:space="preserve">  COMM PO</t>
  </si>
  <si>
    <t xml:space="preserve"> COMMITMENT</t>
  </si>
  <si>
    <t xml:space="preserve">  ASSIGNED</t>
  </si>
  <si>
    <t xml:space="preserve">  AVALILABE</t>
  </si>
  <si>
    <t>N/A</t>
  </si>
  <si>
    <t>PO</t>
  </si>
  <si>
    <t>SC</t>
  </si>
  <si>
    <t>COMPRAS</t>
  </si>
  <si>
    <t>PPP</t>
  </si>
  <si>
    <t>LCP-200053-EX</t>
  </si>
  <si>
    <t>AME - MIXER#7 BODY REPLACEMENT</t>
  </si>
  <si>
    <t>SIM</t>
  </si>
  <si>
    <t>VALOR RISK</t>
  </si>
  <si>
    <t>IMPORTAÇÃO</t>
  </si>
  <si>
    <t>FORNECEDOR</t>
  </si>
  <si>
    <t>ENGENHARIA</t>
  </si>
  <si>
    <t>PROJETO</t>
  </si>
  <si>
    <t>DESCRIÇÃO</t>
  </si>
  <si>
    <t>ENGENHEIRO</t>
  </si>
  <si>
    <t>VALOR</t>
  </si>
  <si>
    <t>CAPEX - PLANO DE CONTINGÊNCIA</t>
  </si>
  <si>
    <t>DEADLINE PARA AGIR</t>
  </si>
  <si>
    <t>Imediato - Estoque</t>
  </si>
  <si>
    <t>RISK</t>
  </si>
  <si>
    <t>=</t>
  </si>
  <si>
    <t>NEW FORECAST</t>
  </si>
  <si>
    <t>+</t>
  </si>
  <si>
    <t>CONTINGENCY PLAN</t>
  </si>
  <si>
    <t>NEW TOTAL</t>
  </si>
  <si>
    <t>AOP</t>
  </si>
  <si>
    <t>DASHBOARD - CAPEX RISKS</t>
  </si>
  <si>
    <t>DASHBOARD - COMPARATIVO CENÁRIOS (OTIMISTA vs PESSIMISTA)</t>
  </si>
  <si>
    <t>OTIMISTA (riscos mitigados)</t>
  </si>
  <si>
    <t>PESSIMISTA (riscos não mitigados)</t>
  </si>
  <si>
    <t>QUARTELY - NOVOS PROJETOS</t>
  </si>
  <si>
    <t>PROJETO DAS CAMERAS</t>
  </si>
  <si>
    <t>HUELITON</t>
  </si>
  <si>
    <t>BASSO</t>
  </si>
  <si>
    <t>OFFSETAR COM LCP-200125</t>
  </si>
  <si>
    <t>REQUISITAR - PUXAR</t>
  </si>
  <si>
    <t xml:space="preserve"> 43</t>
  </si>
  <si>
    <t>55</t>
  </si>
  <si>
    <t>MOTOR DO BBY#03</t>
  </si>
  <si>
    <t xml:space="preserve"> 13</t>
  </si>
  <si>
    <t>ANALISE DE RATE</t>
  </si>
  <si>
    <t xml:space="preserve">MASTER PLAN SECURITY AMERICANA PLANT </t>
  </si>
  <si>
    <t>Q1</t>
  </si>
  <si>
    <t>Q2</t>
  </si>
  <si>
    <t>Q3</t>
  </si>
  <si>
    <t>Q4</t>
  </si>
  <si>
    <t>BUDGET</t>
  </si>
  <si>
    <t>ACTUAL</t>
  </si>
  <si>
    <t>Solicitante</t>
  </si>
  <si>
    <t>LCP-200169</t>
  </si>
  <si>
    <t>UPGRADE PLC5 FISCHER 01</t>
  </si>
  <si>
    <t>ASSIGNED</t>
  </si>
  <si>
    <t>AVAILABLE</t>
  </si>
  <si>
    <t>LCP-200170</t>
  </si>
  <si>
    <t>LCP-200170-EX</t>
  </si>
  <si>
    <t xml:space="preserve">UPGRADE OF DRIVE &amp; MOTOR MILL MIXER#3 </t>
  </si>
  <si>
    <t>LCP-200177</t>
  </si>
  <si>
    <t>NEW POWER GENERATOR</t>
  </si>
  <si>
    <t>LCP-200141-EX</t>
  </si>
  <si>
    <t>x1</t>
  </si>
  <si>
    <t>x2</t>
  </si>
  <si>
    <t>GESTÃO DE CAPITAL &lt; U$ 5,000,00</t>
  </si>
  <si>
    <t>CRISTINA FURTADO</t>
  </si>
  <si>
    <t>CARLA GUASSI</t>
  </si>
  <si>
    <t>ALEXANDRE STOCO</t>
  </si>
  <si>
    <t>GISELI TEIXEIRA</t>
  </si>
  <si>
    <t>ALEXANDRE SANTOS</t>
  </si>
  <si>
    <t>GUILHERME MAROSTICA</t>
  </si>
  <si>
    <t>DESCRIÇÃO DO ITEM</t>
  </si>
  <si>
    <t>EM ANDAMENTO</t>
  </si>
  <si>
    <t>LCP-200131-EX</t>
  </si>
  <si>
    <t>DENISE PACHECO</t>
  </si>
  <si>
    <t>AMERICANA CONSUMER HMC TIRE BUILDING</t>
  </si>
  <si>
    <t>LCP-200184-EX</t>
  </si>
  <si>
    <t>ICP-180009</t>
  </si>
  <si>
    <t>ICP-180013</t>
  </si>
  <si>
    <t>ICP-180031</t>
  </si>
  <si>
    <t>ICP-150042</t>
  </si>
  <si>
    <t>ICP-160008</t>
  </si>
  <si>
    <t>ICP-160011</t>
  </si>
  <si>
    <t>ICP-160022</t>
  </si>
  <si>
    <t>ICP-180015</t>
  </si>
  <si>
    <t>ICP-180044</t>
  </si>
  <si>
    <t>ICP-180053</t>
  </si>
  <si>
    <t>ICP-190027</t>
  </si>
  <si>
    <t>ICP-190047</t>
  </si>
  <si>
    <t>ICP-180007</t>
  </si>
  <si>
    <t>ICP-180020</t>
  </si>
  <si>
    <t>ICP-190053</t>
  </si>
  <si>
    <t>ICP-200001</t>
  </si>
  <si>
    <t>ICP-200008</t>
  </si>
  <si>
    <t>ICP-190041</t>
  </si>
  <si>
    <t>ICP-190002</t>
  </si>
  <si>
    <t>ICP-180041</t>
  </si>
  <si>
    <t>ICP-200023</t>
  </si>
  <si>
    <t>ICP-200024</t>
  </si>
  <si>
    <t>ICP-200037</t>
  </si>
  <si>
    <t>Molds</t>
  </si>
  <si>
    <t>FINANÇAS</t>
  </si>
  <si>
    <t>AME- 72 MOLDS TRANSF. FROM FAYT. TO AMER</t>
  </si>
  <si>
    <t>LCP-200185</t>
  </si>
  <si>
    <t>AJUSTE REG / ICP / PROJETO</t>
  </si>
  <si>
    <t>ROGÉRIO SIA</t>
  </si>
  <si>
    <t>ENGINEERING CONTRACTOR’S SHOP STANDARDIZATION</t>
  </si>
  <si>
    <t>LCP-200169-EX</t>
  </si>
  <si>
    <t>LCP-200175</t>
  </si>
  <si>
    <t>RETROFIT–BLUE RACKS FOR CONSUMER TIRES</t>
  </si>
  <si>
    <t>ICP-200043</t>
  </si>
  <si>
    <t>LCP-200185-EX</t>
  </si>
  <si>
    <t>ICP-200033</t>
  </si>
  <si>
    <t>REGIÃO</t>
  </si>
  <si>
    <t>TOTAL 2022
Carryover</t>
  </si>
  <si>
    <t>TECO DATA PREVISTA</t>
  </si>
  <si>
    <t>CAPITALIZAÇÃO DATA PREVISTA</t>
  </si>
  <si>
    <t>COMFORT LANES REPAVING</t>
  </si>
  <si>
    <t>LCP-200159</t>
  </si>
  <si>
    <t>LEONARDO MINATEL</t>
  </si>
  <si>
    <t>MATHEUS OLIVEIRA</t>
  </si>
  <si>
    <t>LCP-210022</t>
  </si>
  <si>
    <t>Data Encerramento (politica 18 meses ~ 547 dias)</t>
  </si>
  <si>
    <t>PROJECT RUNNER</t>
  </si>
  <si>
    <t>LCP-210022-EX</t>
  </si>
  <si>
    <t>Data CLOSE (politica 24 meses ~ 730 dias)</t>
  </si>
  <si>
    <t>Data TECO (politica 18 meses ~ 547 dias)</t>
  </si>
  <si>
    <t>Jan
Real</t>
  </si>
  <si>
    <t>Em aprovação</t>
  </si>
  <si>
    <t>REPLACEMENT OF BOTTOM COOLING TANK D#4</t>
  </si>
  <si>
    <t>REPLACEMENT OF THE PRIMARY GEARBOX MIXER#06</t>
  </si>
  <si>
    <t>UPGRADE OF DRIVES BEADWINDER#03</t>
  </si>
  <si>
    <t>UPG AKROSCAN SYSTEM FOR LINES FVM</t>
  </si>
  <si>
    <t>IMPROVEMENT CLIMATIZATION IN THE TBM'S</t>
  </si>
  <si>
    <t>CRTD</t>
  </si>
  <si>
    <t>AME - 2021 MISCELLANEOUS ANNUAL BUDGET</t>
  </si>
  <si>
    <t>WASTEWATER TANK IMPROVEMENT</t>
  </si>
  <si>
    <t>GESTÃO DE PROJETOS CAPEX 2021 ($000)</t>
  </si>
  <si>
    <t>UPPER CONVEYORS UPGRADE – CURING B1</t>
  </si>
  <si>
    <t>Em andamento</t>
  </si>
  <si>
    <t>LCP-210011</t>
  </si>
  <si>
    <t>LCP-210010</t>
  </si>
  <si>
    <t>LCP-210007</t>
  </si>
  <si>
    <t>FSB - 2021 MISCELLANEOUS ANNUAL BUDGET</t>
  </si>
  <si>
    <t xml:space="preserve">Fev 
Real </t>
  </si>
  <si>
    <t>CREEL ROOM TRANSFER FROM GADSTEN PLANT</t>
  </si>
  <si>
    <t>LCP-210045-EX</t>
  </si>
  <si>
    <t>NUM. HOPPER</t>
  </si>
  <si>
    <t>LCP-210018</t>
  </si>
  <si>
    <t>LCP-210014</t>
  </si>
  <si>
    <t>LCP-210025</t>
  </si>
  <si>
    <t>LCP-210016</t>
  </si>
  <si>
    <t>LCP-210040</t>
  </si>
  <si>
    <t>LCP-210038</t>
  </si>
  <si>
    <t>LCP-210045</t>
  </si>
  <si>
    <t>LCP-210052</t>
  </si>
  <si>
    <t>LCP-210020</t>
  </si>
  <si>
    <t>UPGRADE COOLING SYSTEM BB#4</t>
  </si>
  <si>
    <t>LCP-210025-EX</t>
  </si>
  <si>
    <t>OSEP</t>
  </si>
  <si>
    <t>UPG SISTEMA DE FREIO LET OFF ISO#5</t>
  </si>
  <si>
    <t>NÚMERO NO HOPPER</t>
  </si>
  <si>
    <t>NIP POINT EM ESTEIRAS CTI-055-11-00101</t>
  </si>
  <si>
    <t>JUNIOR BUENO</t>
  </si>
  <si>
    <t>ROBERTO DANEZI</t>
  </si>
  <si>
    <t>BENCHMARK PICKER ROLL - CHILE</t>
  </si>
  <si>
    <t>CELSO COSTA</t>
  </si>
  <si>
    <t>CENTRALIZADOR DE PNEUS ESTEIRAS AÉREAS</t>
  </si>
  <si>
    <t>REINALDO CREN</t>
  </si>
  <si>
    <t>ADEQUAÇÃO DE VESTIÁRIOS E BANHEIROS</t>
  </si>
  <si>
    <t>MARCELO SIQUEIRA</t>
  </si>
  <si>
    <t>RICARDO SEVERNINI</t>
  </si>
  <si>
    <t>TRANSF EXTRUSORA Q6 - CAL4R2 E ESTEIRA NOVA</t>
  </si>
  <si>
    <t>GABRIEL ROMAGNOLO</t>
  </si>
  <si>
    <t>MELHORIAS CARRO DUMMY</t>
  </si>
  <si>
    <t>JOAO DA SILVA</t>
  </si>
  <si>
    <t>SISTEMA DE TRAVAMENTO LOTOTO NR 12</t>
  </si>
  <si>
    <t>LINHA DE SEGURANÇA DA CALZ (CREEL ROOM)</t>
  </si>
  <si>
    <t>WILIAN CANTELLI</t>
  </si>
  <si>
    <t>HOPPER APROVADO</t>
  </si>
  <si>
    <t>LCP-210055</t>
  </si>
  <si>
    <t>Passo atual no Hopper</t>
  </si>
  <si>
    <t>Parado com:</t>
  </si>
  <si>
    <t>INTERFACE GESTÃO MÁQUINA EPI</t>
  </si>
  <si>
    <t>DANILO LEONE</t>
  </si>
  <si>
    <t>MARCELO SOARES</t>
  </si>
  <si>
    <t>WILLIAN CANTELLI</t>
  </si>
  <si>
    <t>DETECÇÃO FIO SOLTO AMORT. FSC#01 E AB#02</t>
  </si>
  <si>
    <t>MAGRI</t>
  </si>
  <si>
    <t>CAL. Z - UPG DRIVE PF700S POR PF755</t>
  </si>
  <si>
    <t>PEDROSA</t>
  </si>
  <si>
    <t>MIXER#7 - UPG DRIVE PF700S POR PF755</t>
  </si>
  <si>
    <t>RODRIGO BARBOZA</t>
  </si>
  <si>
    <t>MIXER#4 - UPG DRIVE DO MOINHO 100"</t>
  </si>
  <si>
    <t>CLAUDIO ROQUE JUNIOR</t>
  </si>
  <si>
    <t>RETROFIT SIST. HIDRAULICO  EMPILHADEIRA FILOMENA</t>
  </si>
  <si>
    <t>ROBERTO DANEZI JUNIOR</t>
  </si>
  <si>
    <t>ISOLADORAS - CHECKLIST POKA YOKE</t>
  </si>
  <si>
    <t>GUIA LINEAR PARA APLICAÇÃO DE APEX NGTTS</t>
  </si>
  <si>
    <t>LCP-210052-EX</t>
  </si>
  <si>
    <t>FIRE PROTECTION SYSTEM MAIN SUBSTATION</t>
  </si>
  <si>
    <t>LCP-210038-EX</t>
  </si>
  <si>
    <t>B1- PASSADEIRA DE FORRO / MAQ. REFUGO</t>
  </si>
  <si>
    <t>PLY CUTTER - REDUÇÃO DE BAD GOODS E FRICÇÃO</t>
  </si>
  <si>
    <t>ENTUBADORA - AUTOMAÇÃO DE SETUP DE MÁQ.</t>
  </si>
  <si>
    <t xml:space="preserve">Mar
Real </t>
  </si>
  <si>
    <t>LCP-210077</t>
  </si>
  <si>
    <t>AERO - VENTILATION AND EXHAUSTING SYSTEM</t>
  </si>
  <si>
    <t>LCP-210078</t>
  </si>
  <si>
    <t>PAULO FIGEURIA</t>
  </si>
  <si>
    <t>SISTEMA DE TRANSMISSÃO LET-OFF DE DG</t>
  </si>
  <si>
    <t>ICP-210004</t>
  </si>
  <si>
    <t>ICP-210016</t>
  </si>
  <si>
    <t>LCP-210018-EX</t>
  </si>
  <si>
    <t>LCP-210007-02</t>
  </si>
  <si>
    <t>LCP-210007-03</t>
  </si>
  <si>
    <t>LCP-210007-04</t>
  </si>
  <si>
    <t>LCP-210007-05</t>
  </si>
  <si>
    <t>LCP-210007-06</t>
  </si>
  <si>
    <t>LCP-210007-07</t>
  </si>
  <si>
    <t>LCP-210007-08</t>
  </si>
  <si>
    <t>LCP-210007-09</t>
  </si>
  <si>
    <t>LCP-210007-10</t>
  </si>
  <si>
    <t>LCP-210007-11</t>
  </si>
  <si>
    <t>LCP-210007-12</t>
  </si>
  <si>
    <t>LCP-210007-13</t>
  </si>
  <si>
    <t>LCP-210007-14</t>
  </si>
  <si>
    <t>LCP-210007-15</t>
  </si>
  <si>
    <t>LCP-210007-16</t>
  </si>
  <si>
    <t>LCP-210007-17</t>
  </si>
  <si>
    <t>LCP-210007-18</t>
  </si>
  <si>
    <t>LCP-210007-19</t>
  </si>
  <si>
    <t>LCP-210007-20</t>
  </si>
  <si>
    <t>LCP-210007-21</t>
  </si>
  <si>
    <t>LCP-210007-22</t>
  </si>
  <si>
    <t>LCP-210007-23</t>
  </si>
  <si>
    <t>GESTÃO DE PROJETOS QUARTELY 2021 ($)</t>
  </si>
  <si>
    <t xml:space="preserve">RET - FLAT PRECURED EXPANSION </t>
  </si>
  <si>
    <t>LCP-210083</t>
  </si>
  <si>
    <t>NEW AIR COMPRESSOR - 100 PSI</t>
  </si>
  <si>
    <t>RICARDO ALNIEZI</t>
  </si>
  <si>
    <t>AME - UPG BARREL AND SCREWS</t>
  </si>
  <si>
    <t>LCP-210084</t>
  </si>
  <si>
    <t>CAL4R2 - UPG OF THE BELT STEEL SYSTEM</t>
  </si>
  <si>
    <t>LCP-210085</t>
  </si>
  <si>
    <t>LCP-210086</t>
  </si>
  <si>
    <t>LCP-210055-EX</t>
  </si>
  <si>
    <t>Comentários Hopper</t>
  </si>
  <si>
    <t>ICP-210011</t>
  </si>
  <si>
    <t>LCP-210092</t>
  </si>
  <si>
    <t>RET - UPG PLC AND PRESS TEMP CONTROL</t>
  </si>
  <si>
    <t>Aprovado</t>
  </si>
  <si>
    <t>PNC - PNEUMATIC CORE CONSTRUCTION</t>
  </si>
  <si>
    <t>LCP-210083-EX</t>
  </si>
  <si>
    <t>Growth</t>
  </si>
  <si>
    <t>LCP-210020-EX</t>
  </si>
  <si>
    <t>LCP-210078-EX</t>
  </si>
  <si>
    <t xml:space="preserve">PNC - PNEUMATIC CORE CONSTRUCTION </t>
  </si>
  <si>
    <t>LCP-210098</t>
  </si>
  <si>
    <t>FSB - FM GLOBAL ADEQUANCY</t>
  </si>
  <si>
    <t>LCP-210100</t>
  </si>
  <si>
    <t xml:space="preserve">Abr
Real </t>
  </si>
  <si>
    <t>21/0002</t>
  </si>
  <si>
    <t>19/0119</t>
  </si>
  <si>
    <t>20/0103</t>
  </si>
  <si>
    <t>20/0085</t>
  </si>
  <si>
    <t>21/0008</t>
  </si>
  <si>
    <t>18/0110</t>
  </si>
  <si>
    <t>20/0112</t>
  </si>
  <si>
    <t>21/0006</t>
  </si>
  <si>
    <t>20/0116</t>
  </si>
  <si>
    <t>19/0039</t>
  </si>
  <si>
    <t>20/0001</t>
  </si>
  <si>
    <t>21/0023</t>
  </si>
  <si>
    <t>19/0094</t>
  </si>
  <si>
    <t>21/0014</t>
  </si>
  <si>
    <t>20/0106</t>
  </si>
  <si>
    <t>19/0042</t>
  </si>
  <si>
    <t>19/0080</t>
  </si>
  <si>
    <t>20/0083</t>
  </si>
  <si>
    <t>20/0037</t>
  </si>
  <si>
    <t xml:space="preserve">20/0038 </t>
  </si>
  <si>
    <t xml:space="preserve">19/0117 </t>
  </si>
  <si>
    <t>19/0109</t>
  </si>
  <si>
    <t>21/0013</t>
  </si>
  <si>
    <t>21/0003</t>
  </si>
  <si>
    <t>18/0154</t>
  </si>
  <si>
    <t xml:space="preserve">18/0159 </t>
  </si>
  <si>
    <t>18/0139</t>
  </si>
  <si>
    <t>20/0006</t>
  </si>
  <si>
    <t>20/0084</t>
  </si>
  <si>
    <t xml:space="preserve">18/0107 </t>
  </si>
  <si>
    <t>18/0148</t>
  </si>
  <si>
    <t>18/0040</t>
  </si>
  <si>
    <t>20/0068</t>
  </si>
  <si>
    <t>19/0110</t>
  </si>
  <si>
    <t>20/0051</t>
  </si>
  <si>
    <t>18/0155</t>
  </si>
  <si>
    <t>20/0045</t>
  </si>
  <si>
    <t>20/0002</t>
  </si>
  <si>
    <t>18/0111</t>
  </si>
  <si>
    <t>18/0138</t>
  </si>
  <si>
    <t>19/0101</t>
  </si>
  <si>
    <t>18/003</t>
  </si>
  <si>
    <t>18/0045</t>
  </si>
  <si>
    <t>17/0086</t>
  </si>
  <si>
    <t>18/0026</t>
  </si>
  <si>
    <t>18/0087</t>
  </si>
  <si>
    <t>18/0023</t>
  </si>
  <si>
    <t>18/0152</t>
  </si>
  <si>
    <t>18/0065</t>
  </si>
  <si>
    <t>18/0077</t>
  </si>
  <si>
    <t>18/0067</t>
  </si>
  <si>
    <t>18/0071</t>
  </si>
  <si>
    <t>18/0106</t>
  </si>
  <si>
    <t>18/0150</t>
  </si>
  <si>
    <t>18/153</t>
  </si>
  <si>
    <t>20/0031</t>
  </si>
  <si>
    <t>18/0134</t>
  </si>
  <si>
    <t>18/0156</t>
  </si>
  <si>
    <t>19/0014</t>
  </si>
  <si>
    <t>19/0070</t>
  </si>
  <si>
    <t>19/0071</t>
  </si>
  <si>
    <t>19/0045</t>
  </si>
  <si>
    <t>19/0090</t>
  </si>
  <si>
    <t>19/0095</t>
  </si>
  <si>
    <t>19/0081</t>
  </si>
  <si>
    <t>20/0008</t>
  </si>
  <si>
    <t>19/0061</t>
  </si>
  <si>
    <t>20/007</t>
  </si>
  <si>
    <t>20/0010</t>
  </si>
  <si>
    <t>20/0007</t>
  </si>
  <si>
    <t>21/0030</t>
  </si>
  <si>
    <t>21/0029</t>
  </si>
  <si>
    <t>21/0031</t>
  </si>
  <si>
    <t>21/0032</t>
  </si>
  <si>
    <t>21/0034</t>
  </si>
  <si>
    <t>21/0035</t>
  </si>
  <si>
    <t>21/0036</t>
  </si>
  <si>
    <t>21/0037</t>
  </si>
  <si>
    <t>21/0040</t>
  </si>
  <si>
    <t>21/0039</t>
  </si>
  <si>
    <t>RET - BATHROOM ADEQUANCY NR24</t>
  </si>
  <si>
    <t>LCP-210101</t>
  </si>
  <si>
    <t>NR12 ADEQUANCY AERO RETREAD MACHINES</t>
  </si>
  <si>
    <t>LCP-210102</t>
  </si>
  <si>
    <t>LCP-210103</t>
  </si>
  <si>
    <t>CARLOS SERAFIM</t>
  </si>
  <si>
    <t>AME - CENTAC#17 100 PSI AIR COMPRESSOR</t>
  </si>
  <si>
    <t>ESTUDO APREC. RISCO ABNT NBR ISO 12100 (NR12)</t>
  </si>
  <si>
    <t>TNC</t>
  </si>
  <si>
    <t>TNCs</t>
  </si>
  <si>
    <t>BANBURY</t>
  </si>
  <si>
    <t>CALANDRA</t>
  </si>
  <si>
    <t>CASA FORÇA</t>
  </si>
  <si>
    <t>COGEN</t>
  </si>
  <si>
    <t>COMUNICAÇÃO</t>
  </si>
  <si>
    <t>CONST. TBM</t>
  </si>
  <si>
    <t>CONST. TRADIC.</t>
  </si>
  <si>
    <t>CONSTRUÇÃO</t>
  </si>
  <si>
    <t>CTL</t>
  </si>
  <si>
    <t>DAP</t>
  </si>
  <si>
    <t>ENTUBADORA</t>
  </si>
  <si>
    <t>EXPEDIÇÃO</t>
  </si>
  <si>
    <t>FACILIDADES</t>
  </si>
  <si>
    <t>FI</t>
  </si>
  <si>
    <t>FINAL FINISH</t>
  </si>
  <si>
    <t>JURIDICO</t>
  </si>
  <si>
    <t>LABORATORIO</t>
  </si>
  <si>
    <t>MANUTENÇÃO</t>
  </si>
  <si>
    <t>MATRIZARIA</t>
  </si>
  <si>
    <t>PORTARIA</t>
  </si>
  <si>
    <t>PRAÇA ESPORTES</t>
  </si>
  <si>
    <t>PRÉDIO 3</t>
  </si>
  <si>
    <t>RECEBIMENTO</t>
  </si>
  <si>
    <t>RESILIOMETRO</t>
  </si>
  <si>
    <t>RESTAURANTE</t>
  </si>
  <si>
    <t>RH</t>
  </si>
  <si>
    <t>SUBESTAÇÃO</t>
  </si>
  <si>
    <t>SUPPLY CHAIN</t>
  </si>
  <si>
    <t>VULCANIZAÇÃO</t>
  </si>
  <si>
    <t>GERAL</t>
  </si>
  <si>
    <t>PREPARAÇÃO</t>
  </si>
  <si>
    <t>UTIL</t>
  </si>
  <si>
    <t>ETE</t>
  </si>
  <si>
    <t>ETA</t>
  </si>
  <si>
    <t>FACIL</t>
  </si>
  <si>
    <t xml:space="preserve"> FASE 1 - IMPLEMENTAÇÃO EM 2 MÁQUINAS
PQ13/14 e PQ19/20</t>
  </si>
  <si>
    <t>AME - (8) PCI Cavities</t>
  </si>
  <si>
    <t>LCP-210114</t>
  </si>
  <si>
    <t>LCP-210106</t>
  </si>
  <si>
    <t>LCP-210107</t>
  </si>
  <si>
    <t>LCP-210110</t>
  </si>
  <si>
    <t>AME - COOLING SYSTEM UPGRADE MIXER#03</t>
  </si>
  <si>
    <t>COOLING SYSTEM UPGRADE MIXER#02–PHASE I</t>
  </si>
  <si>
    <t>LCP-210121</t>
  </si>
  <si>
    <t>20/0036</t>
  </si>
  <si>
    <t>LCP-210118</t>
  </si>
  <si>
    <t>LCP-210120</t>
  </si>
  <si>
    <t>AME -COMPLEXITY AND CONCURRENCY INCREASE</t>
  </si>
  <si>
    <t>AME - UPG WIND-UP EXTRUDER 8x8 SW</t>
  </si>
  <si>
    <t>AME - REPLACEMENT X-RAY SET TUBE (A &amp; C)</t>
  </si>
  <si>
    <t>LCP-210123</t>
  </si>
  <si>
    <t>ICP-210002</t>
  </si>
  <si>
    <t xml:space="preserve">Mai
Real </t>
  </si>
  <si>
    <t>EEX-210001-00-11</t>
  </si>
  <si>
    <t>ESTUDO PRE PROJETO UP.WUP 8X8</t>
  </si>
  <si>
    <t>LCP-210137</t>
  </si>
  <si>
    <t>LCP-210135</t>
  </si>
  <si>
    <t>LCP-210007-01</t>
  </si>
  <si>
    <t>LCP-210132</t>
  </si>
  <si>
    <t>LCP-210134</t>
  </si>
  <si>
    <t>LCP-210133</t>
  </si>
  <si>
    <t>LCP-210131</t>
  </si>
  <si>
    <t>LCP-210138</t>
  </si>
  <si>
    <t>LCP-210149</t>
  </si>
  <si>
    <t>LCP-210106-EX</t>
  </si>
  <si>
    <t>19/0118</t>
  </si>
  <si>
    <t>20/0108</t>
  </si>
  <si>
    <t>FATURAR PO + ENTREGAS DE NF</t>
  </si>
  <si>
    <t>ICP-210032</t>
  </si>
  <si>
    <t>DEVE DEIXAR A LISTA NO:</t>
  </si>
  <si>
    <t>EEX-210001-00-12</t>
  </si>
  <si>
    <t>EEX-210001-00-13</t>
  </si>
  <si>
    <t>ESTUDO APRECIACAO DE RISCO NR12</t>
  </si>
  <si>
    <t>LCP-210146</t>
  </si>
  <si>
    <t>LCP-210147</t>
  </si>
  <si>
    <t>LCP-210148</t>
  </si>
  <si>
    <t>LCP-210140</t>
  </si>
  <si>
    <t>AME - MILLS ADEQUACY PROJECT FAM</t>
  </si>
  <si>
    <t>AME - NEW RAINWATER CONTAINMENT SYSTEM</t>
  </si>
  <si>
    <t>AME - CAL 3R COOLING IMPROVEMENT</t>
  </si>
  <si>
    <t>AME -SIDEWALK BUILDING IN FRONT OF PLANT</t>
  </si>
  <si>
    <t>AME - STEEL TRANSFERS BAND NGTTS</t>
  </si>
  <si>
    <t>AME - CURING VACUUM SYSTEM UPGRADE</t>
  </si>
  <si>
    <t>AME - WOMEN'S RESTROOM</t>
  </si>
  <si>
    <t>AME – INTERNAL LIGHTING ADEQUACY</t>
  </si>
  <si>
    <t>MC - FALSE TRUCK TIRES SYSTEM RETROFIT</t>
  </si>
  <si>
    <t>AME - WIRE CALENDER NR12 - BRZ MANDATORY</t>
  </si>
  <si>
    <t>LCP-210121-EX</t>
  </si>
  <si>
    <t>LCP-210007-24</t>
  </si>
  <si>
    <t>LIMPADORA DE TROCADORES DE CALOR SHELL &amp; TUBE</t>
  </si>
  <si>
    <t>LCP-210098-EX</t>
  </si>
  <si>
    <t>LCP-210007-25</t>
  </si>
  <si>
    <t>LCP-210007-26</t>
  </si>
  <si>
    <t>LCP-210007-27</t>
  </si>
  <si>
    <t>MARIANA BRASIL</t>
  </si>
  <si>
    <t>ADEQUAÇÃO DIQUES CONTENÇÃO - TANQUES EXT</t>
  </si>
  <si>
    <t>GATEWAY DH+ PARA PRENSAS COM SLC500 5/04</t>
  </si>
  <si>
    <t>EDUARDO ALVEZ</t>
  </si>
  <si>
    <t>CARRO LAGARTA TM</t>
  </si>
  <si>
    <t>CONTINGENCIA</t>
  </si>
  <si>
    <t>AME - NR12 - NT CONSUMMER BUILDING ENHANCEMENT</t>
  </si>
  <si>
    <t>LCP-210001-EX</t>
  </si>
  <si>
    <t>DIV A</t>
  </si>
  <si>
    <t>DIV B1</t>
  </si>
  <si>
    <t>DIV B2</t>
  </si>
  <si>
    <t xml:space="preserve">Jun
Real </t>
  </si>
  <si>
    <t>Jul
OBJ</t>
  </si>
  <si>
    <t>LCP-210135-EX</t>
  </si>
  <si>
    <t>LCP-210147-EX</t>
  </si>
  <si>
    <t>LCP-210138-EX</t>
  </si>
  <si>
    <t>LCP-210133-EX</t>
  </si>
  <si>
    <t>ESTUDO CAPACIDADE PONTE ROLANTE TBT01</t>
  </si>
  <si>
    <t>EEX-210001-00-14</t>
  </si>
  <si>
    <t>JAN
OBJ</t>
  </si>
  <si>
    <t>FEV
OBJ</t>
  </si>
  <si>
    <t>MAR
OBJ</t>
  </si>
  <si>
    <t>ABR
OBJ</t>
  </si>
  <si>
    <t>MAI
OBJ</t>
  </si>
  <si>
    <t>JUN
OBJ</t>
  </si>
  <si>
    <t>AGO
OBJ</t>
  </si>
  <si>
    <t>SET
OBJ</t>
  </si>
  <si>
    <t>OUT
OBJ</t>
  </si>
  <si>
    <t>AME – WULO CONSUMMER BUILDING - STEP 1 - NT20</t>
  </si>
  <si>
    <t>AME – WULO – CONSUMMER BUILDING - STEP 2 - NT22</t>
  </si>
  <si>
    <t>LCP-210086-EX</t>
  </si>
  <si>
    <t>AME - NEW MRT KOKUSAI MACHINE</t>
  </si>
  <si>
    <t>Jul
Real</t>
  </si>
  <si>
    <t>LCP-210140-EX</t>
  </si>
  <si>
    <t>Inicialmente o projeto foi recusado pelo Alexandre, porém foi aceito. Necessário aceitar no Hopper.</t>
  </si>
  <si>
    <t>Sarah solicitou revisão ao Engenheiro Responsavel</t>
  </si>
  <si>
    <t>Alexandre solicitou revisão ao Solicitante</t>
  </si>
  <si>
    <t>LCP-210131-EX</t>
  </si>
  <si>
    <t xml:space="preserve">AME - RESTAURANT’S KITCHEN ADEQUACY </t>
  </si>
  <si>
    <t>TOTAL
2019</t>
  </si>
  <si>
    <t>AOP
2020</t>
  </si>
  <si>
    <t>AOP
2021</t>
  </si>
  <si>
    <t>ICP vs LCP
Horas de Akron</t>
  </si>
  <si>
    <t>DOWNPAYMENT JUNHO = 180K a confirmar com John Bucey</t>
  </si>
  <si>
    <t>LCP-210007-28</t>
  </si>
  <si>
    <t>LCP-210007-29</t>
  </si>
  <si>
    <t>VULCAWELD - PRENSA PARA CREEL ROOM</t>
  </si>
  <si>
    <t>Não excluir esta linha. Pois tem o valor do AOP alocado neste projeto. Cancelado em 2021</t>
  </si>
  <si>
    <t>Não excluir esta linha. Pois tem o valor do AOP alocado neste projeto. Projeto se tornou um Quartely</t>
  </si>
  <si>
    <t>LCP-210019</t>
  </si>
  <si>
    <t>ICP-210036</t>
  </si>
  <si>
    <t>DISPONIVEL</t>
  </si>
  <si>
    <t>GUILHERME TUPY</t>
  </si>
  <si>
    <t>ZIPPER ELETRICO PARA AS NGTTS</t>
  </si>
  <si>
    <t>Em aprovação 2022</t>
  </si>
  <si>
    <t>AME - COGEN OVERHAUL</t>
  </si>
  <si>
    <t>LCP-210177</t>
  </si>
  <si>
    <t>NUM. PROJETO (WBS)</t>
  </si>
  <si>
    <t>LCP-210134-EX</t>
  </si>
  <si>
    <t>EEX-210001-00-15</t>
  </si>
  <si>
    <t>Ago
Real</t>
  </si>
  <si>
    <t>SERV. GUINDASTE - DESCARTE CORPO BB06 E REDUTOR Q5</t>
  </si>
  <si>
    <t>EEX-210001-00-16</t>
  </si>
  <si>
    <t>Limpar Pedidos e Liberar para CLOSE</t>
  </si>
  <si>
    <t>E.S ATÉ DEZ</t>
  </si>
  <si>
    <r>
      <rPr>
        <sz val="11"/>
        <color theme="3" tint="0.59999389629810485"/>
        <rFont val="Calibri"/>
        <family val="2"/>
        <scheme val="minor"/>
      </rPr>
      <t>Z</t>
    </r>
    <r>
      <rPr>
        <sz val="11"/>
        <color theme="1"/>
        <rFont val="Calibri"/>
        <family val="2"/>
        <scheme val="minor"/>
      </rPr>
      <t>Q4/22</t>
    </r>
  </si>
  <si>
    <r>
      <rPr>
        <sz val="11"/>
        <color theme="3" tint="0.59999389629810485"/>
        <rFont val="Calibri"/>
        <family val="2"/>
        <scheme val="minor"/>
      </rPr>
      <t>X</t>
    </r>
    <r>
      <rPr>
        <sz val="11"/>
        <color theme="1"/>
        <rFont val="Calibri"/>
        <family val="2"/>
        <scheme val="minor"/>
      </rPr>
      <t>Q2/22</t>
    </r>
  </si>
  <si>
    <t>CARLOS SANTANA</t>
  </si>
  <si>
    <t>ICP-210031</t>
  </si>
  <si>
    <t>ICP-210037</t>
  </si>
  <si>
    <t>19/0106</t>
  </si>
  <si>
    <t>LCP-210180</t>
  </si>
  <si>
    <t>EEX-210001-00-18</t>
  </si>
  <si>
    <t>ESTUDO DE VIABILIDADE DE PROJETO (562) MAQ - NR12</t>
  </si>
  <si>
    <t>BUDGET ORIGINAL APROVADO</t>
  </si>
  <si>
    <t>BUDGET FINAL APROVADO</t>
  </si>
  <si>
    <t xml:space="preserve"> COMMITMENT (SC)</t>
  </si>
  <si>
    <t>Comentários sobre o que falta comprometer</t>
  </si>
  <si>
    <t>Responsável</t>
  </si>
  <si>
    <t>Dezembro</t>
  </si>
  <si>
    <t>EBENÉZER DAINEZ</t>
  </si>
  <si>
    <t>Negociação comercial ficar acima do valor estimado para abertura do Budget.</t>
  </si>
  <si>
    <t>LCP-210103-EX</t>
  </si>
  <si>
    <t>2022 Carta Suporte em andamento -</t>
  </si>
  <si>
    <t>SCOPE CHANGE ou OVERRUN</t>
  </si>
  <si>
    <t>DATA E MOTIVO</t>
  </si>
  <si>
    <t>% OVERRUN</t>
  </si>
  <si>
    <t>Scope Change</t>
  </si>
  <si>
    <t>Overrun</t>
  </si>
  <si>
    <t>11/06/21 - PCI para 6 prensas mecânicas 47'
Taxa de importação</t>
  </si>
  <si>
    <t>26/05/21 - Spindle replacement
Machine upgrade start-up
Kokusai - comissionamennto de viagem e custo adicional
COVID-19</t>
  </si>
  <si>
    <t>28/09/21 - Adicional 2 semanas de serviço tecnico.
Retrablaho e neutralização de radioatividade.
Impostoso.</t>
  </si>
  <si>
    <t>18/03/21 
Replacement main gearbox 6' e 10' MRT.
Extruder.</t>
  </si>
  <si>
    <t>31/03/21
Troca de desenho blue rack.</t>
  </si>
  <si>
    <t>ELIEL FERREIRA</t>
  </si>
  <si>
    <t>RELOCAÇÃO EXTRUSORA E MOINHO COXIM DA HEXAPLEX PARA CAL 4R2</t>
  </si>
  <si>
    <t>EEX-210001-00-20</t>
  </si>
  <si>
    <t>JOAO ZAINA</t>
  </si>
  <si>
    <t>CTVM - VBOX EQUIPMENT</t>
  </si>
  <si>
    <t>RELOCAÇÃO TOMADA E REDE SALA EHS</t>
  </si>
  <si>
    <t>RELOCAÇÃO ARMARIO SEGMENTO DE MOLDE PREDIO 3</t>
  </si>
  <si>
    <t>LCP-210189</t>
  </si>
  <si>
    <t>Set
Real</t>
  </si>
  <si>
    <t>EEX-210001-00-21</t>
  </si>
  <si>
    <t>RELOCAÇÃO AREA SPOOLS DE AMORTECEDORES</t>
  </si>
  <si>
    <t>30/08/21
Aumento do preço do ferro</t>
  </si>
  <si>
    <t>Item sendo comprado pelo Estoque</t>
  </si>
  <si>
    <t>LCP-210196</t>
  </si>
  <si>
    <t>ICP-XXXXX3</t>
  </si>
  <si>
    <t>Devido os impostos creditados nesse equipamento</t>
  </si>
  <si>
    <t>LCP-210200</t>
  </si>
  <si>
    <t>LCP-210204</t>
  </si>
  <si>
    <t>Comparativo OBJ vs ESTIMADO ENG</t>
  </si>
  <si>
    <t>Comparativo REAL vs ESTIMADO ENG</t>
  </si>
  <si>
    <t>LCP-210190</t>
  </si>
  <si>
    <t>ICP-XXXXX</t>
  </si>
  <si>
    <t>AME - UPG EXTRUDER READ 8X3 EXTRUDER</t>
  </si>
  <si>
    <t>AME - (2) NEW AIR DRYER POWER HOUSE</t>
  </si>
  <si>
    <t>AME - MIXER #3 BODY REPLACEMENT</t>
  </si>
  <si>
    <t>AME - NEW MIXER SLURRY - PLITVIC</t>
  </si>
  <si>
    <t>Procv</t>
  </si>
  <si>
    <t>Diferença</t>
  </si>
  <si>
    <t>-5K : Rolo trincado, sem reparo, será devolvido ao estoque e será comprado um novo.
35K em 2022 chegará 1 novo rolo
3 TROCAS 2022:
Falta trocar 03 rolos: Aguardando parada de máquina para troca de 01 rolo, após a troca desse será enviado para retrofit e retorna para outra posição assim funciona para proximo rolo. Tempo de máquina para troca 24hrs, tempo retrofit, 30 dias cada rolo.</t>
  </si>
  <si>
    <t>Em estudo</t>
  </si>
  <si>
    <t>Projeto aprovado em 22/09/2021. Em processo de abertura de SC</t>
  </si>
  <si>
    <t xml:space="preserve">Iidentificada uma oportunidade durante a instalação das cameras 
e precisou-se corrigir a iluminacao do local </t>
  </si>
  <si>
    <t>Aumento de preço de varios equipamentos</t>
  </si>
  <si>
    <t xml:space="preserve">Aumentos no valor de  cabos e componentes eletronicos </t>
  </si>
  <si>
    <t>LCP-210189-EX</t>
  </si>
  <si>
    <t>MATERIAL
 OUT/DEZ</t>
  </si>
  <si>
    <t>$ 243,688.55 Running Balance
$ 77,293.76 PO 8240657189 Data de envio atual esperada é 1º de dezembro de 2021.
$ 166,300.32 PO 8240634175 Nicholas Bracken confirmed these are not scheduled to ship until 10/12/2021.</t>
  </si>
  <si>
    <t>EEX-210001-00-24</t>
  </si>
  <si>
    <t>ESTUDO REGULARIZAÇÃO PILARES DA FÁBRICA</t>
  </si>
  <si>
    <t>ESTUDO CONDIÇÕES ESTRUTURAIS PILARES FAM</t>
  </si>
  <si>
    <t>EEX-210001-00-25</t>
  </si>
  <si>
    <t>REGULARIZAÇÃO DE CEI/CNO/DISO JUNTO A RECEITA FEDERAL</t>
  </si>
  <si>
    <t>Valor alocado
OUT a DEZ</t>
  </si>
  <si>
    <t>VALOR IMPORTADO</t>
  </si>
  <si>
    <t>DATA DE PRONTIDÃO</t>
  </si>
  <si>
    <t>MÃO DE OBRA
OUT / DEZ</t>
  </si>
  <si>
    <t>FRETE (AEREO/MARITIMO)</t>
  </si>
  <si>
    <t>NÚMERO DO PO (RISCOS)</t>
  </si>
  <si>
    <t>LCP-210188-EX</t>
  </si>
  <si>
    <t>NÃO POSSUI RISCOS</t>
  </si>
  <si>
    <t>O MATERIAL IRÁ CHEGAR EM OUTUBRO, NÃO FORAM SINALIZADOS RISCOS</t>
  </si>
  <si>
    <t xml:space="preserve">EM NEGOCIAÇÃO COM O DEPARTAMENTO DE COMPRAS, REALIZADA A EQUALIZAÇÃO TÉCNICA E AGUARDANDO SAIR O PEDIDO </t>
  </si>
  <si>
    <t>OS MATERIAIS IRÃO CHEGAR ATÉ DEZEMBRO, NÃO FORAM SINALIZADOS RISCOS ATÉ O MOMENTO
PREVISÃO DE CHEGADA DAS PRIMEIRAS PEÇAS: ATÉ O FINAL DE NOVEMBRO</t>
  </si>
  <si>
    <t>SERVIÇO FINALIZADO, AGUARDANDO OS LAUDOS DA EMPRESA</t>
  </si>
  <si>
    <t>OS MATERIAIS IRÃO CHEGAR ATÉ DEZEMBRO, ESTÁ SENDO CADASTRADO OS MATERIAIS NA PLANTA PARA SEREM COMPRADOS
PREVISÃO DE EXECUÇÃO UPG SBC - 2021</t>
  </si>
  <si>
    <t>NÃO POSSUI RISCOS (SC DE COMPRAS DE MATERIAIS E M.O PARA SBC)</t>
  </si>
  <si>
    <t>SC'S DE IT PARA COMPRA DE EQUIPAMENTOS AUDIOVISUAIS EM ANDAMENTO</t>
  </si>
  <si>
    <t>PROJETO NÃO IRÁ ACONTECER, MICROPOISE COBROU HORAS A MENOS DO QUE FOI PREVISTO NO CONTRATO
OBS.: INVOICE DANDO ENTRADA ENTRE FINANÇAS E FISCAL</t>
  </si>
  <si>
    <t>APROXIMADAMENTE 20K DE MATERIAIS NÃO SERÃO GASTOS DEVIDO A NEGOCIAÇÃO COMERCIAL (VALOR MENOR)</t>
  </si>
  <si>
    <t>APROXIMADAMENTE 30K DE MATERIAIS NÃO IRÃO CHEGAR, DEVIDO A APROVAÇÃO DE BUDGET E PRAZOS DE ENTREGA DOS SECADORES DE AR</t>
  </si>
  <si>
    <t>NÃO POSSUI POR AINDA ESTAR APROVANDO O BUDGET</t>
  </si>
  <si>
    <t>APROXIMADAMENTE 10K DEVIDO A NÃO APROVAÇÃO DO BUDGET EM TEMPO HÁBIL</t>
  </si>
  <si>
    <t>RISCO DE NÃO ENTREGAR OS MATERIAIS PREVISTOS EM NOVEMBRO, PODENDO SER ENTREGUES EM DEZEMBRO</t>
  </si>
  <si>
    <t>8240657149 (Módulo tensionador)</t>
  </si>
  <si>
    <t xml:space="preserve">NÃO POSSUI RISCOS  </t>
  </si>
  <si>
    <t>RISCO DO FORNECEDOR NÃO ENTREGAR O REDUTOR EM DEZEMBRO, PODENDO SER ENTREGUE POSTERIORMENTE EM 2022</t>
  </si>
  <si>
    <t>8240579875 (Redutor SEW)</t>
  </si>
  <si>
    <t>RISCO DO MATERIAL NÃO SER ENTREGUE NO MÊS ATUAL, SENDO ENTREGUE POSTERIORMENTE</t>
  </si>
  <si>
    <t>8240433863 (Rolo Comerio Ercole)</t>
  </si>
  <si>
    <t>25.150,00 EUR</t>
  </si>
  <si>
    <t>NÃO POSSUI RISCOS, OS ITENS ESTÃO PREVISTOS A CHEGAREM EM OUTUBRO</t>
  </si>
  <si>
    <t>NÃO POSSUI PEDIDOS COM RISCOS</t>
  </si>
  <si>
    <t>SUPORTE DE AKRON,EM ANDAMENTO</t>
  </si>
  <si>
    <t>15,487.32 USD</t>
  </si>
  <si>
    <t>AEREO</t>
  </si>
  <si>
    <t>NÃO POSSUI PEDIDOS COM RISCOS
OBS.: AGUARDANDO CONTRATO COM A LGS</t>
  </si>
  <si>
    <t>NÃO POSSUI RISCOS, SERVIÇO SERÁ FEITO PELA ADZ</t>
  </si>
  <si>
    <t>ENTREGA DO COMPRESSOR E PAINEL, ENTREGA PREVISTA PARA DEZEMBRO</t>
  </si>
  <si>
    <t>8240641477 - COMPRESSOR
122447490 - PAINEL (FALTA GERAR PO)</t>
  </si>
  <si>
    <t>ESTÁ EM COTAÇÃO</t>
  </si>
  <si>
    <t>ENTREGA DOS PCI'S, A ROGERS SINALIZOU A ENTREGA DE TRÊS PARA 2021, TRABALHANDO PARA ENTREGAR OS SEIS</t>
  </si>
  <si>
    <t>4500413489 - PCI'S</t>
  </si>
  <si>
    <t>531,816.00 USD</t>
  </si>
  <si>
    <t>PREVISTO PARA DEZ/21</t>
  </si>
  <si>
    <t>MARITIMO</t>
  </si>
  <si>
    <t>NÃO POSSUI RISCOS, MATERIAIS SENDO ENTREGUES PELA INTERENG</t>
  </si>
  <si>
    <t>EM PROCESSO DE COTAÇÃO</t>
  </si>
  <si>
    <t>MATERIAL SENDO COMPRADO PELO ALMOXARIFADO, PREVISTO CHEGAR EM NOVEMBRO/21</t>
  </si>
  <si>
    <t>PREVISÃO DE ENTREGA PARA DEZEMBRO/21, SERÁ PAGO EM TRANSITO</t>
  </si>
  <si>
    <t>AGUARDANDO PEDIDO DE COMPRAS PARA O RC 1001669935 E 1001677591 (TAMBORES E SUB COMPONENTES)</t>
  </si>
  <si>
    <t>684,000.00 USD</t>
  </si>
  <si>
    <t>8240686114 - CREEL ROOM / SC122560553 - FREIOS</t>
  </si>
  <si>
    <t>177,395.00 USD (BV)</t>
  </si>
  <si>
    <t>Projeto Sera Capitalizado só quando tudo for instalado. Falta instalar Drive</t>
  </si>
  <si>
    <t xml:space="preserve">RISCO DE ENTREGA DO PAINEL DA ROCKWELL, 55K </t>
  </si>
  <si>
    <t>RISCO DE 15K, CASO O PAINEL NÃO SEJA ENTREGUE NA DATA PREVISTA</t>
  </si>
  <si>
    <t xml:space="preserve">(ADZ ATÉ O MOMENTO NÃO ACENOU RISCO) </t>
  </si>
  <si>
    <t>AG. CONTRATO DE COMPRAS</t>
  </si>
  <si>
    <t>RISCO DE 70K PARA ESTEIRAS</t>
  </si>
  <si>
    <t>PO DE AKRON (ESTEIRAS)</t>
  </si>
  <si>
    <t>70K (ESTEIRAS)</t>
  </si>
  <si>
    <t>BUDGET NECESSITA SER APROVADO EM OUTUBRO/21 PARA NÃO CORRER O RISCO DE NÃO CUMPRIR O CAPITAL</t>
  </si>
  <si>
    <t>BUDGET EM APROVAÇÃO</t>
  </si>
  <si>
    <t xml:space="preserve">RISCO DE 50K ROBÔ FANUC </t>
  </si>
  <si>
    <t>50K (ROBÔ FANUC)</t>
  </si>
  <si>
    <t>Dez/21 (chegada prevista)</t>
  </si>
  <si>
    <t>Risco de 50K (Chegada das cameras)</t>
  </si>
  <si>
    <t xml:space="preserve">AGUARDANDO PEDIDO DE COMPRAS  </t>
  </si>
  <si>
    <t>8240607168 (ROBÔ FANUC)</t>
  </si>
  <si>
    <t>50K (CAMERAS)</t>
  </si>
  <si>
    <t>N/A (POR CONTA DA EMPRESA)</t>
  </si>
  <si>
    <t>RISCO DE NÃO SER ENTREGUES OS PAINÉIS DA INTERENG (VALOR TOTAL COMPROMETIDO)
AINDA NÃO GEROU PEDIDO DE COMPRAS -&gt; 410K</t>
  </si>
  <si>
    <t>AGUARDANDO GERAR O PEDIDO DE COMPRAS</t>
  </si>
  <si>
    <t>PROJETO TURN KEY, HÁ RISCOS PARA O INÍCIO DA EXECUÇÃO POIS COMPRAS AINDA NÃO FECHOU O PEDIDO</t>
  </si>
  <si>
    <t>RISCO DE NÃO SER ENTRE ENTREGUE O CHILLER EM 2021 - APROXIMADAMENTE 350K (BRL)</t>
  </si>
  <si>
    <t>POSSUI RISCOS CASO O CHILLER  NÃO SEJA ENTREGUE EM 2021 - APROXIMADAMENTE 350K (BRL)</t>
  </si>
  <si>
    <t>RISCOS DOS MATERIAIS NÃO SEREM ENTREGUES - 50K (US$)</t>
  </si>
  <si>
    <t>POSSUI RISCOS CASO OS MATERIAIS NÃO FOREM ENTREGUES EM 2021, APROXIMADAMENTE 50K (US$)</t>
  </si>
  <si>
    <t>NÃO POSSUI RISCOS (TURN KEY)</t>
  </si>
  <si>
    <t>RISCO DA COZINHA NÃO PARAR O FUNCIONAMENTO E NÃO TER O CONTAINER LOCADO (TURN KEY) 75K US$</t>
  </si>
  <si>
    <t>MATERIAL SENDO COMPRADO, AGUARDANDO GERAR O PEDIDO DE COMPRAS</t>
  </si>
  <si>
    <t xml:space="preserve">RISCO CASO AS MÁQUINAS NÃO PAREM, CONFORME PLANEJADO
VALOR TOTAL
</t>
  </si>
  <si>
    <t>RISCO DE NÃO FAZER A MONOVIA, VALOR ESTÁ FICANDO ACIMA DO ESTIMADO - 28,6K US$</t>
  </si>
  <si>
    <t>Aprovado em 06/10/2021
Aquisição de 4 talhas. 
Suplemento de U$ 306,570K (capital) e U$17K (despesa)</t>
  </si>
  <si>
    <t>LAPG - CHARGER FOR ELETRIC VEHICLE</t>
  </si>
  <si>
    <t>Informar</t>
  </si>
  <si>
    <t>SC Será aberta até 15/10</t>
  </si>
  <si>
    <t>Valor da SC de M.O vai passar de 25K para 70K</t>
  </si>
  <si>
    <t>SC de 7,6K irá fechar em torno de 25K</t>
  </si>
  <si>
    <t>Alterar SC para valor total até 15/10</t>
  </si>
  <si>
    <t>U$ 7K de imposto + 7K de M.O de instação - SC será aberta até dia 15/10</t>
  </si>
  <si>
    <t>SC de M.O será aberta até 15/10</t>
  </si>
  <si>
    <t>SC de Materiais faltantes será aberta até 15/10</t>
  </si>
  <si>
    <t>SC será aberta até 15/10</t>
  </si>
  <si>
    <t>Projeto On Hold</t>
  </si>
  <si>
    <t>Impostos de importação</t>
  </si>
  <si>
    <t>Pendências e atendimento de novas necessidades levantadas pelos usuarios + Equipamentos de IT (data show sala de reuniões) + Dirigivel</t>
  </si>
  <si>
    <t>SC Será aberta até 15/10 - M.O</t>
  </si>
  <si>
    <t>SC Será aberta até 15/10 - M.O - Risco de não executar a MO este ano (23K)</t>
  </si>
  <si>
    <t>Sendo comprado pelo Almoxarifado
Chegada do material Importado em Novembro
Frete: Aéreo
Pedido do Almoxarifado: 
8240644584
8240615986
8240664072</t>
  </si>
  <si>
    <t>OUT: Material INTERENG
NOV/DEZ: Materiais de Proteções + Instalação</t>
  </si>
  <si>
    <t>DOWNPAYMENT - Matt Wallace está cuidando</t>
  </si>
  <si>
    <t>2021: Projetos Eletrico
2022: 80K de materiais/Instalação (falar pra Região que o prazo de entrega não atende este ano, mais estamos trabalhando para antecipar)</t>
  </si>
  <si>
    <t>LCP-210209</t>
  </si>
  <si>
    <t>AME - MIXER#07 REPLACEMENT 2nd GEARBOX</t>
  </si>
  <si>
    <t>LCP-210196-EX</t>
  </si>
  <si>
    <t>Projeto aprovado em 14/10/2021</t>
  </si>
  <si>
    <t>Projeto aprovado dia 14/10 Será aberta SC até 15/10</t>
  </si>
  <si>
    <t>Aguardando conclusão do Projeto Mecanico da Base para seguir com SC - Será berta SC dia 22/10</t>
  </si>
  <si>
    <t>30K M.O do Anthony (Goodyear Akron) Aguardando resposta do Anthony e 15K de impostos de importação</t>
  </si>
  <si>
    <t>Aguardando Over run para comprometer o restante</t>
  </si>
  <si>
    <t>5K transferencia de ICP</t>
  </si>
  <si>
    <t>Sobra</t>
  </si>
  <si>
    <t>Está no Porto. Será requisitado em Novembro</t>
  </si>
  <si>
    <t>RISCO DEVIDO FECHAMENTO DE PEDIDO, PROJETO TURN KEY</t>
  </si>
  <si>
    <t>PREVISTO PARA OUT/21
CHEGA EM DEZEMBRO</t>
  </si>
  <si>
    <t>ENTREGA DOS MATERIAIS NACIONAIS (FREIOS) E ENTREGA DO CREEL ROOM EM AMERICANA, EM FASE DE EMBALAGEM PELA EMPRESA PROPAC</t>
  </si>
  <si>
    <t>15/10/21 
Devido aumento do material para fabricação desses equipamentos e ficou faltando 49 skids</t>
  </si>
  <si>
    <t>EEX-210001-00-26</t>
  </si>
  <si>
    <t>ESTUDO DE PROJETO DE CLIMATIZAÇÃO VULCANIZAÇÃO B1/B2</t>
  </si>
  <si>
    <t>20/0015</t>
  </si>
  <si>
    <t>50K SC será aberta para Retrofit das peças</t>
  </si>
  <si>
    <t>Verificar com Felipe 18-10</t>
  </si>
  <si>
    <t>U$ 5,8K de impostos + SC de 2k de M.O será aberta até 15/10 (18/10)</t>
  </si>
  <si>
    <t>9K de impostos + 17k de M.O (via ICP)</t>
  </si>
  <si>
    <t>Sobra 795</t>
  </si>
  <si>
    <t>UPGRADE SISTEMA MEDIÇÃO TEMPERATURA CAL41</t>
  </si>
  <si>
    <t>LCP-210007-30</t>
  </si>
  <si>
    <t>LISTADO NO E.S Q3</t>
  </si>
  <si>
    <t>Área do Projeto</t>
  </si>
  <si>
    <t>Utilidades/Facilidades</t>
  </si>
  <si>
    <t>OUT: 103k Projeto Eletrico/Mec + M.O e implementação
NOV: 98k Continuação da implementeção
DEZ: 20k Testes
JAN: 42,6 Teste e start up</t>
  </si>
  <si>
    <t>2021: Compra de materiais, alguns importados.
2022: Intalação
58 Maquinas MRT (precisa de 8 horas de máquina parada/máquina) Previsão de uma máquina por dia com suporte da manutenção</t>
  </si>
  <si>
    <t>Necessidade de substituir mais dois rolamentos e também o embuchamento do assento da carcaça de um dos lados.</t>
  </si>
  <si>
    <t>Parada do Natal. Interligação no separador de agua e oleo, e instalação das Bombas</t>
  </si>
  <si>
    <t>ICP-210053</t>
  </si>
  <si>
    <t>LCP-210213</t>
  </si>
  <si>
    <t>21/0110</t>
  </si>
  <si>
    <t>LCP-210130-EX</t>
  </si>
  <si>
    <t>AME- NAPANE TO AMERICANA MOLD TRAN</t>
  </si>
  <si>
    <t>Diferença com o Budet</t>
  </si>
  <si>
    <t>Budget final</t>
  </si>
  <si>
    <t>Comprometido vs base Nov e Dez</t>
  </si>
  <si>
    <t>LCP-210200-EX</t>
  </si>
  <si>
    <t xml:space="preserve">Out 
Real </t>
  </si>
  <si>
    <t>Nov
Obj.</t>
  </si>
  <si>
    <t xml:space="preserve">Ago
Real </t>
  </si>
  <si>
    <t xml:space="preserve">Set 
Real </t>
  </si>
  <si>
    <t xml:space="preserve">Out
REAL </t>
  </si>
  <si>
    <t>LCP-210007-31</t>
  </si>
  <si>
    <t>RETROFIT SIST.INFLACAO FVMs ASTEC</t>
  </si>
  <si>
    <t>EEX-210001-00-28</t>
  </si>
  <si>
    <t>RELOCAÇÃO SALA DE TREINAMENTO ENT</t>
  </si>
  <si>
    <t>Josh Réckman, comprador GY. Ricardo Alniezi está em contato com ele
Conforme alinhado com a região, downpayment retirado, será desenvolvido novo fornecedor (Sinoarp)</t>
  </si>
  <si>
    <t>Retirar</t>
  </si>
  <si>
    <t xml:space="preserve">Downpayment
</t>
  </si>
  <si>
    <t>Soma 2021+2022 do 10+2</t>
  </si>
  <si>
    <t>Soma 2021 e 2022</t>
  </si>
  <si>
    <t>LCP-210212</t>
  </si>
  <si>
    <t>Possibilidade de Downpayment para este ano 100K</t>
  </si>
  <si>
    <t>ICP Downpayment Novembro $367K
Valor da Máquina: $1,2M
OUT 2022: CHEGADA DA MAQ</t>
  </si>
  <si>
    <t>DEZ: Materiais
Pedido Local OK
FRETE: Marítimo
Prontidão para 24/Novembro
Chegada do equipamento em Dez
11K Mão de obra
85K Possivel Troca de peças danificadas. Aguardando chegada do equipamento para ter certeza</t>
  </si>
  <si>
    <t>EEX-210001-00-27</t>
  </si>
  <si>
    <t>RELOCAÇÃO RACKS ENTRE DIVISÕES A E B2</t>
  </si>
  <si>
    <t>17k serviço Spindle
Ao receber a Invoice o Budget será reaberto o TECO, para ajudar o PO local
Pode dar TECO - Pedidos que Não serao usados já foram cancelados
Solicitado retirada do TECO no dia 22/10 para ajustes no PO local de importação, TECO aprovado para retirada em 25/10 e retirado em 26/10
PO local ajustado e TECO retornado no mesmo dia (26/10)</t>
  </si>
  <si>
    <t>Set:
280 Dowpayment</t>
  </si>
  <si>
    <t>DEZ: 25K Cameras
2022: Materiais e Instalação</t>
  </si>
  <si>
    <t xml:space="preserve">2022: 4 talhas no Mixer 5
</t>
  </si>
  <si>
    <t>DEZ: Instalacão</t>
  </si>
  <si>
    <t>Iluminação Externa em Execução 2022</t>
  </si>
  <si>
    <t>DEZ: Entrega Projeto
Março: Inicio da Instalacão</t>
  </si>
  <si>
    <t>Dez: Pintura guia, faixa de pedestre e rampa de acessibilidade</t>
  </si>
  <si>
    <t>LCP-210208</t>
  </si>
  <si>
    <t>AME - 2500 HP MAIN MOTOR - SPARE FOR MIXERS</t>
  </si>
  <si>
    <t>LCP-210208-EX</t>
  </si>
  <si>
    <t>LCP-210213-EX</t>
  </si>
  <si>
    <t>LCP-210218</t>
  </si>
  <si>
    <t>LCP-210219</t>
  </si>
  <si>
    <t>New Business</t>
  </si>
  <si>
    <t>Aprovado em 22/11</t>
  </si>
  <si>
    <t>LCP-210220</t>
  </si>
  <si>
    <t>LCP-210221</t>
  </si>
  <si>
    <t>LCP-210215</t>
  </si>
  <si>
    <t>Pedido não foi fechado com DOwnpayment
Para 2021 = 60K (Chiller, Bombas, Trocador Calor)
Nov: 30K do projeto
Dez: 30k materiais *aguardando PO
Srs. Boa tarde! 
Fizemos hoje primeira reunião para definição de qual caminho seguir do projeto de resfriamento de manta do BB#04.
Pontos discutido para melhor desenvolvimento do projeto.
•	Temperatura saída manta 120 graus;
•	Espessura da manta 12 mm;
•	Troca do sabão ( Temperatura ambiente );
•	Tempo da manta em transporte;
•	Comprimento batch off + Exaustão;
•	Comprimento looping no transportador cabide;
•	Possibilidade trocar esteira resfriamento por uma esteira vazada;
•	Enclausuramento da esteira de resfriamento;
•	Cortina de ar gelado – Antes Wig Wag;
•	Capacidade de equipamentos ( Chillers / Bombas / Trocador de Calor );
Na próxima semana teremos outra reunião com as sugestão para definição e aprovação para seguir com projeto.
Valor de novembro transferido para dezembro, aguardando definição do projeto.</t>
  </si>
  <si>
    <t>AOP 2022</t>
  </si>
  <si>
    <t>?</t>
  </si>
  <si>
    <r>
      <rPr>
        <sz val="11"/>
        <color theme="7" tint="0.39997558519241921"/>
        <rFont val="Calibri"/>
        <family val="2"/>
        <scheme val="minor"/>
      </rPr>
      <t>Z</t>
    </r>
    <r>
      <rPr>
        <sz val="11"/>
        <color theme="1"/>
        <rFont val="Calibri"/>
        <family val="2"/>
        <scheme val="minor"/>
      </rPr>
      <t>Q4/23</t>
    </r>
  </si>
  <si>
    <t>EEX-210001-00-29</t>
  </si>
  <si>
    <t>EEX-210001-00-30</t>
  </si>
  <si>
    <t>ESTUDO ANÁLISE DE RISCOS DOS SPDA</t>
  </si>
  <si>
    <t>ESTUDO DE CLASSIFICAÇÃO SALA DE PIGMENTO</t>
  </si>
  <si>
    <t>EEX-210001-00-31</t>
  </si>
  <si>
    <t>RELOCAÇÃO E ADEQUAÇÃO DAS SALAS DO TEN</t>
  </si>
  <si>
    <t>Dez
Real SAP</t>
  </si>
  <si>
    <t>Dez
ENG</t>
  </si>
  <si>
    <r>
      <rPr>
        <sz val="11"/>
        <color theme="3" tint="0.59999389629810485"/>
        <rFont val="Calibri"/>
        <family val="2"/>
        <scheme val="minor"/>
      </rPr>
      <t>X</t>
    </r>
    <r>
      <rPr>
        <sz val="11"/>
        <color theme="1"/>
        <rFont val="Calibri"/>
        <family val="2"/>
        <scheme val="minor"/>
      </rPr>
      <t>Q3/22</t>
    </r>
  </si>
  <si>
    <t>Calculo ROI está com Eloides, precisa transf. Para a Lais</t>
  </si>
  <si>
    <t>NÃO</t>
  </si>
  <si>
    <t>CALC ROI</t>
  </si>
  <si>
    <t>LAIS</t>
  </si>
  <si>
    <t>EBENEZER</t>
  </si>
  <si>
    <t>APROV FINANÇAS</t>
  </si>
  <si>
    <t>SARAH PREDOZA</t>
  </si>
  <si>
    <t>AG. INFO SOLICITANTE</t>
  </si>
  <si>
    <t>INSERIR NO HOPPER</t>
  </si>
  <si>
    <t>CESAR PENTEADO</t>
  </si>
  <si>
    <t>PROX RODADA TEN</t>
  </si>
  <si>
    <t>ALEXANDRE MARTINS</t>
  </si>
  <si>
    <t>Nov
Real</t>
  </si>
  <si>
    <t>Dez
OBJ</t>
  </si>
  <si>
    <t>LCP-210007-32</t>
  </si>
  <si>
    <t>UPGRADE CENTRALIZADOR A LASER - TBM</t>
  </si>
  <si>
    <r>
      <rPr>
        <sz val="11"/>
        <color theme="3" tint="0.59999389629810485"/>
        <rFont val="Calibri"/>
        <family val="2"/>
        <scheme val="minor"/>
      </rPr>
      <t>X</t>
    </r>
    <r>
      <rPr>
        <sz val="11"/>
        <color theme="1"/>
        <rFont val="Calibri"/>
        <family val="2"/>
        <scheme val="minor"/>
      </rPr>
      <t>Q1/22</t>
    </r>
  </si>
  <si>
    <t>E.S NO Q1</t>
  </si>
  <si>
    <r>
      <rPr>
        <sz val="11"/>
        <color rgb="FF00CC66"/>
        <rFont val="Calibri"/>
        <family val="2"/>
        <scheme val="minor"/>
      </rPr>
      <t>A</t>
    </r>
    <r>
      <rPr>
        <sz val="11"/>
        <color theme="1"/>
        <rFont val="Calibri"/>
        <family val="2"/>
        <scheme val="minor"/>
      </rPr>
      <t>Q1/22</t>
    </r>
  </si>
  <si>
    <r>
      <rPr>
        <sz val="11"/>
        <color rgb="FF00CC66"/>
        <rFont val="Calibri"/>
        <family val="2"/>
        <scheme val="minor"/>
      </rPr>
      <t>B</t>
    </r>
    <r>
      <rPr>
        <sz val="11"/>
        <color theme="1"/>
        <rFont val="Calibri"/>
        <family val="2"/>
        <scheme val="minor"/>
      </rPr>
      <t>Q1/22</t>
    </r>
  </si>
  <si>
    <r>
      <rPr>
        <sz val="11"/>
        <color rgb="FF00CC66"/>
        <rFont val="Calibri"/>
        <family val="2"/>
        <scheme val="minor"/>
      </rPr>
      <t>A</t>
    </r>
    <r>
      <rPr>
        <sz val="11"/>
        <color theme="1"/>
        <rFont val="Calibri"/>
        <family val="2"/>
        <scheme val="minor"/>
      </rPr>
      <t>Q4/21</t>
    </r>
  </si>
  <si>
    <t>12 PRENSAS:
Projeção para execução Maior que 24 meses (previsto finalizar em junho 22)
A instalação iniciou dia 05/04  (3 meses pro prensa)
PRENSAS
1) PQ21/22 - OK
2) PQ15/16 - OK
3) PR17/18 - Em andamento
4) PR01/02 - Outubro
Primeira Parte: Pneumática / Hidráulica e Elétrica: 45 dias
Teste de Qualidade: 15 dias
Terceira Parte: Aguarda retorno de Akron: De uma semana a 1 mês
ESTIMADO 3 PRENSAS PARA 2021 E AS DEMAIS PARA 2022
Entrega dos painéis Intereng previsto para o dia 23 de dezembro</t>
  </si>
  <si>
    <r>
      <rPr>
        <b/>
        <sz val="10"/>
        <rFont val="Calibri"/>
        <family val="2"/>
        <scheme val="minor"/>
      </rPr>
      <t>DEZ: 
55K Painel Intereng dia 23 de dezembro
15K Gtel Instlação
10K CF</t>
    </r>
    <r>
      <rPr>
        <sz val="10"/>
        <rFont val="Calibri"/>
        <family val="2"/>
        <scheme val="minor"/>
      </rPr>
      <t xml:space="preserve">
DOWNPAYMENT SET = 180K em ICP
</t>
    </r>
    <r>
      <rPr>
        <sz val="10"/>
        <color rgb="FFFF0000"/>
        <rFont val="Calibri"/>
        <family val="2"/>
        <scheme val="minor"/>
      </rPr>
      <t>FRETE: MARÍTIMO
PRONTIDÃO: ABRIL/22
INCOTERM: FOB - Da para pagar em Transito</t>
    </r>
  </si>
  <si>
    <t>Devido a diferença no valor do frete</t>
  </si>
  <si>
    <t>LCP-210217</t>
  </si>
  <si>
    <t>Aprovado em 02/12</t>
  </si>
  <si>
    <t xml:space="preserve">Gate 2B </t>
  </si>
  <si>
    <t>AER - MOLD FOR NEW TIRE RETREAD</t>
  </si>
  <si>
    <t xml:space="preserve">ADEQUAÇÃO NR 12 - E1/E2 &amp; LRF
</t>
  </si>
  <si>
    <t xml:space="preserve">UPGRADE (06) SYNCHRONOUS VARIXX AND PROT. MODULES
</t>
  </si>
  <si>
    <t xml:space="preserve">PICKER ROLL 8X8
</t>
  </si>
  <si>
    <t>LAPG - PROVING GROUNDS REPAVE PHASE 1</t>
  </si>
  <si>
    <t>ICP</t>
  </si>
  <si>
    <t>TWIN SCREW MIXER#6</t>
  </si>
  <si>
    <t>UPGRADE OF MRT YXLON</t>
  </si>
  <si>
    <t>Americana 2016 MISCELLANEOUS PROJECT</t>
  </si>
  <si>
    <t>Americana REPLACEMENT OF WIRE CORD DETEC</t>
  </si>
  <si>
    <t>Americana AVCB New Warehouse-Bldg Comm</t>
  </si>
  <si>
    <t>Americana (3) 52" Hydraulic Cons Presses</t>
  </si>
  <si>
    <t>AMERICANA 2ND MRT MESNAC</t>
  </si>
  <si>
    <t>REPLACE PLC/CCM OF BATCH OFF MIXER#3</t>
  </si>
  <si>
    <t>Brazil GE Mounting Project</t>
  </si>
  <si>
    <t>Americana FVM Grinder Automation</t>
  </si>
  <si>
    <t>BRS GEM Project</t>
  </si>
  <si>
    <t>Americana Mixer #2 Body Replacement</t>
  </si>
  <si>
    <t>Americana Replace PLC/CCM BO Mixer#3</t>
  </si>
  <si>
    <t>CAPITAL Equipment To Molds Consumer Tire</t>
  </si>
  <si>
    <t>Americana Upgrade MRT Xylon X-Ray</t>
  </si>
  <si>
    <t>CORSAIR</t>
  </si>
  <si>
    <t>AMERICANA TRANSFER O-RING, MONO CUTTER</t>
  </si>
  <si>
    <t>AMERICANA AKROMARKER FOR FVM-AAA</t>
  </si>
  <si>
    <t>AMERICANA INFLATION TESTING MACHINE	ICP-200001</t>
  </si>
  <si>
    <t>AMERICANA UPGRADE KOKUSAI #1</t>
  </si>
  <si>
    <t>AME - BT DRUM WYKO</t>
  </si>
  <si>
    <t>AME REWIND STAT COM TBM</t>
  </si>
  <si>
    <t>Americana Mixer #6 Body Replacement</t>
  </si>
  <si>
    <t>AME PCI (6) ROGERS 47" PRESSES</t>
  </si>
  <si>
    <t>Americana Mixer BB#07</t>
  </si>
  <si>
    <t>AME MATTEUZZI RRM45 SMART GRINDER (CONTOUR CORRECTION)</t>
  </si>
  <si>
    <t>AME Mill Drive #3 Upgrade</t>
  </si>
  <si>
    <t>AME FVM TGIS UPGRADE (CAMERAS PRETAS)</t>
  </si>
  <si>
    <t>AME Creel Room Transfer Gadsden</t>
  </si>
  <si>
    <t>AME PNC Pneumatic Core Construction</t>
  </si>
  <si>
    <t>AME - Vulcaweld Creel Room Press</t>
  </si>
  <si>
    <t>ICP - AME - (8) PCI Cavities</t>
  </si>
  <si>
    <t>AME - Pigment Room (AKRON)</t>
  </si>
  <si>
    <t>AME - MIXER#3 BODY REPLACEMENT (AKRON)</t>
  </si>
  <si>
    <t>(VMI) AMERICANA CONSUMER HMC TIRE BUILDING</t>
  </si>
  <si>
    <t>AME -  UPGRADE PLC MRT PRESSES</t>
  </si>
  <si>
    <t>AME - NR12 - TEXTIL CALENDER 3R</t>
  </si>
  <si>
    <t>MC - 2021 ANNUAL MISCELLANEOUS &lt;50K ALL PLANTS</t>
  </si>
  <si>
    <t>(07) PROTECTION SYSTEM RETROFITING - PRIMARY SUBSTATION</t>
  </si>
  <si>
    <t>AME - MICROPOISE AIT BALANCE MACHINES (Obsolesence)</t>
  </si>
  <si>
    <t>AME - FIRE PROTECTION ADEQUACY</t>
  </si>
  <si>
    <t>LAPG - NEW ELECTRICAL WIRE BOX SEPARATE WATER AND CABLES</t>
  </si>
  <si>
    <t>AME - RETROFIT SYSTEM OF THE CREEL ROOM</t>
  </si>
  <si>
    <t>AME - OVERHAUL CHILLER AND FANCOIL - MIXER BB03</t>
  </si>
  <si>
    <t>AME - CREEL ROOM E FANCOIL #11 UNISTEEL</t>
  </si>
  <si>
    <t>AME - Pigment Room</t>
  </si>
  <si>
    <t>AME - 2022 MISCELLANEOUS ANNUAL BUDGET</t>
  </si>
  <si>
    <t>Ajuste Reg</t>
  </si>
  <si>
    <t>AME - EQUIPMENT IN TRANSIT</t>
  </si>
  <si>
    <t>AME - UPGRADE PLC PRESSES MRT (12 PRESSES)</t>
  </si>
  <si>
    <t>Janeiro a Novembro</t>
  </si>
  <si>
    <t>NOV: Caiu valor do Eixo Spindle. Avisado Philipinas sobre o caso. Precisa ser feito o credito para zerar a linha</t>
  </si>
  <si>
    <t>Paineis INTERENG - Chega até dia 23/12</t>
  </si>
  <si>
    <t>Chega até dia 23
Todos os NTs (menos NT 22 e 20) - Total de 22 NTs
Em processo de abertura de SCs
Possivel instalação para este ano tambe'm
Pode existir um risco devido a entrega de materiais pela Intereng</t>
  </si>
  <si>
    <t>3 Painéis Intereng chegarão no dia 23/12
Instalação 2022</t>
  </si>
  <si>
    <t xml:space="preserve">Aguardando entrega de materiais - Paineis dos moinhos
Dez: Risco de 41K de Instalação - Possivel Carryover
</t>
  </si>
  <si>
    <t>Valor de Dezembro (parada de fabrica Natal e Ano novo) é referente a instalação do sistema de Nitrogenio, ar compimido e vapor.</t>
  </si>
  <si>
    <t>DEZ:Mat já chegou, falta faturar SERV
Banheiros:
TBM:
Final Finish:
Div. A</t>
  </si>
  <si>
    <t>22K -vMaterial e Projeto da Monovia
 Talha (empresa SOS maquinas)</t>
  </si>
  <si>
    <t xml:space="preserve">DEZ: Falta faturar Laudo Prefeitura
Projeto e Entrega de Materiais. </t>
  </si>
  <si>
    <t>Dez: Vai faturar Metade do Projeto Ele/Mec</t>
  </si>
  <si>
    <t xml:space="preserve"> - DEZ: Chegada do Chiller - OK
Restante é Mão Obra GTEL</t>
  </si>
  <si>
    <t>20k Vulcaweld vai para 2022</t>
  </si>
  <si>
    <t>Chegando restante materiais e instalação em andamento 2022
Provisionamento será realizado</t>
  </si>
  <si>
    <t>Aprovado em 10/11
Será entregue dia 17/12 - estações de recarga</t>
  </si>
  <si>
    <t>DEZ: Instalações Elet. E entrega de materiais</t>
  </si>
  <si>
    <t xml:space="preserve">PRONTIDÃO: 13/12 - Embalado e disponivel
Booking OK - BL será 27-12
4 PCI em Transito
2 PCI ano que vem
DEZEMBRO: Entrega dos PCIs 
FRETE: Marítimo
ICOTERM: FCA (Da pra pagar em transito)
Feito a provisão para os serviços referente ao mês de dezembro
</t>
  </si>
  <si>
    <t>Em processo de Fabricação (NACIONAL)
Prazo de Fabricação (informar a Região): 22 semanas (6 meses)
Qual o fornecedor?  Será então SEW</t>
  </si>
  <si>
    <r>
      <t xml:space="preserve">Julho: 20K Requisitado do Estoque - CAL4R1
ISO 5 - Requisitado
D#4 (17k) - Requisitado
8x3 (33k) - 2022
Mixer#1 - Dez
</t>
    </r>
    <r>
      <rPr>
        <b/>
        <sz val="10"/>
        <color rgb="FF000000"/>
        <rFont val="Calibri"/>
        <family val="2"/>
        <scheme val="minor"/>
      </rPr>
      <t>2022: Instalação
Alinhar Cashflow Alniezi</t>
    </r>
  </si>
  <si>
    <t>Dez: Medição PISO X
50% de chagada de materiais até dia 22</t>
  </si>
  <si>
    <t>DEZ: Chegada de luminárias até 17/12</t>
  </si>
  <si>
    <t>Nov: Falta Balanceadora em Gravatai e Material up Micropoise São Bernardo (Intereng)
Epiacaba + Material e M.O Upgrade Balanceadores São Bernardo
Dez: Material e M.O Upgrade Balanceadores São Bernardo + Balanceadora de Epiacaba
5,6K de Epiacaba em Risco</t>
  </si>
  <si>
    <t xml:space="preserve">20K Medição
11K Possivel faturamento de Material
</t>
  </si>
  <si>
    <t>CAMERAS PRETAS
DEZ: M.O do Antony que irá instalar remotamente (Goodyear de Akron)
ENG Akron (Antony)
Valores Locais -  Em processo de abertura de SCs: TRADUCAO, MO LOCAL, SOFTWARE,</t>
  </si>
  <si>
    <t>LCP-210237</t>
  </si>
  <si>
    <t>AME - New rolls for hotformer</t>
  </si>
  <si>
    <t>LCP-220006</t>
  </si>
  <si>
    <t>DEZ: 55K Anel Transferband
Peças irão chegar até dia 22/12</t>
  </si>
  <si>
    <t xml:space="preserve">Teste na FVM19 no dia 17. Se der certo, vai instalar nas demais maquinas
PROBLEMA NO COMPUTADOR  falha tela azul.
Aguardando posição da Região - Allen Edmonds
Material chegou no Brasil, mais só chegará na FAM em Novembro. </t>
  </si>
  <si>
    <t>LAPG - PROVING GROUNDS REPAVE PHASE I</t>
  </si>
  <si>
    <t>10/12/2021
avaliação do sistema por intranet remota teve divergência de material necessário par das estabilidade e qualidade entre a comunicação do PLC com as remotas e o processamento e comando da Micro Poise</t>
  </si>
  <si>
    <t xml:space="preserve">DEZ: Sera Embalado até dia 17 (embarque aéreo)
Pagamento em Transito dos Tambores (carta na manga de mais 60) Total será de 330K.
AGUARDANDO BOOKING
Novos Tambores para PLT2
4 TAMBORES: 2 ARO 17" / 2 ARO 18"
Tem 1 Pedido para Peças
Tem 1 Pedido dos 4 tambores
Tambores:
AGO: 150K de Downpayment em 
Previsão de embarque: 23/12 </t>
  </si>
  <si>
    <r>
      <t xml:space="preserve">DEZ:
200 Pagamento em Transito do compressor (China)
</t>
    </r>
    <r>
      <rPr>
        <sz val="10"/>
        <color rgb="FFFF0000"/>
        <rFont val="Calibri"/>
        <family val="2"/>
        <scheme val="minor"/>
      </rPr>
      <t xml:space="preserve">AGUARDANDO BOOKING
</t>
    </r>
    <r>
      <rPr>
        <sz val="10"/>
        <color rgb="FF000000"/>
        <rFont val="Calibri"/>
        <family val="2"/>
        <scheme val="minor"/>
      </rPr>
      <t xml:space="preserve">
Instalação de Potencia na Parada de Fábrica para alimentação do compressor + Paineis + cabos + Painel da WEG
Perdemos 40K dos Filtros Quimicos
Compressor: Entrega apenas em Janeiro</t>
    </r>
  </si>
  <si>
    <t>DEZ: 75K Motor Chega dia 20/12
TRAFO JÁ CHEGOU</t>
  </si>
  <si>
    <t xml:space="preserve">Aguardando aprovação do downpayment </t>
  </si>
  <si>
    <t>Aprovado em 22/11
Previsão de entrega dos materiais: 23/12</t>
  </si>
  <si>
    <t xml:space="preserve">Em processo de compras de materiais
Proteção mecânica e M.O - Ok
Materiais irão chegar até o dia 23/12
</t>
  </si>
  <si>
    <t>Instalação irá aguardar definição da Manutenção.
Materiais irão chegar no dia 23/12</t>
  </si>
  <si>
    <r>
      <t xml:space="preserve">DEZ: 45K Carrosel - </t>
    </r>
    <r>
      <rPr>
        <b/>
        <sz val="10"/>
        <color rgb="FF000000"/>
        <rFont val="Calibri"/>
        <family val="2"/>
        <scheme val="minor"/>
      </rPr>
      <t>Chegou</t>
    </r>
    <r>
      <rPr>
        <sz val="10"/>
        <color rgb="FF000000"/>
        <rFont val="Calibri"/>
        <family val="2"/>
        <scheme val="minor"/>
      </rPr>
      <t xml:space="preserve">
7K Intereng - 23/12
PRIMEIRO ROBO LIBERADO PARA CAPITALIZAÇÃO EM ABRIL/21
PARA 2021: 
ROBO NÃO IRÁ CHEGAR, SERÁ MITIGADO RISCO COM CHEGADA DO CARROSEL. PEDIDO 8240657178
2022: CHEGADO DO ROBO E IMPLEMENTAÇÃO
Valor de 6k de novembro transferido para dezembro/21</t>
    </r>
  </si>
  <si>
    <t>Proteção de NR-12, 23/12</t>
  </si>
  <si>
    <t xml:space="preserve">DEZ: 111K Fundação
         128k Painel das Eseteiras (INTERENG) - 23/12
         100k Carro Flat
</t>
  </si>
  <si>
    <t>SET:ICP não cumpriu o objetivo de U$111,1, então foi passado a diferença de 72,8 para Novembro 
DEZ: 
Prensa #1 e #2: 379K
Prensa #3 e #4: 379K
Tooling TBM: 110K
Apexer: 872K (vai ficar pronta dia dia 17/12 para coleta). Precisa ter um armazem para guardar o material.
Pagamento parcial esteira vulca 43K
Horas de Engenharia 4k
Estimativa Inicial: $2,800MM
Colocado na Base $333k pela Região, referente a: (+3) 52” HMC Presses-in (VMI Projec) = Total ICP 3,133M
Em agosto/21 ficou definido um total de 2,402MM em ICP,
Em Outubro/21, reduziu a base para 1,965MM</t>
  </si>
  <si>
    <t>Dez: 283K Chegada dos Tanques prevista para o dia 23 de dezembro
2022: Instalação</t>
  </si>
  <si>
    <t xml:space="preserve">DEZ: 100K Chegada estrutura das esteiras metalicas
Entrega prevista para o dia 21/12
23K Provisão da Instalação no Natal
</t>
  </si>
  <si>
    <t>ICP-210070</t>
  </si>
  <si>
    <t>AME 2500HP MAIN MOTOR SPARE</t>
  </si>
  <si>
    <t>ICP-210051</t>
  </si>
  <si>
    <t>AME Upgrade Windup Extr 8x8 SW</t>
  </si>
  <si>
    <t>ICP-210069</t>
  </si>
  <si>
    <t>AME Micropoise AIT Balance</t>
  </si>
  <si>
    <t xml:space="preserve">Apenas 2 pedidos em aberto - Contatores da INTERENG - Chegarão até Fev/22
</t>
  </si>
  <si>
    <t>LCP-210217-EX</t>
  </si>
  <si>
    <t>LCP-220012</t>
  </si>
  <si>
    <t>Ainda tem um PO em aberto 8240776240 SEW - Pericicias e Laudos Tecnicos</t>
  </si>
  <si>
    <t>Finalizado. NF 8240580919 será entregue em Janeiro/22</t>
  </si>
  <si>
    <t>Falta a entrada de 2 Notas Fiscais PO 8240733869</t>
  </si>
  <si>
    <t>Previsão de Término Fev/22</t>
  </si>
  <si>
    <t>DEZ: 3 Downpayments OK - Só falta 1 de 90K
Cope + Buffer + Trimmer + Cabeça
PRENSA - COPE (Nacional) Finalizando parte comercial
BUFFER - MANUTEC (Nacional) (Empresa na qual já trabalhou: BANDAC) = 600K contra 1,2M da MATEEUZI, incluindo taxas - Finalizando parte comercial
CABEÇA EXTRUSORA - BEARSTORF (Importado) - Revisando orçamento
Máquinas serão entregues em 2022.
Cabeça da Extrusora fica pronta só em Setembro (informação fabricante), depois será importada e pode ser que até Dez/22 não seja possivel dar o TECO.</t>
  </si>
  <si>
    <r>
      <rPr>
        <sz val="11"/>
        <color theme="3" tint="0.59999389629810485"/>
        <rFont val="Calibri"/>
        <family val="2"/>
        <scheme val="minor"/>
      </rPr>
      <t>B</t>
    </r>
    <r>
      <rPr>
        <sz val="11"/>
        <color theme="1"/>
        <rFont val="Calibri"/>
        <family val="2"/>
        <scheme val="minor"/>
      </rPr>
      <t>Q1/22</t>
    </r>
  </si>
  <si>
    <r>
      <rPr>
        <sz val="11"/>
        <color theme="3" tint="0.59999389629810485"/>
        <rFont val="Calibri"/>
        <family val="2"/>
        <scheme val="minor"/>
      </rPr>
      <t>D</t>
    </r>
    <r>
      <rPr>
        <sz val="11"/>
        <color theme="1"/>
        <rFont val="Calibri"/>
        <family val="2"/>
        <scheme val="minor"/>
      </rPr>
      <t>Q3/22</t>
    </r>
  </si>
  <si>
    <r>
      <rPr>
        <sz val="11"/>
        <color theme="3" tint="0.59999389629810485"/>
        <rFont val="Calibri"/>
        <family val="2"/>
        <scheme val="minor"/>
      </rPr>
      <t>D</t>
    </r>
    <r>
      <rPr>
        <sz val="11"/>
        <color theme="1"/>
        <rFont val="Calibri"/>
        <family val="2"/>
        <scheme val="minor"/>
      </rPr>
      <t>Q4/22</t>
    </r>
  </si>
  <si>
    <r>
      <rPr>
        <sz val="11"/>
        <color theme="3" tint="0.59999389629810485"/>
        <rFont val="Calibri"/>
        <family val="2"/>
        <scheme val="minor"/>
      </rPr>
      <t>C</t>
    </r>
    <r>
      <rPr>
        <sz val="11"/>
        <color theme="1"/>
        <rFont val="Calibri"/>
        <family val="2"/>
        <scheme val="minor"/>
      </rPr>
      <t>Q2/22</t>
    </r>
  </si>
  <si>
    <t>Projeto Local já finalizado. Verificar com John Bucey se vai carcelar este PO</t>
  </si>
  <si>
    <t>Pode ser fechado pelo Bob Horn. Verificar com Bob
Projeto Local já finalizado</t>
  </si>
  <si>
    <t>Projeto Local ainda em andamento</t>
  </si>
  <si>
    <t>Projeto Local já finalizado.</t>
  </si>
  <si>
    <t>Projeto finalizado. Pode ser encerrado (CLOSE).</t>
  </si>
  <si>
    <t>Janeiro: 4,8K Valvulas Importadas - SMC PNEUMATICOS -  Chega em 18/01</t>
  </si>
  <si>
    <t>Janeiro: 1,4K Módulo de Segurança - INTERENG - Chega até 31/01</t>
  </si>
  <si>
    <t xml:space="preserve">Zipper Previsão de chegada até 31/12
Janeiro: Disjuntor e Fonte - Intereng - Chega em 31/01 </t>
  </si>
  <si>
    <t>CANCELAR Pedido em aberto</t>
  </si>
  <si>
    <t>Material: 14,7K + 40% imposto = 20,6K
ICP: 210037</t>
  </si>
  <si>
    <t>AME - UPG EXTRUDER HEAD 8X3 EXTRUDER</t>
  </si>
  <si>
    <t>Nov
REAL</t>
  </si>
  <si>
    <t>Dez
REAL</t>
  </si>
  <si>
    <t>Jan
Obj</t>
  </si>
  <si>
    <t>TOTAL 2022</t>
  </si>
  <si>
    <t>Jan
Eng</t>
  </si>
  <si>
    <t>Janeiro: Cilindros FESTO - Chega em 13/01</t>
  </si>
  <si>
    <t>LCP-200156-EX</t>
  </si>
  <si>
    <t>AME- 295/80R22.5 KMAX RSA</t>
  </si>
  <si>
    <t>LCP-220013</t>
  </si>
  <si>
    <t>EEX-220001-00-01</t>
  </si>
  <si>
    <t>RELOCACAO ESCRITORIO C.M GRAVATAI</t>
  </si>
  <si>
    <t>EEX-220001-00-02</t>
  </si>
  <si>
    <t>RELOCACAO DA SALA DE CAFÉ</t>
  </si>
  <si>
    <t>EEX-220001-00-03</t>
  </si>
  <si>
    <t>ESTUDO DE MELHORIAS SISTEMA DE TRANSPORTE BB07</t>
  </si>
  <si>
    <t>EEX-220001-00-04</t>
  </si>
  <si>
    <t>ESTUDO DE RENOVAÇÃO DO AVCB PARA 2022</t>
  </si>
  <si>
    <t>EEX-210001-00-32</t>
  </si>
  <si>
    <t>EEX-210001-00-33</t>
  </si>
  <si>
    <t>RELOCAÇÃO DAS FLANGES SYDNINE</t>
  </si>
  <si>
    <t>ESTUDO E ANALISE DE MAQ. P. OTIMIZATION</t>
  </si>
  <si>
    <t>LCP-220020</t>
  </si>
  <si>
    <t>AME - MRT CURING PRESS PO1314 UPG</t>
  </si>
  <si>
    <t>AME - DC MOTOR 1500HP FROM NORTH AMERICA</t>
  </si>
  <si>
    <t>RET - EXTRUDER NEW SOAP APLICATION</t>
  </si>
  <si>
    <t>AME - (1) NEW BOILER FEED WATER PUMP (POWER HOUSE)</t>
  </si>
  <si>
    <t xml:space="preserve">AME - UPGRADE DRIVES GV3000 POR PF755 </t>
  </si>
  <si>
    <t>AER - 2022 MISCELLANEOUS ANNUAL BUDGET</t>
  </si>
  <si>
    <t>MC - 2022 ANNUAL MISCELLANEOUS &lt;50K ALL PLANTS</t>
  </si>
  <si>
    <t>AER - NEW BUILDING MACHINE (AZ/SOL) - VMI MACHINE</t>
  </si>
  <si>
    <t>RET - 2022 MISCELLANEOUS ANNUAL BUDGET</t>
  </si>
  <si>
    <t>RET - NR12 ADEQUANCY</t>
  </si>
  <si>
    <t>RET- REPLACEMENT OF EXTRUDER TCU</t>
  </si>
  <si>
    <t>LCP-220018</t>
  </si>
  <si>
    <t>LCP-220002</t>
  </si>
  <si>
    <t>LCP-220014</t>
  </si>
  <si>
    <t>LCP-220010</t>
  </si>
  <si>
    <t>LCP-220027</t>
  </si>
  <si>
    <t>LCP-220008</t>
  </si>
  <si>
    <t>LOC-220001-00-04</t>
  </si>
  <si>
    <t>(02) CELULARES MOTO G60 128GB</t>
  </si>
  <si>
    <t>LOC-220001-00-02</t>
  </si>
  <si>
    <t>LOC-220001-00-03</t>
  </si>
  <si>
    <t>JEAN VENDIMATTI</t>
  </si>
  <si>
    <t>(01) CAMERA, COMPONENTES E INSTALACAO</t>
  </si>
  <si>
    <t>(01) MOTOBOMBA 22 ESTAGIOS MOTOR 32,5 CV</t>
  </si>
  <si>
    <t>FSB - CAMERA MONITORING SYSTEM</t>
  </si>
  <si>
    <t>LCP-220033</t>
  </si>
  <si>
    <t>LCP-220031</t>
  </si>
  <si>
    <t>LCP-220029</t>
  </si>
  <si>
    <t>AME - SAFETY REGULARIZATION FOR NR12</t>
  </si>
  <si>
    <t>LOC-220001-00-05</t>
  </si>
  <si>
    <t>Fev
Obj</t>
  </si>
  <si>
    <t>LCP-220008-EX</t>
  </si>
  <si>
    <t>AME - MRT CURING PRESS PO1314 REPAIR</t>
  </si>
  <si>
    <t>EEX-220001-00-05</t>
  </si>
  <si>
    <t>EEX-220001-00-06</t>
  </si>
  <si>
    <t>EEX-220001-00-07</t>
  </si>
  <si>
    <t>ESTUDO CONSTRUCAO NOVA SALA DE BATERIAS</t>
  </si>
  <si>
    <t>ESTUDO APLICAÇÃO REDE ETHERNET HOTFORMER</t>
  </si>
  <si>
    <t>ESTUDO ANALISE SISTEMA TRANSPORTE PÓ BBY</t>
  </si>
  <si>
    <t>Mar
Obj</t>
  </si>
  <si>
    <t>LCP-220020-EX</t>
  </si>
  <si>
    <t>LCP-220014-EX</t>
  </si>
  <si>
    <t>LCP-220028</t>
  </si>
  <si>
    <t>LCP-220045</t>
  </si>
  <si>
    <t>LCP-220060</t>
  </si>
  <si>
    <t>LOC-220001-00-06</t>
  </si>
  <si>
    <t>(01) DESKTOP 7090 + PERIFÉRICOS DELL</t>
  </si>
  <si>
    <t>Finalizado.</t>
  </si>
  <si>
    <t>Serviço com a empresa LGS</t>
  </si>
  <si>
    <t>LOC-220001-00-07</t>
  </si>
  <si>
    <t>LOC-220001-00-08</t>
  </si>
  <si>
    <t>LCP-220044</t>
  </si>
  <si>
    <t>ALEXANDRE COSTA</t>
  </si>
  <si>
    <t>LOC-220001-00-09</t>
  </si>
  <si>
    <t>(01) SMART TV 50'' E (01) CAIXA DE SOM</t>
  </si>
  <si>
    <t>LCP-220048</t>
  </si>
  <si>
    <t>AME - OTR PRESS TRANSFER</t>
  </si>
  <si>
    <t>LCP-220065</t>
  </si>
  <si>
    <t>MIXER 3 EXTRUDER GEARBOX REPLACEMENT</t>
  </si>
  <si>
    <t>LOC-220001-00-10</t>
  </si>
  <si>
    <t>(18) CLIMATIZADOR AMBIENTE ECOBRISA MODELO EBI-75</t>
  </si>
  <si>
    <t>18,759.83</t>
  </si>
  <si>
    <t>LCP-220045-EX</t>
  </si>
  <si>
    <t>POLO PROJECT VW TAUBATÉ</t>
  </si>
  <si>
    <t>LCP-220002-EX</t>
  </si>
  <si>
    <t>Abr
Obj</t>
  </si>
  <si>
    <t>LOC-220001-00-11</t>
  </si>
  <si>
    <t>(01) CARRINHO DE FERRAMENTAS TIPO M-5</t>
  </si>
  <si>
    <t>1,373.93</t>
  </si>
  <si>
    <t>LOC-220001-00-12</t>
  </si>
  <si>
    <t>1,050.49</t>
  </si>
  <si>
    <t>LCP-220048-EX</t>
  </si>
  <si>
    <t>LCP-220088</t>
  </si>
  <si>
    <t>LCP-220089</t>
  </si>
  <si>
    <t>EEX-220001-00-08</t>
  </si>
  <si>
    <t>RELOCAÇÃO RACK DA EXTRUSORA Q6 PARA 8X8</t>
  </si>
  <si>
    <t>Mai
Obj</t>
  </si>
  <si>
    <t>LAPG - TEST AND QUALITY EQUIPMENTS</t>
  </si>
  <si>
    <t>LCP-220094</t>
  </si>
  <si>
    <t>LCP-220095</t>
  </si>
  <si>
    <t>LCP-220093</t>
  </si>
  <si>
    <t>LOC-220001-00-13</t>
  </si>
  <si>
    <t>LOC-220001-00-14</t>
  </si>
  <si>
    <t>CAMERAS PARA SISTEMA DE MONITORAMENTO CM</t>
  </si>
  <si>
    <t>(01) IMPRESSORA TERMICA - TTP2410MT</t>
  </si>
  <si>
    <t>(01) CARRINHO TRANSPORTE DE FERRAMENTAS</t>
  </si>
  <si>
    <t>OBEDES DOS SANTOS</t>
  </si>
  <si>
    <t>LOC-220001-00-15</t>
  </si>
  <si>
    <t>RODRIGO MARTINS</t>
  </si>
  <si>
    <t>EEX-220001-00-09</t>
  </si>
  <si>
    <t>ESTUDO ADEQUAÇÃO DE NOTIFICAÇÃO CETESB</t>
  </si>
  <si>
    <t>LCP-220107</t>
  </si>
  <si>
    <t>REBOUND TESTING EQUIPMENT</t>
  </si>
  <si>
    <t>Jun
Obj</t>
  </si>
  <si>
    <t>EEX-220001-00-10</t>
  </si>
  <si>
    <t>ESTUDO DE INTERIOR E ELETRICO RENOV CTVM</t>
  </si>
  <si>
    <t>LCP-220117</t>
  </si>
  <si>
    <t>AME – EXTERN TOTEM GOODYEAR AMERICANA</t>
  </si>
  <si>
    <t>LOC-220001-00-16</t>
  </si>
  <si>
    <t>LOC-220001-00-17</t>
  </si>
  <si>
    <t>LOC-220001-00-18</t>
  </si>
  <si>
    <t>LOC-220001-00-19</t>
  </si>
  <si>
    <t>LUCAS DE PAULA</t>
  </si>
  <si>
    <t>(15) CADEIRAS ENGENHARIA DE PROJETOS</t>
  </si>
  <si>
    <t>(01) ESTANTE DE ACO C/ 72 GAVETAS</t>
  </si>
  <si>
    <t>(03) CARRINHOS PARA FERRAMENTAS</t>
  </si>
  <si>
    <t>(10) CADEIRAS PARA ESCRITORIO CTVM</t>
  </si>
  <si>
    <t>PAULO IGNACIO</t>
  </si>
  <si>
    <t>LOC-220001-00-20</t>
  </si>
  <si>
    <t>(04) CADEIRAS GIRAT. PARA MEIO AMBIENTE</t>
  </si>
  <si>
    <t>LOC-220001-00-21</t>
  </si>
  <si>
    <t>(20) CELULARES IPHONE SE 64GB + ACESSORIOS</t>
  </si>
  <si>
    <t>(948) MONITORES DELL MODELO P2018H</t>
  </si>
  <si>
    <t>LOC-220001-00-22</t>
  </si>
  <si>
    <t>EEX-220001-00-11</t>
  </si>
  <si>
    <t xml:space="preserve">RELOCAÇÃO NAKATA #02 PARA O MÉXICO C.T  </t>
  </si>
  <si>
    <t>Jul
Obj</t>
  </si>
  <si>
    <t>LOC-220001-00-23</t>
  </si>
  <si>
    <t>(09) CADEIRAS E (03) MESAS FINANCAS/ FBP</t>
  </si>
  <si>
    <t>LCP-220044-EX</t>
  </si>
  <si>
    <t>EEX-220001-00-12</t>
  </si>
  <si>
    <t xml:space="preserve">RELOCAÇÃO PASSADEIRA DE FORRO ENT. Q#06 </t>
  </si>
  <si>
    <t>LOC-220001-00-24</t>
  </si>
  <si>
    <t>LOC-220001-00-25</t>
  </si>
  <si>
    <t>(01) CARRINHO PARA FERRAMENTAS BBY</t>
  </si>
  <si>
    <t>MICHAEL ELESSANDRO</t>
  </si>
  <si>
    <t xml:space="preserve">(10) POLTRONAS GIRATORIAS MODELO WISH </t>
  </si>
  <si>
    <t>Ago
Obj</t>
  </si>
  <si>
    <t>LOC-220001-00-26</t>
  </si>
  <si>
    <t>(01) REFRIGERADOR FROST FREE 323L</t>
  </si>
  <si>
    <t>RICARDO TINTI</t>
  </si>
  <si>
    <t>LOC-220001-00-27</t>
  </si>
  <si>
    <t>(02) TV'S 55'' / (02) SUPORTES FIXAÇÃO</t>
  </si>
  <si>
    <t>LOC-220001-00-28</t>
  </si>
  <si>
    <t>(04) HPE NS204I-P GEN10+ BOOT CTRLR</t>
  </si>
  <si>
    <t>LOC-220001-00-29</t>
  </si>
  <si>
    <t xml:space="preserve">(02) CARRINHOS TRANSPORTE FERRAMENTAS   </t>
  </si>
  <si>
    <t>EEX-220001-00-13</t>
  </si>
  <si>
    <t>RELOCAÇÃO DIVISÓRIAS E ADEQUAÇÃO DEPTO 85</t>
  </si>
  <si>
    <t>LCP-210014-EX</t>
  </si>
  <si>
    <t xml:space="preserve">UPGRADE OF DRIVE &amp; MOTOR BEADWINDER#03 </t>
  </si>
  <si>
    <t>FSB - NEW MAIN FRAME FLAT PRESS</t>
  </si>
  <si>
    <t>LCP-220139-EX</t>
  </si>
  <si>
    <t>CTVM - Center Max Office Retrofit</t>
  </si>
  <si>
    <t>LCP-210215-EX</t>
  </si>
  <si>
    <t>EEX-220001-00-14</t>
  </si>
  <si>
    <t>RELOCAÇÃO TANQUES DE ÓLEO BANBURY</t>
  </si>
  <si>
    <t>LOC-220001-00-30</t>
  </si>
  <si>
    <t>LOC-220001-00-31</t>
  </si>
  <si>
    <t>(15) IPHONES SE E (10) IPHONES 12</t>
  </si>
  <si>
    <t>(04) IPHONES SE E (02) IPHONES 12</t>
  </si>
  <si>
    <t>22/0031</t>
  </si>
  <si>
    <t>22/0011</t>
  </si>
  <si>
    <t>22/0032</t>
  </si>
  <si>
    <t>ROBERTO BIAGGIONE</t>
  </si>
  <si>
    <t>JOÃO CORADINI</t>
  </si>
  <si>
    <t>Set
Obj</t>
  </si>
  <si>
    <t>LOC-220001-00-32</t>
  </si>
  <si>
    <t>ITENS PARA A CAFETERIA - FAM</t>
  </si>
  <si>
    <t>LCP-220162-EX</t>
  </si>
  <si>
    <t>RAFAELLA BARCELOS</t>
  </si>
  <si>
    <t>LOC-220001-00-33</t>
  </si>
  <si>
    <t>(04) ARMÁRIO ARQUIVO DESLIZANTE - EC</t>
  </si>
  <si>
    <t>EEX-220001-00-15</t>
  </si>
  <si>
    <t>EEX-220001-00-16</t>
  </si>
  <si>
    <t>ESTUDO PARA CONSTRUÇAO DE NOVO PRÉDIO</t>
  </si>
  <si>
    <t>EEX-220001-00-17</t>
  </si>
  <si>
    <t>ESTUDO DE MELHORIA SOFTWARE HEXAPLEX</t>
  </si>
  <si>
    <t>LOC-220001-00-35</t>
  </si>
  <si>
    <t>(01) ARMÁRIO E (01) MESA - FAM</t>
  </si>
  <si>
    <t>DERLI JUNIOR</t>
  </si>
  <si>
    <t>LOC-220001-00-34</t>
  </si>
  <si>
    <t>(04) CADEIRAS DE ESCRITORIO GIRATORIA</t>
  </si>
  <si>
    <t>LOC-220001-00-36</t>
  </si>
  <si>
    <t>(01) CARRINHO DE FERRAMENTA CONSTRU. B2</t>
  </si>
  <si>
    <t>THIAGO POSSOBON</t>
  </si>
  <si>
    <t>LOC-220001-00-37</t>
  </si>
  <si>
    <t>(01) SMART TV 65" FULL HD 4K</t>
  </si>
  <si>
    <t>PAULO CAMPOS</t>
  </si>
  <si>
    <t>LOC-220001-00-38</t>
  </si>
  <si>
    <t>(05) CLIMATIZADOR EVAPORATIVO PORTATIL</t>
  </si>
  <si>
    <t>LOC-220001-00-39</t>
  </si>
  <si>
    <t>EEX-220001-00-18</t>
  </si>
  <si>
    <t>RELOC. RACKS TBMS</t>
  </si>
  <si>
    <t>LOC-220001-00-40</t>
  </si>
  <si>
    <t>MONITORES, TECLADOS E MOUSES T.I</t>
  </si>
  <si>
    <t>LOC-220001-00-41</t>
  </si>
  <si>
    <t>(01) REFRIGERADOR BRANCO 127V CONSUL</t>
  </si>
  <si>
    <t>LAPG - WORKSHOP CLIMATIZER</t>
  </si>
  <si>
    <t>LCP-220082-EX</t>
  </si>
  <si>
    <t>AME - UPG BARCODE READERS FINAL FINISH B2</t>
  </si>
  <si>
    <t>LAPG - BEAD COMPRESSION WKM-B4</t>
  </si>
  <si>
    <t>LOC-220001-00-42</t>
  </si>
  <si>
    <t>HENRIQUE SILVA</t>
  </si>
  <si>
    <t>LOC-220001-00-44</t>
  </si>
  <si>
    <t>LOC-220001-00-45</t>
  </si>
  <si>
    <t>LOC-220001-00-46</t>
  </si>
  <si>
    <t>LOC-220001-00-47</t>
  </si>
  <si>
    <t>LOC-220001-00-48</t>
  </si>
  <si>
    <t>(05) CADEIRAS PARA ESCRITÓRIO DIRETOR</t>
  </si>
  <si>
    <t>(01) MESA MODELO BOTE COM 03 CAIXAS</t>
  </si>
  <si>
    <t>(01) MESA DE REUNÃO DIMENSÃO 2,2 X 1,2MT</t>
  </si>
  <si>
    <t>(20) CADEIRAS COM  RODINHA P/ ENTUBADORA</t>
  </si>
  <si>
    <t>JOSE HENRIQUE</t>
  </si>
  <si>
    <t>LOC-220001-00-43</t>
  </si>
  <si>
    <t>LOC-220001-00-49</t>
  </si>
  <si>
    <t>LOC-220001-00-50</t>
  </si>
  <si>
    <t>DESKTOP+ PERIFÉRICOS + MICROFONE DELL</t>
  </si>
  <si>
    <t>EEX-220001-00-21</t>
  </si>
  <si>
    <t>RELOCAÇÃO DE RACKS DIV. A</t>
  </si>
  <si>
    <t>Nov
Obj</t>
  </si>
  <si>
    <t>Out
Obj</t>
  </si>
  <si>
    <t>EEX-220001-00-22</t>
  </si>
  <si>
    <t>EEX-220001-00-23</t>
  </si>
  <si>
    <t>EEX-220001-00-24</t>
  </si>
  <si>
    <t>EEX-220001-00-25</t>
  </si>
  <si>
    <t>ESTUDO SISTEMA PROTEÇÃO CONTRA DESCARGAS</t>
  </si>
  <si>
    <t>RELOCAÇÃO E ADEQ. ESCRITÓRIO FIN. E RH</t>
  </si>
  <si>
    <t>LOC-220001-00-51</t>
  </si>
  <si>
    <t>(01) SMART TV SAMSUNG 55'' 55TU8000</t>
  </si>
  <si>
    <t>EEX-220001-00-19</t>
  </si>
  <si>
    <t>RELOCACAO BOOKING ENT 8X3</t>
  </si>
  <si>
    <t>LOC-220001-00-52</t>
  </si>
  <si>
    <t>LOC-220001-00-53</t>
  </si>
  <si>
    <t>LOC-220001-00-54</t>
  </si>
  <si>
    <t>LOC-220001-00-55</t>
  </si>
  <si>
    <t>BARBARA BURGUESI</t>
  </si>
  <si>
    <t>FRANK FURLIN</t>
  </si>
  <si>
    <t>(15) CADEIRAS DE ESCRITÓRIO WISH</t>
  </si>
  <si>
    <t>(18) CADEIRAS PARA ESCRITÓRIO ALBERFLEX</t>
  </si>
  <si>
    <t>(01) SMART TV SAMSUNG 55'' E SUPORTE FIX</t>
  </si>
  <si>
    <t>COMPONENTES CONFERÊNCIA SALA DO TEN</t>
  </si>
  <si>
    <t>LOC-220001-00-56</t>
  </si>
  <si>
    <t>MAURICIO PIRANI</t>
  </si>
  <si>
    <t>LOC-220001-00-57</t>
  </si>
  <si>
    <t>MARCELO THOMÉ</t>
  </si>
  <si>
    <t>(04) SMART TV 55'' P/ CALANDRAS</t>
  </si>
  <si>
    <t>(08) CLIMATIZADORES PORTÁTEIS P/ CALANDRA</t>
  </si>
  <si>
    <t>JAQUELINE DOS SANTOS</t>
  </si>
  <si>
    <t>LOC-220001-00-58</t>
  </si>
  <si>
    <t>LOC-220001-00-59</t>
  </si>
  <si>
    <t>EEX-220001-00-26</t>
  </si>
  <si>
    <t>RELOCAÇÃO DA APEXER E ADEQUAÇÃO OFICINA</t>
  </si>
  <si>
    <t>LCP-220184-EX</t>
  </si>
  <si>
    <t>LCP-220207-EX</t>
  </si>
  <si>
    <t>LOC-220001-00-60</t>
  </si>
  <si>
    <t>LOC-220001-00-61</t>
  </si>
  <si>
    <t>EEX-220001-00-27</t>
  </si>
  <si>
    <t>SERVIÇO DE AS BUILT ELETROMECANICO</t>
  </si>
  <si>
    <t>SERVIÇO DE RELOCAÇÃO ENG. DE PROJETOS</t>
  </si>
  <si>
    <t>RELOCAÇÃO ESTRUTURA SUSTENTAÇÃO NGTTS</t>
  </si>
  <si>
    <t>Dez
Obj</t>
  </si>
  <si>
    <t>LOC-220001-00-62</t>
  </si>
  <si>
    <t>LOC-220001-00-63</t>
  </si>
  <si>
    <t>LOC-220001-00-64</t>
  </si>
  <si>
    <t>LOC-220001-00-65</t>
  </si>
  <si>
    <t>FABIANO MORAES</t>
  </si>
  <si>
    <t>EDUARDO PIASSI</t>
  </si>
  <si>
    <t>(01) AQUECEDOR FORNO MUFLA - QUIMIS</t>
  </si>
  <si>
    <t>(01) MÁQUINA DE CORTE PLASMA 50A 220V</t>
  </si>
  <si>
    <t>(01) ARMÁRIO PARA PEÇAS  1500X500X2000MM</t>
  </si>
  <si>
    <t>(13) CADEIRAS DE ESCRITÓRIO ALBERFLEX</t>
  </si>
  <si>
    <t>EEX-220001-00-28</t>
  </si>
  <si>
    <t>RELOCAÇÃO DOJO ISOLADORAS</t>
  </si>
  <si>
    <t>LUCAS ZANETTE</t>
  </si>
  <si>
    <t>LOC-220001-00-66</t>
  </si>
  <si>
    <t>(02) CARRINHOS PARA FERRAMENTAS TIPO M-5</t>
  </si>
  <si>
    <t>LOC-220001-00-67</t>
  </si>
  <si>
    <t>(52) CADEIRAS PARA ESCRITÓRIO DIV. A</t>
  </si>
  <si>
    <t>EEX-220001-00-29</t>
  </si>
  <si>
    <t>EEX-220001-00-30</t>
  </si>
  <si>
    <t>ESTUDO DE DIRETRIZES E HIDROLÓGICO FAM</t>
  </si>
  <si>
    <t>ESTUDO APROVAÇÃO PROJETO TANQUE DRENAGEM</t>
  </si>
  <si>
    <t>LOC-230001-00-02</t>
  </si>
  <si>
    <t>TOTAL 2023</t>
  </si>
  <si>
    <t>AME - (1) BEAD WINDER#8</t>
  </si>
  <si>
    <t>LAPG - Wheels Racks</t>
  </si>
  <si>
    <t>LCP-220201-EX</t>
  </si>
  <si>
    <t>JOSÉ HENRIQUE</t>
  </si>
  <si>
    <t>LOC-230001-00-03</t>
  </si>
  <si>
    <t>LOC-230001-00-04</t>
  </si>
  <si>
    <t>TELEVISORES PARA SALA DE REUNIÃO DIV. A</t>
  </si>
  <si>
    <t>ITENS PARA ESCRITÓRIO CASA DE FORÇA</t>
  </si>
  <si>
    <t>LOC-230001-00-05</t>
  </si>
  <si>
    <t>(24) CADEIRAS PARA ESCRITÓRIO WAREHOUSE</t>
  </si>
  <si>
    <t>EEX-230001-00-02</t>
  </si>
  <si>
    <t>EEX-230001-00-03</t>
  </si>
  <si>
    <t>EEX-230001-00-04</t>
  </si>
  <si>
    <t>EEX-230001-00-05</t>
  </si>
  <si>
    <t>ESTUDO CIVIL PARA ALVARÁS DE CONSTRUÇÃO</t>
  </si>
  <si>
    <t>ESTUDO EFICIENCIA TERMICA DAS CALDEIRAS</t>
  </si>
  <si>
    <t>ESTUDO PARA ENERGIA FOTOVOLTAICA FAM</t>
  </si>
  <si>
    <t>ESTUDO DE MELHORIA AR COMPRIMIDO #100LBS</t>
  </si>
  <si>
    <t>ESTUDO VIABILIDADE TRAT DE EFLUENTES FSB</t>
  </si>
  <si>
    <t>EEX-230001-00-06</t>
  </si>
  <si>
    <t>UPGRADE  E+L  CALENDER 3 ROLLS</t>
  </si>
  <si>
    <t>JAIRO SANTOS</t>
  </si>
  <si>
    <t>LOC-230001-00-06</t>
  </si>
  <si>
    <t>ITENS PARA ESCRITÓRIO ENGENHARIA DE PROJETOS</t>
  </si>
  <si>
    <t>MiCHAEL CIZINA</t>
  </si>
  <si>
    <t>LOC-230001-00-07</t>
  </si>
  <si>
    <t>(01) CARRINHO DE FERRAMENTAS VULCA B1</t>
  </si>
  <si>
    <t>STATUS
PROJETO</t>
  </si>
  <si>
    <t>LOC-230001-00-08</t>
  </si>
  <si>
    <t>LOC-230001-00-09</t>
  </si>
  <si>
    <t>LOC-230001-00-10</t>
  </si>
  <si>
    <t>LOC-230001-00-11</t>
  </si>
  <si>
    <t>LOC-230001-00-12</t>
  </si>
  <si>
    <t>LOC-230001-00-13</t>
  </si>
  <si>
    <t>LOC-230001-00-14</t>
  </si>
  <si>
    <t>LOC-230001-00-15</t>
  </si>
  <si>
    <t>(05) GAVETEIROS MDF - SALA TREINAMENTO</t>
  </si>
  <si>
    <t>(07) CAÇAMBAS PARA ARMAZENAR SKID DIV A</t>
  </si>
  <si>
    <t>(02) ARMÁRIOS PARA MATERIAIS DO BANBURY</t>
  </si>
  <si>
    <t>ARMÁRIO PARA IMPRESSORA SALA TREINAMENTO</t>
  </si>
  <si>
    <t>MESA ESCRITÓRIO PARA SALA DE TREINAMENTO</t>
  </si>
  <si>
    <t>BANCADA PLATAFORMA SALA TREINAMENTO</t>
  </si>
  <si>
    <t>ARMÁRIO PARA MATERIAIS DE PAPELARIA BBY</t>
  </si>
  <si>
    <t>(10) CADEIRAS PARA ESCRITÓRIO DIV. A</t>
  </si>
  <si>
    <t>LOC-230001-00-16</t>
  </si>
  <si>
    <t>21/0094</t>
  </si>
  <si>
    <t>21/0075</t>
  </si>
  <si>
    <t>21/0086</t>
  </si>
  <si>
    <t>21/0089</t>
  </si>
  <si>
    <t>21/0121</t>
  </si>
  <si>
    <t>21/0044</t>
  </si>
  <si>
    <t>21/0007</t>
  </si>
  <si>
    <t>21/0049</t>
  </si>
  <si>
    <t>21/0098</t>
  </si>
  <si>
    <t>21/0078</t>
  </si>
  <si>
    <t>21/0025</t>
  </si>
  <si>
    <t>21/0011</t>
  </si>
  <si>
    <t>21/0041</t>
  </si>
  <si>
    <t>21/0103</t>
  </si>
  <si>
    <t>21/0104</t>
  </si>
  <si>
    <t>21/0097</t>
  </si>
  <si>
    <t>21/0054</t>
  </si>
  <si>
    <t>21/0102</t>
  </si>
  <si>
    <t>21/0079</t>
  </si>
  <si>
    <t>21/0071</t>
  </si>
  <si>
    <t>22/0047</t>
  </si>
  <si>
    <t>22/0062</t>
  </si>
  <si>
    <t>23/0003</t>
  </si>
  <si>
    <t>23/0001</t>
  </si>
  <si>
    <t>22/0058</t>
  </si>
  <si>
    <t>21/0053</t>
  </si>
  <si>
    <t>21/0099</t>
  </si>
  <si>
    <t>21/0101</t>
  </si>
  <si>
    <t>22/0018</t>
  </si>
  <si>
    <t>LOC-230001-00-17</t>
  </si>
  <si>
    <t>(03) FREEZER DE 400L PARA PRAÇA DE ESPORTES</t>
  </si>
  <si>
    <t>Antigo</t>
  </si>
  <si>
    <t>20/0073</t>
  </si>
  <si>
    <t>Cancelado</t>
  </si>
  <si>
    <t>21/0064</t>
  </si>
  <si>
    <t>22/0009</t>
  </si>
  <si>
    <t>22/0022</t>
  </si>
  <si>
    <t>A definir</t>
  </si>
  <si>
    <t>22/0003</t>
  </si>
  <si>
    <t>22/0051</t>
  </si>
  <si>
    <t>22/0056</t>
  </si>
  <si>
    <t>22/0207</t>
  </si>
  <si>
    <t>21/0084</t>
  </si>
  <si>
    <t>22/0007</t>
  </si>
  <si>
    <t>22/0002</t>
  </si>
  <si>
    <t>22/0008</t>
  </si>
  <si>
    <t>22/0059</t>
  </si>
  <si>
    <t>23/0007</t>
  </si>
  <si>
    <t>23/0002</t>
  </si>
  <si>
    <t>22/0061</t>
  </si>
  <si>
    <t>Não se aplica</t>
  </si>
  <si>
    <t>Moldes</t>
  </si>
  <si>
    <t>LOC-230001-00-18</t>
  </si>
  <si>
    <t>LOC-230001-00-19</t>
  </si>
  <si>
    <t>LOC-230001-00-20</t>
  </si>
  <si>
    <t>TV 65'' PARA SALA DE TREINAMENTO DIV. A</t>
  </si>
  <si>
    <t>MOBILIA P/ CENTRO DE COMUNICAÇÃO TAUBATÉ</t>
  </si>
  <si>
    <t>(08) CLIMATIZADORES EVAPORATIVOS BANBURY</t>
  </si>
  <si>
    <t>FABIO SALES</t>
  </si>
  <si>
    <t>3929.23</t>
  </si>
  <si>
    <t>DAVID DA SILVA</t>
  </si>
  <si>
    <t>LOC-230001-00-21</t>
  </si>
  <si>
    <t>(01) CARRINHO PARA FERRAMENTAS - M5</t>
  </si>
  <si>
    <t>DIEGO OTERO</t>
  </si>
  <si>
    <t>LOC-230001-00-22</t>
  </si>
  <si>
    <t>LOC-230001-00-23</t>
  </si>
  <si>
    <t>(06) CADEIRAS PARA SALA DO TEN</t>
  </si>
  <si>
    <t>AME - UPG CALENDER EXTRUDER REPLACEMENT</t>
  </si>
  <si>
    <t>LCP-220266-EX</t>
  </si>
  <si>
    <t>LCP-230031-EX</t>
  </si>
  <si>
    <t>LCP-230033-EX</t>
  </si>
  <si>
    <t>LCP-230034-EX</t>
  </si>
  <si>
    <t>LCP-230053-EX</t>
  </si>
  <si>
    <t>LOC-230001-00-24</t>
  </si>
  <si>
    <t>LOC-230001-00-25</t>
  </si>
  <si>
    <t>POLTRONAS, MESAS E GAVETEIROS P/ EHS</t>
  </si>
  <si>
    <t>LCP-230007-02</t>
  </si>
  <si>
    <t>LCP-230007-03</t>
  </si>
  <si>
    <t>LCP-230007-04</t>
  </si>
  <si>
    <t>LCP-230007-16</t>
  </si>
  <si>
    <t>LCP-230007-13</t>
  </si>
  <si>
    <t>LCP-230007-15</t>
  </si>
  <si>
    <t>149898</t>
  </si>
  <si>
    <t>42102</t>
  </si>
  <si>
    <t>LCP-230007-01</t>
  </si>
  <si>
    <t>UPGRADE MIXER#1 - INSTALAÇÃO DE CÉLULA DE CARGA NA ESTEIRA DE CARREGAMENTO</t>
  </si>
  <si>
    <t>Upgrade 02 Relés de Proteção - Subestação Primária</t>
  </si>
  <si>
    <t>Speed up Gate way (comunicação PLC prensas com supervisório nivel1)</t>
  </si>
  <si>
    <t>EBENEZER DAINEZ</t>
  </si>
  <si>
    <t>ADEQUAÇÃO ÁREA ARMAZENAMENTO DE INFLAMÁVEIS DEPTO 85</t>
  </si>
  <si>
    <t>GTU - Green tire Uniformity B1 (portable)</t>
  </si>
  <si>
    <t>Aplicador de rodagem NGTTS</t>
  </si>
  <si>
    <t>CECOM DIV.B2</t>
  </si>
  <si>
    <t>Calandra Z - Regen</t>
  </si>
  <si>
    <t>SISTEMA DE MONITORAMENTO UNIDADE HIDRÁULICA DOS BANBURYS</t>
  </si>
  <si>
    <t>EEX-230001-00-07</t>
  </si>
  <si>
    <t>ESTUDO PROJETO SISTEMA DE ODORES CETESB</t>
  </si>
  <si>
    <t>LOC-230001-00-26</t>
  </si>
  <si>
    <t>LOC-230001-00-27</t>
  </si>
  <si>
    <t>LOC-230001-00-28</t>
  </si>
  <si>
    <t>EVERTON MARTINELI</t>
  </si>
  <si>
    <t>CADEIRA, GAVETEIRO E MESA PARA ESC. P#03</t>
  </si>
  <si>
    <t>(03) TVs 65 E SUPORTES PARA O WAREHOUSE</t>
  </si>
  <si>
    <t xml:space="preserve">(01) CARRINHO PARA FERRAMENTAS MATRIZARIA </t>
  </si>
  <si>
    <t>PALO IGNÁCIO</t>
  </si>
  <si>
    <t>LOC-230001-00-29</t>
  </si>
  <si>
    <t>(01) PURIFICADOR DE ÁGUA IBBL P/ EHS</t>
  </si>
  <si>
    <t>LEANDRO CARVALHO</t>
  </si>
  <si>
    <t>LOC-230001-00-30</t>
  </si>
  <si>
    <t>(01) SMART TV 55'' P/ CALANDRA AÇO</t>
  </si>
  <si>
    <t>LOC-230001-00-31</t>
  </si>
  <si>
    <t>(03) CLIMATIZADORES PORTATEIS P/ DIV.A</t>
  </si>
  <si>
    <t>LAPG - REPAVING PROVING GROUND AND CFTV</t>
  </si>
  <si>
    <t>RELOCAÇÃO DO BOOKING DA ENTUBADORA 8X3</t>
  </si>
  <si>
    <t>EEX-230001-00-08</t>
  </si>
  <si>
    <t>EEX-230001-00-09</t>
  </si>
  <si>
    <t>LCP-230121-EX</t>
  </si>
  <si>
    <t>LCP-230112-EX</t>
  </si>
  <si>
    <t>LCP-230060-EX</t>
  </si>
  <si>
    <t>LCP-220197-EX</t>
  </si>
  <si>
    <t>LOC-230001-00-32</t>
  </si>
  <si>
    <t xml:space="preserve">MICROONDAS E FRIGOBAR P/ ESCRITÓRIO B2  </t>
  </si>
  <si>
    <t>LOC-230001-00-33</t>
  </si>
  <si>
    <t>LOC-230001-00-34</t>
  </si>
  <si>
    <t>LOC-230001-00-35</t>
  </si>
  <si>
    <t>(30) CADEIRAS PARA ESCRITÓRIO B2</t>
  </si>
  <si>
    <t>CARRO HIDRÁULICO PALETEIRA CASA DE FORÇA</t>
  </si>
  <si>
    <t>(03) MOTO-BOMBA PARA CASA DE FORÇA</t>
  </si>
  <si>
    <t>LOC-230001-00-36</t>
  </si>
  <si>
    <t>LOC-230001-00-37</t>
  </si>
  <si>
    <t>LOC-230001-00-38</t>
  </si>
  <si>
    <t>LOC-230001-00-39</t>
  </si>
  <si>
    <t>LOC-230001-00-40</t>
  </si>
  <si>
    <t>LOC-230001-00-41</t>
  </si>
  <si>
    <t>LOC-230001-00-42</t>
  </si>
  <si>
    <t>LOC-230001-00-43</t>
  </si>
  <si>
    <t>LOC-230001-00-44</t>
  </si>
  <si>
    <t>LOC-230001-00-45</t>
  </si>
  <si>
    <t>MESA ACOPLADA COM ARMÁRIO DIV. A</t>
  </si>
  <si>
    <t>(01) ARMÁRIO COM PORTAS - DIV. A</t>
  </si>
  <si>
    <t>(01) BANCADA EM ''U'' PARA DIVISÃO A</t>
  </si>
  <si>
    <t>(01) MESA PARA ESCRITÓRIO DIVISÃO A</t>
  </si>
  <si>
    <t>(01) MESA PARA ESCRITÓRIO ''L'' - DIV. A</t>
  </si>
  <si>
    <t>(05) MESAS EM ''L'' PARA ESCRITÓRIO - A</t>
  </si>
  <si>
    <t>(08) GAVETEIROS EM MDF - DIVISÃO A</t>
  </si>
  <si>
    <t>(02) GAVETEIROS EM MDF - DIVISÃO A</t>
  </si>
  <si>
    <t>(03) ARMÁRIOS GAVETÕES EM MDF - DIV. A</t>
  </si>
  <si>
    <t>(01) ARMÁRIO 02 PORTAS - DIVISÃO A</t>
  </si>
  <si>
    <t>EEX-230001-00-10</t>
  </si>
  <si>
    <t>EEX-230001-00-11</t>
  </si>
  <si>
    <t>SERVICO DE ASBUILT ELETROMECANICO</t>
  </si>
  <si>
    <t>EEX-230001-00-12</t>
  </si>
  <si>
    <t>LOC-230001-00-49</t>
  </si>
  <si>
    <t>LOC-230001-00-46</t>
  </si>
  <si>
    <t>LOC-230001-00-47</t>
  </si>
  <si>
    <t>LOC-230001-00-48</t>
  </si>
  <si>
    <t>LOC-230001-00-50</t>
  </si>
  <si>
    <t>LOC-230001-00-51</t>
  </si>
  <si>
    <t>LOC-230001-00-52</t>
  </si>
  <si>
    <t>ITENS PARA RELOCAÇÃO SALA ENG. PROJETOS</t>
  </si>
  <si>
    <t>(10) ARMARIOS DE PECAS REFORCADOS</t>
  </si>
  <si>
    <t>(7) CARRINHOS DE FERRAMENTAS</t>
  </si>
  <si>
    <t>(1) CARRINHO FERRAMENTAS PARA AREA TBM</t>
  </si>
  <si>
    <t>(2) FREEZERS PRACA ESPORTE</t>
  </si>
  <si>
    <t>(1) BEBEDOURO COZINHA</t>
  </si>
  <si>
    <t>DEBORAH FOGALI</t>
  </si>
  <si>
    <t>EEX-230001-00-13</t>
  </si>
  <si>
    <t>LOC-230001-00-53</t>
  </si>
  <si>
    <t>(04) MESAS, GAVETEIROS E CADEIRAS DIV B1</t>
  </si>
  <si>
    <t>LCP-230007-18</t>
  </si>
  <si>
    <t>LCP-230007-19</t>
  </si>
  <si>
    <t>LCP-230007-20</t>
  </si>
  <si>
    <t>LCP-230007-23</t>
  </si>
  <si>
    <t>LOC-230001-00-54</t>
  </si>
  <si>
    <t>(05) CARROS 12 PINOS PARA AS ISOLADORAS</t>
  </si>
  <si>
    <t>LOC-230001-00-55</t>
  </si>
  <si>
    <t>LOC-230001-00-56</t>
  </si>
  <si>
    <t>(01) FRIGOBAR E (01) MICROONDAS P/ B2</t>
  </si>
  <si>
    <t>(01) CARRINHO DE FERRAMENTAS VULCA B2</t>
  </si>
  <si>
    <t xml:space="preserve">600,52 </t>
  </si>
  <si>
    <t xml:space="preserve">1.581,35 </t>
  </si>
  <si>
    <t>EEX-230001-00-14</t>
  </si>
  <si>
    <t>ESTUDOS ERGONOMICOS - EHS FAM</t>
  </si>
  <si>
    <t>LCP-230122-EX</t>
  </si>
  <si>
    <t>LCP-230124-EX</t>
  </si>
  <si>
    <t>LCP-230125-EX</t>
  </si>
  <si>
    <t>LCP-230151-EX</t>
  </si>
  <si>
    <t>RETROFIT BUILDING PROVING GROUND</t>
  </si>
  <si>
    <t>AME - UPG BARCODE READERS PHASE 2 FINAL FINISH B2</t>
  </si>
  <si>
    <t>LCP-230007-24</t>
  </si>
  <si>
    <t>ROBERTO SOUZA</t>
  </si>
  <si>
    <t>LOC-230001-00-57</t>
  </si>
  <si>
    <t>1.100,94</t>
  </si>
  <si>
    <t>EEX-230001-00-15</t>
  </si>
  <si>
    <t>ESTUDO PARA CONSTRUCAO DE NOVA PORTARIA</t>
  </si>
  <si>
    <t>LCP-230154-EX</t>
  </si>
  <si>
    <t>LOC-230001-00-58</t>
  </si>
  <si>
    <t>LOC-230001-00-59</t>
  </si>
  <si>
    <t>LOC-230001-00-60</t>
  </si>
  <si>
    <t>BRUNO BRAS</t>
  </si>
  <si>
    <t>(01) MESA REDONDA EM MDF 1000 MM</t>
  </si>
  <si>
    <t>(06) CADEIRAS PARA ESCRITORIO GIRATORIAS</t>
  </si>
  <si>
    <t>(01) MESA RETANGULAR EM MDF 1800X900 MM</t>
  </si>
  <si>
    <t xml:space="preserve">335,29 </t>
  </si>
  <si>
    <t xml:space="preserve">1.195,02 </t>
  </si>
  <si>
    <t xml:space="preserve">456,39 </t>
  </si>
  <si>
    <t>LUCAS PEREIRA</t>
  </si>
  <si>
    <t>LOC-230001-00-61</t>
  </si>
  <si>
    <t>(06) CARRINHOS DE FERRAMENTA P/ DIV. B2</t>
  </si>
  <si>
    <t xml:space="preserve">8.931,48 </t>
  </si>
  <si>
    <t>ESTUDO PARA NOVO MEZANINO ISO. 1,2,3,4,5</t>
  </si>
  <si>
    <t>EEX-230001-00-16</t>
  </si>
  <si>
    <t>LCP-230007-26</t>
  </si>
  <si>
    <t>23/05/2023</t>
  </si>
  <si>
    <t>TROCA DA ROSCA DE 6'' INFERIOR HEXAPLEX</t>
  </si>
  <si>
    <t>(01) CLIMATIZADOR EVAPORATIVO PORTATIL</t>
  </si>
  <si>
    <t>DIEGO BRAZ</t>
  </si>
  <si>
    <t>LOC-230001-00-62</t>
  </si>
  <si>
    <t>2.065,76</t>
  </si>
  <si>
    <t>ALEXANDRE DA SILVA</t>
  </si>
  <si>
    <t>LOC-230001-00-63</t>
  </si>
  <si>
    <t xml:space="preserve">2.001,71 </t>
  </si>
  <si>
    <t>LCP-230007-27</t>
  </si>
  <si>
    <t>EEX-230001-00-17</t>
  </si>
  <si>
    <t>ESTUDO DE CAPACIDADE IÇAMENTO TAMBORES</t>
  </si>
  <si>
    <t>FRANCISCO SANCHI</t>
  </si>
  <si>
    <t>LOC-230001-00-64</t>
  </si>
  <si>
    <t>LOC-230001-00-65</t>
  </si>
  <si>
    <t>(01) SPEAKER PARA SALA REUNIÃO - FSB</t>
  </si>
  <si>
    <t>(03) CARRINHOS DE FERRAMENTAS TIPO M-5</t>
  </si>
  <si>
    <t xml:space="preserve">424,23 </t>
  </si>
  <si>
    <t xml:space="preserve">4.675,52 </t>
  </si>
  <si>
    <t>LOC-230001-00-66</t>
  </si>
  <si>
    <t>LOC-230001-00-67</t>
  </si>
  <si>
    <t>LOC-230001-00-68</t>
  </si>
  <si>
    <t>(04) TVs 55'' PARA SOFT CURE DOS BBYs</t>
  </si>
  <si>
    <t>609,98</t>
  </si>
  <si>
    <t xml:space="preserve">2.203,04 </t>
  </si>
  <si>
    <t>GELADEIRA E MICROONDAS P/ CASA DE FORÇA</t>
  </si>
  <si>
    <t>LOC-230001-00-69</t>
  </si>
  <si>
    <t>MARCIO GODOI</t>
  </si>
  <si>
    <t>LOC-230001-00-70</t>
  </si>
  <si>
    <t>(10) TV 43'' PARA RASTREAMENTO SOFT CURE</t>
  </si>
  <si>
    <t xml:space="preserve">592,22 </t>
  </si>
  <si>
    <t xml:space="preserve">6.007,58 </t>
  </si>
  <si>
    <t>LOC-230001-00-71</t>
  </si>
  <si>
    <t xml:space="preserve">1.579,24 </t>
  </si>
  <si>
    <t>LCP-230178-EX</t>
  </si>
  <si>
    <t>LCP-230179-EX</t>
  </si>
  <si>
    <t>EEX-230001-00-18</t>
  </si>
  <si>
    <t>ESTUDO DE RESFRIAMENTO - MANTA BB#04</t>
  </si>
  <si>
    <t>WILLIAN SOUZA</t>
  </si>
  <si>
    <t>LOC-230001-00-72</t>
  </si>
  <si>
    <t>CONJUNTO DE ARMÁRIO E GAVETEIRO MANUT.</t>
  </si>
  <si>
    <t>1.184,71</t>
  </si>
  <si>
    <t>LOC-230001-00-73</t>
  </si>
  <si>
    <t>(06) DESKTOP DELL + PERIFÉRICOS</t>
  </si>
  <si>
    <t xml:space="preserve">6.262,91 </t>
  </si>
  <si>
    <t>EEX-230001-00-19</t>
  </si>
  <si>
    <t>RELOCAÇÃO DA RECEPÇÃO - FAM</t>
  </si>
  <si>
    <t>EEX-230001-00-20</t>
  </si>
  <si>
    <t>RELOCAÇÃO OFICINAS MANUTENÇÃO P/ DIV. B2</t>
  </si>
  <si>
    <t>LOC-230001-00-74</t>
  </si>
  <si>
    <t>(01) SMART TV 43'' - PLY CUTTER DIV. B2</t>
  </si>
  <si>
    <t>LOC-230001-00-75</t>
  </si>
  <si>
    <t>LOC-230001-00-76</t>
  </si>
  <si>
    <t>ARMARIO PARA SALA TREINAMENTO DIV. A</t>
  </si>
  <si>
    <t>(01) GAVETEIRO EM MDF - TNC BANBURY</t>
  </si>
  <si>
    <t xml:space="preserve">2.806,82 </t>
  </si>
  <si>
    <t xml:space="preserve">377,36 </t>
  </si>
  <si>
    <t>(01) SMART TV SAMSUNG 85'' P/ DIV. B2</t>
  </si>
  <si>
    <t>LOC-230001-00-77</t>
  </si>
  <si>
    <t>3.004,72</t>
  </si>
  <si>
    <t>LOC-230001-00-78</t>
  </si>
  <si>
    <t>LOC-230001-00-79</t>
  </si>
  <si>
    <t>(01) MICROFONE SEM FIO DUPLOTSI 8299-U</t>
  </si>
  <si>
    <t>(01) SUPORTE SMART TV 85'' COM RODINHAS</t>
  </si>
  <si>
    <t xml:space="preserve">455,89 </t>
  </si>
  <si>
    <t xml:space="preserve">518,06 </t>
  </si>
  <si>
    <t>FERNANDO MAGRI</t>
  </si>
  <si>
    <t>LOC-230001-00-80</t>
  </si>
  <si>
    <t>(05) CLIMATIZADORES 110v PARA VULCA B1</t>
  </si>
  <si>
    <t xml:space="preserve">3.054,45 </t>
  </si>
  <si>
    <t>FABIANO</t>
  </si>
  <si>
    <t>EEX-230001-00-21</t>
  </si>
  <si>
    <t>ADEQUAÇÃO PINTURA ANTI-CHAMAS - AVCB</t>
  </si>
  <si>
    <t>AME - HIGH PRESSURE PUMP REPLACEMENT</t>
  </si>
  <si>
    <t>LCP-230006-EX</t>
  </si>
  <si>
    <t>LCP-230149-EX</t>
  </si>
  <si>
    <t>EEX-230001-00-22</t>
  </si>
  <si>
    <t>ESTUDO DE CURTO CIRCUITO PARA SUBESTAÇÃO</t>
  </si>
  <si>
    <t>EEX-230001-00-23</t>
  </si>
  <si>
    <t>ESTUDO DE CLASSIFICAÇÃO DE ÁREA CLASSIFICADA</t>
  </si>
  <si>
    <t>LCP-230186-EX</t>
  </si>
  <si>
    <t>LCP-230191-EX</t>
  </si>
  <si>
    <t>LCP-230213-EX</t>
  </si>
  <si>
    <t>LCP-230152-01</t>
  </si>
  <si>
    <t>LCP-230152-02</t>
  </si>
  <si>
    <t>LCP-230152-03</t>
  </si>
  <si>
    <t>LCP-230152-04</t>
  </si>
  <si>
    <t>LCP-230152-05</t>
  </si>
  <si>
    <t>CARRO DE CORTE NRM</t>
  </si>
  <si>
    <t>ADEQUAÇÃO DE SEGURANÇA CALANDRA Z</t>
  </si>
  <si>
    <t>NOVO SISTEMA COMUNICAÇÃO BBYs 1,2,3,4</t>
  </si>
  <si>
    <t>CAMERA PARA MONITORAMENTO DOS BBYs</t>
  </si>
  <si>
    <t>Ebenezer Dainez</t>
  </si>
  <si>
    <t>(04) CLIMATIZADORES VULCANIZAÇÃO B1</t>
  </si>
  <si>
    <t>LOC-230001-00-81</t>
  </si>
  <si>
    <t>LOC-230001-00-82</t>
  </si>
  <si>
    <t xml:space="preserve">604,08 </t>
  </si>
  <si>
    <t xml:space="preserve">1.617,78 </t>
  </si>
  <si>
    <t>LCP-230152-06</t>
  </si>
  <si>
    <t>CAÇAMBAS PARA COLETA SELETIVA FAM</t>
  </si>
  <si>
    <t>MAICON EUGENIO</t>
  </si>
  <si>
    <t>LOC-230001-00-83</t>
  </si>
  <si>
    <t>LOC-230001-00-84</t>
  </si>
  <si>
    <t>GABRIEL DOS SANTOS</t>
  </si>
  <si>
    <t>(02) TABLET I7-1185G7 ENG. DE CAMPO</t>
  </si>
  <si>
    <t>(01) CLIMATIZADOR 220V P/ CASA DE FORÇA</t>
  </si>
  <si>
    <t>7.467,45</t>
  </si>
  <si>
    <t>2.600,73</t>
  </si>
  <si>
    <t>FERNANDO BRAGA</t>
  </si>
  <si>
    <t>LOC-230001-00-85</t>
  </si>
  <si>
    <t>(01) MICROONDAS 31L P/ ESC. CENTRAL FAM</t>
  </si>
  <si>
    <t>320,09</t>
  </si>
  <si>
    <t>LOC-230001-00-86</t>
  </si>
  <si>
    <t>(01) SMART TV 55'' E SUPORTE ARTICULADO</t>
  </si>
  <si>
    <t>EMERSON FERREIRA</t>
  </si>
  <si>
    <t xml:space="preserve">1.115,32 </t>
  </si>
  <si>
    <t>LCP-230152-08</t>
  </si>
  <si>
    <t>Hebert Ferreira</t>
  </si>
  <si>
    <t>UPG. SISTEMA ACIONAMENTO PRENSA MC NIEL</t>
  </si>
  <si>
    <t>PROJECT NAME</t>
  </si>
  <si>
    <t>17/0072</t>
  </si>
  <si>
    <t>17/1614</t>
  </si>
  <si>
    <t/>
  </si>
  <si>
    <t>18/0019</t>
  </si>
  <si>
    <t>17/0069</t>
  </si>
  <si>
    <t>18/0079</t>
  </si>
  <si>
    <t>17/0047</t>
  </si>
  <si>
    <t>19/0077</t>
  </si>
  <si>
    <t>18/0013</t>
  </si>
  <si>
    <t>18/0003</t>
  </si>
  <si>
    <t>18/0047</t>
  </si>
  <si>
    <t>18/0030</t>
  </si>
  <si>
    <t>18/0102</t>
  </si>
  <si>
    <t>18/0011</t>
  </si>
  <si>
    <t>18/0069</t>
  </si>
  <si>
    <t>18/0121</t>
  </si>
  <si>
    <t>18/0104</t>
  </si>
  <si>
    <t>18/0105</t>
  </si>
  <si>
    <t>19/0060</t>
  </si>
  <si>
    <t>18/0123</t>
  </si>
  <si>
    <t>18/0161</t>
  </si>
  <si>
    <t>19/0059</t>
  </si>
  <si>
    <t>19/0065</t>
  </si>
  <si>
    <t>19/0097</t>
  </si>
  <si>
    <t>19/0114</t>
  </si>
  <si>
    <t>19/0098</t>
  </si>
  <si>
    <t>19/0088</t>
  </si>
  <si>
    <t>19/0069</t>
  </si>
  <si>
    <t>19/0096</t>
  </si>
  <si>
    <t>20/0009</t>
  </si>
  <si>
    <t>20/0054</t>
  </si>
  <si>
    <t>ICP-220054</t>
  </si>
  <si>
    <t>THIAGO MIGUEL</t>
  </si>
  <si>
    <t>LCP-220207</t>
  </si>
  <si>
    <t>20/0018</t>
  </si>
  <si>
    <t>20/0055</t>
  </si>
  <si>
    <t>20/0017</t>
  </si>
  <si>
    <t>20/0040</t>
  </si>
  <si>
    <t>20/0087</t>
  </si>
  <si>
    <t>20/0065</t>
  </si>
  <si>
    <t>21/0009</t>
  </si>
  <si>
    <t>20/0088</t>
  </si>
  <si>
    <t>20/0114</t>
  </si>
  <si>
    <t>20/0115</t>
  </si>
  <si>
    <t>MANUTENCAO</t>
  </si>
  <si>
    <t>HEBERT FERREIRA</t>
  </si>
  <si>
    <t>20/0086</t>
  </si>
  <si>
    <t>20/0113</t>
  </si>
  <si>
    <t>ICP-230001</t>
  </si>
  <si>
    <t>Facilities Maintaining</t>
  </si>
  <si>
    <t>ICP-230007</t>
  </si>
  <si>
    <t>21/0015</t>
  </si>
  <si>
    <t>20/0095</t>
  </si>
  <si>
    <t>FABIANO OLIVEIRA</t>
  </si>
  <si>
    <t>20/0110</t>
  </si>
  <si>
    <t>UTILITIES</t>
  </si>
  <si>
    <t>21/0033</t>
  </si>
  <si>
    <t>21/0074</t>
  </si>
  <si>
    <t>21/0046</t>
  </si>
  <si>
    <t>21/0065</t>
  </si>
  <si>
    <t>21/0066</t>
  </si>
  <si>
    <t>21/0067</t>
  </si>
  <si>
    <t>21/0068</t>
  </si>
  <si>
    <t>21/0047</t>
  </si>
  <si>
    <t>21/0105 - 21/0106</t>
  </si>
  <si>
    <t>21/0063</t>
  </si>
  <si>
    <t>21/0080</t>
  </si>
  <si>
    <t>21/0081</t>
  </si>
  <si>
    <t>21/0051</t>
  </si>
  <si>
    <t>21/0085</t>
  </si>
  <si>
    <t>21/0100</t>
  </si>
  <si>
    <t>21/0073</t>
  </si>
  <si>
    <t>21/0072</t>
  </si>
  <si>
    <t>21/0083</t>
  </si>
  <si>
    <t>21/0095</t>
  </si>
  <si>
    <t>22/0077</t>
  </si>
  <si>
    <t>22/0079</t>
  </si>
  <si>
    <t>21/0109</t>
  </si>
  <si>
    <t>21/0108</t>
  </si>
  <si>
    <t>22/0030</t>
  </si>
  <si>
    <t>21/0117</t>
  </si>
  <si>
    <t>22/0065</t>
  </si>
  <si>
    <t>22/0071</t>
  </si>
  <si>
    <t>22/0072</t>
  </si>
  <si>
    <t>22/0020</t>
  </si>
  <si>
    <t>22/0005</t>
  </si>
  <si>
    <t>22/0021</t>
  </si>
  <si>
    <t>22/0035</t>
  </si>
  <si>
    <t>22/0036</t>
  </si>
  <si>
    <t>22/0023 - 22/0024 - 22/0025 - 22/0026 - 22/0027</t>
  </si>
  <si>
    <t>22/0048</t>
  </si>
  <si>
    <t>FERNANDO BUENO</t>
  </si>
  <si>
    <t>LCP-220082</t>
  </si>
  <si>
    <t>CAMPO DE PROVAS</t>
  </si>
  <si>
    <t>22/0034</t>
  </si>
  <si>
    <t>23/0006</t>
  </si>
  <si>
    <t>22/0042</t>
  </si>
  <si>
    <t>22/0037 - 22/0038 - 22/0039 - 22/0040</t>
  </si>
  <si>
    <t>22/0033</t>
  </si>
  <si>
    <t>22/0066</t>
  </si>
  <si>
    <t>LABORATÓRIO</t>
  </si>
  <si>
    <t>22/0060</t>
  </si>
  <si>
    <t>LCP-220132</t>
  </si>
  <si>
    <t>22/0063</t>
  </si>
  <si>
    <t>100 PSI AIR COMPRESSOR OVERHAUL CENTAC18</t>
  </si>
  <si>
    <t>LCP-220133</t>
  </si>
  <si>
    <t>22/0064</t>
  </si>
  <si>
    <t xml:space="preserve"> AME - FACTORY PUMP WATER</t>
  </si>
  <si>
    <t>LCP-220134</t>
  </si>
  <si>
    <t>22/0052</t>
  </si>
  <si>
    <t>FF B1 - UPGRADE PCHP-ETMS FVM MACHINES (AAA)</t>
  </si>
  <si>
    <t>LCP-220139</t>
  </si>
  <si>
    <t>LCP-220162</t>
  </si>
  <si>
    <t>LCP-220171</t>
  </si>
  <si>
    <t>22/0068</t>
  </si>
  <si>
    <t>LCP-220172</t>
  </si>
  <si>
    <t>22/0067</t>
  </si>
  <si>
    <t>AME - 01 NEW RUBBER PROCESS ANALYZER RPA</t>
  </si>
  <si>
    <t>LCP-220173</t>
  </si>
  <si>
    <t>22/0073</t>
  </si>
  <si>
    <t>AME - IMPROVEMENT APPLIED APR FOR NGTTS</t>
  </si>
  <si>
    <t>LCP-220176</t>
  </si>
  <si>
    <t>22/0057</t>
  </si>
  <si>
    <t>LAPG - NOISE - KIT VBOX EQUIPMENT</t>
  </si>
  <si>
    <t>LCP-220184</t>
  </si>
  <si>
    <t>LCP-220201</t>
  </si>
  <si>
    <t>LCP-220202</t>
  </si>
  <si>
    <t>23/0017</t>
  </si>
  <si>
    <t>LCP-220215</t>
  </si>
  <si>
    <t>RET - FM GLOBAL ADEQUANCY</t>
  </si>
  <si>
    <t>LCP-220266</t>
  </si>
  <si>
    <t>23/0005</t>
  </si>
  <si>
    <t>LCP-220267</t>
  </si>
  <si>
    <t>LCP-230007</t>
  </si>
  <si>
    <t>AME - 2023 MISCELLANEOUS ANNUAL BUDGET</t>
  </si>
  <si>
    <t>LCP-230021</t>
  </si>
  <si>
    <t>LCP-230031</t>
  </si>
  <si>
    <t>LCP-230033</t>
  </si>
  <si>
    <t>LCP-230034</t>
  </si>
  <si>
    <t>LCP-230053</t>
  </si>
  <si>
    <t>LCP-230055</t>
  </si>
  <si>
    <t>23/0013</t>
  </si>
  <si>
    <t>LCP-230060</t>
  </si>
  <si>
    <t>LCP-230096</t>
  </si>
  <si>
    <t>AME - METAL DETECTOR HOTFORMER</t>
  </si>
  <si>
    <t>LCP-230098</t>
  </si>
  <si>
    <t>AME - TROCA DE ROSCAS DE EXTRUSORAS DIV. A (BB, HOT, EXT, CAL)</t>
  </si>
  <si>
    <t>LCP-230110</t>
  </si>
  <si>
    <t>LAPG - 2023 MISCELLANEOUS ANNUAL BUDGET</t>
  </si>
  <si>
    <t>LCP-230111</t>
  </si>
  <si>
    <t>AER- NEW SOAP APLICATION</t>
  </si>
  <si>
    <t>LCP-230112</t>
  </si>
  <si>
    <t>23/0019</t>
  </si>
  <si>
    <t>LCP-230115</t>
  </si>
  <si>
    <t>FSB - 2023 MISCELLANEOUS ANNUAL BUDGET</t>
  </si>
  <si>
    <t>LCP-230116</t>
  </si>
  <si>
    <t xml:space="preserve">EQUIPMENT FOR VMI MACHINES TO BUILD 15”TIRES </t>
  </si>
  <si>
    <t>LCP-230120</t>
  </si>
  <si>
    <t>23/0024</t>
  </si>
  <si>
    <t>MC - POLO PROJECT PHASE 02</t>
  </si>
  <si>
    <t>LCP-230121</t>
  </si>
  <si>
    <t>LCP-230122</t>
  </si>
  <si>
    <t>LCP-230123</t>
  </si>
  <si>
    <t>MC - 2023 MISCELLANEOUS ANNUAL BUDGET</t>
  </si>
  <si>
    <t>LCP-230124</t>
  </si>
  <si>
    <t>LCP-230125</t>
  </si>
  <si>
    <t>LAPG - RETROFIT BUILDING PROVING GROUND</t>
  </si>
  <si>
    <t>LCP-230144</t>
  </si>
  <si>
    <t>LCP-230145</t>
  </si>
  <si>
    <t>AME - MIXER#6 TSR- 450C/20 ROLLER REPLACEMENT</t>
  </si>
  <si>
    <t>LCP-230151</t>
  </si>
  <si>
    <t>AME - UPG BARCODE READERS PHASE 2 FF B2</t>
  </si>
  <si>
    <t>LCP-230152</t>
  </si>
  <si>
    <t>AME - 2023 MISCELLANEOUS ANNUAL - PHASE2</t>
  </si>
  <si>
    <t>LCP-230154</t>
  </si>
  <si>
    <t>LAPG - RETROFIT OF THE CONTROL SPRAY PIPE</t>
  </si>
  <si>
    <t>LCP-230158</t>
  </si>
  <si>
    <t>AME - SAFETY ADEQUACY IN WULO - NR-12</t>
  </si>
  <si>
    <t>LCP-230159</t>
  </si>
  <si>
    <t>AME - SAFETY REGULARIZATION NT 19 MG R3</t>
  </si>
  <si>
    <t>LCP-230166</t>
  </si>
  <si>
    <t>AME - SAFETY REGULARIZATION NR-12 BW#01</t>
  </si>
  <si>
    <t>LCP-230167</t>
  </si>
  <si>
    <t>AME - SAFETY REGULARIZATION NR-12 BW#03</t>
  </si>
  <si>
    <t>LCP-230168</t>
  </si>
  <si>
    <t>AME - SAFETY REGULARIZATION NR-12 BW#05</t>
  </si>
  <si>
    <t>LCP-230178</t>
  </si>
  <si>
    <t>AME - CAL4R#2 WIND-UP UPGRADE</t>
  </si>
  <si>
    <t>LCP-230179</t>
  </si>
  <si>
    <t>AME - CAL4R#1 WIND-UP UPGRADE</t>
  </si>
  <si>
    <t>LCP-230180</t>
  </si>
  <si>
    <t xml:space="preserve">AME-MIXER#7 TSRD ROLLER REPLACEMENT </t>
  </si>
  <si>
    <t>LCP-230181</t>
  </si>
  <si>
    <t>AME - CAL_EXTR_GEARBOX MIXER#1</t>
  </si>
  <si>
    <t>LCP-230185</t>
  </si>
  <si>
    <t>AME - EBP SYSTEM MAJOR OVERHAUL</t>
  </si>
  <si>
    <t>LCP-230186</t>
  </si>
  <si>
    <t>LCP-230191</t>
  </si>
  <si>
    <t>LCP-230196</t>
  </si>
  <si>
    <t>AME - SAFETY REGULARIZATION NT 18 MG R3</t>
  </si>
  <si>
    <t>LCP-230205</t>
  </si>
  <si>
    <t>100 PSI AIR COMPRESSOR OVERHAUL CENTAC14</t>
  </si>
  <si>
    <t>LCP-230206</t>
  </si>
  <si>
    <t>AME - NEW AWS DRUMS RSX1</t>
  </si>
  <si>
    <t>LCP-230208</t>
  </si>
  <si>
    <t>AME - SAFETY REGULARIZATION ON WIND-UP</t>
  </si>
  <si>
    <t>LCP-230213</t>
  </si>
  <si>
    <t>LCP-230221</t>
  </si>
  <si>
    <t>LCP-230225</t>
  </si>
  <si>
    <t>AME - NEW TRUCK GATE</t>
  </si>
  <si>
    <t>ICP-220010</t>
  </si>
  <si>
    <t>ICP-230035</t>
  </si>
  <si>
    <t>ICP-230034</t>
  </si>
  <si>
    <t>ICP-220048</t>
  </si>
  <si>
    <t>ICP-220037</t>
  </si>
  <si>
    <t>ICP-220049</t>
  </si>
  <si>
    <t>ICP-220025</t>
  </si>
  <si>
    <t>LCP-230152-09</t>
  </si>
  <si>
    <t>RETROFIT DISJ. GERAIS SUBESTAÇÕES 03 1CF</t>
  </si>
  <si>
    <t>LCP-230225-EX</t>
  </si>
  <si>
    <t>AME - INSTALLATION OF DIV. A RACKS - MES</t>
  </si>
  <si>
    <t>LOC-230001-00-87</t>
  </si>
  <si>
    <t>ARMÁRIOS PLANEJADOS P/ DEPTO. DE TI</t>
  </si>
  <si>
    <t xml:space="preserve">3.941,11 </t>
  </si>
  <si>
    <t>LCP-230152-10</t>
  </si>
  <si>
    <t>ANEL 4 AROS AKRODYNE</t>
  </si>
  <si>
    <t>Produtivity</t>
  </si>
  <si>
    <t>EEX-230001-00-24</t>
  </si>
  <si>
    <t>ESTUDO INSTALAÇÕES TBT01 - NR-12</t>
  </si>
  <si>
    <t>LCP-230253</t>
  </si>
  <si>
    <t>LCP-230255</t>
  </si>
  <si>
    <t>NEW BALANCE AKRODYNE MP04</t>
  </si>
  <si>
    <t>LOC-230001-00-88</t>
  </si>
  <si>
    <t>LOC-230001-00-89</t>
  </si>
  <si>
    <t>LOC-230001-00-90</t>
  </si>
  <si>
    <t>LOC-230001-00-91</t>
  </si>
  <si>
    <t>LOC-230001-00-92</t>
  </si>
  <si>
    <t>LOC-230001-00-93</t>
  </si>
  <si>
    <t>LOC-230001-00-94</t>
  </si>
  <si>
    <t>LOC-230001-00-95</t>
  </si>
  <si>
    <t>ISABELA MARTINS</t>
  </si>
  <si>
    <t>(01) TV 85'' SAMSUNG P/ SALA TREINAMENTO</t>
  </si>
  <si>
    <t>(40) CADEIRAS P/ SALA DE TREINAMENTO</t>
  </si>
  <si>
    <t>(01) MICROONDAS MI41S P/ ESC DIV. A</t>
  </si>
  <si>
    <t>ITENS PARA REFORMA ÁREAS STAFF FAM</t>
  </si>
  <si>
    <t>(18) MONITORES DELL ULTRA SHARP 23.8''</t>
  </si>
  <si>
    <t>(49) IPHONES P/ ACESSOR DE VENDA E TLE</t>
  </si>
  <si>
    <t>(60) IPHONES E (109) CARREGADORES - TI</t>
  </si>
  <si>
    <t>(05) IPHONES E (05) CARREGADORES P/ TI</t>
  </si>
  <si>
    <t>3.200,90</t>
  </si>
  <si>
    <t>5.500,70</t>
  </si>
  <si>
    <t>264,08</t>
  </si>
  <si>
    <t>40.251,48</t>
  </si>
  <si>
    <t>5.761,62</t>
  </si>
  <si>
    <t>44.232,39</t>
  </si>
  <si>
    <t>56.303,77</t>
  </si>
  <si>
    <t>4.861,37</t>
  </si>
  <si>
    <t>ADEQUAÇÃO SIST. DE ALIMENTAÇÃO ESTRUSORA</t>
  </si>
  <si>
    <t>LOC-230001-00-96</t>
  </si>
  <si>
    <t>LOC-230001-00-97</t>
  </si>
  <si>
    <t>LOC-230001-00-98</t>
  </si>
  <si>
    <t>LOC-230001-00-99</t>
  </si>
  <si>
    <t>ACESSÓRIOS P/ EQUIP. VIDEOCONFERÊNCIA</t>
  </si>
  <si>
    <t>(01) SISTEMA VIDEOCONFERÊNCIA AA508596</t>
  </si>
  <si>
    <t>DESKTOP E PERIFÉRICOS P/ DEPTO DE TI</t>
  </si>
  <si>
    <t>(10) CADEIRAS PARA PORTARIA - FAM</t>
  </si>
  <si>
    <t xml:space="preserve">2.220,09 </t>
  </si>
  <si>
    <t xml:space="preserve">3.964,44 </t>
  </si>
  <si>
    <t xml:space="preserve">1.585,78 </t>
  </si>
  <si>
    <t xml:space="preserve">991,11 </t>
  </si>
  <si>
    <t>LOC-230002-00-01</t>
  </si>
  <si>
    <t>1.090,23</t>
  </si>
  <si>
    <t>SAFETY SYSTEMRIVER PUMP AREA</t>
  </si>
  <si>
    <t>REWIND STATIONS MRTBUILD MACHINES</t>
  </si>
  <si>
    <t>AME - UPGRADE GENERAL PANEL B2 CURING</t>
  </si>
  <si>
    <t>LCP-230255-EX</t>
  </si>
  <si>
    <t>LCP-230253-EX</t>
  </si>
  <si>
    <t>AME - NEW DYNAMIC BALANCE MACHINE</t>
  </si>
  <si>
    <t>UPGRADE E+LCALENDER 3 ROLLS</t>
  </si>
  <si>
    <t>RONALDO CAPELLI</t>
  </si>
  <si>
    <t>EEX-230001-00-25</t>
  </si>
  <si>
    <t>LCP-240001</t>
  </si>
  <si>
    <t>ITENS CECOM E SALA DE TREINAMENTO DIV B2</t>
  </si>
  <si>
    <t>(03) DESUMIDIFICADORES DE AR PORTATEIS</t>
  </si>
  <si>
    <t xml:space="preserve">20.051,15 </t>
  </si>
  <si>
    <t xml:space="preserve">5.296,98 </t>
  </si>
  <si>
    <t>LOC-230002-00-02</t>
  </si>
  <si>
    <t>LOC-230002-00-03</t>
  </si>
  <si>
    <t>ICP-230054</t>
  </si>
  <si>
    <t>LCP-240001-EX</t>
  </si>
  <si>
    <t>LOC-230002-00-04</t>
  </si>
  <si>
    <t>LIMPADORA DE TUBOS-MAQUINAS REFRIGERACAO</t>
  </si>
  <si>
    <t xml:space="preserve">4.654,46 </t>
  </si>
  <si>
    <t>LCP-230007-28</t>
  </si>
  <si>
    <t>MAQ. MONTAGEM PNEUS P/ RESILIOMETRO</t>
  </si>
  <si>
    <t>ICP-230071</t>
  </si>
  <si>
    <t>Jan
Real SAP</t>
  </si>
  <si>
    <t>BUDGET VS COMPROMETIDO</t>
  </si>
  <si>
    <t>TOTAL
2024</t>
  </si>
  <si>
    <t>Projeto on-hold, sera dado continuidade no projeto de adequacao de seguranca e upg. Painel e robo NR-12 BW#05.
Valor em aberto será feito em 2025 após após a compra e instalação do novo painel da SIEMENS (linkado ao projeto da BW5)</t>
  </si>
  <si>
    <t>Faturamento restante será feito em 2025</t>
  </si>
  <si>
    <t>AME - SAFETY REGULARIZATION ON WIND-UP (ACIDENTE 4R1)</t>
  </si>
  <si>
    <t>Sta Barbara</t>
  </si>
  <si>
    <t>RET- NEW TRIMMER</t>
  </si>
  <si>
    <t>MC - MISCELLANEOUS ANNUAL BUDGET</t>
  </si>
  <si>
    <t>EEX-210001-00-23</t>
  </si>
  <si>
    <t>DOC 20</t>
  </si>
  <si>
    <t>SUBSTITUIÇÃO DA BOMBA #2 DA TORRE RESFRIAMENTO CASA DE FORÇA</t>
  </si>
  <si>
    <t>Fixo</t>
  </si>
  <si>
    <t>Area</t>
  </si>
  <si>
    <t>Descrição 2024</t>
  </si>
  <si>
    <t>Pontual</t>
  </si>
  <si>
    <t>VALIDAÇÃO DE AS BUILTS ELETROMECANICOS</t>
  </si>
  <si>
    <t>MELHORIAS SISTEMA EPW (pso)</t>
  </si>
  <si>
    <t>TRADUÇÕES TÉCNICAS</t>
  </si>
  <si>
    <t>TREINAMENTOS</t>
  </si>
  <si>
    <t>MDO PROJETISTA</t>
  </si>
  <si>
    <t>MELHORIAS SISTEMA CEDOC (evault)</t>
  </si>
  <si>
    <t>PINTURA DA SALA CEDOC</t>
  </si>
  <si>
    <t>AQUISIÇÃO DE MONITORES E SUPORTES</t>
  </si>
  <si>
    <t>ITENS DE PAPELARIA</t>
  </si>
  <si>
    <t>NORMAS TECNICAS</t>
  </si>
  <si>
    <t xml:space="preserve">UNIFORMES </t>
  </si>
  <si>
    <t>AOP SOLICITADO</t>
  </si>
  <si>
    <t>PRIORIDADE</t>
  </si>
  <si>
    <t>Prioridade 01</t>
  </si>
  <si>
    <t>Prioridade 02</t>
  </si>
  <si>
    <t>Prioridade 07</t>
  </si>
  <si>
    <t>Prioridade 03</t>
  </si>
  <si>
    <t>Prioridade 05</t>
  </si>
  <si>
    <t>Prioridade 09</t>
  </si>
  <si>
    <t>Prioridade 04</t>
  </si>
  <si>
    <t>Prioridade 10</t>
  </si>
  <si>
    <t>Prioridade 11</t>
  </si>
  <si>
    <t>Prioridade 08</t>
  </si>
  <si>
    <t>Prioridade 12</t>
  </si>
  <si>
    <t>AOP APROVADO</t>
  </si>
  <si>
    <t>Vildembergue</t>
  </si>
  <si>
    <t>MISCELLANEOUS 2024</t>
  </si>
  <si>
    <t>Jairo / Fernando</t>
  </si>
  <si>
    <t>Fernando</t>
  </si>
  <si>
    <t>Jairo / Willian</t>
  </si>
  <si>
    <t>Saito</t>
  </si>
  <si>
    <t>Fernando/Fabio</t>
  </si>
  <si>
    <t>Jairo</t>
  </si>
  <si>
    <t>Prioridade 06</t>
  </si>
  <si>
    <t>Ok. PO criado. Em andamento</t>
  </si>
  <si>
    <t>Ok. Em desenvolvimento pelo time Goodyear</t>
  </si>
  <si>
    <t>Elaborar escopo e abrir SC.</t>
  </si>
  <si>
    <t>Definir modelo e abrir SC</t>
  </si>
  <si>
    <t>LAPG - 2024 MISCELLANEOUS ANNUAL BUDGET</t>
  </si>
  <si>
    <t>LCP-240059</t>
  </si>
  <si>
    <t>ESTUDO E RELOCAÇÕES 2024</t>
  </si>
  <si>
    <t>Em execução.</t>
  </si>
  <si>
    <t>Cancelado (08/02/24)</t>
  </si>
  <si>
    <t>Equipment in Transit</t>
  </si>
  <si>
    <t>Regional Adjustment</t>
  </si>
  <si>
    <t>Fev
REAL SAP</t>
  </si>
  <si>
    <t>AME - 2024 MISCELLANEOUS ANNUAL BUDGET</t>
  </si>
  <si>
    <t>MC - ADEQUACY NR12 - ANCHIETA</t>
  </si>
  <si>
    <t>RET - NEW MAIN FRAME FLAT PRESS</t>
  </si>
  <si>
    <t>AER - NEW SOAP APLICATION</t>
  </si>
  <si>
    <t xml:space="preserve">ICP-240001 </t>
  </si>
  <si>
    <t>Projeto Fracassado</t>
  </si>
  <si>
    <t>LCP-240087</t>
  </si>
  <si>
    <t>24/0008</t>
  </si>
  <si>
    <t>Cancelado pela área (Alisson). Solicitado CLOSE</t>
  </si>
  <si>
    <t>Cancelado.</t>
  </si>
  <si>
    <t>ADEMIR RAMPI JUNIOR</t>
  </si>
  <si>
    <t>LOC-240001-00-01</t>
  </si>
  <si>
    <t>(1) TV 65" E (1) TV 43"</t>
  </si>
  <si>
    <t>Doc Approval</t>
  </si>
  <si>
    <t>LAPG</t>
  </si>
  <si>
    <t>RICARDO DOS SANTOS</t>
  </si>
  <si>
    <t>LOC-240001-00-02</t>
  </si>
  <si>
    <t>LOC-240001-00-03</t>
  </si>
  <si>
    <t>(1) MICROONDAS</t>
  </si>
  <si>
    <t>LAPG 2022 - GERAL MISCELLANEOUS QUARTELY</t>
  </si>
  <si>
    <t>Retrofit (01) TORRE DE RESFRIAMENTO - MIXER</t>
  </si>
  <si>
    <t>ISABELA ALVES</t>
  </si>
  <si>
    <t>(1)  MICROONDAS (1) FRIGOBAR (1) PURIFICADOR (1) CAFETEIRA</t>
  </si>
  <si>
    <t>LOC-240001-00-04</t>
  </si>
  <si>
    <t>Vai acontecer o credito pois o valor deve ser transferido para capital: Total - 55.000</t>
  </si>
  <si>
    <t>Será verificado se o valor será usado</t>
  </si>
  <si>
    <t>Será usado para retirar a maquina atual - MP04</t>
  </si>
  <si>
    <t>Será utilizado</t>
  </si>
  <si>
    <t>Não será utilizado mais despesa</t>
  </si>
  <si>
    <t>Provavelmente será utilizado.</t>
  </si>
  <si>
    <t>ICP não aparece no SAP de Akron</t>
  </si>
  <si>
    <t>AOP x Agora</t>
  </si>
  <si>
    <t>AME - OTR PRESS TRANSFER (P85)</t>
  </si>
  <si>
    <t>Projeto sera fracassado será aberto Doc</t>
  </si>
  <si>
    <t>x3</t>
  </si>
  <si>
    <t>NEW CHILLER</t>
  </si>
  <si>
    <t>ICP-240001</t>
  </si>
  <si>
    <t>LCP-230231-EX</t>
  </si>
  <si>
    <t>LCP-240004-EX</t>
  </si>
  <si>
    <t>AME-8 MOLDS TRANSFER FROM COL. TO BRASIL</t>
  </si>
  <si>
    <t>LCP-240093</t>
  </si>
  <si>
    <t>LUIS FRANCISCO TEODORO</t>
  </si>
  <si>
    <t>LOC-240001-00-05</t>
  </si>
  <si>
    <t>(20) POLTRONAS GIRATORIAS -SALA TEN</t>
  </si>
  <si>
    <t>LOC-240001-00-06</t>
  </si>
  <si>
    <t>(10) BANQUETAS MOIRE BLACK - CAFETERIA</t>
  </si>
  <si>
    <t>LEANDRO CARVALHO (NSAF518)</t>
  </si>
  <si>
    <t>LOC-240001-00-07</t>
  </si>
  <si>
    <t>LOC-240001-00-08</t>
  </si>
  <si>
    <t>(10) ARMARIOS EPIS PARA AREA CALANDRA AÇO</t>
  </si>
  <si>
    <t xml:space="preserve">Continua com Ebenézer
Em andamento. Necessaria a compra de alguns materiais e ter PO para instalação.
Prazo estimado: Junho/2024
</t>
  </si>
  <si>
    <t>Ok. Doc 20 assinado. Finalizado.</t>
  </si>
  <si>
    <t>LCP-240097</t>
  </si>
  <si>
    <t>LCP-240098</t>
  </si>
  <si>
    <t>Mar
REAL SAP</t>
  </si>
  <si>
    <t>LCP-240096</t>
  </si>
  <si>
    <t>AME - UPG X-RAY COMPUTERS YXLON-MTIS</t>
  </si>
  <si>
    <t>LOC-240001-00-09</t>
  </si>
  <si>
    <t>LOC-240001-00-10</t>
  </si>
  <si>
    <t>(1) TV 65" DEPARTAMENTO DE MATERIA PRIMA</t>
  </si>
  <si>
    <t>Jairo Vieira (NSA9236)</t>
  </si>
  <si>
    <t>Daniel Marques (NSAJ105)</t>
  </si>
  <si>
    <t>LCP-240100</t>
  </si>
  <si>
    <t>17400 / 47</t>
  </si>
  <si>
    <t>EEX-240006-00-02</t>
  </si>
  <si>
    <t>EEX-240006-00-03</t>
  </si>
  <si>
    <t>ESTUDO INST. ELETRICA DE CLIMATIZADORES</t>
  </si>
  <si>
    <t>ESTUDO INST. ELETRICA DE AREAS MOLHADAS</t>
  </si>
  <si>
    <t>LOC-240001-00-11</t>
  </si>
  <si>
    <t>LOC-240001-00-12</t>
  </si>
  <si>
    <t>(3) IMPRESSORA 451 INDUSTRIAL - BALANCA</t>
  </si>
  <si>
    <t>(2) BALANÇA CALANDRA Z - 2180 PORTATIL</t>
  </si>
  <si>
    <t>Finalizado</t>
  </si>
  <si>
    <t>LCP-240101</t>
  </si>
  <si>
    <t>LCP-240059-01</t>
  </si>
  <si>
    <t>LCP-240059-03</t>
  </si>
  <si>
    <t>LCP-240059-04</t>
  </si>
  <si>
    <t>LCP-240059-05</t>
  </si>
  <si>
    <t>LCP-240087-EX</t>
  </si>
  <si>
    <t>23/0041</t>
  </si>
  <si>
    <t>23/0045</t>
  </si>
  <si>
    <t>23/0043</t>
  </si>
  <si>
    <t>23/0044</t>
  </si>
  <si>
    <t>23/0057</t>
  </si>
  <si>
    <t>24/0003</t>
  </si>
  <si>
    <t>24/0004</t>
  </si>
  <si>
    <t>OK - PARCIAL</t>
  </si>
  <si>
    <t>OK. FINALIZADO</t>
  </si>
  <si>
    <t>23/0037</t>
  </si>
  <si>
    <t>LCP-240102</t>
  </si>
  <si>
    <t>LCP-240107</t>
  </si>
  <si>
    <t>24/0017</t>
  </si>
  <si>
    <t>24/0025</t>
  </si>
  <si>
    <t>24/0026</t>
  </si>
  <si>
    <t>24/0016</t>
  </si>
  <si>
    <t>Jose Henrique (AA43925)</t>
  </si>
  <si>
    <t>LOC-240001-00-13</t>
  </si>
  <si>
    <t>(1) ACCESS POINT CATALYST 9120AX SERIES</t>
  </si>
  <si>
    <t>LOC-240001-00-14</t>
  </si>
  <si>
    <t xml:space="preserve"> Ademir Rampi Junior (NSAC485)</t>
  </si>
  <si>
    <t>(2) ARMARIOS - BEAD UNSEAT E ARMAZENAGEM</t>
  </si>
  <si>
    <t>24/0006</t>
  </si>
  <si>
    <t>ADEQUAÇÃO DE PORTÃO (INVERSÃO DO SENTIDO DE ABERTURA)</t>
  </si>
  <si>
    <t>ITENS PARA HIDRANTE</t>
  </si>
  <si>
    <t>ITENS PARA CAÇAMBA DEP. 85</t>
  </si>
  <si>
    <t>FINALIZADO</t>
  </si>
  <si>
    <t>VALOR REAL GASTO</t>
  </si>
  <si>
    <t>VALIDAÇÃO DE NCM EM PROJETOS DE QUARTELY</t>
  </si>
  <si>
    <t>VALIDAÇÃO DE 100 ITENS DE NCM</t>
  </si>
  <si>
    <t>VISTO PARA PROJETOS DE QUARTELY - GTU</t>
  </si>
  <si>
    <t>TRADUÇÃO DO CONTRATO AGREMENT</t>
  </si>
  <si>
    <t>CRIAR SC</t>
  </si>
  <si>
    <t>VALOR SOLICITADO
FORMULÁRIO</t>
  </si>
  <si>
    <t>23/0036</t>
  </si>
  <si>
    <t>24/0027</t>
  </si>
  <si>
    <t>24/0028</t>
  </si>
  <si>
    <t>23/0035</t>
  </si>
  <si>
    <t>ICP-240020</t>
  </si>
  <si>
    <t>( 36 MONITORES E 18 SUPORTES) Rejeitado pelo TEN.
Passado opção de comprar metade dos monitores (R$ 26K)</t>
  </si>
  <si>
    <t>02 CARTÕES DE MEMÓRIA e 02 NOVAS CÂMERAS</t>
  </si>
  <si>
    <t>Criar formulário e vincular a um ID</t>
  </si>
  <si>
    <t>LCP-240112</t>
  </si>
  <si>
    <t>LCP-240113</t>
  </si>
  <si>
    <t>LCP-240114</t>
  </si>
  <si>
    <t>AME - WINDOWS 10 FOR TGIS FVM AAA</t>
  </si>
  <si>
    <t xml:space="preserve">24/0029 </t>
  </si>
  <si>
    <t>LCP-240110</t>
  </si>
  <si>
    <t>MC - GRAVATAI - NEW MICROPOISE BALANCER</t>
  </si>
  <si>
    <t>LCP-240103</t>
  </si>
  <si>
    <t>LCP-240115</t>
  </si>
  <si>
    <t>EQUIPMENT FOR VMI MACHINES TO BUILD 19" TIRES</t>
  </si>
  <si>
    <t>EQUIPMENT FOR VMI MACHINES TO BUILD 15" TIRES</t>
  </si>
  <si>
    <t>APLICADORA DE ENVOLTÓRIO EM TALÃO</t>
  </si>
  <si>
    <t xml:space="preserve">24/0031 </t>
  </si>
  <si>
    <t xml:space="preserve"> Fernando Magri (NSAG480)</t>
  </si>
  <si>
    <t>LOC-240001-00-15</t>
  </si>
  <si>
    <t>(1) ASPIRADOR DE PÓ INDUSTRIAL</t>
  </si>
  <si>
    <t>24/0023</t>
  </si>
  <si>
    <t xml:space="preserve">23/0001 </t>
  </si>
  <si>
    <t>23/0049 - 23/0051</t>
  </si>
  <si>
    <t>EEX-000000-00-00</t>
  </si>
  <si>
    <t>LCP-000000-00</t>
  </si>
  <si>
    <t>Será usado. Será aberto a SC. Risco de não seguir com o projeto</t>
  </si>
  <si>
    <t>24/0032</t>
  </si>
  <si>
    <t>RODRIGO SAITO</t>
  </si>
  <si>
    <t>Área irá conduzir - R$ 4.500,00</t>
  </si>
  <si>
    <t>Área irá conduzir - R$ 35.000,00</t>
  </si>
  <si>
    <t>Aguardando aprovacao</t>
  </si>
  <si>
    <t>EM APROVACAO</t>
  </si>
  <si>
    <t>AQUISIÇÃO DE 4 CÂMERA FOTOGRÁFICA</t>
  </si>
  <si>
    <t>CAIXAS ORGANIZADORAS E CANETAS</t>
  </si>
  <si>
    <t>24/0033</t>
  </si>
  <si>
    <t>LCP-230234-EX</t>
  </si>
  <si>
    <t>LOC-240001-00-16</t>
  </si>
  <si>
    <t>(2) CAMERAS FOTOGRAFICA CANON</t>
  </si>
  <si>
    <t>LOC-240001-00-17</t>
  </si>
  <si>
    <t>(1) PURIFICADOR DE AGUA (2) CAIXA DE SOM ONEAL ATIVA</t>
  </si>
  <si>
    <t>TOTAL 2024</t>
  </si>
  <si>
    <t>Ok. Finalizado</t>
  </si>
  <si>
    <t>LCP-240102-EX</t>
  </si>
  <si>
    <t>ICP-240024</t>
  </si>
  <si>
    <t>ICP-240025</t>
  </si>
  <si>
    <t>Mai
REAL SAP</t>
  </si>
  <si>
    <t>Mai
ENG</t>
  </si>
  <si>
    <t>Jul
REAL SAP</t>
  </si>
  <si>
    <t>Ago
REAL SAP</t>
  </si>
  <si>
    <t>Set
REAL SAP</t>
  </si>
  <si>
    <t>Out
REAL SAP</t>
  </si>
  <si>
    <t>Nov
REAL SAP</t>
  </si>
  <si>
    <t>Dez
REAL SAP</t>
  </si>
  <si>
    <t>Jun
ENG</t>
  </si>
  <si>
    <t>Jul
ENG</t>
  </si>
  <si>
    <t>Ago
ENG</t>
  </si>
  <si>
    <t>Set
ENG</t>
  </si>
  <si>
    <t>Out
ENG</t>
  </si>
  <si>
    <t>Nov
ENG</t>
  </si>
  <si>
    <t>Jan
REAL SAP</t>
  </si>
  <si>
    <t>Jan
ENG</t>
  </si>
  <si>
    <t>Fev
ENG</t>
  </si>
  <si>
    <t>Mar
ENG</t>
  </si>
  <si>
    <t>Abr
ENG</t>
  </si>
  <si>
    <t>Jan
Finanças</t>
  </si>
  <si>
    <t>Fev
Finanças</t>
  </si>
  <si>
    <t>Mar
Finanças</t>
  </si>
  <si>
    <t>PLANT</t>
  </si>
  <si>
    <t>NEW / CARRYOVER</t>
  </si>
  <si>
    <t>RESPONSIBLE</t>
  </si>
  <si>
    <t>Cancelar saldo residual e fechar Projeto. Solicitado a compras. Emprea TEC SERVICE Bloqueada</t>
  </si>
  <si>
    <t>Abr
Finanças</t>
  </si>
  <si>
    <t>Mai
Finanças</t>
  </si>
  <si>
    <t>Jun
Finanças</t>
  </si>
  <si>
    <t>Jun
REAL SAP</t>
  </si>
  <si>
    <t>Jul
Finanças</t>
  </si>
  <si>
    <t>Ago
Finanças</t>
  </si>
  <si>
    <t>Set
Finanças</t>
  </si>
  <si>
    <t>Out
Finanças</t>
  </si>
  <si>
    <t>Nov
Finanças</t>
  </si>
  <si>
    <t>Dez
Finanças</t>
  </si>
  <si>
    <t>LCP-220176-EX</t>
  </si>
  <si>
    <t>24/0018</t>
  </si>
  <si>
    <t>24/0007</t>
  </si>
  <si>
    <t>24/0019</t>
  </si>
  <si>
    <t>Ok. Finalizado. Pode ser dado CLOSE - Doc 20 OK.</t>
  </si>
  <si>
    <t>LCP-240059-06</t>
  </si>
  <si>
    <t>PRO-MIC EQUIPMENT TO MEASURE CALENDER CROWN</t>
  </si>
  <si>
    <t>MAICON NOGUEIRA</t>
  </si>
  <si>
    <t>LCP-240059-07</t>
  </si>
  <si>
    <t>MANIPULADOR DAS BANDAS DE CAMELBACK NA DUPLEX#1</t>
  </si>
  <si>
    <t>LCP-240124</t>
  </si>
  <si>
    <t>BRZ - VBOX KIT AND SENSORS</t>
  </si>
  <si>
    <t>LCP-240128</t>
  </si>
  <si>
    <t>AME - TBM01 - SERVO DRIVE AND CONTROL REPLACEMENT</t>
  </si>
  <si>
    <t>AME - NG08 - SERVO DRIVE AND CONTROL REPLACEMENT</t>
  </si>
  <si>
    <t>AME - EQUIPMENT FOR VMI MACHINES TO BUILD 19" TIRES</t>
  </si>
  <si>
    <t>AME - EQUIPMENT FOR VMI MACHINES TO BUILD 15" TIRES</t>
  </si>
  <si>
    <t xml:space="preserve"> Bruno Bras</t>
  </si>
  <si>
    <t>LOC-240001-00-18</t>
  </si>
  <si>
    <t>LOC-240001-00-19</t>
  </si>
  <si>
    <t>LOC-240001-00-20</t>
  </si>
  <si>
    <t>LOC-240001-00-21</t>
  </si>
  <si>
    <t>LOC-240001-00-22</t>
  </si>
  <si>
    <t>(4) TV DE 43 POLEGADAS</t>
  </si>
  <si>
    <t>(2) CAIXAS DE SOM PARA CECOM BANBURY</t>
  </si>
  <si>
    <t>Leandro Carvalho</t>
  </si>
  <si>
    <t>MOVEIS PARA AREA CALANDRA AÇO</t>
  </si>
  <si>
    <t>(1) TV PARA SALA TREINAMENTO CALANDRA AÇO</t>
  </si>
  <si>
    <t>Jose Henrique</t>
  </si>
  <si>
    <t>LCP-240124-EX</t>
  </si>
  <si>
    <t>LCP-240140</t>
  </si>
  <si>
    <t>24/0039</t>
  </si>
  <si>
    <t>24/0038</t>
  </si>
  <si>
    <t>LAPG GERAL - MISCELANIUS QUARTELY</t>
  </si>
  <si>
    <t>AMERICANA REPLACEMENT OF WIRE CORD DETEC</t>
  </si>
  <si>
    <t>AMERICANA AVCB NEW WAREHOUSE-BLDG COMM</t>
  </si>
  <si>
    <t>AMERICANA (3) 52" HYDRAULIC CONS PRESSES</t>
  </si>
  <si>
    <t>BRAZIL GE MOUNTING PROJECT</t>
  </si>
  <si>
    <t>AMERICANA FVM GRINDER AUTOMATION</t>
  </si>
  <si>
    <t>BRS GEM PROJECT</t>
  </si>
  <si>
    <t>AMERICANA MIXER #2 BODY REPLACEMENT</t>
  </si>
  <si>
    <t>AMERICANA REPLACE PLC/CCM BO MIXER#3</t>
  </si>
  <si>
    <t>AMERICANA UPGRADE MRT XYLON X-RAY</t>
  </si>
  <si>
    <t>AMERICANA MIXER #6 BODY REPLACEMENT</t>
  </si>
  <si>
    <t>AMERICANA MIXER BB#07</t>
  </si>
  <si>
    <t>AME PNC PNEUMATIC CORE CONSTRUCTION</t>
  </si>
  <si>
    <t>AME - VULCAWELD CREEL ROOM PRESS</t>
  </si>
  <si>
    <t>AME UPGRADE WINDUP EXTR 8X8 SW</t>
  </si>
  <si>
    <t>ICP - AME - (8) PCI CAVITIES</t>
  </si>
  <si>
    <t>AME MICROPOISE AIT BALANCE</t>
  </si>
  <si>
    <t>AME OTR PRESS TRANSFER (AKRON)</t>
  </si>
  <si>
    <t>AME COGEN OVERHAUL</t>
  </si>
  <si>
    <t>MICROPOISE FVM/DBM EQUIPMENT AND TGIS UPGRADES (FVM#03 E FVM#10)</t>
  </si>
  <si>
    <t>AMERICANA WU/LO SAFETY UPGRADE</t>
  </si>
  <si>
    <t>AMERICANA 15" TOOLING FOR VMI MACHINES</t>
  </si>
  <si>
    <t>AME- CEMENT HOUSE COINTAIMENT AREA</t>
  </si>
  <si>
    <t>BRZ - FAM WH SECURITY CONTROL (CONTROL SYSTEM &amp; CAMERAS)</t>
  </si>
  <si>
    <t>2018 MISCELLANEOUS PROJECT TO MC PLANTS</t>
  </si>
  <si>
    <t>MC GERAL - MISCELANIUS QUARTELY</t>
  </si>
  <si>
    <t>AME - X-RAY B UPGRADE</t>
  </si>
  <si>
    <t>AME - BIJINIC TANK</t>
  </si>
  <si>
    <t>AME - UPG WIND-UP EXTRUDER 8X8 SW</t>
  </si>
  <si>
    <t>AME - 4 PCI (8) CAVITIES</t>
  </si>
  <si>
    <t>AME - MIXER#07 REPLACEMENT 2ND GEARBOX</t>
  </si>
  <si>
    <t>AME - MICROPOISE AIT BALANCE MACHINES (OBSOLESENCE)</t>
  </si>
  <si>
    <t>AME - NEW ROLLS FOR HOTFORMER</t>
  </si>
  <si>
    <t>BLUE RACK ADAPTATION TO NEW FIRE DEPARTMENT STANDARD (50% MINIMUM WATER FLOW IN THE FLOOR) - PHASE_2</t>
  </si>
  <si>
    <t>AME - WINDUP/LETOFF UPGRADE PROJECTS</t>
  </si>
  <si>
    <t>CTVM - CENTER MAX OFFICE RETROFIT</t>
  </si>
  <si>
    <t>AME - 1 NUMETRIX 1ST TIRE CHECK VISION SYSTEM</t>
  </si>
  <si>
    <t>AME PIGMENT WEIGHT SYSTEM</t>
  </si>
  <si>
    <t>REPLACEMENT CAR EXCHANGE MOLDS AND BLADDERS FOR CURING B1</t>
  </si>
  <si>
    <t>AME - Q5 EXTRUDER 8” GEAR BOX (EPT-200)</t>
  </si>
  <si>
    <t>AME - UPGRADE NO SISTEMA DE ROLL BENDING E COLETA DE DADOS PARA A CALANDRA 3 ROLOS</t>
  </si>
  <si>
    <t>AME - RETROFIT – BLUE RACKS FOR CONSUMER TIRES PHASE 3</t>
  </si>
  <si>
    <t>LAPG - WHEELS RACKS</t>
  </si>
  <si>
    <t>AME - MAZAK INTEGREX J300 MACHINING CENTER</t>
  </si>
  <si>
    <t>MC - ECRS PROJECT BY GM EPIACABA SEQUENCING</t>
  </si>
  <si>
    <t>BRZ - RETROFIT FOR CONSUMER RACKS PHASE 4</t>
  </si>
  <si>
    <t>AME - ADJUSMENT TO TARGET</t>
  </si>
  <si>
    <t>AMERICANA QUADRUPLEX EXTRUDER</t>
  </si>
  <si>
    <t>AMERICANA QUADRUPLEX EXTRUDER #7</t>
  </si>
  <si>
    <t>SAO PAULO</t>
  </si>
  <si>
    <t>OSIEL SOUZA</t>
  </si>
  <si>
    <t>JOÃO ZAINA</t>
  </si>
  <si>
    <t>EDUARDO ALVES</t>
  </si>
  <si>
    <t>LUCIANO BACHESQUE</t>
  </si>
  <si>
    <t>VILDEMBERGUE MALHEIROS</t>
  </si>
  <si>
    <t>FABRICIO RAMOS</t>
  </si>
  <si>
    <t>FLAVIO BOCHIO</t>
  </si>
  <si>
    <t>JOSÉ CARLOS VIEIRA</t>
  </si>
  <si>
    <t>PAULO FIGUEIRA</t>
  </si>
  <si>
    <t>GABRIEL CORREA</t>
  </si>
  <si>
    <t>ESTUDO DE VIABILIDADE CAMERAS BST TBMS</t>
  </si>
  <si>
    <t>EDINALDO PEREIRA</t>
  </si>
  <si>
    <t>JULIANO PARIZ</t>
  </si>
  <si>
    <t>LEONARDO JAVARONI</t>
  </si>
  <si>
    <t>ALISSON CIULDIM</t>
  </si>
  <si>
    <t>VINICIUS PELISSARI</t>
  </si>
  <si>
    <t>PROJETOS EM ANALISE AOP 2024 (10% DE $12MM)</t>
  </si>
  <si>
    <t>CLEBER SANTOS</t>
  </si>
  <si>
    <t>ANGELOR MARCONDES</t>
  </si>
  <si>
    <t>AME- ENDURANCE RSA &amp; URBAN MAX 17.5"</t>
  </si>
  <si>
    <t>ADRIANO ABRAMAVICUS</t>
  </si>
  <si>
    <t>JESUALDO BIZOFFI</t>
  </si>
  <si>
    <t>OBEDES</t>
  </si>
  <si>
    <t>VINICIUS MENEGHEL</t>
  </si>
  <si>
    <t>AME- 17.5-25 SMO MOLD TRANSF. FROM TITAN</t>
  </si>
  <si>
    <t>MARCUS NATAL</t>
  </si>
  <si>
    <t>AME - (8) PCI CAVITIES</t>
  </si>
  <si>
    <t>RENATO ARRUDA</t>
  </si>
  <si>
    <t>ANDREI MELO</t>
  </si>
  <si>
    <t>AME-26 COMPL. MOLDS ARMOR MAX MSA GEN2</t>
  </si>
  <si>
    <t>RET- NEW MOLDS SB-EXPANSION</t>
  </si>
  <si>
    <t>BRZ - TRANSPORTATION CONTROL SYSTEM IMPROVEMENT</t>
  </si>
  <si>
    <t>AME-14.00-24 SGG-2A DEVELOP. IN BRAZIL</t>
  </si>
  <si>
    <t>AME- 20 MOLD TRANSFER FROM USA TO BRAZIL</t>
  </si>
  <si>
    <t>MC - RETROFIT INSIDE GM SEQUENCING AREA</t>
  </si>
  <si>
    <t>LCP-240059-08</t>
  </si>
  <si>
    <t>LCP-240059-09</t>
  </si>
  <si>
    <t>CILINDRO DA PLACA DO GRIPPER</t>
  </si>
  <si>
    <t>EEX-240006-00-04</t>
  </si>
  <si>
    <t>RICARADO MOREIRA</t>
  </si>
  <si>
    <t>ESTUDO FRIBRA OTICA CENTER MAX</t>
  </si>
  <si>
    <t>ICP-240027</t>
  </si>
  <si>
    <t>LCP-240059-10</t>
  </si>
  <si>
    <t>MARCELA PAVAO PORNARO PERRONE (ZA33924)</t>
  </si>
  <si>
    <t>LOC-240001-00-23</t>
  </si>
  <si>
    <t>(10) IPHONES E CARREGADORES</t>
  </si>
  <si>
    <t>EEX-240006-00-05</t>
  </si>
  <si>
    <t>ESTUDO PROJETO SISTEMA DE ODORES CETESB – FASE 2</t>
  </si>
  <si>
    <t>Abr
REAL SAP</t>
  </si>
  <si>
    <t>23/0058</t>
  </si>
  <si>
    <t>AME - INSTALLATION OF DIV.A RACKS</t>
  </si>
  <si>
    <t>CONTROLE DE ACESSO PORTARIA</t>
  </si>
  <si>
    <t>ORDER</t>
  </si>
  <si>
    <t>HOPPER NUMBER</t>
  </si>
  <si>
    <t>LEADER</t>
  </si>
  <si>
    <t>24/0041</t>
  </si>
  <si>
    <t>23/0055</t>
  </si>
  <si>
    <t>24/0043</t>
  </si>
  <si>
    <t>24/0034</t>
  </si>
  <si>
    <t>Dif:</t>
  </si>
  <si>
    <t>Carlos De Santana (AA04013)</t>
  </si>
  <si>
    <t>LOC-240001-00-24</t>
  </si>
  <si>
    <t>LOC-240001-00-25</t>
  </si>
  <si>
    <t>STEFFANY DE MORAES PEREIRA (ZA76421)</t>
  </si>
  <si>
    <t>(3) IPHONES - (3) CARREGADORORES - (3) FONES</t>
  </si>
  <si>
    <t>Bruno Bras (AA59472)</t>
  </si>
  <si>
    <t>LOC-240001-00-26</t>
  </si>
  <si>
    <t>(4) TV DE 55 POLEGADAS</t>
  </si>
  <si>
    <t>LCP-240158-EX</t>
  </si>
  <si>
    <t>TRANSF. 8 MOLDS FROM CH TO AM</t>
  </si>
  <si>
    <t>Material</t>
  </si>
  <si>
    <t>5999000000</t>
  </si>
  <si>
    <t>USD</t>
  </si>
  <si>
    <t>BRL</t>
  </si>
  <si>
    <t>Exchange Rate Adjust</t>
  </si>
  <si>
    <t>janeiro</t>
  </si>
  <si>
    <t>1</t>
  </si>
  <si>
    <t>8241156403</t>
  </si>
  <si>
    <t>Instalação e montagem maquinas e apare</t>
  </si>
  <si>
    <t>2110020000</t>
  </si>
  <si>
    <t>2</t>
  </si>
  <si>
    <t>2168530000</t>
  </si>
  <si>
    <t>1169912010</t>
  </si>
  <si>
    <t>4660000018</t>
  </si>
  <si>
    <t>2110000009</t>
  </si>
  <si>
    <t>Despesas pagas</t>
  </si>
  <si>
    <t>602006407</t>
  </si>
  <si>
    <t>TRANSPORTES DELLA VOLPE S A</t>
  </si>
  <si>
    <t>1430082020</t>
  </si>
  <si>
    <t>606000086</t>
  </si>
  <si>
    <t>TSA Transportes Scremim e Armazenag</t>
  </si>
  <si>
    <t>Armazenamento, depósito, carga,descarg</t>
  </si>
  <si>
    <t>Fornecimento M.O. temporário, contratad</t>
  </si>
  <si>
    <t>8241074724</t>
  </si>
  <si>
    <t>Engenharia, Agronomia, congêneres</t>
  </si>
  <si>
    <t>Execução, empreitada constr.civil</t>
  </si>
  <si>
    <t>Assessoria e consultoria analise, compil</t>
  </si>
  <si>
    <t>Ref. 317-0 Fatura Fornecedor Transferencia de con</t>
  </si>
  <si>
    <t>8241606407</t>
  </si>
  <si>
    <t>1169912000</t>
  </si>
  <si>
    <t>Carpintaria e serralheria</t>
  </si>
  <si>
    <t>Ref. 466-03-32 G/L account document Trf to Asset A</t>
  </si>
  <si>
    <t>1301302540</t>
  </si>
  <si>
    <t>Tradução</t>
  </si>
  <si>
    <t>1751002000</t>
  </si>
  <si>
    <t>SENSOR DE PROMIDADE INDUTIVO. P/ NGTTS</t>
  </si>
  <si>
    <t>CC7532591</t>
  </si>
  <si>
    <t>SHEROGRAPHY UPGRADE</t>
  </si>
  <si>
    <t>CAP-CORSAIR Project</t>
  </si>
  <si>
    <t>UPGRADE KOKUSAI#1</t>
  </si>
  <si>
    <t>RET - NEW CHILLER</t>
  </si>
  <si>
    <t>Posting Date</t>
  </si>
  <si>
    <t>Document Date</t>
  </si>
  <si>
    <t>Fiscal Year</t>
  </si>
  <si>
    <t>Period</t>
  </si>
  <si>
    <t>Purchasing Document</t>
  </si>
  <si>
    <t>Cost Element</t>
  </si>
  <si>
    <t>Document Number</t>
  </si>
  <si>
    <t>Total Quantity</t>
  </si>
  <si>
    <t>Val/COArea Crcy</t>
  </si>
  <si>
    <t>CO area currency</t>
  </si>
  <si>
    <t>Value in Obj. Crcy</t>
  </si>
  <si>
    <t>Object Currency</t>
  </si>
  <si>
    <t>Name</t>
  </si>
  <si>
    <t>Purchase order text</t>
  </si>
  <si>
    <t>Offsetting acct no.</t>
  </si>
  <si>
    <t>Name of offsetting account</t>
  </si>
  <si>
    <t>94200100</t>
  </si>
  <si>
    <t>RAGEMTE2</t>
  </si>
  <si>
    <t>57109980</t>
  </si>
  <si>
    <t>909011</t>
  </si>
  <si>
    <t>57109901</t>
  </si>
  <si>
    <t>8241233573</t>
  </si>
  <si>
    <t>57109903</t>
  </si>
  <si>
    <t>Electrical Engineering Design</t>
  </si>
  <si>
    <t>352523</t>
  </si>
  <si>
    <t>HWH ARCHITECTS ENGINEERS PLANNERS</t>
  </si>
  <si>
    <t>8241438909</t>
  </si>
  <si>
    <t>Quad Extruder #7 Project Elec Facilities</t>
  </si>
  <si>
    <t>EXP - Quad Extruder #7 Elec Facilities</t>
  </si>
  <si>
    <t>8241463862</t>
  </si>
  <si>
    <t>HWH ARCHITECHS ENGINEERS PLANNERS</t>
  </si>
  <si>
    <t>Facilities Civil Design - Expense</t>
  </si>
  <si>
    <t>8240759732</t>
  </si>
  <si>
    <t>52" Hydraulic Curing Press w/PCI</t>
  </si>
  <si>
    <t>6492</t>
  </si>
  <si>
    <t>NR-12 Certification</t>
  </si>
  <si>
    <t>8241556774</t>
  </si>
  <si>
    <t>Quad #7 - Facil Mech Eng - Osborn</t>
  </si>
  <si>
    <t>OSBORN ENGINEERING CO</t>
  </si>
  <si>
    <t>8241266864</t>
  </si>
  <si>
    <t>Engineering Services Mechanical PWS</t>
  </si>
  <si>
    <t>Eng Services Mechanical PWS - Expenses</t>
  </si>
  <si>
    <t>8241252252</t>
  </si>
  <si>
    <t>PM Engineering Services/Labor</t>
  </si>
  <si>
    <t>VMI EPE HOLLAND</t>
  </si>
  <si>
    <t>Transport and packing</t>
  </si>
  <si>
    <t>8241463855</t>
  </si>
  <si>
    <t>Project Managers Assistance</t>
  </si>
  <si>
    <t>Project Managers Asst. Expenses</t>
  </si>
  <si>
    <t>8240397866</t>
  </si>
  <si>
    <t>Installation Supervision &amp; Commissioning</t>
  </si>
  <si>
    <t>Magnetic Bead set tooling</t>
  </si>
  <si>
    <t>8241233166</t>
  </si>
  <si>
    <t>Engineer Consulting Services</t>
  </si>
  <si>
    <t>Labor</t>
  </si>
  <si>
    <t>8241100089</t>
  </si>
  <si>
    <t>DB Config &amp; Start-Up of VMI Maxx &amp; Apexr</t>
  </si>
  <si>
    <t>239420</t>
  </si>
  <si>
    <t>DIGITAL RESOURCE SYSTEMS INC</t>
  </si>
  <si>
    <t>140501</t>
  </si>
  <si>
    <t>WEBB STILES CO</t>
  </si>
  <si>
    <t>8241717769</t>
  </si>
  <si>
    <t>TCU Control Cabinets</t>
  </si>
  <si>
    <t>ROCKWELL AUTOMATION</t>
  </si>
  <si>
    <t>Extruder RIO+PB stations RIO1100-1400</t>
  </si>
  <si>
    <t>RIO3900 Cassette Heater Panel</t>
  </si>
  <si>
    <t>RIO4100 Ext Head I/O Panel</t>
  </si>
  <si>
    <t>RIO4300 Head Hydraulic Valves Panel</t>
  </si>
  <si>
    <t>Feed Conveyor RIO+PB stations</t>
  </si>
  <si>
    <t>Extruder RIO2000</t>
  </si>
  <si>
    <t>Head Operator Station OS4200</t>
  </si>
  <si>
    <t>Main Op Panel OS4500</t>
  </si>
  <si>
    <t>Profiler Remote OS4600</t>
  </si>
  <si>
    <t>Maintenance Console OS4700</t>
  </si>
  <si>
    <t>CAB5100 Feed Conveyor and Upstream Drive</t>
  </si>
  <si>
    <t>Windup Drive Cabinet</t>
  </si>
  <si>
    <t>Windup RIO Cabinets</t>
  </si>
  <si>
    <t>LED Message Displays</t>
  </si>
  <si>
    <t>Motor Disconnect Switches</t>
  </si>
  <si>
    <t>330 kVA Transformer</t>
  </si>
  <si>
    <t>CAB2100 and Transformer</t>
  </si>
  <si>
    <t>Hardware Engineering</t>
  </si>
  <si>
    <t>RIO3000 TCU Central Cooling Cabinet</t>
  </si>
  <si>
    <t>57109907</t>
  </si>
  <si>
    <t>351915</t>
  </si>
  <si>
    <t>COMMERCIAL TIMESHARING INC</t>
  </si>
  <si>
    <t>8241731239</t>
  </si>
  <si>
    <t>BIM EP Development</t>
  </si>
  <si>
    <t>90030894</t>
  </si>
  <si>
    <t>Design Phase</t>
  </si>
  <si>
    <t>BIM Coordination - Gap Modelling</t>
  </si>
  <si>
    <t>8241648649</t>
  </si>
  <si>
    <t>Gap Modeling</t>
  </si>
  <si>
    <t>8240975564</t>
  </si>
  <si>
    <t>Electrical drawings for MRT FF conveyor</t>
  </si>
  <si>
    <t>8241808096</t>
  </si>
  <si>
    <t>Americana WBR CTI Software Update</t>
  </si>
  <si>
    <t>BIM Coordination - Preconstruction</t>
  </si>
  <si>
    <t>8241850023</t>
  </si>
  <si>
    <t>UMD AUTOMATED SYSTEMS INC</t>
  </si>
  <si>
    <t>8241835133</t>
  </si>
  <si>
    <t>Americana MRT CTI Software</t>
  </si>
  <si>
    <t>8241664492</t>
  </si>
  <si>
    <t>245602</t>
  </si>
  <si>
    <t>AkroDYNE FX rims</t>
  </si>
  <si>
    <t>BIM Coordination - Execution Phase</t>
  </si>
  <si>
    <t>8241878114</t>
  </si>
  <si>
    <t>Hotformer Conveyor w/metal detector</t>
  </si>
  <si>
    <t>ERIEZ MANUFACTURING CO</t>
  </si>
  <si>
    <t>15” synchro carcass drum</t>
  </si>
  <si>
    <t>15" center deck support</t>
  </si>
  <si>
    <t>15" center decks</t>
  </si>
  <si>
    <t>15" side rings</t>
  </si>
  <si>
    <t>Turn-up finger springs</t>
  </si>
  <si>
    <t>LAT Cap Expense Reclass</t>
  </si>
  <si>
    <t>Project definition</t>
  </si>
  <si>
    <t>CO object name</t>
  </si>
  <si>
    <t>Reference document category</t>
  </si>
  <si>
    <t>Val.in rep.cur.</t>
  </si>
  <si>
    <t>Report currency</t>
  </si>
  <si>
    <t>Name 1</t>
  </si>
  <si>
    <t>POrd</t>
  </si>
  <si>
    <t>ICP-200043-33</t>
  </si>
  <si>
    <t>52" curing presses with PCI's</t>
  </si>
  <si>
    <t>ICP-200043-31</t>
  </si>
  <si>
    <t>VMI Maxx (2) TBM</t>
  </si>
  <si>
    <t>SRM Activity</t>
  </si>
  <si>
    <t>ICP-210004-99</t>
  </si>
  <si>
    <t>SRM Activity Not In &lt;Country&gt;</t>
  </si>
  <si>
    <t>8240508435</t>
  </si>
  <si>
    <t>Mechanical Conveyor Consultant Order</t>
  </si>
  <si>
    <t>HOTTLE &amp; ASSOCIATES INC</t>
  </si>
  <si>
    <t>8240548627</t>
  </si>
  <si>
    <t>Electrical Drawings for Conveyor</t>
  </si>
  <si>
    <t>8240604994</t>
  </si>
  <si>
    <t>Matteuzzi RRM45-2ST Grinding Machine</t>
  </si>
  <si>
    <t>CENTRAL MARKETING</t>
  </si>
  <si>
    <t>ICP-210032-99</t>
  </si>
  <si>
    <t>8240634175</t>
  </si>
  <si>
    <t>Expedited Delivery</t>
  </si>
  <si>
    <t>HARBURG FREUDENBERGER MASCHINENBAU</t>
  </si>
  <si>
    <t>8240657189</t>
  </si>
  <si>
    <t>3 TBM Upgrades for SMT Drum</t>
  </si>
  <si>
    <t>ICP-210036-99</t>
  </si>
  <si>
    <t>8240740257</t>
  </si>
  <si>
    <t>Kokusai MRT DBM for Americana</t>
  </si>
  <si>
    <t>KOKUSAI INC</t>
  </si>
  <si>
    <t>52" Press w/PCI Supervision &amp; Commission</t>
  </si>
  <si>
    <t>ICP-200043-32</t>
  </si>
  <si>
    <t>Elec Conveyor Controls</t>
  </si>
  <si>
    <t>8240791098</t>
  </si>
  <si>
    <t>Green tire conveyor software</t>
  </si>
  <si>
    <t>Tire Assembly Consumer</t>
  </si>
  <si>
    <t>8240920266</t>
  </si>
  <si>
    <t>Mechanical Supervision</t>
  </si>
  <si>
    <t>8240944598</t>
  </si>
  <si>
    <t>Americana MRT Conveyor Drafting Support</t>
  </si>
  <si>
    <t>EXP Electrical drawings for MRT FF conv</t>
  </si>
  <si>
    <t>VMI MAXX APS SERVER ENGINEERING SUPPORT</t>
  </si>
  <si>
    <t>ICP-220054-23</t>
  </si>
  <si>
    <t>PWS 1, P, 22 Stns</t>
  </si>
  <si>
    <t>8241204967</t>
  </si>
  <si>
    <t>Pigment Weigh Sys #1 (P) Equip &amp; Pkg</t>
  </si>
  <si>
    <t>COLOR SERVICE SRL</t>
  </si>
  <si>
    <t>ICP-220054-93-23</t>
  </si>
  <si>
    <t>Spares Sys 1</t>
  </si>
  <si>
    <t>Pigment weigh system 1 (P) Spare parts</t>
  </si>
  <si>
    <t>PWS 2, N, 29 Stns</t>
  </si>
  <si>
    <t>Pigment Weigh System #2 (N) Equip &amp; Pkg</t>
  </si>
  <si>
    <t>Spares Sys 2</t>
  </si>
  <si>
    <t>Pigment weigh system 2 (N), Spare parts</t>
  </si>
  <si>
    <t>PWS 3, P+N, 41 Stns</t>
  </si>
  <si>
    <t>Pigment weigh system 3 (P+N) Equip &amp; Pkg</t>
  </si>
  <si>
    <t>Spares Sys 3</t>
  </si>
  <si>
    <t>Pigment weigh system 3 (P+N) Spare parts</t>
  </si>
  <si>
    <t>PWS 4, P+N, 1 Stns</t>
  </si>
  <si>
    <t>Pigment weigh system 4 (P+N) Equip &amp; Pkg</t>
  </si>
  <si>
    <t>Spares Sys 4</t>
  </si>
  <si>
    <t>Pigment weigh system 4 (P+N) Spare parts</t>
  </si>
  <si>
    <t>ICP-220054-99</t>
  </si>
  <si>
    <t>ICP-220025-99</t>
  </si>
  <si>
    <t>Facilities Engineering</t>
  </si>
  <si>
    <t>8241233736</t>
  </si>
  <si>
    <t>Storage of Solar Turbine</t>
  </si>
  <si>
    <t>MORRIS EXPORT SERVICES CO</t>
  </si>
  <si>
    <t>ICP-230034-25</t>
  </si>
  <si>
    <t>Extruders and Head</t>
  </si>
  <si>
    <t>8241404117</t>
  </si>
  <si>
    <t>PCR Tread Aggregate MP550I</t>
  </si>
  <si>
    <t>KraussMaffei Extrusion GmbH</t>
  </si>
  <si>
    <t>Extruder Installation and Supervision</t>
  </si>
  <si>
    <t>Extruder Aggregate Install Supervision</t>
  </si>
  <si>
    <t>ICP-200037-99</t>
  </si>
  <si>
    <t>SRM Activity and Other General Costs</t>
  </si>
  <si>
    <t>8241413907</t>
  </si>
  <si>
    <t>Rogers PCI Support Trip - Expenses</t>
  </si>
  <si>
    <t>ROGERS INDUSTRIAL PRODUCTS INC</t>
  </si>
  <si>
    <t>16" center deck support</t>
  </si>
  <si>
    <t>16" center decks</t>
  </si>
  <si>
    <t>16" side rings</t>
  </si>
  <si>
    <t>ICP-230034-99</t>
  </si>
  <si>
    <t>8241462796</t>
  </si>
  <si>
    <t>Matteuzzi RRM45-2ST SMART Grinder</t>
  </si>
  <si>
    <t>ALIGNMENT AND CALIBRATION KIT</t>
  </si>
  <si>
    <t>LOCKABLE METAL BOX</t>
  </si>
  <si>
    <t>15”/16”/17” BEAD PLATES</t>
  </si>
  <si>
    <t>18”/19”/20” BEAD PLATES</t>
  </si>
  <si>
    <t>DIAMOND COATED GRINDING TOOL</t>
  </si>
  <si>
    <t>COVERING PLATES</t>
  </si>
  <si>
    <t>COMPLIANCE TO NR12 RULES FOR BRAZIL</t>
  </si>
  <si>
    <t>UPDATING TECHNICAL DOCUMENTATION</t>
  </si>
  <si>
    <t>PACKING</t>
  </si>
  <si>
    <t>Installation and Commissioning</t>
  </si>
  <si>
    <t>8241635297</t>
  </si>
  <si>
    <t>Capstrip hinging doors on MAXX</t>
  </si>
  <si>
    <t>Packaging</t>
  </si>
  <si>
    <t>ICP-230071-99</t>
  </si>
  <si>
    <t>Akrodyne Fx Balance Machine</t>
  </si>
  <si>
    <t>Drives and Controls Hardware</t>
  </si>
  <si>
    <t>TCU Controls</t>
  </si>
  <si>
    <t>Tread Spiral Spool Windups</t>
  </si>
  <si>
    <t>Tread - Inview message displays</t>
  </si>
  <si>
    <t>Component Prep</t>
  </si>
  <si>
    <t>BIM Coordination - Close Out</t>
  </si>
  <si>
    <t>SRM Activity Not In Brazil</t>
  </si>
  <si>
    <t>ICP-240024-99</t>
  </si>
  <si>
    <t>8241843998</t>
  </si>
  <si>
    <t>BEAD APEX DRUM PLATE 19’’ (S SIZE)</t>
  </si>
  <si>
    <t>BEAD APEX DRUM PLATE 19’’ (L SIZE)</t>
  </si>
  <si>
    <t>8241844130</t>
  </si>
  <si>
    <t>19” synchro carcass drum</t>
  </si>
  <si>
    <t>19" center decks</t>
  </si>
  <si>
    <t>19" side rings</t>
  </si>
  <si>
    <t>19" center deck support</t>
  </si>
  <si>
    <t>19" Magnetic Bead set tooling</t>
  </si>
  <si>
    <t>19" Beadclamp ring mounting tool</t>
  </si>
  <si>
    <t>8241844140</t>
  </si>
  <si>
    <t>15" Magnetic Bead set tooling</t>
  </si>
  <si>
    <t>15" Beadclamp ring mounting tool</t>
  </si>
  <si>
    <t>ICP-240020-99</t>
  </si>
  <si>
    <t>8241849919</t>
  </si>
  <si>
    <t>Upgrade 3 MRT X-Rays to Windows 10</t>
  </si>
  <si>
    <t>YXLON INTERNATIONAL GMBH</t>
  </si>
  <si>
    <t>Upgr 3 MRT X-Rays to Win 10 / Training</t>
  </si>
  <si>
    <t>8241899469</t>
  </si>
  <si>
    <t>DBM 4 conveyor electrical drawings</t>
  </si>
  <si>
    <t>8241899493</t>
  </si>
  <si>
    <t>DBM 4 conveyor elec controls</t>
  </si>
  <si>
    <t>400 HP Motor R50-A000-0014</t>
  </si>
  <si>
    <t>150 HP Motor R40-A000-0231</t>
  </si>
  <si>
    <t>250 HP Motor</t>
  </si>
  <si>
    <t>PH Water System</t>
  </si>
  <si>
    <t>pH Water Skid &amp; Tank</t>
  </si>
  <si>
    <t>Aquafine UV Treatment System</t>
  </si>
  <si>
    <t>DBM #4 Conveyors</t>
  </si>
  <si>
    <t>LCP-240149</t>
  </si>
  <si>
    <t>LCP-240152</t>
  </si>
  <si>
    <t>AME - HEXAPLEX RTS REPLACEMENT</t>
  </si>
  <si>
    <t>AME - (03) TRANSFER ORING WYKO - NGTTS</t>
  </si>
  <si>
    <t>CARLOS MATIOLI</t>
  </si>
  <si>
    <t>8241904135</t>
  </si>
  <si>
    <t>Total quantity</t>
  </si>
  <si>
    <t>Material Description</t>
  </si>
  <si>
    <t>GR n/IR-Non Capx</t>
  </si>
  <si>
    <t>Trf to Asset Acct</t>
  </si>
  <si>
    <t>COFINS F/A Reco CIAP</t>
  </si>
  <si>
    <t>RM-SplInTrnitInterCo</t>
  </si>
  <si>
    <t>RM-Spl-InTrnit-3rdPt</t>
  </si>
  <si>
    <t>CWIP InTrnit (GR/IR)</t>
  </si>
  <si>
    <t>PostingDateMES</t>
  </si>
  <si>
    <t>Mes do Posting Date</t>
  </si>
  <si>
    <t>Direct Charge C AM</t>
  </si>
  <si>
    <t>AP-Trade-Man Adj</t>
  </si>
  <si>
    <t>SWITCH PROXIMITY 872C-M8BP18-D4</t>
  </si>
  <si>
    <t>AGUARDANDO</t>
  </si>
  <si>
    <t>ZESCO INC</t>
  </si>
  <si>
    <t>LCP-240177</t>
  </si>
  <si>
    <t>LCP-240178</t>
  </si>
  <si>
    <t>FSB - INSPECTION CAMERA BUFFER E TRIMMER</t>
  </si>
  <si>
    <t>LCP-240139-EX</t>
  </si>
  <si>
    <t>8241907394</t>
  </si>
  <si>
    <t>AME - ARTICULATED DRUM TIRE 20,5" GREADERLRF AND OTRLAMINATOR</t>
  </si>
  <si>
    <t>AMERICANA WIND UPLET OFF PHASE III</t>
  </si>
  <si>
    <t>UPG MOUNTINGLINE FOR MQB - ANCHIETA</t>
  </si>
  <si>
    <t>FAM AVCB PHASE II EMERGENCYLIGHTINING AND ALARMS</t>
  </si>
  <si>
    <t>BRZ - FAM WHLOADING DOCKS ADEQUACY - 5 REMAINING EQUIPMENTS</t>
  </si>
  <si>
    <t>UPGRADE FACKTORLINK/ GML D#4</t>
  </si>
  <si>
    <t>REG -LAPG VDA FIRE PROTECTIONLINE</t>
  </si>
  <si>
    <t>EXHAUST SYSTEM -LINES A/B &amp; G/H CONSUMER PRESSES</t>
  </si>
  <si>
    <t>WIND UPLET OFF NGTTS#5 &amp; #8</t>
  </si>
  <si>
    <t>ANCHOR SYSTEM &amp; SAFETYLINE - PHASE II</t>
  </si>
  <si>
    <t>NEW OILLINE SYDININI</t>
  </si>
  <si>
    <t>MOBILE DOCKLEVELER FOR NEW WAREHOUSE</t>
  </si>
  <si>
    <t>ALPHA SHEARLETOFF TREATMENT</t>
  </si>
  <si>
    <t>HOTFORMER UPGRADELINNER AND SCREW</t>
  </si>
  <si>
    <t>HOTFORMER UPGLINNER AND SCREW STATIONS #04</t>
  </si>
  <si>
    <t>AUTOMATICLOADING WIND UP – GUM CALENDER #2</t>
  </si>
  <si>
    <t>COMFORTLANES REPAVING</t>
  </si>
  <si>
    <t>UPG AKROSCAN SYSTEM FORLINES FVM</t>
  </si>
  <si>
    <t>AME – INTERNALLIGHTING ADEQUACY</t>
  </si>
  <si>
    <t xml:space="preserve"> AME - 2 RHEOMETER PREMIER MDR FORLABORATORY</t>
  </si>
  <si>
    <t>QuarterlyLiberado em 01/02/2023, projetos aprovados no HopperLiberados em 02/02/2023.</t>
  </si>
  <si>
    <t>BRA -CONVEYOR'S REPLACEMENT IN WH TOLOAD TIRES (3 UNITS)</t>
  </si>
  <si>
    <t>MC -LUBRIFICADOR DE CUBO DE RODA AUTOMATICO</t>
  </si>
  <si>
    <t>AME - OVERHAULLASER 4JET MACHINE</t>
  </si>
  <si>
    <t>FSB - PROFILE CONTROL ANDLENGTH EXTRUDER</t>
  </si>
  <si>
    <t>MC - SPARE TIRE DATA MATRIXLABEL IMPLEMENTATION</t>
  </si>
  <si>
    <t>IVANLEAL</t>
  </si>
  <si>
    <t>RELOCAÇÃOLAY-OUT ESTOQUE FAM - DIV. A</t>
  </si>
  <si>
    <t>READEQUACAOLAYOUT ESCRITORIO PRODUCAO</t>
  </si>
  <si>
    <t>ESTUDO PARALINHAS DE VIDA - FAM</t>
  </si>
  <si>
    <t>ESTUDO PARA BARRA ESTABILIZADORA -LAPG</t>
  </si>
  <si>
    <t>RELOCAÇÃOLAY-OUT NAS MÁQUINAS TBMS</t>
  </si>
  <si>
    <t>NEW 3500 RACKS -LOCKBOURNE</t>
  </si>
  <si>
    <t>Nâo sera usado aLinha de despesa</t>
  </si>
  <si>
    <t>AME WIND UPLET OFF ENHANCEMENT PHASE II</t>
  </si>
  <si>
    <t>AME PIGMENT WEIGHT SYSTEM -LONGLEAD BUDGET</t>
  </si>
  <si>
    <t>MC - TIRESLUBRIFICATIONS MACHINES IN MC</t>
  </si>
  <si>
    <t>BudgetLiberado em 19/12/2023.</t>
  </si>
  <si>
    <t>LAPG - RETROFIT OF THE CONTROLLED SPRAY PIPES  OF THE NORTH APPROACH AND VDALANES</t>
  </si>
  <si>
    <t>AME - CAL4R2 - CONTROLS AND WINDINGLOOP</t>
  </si>
  <si>
    <t>AME - CAL4R1 - CONTROLS AND WINDINGLOOP</t>
  </si>
  <si>
    <t>Provavelmente será utilizado. AguardandoLayout pelo DOI</t>
  </si>
  <si>
    <t>AME- 12.00R24 ARMOR MAX OTR -LINE EXT.</t>
  </si>
  <si>
    <t>AME-295/80R22.5 KMAX S G2 -LI and ECE</t>
  </si>
  <si>
    <t>RESFRIAMENTO DA CABINE DOLASER RAIO X 2A</t>
  </si>
  <si>
    <t>LeonardoLeite</t>
  </si>
  <si>
    <t>(01)  SMART TVLED FULL HD PARA SALA RH</t>
  </si>
  <si>
    <t>(01) SMART TV SAMSUNGLED 55'' 55AU8000</t>
  </si>
  <si>
    <t>(02) SMART TV SAMSUNGLED 55'' 55AU8000</t>
  </si>
  <si>
    <t>(01) SMART TV SAMSUNGLED 55'' 55TU8000</t>
  </si>
  <si>
    <t>(02)LONGARINAS AREA RECEBIMENTO</t>
  </si>
  <si>
    <t>(01) ARMÁRIO EM MDF PARA OLABORATÓRIO</t>
  </si>
  <si>
    <t>(01) SISTEMA VIDEOCONFERÊNCIALOGITECH</t>
  </si>
  <si>
    <t>(03) SMART TV 55'' 4KLG UHD P/ EHS</t>
  </si>
  <si>
    <t>(01) COMPRESSOR DE AR 250LITROS</t>
  </si>
  <si>
    <t>(11) CADEIRAS ESCRITÓRIO PARALOGÍSTICA</t>
  </si>
  <si>
    <t xml:space="preserve">JOSELUIZ DE SOUZA </t>
  </si>
  <si>
    <t>(03) SMART TVsLG 55''</t>
  </si>
  <si>
    <t>SMART TV FULLLED 65'' - DIV. A</t>
  </si>
  <si>
    <t>(01) FORNO MICROONDAS 31LITROS 127V</t>
  </si>
  <si>
    <t>(01) MICROONDAS ELETROLUX 31LITROS EHS</t>
  </si>
  <si>
    <t>HELIVELTO DELIMA</t>
  </si>
  <si>
    <t>CADEIRA 3LUGARES CECOM B1</t>
  </si>
  <si>
    <t>(01) SMART TV SAMSUNGLED 55'' Q&amp;ETECH</t>
  </si>
  <si>
    <t>(01) SMART TV SAMSUNGLED 55'' ETECH</t>
  </si>
  <si>
    <t>(04) CADEIRASLONGARINA COM 3 ASSENTOS</t>
  </si>
  <si>
    <t>(01) SMART TVLED 40'' P/ CORTADEIRAS B1</t>
  </si>
  <si>
    <t>(01) SMART TV FULLED 65" OTR</t>
  </si>
  <si>
    <t>(01) RELÓGIO DE PONTO P/ ESC.LOGÍSTICA</t>
  </si>
  <si>
    <t>(23) POLTRONA TESSOPERACIONAL -LAPG</t>
  </si>
  <si>
    <t>(1)LONGARINA PARA AREA DA CALANDRA AÇO</t>
  </si>
  <si>
    <t>(1) QUADROLOUSA - SALA DO TEN</t>
  </si>
  <si>
    <t>Leandro Carvalho (NSAF518</t>
  </si>
  <si>
    <t>(3)  TV E SUPORTES PARA TV - LABORATORIO</t>
  </si>
  <si>
    <t>(15) MESAS DE 6LUGARES</t>
  </si>
  <si>
    <t>ST Liab Freight</t>
  </si>
  <si>
    <t>Ajuste Sonda Lançamento Manuais</t>
  </si>
  <si>
    <t>TaxRecover L/T ICMS</t>
  </si>
  <si>
    <t>Lubrificação, limpeza, conserto, manuten</t>
  </si>
  <si>
    <t>TEAM LATIN AMERICA</t>
  </si>
  <si>
    <t>Facilities Civil Design Services - Labor</t>
  </si>
  <si>
    <t>ARP TIRES EQUIPMENT (HK) CO., LTD.</t>
  </si>
  <si>
    <t>CAB5200 Cooling Line Drives Cabinet</t>
  </si>
  <si>
    <t>Cooling Line RIO Panels</t>
  </si>
  <si>
    <t>eng BIM Company, LLC.</t>
  </si>
  <si>
    <t>Cooling Line</t>
  </si>
  <si>
    <t>Cooling Line Installation Supervision</t>
  </si>
  <si>
    <t>MICRO POISE MEASUREMENT SYSTEMS LLC</t>
  </si>
  <si>
    <t>BEAD PLATE LIFT SYSTEM</t>
  </si>
  <si>
    <t>Low Voltage Line Transformers</t>
  </si>
  <si>
    <t>CN line 14 - Cooling Line RIO Panels</t>
  </si>
  <si>
    <t>Cooling Line Conveyors</t>
  </si>
  <si>
    <t>Cooling line Insallation and Supervision</t>
  </si>
  <si>
    <t>Automated Matl Handling &amp; Logistics</t>
  </si>
  <si>
    <t>WBS</t>
  </si>
  <si>
    <t>19/0038</t>
  </si>
  <si>
    <t>EXP-EXPENSES</t>
  </si>
  <si>
    <t>EX - VBOX EQUIPMENT</t>
  </si>
  <si>
    <t>EX - COGEN OVERHAUL</t>
  </si>
  <si>
    <t>WBS-PROJETCT</t>
  </si>
  <si>
    <t>22/0041</t>
  </si>
  <si>
    <t>23/0023</t>
  </si>
  <si>
    <t>23/0025 - Linha 1
23/0026 - Linha 2
24/0010 -Linha3</t>
  </si>
  <si>
    <t>WBS Element</t>
  </si>
  <si>
    <t>WBS element</t>
  </si>
  <si>
    <t>23/0053</t>
  </si>
  <si>
    <t>24/0022</t>
  </si>
  <si>
    <t>24/0021</t>
  </si>
  <si>
    <t>24/0024 - 24/0011</t>
  </si>
  <si>
    <t>23/0054</t>
  </si>
  <si>
    <t>24/0020</t>
  </si>
  <si>
    <t>Cobrado</t>
  </si>
  <si>
    <t>Status</t>
  </si>
  <si>
    <t>Level</t>
  </si>
  <si>
    <t>Plant</t>
  </si>
  <si>
    <t>Controlling area</t>
  </si>
  <si>
    <t>REL  BUDG AVAC SETC  //  BREL</t>
  </si>
  <si>
    <t>L502</t>
  </si>
  <si>
    <t>F600</t>
  </si>
  <si>
    <t>COGEN ELECTRICAL ENERGY AND STEAN</t>
  </si>
  <si>
    <t>LCP-160092-EX</t>
  </si>
  <si>
    <t>CLSD BUDG ISBD AVAC SETC  //  BREL</t>
  </si>
  <si>
    <t>EXP-CONTINGENCY</t>
  </si>
  <si>
    <t>LCP-160092-EX-01</t>
  </si>
  <si>
    <t>CLSD BUDG AVAC SETC  //  BREL</t>
  </si>
  <si>
    <t>EXP-ENERGY CONTRACTS</t>
  </si>
  <si>
    <t>PCI (8) ROGERS MECHANICAL PRESSES</t>
  </si>
  <si>
    <t>LCP-160138-EX</t>
  </si>
  <si>
    <t>EXP-RELOCATION</t>
  </si>
  <si>
    <t>LCP-170013-EX</t>
  </si>
  <si>
    <t>EXP-RELOCATION/REMOVAL</t>
  </si>
  <si>
    <t>LCP-170039-EX</t>
  </si>
  <si>
    <t>ARTICULATED DRUM TIRE 20.5-OTR LAMINATOR</t>
  </si>
  <si>
    <t>REPLACE AND UPGRADE OF ROLLS IN WIRE CAL</t>
  </si>
  <si>
    <t>LCP-170069-EX</t>
  </si>
  <si>
    <t>EXP-REMOVAL/RELOCATION</t>
  </si>
  <si>
    <t>AMERICANA WIND UP LET OFF - PHASE III</t>
  </si>
  <si>
    <t>LCP-170077-EX</t>
  </si>
  <si>
    <t>EXP-REMOVAL/RELOCATION - DIV A</t>
  </si>
  <si>
    <t>LCP-170077-EX-01</t>
  </si>
  <si>
    <t>EXP-REMOVAL/RELOCATION - DIV B2</t>
  </si>
  <si>
    <t>LCP-170099-EX</t>
  </si>
  <si>
    <t>EXP-ELECTRICAL RELOCATION (MIXER PRODUC)</t>
  </si>
  <si>
    <t>LCP-170099-EX-01</t>
  </si>
  <si>
    <t>EXP-CONVEYOR RELOCATION (R1 MACHINES)</t>
  </si>
  <si>
    <t>LCP-170099-EX-02</t>
  </si>
  <si>
    <t>EXP-FAM ENGENEERING SERVICES</t>
  </si>
  <si>
    <t>WIRE CAL AUTOMATIC WINDUP &amp; CUTE IN ANGL</t>
  </si>
  <si>
    <t>LCP-170107-EX</t>
  </si>
  <si>
    <t>EXP-EQUIPMENT RELOCATION/REMOVAL</t>
  </si>
  <si>
    <t>CLSD BUDG AUC  AVAC  //  RJCD BREL EXPL</t>
  </si>
  <si>
    <t>REPLACEMENT OF OIL BOILER - FSB</t>
  </si>
  <si>
    <t>L510</t>
  </si>
  <si>
    <t>LCP-170118-EX</t>
  </si>
  <si>
    <t>AVCB NEW WAREHOUSE-BUILDING COMMERCIAL</t>
  </si>
  <si>
    <t>LCP-170154-EX</t>
  </si>
  <si>
    <t>EXP-AVCB NEW WAREHOUSE</t>
  </si>
  <si>
    <t>LCP-170154-EX-01</t>
  </si>
  <si>
    <t>UPGRADE SEPARATED INNERLINER NST#18 #20</t>
  </si>
  <si>
    <t>LCP-170159-EX</t>
  </si>
  <si>
    <t>EXP-EQUIPMENT REMOVAL/RELOCATION</t>
  </si>
  <si>
    <t>LCP-170161-EX</t>
  </si>
  <si>
    <t>EXP-RACKS ID PRINTING</t>
  </si>
  <si>
    <t>UPG OF (4) FIRST STAGE-R1 MCH STITCHER</t>
  </si>
  <si>
    <t>UPG MOUNTING LINE FOR MQB - CEM SB CAMPO</t>
  </si>
  <si>
    <t>L503</t>
  </si>
  <si>
    <t>FAM AVCB PHASE II - EMERGENCY LIGHTING A</t>
  </si>
  <si>
    <t>LCP-180002-EX</t>
  </si>
  <si>
    <t>EXP-TAXES, EXPENSES</t>
  </si>
  <si>
    <t>LCP-180002-EX-01</t>
  </si>
  <si>
    <t>EXP-FAM ENGINEERING SERVICE</t>
  </si>
  <si>
    <t>BR51</t>
  </si>
  <si>
    <t>LCP-180003-EX</t>
  </si>
  <si>
    <t>EXP-RELOCATION AND TAXES</t>
  </si>
  <si>
    <t>LCP-180005-EX</t>
  </si>
  <si>
    <t>VOC REDUCTION AT APEX APPLIER</t>
  </si>
  <si>
    <t>LCP-180009-EX</t>
  </si>
  <si>
    <t>EXP-GENERAL EQUIPMENT RELOCATION</t>
  </si>
  <si>
    <t>(3) NEW 52" HYDRAULIC CONSUMER PRESSES</t>
  </si>
  <si>
    <t>LCP-180010-EX</t>
  </si>
  <si>
    <t>LCP-180010-EX-WA-ST-E</t>
  </si>
  <si>
    <t>EXPENSE WASTE START-UP</t>
  </si>
  <si>
    <t>CLSD BUDG AUC  AVAC  //  APPR BREL EXPL</t>
  </si>
  <si>
    <t>LCP-180013-EX</t>
  </si>
  <si>
    <t>EXP-START UP</t>
  </si>
  <si>
    <t>LCP-180014-EX</t>
  </si>
  <si>
    <t>EXP-REMOVAL AND RELOCATIONS</t>
  </si>
  <si>
    <t>LCP-180015-EX</t>
  </si>
  <si>
    <t>LCP-180018-EX</t>
  </si>
  <si>
    <t>EXP-PIPING/PANELS RELOCATION</t>
  </si>
  <si>
    <t>2018 MISCELLANEOUS PROJECT - AM PLANT</t>
  </si>
  <si>
    <t>HOTFORMER CHILLER REPLACEMENT</t>
  </si>
  <si>
    <t>LCP-180043-EX</t>
  </si>
  <si>
    <t>EXP-REMOVAL AND DECLUTTERING</t>
  </si>
  <si>
    <t>LCP-180049-EX</t>
  </si>
  <si>
    <t>LCP-180049-EX-01</t>
  </si>
  <si>
    <t>EXP-FAM ENGINEERING SERVICES</t>
  </si>
  <si>
    <t>WAREHOUSE LOADING DOCKS ADEQUACY</t>
  </si>
  <si>
    <t>LCP-180051-EX</t>
  </si>
  <si>
    <t>CEMENT HOUSE ADEQUACY</t>
  </si>
  <si>
    <t>LCP-180056-EX</t>
  </si>
  <si>
    <t>LCP-180056-EX-01</t>
  </si>
  <si>
    <t>CAMERAS FOR WAREHOUSE MONITORING</t>
  </si>
  <si>
    <t>LCP-180080-EX</t>
  </si>
  <si>
    <t>EXPENSE-COMMERCIAL TIRE BUILDING MACHINE</t>
  </si>
  <si>
    <t>GEM PROJECT – EMC SÃO CAETANO DO SUL</t>
  </si>
  <si>
    <t>BR54</t>
  </si>
  <si>
    <t>LCP-180081-EX</t>
  </si>
  <si>
    <t>BR52</t>
  </si>
  <si>
    <t>UPG DRIVE GV3000 TO POWER FLEX EXTRUDER</t>
  </si>
  <si>
    <t>LCP-180090-EX</t>
  </si>
  <si>
    <t>EXP-GENERAL RELOCATIONS</t>
  </si>
  <si>
    <t>WIN OE - METAL DETECTOR IN CALANDERS</t>
  </si>
  <si>
    <t>LCP-180095-EX</t>
  </si>
  <si>
    <t>Rellocation and removal</t>
  </si>
  <si>
    <t>UPGRADE FACKTORY LINK/GML D#4</t>
  </si>
  <si>
    <t>LCP-180097-EX</t>
  </si>
  <si>
    <t>EXP-REMOVAL</t>
  </si>
  <si>
    <t>2018 MISCELLANEOUS PROJECT TO RETREAD PL</t>
  </si>
  <si>
    <t>FVM GRINDERS AUTOMATION</t>
  </si>
  <si>
    <t>LCP-180104-EX</t>
  </si>
  <si>
    <t>EXP-SOFTWARE LICENSE</t>
  </si>
  <si>
    <t>ADEQUACY OF NR17 &amp; 12 IN RETREAD PLANT</t>
  </si>
  <si>
    <t>LCP-180108-EX</t>
  </si>
  <si>
    <t>LCP-180108-EX-01</t>
  </si>
  <si>
    <t>LAPG - VDA FIRE PROTECTION LINE</t>
  </si>
  <si>
    <t>GENERATION CONTROL SYSTEM - POWER HOUSE</t>
  </si>
  <si>
    <t>LCP-180113-EX</t>
  </si>
  <si>
    <t>EXP-DUTIES/TAXES TO LICENSES</t>
  </si>
  <si>
    <t>AUTOMATION LAMINATOR PROFILE</t>
  </si>
  <si>
    <t>LCP-180114-EX</t>
  </si>
  <si>
    <t>LCP-180114-EX-01</t>
  </si>
  <si>
    <t>LCP-180114-EX-02</t>
  </si>
  <si>
    <t>EXP-EQUIPMENT REQUEST (NEW LINNER)</t>
  </si>
  <si>
    <t>LCP-180114-EX-03</t>
  </si>
  <si>
    <t>EXP-OTR CHECK AND RELEASE</t>
  </si>
  <si>
    <t>CLOSED WATER SYSTEM – MIXERS SUBESTATION</t>
  </si>
  <si>
    <t>LCP-180115-EX</t>
  </si>
  <si>
    <t>EXP-GENERAL RELOCATIONS/REMOVAL</t>
  </si>
  <si>
    <t>LCP-180116-EX</t>
  </si>
  <si>
    <t>NEW ORBITREAD MACHINE - AERORETREAD</t>
  </si>
  <si>
    <t>LCP-180117-EX</t>
  </si>
  <si>
    <t>LCP-180117-EX-01</t>
  </si>
  <si>
    <t>LCP-180117-EX-02</t>
  </si>
  <si>
    <t>(11) VDF PANEL INSTALLATION</t>
  </si>
  <si>
    <t>LCP-180137-EX</t>
  </si>
  <si>
    <t>LCP-180139-EX</t>
  </si>
  <si>
    <t>ADEQUACY OF NR#12 COMPLIANCE PHASE IV</t>
  </si>
  <si>
    <t>EXHAUST SYS-LINES AB &amp; GH CONSUMER PRESS</t>
  </si>
  <si>
    <t>LCP-180149-EX</t>
  </si>
  <si>
    <t>ADEQUACY OF NR#12 IN SAO PAULO PLANT</t>
  </si>
  <si>
    <t>LCP-180157-EX</t>
  </si>
  <si>
    <t>BR50</t>
  </si>
  <si>
    <t>WIN OE - METAL DETECTOR IN EXTRUDERS</t>
  </si>
  <si>
    <t>LCP-180174-EX</t>
  </si>
  <si>
    <t>LCP-180177-EX</t>
  </si>
  <si>
    <t>WIND UP LET OFF NGTTS#5 &amp;#8</t>
  </si>
  <si>
    <t>LCP-180178-EX</t>
  </si>
  <si>
    <t>LCP-180179-EX</t>
  </si>
  <si>
    <t>ANCHOR SYSTEM &amp; SAFETY LINE PHASE II</t>
  </si>
  <si>
    <t>SORTER B2 – MRT TIRES ADEQUACY</t>
  </si>
  <si>
    <t>LCP-180205-EX</t>
  </si>
  <si>
    <t>EXP-GENERAL RELOCATION</t>
  </si>
  <si>
    <t>BR01</t>
  </si>
  <si>
    <t>2019 MISCELLANEOUS PROJECT - AM PLANT</t>
  </si>
  <si>
    <t>REL  BUDG AUC  AVAC  //  APPR BREL INPL</t>
  </si>
  <si>
    <t>ROBOT FOR BEAD WINDER #5 AND #1</t>
  </si>
  <si>
    <t>WAREHOUSE SAFETY IMPROVEMENTS - AM PLANT</t>
  </si>
  <si>
    <t>2019 MISCELLANEOUS PROJECT TO RETREAD PL</t>
  </si>
  <si>
    <t>UPGRADE OF QUADRIPLEX EXTRUDER DRIVES</t>
  </si>
  <si>
    <t>LCP-190057-EX</t>
  </si>
  <si>
    <t>CLSD BUDG AVAC  //  BREL</t>
  </si>
  <si>
    <t>EXP-EQUIPMENT REMOVAL</t>
  </si>
  <si>
    <t>SECURITY IMPROVEMENT IN (8) APEX APPLIER</t>
  </si>
  <si>
    <t>REPLACEMENT OF BARREL AND SCREW Q#5</t>
  </si>
  <si>
    <t>LCP-190066-EX</t>
  </si>
  <si>
    <t>CLSD BUDG AVAC  //  APPR BNRL EXPL</t>
  </si>
  <si>
    <t>2019 MISCELLANEOUS PROJECT TO MC PLANTs</t>
  </si>
  <si>
    <t>REPLACEMENT OF ROLLs – CAL3R</t>
  </si>
  <si>
    <t>LCP-190078-EX</t>
  </si>
  <si>
    <t>BLUE RACKS FOR INVENTORY CONTROL</t>
  </si>
  <si>
    <t>UPGRADE OF MRT XYLON X-RAY</t>
  </si>
  <si>
    <t>LCP-190089-EX</t>
  </si>
  <si>
    <t>EX-START UP/COMMISSIONING / SERV TAXES</t>
  </si>
  <si>
    <t>LCP-190117-EX-01</t>
  </si>
  <si>
    <t>LCP-190120-EX-01</t>
  </si>
  <si>
    <t>AME - FIRE FIGHTING SYSTEM BUILDING 76</t>
  </si>
  <si>
    <t>LCP-190129-EX</t>
  </si>
  <si>
    <t>EXP - EQUIPMENT REMOVAL / START-UP</t>
  </si>
  <si>
    <t>CAP-Vehicle Dynamics Area (VDA) Repaving</t>
  </si>
  <si>
    <t>LCP-190132-EX</t>
  </si>
  <si>
    <t>EXP-Vehicle Dynamics Area (VDA) Repaving</t>
  </si>
  <si>
    <t>CAP-WHEEL PULSE TRANSDUCERS - CWPTA</t>
  </si>
  <si>
    <t>LCP-190138-EX</t>
  </si>
  <si>
    <t>EX-WHEEL PULSE TRANSDUCERS - CWPTA</t>
  </si>
  <si>
    <t>CAP-Upgrade Ring18” CUV in MC Anchieta</t>
  </si>
  <si>
    <t>FAM - NEW OIL LINE SYDININE</t>
  </si>
  <si>
    <t>CAP-Mold Clean Pre Cured</t>
  </si>
  <si>
    <t>CAP - WIRE CALENDER EDGE TRIMMING DEVICE</t>
  </si>
  <si>
    <t>B1 UPG PC-ETMS BALANCE AND FVM MACH</t>
  </si>
  <si>
    <t>METAL DETECTOR IN APEXER FORD PROJ</t>
  </si>
  <si>
    <t>LCP-190151-EX</t>
  </si>
  <si>
    <t>EXP-METAL DETECTOR IN APEXER FORD PROJ</t>
  </si>
  <si>
    <t>CAP-AME-TRANSFER NGTTS &amp; MONO CUTTER ANG</t>
  </si>
  <si>
    <t>CAP-DOR PROJECT IC TRANSPORTS</t>
  </si>
  <si>
    <t>Replace and Upg Rolls Wire Calender</t>
  </si>
  <si>
    <t>LCP-190178-EX</t>
  </si>
  <si>
    <t>EXP-Replace and Upg Rolls Wire Calender</t>
  </si>
  <si>
    <t>WIRE CALENDER – WIG-WAG FEED CONVEYOR</t>
  </si>
  <si>
    <t>LCP-190186-EX</t>
  </si>
  <si>
    <t>CLSD BUDG AVAC SETC  //  BNRL</t>
  </si>
  <si>
    <t>EX-CORSAIR Project</t>
  </si>
  <si>
    <t>MISC SP-APLAMO Machine Aircraft Tires</t>
  </si>
  <si>
    <t>CAP-MOBILE DOCK WH FAM</t>
  </si>
  <si>
    <t>CAP-MIXER#6 BODY REPLACEMENT</t>
  </si>
  <si>
    <t>LCP-190202-EX</t>
  </si>
  <si>
    <t>EXP-Remotion Internal/External</t>
  </si>
  <si>
    <t>LCP-190202-EX-01</t>
  </si>
  <si>
    <t>EXP-KSBI Technical start-up</t>
  </si>
  <si>
    <t>CAP-SAFETY SYSTEM – RIVER PUMP AREA</t>
  </si>
  <si>
    <t>CAP-InflationTesting Machine</t>
  </si>
  <si>
    <t>AKROMARKER FOR FVM-AAA</t>
  </si>
  <si>
    <t>LCP-190208-EX</t>
  </si>
  <si>
    <t>RELOCATION / LAY OUT ADEQUATION</t>
  </si>
  <si>
    <t>CAP-ALPHA SHEAR LET OFF TREATMENT</t>
  </si>
  <si>
    <t>LCP-190213-EX</t>
  </si>
  <si>
    <t>EX-ALPHA SHEAR LET OFF TREATMENT</t>
  </si>
  <si>
    <t>CAP-CONTOUR CORRECTION MACHINE</t>
  </si>
  <si>
    <t>UPGRADE TYLOR SYSTEM IN MRT CURING PRESS</t>
  </si>
  <si>
    <t>CAP-HOTFORMER UPGRADE LINNER AND SCREWS</t>
  </si>
  <si>
    <t>REPLACEMENT &amp; UPGRADE OF ROLLS IN CAL3R</t>
  </si>
  <si>
    <t>LCP-200001-EX</t>
  </si>
  <si>
    <t>EXP-ROLL LIFTING SERVICE</t>
  </si>
  <si>
    <t>CAP - AME - REPL &amp; UPG OF ROLLS IN CAL4R</t>
  </si>
  <si>
    <t>LCP-200008-EX</t>
  </si>
  <si>
    <t>EX-AME - REPL &amp; UPG OF ROLLS IN CAL4R1</t>
  </si>
  <si>
    <t>CAP-AME-REPL &amp; UPG OF ROLLS IN CAL4R2</t>
  </si>
  <si>
    <t>LCP-200009-EX</t>
  </si>
  <si>
    <t>EX-AME-REPL &amp; UPG OF ROLLS IN CAL4R2</t>
  </si>
  <si>
    <t>PCI IN (6) ROGERS 47" MECHANICAL PRESSES</t>
  </si>
  <si>
    <t>LCP-200011-EX</t>
  </si>
  <si>
    <t>LCP-200023-EX</t>
  </si>
  <si>
    <t>EX-UPGRADE KOKUSAI#1</t>
  </si>
  <si>
    <t>AME -2020 MISCELLANEOUS QUARTERLY BUDGET</t>
  </si>
  <si>
    <t>REPL OF ACCELERATOR TUBE – EBP SYS CAL3R</t>
  </si>
  <si>
    <t>EEX-AME - MIXER#7 BODY REPLACEMENT</t>
  </si>
  <si>
    <t>CAP-HOTFORMER UPG LINNER AND SCREW ST#04</t>
  </si>
  <si>
    <t>CAP-NEW OIL LINE BIJINIC</t>
  </si>
  <si>
    <t>LCP-200077-EX</t>
  </si>
  <si>
    <t>EXP-NEW OIL LINE BIJINIC</t>
  </si>
  <si>
    <t>AME - METAL DETECTOR IN CAL 4R2</t>
  </si>
  <si>
    <t>AME - UPGRADE BT DRUM WYKO</t>
  </si>
  <si>
    <t>SBO-UPGRADE PLC AUTOMAX EXTRUDER</t>
  </si>
  <si>
    <t>CAP-REWIND STAT FOR COML TIRES BLDG MACH</t>
  </si>
  <si>
    <t>REPL MAIN GEARBOX 6"&amp;10" EXTRUDER</t>
  </si>
  <si>
    <t>CAP-TPMS SYSTEM UPGRADE - MC GRAVATAÍ</t>
  </si>
  <si>
    <t>CAP-PRODUCTIVITY BUILDING MRT</t>
  </si>
  <si>
    <t>CAP-BANBURIES BATCH-OFF CRANES</t>
  </si>
  <si>
    <t>Upg Micropoise Balance Machine Anchieta</t>
  </si>
  <si>
    <t>MIcro-Poise ATW Balance Mach Upgrade</t>
  </si>
  <si>
    <t>CAP-SAFETY UPGRADE - BEADWINDER #3</t>
  </si>
  <si>
    <t>AME - UPGRADE PLC MRT PRESS</t>
  </si>
  <si>
    <t>EX - UPGRADE PLC MRT PRESS</t>
  </si>
  <si>
    <t>AME-UPG GENERAL PANEL CUR PRESSES MRT</t>
  </si>
  <si>
    <t>EX-UPG GENERAL PANEL CUR PRESSES MRT</t>
  </si>
  <si>
    <t>AME - UPGRADE XLE#7 AIR COMPRESSOR</t>
  </si>
  <si>
    <t>Barcode Syst in Sequencing Area Anchieta</t>
  </si>
  <si>
    <t>AME - AUTOM LOADING WIND-UP – CAL4R2</t>
  </si>
  <si>
    <t>MASTER PLAN SECURITY AMERICANA PLANT</t>
  </si>
  <si>
    <t>CAP - COMFORT LANES REPAVING</t>
  </si>
  <si>
    <t>LCP-200159-EX</t>
  </si>
  <si>
    <t>EX - COMFORT LANES REPAVING</t>
  </si>
  <si>
    <t>ENGINEERING CONTRACTOR’S SHOP STANDARD</t>
  </si>
  <si>
    <t>UPGRADE OF DRIVE &amp; MOTOR MILL MIXER#3</t>
  </si>
  <si>
    <t>AME-RETROFIT–BLUE RACKS FOR CONSUMER</t>
  </si>
  <si>
    <t>LCP-200177-EX</t>
  </si>
  <si>
    <t>EX NEW POWER GENERATOR</t>
  </si>
  <si>
    <t>REL  BUDG AUC  AVAC SETC  //  APPR BREL INPL</t>
  </si>
  <si>
    <t>REPLACEMENT PRIMARY GEARBOX MIXER#6</t>
  </si>
  <si>
    <t>EX - UPGRADE OF DRIVES BEADWINDER#03</t>
  </si>
  <si>
    <t>IMPROVEMENT IN CLIMATIZATIO IN THE TBM'S</t>
  </si>
  <si>
    <t>EXPENSES REPLACEMENT COOLING TANK D#4</t>
  </si>
  <si>
    <t>EXPENSES NEW AIR COMPRESSOR - 100 PSI</t>
  </si>
  <si>
    <t>BR06</t>
  </si>
  <si>
    <t>PROJECT RUNNER - EXPENSES</t>
  </si>
  <si>
    <t>EX - UPG AKROSCAN SYSTEM FOR LINES FVM</t>
  </si>
  <si>
    <t>UPPER CONVEYORS SAFETY UPG – CURING B1</t>
  </si>
  <si>
    <t>EXPENSES - UPPER CONVEYORS SAFETY UPG</t>
  </si>
  <si>
    <t>EXPENSES - CREEL ROOM TRANSFER GADSTEN</t>
  </si>
  <si>
    <t>LCP-210045-BV</t>
  </si>
  <si>
    <t>BV - CREEL ROOM TRANSFER FROM GADSTEN</t>
  </si>
  <si>
    <t>EXPENSES FIRE PROTECTION SYSTEM MAIN SUB</t>
  </si>
  <si>
    <t>AME – WULO – CONSUMMER BUILDING - STEP 1</t>
  </si>
  <si>
    <t>EXPENSES - WULO CONSUMMER BUILDING</t>
  </si>
  <si>
    <t>L514</t>
  </si>
  <si>
    <t>EX - PNC - PNEUMATIC CORE CONSTRUCTION</t>
  </si>
  <si>
    <t>RET - FLAT PRECURED EXPANSION</t>
  </si>
  <si>
    <t>Ex - RET - FLAT PRECURED EXPANSION</t>
  </si>
  <si>
    <t>LCP-210083-BV</t>
  </si>
  <si>
    <t>BVT - RET - FLAT PRECURED EXPANSION</t>
  </si>
  <si>
    <t>EX - AME - NEW MRT KOKUSAI MACHINE</t>
  </si>
  <si>
    <t>EX - AME - UPG WIND-UP EXTRUDER 8x8 SW</t>
  </si>
  <si>
    <t>FSB - BATHROOM ADEQUANCY NR24</t>
  </si>
  <si>
    <t>AME - RESTAURANT’S KITCHEN ADEQUACY</t>
  </si>
  <si>
    <t>EX - AME - RESTAURANT’S KITCHEN ADEQUACY</t>
  </si>
  <si>
    <t>EX - CENTAC#17 100 PSI AIR COMPRESSOR</t>
  </si>
  <si>
    <t>AME - COOLING SYSTEM UPGRADE MIXER#4</t>
  </si>
  <si>
    <t>MC – 2021 ANNUAL MISCELLANEOUS &lt;50K</t>
  </si>
  <si>
    <t>TECO BUDG AUC  AVAC  //  APPR BREL INPL</t>
  </si>
  <si>
    <t>AME – WULO – CONSUMMER BUILDING - STEP 2</t>
  </si>
  <si>
    <t>EX – WULO – CONSUMMER BUILDING - STEP 2</t>
  </si>
  <si>
    <t>AME - WOMENs RESTROOM</t>
  </si>
  <si>
    <t>EX - AME - WOMENs RESTROOM</t>
  </si>
  <si>
    <t>EX - MILLS ADEQUACY PROJECT FAM</t>
  </si>
  <si>
    <t>EX AME – INTERNAL LIGHTING ADEQUACY</t>
  </si>
  <si>
    <t>EX MC - FALSE TRUCK TIRES SYSTEM RETROFI</t>
  </si>
  <si>
    <t>EX - NEW RAINWATER CONTAINMENT SYSTEM</t>
  </si>
  <si>
    <t>EX - AME - CAL 3R COOLING IMPROVEMENT</t>
  </si>
  <si>
    <t>AME - WIRE CALENDER NR12 - BRZ MA</t>
  </si>
  <si>
    <t>AME - NT CONSUMMER BUILDING ENHANCEMENT</t>
  </si>
  <si>
    <t>EX - NT CONSUMMER BUILDING ENHANCEMENT</t>
  </si>
  <si>
    <t>AME - TEXTIL CALENDER 3R NR-12</t>
  </si>
  <si>
    <t>AME - (2) NEW COMPRESSED AIR DRYERS</t>
  </si>
  <si>
    <t>AME - PCI IN (4) ROGERS 47” MECH PRESS</t>
  </si>
  <si>
    <t>EX - PCI IN (4) ROGERS 47” MECH PRESS</t>
  </si>
  <si>
    <t>AME - MIXER#3 BODY REPLACEMENT</t>
  </si>
  <si>
    <t>EX - AME - MIXER#3 BODY REPLACEMENT</t>
  </si>
  <si>
    <t>LCP-210200-BV</t>
  </si>
  <si>
    <t>NBV - MIXER#3 BODY REPLACEMENT</t>
  </si>
  <si>
    <t>AME - NEW MIXER SLURRY – PLITVIC</t>
  </si>
  <si>
    <t>AME - 2500 HP MAIN MOTOR - SPARE FOR MIX</t>
  </si>
  <si>
    <t>EX - AME - 2500 HP MAIN MOTOR</t>
  </si>
  <si>
    <t>LCP-210209-EX</t>
  </si>
  <si>
    <t>EX - MIXER#07 REPLACEMENT 2nd GEARBOX</t>
  </si>
  <si>
    <t>AME - MICROPOISE AIT BALANCE MACHINES</t>
  </si>
  <si>
    <t>LAPG - EX - CHARGER FOR ELETRIC VEHICLE</t>
  </si>
  <si>
    <t>EX - AME - FIRE PROTECTION ADEQUACY</t>
  </si>
  <si>
    <t>EX - PROVING GROUNDS REPAVE PHASE I</t>
  </si>
  <si>
    <t>LAPG - NEW ELECTRICAL WIRE BOX SEPARATE</t>
  </si>
  <si>
    <t>AME - OVERHAUL CHILLER AND FANCOIL BB03</t>
  </si>
  <si>
    <t>EX - MRT CURING PRESS PO1314 REPAIR</t>
  </si>
  <si>
    <t>FSB - NEW EXTRUDER TCU</t>
  </si>
  <si>
    <t>NEW ROLLS - HOTFORMER</t>
  </si>
  <si>
    <t>EX - SAFETY REGULARIZATION FOR NR12</t>
  </si>
  <si>
    <t>RETROFIT - BLUE RACKS FOR CONSUMER TIRES</t>
  </si>
  <si>
    <t>DC MOTOR 1500HP FROM NORTH AMERICA</t>
  </si>
  <si>
    <t>EX - DC MOTOR 1500HP FROM NORTH AMERICA</t>
  </si>
  <si>
    <t>FSB - EXTRUDER NEW SOAP APPLICATION</t>
  </si>
  <si>
    <t>AME - UPG OF DRIVES EXTRUDER DUPLEX #4</t>
  </si>
  <si>
    <t>Aero Retread - 2022 MISCELLANEOUS ANNUAL</t>
  </si>
  <si>
    <t>RETREAD 2022 MISCELLANEOUS ANNUAL BUDGET</t>
  </si>
  <si>
    <t>AME - NEW BOILER FEED WATER PUMP</t>
  </si>
  <si>
    <t>EX - NEW BOILER FEED WATER PUMP</t>
  </si>
  <si>
    <t>AME WIND UP LET OFF ENHANCEMENT PHASE II</t>
  </si>
  <si>
    <t>EX WIND UP LET OFF ENHANCEMENT PHASE II</t>
  </si>
  <si>
    <t>LCP-220048-BV</t>
  </si>
  <si>
    <t>BV - AME - OTR PRESS TRANSFER</t>
  </si>
  <si>
    <t>EX - AME - OTR PRESS TRANSFER</t>
  </si>
  <si>
    <t>MC - 2022 ANNUAL MISCELLANEOUS &lt;50K</t>
  </si>
  <si>
    <t>AME - MIXER#3 EXTRUDER GEARBOX REPLACEME</t>
  </si>
  <si>
    <t>EX - LAPG - WORKSHOP CLIMATIZER</t>
  </si>
  <si>
    <t>MC - POLO PROJECT VOLKSWAGEN TAUBATÉ</t>
  </si>
  <si>
    <t>BR53</t>
  </si>
  <si>
    <t>AME - UPG AKROSCAN SYSTEM FOR LINES FVM</t>
  </si>
  <si>
    <t>AERO RETREAD NR-12 ADEQUACY</t>
  </si>
  <si>
    <t>LAPG 2022 ANNUAL MISCELLANEOUS &lt;50K</t>
  </si>
  <si>
    <t>AME - REBOUND TESTING EQUIPMENT</t>
  </si>
  <si>
    <t>AME - FACTORY PUMP WATER</t>
  </si>
  <si>
    <t>FF B1 - UPGRADE PC/HP-ETMS FVM MACHINES</t>
  </si>
  <si>
    <t>EX - FSB - NEW MAIN FRAME FLAT PRESS</t>
  </si>
  <si>
    <t>EX - Center Max Office Retrofit</t>
  </si>
  <si>
    <t>AME - 2 RHEOMETER PREMIER MDR LABORATORY</t>
  </si>
  <si>
    <t>LCP-220171-EX</t>
  </si>
  <si>
    <t>EX - 2 RHEOMETER PREMIER MDR LABORATORY</t>
  </si>
  <si>
    <t>LCP-220172-EX</t>
  </si>
  <si>
    <t>EX - 01 NEW RUBBER PROCESS ANALYZER RPA</t>
  </si>
  <si>
    <t>EX - NOISE - KIT VBOX EQUIPMENT</t>
  </si>
  <si>
    <t>EX - BEAD COMPRESSION WKM-B4</t>
  </si>
  <si>
    <t>AME - UPG BARCODE READERS FF B2</t>
  </si>
  <si>
    <t>EX - AME - UPG BARCODE READERS FF B2</t>
  </si>
  <si>
    <t>AME - 1 NUMETRIX 1st TIRE CHECK VISION</t>
  </si>
  <si>
    <t>AME-MIXING PIGMENT WEIGH SYSTEM</t>
  </si>
  <si>
    <t>EX-MIXING PIGMENT WEIGH SYSTEM</t>
  </si>
  <si>
    <t>LCP-220207-75</t>
  </si>
  <si>
    <t>CAPITAL PMO - NonEO</t>
  </si>
  <si>
    <t>LCP-220207-75-EX</t>
  </si>
  <si>
    <t>EXPENSE PMO - NonEO</t>
  </si>
  <si>
    <t>AME - NEW BEAD WINDER #08 MACHINE</t>
  </si>
  <si>
    <t>EX - NEW BEAD WINDER #08 MACHINE</t>
  </si>
  <si>
    <t>AME - FLOOR AVAILABILITY (L / P / R PUR)</t>
  </si>
  <si>
    <t>AME - Replacement Car Exchange Molds</t>
  </si>
  <si>
    <t>AME - Q5 Extruder 8” Gear Box (EPT-200)</t>
  </si>
  <si>
    <t>EX - Q5 Extruder 8” Gear Box (EPT-200)</t>
  </si>
  <si>
    <t>AME – ROLL BENDING SYSTEM UPG CAL-3R</t>
  </si>
  <si>
    <t>EX - ROLL BENDING SYSTEM UPG CAL-3R</t>
  </si>
  <si>
    <t>EX - UPG CALENDER EXTRUDER REPLACEMENT</t>
  </si>
  <si>
    <t>AME - UPGRADE  E+L  CALENDER 3 ROLLS</t>
  </si>
  <si>
    <t>EX - UPGRADE  E+L  CALENDER 3 ROLLS</t>
  </si>
  <si>
    <t>AME - RETROFIT BLUE RACKS PHASE 3</t>
  </si>
  <si>
    <t>Americana Quadruplex Extruder Gate 2A</t>
  </si>
  <si>
    <t>EX - Americana Quadruplex Extr Gate 2A</t>
  </si>
  <si>
    <t>AME - HOTFORMER - METAL DETECTOR</t>
  </si>
  <si>
    <t>AME - Screw, Barrel and Feedbox Replace</t>
  </si>
  <si>
    <t>LAPG - 2023 ANNUAL MISCELLANEOUS &lt;100K</t>
  </si>
  <si>
    <t>EX - LAPG - Wheels Racks</t>
  </si>
  <si>
    <t>AME - TOOLING FOR VMI TO BUILD 15” TIRES</t>
  </si>
  <si>
    <t>MC - POLO PROJECT VW TAUBATÉ – PHASE 02</t>
  </si>
  <si>
    <t>FSB - NEW AZ/SOL MACHINE</t>
  </si>
  <si>
    <t>EX - NEW AZ/SOL MACHINE</t>
  </si>
  <si>
    <t>CLSD AUC   //  RJCD BNRL EXPL</t>
  </si>
  <si>
    <t>BRZ - Transportation Control System Impr</t>
  </si>
  <si>
    <t>CLSD SETC  //  BNRL</t>
  </si>
  <si>
    <t>EX - Transportation Control System Impr</t>
  </si>
  <si>
    <t>MC – 2023 ANNUAL MISCELLANEOUS &lt;100K</t>
  </si>
  <si>
    <t>CLSD AUC   //  INIT BNRL EXPL</t>
  </si>
  <si>
    <t>MC - Tires Lubrifications Machines in MC</t>
  </si>
  <si>
    <t>EX - Tires Lubrifications Machines in MC</t>
  </si>
  <si>
    <t>MC - NR-12 Phase 1 in MC SBC</t>
  </si>
  <si>
    <t>EX - NR-12 Phase 1 in MC SBC</t>
  </si>
  <si>
    <t>TECO BUDG AUC  AVAC  //  APPR BREL EXPL</t>
  </si>
  <si>
    <t>AME - Overhaul Laser 4jet Machine</t>
  </si>
  <si>
    <t>AME - MIXER#6 TSR- 450C20 ROLLER REPLACE</t>
  </si>
  <si>
    <t>EX - UPG BARCODE READERS PHASE 2 FF B2</t>
  </si>
  <si>
    <t>LAPG - RETROFIT OF THE CONTROL SPRAY PIP</t>
  </si>
  <si>
    <t>EX - RETROFIT OF THE CONTROL SPRAY PIP</t>
  </si>
  <si>
    <t>AME - CAL4R2 - CONTROLS AND WINDING LOOP</t>
  </si>
  <si>
    <t>EX - CAL4R2 - CONTROLS AND WINDING LOOP</t>
  </si>
  <si>
    <t>AME - CAL4R1 - CONTROLS AND WINDING LOOP</t>
  </si>
  <si>
    <t>EX - CAL4R1 - CONTROLS AND WINDING LOOP</t>
  </si>
  <si>
    <t>AME-MIXER#7 TSRD ROLLER REPLACEMENT</t>
  </si>
  <si>
    <t>LAPG - STRAIGHT LANE &amp; LOOPS REPAVING</t>
  </si>
  <si>
    <t>EX - STRAIGHT LANE &amp; LOOPS REPAVING</t>
  </si>
  <si>
    <t>EX - HIGH PRESSURE PUMP REPLACEMENT</t>
  </si>
  <si>
    <t>AME - MAZAK INTEGREX J300 MACHINING CENT</t>
  </si>
  <si>
    <t>EX - MAZAK INTEGREX J300 MACHINING CENTE</t>
  </si>
  <si>
    <t>AME - SAFETY ADEQUACY (NR12) FVM's MACHI</t>
  </si>
  <si>
    <t>AME - INSTALLATION OF DIV. A RACKS</t>
  </si>
  <si>
    <t>EX - INSTALLATION OF DIV. A RACKS</t>
  </si>
  <si>
    <t>MC - Retrofit Inside GM Sequencing Area</t>
  </si>
  <si>
    <t>EX - Retrofit Inside GM Sequencing Area</t>
  </si>
  <si>
    <t>EX - NEW DYNAMIC BALANCE MACHINE</t>
  </si>
  <si>
    <t>EX - RETROFIT BUILDING PROVING GROUND</t>
  </si>
  <si>
    <t>EX - UPGRADE GENERAL PANEL B2 CURING</t>
  </si>
  <si>
    <t>FSB - 2024 MISCELLANEOUS ANNUAL BUDGET</t>
  </si>
  <si>
    <t>BRZ - BLUE RACKS FOR CONSUMER - PHASE 4</t>
  </si>
  <si>
    <t>AME - NEW AIR COMPRESSOR #20 - 100 PSI</t>
  </si>
  <si>
    <t>AME - EQUIPMENT FOR VMI TO BUILD 19”</t>
  </si>
  <si>
    <t>LCP-240110-EX</t>
  </si>
  <si>
    <t>EX - MC - GRAVATAI - NEW MICROPOISE</t>
  </si>
  <si>
    <t>AME - NG08 - SERVO DRIVE AND CONTROL</t>
  </si>
  <si>
    <t>AME - TBM01 - SERVO DRIVE AND CONTROL</t>
  </si>
  <si>
    <t>AME - EQUIPMENT FOR VMI TO BUILD 15"</t>
  </si>
  <si>
    <t>MC - 2024 MISCELLANEOUS ANNUAL BUDGET</t>
  </si>
  <si>
    <t>AME - CONSUMER EXPANSION</t>
  </si>
  <si>
    <t>LCP-240140-EX</t>
  </si>
  <si>
    <t>LCP-240152-EX</t>
  </si>
  <si>
    <t>EXP - AME - (03) TRANSFER ORING WYKO</t>
  </si>
  <si>
    <t>24/0001</t>
  </si>
  <si>
    <t>Install and Commission Sys 1</t>
  </si>
  <si>
    <t>PWS 1, P, Install + Commission</t>
  </si>
  <si>
    <t>Install and Commission Sys 2</t>
  </si>
  <si>
    <t>PWS 2, N, Install + Commission</t>
  </si>
  <si>
    <t>Install and Commission Sys 3</t>
  </si>
  <si>
    <t>PWS 3, P+N, Install + Commission</t>
  </si>
  <si>
    <t>Install and Commission Sys 4</t>
  </si>
  <si>
    <t>PWS 4, P+N, Install + Commission</t>
  </si>
  <si>
    <t>3D3782-2345 - 400mm Wide Tread WIndups</t>
  </si>
  <si>
    <t>3D3782-2345/PREWIRE</t>
  </si>
  <si>
    <t>3D3782-0124 400mm Alignment Shaft</t>
  </si>
  <si>
    <t>3D3782-2345/Packing</t>
  </si>
  <si>
    <t>EEX-240006-00-06</t>
  </si>
  <si>
    <t>EEX-240006-00-07</t>
  </si>
  <si>
    <t>ESTUDO CLASSIFICACAO DAS AREAS E IGNICAO</t>
  </si>
  <si>
    <t>ROBSON SOUZA</t>
  </si>
  <si>
    <t>PAULO APARECIDO</t>
  </si>
  <si>
    <t>Layout mudou, será instalado na nova sala do Quad. Ainda em definicao.
Projeto Irá ficar de politica</t>
  </si>
  <si>
    <t>Parte de Despesa finalizado.</t>
  </si>
  <si>
    <t>Risco (Verificar)</t>
  </si>
  <si>
    <t>TEMPEST INC</t>
  </si>
  <si>
    <t>BEST MOLD &amp; MANUFACTURING INC</t>
  </si>
  <si>
    <t>Profit center</t>
  </si>
  <si>
    <t>Created by</t>
  </si>
  <si>
    <t>Company code</t>
  </si>
  <si>
    <t>Business area</t>
  </si>
  <si>
    <t>Desc. of req. CC</t>
  </si>
  <si>
    <t>Desc. of resp. CC</t>
  </si>
  <si>
    <t>Currency</t>
  </si>
  <si>
    <t>CBS Budget Item</t>
  </si>
  <si>
    <t>Responsible cost ctr</t>
  </si>
  <si>
    <t>Proj.type</t>
  </si>
  <si>
    <t>Person responsible</t>
  </si>
  <si>
    <t>CLSD BUDG ISBD AVAC  //  BREL WPLI</t>
  </si>
  <si>
    <t>CAPITAL Americana TWIN SCREW MIXER#6</t>
  </si>
  <si>
    <t>N533</t>
  </si>
  <si>
    <t>N98000009</t>
  </si>
  <si>
    <t>T110B06</t>
  </si>
  <si>
    <t>N101</t>
  </si>
  <si>
    <t>N000</t>
  </si>
  <si>
    <t>Engineering Admin</t>
  </si>
  <si>
    <t>LCP-150097</t>
  </si>
  <si>
    <t>N515453100</t>
  </si>
  <si>
    <t>IC</t>
  </si>
  <si>
    <t>DE NARDO, MAURICIO</t>
  </si>
  <si>
    <t>CLSD BUDG AVAC  //  BREL WPLI</t>
  </si>
  <si>
    <t>CAPITAL Americana UPGRADE OF (2) MRT YXL</t>
  </si>
  <si>
    <t>A389692</t>
  </si>
  <si>
    <t>LCP-160086</t>
  </si>
  <si>
    <t>CAPITAL Americana 2016 MISCELLANEOUS PRO</t>
  </si>
  <si>
    <t>LCP-160010</t>
  </si>
  <si>
    <t>CAPITAL Americana REPLACEMENT OF WIRE CO</t>
  </si>
  <si>
    <t>LCP-160113</t>
  </si>
  <si>
    <t>CAPITAL Americana New Warehouse Comm</t>
  </si>
  <si>
    <t>A418417</t>
  </si>
  <si>
    <t>CAPITAL Americana (3) 52" Hydraulic Cons</t>
  </si>
  <si>
    <t>N34RGH1</t>
  </si>
  <si>
    <t>CAPITAL Americana 2nd MRT Mesnac</t>
  </si>
  <si>
    <t>AA72531</t>
  </si>
  <si>
    <t>MERKEL, JAMES T</t>
  </si>
  <si>
    <t>ICP-180013-93</t>
  </si>
  <si>
    <t>EXPENSE Americana 2nd MRT Mesnac</t>
  </si>
  <si>
    <t>IX</t>
  </si>
  <si>
    <t>CAPITAL REPLACE PLC/CCM OFF MIXER #3</t>
  </si>
  <si>
    <t>CAPITAL Brazil GE Mounting Project</t>
  </si>
  <si>
    <t>CAPITAL Americana FVM Grinder Automation</t>
  </si>
  <si>
    <t>CAPITAL BRS GEM Project</t>
  </si>
  <si>
    <t>CAPITAL Americana Mixer #2 Body Rplcmt</t>
  </si>
  <si>
    <t>CAPITAL Americana Replace PLC/CCM Mixer3</t>
  </si>
  <si>
    <t>CAPITAL Americana Upgrade MRT Xylon XRay</t>
  </si>
  <si>
    <t>Responsible Cost Cen</t>
  </si>
  <si>
    <t>N515CORPPS</t>
  </si>
  <si>
    <t>ICP-190041-93</t>
  </si>
  <si>
    <t>EXPENSE CORSAIR</t>
  </si>
  <si>
    <t>CAPITAL AMERICANA TRANSFER O-RING, MONO</t>
  </si>
  <si>
    <t>CAPITAL AMERICANA AKROMARKER FOR FVM-AAA</t>
  </si>
  <si>
    <t>CAPITAL AMERICANA INFLATION TESTING MACH</t>
  </si>
  <si>
    <t>CAPITAL AMERICANA UPGRADE KOKUSAI #1</t>
  </si>
  <si>
    <t>Global Engineering</t>
  </si>
  <si>
    <t>N515453300</t>
  </si>
  <si>
    <t>CAPITAL AME UPGRADE BT DRUM WYKO</t>
  </si>
  <si>
    <t>BONALDO, DIEGO</t>
  </si>
  <si>
    <t>CAPITAL AME REWIND STAT COM TBM</t>
  </si>
  <si>
    <t>CAPITAL Americana Mixer #6 Body Repl</t>
  </si>
  <si>
    <t>REL  BUDG ISBD AVAC  //  BREL WPLI</t>
  </si>
  <si>
    <t>CAPITAL AME PCI (6) ROGERS 47" PRESSES</t>
  </si>
  <si>
    <t>REL  BUDG AVAC  //  BREL WPLI</t>
  </si>
  <si>
    <t>LCP-200158</t>
  </si>
  <si>
    <t>ICP-200043-93</t>
  </si>
  <si>
    <t>EXPENSE</t>
  </si>
  <si>
    <t>CAPITAL Americana Mixer BB#07</t>
  </si>
  <si>
    <t>CAPITAL AME MATTEUZZI RRM45 SMART GRIND</t>
  </si>
  <si>
    <t>PREL BUDG AVAC  //  BREL WPLI</t>
  </si>
  <si>
    <t>CAPITAL AME Mill Drive #3 Upgrade</t>
  </si>
  <si>
    <t>CAPITAL AME FVM TGIS Upgrade</t>
  </si>
  <si>
    <t>CAPITAL AME Creel Room Transfer Gadsden</t>
  </si>
  <si>
    <t>ICP-210031-93</t>
  </si>
  <si>
    <t>REL  ISBD AVAC  //  BREL WPLI</t>
  </si>
  <si>
    <t>EXPENSE AME Creel Room Transfer Gadsden</t>
  </si>
  <si>
    <t>CAPITAL AME PNC Pneumatic Core Construct</t>
  </si>
  <si>
    <t>CAPITAL AME MRT Kokusai Machine</t>
  </si>
  <si>
    <t>ICP-210036-93</t>
  </si>
  <si>
    <t>REL  AVAC  //  BREL WPLI</t>
  </si>
  <si>
    <t>EXPENSE AME MRT Kokusai Machine</t>
  </si>
  <si>
    <t>CAPITAL AME Vulcaweld - Creel Room Press</t>
  </si>
  <si>
    <t>CAPITAL AME Upgrade Windup Extr 8x8 SW</t>
  </si>
  <si>
    <t>CAPITAL AME PCI (4) Rodgers 47" Press</t>
  </si>
  <si>
    <t>CAPITAL AME Micropoise AIT Balance</t>
  </si>
  <si>
    <t>LCP210212</t>
  </si>
  <si>
    <t>CAPITAL AME 2500HP Main Motor Spare</t>
  </si>
  <si>
    <t>CAPITAL OTR Press Transfer</t>
  </si>
  <si>
    <t>CAPITAL AME Cogen Overhaul</t>
  </si>
  <si>
    <t>CAPITAL FSB New Main Frame Flat Press</t>
  </si>
  <si>
    <t>CAPITAL AME FF B1 Upgrade PC/HP-ETMS FVM</t>
  </si>
  <si>
    <t>CAPITAL AME Mixer #3 Body Replacement</t>
  </si>
  <si>
    <t>CAPITAL AMERICANA PIGMENT WEIGH SYSTEM</t>
  </si>
  <si>
    <t>PAMUNGKAS, DEWO</t>
  </si>
  <si>
    <t>ICP-220054-93</t>
  </si>
  <si>
    <t>DIR CONS/COMM TIRES - LA</t>
  </si>
  <si>
    <t>Glob Sustainability</t>
  </si>
  <si>
    <t>N515108900</t>
  </si>
  <si>
    <t>PMO PROJECT LEADER</t>
  </si>
  <si>
    <t>CAPITAL Americana Quad Extruder #7</t>
  </si>
  <si>
    <t>ICP-230034-93</t>
  </si>
  <si>
    <t>CAPITAL AME - 2023 MISCELLANEOUS ANNUAL</t>
  </si>
  <si>
    <t>ICP-230071-93</t>
  </si>
  <si>
    <t>LCP-40103</t>
  </si>
  <si>
    <t>LCP-240185</t>
  </si>
  <si>
    <t xml:space="preserve">AME - PREMIER RPA AUTOMATIC EQUIPMENT </t>
  </si>
  <si>
    <t>AME - PREMIER MDR AUTOMATIC EQUIPMENT</t>
  </si>
  <si>
    <t>LCP-240186</t>
  </si>
  <si>
    <t>SOFTWARE DE ESTOQUE E AUTOMACAO DE CAPEX</t>
  </si>
  <si>
    <t>LCP-240179</t>
  </si>
  <si>
    <t>24/0044</t>
  </si>
  <si>
    <t>MC - CARBON PROJECT 17" - GRAVATAI</t>
  </si>
  <si>
    <t>Mounting Center</t>
  </si>
  <si>
    <t>Brazil</t>
  </si>
  <si>
    <t>Americana</t>
  </si>
  <si>
    <t>AER - NEW ORBITREAD MACHINE</t>
  </si>
  <si>
    <t>AER - SHEROGRAPHY UPGRADE (OBSEOLESCENCE AND SOFTWARE)</t>
  </si>
  <si>
    <t>AER - CORSAIR PROJECT</t>
  </si>
  <si>
    <t>AER - ANNUAL MISCELLANEOUS&lt;50K ALL PLANTS</t>
  </si>
  <si>
    <t>AER - CURING EXHAUST SYSTEM - FSP</t>
  </si>
  <si>
    <t>AER - CORSAIR</t>
  </si>
  <si>
    <t>8241921024</t>
  </si>
  <si>
    <t>8241839244</t>
  </si>
  <si>
    <t>Budget/Actual/Commitment/Rem/Available</t>
  </si>
  <si>
    <t>Plan version        0     Plan/Act - Version</t>
  </si>
  <si>
    <t>Navigation</t>
  </si>
  <si>
    <t>------------------------------------------------------------------------------------------------------------------------------------------------------------------------------------------------------------------</t>
  </si>
  <si>
    <t>Val.category</t>
  </si>
  <si>
    <t>Period/Year</t>
  </si>
  <si>
    <t>.</t>
  </si>
  <si>
    <t>Trans. Currency</t>
  </si>
  <si>
    <t>Bus.transaction</t>
  </si>
  <si>
    <t xml:space="preserve">                                                                          Overall values</t>
  </si>
  <si>
    <t>-------------------------------------------------------------------------------------------------------------------------------------------------------------------</t>
  </si>
  <si>
    <t>Object</t>
  </si>
  <si>
    <t xml:space="preserve">        Budget</t>
  </si>
  <si>
    <t xml:space="preserve">        Actual</t>
  </si>
  <si>
    <t xml:space="preserve">       Comm PO</t>
  </si>
  <si>
    <t xml:space="preserve">      Commitment</t>
  </si>
  <si>
    <t xml:space="preserve">      RemOrdPlan</t>
  </si>
  <si>
    <t xml:space="preserve">       Assigned</t>
  </si>
  <si>
    <t xml:space="preserve">      Available</t>
  </si>
  <si>
    <t>Displayed in</t>
  </si>
  <si>
    <t xml:space="preserve">        1 USD</t>
  </si>
  <si>
    <t>COGEN ELECTRICAL ENE</t>
  </si>
  <si>
    <t xml:space="preserve">                0,00</t>
  </si>
  <si>
    <t>LCP-160092-01</t>
  </si>
  <si>
    <t>CAP-CONTINGENCY</t>
  </si>
  <si>
    <t>LCP-160092-02</t>
  </si>
  <si>
    <t>CAP-GAS TURBINE AND</t>
  </si>
  <si>
    <t>-5.996,00</t>
  </si>
  <si>
    <t>LCP-160092-03</t>
  </si>
  <si>
    <t>CAP-BOILER</t>
  </si>
  <si>
    <t>LCP-160092-04</t>
  </si>
  <si>
    <t>CAP-INT-FAC.CIVIL-SI</t>
  </si>
  <si>
    <t>LCP-160092-05</t>
  </si>
  <si>
    <t>CAP-INT-FAC.CIVIL-BL</t>
  </si>
  <si>
    <t>LCP-160092-06</t>
  </si>
  <si>
    <t>CAP-INT-FAC.ELECT-PO</t>
  </si>
  <si>
    <t>LCP-160092-07</t>
  </si>
  <si>
    <t>CAP-NATURAL GAS PIPE</t>
  </si>
  <si>
    <t>LCP-160092-08</t>
  </si>
  <si>
    <t>CAP-SITE SUPERVISION</t>
  </si>
  <si>
    <t>LCP-160092-09</t>
  </si>
  <si>
    <t>CAP-GENERAL EXPENSES</t>
  </si>
  <si>
    <t xml:space="preserve">           80.000,00</t>
  </si>
  <si>
    <t>PCI (8) ROGERS MECHA</t>
  </si>
  <si>
    <t>LCP-160138-01</t>
  </si>
  <si>
    <t>LCP-160138-02</t>
  </si>
  <si>
    <t>CAP-PCI IN (8) ROGER</t>
  </si>
  <si>
    <t>LCP-160138-03</t>
  </si>
  <si>
    <t>CAP-FAM ENGINEERING</t>
  </si>
  <si>
    <t>FLEXCORD SENSOR DETE</t>
  </si>
  <si>
    <t>LCP-160208-01</t>
  </si>
  <si>
    <t>CAP-FLEXCORD SENSOR</t>
  </si>
  <si>
    <t>LCP-160208-02</t>
  </si>
  <si>
    <t xml:space="preserve">            5.000,00</t>
  </si>
  <si>
    <t>ADEQUATION OF NR#12</t>
  </si>
  <si>
    <t>LCP-170013-01</t>
  </si>
  <si>
    <t>CAP-CONSUMER TIRE CU</t>
  </si>
  <si>
    <t>LCP-170013-02</t>
  </si>
  <si>
    <t>CAP-PLANER MACHINE</t>
  </si>
  <si>
    <t>GREEN TIRE DEBOOKER</t>
  </si>
  <si>
    <t xml:space="preserve">                0,18</t>
  </si>
  <si>
    <t>LCP-170039-01</t>
  </si>
  <si>
    <t>CAP-GREEN TIRE DEBOO</t>
  </si>
  <si>
    <t>LCP-170039-02</t>
  </si>
  <si>
    <t>-163,50</t>
  </si>
  <si>
    <t>ARTICULATED DRUM TIR</t>
  </si>
  <si>
    <t>LCP-170065-01</t>
  </si>
  <si>
    <t>CAP-ARTICULATED DRUM</t>
  </si>
  <si>
    <t>REPLACE AND UPGRADE</t>
  </si>
  <si>
    <t>LCP-170069-01</t>
  </si>
  <si>
    <t>CAP-REPLACE AND UPGR</t>
  </si>
  <si>
    <t>LCP-170069-02</t>
  </si>
  <si>
    <t>AMERICANA WIND UP LE</t>
  </si>
  <si>
    <t>LCP-170077-01</t>
  </si>
  <si>
    <t>CAP-EQUIPMENT/SERVIC</t>
  </si>
  <si>
    <t>LCP-170077-02</t>
  </si>
  <si>
    <t>LCP-170077-03</t>
  </si>
  <si>
    <t>LCP-170077-04</t>
  </si>
  <si>
    <t>LCP-170077-05</t>
  </si>
  <si>
    <t>LCP-170077-06</t>
  </si>
  <si>
    <t xml:space="preserve">           10.000,00</t>
  </si>
  <si>
    <t>FAM PRODUCTIVITY PRO</t>
  </si>
  <si>
    <t>LCP-170099-01</t>
  </si>
  <si>
    <t>CAP-SEMI AUTOMATION</t>
  </si>
  <si>
    <t>LCP-170099-02</t>
  </si>
  <si>
    <t>CAP-MIXER PRODUCTION</t>
  </si>
  <si>
    <t>LCP-170099-03</t>
  </si>
  <si>
    <t>CAP-UPGRADE OF EXTRU</t>
  </si>
  <si>
    <t>LCP-170099-04</t>
  </si>
  <si>
    <t>CAP-UPGRADE OF HOTFO</t>
  </si>
  <si>
    <t xml:space="preserve">                0,08</t>
  </si>
  <si>
    <t>LCP-170099-05</t>
  </si>
  <si>
    <t>CAP-PRODUCTIVITY PRO</t>
  </si>
  <si>
    <t>LCP-170099-06</t>
  </si>
  <si>
    <t>CAP-IMPROVEMENT OF S</t>
  </si>
  <si>
    <t>LCP-170099-07</t>
  </si>
  <si>
    <t>CAP-MECHANICAL SHAPP</t>
  </si>
  <si>
    <t xml:space="preserve">          100.000,00</t>
  </si>
  <si>
    <t>LCP-170099-08</t>
  </si>
  <si>
    <t>CAP-UNIVERSAL TRANSF</t>
  </si>
  <si>
    <t>LCP-170099-09</t>
  </si>
  <si>
    <t>WIRE CAL AUTOMATIC W</t>
  </si>
  <si>
    <t>LCP-170107-01</t>
  </si>
  <si>
    <t>CAP-WIRE CAL AUTOMAT</t>
  </si>
  <si>
    <t>LCP-170107-ED</t>
  </si>
  <si>
    <t>CAP-EDIFICATION</t>
  </si>
  <si>
    <t>LCP-170107-02</t>
  </si>
  <si>
    <t xml:space="preserve">            4.500,00</t>
  </si>
  <si>
    <t>REPLACEMENT OF OIL B</t>
  </si>
  <si>
    <t>LCP-170118-01</t>
  </si>
  <si>
    <t>CAP-REPLACEMENT OF O</t>
  </si>
  <si>
    <t>LCP-170118-02</t>
  </si>
  <si>
    <t>LCP-170118-03</t>
  </si>
  <si>
    <t>CAP-FIRE PROTECTION</t>
  </si>
  <si>
    <t>AVCB NEW WAREHOUSE-B</t>
  </si>
  <si>
    <t>LCP-170154-01</t>
  </si>
  <si>
    <t>CAP-AVCB NEW WAREHOU</t>
  </si>
  <si>
    <t>LCP-170154-02</t>
  </si>
  <si>
    <t>CAP-IT TO AVCB NEW W</t>
  </si>
  <si>
    <t>LCP-170154-03</t>
  </si>
  <si>
    <t>LCP-170154-ED</t>
  </si>
  <si>
    <t>CAP-EDIFICATION AVCB</t>
  </si>
  <si>
    <t>UPGRADE SEPARATED IN</t>
  </si>
  <si>
    <t>LCP-170159-01</t>
  </si>
  <si>
    <t>CAP-UPG SEPARATED IN</t>
  </si>
  <si>
    <t>LCP-170159-02</t>
  </si>
  <si>
    <t xml:space="preserve">            6.000,00</t>
  </si>
  <si>
    <t>AME WAREHOUSE MANAGE</t>
  </si>
  <si>
    <t>LCP-170161-01</t>
  </si>
  <si>
    <t>CAP-CONSUMER AME WAR</t>
  </si>
  <si>
    <t>LCP-170161-02</t>
  </si>
  <si>
    <t>CAP-IT CONSUMER AME</t>
  </si>
  <si>
    <t>LCP-170161-03</t>
  </si>
  <si>
    <t>CAP-COMMERCIAL AME W</t>
  </si>
  <si>
    <t>LCP-170161-04</t>
  </si>
  <si>
    <t>CAP-IT COMMERCIAL AM</t>
  </si>
  <si>
    <t>LCP-170161-05</t>
  </si>
  <si>
    <t>UPG OF (4) FIRST STA</t>
  </si>
  <si>
    <t>LCP-170170-01</t>
  </si>
  <si>
    <t>CAP-UPG OF (4) FIRST</t>
  </si>
  <si>
    <t>LCP-170170-02</t>
  </si>
  <si>
    <t>UPG MOUNTING LINE FO</t>
  </si>
  <si>
    <t>LCP-170194-01</t>
  </si>
  <si>
    <t>CAP-UPG MOUNTING LIN</t>
  </si>
  <si>
    <t>LCP-170194-02</t>
  </si>
  <si>
    <t xml:space="preserve">            8.200,00</t>
  </si>
  <si>
    <t>CURING EXHAUST SYSTE</t>
  </si>
  <si>
    <t xml:space="preserve">           68.000,00</t>
  </si>
  <si>
    <t>LCP-170210-01</t>
  </si>
  <si>
    <t>CAP-CURING EXHAUST S</t>
  </si>
  <si>
    <t xml:space="preserve">           60.000,00</t>
  </si>
  <si>
    <t>LCP-170210-02</t>
  </si>
  <si>
    <t>FAM AVCB PHASE II -</t>
  </si>
  <si>
    <t>LCP-180002-01</t>
  </si>
  <si>
    <t>LCP-180002-02</t>
  </si>
  <si>
    <t>CAP-EMERGENCY LIGHTI</t>
  </si>
  <si>
    <t>LCP-180002-03</t>
  </si>
  <si>
    <t>CAP-PUSH BUTTON AND</t>
  </si>
  <si>
    <t>LCP-180002-04</t>
  </si>
  <si>
    <t>LCP-180002-05</t>
  </si>
  <si>
    <t>CAP-HYDRANTS &amp; SPRIN</t>
  </si>
  <si>
    <t>LCP-180002-06</t>
  </si>
  <si>
    <t>CAP-GENERAL ADEQUATI</t>
  </si>
  <si>
    <t>LCP-180002-07</t>
  </si>
  <si>
    <t>CAP-POWER SUBSTATION</t>
  </si>
  <si>
    <t>GEM PROJECT EMC GRAV</t>
  </si>
  <si>
    <t>LCP-180003-01</t>
  </si>
  <si>
    <t>CAP-GEM PROJECT EMC</t>
  </si>
  <si>
    <t>LCP-180003-02</t>
  </si>
  <si>
    <t>CAP-ENGINEERING SERV</t>
  </si>
  <si>
    <t>QUICK CHANGE OVER NG</t>
  </si>
  <si>
    <t>LCP-180005-01</t>
  </si>
  <si>
    <t>CAP-QUICK CHANGE OVE</t>
  </si>
  <si>
    <t>LCP-180005-02</t>
  </si>
  <si>
    <t>CAP-NR#12 AND NR#17</t>
  </si>
  <si>
    <t>LCP-180005-03</t>
  </si>
  <si>
    <t>VOC REDUCTION AT APE</t>
  </si>
  <si>
    <t>LCP-180009-01</t>
  </si>
  <si>
    <t>CAP-VOC REDUCTION AT</t>
  </si>
  <si>
    <t>LCP-180009-02</t>
  </si>
  <si>
    <t>(3) NEW 52" HYDRAULI</t>
  </si>
  <si>
    <t>LCP-180010-01</t>
  </si>
  <si>
    <t>CAP-(3) NEW PRESSES</t>
  </si>
  <si>
    <t>LCP-180010-02</t>
  </si>
  <si>
    <t>CAP-(6) NPT's GREEN</t>
  </si>
  <si>
    <t>LCP-180010-03</t>
  </si>
  <si>
    <t>CAP-GENERAL EQUIPMEN</t>
  </si>
  <si>
    <t>LCP-180010-04</t>
  </si>
  <si>
    <t>CAP-INSTALATION/SET</t>
  </si>
  <si>
    <t>LCP-180010-05</t>
  </si>
  <si>
    <t>CAP-GE AKRON SUPERVI</t>
  </si>
  <si>
    <t xml:space="preserve">           70.000,00</t>
  </si>
  <si>
    <t>LCP-180010-06</t>
  </si>
  <si>
    <t xml:space="preserve">           55.000,00</t>
  </si>
  <si>
    <t>LCP-180010-ED</t>
  </si>
  <si>
    <t>ED-CAP EDIFICATIONS</t>
  </si>
  <si>
    <t>MIXER#2 BODY REPLACE</t>
  </si>
  <si>
    <t>LCP-180013-01</t>
  </si>
  <si>
    <t>CAP-MIXER#2 BODY REP</t>
  </si>
  <si>
    <t>LCP-180013-02</t>
  </si>
  <si>
    <t>SEMI AUTOMATIC BEAD</t>
  </si>
  <si>
    <t>LCP-180014-01</t>
  </si>
  <si>
    <t>CAP-SEMI AUTOMATIC B</t>
  </si>
  <si>
    <t>LCP-180014-02</t>
  </si>
  <si>
    <t>UPGRADE OF DRIVES NR</t>
  </si>
  <si>
    <t>LCP-180015-01</t>
  </si>
  <si>
    <t>CAP-UPGRADE OF DRIVE</t>
  </si>
  <si>
    <t>LCP-180015-02</t>
  </si>
  <si>
    <t>CAP-NR10 &amp; NR12</t>
  </si>
  <si>
    <t xml:space="preserve">           18.000,00</t>
  </si>
  <si>
    <t>LCP-180015-03</t>
  </si>
  <si>
    <t>AUTOMATIC BARCODE RE</t>
  </si>
  <si>
    <t>LCP-180018-01</t>
  </si>
  <si>
    <t>CAP-AUTOMATIC BARCOD</t>
  </si>
  <si>
    <t>LCP-180018-02</t>
  </si>
  <si>
    <t>2018 MISCELLANEOUS P</t>
  </si>
  <si>
    <t>LCP-180019-01</t>
  </si>
  <si>
    <t>LCP-180019-02</t>
  </si>
  <si>
    <t>ADEQUAÇÃO QUIOSQUE C</t>
  </si>
  <si>
    <t>LCP-180019-03</t>
  </si>
  <si>
    <t>UPGRADE DOS CARTÕES</t>
  </si>
  <si>
    <t xml:space="preserve">           15.000,00</t>
  </si>
  <si>
    <t>LCP-180019-04</t>
  </si>
  <si>
    <t>UPGRADE CPU`S NGTTS</t>
  </si>
  <si>
    <t xml:space="preserve">           22.000,00</t>
  </si>
  <si>
    <t>LCP-180019-05</t>
  </si>
  <si>
    <t>NOVO TRANSFER BAND N</t>
  </si>
  <si>
    <t>LCP-180019-06</t>
  </si>
  <si>
    <t>MODERNIZAÇÃO ROLOS C</t>
  </si>
  <si>
    <t>LCP-180019-07</t>
  </si>
  <si>
    <t>UPGRADE CONVERSOR CA</t>
  </si>
  <si>
    <t xml:space="preserve">           40.000,00</t>
  </si>
  <si>
    <t>LCP-180019-08</t>
  </si>
  <si>
    <t>SISTEMA SEM BUCHA -</t>
  </si>
  <si>
    <t>LCP-180019-09</t>
  </si>
  <si>
    <t>EQUIPMENT FOR TURN U</t>
  </si>
  <si>
    <t xml:space="preserve">           50.000,00</t>
  </si>
  <si>
    <t>LCP-180019-10</t>
  </si>
  <si>
    <t>BYPASS ZONE 16 TO 17</t>
  </si>
  <si>
    <t>LCP-180019-11</t>
  </si>
  <si>
    <t>GUIDE SET - LOW ANGL</t>
  </si>
  <si>
    <t xml:space="preserve">           30.000,00</t>
  </si>
  <si>
    <t>LCP-180019-12</t>
  </si>
  <si>
    <t>CENTRALIZATION SYSTE</t>
  </si>
  <si>
    <t>LCP-180019-13</t>
  </si>
  <si>
    <t>UPGRADE PLY CUTTER S</t>
  </si>
  <si>
    <t>LCP-180019-14</t>
  </si>
  <si>
    <t>POKA YOKE FIO SOLTO</t>
  </si>
  <si>
    <t>LCP-180019-15</t>
  </si>
  <si>
    <t>RISCADOR DE BORDA CA</t>
  </si>
  <si>
    <t>LCP-180019-16</t>
  </si>
  <si>
    <t>UPGRADE SISTEMA CÉLU</t>
  </si>
  <si>
    <t>LCP-180019-17</t>
  </si>
  <si>
    <t>SUBSTITUIÇÃO DE BOMB</t>
  </si>
  <si>
    <t>LCP-180019-18</t>
  </si>
  <si>
    <t>UPGRADE PLC CLIMATIZ</t>
  </si>
  <si>
    <t>LCP-180019-19</t>
  </si>
  <si>
    <t>UPGRADE RACK A30 AUT</t>
  </si>
  <si>
    <t>LCP-180019-20</t>
  </si>
  <si>
    <t>SISTEMA DE RESFRIAME</t>
  </si>
  <si>
    <t xml:space="preserve">           45.000,00</t>
  </si>
  <si>
    <t>LCP-180019-21</t>
  </si>
  <si>
    <t>EXPANÇÃO MEZANINO AL</t>
  </si>
  <si>
    <t>LCP-180019-22</t>
  </si>
  <si>
    <t>RECORD DATA PLY CUTT</t>
  </si>
  <si>
    <t>LCP-180019-23</t>
  </si>
  <si>
    <t>UPGRADE CLOSED LOOP</t>
  </si>
  <si>
    <t>LCP-180019-24</t>
  </si>
  <si>
    <t>SISTEMA DE PROTEÇÃO</t>
  </si>
  <si>
    <t>LCP-180019-25</t>
  </si>
  <si>
    <t>UPGRADE FLEXPACK 300</t>
  </si>
  <si>
    <t>LCP-180019-26</t>
  </si>
  <si>
    <t>CONTENTION DIC - DEP</t>
  </si>
  <si>
    <t>LCP-180019-27</t>
  </si>
  <si>
    <t>MESAS E CADEIRAS - P</t>
  </si>
  <si>
    <t>LCP-180019-28</t>
  </si>
  <si>
    <t>AMBULATORY LAYOUT CH</t>
  </si>
  <si>
    <t>LCP-180019-29</t>
  </si>
  <si>
    <t>EMERGENCY TRUCK</t>
  </si>
  <si>
    <t>LCP-180019-30</t>
  </si>
  <si>
    <t>REGULARIZATION BATHR</t>
  </si>
  <si>
    <t>LCP-180019-31</t>
  </si>
  <si>
    <t>BATTERY ROOM IMPROVE</t>
  </si>
  <si>
    <t>LCP-180019-32</t>
  </si>
  <si>
    <t>UPGRADE OF GRINDERS</t>
  </si>
  <si>
    <t>LCP-180019-33</t>
  </si>
  <si>
    <t>UPG CAMERAS MRT</t>
  </si>
  <si>
    <t>LCP-180019-34</t>
  </si>
  <si>
    <t>COBERTURA EST. OFICI</t>
  </si>
  <si>
    <t>LCP-180019-35</t>
  </si>
  <si>
    <t>SIS. REENROLAMENTO -</t>
  </si>
  <si>
    <t>LCP-180019-36</t>
  </si>
  <si>
    <t>UPG SISTEMA RESFRIAM</t>
  </si>
  <si>
    <t>LCP-180019-37</t>
  </si>
  <si>
    <t>SISTEMA DETECÇÃO DE</t>
  </si>
  <si>
    <t>LCP-180019-38</t>
  </si>
  <si>
    <t>HOTFORMER CHILLER RE</t>
  </si>
  <si>
    <t>LCP-180043-01</t>
  </si>
  <si>
    <t>CAP-HOTFORMER CHILLE</t>
  </si>
  <si>
    <t>LCP-180043-02</t>
  </si>
  <si>
    <t>REPLACE PLC/CCM OF B</t>
  </si>
  <si>
    <t>LCP-180049-01</t>
  </si>
  <si>
    <t>CAP-REPLACE PLC/CCM</t>
  </si>
  <si>
    <t xml:space="preserve">          187.000,00</t>
  </si>
  <si>
    <t>LCP-180049-02</t>
  </si>
  <si>
    <t>LCP-180049-03</t>
  </si>
  <si>
    <t>CAP-GE ENGINEERING S</t>
  </si>
  <si>
    <t>WAREHOUSE LOADING DO</t>
  </si>
  <si>
    <t>LCP-180051-01</t>
  </si>
  <si>
    <t>CAP-WAREHOUSE LOADIN</t>
  </si>
  <si>
    <t>LCP-180051-02</t>
  </si>
  <si>
    <t>CEMENT HOUSE ADEQUAC</t>
  </si>
  <si>
    <t>LCP-180056-01</t>
  </si>
  <si>
    <t>CAP-CEMENT HOUSE ADE</t>
  </si>
  <si>
    <t>LCP-180056-02</t>
  </si>
  <si>
    <t>CAMERAS FOR WAREHOUS</t>
  </si>
  <si>
    <t>LCP-180078-01</t>
  </si>
  <si>
    <t>CAP-(8) CAMERAS DOR</t>
  </si>
  <si>
    <t>LCP-180078-02</t>
  </si>
  <si>
    <t>COMMERCIAL TIRE BUIL</t>
  </si>
  <si>
    <t>LCP-180080-01</t>
  </si>
  <si>
    <t>CAP-COMMERCIAL TIRE</t>
  </si>
  <si>
    <t>LCP-180080-02</t>
  </si>
  <si>
    <t>CAP-ENGINEERING/SITE</t>
  </si>
  <si>
    <t>LCP-180080-03</t>
  </si>
  <si>
    <t>LCP-180080-12</t>
  </si>
  <si>
    <t>NEW BUILDING &amp; BUILD</t>
  </si>
  <si>
    <t>LCP-180080-14</t>
  </si>
  <si>
    <t>BUILDING UTILITIES</t>
  </si>
  <si>
    <t>-17.813,35</t>
  </si>
  <si>
    <t>LCP-180080-18</t>
  </si>
  <si>
    <t>TRANSPORTATION EQUIP</t>
  </si>
  <si>
    <t>LCP-180080-28</t>
  </si>
  <si>
    <t>BEAD MANUFACTURE</t>
  </si>
  <si>
    <t>LCP-180080-31</t>
  </si>
  <si>
    <t>TIRE BUILDING SYSTEM</t>
  </si>
  <si>
    <t>LCP-180080-40</t>
  </si>
  <si>
    <t>IT SYSTEMS</t>
  </si>
  <si>
    <t>LCP-180080-85</t>
  </si>
  <si>
    <t>TIRE BUILDING DRUMS</t>
  </si>
  <si>
    <t>LCP-180080-97</t>
  </si>
  <si>
    <t>CONST. CONTRACTS &amp; M</t>
  </si>
  <si>
    <t>LCP-180080-99</t>
  </si>
  <si>
    <t>ENGINEERING SERVICES</t>
  </si>
  <si>
    <t>GEM PROJECT – EMC SÃ</t>
  </si>
  <si>
    <t>LCP-180081-01</t>
  </si>
  <si>
    <t>CAP-GEM PROJECT - IM</t>
  </si>
  <si>
    <t>LCP-180081-02</t>
  </si>
  <si>
    <t>CAP-ENGINEERING SITE</t>
  </si>
  <si>
    <t>LCP-180081-37</t>
  </si>
  <si>
    <t>CAP-DESIGN PROJECTS</t>
  </si>
  <si>
    <t>LCP-180081-91</t>
  </si>
  <si>
    <t>CAP-EQUIPMENT / TRAN</t>
  </si>
  <si>
    <t>LCP-180081-94</t>
  </si>
  <si>
    <t>CAP-EQUIPMENT AUTOMA</t>
  </si>
  <si>
    <t>LCP-180081-95</t>
  </si>
  <si>
    <t>CAP-ELECTRICAL-EL</t>
  </si>
  <si>
    <t>LCP-180081-96</t>
  </si>
  <si>
    <t>CAP-MECHANICAL-ME</t>
  </si>
  <si>
    <t>LCP-180081-41</t>
  </si>
  <si>
    <t>CAP-GY SITE SUPERVIS</t>
  </si>
  <si>
    <t>LCP-180081-97</t>
  </si>
  <si>
    <t>CAP-GENERAL TRADES-G</t>
  </si>
  <si>
    <t>NEW RUBBER PROCESS A</t>
  </si>
  <si>
    <t>LCP-180082-01</t>
  </si>
  <si>
    <t>CAP-NEW RUBBER PROCE</t>
  </si>
  <si>
    <t xml:space="preserve">           31.000,00</t>
  </si>
  <si>
    <t>UPG DRIVE GV3000 TO</t>
  </si>
  <si>
    <t>LCP-180090-01</t>
  </si>
  <si>
    <t>CAP-UPG DRIVE GV3000</t>
  </si>
  <si>
    <t>LCP-180090-02</t>
  </si>
  <si>
    <t>WIN OE - METAL DETEC</t>
  </si>
  <si>
    <t>LCP-180095-01</t>
  </si>
  <si>
    <t>CAP-WIN OE - METAL D</t>
  </si>
  <si>
    <t>LCP-180095-02</t>
  </si>
  <si>
    <t>UPGRADE FACKTORY LIN</t>
  </si>
  <si>
    <t>LCP-180097-01</t>
  </si>
  <si>
    <t>CAP-UPGRADE FACKTOR</t>
  </si>
  <si>
    <t>LCP-180097-02</t>
  </si>
  <si>
    <t>LCP-180101-01</t>
  </si>
  <si>
    <t>LCP-180101-02</t>
  </si>
  <si>
    <t>MANIPULATOR AT EXTRU</t>
  </si>
  <si>
    <t>LCP-180101-03</t>
  </si>
  <si>
    <t>UPGRADE IN THERMAL I</t>
  </si>
  <si>
    <t>LCP-180101-04</t>
  </si>
  <si>
    <t>INSTALL SENSOR/SCANN</t>
  </si>
  <si>
    <t>LCP-180101-05</t>
  </si>
  <si>
    <t>UPG IN FIX SYSTEM AT</t>
  </si>
  <si>
    <t>LCP-180101-06</t>
  </si>
  <si>
    <t>UPG SISTEMA DE RASPA</t>
  </si>
  <si>
    <t>FVM GRINDERS AUTOMAT</t>
  </si>
  <si>
    <t>LCP-180104-01</t>
  </si>
  <si>
    <t>CAP-FVM GRINDERS AUT</t>
  </si>
  <si>
    <t>LCP-180104-02</t>
  </si>
  <si>
    <t>LCP-180104-03</t>
  </si>
  <si>
    <t>CAP-GE ENGINNERING S</t>
  </si>
  <si>
    <t>ADEQUACY OF NR17 &amp; 1</t>
  </si>
  <si>
    <t>LCP-180108-01</t>
  </si>
  <si>
    <t>CAP-ADEQUACY OF NR17</t>
  </si>
  <si>
    <t>LCP-180108-02</t>
  </si>
  <si>
    <t>LAPG - VDA FIRE PROT</t>
  </si>
  <si>
    <t>LCP-180111-01</t>
  </si>
  <si>
    <t>CAP-LAPG VDA FIRE PR</t>
  </si>
  <si>
    <t>LCP-180111-02</t>
  </si>
  <si>
    <t>GENERATION CONTROL S</t>
  </si>
  <si>
    <t>LCP-180113-01</t>
  </si>
  <si>
    <t>CAP-GENERATION CONTR</t>
  </si>
  <si>
    <t>AUTOMATION LAMINATOR</t>
  </si>
  <si>
    <t>LCP-180114-01</t>
  </si>
  <si>
    <t>CAP-AUTOMATION LAMIN</t>
  </si>
  <si>
    <t>LCP-180114-02</t>
  </si>
  <si>
    <t>LCP-180114-03</t>
  </si>
  <si>
    <t>CLOSED WATER SYSTEM</t>
  </si>
  <si>
    <t>LCP-180115-01</t>
  </si>
  <si>
    <t>CAP-CLOSED WATER SYS</t>
  </si>
  <si>
    <t>LCP-180115-02</t>
  </si>
  <si>
    <t>HVAC – CENTRAL OFFIC</t>
  </si>
  <si>
    <t>LCP-180116-01</t>
  </si>
  <si>
    <t>CAP-HVAC – CENTRAL O</t>
  </si>
  <si>
    <t>LCP-180116-02</t>
  </si>
  <si>
    <t>NEW ORBITREAD MACHIN</t>
  </si>
  <si>
    <t>LCP-180117-01</t>
  </si>
  <si>
    <t>CAP-NEW ORBITREAD MA</t>
  </si>
  <si>
    <t>LCP-180117-02</t>
  </si>
  <si>
    <t>(11) VDF PANEL INSTA</t>
  </si>
  <si>
    <t>LCP-180137-01</t>
  </si>
  <si>
    <t>CAP-(11) VDF PANEL I</t>
  </si>
  <si>
    <t>LCP-180137-02</t>
  </si>
  <si>
    <t>POWER HOUSE STEAM TU</t>
  </si>
  <si>
    <t>LCP-180139-01</t>
  </si>
  <si>
    <t>CAP-POWER HOUSE STEA</t>
  </si>
  <si>
    <t>LCP-180139-02</t>
  </si>
  <si>
    <t>ADEQUACY OF NR#12 CO</t>
  </si>
  <si>
    <t>LCP-180142-01</t>
  </si>
  <si>
    <t>CAP- ADEQUACY OF NR#</t>
  </si>
  <si>
    <t>LCP-180142-02</t>
  </si>
  <si>
    <t>EXHAUST SYS-LINES AB</t>
  </si>
  <si>
    <t>LCP-180149-01</t>
  </si>
  <si>
    <t>CAP-EXHAUST SYS-LINE</t>
  </si>
  <si>
    <t>LCP-180149-02</t>
  </si>
  <si>
    <t>LCP-180150-01</t>
  </si>
  <si>
    <t>CAP-SHEROGRAPHY UPGR</t>
  </si>
  <si>
    <t>LCP-180150-02</t>
  </si>
  <si>
    <t xml:space="preserve">            4.800,00</t>
  </si>
  <si>
    <t>ADEQUACY OF NR#12 IN</t>
  </si>
  <si>
    <t>LCP-180155-01</t>
  </si>
  <si>
    <t>CAP-ADEQUACY OF NR#1</t>
  </si>
  <si>
    <t>LCP-180155-02</t>
  </si>
  <si>
    <t>FIRE FIGHTING SYSTEM</t>
  </si>
  <si>
    <t>LCP-180157-01</t>
  </si>
  <si>
    <t>CAP-FIGHTING SYSTEM</t>
  </si>
  <si>
    <t>LCP-180157-02</t>
  </si>
  <si>
    <t>LCP-180163-01</t>
  </si>
  <si>
    <t>LCP-180163-02</t>
  </si>
  <si>
    <t>IMAGING SYSTEM - ANC</t>
  </si>
  <si>
    <t>LCP-180163-03</t>
  </si>
  <si>
    <t>PALLETIZING MANIPULA</t>
  </si>
  <si>
    <t>LCP-180163-04</t>
  </si>
  <si>
    <t>LCP-180163-05</t>
  </si>
  <si>
    <t>UPGRADE EMERGENCY GE</t>
  </si>
  <si>
    <t>LCP-180163-06</t>
  </si>
  <si>
    <t>HOIST TRUCK - DIADEM</t>
  </si>
  <si>
    <t>LCP-180163-07</t>
  </si>
  <si>
    <t>UPGRADE TIRE ASSEMBL</t>
  </si>
  <si>
    <t>LCP-180174-01</t>
  </si>
  <si>
    <t>-9.224,06</t>
  </si>
  <si>
    <t>LCP-180174-02</t>
  </si>
  <si>
    <t>NEW DUCTS TO COMMERC</t>
  </si>
  <si>
    <t>LCP-180177-01</t>
  </si>
  <si>
    <t>CAP-NEW DUCTS TO COM</t>
  </si>
  <si>
    <t>WIND UP LET OFF NGTT</t>
  </si>
  <si>
    <t>LCP-180178-01</t>
  </si>
  <si>
    <t>CAP-WIND UP LET OFF</t>
  </si>
  <si>
    <t>LCP-180178-02</t>
  </si>
  <si>
    <t>UPG DRIVES &amp; CONTROL</t>
  </si>
  <si>
    <t>LCP-180179-01</t>
  </si>
  <si>
    <t>CAP-UPG DRIVES &amp; CON</t>
  </si>
  <si>
    <t>LCP-180179-02</t>
  </si>
  <si>
    <t>LCP-180179-03</t>
  </si>
  <si>
    <t>ANCHOR SYSTEM &amp; SAFE</t>
  </si>
  <si>
    <t>LCP-180180-01</t>
  </si>
  <si>
    <t>CAP-ANCHOR SYSTEM &amp;</t>
  </si>
  <si>
    <t>LCP-180180-02</t>
  </si>
  <si>
    <t>SORTER B2 – MRT TIRE</t>
  </si>
  <si>
    <t>LCP-180205-01</t>
  </si>
  <si>
    <t>CAP-SORTER B2</t>
  </si>
  <si>
    <t>LCP-180205-02</t>
  </si>
  <si>
    <t>DRIVE OVER READER BE</t>
  </si>
  <si>
    <t>LCP-190004-01</t>
  </si>
  <si>
    <t>CAP-DRIVE OVER READE</t>
  </si>
  <si>
    <t>QCO - MOTHER ROLL CA</t>
  </si>
  <si>
    <t>LCP-190011-01</t>
  </si>
  <si>
    <t>CAP-QCO - MOTHER ROL</t>
  </si>
  <si>
    <t>LCP-190011-02</t>
  </si>
  <si>
    <t>2019 MISCELLANEOUS P</t>
  </si>
  <si>
    <t>LCP-190019-01</t>
  </si>
  <si>
    <t>LCP-190019-02</t>
  </si>
  <si>
    <t>LOW ANGLE#2 - SUPPOR</t>
  </si>
  <si>
    <t>LCP-190019-03</t>
  </si>
  <si>
    <t>PMI UPGRADE PF Q#5 C</t>
  </si>
  <si>
    <t>LCP-190019-04</t>
  </si>
  <si>
    <t>INSTALL ROLLER BRUSH</t>
  </si>
  <si>
    <t>LCP-190019-05</t>
  </si>
  <si>
    <t>TBM SENSOR OF LENGH</t>
  </si>
  <si>
    <t>LCP-190019-06</t>
  </si>
  <si>
    <t>COOLING SYSTEM IN LA</t>
  </si>
  <si>
    <t>LCP-190019-07</t>
  </si>
  <si>
    <t>UPGRADE 2 DRIVE 700s</t>
  </si>
  <si>
    <t>LCP-190019-08</t>
  </si>
  <si>
    <t>PLY CUTTER NEW CAMER</t>
  </si>
  <si>
    <t>LCP-190019-09</t>
  </si>
  <si>
    <t>NEW GUIDE BAR IN CAL</t>
  </si>
  <si>
    <t>LCP-190019-10</t>
  </si>
  <si>
    <t>COOLING SYSTEM CAL4R</t>
  </si>
  <si>
    <t>LCP-190019-11</t>
  </si>
  <si>
    <t>UPGRADE HOTFORMER PL</t>
  </si>
  <si>
    <t>LCP-190019-12</t>
  </si>
  <si>
    <t>UPG SENSOR TEMP. MO1</t>
  </si>
  <si>
    <t>LCP-190019-13</t>
  </si>
  <si>
    <t>UPGRADE IN MIXER#5 L</t>
  </si>
  <si>
    <t>LCP-190019-14</t>
  </si>
  <si>
    <t>DEVICE TO OPTIMIZE T</t>
  </si>
  <si>
    <t>LCP-190019-15</t>
  </si>
  <si>
    <t>NEW DISPERGRADER - L</t>
  </si>
  <si>
    <t>LCP-190019-16</t>
  </si>
  <si>
    <t>UPG RPA 4 - LABORATO</t>
  </si>
  <si>
    <t>LCP-190019-17</t>
  </si>
  <si>
    <t>UPGRADE CONVERSON MA</t>
  </si>
  <si>
    <t>LCP-190019-18</t>
  </si>
  <si>
    <t>CAL3R CRANE UPGRADE</t>
  </si>
  <si>
    <t>LCP-190019-20</t>
  </si>
  <si>
    <t>WIDTH METER (WIND UP</t>
  </si>
  <si>
    <t>LCP-190019-21</t>
  </si>
  <si>
    <t>NEW RTD CARD - CONSU</t>
  </si>
  <si>
    <t>LCP-190019-22</t>
  </si>
  <si>
    <t>NO FLAT CARTI IN PLC</t>
  </si>
  <si>
    <t>LCP-190019-23</t>
  </si>
  <si>
    <t>UPG APLICADOR RODAGE</t>
  </si>
  <si>
    <t>LCP-190019-24</t>
  </si>
  <si>
    <t>TI ADEQUACY - SMART</t>
  </si>
  <si>
    <t>LCP-190019-26</t>
  </si>
  <si>
    <t>ALPHA SHEAR FRICTION</t>
  </si>
  <si>
    <t>LCP-190019-27</t>
  </si>
  <si>
    <t>ALPHA SHEAR TABLE FE</t>
  </si>
  <si>
    <t>LCP-190019-29</t>
  </si>
  <si>
    <t>CONTENTION ROLLER IN</t>
  </si>
  <si>
    <t>LCP-190019-32</t>
  </si>
  <si>
    <t>SOLAR ENERGY GENERAT</t>
  </si>
  <si>
    <t>LCP-190019-34</t>
  </si>
  <si>
    <t>INTERCONECT THE COLD</t>
  </si>
  <si>
    <t>LCP-190019-35</t>
  </si>
  <si>
    <t>CAMERAS MONITORING S</t>
  </si>
  <si>
    <t>LCP-190019-36</t>
  </si>
  <si>
    <t>PREPARATORY PIT STOP</t>
  </si>
  <si>
    <t>LCP-190019-37</t>
  </si>
  <si>
    <t>UPGRADE CENTRAL OFFI</t>
  </si>
  <si>
    <t>LCP-190019-38</t>
  </si>
  <si>
    <t>CHANGE TENNOR PROGRA</t>
  </si>
  <si>
    <t>LCP-190019-39</t>
  </si>
  <si>
    <t>EPI VENDOR MACHINE</t>
  </si>
  <si>
    <t>LCP-190019-40</t>
  </si>
  <si>
    <t>RETROFITTING PRIMARY</t>
  </si>
  <si>
    <t>LCP-190019-41</t>
  </si>
  <si>
    <t>INTERCONECT OFFICE A</t>
  </si>
  <si>
    <t>LCP-190019-42</t>
  </si>
  <si>
    <t>RETROFITTING GEAR MO</t>
  </si>
  <si>
    <t>LCP-190019-43</t>
  </si>
  <si>
    <t>SISTEMA DE VENTILAÇÃ</t>
  </si>
  <si>
    <t>LCP-190019-44</t>
  </si>
  <si>
    <t>PORTA ELEVADOR ACESS</t>
  </si>
  <si>
    <t>LCP-190019-45</t>
  </si>
  <si>
    <t>PROTEÇÃO SEG. FLOOR</t>
  </si>
  <si>
    <t>LCP-190019-46</t>
  </si>
  <si>
    <t>SEG. AUTOMATIZAÇÃO F</t>
  </si>
  <si>
    <t>LCP-190019-48</t>
  </si>
  <si>
    <t>Projeto Sem Bucha Vu</t>
  </si>
  <si>
    <t>LCP-190019-49</t>
  </si>
  <si>
    <t>CHAVE DE VIABILIZAÇÃ</t>
  </si>
  <si>
    <t>LCP-190019-50</t>
  </si>
  <si>
    <t>CANCELA AUTOMÁTICA P</t>
  </si>
  <si>
    <t>LCP-190019-51</t>
  </si>
  <si>
    <t>UPG DRIVE ROLLS #01</t>
  </si>
  <si>
    <t>LCP-190019-52</t>
  </si>
  <si>
    <t>CALIBRADOR PRESSÃO P</t>
  </si>
  <si>
    <t>LCP-190019-53</t>
  </si>
  <si>
    <t>ADEQUAÇÃO &amp; REFORMA</t>
  </si>
  <si>
    <t>LCP-190019-54</t>
  </si>
  <si>
    <t>UPG VERSA VIEW PAINE</t>
  </si>
  <si>
    <t>LCP-190019-55</t>
  </si>
  <si>
    <t>AMPLIAÇÃO SALA ENGEN</t>
  </si>
  <si>
    <t>LCP-190019-56</t>
  </si>
  <si>
    <t>LCP-190019-57</t>
  </si>
  <si>
    <t>ADEQ.NR24 VESTIARIO</t>
  </si>
  <si>
    <t>LCP-190019-58</t>
  </si>
  <si>
    <t>UPG ESTEIRA TRANSP.</t>
  </si>
  <si>
    <t>LCP-190019-59</t>
  </si>
  <si>
    <t>UPG PAINEL VIEW E DR</t>
  </si>
  <si>
    <t>LCP-190019-60</t>
  </si>
  <si>
    <t>UPG ESTEIRA CARIMBAD</t>
  </si>
  <si>
    <t>ROBOT FOR BEAD WINDE</t>
  </si>
  <si>
    <t>LCP-190020-01</t>
  </si>
  <si>
    <t>CAP-ROBOT FOR BEAD W</t>
  </si>
  <si>
    <t>LCP-190020-02</t>
  </si>
  <si>
    <t>WAREHOUSE SAFETY IMP</t>
  </si>
  <si>
    <t>LCP-190025-01</t>
  </si>
  <si>
    <t>CAP-WAREHOUSE SAFETY</t>
  </si>
  <si>
    <t>LCP-190025-02</t>
  </si>
  <si>
    <t>LCP-190047-01</t>
  </si>
  <si>
    <t>CAP-CONTIGENCY</t>
  </si>
  <si>
    <t>LCP-190047-03</t>
  </si>
  <si>
    <t>SIST. MONIT. TEMPERA</t>
  </si>
  <si>
    <t>LCP-190047-04</t>
  </si>
  <si>
    <t>SIST. MONIT. PH E PA</t>
  </si>
  <si>
    <t>LCP-190047-05</t>
  </si>
  <si>
    <t>Troca Rápida Escovas</t>
  </si>
  <si>
    <t>LCP-190047-06</t>
  </si>
  <si>
    <t>Upgrade PLC Segunça</t>
  </si>
  <si>
    <t>UPGRADE OF QUADRIPLE</t>
  </si>
  <si>
    <t>LCP-190057-01</t>
  </si>
  <si>
    <t>CAP-UPG OF Q#5 IN EX</t>
  </si>
  <si>
    <t>LCP-190057-02</t>
  </si>
  <si>
    <t>SECURITY IMPROVEMENT</t>
  </si>
  <si>
    <t>LCP-190061-01</t>
  </si>
  <si>
    <t>CAP-SECURITY IMPROVE</t>
  </si>
  <si>
    <t>LCP-190061-02</t>
  </si>
  <si>
    <t>REPLACEMENT OF BARRE</t>
  </si>
  <si>
    <t>LCP-190066-01</t>
  </si>
  <si>
    <t>CAP-REPLACEMENT OF B</t>
  </si>
  <si>
    <t>LCP-190066-02</t>
  </si>
  <si>
    <t>LCP-190068-01</t>
  </si>
  <si>
    <t>LCP-190068-02</t>
  </si>
  <si>
    <t>UPGRADE MAQ. MONT. C</t>
  </si>
  <si>
    <t xml:space="preserve">           14.000,00</t>
  </si>
  <si>
    <t>LCP-190068-04</t>
  </si>
  <si>
    <t>NOVA BALANCEADORA PN</t>
  </si>
  <si>
    <t>LCP-190068-05</t>
  </si>
  <si>
    <t>NIVELADOR CARGA CM A</t>
  </si>
  <si>
    <t>REPLACEMENT OF ROLLs</t>
  </si>
  <si>
    <t>LCP-190078-01</t>
  </si>
  <si>
    <t>CAP-REPLACEMENT OF R</t>
  </si>
  <si>
    <t>LCP-190078-02</t>
  </si>
  <si>
    <t>LCP-190078-03</t>
  </si>
  <si>
    <t>BLUE RACKS FOR INVEN</t>
  </si>
  <si>
    <t>LCP-190085-01</t>
  </si>
  <si>
    <t>CAP-(250) BLUE RACKS</t>
  </si>
  <si>
    <t>UPGRADE OF MRT XYLON</t>
  </si>
  <si>
    <t>LCP-190089-01</t>
  </si>
  <si>
    <t>CAP-MECHANICAL/ELECT</t>
  </si>
  <si>
    <t>LCP-190089-02</t>
  </si>
  <si>
    <t>CAP-ELECTRICAL PROJE</t>
  </si>
  <si>
    <t>LCP-190089-03</t>
  </si>
  <si>
    <t>CAP-XYLON/SOFTWARE/E</t>
  </si>
  <si>
    <t>LCP-190089-04</t>
  </si>
  <si>
    <t>SHIPMENT SAFETY IMPR</t>
  </si>
  <si>
    <t>LCP-190092-01</t>
  </si>
  <si>
    <t>LCP-190092-02</t>
  </si>
  <si>
    <t>CAP-MATERIAL TO INST</t>
  </si>
  <si>
    <t>LCP-190092-03</t>
  </si>
  <si>
    <t>CAP-INSTALLATION</t>
  </si>
  <si>
    <t>CAP-X-RAY GREEN POIN</t>
  </si>
  <si>
    <t>LCP-190117-01</t>
  </si>
  <si>
    <t>CAP-EQUIPMENT</t>
  </si>
  <si>
    <t>LCP-190117-02</t>
  </si>
  <si>
    <t>CAP-PROJECT</t>
  </si>
  <si>
    <t>LCP-190117-03</t>
  </si>
  <si>
    <t>LCP-190117-04</t>
  </si>
  <si>
    <t>CAP-PROT.SYST.RETROF</t>
  </si>
  <si>
    <t>LCP-190120-01</t>
  </si>
  <si>
    <t>LCP-190120-02</t>
  </si>
  <si>
    <t>LCP-190120-03</t>
  </si>
  <si>
    <t>AME - FIRE FIGHTING</t>
  </si>
  <si>
    <t>LCP-190129-01</t>
  </si>
  <si>
    <t>EQUIPMENT - DIESEL E</t>
  </si>
  <si>
    <t>-4.950,02</t>
  </si>
  <si>
    <t>LCP-190129-02</t>
  </si>
  <si>
    <t>INSTALLATION SERVICE</t>
  </si>
  <si>
    <t>LCP-190129-03</t>
  </si>
  <si>
    <t>ENGINEERING SERVICE</t>
  </si>
  <si>
    <t>CAP-Vehicle Dynamics</t>
  </si>
  <si>
    <t>LCP-190132-01</t>
  </si>
  <si>
    <t>CAP-Paviment noise d</t>
  </si>
  <si>
    <t>LCP-190132-02</t>
  </si>
  <si>
    <t>CAP-Paviment VDA</t>
  </si>
  <si>
    <t>LCP-190132-03</t>
  </si>
  <si>
    <t>CAP-Suport Specialis</t>
  </si>
  <si>
    <t>CAP-WHEEL PULSE TRAN</t>
  </si>
  <si>
    <t>LCP-190138-01</t>
  </si>
  <si>
    <t>CAP-Equipment – Whee</t>
  </si>
  <si>
    <t>LCP-190138-02</t>
  </si>
  <si>
    <t>CAP-Collet 17mm</t>
  </si>
  <si>
    <t>CAP-Upgrade Ring18”</t>
  </si>
  <si>
    <t>LCP-190140-01</t>
  </si>
  <si>
    <t>CAP-Lubrificator Upg</t>
  </si>
  <si>
    <t>LCP-190140-02</t>
  </si>
  <si>
    <t>CAP-Assembly Autom.</t>
  </si>
  <si>
    <t>LCP-190140-03</t>
  </si>
  <si>
    <t>CAP-Inflator Upgrade</t>
  </si>
  <si>
    <t>LCP-190140-04</t>
  </si>
  <si>
    <t>CAP-20 Racks Horizon</t>
  </si>
  <si>
    <t>LCP-190140-05</t>
  </si>
  <si>
    <t>CAP-Conveyors Upgrad</t>
  </si>
  <si>
    <t>LCP-190140-06</t>
  </si>
  <si>
    <t>CAP-M.O Intallation</t>
  </si>
  <si>
    <t>FAM - NEW OIL LINE S</t>
  </si>
  <si>
    <t>LCP-190142-01</t>
  </si>
  <si>
    <t>CAP-Electrical / Mec</t>
  </si>
  <si>
    <t>LCP-190142-02</t>
  </si>
  <si>
    <t>CAP-Panels / General</t>
  </si>
  <si>
    <t>LCP-190142-03</t>
  </si>
  <si>
    <t>CAP-External pumping</t>
  </si>
  <si>
    <t>LCP-190142-04</t>
  </si>
  <si>
    <t>CAP-Internal Tank Sy</t>
  </si>
  <si>
    <t>LCP-190142-05</t>
  </si>
  <si>
    <t>CAP-Pipes with steam</t>
  </si>
  <si>
    <t>LCP-190142-06</t>
  </si>
  <si>
    <t>CAP-General Mechanic</t>
  </si>
  <si>
    <t>LCP-190142-07</t>
  </si>
  <si>
    <t>CAP-General Electric</t>
  </si>
  <si>
    <t>LCP-190142-08</t>
  </si>
  <si>
    <t>CAP-Civil Installati</t>
  </si>
  <si>
    <t xml:space="preserve">           12.000,00</t>
  </si>
  <si>
    <t>LCP-190142-09</t>
  </si>
  <si>
    <t>CAP-Automation on th</t>
  </si>
  <si>
    <t>LCP-190142-10</t>
  </si>
  <si>
    <t>CAP-Mold Clean Pre C</t>
  </si>
  <si>
    <t>LCP-190143-01</t>
  </si>
  <si>
    <t>CAP-New Machine</t>
  </si>
  <si>
    <t>CAP - WIRE CALENDER</t>
  </si>
  <si>
    <t>LCP-190144-01</t>
  </si>
  <si>
    <t>CAP - Edge Trimming</t>
  </si>
  <si>
    <t>LCP-190144-02</t>
  </si>
  <si>
    <t>CAP - Importation ta</t>
  </si>
  <si>
    <t>LCP-190144-03</t>
  </si>
  <si>
    <t>CAP - Transportation</t>
  </si>
  <si>
    <t>LCP-190144-04</t>
  </si>
  <si>
    <t>CAP - Project</t>
  </si>
  <si>
    <t xml:space="preserve">            8.600,00</t>
  </si>
  <si>
    <t>LCP-190144-05</t>
  </si>
  <si>
    <t>CAP - Mechanical / E</t>
  </si>
  <si>
    <t>LCP-190144-06</t>
  </si>
  <si>
    <t>CAP - Installation/A</t>
  </si>
  <si>
    <t>LCP-190144-07</t>
  </si>
  <si>
    <t>CAP - FAM Engineerin</t>
  </si>
  <si>
    <t>LCP-190144-08</t>
  </si>
  <si>
    <t>CAP - GE&amp;MT Engineer</t>
  </si>
  <si>
    <t>B1 - UPGRADE HMI HF</t>
  </si>
  <si>
    <t>LCP-190149-01</t>
  </si>
  <si>
    <t>CAP-Equipments</t>
  </si>
  <si>
    <t>LCP-190149-02</t>
  </si>
  <si>
    <t>CAP-Installation Ser</t>
  </si>
  <si>
    <t>B1 UPG PC-ETMS BALAN</t>
  </si>
  <si>
    <t>LCP-190150-01</t>
  </si>
  <si>
    <t>LCP-190150-02</t>
  </si>
  <si>
    <t>LCP-190150-03</t>
  </si>
  <si>
    <t>CAP-Taxes</t>
  </si>
  <si>
    <t>METAL DETECTOR IN AP</t>
  </si>
  <si>
    <t>LCP-190151-01</t>
  </si>
  <si>
    <t>CAP-Metal detector s</t>
  </si>
  <si>
    <t xml:space="preserve">           25.000,00</t>
  </si>
  <si>
    <t>LCP-190151-02</t>
  </si>
  <si>
    <t>CAP-Conveyors, Mech</t>
  </si>
  <si>
    <t xml:space="preserve">           16.000,00</t>
  </si>
  <si>
    <t>LCP-190151-03</t>
  </si>
  <si>
    <t>CAP-Installation lab</t>
  </si>
  <si>
    <t>LCP-190151-04</t>
  </si>
  <si>
    <t>CAP-Set up and softw</t>
  </si>
  <si>
    <t>LCP-190151-05</t>
  </si>
  <si>
    <t>CAP-Projects Mech/El</t>
  </si>
  <si>
    <t>LCP-190151-06</t>
  </si>
  <si>
    <t>CAP-FAM Engineering</t>
  </si>
  <si>
    <t>CAP-AME-TRANSFER NGT</t>
  </si>
  <si>
    <t>LCP-190159-01</t>
  </si>
  <si>
    <t>CAP-T. ORING WYKO (0</t>
  </si>
  <si>
    <t>-149.090,95</t>
  </si>
  <si>
    <t>LCP-190159-02</t>
  </si>
  <si>
    <t>CAP-MECH. / ELECTRIC</t>
  </si>
  <si>
    <t>-7.411,12</t>
  </si>
  <si>
    <t>LCP-190159-03</t>
  </si>
  <si>
    <t>CAP-MECHANICAL / ELE</t>
  </si>
  <si>
    <t>-15.346,26</t>
  </si>
  <si>
    <t>LCP-190159-04</t>
  </si>
  <si>
    <t>CAP-SOFTWARE</t>
  </si>
  <si>
    <t>-6.701,03</t>
  </si>
  <si>
    <t>LCP-190159-05</t>
  </si>
  <si>
    <t>LCP-190159-06</t>
  </si>
  <si>
    <t>CAP-ALIGNMENT</t>
  </si>
  <si>
    <t>-1.145,30</t>
  </si>
  <si>
    <t>LCP-190159-07</t>
  </si>
  <si>
    <t>CAP-IMPORT TAXES AND</t>
  </si>
  <si>
    <t>CAP-DOR PROJECT IC T</t>
  </si>
  <si>
    <t>LCP-190173-01</t>
  </si>
  <si>
    <t>CAP-D.O.R – Equipmen</t>
  </si>
  <si>
    <t>LCP-190173-02</t>
  </si>
  <si>
    <t>CAP-Importation taxe</t>
  </si>
  <si>
    <t>LCP-190173-03</t>
  </si>
  <si>
    <t>CAP-Technical servic</t>
  </si>
  <si>
    <t>LCP-190173-04</t>
  </si>
  <si>
    <t>CAP-Customer Trainni</t>
  </si>
  <si>
    <t>Replace and Upg Roll</t>
  </si>
  <si>
    <t>LCP-190178-01</t>
  </si>
  <si>
    <t>Roll #03 - storeroom</t>
  </si>
  <si>
    <t>LCP-190178-02</t>
  </si>
  <si>
    <t>Roll#03 crown machin</t>
  </si>
  <si>
    <t>LCP-190178-03</t>
  </si>
  <si>
    <t>Roll#02 crown machin</t>
  </si>
  <si>
    <t>LCP-190178-04</t>
  </si>
  <si>
    <t>Roll Bearings</t>
  </si>
  <si>
    <t>LCP-190178-05</t>
  </si>
  <si>
    <t>Bending Bearings</t>
  </si>
  <si>
    <t>LCP-190178-06</t>
  </si>
  <si>
    <t>Roll#02 blocks - sto</t>
  </si>
  <si>
    <t>LCP-190178-07</t>
  </si>
  <si>
    <t>Roll#03 blocks - sto</t>
  </si>
  <si>
    <t>LCP-190178-08</t>
  </si>
  <si>
    <t>Rotary joint</t>
  </si>
  <si>
    <t>WIRE CALENDER – WIG-</t>
  </si>
  <si>
    <t>LCP-190184-01</t>
  </si>
  <si>
    <t>CAP-WIRE CALENDER -</t>
  </si>
  <si>
    <t>LCP-190186-01</t>
  </si>
  <si>
    <t>CAP-Building &amp; Utili</t>
  </si>
  <si>
    <t>LCP-190186-02</t>
  </si>
  <si>
    <t>CAP-New Equipment</t>
  </si>
  <si>
    <t>LCP-190186-03</t>
  </si>
  <si>
    <t>CAP-Safety / Fire Pr</t>
  </si>
  <si>
    <t xml:space="preserve">          145.000,00</t>
  </si>
  <si>
    <t>LCP-190186-04</t>
  </si>
  <si>
    <t>CAP-Installation &amp; A</t>
  </si>
  <si>
    <t>LCP-190186-05</t>
  </si>
  <si>
    <t>CAP-IT Infrastructur</t>
  </si>
  <si>
    <t>LCP-190186-06</t>
  </si>
  <si>
    <t>CAP-Contingency (5%)</t>
  </si>
  <si>
    <t>MISC SP-APLAMO Machi</t>
  </si>
  <si>
    <t>LCP-190188-01</t>
  </si>
  <si>
    <t>CAP-New Laser Device</t>
  </si>
  <si>
    <t>CAP-MOBILE DOCK WH F</t>
  </si>
  <si>
    <t>LCP-190199-01</t>
  </si>
  <si>
    <t>LCP-190199-02</t>
  </si>
  <si>
    <t>CAP-Installations (p</t>
  </si>
  <si>
    <t>CAP-MIXER#6 BODY REP</t>
  </si>
  <si>
    <t>LCP-190202-01</t>
  </si>
  <si>
    <t>CAP-Mixer Body and A</t>
  </si>
  <si>
    <t>LCP-190202-02</t>
  </si>
  <si>
    <t>CAP-Mechanical &amp; Ele</t>
  </si>
  <si>
    <t>LCP-190202-03</t>
  </si>
  <si>
    <t>LCP-190202-04</t>
  </si>
  <si>
    <t>CAP-Civil Service an</t>
  </si>
  <si>
    <t>LCP-190202-05</t>
  </si>
  <si>
    <t>CAP-Transportation S</t>
  </si>
  <si>
    <t>LCP-190202-06</t>
  </si>
  <si>
    <t>CAP-GE Support</t>
  </si>
  <si>
    <t>CAP-SAFETY SYSTEM –</t>
  </si>
  <si>
    <t>LCP-190203-01</t>
  </si>
  <si>
    <t>CAP-Project</t>
  </si>
  <si>
    <t>LCP-190203-02</t>
  </si>
  <si>
    <t>CAP-Equipment (V. Su</t>
  </si>
  <si>
    <t>LCP-190203-03</t>
  </si>
  <si>
    <t>CAP-Infrastructure (</t>
  </si>
  <si>
    <t>LCP-190203-04</t>
  </si>
  <si>
    <t>CAP-Material &amp; Misce</t>
  </si>
  <si>
    <t>LCP-190203-05</t>
  </si>
  <si>
    <t>CAP-Installation</t>
  </si>
  <si>
    <t>CAP-InflationTesting</t>
  </si>
  <si>
    <t>LCP-190204-01</t>
  </si>
  <si>
    <t>CAP-Equipment</t>
  </si>
  <si>
    <t>LCP-190204-02</t>
  </si>
  <si>
    <t>CAP-Taxes and duties</t>
  </si>
  <si>
    <t>LCP-190204-03</t>
  </si>
  <si>
    <t>CAP-Electrical&amp;mecha</t>
  </si>
  <si>
    <t>LCP-190204-04</t>
  </si>
  <si>
    <t>CAP-NR12 local valid</t>
  </si>
  <si>
    <t>LCP-190204-05</t>
  </si>
  <si>
    <t>CAP-Mat.ele.mech. in</t>
  </si>
  <si>
    <t>LCP-190204-06</t>
  </si>
  <si>
    <t>CAP-FAM Eng'g servic</t>
  </si>
  <si>
    <t>AKROMARKER FOR FVM-A</t>
  </si>
  <si>
    <t>LCP-190208-01</t>
  </si>
  <si>
    <t>EQUIPMENTS (2 UN AKR</t>
  </si>
  <si>
    <t>LCP-190208-02</t>
  </si>
  <si>
    <t>IMPORTATION TAXES (3</t>
  </si>
  <si>
    <t>LCP-190208-03</t>
  </si>
  <si>
    <t>2 UN SORTER CONVEYOR</t>
  </si>
  <si>
    <t>LCP-190208-04</t>
  </si>
  <si>
    <t>MECH/ELEC´L/AUTOMATI</t>
  </si>
  <si>
    <t>LCP-190208-05</t>
  </si>
  <si>
    <t>ELECTRICAL AND MECHA</t>
  </si>
  <si>
    <t>LCP-190208-06</t>
  </si>
  <si>
    <t>MICROPOISE ENG´G ON</t>
  </si>
  <si>
    <t>LCP-190208-07</t>
  </si>
  <si>
    <t>SITE SUPERVISION (BY</t>
  </si>
  <si>
    <t xml:space="preserve">           35.000,00</t>
  </si>
  <si>
    <t>CAP-ALPHA SHEAR LET</t>
  </si>
  <si>
    <t>LCP-190213-01</t>
  </si>
  <si>
    <t>CAP-MATERIAL</t>
  </si>
  <si>
    <t>LCP-190213-02</t>
  </si>
  <si>
    <t>CAP-MECH´L &amp; ELECT´L</t>
  </si>
  <si>
    <t>LCP-190213-03</t>
  </si>
  <si>
    <t>CAP- MO INSTALLATION</t>
  </si>
  <si>
    <t>CAP-CONTOUR CORRECTI</t>
  </si>
  <si>
    <t>LCP-190215-01</t>
  </si>
  <si>
    <t>CAP-BASIC MACHINE RR</t>
  </si>
  <si>
    <t>LCP-190215-02</t>
  </si>
  <si>
    <t>CAP-SLEEVE FILT&amp;DUST</t>
  </si>
  <si>
    <t>LCP-190215-03</t>
  </si>
  <si>
    <t>CAP-GEN´L MECHANICAL</t>
  </si>
  <si>
    <t>LCP-190215-04</t>
  </si>
  <si>
    <t>CAP-GEN´L ELECTRICAL</t>
  </si>
  <si>
    <t>LCP-190215-05</t>
  </si>
  <si>
    <t>CAP-MECHANICAL AND E</t>
  </si>
  <si>
    <t>LCP-190215-06</t>
  </si>
  <si>
    <t>CAP-MECHANCAL AND EL</t>
  </si>
  <si>
    <t>LCP-190215-07</t>
  </si>
  <si>
    <t>CAP-CIVIL INSTALLATI</t>
  </si>
  <si>
    <t>LCP-190215-08</t>
  </si>
  <si>
    <t>CAP-NEW CONVEYOURS &amp;</t>
  </si>
  <si>
    <t>-1.920,15</t>
  </si>
  <si>
    <t>LCP-190215-09</t>
  </si>
  <si>
    <t>CAP-MATTEUZZI SERVIC</t>
  </si>
  <si>
    <t>LCP-190215-10</t>
  </si>
  <si>
    <t>CAP-GE COST (START S</t>
  </si>
  <si>
    <t>LCP-190215-11</t>
  </si>
  <si>
    <t>CAP-CTI AUTOMATION S</t>
  </si>
  <si>
    <t>LCP-190215-12</t>
  </si>
  <si>
    <t>CAP-IMPORTATION TAXE</t>
  </si>
  <si>
    <t>LCP-190215-13</t>
  </si>
  <si>
    <t>CAP-MACHINE CHECK OU</t>
  </si>
  <si>
    <t>UPGRADE TYLOR SYSTEM</t>
  </si>
  <si>
    <t>LCP-190229-01</t>
  </si>
  <si>
    <t>CAP-Material</t>
  </si>
  <si>
    <t xml:space="preserve">           93.000,00</t>
  </si>
  <si>
    <t>LCP-190229-02</t>
  </si>
  <si>
    <t>CAP-Project Electric</t>
  </si>
  <si>
    <t>LCP-190229-03</t>
  </si>
  <si>
    <t>CAP-M.O Installation</t>
  </si>
  <si>
    <t>CAP-HOTFORMER UPGRAD</t>
  </si>
  <si>
    <t>LCP-190231-01</t>
  </si>
  <si>
    <t>CAP-LINNER AND SCREW</t>
  </si>
  <si>
    <t>REPLACEMENT &amp; UPGRAD</t>
  </si>
  <si>
    <t>LCP-200001-01</t>
  </si>
  <si>
    <t>CAP-REPLACEMENT &amp; UP</t>
  </si>
  <si>
    <t>CAP - AME - REPL &amp; U</t>
  </si>
  <si>
    <t>LCP-200008-01</t>
  </si>
  <si>
    <t>CAP-(02 New) Rolls C</t>
  </si>
  <si>
    <t>LCP-200008-02</t>
  </si>
  <si>
    <t>CAP-(02 Resurfacing)</t>
  </si>
  <si>
    <t>LCP-200008-03</t>
  </si>
  <si>
    <t>CAP-Mechanical Mater</t>
  </si>
  <si>
    <t>CAP-AME-REPL &amp; UPG O</t>
  </si>
  <si>
    <t>LCP-200009-01</t>
  </si>
  <si>
    <t>CAP-(01 Roll Calende</t>
  </si>
  <si>
    <t>LCP-200009-02</t>
  </si>
  <si>
    <t>CAP-(04 Resurfacing)</t>
  </si>
  <si>
    <t>LCP-200009-03</t>
  </si>
  <si>
    <t xml:space="preserve">                0,20</t>
  </si>
  <si>
    <t>PCI IN (6) ROGERS 47</t>
  </si>
  <si>
    <t>LCP-200011-01</t>
  </si>
  <si>
    <t>CAP-PCI for 06 mech.</t>
  </si>
  <si>
    <t>LCP-200011-02</t>
  </si>
  <si>
    <t>CAP-Mech. &amp; Elect. a</t>
  </si>
  <si>
    <t>LCP-200011-03</t>
  </si>
  <si>
    <t>CAP-Rings</t>
  </si>
  <si>
    <t>LCP-200011-04</t>
  </si>
  <si>
    <t>CAP-Extension and lo</t>
  </si>
  <si>
    <t>-0,27</t>
  </si>
  <si>
    <t>LCP-200023-01</t>
  </si>
  <si>
    <t>CAP-UPGRADE PARTS AN</t>
  </si>
  <si>
    <t>LCP-200023-02</t>
  </si>
  <si>
    <t>CAP-Inland Transport</t>
  </si>
  <si>
    <t>LCP-200023-03</t>
  </si>
  <si>
    <t>CAP-Mechanical / Ele</t>
  </si>
  <si>
    <t>-0,08</t>
  </si>
  <si>
    <t>LCP-200023-04</t>
  </si>
  <si>
    <t>CAP-Service support</t>
  </si>
  <si>
    <t>-0,18</t>
  </si>
  <si>
    <t>LCP-200023-05</t>
  </si>
  <si>
    <t>CAP-GME Support Onsi</t>
  </si>
  <si>
    <t>LCP-200023-06</t>
  </si>
  <si>
    <t>CAP-Master Tire Impo</t>
  </si>
  <si>
    <t>AME -2020 MISCELLANE</t>
  </si>
  <si>
    <t>LCP-200026-01</t>
  </si>
  <si>
    <t>ADEQ. PROT. ESTEIRA</t>
  </si>
  <si>
    <t>REFORMA BANHEIRO PRO</t>
  </si>
  <si>
    <t>UPG MÁQ. GIRAR TAMBO</t>
  </si>
  <si>
    <t>PROLONGAR PLATAFORMA</t>
  </si>
  <si>
    <t>AME-CAMERAS INSTALLA</t>
  </si>
  <si>
    <t>UPG TROCADOR CALOR P</t>
  </si>
  <si>
    <t>AME-GATE HOUSE IMPRO</t>
  </si>
  <si>
    <t>ADEQ. SIST. ATERRAME</t>
  </si>
  <si>
    <t xml:space="preserve">           13.000,00</t>
  </si>
  <si>
    <t>LCP-200026-16</t>
  </si>
  <si>
    <t>TROCA ROSCA &amp; BARRIL</t>
  </si>
  <si>
    <t>CTI-006-04-00028 - C</t>
  </si>
  <si>
    <t>RETROFIT IHM COMPRES</t>
  </si>
  <si>
    <t>SALA DE PIGMENTO</t>
  </si>
  <si>
    <t>LCP-200026-24</t>
  </si>
  <si>
    <t>UPGRADE DRIVE CHANFR</t>
  </si>
  <si>
    <t>LCP-200026-25</t>
  </si>
  <si>
    <t>SUBSTITUIÇÃO GML-139</t>
  </si>
  <si>
    <t>LCP-200026-26</t>
  </si>
  <si>
    <t>ADEQUACAO GLP PRACA</t>
  </si>
  <si>
    <t>LCP-200026-28</t>
  </si>
  <si>
    <t>UPG SIST. MONIT. OXI</t>
  </si>
  <si>
    <t>LCP-200026-29</t>
  </si>
  <si>
    <t>RED. PNEU LIXO POR L</t>
  </si>
  <si>
    <t>LCP-200026-30</t>
  </si>
  <si>
    <t>RETROFIT IHM - COMPR</t>
  </si>
  <si>
    <t>LCP-200026-31</t>
  </si>
  <si>
    <t>UPG TORRE RESFRIAMEN</t>
  </si>
  <si>
    <t>LCP-200026-32</t>
  </si>
  <si>
    <t>ADEQUAÇÃO CIMENTADOR</t>
  </si>
  <si>
    <t>LCP-200026-33</t>
  </si>
  <si>
    <t>PEDAIS DE SEGURANÇA</t>
  </si>
  <si>
    <t>LCP-200026-34</t>
  </si>
  <si>
    <t>DETECTOR DE VAZAMENT</t>
  </si>
  <si>
    <t>LCP-200026-36</t>
  </si>
  <si>
    <t>UPGRADE CPU L62 PARA</t>
  </si>
  <si>
    <t>LCP-200026-38</t>
  </si>
  <si>
    <t>UPGRADE CPU L63 PARA</t>
  </si>
  <si>
    <t>LCP-200026-39</t>
  </si>
  <si>
    <t>UP GRADE TALHA JATO</t>
  </si>
  <si>
    <t>LCP-200026-40</t>
  </si>
  <si>
    <t>PH ENTUBADORAS</t>
  </si>
  <si>
    <t>LCP-200026-41</t>
  </si>
  <si>
    <t>SISTEMA DE TRANSMISS</t>
  </si>
  <si>
    <t>LCP-200026-42</t>
  </si>
  <si>
    <t>SPDA PORTARIA CASA C</t>
  </si>
  <si>
    <t>LCP-200026-43</t>
  </si>
  <si>
    <t>SPDA CASA DE CIMENTO</t>
  </si>
  <si>
    <t>LCP-200026-44</t>
  </si>
  <si>
    <t>UPGRADE DO MANIPULAD</t>
  </si>
  <si>
    <t>REPLACEMENT OF RING</t>
  </si>
  <si>
    <t>LCP-200028-01</t>
  </si>
  <si>
    <t>CAP-2-Step Rim SN42C</t>
  </si>
  <si>
    <t>-12.579,36</t>
  </si>
  <si>
    <t>LCP-200028-02</t>
  </si>
  <si>
    <t>CAP-2-Step Rim SN36C</t>
  </si>
  <si>
    <t>-12.969,86</t>
  </si>
  <si>
    <t>LCP-200028-03</t>
  </si>
  <si>
    <t>CAP-2-Step Rim SN35C</t>
  </si>
  <si>
    <t>LCP-200028-04</t>
  </si>
  <si>
    <t>-13.507,71</t>
  </si>
  <si>
    <t>REPL OF ACCELERATOR</t>
  </si>
  <si>
    <t>LCP-200030-01</t>
  </si>
  <si>
    <t>CAP-Kit Accelerator</t>
  </si>
  <si>
    <t>LCP-200030-02</t>
  </si>
  <si>
    <t>CAP-Miscellaneous Eq</t>
  </si>
  <si>
    <t>LCP-200030-03</t>
  </si>
  <si>
    <t>CAP-Installation ser</t>
  </si>
  <si>
    <t>REPLACE OF ROLLS IN</t>
  </si>
  <si>
    <t>LCP-200037-01</t>
  </si>
  <si>
    <t>CAP-(15 set) Roller</t>
  </si>
  <si>
    <t>AME - MIXER#7 BODY R</t>
  </si>
  <si>
    <t>LCP-200053-01</t>
  </si>
  <si>
    <t>CAP-Mixer Body and I</t>
  </si>
  <si>
    <t>LCP-200053-02</t>
  </si>
  <si>
    <t xml:space="preserve">          170.000,00</t>
  </si>
  <si>
    <t>LCP-200053-03</t>
  </si>
  <si>
    <t>LCP-200053-04</t>
  </si>
  <si>
    <t>CAP-Safety enhanceme</t>
  </si>
  <si>
    <t>LCP-200053-05</t>
  </si>
  <si>
    <t>CAP-Electrical and M</t>
  </si>
  <si>
    <t>LCP-200053-06</t>
  </si>
  <si>
    <t>LCP-200053-07</t>
  </si>
  <si>
    <t>CAP-GE Support and K</t>
  </si>
  <si>
    <t>CAP-HOTFORMER UPG LI</t>
  </si>
  <si>
    <t>LCP-200076-01</t>
  </si>
  <si>
    <t>CAP-Linner and Screw</t>
  </si>
  <si>
    <t>LCP-200076-02</t>
  </si>
  <si>
    <t>CAP-Service of torqu</t>
  </si>
  <si>
    <t>CAP-NEW OIL LINE BIJ</t>
  </si>
  <si>
    <t>LCP-200077-01</t>
  </si>
  <si>
    <t>CAP-Projects Mechani</t>
  </si>
  <si>
    <t>LCP-200077-02</t>
  </si>
  <si>
    <t>CAP-Pumping System</t>
  </si>
  <si>
    <t>LCP-200077-03</t>
  </si>
  <si>
    <t>CAP-Internal Tanks</t>
  </si>
  <si>
    <t>LCP-200077-04</t>
  </si>
  <si>
    <t>CAP-Pipeline</t>
  </si>
  <si>
    <t>LCP-200077-05</t>
  </si>
  <si>
    <t>LCP-200077-06</t>
  </si>
  <si>
    <t>CAP-Automation</t>
  </si>
  <si>
    <t>LCP-200077-07</t>
  </si>
  <si>
    <t>CAP-Civil and Facili</t>
  </si>
  <si>
    <t>AME - METAL DETECTOR</t>
  </si>
  <si>
    <t>LCP-200092-01</t>
  </si>
  <si>
    <t>CAP-Metal detector e</t>
  </si>
  <si>
    <t>LCP-200092-02</t>
  </si>
  <si>
    <t>LCP-200092-03</t>
  </si>
  <si>
    <t>LCP-200092-04</t>
  </si>
  <si>
    <t>LCP-200092-05</t>
  </si>
  <si>
    <t>CAP-Visit Sesotec En</t>
  </si>
  <si>
    <t>AME - UPGRADE BT DRU</t>
  </si>
  <si>
    <t>LCP-200115-01</t>
  </si>
  <si>
    <t>CAP- BT DRUM WYKO</t>
  </si>
  <si>
    <t>SBO-UPGRADE PLC AUTO</t>
  </si>
  <si>
    <t>LCP-200116-01</t>
  </si>
  <si>
    <t>LCP-200116-02</t>
  </si>
  <si>
    <t>LCP-200116-03</t>
  </si>
  <si>
    <t>CAP-REWIND STAT FOR</t>
  </si>
  <si>
    <t>LCP-200117-01</t>
  </si>
  <si>
    <t>CAP-(04) Rewind stat</t>
  </si>
  <si>
    <t>REPL MAIN GEARBOX 6"</t>
  </si>
  <si>
    <t>LCP-200119-01</t>
  </si>
  <si>
    <t>CAP-GEAR BOX</t>
  </si>
  <si>
    <t>LCP-200119-02</t>
  </si>
  <si>
    <t>CAP-MECH/CRANE/ALIGN</t>
  </si>
  <si>
    <t>CAP-TPMS SYSTEM UPGR</t>
  </si>
  <si>
    <t>LCP-200120-01</t>
  </si>
  <si>
    <t>CAP-Software upgrade</t>
  </si>
  <si>
    <t>CAP-PRODUCTIVITY BUI</t>
  </si>
  <si>
    <t>LCP-200121-01</t>
  </si>
  <si>
    <t>LCP-200121-02</t>
  </si>
  <si>
    <t>LCP-200121-03</t>
  </si>
  <si>
    <t>LCP-200121-04</t>
  </si>
  <si>
    <t>CAP-PROGRAM</t>
  </si>
  <si>
    <t>CAP-BANBURIES BATCH-</t>
  </si>
  <si>
    <t>LCP-200124-01</t>
  </si>
  <si>
    <t>CAP-MECH / ELECTRICA</t>
  </si>
  <si>
    <t>LCP-200124-02</t>
  </si>
  <si>
    <t>LCP-200124-03</t>
  </si>
  <si>
    <t>CAP-INSTAL./START UP</t>
  </si>
  <si>
    <t>Upg Micropoise Balan</t>
  </si>
  <si>
    <t>LCP-200125-01</t>
  </si>
  <si>
    <t>CAP-EQUIPMENT UPGRAD</t>
  </si>
  <si>
    <t>LCP-200125-02</t>
  </si>
  <si>
    <t>CAP-INSTALLATION SER</t>
  </si>
  <si>
    <t>LCP-200125-03</t>
  </si>
  <si>
    <t>CAP-(06) Paint Marke</t>
  </si>
  <si>
    <t>LCP-200125-04</t>
  </si>
  <si>
    <t>CAP-Mechanical Insta</t>
  </si>
  <si>
    <t>LCP-200125-05</t>
  </si>
  <si>
    <t>CAP-Electrical Insta</t>
  </si>
  <si>
    <t>MIcro-Poise ATW Bala</t>
  </si>
  <si>
    <t>LCP-200126-01</t>
  </si>
  <si>
    <t>LCP-200126-02</t>
  </si>
  <si>
    <t>CAP-SAFETY UPGRADE -</t>
  </si>
  <si>
    <t>LCP-200129-01</t>
  </si>
  <si>
    <t>CAP-MECH / ELEC PROJ</t>
  </si>
  <si>
    <t>LCP-200129-02</t>
  </si>
  <si>
    <t>LCP-200129-03</t>
  </si>
  <si>
    <t>CAP-INSTALLATION/SET</t>
  </si>
  <si>
    <t>AME - UPGRADE PLC MR</t>
  </si>
  <si>
    <t>LCP-200130-01</t>
  </si>
  <si>
    <t>CAP-PANEL</t>
  </si>
  <si>
    <t>LCP-200130-02</t>
  </si>
  <si>
    <t>CAP-MAT FOR INST &amp; I</t>
  </si>
  <si>
    <t>LCP-200130-03</t>
  </si>
  <si>
    <t>LCP-200130-04</t>
  </si>
  <si>
    <t>LCP-200130-05</t>
  </si>
  <si>
    <t>CAP- ELECT &amp; MECH IN</t>
  </si>
  <si>
    <t>LCP-200130-06</t>
  </si>
  <si>
    <t>CAP- MAT PNEUMATIC</t>
  </si>
  <si>
    <t>AME-UPG GENERAL PANE</t>
  </si>
  <si>
    <t>LCP-200131-01</t>
  </si>
  <si>
    <t>LCP-200131-02</t>
  </si>
  <si>
    <t>CAP-SERVER MATERIALS</t>
  </si>
  <si>
    <t>LCP-200131-03</t>
  </si>
  <si>
    <t>CAP-MAT INFRA &amp; INST</t>
  </si>
  <si>
    <t>LCP-200131-04</t>
  </si>
  <si>
    <t>LCP-200131-05</t>
  </si>
  <si>
    <t>CAP-PROGAMMING</t>
  </si>
  <si>
    <t>LCP-200131-06</t>
  </si>
  <si>
    <t>CAP-ELECTRICAL INST</t>
  </si>
  <si>
    <t>LCP-200131-07</t>
  </si>
  <si>
    <t>CAP-MECH INSTALL</t>
  </si>
  <si>
    <t>AME - UPGRADE XLE#7</t>
  </si>
  <si>
    <t>LCP-200137-01</t>
  </si>
  <si>
    <t>LCP-200137-02</t>
  </si>
  <si>
    <t>LCP-200137-03</t>
  </si>
  <si>
    <t>CAP-Main Motor rejuv</t>
  </si>
  <si>
    <t>LCP-200137-04</t>
  </si>
  <si>
    <t>CAP-Labor Services</t>
  </si>
  <si>
    <t>Barcode Syst in Sequ</t>
  </si>
  <si>
    <t>LCP-200142-01</t>
  </si>
  <si>
    <t>CAP - Conveyors &amp; In</t>
  </si>
  <si>
    <t>LCP-200142-02</t>
  </si>
  <si>
    <t>CAP- (02) New Balanc</t>
  </si>
  <si>
    <t>LCP-200142-03</t>
  </si>
  <si>
    <t>CAP- New Barcode Rea</t>
  </si>
  <si>
    <t>LCP-200142-04</t>
  </si>
  <si>
    <t>CAP-Equipments for V</t>
  </si>
  <si>
    <t>LCP-200142-05</t>
  </si>
  <si>
    <t>CAP-Software System</t>
  </si>
  <si>
    <t>LCP-200142-06</t>
  </si>
  <si>
    <t>AME - AUTOM LOADING</t>
  </si>
  <si>
    <t>LCP-200145-01</t>
  </si>
  <si>
    <t>CAP-Project MEC. / E</t>
  </si>
  <si>
    <t>LCP-200145-02</t>
  </si>
  <si>
    <t>LCP-200145-03</t>
  </si>
  <si>
    <t>CAP-Installation, St</t>
  </si>
  <si>
    <t>MASTER PLAN SECURITY</t>
  </si>
  <si>
    <t>LCP-200149-01</t>
  </si>
  <si>
    <t>MATERIALS</t>
  </si>
  <si>
    <t>LCP-200149-02</t>
  </si>
  <si>
    <t>M.O. INFRASTRUCTURE</t>
  </si>
  <si>
    <t>LCP-200149-03</t>
  </si>
  <si>
    <t>DIGIFORT SYSTEM</t>
  </si>
  <si>
    <t>LCP-200149-04</t>
  </si>
  <si>
    <t>STORAGE SERVER</t>
  </si>
  <si>
    <t>LCP-200149-05</t>
  </si>
  <si>
    <t>PROJECT</t>
  </si>
  <si>
    <t>CAP - COMFORT LANES</t>
  </si>
  <si>
    <t>LCP-200159-01</t>
  </si>
  <si>
    <t>CAP - Concrete and C</t>
  </si>
  <si>
    <t>LCP-200159-02</t>
  </si>
  <si>
    <t>CAP - Suport Special</t>
  </si>
  <si>
    <t>ENGINEERING CONTRACT</t>
  </si>
  <si>
    <t>LCP-200169-01</t>
  </si>
  <si>
    <t>Project: Mechanical,</t>
  </si>
  <si>
    <t>LCP-200169-02</t>
  </si>
  <si>
    <t>Installation/ Materi</t>
  </si>
  <si>
    <t>LCP-200169-03</t>
  </si>
  <si>
    <t>Bathroom</t>
  </si>
  <si>
    <t>LCP-200169-04</t>
  </si>
  <si>
    <t>Shopsite</t>
  </si>
  <si>
    <t>UPGRADE OF DRIVE &amp; M</t>
  </si>
  <si>
    <t>LCP-200170-01</t>
  </si>
  <si>
    <t>Electrical Project I</t>
  </si>
  <si>
    <t>LCP-200170-02</t>
  </si>
  <si>
    <t>Mechanical Project a</t>
  </si>
  <si>
    <t>LCP-200170-03</t>
  </si>
  <si>
    <t>Motor AC 450hp IP55</t>
  </si>
  <si>
    <t>LCP-200170-04</t>
  </si>
  <si>
    <t>Drive Powerflex 755</t>
  </si>
  <si>
    <t>LCP-200170-05</t>
  </si>
  <si>
    <t>Transformer 750kVA</t>
  </si>
  <si>
    <t>LCP-200170-06</t>
  </si>
  <si>
    <t>Electrical and Mecha</t>
  </si>
  <si>
    <t>LCP-200170-07</t>
  </si>
  <si>
    <t>Software Automation</t>
  </si>
  <si>
    <t>LCP-200170-08</t>
  </si>
  <si>
    <t>General Electrical M</t>
  </si>
  <si>
    <t>LCP-200170-09</t>
  </si>
  <si>
    <t>GME Support</t>
  </si>
  <si>
    <t>AME-RETROFIT–BLUE RA</t>
  </si>
  <si>
    <t>LCP-200175-01</t>
  </si>
  <si>
    <t>NEW BLUE RACKS BY MO</t>
  </si>
  <si>
    <t>LCP-200177-01</t>
  </si>
  <si>
    <t>(1) New Power Genera</t>
  </si>
  <si>
    <t>LCP-200177-02</t>
  </si>
  <si>
    <t>Electrical Project /</t>
  </si>
  <si>
    <t>LCP-200177-03</t>
  </si>
  <si>
    <t>Civil / Content Dick</t>
  </si>
  <si>
    <t>AMERICANA CONSUMER H</t>
  </si>
  <si>
    <t>LCP-200185-14</t>
  </si>
  <si>
    <t>14 - BUILDING UTILIT</t>
  </si>
  <si>
    <t>LCP-200185-18</t>
  </si>
  <si>
    <t>18 – TRANSPORTATION</t>
  </si>
  <si>
    <t>LCP-200185-28</t>
  </si>
  <si>
    <t>28 - BEAD MANUFACTUR</t>
  </si>
  <si>
    <t>LCP-200185-32</t>
  </si>
  <si>
    <t>32 – GREEN TIRE SYST</t>
  </si>
  <si>
    <t>-310.023,18</t>
  </si>
  <si>
    <t>LCP-200185-31</t>
  </si>
  <si>
    <t>31 - TIRE BUILDING S</t>
  </si>
  <si>
    <t>LCP-200185-33</t>
  </si>
  <si>
    <t>33 - TIRE CURING SYS</t>
  </si>
  <si>
    <t>LCP-200185-34</t>
  </si>
  <si>
    <t>34 – MATERIAL HANDLI</t>
  </si>
  <si>
    <t>LCP-200185-40</t>
  </si>
  <si>
    <t>40 - IT SYSTEMS</t>
  </si>
  <si>
    <t>-5.760,06</t>
  </si>
  <si>
    <t>LCP-200185-83</t>
  </si>
  <si>
    <t>83 - MISC. TIRE MOLD</t>
  </si>
  <si>
    <t>-103.883,38</t>
  </si>
  <si>
    <t>LCP-200185-85</t>
  </si>
  <si>
    <t>85 - TIRE BUILDING D</t>
  </si>
  <si>
    <t>LCP-200185-97</t>
  </si>
  <si>
    <t>97 - CONST. CONTRACT</t>
  </si>
  <si>
    <t>LCP-200185-99</t>
  </si>
  <si>
    <t>99 - ENGINEERING SER</t>
  </si>
  <si>
    <t>LCP-200185-01</t>
  </si>
  <si>
    <t>01 - PROJECT CONTING</t>
  </si>
  <si>
    <t>-126.379,56</t>
  </si>
  <si>
    <t>AME - 2021 MISCELLAN</t>
  </si>
  <si>
    <t>UPG SISTEMA DE FREIO</t>
  </si>
  <si>
    <t>NIP POINT EM ESTEIRA</t>
  </si>
  <si>
    <t>-159,83</t>
  </si>
  <si>
    <t>BENCHMARK PICKER ROL</t>
  </si>
  <si>
    <t>CENTRALIZADOR DE PNE</t>
  </si>
  <si>
    <t>ADEQUAÇÃO DE VESTIÁR</t>
  </si>
  <si>
    <t>TRANSF EXTRUSORA Q6</t>
  </si>
  <si>
    <t>MELHORIAS CARRO DUMM</t>
  </si>
  <si>
    <t>SISTEMA DE TRAVAMENT</t>
  </si>
  <si>
    <t>LINHA DE SEGURANÇA D</t>
  </si>
  <si>
    <t>UPGRADE PLC5 FISCHER</t>
  </si>
  <si>
    <t>GUIA LINEAR PARA APL</t>
  </si>
  <si>
    <t>DETECÇÃO FIO SOLTO A</t>
  </si>
  <si>
    <t>-698,34</t>
  </si>
  <si>
    <t>CAL. Z - UPG DRIVE P</t>
  </si>
  <si>
    <t>B1- PASSADEIRA DE FO</t>
  </si>
  <si>
    <t>MIXER#7 - UPG DRIVE</t>
  </si>
  <si>
    <t>PLY CUTTER - REDUÇÃO</t>
  </si>
  <si>
    <t>MIXER#4 - UPG DRIVE</t>
  </si>
  <si>
    <t>RETROFIT SIST. HIDRA</t>
  </si>
  <si>
    <t>ENTUBADORA - AUTOMAÇ</t>
  </si>
  <si>
    <t>ISOLADORAS - CHECKLI</t>
  </si>
  <si>
    <t>LIMPADORA DE TROCADO</t>
  </si>
  <si>
    <t>ADEQUAÇÃO DIQUES CON</t>
  </si>
  <si>
    <t>GATEWAY DH+ PARA PRE</t>
  </si>
  <si>
    <t>ZIPPER ELETRICO PARA</t>
  </si>
  <si>
    <t>-2.327,66</t>
  </si>
  <si>
    <t>VULCAWELD - PRENSA P</t>
  </si>
  <si>
    <t>UPG SIST. MEDICAO TE</t>
  </si>
  <si>
    <t>RETROFIT SIST.INFLAC</t>
  </si>
  <si>
    <t>UPGRADE CENTRALIZADO</t>
  </si>
  <si>
    <t>REPLACEMENT PRIMARY</t>
  </si>
  <si>
    <t>LCP-210010-01</t>
  </si>
  <si>
    <t>CAP- Gearbox Model D</t>
  </si>
  <si>
    <t>LCP-210010-02</t>
  </si>
  <si>
    <t>CAP - Mec. Labor sup</t>
  </si>
  <si>
    <t>WASTEWATER TANK IMPR</t>
  </si>
  <si>
    <t>-6.302,11</t>
  </si>
  <si>
    <t>LCP-210011-01</t>
  </si>
  <si>
    <t>Civil Labor and Mate</t>
  </si>
  <si>
    <t>LCP-210011-02</t>
  </si>
  <si>
    <t>Pumps Electrical Lab</t>
  </si>
  <si>
    <t>LCP-210011-03</t>
  </si>
  <si>
    <t>(02) Hydraulic Pumps</t>
  </si>
  <si>
    <t>LCP-210011-04</t>
  </si>
  <si>
    <t>Civil / Mechanical /</t>
  </si>
  <si>
    <t>UPGRADE OF DRIVES BE</t>
  </si>
  <si>
    <t>LCP-210014-01</t>
  </si>
  <si>
    <t>Electrical Project</t>
  </si>
  <si>
    <t>LCP-210014-02</t>
  </si>
  <si>
    <t>Mechanical / Electri</t>
  </si>
  <si>
    <t>LCP-210014-03</t>
  </si>
  <si>
    <t>Installation, Start-</t>
  </si>
  <si>
    <t>IMPROVEMENT IN CLIMA</t>
  </si>
  <si>
    <t>LCP-210016-01</t>
  </si>
  <si>
    <t>Material Device/ App</t>
  </si>
  <si>
    <t>REPLACEMENT OF BOTTO</t>
  </si>
  <si>
    <t>LCP-210018-01</t>
  </si>
  <si>
    <t>-7.581,08</t>
  </si>
  <si>
    <t>LCP-210018-02</t>
  </si>
  <si>
    <t>Mechanical service</t>
  </si>
  <si>
    <t>LCP-210018-03</t>
  </si>
  <si>
    <t>Electrical service</t>
  </si>
  <si>
    <t>LCP-210018-04</t>
  </si>
  <si>
    <t>Bottom tank</t>
  </si>
  <si>
    <t>-37.401,41</t>
  </si>
  <si>
    <t>LCP-210018-05</t>
  </si>
  <si>
    <t>Facilities and civil</t>
  </si>
  <si>
    <t>LCP-210018-06</t>
  </si>
  <si>
    <t>New conveyor</t>
  </si>
  <si>
    <t>LCP-210018-07</t>
  </si>
  <si>
    <t>NEW AIR COMPRESSOR -</t>
  </si>
  <si>
    <t>LCP-210020-01</t>
  </si>
  <si>
    <t>Machine+capacitor+Ch</t>
  </si>
  <si>
    <t>LCP-210020-02</t>
  </si>
  <si>
    <t>Project Mechanical /</t>
  </si>
  <si>
    <t>LCP-210020-03</t>
  </si>
  <si>
    <t>Limitamp panel Retro</t>
  </si>
  <si>
    <t>LCP-210020-04</t>
  </si>
  <si>
    <t>Platform for filters</t>
  </si>
  <si>
    <t>LCP-210020-05</t>
  </si>
  <si>
    <t>Civil Foundation</t>
  </si>
  <si>
    <t xml:space="preserve">           12.500,00</t>
  </si>
  <si>
    <t>LCP-210020-06</t>
  </si>
  <si>
    <t>Installation</t>
  </si>
  <si>
    <t>LCP-210020-07</t>
  </si>
  <si>
    <t>Material (Electrical</t>
  </si>
  <si>
    <t>LCP-210020-08</t>
  </si>
  <si>
    <t>Main power cable</t>
  </si>
  <si>
    <t>LCP-210020-09</t>
  </si>
  <si>
    <t>Crane 5 Ton in the m</t>
  </si>
  <si>
    <t>LCP-210020-10</t>
  </si>
  <si>
    <t>NR-13 – Layout adequ</t>
  </si>
  <si>
    <t>LCP-210022-01</t>
  </si>
  <si>
    <t>Bulding Remodeling</t>
  </si>
  <si>
    <t>LCP-210022-02</t>
  </si>
  <si>
    <t>IT Infrastructure</t>
  </si>
  <si>
    <t>LCP-210022-03</t>
  </si>
  <si>
    <t>Taxes and Licenses</t>
  </si>
  <si>
    <t>LCP-210022-04</t>
  </si>
  <si>
    <t>Contingency</t>
  </si>
  <si>
    <t>UPG AKROSCAN SYSTEM</t>
  </si>
  <si>
    <t>LCP-210025-01</t>
  </si>
  <si>
    <t>Material Device/ Equ</t>
  </si>
  <si>
    <t>LCP-210025-02</t>
  </si>
  <si>
    <t>Service Installation</t>
  </si>
  <si>
    <t xml:space="preserve">            1.500,00</t>
  </si>
  <si>
    <t>LCP-210025-03</t>
  </si>
  <si>
    <t>Mechanical Project</t>
  </si>
  <si>
    <t>LCP-210025-04</t>
  </si>
  <si>
    <t>LCP-210025-05</t>
  </si>
  <si>
    <t>Mechanical Labor</t>
  </si>
  <si>
    <t>LCP-210025-06</t>
  </si>
  <si>
    <t>Electrical Labor</t>
  </si>
  <si>
    <t>LCP-210025-07</t>
  </si>
  <si>
    <t>Global Engeneer Supp</t>
  </si>
  <si>
    <t>UPPER CONVEYORS SAFE</t>
  </si>
  <si>
    <t>LCP-210038-01</t>
  </si>
  <si>
    <t>Material Device on S</t>
  </si>
  <si>
    <t>LCP-210038-02</t>
  </si>
  <si>
    <t>Instalations Labor (</t>
  </si>
  <si>
    <t>LCP-210038-03</t>
  </si>
  <si>
    <t>LCP-210038-04</t>
  </si>
  <si>
    <t>LCP-210038-05</t>
  </si>
  <si>
    <t>FSB - 2021 MISCELLAN</t>
  </si>
  <si>
    <t>LCP-210040-02</t>
  </si>
  <si>
    <t>Camera monitoring Sy</t>
  </si>
  <si>
    <t>LCP-210040-03</t>
  </si>
  <si>
    <t>Manipulator re-work</t>
  </si>
  <si>
    <t>LCP-210040-04</t>
  </si>
  <si>
    <t>Manipulator wrapper</t>
  </si>
  <si>
    <t>LCP-210040-05</t>
  </si>
  <si>
    <t>Up grade Road Scale</t>
  </si>
  <si>
    <t>CREEL ROOM TRANSFER</t>
  </si>
  <si>
    <t>LCP-210045-01</t>
  </si>
  <si>
    <t>Instalation Mechanic</t>
  </si>
  <si>
    <t>FIRE PROTECTION SYST</t>
  </si>
  <si>
    <t>LCP-210052-01</t>
  </si>
  <si>
    <t>Installation / Mater</t>
  </si>
  <si>
    <t>AME – WULO – CONSUMM</t>
  </si>
  <si>
    <t>LCP-210055-01</t>
  </si>
  <si>
    <t>Project Electric; Me</t>
  </si>
  <si>
    <t>LCP-210055-02</t>
  </si>
  <si>
    <t>Equipament Electric/</t>
  </si>
  <si>
    <t>LCP-210055-03</t>
  </si>
  <si>
    <t>Eletrical Assembly</t>
  </si>
  <si>
    <t>LCP-210055-04</t>
  </si>
  <si>
    <t>Mechanical Assembly</t>
  </si>
  <si>
    <t>LCP-210055-05</t>
  </si>
  <si>
    <t>LCP-210055-06</t>
  </si>
  <si>
    <t>AERO - VENTILATION A</t>
  </si>
  <si>
    <t>LCP-210077-01</t>
  </si>
  <si>
    <t>LCP-210077-02</t>
  </si>
  <si>
    <t>MATERIAL</t>
  </si>
  <si>
    <t>LCP-210077-03</t>
  </si>
  <si>
    <t>INSTALLATION</t>
  </si>
  <si>
    <t>PNC - PNEUMATIC CORE</t>
  </si>
  <si>
    <t>LCP-210078-01</t>
  </si>
  <si>
    <t>(2) New complete dru</t>
  </si>
  <si>
    <t>LCP-210078-02</t>
  </si>
  <si>
    <t>LCP-210078-03</t>
  </si>
  <si>
    <t>Import Taxes (30%) &amp;</t>
  </si>
  <si>
    <t xml:space="preserve">            2.000,00</t>
  </si>
  <si>
    <t>LCP-210078-04</t>
  </si>
  <si>
    <t>Installation (ele&amp;me</t>
  </si>
  <si>
    <t>LCP-210078-05</t>
  </si>
  <si>
    <t>Drum booth equipment</t>
  </si>
  <si>
    <t>LCP-210078-06</t>
  </si>
  <si>
    <t>LCP-210078-07</t>
  </si>
  <si>
    <t>Contingency (10%)</t>
  </si>
  <si>
    <t>RET - FLAT PRECURED</t>
  </si>
  <si>
    <t>LCP-210083-01</t>
  </si>
  <si>
    <t>Building &amp; Utilities</t>
  </si>
  <si>
    <t>LCP-210083-02</t>
  </si>
  <si>
    <t>New Equipment</t>
  </si>
  <si>
    <t>LCP-210083-03</t>
  </si>
  <si>
    <t>Project Office</t>
  </si>
  <si>
    <t>LCP-210083-04</t>
  </si>
  <si>
    <t>Automation</t>
  </si>
  <si>
    <t>AME - UPG BARREL AND</t>
  </si>
  <si>
    <t>LCP-210084-01</t>
  </si>
  <si>
    <t>Linner and Screw and</t>
  </si>
  <si>
    <t>LCP-210084-02</t>
  </si>
  <si>
    <t>Assembly and adjustm</t>
  </si>
  <si>
    <t>LCP-210084-03</t>
  </si>
  <si>
    <t>Alignment service (</t>
  </si>
  <si>
    <t>CAL4R2 - UPG OF THE</t>
  </si>
  <si>
    <t>LCP-210085-01</t>
  </si>
  <si>
    <t>Roller, structure, b</t>
  </si>
  <si>
    <t>LCP-210085-02</t>
  </si>
  <si>
    <t>Stainless steel conv</t>
  </si>
  <si>
    <t>LCP-210085-03</t>
  </si>
  <si>
    <t>Technical services o</t>
  </si>
  <si>
    <t>LCP-210085-04</t>
  </si>
  <si>
    <t>Alignment service /</t>
  </si>
  <si>
    <t>AME - NEW MRT KOKUSA</t>
  </si>
  <si>
    <t>LCP-210086-01</t>
  </si>
  <si>
    <t>CAP - (1) New Kokusa</t>
  </si>
  <si>
    <t>LCP-210086-02</t>
  </si>
  <si>
    <t>CAP - (3) Sets rims</t>
  </si>
  <si>
    <t>LCP-210086-03</t>
  </si>
  <si>
    <t>CAP - CETESB/NR12 /N</t>
  </si>
  <si>
    <t>LCP-210086-04</t>
  </si>
  <si>
    <t>TDF (Importation Tax</t>
  </si>
  <si>
    <t>LCP-210086-05</t>
  </si>
  <si>
    <t>CAP - Foundation</t>
  </si>
  <si>
    <t>LCP-210086-06</t>
  </si>
  <si>
    <t>CAP - New Conveyors</t>
  </si>
  <si>
    <t>LCP-210086-07</t>
  </si>
  <si>
    <t>CAP - Sorter/tire st</t>
  </si>
  <si>
    <t>LCP-210086-08</t>
  </si>
  <si>
    <t>CAP - Site supervisi</t>
  </si>
  <si>
    <t>LCP-210086-09</t>
  </si>
  <si>
    <t>CAP - Hardware level</t>
  </si>
  <si>
    <t>LCP-210086-10</t>
  </si>
  <si>
    <t>CAP - Mec and Elec I</t>
  </si>
  <si>
    <t>LCP-210086-11</t>
  </si>
  <si>
    <t>CAP - Mec and Elec P</t>
  </si>
  <si>
    <t>LCP-210086-12</t>
  </si>
  <si>
    <t>Stair and cat walk (</t>
  </si>
  <si>
    <t>RET - UPG PLC AND PR</t>
  </si>
  <si>
    <t>LCP-210092-01</t>
  </si>
  <si>
    <t>CAP - PROJECT</t>
  </si>
  <si>
    <t>LCP-210092-02</t>
  </si>
  <si>
    <t>CAP - MATERIAL</t>
  </si>
  <si>
    <t>LCP-210092-03</t>
  </si>
  <si>
    <t>CAP - INSTALLATION</t>
  </si>
  <si>
    <t>AME - UPG WIND-UP EX</t>
  </si>
  <si>
    <t>LCP-210098-01</t>
  </si>
  <si>
    <t>LCP-210098-02</t>
  </si>
  <si>
    <t>CAP - Automation Mat</t>
  </si>
  <si>
    <t>LCP-210098-03</t>
  </si>
  <si>
    <t>CAP - Automation Ser</t>
  </si>
  <si>
    <t>LCP-210098-04</t>
  </si>
  <si>
    <t>CAP - Electrical / M</t>
  </si>
  <si>
    <t>LCP-210098-05</t>
  </si>
  <si>
    <t>CAP - General Materi</t>
  </si>
  <si>
    <t>LCP-210098-06</t>
  </si>
  <si>
    <t>CAP - New Conveyors/</t>
  </si>
  <si>
    <t>FSB - FM GLOBAL ADEQ</t>
  </si>
  <si>
    <t>LCP-210100-01</t>
  </si>
  <si>
    <t>LCP-210100-02</t>
  </si>
  <si>
    <t>LCP-210100-03</t>
  </si>
  <si>
    <t>FSB - BATHROOM ADEQU</t>
  </si>
  <si>
    <t>LCP-210101-01</t>
  </si>
  <si>
    <t>-14,95</t>
  </si>
  <si>
    <t>LCP-210101-02</t>
  </si>
  <si>
    <t>LCP-210101-03</t>
  </si>
  <si>
    <t>NR12 ADEQUANCY AERO</t>
  </si>
  <si>
    <t>LCP-210102-01</t>
  </si>
  <si>
    <t>LCP-210102-02</t>
  </si>
  <si>
    <t>LCP-210102-03</t>
  </si>
  <si>
    <t>AME - RESTAURANT’S K</t>
  </si>
  <si>
    <t>LCP-210103-01</t>
  </si>
  <si>
    <t>LCP-210103-02</t>
  </si>
  <si>
    <t>CAP -Materials (Civi</t>
  </si>
  <si>
    <t>LCP-210103-03</t>
  </si>
  <si>
    <t>CAP - Installation L</t>
  </si>
  <si>
    <t>-13.170,45</t>
  </si>
  <si>
    <t>AME - CENTAC#17 100</t>
  </si>
  <si>
    <t>LCP-210106-01</t>
  </si>
  <si>
    <t>CAP - Machine overha</t>
  </si>
  <si>
    <t>LCP-210106-02</t>
  </si>
  <si>
    <t>CAP - Turbine 3rd St</t>
  </si>
  <si>
    <t>LCP-210106-03</t>
  </si>
  <si>
    <t>CAP - Installation</t>
  </si>
  <si>
    <t>LCP-210106-04</t>
  </si>
  <si>
    <t>CAP - Structural Pro</t>
  </si>
  <si>
    <t>LCP-210106-05</t>
  </si>
  <si>
    <t>CAP - Crane 5TON (Ma</t>
  </si>
  <si>
    <t>AME - COOLING SYSTEM</t>
  </si>
  <si>
    <t>LCP-210107-01</t>
  </si>
  <si>
    <t>CAP - Electrical &amp; M</t>
  </si>
  <si>
    <t>LCP-210107-02</t>
  </si>
  <si>
    <t>CAP - Mechanical Ser</t>
  </si>
  <si>
    <t>LCP-210107-03</t>
  </si>
  <si>
    <t>CAP - Electrical Ser</t>
  </si>
  <si>
    <t>LCP-210107-04</t>
  </si>
  <si>
    <t>CAP - New CHILLER 80</t>
  </si>
  <si>
    <t>LCP-210107-05</t>
  </si>
  <si>
    <t>CAP - New Tank</t>
  </si>
  <si>
    <t>LCP-210107-06</t>
  </si>
  <si>
    <t>CAP - Heat Exchange</t>
  </si>
  <si>
    <t>LCP-210107-07</t>
  </si>
  <si>
    <t>CAP - Thermal insula</t>
  </si>
  <si>
    <t>LCP-210107-08</t>
  </si>
  <si>
    <t>CAP - Electrical Pan</t>
  </si>
  <si>
    <t>LCP-210107-09</t>
  </si>
  <si>
    <t>CAP - Mechanical &amp; E</t>
  </si>
  <si>
    <t>MC – 2021 ANNUAL MIS</t>
  </si>
  <si>
    <t>LCP-210110-02</t>
  </si>
  <si>
    <t>EPIACABA - AIR BUFFE</t>
  </si>
  <si>
    <t>LCP-210110-03</t>
  </si>
  <si>
    <t>GRAVATAI - RETROFIT</t>
  </si>
  <si>
    <t>LCP-210110-04</t>
  </si>
  <si>
    <t>GRAVATAI - IMPLEMENT</t>
  </si>
  <si>
    <t>LCP-210110-05</t>
  </si>
  <si>
    <t>EPIACABA - SUN'S MAN</t>
  </si>
  <si>
    <t>LCP-210110-06</t>
  </si>
  <si>
    <t>GRAVATAI SUNS MANUAL</t>
  </si>
  <si>
    <t>LCP-210110-07</t>
  </si>
  <si>
    <t>PLC MICROPOISE COMMU</t>
  </si>
  <si>
    <t>LCP-210110-08</t>
  </si>
  <si>
    <t>EPIACABA - ARCHER SE</t>
  </si>
  <si>
    <t>LCP-210110-09</t>
  </si>
  <si>
    <t>GRAVATAI - COUNTERWE</t>
  </si>
  <si>
    <t>AME -COMPLEXITY AND</t>
  </si>
  <si>
    <t>LCP-210114-01</t>
  </si>
  <si>
    <t>CAP - ( 103 ) SPOOLS</t>
  </si>
  <si>
    <t>LCP-210114-02</t>
  </si>
  <si>
    <t>CAP - ( 240 ) SKIDS</t>
  </si>
  <si>
    <t>COOLING SYSTEM UPGRA</t>
  </si>
  <si>
    <t>LCP-210118-01</t>
  </si>
  <si>
    <t>CAP - Mechanical Pro</t>
  </si>
  <si>
    <t>LCP-210118-02</t>
  </si>
  <si>
    <t>LCP-210118-03</t>
  </si>
  <si>
    <t>CAP - Ducts and Insu</t>
  </si>
  <si>
    <t>LCP-210120-01</t>
  </si>
  <si>
    <t>LCP-210120-02</t>
  </si>
  <si>
    <t>LCP-210120-03</t>
  </si>
  <si>
    <t>LCP-210121-01</t>
  </si>
  <si>
    <t>CAP - Project Elec,</t>
  </si>
  <si>
    <t>LCP-210121-02</t>
  </si>
  <si>
    <t>CAP - Eletrical Mate</t>
  </si>
  <si>
    <t>LCP-210121-03</t>
  </si>
  <si>
    <t>CAP - Eletrical Asse</t>
  </si>
  <si>
    <t>LCP-210121-04</t>
  </si>
  <si>
    <t>CAP - Mechanical Ass</t>
  </si>
  <si>
    <t>LCP-210121-05</t>
  </si>
  <si>
    <t>CAP - Mechanical Lab</t>
  </si>
  <si>
    <t>LCP-210121-06</t>
  </si>
  <si>
    <t>CAP - Electrical Lab</t>
  </si>
  <si>
    <t>AME - REPLACEMENT X-</t>
  </si>
  <si>
    <t>LCP-210123-01</t>
  </si>
  <si>
    <t>CAP - X-ray tube ass</t>
  </si>
  <si>
    <t>AME - WOMENs RESTROO</t>
  </si>
  <si>
    <t>LCP-210131-01</t>
  </si>
  <si>
    <t>CAP - MATERIALS</t>
  </si>
  <si>
    <t>LCP-210131-02</t>
  </si>
  <si>
    <t>LCP-210131-03</t>
  </si>
  <si>
    <t>AME - STEEL TRANSFER</t>
  </si>
  <si>
    <t>LCP-210132-01</t>
  </si>
  <si>
    <t>CAP - MATERIAL DEVIC</t>
  </si>
  <si>
    <t>LCP-210132-02</t>
  </si>
  <si>
    <t>CAP - MECHANICAL LAB</t>
  </si>
  <si>
    <t>LCP-210132-03</t>
  </si>
  <si>
    <t>CAP - ELETRICAL LABO</t>
  </si>
  <si>
    <t>AME - MILLS ADEQUACY</t>
  </si>
  <si>
    <t>LCP-210133-01</t>
  </si>
  <si>
    <t>CAP - Automation Eqp</t>
  </si>
  <si>
    <t>LCP-210133-02</t>
  </si>
  <si>
    <t>CAP - Installation l</t>
  </si>
  <si>
    <t>LCP-210133-03</t>
  </si>
  <si>
    <t>CAP - Automation Eng</t>
  </si>
  <si>
    <t>LCP-210133-04</t>
  </si>
  <si>
    <t>CAP - Electrical and</t>
  </si>
  <si>
    <t>LCP-210133-05</t>
  </si>
  <si>
    <t>CAP - Electrical Mat</t>
  </si>
  <si>
    <t>LCP-210133-06</t>
  </si>
  <si>
    <t>CAP - Mechanical mat</t>
  </si>
  <si>
    <t>AME – INTERNAL LIGHT</t>
  </si>
  <si>
    <t>LCP-210134-01</t>
  </si>
  <si>
    <t>LCP-210134-02</t>
  </si>
  <si>
    <t>LCP-210134-03</t>
  </si>
  <si>
    <t>MC - FALSE TRUCK TIR</t>
  </si>
  <si>
    <t>LCP-210135-01</t>
  </si>
  <si>
    <t>CAP - EQUIPAMENT AND</t>
  </si>
  <si>
    <t>LCP-210135-02</t>
  </si>
  <si>
    <t>CAP - INSTALATION EL</t>
  </si>
  <si>
    <t>LCP-210135-06</t>
  </si>
  <si>
    <t>CAP - EQUIPAMENT's E</t>
  </si>
  <si>
    <t>AME -SIDEWALK BUILDI</t>
  </si>
  <si>
    <t>LCP-210137-01</t>
  </si>
  <si>
    <t>CAP-MATERIALS</t>
  </si>
  <si>
    <t>LCP-210137-02</t>
  </si>
  <si>
    <t>AME - NEW RAINWATER</t>
  </si>
  <si>
    <t>LCP-210138-01</t>
  </si>
  <si>
    <t>LCP-210138-02</t>
  </si>
  <si>
    <t>LCP-210138-03</t>
  </si>
  <si>
    <t>AME - CAL 3R COOLING</t>
  </si>
  <si>
    <t>LCP-210140-01</t>
  </si>
  <si>
    <t>CAP - Project Electr</t>
  </si>
  <si>
    <t>LCP-210140-02</t>
  </si>
  <si>
    <t>CAP - Chiller 80TR –</t>
  </si>
  <si>
    <t>LCP-210140-03</t>
  </si>
  <si>
    <t>CAP - (2) Cold Water</t>
  </si>
  <si>
    <t>LCP-210140-04</t>
  </si>
  <si>
    <t>CAP - Mechanical Mat</t>
  </si>
  <si>
    <t>LCP-210140-05</t>
  </si>
  <si>
    <t>LCP-210140-06</t>
  </si>
  <si>
    <t>LCP-210140-07</t>
  </si>
  <si>
    <t>CAP - Piping Insulat</t>
  </si>
  <si>
    <t>AME - WIRE CALENDER</t>
  </si>
  <si>
    <t>LCP-210146-01</t>
  </si>
  <si>
    <t>LCP-210146-02</t>
  </si>
  <si>
    <t>LCP-210146-03</t>
  </si>
  <si>
    <t>AME - NT CONSUMMER B</t>
  </si>
  <si>
    <t>LCP-210147-01</t>
  </si>
  <si>
    <t>CAP - ELECTRICAL PRO</t>
  </si>
  <si>
    <t>LCP-210147-02</t>
  </si>
  <si>
    <t>CAP - MECHANICAL PRO</t>
  </si>
  <si>
    <t>LCP-210147-03</t>
  </si>
  <si>
    <t>CAP - SOFTWARE UPDAT</t>
  </si>
  <si>
    <t>LCP-210147-04</t>
  </si>
  <si>
    <t>CAP - ELECTRICAL ASS</t>
  </si>
  <si>
    <t>LCP-210147-05</t>
  </si>
  <si>
    <t>CAP - MECHANICAL ASS</t>
  </si>
  <si>
    <t>LCP-210147-06</t>
  </si>
  <si>
    <t>LCP-210147-07</t>
  </si>
  <si>
    <t>CAP - ELECTRICAL LAB</t>
  </si>
  <si>
    <t>LCP-210147-08</t>
  </si>
  <si>
    <t>CAP - START UP AND C</t>
  </si>
  <si>
    <t>AME - TEXTIL CALENDE</t>
  </si>
  <si>
    <t>LCP-210148-01</t>
  </si>
  <si>
    <t>CAP - Electric Proje</t>
  </si>
  <si>
    <t>LCP-210148-02</t>
  </si>
  <si>
    <t>LCP-210148-03</t>
  </si>
  <si>
    <t>CAP - Software UPDAT</t>
  </si>
  <si>
    <t>LCP-210148-04</t>
  </si>
  <si>
    <t>CAP - Electrical Ass</t>
  </si>
  <si>
    <t>LCP-210148-05</t>
  </si>
  <si>
    <t>LCP-210148-06</t>
  </si>
  <si>
    <t>LCP-210148-07</t>
  </si>
  <si>
    <t>LCP-210148-08</t>
  </si>
  <si>
    <t>CAP - Start up / Com</t>
  </si>
  <si>
    <t>AME - CURING VACUUM</t>
  </si>
  <si>
    <t>LCP-210149-01</t>
  </si>
  <si>
    <t>CAP - Material Devic</t>
  </si>
  <si>
    <t>LCP-210149-03</t>
  </si>
  <si>
    <t>CAP - Instalation (M</t>
  </si>
  <si>
    <t>AME - UPG EXTRUDER H</t>
  </si>
  <si>
    <t>LCP-210177-01</t>
  </si>
  <si>
    <t>CAP - PURCHASE ORDER</t>
  </si>
  <si>
    <t>LCP-210177-02</t>
  </si>
  <si>
    <t>CAP - INSTALLATION /</t>
  </si>
  <si>
    <t>LCP-210180-01</t>
  </si>
  <si>
    <t>LCP-210180-02</t>
  </si>
  <si>
    <t>LCP-210180-03</t>
  </si>
  <si>
    <t>LCP-210180-04</t>
  </si>
  <si>
    <t>CAP - PROGRAM</t>
  </si>
  <si>
    <t>CTVM - VBOX EQUIPMEN</t>
  </si>
  <si>
    <t>LCP-210189-01</t>
  </si>
  <si>
    <t>CAP - VBOX - GEO POS</t>
  </si>
  <si>
    <t>AME - (2) NEW COMPRE</t>
  </si>
  <si>
    <t>LCP-210190-01</t>
  </si>
  <si>
    <t>CAP - Air Dryers / F</t>
  </si>
  <si>
    <t>LCP-210190-02</t>
  </si>
  <si>
    <t>CAP - Project (Mecha</t>
  </si>
  <si>
    <t>LCP-210190-03</t>
  </si>
  <si>
    <t>LCP-210190-04</t>
  </si>
  <si>
    <t>CAP - Material (Pipi</t>
  </si>
  <si>
    <t>LCP-210190-05</t>
  </si>
  <si>
    <t>CAP - Substation ade</t>
  </si>
  <si>
    <t>AME - PCI IN (4) ROG</t>
  </si>
  <si>
    <t>LCP-210196-01</t>
  </si>
  <si>
    <t>CAP - PCI for 04 mec</t>
  </si>
  <si>
    <t>LCP-210196-02</t>
  </si>
  <si>
    <t>CAP - Importation Ta</t>
  </si>
  <si>
    <t>LCP-210196-03</t>
  </si>
  <si>
    <t>LCP-210196-04</t>
  </si>
  <si>
    <t>CAP - Mech. &amp; Elect.</t>
  </si>
  <si>
    <t>LCP-210196-05</t>
  </si>
  <si>
    <t>CAP - Rings</t>
  </si>
  <si>
    <t>LCP-210196-06</t>
  </si>
  <si>
    <t>CAP - Extension and</t>
  </si>
  <si>
    <t>LCP-210196-07</t>
  </si>
  <si>
    <t>CAP - G&amp;MT Suporte</t>
  </si>
  <si>
    <t>AME - MIXER#3 BODY R</t>
  </si>
  <si>
    <t>LCP-210200-01</t>
  </si>
  <si>
    <t>CAP- Mixer body BB-3</t>
  </si>
  <si>
    <t>LCP-210200-02</t>
  </si>
  <si>
    <t>CAP- Shaft Couplings</t>
  </si>
  <si>
    <t>LCP-210200-03</t>
  </si>
  <si>
    <t>CAP- Oil Injectors</t>
  </si>
  <si>
    <t>LCP-210200-04</t>
  </si>
  <si>
    <t>CAP- RAM air station</t>
  </si>
  <si>
    <t>LCP-210200-05</t>
  </si>
  <si>
    <t>CAP- Hydraulic Unit</t>
  </si>
  <si>
    <t>LCP-210200-06</t>
  </si>
  <si>
    <t>CAP- DSL-Dual Pump</t>
  </si>
  <si>
    <t>LCP-210200-07</t>
  </si>
  <si>
    <t>CAP- Importation tax</t>
  </si>
  <si>
    <t>LCP-210200-08</t>
  </si>
  <si>
    <t>LCP-210200-09</t>
  </si>
  <si>
    <t>CAP- Mechanical &amp; El</t>
  </si>
  <si>
    <t xml:space="preserve">           58.000,00</t>
  </si>
  <si>
    <t>LCP-210200-10</t>
  </si>
  <si>
    <t>LCP-210200-11</t>
  </si>
  <si>
    <t>CAP- Safety enhancem</t>
  </si>
  <si>
    <t>LCP-210200-12</t>
  </si>
  <si>
    <t>CAP- Mixer TCU (stea</t>
  </si>
  <si>
    <t>-11.449,26</t>
  </si>
  <si>
    <t>LCP-210200-13</t>
  </si>
  <si>
    <t>CAP- Electrical and</t>
  </si>
  <si>
    <t>LCP-210200-14</t>
  </si>
  <si>
    <t>CAP- Hopper Refurbis</t>
  </si>
  <si>
    <t>LCP-210200-15</t>
  </si>
  <si>
    <t>CAP - KSBI technicia</t>
  </si>
  <si>
    <t>LCP-210200-16</t>
  </si>
  <si>
    <t>CAP - GE Support</t>
  </si>
  <si>
    <t>AME - NEW MIXER SLUR</t>
  </si>
  <si>
    <t>LCP-210204-02</t>
  </si>
  <si>
    <t>MATERIAL - Pumps, Va</t>
  </si>
  <si>
    <t>LCP-210204-03</t>
  </si>
  <si>
    <t>AME - 2500 HP MAIN M</t>
  </si>
  <si>
    <t>LCP-210208-01</t>
  </si>
  <si>
    <t>CAP - (1) New 2500HP</t>
  </si>
  <si>
    <t>LCP-210208-02</t>
  </si>
  <si>
    <t>CAP -Importation tax</t>
  </si>
  <si>
    <t>LCP-210208-03</t>
  </si>
  <si>
    <t>CAP - GME purchase s</t>
  </si>
  <si>
    <t>-50,28</t>
  </si>
  <si>
    <t>AME - MIXER#07 REPLA</t>
  </si>
  <si>
    <t>LCP-210209-01</t>
  </si>
  <si>
    <t>CAP - BEARINGS / cou</t>
  </si>
  <si>
    <t>LCP-210209-02</t>
  </si>
  <si>
    <t>CAP - MISCELLANEOUS</t>
  </si>
  <si>
    <t>LCP-210209-03</t>
  </si>
  <si>
    <t>CAP - Machining Exte</t>
  </si>
  <si>
    <t>AME - MICROPOISE AIT</t>
  </si>
  <si>
    <t>LCP-210212-01</t>
  </si>
  <si>
    <t>LCP-210212-02</t>
  </si>
  <si>
    <t>CAP - Tax / Transpor</t>
  </si>
  <si>
    <t>LCP-210212-03</t>
  </si>
  <si>
    <t>LCP-210212-04</t>
  </si>
  <si>
    <t>CAP - Micro-poise Te</t>
  </si>
  <si>
    <t>LAPG - CHARGER FOR E</t>
  </si>
  <si>
    <t>LCP-210213-01</t>
  </si>
  <si>
    <t>CAP - Charging stati</t>
  </si>
  <si>
    <t>LCP-210213-02</t>
  </si>
  <si>
    <t>CAP - Electric mater</t>
  </si>
  <si>
    <t>LCP-210213-03</t>
  </si>
  <si>
    <t>CAP - Electric Labor</t>
  </si>
  <si>
    <t>LCP-210213-04</t>
  </si>
  <si>
    <t>CAP - Civil labor</t>
  </si>
  <si>
    <t>LCP-210213-05</t>
  </si>
  <si>
    <t>CAP -Electrical/Mech</t>
  </si>
  <si>
    <t>LCP-210213-06</t>
  </si>
  <si>
    <t>CAP - Licenses</t>
  </si>
  <si>
    <t>LCP-210213-07</t>
  </si>
  <si>
    <t>CAP - Solar power ge</t>
  </si>
  <si>
    <t>LCP-210213-08</t>
  </si>
  <si>
    <t>CAP - Contingency</t>
  </si>
  <si>
    <t>AME - FIRE PROTECTIO</t>
  </si>
  <si>
    <t>LCP-210215-01</t>
  </si>
  <si>
    <t>Construction firepro</t>
  </si>
  <si>
    <t>LCP-210215-02</t>
  </si>
  <si>
    <t>Purchase and install</t>
  </si>
  <si>
    <t>LCP-210215-03</t>
  </si>
  <si>
    <t>Installation Firepro</t>
  </si>
  <si>
    <t>LAPG - PROVING GROUN</t>
  </si>
  <si>
    <t>LCP-210217-01</t>
  </si>
  <si>
    <t>CAP - STUDY AND REPA</t>
  </si>
  <si>
    <t>LCP-210217-02</t>
  </si>
  <si>
    <t>CAP - SKID PAD ADEQU</t>
  </si>
  <si>
    <t>LCP-210217-03</t>
  </si>
  <si>
    <t>CAP - NORTH APPROACH</t>
  </si>
  <si>
    <t>LAPG - NEW ELECTRICA</t>
  </si>
  <si>
    <t>LCP-210218-01</t>
  </si>
  <si>
    <t>CAP - Eletric/Civil</t>
  </si>
  <si>
    <t>LCP-210218-02</t>
  </si>
  <si>
    <t>LCP-210218-03</t>
  </si>
  <si>
    <t>CAP - Execute Labor</t>
  </si>
  <si>
    <t>AME - RETROFIT SYSTE</t>
  </si>
  <si>
    <t>LCP-210219-01</t>
  </si>
  <si>
    <t>CAP - (02) Dissectin</t>
  </si>
  <si>
    <t>LCP-210219-02</t>
  </si>
  <si>
    <t>CAP - (01) Cold wate</t>
  </si>
  <si>
    <t>LCP-210219-03</t>
  </si>
  <si>
    <t>LCP-210219-04</t>
  </si>
  <si>
    <t>CAP - Materials</t>
  </si>
  <si>
    <t>AME - OVERHAUL CHILL</t>
  </si>
  <si>
    <t>LCP-210220-01</t>
  </si>
  <si>
    <t>LCP-210220-02</t>
  </si>
  <si>
    <t>CAP - Installation +</t>
  </si>
  <si>
    <t>LCP-210220-03</t>
  </si>
  <si>
    <t>CAP - Overhaul machi</t>
  </si>
  <si>
    <t>AME - CREEL ROOM E F</t>
  </si>
  <si>
    <t>LCP-210221-01</t>
  </si>
  <si>
    <t>CAP - Materials (Sep</t>
  </si>
  <si>
    <t>LCP-210221-02</t>
  </si>
  <si>
    <t>CAP - Installation (</t>
  </si>
  <si>
    <t>LCP-220002-01</t>
  </si>
  <si>
    <t>CAP - ENGINE/GEARBOX</t>
  </si>
  <si>
    <t>LCP-220002-02</t>
  </si>
  <si>
    <t>CAP - SOLAR FILD SER</t>
  </si>
  <si>
    <t>LCP-220002-03</t>
  </si>
  <si>
    <t>CAP - INTERNATIONAL</t>
  </si>
  <si>
    <t>LCP-220002-04</t>
  </si>
  <si>
    <t>CAP - GROUND RESISTO</t>
  </si>
  <si>
    <t>LCP-220002-05</t>
  </si>
  <si>
    <t>CAP - BRAZIL INTERNA</t>
  </si>
  <si>
    <t>LCP-220002-06</t>
  </si>
  <si>
    <t>CAP - CARGO HANDLING</t>
  </si>
  <si>
    <t>AME - MRT CURING PRE</t>
  </si>
  <si>
    <t>LCP-220008-01</t>
  </si>
  <si>
    <t>CAP - Material and L</t>
  </si>
  <si>
    <t>LCP-220008-02</t>
  </si>
  <si>
    <t>FSB - NEW EXTRUDER T</t>
  </si>
  <si>
    <t>LCP-220010-01</t>
  </si>
  <si>
    <t>LCP-220010-02</t>
  </si>
  <si>
    <t>CAP - EQUIPAMENT</t>
  </si>
  <si>
    <t>LCP-220010-03</t>
  </si>
  <si>
    <t>CAP - INFRAESTRUCTUR</t>
  </si>
  <si>
    <t>NEW ROLLS - HOTFORME</t>
  </si>
  <si>
    <t>LCP-220012-01</t>
  </si>
  <si>
    <t>CAP - (30) NEW ROLLE</t>
  </si>
  <si>
    <t>AME - 2022 MISCELLAN</t>
  </si>
  <si>
    <t>LCP-220013-01</t>
  </si>
  <si>
    <t>AME - Contigency</t>
  </si>
  <si>
    <t>LCP-220013-02</t>
  </si>
  <si>
    <t>SUBST. ESTEIRA DESAC</t>
  </si>
  <si>
    <t>LCP-220013-03</t>
  </si>
  <si>
    <t>RETROFIT RETIFICADOR</t>
  </si>
  <si>
    <t>LCP-220013-04</t>
  </si>
  <si>
    <t>ROLAMENTO ROLOS TYMK</t>
  </si>
  <si>
    <t>LCP-220013-05</t>
  </si>
  <si>
    <t>EQUIPAMENTO DE TESTE</t>
  </si>
  <si>
    <t>LCP-220013-07</t>
  </si>
  <si>
    <t>COMPRESSOR ALTA PRES</t>
  </si>
  <si>
    <t>LCP-220013-08</t>
  </si>
  <si>
    <t>CAMERAS DE CENTRALIZ</t>
  </si>
  <si>
    <t>LCP-220013-09</t>
  </si>
  <si>
    <t>ALTERAÇÃO ANEL DE UN</t>
  </si>
  <si>
    <t>LCP-220013-10</t>
  </si>
  <si>
    <t>SENSOR STOP PONT 80T</t>
  </si>
  <si>
    <t>LCP-220013-11</t>
  </si>
  <si>
    <t>ALINHADOR A LASER -</t>
  </si>
  <si>
    <t>LCP-220013-12</t>
  </si>
  <si>
    <t>CECOM VULCANIZACAO B</t>
  </si>
  <si>
    <t>LCP-220013-13</t>
  </si>
  <si>
    <t>CECOM BAMBURY</t>
  </si>
  <si>
    <t>LCP-220013-14</t>
  </si>
  <si>
    <t>ADEQUACAO DE SEGURAN</t>
  </si>
  <si>
    <t>AME - SAFETY REGULAR</t>
  </si>
  <si>
    <t>LCP-220014-01</t>
  </si>
  <si>
    <t>LCP-220014-02</t>
  </si>
  <si>
    <t>LCP-220014-03</t>
  </si>
  <si>
    <t>CAP - INSTALLATION A</t>
  </si>
  <si>
    <t>RETROFIT - BLUE RACK</t>
  </si>
  <si>
    <t>LCP-220018-01</t>
  </si>
  <si>
    <t>CAP - RETROFIT SERVI</t>
  </si>
  <si>
    <t>DC MOTOR 1500HP FROM</t>
  </si>
  <si>
    <t>LCP-220020-01</t>
  </si>
  <si>
    <t>CAP - North America</t>
  </si>
  <si>
    <t>FSB - EXTRUDER NEW S</t>
  </si>
  <si>
    <t>LCP-220027-01</t>
  </si>
  <si>
    <t>LCP-220027-02</t>
  </si>
  <si>
    <t>CAP - Equipment</t>
  </si>
  <si>
    <t>LCP-220027-03</t>
  </si>
  <si>
    <t>CAP - Infrastructure</t>
  </si>
  <si>
    <t>Aero Retread - 2022</t>
  </si>
  <si>
    <t>LCP-220029-01</t>
  </si>
  <si>
    <t>CAP - Machine to del</t>
  </si>
  <si>
    <t>LCP-220029-02</t>
  </si>
  <si>
    <t>CAP - Dike contentio</t>
  </si>
  <si>
    <t xml:space="preserve">           36.000,00</t>
  </si>
  <si>
    <t>LCP-220029-03</t>
  </si>
  <si>
    <t>CAP - Hanger elevato</t>
  </si>
  <si>
    <t>LCP-220029-04</t>
  </si>
  <si>
    <t>CAP - Instrument Cal</t>
  </si>
  <si>
    <t>RETREAD 2022 MISCELL</t>
  </si>
  <si>
    <t>LCP-220031-01</t>
  </si>
  <si>
    <t>CAP - EHS – Plant co</t>
  </si>
  <si>
    <t>LCP-220031-03</t>
  </si>
  <si>
    <t>CAP - Change drying</t>
  </si>
  <si>
    <t>LCP-220031-04</t>
  </si>
  <si>
    <t>CAP - Drying air sys</t>
  </si>
  <si>
    <t>LCP-220031-05</t>
  </si>
  <si>
    <t>CAP – New Motor 75cv</t>
  </si>
  <si>
    <t>LCP-220031-06</t>
  </si>
  <si>
    <t>CAP - Band cutting d</t>
  </si>
  <si>
    <t>FSB - CAMERA MONITOR</t>
  </si>
  <si>
    <t>LCP-220033-01</t>
  </si>
  <si>
    <t>CAP - MATERIALS CAME</t>
  </si>
  <si>
    <t>LCP-220033-02</t>
  </si>
  <si>
    <t>CAP - INSTALLATION L</t>
  </si>
  <si>
    <t>AME - NEW BOILER FEE</t>
  </si>
  <si>
    <t>LCP-220044-01</t>
  </si>
  <si>
    <t>CAP - Equipaments aq</t>
  </si>
  <si>
    <t>LCP-220044-02</t>
  </si>
  <si>
    <t>CAP - Project (eletr</t>
  </si>
  <si>
    <t>LCP-220044-03</t>
  </si>
  <si>
    <t>CAP - Material (Mech</t>
  </si>
  <si>
    <t>LCP-220044-04</t>
  </si>
  <si>
    <t>CAP - Mechanical lab</t>
  </si>
  <si>
    <t>LCP-220044-05</t>
  </si>
  <si>
    <t>CAP - Eletrical labo</t>
  </si>
  <si>
    <t>LCP-220044-06</t>
  </si>
  <si>
    <t>CAP - Eletronic / so</t>
  </si>
  <si>
    <t>AME WIND UP LET OFF</t>
  </si>
  <si>
    <t>LCP-220045-01</t>
  </si>
  <si>
    <t>CAP - ELETRIC PROJEC</t>
  </si>
  <si>
    <t>LCP-220045-02</t>
  </si>
  <si>
    <t>LCP-220045-03</t>
  </si>
  <si>
    <t>LCP-220045-04</t>
  </si>
  <si>
    <t>CAP - ELETRICAL ASSE</t>
  </si>
  <si>
    <t>LCP-220045-05</t>
  </si>
  <si>
    <t>LCP-220045-06</t>
  </si>
  <si>
    <t>LCP-220045-07</t>
  </si>
  <si>
    <t>AME - OTR PRESS TRAN</t>
  </si>
  <si>
    <t>LCP-220048-01</t>
  </si>
  <si>
    <t>CAP - Projects</t>
  </si>
  <si>
    <t>LCP-220048-02</t>
  </si>
  <si>
    <t>LCP-220048-03</t>
  </si>
  <si>
    <t>LCP-220048-04</t>
  </si>
  <si>
    <t>CAP - Controls Upgra</t>
  </si>
  <si>
    <t>LCP-220048-05</t>
  </si>
  <si>
    <t>CAP - GME Support</t>
  </si>
  <si>
    <t>MC - 2022 ANNUAL MIS</t>
  </si>
  <si>
    <t>LCP-220060-01</t>
  </si>
  <si>
    <t>Counterweights Micro</t>
  </si>
  <si>
    <t>LCP-220060-02</t>
  </si>
  <si>
    <t>Upgrade Visual monit</t>
  </si>
  <si>
    <t>LCP-220060-03</t>
  </si>
  <si>
    <t>Retrofit inflator ou</t>
  </si>
  <si>
    <t>LCP-220060-04</t>
  </si>
  <si>
    <t>Water and oil separa</t>
  </si>
  <si>
    <t>LCP-220060-05</t>
  </si>
  <si>
    <t>Advanced Post for Le</t>
  </si>
  <si>
    <t>AME - MIXER#3 EXTRUD</t>
  </si>
  <si>
    <t>LCP-220065-01</t>
  </si>
  <si>
    <t>CAP - Extruder Gearb</t>
  </si>
  <si>
    <t>LCP-220065-02</t>
  </si>
  <si>
    <t>CAP - Extruder Feed</t>
  </si>
  <si>
    <t>LCP-220065-03</t>
  </si>
  <si>
    <t>CAP - Calender Rolls</t>
  </si>
  <si>
    <t>LCP-220065-04</t>
  </si>
  <si>
    <t>CAP - Installation S</t>
  </si>
  <si>
    <t>LAPG - WORKSHOP CLIM</t>
  </si>
  <si>
    <t>LCP-220082-01</t>
  </si>
  <si>
    <t>CAP - PROJECTS</t>
  </si>
  <si>
    <t xml:space="preserve">            9.800,00</t>
  </si>
  <si>
    <t>LCP-220082-02</t>
  </si>
  <si>
    <t>CAP - AIR CONDITIONI</t>
  </si>
  <si>
    <t>LCP-220082-03</t>
  </si>
  <si>
    <t>CAP - LABOR ELECTRIC</t>
  </si>
  <si>
    <t>LCP-220082-04</t>
  </si>
  <si>
    <t>CAP - MATERIAL ELECT</t>
  </si>
  <si>
    <t>MC - POLO PROJECT VO</t>
  </si>
  <si>
    <t>LCP-220088-01</t>
  </si>
  <si>
    <t>CAP - SUPPLY MANIPUL</t>
  </si>
  <si>
    <t>LCP-220088-02</t>
  </si>
  <si>
    <t>CAP - RETROFIT SEMI</t>
  </si>
  <si>
    <t>LCP-220088-03</t>
  </si>
  <si>
    <t>CAP - MANUAL COMMERC</t>
  </si>
  <si>
    <t>LCP-220088-04</t>
  </si>
  <si>
    <t>CAP - SYSTEM M100</t>
  </si>
  <si>
    <t>LCP-220088-05</t>
  </si>
  <si>
    <t>CAP - VERTICAL TIRE</t>
  </si>
  <si>
    <t>LCP-220088-06</t>
  </si>
  <si>
    <t>CAP - TRACEABILITY A</t>
  </si>
  <si>
    <t>LCP-220088-07</t>
  </si>
  <si>
    <t>CAP - TRACEABILITY S</t>
  </si>
  <si>
    <t>LCP-220088-08</t>
  </si>
  <si>
    <t>CAP - VW MOUNTAIN LI</t>
  </si>
  <si>
    <t>AME - UPG AKROSCAN S</t>
  </si>
  <si>
    <t>LCP-220089-01</t>
  </si>
  <si>
    <t>LCP-220089-02</t>
  </si>
  <si>
    <t>CAP - TAXES AND FREI</t>
  </si>
  <si>
    <t>LCP-220089-03</t>
  </si>
  <si>
    <t>CAP - SERVICE INSTAL</t>
  </si>
  <si>
    <t>LCP-220089-04</t>
  </si>
  <si>
    <t>CAP - MECHANICAL (TG</t>
  </si>
  <si>
    <t>LCP-220089-05</t>
  </si>
  <si>
    <t>LCP-220089-06</t>
  </si>
  <si>
    <t>CAP - ELECTRIC PROJE</t>
  </si>
  <si>
    <t>LCP-220089-07</t>
  </si>
  <si>
    <t>CAP - EXPORT BOXING</t>
  </si>
  <si>
    <t>LCP-220089-08</t>
  </si>
  <si>
    <t>CAP - TGIS IMAGE SAV</t>
  </si>
  <si>
    <t>LCP-220089-09</t>
  </si>
  <si>
    <t>CAP - D.L.R</t>
  </si>
  <si>
    <t>LCP-220089-10</t>
  </si>
  <si>
    <t>LCP-220089-11</t>
  </si>
  <si>
    <t>LCP-220089-12</t>
  </si>
  <si>
    <t>CAP - GLOBAL ENGINEE</t>
  </si>
  <si>
    <t>AERO RETREAD NR-12 A</t>
  </si>
  <si>
    <t>LCP-220093-01</t>
  </si>
  <si>
    <t>LCP-220093-02</t>
  </si>
  <si>
    <t>CAP - EQUIPMENT</t>
  </si>
  <si>
    <t>LCP-220093-03</t>
  </si>
  <si>
    <t>CAP - INFRASTRUCTURE</t>
  </si>
  <si>
    <t>LAPG 2022 ANNUAL MIS</t>
  </si>
  <si>
    <t>LCP-220094-01</t>
  </si>
  <si>
    <t>CAP - CONTROL UPDATE</t>
  </si>
  <si>
    <t>LCP-220094-02</t>
  </si>
  <si>
    <t>CAP - FACTORING ACCE</t>
  </si>
  <si>
    <t>LCP-220094-03</t>
  </si>
  <si>
    <t>CAP - AUTOMATED DOOR</t>
  </si>
  <si>
    <t>LCP-220094-04</t>
  </si>
  <si>
    <t>CAP - DEMARCATION OF</t>
  </si>
  <si>
    <t>LAPG - TEST AND QUAL</t>
  </si>
  <si>
    <t>LCP-220095-01</t>
  </si>
  <si>
    <t>CAP - VAMS UNITS (TE</t>
  </si>
  <si>
    <t>LCP-220095-02</t>
  </si>
  <si>
    <t>CAP - TIRE BALANCING</t>
  </si>
  <si>
    <t>LCP-220095-03</t>
  </si>
  <si>
    <t>CAP - VBOX IMAGE REG</t>
  </si>
  <si>
    <t>AME - REBOUND TESTIN</t>
  </si>
  <si>
    <t>LCP-220107-01</t>
  </si>
  <si>
    <t>LCP-220107-02</t>
  </si>
  <si>
    <t>LCP-220107-03</t>
  </si>
  <si>
    <t>CAP - SHIPPING</t>
  </si>
  <si>
    <t>AME – EXTERN TOTEM G</t>
  </si>
  <si>
    <t>LCP-220117-01</t>
  </si>
  <si>
    <t>CAP - (3) LED TOTEMS</t>
  </si>
  <si>
    <t>LCP-220117-02</t>
  </si>
  <si>
    <t>CAP - ELETRICAL, INT</t>
  </si>
  <si>
    <t>100 PSI AIR COMPRESS</t>
  </si>
  <si>
    <t>LCP-220132-01</t>
  </si>
  <si>
    <t>LCP-220132-02</t>
  </si>
  <si>
    <t>CAP - Labor service</t>
  </si>
  <si>
    <t>LCP-220132-03</t>
  </si>
  <si>
    <t>CAP - Structural &amp; C</t>
  </si>
  <si>
    <t>LCP-220132-04</t>
  </si>
  <si>
    <t>LCP-220132-05</t>
  </si>
  <si>
    <t>CAP - Main motor Rej</t>
  </si>
  <si>
    <t>AME - FACTORY PUMP W</t>
  </si>
  <si>
    <t>LCP-220133-01</t>
  </si>
  <si>
    <t>CAP - Centrifugal Ve</t>
  </si>
  <si>
    <t>LCP-220133-02</t>
  </si>
  <si>
    <t>LCP-220133-03</t>
  </si>
  <si>
    <t>CAP - Remotion Servi</t>
  </si>
  <si>
    <t>FF B1 - UPGRADE PC/H</t>
  </si>
  <si>
    <t>LCP-220134-01</t>
  </si>
  <si>
    <t>CAP - Materials and</t>
  </si>
  <si>
    <t>-15.775,25</t>
  </si>
  <si>
    <t>LCP-220134-02</t>
  </si>
  <si>
    <t>CAP - Taxes and frei</t>
  </si>
  <si>
    <t>LCP-220134-03</t>
  </si>
  <si>
    <t>CAP - Translator</t>
  </si>
  <si>
    <t>LCP-220134-04</t>
  </si>
  <si>
    <t>CAP - Global Enginee</t>
  </si>
  <si>
    <t>FSB - NEW MAIN FRAME</t>
  </si>
  <si>
    <t>LCP-220139-01</t>
  </si>
  <si>
    <t>LCP-220139-02</t>
  </si>
  <si>
    <t>LCP-220139-03</t>
  </si>
  <si>
    <t>CAP - GE SUPPORT</t>
  </si>
  <si>
    <t>LCP-220139-04</t>
  </si>
  <si>
    <t>CAP - NEW DESIGN STU</t>
  </si>
  <si>
    <t>LCP-220139-05</t>
  </si>
  <si>
    <t>CAP - ENGINEERING SE</t>
  </si>
  <si>
    <t>LCP-220139-06</t>
  </si>
  <si>
    <t>CAP - CONTINGENCY</t>
  </si>
  <si>
    <t>CTVM - Center Max Of</t>
  </si>
  <si>
    <t>LCP-220162-01</t>
  </si>
  <si>
    <t>CAP - Center Max Off</t>
  </si>
  <si>
    <t>LCP-220162-02</t>
  </si>
  <si>
    <t>LCP-220162-03</t>
  </si>
  <si>
    <t>AME - 2 RHEOMETER PR</t>
  </si>
  <si>
    <t>LCP-220171-01</t>
  </si>
  <si>
    <t>CAP - EQUIPAMENT + T</t>
  </si>
  <si>
    <t>LCP-220171-02</t>
  </si>
  <si>
    <t>LCP-220171-03</t>
  </si>
  <si>
    <t>AME - 01 NEW RUBBER</t>
  </si>
  <si>
    <t>LCP-220172-01</t>
  </si>
  <si>
    <t>LCP-220172-02</t>
  </si>
  <si>
    <t>LCP-220172-03</t>
  </si>
  <si>
    <t>AME - IMPROVEMENT AP</t>
  </si>
  <si>
    <t>LCP-220173-01</t>
  </si>
  <si>
    <t>LCP-220173-02</t>
  </si>
  <si>
    <t>LCP-220173-03</t>
  </si>
  <si>
    <t>LAPG - NOISE - KIT V</t>
  </si>
  <si>
    <t>LCP-220176-01</t>
  </si>
  <si>
    <t>CAP - Noise - Vbox3i</t>
  </si>
  <si>
    <t>LAPG - BEAD COMPRESS</t>
  </si>
  <si>
    <t>LCP-220184-01</t>
  </si>
  <si>
    <t>CAP - BEAD COMPRESSI</t>
  </si>
  <si>
    <t>LCP-220184-02</t>
  </si>
  <si>
    <t>CAP - IMPORT TAXES A</t>
  </si>
  <si>
    <t>LCP-220184-03</t>
  </si>
  <si>
    <t>CAP - PROJECTS ELECT</t>
  </si>
  <si>
    <t>LCP-220184-04</t>
  </si>
  <si>
    <t>LCP-220184-05</t>
  </si>
  <si>
    <t>LCP-220184-06</t>
  </si>
  <si>
    <t>CAP - MATERIAL ASSEM</t>
  </si>
  <si>
    <t>AME - UPG BARCODE RE</t>
  </si>
  <si>
    <t>LCP-220201-01</t>
  </si>
  <si>
    <t>Materials - KIT MATR</t>
  </si>
  <si>
    <t>LCP-220201-02</t>
  </si>
  <si>
    <t>DL code and STS320 p</t>
  </si>
  <si>
    <t>LCP-220201-03</t>
  </si>
  <si>
    <t>Start up and commiss</t>
  </si>
  <si>
    <t>LCP-220201-04</t>
  </si>
  <si>
    <t>Miscellaneous</t>
  </si>
  <si>
    <t>LCP-220201-05</t>
  </si>
  <si>
    <t>Projetos/As built</t>
  </si>
  <si>
    <t>AME - 1 NUMETRIX 1st</t>
  </si>
  <si>
    <t>LCP-220202-01</t>
  </si>
  <si>
    <t>CAP - Equipment + Ta</t>
  </si>
  <si>
    <t>LCP-220202-02</t>
  </si>
  <si>
    <t>AME-MIXING PIGMENT W</t>
  </si>
  <si>
    <t>LCP-220207-01</t>
  </si>
  <si>
    <t>LCP-220207-14</t>
  </si>
  <si>
    <t>LCP-220207-18</t>
  </si>
  <si>
    <t>18 - TRANSPORTATION</t>
  </si>
  <si>
    <t>LCP-220207-23</t>
  </si>
  <si>
    <t>23 - RUBBER MIXING S</t>
  </si>
  <si>
    <t>LCP-220207-40</t>
  </si>
  <si>
    <t>LCP-220207-94</t>
  </si>
  <si>
    <t>94 - SPECIAL CAPITAL</t>
  </si>
  <si>
    <t>LCP-220207-97</t>
  </si>
  <si>
    <t>LCP-220207-99</t>
  </si>
  <si>
    <t>RET - FM GLOBAL ADEQ</t>
  </si>
  <si>
    <t>LCP-220215-01</t>
  </si>
  <si>
    <t>LCP-220215-02</t>
  </si>
  <si>
    <t>CAP - Material</t>
  </si>
  <si>
    <t>LCP-220215-03</t>
  </si>
  <si>
    <t>CAP - Labor</t>
  </si>
  <si>
    <t>AME - NEW BEAD WINDE</t>
  </si>
  <si>
    <t>LCP-220266-01</t>
  </si>
  <si>
    <t>CAP - Bead Winder Ma</t>
  </si>
  <si>
    <t>LCP-220266-02</t>
  </si>
  <si>
    <t>CAP - Import Duties/</t>
  </si>
  <si>
    <t>LCP-220266-03</t>
  </si>
  <si>
    <t>CAP - General Trades</t>
  </si>
  <si>
    <t>LCP-220266-04</t>
  </si>
  <si>
    <t>CAP - Engineering</t>
  </si>
  <si>
    <t>LCP-220266-05</t>
  </si>
  <si>
    <t>CAP - Contracts</t>
  </si>
  <si>
    <t>LCP-220266-06</t>
  </si>
  <si>
    <t>CAP - NPTs</t>
  </si>
  <si>
    <t>LCP-220266-07</t>
  </si>
  <si>
    <t>CAP - Permits / Loca</t>
  </si>
  <si>
    <t>LCP-220266-08</t>
  </si>
  <si>
    <t>CAP - IT</t>
  </si>
  <si>
    <t>AME - FLOOR AVAILABI</t>
  </si>
  <si>
    <t>LCP-220267-01</t>
  </si>
  <si>
    <t>CAP - ( 33 ) Racks (</t>
  </si>
  <si>
    <t>LCP-220267-02</t>
  </si>
  <si>
    <t>CAP - ( 24 ) Green t</t>
  </si>
  <si>
    <t>AME - 2023 MISCELLAN</t>
  </si>
  <si>
    <t>ADEQUAÇÃO ÁREA ARMAZ</t>
  </si>
  <si>
    <t>RETROFIT TORRE RESFR</t>
  </si>
  <si>
    <t>UPGRADE MIXER#1 - IN</t>
  </si>
  <si>
    <t>UPG. 02 RELÉS - SUBE</t>
  </si>
  <si>
    <t>SPEED UP GATE WAY (C</t>
  </si>
  <si>
    <t>CONTROLE DE ACESSO E</t>
  </si>
  <si>
    <t>GTU GREEN TIRE UNIFO</t>
  </si>
  <si>
    <t>CALANDRA Z - REGEN</t>
  </si>
  <si>
    <t>SISTEMA MONITORAMENT</t>
  </si>
  <si>
    <t>CECOM - DIVISÃO B2</t>
  </si>
  <si>
    <t>RESFRIAMENTO DA CABI</t>
  </si>
  <si>
    <t>TROCA DA ROSCA DE 6'</t>
  </si>
  <si>
    <t>CONJ. APLICADOR DE R</t>
  </si>
  <si>
    <t>MAQ. MONTAGEM PNEUS</t>
  </si>
  <si>
    <t>AME - Replacement Ca</t>
  </si>
  <si>
    <t>LCP-230021-01</t>
  </si>
  <si>
    <t>CAP - Aquisition of</t>
  </si>
  <si>
    <t>LCP-230021-02</t>
  </si>
  <si>
    <t xml:space="preserve">            8.500,00</t>
  </si>
  <si>
    <t>LCP-230021-03</t>
  </si>
  <si>
    <t>AME - Q5 Extruder 8”</t>
  </si>
  <si>
    <t>LCP-230031-01</t>
  </si>
  <si>
    <t>CAP - Extruder 8'' G</t>
  </si>
  <si>
    <t>LCP-230031-02</t>
  </si>
  <si>
    <t>CAP - Labor Services</t>
  </si>
  <si>
    <t>AME – ROLL BENDING S</t>
  </si>
  <si>
    <t>LCP-230033-01</t>
  </si>
  <si>
    <t>LCP-230033-02</t>
  </si>
  <si>
    <t>CAP - Mech and Elect</t>
  </si>
  <si>
    <t>LCP-230033-03</t>
  </si>
  <si>
    <t>CAP - Mat for instal</t>
  </si>
  <si>
    <t>AME - UPG CALENDER E</t>
  </si>
  <si>
    <t>LCP-230034-01</t>
  </si>
  <si>
    <t>CAP - EXT FEEDBOX, S</t>
  </si>
  <si>
    <t>LCP-230034-02</t>
  </si>
  <si>
    <t>CAP - CAL GEARBOX, R</t>
  </si>
  <si>
    <t>LCP-230034-03</t>
  </si>
  <si>
    <t>CAP - GEARBOX FOUNDA</t>
  </si>
  <si>
    <t>LCP-230034-04</t>
  </si>
  <si>
    <t>LCP-230034-05</t>
  </si>
  <si>
    <t>CAP - REPAIR SERVICE</t>
  </si>
  <si>
    <t>LCP-230034-06</t>
  </si>
  <si>
    <t>CAP - REPAIR OF 4 BE</t>
  </si>
  <si>
    <t>AME - UPGRADE  E+L</t>
  </si>
  <si>
    <t>LCP-230053-01</t>
  </si>
  <si>
    <t>CAP - EQUIPMENT AND</t>
  </si>
  <si>
    <t>LCP-230053-02</t>
  </si>
  <si>
    <t>CAP - GOVERNMENT FEE</t>
  </si>
  <si>
    <t>LCP-230053-03</t>
  </si>
  <si>
    <t>CAP - MEC / ELE / CI</t>
  </si>
  <si>
    <t>LCP-230053-04</t>
  </si>
  <si>
    <t>CAP - MEC / ELE / EL</t>
  </si>
  <si>
    <t>LCP-230053-05</t>
  </si>
  <si>
    <t>LCP-230053-06</t>
  </si>
  <si>
    <t>AME - RETROFIT BLUE</t>
  </si>
  <si>
    <t>LCP-230055-01</t>
  </si>
  <si>
    <t>Americana Quadruplex</t>
  </si>
  <si>
    <t>LCP-230060-14</t>
  </si>
  <si>
    <t>LCP-230060-15</t>
  </si>
  <si>
    <t>15 - PRODUCTION &amp; FA</t>
  </si>
  <si>
    <t>LCP-230060-25</t>
  </si>
  <si>
    <t>25 - EXTRUSION SYSTE</t>
  </si>
  <si>
    <t>LCP-230060-40</t>
  </si>
  <si>
    <t>LCP-230060-94</t>
  </si>
  <si>
    <t>LCP-230060-97</t>
  </si>
  <si>
    <t>LCP-230060-99</t>
  </si>
  <si>
    <t>AME - HOTFORMER - ME</t>
  </si>
  <si>
    <t>LCP-230096-01</t>
  </si>
  <si>
    <t>CAP - METAL DETECTRO</t>
  </si>
  <si>
    <t>LCP-230096-02</t>
  </si>
  <si>
    <t>CAP - ELECTRIC PANEL</t>
  </si>
  <si>
    <t>LCP-230096-03</t>
  </si>
  <si>
    <t>LCP-230096-04</t>
  </si>
  <si>
    <t>CAP - NEW CONVEYOR</t>
  </si>
  <si>
    <t>LCP-230096-05</t>
  </si>
  <si>
    <t>CAP - INSTALLATION S</t>
  </si>
  <si>
    <t>AME - Screw, Barrel</t>
  </si>
  <si>
    <t>LCP-230098-01</t>
  </si>
  <si>
    <t>CAP - Equipments - D</t>
  </si>
  <si>
    <t>LCP-230098-02</t>
  </si>
  <si>
    <t>CAP - Equipments - E</t>
  </si>
  <si>
    <t>LCP-230098-03</t>
  </si>
  <si>
    <t xml:space="preserve">                0,26</t>
  </si>
  <si>
    <t>LCP-230098-04</t>
  </si>
  <si>
    <t>LCP-230098-05</t>
  </si>
  <si>
    <t>CAP - Equipments - Q</t>
  </si>
  <si>
    <t>LCP-230098-06</t>
  </si>
  <si>
    <t>CAP - Equipments - H</t>
  </si>
  <si>
    <t>LCP-230098-07</t>
  </si>
  <si>
    <t>CAP - Equipments - B</t>
  </si>
  <si>
    <t>LCP-230098-08</t>
  </si>
  <si>
    <t>LCP-230098-09</t>
  </si>
  <si>
    <t>CAP - Equipments - C</t>
  </si>
  <si>
    <t>LCP-230098-10</t>
  </si>
  <si>
    <t>CAP - Labor services</t>
  </si>
  <si>
    <t>LAPG - 2023 ANNUAL M</t>
  </si>
  <si>
    <t>LCP-230110-01</t>
  </si>
  <si>
    <t>CAP - SPRINTER VEHIC</t>
  </si>
  <si>
    <t>LCP-230110-02</t>
  </si>
  <si>
    <t>CAP - RETROFIT ELECT</t>
  </si>
  <si>
    <t>LCP-230110-03</t>
  </si>
  <si>
    <t>CAP - AUTOMATIC HIDR</t>
  </si>
  <si>
    <t>AER- NEW SOAP APLICA</t>
  </si>
  <si>
    <t>LCP-230111-01</t>
  </si>
  <si>
    <t>LCP-230111-02</t>
  </si>
  <si>
    <t>CAP - MATERIAL AND I</t>
  </si>
  <si>
    <t>LCP-230112-01</t>
  </si>
  <si>
    <t>CAP - Wheel truck ra</t>
  </si>
  <si>
    <t>LCP-230112-02</t>
  </si>
  <si>
    <t>CAP - Deposits firef</t>
  </si>
  <si>
    <t>LCP-230112-03</t>
  </si>
  <si>
    <t>CAP - Mechanical / e</t>
  </si>
  <si>
    <t>LCP-230112-04</t>
  </si>
  <si>
    <t>FSB - 2023 MISCELLAN</t>
  </si>
  <si>
    <t>LCP-230115-02</t>
  </si>
  <si>
    <t>CAP - UPGRADE EMBALA</t>
  </si>
  <si>
    <t>LCP-230115-03</t>
  </si>
  <si>
    <t>CAP - PATRIMONIAL SE</t>
  </si>
  <si>
    <t>LCP-230115-04</t>
  </si>
  <si>
    <t>CAP - MOLD UP GRADE</t>
  </si>
  <si>
    <t>LCP-230115-05</t>
  </si>
  <si>
    <t>CAP - SECUNDARY GATE</t>
  </si>
  <si>
    <t xml:space="preserve">           19.500,00</t>
  </si>
  <si>
    <t>LCP-230115-06</t>
  </si>
  <si>
    <t>CAP - UP GRADE PLC B</t>
  </si>
  <si>
    <t>LCP-230115-07</t>
  </si>
  <si>
    <t>CAP- BUFFER#1 ROLLER</t>
  </si>
  <si>
    <t>AME - TOOLING FOR VM</t>
  </si>
  <si>
    <t>LCP-230116-01</t>
  </si>
  <si>
    <t>CAP - Tire machine t</t>
  </si>
  <si>
    <t>-9.674,88</t>
  </si>
  <si>
    <t>LCP-230116-02</t>
  </si>
  <si>
    <t>CAP - Bead Apexer to</t>
  </si>
  <si>
    <t>-1.944,79</t>
  </si>
  <si>
    <t>LCP-230116-03</t>
  </si>
  <si>
    <t>CAP - Import Taxes (</t>
  </si>
  <si>
    <t>LCP-230116-04</t>
  </si>
  <si>
    <t>CAP - Commissioning</t>
  </si>
  <si>
    <t>LCP-230116-05</t>
  </si>
  <si>
    <t>CAP - Contingency (1</t>
  </si>
  <si>
    <t>MC - POLO PROJECT VW</t>
  </si>
  <si>
    <t>LCP-230120-01</t>
  </si>
  <si>
    <t>CAP - MANIPULATORS S</t>
  </si>
  <si>
    <t>LCP-230120-02</t>
  </si>
  <si>
    <t>CAP - OPTICAL FIBER</t>
  </si>
  <si>
    <t>LCP-230120-03</t>
  </si>
  <si>
    <t>CAP - CARS FOR MAINT</t>
  </si>
  <si>
    <t>LCP-230120-04</t>
  </si>
  <si>
    <t>CAP - GRADING MAT</t>
  </si>
  <si>
    <t>LCP-230120-05</t>
  </si>
  <si>
    <t>CAP - RETROFIT WHEEL</t>
  </si>
  <si>
    <t>FSB - NEW AZ/SOL MAC</t>
  </si>
  <si>
    <t>LCP-230121-01</t>
  </si>
  <si>
    <t>LCP-230121-02</t>
  </si>
  <si>
    <t>LCP-230121-03</t>
  </si>
  <si>
    <t>LCP-230121-04</t>
  </si>
  <si>
    <t>LCP-230121-05</t>
  </si>
  <si>
    <t>CAP - CONTINGENCY (5</t>
  </si>
  <si>
    <t>BRZ - Transportation</t>
  </si>
  <si>
    <t>LCP-230122-01</t>
  </si>
  <si>
    <t>CAP - Equipment and</t>
  </si>
  <si>
    <t>LCP-230122-02</t>
  </si>
  <si>
    <t>CAP - Mec / Ele / Ci</t>
  </si>
  <si>
    <t>LCP-230122-03</t>
  </si>
  <si>
    <t>LCP-230122-04</t>
  </si>
  <si>
    <t>CAP - Electrical lab</t>
  </si>
  <si>
    <t>LCP-230122-05</t>
  </si>
  <si>
    <t>CAP - Mechanical ass</t>
  </si>
  <si>
    <t>LCP-230122-06</t>
  </si>
  <si>
    <t>CAP - Electrical ass</t>
  </si>
  <si>
    <t>MC – 2023 ANNUAL MIS</t>
  </si>
  <si>
    <t>LCP-230123-01</t>
  </si>
  <si>
    <t>CAP - MANIPULATOR SY</t>
  </si>
  <si>
    <t>LCP-230123-02</t>
  </si>
  <si>
    <t>LCP-230123-03</t>
  </si>
  <si>
    <t xml:space="preserve"> CAP - ADVANCED POST</t>
  </si>
  <si>
    <t>LCP-230123-05</t>
  </si>
  <si>
    <t>MC - Tires Lubrifica</t>
  </si>
  <si>
    <t>LCP-230124-01</t>
  </si>
  <si>
    <t>CAP - Project Mech /</t>
  </si>
  <si>
    <t>LCP-230124-02</t>
  </si>
  <si>
    <t>CAP - Tire Lub Acqui</t>
  </si>
  <si>
    <t>LCP-230124-03</t>
  </si>
  <si>
    <t>LCP-230124-04</t>
  </si>
  <si>
    <t>MC - NR-12 Phase 1 i</t>
  </si>
  <si>
    <t>LCP-230125-01</t>
  </si>
  <si>
    <t>CAP - Equipments aqu</t>
  </si>
  <si>
    <t>LCP-230125-02</t>
  </si>
  <si>
    <t>LCP-230125-03</t>
  </si>
  <si>
    <t>LCP-230125-04</t>
  </si>
  <si>
    <t>LCP-230125-05</t>
  </si>
  <si>
    <t>LCP-230125-06</t>
  </si>
  <si>
    <t>CAP - Civil assemble</t>
  </si>
  <si>
    <t>LCP-230125-07</t>
  </si>
  <si>
    <t>CAP - Technical supp</t>
  </si>
  <si>
    <t>LCP-230125-08</t>
  </si>
  <si>
    <t>CAP - Start-up Servi</t>
  </si>
  <si>
    <t>AME - Overhaul Laser</t>
  </si>
  <si>
    <t>LCP-230144-01</t>
  </si>
  <si>
    <t>CAP - Overhaul Laser</t>
  </si>
  <si>
    <t>LCP-230144-02</t>
  </si>
  <si>
    <t>LCP-230144-03</t>
  </si>
  <si>
    <t>CAP - Cost for shipm</t>
  </si>
  <si>
    <t>AME - MIXER#6 TSR- 4</t>
  </si>
  <si>
    <t>LCP-230145-01</t>
  </si>
  <si>
    <t>CAP ROLLER SET FOR T</t>
  </si>
  <si>
    <t>LCP-230151-01</t>
  </si>
  <si>
    <t>CAP - Materials - KI</t>
  </si>
  <si>
    <t>LCP-230151-02</t>
  </si>
  <si>
    <t>CAP - DL code and ST</t>
  </si>
  <si>
    <t>LCP-230151-03</t>
  </si>
  <si>
    <t>CAP - Start up and c</t>
  </si>
  <si>
    <t>LCP-230151-04</t>
  </si>
  <si>
    <t>CAP - Mechanical sup</t>
  </si>
  <si>
    <t>LCP-230151-05</t>
  </si>
  <si>
    <t>CAP - Projetos/As bu</t>
  </si>
  <si>
    <t>LCP-230151-06</t>
  </si>
  <si>
    <t>CAP - Installation s</t>
  </si>
  <si>
    <t>ADEQUAÇÃO DE SEGURAN</t>
  </si>
  <si>
    <t>NOVO SISTEMA COMUNIC</t>
  </si>
  <si>
    <t>CAMERA PARA MONITORA</t>
  </si>
  <si>
    <t>CAÇAMBAS PARA COLETA</t>
  </si>
  <si>
    <t>UPG. SISTEMA ACIONAM</t>
  </si>
  <si>
    <t>RETROFIT DISJ. GERAI</t>
  </si>
  <si>
    <t>LAPG - RETROFIT OF T</t>
  </si>
  <si>
    <t>LCP-230154-01</t>
  </si>
  <si>
    <t>CAP - PROJECT ELECTR</t>
  </si>
  <si>
    <t>LCP-230154-02</t>
  </si>
  <si>
    <t>CAP - MATERIAL / EQU</t>
  </si>
  <si>
    <t>LCP-230154-03</t>
  </si>
  <si>
    <t>LCP-230154-04</t>
  </si>
  <si>
    <t>LCP-230154-05</t>
  </si>
  <si>
    <t>CAP - CIVIL LABOR</t>
  </si>
  <si>
    <t>AME - SAFETY ADEQUAC</t>
  </si>
  <si>
    <t>LCP-230158-01</t>
  </si>
  <si>
    <t>LCP-230158-02</t>
  </si>
  <si>
    <t>LCP-230158-03</t>
  </si>
  <si>
    <t>LCP-230159-01</t>
  </si>
  <si>
    <t>LCP-230159-02</t>
  </si>
  <si>
    <t>LCP-230159-03</t>
  </si>
  <si>
    <t>LCP-230166-01</t>
  </si>
  <si>
    <t>LCP-230166-02</t>
  </si>
  <si>
    <t>LCP-230166-03</t>
  </si>
  <si>
    <t>LCP-230167-01</t>
  </si>
  <si>
    <t>LCP-230167-02</t>
  </si>
  <si>
    <t>LCP-230167-03</t>
  </si>
  <si>
    <t>LCP-230168-01</t>
  </si>
  <si>
    <t>LCP-230168-02</t>
  </si>
  <si>
    <t>LCP-230168-03</t>
  </si>
  <si>
    <t>AME - CAL4R2 - CONTR</t>
  </si>
  <si>
    <t>LCP-230178-01</t>
  </si>
  <si>
    <t>CAP - Electrical/mec</t>
  </si>
  <si>
    <t>LCP-230178-02</t>
  </si>
  <si>
    <t>CAP - Temperature me</t>
  </si>
  <si>
    <t>LCP-230178-03</t>
  </si>
  <si>
    <t>CAP - Upgrade in the</t>
  </si>
  <si>
    <t>LCP-230178-04</t>
  </si>
  <si>
    <t>CAP - Electrical har</t>
  </si>
  <si>
    <t>LCP-230178-05</t>
  </si>
  <si>
    <t>CAP - Software</t>
  </si>
  <si>
    <t>LCP-230178-06</t>
  </si>
  <si>
    <t>CAP - Electrical Har</t>
  </si>
  <si>
    <t>LCP-230178-07</t>
  </si>
  <si>
    <t>CAP - Material and M</t>
  </si>
  <si>
    <t>LCP-230178-08</t>
  </si>
  <si>
    <t>CAP - Change materia</t>
  </si>
  <si>
    <t>LCP-230178-09</t>
  </si>
  <si>
    <t>CAP - Improved K7s/S</t>
  </si>
  <si>
    <t>LCP-230178-10</t>
  </si>
  <si>
    <t>CAP - Preparation fo</t>
  </si>
  <si>
    <t>AME - CAL4R1 - CONTR</t>
  </si>
  <si>
    <t>LCP-230179-01</t>
  </si>
  <si>
    <t>LCP-230179-02</t>
  </si>
  <si>
    <t>LCP-230179-03</t>
  </si>
  <si>
    <t>LCP-230179-04</t>
  </si>
  <si>
    <t>LCP-230179-05</t>
  </si>
  <si>
    <t>LCP-230179-06</t>
  </si>
  <si>
    <t>LCP-230179-07</t>
  </si>
  <si>
    <t>LCP-230179-08</t>
  </si>
  <si>
    <t>LCP-230179-09</t>
  </si>
  <si>
    <t>LCP-230179-10</t>
  </si>
  <si>
    <t>AME-MIXER#7 TSRD ROL</t>
  </si>
  <si>
    <t>LCP-230180-01</t>
  </si>
  <si>
    <t>CAP-ROLLER SET FOR</t>
  </si>
  <si>
    <t>LCP-230180-02</t>
  </si>
  <si>
    <t>CAP-BEARINGS ROLLER</t>
  </si>
  <si>
    <t>AME - CAL_EXTR_GEARB</t>
  </si>
  <si>
    <t>LCP-230181-01</t>
  </si>
  <si>
    <t>CAP - Materials for</t>
  </si>
  <si>
    <t>LCP-230181-02</t>
  </si>
  <si>
    <t>LCP-230181-03</t>
  </si>
  <si>
    <t>AME - EBP SYSTEM MAJ</t>
  </si>
  <si>
    <t>LCP-230185-01</t>
  </si>
  <si>
    <t>CAP - PARTS</t>
  </si>
  <si>
    <t>LCP-230185-02</t>
  </si>
  <si>
    <t>CAP - NHV SUPPORT /</t>
  </si>
  <si>
    <t>LCP-230185-03</t>
  </si>
  <si>
    <t>CAP - CONTINGENCY PA</t>
  </si>
  <si>
    <t>LAPG - STRAIGHT LANE</t>
  </si>
  <si>
    <t>LCP-230186-01</t>
  </si>
  <si>
    <t>CAP - REPAVING LOOPS</t>
  </si>
  <si>
    <t>LCP-230186-02</t>
  </si>
  <si>
    <t>CAP - NEW PAVIMENT N</t>
  </si>
  <si>
    <t>LCP-230186-03</t>
  </si>
  <si>
    <t>CAP - CFTV SYSTEMS</t>
  </si>
  <si>
    <t>AME - HIGH PRESSURE</t>
  </si>
  <si>
    <t>LCP-230191-01</t>
  </si>
  <si>
    <t>LCP-230191-02</t>
  </si>
  <si>
    <t>LCP-230191-03</t>
  </si>
  <si>
    <t>LCP-230191-04</t>
  </si>
  <si>
    <t>LCP-230191-05</t>
  </si>
  <si>
    <t>LCP-230191-06</t>
  </si>
  <si>
    <t>LCP-230196-01</t>
  </si>
  <si>
    <t>LCP-230196-02</t>
  </si>
  <si>
    <t>LCP-230196-03</t>
  </si>
  <si>
    <t>LCP-230205-01</t>
  </si>
  <si>
    <t>CAP - MACHINE OVERHA</t>
  </si>
  <si>
    <t>LCP-230205-02</t>
  </si>
  <si>
    <t>CAP - LABOR SERVICE</t>
  </si>
  <si>
    <t>LCP-230205-03</t>
  </si>
  <si>
    <t>CAP - MAIN MOTOR REJ</t>
  </si>
  <si>
    <t>AME - NEW AWS DRUMS</t>
  </si>
  <si>
    <t>LCP-230206-01</t>
  </si>
  <si>
    <t>CAP - AWS DRUM 20''</t>
  </si>
  <si>
    <t>LCP-230206-02</t>
  </si>
  <si>
    <t>CAP - AWS DRUM 22''</t>
  </si>
  <si>
    <t>LCP-230208-01</t>
  </si>
  <si>
    <t>CAP - CALENDER 4 ROL</t>
  </si>
  <si>
    <t>LCP-230208-02</t>
  </si>
  <si>
    <t>LCP-230208-03</t>
  </si>
  <si>
    <t>CAP - 8X3 INTUBATOR</t>
  </si>
  <si>
    <t>LCP-230208-04</t>
  </si>
  <si>
    <t>CAP - 8X8 INTUBATOR</t>
  </si>
  <si>
    <t>LCP-230208-05</t>
  </si>
  <si>
    <t>CAP - HOTFORMER</t>
  </si>
  <si>
    <t>LCP-230208-06</t>
  </si>
  <si>
    <t>CAP - FISCHER 01</t>
  </si>
  <si>
    <t>LCP-230208-07</t>
  </si>
  <si>
    <t>CAP - FISCHER 02</t>
  </si>
  <si>
    <t>LCP-230208-08</t>
  </si>
  <si>
    <t>CAP - PLY CUTTER</t>
  </si>
  <si>
    <t>AME - MAZAK INTEGREX</t>
  </si>
  <si>
    <t>LCP-230213-01</t>
  </si>
  <si>
    <t>LCP-230221-01</t>
  </si>
  <si>
    <t>CAP - PROJECTS (ELE</t>
  </si>
  <si>
    <t>LCP-230221-02</t>
  </si>
  <si>
    <t>CAP - SAFETY DEVICES</t>
  </si>
  <si>
    <t>LCP-230221-03</t>
  </si>
  <si>
    <t>CAP - MEC / MAT / PN</t>
  </si>
  <si>
    <t>LCP-230221-04</t>
  </si>
  <si>
    <t>LCP-230221-05</t>
  </si>
  <si>
    <t>CAP - ENGINEERING NR</t>
  </si>
  <si>
    <t>AME - INSTALLATION O</t>
  </si>
  <si>
    <t>LCP-230225-01</t>
  </si>
  <si>
    <t>CAP - PROJECTS (MECH</t>
  </si>
  <si>
    <t>LCP-230225-02</t>
  </si>
  <si>
    <t>CAP - 25 - CONVENTIO</t>
  </si>
  <si>
    <t>LCP-230225-03</t>
  </si>
  <si>
    <t>CAP - 7 CLOSED RACKS</t>
  </si>
  <si>
    <t>LCP-230225-04</t>
  </si>
  <si>
    <t>MC - Retrofit Inside</t>
  </si>
  <si>
    <t>LCP-230253-01</t>
  </si>
  <si>
    <t>CAP - Part numbers,</t>
  </si>
  <si>
    <t>LCP-230253-02</t>
  </si>
  <si>
    <t>CAP - New manipulato</t>
  </si>
  <si>
    <t>LCP-230253-03</t>
  </si>
  <si>
    <t>CAP - Conveyor seque</t>
  </si>
  <si>
    <t>LCP-230253-04</t>
  </si>
  <si>
    <t>CAP - Reconditioning</t>
  </si>
  <si>
    <t>LCP-230253-05</t>
  </si>
  <si>
    <t>CAP - Lay-out adjust</t>
  </si>
  <si>
    <t>LCP-230253-06</t>
  </si>
  <si>
    <t>CAP - New illuminati</t>
  </si>
  <si>
    <t>LCP-230253-07</t>
  </si>
  <si>
    <t>CAP - New vision sys</t>
  </si>
  <si>
    <t>LCP-230253-08</t>
  </si>
  <si>
    <t>CAP - Up date on IT</t>
  </si>
  <si>
    <t>LCP-230253-09</t>
  </si>
  <si>
    <t>CAP - Sequencing are</t>
  </si>
  <si>
    <t>AME - NEW DYNAMIC BA</t>
  </si>
  <si>
    <t>LCP-230255-01</t>
  </si>
  <si>
    <t>Akrodyne FX Balance</t>
  </si>
  <si>
    <t>LCP-230255-02</t>
  </si>
  <si>
    <t>Importation tax/frei</t>
  </si>
  <si>
    <t>LCP-230255-03</t>
  </si>
  <si>
    <t>Engineering (Mech/El</t>
  </si>
  <si>
    <t>LCP-230255-04</t>
  </si>
  <si>
    <t>Contracts (Mechanica</t>
  </si>
  <si>
    <t>LCP-230255-05</t>
  </si>
  <si>
    <t>Supervision/start up</t>
  </si>
  <si>
    <t>LCP-230255-06</t>
  </si>
  <si>
    <t>GE Support and 01 tr</t>
  </si>
  <si>
    <t>LCP-230255-07</t>
  </si>
  <si>
    <t>Translation</t>
  </si>
  <si>
    <t>LCP-230255-08</t>
  </si>
  <si>
    <t>CTI programming</t>
  </si>
  <si>
    <t>LCP-230255-09</t>
  </si>
  <si>
    <t>Permits/local standa</t>
  </si>
  <si>
    <t>LCP-230255-10</t>
  </si>
  <si>
    <t>Conveyors / Material</t>
  </si>
  <si>
    <t>LAPG - RETROFIT BUIL</t>
  </si>
  <si>
    <t>LCP-240001-01</t>
  </si>
  <si>
    <t>CAP - FORNITURES / E</t>
  </si>
  <si>
    <t>LCP-240001-02</t>
  </si>
  <si>
    <t>CAP - IT EQUIPMENT +</t>
  </si>
  <si>
    <t>LCP-240001-03</t>
  </si>
  <si>
    <t>CAP - PROJECT ELETRI</t>
  </si>
  <si>
    <t>LCP-240001-04</t>
  </si>
  <si>
    <t>LCP-240001-05</t>
  </si>
  <si>
    <t>CAP - MECHANICAL / E</t>
  </si>
  <si>
    <t>AME - 2024 MISCELLAN</t>
  </si>
  <si>
    <t>CAP - BOMBA #2 DA TO</t>
  </si>
  <si>
    <t>CAP -MAQ. MONTAGEM P</t>
  </si>
  <si>
    <t>CAP - SIST. DE ALIME</t>
  </si>
  <si>
    <t>CAP - PRO-MIC EQUIPM</t>
  </si>
  <si>
    <t>CAP - MANIPULADOR DA</t>
  </si>
  <si>
    <t>CAP - SISTEMA SEGURA</t>
  </si>
  <si>
    <t>CAP - APLICADORA DE</t>
  </si>
  <si>
    <t>CAP - CONTROLE DE AC</t>
  </si>
  <si>
    <t>AME - UPGRADE GENERA</t>
  </si>
  <si>
    <t>LCP-240087-01</t>
  </si>
  <si>
    <t>CAP - ELECTRICAL DES</t>
  </si>
  <si>
    <t>LCP-240087-02</t>
  </si>
  <si>
    <t>CAP - ELECTRICAL / M</t>
  </si>
  <si>
    <t>LCP-240087-03</t>
  </si>
  <si>
    <t>CAP - SOFTWARE</t>
  </si>
  <si>
    <t>LCP-240087-04</t>
  </si>
  <si>
    <t>LCP-240093-01</t>
  </si>
  <si>
    <t>CAP New parking lot</t>
  </si>
  <si>
    <t>LCP-240093-02</t>
  </si>
  <si>
    <t>LCP-240093-03</t>
  </si>
  <si>
    <t>CAP New scale for bi</t>
  </si>
  <si>
    <t>LCP-240093-04</t>
  </si>
  <si>
    <t>CAP Duplication of i</t>
  </si>
  <si>
    <t>LCP-240093-05</t>
  </si>
  <si>
    <t>CAP Expansion of vis</t>
  </si>
  <si>
    <t>LCP-240093-06</t>
  </si>
  <si>
    <t>CAP Expansion truck</t>
  </si>
  <si>
    <t>LCP-240093-07</t>
  </si>
  <si>
    <t>CAP Drainage tank</t>
  </si>
  <si>
    <t>LCP-240093-08</t>
  </si>
  <si>
    <t>CAP New access to pa</t>
  </si>
  <si>
    <t>LCP-240093-09</t>
  </si>
  <si>
    <t>CAP Covered area for</t>
  </si>
  <si>
    <t>LCP-240093-10</t>
  </si>
  <si>
    <t>CAP Automatic receiv</t>
  </si>
  <si>
    <t>LCP-240093-11</t>
  </si>
  <si>
    <t>CAP Interlocked gate</t>
  </si>
  <si>
    <t>LCP-240093-12</t>
  </si>
  <si>
    <t>CAP Automatic main e</t>
  </si>
  <si>
    <t>LCP-240093-13</t>
  </si>
  <si>
    <t>CAP Permits + archit</t>
  </si>
  <si>
    <t>AME - UPG X-RAY COMP</t>
  </si>
  <si>
    <t>LCP-240096-01</t>
  </si>
  <si>
    <t>CAP - Electronic mat</t>
  </si>
  <si>
    <t>LCP-240096-02</t>
  </si>
  <si>
    <t>CAP - Installation a</t>
  </si>
  <si>
    <t>LCP-240096-03</t>
  </si>
  <si>
    <t>CAP - Shipping and t</t>
  </si>
  <si>
    <t>LCP-240096-04</t>
  </si>
  <si>
    <t>CAP - In-person tran</t>
  </si>
  <si>
    <t>LCP-240097-01</t>
  </si>
  <si>
    <t>LCP-240097-02</t>
  </si>
  <si>
    <t>CAP - NEW EQUIPMENT</t>
  </si>
  <si>
    <t>LCP-240097-03</t>
  </si>
  <si>
    <t>LCP-240097-04</t>
  </si>
  <si>
    <t>FSB - 2024 MISCELLAN</t>
  </si>
  <si>
    <t>LCP-240098-02</t>
  </si>
  <si>
    <t>CAP - MELHORIAS SALA</t>
  </si>
  <si>
    <t>LCP-240098-03</t>
  </si>
  <si>
    <t>CAP - RACKS BUFFER A</t>
  </si>
  <si>
    <t>LCP-240098-04</t>
  </si>
  <si>
    <t>LCP-240098-05</t>
  </si>
  <si>
    <t>CAP - PLACAR INFORMA</t>
  </si>
  <si>
    <t>LCP-240098-06</t>
  </si>
  <si>
    <t>CAP - UP GRADE PLC R</t>
  </si>
  <si>
    <t>LCP-240098-07</t>
  </si>
  <si>
    <t>LCP-240098-08</t>
  </si>
  <si>
    <t>CAP - TROCA DE POLI</t>
  </si>
  <si>
    <t>LCP-240098-09</t>
  </si>
  <si>
    <t>CAP - UPGRADE DO SOF</t>
  </si>
  <si>
    <t>LCP-240098-10</t>
  </si>
  <si>
    <t>CAP - (2) TCU PORTAT</t>
  </si>
  <si>
    <t>LCP-240100-01</t>
  </si>
  <si>
    <t>LCP-240100-02</t>
  </si>
  <si>
    <t>LCP-240100-03</t>
  </si>
  <si>
    <t>LCP-240100-04</t>
  </si>
  <si>
    <t>BRZ - BLUE RACKS FOR</t>
  </si>
  <si>
    <t>LCP-240101-01</t>
  </si>
  <si>
    <t>AME - NEW AIR COMPRE</t>
  </si>
  <si>
    <t>LCP-240102-01</t>
  </si>
  <si>
    <t>LCP-240102-02</t>
  </si>
  <si>
    <t>LCP-240102-03</t>
  </si>
  <si>
    <t>CAP - COMPRESSOR</t>
  </si>
  <si>
    <t>LCP-240102-04</t>
  </si>
  <si>
    <t>CAP - AIR DRAYER</t>
  </si>
  <si>
    <t>LCP-240102-05</t>
  </si>
  <si>
    <t>CAP - COLLING TOWER</t>
  </si>
  <si>
    <t>LCP-240102-06</t>
  </si>
  <si>
    <t>CAP - ELECTRICALSUBS</t>
  </si>
  <si>
    <t>AME - EQUIPMENT FOR</t>
  </si>
  <si>
    <t>LCP-240103-01</t>
  </si>
  <si>
    <t>CAP - DRUM/CENTER DE</t>
  </si>
  <si>
    <t>LCP-240103-02</t>
  </si>
  <si>
    <t>CAP - BEAD APEX DRUM</t>
  </si>
  <si>
    <t>LAPG - 2024 MISCELLA</t>
  </si>
  <si>
    <t>LCP-240107-02</t>
  </si>
  <si>
    <t>CAP - WHEEL LIFTER</t>
  </si>
  <si>
    <t>LCP-240107-03</t>
  </si>
  <si>
    <t>CAP - NEW ELECTRIC C</t>
  </si>
  <si>
    <t>LCP-240107-04</t>
  </si>
  <si>
    <t>CAP - TRACK SWEEPER</t>
  </si>
  <si>
    <t>LCP-240107-05</t>
  </si>
  <si>
    <t>CAP - DRONE</t>
  </si>
  <si>
    <t>LCP-240107-06</t>
  </si>
  <si>
    <t>CAP - TIRE MOUNTING</t>
  </si>
  <si>
    <t>MC - GRAVATAI - NEW</t>
  </si>
  <si>
    <t>LCP-240110-01</t>
  </si>
  <si>
    <t>CAP - VTW DYNAMIC BA</t>
  </si>
  <si>
    <t>LCP-240110-02</t>
  </si>
  <si>
    <t>CAP - IMPORTATION TA</t>
  </si>
  <si>
    <t>LCP-240110-03</t>
  </si>
  <si>
    <t>CAP - TRANSPORTATION</t>
  </si>
  <si>
    <t>AME - WINDOWS 10 FOR</t>
  </si>
  <si>
    <t>LCP-240112-01</t>
  </si>
  <si>
    <t>CAP - MICRO TECH MC-</t>
  </si>
  <si>
    <t>LCP-240112-02</t>
  </si>
  <si>
    <t>CAP - TAXES AND SHIP</t>
  </si>
  <si>
    <t>LCP-240112-03</t>
  </si>
  <si>
    <t>LCP-240112-04</t>
  </si>
  <si>
    <t>AME - NG08 - SERVO D</t>
  </si>
  <si>
    <t>LCP-240113-01</t>
  </si>
  <si>
    <t>CAP - HARDWARE MATER</t>
  </si>
  <si>
    <t>LCP-240113-02</t>
  </si>
  <si>
    <t>AME - TBM01 - SERVO</t>
  </si>
  <si>
    <t>LCP-240114-01</t>
  </si>
  <si>
    <t>LCP-240114-02</t>
  </si>
  <si>
    <t>LCP-240115-01</t>
  </si>
  <si>
    <t>CAP - TIRE MACHINE E</t>
  </si>
  <si>
    <t>BRZ - VBOX KIT AND S</t>
  </si>
  <si>
    <t>LCP-240124-01</t>
  </si>
  <si>
    <t>CAP - VBOX KIT WITH</t>
  </si>
  <si>
    <t>MC - 2024 MISCELLANE</t>
  </si>
  <si>
    <t>LCP-240128-02</t>
  </si>
  <si>
    <t>ANCHIETA - Two new b</t>
  </si>
  <si>
    <t>LCP-240128-03</t>
  </si>
  <si>
    <t>ANCHIETA - Acoustics</t>
  </si>
  <si>
    <t>LCP-240128-04</t>
  </si>
  <si>
    <t>ANCHIETA - MicroPois</t>
  </si>
  <si>
    <t>LCP-240128-05</t>
  </si>
  <si>
    <t>EPIACABA - Employee</t>
  </si>
  <si>
    <t>LCP-240128-06</t>
  </si>
  <si>
    <t>EPIACABA -  Women lo</t>
  </si>
  <si>
    <t>LCP-240128-07</t>
  </si>
  <si>
    <t>EPIACABA - Device to</t>
  </si>
  <si>
    <t>LCP-240128-08</t>
  </si>
  <si>
    <t>EPIACABA - New tire</t>
  </si>
  <si>
    <t>LCP-240128-09</t>
  </si>
  <si>
    <t>EPIACABA - Wheels st</t>
  </si>
  <si>
    <t>LCP-240128-10</t>
  </si>
  <si>
    <t>GRAVATAÍ - Automated</t>
  </si>
  <si>
    <t>LCP-240128-11</t>
  </si>
  <si>
    <t>GRAVATAÍ - Employee</t>
  </si>
  <si>
    <t>LCP-240128-12</t>
  </si>
  <si>
    <t>GRAVATAÍ - New tire</t>
  </si>
  <si>
    <t>AME - CONSUMER EXPAN</t>
  </si>
  <si>
    <t>LCP-240140-01</t>
  </si>
  <si>
    <t>AME - HEXAPLEX RTS R</t>
  </si>
  <si>
    <t>LCP-240149-01</t>
  </si>
  <si>
    <t>CAP - RTS Equipment</t>
  </si>
  <si>
    <t>LCP-240149-02</t>
  </si>
  <si>
    <t>CAP - Importation/Fr</t>
  </si>
  <si>
    <t>LCP-240149-03</t>
  </si>
  <si>
    <t>CAP - Installation/C</t>
  </si>
  <si>
    <t>LCP-240149-04</t>
  </si>
  <si>
    <t>AME - (03) TRANSFER</t>
  </si>
  <si>
    <t>LCP-240152-01</t>
  </si>
  <si>
    <t>LCP-240152-02</t>
  </si>
  <si>
    <t>LCP-240152-03</t>
  </si>
  <si>
    <t>LCP-240152-04</t>
  </si>
  <si>
    <t>LCP-240152-05</t>
  </si>
  <si>
    <t>CAP-SOFTWARE / COMIS</t>
  </si>
  <si>
    <t>LCP-240152-06</t>
  </si>
  <si>
    <t>CAP-PROJECT DESIGN</t>
  </si>
  <si>
    <t>LCP-240152-07</t>
  </si>
  <si>
    <t>LCP-240152-08</t>
  </si>
  <si>
    <t>CAP-GE TRIP</t>
  </si>
  <si>
    <t>FSB - INSPECTION CAM</t>
  </si>
  <si>
    <t>LCP-240177-01</t>
  </si>
  <si>
    <t>LCP-240177-02</t>
  </si>
  <si>
    <t>LCP-240177-03</t>
  </si>
  <si>
    <t>CAP - Automation</t>
  </si>
  <si>
    <t>LCP-240177-04</t>
  </si>
  <si>
    <t>CAP - Hardware</t>
  </si>
  <si>
    <t>LCP-240177-05</t>
  </si>
  <si>
    <t>CAP - Training Labor</t>
  </si>
  <si>
    <t>LCP-240178-01</t>
  </si>
  <si>
    <t>LCP-240178-02</t>
  </si>
  <si>
    <t>LCP-240178-03</t>
  </si>
  <si>
    <t>LCP-240178-04</t>
  </si>
  <si>
    <t>LCP-240178-05</t>
  </si>
  <si>
    <t>MC - SPARE TIRE LABE</t>
  </si>
  <si>
    <t>LCP-240179-01</t>
  </si>
  <si>
    <t>LCP-240179-02</t>
  </si>
  <si>
    <t>AME - PREMIER RPA AU</t>
  </si>
  <si>
    <t>LCP-240185-01</t>
  </si>
  <si>
    <t>LCP-240185-02</t>
  </si>
  <si>
    <t>CAP - Installation E</t>
  </si>
  <si>
    <t>AME - PREMIER MDR AU</t>
  </si>
  <si>
    <t>LCP-240186-01</t>
  </si>
  <si>
    <t>LCP-240186-02</t>
  </si>
  <si>
    <t>Result</t>
  </si>
  <si>
    <t>NEW AIR COMPRESSOR - 100 PSI - CENTAC 19</t>
  </si>
  <si>
    <t>AME - UPG CALENDER EXTRUDER REPLACEMENT BB#2</t>
  </si>
  <si>
    <t>NEW AIR COMPRESSOR - 100 PSI - CENTAC 20</t>
  </si>
  <si>
    <t>Aprovado dia 07/05/24
SCs de Compressor e secador ja abertos. Aguardando PO</t>
  </si>
  <si>
    <t>Não sera utilizado</t>
  </si>
  <si>
    <t>AME -UPGRADE PLC MRT PRESSES (11 PRESSES)</t>
  </si>
  <si>
    <t>AME - SAFETY REGULARIZATION FOR NR12 - PG0102</t>
  </si>
  <si>
    <t xml:space="preserve">Ainda não temos o pedido do Novo Windup e para o sistema de facas. Com isso foi postergado para 2025
Mudança de escopo para novo Wind up com a E+L mais perfilometro.
Possivelmente será necessário Scope Change para a compra de um Wind up novo
Sera aberta a SC. Aguardando a aprovacao do escopo (Fernando).
Sera definido o escopo de projeto eletrico e mecanico.
2024:
Projetos, Materiais, Painel eletrico, Mezanino e Inicio de instalacoes
</t>
  </si>
  <si>
    <t>Push out mill</t>
  </si>
  <si>
    <t>2-Roll Rework Mill - Reconditioning Sys.</t>
  </si>
  <si>
    <t>Pre-inspection</t>
  </si>
  <si>
    <t>Engineering</t>
  </si>
  <si>
    <t>Documentation</t>
  </si>
  <si>
    <t>Delivery EXW Troester Hannover</t>
  </si>
  <si>
    <t>NR12 Certification</t>
  </si>
  <si>
    <t>Installation and Commissioning Assist.</t>
  </si>
  <si>
    <t>UPGRADE PRENSAS MRT SLC500/CONTROLLOGIX5000 UPGRADE</t>
  </si>
  <si>
    <t>LCP-240193</t>
  </si>
  <si>
    <t>LCP-240098-11</t>
  </si>
  <si>
    <t>CAP - REAL WEAR</t>
  </si>
  <si>
    <t>MC - CARBON PROJECT</t>
  </si>
  <si>
    <t>LCP-240193-01</t>
  </si>
  <si>
    <t>CAP - New machine</t>
  </si>
  <si>
    <t>LCP-240193-02</t>
  </si>
  <si>
    <t>LCP-240193-03</t>
  </si>
  <si>
    <t>TROESTER GMBH AND CO KG</t>
  </si>
  <si>
    <t xml:space="preserve">REL </t>
  </si>
  <si>
    <t>MC - SPARE TIRE LABEL IMPLEMENTATION</t>
  </si>
  <si>
    <t>AME - PREMIER RPA AUTOMATIC EQUIPMENT</t>
  </si>
  <si>
    <t>LCP-240193-EX</t>
  </si>
  <si>
    <t>EX - MC - CARBON PROJECT 17" - GRAVATAI</t>
  </si>
  <si>
    <t>MATHEUS CABRAL</t>
  </si>
  <si>
    <t>Finalizado. Saldo do PO será cancelado</t>
  </si>
  <si>
    <t>Projeto de Santa Barbara. Não será mais utilizado a linha de despesa neste momento.</t>
  </si>
  <si>
    <t>Não será mais utilizado??</t>
  </si>
  <si>
    <t>8241927899</t>
  </si>
  <si>
    <t>8241928051</t>
  </si>
  <si>
    <t>Ok. Finalizado. Solicitar o CLOSE</t>
  </si>
  <si>
    <t>LCP-240059-11</t>
  </si>
  <si>
    <t>(4) MESA (4) CADEIRA (4) GAVETEIRO</t>
  </si>
  <si>
    <t>LOC-240001-00-27</t>
  </si>
  <si>
    <t>Eduardo Chieus (AA00750)</t>
  </si>
  <si>
    <t>(1) GELADEIRA COMERCIAL 4 PORTAS 220V</t>
  </si>
  <si>
    <t>LOC-240001-00-28</t>
  </si>
  <si>
    <t>8241847204</t>
  </si>
  <si>
    <t>CAP - UPGRADE PRENSA</t>
  </si>
  <si>
    <t>Data Encerramento</t>
  </si>
  <si>
    <t>Feito Resumo e apresentado?</t>
  </si>
  <si>
    <t>PREPARAR</t>
  </si>
  <si>
    <t>Finalizado. Doc 20 OK</t>
  </si>
  <si>
    <t>23/0026  - OK</t>
  </si>
  <si>
    <t>Solicitar o CLOSE ao time de financas</t>
  </si>
  <si>
    <t>LCP-240190-EX</t>
  </si>
  <si>
    <t>AME- ECE MOLD UPGRADE PH-1 AND PH-2</t>
  </si>
  <si>
    <t>AME - (03) TRANSFER ORING WYKO – NGTTS</t>
  </si>
  <si>
    <t>ICP-240032</t>
  </si>
  <si>
    <t>ICP-240033</t>
  </si>
  <si>
    <t>ICP-240029</t>
  </si>
  <si>
    <t>Adapters for Gearboxes and Motors</t>
  </si>
  <si>
    <t>352176</t>
  </si>
  <si>
    <t>LOC-240001-00-29</t>
  </si>
  <si>
    <t>FSB</t>
  </si>
  <si>
    <t>CASSIA BELLO (AC78181)</t>
  </si>
  <si>
    <t>(2) TVS COM SUPORTE PARA USO NO BUFFER #1 E #2</t>
  </si>
  <si>
    <t>4500464312</t>
  </si>
  <si>
    <t>Pigment weighing machine 10 to 45 positi</t>
  </si>
  <si>
    <t>AM2403073</t>
  </si>
  <si>
    <t>4500461455</t>
  </si>
  <si>
    <t>AKRODYNE DYNAMIC BALANCERS</t>
  </si>
  <si>
    <t>AM2403023</t>
  </si>
  <si>
    <t>TCU's</t>
  </si>
  <si>
    <t>Skid #1 4WT-1220-DSP</t>
  </si>
  <si>
    <t>Skid #2 and 3 _5WT-2435-DSP</t>
  </si>
  <si>
    <t>Skid #4_4WT-1830-DSP</t>
  </si>
  <si>
    <t>Skid #5_3WT-2440-DSP</t>
  </si>
  <si>
    <t>Skid #6_PHP-572-191-SP</t>
  </si>
  <si>
    <t>China Freight</t>
  </si>
  <si>
    <t>AME - CONTOUR CORRECTION MACHINE</t>
  </si>
  <si>
    <t>AME - NEW BALANCE AKRODYNE MP04</t>
  </si>
  <si>
    <t xml:space="preserve">Em andamento. Aguardando documentacoes do fornecedor. Estima-se finalizar em Setembro
</t>
  </si>
  <si>
    <t>REL   //  BREL WPLI</t>
  </si>
  <si>
    <t>LCP-240148</t>
  </si>
  <si>
    <t>TECO BUDG AVAC SETC  //  BREL</t>
  </si>
  <si>
    <t>HOPPER STATUS</t>
  </si>
  <si>
    <t>ALLOCATE BUDGET IN SAP</t>
  </si>
  <si>
    <t>Fabiano Oliveira</t>
  </si>
  <si>
    <t>Carlos Matioli</t>
  </si>
  <si>
    <t>LOC-240001-00-30</t>
  </si>
  <si>
    <t>(10) BEBEDOURO DE 25 LITROS  BEC25L</t>
  </si>
  <si>
    <t>SCOPE CHANGE</t>
  </si>
  <si>
    <t>ICP VS ICP</t>
  </si>
  <si>
    <t>1301302510</t>
  </si>
  <si>
    <t>COFINS on Purch Ret</t>
  </si>
  <si>
    <t>8241889149</t>
  </si>
  <si>
    <t>LCP-200185-EX-92</t>
  </si>
  <si>
    <t>LCP-200185-EX-97</t>
  </si>
  <si>
    <t>8241120694</t>
  </si>
  <si>
    <t>Aluguel de máquinas e equipamentos</t>
  </si>
  <si>
    <t>LCP-220207-EX-94</t>
  </si>
  <si>
    <t>8241722876</t>
  </si>
  <si>
    <t>LCP-230213-EX-01</t>
  </si>
  <si>
    <t>8241872623</t>
  </si>
  <si>
    <t>LCP-240139-EX-01</t>
  </si>
  <si>
    <t>8241876968</t>
  </si>
  <si>
    <t xml:space="preserve">           26.000,00</t>
  </si>
  <si>
    <t>LCP-220044-EX-02</t>
  </si>
  <si>
    <t>LCP-230186-EX-02</t>
  </si>
  <si>
    <t xml:space="preserve">           72.000,00</t>
  </si>
  <si>
    <t>LCP-240059-12</t>
  </si>
  <si>
    <t>Carla Guassi (NSAC953)</t>
  </si>
  <si>
    <t>LOC-240001-00-31</t>
  </si>
  <si>
    <t>(1) SMART TV FUL HD 65'</t>
  </si>
  <si>
    <t>AME - EXPENSES - CONSUMER EXPANSION</t>
  </si>
  <si>
    <t>CAP - CILINDRO DA PL</t>
  </si>
  <si>
    <t>LCP-240098-12</t>
  </si>
  <si>
    <t>CAP - BOMBA HIDRAULI</t>
  </si>
  <si>
    <t>BUDZAR INDUSTRIES INC</t>
  </si>
  <si>
    <t>AME - HIGH PRESSURE PUMP REPLACEMENT OTR</t>
  </si>
  <si>
    <t>8241920799</t>
  </si>
  <si>
    <t>351445</t>
  </si>
  <si>
    <t>8241950433</t>
  </si>
  <si>
    <t>Finalizado a parte de despesa</t>
  </si>
  <si>
    <t>ALAN PEDROSO</t>
  </si>
  <si>
    <t>LCP-240196</t>
  </si>
  <si>
    <t>LCP-240196-01</t>
  </si>
  <si>
    <t>ALPHA SHEAR</t>
  </si>
  <si>
    <t>LCP-240196-02</t>
  </si>
  <si>
    <t>BREAK CUTTER</t>
  </si>
  <si>
    <t>LCP-240196-03</t>
  </si>
  <si>
    <t>CALENDER FABRIC 3R</t>
  </si>
  <si>
    <t>LCP-240196-04</t>
  </si>
  <si>
    <t>EXTRUDER 8X3</t>
  </si>
  <si>
    <t>LCP-240196-05</t>
  </si>
  <si>
    <t>EXTRUDER 8X8</t>
  </si>
  <si>
    <t>LCP-240196-06</t>
  </si>
  <si>
    <t>FABRIC CUTTER</t>
  </si>
  <si>
    <t>LCP-240196-07</t>
  </si>
  <si>
    <t>FISHER #1</t>
  </si>
  <si>
    <t>LCP-240196-08</t>
  </si>
  <si>
    <t>FISHER #2</t>
  </si>
  <si>
    <t>LCP-240196-09</t>
  </si>
  <si>
    <t>GAZUIT</t>
  </si>
  <si>
    <t>LCP-240196-10</t>
  </si>
  <si>
    <t>GUM CALENDER #1 (4R1</t>
  </si>
  <si>
    <t>LCP-240196-11</t>
  </si>
  <si>
    <t>GUM CALENDER #2 (4R2</t>
  </si>
  <si>
    <t>LCP-240196-12</t>
  </si>
  <si>
    <t>LAM #1</t>
  </si>
  <si>
    <t>LCP-240196-13</t>
  </si>
  <si>
    <t>LOW ANGLE #1</t>
  </si>
  <si>
    <t>LCP-240196-14</t>
  </si>
  <si>
    <t>LOW ANGLE #2</t>
  </si>
  <si>
    <t>LCP-240196-15</t>
  </si>
  <si>
    <t>MOTHER ROLL</t>
  </si>
  <si>
    <t>LCP-240196-16</t>
  </si>
  <si>
    <t>PLY CUTTER</t>
  </si>
  <si>
    <t>LCP-240196-17</t>
  </si>
  <si>
    <t>WIRE CALENDER</t>
  </si>
  <si>
    <t>LCP-240196-18</t>
  </si>
  <si>
    <t>EXTRUDER DUPLEX 4</t>
  </si>
  <si>
    <t>LCP-240196-19</t>
  </si>
  <si>
    <t>EXTRUDER HEXAPLEX</t>
  </si>
  <si>
    <t>LCP-240196-20</t>
  </si>
  <si>
    <t>REM #1</t>
  </si>
  <si>
    <t>LCP-240196-21</t>
  </si>
  <si>
    <t>REM #2</t>
  </si>
  <si>
    <t>LCP-240196-22</t>
  </si>
  <si>
    <t>SCRAP OUT 8X8</t>
  </si>
  <si>
    <t>LCP-240196-23</t>
  </si>
  <si>
    <t>SCRAP OUT DUPLEX 4</t>
  </si>
  <si>
    <t>LCP-240196-24</t>
  </si>
  <si>
    <t>SCRAP OUT HEXAPLEX</t>
  </si>
  <si>
    <t>LCP-240196-25</t>
  </si>
  <si>
    <t>SCRAP OUT 4 ROLOS 2</t>
  </si>
  <si>
    <t>LCP-240196-26</t>
  </si>
  <si>
    <t>SLITTER #1</t>
  </si>
  <si>
    <t>LCP-240196-27</t>
  </si>
  <si>
    <t>SLITTER #2</t>
  </si>
  <si>
    <t>LCP-240196-28</t>
  </si>
  <si>
    <t>CALEMARD #1</t>
  </si>
  <si>
    <t>LCP-240196-29</t>
  </si>
  <si>
    <t>CALEMARD #2</t>
  </si>
  <si>
    <t>AME - SAFETY ADEQUACY WULO-NR12(PHASE 2)</t>
  </si>
  <si>
    <t>LCP-240196-EX</t>
  </si>
  <si>
    <t>EX - REMOVALS AND ROLOCATIONS</t>
  </si>
  <si>
    <t>ICP-240032-99</t>
  </si>
  <si>
    <t>RTS Scanner</t>
  </si>
  <si>
    <t>RTS AC Unit</t>
  </si>
  <si>
    <t>SRM Activity IN Brazil</t>
  </si>
  <si>
    <t>Installation and Support</t>
  </si>
  <si>
    <t>DATA DA LIBERAÇÃO</t>
  </si>
  <si>
    <t>LCP-240059-13</t>
  </si>
  <si>
    <t>LCP-240059-14</t>
  </si>
  <si>
    <t>FEEDBOX EXTRUSORA 6 INFERIOR  Q5</t>
  </si>
  <si>
    <t>ROGERIO SIA</t>
  </si>
  <si>
    <t xml:space="preserve">        1.000.000,00</t>
  </si>
  <si>
    <t xml:space="preserve">           75.000,00</t>
  </si>
  <si>
    <t xml:space="preserve">          600.000,00</t>
  </si>
  <si>
    <t xml:space="preserve">                0,17</t>
  </si>
  <si>
    <t>CAP - FEEDBOX EXTRUS</t>
  </si>
  <si>
    <t>Ocean Freight Packing Services</t>
  </si>
  <si>
    <t>Finaliza em outubro. Termo de encerramento enviado pelo Saito</t>
  </si>
  <si>
    <t>AME - NR12 - SAFETY REGULARIZATION - PG0102</t>
  </si>
  <si>
    <t>AME - NR12 - SAFETY ADEQUACY AND OBSOLESCENCE PROJECT FOR FVM’S MACHINE</t>
  </si>
  <si>
    <t>AME - NR12 - WIRE CALENDER - BRZ MANDATORY</t>
  </si>
  <si>
    <t>AME - SAFETY TEXTIL CALENDER 3R</t>
  </si>
  <si>
    <t>AME - NR12 - SAFETY ADEQUACY IN WULO (WULO PHASE 1)</t>
  </si>
  <si>
    <t>AME - NR12 - SAFETY REGULARIZATION NT 19 MG R3</t>
  </si>
  <si>
    <t>AME - NR12 -  SAFETY REGULARIZATION BW#01</t>
  </si>
  <si>
    <t>AME - NR12 -  SAFETY REGULARIZATION BW#05</t>
  </si>
  <si>
    <t>AME - NR12 - SAFETY REGULARIZATION NT 18 MG R3</t>
  </si>
  <si>
    <t>AME - NR12 - WULO PHASE 2</t>
  </si>
  <si>
    <t>AME - SAFETY NT CONSUMMER BUILDING ENHANCEMENT</t>
  </si>
  <si>
    <t>MC - NR12 - ADEQUACY - ANCHIETA</t>
  </si>
  <si>
    <t>AME - NR12 - ADEQUATION OF NR12 COMPLIANCE PHASE III</t>
  </si>
  <si>
    <t>AME - NR12 - ADEQUACY OF NR12 COMPLIANCE - PHASE IV</t>
  </si>
  <si>
    <t>AER - NR12 - PROJECT</t>
  </si>
  <si>
    <t>RET - NR24 - BATHROOM ADEQUANCY</t>
  </si>
  <si>
    <t>AERO - NR12 - ADEQUANCY AERO RETREAD MACHINES</t>
  </si>
  <si>
    <t>TOTAL 2025</t>
  </si>
  <si>
    <t>TOTAL 2026</t>
  </si>
  <si>
    <t>YTD SPENT</t>
  </si>
  <si>
    <t>TOTAL - YTD</t>
  </si>
  <si>
    <t>CURRENT YEAR</t>
  </si>
  <si>
    <t>REGIONAL / ICP / PROJECT</t>
  </si>
  <si>
    <t>PROJECT (LCP)</t>
  </si>
  <si>
    <t>REGIONAL ADJUSTMENT</t>
  </si>
  <si>
    <t>EQUIPMENT IN TRANSIT</t>
  </si>
  <si>
    <t>ICP (AKRON)</t>
  </si>
  <si>
    <t>PREVIOUS STATUS SAP</t>
  </si>
  <si>
    <t>STATUS COMPARISON</t>
  </si>
  <si>
    <t>SAP STATUS</t>
  </si>
  <si>
    <t>SAP STATUS (MACRO)</t>
  </si>
  <si>
    <t>REAL vs ESTIMATED</t>
  </si>
  <si>
    <t>COMPARISON</t>
  </si>
  <si>
    <t>8241790226</t>
  </si>
  <si>
    <t>TOTAL 
CURRENT YEAR</t>
  </si>
  <si>
    <t>Ricardo Sia (NSA3084)</t>
  </si>
  <si>
    <t>LOC-240001-00-32</t>
  </si>
  <si>
    <t>(2) TVS SMART 50" UHD 4K LED SAMSUNG 50CU8000</t>
  </si>
  <si>
    <t>OBJECTIVE CURRENT MONTH</t>
  </si>
  <si>
    <t>REAL SAP CURRENT MONTH</t>
  </si>
  <si>
    <t>CURRENT PROGRESS</t>
  </si>
  <si>
    <t>STEP</t>
  </si>
  <si>
    <t>-692.162,55</t>
  </si>
  <si>
    <t>TECO BUDG AUC  AVAC  //  BREL</t>
  </si>
  <si>
    <t>ICP-240038</t>
  </si>
  <si>
    <t>AMA - MIXER#1 LOADING CONVEYOR UPGRADE</t>
  </si>
  <si>
    <t>Em andamento. Estimado finalizar em Novembro</t>
  </si>
  <si>
    <t>8241899497</t>
  </si>
  <si>
    <t>TOTAL 
NEXT YEAR</t>
  </si>
  <si>
    <t>Faltando apenas a FVM03
Aguardando disponibilidade da manutenção para instalação.
Valor de USD 0,8K é referente aos sensores que falta chegar</t>
  </si>
  <si>
    <t>TWO YEARS FROM NOW</t>
  </si>
  <si>
    <t>TOTAL NEXT YEAR</t>
  </si>
  <si>
    <t>OSEP / PSO</t>
  </si>
  <si>
    <t>AOP Exception Sheet</t>
  </si>
  <si>
    <t>DIVISION</t>
  </si>
  <si>
    <t>CARRYOVER</t>
  </si>
  <si>
    <t>AOP x ESTIMATED</t>
  </si>
  <si>
    <t>LCP-240059-15</t>
  </si>
  <si>
    <t>AME - CONSUMER EXPANSION PHASE 2</t>
  </si>
  <si>
    <t>CAP - PAINEL MOTOBOM</t>
  </si>
  <si>
    <t>IX29814/8241462796</t>
  </si>
  <si>
    <t>EEX-240006-00-08</t>
  </si>
  <si>
    <t>EEX-240006-00-09</t>
  </si>
  <si>
    <t>RELOCACAO TI - EHS - SALA DE MONITORAMENTO</t>
  </si>
  <si>
    <t>ESTUDO VALIDACAO DE MAQUINAS - NR12</t>
  </si>
  <si>
    <t>AME - FLOOR AVAILABILITY TBM (LINER/PLY RACKS PURCHASE)</t>
  </si>
  <si>
    <t>AME - BEAD COMPRESSION WKM-B4</t>
  </si>
  <si>
    <t>REL  BUDG AUC  AVAC  //  APPR BREL EXPL</t>
  </si>
  <si>
    <t>ICP-240041</t>
  </si>
  <si>
    <t>DIFFERENCE</t>
  </si>
  <si>
    <t>AME - CREEL ROOM TRANSFER GADSDEN</t>
  </si>
  <si>
    <t>-179.730,77</t>
  </si>
  <si>
    <t>-66.612,06</t>
  </si>
  <si>
    <t>ICP-240041-99</t>
  </si>
  <si>
    <t>Mechanical Engineering Design Services</t>
  </si>
  <si>
    <t>AMR ACE Phase II - HWH Facil Mech Design</t>
  </si>
  <si>
    <t>Consultant Electrical Engineering</t>
  </si>
  <si>
    <t>Engineering Labor</t>
  </si>
  <si>
    <t>Engineering Expenses</t>
  </si>
  <si>
    <t>Aprovado em 21/03/24.  Algumas SCs criadas
Projetos: 
02 - MELHORIAS SALA DE TREINAMENTO
03 - RACKS BUFFER AREA
04 - CONTROLE DE ACESSO ALMOXARIFADOS
05 - PLACAR INFORMAÇOES ENTRADA FABRICA
06 - UP GRADE PLC RASPADEIRA AERO
Risco
07 - CONTROLE DE ACESSO FABRICA
Será mais que 100K. Com isso será criado uma carta suporte separada
08 - TROCA DE POLI NO BUFFER #1 E #2 ( TRILHO)
09 - UPGRADE DO SOFTWARE PRENSA 1 E 2
Finalizado
10 - TCU PORTATIES PARA EXTRUSORA (2)</t>
  </si>
  <si>
    <t>LCP-210196-08</t>
  </si>
  <si>
    <t>CAP - Safety adequac</t>
  </si>
  <si>
    <t>LCP-240140-14</t>
  </si>
  <si>
    <t>LCP-240140-18</t>
  </si>
  <si>
    <t>LCP-240140-28</t>
  </si>
  <si>
    <t>LCP-240140-31</t>
  </si>
  <si>
    <t>LCP-240140-32</t>
  </si>
  <si>
    <t>32 - GREEN TIRE SYST</t>
  </si>
  <si>
    <t>LCP-240140-33</t>
  </si>
  <si>
    <t>LCP-240140-34</t>
  </si>
  <si>
    <t>34 - MATERIAL HANDLI</t>
  </si>
  <si>
    <t>LCP-240140-40</t>
  </si>
  <si>
    <t>LCP-240140-83</t>
  </si>
  <si>
    <t>LCP-240140-85</t>
  </si>
  <si>
    <t>LCP-240140-94</t>
  </si>
  <si>
    <t>LCP-240140-97</t>
  </si>
  <si>
    <t>LCP-240140-99</t>
  </si>
  <si>
    <t>8241986125</t>
  </si>
  <si>
    <t>8241986603</t>
  </si>
  <si>
    <t>LOC-240001-00-33</t>
  </si>
  <si>
    <t>ALAN PEDROSO (AC76972)</t>
  </si>
  <si>
    <t>(2) CLIMATIZADOR ROTO 55 PORTATIL</t>
  </si>
  <si>
    <t>LCP-240140-EX-75</t>
  </si>
  <si>
    <t>AME - CONSUMER EXPANSION -NON-EO EXPENSE</t>
  </si>
  <si>
    <t>883557</t>
  </si>
  <si>
    <t>ICP-240041-93</t>
  </si>
  <si>
    <t>EEX-240006-00-10</t>
  </si>
  <si>
    <t>ESTUDO VALIDACAO DE MAQUINAS - NR12 (FASE 2)</t>
  </si>
  <si>
    <t>LOC-240001-00-34</t>
  </si>
  <si>
    <t>(13) MONITORES 23.8" U2424H DELL - TI</t>
  </si>
  <si>
    <t>LOC-240001-00-35</t>
  </si>
  <si>
    <t>(8) MONITORES 23.8" U2424H DELL - TI</t>
  </si>
  <si>
    <t>DOC APPROVAL NUMBER</t>
  </si>
  <si>
    <t>FOLDER ON THE NETWORK</t>
  </si>
  <si>
    <t>DOC 20 OR PSO OK?</t>
  </si>
  <si>
    <t>YEAR</t>
  </si>
  <si>
    <t>APPROVAL DATE
(GBS)</t>
  </si>
  <si>
    <t>CLOSING DATE
(CLOSE - SAP)</t>
  </si>
  <si>
    <t>SUMMARY MADE AND PRESENTED</t>
  </si>
  <si>
    <t>AOP
CURRENT YEAR</t>
  </si>
  <si>
    <t>TOTAL 2027</t>
  </si>
  <si>
    <t>Jan
GOAL</t>
  </si>
  <si>
    <t>Jan
FINANCE</t>
  </si>
  <si>
    <t>Mar
GOAL</t>
  </si>
  <si>
    <t>Mar
FINANCE</t>
  </si>
  <si>
    <t>Jun
GOAL</t>
  </si>
  <si>
    <t>Jun
FINANCE</t>
  </si>
  <si>
    <t>Jul
GOAL</t>
  </si>
  <si>
    <t>Jul
FINANCE</t>
  </si>
  <si>
    <t>Nov
GOAL</t>
  </si>
  <si>
    <t>Nov
FINANCE</t>
  </si>
  <si>
    <t>Feb
GOAL</t>
  </si>
  <si>
    <t>Feb
FINANCE</t>
  </si>
  <si>
    <t>Feb
REAL SAP</t>
  </si>
  <si>
    <t>Apr
GOAL</t>
  </si>
  <si>
    <t>Apr
FINANCE</t>
  </si>
  <si>
    <t>Apr
REAL SAP</t>
  </si>
  <si>
    <t>May
GOAL</t>
  </si>
  <si>
    <t>May
FINANCE</t>
  </si>
  <si>
    <t>May
REAL SAP</t>
  </si>
  <si>
    <t>Aug
GOAL</t>
  </si>
  <si>
    <t>Aug
FINANCE</t>
  </si>
  <si>
    <t>Aug
REAL SAP</t>
  </si>
  <si>
    <t>Sep
GOAL</t>
  </si>
  <si>
    <t>Sep
FINANCE</t>
  </si>
  <si>
    <t>Sep
REAL SAP</t>
  </si>
  <si>
    <t>Oct
GOAL</t>
  </si>
  <si>
    <t>Oct
FINANCE</t>
  </si>
  <si>
    <t>Oct
REAL SAP</t>
  </si>
  <si>
    <t>Dec
GOAL</t>
  </si>
  <si>
    <t>Dec
FINANCE</t>
  </si>
  <si>
    <t>Dec
REAL SAP</t>
  </si>
  <si>
    <t>May</t>
  </si>
  <si>
    <t>GOAL VS ESTIMATED</t>
  </si>
  <si>
    <t>January</t>
  </si>
  <si>
    <t>February</t>
  </si>
  <si>
    <t>March</t>
  </si>
  <si>
    <t>April</t>
  </si>
  <si>
    <t>June</t>
  </si>
  <si>
    <t>July</t>
  </si>
  <si>
    <t>August</t>
  </si>
  <si>
    <t>September</t>
  </si>
  <si>
    <t>October</t>
  </si>
  <si>
    <t>November</t>
  </si>
  <si>
    <t>December</t>
  </si>
  <si>
    <t>EXCEPTION SHEET</t>
  </si>
  <si>
    <t>8241807853</t>
  </si>
  <si>
    <t>TRANSFORMADOR 3KVA 480V X 120/240V 60HZ</t>
  </si>
  <si>
    <t>AM2404029</t>
  </si>
  <si>
    <t>TRANSFORMER 3KVA 480V X 120/240V 60HZ</t>
  </si>
  <si>
    <t>PM Bid package preparation/support</t>
  </si>
  <si>
    <t>8241998814</t>
  </si>
  <si>
    <t>Expense</t>
  </si>
  <si>
    <t>8241998819</t>
  </si>
  <si>
    <t>MicroPoise Service</t>
  </si>
  <si>
    <t>VDC Services and Coordination</t>
  </si>
  <si>
    <t>8241998852</t>
  </si>
  <si>
    <t>Revit Grid File Creation</t>
  </si>
  <si>
    <t>Misc. Modeling Services</t>
  </si>
  <si>
    <t>Design Phase Deliverables</t>
  </si>
  <si>
    <t>Execution Phase Deliverables</t>
  </si>
  <si>
    <t>Project Close Out</t>
  </si>
  <si>
    <t>Metal Detector</t>
  </si>
  <si>
    <t>8241904832</t>
  </si>
  <si>
    <t>22/0078</t>
  </si>
  <si>
    <t>(2) CONJUNTO DE ARMARIOS 16 PORTAS E 02 PÉS</t>
  </si>
  <si>
    <t>LOC-240001-00-36</t>
  </si>
  <si>
    <t>8241957007</t>
  </si>
  <si>
    <t>8241938637</t>
  </si>
  <si>
    <t>8241969988</t>
  </si>
  <si>
    <t>Em analise</t>
  </si>
  <si>
    <t>ICP-240041-85</t>
  </si>
  <si>
    <t>SYNCHRO CARCASS / SHAPING DRUM</t>
  </si>
  <si>
    <t>TELESCOPIC CENTER DECKS, CENTER DECK SUP</t>
  </si>
  <si>
    <t>16” synchro carcass drum</t>
  </si>
  <si>
    <t>17" center deck support</t>
  </si>
  <si>
    <t>17" center decks</t>
  </si>
  <si>
    <t>17" side rings</t>
  </si>
  <si>
    <t>MAGNETIC BEADSET TOOLING</t>
  </si>
  <si>
    <t>DRUM CARTS, BEAD CLAMP EXPANDER + EQ</t>
  </si>
  <si>
    <t>Bead Clamp Rings</t>
  </si>
  <si>
    <t>Maintenance drum stand</t>
  </si>
  <si>
    <t>ICP-240041-31</t>
  </si>
  <si>
    <t>STANDARD OPTIONS</t>
  </si>
  <si>
    <t>WILD WIRE DETECTION ON BREAKER 1 &amp; 2</t>
  </si>
  <si>
    <t>Radial Runout Sensor</t>
  </si>
  <si>
    <t>Additional HMI screens on let offs</t>
  </si>
  <si>
    <t>TV SCREEN FOR ALMOST EMPTY DETECTION</t>
  </si>
  <si>
    <t>TREAD BALLUF SENSOR</t>
  </si>
  <si>
    <t>HOISTING BELT (12"-20")</t>
  </si>
  <si>
    <t>PANEL AIR CONDITIONING UNITS</t>
  </si>
  <si>
    <t>HINGED STYLE SOL DOORS</t>
  </si>
  <si>
    <t>AME - NEW AIR COMPRESSOR - 100 PSI - CENTAC 19</t>
  </si>
  <si>
    <t>LOC-240001-00-37</t>
  </si>
  <si>
    <t>LOC-240001-00-38</t>
  </si>
  <si>
    <t>(2) SMART TV 43 SAMSUNG 43T5300A UN43T5300AGXZD</t>
  </si>
  <si>
    <t>BRUNA TSUBOUCHI (AC85257)</t>
  </si>
  <si>
    <t>(3) MESAS PARA 8 PESSOAS (24) GAVETEIROES E CADEIRAS</t>
  </si>
  <si>
    <t>LCP-240104-EX</t>
  </si>
  <si>
    <t>RET - SOURCE FLEXIBILITY - EXPORT A</t>
  </si>
  <si>
    <t>ANGELO MARCONDES</t>
  </si>
  <si>
    <t>LCP-240104-EX-01</t>
  </si>
  <si>
    <t>8241916435</t>
  </si>
  <si>
    <t>18/0088</t>
  </si>
  <si>
    <t xml:space="preserve">54.817,15	</t>
  </si>
  <si>
    <t>LOC-240001-00-39</t>
  </si>
  <si>
    <t>(2) APC SMART-UPS ON-LINE SRT 6000VA/6000W</t>
  </si>
  <si>
    <t>LOC-240001-00-40</t>
  </si>
  <si>
    <t>LOC-240001-00-41</t>
  </si>
  <si>
    <t>(1) SMART TV 75" CRYSTAL UHD 4K 75BU8000</t>
  </si>
  <si>
    <t>(2) PRECISIONS 15 3591 + DOCKSTATIONS DELL - TI</t>
  </si>
  <si>
    <t>COMENTÁRIOS</t>
  </si>
  <si>
    <t>Alterado o valor (impostos) e informado os aprovadores</t>
  </si>
  <si>
    <t xml:space="preserve">24/0047 </t>
  </si>
  <si>
    <t>LOC-240001-00-42</t>
  </si>
  <si>
    <t>LOC-240001-00-43</t>
  </si>
  <si>
    <t>LOC-240001-00-44</t>
  </si>
  <si>
    <t>(12) IPHONES MODELO 13 E ADAPTADORES IT</t>
  </si>
  <si>
    <t>(25) IPHONES MODELO 13 E ADAPTADORES IT</t>
  </si>
  <si>
    <t>(75) IPHONES MODELO 13 E ADAPTADORES IT</t>
  </si>
  <si>
    <t>8241980254</t>
  </si>
  <si>
    <t>CABOS ETHERNET 1585 CAT5E, 100BASE-TX</t>
  </si>
  <si>
    <t>AM2408240</t>
  </si>
  <si>
    <t>1585 CAT5E, 100BASE-TX ETHERNET CABLES</t>
  </si>
  <si>
    <t>8242019240</t>
  </si>
  <si>
    <t>8242020884</t>
  </si>
  <si>
    <t>8242025906</t>
  </si>
  <si>
    <t>3DM DEVICES INC</t>
  </si>
  <si>
    <t>8242026034</t>
  </si>
  <si>
    <t>Consultant Engineering (AMHL)</t>
  </si>
  <si>
    <t>ACE II GT Conveyors Elec DWGs</t>
  </si>
  <si>
    <t>8241928291</t>
  </si>
  <si>
    <t>8242029311</t>
  </si>
  <si>
    <t>8241910421</t>
  </si>
  <si>
    <t>ACOPLAMENTO DE FIXAÇÃO</t>
  </si>
  <si>
    <t>AM2407165</t>
  </si>
  <si>
    <t>FASTENING COUPLING</t>
  </si>
  <si>
    <t>BOMBA DE ELEVAÇÃO DE 8.16LPM</t>
  </si>
  <si>
    <t>AM2407167</t>
  </si>
  <si>
    <t>8.16LPM LIFT PUMP</t>
  </si>
  <si>
    <t>8241056507</t>
  </si>
  <si>
    <t>PAINEL ELÉTRICO DE FORÇA/COMANDO FVM</t>
  </si>
  <si>
    <t>AM2406142</t>
  </si>
  <si>
    <t>FVM POWER/CONTROL ELECTRICAL PANEL</t>
  </si>
  <si>
    <t>8241948774</t>
  </si>
  <si>
    <t>Fodboss Ultimate Duplex Package</t>
  </si>
  <si>
    <t>AM1901556</t>
  </si>
  <si>
    <t>FOD*BOSS CARRY STORAGE ROLLER BAG GSA</t>
  </si>
  <si>
    <t>AM1902916</t>
  </si>
  <si>
    <t>8242032366</t>
  </si>
  <si>
    <t>TECO BUDG AVAC  //  BREL WPLI</t>
  </si>
  <si>
    <t>4500465774</t>
  </si>
  <si>
    <t>PROJETO-BR01614I24</t>
  </si>
  <si>
    <t>AM2203107</t>
  </si>
  <si>
    <t>2 Maquina ja no Brasil (porto)
1 maquina para outubro e 1 para dezembro
30/12 Saldo em USD1,7MM</t>
  </si>
  <si>
    <t>EEX-240006-00-11</t>
  </si>
  <si>
    <t>ESTUDO SEGURANCA CONTRA INCENDIO</t>
  </si>
  <si>
    <t>Dez 28/12</t>
  </si>
  <si>
    <t>IX 029814</t>
  </si>
  <si>
    <t>IX 029862</t>
  </si>
  <si>
    <t>IX 029806</t>
  </si>
  <si>
    <t>65566</t>
  </si>
  <si>
    <t>Civil Engineering Design Services</t>
  </si>
  <si>
    <t>8241955358</t>
  </si>
  <si>
    <t>Phase 2 Expansion - Labor</t>
  </si>
  <si>
    <t>Phase 2 Expansion - Expenses</t>
  </si>
  <si>
    <t>8242041555</t>
  </si>
  <si>
    <t>HWH Support Q7 - Labor</t>
  </si>
  <si>
    <t>HWH Support Q7 - Expenses</t>
  </si>
  <si>
    <t>ICP-240041-28</t>
  </si>
  <si>
    <t>VMI Bead Apexing Equipment - Automatic</t>
  </si>
  <si>
    <t>PReq</t>
  </si>
  <si>
    <t>Air Conditioning Upgrades</t>
  </si>
  <si>
    <t>Packing and boxing Based on Sea Freight</t>
  </si>
  <si>
    <t>REL  BUDG AUC  AVAC  //  BREL</t>
  </si>
  <si>
    <t>CAPEX PROJECT MANAGEMENT 2025 ($000)</t>
  </si>
  <si>
    <t>LOC-250001-00-01</t>
  </si>
  <si>
    <t>LOC-250001-00-02</t>
  </si>
  <si>
    <t>(4) MESA PARA ESCRITORIO</t>
  </si>
  <si>
    <t>CARLOS DE SANTANA (AA04013)</t>
  </si>
  <si>
    <t>(4) CADEIRA PARA ESCRITORIO</t>
  </si>
  <si>
    <t>2025</t>
  </si>
  <si>
    <t>1502002409</t>
  </si>
  <si>
    <t>1502387898</t>
  </si>
  <si>
    <t>4500471754</t>
  </si>
  <si>
    <t>1501949964</t>
  </si>
  <si>
    <t>PROJETO-BR02140I24</t>
  </si>
  <si>
    <t>Capstrip hinging doors</t>
  </si>
  <si>
    <t>AM2406169</t>
  </si>
  <si>
    <t>1502075048</t>
  </si>
  <si>
    <t>Ref. 165791-1 Recebimento Fatura Transferencia de</t>
  </si>
  <si>
    <t>1502075050</t>
  </si>
  <si>
    <t>Ref. 165791-1 Fatura Fornecedor Transferencia de c</t>
  </si>
  <si>
    <t>1502402962</t>
  </si>
  <si>
    <t>Ref. 00309716-2 Invoice - Gross Trf to Asset Acct</t>
  </si>
  <si>
    <t>8241890198</t>
  </si>
  <si>
    <t>1502075004</t>
  </si>
  <si>
    <t>Ref. 165792-1 Recebimento Fatura Transferencia de</t>
  </si>
  <si>
    <t>REATOR DE LINHA 1321-3RA55-C</t>
  </si>
  <si>
    <t>AM2405201</t>
  </si>
  <si>
    <t>LINE REACTOR 1321-3RA55-C</t>
  </si>
  <si>
    <t>1502075006</t>
  </si>
  <si>
    <t>Ref. 165792-1 Fatura Fornecedor Transferencia de c</t>
  </si>
  <si>
    <t>8242039078</t>
  </si>
  <si>
    <t>1502193891</t>
  </si>
  <si>
    <t>Ref. 86963-1 Recebimento Fatura Transferencia de c</t>
  </si>
  <si>
    <t>JUNTA PARA FLANGE DE 1"</t>
  </si>
  <si>
    <t>CC1373068</t>
  </si>
  <si>
    <t>1 "FLANGE JOINT</t>
  </si>
  <si>
    <t>JUNTA PARA FLANGE DE 3/4"</t>
  </si>
  <si>
    <t>CC1373069</t>
  </si>
  <si>
    <t>3/4 "FLANGE JOINT</t>
  </si>
  <si>
    <t>JUNTA PARA FLANGE DE 1/2"</t>
  </si>
  <si>
    <t>CC1373070</t>
  </si>
  <si>
    <t>1/2 "FLANGE JOINT</t>
  </si>
  <si>
    <t>1502193894</t>
  </si>
  <si>
    <t>Ref. 86963-1 Fatura Fornecedor Transferencia de co</t>
  </si>
  <si>
    <t>8242046664</t>
  </si>
  <si>
    <t>1502702618</t>
  </si>
  <si>
    <t>Ref. 137826-1 Recebimento Fatura Transferencia de</t>
  </si>
  <si>
    <t>TINTA AMARELA DEMARCAÇÃO SOLO SUMACRIL</t>
  </si>
  <si>
    <t>CC2521015</t>
  </si>
  <si>
    <t>DEMARCATION YELLOW INK SOLO SUMACRIL</t>
  </si>
  <si>
    <t>1502420631</t>
  </si>
  <si>
    <t>1502165937</t>
  </si>
  <si>
    <t>1502165951</t>
  </si>
  <si>
    <t>1502165957</t>
  </si>
  <si>
    <t>1502394263</t>
  </si>
  <si>
    <t>Ref. 3622-0 Fatura Fornecedor Transferencia de con</t>
  </si>
  <si>
    <t>1502419631</t>
  </si>
  <si>
    <t>Ref. 3536-0 Fatura Fornecedor Transferencia de con</t>
  </si>
  <si>
    <t>1502419692</t>
  </si>
  <si>
    <t>Ref. 3572-0 Fatura Fornecedor Transferencia de con</t>
  </si>
  <si>
    <t>8240822241</t>
  </si>
  <si>
    <t>1502160753</t>
  </si>
  <si>
    <t>1502675926</t>
  </si>
  <si>
    <t>Ref. 00309568-2 Invoice - Gross Trf to Asset Acct</t>
  </si>
  <si>
    <t>1502078898</t>
  </si>
  <si>
    <t>Ref. 4281-0 Fatura Fornecedor Transferencia de con</t>
  </si>
  <si>
    <t>1501999284</t>
  </si>
  <si>
    <t>1502003592</t>
  </si>
  <si>
    <t>Ref. 00284586-60 Invoice - Gross Trf to Asset Acct</t>
  </si>
  <si>
    <t>1502004904</t>
  </si>
  <si>
    <t>Ref. 00284473-60 Invoice - Gross Trf to Asset Acct</t>
  </si>
  <si>
    <t>1502004908</t>
  </si>
  <si>
    <t>Ref. 00284548-60 Invoice - Gross Trf to Asset Acct</t>
  </si>
  <si>
    <t>1502004911</t>
  </si>
  <si>
    <t>Ref. 00284546-60 Invoice - Gross Trf to Asset Acct</t>
  </si>
  <si>
    <t>1502004915</t>
  </si>
  <si>
    <t>Ref. 00284472-60 Invoice - Gross Trf to Asset Acct</t>
  </si>
  <si>
    <t>1502004919</t>
  </si>
  <si>
    <t>Ref. 00284671-60 Invoice - Gross Trf to Asset Acct</t>
  </si>
  <si>
    <t>1502004922</t>
  </si>
  <si>
    <t>Ref. 00284672-60 Invoice - Gross Trf to Asset Acct</t>
  </si>
  <si>
    <t>1502004926</t>
  </si>
  <si>
    <t>Ref. 00284545-60 Invoice - Gross Trf to Asset Acct</t>
  </si>
  <si>
    <t>1502676086</t>
  </si>
  <si>
    <t>Ref. 00284550-60 Invoice - Gross Trf to Asset Acct</t>
  </si>
  <si>
    <t>1502601607</t>
  </si>
  <si>
    <t>Ref. 3276-0 Fatura Fornecedor Transferencia de con</t>
  </si>
  <si>
    <t>1502074612</t>
  </si>
  <si>
    <t>Ref. 165793-1 Recebimento Fatura Transferencia de</t>
  </si>
  <si>
    <t>ENCODERS DE SEGURANÇA CIP 843ES</t>
  </si>
  <si>
    <t>AM2408242</t>
  </si>
  <si>
    <t>CIP 843ES SAFETY ENCODERS</t>
  </si>
  <si>
    <t>PVC CABLE, YELLOW, BRAIDED SHIELD</t>
  </si>
  <si>
    <t>AM2408241</t>
  </si>
  <si>
    <t>1502074614</t>
  </si>
  <si>
    <t>Ref. 165793-1 Fatura Fornecedor Transferencia de c</t>
  </si>
  <si>
    <t>8241858139</t>
  </si>
  <si>
    <t>1502436327</t>
  </si>
  <si>
    <t>8242035858</t>
  </si>
  <si>
    <t>1502239943</t>
  </si>
  <si>
    <t>Ref. 166093-1 Recebimento Fatura Transferencia de</t>
  </si>
  <si>
    <t>CABO DE DESCONEXAO REF. 889DF4AC30</t>
  </si>
  <si>
    <t>CC7804955</t>
  </si>
  <si>
    <t>CABLE CONNECTOR</t>
  </si>
  <si>
    <t>1502239944</t>
  </si>
  <si>
    <t>Ref. 166093-1 Fatura Fornecedor Transferencia de c</t>
  </si>
  <si>
    <t>8241858164</t>
  </si>
  <si>
    <t>1502436343</t>
  </si>
  <si>
    <t>8241855900</t>
  </si>
  <si>
    <t>1502436361</t>
  </si>
  <si>
    <t>1502239940</t>
  </si>
  <si>
    <t>Ref. 4736-1 Recebimento Fatura Transferencia de co</t>
  </si>
  <si>
    <t>1502239941</t>
  </si>
  <si>
    <t>Ref. 4736-1 Fatura Fornecedor Transferencia de con</t>
  </si>
  <si>
    <t>1502003572</t>
  </si>
  <si>
    <t>Ref. 00275793-2 Invoice - Gross Trf to Asset Acct</t>
  </si>
  <si>
    <t>602006574</t>
  </si>
  <si>
    <t>ESSEMAGA TRANSPORTES</t>
  </si>
  <si>
    <t>1502032046</t>
  </si>
  <si>
    <t>Ref. 00276283-2 Invoice - Gross Trf to Asset Acct</t>
  </si>
  <si>
    <t>8241951267</t>
  </si>
  <si>
    <t>1502603893</t>
  </si>
  <si>
    <t>1502194255</t>
  </si>
  <si>
    <t>8241931651</t>
  </si>
  <si>
    <t>1502162232</t>
  </si>
  <si>
    <t>MRO-BR01941I24</t>
  </si>
  <si>
    <t>TC120 Water Temperature Control Unit</t>
  </si>
  <si>
    <t>AM2014173</t>
  </si>
  <si>
    <t>8241894404</t>
  </si>
  <si>
    <t>1502697635</t>
  </si>
  <si>
    <t>MRO-BR02565I24</t>
  </si>
  <si>
    <t>ELEVADOR CONJUNTOS MONTADOS GR80WS</t>
  </si>
  <si>
    <t>AM1902871</t>
  </si>
  <si>
    <t>WHEEL LIFT GR80WS</t>
  </si>
  <si>
    <t>1502675930</t>
  </si>
  <si>
    <t>Ref. 00309570-2 Invoice - Gross Trf to Asset Acct</t>
  </si>
  <si>
    <t>400196718</t>
  </si>
  <si>
    <t>601669369</t>
  </si>
  <si>
    <t>IX29862/8241971384</t>
  </si>
  <si>
    <t>601364633</t>
  </si>
  <si>
    <t>601376923</t>
  </si>
  <si>
    <t>601376925</t>
  </si>
  <si>
    <t>601376926</t>
  </si>
  <si>
    <t>601378047</t>
  </si>
  <si>
    <t>601378058</t>
  </si>
  <si>
    <t>601441070</t>
  </si>
  <si>
    <t>601455733</t>
  </si>
  <si>
    <t>601457195</t>
  </si>
  <si>
    <t>601479870</t>
  </si>
  <si>
    <t>601511782</t>
  </si>
  <si>
    <t>601515061</t>
  </si>
  <si>
    <t>601515678</t>
  </si>
  <si>
    <t>601528217</t>
  </si>
  <si>
    <t>601545781</t>
  </si>
  <si>
    <t>601551388</t>
  </si>
  <si>
    <t>8241944515</t>
  </si>
  <si>
    <t>601551583</t>
  </si>
  <si>
    <t>Wyko Transfer O-Ring for NGTTS TBM</t>
  </si>
  <si>
    <t>142213</t>
  </si>
  <si>
    <t>WYKO INC OF TENNESSEE</t>
  </si>
  <si>
    <t>601626878</t>
  </si>
  <si>
    <t>601638046</t>
  </si>
  <si>
    <t>601638051</t>
  </si>
  <si>
    <t>601378489</t>
  </si>
  <si>
    <t>601405214</t>
  </si>
  <si>
    <t>8242053064</t>
  </si>
  <si>
    <t>8242053399</t>
  </si>
  <si>
    <t>Relocate PCR X-Ray - Service</t>
  </si>
  <si>
    <t>COMET TECHNOLOGIES USA INC</t>
  </si>
  <si>
    <t>Relocate PCR X-Ray - Expenses</t>
  </si>
  <si>
    <t>Relocate PCR X-Ray - Support</t>
  </si>
  <si>
    <t>601669371</t>
  </si>
  <si>
    <t>AME - REPLACEMENT OF BOTTOM COOLING TANK D#4 - PHASE 2</t>
  </si>
  <si>
    <t>AME - UPGRADE OF THE BELT STEEL SYSTEM GUN CALENDER - CAL4R1</t>
  </si>
  <si>
    <t>AME - NEW CREEL TO REPLACE CREEL TRANSFERED FROM GADSDEN</t>
  </si>
  <si>
    <t>LAPG - SAFER BARRIER</t>
  </si>
  <si>
    <t>MC - 2025 MISCELLANEOUS ANNUAL BUDGET</t>
  </si>
  <si>
    <t>AER - BARCODE TRACEABILITY PROJECT + RTS UPGRADE</t>
  </si>
  <si>
    <t>LCP-240194</t>
  </si>
  <si>
    <t>LCP-240200</t>
  </si>
  <si>
    <t>MC - NEW AIR COMPRESSOR - EPIACABA</t>
  </si>
  <si>
    <t>MC – PROTECTIVE FENCE – WHEEL RACKS AREA</t>
  </si>
  <si>
    <t>LCP-240191</t>
  </si>
  <si>
    <t>FSB - UPGRADE AERO RETREAD SHEAROGRAPHY</t>
  </si>
  <si>
    <t>FSB - 2025 MISCELLANEOUS ANNUAL BUDGET</t>
  </si>
  <si>
    <t>RET - LIGHTING SYSTEM ADEQUATION</t>
  </si>
  <si>
    <t xml:space="preserve"> RET - UPGRADE DUST COLLECTOR BUFFER </t>
  </si>
  <si>
    <t>RET  - ADJUSTMENT TO TARGET</t>
  </si>
  <si>
    <t>AME - 2025 MISCELLANEOUS ANNUAL BUDGET</t>
  </si>
  <si>
    <t>LCP-250006</t>
  </si>
  <si>
    <t>AME - MIXER#5 BODY REPLACEMENT</t>
  </si>
  <si>
    <t>Zerado valor do AOP</t>
  </si>
  <si>
    <t>x4</t>
  </si>
  <si>
    <t>ESTIMATED CAPITALIZATION DATE</t>
  </si>
  <si>
    <t>REASON FOR POSTPONATION</t>
  </si>
  <si>
    <t>LOC-250001-00-03</t>
  </si>
  <si>
    <t>(2) MICROONDAS E (1) GELADEIRA</t>
  </si>
  <si>
    <t>CLOSE DATE (policy 42 months ~ 1277 days)</t>
  </si>
  <si>
    <t>LCP-250014</t>
  </si>
  <si>
    <t>FSB - RACKS PHASE 1</t>
  </si>
  <si>
    <t>CRTD  //  SUBM BNRL EXPL</t>
  </si>
  <si>
    <t>MC - NEW AIR COMPRESSOR – EPIACABA</t>
  </si>
  <si>
    <t>CRTD  //  INIT BNRL EXPL</t>
  </si>
  <si>
    <t>AME - UPG BELT STEEL SYSTEM GUN CALENDER</t>
  </si>
  <si>
    <t>CRTD SETC  //  BNRL</t>
  </si>
  <si>
    <t>EX - UPG BELT STEEL SYSTEM GUN CALENDER</t>
  </si>
  <si>
    <t>AME - REPLACEMENT COOLING TANK D#4 - P2</t>
  </si>
  <si>
    <t>AME - REPLACEMENT COOLING TANK D#4 - EX</t>
  </si>
  <si>
    <t>AME - MISCELLANEOUS ANNUAL BUDGET 2025</t>
  </si>
  <si>
    <t>LCP-250008</t>
  </si>
  <si>
    <t>REL  BUDG AUC  AVAC  //  APPR BNRL INPL</t>
  </si>
  <si>
    <t>LCP-250008-EX</t>
  </si>
  <si>
    <t>EXPENSES -AME - MIXER#5 BODY REPLACEMENT</t>
  </si>
  <si>
    <t>EEX-250002-00-02</t>
  </si>
  <si>
    <t>IVAN LEAL</t>
  </si>
  <si>
    <t>ESTUDO ESTEIRA CAIXA DE SABAO MIXER 5</t>
  </si>
  <si>
    <t>(6) CADEIRAS PARA AREA DE FITINHA</t>
  </si>
  <si>
    <t>Leandro Carvalho (NSAF518)</t>
  </si>
  <si>
    <t>LOC-250001-00-04</t>
  </si>
  <si>
    <t>1503082105</t>
  </si>
  <si>
    <t>1503067680</t>
  </si>
  <si>
    <t>DP IMP Janeiro/25</t>
  </si>
  <si>
    <t>1503077294</t>
  </si>
  <si>
    <t>1503077554</t>
  </si>
  <si>
    <t>1502744155</t>
  </si>
  <si>
    <t>DP IMP Dezembro/24</t>
  </si>
  <si>
    <t>1502886408</t>
  </si>
  <si>
    <t>Reverso VP Pedagio IMP - 01/2025</t>
  </si>
  <si>
    <t>4830000001</t>
  </si>
  <si>
    <t>Outbound Trans Repla</t>
  </si>
  <si>
    <t>1502984041</t>
  </si>
  <si>
    <t>1502986352</t>
  </si>
  <si>
    <t>AJUSTE ENCERRAMENTO 01.25</t>
  </si>
  <si>
    <t>1503024461</t>
  </si>
  <si>
    <t>AJ Encerramento 01.25</t>
  </si>
  <si>
    <t>8900070000</t>
  </si>
  <si>
    <t>FCE-MonthEndRev(nonD</t>
  </si>
  <si>
    <t>1503082106</t>
  </si>
  <si>
    <t>8241980230</t>
  </si>
  <si>
    <t>1502786885</t>
  </si>
  <si>
    <t>1502900102</t>
  </si>
  <si>
    <t>PROCESSO DE EMBARQUE:PROJETO-BR02140I24</t>
  </si>
  <si>
    <t>1502987089</t>
  </si>
  <si>
    <t>1502987096</t>
  </si>
  <si>
    <t>1503023508</t>
  </si>
  <si>
    <t>Diferencial de aliquota de ATIVO 01-2025</t>
  </si>
  <si>
    <t>1503024490</t>
  </si>
  <si>
    <t>1503082107</t>
  </si>
  <si>
    <t>1503082108</t>
  </si>
  <si>
    <t>8241872410</t>
  </si>
  <si>
    <t>1502793387</t>
  </si>
  <si>
    <t>8242032401</t>
  </si>
  <si>
    <t>1502877764</t>
  </si>
  <si>
    <t>1502895301</t>
  </si>
  <si>
    <t>Ref. 25530-0 Fatura Fornecedor Transferencia de co</t>
  </si>
  <si>
    <t>1502928395</t>
  </si>
  <si>
    <t>Ref. 4542-0 Fatura Fornecedor Transferencia de con</t>
  </si>
  <si>
    <t>1503082109</t>
  </si>
  <si>
    <t>1503082110</t>
  </si>
  <si>
    <t>1502753520</t>
  </si>
  <si>
    <t>1502792045</t>
  </si>
  <si>
    <t>8241836661</t>
  </si>
  <si>
    <t>1502797356</t>
  </si>
  <si>
    <t>1502977497</t>
  </si>
  <si>
    <t>Ref. 3315-0 Fatura Fornecedor Transferencia de con</t>
  </si>
  <si>
    <t>1502994013</t>
  </si>
  <si>
    <t>Ref. 25532-0 Fatura Fornecedor Transferencia de co</t>
  </si>
  <si>
    <t>1503082111</t>
  </si>
  <si>
    <t>1503082112</t>
  </si>
  <si>
    <t>1502786360</t>
  </si>
  <si>
    <t>1502880878</t>
  </si>
  <si>
    <t>Ref. 3980-0 Fatura Fornecedor Transferencia de con</t>
  </si>
  <si>
    <t>1503019751</t>
  </si>
  <si>
    <t>AJUSTE CREDITO ATIVO PLANILHA PRODUTIVIDADE 12_202</t>
  </si>
  <si>
    <t>1503022328</t>
  </si>
  <si>
    <t>1503082113</t>
  </si>
  <si>
    <t>1503082114</t>
  </si>
  <si>
    <t>1502745219</t>
  </si>
  <si>
    <t>1502977915</t>
  </si>
  <si>
    <t>Ref. 3312-0 Fatura Fornecedor Transferencia de con</t>
  </si>
  <si>
    <t>1503082117</t>
  </si>
  <si>
    <t>1503082119</t>
  </si>
  <si>
    <t>8241987955</t>
  </si>
  <si>
    <t>1502786795</t>
  </si>
  <si>
    <t>Ref. 166556-1 Recebimento Fatura Transferencia de</t>
  </si>
  <si>
    <t>Cortina de luz</t>
  </si>
  <si>
    <t>AM2308126</t>
  </si>
  <si>
    <t>light curtain</t>
  </si>
  <si>
    <t>1502786796</t>
  </si>
  <si>
    <t>Ref. 166556-1 Fatura Fornecedor Transferencia de c</t>
  </si>
  <si>
    <t>1503082120</t>
  </si>
  <si>
    <t>1502899991</t>
  </si>
  <si>
    <t>PROCESSO DE EMBARQUE:MRO-BR01758I24</t>
  </si>
  <si>
    <t>1502988260</t>
  </si>
  <si>
    <t>Ajuste Encerramento 01.25</t>
  </si>
  <si>
    <t>1160002000</t>
  </si>
  <si>
    <t>RM InTrnit-3rd Party</t>
  </si>
  <si>
    <t>8241910905</t>
  </si>
  <si>
    <t>1503022508</t>
  </si>
  <si>
    <t>Ref. 3964227-1 Recebimento Fatura Transferencia de</t>
  </si>
  <si>
    <t>ÓELO LUBRAX TURBINA EP 32</t>
  </si>
  <si>
    <t>AM1809125</t>
  </si>
  <si>
    <t>LUBRAX OIL FOR TURBINE EP 32</t>
  </si>
  <si>
    <t>1503022509</t>
  </si>
  <si>
    <t>Ref. 3964227-1 Fatura Fornecedor Transferencia de</t>
  </si>
  <si>
    <t>1503024466</t>
  </si>
  <si>
    <t>8900000000</t>
  </si>
  <si>
    <t>FC Trnl Gain/Loss</t>
  </si>
  <si>
    <t>1503082121</t>
  </si>
  <si>
    <t>1503082122</t>
  </si>
  <si>
    <t>1502712333</t>
  </si>
  <si>
    <t>1502712356</t>
  </si>
  <si>
    <t>1503082124</t>
  </si>
  <si>
    <t>1503082125</t>
  </si>
  <si>
    <t>1503082126</t>
  </si>
  <si>
    <t>8241904106</t>
  </si>
  <si>
    <t>1502735290</t>
  </si>
  <si>
    <t>1502735293</t>
  </si>
  <si>
    <t>1502950757</t>
  </si>
  <si>
    <t>Ref. 602-0 Invoice - Gross Trf to Asset Acct</t>
  </si>
  <si>
    <t>1502987391</t>
  </si>
  <si>
    <t>Ref. 602-0 Fatura Fornecedor Transferencia de con</t>
  </si>
  <si>
    <t>1502994077</t>
  </si>
  <si>
    <t>Ref. 603-0 Fatura Fornecedor Transferencia de con</t>
  </si>
  <si>
    <t>1503082127</t>
  </si>
  <si>
    <t>8241922086</t>
  </si>
  <si>
    <t>1502712233</t>
  </si>
  <si>
    <t>1502878028</t>
  </si>
  <si>
    <t>Ref. 50-0 Fatura Fornecedor Transferencia de con</t>
  </si>
  <si>
    <t>1502898203</t>
  </si>
  <si>
    <t>PROCESSO DE EMBARQUE:PROJETO-BR01609I24</t>
  </si>
  <si>
    <t>1503042101</t>
  </si>
  <si>
    <t>AJ PIS Demonstrativo - Importação</t>
  </si>
  <si>
    <t>1301302490</t>
  </si>
  <si>
    <t>PIS on Purchase Retd</t>
  </si>
  <si>
    <t>1503042106</t>
  </si>
  <si>
    <t>AJ COFINS Demonstrativo - Importação</t>
  </si>
  <si>
    <t>1503082128</t>
  </si>
  <si>
    <t>1503082129</t>
  </si>
  <si>
    <t>8241528712</t>
  </si>
  <si>
    <t>1502789782</t>
  </si>
  <si>
    <t>1502789796</t>
  </si>
  <si>
    <t>1502876903</t>
  </si>
  <si>
    <t>1502876919</t>
  </si>
  <si>
    <t>1502876932</t>
  </si>
  <si>
    <t>1502876938</t>
  </si>
  <si>
    <t>8241955401</t>
  </si>
  <si>
    <t>1502888671</t>
  </si>
  <si>
    <t>1502890305</t>
  </si>
  <si>
    <t>1502890742</t>
  </si>
  <si>
    <t>1502890787</t>
  </si>
  <si>
    <t>1502890790</t>
  </si>
  <si>
    <t>1502891118</t>
  </si>
  <si>
    <t>1502891183</t>
  </si>
  <si>
    <t>1502891197</t>
  </si>
  <si>
    <t>1502893784</t>
  </si>
  <si>
    <t>1502893795</t>
  </si>
  <si>
    <t>1502894008</t>
  </si>
  <si>
    <t>1502903259</t>
  </si>
  <si>
    <t>1502904923</t>
  </si>
  <si>
    <t>1502936001</t>
  </si>
  <si>
    <t>Ref. 56-0 Fatura Fornecedor Transferencia de con</t>
  </si>
  <si>
    <t>1502936331</t>
  </si>
  <si>
    <t>Ref. 1261-0 Fatura Fornecedor Transferencia de con</t>
  </si>
  <si>
    <t>1502936355</t>
  </si>
  <si>
    <t>Ref. 1260-0 Fatura Fornecedor Transferencia de con</t>
  </si>
  <si>
    <t>1502936359</t>
  </si>
  <si>
    <t>1502936362</t>
  </si>
  <si>
    <t>1502940245</t>
  </si>
  <si>
    <t>Ref. 58-0 Fatura Fornecedor Transferencia de con</t>
  </si>
  <si>
    <t>1502940255</t>
  </si>
  <si>
    <t>Ref. 59-0 Fatura Fornecedor Transferencia de con</t>
  </si>
  <si>
    <t>1502940260</t>
  </si>
  <si>
    <t>Ref. 54-0 Fatura Fornecedor Transferencia de con</t>
  </si>
  <si>
    <t>1502940273</t>
  </si>
  <si>
    <t>Ref. 53-0 Fatura Fornecedor Transferencia de con</t>
  </si>
  <si>
    <t>1502940287</t>
  </si>
  <si>
    <t>Ref. 51-0 Fatura Fornecedor Transferencia de con</t>
  </si>
  <si>
    <t>1502940715</t>
  </si>
  <si>
    <t>Ref. 57-0 Fatura Fornecedor Transferencia de con</t>
  </si>
  <si>
    <t>1502941449</t>
  </si>
  <si>
    <t>Ref. 1259-0 Fatura Fornecedor Transferencia de con</t>
  </si>
  <si>
    <t>1502943007</t>
  </si>
  <si>
    <t>Ref. 1258-0 Fatura Fornecedor Transferencia de con</t>
  </si>
  <si>
    <t>1502943350</t>
  </si>
  <si>
    <t>Ref. 1257-0 Fatura Fornecedor Transferencia de con</t>
  </si>
  <si>
    <t>1502944472</t>
  </si>
  <si>
    <t>Ref. 3317-0 Fatura Fornecedor Transferencia de con</t>
  </si>
  <si>
    <t>1502947192</t>
  </si>
  <si>
    <t>Ref. 3316-0 Invoice - Gross Trf to Asset Acct</t>
  </si>
  <si>
    <t>1502977487</t>
  </si>
  <si>
    <t>Ref. 3319-0 Fatura Fornecedor Transferencia de con</t>
  </si>
  <si>
    <t>1502977493</t>
  </si>
  <si>
    <t>Ref. 3318-0 Fatura Fornecedor Transferencia de con</t>
  </si>
  <si>
    <t>1502994800</t>
  </si>
  <si>
    <t>Ref. 55-0 Fatura Fornecedor Transferencia de con</t>
  </si>
  <si>
    <t>1503082130</t>
  </si>
  <si>
    <t>1503082131</t>
  </si>
  <si>
    <t>1503082132</t>
  </si>
  <si>
    <t>8241894843</t>
  </si>
  <si>
    <t>1502741206</t>
  </si>
  <si>
    <t>1502878250</t>
  </si>
  <si>
    <t>CHG-MERIDI-4503182 - 1/25</t>
  </si>
  <si>
    <t>5704600000</t>
  </si>
  <si>
    <t>R&amp;L-Computer Equip</t>
  </si>
  <si>
    <t>8241610492</t>
  </si>
  <si>
    <t>1502888643</t>
  </si>
  <si>
    <t>1502950162</t>
  </si>
  <si>
    <t>Ref. 2009-0 Invoice - Gross Trf to Asset Acct</t>
  </si>
  <si>
    <t>1503082133</t>
  </si>
  <si>
    <t>1503082134</t>
  </si>
  <si>
    <t>1503082135</t>
  </si>
  <si>
    <t>1502777827</t>
  </si>
  <si>
    <t>1502778739</t>
  </si>
  <si>
    <t>1502895629</t>
  </si>
  <si>
    <t>Ref. 25518-0 Fatura Fornecedor Transferencia de co</t>
  </si>
  <si>
    <t>1502980378</t>
  </si>
  <si>
    <t>Ref. 25516-0 Fatura Fornecedor Transferencia de co</t>
  </si>
  <si>
    <t>1503082136</t>
  </si>
  <si>
    <t>8241919114</t>
  </si>
  <si>
    <t>1502931512</t>
  </si>
  <si>
    <t>Ref. 11260-2 Recebimento Fatura Transferencia de c</t>
  </si>
  <si>
    <t>PRU RU1000VD-RAG-2P-HD-F-2G-HD-2P-4F-SAG</t>
  </si>
  <si>
    <t>AM2407141</t>
  </si>
  <si>
    <t>PREFILTRO MEGApleat 24-24-2 148-802-863</t>
  </si>
  <si>
    <t>AM2407147</t>
  </si>
  <si>
    <t>PREFILTER MEGApleat 24-24-2 148-802-863</t>
  </si>
  <si>
    <t>FILTRO DE FASE GASOSA SAAF HD Carb MA</t>
  </si>
  <si>
    <t>AM2407146</t>
  </si>
  <si>
    <t>Gas-phase filteR SAAF HD Carb MA</t>
  </si>
  <si>
    <t>Medidor Magnahelic</t>
  </si>
  <si>
    <t>AM2407145</t>
  </si>
  <si>
    <t>Magnahelic Gauge</t>
  </si>
  <si>
    <t>FILTRO SAAF HD Oxidante (3024130-012-AS)</t>
  </si>
  <si>
    <t>AM2407144</t>
  </si>
  <si>
    <t>FILTER SAAF HD Oxidant (3024130-012-AS)</t>
  </si>
  <si>
    <t>AM2407143</t>
  </si>
  <si>
    <t>FILTRO FINAL Varicel 2+ HC SH3102041-908</t>
  </si>
  <si>
    <t>AM2407142</t>
  </si>
  <si>
    <t>FINAL FILTER Varicel 2+HC SH 3102041-908</t>
  </si>
  <si>
    <t>1502931517</t>
  </si>
  <si>
    <t>Ref. 11260-2 Fatura Fornecedor Transferencia de co</t>
  </si>
  <si>
    <t>1502753519</t>
  </si>
  <si>
    <t>1502753523</t>
  </si>
  <si>
    <t>1502753542</t>
  </si>
  <si>
    <t>1502783397</t>
  </si>
  <si>
    <t>1502946391</t>
  </si>
  <si>
    <t>Ref. 2904-0 Fatura Fornecedor Transferencia de con</t>
  </si>
  <si>
    <t>1502946393</t>
  </si>
  <si>
    <t>Ref. 2903-0 Fatura Fornecedor Transferencia de con</t>
  </si>
  <si>
    <t>1502946399</t>
  </si>
  <si>
    <t>Ref. 2901-0 Fatura Fornecedor Transferencia de con</t>
  </si>
  <si>
    <t>1502948933</t>
  </si>
  <si>
    <t>Ref. 2902-0 Invoice - Gross Trf to Asset Acct</t>
  </si>
  <si>
    <t>1503082137</t>
  </si>
  <si>
    <t>8241957015</t>
  </si>
  <si>
    <t>1502876725</t>
  </si>
  <si>
    <t>8241932724</t>
  </si>
  <si>
    <t>1502876774</t>
  </si>
  <si>
    <t>1502947059</t>
  </si>
  <si>
    <t>Ref. 486-0 Fatura Fornecedor Transferencia de con</t>
  </si>
  <si>
    <t>1503082138</t>
  </si>
  <si>
    <t>1503082139</t>
  </si>
  <si>
    <t>1502992105</t>
  </si>
  <si>
    <t>Adiantamento SPI - 8241969226</t>
  </si>
  <si>
    <t>1300032020</t>
  </si>
  <si>
    <t>Ppd Advances Capex</t>
  </si>
  <si>
    <t>1503082142</t>
  </si>
  <si>
    <t>1502950128</t>
  </si>
  <si>
    <t>Ref. 1233-0 Invoice - Gross Trf to Asset Acct</t>
  </si>
  <si>
    <t>1503082143</t>
  </si>
  <si>
    <t>1503082144</t>
  </si>
  <si>
    <t>1502950106</t>
  </si>
  <si>
    <t>Ref. 1234-0 Invoice - Gross Trf to Asset Acct</t>
  </si>
  <si>
    <t>1503082145</t>
  </si>
  <si>
    <t>1502949488</t>
  </si>
  <si>
    <t>Ref. 1235-0 Invoice - Gross Trf to Asset Acct</t>
  </si>
  <si>
    <t>1503082146</t>
  </si>
  <si>
    <t>1502701490</t>
  </si>
  <si>
    <t>RECLASS LCP-230208</t>
  </si>
  <si>
    <t>5711100000</t>
  </si>
  <si>
    <t>Maint-Mch&amp;Equipment</t>
  </si>
  <si>
    <t>1502989169</t>
  </si>
  <si>
    <t>1503082151</t>
  </si>
  <si>
    <t>1503082152</t>
  </si>
  <si>
    <t>fevereiro</t>
  </si>
  <si>
    <t>8241908685</t>
  </si>
  <si>
    <t>1503185475</t>
  </si>
  <si>
    <t>Ref. 5480-1 Recebimento Fatura Transferencia de co</t>
  </si>
  <si>
    <t>Maquina sist. de lubrificacao automatica</t>
  </si>
  <si>
    <t>AM2402094</t>
  </si>
  <si>
    <t>automatic lubrication system machine</t>
  </si>
  <si>
    <t>1503024468</t>
  </si>
  <si>
    <t>1503082153</t>
  </si>
  <si>
    <t>1503083460</t>
  </si>
  <si>
    <t>1503083461</t>
  </si>
  <si>
    <t>1502741525</t>
  </si>
  <si>
    <t>Erro Monitor Pagamento 12/2024</t>
  </si>
  <si>
    <t>1502782615</t>
  </si>
  <si>
    <t>1502895503</t>
  </si>
  <si>
    <t>Ref. 25522-0 Fatura Fornecedor Transferencia de co</t>
  </si>
  <si>
    <t>1503082156</t>
  </si>
  <si>
    <t>8241871659</t>
  </si>
  <si>
    <t>1502880170</t>
  </si>
  <si>
    <t>MRO-BR02487I24</t>
  </si>
  <si>
    <t>PRO-MIC SYSTEM II Low Clearance system</t>
  </si>
  <si>
    <t>AM2405168</t>
  </si>
  <si>
    <t>PRO-MIC, Digital Measurement Probe</t>
  </si>
  <si>
    <t>AM2405171</t>
  </si>
  <si>
    <t>PRO-MIC SYSTEM II 11B215346O</t>
  </si>
  <si>
    <t>AM2405172</t>
  </si>
  <si>
    <t>PRO-MIC Concentricity Option</t>
  </si>
  <si>
    <t>AM2405170</t>
  </si>
  <si>
    <t>PRO-MIC Option, Temperature</t>
  </si>
  <si>
    <t>AM2405169</t>
  </si>
  <si>
    <t>PRO-MIC SYSTEM II 11B215342NO</t>
  </si>
  <si>
    <t>AM2405167</t>
  </si>
  <si>
    <t>1503082157</t>
  </si>
  <si>
    <t>1502977956</t>
  </si>
  <si>
    <t>Ref. 3307-0 Fatura Fornecedor Transferencia de con</t>
  </si>
  <si>
    <t>1503082158</t>
  </si>
  <si>
    <t>1502979398</t>
  </si>
  <si>
    <t>Ref. 89-0 Fatura Fornecedor Transferencia de con</t>
  </si>
  <si>
    <t>1503082475</t>
  </si>
  <si>
    <t>8241968741</t>
  </si>
  <si>
    <t>1503185926</t>
  </si>
  <si>
    <t>1502900755</t>
  </si>
  <si>
    <t>PROCESSO DE EMBARQUE:MRO-BR01941I24</t>
  </si>
  <si>
    <t>1502991549</t>
  </si>
  <si>
    <t>1160010000</t>
  </si>
  <si>
    <t>RM InTrnit-InterCo</t>
  </si>
  <si>
    <t>1503042104</t>
  </si>
  <si>
    <t>AJ PIS Prestação - Importação</t>
  </si>
  <si>
    <t>1503082476</t>
  </si>
  <si>
    <t>1503082169</t>
  </si>
  <si>
    <t>1503205780</t>
  </si>
  <si>
    <t>Ref. 00310381-2 Invoice - Gross Trf to Asset Acct</t>
  </si>
  <si>
    <t>1502899998</t>
  </si>
  <si>
    <t>PROCESSO DE EMBARQUE:MRO-BR02127I24</t>
  </si>
  <si>
    <t>1503024488</t>
  </si>
  <si>
    <t>1503082171</t>
  </si>
  <si>
    <t>8242035856</t>
  </si>
  <si>
    <t>1502754240</t>
  </si>
  <si>
    <t>1502951527</t>
  </si>
  <si>
    <t>Ref. 835-0 Invoice - Gross Trf to Asset Acct</t>
  </si>
  <si>
    <t>1503082178</t>
  </si>
  <si>
    <t>FSB - UPGRADE AERO R</t>
  </si>
  <si>
    <t>LCP-240191-01</t>
  </si>
  <si>
    <t>LCP-240191-02</t>
  </si>
  <si>
    <t>MC - NEW AIR COMPRES</t>
  </si>
  <si>
    <t>LCP-240194-01</t>
  </si>
  <si>
    <t>LCP-240194-02</t>
  </si>
  <si>
    <t>MC – PROTECTIVE FENC</t>
  </si>
  <si>
    <t>LCP-240200-01</t>
  </si>
  <si>
    <t>LCP-240200-02</t>
  </si>
  <si>
    <t>AME - UPG BELT STEEL</t>
  </si>
  <si>
    <t>CAP - STAINLESS STEE</t>
  </si>
  <si>
    <t>AME - REPLACEMENT CO</t>
  </si>
  <si>
    <t>CAP - PROJECT DESIGN</t>
  </si>
  <si>
    <t>CAP - FIELD ENGINEER</t>
  </si>
  <si>
    <t>AME - MISCELLANEOUS</t>
  </si>
  <si>
    <t>LCP-250006-01</t>
  </si>
  <si>
    <t>AME - MIXER#5 BODY R</t>
  </si>
  <si>
    <t>LCP-250008-01</t>
  </si>
  <si>
    <t>CAP - MIXER BODY BB3</t>
  </si>
  <si>
    <t>LCP-250008-02</t>
  </si>
  <si>
    <t>LCP-250008-03</t>
  </si>
  <si>
    <t>CAP - SAFETY SYSTEM</t>
  </si>
  <si>
    <t>LCP-250008-04</t>
  </si>
  <si>
    <t>CAP - GME ENGINEERIN</t>
  </si>
  <si>
    <t>LCP-250008-05</t>
  </si>
  <si>
    <t>CAP -ENGINEERING FOR</t>
  </si>
  <si>
    <t>LCP-250008-06</t>
  </si>
  <si>
    <t>LCP-250008-07</t>
  </si>
  <si>
    <t>CAP - FIELD SUPERVIS</t>
  </si>
  <si>
    <t>LCP-250008-08</t>
  </si>
  <si>
    <t>CAP - PLATFORM FOR H</t>
  </si>
  <si>
    <t>LCP-250014-01</t>
  </si>
  <si>
    <t>LCP-250014-02</t>
  </si>
  <si>
    <t>94300080</t>
  </si>
  <si>
    <t>355426217</t>
  </si>
  <si>
    <t>355426218</t>
  </si>
  <si>
    <t>355426219</t>
  </si>
  <si>
    <t>355426220</t>
  </si>
  <si>
    <t>355426221</t>
  </si>
  <si>
    <t>355426222</t>
  </si>
  <si>
    <t>355426223</t>
  </si>
  <si>
    <t>355426224</t>
  </si>
  <si>
    <t>355426225</t>
  </si>
  <si>
    <t>355426226</t>
  </si>
  <si>
    <t>355426227</t>
  </si>
  <si>
    <t>355426228</t>
  </si>
  <si>
    <t>355426229</t>
  </si>
  <si>
    <t>355426230</t>
  </si>
  <si>
    <t>355426231</t>
  </si>
  <si>
    <t>355426232</t>
  </si>
  <si>
    <t>355426233</t>
  </si>
  <si>
    <t>355426234</t>
  </si>
  <si>
    <t>355426235</t>
  </si>
  <si>
    <t>355428553</t>
  </si>
  <si>
    <t>355428554</t>
  </si>
  <si>
    <t>355428555</t>
  </si>
  <si>
    <t>355428556</t>
  </si>
  <si>
    <t>355428557</t>
  </si>
  <si>
    <t>355428558</t>
  </si>
  <si>
    <t>355428559</t>
  </si>
  <si>
    <t>355428560</t>
  </si>
  <si>
    <t>355428561</t>
  </si>
  <si>
    <t>355428562</t>
  </si>
  <si>
    <t>355428563</t>
  </si>
  <si>
    <t>355428564</t>
  </si>
  <si>
    <t>355428565</t>
  </si>
  <si>
    <t>355428566</t>
  </si>
  <si>
    <t>355428567</t>
  </si>
  <si>
    <t>355428568</t>
  </si>
  <si>
    <t>355428569</t>
  </si>
  <si>
    <t>355428570</t>
  </si>
  <si>
    <t>355428571</t>
  </si>
  <si>
    <t>355428572</t>
  </si>
  <si>
    <t>355428573</t>
  </si>
  <si>
    <t>355428574</t>
  </si>
  <si>
    <t>355428575</t>
  </si>
  <si>
    <t>355428576</t>
  </si>
  <si>
    <t>355428577</t>
  </si>
  <si>
    <t>355428578</t>
  </si>
  <si>
    <t>355428579</t>
  </si>
  <si>
    <t>355428580</t>
  </si>
  <si>
    <t>355428581</t>
  </si>
  <si>
    <t>355428582</t>
  </si>
  <si>
    <t>355428583</t>
  </si>
  <si>
    <t>355428584</t>
  </si>
  <si>
    <t>355428585</t>
  </si>
  <si>
    <t>355428586</t>
  </si>
  <si>
    <t>355428587</t>
  </si>
  <si>
    <t>355428588</t>
  </si>
  <si>
    <t>355428589</t>
  </si>
  <si>
    <t>355428590</t>
  </si>
  <si>
    <t>355428591</t>
  </si>
  <si>
    <t>355428592</t>
  </si>
  <si>
    <t>355428593</t>
  </si>
  <si>
    <t>355428594</t>
  </si>
  <si>
    <t>355428595</t>
  </si>
  <si>
    <t>355428596</t>
  </si>
  <si>
    <t>355428597</t>
  </si>
  <si>
    <t>355428598</t>
  </si>
  <si>
    <t>355428599</t>
  </si>
  <si>
    <t>355428600</t>
  </si>
  <si>
    <t>355428601</t>
  </si>
  <si>
    <t>355428602</t>
  </si>
  <si>
    <t>355428603</t>
  </si>
  <si>
    <t>355428604</t>
  </si>
  <si>
    <t>355428605</t>
  </si>
  <si>
    <t>355428606</t>
  </si>
  <si>
    <t>355428607</t>
  </si>
  <si>
    <t>355428608</t>
  </si>
  <si>
    <t>355428609</t>
  </si>
  <si>
    <t>355428610</t>
  </si>
  <si>
    <t>355428611</t>
  </si>
  <si>
    <t>355428612</t>
  </si>
  <si>
    <t>355428613</t>
  </si>
  <si>
    <t>355428614</t>
  </si>
  <si>
    <t>355428615</t>
  </si>
  <si>
    <t>355428616</t>
  </si>
  <si>
    <t>355428617</t>
  </si>
  <si>
    <t>355428618</t>
  </si>
  <si>
    <t>355428619</t>
  </si>
  <si>
    <t>355428620</t>
  </si>
  <si>
    <t>355428621</t>
  </si>
  <si>
    <t>355428622</t>
  </si>
  <si>
    <t>355428623</t>
  </si>
  <si>
    <t>355428624</t>
  </si>
  <si>
    <t>355428625</t>
  </si>
  <si>
    <t>355428626</t>
  </si>
  <si>
    <t>355428627</t>
  </si>
  <si>
    <t>355428628</t>
  </si>
  <si>
    <t>355428629</t>
  </si>
  <si>
    <t>355428630</t>
  </si>
  <si>
    <t>355428631</t>
  </si>
  <si>
    <t>355428632</t>
  </si>
  <si>
    <t>355428633</t>
  </si>
  <si>
    <t>355428634</t>
  </si>
  <si>
    <t>355428635</t>
  </si>
  <si>
    <t>355428636</t>
  </si>
  <si>
    <t>355428637</t>
  </si>
  <si>
    <t>355428638</t>
  </si>
  <si>
    <t>355428639</t>
  </si>
  <si>
    <t>355428640</t>
  </si>
  <si>
    <t>355428641</t>
  </si>
  <si>
    <t>355428642</t>
  </si>
  <si>
    <t>355428643</t>
  </si>
  <si>
    <t>355429138</t>
  </si>
  <si>
    <t>355429139</t>
  </si>
  <si>
    <t>355429140</t>
  </si>
  <si>
    <t>355429141</t>
  </si>
  <si>
    <t>355429142</t>
  </si>
  <si>
    <t>355429143</t>
  </si>
  <si>
    <t>355429144</t>
  </si>
  <si>
    <t>355429145</t>
  </si>
  <si>
    <t>355429146</t>
  </si>
  <si>
    <t>355429147</t>
  </si>
  <si>
    <t>355429148</t>
  </si>
  <si>
    <t>355429149</t>
  </si>
  <si>
    <t>355429150</t>
  </si>
  <si>
    <t>355429151</t>
  </si>
  <si>
    <t>355429152</t>
  </si>
  <si>
    <t>355429153</t>
  </si>
  <si>
    <t>355429154</t>
  </si>
  <si>
    <t>355429155</t>
  </si>
  <si>
    <t>355429156</t>
  </si>
  <si>
    <t>355429157</t>
  </si>
  <si>
    <t>355429158</t>
  </si>
  <si>
    <t>355429159</t>
  </si>
  <si>
    <t>355429160</t>
  </si>
  <si>
    <t>355429161</t>
  </si>
  <si>
    <t>355429162</t>
  </si>
  <si>
    <t>355429163</t>
  </si>
  <si>
    <t>355429164</t>
  </si>
  <si>
    <t>355429165</t>
  </si>
  <si>
    <t>355429166</t>
  </si>
  <si>
    <t>355429167</t>
  </si>
  <si>
    <t>355429168</t>
  </si>
  <si>
    <t>355429169</t>
  </si>
  <si>
    <t>355429170</t>
  </si>
  <si>
    <t>355429171</t>
  </si>
  <si>
    <t>355429172</t>
  </si>
  <si>
    <t>355429173</t>
  </si>
  <si>
    <t>355429174</t>
  </si>
  <si>
    <t>355429175</t>
  </si>
  <si>
    <t>355429176</t>
  </si>
  <si>
    <t>355429177</t>
  </si>
  <si>
    <t>355429178</t>
  </si>
  <si>
    <t>355429179</t>
  </si>
  <si>
    <t>355429180</t>
  </si>
  <si>
    <t>355429181</t>
  </si>
  <si>
    <t>355429182</t>
  </si>
  <si>
    <t>355429183</t>
  </si>
  <si>
    <t>355429184</t>
  </si>
  <si>
    <t>355429185</t>
  </si>
  <si>
    <t>355429186</t>
  </si>
  <si>
    <t>355429187</t>
  </si>
  <si>
    <t>355429188</t>
  </si>
  <si>
    <t>355429189</t>
  </si>
  <si>
    <t>355429190</t>
  </si>
  <si>
    <t>355429191</t>
  </si>
  <si>
    <t>355429192</t>
  </si>
  <si>
    <t>355429193</t>
  </si>
  <si>
    <t>355429194</t>
  </si>
  <si>
    <t>355429195</t>
  </si>
  <si>
    <t>355429196</t>
  </si>
  <si>
    <t>355429197</t>
  </si>
  <si>
    <t>355429198</t>
  </si>
  <si>
    <t>355429199</t>
  </si>
  <si>
    <t>355429200</t>
  </si>
  <si>
    <t>355429201</t>
  </si>
  <si>
    <t>355429202</t>
  </si>
  <si>
    <t>355429203</t>
  </si>
  <si>
    <t>355429204</t>
  </si>
  <si>
    <t>355429205</t>
  </si>
  <si>
    <t>355429206</t>
  </si>
  <si>
    <t>355429207</t>
  </si>
  <si>
    <t>355429208</t>
  </si>
  <si>
    <t>355429209</t>
  </si>
  <si>
    <t>355429210</t>
  </si>
  <si>
    <t>355429211</t>
  </si>
  <si>
    <t>355429212</t>
  </si>
  <si>
    <t>355429213</t>
  </si>
  <si>
    <t>355429214</t>
  </si>
  <si>
    <t>355429215</t>
  </si>
  <si>
    <t>355429216</t>
  </si>
  <si>
    <t>355429217</t>
  </si>
  <si>
    <t>355429218</t>
  </si>
  <si>
    <t>355429219</t>
  </si>
  <si>
    <t>355429220</t>
  </si>
  <si>
    <t>355429221</t>
  </si>
  <si>
    <t>355429222</t>
  </si>
  <si>
    <t>355429223</t>
  </si>
  <si>
    <t>355429224</t>
  </si>
  <si>
    <t>355429225</t>
  </si>
  <si>
    <t>355429226</t>
  </si>
  <si>
    <t>355429227</t>
  </si>
  <si>
    <t>355429228</t>
  </si>
  <si>
    <t>355429229</t>
  </si>
  <si>
    <t>355429230</t>
  </si>
  <si>
    <t>355429231</t>
  </si>
  <si>
    <t>355429232</t>
  </si>
  <si>
    <t>355429233</t>
  </si>
  <si>
    <t>355429234</t>
  </si>
  <si>
    <t>355429235</t>
  </si>
  <si>
    <t>355429236</t>
  </si>
  <si>
    <t>355429237</t>
  </si>
  <si>
    <t>355429238</t>
  </si>
  <si>
    <t>355429239</t>
  </si>
  <si>
    <t>355429240</t>
  </si>
  <si>
    <t>355429241</t>
  </si>
  <si>
    <t>355429242</t>
  </si>
  <si>
    <t>355429243</t>
  </si>
  <si>
    <t>355429244</t>
  </si>
  <si>
    <t>355429245</t>
  </si>
  <si>
    <t>355429246</t>
  </si>
  <si>
    <t>355429247</t>
  </si>
  <si>
    <t>355429248</t>
  </si>
  <si>
    <t>355429249</t>
  </si>
  <si>
    <t>355429250</t>
  </si>
  <si>
    <t>355429251</t>
  </si>
  <si>
    <t>355429252</t>
  </si>
  <si>
    <t>355429253</t>
  </si>
  <si>
    <t>355429254</t>
  </si>
  <si>
    <t>355429255</t>
  </si>
  <si>
    <t>355429256</t>
  </si>
  <si>
    <t>355429257</t>
  </si>
  <si>
    <t>355429258</t>
  </si>
  <si>
    <t>355429259</t>
  </si>
  <si>
    <t>355429260</t>
  </si>
  <si>
    <t>355429261</t>
  </si>
  <si>
    <t>355429262</t>
  </si>
  <si>
    <t>355429263</t>
  </si>
  <si>
    <t>355429264</t>
  </si>
  <si>
    <t>355429265</t>
  </si>
  <si>
    <t>355429266</t>
  </si>
  <si>
    <t>355429267</t>
  </si>
  <si>
    <t>355429268</t>
  </si>
  <si>
    <t>355429269</t>
  </si>
  <si>
    <t>355429270</t>
  </si>
  <si>
    <t>355429853</t>
  </si>
  <si>
    <t>355429854</t>
  </si>
  <si>
    <t>355429855</t>
  </si>
  <si>
    <t>355430140</t>
  </si>
  <si>
    <t>355430972</t>
  </si>
  <si>
    <t>355430973</t>
  </si>
  <si>
    <t>355431019</t>
  </si>
  <si>
    <t>355431020</t>
  </si>
  <si>
    <t>355431021</t>
  </si>
  <si>
    <t>355431022</t>
  </si>
  <si>
    <t>355431023</t>
  </si>
  <si>
    <t>355431024</t>
  </si>
  <si>
    <t>355431025</t>
  </si>
  <si>
    <t>355431026</t>
  </si>
  <si>
    <t>355431047</t>
  </si>
  <si>
    <t>355431048</t>
  </si>
  <si>
    <t>355431049</t>
  </si>
  <si>
    <t>355431050</t>
  </si>
  <si>
    <t>355431051</t>
  </si>
  <si>
    <t>355431052</t>
  </si>
  <si>
    <t>355431176</t>
  </si>
  <si>
    <t>355431177</t>
  </si>
  <si>
    <t>355431178</t>
  </si>
  <si>
    <t>355431179</t>
  </si>
  <si>
    <t>355431180</t>
  </si>
  <si>
    <t>355431181</t>
  </si>
  <si>
    <t>355431182</t>
  </si>
  <si>
    <t>355431183</t>
  </si>
  <si>
    <t>355431184</t>
  </si>
  <si>
    <t>355431185</t>
  </si>
  <si>
    <t>355431186</t>
  </si>
  <si>
    <t>355431187</t>
  </si>
  <si>
    <t>355431188</t>
  </si>
  <si>
    <t>355431189</t>
  </si>
  <si>
    <t>355431190</t>
  </si>
  <si>
    <t>355431191</t>
  </si>
  <si>
    <t>355431192</t>
  </si>
  <si>
    <t>355431193</t>
  </si>
  <si>
    <t>355431194</t>
  </si>
  <si>
    <t>355431195</t>
  </si>
  <si>
    <t>355431196</t>
  </si>
  <si>
    <t>355431197</t>
  </si>
  <si>
    <t>355431198</t>
  </si>
  <si>
    <t>355431199</t>
  </si>
  <si>
    <t>355431200</t>
  </si>
  <si>
    <t>355431201</t>
  </si>
  <si>
    <t>355431202</t>
  </si>
  <si>
    <t>355431203</t>
  </si>
  <si>
    <t>355431204</t>
  </si>
  <si>
    <t>355431205</t>
  </si>
  <si>
    <t>355431206</t>
  </si>
  <si>
    <t>355431207</t>
  </si>
  <si>
    <t>355431208</t>
  </si>
  <si>
    <t>355431209</t>
  </si>
  <si>
    <t>355431210</t>
  </si>
  <si>
    <t>355431211</t>
  </si>
  <si>
    <t>355431212</t>
  </si>
  <si>
    <t>355431213</t>
  </si>
  <si>
    <t>355431214</t>
  </si>
  <si>
    <t>355431215</t>
  </si>
  <si>
    <t>355431216</t>
  </si>
  <si>
    <t>355431217</t>
  </si>
  <si>
    <t>355431218</t>
  </si>
  <si>
    <t>355431219</t>
  </si>
  <si>
    <t>355431220</t>
  </si>
  <si>
    <t>355431221</t>
  </si>
  <si>
    <t>355431222</t>
  </si>
  <si>
    <t>355431223</t>
  </si>
  <si>
    <t>355431224</t>
  </si>
  <si>
    <t>355431225</t>
  </si>
  <si>
    <t>355431226</t>
  </si>
  <si>
    <t>355431227</t>
  </si>
  <si>
    <t>355431228</t>
  </si>
  <si>
    <t>355431229</t>
  </si>
  <si>
    <t>355431230</t>
  </si>
  <si>
    <t>355431231</t>
  </si>
  <si>
    <t>355431232</t>
  </si>
  <si>
    <t>355431233</t>
  </si>
  <si>
    <t>355431234</t>
  </si>
  <si>
    <t>355431235</t>
  </si>
  <si>
    <t>355431236</t>
  </si>
  <si>
    <t>355431237</t>
  </si>
  <si>
    <t>355431238</t>
  </si>
  <si>
    <t>355431239</t>
  </si>
  <si>
    <t>355431240</t>
  </si>
  <si>
    <t>355431241</t>
  </si>
  <si>
    <t>355431242</t>
  </si>
  <si>
    <t>355431243</t>
  </si>
  <si>
    <t>355431244</t>
  </si>
  <si>
    <t>355431245</t>
  </si>
  <si>
    <t>355431246</t>
  </si>
  <si>
    <t>355431247</t>
  </si>
  <si>
    <t>355431248</t>
  </si>
  <si>
    <t>355431249</t>
  </si>
  <si>
    <t>355431250</t>
  </si>
  <si>
    <t>355431251</t>
  </si>
  <si>
    <t>355431252</t>
  </si>
  <si>
    <t>355431253</t>
  </si>
  <si>
    <t>355431254</t>
  </si>
  <si>
    <t>355431255</t>
  </si>
  <si>
    <t>355431256</t>
  </si>
  <si>
    <t>355431257</t>
  </si>
  <si>
    <t>355431258</t>
  </si>
  <si>
    <t>355431259</t>
  </si>
  <si>
    <t>355431260</t>
  </si>
  <si>
    <t>355431261</t>
  </si>
  <si>
    <t>355431262</t>
  </si>
  <si>
    <t>355431263</t>
  </si>
  <si>
    <t>355431264</t>
  </si>
  <si>
    <t>355431265</t>
  </si>
  <si>
    <t>355431266</t>
  </si>
  <si>
    <t>355431267</t>
  </si>
  <si>
    <t>355431268</t>
  </si>
  <si>
    <t>355431269</t>
  </si>
  <si>
    <t>355431270</t>
  </si>
  <si>
    <t>355431271</t>
  </si>
  <si>
    <t>355431272</t>
  </si>
  <si>
    <t>355431273</t>
  </si>
  <si>
    <t>355431274</t>
  </si>
  <si>
    <t>355431275</t>
  </si>
  <si>
    <t>355431276</t>
  </si>
  <si>
    <t>355431277</t>
  </si>
  <si>
    <t>355431278</t>
  </si>
  <si>
    <t>355431279</t>
  </si>
  <si>
    <t>355431280</t>
  </si>
  <si>
    <t>355431281</t>
  </si>
  <si>
    <t>355431282</t>
  </si>
  <si>
    <t>355431283</t>
  </si>
  <si>
    <t>355431284</t>
  </si>
  <si>
    <t>355431285</t>
  </si>
  <si>
    <t>355431286</t>
  </si>
  <si>
    <t>355431287</t>
  </si>
  <si>
    <t>355431288</t>
  </si>
  <si>
    <t>355431289</t>
  </si>
  <si>
    <t>355431290</t>
  </si>
  <si>
    <t>355431291</t>
  </si>
  <si>
    <t>355431292</t>
  </si>
  <si>
    <t>355431293</t>
  </si>
  <si>
    <t>355431294</t>
  </si>
  <si>
    <t>355431295</t>
  </si>
  <si>
    <t>355431296</t>
  </si>
  <si>
    <t>355431297</t>
  </si>
  <si>
    <t>355431298</t>
  </si>
  <si>
    <t>355431299</t>
  </si>
  <si>
    <t>355431300</t>
  </si>
  <si>
    <t>355431301</t>
  </si>
  <si>
    <t>355431302</t>
  </si>
  <si>
    <t>355431303</t>
  </si>
  <si>
    <t>355431304</t>
  </si>
  <si>
    <t>355431305</t>
  </si>
  <si>
    <t>355431306</t>
  </si>
  <si>
    <t>355431307</t>
  </si>
  <si>
    <t>355431308</t>
  </si>
  <si>
    <t>355431309</t>
  </si>
  <si>
    <t>355431310</t>
  </si>
  <si>
    <t>355431311</t>
  </si>
  <si>
    <t>355431312</t>
  </si>
  <si>
    <t>355431313</t>
  </si>
  <si>
    <t>355431314</t>
  </si>
  <si>
    <t>355431315</t>
  </si>
  <si>
    <t>355431316</t>
  </si>
  <si>
    <t>355431317</t>
  </si>
  <si>
    <t>355431318</t>
  </si>
  <si>
    <t>355431319</t>
  </si>
  <si>
    <t>355431320</t>
  </si>
  <si>
    <t>355431321</t>
  </si>
  <si>
    <t>355431322</t>
  </si>
  <si>
    <t>355431323</t>
  </si>
  <si>
    <t>355431324</t>
  </si>
  <si>
    <t>355431325</t>
  </si>
  <si>
    <t>355431326</t>
  </si>
  <si>
    <t>355431327</t>
  </si>
  <si>
    <t>355431328</t>
  </si>
  <si>
    <t>355431329</t>
  </si>
  <si>
    <t>355431330</t>
  </si>
  <si>
    <t>355431331</t>
  </si>
  <si>
    <t>355431332</t>
  </si>
  <si>
    <t>355431333</t>
  </si>
  <si>
    <t>355431334</t>
  </si>
  <si>
    <t>355431335</t>
  </si>
  <si>
    <t>355431336</t>
  </si>
  <si>
    <t>355431337</t>
  </si>
  <si>
    <t>355431338</t>
  </si>
  <si>
    <t>355431339</t>
  </si>
  <si>
    <t>601801949</t>
  </si>
  <si>
    <t>IX29856/8241442068</t>
  </si>
  <si>
    <t>601801951</t>
  </si>
  <si>
    <t>IX29307/8241088611</t>
  </si>
  <si>
    <t>601689704</t>
  </si>
  <si>
    <t>245039</t>
  </si>
  <si>
    <t>601734490</t>
  </si>
  <si>
    <t>601735562</t>
  </si>
  <si>
    <t>5118</t>
  </si>
  <si>
    <t>601741221</t>
  </si>
  <si>
    <t>601741223</t>
  </si>
  <si>
    <t>601742254</t>
  </si>
  <si>
    <t>601742256</t>
  </si>
  <si>
    <t>601755240</t>
  </si>
  <si>
    <t>(4) 52" SinoARP Curing Presses</t>
  </si>
  <si>
    <t>601756375</t>
  </si>
  <si>
    <t>601771844</t>
  </si>
  <si>
    <t>601772275</t>
  </si>
  <si>
    <t>601776573</t>
  </si>
  <si>
    <t>601778888</t>
  </si>
  <si>
    <t>8242059964</t>
  </si>
  <si>
    <t>57109940</t>
  </si>
  <si>
    <t>601838244</t>
  </si>
  <si>
    <t>323690</t>
  </si>
  <si>
    <t>CARAVAN PACKAGING INC</t>
  </si>
  <si>
    <t>52099900</t>
  </si>
  <si>
    <t>601771225</t>
  </si>
  <si>
    <t>A382227/662852/Passports/Visa Fees</t>
  </si>
  <si>
    <t>TRAVEL</t>
  </si>
  <si>
    <t>Travel Expense Interface</t>
  </si>
  <si>
    <t>52040000</t>
  </si>
  <si>
    <t>601883323</t>
  </si>
  <si>
    <t>A415312/664780/Taxi</t>
  </si>
  <si>
    <t>333397</t>
  </si>
  <si>
    <t>CITIBANK NA</t>
  </si>
  <si>
    <t>A415312/664780/Parking</t>
  </si>
  <si>
    <t>52010000</t>
  </si>
  <si>
    <t>A415312/664780/Own Meal in Travel Status</t>
  </si>
  <si>
    <t>52020000</t>
  </si>
  <si>
    <t>A415312/664780/Hotel</t>
  </si>
  <si>
    <t>A415312/664780/Hotel Tax</t>
  </si>
  <si>
    <t>50010000</t>
  </si>
  <si>
    <t>601675577</t>
  </si>
  <si>
    <t>,50010000, 8019279-0020 2024 Nov GMITLabor</t>
  </si>
  <si>
    <t>13090001</t>
  </si>
  <si>
    <t>Inter-Comp Intransit</t>
  </si>
  <si>
    <t>601675591</t>
  </si>
  <si>
    <t>,50010000, 8017407-0020 2024 Nov GMITLabor</t>
  </si>
  <si>
    <t>601675593</t>
  </si>
  <si>
    <t>,50010000, 8020963-0020 2024 Nov GMITLabor</t>
  </si>
  <si>
    <t>601675594</t>
  </si>
  <si>
    <t>,50010000, ICP-230034-99 2024 Nov GMITLabor</t>
  </si>
  <si>
    <t>601675604</t>
  </si>
  <si>
    <t>,50010000, 8017407-0020 2024 Dec GMITLabor</t>
  </si>
  <si>
    <t>601677106</t>
  </si>
  <si>
    <t>,50010000, 8020963-0020 2024 Dec GMITLabor</t>
  </si>
  <si>
    <t>57109995</t>
  </si>
  <si>
    <t>601820803</t>
  </si>
  <si>
    <t>8241552620 - VMI EPE HOLLAND</t>
  </si>
  <si>
    <t>21112533</t>
  </si>
  <si>
    <t>GR/IR-R&amp;D Capit Accr</t>
  </si>
  <si>
    <t>8241327582 - ARP TIRES EQUIPMENT (HK) CO., LTD.</t>
  </si>
  <si>
    <t>8241635297 - ARP TIRES EQUIPMENT (HK) CO., LTD.</t>
  </si>
  <si>
    <t>8240759732 - ROCKWELL AUTOMATION</t>
  </si>
  <si>
    <t>8241431437 - ROCKWELL AUTOMATION</t>
  </si>
  <si>
    <t>8241431451 - ROCKWELL AUTOMATION</t>
  </si>
  <si>
    <t>8241431445 - ROCKWELL AUTOMATION</t>
  </si>
  <si>
    <t>8241233573 - ROCKWELL AUTOMATION</t>
  </si>
  <si>
    <t>8241717769 - ROCKWELL AUTOMATION</t>
  </si>
  <si>
    <t>8241717769 - HWH ARCHITECHS ENGINEERS</t>
  </si>
  <si>
    <t>8241717769 - eng BIM Company, LLC.</t>
  </si>
  <si>
    <t>601827505</t>
  </si>
  <si>
    <t>8241462796 - Dec 2024 VIM Accrual</t>
  </si>
  <si>
    <t>8241463855 - Dec 2024 VIM Accrual</t>
  </si>
  <si>
    <t>8241904135 - Dec 2024 VIM Accrual</t>
  </si>
  <si>
    <t>8241100089 - Dec 2024 VIM Accrual</t>
  </si>
  <si>
    <t>8241233573 - Dec 2024 VIM Accrual</t>
  </si>
  <si>
    <t>8241635297 - Dec 2024 VIM Accrual</t>
  </si>
  <si>
    <t>8241438909 - Dec 2024 VIM Accrual</t>
  </si>
  <si>
    <t>8241986125 - Dec 2024 VIM Accrual</t>
  </si>
  <si>
    <t>8241998814 - Dec 2024 VIM Accrual</t>
  </si>
  <si>
    <t>57109990</t>
  </si>
  <si>
    <t>601871751</t>
  </si>
  <si>
    <t>December 2024 Akron Engineering</t>
  </si>
  <si>
    <t>Capital Cost Xfers</t>
  </si>
  <si>
    <t>601883149</t>
  </si>
  <si>
    <t>8241252252 - Jan 2025 VIM Accrual</t>
  </si>
  <si>
    <t>8241463855 - Jan 2025 VIM Accrual</t>
  </si>
  <si>
    <t>8241998814 - Jan 2025 VIM Accrual</t>
  </si>
  <si>
    <t>8242059964 - Jan 2025 VIM Accrual</t>
  </si>
  <si>
    <t>8241556774 - Jan 2025 VIM Accrual</t>
  </si>
  <si>
    <t>601883925</t>
  </si>
  <si>
    <t>8241635297 - VMI EPE HOLLAND</t>
  </si>
  <si>
    <t>8241927899 - TEMPEST INC</t>
  </si>
  <si>
    <t>8241463862 - HWH ARCHITECHS ENGINEERS PLANNERS</t>
  </si>
  <si>
    <t>8241731239 - eng BIM Company, LLC.</t>
  </si>
  <si>
    <t>ICP-240041-33</t>
  </si>
  <si>
    <t>CONTROLS - HPU</t>
  </si>
  <si>
    <t>HPU Control Panel</t>
  </si>
  <si>
    <t>MILLENNIUM CONTROL SYSTEMS LLC</t>
  </si>
  <si>
    <t>1502884566</t>
  </si>
  <si>
    <t>1502891281</t>
  </si>
  <si>
    <t>1502750550</t>
  </si>
  <si>
    <t>1502750584</t>
  </si>
  <si>
    <t>1502948240</t>
  </si>
  <si>
    <t>Ref. 3311-0 Invoice - Gross Trf to Asset Acct</t>
  </si>
  <si>
    <t>1502977909</t>
  </si>
  <si>
    <t>Ref. 3314-0 Fatura Fornecedor Transferencia de con</t>
  </si>
  <si>
    <t>1503082115</t>
  </si>
  <si>
    <t>1502939132</t>
  </si>
  <si>
    <t>1502940460</t>
  </si>
  <si>
    <t>Ref. 84766-0 Fatura Fornecedor Transferencia de co</t>
  </si>
  <si>
    <t>1503082116</t>
  </si>
  <si>
    <t>8241925937</t>
  </si>
  <si>
    <t>1502698394</t>
  </si>
  <si>
    <t>1502976875</t>
  </si>
  <si>
    <t>Ref. 3310-0 Fatura Fornecedor Transferencia de con</t>
  </si>
  <si>
    <t>1503082123</t>
  </si>
  <si>
    <t>1502692968</t>
  </si>
  <si>
    <t>1502891523</t>
  </si>
  <si>
    <t>1503023826</t>
  </si>
  <si>
    <t>Ajuste crédito indevido PIS/COFINS NF 8624-1 FBS C</t>
  </si>
  <si>
    <t>1503082147</t>
  </si>
  <si>
    <t>1502704893</t>
  </si>
  <si>
    <t>1502779587</t>
  </si>
  <si>
    <t>1503029796</t>
  </si>
  <si>
    <t>Ajuste crédito indevido PIS/COFINS NF 626-1 CONDUT</t>
  </si>
  <si>
    <t>1503082149</t>
  </si>
  <si>
    <t>1502425890</t>
  </si>
  <si>
    <t>1502468164</t>
  </si>
  <si>
    <t>Ref. 3462-0 Fatura Fornecedor Transferencia de con</t>
  </si>
  <si>
    <t>1502711033</t>
  </si>
  <si>
    <t>1503082477</t>
  </si>
  <si>
    <t>1502102248</t>
  </si>
  <si>
    <t>1502102253</t>
  </si>
  <si>
    <t>1502103942</t>
  </si>
  <si>
    <t>Ref. 3439-0 Fatura Fornecedor Transferencia de con</t>
  </si>
  <si>
    <t>1502103950</t>
  </si>
  <si>
    <t>Ref. 3440-0 Fatura Fornecedor Transferencia de con</t>
  </si>
  <si>
    <t>1502463969</t>
  </si>
  <si>
    <t>1502463990</t>
  </si>
  <si>
    <t>1502468137</t>
  </si>
  <si>
    <t>Ref. 3455-0 Fatura Fornecedor Transferencia de con</t>
  </si>
  <si>
    <t>1502468139</t>
  </si>
  <si>
    <t>Ref. 3456-0 Fatura Fornecedor Transferencia de con</t>
  </si>
  <si>
    <t>1502667544</t>
  </si>
  <si>
    <t>1502667562</t>
  </si>
  <si>
    <t>1502699642</t>
  </si>
  <si>
    <t>Ref. 3475-0 Fatura Fornecedor Transferencia de con</t>
  </si>
  <si>
    <t>1502699649</t>
  </si>
  <si>
    <t>Ref. 3476-0 Fatura Fornecedor Transferencia de con</t>
  </si>
  <si>
    <t>1503082177</t>
  </si>
  <si>
    <t xml:space="preserve">Postergado para 2026
SC ja aberta, aguardando PO e Contrato (Compras solicitou que mais empresas participassem do BID pois 2 não seria o suficiente)
Estimado 64 Racks por semana: Total de 42 semanas
</t>
  </si>
  <si>
    <t>04/02 - Saldo em Zero</t>
  </si>
  <si>
    <t>04/02 - Saldo em aberto USD 45,9
Projeto será interrompido como está. PO em aberto serao cancelados</t>
  </si>
  <si>
    <t>04/02 - Saldo em aberto USD 226K</t>
  </si>
  <si>
    <t>LAPG - 2025 MISCELLANEOUS ANNUAL BUDGET</t>
  </si>
  <si>
    <t>LCP-250021</t>
  </si>
  <si>
    <t>Aprovado em 03/02/25</t>
  </si>
  <si>
    <t>GESTÃO DE PROJETOS DIRECT CHARGE 2025 (U$)</t>
  </si>
  <si>
    <t>LCP-240192</t>
  </si>
  <si>
    <t>AME - CALENDER ROLL GRINDING CAPABILITY</t>
  </si>
  <si>
    <t>8242046779</t>
  </si>
  <si>
    <t>1503285409</t>
  </si>
  <si>
    <t>Ref. 16482-1 Recebimento Fatura Transferencia de c</t>
  </si>
  <si>
    <t>CONJ. DE PROTEÇÕES 2.1/2" PAINEL SINOARP</t>
  </si>
  <si>
    <t>AM2501005</t>
  </si>
  <si>
    <t>SET OF PROTECTIONS 2.1/2" SINOARP PANEL</t>
  </si>
  <si>
    <t>1503285410</t>
  </si>
  <si>
    <t>Ref. 16482-1 Fatura Fornecedor Transferencia de co</t>
  </si>
  <si>
    <t>1503474420</t>
  </si>
  <si>
    <t>PROJETO-BR01338I24</t>
  </si>
  <si>
    <t>1503474422</t>
  </si>
  <si>
    <t>1503474435</t>
  </si>
  <si>
    <t>1503474438</t>
  </si>
  <si>
    <t>1503359890</t>
  </si>
  <si>
    <t>Ref. 4808-1 Recebimento Fatura Transferencia de co</t>
  </si>
  <si>
    <t>1503359893</t>
  </si>
  <si>
    <t>Ref. 4808-1 Fatura Fornecedor Transferencia de con</t>
  </si>
  <si>
    <t>8242035867</t>
  </si>
  <si>
    <t>1503328245</t>
  </si>
  <si>
    <t>Assistência Técnica</t>
  </si>
  <si>
    <t>1503457403</t>
  </si>
  <si>
    <t>AME - CALENDER ROLL</t>
  </si>
  <si>
    <t>LCP-240192-01</t>
  </si>
  <si>
    <t>LCP-240192-02</t>
  </si>
  <si>
    <t>CAP - Project Design</t>
  </si>
  <si>
    <t>LCP-240192-03</t>
  </si>
  <si>
    <t>CAP - Inflation, Imp</t>
  </si>
  <si>
    <t>LAPG - 2025 MISCELLA</t>
  </si>
  <si>
    <t>LCP-250021-02</t>
  </si>
  <si>
    <t>CAP - TPS17 OBJECTIV</t>
  </si>
  <si>
    <t>LCP-250021-03</t>
  </si>
  <si>
    <t>CAP - AQUAPLANING EQ</t>
  </si>
  <si>
    <t>LCP-250021-04</t>
  </si>
  <si>
    <t>355441589</t>
  </si>
  <si>
    <t>355441591</t>
  </si>
  <si>
    <t>355441734</t>
  </si>
  <si>
    <t>355441770</t>
  </si>
  <si>
    <t>355441780</t>
  </si>
  <si>
    <t>355441784</t>
  </si>
  <si>
    <t>355441786</t>
  </si>
  <si>
    <t>355442747</t>
  </si>
  <si>
    <t>355442761</t>
  </si>
  <si>
    <t>355442765</t>
  </si>
  <si>
    <t>355442854</t>
  </si>
  <si>
    <t>355442859</t>
  </si>
  <si>
    <t>355442865</t>
  </si>
  <si>
    <t>355442866</t>
  </si>
  <si>
    <t>355442867</t>
  </si>
  <si>
    <t>601909215</t>
  </si>
  <si>
    <t>129304</t>
  </si>
  <si>
    <t>601890062</t>
  </si>
  <si>
    <t>601890064</t>
  </si>
  <si>
    <t>601906877</t>
  </si>
  <si>
    <t>601906878</t>
  </si>
  <si>
    <t>Aguardando Carta Suporte. Alinhado com a Região que iria ultrapassar o AOP</t>
  </si>
  <si>
    <t>Carta Suporte em rota de aprovação.</t>
  </si>
  <si>
    <t>EEX-250002-00-03</t>
  </si>
  <si>
    <t>ESTUDO VALIDACAO DE MAQUINAS - NR12 (FASE 3)</t>
  </si>
  <si>
    <t>Aprovado em 17/02/2025</t>
  </si>
  <si>
    <t>POKA YOKE ISOLADORAS FASE 2
BEADWINDER DATA MANAGEMENT (NSNL)</t>
  </si>
  <si>
    <t>LOC-250001-00-05</t>
  </si>
  <si>
    <t>(1) BANCADA (4) MESA (2) ARMARIOS</t>
  </si>
  <si>
    <t>Helivelto De Lima (AA20492)</t>
  </si>
  <si>
    <t>LOC-250001-00-06</t>
  </si>
  <si>
    <t>(6) BEBEDOURO</t>
  </si>
  <si>
    <t>MISCELLANEOUS 2025</t>
  </si>
  <si>
    <t>CRIAÇÃO DO CONTRATO AGREMENT COM AKRON</t>
  </si>
  <si>
    <t>MESAS E CADEIRAS PARA AJUSTE DO LAYOUT DO ESCRITORIO DE ENGENHARIA</t>
  </si>
  <si>
    <t>VALIDAÇÃO DE 100 ITENS DE NCM PARA PROJETOS</t>
  </si>
  <si>
    <t>Elaborar escopo e abrir SC.Valor estimado de R$ 128K. Verificar com o TI interno se é possível fazer sem custo</t>
  </si>
  <si>
    <t>January Next Year</t>
  </si>
  <si>
    <t>February Next Year</t>
  </si>
  <si>
    <t>March Next Year</t>
  </si>
  <si>
    <t>April Next Year</t>
  </si>
  <si>
    <t>May Next Year</t>
  </si>
  <si>
    <t>June Next Year</t>
  </si>
  <si>
    <t>July Next Year</t>
  </si>
  <si>
    <t>August Next Year</t>
  </si>
  <si>
    <t>September Next Year</t>
  </si>
  <si>
    <t>October Next Year</t>
  </si>
  <si>
    <t>November Next Year</t>
  </si>
  <si>
    <t>December Next Year</t>
  </si>
  <si>
    <t>January Exception Sheet</t>
  </si>
  <si>
    <t>February Exception Sheet</t>
  </si>
  <si>
    <t>March Exception Sheet</t>
  </si>
  <si>
    <t>April Exception Sheet</t>
  </si>
  <si>
    <t>May Exception Sheet</t>
  </si>
  <si>
    <t>June Exception Sheet</t>
  </si>
  <si>
    <t>July Exception Sheet</t>
  </si>
  <si>
    <t>August Exception Sheet</t>
  </si>
  <si>
    <t>September Exception Sheet</t>
  </si>
  <si>
    <t>October Exception Sheet</t>
  </si>
  <si>
    <t>November Exception Sheet</t>
  </si>
  <si>
    <t>December Exception Sheet</t>
  </si>
  <si>
    <t>MANIPULATOR SYSTEM FOR SBC</t>
  </si>
  <si>
    <t>MANIPULATOR SYSTEM FOR TAUBATÉ</t>
  </si>
  <si>
    <t>ADVANCED POST FOR LEAD PRODUCTION</t>
  </si>
  <si>
    <t>SPRINTER VEHICLE RETROFIT FOR AMBU</t>
  </si>
  <si>
    <t>RETROFIT ELECTRIC PANEL AND SKI PA</t>
  </si>
  <si>
    <t>WHEEL LIFTER</t>
  </si>
  <si>
    <t>NEW ELECTRIC CAR</t>
  </si>
  <si>
    <t>TRACK SWEEPER</t>
  </si>
  <si>
    <t>DRONE</t>
  </si>
  <si>
    <t>TIRE MOUNTING MACHINE</t>
  </si>
  <si>
    <t>MOLD UP GRADE</t>
  </si>
  <si>
    <t>BUFFER#1 ROLLER TABLE IMPROVEMENTS</t>
  </si>
  <si>
    <t>MELHORIAS SALA DE TREINAMENTO</t>
  </si>
  <si>
    <t>RACKS BUFFER AREA</t>
  </si>
  <si>
    <t>PLACAR INFORMAÇOES ENTRADA FABRICA</t>
  </si>
  <si>
    <t>CONTROLE DE ACESSO FABRICA</t>
  </si>
  <si>
    <t>TROCA DE POLI NO BUFFER #1 E #2</t>
  </si>
  <si>
    <t>UPGRADE DO SOFTWARE PRENSA 1 E 2</t>
  </si>
  <si>
    <t>(2) TCU PORTATEIS PARA EXTRUSORA</t>
  </si>
  <si>
    <t>BOMBA HIDRAULICA PARA CILINDROS</t>
  </si>
  <si>
    <t>CLSD BUDG AVAC  //  APPR BREL EXPL</t>
  </si>
  <si>
    <t>CLSD BUDG AUC  AVAC SETC  //  RJCD BREL EXPL</t>
  </si>
  <si>
    <t>CLSD BUDG AUC  AVAC SETC  //  APPR BREL EXPL</t>
  </si>
  <si>
    <t>CLSD BUDG AUC  AVAC  //  SUPP BREL EXPL</t>
  </si>
  <si>
    <t>CLSD BUDG ISBD AUC  AVAC  //  APPR BREL EXPL</t>
  </si>
  <si>
    <t>CLSD BUDG AUC  AVAC  //  APPR BNRL EXPL</t>
  </si>
  <si>
    <t>TECO BUDG AUC  AVAC  //  APPR BNRL EXPL</t>
  </si>
  <si>
    <t>NO BUDGET</t>
  </si>
  <si>
    <t>FRACASSADO</t>
  </si>
  <si>
    <t>1503531400</t>
  </si>
  <si>
    <t>Ref. 00286923-60 Invoice - Gross Trf to Asset Acct</t>
  </si>
  <si>
    <t>8241281106</t>
  </si>
  <si>
    <t>1503859819</t>
  </si>
  <si>
    <t>1503593924</t>
  </si>
  <si>
    <t>8242060453</t>
  </si>
  <si>
    <t>1503553270</t>
  </si>
  <si>
    <t>Ref. 55221-0 Recebimento Fatura Transferencia de c</t>
  </si>
  <si>
    <t>Válvula de Retenção CKCV-XCN</t>
  </si>
  <si>
    <t>CC5612188</t>
  </si>
  <si>
    <t>VALVE, CHECK CKCV-XCN</t>
  </si>
  <si>
    <t>1503553271</t>
  </si>
  <si>
    <t>Ref. 55221-0 Fatura Fornecedor Transferencia de co</t>
  </si>
  <si>
    <t>8242057505</t>
  </si>
  <si>
    <t>1503553275</t>
  </si>
  <si>
    <t>Ref. 55231-0 Recebimento Fatura Transferencia de c</t>
  </si>
  <si>
    <t>VÁLVULA DE RETENÇÃO SUN CKCB-XCN</t>
  </si>
  <si>
    <t>CC5662302</t>
  </si>
  <si>
    <t>SUN CXDA-XCN CHECK VALVE</t>
  </si>
  <si>
    <t>1503553276</t>
  </si>
  <si>
    <t>Ref. 55231-0 Fatura Fornecedor Transferencia de co</t>
  </si>
  <si>
    <t>1503553346</t>
  </si>
  <si>
    <t>Ref. 55167-0 Recebimento Fatura Transferencia de c</t>
  </si>
  <si>
    <t>1503553347</t>
  </si>
  <si>
    <t>Ref. 55167-0 Fatura Fornecedor Transferencia de co</t>
  </si>
  <si>
    <t>8242046665</t>
  </si>
  <si>
    <t>1503760118</t>
  </si>
  <si>
    <t>Ref. 15129-1 Recebimento Fatura Transferencia de c</t>
  </si>
  <si>
    <t>PORTA PAPEL A4 DE PAREDE EM ACRILICO</t>
  </si>
  <si>
    <t>AM1910159</t>
  </si>
  <si>
    <t>ACRYLIC DISPLAY FOR PAPER</t>
  </si>
  <si>
    <t>1503860620</t>
  </si>
  <si>
    <t>Ref. 55221-0 Invoice - Gross Trf to Asset Acct</t>
  </si>
  <si>
    <t>1503860629</t>
  </si>
  <si>
    <t>1503860634</t>
  </si>
  <si>
    <t>Ref. 55231-0 Invoice - Gross Trf to Asset Acct</t>
  </si>
  <si>
    <t>1503860638</t>
  </si>
  <si>
    <t>Ref. 55167-0 Invoice - Gross Trf to Asset Acct</t>
  </si>
  <si>
    <t>1503884951</t>
  </si>
  <si>
    <t>1503884954</t>
  </si>
  <si>
    <t>4500473125</t>
  </si>
  <si>
    <t>1504047761</t>
  </si>
  <si>
    <t>MRO-BR02594I24</t>
  </si>
  <si>
    <t>VALVE CHECK</t>
  </si>
  <si>
    <t>CC5613786</t>
  </si>
  <si>
    <t>TRANSD LINEAR BTL6-E500-M2450-PF-S115</t>
  </si>
  <si>
    <t>AM2411069</t>
  </si>
  <si>
    <t>PROPORTIONAL VALVE ITV2030-01N2CL4 - SMC</t>
  </si>
  <si>
    <t>CC5948262</t>
  </si>
  <si>
    <t>SAFETY CLEAN 440G-MT47037</t>
  </si>
  <si>
    <t>CC7540558</t>
  </si>
  <si>
    <t>PILOTED PNEUMAT FLOW REGULAT 3/8"NPT Φ10</t>
  </si>
  <si>
    <t>CC5605055</t>
  </si>
  <si>
    <t>ELECTRIC PHOTO SENSOR</t>
  </si>
  <si>
    <t>CC7064110</t>
  </si>
  <si>
    <t>SWITCH, PRESSURE 3C-ISG220-N031-W</t>
  </si>
  <si>
    <t>CC7529103</t>
  </si>
  <si>
    <t>PRESSURE SWITCH XMLCS02B2S11</t>
  </si>
  <si>
    <t>CC7581091</t>
  </si>
  <si>
    <t>BATTERY LIGHT BASE 855E-BPM40</t>
  </si>
  <si>
    <t>CC3352752</t>
  </si>
  <si>
    <t>MONOSTABLE SOLENOID VALVE SMC VSS8-4</t>
  </si>
  <si>
    <t>CC5690258</t>
  </si>
  <si>
    <t>MODULE ELECTRONIC 1734OB8S</t>
  </si>
  <si>
    <t>AM2311211</t>
  </si>
  <si>
    <t>1503796627</t>
  </si>
  <si>
    <t>8241974570</t>
  </si>
  <si>
    <t>1503802514</t>
  </si>
  <si>
    <t>1503604074</t>
  </si>
  <si>
    <t>1503604650</t>
  </si>
  <si>
    <t>1503604653</t>
  </si>
  <si>
    <t>1503521955</t>
  </si>
  <si>
    <t>1503899093</t>
  </si>
  <si>
    <t>1503517220</t>
  </si>
  <si>
    <t>1503517396</t>
  </si>
  <si>
    <t>1503517574</t>
  </si>
  <si>
    <t>1503517582</t>
  </si>
  <si>
    <t>1503524098</t>
  </si>
  <si>
    <t>1503524500</t>
  </si>
  <si>
    <t>1503565841</t>
  </si>
  <si>
    <t>1503565843</t>
  </si>
  <si>
    <t>1503565845</t>
  </si>
  <si>
    <t>1503565847</t>
  </si>
  <si>
    <t>1503599611</t>
  </si>
  <si>
    <t>1503599794</t>
  </si>
  <si>
    <t>1503560846</t>
  </si>
  <si>
    <t>Ref. 1262-0 Fatura Fornecedor Transferencia de con</t>
  </si>
  <si>
    <t>1503561278</t>
  </si>
  <si>
    <t>Ref. 1263-0 Fatura Fornecedor Transferencia de con</t>
  </si>
  <si>
    <t>1503891630</t>
  </si>
  <si>
    <t>1503891633</t>
  </si>
  <si>
    <t>8241904162</t>
  </si>
  <si>
    <t>1503899231</t>
  </si>
  <si>
    <t>1503930836</t>
  </si>
  <si>
    <t>1503930839</t>
  </si>
  <si>
    <t>1503932128</t>
  </si>
  <si>
    <t>1503940402</t>
  </si>
  <si>
    <t>1503940415</t>
  </si>
  <si>
    <t>1503940428</t>
  </si>
  <si>
    <t>8242040452</t>
  </si>
  <si>
    <t>1503945446</t>
  </si>
  <si>
    <t>Planejamento, coordenação administrativ</t>
  </si>
  <si>
    <t>1503893353</t>
  </si>
  <si>
    <t>8241744164</t>
  </si>
  <si>
    <t>1503943799</t>
  </si>
  <si>
    <t>8241858286</t>
  </si>
  <si>
    <t>1503938205</t>
  </si>
  <si>
    <t>8242036834</t>
  </si>
  <si>
    <t>1503936934</t>
  </si>
  <si>
    <t>8241938651</t>
  </si>
  <si>
    <t>1503767455</t>
  </si>
  <si>
    <t>Ref. 2162-1 Recebimento Fatura Transferencia de co</t>
  </si>
  <si>
    <t>Painel de Média Tensão 7,2kV 630A 25kA</t>
  </si>
  <si>
    <t>AM2310034</t>
  </si>
  <si>
    <t>Medium Voltage Panel 7.2kV 630A 25kA</t>
  </si>
  <si>
    <t>1503767459</t>
  </si>
  <si>
    <t>Ref. 2162-1 Fatura Fornecedor Transferencia de con</t>
  </si>
  <si>
    <t>1503940231</t>
  </si>
  <si>
    <t>1503940239</t>
  </si>
  <si>
    <t>1503940270</t>
  </si>
  <si>
    <t>1503943256</t>
  </si>
  <si>
    <t>1503943529</t>
  </si>
  <si>
    <t>8242026420</t>
  </si>
  <si>
    <t>1503650943</t>
  </si>
  <si>
    <t>Ref. 167031-1 Recebimento Fatura Transferencia de</t>
  </si>
  <si>
    <t>Relé de segurança DOLD</t>
  </si>
  <si>
    <t>AM2411039</t>
  </si>
  <si>
    <t>DOLD safety relay</t>
  </si>
  <si>
    <t>1503651183</t>
  </si>
  <si>
    <t>Ref. 167031-1 Fatura Fornecedor Transferencia de c</t>
  </si>
  <si>
    <t>1503650942</t>
  </si>
  <si>
    <t>Ref. 167173-1 Recebimento Fatura Transferencia de</t>
  </si>
  <si>
    <t>1503651175</t>
  </si>
  <si>
    <t>Ref. 167173-1 Fatura Fornecedor Transferencia de c</t>
  </si>
  <si>
    <t>8242035885</t>
  </si>
  <si>
    <t>1503936058</t>
  </si>
  <si>
    <t>Ref. 167323-1 Recebimento Fatura Transferencia de</t>
  </si>
  <si>
    <t>1503936061</t>
  </si>
  <si>
    <t>Ref. 167323-1 Fatura Fornecedor Transferencia de c</t>
  </si>
  <si>
    <t>1503945101</t>
  </si>
  <si>
    <t>Ref. 167441-1 Recebimento Fatura Transferencia de</t>
  </si>
  <si>
    <t>1503945106</t>
  </si>
  <si>
    <t>Ref. 167441-1 Fatura Fornecedor Transferencia de c</t>
  </si>
  <si>
    <t>8242035868</t>
  </si>
  <si>
    <t>1503651185</t>
  </si>
  <si>
    <t>Ref. 167167-1 Recebimento Fatura Transferencia de</t>
  </si>
  <si>
    <t>1503651186</t>
  </si>
  <si>
    <t>Ref. 167167-1 Fatura Fornecedor Transferencia de c</t>
  </si>
  <si>
    <t>1503936063</t>
  </si>
  <si>
    <t>Ref. 167329-1 Recebimento Fatura Transferencia de</t>
  </si>
  <si>
    <t>1503936064</t>
  </si>
  <si>
    <t>Ref. 167329-1 Fatura Fornecedor Transferencia de c</t>
  </si>
  <si>
    <t>1503659410</t>
  </si>
  <si>
    <t>Ref. 5480-1 Fatura Fornecedor Transferencia de con</t>
  </si>
  <si>
    <t>1503659414</t>
  </si>
  <si>
    <t>1503659417</t>
  </si>
  <si>
    <t>4500469310</t>
  </si>
  <si>
    <t>1503768246</t>
  </si>
  <si>
    <t>Ref. 00286844-60 Invoice - Gross Trf to Asset Acct</t>
  </si>
  <si>
    <t>BALL SCREW UNIT</t>
  </si>
  <si>
    <t>AM2404167</t>
  </si>
  <si>
    <t>PROX SWITCH Allen-Bradly 872C-A2N12-A2</t>
  </si>
  <si>
    <t>AM2404168</t>
  </si>
  <si>
    <t>Allen-Bradley MPL-B220TVJ42AA SERVO MOTO</t>
  </si>
  <si>
    <t>AM2404169</t>
  </si>
  <si>
    <t>AB MPL-B310P-SJ72AA</t>
  </si>
  <si>
    <t>AM2404170</t>
  </si>
  <si>
    <t>ADDITIONAL MILL PARTS</t>
  </si>
  <si>
    <t>AM2404171</t>
  </si>
  <si>
    <t>SERVO SPINDLE DRIVE MABM3583-8079</t>
  </si>
  <si>
    <t>AM2404190</t>
  </si>
  <si>
    <t>CAST CARRIAGE UPGRADE MEBM8716-2384</t>
  </si>
  <si>
    <t>AM2404191</t>
  </si>
  <si>
    <t>SEW S47 SPEED REDUCER</t>
  </si>
  <si>
    <t>AM2404192</t>
  </si>
  <si>
    <t>SEW AQA100/3 ADAPTER KIT</t>
  </si>
  <si>
    <t>AM2404193</t>
  </si>
  <si>
    <t>1503511282</t>
  </si>
  <si>
    <t>4660000021</t>
  </si>
  <si>
    <t>Direct Charge C CM</t>
  </si>
  <si>
    <t>1503511500</t>
  </si>
  <si>
    <t>1503511850</t>
  </si>
  <si>
    <t>1503515458</t>
  </si>
  <si>
    <t>1503483149</t>
  </si>
  <si>
    <t>Ref. 00310529-2 Invoice - Gross Trf to Asset Acct</t>
  </si>
  <si>
    <t>8242019424</t>
  </si>
  <si>
    <t>1503903286</t>
  </si>
  <si>
    <t>1503947516</t>
  </si>
  <si>
    <t>Ref. 7009-0 Fatura Fornecedor Transferencia de con</t>
  </si>
  <si>
    <t>1503956580</t>
  </si>
  <si>
    <t>Ref. 00309972-2 Invoice - Gross Trf to Asset Acct</t>
  </si>
  <si>
    <t>1503843558</t>
  </si>
  <si>
    <t>LCP-240107-06 - Campo de Provas</t>
  </si>
  <si>
    <t>1504040547</t>
  </si>
  <si>
    <t>CAP - POKA YOKE ISOL</t>
  </si>
  <si>
    <t>602116762</t>
  </si>
  <si>
    <t>EXDO</t>
  </si>
  <si>
    <t>EXPEDITORS INTERNATIONAL</t>
  </si>
  <si>
    <t>17” synchro carcass drum</t>
  </si>
  <si>
    <t>Drum carriage for two Synchrodrums halve</t>
  </si>
  <si>
    <t>602023583</t>
  </si>
  <si>
    <t>602110713</t>
  </si>
  <si>
    <t>8240769187</t>
  </si>
  <si>
    <t>602135891</t>
  </si>
  <si>
    <t>Americana Curing Conveyor Software</t>
  </si>
  <si>
    <t>602152849</t>
  </si>
  <si>
    <t>602152850</t>
  </si>
  <si>
    <t>602152851</t>
  </si>
  <si>
    <t>602166380</t>
  </si>
  <si>
    <t>287074</t>
  </si>
  <si>
    <t>602169790</t>
  </si>
  <si>
    <t>602171475</t>
  </si>
  <si>
    <t>602200729</t>
  </si>
  <si>
    <t>602207544</t>
  </si>
  <si>
    <t>602024059</t>
  </si>
  <si>
    <t>A414300/669240/Parking</t>
  </si>
  <si>
    <t>A414300/669240/Own Meal in Travel Status</t>
  </si>
  <si>
    <t>A414300/669240/Taxi</t>
  </si>
  <si>
    <t>A414300/669240/Hotel</t>
  </si>
  <si>
    <t>A414300/669240/Hotel Tax</t>
  </si>
  <si>
    <t>53031604</t>
  </si>
  <si>
    <t>602053715</t>
  </si>
  <si>
    <t>A415312/669795/Internet/Communication Expenses</t>
  </si>
  <si>
    <t>FCA Packing and Boxing</t>
  </si>
  <si>
    <t>8242077768</t>
  </si>
  <si>
    <t>CCM Conveyor Singulator</t>
  </si>
  <si>
    <t>ICP-240041-40</t>
  </si>
  <si>
    <t>GMIT Network Equipment</t>
  </si>
  <si>
    <t>8242077770</t>
  </si>
  <si>
    <t>ANIX KITS GYT-C0G0-UCEV4.0</t>
  </si>
  <si>
    <t>ANIXTER INC</t>
  </si>
  <si>
    <t>8242077795</t>
  </si>
  <si>
    <t>CCM conveyor barcode camera</t>
  </si>
  <si>
    <t>DATALOGIC USA INC</t>
  </si>
  <si>
    <t>8242077796</t>
  </si>
  <si>
    <t>CCM conveyor software</t>
  </si>
  <si>
    <t>8242077797</t>
  </si>
  <si>
    <t>CCM conveyor electrical drawings</t>
  </si>
  <si>
    <t>8242084745</t>
  </si>
  <si>
    <t>B&amp;T segments for SPR drum</t>
  </si>
  <si>
    <t>Transportation and boxing</t>
  </si>
  <si>
    <t>8241980708</t>
  </si>
  <si>
    <t>1503644866</t>
  </si>
  <si>
    <t>1503760433</t>
  </si>
  <si>
    <t>1503932087</t>
  </si>
  <si>
    <t>1504047809</t>
  </si>
  <si>
    <t>LCP-220207-EX-14</t>
  </si>
  <si>
    <t>8242026444</t>
  </si>
  <si>
    <t>1503325253</t>
  </si>
  <si>
    <t>Ref. 75652-0 Recebimento Fatura Transferencia de c</t>
  </si>
  <si>
    <t>PROTETOR DE CABOS 5 CANAIS 40X40</t>
  </si>
  <si>
    <t>AM2411116</t>
  </si>
  <si>
    <t>CABLE PROTECTOR 5 CHANNEL 40X40</t>
  </si>
  <si>
    <t>1503369407</t>
  </si>
  <si>
    <t>Ref. 12016-0 Fatura Fornecedor Transferencia de co</t>
  </si>
  <si>
    <t>8242039083</t>
  </si>
  <si>
    <t>1503940232</t>
  </si>
  <si>
    <t>Instalação e montagem maquinas e apar</t>
  </si>
  <si>
    <t>1503328630</t>
  </si>
  <si>
    <t>1503369331</t>
  </si>
  <si>
    <t>1503548223</t>
  </si>
  <si>
    <t>1503642421</t>
  </si>
  <si>
    <t>4660000019</t>
  </si>
  <si>
    <t>Direct Charge C SBO</t>
  </si>
  <si>
    <t>1503642449</t>
  </si>
  <si>
    <t>8242036832</t>
  </si>
  <si>
    <t>1503746555</t>
  </si>
  <si>
    <t>1503753675</t>
  </si>
  <si>
    <t>1503822192</t>
  </si>
  <si>
    <t>Ref. 3505-0 Fatura Fornecedor Transferencia de con</t>
  </si>
  <si>
    <t>1503822782</t>
  </si>
  <si>
    <t>Ref. 3510-0 Fatura Fornecedor Transferencia de con</t>
  </si>
  <si>
    <t>1503822939</t>
  </si>
  <si>
    <t>Ref. 3515-0 Fatura Fornecedor Transferencia de con</t>
  </si>
  <si>
    <t>1503823129</t>
  </si>
  <si>
    <t>Ref. 3523-0 Fatura Fornecedor Transferencia de con</t>
  </si>
  <si>
    <t>1503857790</t>
  </si>
  <si>
    <t>1503944773</t>
  </si>
  <si>
    <t>Ref. 3528-0 Fatura Fornecedor Transferencia de con</t>
  </si>
  <si>
    <t>1503952233</t>
  </si>
  <si>
    <t>1503230261</t>
  </si>
  <si>
    <t>1503230262</t>
  </si>
  <si>
    <t>1503613706</t>
  </si>
  <si>
    <t>Ref. 3488-0 Fatura Fornecedor Transferencia de con</t>
  </si>
  <si>
    <t>1503613902</t>
  </si>
  <si>
    <t>Ref. 3489-0 Fatura Fornecedor Transferencia de con</t>
  </si>
  <si>
    <t>1503658086</t>
  </si>
  <si>
    <t>1503658098</t>
  </si>
  <si>
    <t>1503822941</t>
  </si>
  <si>
    <t>Ref. 3516-0 Fatura Fornecedor Transferencia de con</t>
  </si>
  <si>
    <t>1503822961</t>
  </si>
  <si>
    <t>Ref. 3517-0 Fatura Fornecedor Transferencia de con</t>
  </si>
  <si>
    <t>LCP-240190-EX-01</t>
  </si>
  <si>
    <t>8242013482</t>
  </si>
  <si>
    <t>1503356026</t>
  </si>
  <si>
    <t>1503356035</t>
  </si>
  <si>
    <t>1503356045</t>
  </si>
  <si>
    <t>1503356047</t>
  </si>
  <si>
    <t>1503547541</t>
  </si>
  <si>
    <t>1503547558</t>
  </si>
  <si>
    <t>1503547559</t>
  </si>
  <si>
    <t>1503547589</t>
  </si>
  <si>
    <t>1503822167</t>
  </si>
  <si>
    <t>Ref. 3501-0 Fatura Fornecedor Transferencia de con</t>
  </si>
  <si>
    <t>1503822170</t>
  </si>
  <si>
    <t>Ref. 3502-0 Fatura Fornecedor Transferencia de con</t>
  </si>
  <si>
    <t>1503822176</t>
  </si>
  <si>
    <t>Ref. 3503-0 Fatura Fornecedor Transferencia de con</t>
  </si>
  <si>
    <t>1503822181</t>
  </si>
  <si>
    <t>Ref. 3504-0 Fatura Fornecedor Transferencia de con</t>
  </si>
  <si>
    <t>1503822788</t>
  </si>
  <si>
    <t>Ref. 3511-0 Fatura Fornecedor Transferencia de con</t>
  </si>
  <si>
    <t>1503822795</t>
  </si>
  <si>
    <t>Ref. 3512-0 Fatura Fornecedor Transferencia de con</t>
  </si>
  <si>
    <t>1503822799</t>
  </si>
  <si>
    <t>Ref. 3513-0 Fatura Fornecedor Transferencia de con</t>
  </si>
  <si>
    <t>1503822904</t>
  </si>
  <si>
    <t>Ref. 3514-0 Fatura Fornecedor Transferencia de con</t>
  </si>
  <si>
    <t>8242014049</t>
  </si>
  <si>
    <t>1503901987</t>
  </si>
  <si>
    <t>1503901990</t>
  </si>
  <si>
    <t>1503944786</t>
  </si>
  <si>
    <t>Ref. 3529-0 Fatura Fornecedor Transferencia de con</t>
  </si>
  <si>
    <t>1503945307</t>
  </si>
  <si>
    <t>Ref. 3530-0 Fatura Fornecedor Transferencia de con</t>
  </si>
  <si>
    <t>8242014092</t>
  </si>
  <si>
    <t>1504046970</t>
  </si>
  <si>
    <t>1504047222</t>
  </si>
  <si>
    <t>1504047279</t>
  </si>
  <si>
    <t>1504047488</t>
  </si>
  <si>
    <t>ESTUDO</t>
  </si>
  <si>
    <t>MOLDES</t>
  </si>
  <si>
    <t>Abril - Remoção da máquina</t>
  </si>
  <si>
    <t xml:space="preserve">Em rota de aprovação:
30K - MANUAL BALANCER MACHINES </t>
  </si>
  <si>
    <t>LAPG - OPTICAL FIBER SYSTEM UPDATE</t>
  </si>
  <si>
    <t>LAPG - GPS RADIO TRACK MONITORING SYSTEM</t>
  </si>
  <si>
    <t>LCP-250026</t>
  </si>
  <si>
    <t>LCP-250025</t>
  </si>
  <si>
    <t>LCP-250027</t>
  </si>
  <si>
    <t>04/02 - Saldo em USD 26K
Chegou em Viracopos 22/02
Frete é CPT, o fornecedor é responsável pela entrega</t>
  </si>
  <si>
    <t>04/02 - Saldo em aberto USD 44K
Chegou em Viracopos 22/02
Frete é CPT, o fornecedor é responsável pela entrega</t>
  </si>
  <si>
    <t>1503933331</t>
  </si>
  <si>
    <t>1504066814</t>
  </si>
  <si>
    <t>8242027078</t>
  </si>
  <si>
    <t>1504052463</t>
  </si>
  <si>
    <t>1504064022</t>
  </si>
  <si>
    <t>1504060835</t>
  </si>
  <si>
    <t>1504052492</t>
  </si>
  <si>
    <t>1504064174</t>
  </si>
  <si>
    <t>1504064554</t>
  </si>
  <si>
    <t>1504064574</t>
  </si>
  <si>
    <t>1504064801</t>
  </si>
  <si>
    <t>1504064817</t>
  </si>
  <si>
    <t>1504064821</t>
  </si>
  <si>
    <t>1504064823</t>
  </si>
  <si>
    <t>1504064965</t>
  </si>
  <si>
    <t>8241870399</t>
  </si>
  <si>
    <t>1504062147</t>
  </si>
  <si>
    <t>8241932415</t>
  </si>
  <si>
    <t>1504061814</t>
  </si>
  <si>
    <t>1504068011</t>
  </si>
  <si>
    <t>PROCESSO DE EMBARQUE:MRO-BR02487I24</t>
  </si>
  <si>
    <t>8242024822</t>
  </si>
  <si>
    <t>1504066036</t>
  </si>
  <si>
    <t>1504067600</t>
  </si>
  <si>
    <t>PROCESSO DE EMBARQUE:MRO-BR02565I24</t>
  </si>
  <si>
    <t>1504089350</t>
  </si>
  <si>
    <t>LCP-240107-04 - Campo de Provas</t>
  </si>
  <si>
    <t>LAPG - GPS RADIO TRA</t>
  </si>
  <si>
    <t>LCP-250025-01</t>
  </si>
  <si>
    <t>CAP - System optical</t>
  </si>
  <si>
    <t>LAPG - OPTICAL FIBER</t>
  </si>
  <si>
    <t>LCP-250026-01</t>
  </si>
  <si>
    <t>CAP - System Optical</t>
  </si>
  <si>
    <t>LCP-250027-01</t>
  </si>
  <si>
    <t>CAP - Safer Barriers</t>
  </si>
  <si>
    <t>LCP-250027-02</t>
  </si>
  <si>
    <t>CAP - Conveypr Belt</t>
  </si>
  <si>
    <t>LCP-230060-EX-97</t>
  </si>
  <si>
    <t>8241986132</t>
  </si>
  <si>
    <t>1504061115</t>
  </si>
  <si>
    <t>1504087319</t>
  </si>
  <si>
    <t>Ref. 3534-0 Fatura Fornecedor Transferencia de con</t>
  </si>
  <si>
    <t>25/02: 
Corpo ja foi trocado.
TCU instlado em Abril
Restante dos itens (safety enhancement. e unidade hidraulica e instacao de ar comprimido)
Scope Change em rota desde 19/02
31/10 - Saldo em aberto USD 57K</t>
  </si>
  <si>
    <t>25/02: Feito Scope Change para mudar o objetivo do Projeto. Anteriormente se tratava do OTR (aguardando finanças).
Expansão da Casa de Força, Troca de bombas Subestação Elétrica, PLC, Adequação de tubulação e Valvulas</t>
  </si>
  <si>
    <t>25/02: Aprovado no GBS em 05/02. Aguardando OK da regiao para antecipar para 2025.</t>
  </si>
  <si>
    <t>LCP-250030</t>
  </si>
  <si>
    <t>TOTAL 2028</t>
  </si>
  <si>
    <t>LCP-250006-02</t>
  </si>
  <si>
    <t>LCP-250006-03</t>
  </si>
  <si>
    <t>LCP-250006-04</t>
  </si>
  <si>
    <t>LCP-250006-05</t>
  </si>
  <si>
    <t>LCP-250006-06</t>
  </si>
  <si>
    <t>LCP-250006-07</t>
  </si>
  <si>
    <t>LCP-250006-08</t>
  </si>
  <si>
    <t>LCP-250006-10</t>
  </si>
  <si>
    <t>LCP-250006-11</t>
  </si>
  <si>
    <t>NITROGEN VALVE STAND SUITABILITY</t>
  </si>
  <si>
    <t>SUITABILITY OF STEAM VALVE TRESTLE</t>
  </si>
  <si>
    <t>UPGRADE CÂMERAS E+L NGTTS</t>
  </si>
  <si>
    <t>VERSA VIEW DA FISCHER 2</t>
  </si>
  <si>
    <t>SOFTWARE SUPERVISÓRIO BREAKER CUTTER</t>
  </si>
  <si>
    <t>UPGRADE CPU L63 PARA L82 (HIPERDRIVE)</t>
  </si>
  <si>
    <t>SALA DE MANUTENCAO E TESTES TBM</t>
  </si>
  <si>
    <t>SALA DE TREINAMENTO TNC CALANDRA TECIDO</t>
  </si>
  <si>
    <t>Anterior LCP-240059-15</t>
  </si>
  <si>
    <t xml:space="preserve">25/02:
USD9K é referente ao Project Design
</t>
  </si>
  <si>
    <t>Carta Suporte em rota local
. Alinhado com a Região que iria ultrapassar o AOP</t>
  </si>
  <si>
    <t>LCP-250029</t>
  </si>
  <si>
    <t>25/02 - Saldo em aberto USD 1,1MM
PO em abertos seráo verificados</t>
  </si>
  <si>
    <t>25/02 - Saldo em aberto USD 2K
PO em aberto  instalacao</t>
  </si>
  <si>
    <t>ProjetoLocal ainda em andamento
25/02 - Saldo em Zero</t>
  </si>
  <si>
    <t>25/02- Saldo em Zero</t>
  </si>
  <si>
    <t>25/02 - Saldo em aberto 42K</t>
  </si>
  <si>
    <t>Em andamento
25/02 - Saldo em Zero</t>
  </si>
  <si>
    <t>Em andamento
25/02 - Saldo em aberto USD 25,7</t>
  </si>
  <si>
    <t>2502 - Saldo em Zero</t>
  </si>
  <si>
    <t>25/02 - Saldo em aberto USD 7,2K</t>
  </si>
  <si>
    <t>25/02 - Saldo em aberto USD 66,7</t>
  </si>
  <si>
    <t>25/02 - Saldo em aberto USD 3,6MM</t>
  </si>
  <si>
    <t>25/02 - Saldo em aberto USD 1,9K</t>
  </si>
  <si>
    <t>25/02 - Saldo em aberto USD 15K</t>
  </si>
  <si>
    <t>25/02- Saldo em aberto USD 8K</t>
  </si>
  <si>
    <t>25/02- Saldo em aberto USD33K</t>
  </si>
  <si>
    <t>25/02 - Saldo em aberto USD 117K</t>
  </si>
  <si>
    <t>LCP-250006-EX</t>
  </si>
  <si>
    <t>EXP - AME - MISCELLANEOUS BUDGET 2025</t>
  </si>
  <si>
    <t>LCP-250030-EX</t>
  </si>
  <si>
    <t>LCP-250031</t>
  </si>
  <si>
    <t xml:space="preserve">2026
SC aberta em 6/Junho, aguardando PO
Novos Racks para K7 na TBM.
Layout definido
</t>
  </si>
  <si>
    <t>25/02 Relocacao da prensa F17/18 e descarte de prensas antigas</t>
  </si>
  <si>
    <t>LOC-250001-00-07</t>
  </si>
  <si>
    <t>(6) CLIMATIZADOR PORTATIL ROTO 55</t>
  </si>
  <si>
    <t>1504144266</t>
  </si>
  <si>
    <t>Ref. 3326-0 Fatura Fornecedor Transferencia de con</t>
  </si>
  <si>
    <t>1504134242</t>
  </si>
  <si>
    <t>1504139644</t>
  </si>
  <si>
    <t>Ref. 3775-0 Fatura Fornecedor Transferencia de con</t>
  </si>
  <si>
    <t>1504147811</t>
  </si>
  <si>
    <t>Ref. 25827-0 Fatura Fornecedor Transferencia de co</t>
  </si>
  <si>
    <t>1504138760</t>
  </si>
  <si>
    <t>Ref. 25826-0 Fatura Fornecedor Transferencia de co</t>
  </si>
  <si>
    <t>1504144244</t>
  </si>
  <si>
    <t>Ref. 3324-0 Fatura Fornecedor Transferencia de con</t>
  </si>
  <si>
    <t>1504125922</t>
  </si>
  <si>
    <t>Ref. 4057-0 Fatura Fornecedor Transferencia de con</t>
  </si>
  <si>
    <t>1504095296</t>
  </si>
  <si>
    <t>Ajuste impostos - Fev/25</t>
  </si>
  <si>
    <t>1504105517</t>
  </si>
  <si>
    <t>Ref. 3331-0 Fatura Fornecedor Transferencia de con</t>
  </si>
  <si>
    <t>1504105876</t>
  </si>
  <si>
    <t>Ref. 3329-0 Fatura Fornecedor Transferencia de con</t>
  </si>
  <si>
    <t>1504136306</t>
  </si>
  <si>
    <t>Ref. 35993-0 Fatura Fornecedor Transferencia de co</t>
  </si>
  <si>
    <t>1504140520</t>
  </si>
  <si>
    <t>Ref. 1284-0 Fatura Fornecedor Transferencia de con</t>
  </si>
  <si>
    <t>1504140527</t>
  </si>
  <si>
    <t>Ref. 1283-0 Fatura Fornecedor Transferencia de con</t>
  </si>
  <si>
    <t>1504140542</t>
  </si>
  <si>
    <t>Ref. 1282-0 Fatura Fornecedor Transferencia de con</t>
  </si>
  <si>
    <t>1504140553</t>
  </si>
  <si>
    <t>Ref. 1280-0 Fatura Fornecedor Transferencia de con</t>
  </si>
  <si>
    <t>1504140569</t>
  </si>
  <si>
    <t>Ref. 1279-0 Fatura Fornecedor Transferencia de con</t>
  </si>
  <si>
    <t>1504144231</t>
  </si>
  <si>
    <t>Ref. 3330-0 Fatura Fornecedor Transferencia de con</t>
  </si>
  <si>
    <t>1504095512</t>
  </si>
  <si>
    <t>CHG-MERIDI-4503182 - 2/25</t>
  </si>
  <si>
    <t>1504134467</t>
  </si>
  <si>
    <t>Ref. 2040-0 Fatura Fornecedor Transferencia de con</t>
  </si>
  <si>
    <t>1504139659</t>
  </si>
  <si>
    <t>Ref. 3778-1 Fatura Fornecedor Transferencia de con</t>
  </si>
  <si>
    <t>1504143854</t>
  </si>
  <si>
    <t>Ref. 25807-0 Fatura Fornecedor Transferencia de co</t>
  </si>
  <si>
    <t>1504104531</t>
  </si>
  <si>
    <t>Ref. 2928-0 Fatura Fornecedor Transferencia de con</t>
  </si>
  <si>
    <t>1504104904</t>
  </si>
  <si>
    <t>Ref. 2927-0 Fatura Fornecedor Transferencia de con</t>
  </si>
  <si>
    <t>1504104956</t>
  </si>
  <si>
    <t>Ref. 2926-0 Fatura Fornecedor Transferencia de con</t>
  </si>
  <si>
    <t>8242079983</t>
  </si>
  <si>
    <t>1504096202</t>
  </si>
  <si>
    <t>Ref. 1113325-4 Recebimento Fatura Transferencia de</t>
  </si>
  <si>
    <t>VALVULA DIRECIONAL SOLENOIDE VFS3330-5DZ</t>
  </si>
  <si>
    <t>AM2502098</t>
  </si>
  <si>
    <t>1504096702</t>
  </si>
  <si>
    <t>Ref. 1113325-4 Fatura Fornecedor Transferencia de</t>
  </si>
  <si>
    <t>1504133719</t>
  </si>
  <si>
    <t>Diferencial de aliquota de ATIVO 02-2025</t>
  </si>
  <si>
    <t>1504144073</t>
  </si>
  <si>
    <t>Ref. 1113325-4 Invoice - Gross Trf to Asset Acct</t>
  </si>
  <si>
    <t>1504144505</t>
  </si>
  <si>
    <t>1504153424</t>
  </si>
  <si>
    <t>AJ Encerramento 02.25</t>
  </si>
  <si>
    <t>1504153426</t>
  </si>
  <si>
    <t>LCP-200185-94</t>
  </si>
  <si>
    <t>LCP-250030-01</t>
  </si>
  <si>
    <t>LCP-250030-02</t>
  </si>
  <si>
    <t>LCP-250030-03</t>
  </si>
  <si>
    <t>LCP-250030-04</t>
  </si>
  <si>
    <t>LCP-250031-01</t>
  </si>
  <si>
    <t>LCP-250031-02</t>
  </si>
  <si>
    <t>LCP-250031-03</t>
  </si>
  <si>
    <t>602231890</t>
  </si>
  <si>
    <t>602237389</t>
  </si>
  <si>
    <t>602239305</t>
  </si>
  <si>
    <t>602264971</t>
  </si>
  <si>
    <t>FXFE</t>
  </si>
  <si>
    <t>FEDEX FREIGHT INC</t>
  </si>
  <si>
    <t>602269686</t>
  </si>
  <si>
    <t>,57109901,Z058,604926980 ICP-200043</t>
  </si>
  <si>
    <t>602237336</t>
  </si>
  <si>
    <t>602237338</t>
  </si>
  <si>
    <t>602262069</t>
  </si>
  <si>
    <t>Estimate Prep Charges from ICP-910569</t>
  </si>
  <si>
    <t>8242086217</t>
  </si>
  <si>
    <t>Janeiro</t>
  </si>
  <si>
    <t>Mês</t>
  </si>
  <si>
    <t>Total Current Year</t>
  </si>
  <si>
    <t>Fevereiro</t>
  </si>
  <si>
    <t>Março</t>
  </si>
  <si>
    <t>Abril</t>
  </si>
  <si>
    <t>Maio</t>
  </si>
  <si>
    <t>Junho</t>
  </si>
  <si>
    <t>Julho</t>
  </si>
  <si>
    <t>Agosto</t>
  </si>
  <si>
    <t>Setembro</t>
  </si>
  <si>
    <t>Outubro</t>
  </si>
  <si>
    <t>Novembro</t>
  </si>
  <si>
    <t>AOP Accumulated</t>
  </si>
  <si>
    <t>Total Current Year Accumulated</t>
  </si>
  <si>
    <t>MC – MANUAL BALANCER MACHINES - ANCHIETA</t>
  </si>
  <si>
    <t>LOC-250001-00-08</t>
  </si>
  <si>
    <t>(1) PALETEIRA PANTOGRÁFICA</t>
  </si>
  <si>
    <t>LOC-250001-00-09</t>
  </si>
  <si>
    <t>(1) MICROONDAS ELECTROLUX 31 LITROS</t>
  </si>
  <si>
    <t>OTHERS</t>
  </si>
  <si>
    <t>OK, FINALIZADO. RESP: CARLOS SERAFIM</t>
  </si>
  <si>
    <t>OK, FINALIZADO. RESP: DIEGO CASTANHARO</t>
  </si>
  <si>
    <t>OK, FINALIZADO. RESP: DIEGO RAGONHA</t>
  </si>
  <si>
    <t>OK, FINALIZADO. RESP: CHARLES BARBAN</t>
  </si>
  <si>
    <t>OK, FINALIZADO. RESP: FERNANDO BUENO</t>
  </si>
  <si>
    <t>OK. FINALIZADO. RESP: JOAO ZAINA</t>
  </si>
  <si>
    <t>OK, FINALIZADO. RESP: GUSTAVO PARRAS</t>
  </si>
  <si>
    <t>OK, FINALIZADO. RESP: HEDSLAY QUINTAL</t>
  </si>
  <si>
    <t>OK, FINALIZADO. RESP: HENRIQUE CARDOSO</t>
  </si>
  <si>
    <t>OK, FINALIZADO. RESP: HUELITON MAGNANI</t>
  </si>
  <si>
    <t>OK, FINALIZADO. RESP.: PATRICIA</t>
  </si>
  <si>
    <t>OK, FINALIZADO. RESP: REGINALDO MARESCHI</t>
  </si>
  <si>
    <t>OK, FINALIZADO. RESP: RICARDO TEIXEIRA</t>
  </si>
  <si>
    <t>CANCELADO. RESP: RICARDO TEIXEIRA</t>
  </si>
  <si>
    <t>OK, FINALIZADO. RESP: FABIO MORAES</t>
  </si>
  <si>
    <t>JATEADORA DE GELO SECO</t>
  </si>
  <si>
    <t>LCP-250006-12</t>
  </si>
  <si>
    <t>Aprovado para 2025</t>
  </si>
  <si>
    <t>ADEQUACAO DE PAINEL MOTOBOMBA EDF.75</t>
  </si>
  <si>
    <t>Aprovado em 2024 mas foi adiado para 2025 devido ao prazo. Aguardando OK do TEN para iniciar</t>
  </si>
  <si>
    <t>Utilities</t>
  </si>
  <si>
    <t>Prioritário para o time de Manutenção.
Aguardando aprovação do Hopper (Humberto - Desde 28/02)</t>
  </si>
  <si>
    <t>Prioritário para o time de Manutenção.
Hopper em aprovação (Carlos Matioli)</t>
  </si>
  <si>
    <t>Prioritário para o time de Manutenção.
Hopper em aprovação (Hebert Ferreira)</t>
  </si>
  <si>
    <t>March 03rd
COMMENTS</t>
  </si>
  <si>
    <t>NOK</t>
  </si>
  <si>
    <t>Prioritário para o time de Utilidades.
Aguardando criação do Hopper</t>
  </si>
  <si>
    <t>STOPPED WITH:</t>
  </si>
  <si>
    <t>RELOCAÇÃO</t>
  </si>
  <si>
    <t xml:space="preserve">- Main Achievements: 
- Risks: 
- Next steps: </t>
  </si>
  <si>
    <t>1504240826</t>
  </si>
  <si>
    <t>1504240828</t>
  </si>
  <si>
    <t>1504228050</t>
  </si>
  <si>
    <t>DP IMP Fevereiro/25</t>
  </si>
  <si>
    <t>1504240830</t>
  </si>
  <si>
    <t>1504251762</t>
  </si>
  <si>
    <t>1504253585</t>
  </si>
  <si>
    <t>1504240832</t>
  </si>
  <si>
    <t>1504240836</t>
  </si>
  <si>
    <t>1504240840</t>
  </si>
  <si>
    <t>1504240842</t>
  </si>
  <si>
    <t>1504240844</t>
  </si>
  <si>
    <t>março</t>
  </si>
  <si>
    <t>3</t>
  </si>
  <si>
    <t>8241901954</t>
  </si>
  <si>
    <t>1504351081</t>
  </si>
  <si>
    <t>Ref. 109507-1 Recebimento Fatura Transferencia de</t>
  </si>
  <si>
    <t>KIT VALVULA TIPO ESFERA DE DRENO PNLD II</t>
  </si>
  <si>
    <t>AM2407118</t>
  </si>
  <si>
    <t>PNLD II DRAIN BALL TYPE VALVE KIT</t>
  </si>
  <si>
    <t>1504351084</t>
  </si>
  <si>
    <t>Ref. 109507-1 Fatura Fornecedor Transferencia de c</t>
  </si>
  <si>
    <t>1504240849</t>
  </si>
  <si>
    <t>1504350230</t>
  </si>
  <si>
    <t>1504240850</t>
  </si>
  <si>
    <t>1504239224</t>
  </si>
  <si>
    <t>1504239227</t>
  </si>
  <si>
    <t>1504240851</t>
  </si>
  <si>
    <t>1504240852</t>
  </si>
  <si>
    <t>1504240853</t>
  </si>
  <si>
    <t>1504240854</t>
  </si>
  <si>
    <t>1504240855</t>
  </si>
  <si>
    <t>1504240856</t>
  </si>
  <si>
    <t>1504240857</t>
  </si>
  <si>
    <t>1504240858</t>
  </si>
  <si>
    <t>1504240859</t>
  </si>
  <si>
    <t>1504240860</t>
  </si>
  <si>
    <t>1504240862</t>
  </si>
  <si>
    <t>1504240863</t>
  </si>
  <si>
    <t>1504402452</t>
  </si>
  <si>
    <t>Pagamento Net Empresa - LI Goodplace</t>
  </si>
  <si>
    <t>602004153</t>
  </si>
  <si>
    <t>CETESB COMP.TECN.SAN.AMBIENTAL</t>
  </si>
  <si>
    <t>1504240864</t>
  </si>
  <si>
    <t>1504240865</t>
  </si>
  <si>
    <t>1504240866</t>
  </si>
  <si>
    <t>1504192010</t>
  </si>
  <si>
    <t>Reclass entre projetos</t>
  </si>
  <si>
    <t>1504240868</t>
  </si>
  <si>
    <t>1504240869</t>
  </si>
  <si>
    <t>1504240870</t>
  </si>
  <si>
    <t>1504240871</t>
  </si>
  <si>
    <t>1504392751</t>
  </si>
  <si>
    <t>Ref. 167658-1 Recebimento Fatura Transferencia de</t>
  </si>
  <si>
    <t>1504392752</t>
  </si>
  <si>
    <t>Ref. 167658-1 Fatura Fornecedor Transferencia de c</t>
  </si>
  <si>
    <t>1504240874</t>
  </si>
  <si>
    <t>1504240875</t>
  </si>
  <si>
    <t>1504240876</t>
  </si>
  <si>
    <t>1504177138</t>
  </si>
  <si>
    <t>AJUSTE CREDITO ATIVO PLANILHA PRODUTIVIDADE 01_202</t>
  </si>
  <si>
    <t>1504240878</t>
  </si>
  <si>
    <t>1504240879</t>
  </si>
  <si>
    <t>1504240880</t>
  </si>
  <si>
    <t>1504240881</t>
  </si>
  <si>
    <t>1504402473</t>
  </si>
  <si>
    <t>Pagamento Net Empresa - Movimentação de Terra AM</t>
  </si>
  <si>
    <t>604000047</t>
  </si>
  <si>
    <t>PREF. DO MUNICIPIO  AMERICANA</t>
  </si>
  <si>
    <t>1504240486</t>
  </si>
  <si>
    <t>1504240883</t>
  </si>
  <si>
    <t>1504350096</t>
  </si>
  <si>
    <t>1504350100</t>
  </si>
  <si>
    <t>1504240888</t>
  </si>
  <si>
    <t>1504240894</t>
  </si>
  <si>
    <t>1504240895</t>
  </si>
  <si>
    <t>1504240896</t>
  </si>
  <si>
    <t>1504240897</t>
  </si>
  <si>
    <t>1504240898</t>
  </si>
  <si>
    <t>1504240899</t>
  </si>
  <si>
    <t>FSB - LIGHTING SYSTE</t>
  </si>
  <si>
    <t>LCP-250029-01</t>
  </si>
  <si>
    <t>LCP-250029-02</t>
  </si>
  <si>
    <t>355819645</t>
  </si>
  <si>
    <t>355819646</t>
  </si>
  <si>
    <t>355821606</t>
  </si>
  <si>
    <t>355821607</t>
  </si>
  <si>
    <t>355821608</t>
  </si>
  <si>
    <t>355821609</t>
  </si>
  <si>
    <t>355821610</t>
  </si>
  <si>
    <t>355821611</t>
  </si>
  <si>
    <t>355821612</t>
  </si>
  <si>
    <t>355821613</t>
  </si>
  <si>
    <t>355821614</t>
  </si>
  <si>
    <t>355821615</t>
  </si>
  <si>
    <t>355821616</t>
  </si>
  <si>
    <t>355821617</t>
  </si>
  <si>
    <t>355821618</t>
  </si>
  <si>
    <t>355821619</t>
  </si>
  <si>
    <t>355821620</t>
  </si>
  <si>
    <t>355821621</t>
  </si>
  <si>
    <t>355821622</t>
  </si>
  <si>
    <t>355821623</t>
  </si>
  <si>
    <t>355821624</t>
  </si>
  <si>
    <t>355821625</t>
  </si>
  <si>
    <t>355821626</t>
  </si>
  <si>
    <t>355821627</t>
  </si>
  <si>
    <t>355821628</t>
  </si>
  <si>
    <t>355821629</t>
  </si>
  <si>
    <t>355821630</t>
  </si>
  <si>
    <t>355821631</t>
  </si>
  <si>
    <t>355821632</t>
  </si>
  <si>
    <t>355821633</t>
  </si>
  <si>
    <t>355821634</t>
  </si>
  <si>
    <t>355821735</t>
  </si>
  <si>
    <t>355821736</t>
  </si>
  <si>
    <t>355821737</t>
  </si>
  <si>
    <t>355821738</t>
  </si>
  <si>
    <t>355821739</t>
  </si>
  <si>
    <t>355821740</t>
  </si>
  <si>
    <t>355821741</t>
  </si>
  <si>
    <t>355821742</t>
  </si>
  <si>
    <t>355821743</t>
  </si>
  <si>
    <t>355821744</t>
  </si>
  <si>
    <t>355821745</t>
  </si>
  <si>
    <t>355821746</t>
  </si>
  <si>
    <t>355821747</t>
  </si>
  <si>
    <t>355821748</t>
  </si>
  <si>
    <t>355821749</t>
  </si>
  <si>
    <t>355821750</t>
  </si>
  <si>
    <t>355821751</t>
  </si>
  <si>
    <t>355821752</t>
  </si>
  <si>
    <t>355821753</t>
  </si>
  <si>
    <t>355821754</t>
  </si>
  <si>
    <t>355821755</t>
  </si>
  <si>
    <t>355821756</t>
  </si>
  <si>
    <t>355821757</t>
  </si>
  <si>
    <t>355821758</t>
  </si>
  <si>
    <t>355821759</t>
  </si>
  <si>
    <t>355821760</t>
  </si>
  <si>
    <t>355821761</t>
  </si>
  <si>
    <t>355821762</t>
  </si>
  <si>
    <t>355821763</t>
  </si>
  <si>
    <t>355821764</t>
  </si>
  <si>
    <t>355821765</t>
  </si>
  <si>
    <t>355821766</t>
  </si>
  <si>
    <t>355821767</t>
  </si>
  <si>
    <t>355821768</t>
  </si>
  <si>
    <t>355821769</t>
  </si>
  <si>
    <t>355821770</t>
  </si>
  <si>
    <t>355821771</t>
  </si>
  <si>
    <t>355821772</t>
  </si>
  <si>
    <t>355821773</t>
  </si>
  <si>
    <t>355821774</t>
  </si>
  <si>
    <t>355821775</t>
  </si>
  <si>
    <t>355821776</t>
  </si>
  <si>
    <t>355821777</t>
  </si>
  <si>
    <t>355821778</t>
  </si>
  <si>
    <t>355821779</t>
  </si>
  <si>
    <t>355821780</t>
  </si>
  <si>
    <t>355821781</t>
  </si>
  <si>
    <t>355822254</t>
  </si>
  <si>
    <t>355822255</t>
  </si>
  <si>
    <t>355822256</t>
  </si>
  <si>
    <t>355822257</t>
  </si>
  <si>
    <t>355822258</t>
  </si>
  <si>
    <t>355822259</t>
  </si>
  <si>
    <t>355822260</t>
  </si>
  <si>
    <t>355822261</t>
  </si>
  <si>
    <t>355822262</t>
  </si>
  <si>
    <t>355822263</t>
  </si>
  <si>
    <t>355822264</t>
  </si>
  <si>
    <t>355822265</t>
  </si>
  <si>
    <t>355822266</t>
  </si>
  <si>
    <t>355822267</t>
  </si>
  <si>
    <t>355822268</t>
  </si>
  <si>
    <t>355822269</t>
  </si>
  <si>
    <t>355822270</t>
  </si>
  <si>
    <t>355822271</t>
  </si>
  <si>
    <t>355822272</t>
  </si>
  <si>
    <t>355822273</t>
  </si>
  <si>
    <t>355822274</t>
  </si>
  <si>
    <t>355822275</t>
  </si>
  <si>
    <t>355822276</t>
  </si>
  <si>
    <t>355822277</t>
  </si>
  <si>
    <t>355822278</t>
  </si>
  <si>
    <t>355822279</t>
  </si>
  <si>
    <t>355822280</t>
  </si>
  <si>
    <t>355822281</t>
  </si>
  <si>
    <t>355822282</t>
  </si>
  <si>
    <t>355822283</t>
  </si>
  <si>
    <t>355822284</t>
  </si>
  <si>
    <t>355822285</t>
  </si>
  <si>
    <t>355822286</t>
  </si>
  <si>
    <t>355822287</t>
  </si>
  <si>
    <t>355822288</t>
  </si>
  <si>
    <t>355822289</t>
  </si>
  <si>
    <t>355822290</t>
  </si>
  <si>
    <t>355822291</t>
  </si>
  <si>
    <t>355822292</t>
  </si>
  <si>
    <t>355822293</t>
  </si>
  <si>
    <t>355822294</t>
  </si>
  <si>
    <t>355822295</t>
  </si>
  <si>
    <t>355822296</t>
  </si>
  <si>
    <t>355822297</t>
  </si>
  <si>
    <t>355822298</t>
  </si>
  <si>
    <t>355822299</t>
  </si>
  <si>
    <t>355822300</t>
  </si>
  <si>
    <t>355822301</t>
  </si>
  <si>
    <t>355822302</t>
  </si>
  <si>
    <t>355822303</t>
  </si>
  <si>
    <t>355822304</t>
  </si>
  <si>
    <t>355822305</t>
  </si>
  <si>
    <t>355822306</t>
  </si>
  <si>
    <t>355822307</t>
  </si>
  <si>
    <t>355822308</t>
  </si>
  <si>
    <t>355822309</t>
  </si>
  <si>
    <t>355822310</t>
  </si>
  <si>
    <t>355822311</t>
  </si>
  <si>
    <t>355822312</t>
  </si>
  <si>
    <t>355822313</t>
  </si>
  <si>
    <t>355822314</t>
  </si>
  <si>
    <t>355822315</t>
  </si>
  <si>
    <t>355822316</t>
  </si>
  <si>
    <t>355822317</t>
  </si>
  <si>
    <t>355822318</t>
  </si>
  <si>
    <t>355822319</t>
  </si>
  <si>
    <t>355822320</t>
  </si>
  <si>
    <t>355822321</t>
  </si>
  <si>
    <t>355822322</t>
  </si>
  <si>
    <t>355822323</t>
  </si>
  <si>
    <t>355822324</t>
  </si>
  <si>
    <t>355822325</t>
  </si>
  <si>
    <t>355822326</t>
  </si>
  <si>
    <t>355822327</t>
  </si>
  <si>
    <t>355822328</t>
  </si>
  <si>
    <t>355822329</t>
  </si>
  <si>
    <t>355822330</t>
  </si>
  <si>
    <t>355822331</t>
  </si>
  <si>
    <t>355822332</t>
  </si>
  <si>
    <t>355822333</t>
  </si>
  <si>
    <t>355822334</t>
  </si>
  <si>
    <t>355822335</t>
  </si>
  <si>
    <t>355822336</t>
  </si>
  <si>
    <t>355822337</t>
  </si>
  <si>
    <t>355822338</t>
  </si>
  <si>
    <t>355822339</t>
  </si>
  <si>
    <t>355822340</t>
  </si>
  <si>
    <t>355822341</t>
  </si>
  <si>
    <t>355822342</t>
  </si>
  <si>
    <t>355822796</t>
  </si>
  <si>
    <t>355822797</t>
  </si>
  <si>
    <t>355822798</t>
  </si>
  <si>
    <t>355822799</t>
  </si>
  <si>
    <t>355822800</t>
  </si>
  <si>
    <t>355822801</t>
  </si>
  <si>
    <t>355822802</t>
  </si>
  <si>
    <t>355822803</t>
  </si>
  <si>
    <t>355823014</t>
  </si>
  <si>
    <t>355823015</t>
  </si>
  <si>
    <t>355823688</t>
  </si>
  <si>
    <t>355823689</t>
  </si>
  <si>
    <t>355823690</t>
  </si>
  <si>
    <t>355823691</t>
  </si>
  <si>
    <t>355823692</t>
  </si>
  <si>
    <t>355823693</t>
  </si>
  <si>
    <t>355823694</t>
  </si>
  <si>
    <t>355823695</t>
  </si>
  <si>
    <t>355823712</t>
  </si>
  <si>
    <t>355823713</t>
  </si>
  <si>
    <t>355823714</t>
  </si>
  <si>
    <t>355823767</t>
  </si>
  <si>
    <t>355823850</t>
  </si>
  <si>
    <t>355823851</t>
  </si>
  <si>
    <t>355823852</t>
  </si>
  <si>
    <t>355823853</t>
  </si>
  <si>
    <t>355823854</t>
  </si>
  <si>
    <t>355823855</t>
  </si>
  <si>
    <t>355823856</t>
  </si>
  <si>
    <t>355823857</t>
  </si>
  <si>
    <t>355823858</t>
  </si>
  <si>
    <t>355823859</t>
  </si>
  <si>
    <t>355823860</t>
  </si>
  <si>
    <t>355823861</t>
  </si>
  <si>
    <t>355823862</t>
  </si>
  <si>
    <t>355823863</t>
  </si>
  <si>
    <t>355823864</t>
  </si>
  <si>
    <t>355823865</t>
  </si>
  <si>
    <t>355823866</t>
  </si>
  <si>
    <t>355823867</t>
  </si>
  <si>
    <t>355823868</t>
  </si>
  <si>
    <t>355823869</t>
  </si>
  <si>
    <t>355823870</t>
  </si>
  <si>
    <t>355823871</t>
  </si>
  <si>
    <t>355823872</t>
  </si>
  <si>
    <t>355823873</t>
  </si>
  <si>
    <t>355823874</t>
  </si>
  <si>
    <t>355823875</t>
  </si>
  <si>
    <t>355823876</t>
  </si>
  <si>
    <t>355823877</t>
  </si>
  <si>
    <t>355823878</t>
  </si>
  <si>
    <t>355823879</t>
  </si>
  <si>
    <t>355823880</t>
  </si>
  <si>
    <t>355823881</t>
  </si>
  <si>
    <t>355823882</t>
  </si>
  <si>
    <t>355823883</t>
  </si>
  <si>
    <t>355823884</t>
  </si>
  <si>
    <t>355823885</t>
  </si>
  <si>
    <t>355823886</t>
  </si>
  <si>
    <t>355823887</t>
  </si>
  <si>
    <t>355823888</t>
  </si>
  <si>
    <t>355823889</t>
  </si>
  <si>
    <t>355823890</t>
  </si>
  <si>
    <t>355823891</t>
  </si>
  <si>
    <t>355823892</t>
  </si>
  <si>
    <t>355823893</t>
  </si>
  <si>
    <t>355823894</t>
  </si>
  <si>
    <t>355823895</t>
  </si>
  <si>
    <t>355823896</t>
  </si>
  <si>
    <t>355823897</t>
  </si>
  <si>
    <t>355823898</t>
  </si>
  <si>
    <t>355823899</t>
  </si>
  <si>
    <t>355823900</t>
  </si>
  <si>
    <t>355823901</t>
  </si>
  <si>
    <t>355823902</t>
  </si>
  <si>
    <t>355823903</t>
  </si>
  <si>
    <t>355823904</t>
  </si>
  <si>
    <t>355823905</t>
  </si>
  <si>
    <t>355823906</t>
  </si>
  <si>
    <t>355823907</t>
  </si>
  <si>
    <t>355823908</t>
  </si>
  <si>
    <t>355823909</t>
  </si>
  <si>
    <t>355823910</t>
  </si>
  <si>
    <t>355823911</t>
  </si>
  <si>
    <t>355823912</t>
  </si>
  <si>
    <t>355823913</t>
  </si>
  <si>
    <t>355823914</t>
  </si>
  <si>
    <t>355823915</t>
  </si>
  <si>
    <t>355823916</t>
  </si>
  <si>
    <t>355823917</t>
  </si>
  <si>
    <t>355823918</t>
  </si>
  <si>
    <t>355823919</t>
  </si>
  <si>
    <t>355823920</t>
  </si>
  <si>
    <t>355823921</t>
  </si>
  <si>
    <t>355823922</t>
  </si>
  <si>
    <t>355823923</t>
  </si>
  <si>
    <t>355823924</t>
  </si>
  <si>
    <t>355823925</t>
  </si>
  <si>
    <t>355823926</t>
  </si>
  <si>
    <t>355823927</t>
  </si>
  <si>
    <t>355823928</t>
  </si>
  <si>
    <t>355823929</t>
  </si>
  <si>
    <t>355823930</t>
  </si>
  <si>
    <t>355823931</t>
  </si>
  <si>
    <t>355823932</t>
  </si>
  <si>
    <t>355823933</t>
  </si>
  <si>
    <t>355823934</t>
  </si>
  <si>
    <t>355823935</t>
  </si>
  <si>
    <t>355823936</t>
  </si>
  <si>
    <t>355823937</t>
  </si>
  <si>
    <t>355823938</t>
  </si>
  <si>
    <t>355823939</t>
  </si>
  <si>
    <t>355823940</t>
  </si>
  <si>
    <t>355823941</t>
  </si>
  <si>
    <t>355823942</t>
  </si>
  <si>
    <t>355823943</t>
  </si>
  <si>
    <t>355823944</t>
  </si>
  <si>
    <t>355823945</t>
  </si>
  <si>
    <t>355823946</t>
  </si>
  <si>
    <t>355823947</t>
  </si>
  <si>
    <t>355823948</t>
  </si>
  <si>
    <t>355823949</t>
  </si>
  <si>
    <t>355823950</t>
  </si>
  <si>
    <t>355823951</t>
  </si>
  <si>
    <t>355823952</t>
  </si>
  <si>
    <t>355823953</t>
  </si>
  <si>
    <t>355823954</t>
  </si>
  <si>
    <t>355823955</t>
  </si>
  <si>
    <t>355823956</t>
  </si>
  <si>
    <t>355823957</t>
  </si>
  <si>
    <t>355823958</t>
  </si>
  <si>
    <t>355823959</t>
  </si>
  <si>
    <t>355823960</t>
  </si>
  <si>
    <t>355823961</t>
  </si>
  <si>
    <t>355823962</t>
  </si>
  <si>
    <t>355823963</t>
  </si>
  <si>
    <t>355823964</t>
  </si>
  <si>
    <t>355823965</t>
  </si>
  <si>
    <t>355823966</t>
  </si>
  <si>
    <t>355823967</t>
  </si>
  <si>
    <t>355834174</t>
  </si>
  <si>
    <t>355834179</t>
  </si>
  <si>
    <t>355834180</t>
  </si>
  <si>
    <t>355834183</t>
  </si>
  <si>
    <t>355835449</t>
  </si>
  <si>
    <t>355835464</t>
  </si>
  <si>
    <t>355835954</t>
  </si>
  <si>
    <t>355835986</t>
  </si>
  <si>
    <t>355836153</t>
  </si>
  <si>
    <t>355836155</t>
  </si>
  <si>
    <t>355836158</t>
  </si>
  <si>
    <t>355836164</t>
  </si>
  <si>
    <t>355836169</t>
  </si>
  <si>
    <t>50910002</t>
  </si>
  <si>
    <t>400201400</t>
  </si>
  <si>
    <t>Material Coordinators Cost Distribution Dec24</t>
  </si>
  <si>
    <t>400201401</t>
  </si>
  <si>
    <t>Material Coordinators Cost Distribution Jan2025</t>
  </si>
  <si>
    <t>400201403</t>
  </si>
  <si>
    <t>602332454</t>
  </si>
  <si>
    <t>IX30123/AKRON ENGR</t>
  </si>
  <si>
    <t>602332455</t>
  </si>
  <si>
    <t>IX30124/AKRON ENGR</t>
  </si>
  <si>
    <t>602332456</t>
  </si>
  <si>
    <t>IX30126/AKRON ENGR</t>
  </si>
  <si>
    <t>602275285</t>
  </si>
  <si>
    <t>602275287</t>
  </si>
  <si>
    <t>602350530</t>
  </si>
  <si>
    <t>602350533</t>
  </si>
  <si>
    <t>602339633</t>
  </si>
  <si>
    <t>A414300/676493/Internet/Communication Expenses</t>
  </si>
  <si>
    <t>602339648</t>
  </si>
  <si>
    <t>A343302/676526/Passports/Visa Fees</t>
  </si>
  <si>
    <t>602306071</t>
  </si>
  <si>
    <t>Write-off Non-billable CWIP in Brazil</t>
  </si>
  <si>
    <t>909004</t>
  </si>
  <si>
    <t>GOODYEAR TIRE-CORPORATE</t>
  </si>
  <si>
    <t>Capital IBS Offset</t>
  </si>
  <si>
    <t>602337438</t>
  </si>
  <si>
    <t>57109996</t>
  </si>
  <si>
    <t>CAPITAL HL TRANSER</t>
  </si>
  <si>
    <t>602350758</t>
  </si>
  <si>
    <t>8242068824 - CARAVAN PACKAGING INC</t>
  </si>
  <si>
    <t>8242072936 - CARAVAN PACKAGING INC</t>
  </si>
  <si>
    <t>8241718735 - Intellias</t>
  </si>
  <si>
    <t>8241702244 - Team International</t>
  </si>
  <si>
    <t>602350876</t>
  </si>
  <si>
    <t>8241252252 - Feb 2025 VIM Accrual</t>
  </si>
  <si>
    <t>8241844130 - Feb 2025 VIM Accrual</t>
  </si>
  <si>
    <t>8241844140 - Feb 2025 VIM Accrual</t>
  </si>
  <si>
    <t>8241463855 - Feb 2025 VIM Accrual</t>
  </si>
  <si>
    <t>8241998814 - Feb 2025 VIM Accrual</t>
  </si>
  <si>
    <t>8241233166 - Feb 2025 VIM Accrual</t>
  </si>
  <si>
    <t>8241955358 - Feb 2025 VIM Accrual</t>
  </si>
  <si>
    <t>602367024</t>
  </si>
  <si>
    <t>January 2025 Akron Engineering</t>
  </si>
  <si>
    <t>602371281</t>
  </si>
  <si>
    <t>Bad PO Adjustment</t>
  </si>
  <si>
    <t>Capital Equipment</t>
  </si>
  <si>
    <t>602371622</t>
  </si>
  <si>
    <t>602371624</t>
  </si>
  <si>
    <t>602372055</t>
  </si>
  <si>
    <t>Capital HL Planning</t>
  </si>
  <si>
    <t>602381500</t>
  </si>
  <si>
    <t>602381501</t>
  </si>
  <si>
    <t>FCA MULTI SITE SEAWORTHY PACKING</t>
  </si>
  <si>
    <t>ICP-240041-32</t>
  </si>
  <si>
    <t>Mechanical Conveyor System</t>
  </si>
  <si>
    <t>ACE II Green Tire Conveyors</t>
  </si>
  <si>
    <t>TRANSSYSTEM Spolka Akcyjna</t>
  </si>
  <si>
    <t>1504124731</t>
  </si>
  <si>
    <t>Ref. 89088-0 Fatura Fornecedor Transferencia de co</t>
  </si>
  <si>
    <t>1504124733</t>
  </si>
  <si>
    <t>Ref. 89080-0 Fatura Fornecedor Transferencia de co</t>
  </si>
  <si>
    <t>1504240847</t>
  </si>
  <si>
    <t>1504240861</t>
  </si>
  <si>
    <t>1504139670</t>
  </si>
  <si>
    <t>Ref. 3777-1 Fatura Fornecedor Transferencia de con</t>
  </si>
  <si>
    <t>1504240867</t>
  </si>
  <si>
    <t>1504139678</t>
  </si>
  <si>
    <t>Ref. 3773-1 Fatura Fornecedor Transferencia de con</t>
  </si>
  <si>
    <t>1504178197</t>
  </si>
  <si>
    <t>1504240873</t>
  </si>
  <si>
    <t>1504186615</t>
  </si>
  <si>
    <t>Ajuste falta de crédito PIS/COFINS NF 3477-1 IRALT</t>
  </si>
  <si>
    <t>1504240488</t>
  </si>
  <si>
    <t>1504349103</t>
  </si>
  <si>
    <t>1504353351</t>
  </si>
  <si>
    <t>1504406862</t>
  </si>
  <si>
    <t>Ref. 3547-0 Fatura Fornecedor Transferencia de con</t>
  </si>
  <si>
    <t>1504240887</t>
  </si>
  <si>
    <t>1504240893</t>
  </si>
  <si>
    <t>1504436926</t>
  </si>
  <si>
    <t>1504436942</t>
  </si>
  <si>
    <t>1504437709</t>
  </si>
  <si>
    <t>1504437727</t>
  </si>
  <si>
    <t>1504437795</t>
  </si>
  <si>
    <t>1504438108</t>
  </si>
  <si>
    <t>LCP-250028</t>
  </si>
  <si>
    <t>FAM (QUARTELY)</t>
  </si>
  <si>
    <t>28/02: Projeto aprovado
Aguardando definição dos subitens</t>
  </si>
  <si>
    <t>Aprovado em 28/02</t>
  </si>
  <si>
    <t>Comissioning</t>
  </si>
  <si>
    <t>Closed</t>
  </si>
  <si>
    <t>25/08/204</t>
  </si>
  <si>
    <t>Aguardando DOC 20 - Bezerra</t>
  </si>
  <si>
    <t>TOTAL 2030</t>
  </si>
  <si>
    <t>TOTAL 2029</t>
  </si>
  <si>
    <t xml:space="preserve">CLOSE DADLINE </t>
  </si>
  <si>
    <t>TECO DADLINE</t>
  </si>
  <si>
    <t>AMERICANA QUARTELYS PROJECTS MANAGEMENT ($000)</t>
  </si>
  <si>
    <t>In Approval</t>
  </si>
  <si>
    <t>Planning</t>
  </si>
  <si>
    <t>Production</t>
  </si>
  <si>
    <t>Canceled</t>
  </si>
  <si>
    <t>8241898824</t>
  </si>
  <si>
    <t>1504448302</t>
  </si>
  <si>
    <t>Ref. 99-1 Recebimento Fatura Transferencia de con</t>
  </si>
  <si>
    <t>Ventilador Axial para telhado 7050 ACFM</t>
  </si>
  <si>
    <t>AM2403080</t>
  </si>
  <si>
    <t>Axial roof fan 7,050 ACFM</t>
  </si>
  <si>
    <t>Ventilador Axial para telhado 8350 ACMF</t>
  </si>
  <si>
    <t>AM2403081</t>
  </si>
  <si>
    <t>Axial roof fan 8,350 ACMF</t>
  </si>
  <si>
    <t>Ventilador Axial para telhado 9175 ACMF</t>
  </si>
  <si>
    <t>AM2403082</t>
  </si>
  <si>
    <t>Axial roof fan 9,175 ACMF</t>
  </si>
  <si>
    <t>Ventilador de exaustão do 8950 ACMF</t>
  </si>
  <si>
    <t>AM2403077</t>
  </si>
  <si>
    <t>Exhaust fan 8,950 ACMF</t>
  </si>
  <si>
    <t>Ventilador axial p/telhado 12250 ACMF</t>
  </si>
  <si>
    <t>AM2403078</t>
  </si>
  <si>
    <t>Axial roof fan 12,250 ACMF</t>
  </si>
  <si>
    <t>Ventilador axial para telhado 200 ACMF</t>
  </si>
  <si>
    <t>AM2403079</t>
  </si>
  <si>
    <t>Axial roof fan 200 ACMF</t>
  </si>
  <si>
    <t>MC – MANUAL BALANCER</t>
  </si>
  <si>
    <t>LCP-250028-01</t>
  </si>
  <si>
    <t>Balancer Machine - S</t>
  </si>
  <si>
    <t>1504495704</t>
  </si>
  <si>
    <t>Ref. 3542-0 Fatura Fornecedor Transferencia de con</t>
  </si>
  <si>
    <t>1504495710</t>
  </si>
  <si>
    <t>Ref. 3543-0 Fatura Fornecedor Transferencia de con</t>
  </si>
  <si>
    <t>1504495734</t>
  </si>
  <si>
    <t>Ref. 3544-0 Fatura Fornecedor Transferencia de con</t>
  </si>
  <si>
    <t>1504495742</t>
  </si>
  <si>
    <t>Ref. 3545-0 Fatura Fornecedor Transferencia de con</t>
  </si>
  <si>
    <t>1504495755</t>
  </si>
  <si>
    <t>Ref. 3550-0 Fatura Fornecedor Transferencia de con</t>
  </si>
  <si>
    <t>1504495758</t>
  </si>
  <si>
    <t>Ref. 3551-0 Fatura Fornecedor Transferencia de con</t>
  </si>
  <si>
    <t>ESTUDO APREC. RISCO</t>
  </si>
  <si>
    <t xml:space="preserve">           62.032,50</t>
  </si>
  <si>
    <t xml:space="preserve">           43.607,77</t>
  </si>
  <si>
    <t xml:space="preserve">              723,76</t>
  </si>
  <si>
    <t xml:space="preserve">           44.331,53</t>
  </si>
  <si>
    <t xml:space="preserve">           17.700,97</t>
  </si>
  <si>
    <t>ESTUDO PRE PROJETO U</t>
  </si>
  <si>
    <t xml:space="preserve">            5.388,60</t>
  </si>
  <si>
    <t xml:space="preserve">            4.300,52</t>
  </si>
  <si>
    <t xml:space="preserve">            1.088,08</t>
  </si>
  <si>
    <t>ESTUDO APRECIACAO DE</t>
  </si>
  <si>
    <t xml:space="preserve">          262.491,10</t>
  </si>
  <si>
    <t xml:space="preserve">          172.388,99</t>
  </si>
  <si>
    <t xml:space="preserve">           90.102,11</t>
  </si>
  <si>
    <t>SERVICO RELOC.TOMADA</t>
  </si>
  <si>
    <t xml:space="preserve">              769,80</t>
  </si>
  <si>
    <t>ESTUDO CAPACIDADE PO</t>
  </si>
  <si>
    <t xml:space="preserve">              866,03</t>
  </si>
  <si>
    <t xml:space="preserve">              775,01</t>
  </si>
  <si>
    <t xml:space="preserve">               91,02</t>
  </si>
  <si>
    <t>SERV. DESCARTE CORPO</t>
  </si>
  <si>
    <t xml:space="preserve">            2.886,75</t>
  </si>
  <si>
    <t xml:space="preserve">            1.356,23</t>
  </si>
  <si>
    <t xml:space="preserve">            1.530,52</t>
  </si>
  <si>
    <t>RELOCAÇAO ARMARIO SE</t>
  </si>
  <si>
    <t xml:space="preserve">            1.924,50</t>
  </si>
  <si>
    <t>ESTUDO DE VIABILIDAD</t>
  </si>
  <si>
    <t xml:space="preserve">           91.967,70</t>
  </si>
  <si>
    <t xml:space="preserve">           68.232,43</t>
  </si>
  <si>
    <t xml:space="preserve">            6.029,93</t>
  </si>
  <si>
    <t xml:space="preserve">           74.262,36</t>
  </si>
  <si>
    <t xml:space="preserve">           17.705,34</t>
  </si>
  <si>
    <t>RELOCACAO EXTRUSORA</t>
  </si>
  <si>
    <t xml:space="preserve">          283.226,74</t>
  </si>
  <si>
    <t xml:space="preserve">           22.795,22</t>
  </si>
  <si>
    <t xml:space="preserve">          260.431,52</t>
  </si>
  <si>
    <t>RELOCACAO AREA SPOOL</t>
  </si>
  <si>
    <t xml:space="preserve">           11.931,90</t>
  </si>
  <si>
    <t xml:space="preserve">           11.107,21</t>
  </si>
  <si>
    <t xml:space="preserve">              824,69</t>
  </si>
  <si>
    <t>REGULARIZACAO DE CEI</t>
  </si>
  <si>
    <t xml:space="preserve">           12.509,25</t>
  </si>
  <si>
    <t>ESTUDO CLIMATIZAÇÃO</t>
  </si>
  <si>
    <t xml:space="preserve">           13.105,85</t>
  </si>
  <si>
    <t xml:space="preserve">           14.102,83</t>
  </si>
  <si>
    <t>-996,98</t>
  </si>
  <si>
    <t>RELOCAÇÃO DE RACKS D</t>
  </si>
  <si>
    <t xml:space="preserve">           12.518,87</t>
  </si>
  <si>
    <t xml:space="preserve">           10.377,08</t>
  </si>
  <si>
    <t xml:space="preserve">            2.141,79</t>
  </si>
  <si>
    <t>RELOCAÇÃO SALA TREIN</t>
  </si>
  <si>
    <t xml:space="preserve">           22.383,86</t>
  </si>
  <si>
    <t xml:space="preserve">           20.466,29</t>
  </si>
  <si>
    <t xml:space="preserve">            1.917,57</t>
  </si>
  <si>
    <t>ESTUDO ANÁLISE DE RI</t>
  </si>
  <si>
    <t xml:space="preserve">           21.970,48</t>
  </si>
  <si>
    <t xml:space="preserve">           19.063,49</t>
  </si>
  <si>
    <t xml:space="preserve">            2.906,99</t>
  </si>
  <si>
    <t>ESTUDO DE CLASSIFICA</t>
  </si>
  <si>
    <t xml:space="preserve">           13.497,39</t>
  </si>
  <si>
    <t xml:space="preserve">           12.778,57</t>
  </si>
  <si>
    <t xml:space="preserve">              718,82</t>
  </si>
  <si>
    <t>RELOCAÇÃO E ADEQUAÇÃ</t>
  </si>
  <si>
    <t xml:space="preserve">           15.203,55</t>
  </si>
  <si>
    <t xml:space="preserve">           15.829,62</t>
  </si>
  <si>
    <t>-626,07</t>
  </si>
  <si>
    <t>RELOCAÇÃO DAS FLANGE</t>
  </si>
  <si>
    <t xml:space="preserve">            5.783,89</t>
  </si>
  <si>
    <t xml:space="preserve">            3.433,13</t>
  </si>
  <si>
    <t xml:space="preserve">            2.350,76</t>
  </si>
  <si>
    <t>ESTUDO E ANALISE DE</t>
  </si>
  <si>
    <t xml:space="preserve">            9.622,50</t>
  </si>
  <si>
    <t>RELOCACAO ESCRITORIO</t>
  </si>
  <si>
    <t xml:space="preserve">           27.920,92</t>
  </si>
  <si>
    <t xml:space="preserve">           27.210,30</t>
  </si>
  <si>
    <t xml:space="preserve">              710,62</t>
  </si>
  <si>
    <t>RELOCACAO DA SALA DE</t>
  </si>
  <si>
    <t xml:space="preserve">           15.975,21</t>
  </si>
  <si>
    <t xml:space="preserve">           15.795,47</t>
  </si>
  <si>
    <t xml:space="preserve">              179,74</t>
  </si>
  <si>
    <t>ESTUDO MELHORIAS SIS</t>
  </si>
  <si>
    <t xml:space="preserve">            3.584,20</t>
  </si>
  <si>
    <t>ESTUDO DE RENOVAÇÃO</t>
  </si>
  <si>
    <t xml:space="preserve">            6.809,98</t>
  </si>
  <si>
    <t xml:space="preserve">            1.545,13</t>
  </si>
  <si>
    <t xml:space="preserve">            5.264,85</t>
  </si>
  <si>
    <t>ESTUDO CONSTRUCAO NO</t>
  </si>
  <si>
    <t xml:space="preserve">            3.942,62</t>
  </si>
  <si>
    <t>ESTUDO APLICAÇÃO RED</t>
  </si>
  <si>
    <t xml:space="preserve">           13.143,32</t>
  </si>
  <si>
    <t xml:space="preserve">           11.764,07</t>
  </si>
  <si>
    <t xml:space="preserve">            1.379,25</t>
  </si>
  <si>
    <t>ESTUDO ANALISE SISTE</t>
  </si>
  <si>
    <t xml:space="preserve">           40.644,83</t>
  </si>
  <si>
    <t xml:space="preserve">           25.430,50</t>
  </si>
  <si>
    <t xml:space="preserve">           15.214,33</t>
  </si>
  <si>
    <t>RELOCAÇÃO RACK DA EX</t>
  </si>
  <si>
    <t xml:space="preserve">            2.150,52</t>
  </si>
  <si>
    <t>ESTUDO ADEQUAÇÃO DE</t>
  </si>
  <si>
    <t xml:space="preserve">           32.705,83</t>
  </si>
  <si>
    <t>ESTUDO DE INTERIOR E</t>
  </si>
  <si>
    <t xml:space="preserve">            3.449,79</t>
  </si>
  <si>
    <t xml:space="preserve">            3.621,50</t>
  </si>
  <si>
    <t>-171,71</t>
  </si>
  <si>
    <t>RELOCAÇÃO NAKATA #02</t>
  </si>
  <si>
    <t xml:space="preserve">           15.412,06</t>
  </si>
  <si>
    <t xml:space="preserve">           11.574,97</t>
  </si>
  <si>
    <t xml:space="preserve">            3.837,09</t>
  </si>
  <si>
    <t>RELOCAÇÃO PASSADEIRA</t>
  </si>
  <si>
    <t xml:space="preserve">           13.978,38</t>
  </si>
  <si>
    <t xml:space="preserve">           13.172,60</t>
  </si>
  <si>
    <t xml:space="preserve">              805,78</t>
  </si>
  <si>
    <t>SERV. RELOCAÇÃO DIVI</t>
  </si>
  <si>
    <t xml:space="preserve">           10.394,18</t>
  </si>
  <si>
    <t xml:space="preserve">            8.648,21</t>
  </si>
  <si>
    <t xml:space="preserve">            1.745,97</t>
  </si>
  <si>
    <t>RELOCAÇÃO TANQUES DE</t>
  </si>
  <si>
    <t xml:space="preserve">           51.970,90</t>
  </si>
  <si>
    <t xml:space="preserve">           46.215,25</t>
  </si>
  <si>
    <t xml:space="preserve">            2.515,24</t>
  </si>
  <si>
    <t xml:space="preserve">           48.730,49</t>
  </si>
  <si>
    <t xml:space="preserve">            3.240,41</t>
  </si>
  <si>
    <t>ESTUDO PARA CONSTRUÇ</t>
  </si>
  <si>
    <t xml:space="preserve">            9.856,55</t>
  </si>
  <si>
    <t xml:space="preserve">           10.883,40</t>
  </si>
  <si>
    <t>-1.026,85</t>
  </si>
  <si>
    <t xml:space="preserve">            9.014,26</t>
  </si>
  <si>
    <t xml:space="preserve">           10.218,19</t>
  </si>
  <si>
    <t>-1.203,93</t>
  </si>
  <si>
    <t>ESTUDO DE MELHORIA S</t>
  </si>
  <si>
    <t xml:space="preserve">           11.648,65</t>
  </si>
  <si>
    <t xml:space="preserve">            5.304,61</t>
  </si>
  <si>
    <t xml:space="preserve">            6.344,04</t>
  </si>
  <si>
    <t xml:space="preserve">            5.930,06</t>
  </si>
  <si>
    <t xml:space="preserve">            1.764,64</t>
  </si>
  <si>
    <t xml:space="preserve">            4.165,42</t>
  </si>
  <si>
    <t>RELOCACAO BOOKING EN</t>
  </si>
  <si>
    <t xml:space="preserve">           45.698,55</t>
  </si>
  <si>
    <t xml:space="preserve">           45.305,01</t>
  </si>
  <si>
    <t xml:space="preserve">              393,54</t>
  </si>
  <si>
    <t xml:space="preserve">           20.609,15</t>
  </si>
  <si>
    <t xml:space="preserve">           20.176,40</t>
  </si>
  <si>
    <t xml:space="preserve">              432,75</t>
  </si>
  <si>
    <t>ESTUDO SISTEMA PROTE</t>
  </si>
  <si>
    <t xml:space="preserve">           41.218,30</t>
  </si>
  <si>
    <t xml:space="preserve">           31.904,96</t>
  </si>
  <si>
    <t xml:space="preserve">            9.313,34</t>
  </si>
  <si>
    <t>SERVIÇO DE RELOCAÇÃO</t>
  </si>
  <si>
    <t xml:space="preserve">           32.974,64</t>
  </si>
  <si>
    <t xml:space="preserve">           35.529,83</t>
  </si>
  <si>
    <t>-2.555,19</t>
  </si>
  <si>
    <t>RELOCAÇÃO E ADEQ. ES</t>
  </si>
  <si>
    <t xml:space="preserve">           46.594,60</t>
  </si>
  <si>
    <t xml:space="preserve">           29.931,40</t>
  </si>
  <si>
    <t xml:space="preserve">           16.663,20</t>
  </si>
  <si>
    <t>RELOCAÇÃO ESTRUTURA</t>
  </si>
  <si>
    <t xml:space="preserve">           46.029,34</t>
  </si>
  <si>
    <t xml:space="preserve">            8.615,11</t>
  </si>
  <si>
    <t xml:space="preserve">           37.414,23</t>
  </si>
  <si>
    <t>RELOCAÇÃO DA APEXER</t>
  </si>
  <si>
    <t xml:space="preserve">           53.225,37</t>
  </si>
  <si>
    <t xml:space="preserve">           32.379,46</t>
  </si>
  <si>
    <t xml:space="preserve">           20.845,91</t>
  </si>
  <si>
    <t>SERVIÇO DE AS BUILT</t>
  </si>
  <si>
    <t xml:space="preserve">            9.677,34</t>
  </si>
  <si>
    <t xml:space="preserve">            7.432,63</t>
  </si>
  <si>
    <t>RELOCAÇÃO DOJO ISOLA</t>
  </si>
  <si>
    <t xml:space="preserve">           15.232,85</t>
  </si>
  <si>
    <t xml:space="preserve">           16.269,14</t>
  </si>
  <si>
    <t>-1.036,29</t>
  </si>
  <si>
    <t>ESTUDO DE DIRETRIZES</t>
  </si>
  <si>
    <t xml:space="preserve">            5.376,30</t>
  </si>
  <si>
    <t xml:space="preserve">            5.159,35</t>
  </si>
  <si>
    <t xml:space="preserve">              216,95</t>
  </si>
  <si>
    <t>ESTUDO APROVAÇÃO PRO</t>
  </si>
  <si>
    <t xml:space="preserve">            5.831,23</t>
  </si>
  <si>
    <t>ESTUDO CIVIL PARA AL</t>
  </si>
  <si>
    <t xml:space="preserve">           47.292,50</t>
  </si>
  <si>
    <t xml:space="preserve">           26.381,77</t>
  </si>
  <si>
    <t>ESTUDO DE MELHORIA A</t>
  </si>
  <si>
    <t xml:space="preserve">            5.413,10</t>
  </si>
  <si>
    <t xml:space="preserve">            5.808,42</t>
  </si>
  <si>
    <t>-395,32</t>
  </si>
  <si>
    <t>ESTUDO EFICIENCIA TE</t>
  </si>
  <si>
    <t xml:space="preserve">            5.107,59</t>
  </si>
  <si>
    <t xml:space="preserve">            4.156,37</t>
  </si>
  <si>
    <t xml:space="preserve">              951,22</t>
  </si>
  <si>
    <t>ESTUDO PARA ENERGIA</t>
  </si>
  <si>
    <t xml:space="preserve">            9.458,50</t>
  </si>
  <si>
    <t>ESTUDO VIABILIDADE T</t>
  </si>
  <si>
    <t xml:space="preserve">            9.836,84</t>
  </si>
  <si>
    <t xml:space="preserve">            9.610,09</t>
  </si>
  <si>
    <t xml:space="preserve">              226,75</t>
  </si>
  <si>
    <t>ESTUDO PROJETO SISTE</t>
  </si>
  <si>
    <t xml:space="preserve">           12.296,05</t>
  </si>
  <si>
    <t xml:space="preserve">            6.883,20</t>
  </si>
  <si>
    <t xml:space="preserve">            5.412,85</t>
  </si>
  <si>
    <t>RELOCAÇÃO DO BOOKING</t>
  </si>
  <si>
    <t xml:space="preserve">           17.025,30</t>
  </si>
  <si>
    <t xml:space="preserve">           15.835,35</t>
  </si>
  <si>
    <t xml:space="preserve">            1.189,95</t>
  </si>
  <si>
    <t>RELOCAÇÃO LAY-OUT ES</t>
  </si>
  <si>
    <t xml:space="preserve">          119.177,10</t>
  </si>
  <si>
    <t xml:space="preserve">           49.476,48</t>
  </si>
  <si>
    <t>READEQUACAO LAYOUT E</t>
  </si>
  <si>
    <t xml:space="preserve">            5.675,10</t>
  </si>
  <si>
    <t>SERVICO DE ASBUILT E</t>
  </si>
  <si>
    <t xml:space="preserve">            4.729,25</t>
  </si>
  <si>
    <t>ESTUDO PARA LINHAS D</t>
  </si>
  <si>
    <t xml:space="preserve">           10.091,17</t>
  </si>
  <si>
    <t xml:space="preserve">            9.196,20</t>
  </si>
  <si>
    <t xml:space="preserve">              894,97</t>
  </si>
  <si>
    <t>ESTUDO PARA BARRA ES</t>
  </si>
  <si>
    <t xml:space="preserve">           14.187,75</t>
  </si>
  <si>
    <t xml:space="preserve">            4.556,37</t>
  </si>
  <si>
    <t xml:space="preserve">            9.631,38</t>
  </si>
  <si>
    <t>ESTUDOS ERGONOMICOS</t>
  </si>
  <si>
    <t xml:space="preserve">           22.653,11</t>
  </si>
  <si>
    <t xml:space="preserve">           12.270,80</t>
  </si>
  <si>
    <t xml:space="preserve">            7.880,11</t>
  </si>
  <si>
    <t xml:space="preserve">           20.150,91</t>
  </si>
  <si>
    <t xml:space="preserve">            2.502,20</t>
  </si>
  <si>
    <t>ESTUDO PARA CONSTRUC</t>
  </si>
  <si>
    <t xml:space="preserve">           31.213,05</t>
  </si>
  <si>
    <t>ESTUDO PARA NOVO MEZ</t>
  </si>
  <si>
    <t xml:space="preserve">            4.669,87</t>
  </si>
  <si>
    <t xml:space="preserve">               59,38</t>
  </si>
  <si>
    <t>ESTUDO DE CAPACIDADE</t>
  </si>
  <si>
    <t xml:space="preserve">              340,51</t>
  </si>
  <si>
    <t>ESTUDO DE RESFRIAMEN</t>
  </si>
  <si>
    <t xml:space="preserve">            6.810,12</t>
  </si>
  <si>
    <t xml:space="preserve">            5.841,98</t>
  </si>
  <si>
    <t xml:space="preserve">              968,14</t>
  </si>
  <si>
    <t>RELOCAÇÃO DA RECEPÇÃ</t>
  </si>
  <si>
    <t xml:space="preserve">           90.900,06</t>
  </si>
  <si>
    <t>RELOCAÇÃO OFICINAS M</t>
  </si>
  <si>
    <t xml:space="preserve">           37.834,00</t>
  </si>
  <si>
    <t>ADEQUAÇÃO PINTURA AN</t>
  </si>
  <si>
    <t xml:space="preserve">           95.341,68</t>
  </si>
  <si>
    <t xml:space="preserve">           38.203,27</t>
  </si>
  <si>
    <t xml:space="preserve">           57.138,41</t>
  </si>
  <si>
    <t>ESTUDO DE CURTO CIRC</t>
  </si>
  <si>
    <t xml:space="preserve">           25.276,24</t>
  </si>
  <si>
    <t xml:space="preserve">           22.016,26</t>
  </si>
  <si>
    <t xml:space="preserve">            6.041,92</t>
  </si>
  <si>
    <t xml:space="preserve">           31.792,08</t>
  </si>
  <si>
    <t>ESTUDO INSTALAÇÕES T</t>
  </si>
  <si>
    <t xml:space="preserve">            3.947,61</t>
  </si>
  <si>
    <t xml:space="preserve">              781,64</t>
  </si>
  <si>
    <t>RELOCAÇÃO LAY-OUT NA</t>
  </si>
  <si>
    <t xml:space="preserve">           70.543,66</t>
  </si>
  <si>
    <t xml:space="preserve">           40.578,79</t>
  </si>
  <si>
    <t xml:space="preserve">           29.964,87</t>
  </si>
  <si>
    <t>ESTUDO INST. ELETRIC</t>
  </si>
  <si>
    <t xml:space="preserve">            5.151,75</t>
  </si>
  <si>
    <t xml:space="preserve">            1.573,91</t>
  </si>
  <si>
    <t xml:space="preserve">            3.577,84</t>
  </si>
  <si>
    <t xml:space="preserve">            3.503,19</t>
  </si>
  <si>
    <t xml:space="preserve">            2.232,66</t>
  </si>
  <si>
    <t xml:space="preserve">            1.270,53</t>
  </si>
  <si>
    <t>ESTUDO CABO DE FIBRA</t>
  </si>
  <si>
    <t xml:space="preserve">            4.121,40</t>
  </si>
  <si>
    <t xml:space="preserve">            1.491,46</t>
  </si>
  <si>
    <t xml:space="preserve">            2.629,94</t>
  </si>
  <si>
    <t>ESTUDO PROJETO ODORE</t>
  </si>
  <si>
    <t xml:space="preserve">           96.852,90</t>
  </si>
  <si>
    <t>ESTUDO CLASSIFICACAO</t>
  </si>
  <si>
    <t xml:space="preserve">           20.607,00</t>
  </si>
  <si>
    <t xml:space="preserve">           20.606,83</t>
  </si>
  <si>
    <t xml:space="preserve">          339.644,57</t>
  </si>
  <si>
    <t>ESTUDO VALIDACAO DE</t>
  </si>
  <si>
    <t xml:space="preserve">          153.972,30</t>
  </si>
  <si>
    <t xml:space="preserve">           64.202,40</t>
  </si>
  <si>
    <t xml:space="preserve">           13.503,60</t>
  </si>
  <si>
    <t xml:space="preserve">           77.706,00</t>
  </si>
  <si>
    <t xml:space="preserve">           76.266,30</t>
  </si>
  <si>
    <t>RELOCACAO TI - EHS -</t>
  </si>
  <si>
    <t xml:space="preserve">           39.604,39</t>
  </si>
  <si>
    <t xml:space="preserve">           34.001,55</t>
  </si>
  <si>
    <t xml:space="preserve">           24.567,99</t>
  </si>
  <si>
    <t xml:space="preserve">            9.433,56</t>
  </si>
  <si>
    <t>ESTUDO SEGURANCA CON</t>
  </si>
  <si>
    <t xml:space="preserve">           77.276,25</t>
  </si>
  <si>
    <t>ESTUDO ESTEIRA CAIXA</t>
  </si>
  <si>
    <t xml:space="preserve">           29.072,91</t>
  </si>
  <si>
    <t xml:space="preserve">           78.536,05</t>
  </si>
  <si>
    <t>EXP-EQUIPMENT REMOVA</t>
  </si>
  <si>
    <t xml:space="preserve">           81.053,00</t>
  </si>
  <si>
    <t xml:space="preserve">           55.887,47</t>
  </si>
  <si>
    <t>LCP-190020-EX-01</t>
  </si>
  <si>
    <t>EXP-NPT</t>
  </si>
  <si>
    <t xml:space="preserve">           40.715,81</t>
  </si>
  <si>
    <t xml:space="preserve">           17.284,19</t>
  </si>
  <si>
    <t>LCP-190020-EX-02</t>
  </si>
  <si>
    <t>EXP-WASTE</t>
  </si>
  <si>
    <t>EEX-AME - MIXER#7 BO</t>
  </si>
  <si>
    <t xml:space="preserve">           42.000,00</t>
  </si>
  <si>
    <t xml:space="preserve">           20.401,49</t>
  </si>
  <si>
    <t xml:space="preserve">           21.598,51</t>
  </si>
  <si>
    <t>LCP-200053-EX-01</t>
  </si>
  <si>
    <t>EEX-Remotion (Intern</t>
  </si>
  <si>
    <t>LCP-200119-EX-01</t>
  </si>
  <si>
    <t>DECLUTTERING SPARE P</t>
  </si>
  <si>
    <t>EX - UPGRADE PLC MRT</t>
  </si>
  <si>
    <t xml:space="preserve">           10.502,32</t>
  </si>
  <si>
    <t xml:space="preserve">            1.497,68</t>
  </si>
  <si>
    <t>LCP-200130-EX-01</t>
  </si>
  <si>
    <t>EX - RELOCATION &amp; RE</t>
  </si>
  <si>
    <t>EX-UPG GENERAL PANEL</t>
  </si>
  <si>
    <t>LCP-200131-EX-01</t>
  </si>
  <si>
    <t>EX-Relocation Equipm</t>
  </si>
  <si>
    <t>EXP- Molds adjusts a</t>
  </si>
  <si>
    <t xml:space="preserve">          540.000,00</t>
  </si>
  <si>
    <t xml:space="preserve">          220.796,87</t>
  </si>
  <si>
    <t xml:space="preserve">          319.203,13</t>
  </si>
  <si>
    <t>EXP- Molds adjusts</t>
  </si>
  <si>
    <t xml:space="preserve">            4.112,36</t>
  </si>
  <si>
    <t xml:space="preserve">              887,64</t>
  </si>
  <si>
    <t xml:space="preserve">           25.936,40</t>
  </si>
  <si>
    <t xml:space="preserve">            4.907,03</t>
  </si>
  <si>
    <t xml:space="preserve">           21.029,37</t>
  </si>
  <si>
    <t>LCP-200169-EX-01</t>
  </si>
  <si>
    <t>Disassembly &amp; Reloca</t>
  </si>
  <si>
    <t xml:space="preserve">           12.389,38</t>
  </si>
  <si>
    <t>LCP-200170-EX-01</t>
  </si>
  <si>
    <t>Removal old parts /</t>
  </si>
  <si>
    <t>EXPENSES RACKS LOCKB</t>
  </si>
  <si>
    <t xml:space="preserve">           15.986,61</t>
  </si>
  <si>
    <t xml:space="preserve">           15.977,80</t>
  </si>
  <si>
    <t xml:space="preserve">                8,81</t>
  </si>
  <si>
    <t>LCP-200184-EX-01</t>
  </si>
  <si>
    <t>Taxes and Duties</t>
  </si>
  <si>
    <t xml:space="preserve">              498,69</t>
  </si>
  <si>
    <t xml:space="preserve">              489,88</t>
  </si>
  <si>
    <t>LCP-200184-EX-02</t>
  </si>
  <si>
    <t>Freight</t>
  </si>
  <si>
    <t xml:space="preserve">           15.487,92</t>
  </si>
  <si>
    <t xml:space="preserve">        3.655.624,00</t>
  </si>
  <si>
    <t>92 - expEXPENSABLE W</t>
  </si>
  <si>
    <t xml:space="preserve">          722.973,11</t>
  </si>
  <si>
    <t>97 - expCONTRACTS</t>
  </si>
  <si>
    <t xml:space="preserve">          607.026,89</t>
  </si>
  <si>
    <t xml:space="preserve">          261.128,85</t>
  </si>
  <si>
    <t>LCP-200185-EX-99</t>
  </si>
  <si>
    <t>99 - expENGINEERING</t>
  </si>
  <si>
    <t xml:space="preserve">        1.888.000,00</t>
  </si>
  <si>
    <t xml:space="preserve">           16.130,86</t>
  </si>
  <si>
    <t xml:space="preserve">        1.871.869,14</t>
  </si>
  <si>
    <t>LCP-200185-EX-01</t>
  </si>
  <si>
    <t>01 - expPROJECT CONT</t>
  </si>
  <si>
    <t xml:space="preserve">            1.140,61</t>
  </si>
  <si>
    <t xml:space="preserve">            3.859,39</t>
  </si>
  <si>
    <t>LCP-200185-EX-02</t>
  </si>
  <si>
    <t>02 - exp INDUSTRIALI</t>
  </si>
  <si>
    <t xml:space="preserve">          175.624,00</t>
  </si>
  <si>
    <t xml:space="preserve">           68.949,90</t>
  </si>
  <si>
    <t xml:space="preserve">          106.674,10</t>
  </si>
  <si>
    <t>LCP-200185-EX-03</t>
  </si>
  <si>
    <t>03 - exp WASTE DEVEL</t>
  </si>
  <si>
    <t xml:space="preserve">          257.000,00</t>
  </si>
  <si>
    <t xml:space="preserve">          144.924,76</t>
  </si>
  <si>
    <t xml:space="preserve">          112.075,24</t>
  </si>
  <si>
    <t>EXP- Mold Adjust- 21</t>
  </si>
  <si>
    <t xml:space="preserve">            3.509,61</t>
  </si>
  <si>
    <t xml:space="preserve">            1.490,39</t>
  </si>
  <si>
    <t>EX - UPGRADE OF DRIV</t>
  </si>
  <si>
    <t xml:space="preserve">            3.558,67</t>
  </si>
  <si>
    <t xml:space="preserve">            6.241,33</t>
  </si>
  <si>
    <t>LCP-210014-EX-01</t>
  </si>
  <si>
    <t>EX - Relocation Pane</t>
  </si>
  <si>
    <t>EXPENSES REPLACEMENT</t>
  </si>
  <si>
    <t xml:space="preserve">           13.207,55</t>
  </si>
  <si>
    <t xml:space="preserve">              246,78</t>
  </si>
  <si>
    <t xml:space="preserve">           12.960,77</t>
  </si>
  <si>
    <t>LCP-210018-EX-01</t>
  </si>
  <si>
    <t>Removal and relocati</t>
  </si>
  <si>
    <t>EXPENSES NEW AIR COM</t>
  </si>
  <si>
    <t xml:space="preserve">           64.500,00</t>
  </si>
  <si>
    <t xml:space="preserve">           38.267,86</t>
  </si>
  <si>
    <t xml:space="preserve">           26.232,14</t>
  </si>
  <si>
    <t>LCP-210020-EX-01</t>
  </si>
  <si>
    <t>Main Panel Relocatio</t>
  </si>
  <si>
    <t xml:space="preserve">           32.700,00</t>
  </si>
  <si>
    <t xml:space="preserve">           11.933,64</t>
  </si>
  <si>
    <t xml:space="preserve">           20.766,36</t>
  </si>
  <si>
    <t>LCP-210020-EX-02</t>
  </si>
  <si>
    <t>Powerhouse officer d</t>
  </si>
  <si>
    <t xml:space="preserve">           26.700,00</t>
  </si>
  <si>
    <t xml:space="preserve">           26.334,22</t>
  </si>
  <si>
    <t xml:space="preserve">              365,78</t>
  </si>
  <si>
    <t>LCP-210020-EX-03</t>
  </si>
  <si>
    <t>Licenses</t>
  </si>
  <si>
    <t xml:space="preserve">            5.100,00</t>
  </si>
  <si>
    <t>PROJECT RUNNER - EXP</t>
  </si>
  <si>
    <t xml:space="preserve">          551.635,00</t>
  </si>
  <si>
    <t xml:space="preserve">          143.474,48</t>
  </si>
  <si>
    <t xml:space="preserve">          408.160,52</t>
  </si>
  <si>
    <t>LCP-210022-EX-01</t>
  </si>
  <si>
    <t>Decomision</t>
  </si>
  <si>
    <t xml:space="preserve">          231.125,00</t>
  </si>
  <si>
    <t xml:space="preserve">           79.728,05</t>
  </si>
  <si>
    <t xml:space="preserve">          151.396,95</t>
  </si>
  <si>
    <t>LCP-210022-EX-02</t>
  </si>
  <si>
    <t>Office Move</t>
  </si>
  <si>
    <t xml:space="preserve">           34.669,00</t>
  </si>
  <si>
    <t xml:space="preserve">           12.181,65</t>
  </si>
  <si>
    <t xml:space="preserve">           22.487,35</t>
  </si>
  <si>
    <t>LCP-210022-EX-03</t>
  </si>
  <si>
    <t>IT Expenses</t>
  </si>
  <si>
    <t xml:space="preserve">           15.408,00</t>
  </si>
  <si>
    <t xml:space="preserve">            5.135,67</t>
  </si>
  <si>
    <t xml:space="preserve">           10.272,33</t>
  </si>
  <si>
    <t>LCP-210022-EX-04</t>
  </si>
  <si>
    <t>Office Project Manag</t>
  </si>
  <si>
    <t xml:space="preserve">           37.337,00</t>
  </si>
  <si>
    <t xml:space="preserve">           25.923,46</t>
  </si>
  <si>
    <t xml:space="preserve">           11.413,54</t>
  </si>
  <si>
    <t>LCP-210022-EX-05</t>
  </si>
  <si>
    <t>Office Hunting</t>
  </si>
  <si>
    <t xml:space="preserve">           51.663,00</t>
  </si>
  <si>
    <t xml:space="preserve">           20.505,65</t>
  </si>
  <si>
    <t xml:space="preserve">           31.157,35</t>
  </si>
  <si>
    <t>LCP-210022-EX-06</t>
  </si>
  <si>
    <t>Rental Penalty</t>
  </si>
  <si>
    <t xml:space="preserve">          181.433,00</t>
  </si>
  <si>
    <t>EX - UPG AKROSCAN SY</t>
  </si>
  <si>
    <t>LCP-210025-EX-01</t>
  </si>
  <si>
    <t>Start-up / Commissio</t>
  </si>
  <si>
    <t>EXPENSES - UPPER CON</t>
  </si>
  <si>
    <t xml:space="preserve">            8.899,95</t>
  </si>
  <si>
    <t xml:space="preserve">            6.100,05</t>
  </si>
  <si>
    <t>LCP-210038-EX-01</t>
  </si>
  <si>
    <t>EX - Relocations Equ</t>
  </si>
  <si>
    <t>EXPENSES - CREEL ROO</t>
  </si>
  <si>
    <t xml:space="preserve">          105.770,00</t>
  </si>
  <si>
    <t xml:space="preserve">           15.717,86</t>
  </si>
  <si>
    <t xml:space="preserve">           42.412,94</t>
  </si>
  <si>
    <t xml:space="preserve">           58.130,80</t>
  </si>
  <si>
    <t xml:space="preserve">           47.639,20</t>
  </si>
  <si>
    <t>LCP-210045-EX-01</t>
  </si>
  <si>
    <t>Importation taxes 30</t>
  </si>
  <si>
    <t xml:space="preserve">           75.770,00</t>
  </si>
  <si>
    <t xml:space="preserve">           15.732,04</t>
  </si>
  <si>
    <t xml:space="preserve">           58.144,98</t>
  </si>
  <si>
    <t xml:space="preserve">           17.625,02</t>
  </si>
  <si>
    <t>LCP-210045-EX-02</t>
  </si>
  <si>
    <t>Transportation</t>
  </si>
  <si>
    <t>-14,18</t>
  </si>
  <si>
    <t xml:space="preserve">           30.014,18</t>
  </si>
  <si>
    <t>EXPENSES FIRE PROTEC</t>
  </si>
  <si>
    <t xml:space="preserve">           23.800,00</t>
  </si>
  <si>
    <t xml:space="preserve">           17.997,55</t>
  </si>
  <si>
    <t xml:space="preserve">            5.802,45</t>
  </si>
  <si>
    <t>LCP-210052-EX-01</t>
  </si>
  <si>
    <t>Expenses - Relocatio</t>
  </si>
  <si>
    <t>EXPENSES - WULO CONS</t>
  </si>
  <si>
    <t xml:space="preserve">            9.850,00</t>
  </si>
  <si>
    <t>LCP-210055-EX-01</t>
  </si>
  <si>
    <t>Start up and Commiss</t>
  </si>
  <si>
    <t xml:space="preserve">            4.900,00</t>
  </si>
  <si>
    <t>LCP-210055-EX-02</t>
  </si>
  <si>
    <t>Relocation general e</t>
  </si>
  <si>
    <t xml:space="preserve">            4.950,00</t>
  </si>
  <si>
    <t>EX - PNC - PNEUMATIC</t>
  </si>
  <si>
    <t>LCP-210078-EX-01</t>
  </si>
  <si>
    <t>Relocations (Drum Bo</t>
  </si>
  <si>
    <t>Ex - RET - FLAT PREC</t>
  </si>
  <si>
    <t xml:space="preserve">          508.000,00</t>
  </si>
  <si>
    <t xml:space="preserve">          399.105,46</t>
  </si>
  <si>
    <t xml:space="preserve">          108.894,54</t>
  </si>
  <si>
    <t>LCP-210083-EX-01</t>
  </si>
  <si>
    <t>Ex - Relocation</t>
  </si>
  <si>
    <t xml:space="preserve">          137.756,34</t>
  </si>
  <si>
    <t xml:space="preserve">            7.243,66</t>
  </si>
  <si>
    <t>LCP-210083-EX-02</t>
  </si>
  <si>
    <t>Ex - Permits</t>
  </si>
  <si>
    <t xml:space="preserve">           23.237,98</t>
  </si>
  <si>
    <t xml:space="preserve">            1.762,02</t>
  </si>
  <si>
    <t>LCP-210083-EX-03</t>
  </si>
  <si>
    <t>Ex - New Operators T</t>
  </si>
  <si>
    <t xml:space="preserve">          180.907,95</t>
  </si>
  <si>
    <t xml:space="preserve">            6.092,05</t>
  </si>
  <si>
    <t>LCP-210083-EX-04</t>
  </si>
  <si>
    <t>Ex - Engineering Ser</t>
  </si>
  <si>
    <t xml:space="preserve">           57.279,10</t>
  </si>
  <si>
    <t xml:space="preserve">            2.720,90</t>
  </si>
  <si>
    <t>LCP-210083-EX-05</t>
  </si>
  <si>
    <t>Ex - Taxes, duties a</t>
  </si>
  <si>
    <t xml:space="preserve">           91.000,00</t>
  </si>
  <si>
    <t>-75,91</t>
  </si>
  <si>
    <t xml:space="preserve">           91.075,91</t>
  </si>
  <si>
    <t>EX - AME - NEW MRT K</t>
  </si>
  <si>
    <t xml:space="preserve">          112.278,00</t>
  </si>
  <si>
    <t>LCP-210086-EX-01</t>
  </si>
  <si>
    <t>Relocation and trans</t>
  </si>
  <si>
    <t>LCP-210086-EX-02</t>
  </si>
  <si>
    <t>LCP-210086-EX-03</t>
  </si>
  <si>
    <t>Engineering CTI Chan</t>
  </si>
  <si>
    <t xml:space="preserve">           14.278,00</t>
  </si>
  <si>
    <t>EX - AME - UPG WIND-</t>
  </si>
  <si>
    <t xml:space="preserve">           41.134,87</t>
  </si>
  <si>
    <t xml:space="preserve">            8.865,13</t>
  </si>
  <si>
    <t>LCP-210098-EX-01</t>
  </si>
  <si>
    <t>EX - Removal / Reloc</t>
  </si>
  <si>
    <t>LCP-210098-EX-02</t>
  </si>
  <si>
    <t>EX - Improvments NPT</t>
  </si>
  <si>
    <t>EX - AME - RESTAURAN</t>
  </si>
  <si>
    <t xml:space="preserve">          213.521,24</t>
  </si>
  <si>
    <t xml:space="preserve">          207.644,62</t>
  </si>
  <si>
    <t xml:space="preserve">            5.876,62</t>
  </si>
  <si>
    <t>LCP-210103-EX-01</t>
  </si>
  <si>
    <t>EX - Relocation and</t>
  </si>
  <si>
    <t xml:space="preserve">          213.521,16</t>
  </si>
  <si>
    <t xml:space="preserve">            5.876,54</t>
  </si>
  <si>
    <t>LCP-210103-EX-02</t>
  </si>
  <si>
    <t>EX - TEMPORARY KITCH</t>
  </si>
  <si>
    <t>EX - CENTAC#17 100 P</t>
  </si>
  <si>
    <t xml:space="preserve">           35.952,00</t>
  </si>
  <si>
    <t xml:space="preserve">           36.149,24</t>
  </si>
  <si>
    <t>-197,24</t>
  </si>
  <si>
    <t>LCP-210106-EX-01</t>
  </si>
  <si>
    <t>EX - Main motor chem</t>
  </si>
  <si>
    <t>EX – WULO – CONSUMME</t>
  </si>
  <si>
    <t>LCP-210121-EX-01</t>
  </si>
  <si>
    <t>EX - Start up and Co</t>
  </si>
  <si>
    <t xml:space="preserve">          312.000,00</t>
  </si>
  <si>
    <t xml:space="preserve">           17.135,40</t>
  </si>
  <si>
    <t xml:space="preserve">          294.864,60</t>
  </si>
  <si>
    <t>EX - AME - WOMENs RE</t>
  </si>
  <si>
    <t xml:space="preserve">            8.136,31</t>
  </si>
  <si>
    <t xml:space="preserve">            4.363,69</t>
  </si>
  <si>
    <t>LCP-210131-EX-01</t>
  </si>
  <si>
    <t>EX - RELOCATION</t>
  </si>
  <si>
    <t>EX - MILLS ADEQUACY</t>
  </si>
  <si>
    <t xml:space="preserve">           22.973,98</t>
  </si>
  <si>
    <t xml:space="preserve">            3.174,81</t>
  </si>
  <si>
    <t xml:space="preserve">           19.799,17</t>
  </si>
  <si>
    <t>LCP-210133-EX-01</t>
  </si>
  <si>
    <t>EX - Old Panels remo</t>
  </si>
  <si>
    <t xml:space="preserve">            3.345,72</t>
  </si>
  <si>
    <t>LCP-210133-EX-02</t>
  </si>
  <si>
    <t>EX - Start-up</t>
  </si>
  <si>
    <t xml:space="preserve">            8.475,84</t>
  </si>
  <si>
    <t xml:space="preserve">            5.301,03</t>
  </si>
  <si>
    <t>LCP-210133-EX-03</t>
  </si>
  <si>
    <t>EX - Relocation</t>
  </si>
  <si>
    <t xml:space="preserve">           11.152,42</t>
  </si>
  <si>
    <t>EX AME – INTERNAL LI</t>
  </si>
  <si>
    <t xml:space="preserve">           32.359,54</t>
  </si>
  <si>
    <t xml:space="preserve">           26.682,17</t>
  </si>
  <si>
    <t xml:space="preserve">            5.677,37</t>
  </si>
  <si>
    <t>LCP-210134-EX-01</t>
  </si>
  <si>
    <t xml:space="preserve">           20.224,71</t>
  </si>
  <si>
    <t xml:space="preserve">           17.486,43</t>
  </si>
  <si>
    <t xml:space="preserve">            2.738,28</t>
  </si>
  <si>
    <t>LCP-210134-EX-02</t>
  </si>
  <si>
    <t>EX - RENT</t>
  </si>
  <si>
    <t xml:space="preserve">           12.134,83</t>
  </si>
  <si>
    <t xml:space="preserve">            9.195,74</t>
  </si>
  <si>
    <t xml:space="preserve">            2.939,09</t>
  </si>
  <si>
    <t>EX MC - FALSE TRUCK</t>
  </si>
  <si>
    <t xml:space="preserve">           10.946,77</t>
  </si>
  <si>
    <t xml:space="preserve">            4.053,23</t>
  </si>
  <si>
    <t>LCP-210135-EX-02</t>
  </si>
  <si>
    <t>EX - STARTING AND CO</t>
  </si>
  <si>
    <t>EX - NEW RAINWATER C</t>
  </si>
  <si>
    <t xml:space="preserve">           34.272,66</t>
  </si>
  <si>
    <t xml:space="preserve">           22.873,88</t>
  </si>
  <si>
    <t xml:space="preserve">           11.398,78</t>
  </si>
  <si>
    <t>LCP-210138-EX-01</t>
  </si>
  <si>
    <t>EX - AME - CAL 3R CO</t>
  </si>
  <si>
    <t xml:space="preserve">            7.800,00</t>
  </si>
  <si>
    <t xml:space="preserve">            6.919,96</t>
  </si>
  <si>
    <t xml:space="preserve">              880,04</t>
  </si>
  <si>
    <t>LCP-210140-EX-01</t>
  </si>
  <si>
    <t>EX - Old Equipment R</t>
  </si>
  <si>
    <t>EX - NT CONSUMMER BU</t>
  </si>
  <si>
    <t>LCP-210147-EX-01</t>
  </si>
  <si>
    <t>EXP- 17.5-25 SMO mol</t>
  </si>
  <si>
    <t xml:space="preserve">           37.857,78</t>
  </si>
  <si>
    <t xml:space="preserve">            4.142,22</t>
  </si>
  <si>
    <t>LCP-210188-EX-01</t>
  </si>
  <si>
    <t>EXP- Mold Rings &amp; Ac</t>
  </si>
  <si>
    <t xml:space="preserve">           23.950,00</t>
  </si>
  <si>
    <t xml:space="preserve">           20.511,26</t>
  </si>
  <si>
    <t xml:space="preserve">            3.438,74</t>
  </si>
  <si>
    <t>LCP-210188-EX-02</t>
  </si>
  <si>
    <t>EXP- Mold Refurbish</t>
  </si>
  <si>
    <t xml:space="preserve">            4.501,89</t>
  </si>
  <si>
    <t xml:space="preserve">              498,11</t>
  </si>
  <si>
    <t>LCP-210188-EX-03</t>
  </si>
  <si>
    <t>EXP- Curing equipmen</t>
  </si>
  <si>
    <t xml:space="preserve">           12.844,63</t>
  </si>
  <si>
    <t xml:space="preserve">              155,37</t>
  </si>
  <si>
    <t>LCP-210188-EX-04</t>
  </si>
  <si>
    <t>EXP- Cut Tire Expens</t>
  </si>
  <si>
    <t xml:space="preserve">               50,00</t>
  </si>
  <si>
    <t xml:space="preserve">            2.144,00</t>
  </si>
  <si>
    <t xml:space="preserve">            1.451,24</t>
  </si>
  <si>
    <t xml:space="preserve">              692,76</t>
  </si>
  <si>
    <t>LCP-210189-EX-01</t>
  </si>
  <si>
    <t>EX - VBOX TRAINING S</t>
  </si>
  <si>
    <t>EX - PCI IN (4) ROGE</t>
  </si>
  <si>
    <t>LCP-210196-EX-01</t>
  </si>
  <si>
    <t>EX - Conveyor Reloca</t>
  </si>
  <si>
    <t>EX - AME - MIXER#3 B</t>
  </si>
  <si>
    <t xml:space="preserve">          104.000,00</t>
  </si>
  <si>
    <t xml:space="preserve">           23.548,14</t>
  </si>
  <si>
    <t xml:space="preserve">           80.451,86</t>
  </si>
  <si>
    <t>LCP-210200-EX-01</t>
  </si>
  <si>
    <t>EX- Remotion (intern</t>
  </si>
  <si>
    <t xml:space="preserve">            2.451,86</t>
  </si>
  <si>
    <t>LCP-210200-EX-02</t>
  </si>
  <si>
    <t>EX- KSBI technician</t>
  </si>
  <si>
    <t>LCP-210200-EX-03</t>
  </si>
  <si>
    <t>EX - IMPORTATION TAX</t>
  </si>
  <si>
    <t>LCP-210200-EX-04</t>
  </si>
  <si>
    <t>EX - TRANSPORTATION</t>
  </si>
  <si>
    <t xml:space="preserve">           78.000,00</t>
  </si>
  <si>
    <t>EX - AME - 2500 HP M</t>
  </si>
  <si>
    <t>LCP-210208-EX-01</t>
  </si>
  <si>
    <t>Transportation from</t>
  </si>
  <si>
    <t>LAPG - EX - CHARGER</t>
  </si>
  <si>
    <t xml:space="preserve">           10.257,20</t>
  </si>
  <si>
    <t xml:space="preserve">            3.757,40</t>
  </si>
  <si>
    <t xml:space="preserve">            6.499,80</t>
  </si>
  <si>
    <t>LCP-210213-EX-01</t>
  </si>
  <si>
    <t>EX - Relocations</t>
  </si>
  <si>
    <t>EX - AME - FIRE PROT</t>
  </si>
  <si>
    <t xml:space="preserve">           51.811,10</t>
  </si>
  <si>
    <t xml:space="preserve">            3.188,90</t>
  </si>
  <si>
    <t>LCP-210215-EX-01</t>
  </si>
  <si>
    <t>EX - RELOCATIONS</t>
  </si>
  <si>
    <t>EX - PROVING GROUNDS</t>
  </si>
  <si>
    <t xml:space="preserve">           19.165,98</t>
  </si>
  <si>
    <t xml:space="preserve">              334,02</t>
  </si>
  <si>
    <t>LCP-210217-EX-01</t>
  </si>
  <si>
    <t>EX - RELOCATIONS &amp; C</t>
  </si>
  <si>
    <t xml:space="preserve">          110.000,00</t>
  </si>
  <si>
    <t>LCP-220002-EX-01</t>
  </si>
  <si>
    <t>EX - BUILDING DEMOLI</t>
  </si>
  <si>
    <t>LCP-220002-EX-02</t>
  </si>
  <si>
    <t>EX - BOILER #05 - CH</t>
  </si>
  <si>
    <t>EX - MRT CURING PRES</t>
  </si>
  <si>
    <t>LCP-220008-EX-01</t>
  </si>
  <si>
    <t>EX - REMOVAL SERVICE</t>
  </si>
  <si>
    <t>EX - SAFETY REGULARI</t>
  </si>
  <si>
    <t>LCP-220014-EX-01</t>
  </si>
  <si>
    <t>EX - DC MOTOR 1500HP</t>
  </si>
  <si>
    <t>LCP-220020-EX-01</t>
  </si>
  <si>
    <t>EX - North America M</t>
  </si>
  <si>
    <t>LCP-220020-EX-02</t>
  </si>
  <si>
    <t>EX - Mixer#4 motor r</t>
  </si>
  <si>
    <t xml:space="preserve">          135.000,00</t>
  </si>
  <si>
    <t>EX - NEW BOILER FEED</t>
  </si>
  <si>
    <t>LCP-220044-EX-01</t>
  </si>
  <si>
    <t xml:space="preserve">            4.100,00</t>
  </si>
  <si>
    <t>EX - RELOCATIONS EQU</t>
  </si>
  <si>
    <t>EX WIND UP LET OFF E</t>
  </si>
  <si>
    <t>LCP-220045-EX-01</t>
  </si>
  <si>
    <t>EX - COMPLIANCE AUDI</t>
  </si>
  <si>
    <t>EX - AME - OTR PRESS</t>
  </si>
  <si>
    <t xml:space="preserve">          133.004,32</t>
  </si>
  <si>
    <t xml:space="preserve">          128.724,95</t>
  </si>
  <si>
    <t xml:space="preserve">            4.279,37</t>
  </si>
  <si>
    <t>LCP-220048-EX-01</t>
  </si>
  <si>
    <t>EX - Importation tax</t>
  </si>
  <si>
    <t xml:space="preserve">            2.796,77</t>
  </si>
  <si>
    <t>-170,94</t>
  </si>
  <si>
    <t xml:space="preserve">            2.967,71</t>
  </si>
  <si>
    <t>LCP-220048-EX-02</t>
  </si>
  <si>
    <t>EX - Transportation</t>
  </si>
  <si>
    <t xml:space="preserve">           64.707,89</t>
  </si>
  <si>
    <t xml:space="preserve">           65.212,26</t>
  </si>
  <si>
    <t>-504,37</t>
  </si>
  <si>
    <t>LCP-220048-EX-03</t>
  </si>
  <si>
    <t>EX - Americana Reloc</t>
  </si>
  <si>
    <t xml:space="preserve">           20.499,66</t>
  </si>
  <si>
    <t xml:space="preserve">           20.052,04</t>
  </si>
  <si>
    <t xml:space="preserve">              447,62</t>
  </si>
  <si>
    <t>LCP-220048-EX-04</t>
  </si>
  <si>
    <t>EX - Colombia Remova</t>
  </si>
  <si>
    <t xml:space="preserve">           43.631,59</t>
  </si>
  <si>
    <t xml:space="preserve">            1.368,41</t>
  </si>
  <si>
    <t>EX - LAPG - WORKSHOP</t>
  </si>
  <si>
    <t xml:space="preserve">           17.400,00</t>
  </si>
  <si>
    <t>LCP-220082-EX-01</t>
  </si>
  <si>
    <t>LCP-220082-EX-02</t>
  </si>
  <si>
    <t>EX - RELOCATIONS AND</t>
  </si>
  <si>
    <t xml:space="preserve">            8.900,00</t>
  </si>
  <si>
    <t>EX - FSB - NEW MAIN</t>
  </si>
  <si>
    <t xml:space="preserve">           54.830,32</t>
  </si>
  <si>
    <t xml:space="preserve">              169,68</t>
  </si>
  <si>
    <t>LCP-220139-EX-01</t>
  </si>
  <si>
    <t>EX - COST OF TREAD U</t>
  </si>
  <si>
    <t xml:space="preserve">           25.137,65</t>
  </si>
  <si>
    <t>-137,65</t>
  </si>
  <si>
    <t>LCP-220139-EX-02</t>
  </si>
  <si>
    <t>EX - TRAINING</t>
  </si>
  <si>
    <t xml:space="preserve">           29.692,67</t>
  </si>
  <si>
    <t xml:space="preserve">              307,33</t>
  </si>
  <si>
    <t>EX - Center Max Offi</t>
  </si>
  <si>
    <t xml:space="preserve">           11.100,00</t>
  </si>
  <si>
    <t xml:space="preserve">           10.263,75</t>
  </si>
  <si>
    <t xml:space="preserve">              836,25</t>
  </si>
  <si>
    <t>LCP-220162-EX-01</t>
  </si>
  <si>
    <t>LCP-220162-EX-02</t>
  </si>
  <si>
    <t>EX - Equipment renta</t>
  </si>
  <si>
    <t>EX - NOISE - KIT VBO</t>
  </si>
  <si>
    <t xml:space="preserve">            6.350,00</t>
  </si>
  <si>
    <t>LCP-220176-EX-01</t>
  </si>
  <si>
    <t>EX - TRAINING AND CO</t>
  </si>
  <si>
    <t xml:space="preserve">            5.150,00</t>
  </si>
  <si>
    <t>LCP-220176-EX-02</t>
  </si>
  <si>
    <t>EX - CALIBRATION AND</t>
  </si>
  <si>
    <t xml:space="preserve">            1.200,00</t>
  </si>
  <si>
    <t>EX - BEAD COMPRESSIO</t>
  </si>
  <si>
    <t xml:space="preserve">           23.760,00</t>
  </si>
  <si>
    <t>LCP-220184-EX-01</t>
  </si>
  <si>
    <t>EX - COMMISSIONING A</t>
  </si>
  <si>
    <t xml:space="preserve">            1.870,00</t>
  </si>
  <si>
    <t>LCP-220184-EX-02</t>
  </si>
  <si>
    <t xml:space="preserve">            5.890,00</t>
  </si>
  <si>
    <t>LCP-220184-EX-03</t>
  </si>
  <si>
    <t>EX - TECHNICAL COMMI</t>
  </si>
  <si>
    <t>EXP- Mechanism refur</t>
  </si>
  <si>
    <t xml:space="preserve">           36.799,12</t>
  </si>
  <si>
    <t xml:space="preserve">           63.200,88</t>
  </si>
  <si>
    <t>EX - AME - UPG BARCO</t>
  </si>
  <si>
    <t xml:space="preserve">            6.302,92</t>
  </si>
  <si>
    <t>LCP-220201-EX-01</t>
  </si>
  <si>
    <t>Relocations</t>
  </si>
  <si>
    <t>EX-MIXING PIGMENT WE</t>
  </si>
  <si>
    <t xml:space="preserve">          700.000,00</t>
  </si>
  <si>
    <t>LCP-220207-EX-01</t>
  </si>
  <si>
    <t xml:space="preserve">          387.000,00</t>
  </si>
  <si>
    <t>LCP-220207-EX-40</t>
  </si>
  <si>
    <t>40 - expIT SYSTEMS</t>
  </si>
  <si>
    <t xml:space="preserve">            5.028,44</t>
  </si>
  <si>
    <t xml:space="preserve">           34.971,56</t>
  </si>
  <si>
    <t>LCP-220207-EX-92</t>
  </si>
  <si>
    <t>92 - EXPENSABLE WORK</t>
  </si>
  <si>
    <t>LCP-220207-EX-99</t>
  </si>
  <si>
    <t>LCP-220207-EX-75</t>
  </si>
  <si>
    <t>75 - EXPENSE PMO - N</t>
  </si>
  <si>
    <t xml:space="preserve">           51.771,64</t>
  </si>
  <si>
    <t xml:space="preserve">           18.228,36</t>
  </si>
  <si>
    <t>14 - expBUILDING UTI</t>
  </si>
  <si>
    <t xml:space="preserve">            5.483,14</t>
  </si>
  <si>
    <t>-5.483,14</t>
  </si>
  <si>
    <t>94 - expSPECIAL CAPI</t>
  </si>
  <si>
    <t>LCP-220207-EX-97</t>
  </si>
  <si>
    <t>97 - expCONST. CONTR</t>
  </si>
  <si>
    <t xml:space="preserve">              472,67</t>
  </si>
  <si>
    <t>-472,67</t>
  </si>
  <si>
    <t>EX - NEW BEAD WINDER</t>
  </si>
  <si>
    <t xml:space="preserve">          104.345,43</t>
  </si>
  <si>
    <t xml:space="preserve">           38.959,48</t>
  </si>
  <si>
    <t>LCP-220266-EX-01</t>
  </si>
  <si>
    <t>EX - Relocation of e</t>
  </si>
  <si>
    <t>EX- RET - FLAT PRECU</t>
  </si>
  <si>
    <t xml:space="preserve">           25.360,89</t>
  </si>
  <si>
    <t xml:space="preserve">            5.639,11</t>
  </si>
  <si>
    <t>LCP-230006-EX-01</t>
  </si>
  <si>
    <t>EX- Molds repair - 2</t>
  </si>
  <si>
    <t xml:space="preserve">            8.754,17</t>
  </si>
  <si>
    <t xml:space="preserve">            4.245,83</t>
  </si>
  <si>
    <t>LCP-230006-EX-02</t>
  </si>
  <si>
    <t>EX- Molds adjustment</t>
  </si>
  <si>
    <t xml:space="preserve">           16.606,72</t>
  </si>
  <si>
    <t xml:space="preserve">            1.393,28</t>
  </si>
  <si>
    <t>EX - Q5 Extruder 8”</t>
  </si>
  <si>
    <t>LCP-230031-EX-01</t>
  </si>
  <si>
    <t>EX - Truck Crane ren</t>
  </si>
  <si>
    <t>EX - ROLL BENDING SY</t>
  </si>
  <si>
    <t xml:space="preserve">           50.561,00</t>
  </si>
  <si>
    <t>LCP-230033-EX-01</t>
  </si>
  <si>
    <t>EX - Relocations equ</t>
  </si>
  <si>
    <t>EX - UPG CALENDER EX</t>
  </si>
  <si>
    <t xml:space="preserve">           26.274,99</t>
  </si>
  <si>
    <t xml:space="preserve">            3.725,01</t>
  </si>
  <si>
    <t>LCP-230034-EX-01</t>
  </si>
  <si>
    <t>EX - REMOVAL</t>
  </si>
  <si>
    <t>EX - UPGRADE  E+L  C</t>
  </si>
  <si>
    <t xml:space="preserve">           79.700,00</t>
  </si>
  <si>
    <t>LCP-230053-EX-01</t>
  </si>
  <si>
    <t xml:space="preserve">           14.400,00</t>
  </si>
  <si>
    <t>LCP-230053-EX-02</t>
  </si>
  <si>
    <t>EX - EQUIPMENT RENTA</t>
  </si>
  <si>
    <t>LCP-230053-EX-03</t>
  </si>
  <si>
    <t>EX - TECHNICAL SUPPO</t>
  </si>
  <si>
    <t>LCP-230053-EX-04</t>
  </si>
  <si>
    <t>EX - START UP SERVIC</t>
  </si>
  <si>
    <t xml:space="preserve">           27.800,00</t>
  </si>
  <si>
    <t>EX - Americana Quadr</t>
  </si>
  <si>
    <t xml:space="preserve">        2.100.000,00</t>
  </si>
  <si>
    <t>LCP-230060-EX-18</t>
  </si>
  <si>
    <t>18 - expTRANSPORTATI</t>
  </si>
  <si>
    <t xml:space="preserve">          968.630,00</t>
  </si>
  <si>
    <t>LCP-230060-EX-25</t>
  </si>
  <si>
    <t>25 - expEXTRUSION SY</t>
  </si>
  <si>
    <t>LCP-230060-EX-92</t>
  </si>
  <si>
    <t xml:space="preserve">          200.000,00</t>
  </si>
  <si>
    <t xml:space="preserve">          202.000,00</t>
  </si>
  <si>
    <t>LCP-230060-EX-99</t>
  </si>
  <si>
    <t xml:space="preserve">          629.370,00</t>
  </si>
  <si>
    <t>EX - LAPG - Wheels R</t>
  </si>
  <si>
    <t xml:space="preserve">           16.800,00</t>
  </si>
  <si>
    <t>LCP-230112-EX-01</t>
  </si>
  <si>
    <t>LCP-230112-EX-02</t>
  </si>
  <si>
    <t>EX - Commissioning a</t>
  </si>
  <si>
    <t>LCP-230112-EX-03</t>
  </si>
  <si>
    <t xml:space="preserve">            2.800,00</t>
  </si>
  <si>
    <t>EX - NEW AZ/SOL MACH</t>
  </si>
  <si>
    <t xml:space="preserve">           40.313,00</t>
  </si>
  <si>
    <t xml:space="preserve">            9.931,78</t>
  </si>
  <si>
    <t>LCP-230121-EX-01</t>
  </si>
  <si>
    <t>EX - REMOVE OLD MACH</t>
  </si>
  <si>
    <t xml:space="preserve">            4.757,00</t>
  </si>
  <si>
    <t>LCP-230121-EX-02</t>
  </si>
  <si>
    <t>EX - COST OF TIRE US</t>
  </si>
  <si>
    <t>LCP-230121-EX-03</t>
  </si>
  <si>
    <t xml:space="preserve">           25.556,00</t>
  </si>
  <si>
    <t xml:space="preserve">           15.624,22</t>
  </si>
  <si>
    <t>LCP-230122-EX-01</t>
  </si>
  <si>
    <t>LCP-230122-EX-02</t>
  </si>
  <si>
    <t>EX - Technical suppo</t>
  </si>
  <si>
    <t>LCP-230122-EX-03</t>
  </si>
  <si>
    <t>EX - Employee traini</t>
  </si>
  <si>
    <t>LCP-230122-EX-04</t>
  </si>
  <si>
    <t>EX - Government fees</t>
  </si>
  <si>
    <t>LCP-230122-EX-05</t>
  </si>
  <si>
    <t>EX - Start up and co</t>
  </si>
  <si>
    <t>LCP-230122-EX-06</t>
  </si>
  <si>
    <t>EX - Tires Lubrifica</t>
  </si>
  <si>
    <t>LCP-230124-EX-01</t>
  </si>
  <si>
    <t>LCP-230124-EX-02</t>
  </si>
  <si>
    <t>EX - NR-12 Phase 1 i</t>
  </si>
  <si>
    <t xml:space="preserve">           21.500,00</t>
  </si>
  <si>
    <t>LCP-230125-EX-01</t>
  </si>
  <si>
    <t>LCP-230125-EX-02</t>
  </si>
  <si>
    <t>EX - UPG BARCODE REA</t>
  </si>
  <si>
    <t>LCP-230151-EX-01</t>
  </si>
  <si>
    <t>EX - RETROFIT OF THE</t>
  </si>
  <si>
    <t xml:space="preserve">           18.700,00</t>
  </si>
  <si>
    <t>LCP-230154-EX-01</t>
  </si>
  <si>
    <t xml:space="preserve">           11.800,00</t>
  </si>
  <si>
    <t>LCP-230154-EX-02</t>
  </si>
  <si>
    <t xml:space="preserve">            6.900,00</t>
  </si>
  <si>
    <t>EX - CAL4R2 - CONTRO</t>
  </si>
  <si>
    <t xml:space="preserve">           15.385,00</t>
  </si>
  <si>
    <t>LCP-230178-EX-01</t>
  </si>
  <si>
    <t>EX - CAL4R1 - CONTRO</t>
  </si>
  <si>
    <t>LCP-230179-EX-01</t>
  </si>
  <si>
    <t>EX - STRAIGHT LANE &amp;</t>
  </si>
  <si>
    <t xml:space="preserve">          161.260,00</t>
  </si>
  <si>
    <t xml:space="preserve">          141.886,56</t>
  </si>
  <si>
    <t xml:space="preserve">           19.373,44</t>
  </si>
  <si>
    <t>LCP-230186-EX-01</t>
  </si>
  <si>
    <t>EX - LEGISLATION AND</t>
  </si>
  <si>
    <t>EX - REMOVAL AND REL</t>
  </si>
  <si>
    <t xml:space="preserve">          134.499,66</t>
  </si>
  <si>
    <t xml:space="preserve">          120.882,05</t>
  </si>
  <si>
    <t xml:space="preserve">           13.617,61</t>
  </si>
  <si>
    <t>LCP-230186-EX-03</t>
  </si>
  <si>
    <t xml:space="preserve">           26.760,34</t>
  </si>
  <si>
    <t xml:space="preserve">           21.004,51</t>
  </si>
  <si>
    <t xml:space="preserve">            5.755,83</t>
  </si>
  <si>
    <t>LCP-230186-EX-04</t>
  </si>
  <si>
    <t>EX - COMMISSIONING &amp;</t>
  </si>
  <si>
    <t>EX - HIGH PRESSURE P</t>
  </si>
  <si>
    <t xml:space="preserve">            7.564,38</t>
  </si>
  <si>
    <t xml:space="preserve">            1.338,95</t>
  </si>
  <si>
    <t xml:space="preserve">            8.903,33</t>
  </si>
  <si>
    <t>LCP-230191-EX-01</t>
  </si>
  <si>
    <t>EX - MAZAK INTEGREX</t>
  </si>
  <si>
    <t>EX - METALS</t>
  </si>
  <si>
    <t>EX - INSTALLATION OF</t>
  </si>
  <si>
    <t xml:space="preserve">            4.354,51</t>
  </si>
  <si>
    <t xml:space="preserve">            2.210,64</t>
  </si>
  <si>
    <t xml:space="preserve">            2.143,87</t>
  </si>
  <si>
    <t>LCP-230225-EX-01</t>
  </si>
  <si>
    <t>EX - REMOVAL OF DAMA</t>
  </si>
  <si>
    <t>EXP- Molds Reworks a</t>
  </si>
  <si>
    <t xml:space="preserve">           17.368,31</t>
  </si>
  <si>
    <t xml:space="preserve">            7.631,69</t>
  </si>
  <si>
    <t xml:space="preserve">           18.368,18</t>
  </si>
  <si>
    <t>EX - Retrofit Inside</t>
  </si>
  <si>
    <t xml:space="preserve">           17.343,36</t>
  </si>
  <si>
    <t xml:space="preserve">           18.656,64</t>
  </si>
  <si>
    <t>LCP-230253-EX-01</t>
  </si>
  <si>
    <t>EX - Building adjust</t>
  </si>
  <si>
    <t xml:space="preserve">            4.656,64</t>
  </si>
  <si>
    <t>LCP-230253-EX-02</t>
  </si>
  <si>
    <t>EX - Hydrant relocat</t>
  </si>
  <si>
    <t>LCP-230253-EX-03</t>
  </si>
  <si>
    <t>EX - KBK adjustment</t>
  </si>
  <si>
    <t>EX - NEW DYNAMIC BAL</t>
  </si>
  <si>
    <t xml:space="preserve">           23.108,00</t>
  </si>
  <si>
    <t xml:space="preserve">            4.351,22</t>
  </si>
  <si>
    <t xml:space="preserve">           18.756,78</t>
  </si>
  <si>
    <t>LCP-230255-EX-01</t>
  </si>
  <si>
    <t>EX - Micro-Poise 04</t>
  </si>
  <si>
    <t>EX - RETROFIT BUILDI</t>
  </si>
  <si>
    <t>LCP-240001-EX-01</t>
  </si>
  <si>
    <t>EX - GOVERNMENT FEES</t>
  </si>
  <si>
    <t>LCP-240001-EX-02</t>
  </si>
  <si>
    <t>EX - EQUIPMENT RENT</t>
  </si>
  <si>
    <t>LCP-240001-EX-03</t>
  </si>
  <si>
    <t>EX - UPGRADE GENERAL</t>
  </si>
  <si>
    <t xml:space="preserve">           10.020,00</t>
  </si>
  <si>
    <t>LCP-240087-EX-01</t>
  </si>
  <si>
    <t>EX - REMOVAL OF CURR</t>
  </si>
  <si>
    <t xml:space="preserve">          138.838,00</t>
  </si>
  <si>
    <t>LCP-240102-EX-01</t>
  </si>
  <si>
    <t>EXP -RET - SOURCE FL</t>
  </si>
  <si>
    <t>EXP - Rework (15) G3</t>
  </si>
  <si>
    <t xml:space="preserve">            3.202,64</t>
  </si>
  <si>
    <t>LCP-240124-EX-01</t>
  </si>
  <si>
    <t>EXP- Mold reworks to</t>
  </si>
  <si>
    <t>AME - EXPENSES - CON</t>
  </si>
  <si>
    <t>LCP-240140-EX-01</t>
  </si>
  <si>
    <t>EXPENSE CONTIGENCY</t>
  </si>
  <si>
    <t>LCP-240140-EX-28</t>
  </si>
  <si>
    <t>28 - EXP - BEAD MANU</t>
  </si>
  <si>
    <t>LCP-240140-EX-40</t>
  </si>
  <si>
    <t>40 - EXP - IT SYSTEM</t>
  </si>
  <si>
    <t>LCP-240140-EX-92</t>
  </si>
  <si>
    <t>92-EXPENSABLE WORK -</t>
  </si>
  <si>
    <t>LCP-240140-EX-97</t>
  </si>
  <si>
    <t>97 - EXP - CONST. CO</t>
  </si>
  <si>
    <t>LCP-240140-EX-99</t>
  </si>
  <si>
    <t>99 - EXP - ENGINEERI</t>
  </si>
  <si>
    <t>EXP - AME - (03) TRA</t>
  </si>
  <si>
    <t>LCP-240152-EX-01</t>
  </si>
  <si>
    <t>EXP - OLDT-RING REMO</t>
  </si>
  <si>
    <t>EXP- Molds Reworks</t>
  </si>
  <si>
    <t xml:space="preserve">            9.588,73</t>
  </si>
  <si>
    <t xml:space="preserve">            2.411,27</t>
  </si>
  <si>
    <t>EX- Mold reworks (88</t>
  </si>
  <si>
    <t xml:space="preserve">          165.000,00</t>
  </si>
  <si>
    <t>EX- Mold reworks</t>
  </si>
  <si>
    <t>EX - MC - CARBON PRO</t>
  </si>
  <si>
    <t>LCP-240193-EX-01</t>
  </si>
  <si>
    <t>EX - REMOVALS AND RO</t>
  </si>
  <si>
    <t>LCP-240196-EX-01</t>
  </si>
  <si>
    <t>EXP - AME - MISCELLA</t>
  </si>
  <si>
    <t>LCP-250006-EX-01</t>
  </si>
  <si>
    <t>EXP - CONTINGENCY</t>
  </si>
  <si>
    <t>-----------------------------------------------------------------------------------------------------------------------------------------------------------------------</t>
  </si>
  <si>
    <t xml:space="preserve">   Budget</t>
  </si>
  <si>
    <t xml:space="preserve">   Actual</t>
  </si>
  <si>
    <t xml:space="preserve">  Comm PO</t>
  </si>
  <si>
    <t>RemOrdPla</t>
  </si>
  <si>
    <t xml:space="preserve">  Assigned</t>
  </si>
  <si>
    <t xml:space="preserve"> Available</t>
  </si>
  <si>
    <t xml:space="preserve">   1 USD</t>
  </si>
  <si>
    <t xml:space="preserve">  1 USD</t>
  </si>
  <si>
    <t xml:space="preserve"> 100.000,00</t>
  </si>
  <si>
    <t xml:space="preserve">  88.186,05</t>
  </si>
  <si>
    <t xml:space="preserve">       0,00</t>
  </si>
  <si>
    <t xml:space="preserve">    0,00</t>
  </si>
  <si>
    <t xml:space="preserve"> 11.813,95</t>
  </si>
  <si>
    <t xml:space="preserve">      0,00</t>
  </si>
  <si>
    <t xml:space="preserve">  75.000,00</t>
  </si>
  <si>
    <t xml:space="preserve">  43.244,69</t>
  </si>
  <si>
    <t xml:space="preserve"> 31.755,31</t>
  </si>
  <si>
    <t xml:space="preserve">  92.312,06</t>
  </si>
  <si>
    <t xml:space="preserve">  84.543,49</t>
  </si>
  <si>
    <t xml:space="preserve">  88.780,26</t>
  </si>
  <si>
    <t xml:space="preserve"> 11.219,74</t>
  </si>
  <si>
    <t xml:space="preserve">  51.488,31</t>
  </si>
  <si>
    <t xml:space="preserve">  47.404,21</t>
  </si>
  <si>
    <t xml:space="preserve">  4.084,10</t>
  </si>
  <si>
    <t xml:space="preserve">  32.000,00</t>
  </si>
  <si>
    <t xml:space="preserve">  29.362,80</t>
  </si>
  <si>
    <t xml:space="preserve">  2.637,20</t>
  </si>
  <si>
    <t xml:space="preserve">  56.775,00</t>
  </si>
  <si>
    <t xml:space="preserve">  48.243,19</t>
  </si>
  <si>
    <t xml:space="preserve">  8.531,81</t>
  </si>
  <si>
    <t xml:space="preserve">  71.500,00</t>
  </si>
  <si>
    <t xml:space="preserve">  29.247,55</t>
  </si>
  <si>
    <t xml:space="preserve"> 42.252,45</t>
  </si>
  <si>
    <t xml:space="preserve">  12.000,00</t>
  </si>
  <si>
    <t xml:space="preserve">   7.259,55</t>
  </si>
  <si>
    <t xml:space="preserve">  4.740,45</t>
  </si>
  <si>
    <t xml:space="preserve">  90.000,00</t>
  </si>
  <si>
    <t xml:space="preserve">  72.523,65</t>
  </si>
  <si>
    <t xml:space="preserve">  49.000,00</t>
  </si>
  <si>
    <t xml:space="preserve">  46.945,87</t>
  </si>
  <si>
    <t xml:space="preserve">  2.054,13</t>
  </si>
  <si>
    <t xml:space="preserve">  36.850,00</t>
  </si>
  <si>
    <t xml:space="preserve">  35.394,68</t>
  </si>
  <si>
    <t xml:space="preserve">  1.455,32</t>
  </si>
  <si>
    <t xml:space="preserve">  98.000,00</t>
  </si>
  <si>
    <t xml:space="preserve">  95.391,24</t>
  </si>
  <si>
    <t xml:space="preserve">  2.608,76</t>
  </si>
  <si>
    <t xml:space="preserve">  28.395,00</t>
  </si>
  <si>
    <t xml:space="preserve">  24.234,43</t>
  </si>
  <si>
    <t xml:space="preserve">  4.160,57</t>
  </si>
  <si>
    <t xml:space="preserve">  93.079,05</t>
  </si>
  <si>
    <t xml:space="preserve">  53.420,66</t>
  </si>
  <si>
    <t xml:space="preserve"> 39.658,39</t>
  </si>
  <si>
    <t xml:space="preserve">  99.950,25</t>
  </si>
  <si>
    <t xml:space="preserve">  73.588,63</t>
  </si>
  <si>
    <t xml:space="preserve"> 26.361,62</t>
  </si>
  <si>
    <t xml:space="preserve">  41.017,00</t>
  </si>
  <si>
    <t xml:space="preserve">  39.527,42</t>
  </si>
  <si>
    <t xml:space="preserve">  1.489,58</t>
  </si>
  <si>
    <t xml:space="preserve">  97.860,16</t>
  </si>
  <si>
    <t xml:space="preserve">  82.520,84</t>
  </si>
  <si>
    <t xml:space="preserve"> 15.339,32</t>
  </si>
  <si>
    <t xml:space="preserve">  50.042,50</t>
  </si>
  <si>
    <t xml:space="preserve">  37.344,49</t>
  </si>
  <si>
    <t xml:space="preserve"> 12.698,01</t>
  </si>
  <si>
    <t xml:space="preserve">  24.017,00</t>
  </si>
  <si>
    <t xml:space="preserve">  16.880,18</t>
  </si>
  <si>
    <t xml:space="preserve">  7.136,82</t>
  </si>
  <si>
    <t xml:space="preserve">  71.408,39</t>
  </si>
  <si>
    <t xml:space="preserve">  46.018,17</t>
  </si>
  <si>
    <t xml:space="preserve"> 25.390,22</t>
  </si>
  <si>
    <t xml:space="preserve">  83.000,00</t>
  </si>
  <si>
    <t xml:space="preserve">  40.598,94</t>
  </si>
  <si>
    <t xml:space="preserve">   8.500,00</t>
  </si>
  <si>
    <t xml:space="preserve">   5.872,51</t>
  </si>
  <si>
    <t xml:space="preserve">  2.627,49</t>
  </si>
  <si>
    <t xml:space="preserve">  60.000,00</t>
  </si>
  <si>
    <t xml:space="preserve">  11.068,24</t>
  </si>
  <si>
    <t xml:space="preserve">  99.980,00</t>
  </si>
  <si>
    <t xml:space="preserve">  81.821,97</t>
  </si>
  <si>
    <t xml:space="preserve"> 18.158,03</t>
  </si>
  <si>
    <t xml:space="preserve"> 99.980,00</t>
  </si>
  <si>
    <t xml:space="preserve">  59.948,00</t>
  </si>
  <si>
    <t xml:space="preserve">  14.105,06</t>
  </si>
  <si>
    <t xml:space="preserve">  18.030,00</t>
  </si>
  <si>
    <t xml:space="preserve">  15.721,04</t>
  </si>
  <si>
    <t xml:space="preserve">  2.308,96</t>
  </si>
  <si>
    <t xml:space="preserve">  25.045,40</t>
  </si>
  <si>
    <t xml:space="preserve">  11.238,11</t>
  </si>
  <si>
    <t xml:space="preserve">  93.349,39</t>
  </si>
  <si>
    <t xml:space="preserve">  6.650,61</t>
  </si>
  <si>
    <t>100.000,00</t>
  </si>
  <si>
    <t xml:space="preserve">  72.000,00</t>
  </si>
  <si>
    <t>1904.886,06</t>
  </si>
  <si>
    <t>1193.235,08</t>
  </si>
  <si>
    <t>LCP-250033</t>
  </si>
  <si>
    <t>AME - REPLACEMENT OF THE METAL CONVEYOR HOTFORMER</t>
  </si>
  <si>
    <t>07/03: Carta Suporte em rota local de aprovacao
Alinhado com a Região que iria ultrapassar o AOP</t>
  </si>
  <si>
    <t>HOPPER APPROVED</t>
  </si>
  <si>
    <t>BUDGET APPROVED ON HOPPER</t>
  </si>
  <si>
    <t>1504512416</t>
  </si>
  <si>
    <t>Ref. 00286083-2 Invoice - Gross Trf to Asset Acct</t>
  </si>
  <si>
    <t>8242066931</t>
  </si>
  <si>
    <t>1504534244</t>
  </si>
  <si>
    <t>Ref. 167850-1 Recebimento Fatura Transferencia de</t>
  </si>
  <si>
    <t>CORTINA DE LUZ 450LE4HL1200YD</t>
  </si>
  <si>
    <t>AM2501090</t>
  </si>
  <si>
    <t>LIGHT CURTAIN 450LE4HL1200YD</t>
  </si>
  <si>
    <t>Plug-in Transmissor para Transceptor</t>
  </si>
  <si>
    <t>AM2108067</t>
  </si>
  <si>
    <t>Transmitter to Transceiver Plug-in</t>
  </si>
  <si>
    <t>PLUG-IN TRANSMISSOR 450LAPTPW5</t>
  </si>
  <si>
    <t>AM2501097</t>
  </si>
  <si>
    <t>PLUG-IN TRANSMITTER 450LAPTPW5</t>
  </si>
  <si>
    <t>CHAVE DE TRAVAMENTO 440G-T27241 BB06</t>
  </si>
  <si>
    <t>CC7937555</t>
  </si>
  <si>
    <t>GUARDING LOCKING SWITCH 440G-T27241 BB06</t>
  </si>
  <si>
    <t>CABO DO SENSOR 889M-F12AH-10</t>
  </si>
  <si>
    <t>CC7803746</t>
  </si>
  <si>
    <t>SENSOR CABLE 889M-F12AH-10</t>
  </si>
  <si>
    <t>PEDAL DE SEGURANCA MODELO TFH232-22UEDR</t>
  </si>
  <si>
    <t>CC7506182</t>
  </si>
  <si>
    <t>SWITCH FOOT</t>
  </si>
  <si>
    <t>BOTAO PULSADOR VERMELHO 800TFX6A5</t>
  </si>
  <si>
    <t>CC7907159</t>
  </si>
  <si>
    <t>PUSH BUTTON RED 800TFX6A5</t>
  </si>
  <si>
    <t>BOTAO PULSADOR CONT MOMENTANEO 800TQBH2B</t>
  </si>
  <si>
    <t>CC7533260</t>
  </si>
  <si>
    <t>PUSH BOTTOM BLUE  800T-QBH2B</t>
  </si>
  <si>
    <t>BOTÃO PULSADOR DE CONTATO MOMENTÂNEO</t>
  </si>
  <si>
    <t>AM2308130</t>
  </si>
  <si>
    <t>MOMENTARY CONTACT PUSH BUTTON</t>
  </si>
  <si>
    <t>1504534251</t>
  </si>
  <si>
    <t>Ref. 167850-1 Fatura Fornecedor Transferencia de c</t>
  </si>
  <si>
    <t>8242066920</t>
  </si>
  <si>
    <t>1504534355</t>
  </si>
  <si>
    <t>Ref. 167878-1 Recebimento Fatura Transferencia de</t>
  </si>
  <si>
    <t>1504534356</t>
  </si>
  <si>
    <t>Ref. 167878-1 Fatura Fornecedor Transferencia de c</t>
  </si>
  <si>
    <t>4500467605</t>
  </si>
  <si>
    <t>1504547238</t>
  </si>
  <si>
    <t>PROJETO-BR00089I25</t>
  </si>
  <si>
    <t>VMI 19" DRUM SET</t>
  </si>
  <si>
    <t>AM2407044</t>
  </si>
  <si>
    <t>SET. VMI 15" SYNCHRONIZED DRUM</t>
  </si>
  <si>
    <t>AM2405094</t>
  </si>
  <si>
    <t>AME - METAL CONVEYOR</t>
  </si>
  <si>
    <t>LCP-250033-01</t>
  </si>
  <si>
    <t>LCP-250033-02</t>
  </si>
  <si>
    <t>400201406</t>
  </si>
  <si>
    <t>Material Coordinators Cost Distribution</t>
  </si>
  <si>
    <t>602418264</t>
  </si>
  <si>
    <t>CCKQ</t>
  </si>
  <si>
    <t>CONCORD TRUCKING SERVICES INC</t>
  </si>
  <si>
    <t>602453601</t>
  </si>
  <si>
    <t>8242014050</t>
  </si>
  <si>
    <t>1504546354</t>
  </si>
  <si>
    <t>1504546382</t>
  </si>
  <si>
    <t>1504553270</t>
  </si>
  <si>
    <t>Ref. 3561-0 Fatura Fornecedor Transferencia de con</t>
  </si>
  <si>
    <t>1504553274</t>
  </si>
  <si>
    <t>Ref. 3562-0 Fatura Fornecedor Transferencia de con</t>
  </si>
  <si>
    <t>Commissioning</t>
  </si>
  <si>
    <t>Colocado TECO em 11/03/2025 a pedido de finanças.
Histórico:
PO será cancelado 8241222372 (09 08 23)</t>
  </si>
  <si>
    <t>Colocado TECO em 11/03/2025 a pedido de finanças.
Histórico:
PO em aberto: 8241276659 - Charles Elblink
Vildem irá verificar (08 02 24)
Saldo será cancedo (09 08 24)</t>
  </si>
  <si>
    <t>Colocado TECO em 11/03/2025 a pedido de finanças.
Histórico:
Será finalizado em 2025
PO em aberto: 8241470829 - Charles Elblink
PO em aberto: 8241252183 - Charles Elblink</t>
  </si>
  <si>
    <t>Colocado TECO em 11/03/2025 a pedido de finanças.</t>
  </si>
  <si>
    <t>Colocado TECO em 11/03/2025 a pedido de finanças.
Como não tem PO em aberto deve ser feito o CLOSE</t>
  </si>
  <si>
    <t>Ok. Finalizado. Solicitado o CLOSE</t>
  </si>
  <si>
    <t>LCP-250006-09</t>
  </si>
  <si>
    <t>- Main Achievements: Orçamento recebido
- Risks: 
- Next steps: Abrir SC</t>
  </si>
  <si>
    <t>- Main Achievements:
- Risks: 
- Next steps: Programar serviço e requisitar peça do estoque</t>
  </si>
  <si>
    <t>Aprovado em 2024 mas foi adiado para 2025 devido ao prazo. Já Liberado para execução</t>
  </si>
  <si>
    <t>OK. Finalizado</t>
  </si>
  <si>
    <t>In Study</t>
  </si>
  <si>
    <t>PROJECT COORDINATOR</t>
  </si>
  <si>
    <t>Budget para pagar a MO do Corodenador de projetos terceirizado</t>
  </si>
  <si>
    <t>1504661476</t>
  </si>
  <si>
    <t>Ref. 00288875-2 Invoice - Gross Trf to Asset Acct</t>
  </si>
  <si>
    <t>1504661478</t>
  </si>
  <si>
    <t>Ref. 00288876-2 Invoice - Gross Trf to Asset Acct</t>
  </si>
  <si>
    <t>1504661480</t>
  </si>
  <si>
    <t>Ref. 00288878-2 Invoice - Gross Trf to Asset Acct</t>
  </si>
  <si>
    <t>1504661482</t>
  </si>
  <si>
    <t>Ref. 00288879-2 Invoice - Gross Trf to Asset Acct</t>
  </si>
  <si>
    <t>1504661484</t>
  </si>
  <si>
    <t>Ref. 00288898-2 Invoice - Gross Trf to Asset Acct</t>
  </si>
  <si>
    <t>1504661486</t>
  </si>
  <si>
    <t>Ref. 00288901-2 Invoice - Gross Trf to Asset Acct</t>
  </si>
  <si>
    <t>1504707696</t>
  </si>
  <si>
    <t>Ref. 00284474-60 Invoice - Gross Trf to Asset Acct</t>
  </si>
  <si>
    <t>1504633917</t>
  </si>
  <si>
    <t>RECLASS ENTRE PROJETOS</t>
  </si>
  <si>
    <t>1504634325</t>
  </si>
  <si>
    <t>1504697502</t>
  </si>
  <si>
    <t>Pagamento Net Empresa - LI ACE II</t>
  </si>
  <si>
    <t>CAP - PROJECT COORDI</t>
  </si>
  <si>
    <t>CAP ADEQUACAO DE PAI</t>
  </si>
  <si>
    <t>602502538</t>
  </si>
  <si>
    <t>8242098985</t>
  </si>
  <si>
    <t>CLSD BUDG AUC  AVAC  //  APPR BREL INPL</t>
  </si>
  <si>
    <t>FSB - LIGHTING SYSTEM ADEQUATION</t>
  </si>
  <si>
    <t>LCP-250031-EX</t>
  </si>
  <si>
    <t>AME - METAL CONVEYOR HOTFORMER</t>
  </si>
  <si>
    <t>LCP-250033-EX</t>
  </si>
  <si>
    <t>EXP - METAL CONVEYOR HOTFORMER</t>
  </si>
  <si>
    <t xml:space="preserve">           69.700,62</t>
  </si>
  <si>
    <t>Commitment</t>
  </si>
  <si>
    <t xml:space="preserve"> Comm PO</t>
  </si>
  <si>
    <t xml:space="preserve">     0,00</t>
  </si>
  <si>
    <t xml:space="preserve"> 4.236,77</t>
  </si>
  <si>
    <t xml:space="preserve">  42.000,00</t>
  </si>
  <si>
    <t xml:space="preserve"> 42.000,00</t>
  </si>
  <si>
    <t xml:space="preserve">  50.000,00</t>
  </si>
  <si>
    <t>Aprovado para 2025:</t>
  </si>
  <si>
    <t>1504775351</t>
  </si>
  <si>
    <t>1504775358</t>
  </si>
  <si>
    <t>8241894841</t>
  </si>
  <si>
    <t>1504833373</t>
  </si>
  <si>
    <t>Ref. 5599-3 Recebimento Fatura Transferencia de co</t>
  </si>
  <si>
    <t>PAINEL ELETRICO MONTADO</t>
  </si>
  <si>
    <t>AM2009238</t>
  </si>
  <si>
    <t>ELECTRICAL PANEL  ASSEMBLY</t>
  </si>
  <si>
    <t>1504833374</t>
  </si>
  <si>
    <t>Ref. 5599-3 Fatura Fornecedor Transferencia de con</t>
  </si>
  <si>
    <t>8241925925</t>
  </si>
  <si>
    <t>1504772955</t>
  </si>
  <si>
    <t>1504830597</t>
  </si>
  <si>
    <t>Ref. 4849-1 Recebimento Fatura Transferencia de co</t>
  </si>
  <si>
    <t>1504830598</t>
  </si>
  <si>
    <t>Ref. 4849-1 Fatura Fornecedor Transferencia de con</t>
  </si>
  <si>
    <t>8242092046</t>
  </si>
  <si>
    <t>1504831400</t>
  </si>
  <si>
    <t>Ref. 168032-1 Recebimento Fatura Transferencia de</t>
  </si>
  <si>
    <t>INVERSOR POWERFLEX 525 - 25BD6P0N104</t>
  </si>
  <si>
    <t>CC6102721</t>
  </si>
  <si>
    <t>1504831401</t>
  </si>
  <si>
    <t>Ref. 168032-1 Fatura Fornecedor Transferencia de c</t>
  </si>
  <si>
    <t>8242072931</t>
  </si>
  <si>
    <t>1504831403</t>
  </si>
  <si>
    <t>Ref. 16551-1 Recebimento Fatura Transferencia de c</t>
  </si>
  <si>
    <t>CONJ. DE PROTEÇÕES AKRODYNE</t>
  </si>
  <si>
    <t>AM2501004</t>
  </si>
  <si>
    <t>AERODYNE PROTECTION SET</t>
  </si>
  <si>
    <t>1504831404</t>
  </si>
  <si>
    <t>Ref. 16551-1 Fatura Fornecedor Transferencia de co</t>
  </si>
  <si>
    <t>-1.424.457,16</t>
  </si>
  <si>
    <t>602538944</t>
  </si>
  <si>
    <t>128802</t>
  </si>
  <si>
    <t>602543409</t>
  </si>
  <si>
    <t>8242099511</t>
  </si>
  <si>
    <t>1504774562</t>
  </si>
  <si>
    <t>1504746152</t>
  </si>
  <si>
    <t>1504746155</t>
  </si>
  <si>
    <t>1504746157</t>
  </si>
  <si>
    <t>1504746160</t>
  </si>
  <si>
    <t>1504836069</t>
  </si>
  <si>
    <t>1504836078</t>
  </si>
  <si>
    <t>1504836083</t>
  </si>
  <si>
    <t>1504836085</t>
  </si>
  <si>
    <t>EEX-250002-00-04</t>
  </si>
  <si>
    <t>ESTUDO MELHORIAS ESTEIRA BALANÇA BB04</t>
  </si>
  <si>
    <t>Aprovado em 18/03/2025</t>
  </si>
  <si>
    <t>Aprovado em 17/03/2025</t>
  </si>
  <si>
    <t>TECO BUDG AUC  AVAC SETC  //  BREL</t>
  </si>
  <si>
    <t>ADEQUAÇÃO ÁREA ARMAZENAMENTO INFLAMÁVEIS</t>
  </si>
  <si>
    <t>RETROFIT TORRE RESFRIAMENTO MIXER</t>
  </si>
  <si>
    <t>REL  BUDG ISBD AUC  AVAC SETC  //  BREL</t>
  </si>
  <si>
    <t>UPGRADE MIXER#1 - INST. CÉLULA DE CARGA</t>
  </si>
  <si>
    <t>UPG. 02 RELÉS - SUBESTAÇÃO PRIMÁRIA</t>
  </si>
  <si>
    <t>SPEED UP GATE WAY (COMUNICAÇÃO PLC)</t>
  </si>
  <si>
    <t>GTU GREEN TIRE UNIFORMITY B1 (PORTABLE)</t>
  </si>
  <si>
    <t>SISTEMA MONITORAMENTO UNID. HIDR. BBYS</t>
  </si>
  <si>
    <t>RESFRIAMENTO DA CABINE DO LASER RX 2A</t>
  </si>
  <si>
    <t>CONJ. APLICADOR DE RODAGEM 05 NGTTS</t>
  </si>
  <si>
    <t>CLSD BUDG AUC  AVAC SETC  //  BREL</t>
  </si>
  <si>
    <t>CLSD BUDG ISBD AUC  AVAC SETC  //  BREL</t>
  </si>
  <si>
    <t>CAP - BOMBA #2 DA TORRE DE RESFRIAMENTO</t>
  </si>
  <si>
    <t>CAP -MAQ. MONTAGEM PNEUS P/ RESILIOMETRO</t>
  </si>
  <si>
    <t>CAP - SIST. DE ALIMENTAÇÃO ESTRUSORA</t>
  </si>
  <si>
    <t>CAP - PRO-MIC EQUIPMENT TO MEASURE CALEN</t>
  </si>
  <si>
    <t>CAP - MANIPULADOR DAS BANDAS DE CAMELBAC</t>
  </si>
  <si>
    <t>CAP - APLICADORA DE ENVOLTORIO EM TALAO</t>
  </si>
  <si>
    <t>CAP - CONTROLE DE ACESSO PORTARIA</t>
  </si>
  <si>
    <t>CAP - UPGRADE PRENSAS MRT SLC500/CONTROL</t>
  </si>
  <si>
    <t>CAP - CILINDRO DA PLACA DO GRIPPER</t>
  </si>
  <si>
    <t>CAP - POKA YOKE ISOLADORAS FASE 2</t>
  </si>
  <si>
    <t>CAP - FEEDBOX EXTRUSORA 6 INFERIOR  Q5</t>
  </si>
  <si>
    <t>CAP ADEQUACAO DE PAINEL MOTOBOMBA EDF.75</t>
  </si>
  <si>
    <t>1504960705</t>
  </si>
  <si>
    <t>1504974138</t>
  </si>
  <si>
    <t>1504974166</t>
  </si>
  <si>
    <t>8241952889</t>
  </si>
  <si>
    <t>1504932399</t>
  </si>
  <si>
    <t>Ref. 2543446-1 Recebimento Fatura Transferencia de</t>
  </si>
  <si>
    <t>Uni de tratamento de ar comp-552938</t>
  </si>
  <si>
    <t>AM2408163</t>
  </si>
  <si>
    <t>Air Handling Uni comp-552938</t>
  </si>
  <si>
    <t>1504932639</t>
  </si>
  <si>
    <t>Ref. 2540118-1 Recebimento Fatura Transferencia de</t>
  </si>
  <si>
    <t>Terminal de válvulas</t>
  </si>
  <si>
    <t>AM2408132</t>
  </si>
  <si>
    <t>valve terminal</t>
  </si>
  <si>
    <t>1504932640</t>
  </si>
  <si>
    <t>Ref. 2540118-1 Fatura Fornecedor Transferencia de</t>
  </si>
  <si>
    <t>1504932800</t>
  </si>
  <si>
    <t>Ref. 2543446-1 Fatura Fornecedor Transferencia de</t>
  </si>
  <si>
    <t>8241670827</t>
  </si>
  <si>
    <t>1504972002</t>
  </si>
  <si>
    <t>Ref. 1847-1 Recebimento Fatura Transferencia de co</t>
  </si>
  <si>
    <t>WAGON CAR FOR HANDLER</t>
  </si>
  <si>
    <t>AM2411200</t>
  </si>
  <si>
    <t>PANTOGRAPHIC ARM FOR MANIPULATOR</t>
  </si>
  <si>
    <t>AM2411201</t>
  </si>
  <si>
    <t>PNEUMATIC ROCKER FOR MANIPULATOR</t>
  </si>
  <si>
    <t>AM2411202</t>
  </si>
  <si>
    <t>1504972003</t>
  </si>
  <si>
    <t>Ref. 1847-1 Fatura Fornecedor Transferencia de con</t>
  </si>
  <si>
    <t>1504929918</t>
  </si>
  <si>
    <t>Ref. 25829-0 Fatura Fornecedor Transferencia de co</t>
  </si>
  <si>
    <t>1504928373</t>
  </si>
  <si>
    <t>Ref. 3769-0 Fatura Fornecedor Transferencia de con</t>
  </si>
  <si>
    <t>602577899</t>
  </si>
  <si>
    <t>52000000</t>
  </si>
  <si>
    <t>602568653</t>
  </si>
  <si>
    <t>A399016/682896/Airfare</t>
  </si>
  <si>
    <t>1504978046</t>
  </si>
  <si>
    <t>1504990079</t>
  </si>
  <si>
    <t>Ref. 00288704-2 Invoice - Gross Trf to Asset Acct</t>
  </si>
  <si>
    <t>1504990081</t>
  </si>
  <si>
    <t>Ref. 00288706-2 Invoice - Gross Trf to Asset Acct</t>
  </si>
  <si>
    <t>1504990083</t>
  </si>
  <si>
    <t>Ref. 00288707-2 Invoice - Gross Trf to Asset Acct</t>
  </si>
  <si>
    <t>1504990086</t>
  </si>
  <si>
    <t>Ref. 00288705-2 Invoice - Gross Trf to Asset Acct</t>
  </si>
  <si>
    <t>1504990088</t>
  </si>
  <si>
    <t>Ref. 00288773-2 Invoice - Gross Trf to Asset Acct</t>
  </si>
  <si>
    <t>1504990090</t>
  </si>
  <si>
    <t>Ref. 00288780-2 Invoice - Gross Trf to Asset Acct</t>
  </si>
  <si>
    <t>1504990092</t>
  </si>
  <si>
    <t>Ref. 00288803-2 Invoice - Gross Trf to Asset Acct</t>
  </si>
  <si>
    <t>1504990094</t>
  </si>
  <si>
    <t>Ref. 00288804-2 Invoice - Gross Trf to Asset Acct</t>
  </si>
  <si>
    <t>602602102</t>
  </si>
  <si>
    <t>602604624</t>
  </si>
  <si>
    <t>LOC-250001-00-10</t>
  </si>
  <si>
    <t xml:space="preserve"> (2) CARRINHOS DE INSPEÇÕES BUFFER #1 E #2</t>
  </si>
  <si>
    <t>EEX-250002-00-05</t>
  </si>
  <si>
    <t>Relocação do sistema de incêndio e máquinas de Scrap out</t>
  </si>
  <si>
    <t>Descomissionamento da sala atual</t>
  </si>
  <si>
    <t>Demolição para Construção das trincheiras de prensas e relocação de Rack de Molds</t>
  </si>
  <si>
    <t>(2) TV 55"</t>
  </si>
  <si>
    <t>Rafael Do Vale (AA03300)</t>
  </si>
  <si>
    <t>LOC-250001-00-11</t>
  </si>
  <si>
    <t>1505107713</t>
  </si>
  <si>
    <t>1505107644</t>
  </si>
  <si>
    <t>1505064048</t>
  </si>
  <si>
    <t>Ref. 109507-1 Invoice - Gross Trf to Asset Acct</t>
  </si>
  <si>
    <t>1505064088</t>
  </si>
  <si>
    <t>1504928355</t>
  </si>
  <si>
    <t>Pagamento Net Empresa - CETESB LI KOKUSAI</t>
  </si>
  <si>
    <t>8241915315</t>
  </si>
  <si>
    <t>1505027151</t>
  </si>
  <si>
    <t>Análise clinicas e congêneres</t>
  </si>
  <si>
    <t>8242036761</t>
  </si>
  <si>
    <t>1505025152</t>
  </si>
  <si>
    <t>Ref. 100-1 Recebimento Fatura Transferencia de con</t>
  </si>
  <si>
    <t>CORTINA DE AR EP2120-2UH-TS</t>
  </si>
  <si>
    <t>AM2408014</t>
  </si>
  <si>
    <t>AIR CURTAIN EP2120-2UH-TS</t>
  </si>
  <si>
    <t>CORTINA DE AR EP2108-2UH-TS</t>
  </si>
  <si>
    <t>AM2408015</t>
  </si>
  <si>
    <t>AIR CURTAIN EP2108-2UH-TS</t>
  </si>
  <si>
    <t>CORTINA DE AR EP2120-3UH-TS</t>
  </si>
  <si>
    <t>AM2408016</t>
  </si>
  <si>
    <t>AIR CURTAIN EP2120-3UH-TS</t>
  </si>
  <si>
    <t>CORTINA DE AR EP296-2UH-TS</t>
  </si>
  <si>
    <t>AM2408013</t>
  </si>
  <si>
    <t>AIR CURTAIN EP296-2UH-TS</t>
  </si>
  <si>
    <t>1505025173</t>
  </si>
  <si>
    <t>Ref. 100-1 Fatura Fornecedor Transferencia de con</t>
  </si>
  <si>
    <t>8242098595</t>
  </si>
  <si>
    <t>1505059190</t>
  </si>
  <si>
    <t>Ref. 8099-1 Recebimento Fatura Transferencia de co</t>
  </si>
  <si>
    <t>TUBO DE CONCRETO ARMADO RCP 300 MM PA-2</t>
  </si>
  <si>
    <t>AM2502190</t>
  </si>
  <si>
    <t>REINFORCED CONCRETE PIPE (RCP) 300 MM PA</t>
  </si>
  <si>
    <t>1505059191</t>
  </si>
  <si>
    <t>Ref. 8099-1 Fatura Fornecedor Transferencia de con</t>
  </si>
  <si>
    <t>1505061829</t>
  </si>
  <si>
    <t>1505061836</t>
  </si>
  <si>
    <t>1505061839</t>
  </si>
  <si>
    <t>1505071225</t>
  </si>
  <si>
    <t>1505105329</t>
  </si>
  <si>
    <t>1505079839</t>
  </si>
  <si>
    <t>8242051688</t>
  </si>
  <si>
    <t>1505029530</t>
  </si>
  <si>
    <t>1505065044</t>
  </si>
  <si>
    <t>Ref. 2540118-1 Invoice - Gross Trf to Asset Acct</t>
  </si>
  <si>
    <t>1505065238</t>
  </si>
  <si>
    <t>Ref. 2543446-1 Invoice - Gross Trf to Asset Acct</t>
  </si>
  <si>
    <t>1505071516</t>
  </si>
  <si>
    <t>1505071822</t>
  </si>
  <si>
    <t>8242092045</t>
  </si>
  <si>
    <t>1505021702</t>
  </si>
  <si>
    <t>Ref. 1358-1 Recebimento Fatura Transferencia de co</t>
  </si>
  <si>
    <t>QUADRO NR12 COM TELA 2050X850MM</t>
  </si>
  <si>
    <t>AM2412014</t>
  </si>
  <si>
    <t>NR12 FRAME WITH 2050X850MM SCREEN</t>
  </si>
  <si>
    <t>1505021703</t>
  </si>
  <si>
    <t>Ref. 1358-1 Fatura Fornecedor Transferencia de con</t>
  </si>
  <si>
    <t>8242072933</t>
  </si>
  <si>
    <t>PERFIL DE ALUMÍNIO NR12 45X45MM X 2050MM</t>
  </si>
  <si>
    <t>AM2412013</t>
  </si>
  <si>
    <t>ALUMINUM PROFILE NR12 45X45MM X 2050MM</t>
  </si>
  <si>
    <t>8241969112</t>
  </si>
  <si>
    <t>1505078440</t>
  </si>
  <si>
    <t>Ref. 76346-0 Recebimento Fatura Transferencia de c</t>
  </si>
  <si>
    <t>CARRO ELEVADOR DE BOBINAS VIRADOR GT-150</t>
  </si>
  <si>
    <t>AM2014260</t>
  </si>
  <si>
    <t>COIL LIFT CAR TURNOVER GT-150</t>
  </si>
  <si>
    <t>1505078441</t>
  </si>
  <si>
    <t>Ref. 76346-0 Fatura Fornecedor Transferencia de co</t>
  </si>
  <si>
    <t>602609431</t>
  </si>
  <si>
    <t>602611242</t>
  </si>
  <si>
    <t>602630336</t>
  </si>
  <si>
    <t>602630337</t>
  </si>
  <si>
    <t>602630339</t>
  </si>
  <si>
    <t>602630340</t>
  </si>
  <si>
    <t>602632757</t>
  </si>
  <si>
    <t>602632760</t>
  </si>
  <si>
    <t>1505108661</t>
  </si>
  <si>
    <t>8242066954</t>
  </si>
  <si>
    <t>1504974120</t>
  </si>
  <si>
    <t>8241615767</t>
  </si>
  <si>
    <t>1505080666</t>
  </si>
  <si>
    <t>1505019385</t>
  </si>
  <si>
    <t>Ref. 65-0 Fatura Fornecedor Transferencia de con</t>
  </si>
  <si>
    <t>1505053077</t>
  </si>
  <si>
    <t>Ref. 67-0 Fatura Fornecedor Transferencia de con</t>
  </si>
  <si>
    <t>1504980301</t>
  </si>
  <si>
    <t>Ref. 3566-0 Fatura Fornecedor Transferencia de con</t>
  </si>
  <si>
    <t>1504980468</t>
  </si>
  <si>
    <t>Ref. 3567-0 Fatura Fornecedor Transferencia de con</t>
  </si>
  <si>
    <t>1504980514</t>
  </si>
  <si>
    <t>Ref. 3568-0 Fatura Fornecedor Transferencia de con</t>
  </si>
  <si>
    <t>1504980562</t>
  </si>
  <si>
    <t>Ref. 3569-0 Fatura Fornecedor Transferencia de con</t>
  </si>
  <si>
    <t>1504980803</t>
  </si>
  <si>
    <t>1504980851</t>
  </si>
  <si>
    <t>Ref. 3573-0 Fatura Fornecedor Transferencia de con</t>
  </si>
  <si>
    <t>1504981024</t>
  </si>
  <si>
    <t>Ref. 3574-0 Fatura Fornecedor Transferencia de con</t>
  </si>
  <si>
    <t>1504981080</t>
  </si>
  <si>
    <t>Ref. 3575-0 Fatura Fornecedor Transferencia de con</t>
  </si>
  <si>
    <t>8242036785</t>
  </si>
  <si>
    <t>1505080634</t>
  </si>
  <si>
    <t xml:space="preserve">            2.244,71</t>
  </si>
  <si>
    <t xml:space="preserve">            4.562,95</t>
  </si>
  <si>
    <t xml:space="preserve">           20.910,73</t>
  </si>
  <si>
    <t>ESTUDO MELHORIAS EST</t>
  </si>
  <si>
    <t xml:space="preserve">           25.377,67</t>
  </si>
  <si>
    <t xml:space="preserve">           56.675,50</t>
  </si>
  <si>
    <t>8241397267</t>
  </si>
  <si>
    <t>1505268726</t>
  </si>
  <si>
    <t>8242098569</t>
  </si>
  <si>
    <t>1505110355</t>
  </si>
  <si>
    <t>Ref. 168354-1 Recebimento Fatura Transferencia de</t>
  </si>
  <si>
    <t>FONTE DE ALIMENTAÇÃO 1606XLE120E</t>
  </si>
  <si>
    <t>CC6110062</t>
  </si>
  <si>
    <t>POWER SUPPLY MODULAR 24-28V DC</t>
  </si>
  <si>
    <t>1505110360</t>
  </si>
  <si>
    <t>Ref. 168354-1 Fatura Fornecedor Transferencia de c</t>
  </si>
  <si>
    <t>1505223387</t>
  </si>
  <si>
    <t>1505271565</t>
  </si>
  <si>
    <t>Ref. 26041-0 Fatura Fornecedor Transferencia de co</t>
  </si>
  <si>
    <t>1505232459</t>
  </si>
  <si>
    <t>1505216406</t>
  </si>
  <si>
    <t>Ref. 0IX0030122 A 126 G/L account document Trf to</t>
  </si>
  <si>
    <t>131</t>
  </si>
  <si>
    <t>THE GOODYEAR TIRE &amp; RUBBER COMPANY</t>
  </si>
  <si>
    <t>1505216415</t>
  </si>
  <si>
    <t>Ref. 0IX003012. TAX G/L account document Trf to As</t>
  </si>
  <si>
    <t>2192000003</t>
  </si>
  <si>
    <t>Accrue Other -CIDE</t>
  </si>
  <si>
    <t>8242057507</t>
  </si>
  <si>
    <t>1505273632</t>
  </si>
  <si>
    <t>Ref. 76359-0 Recebimento Fatura Transferencia de c</t>
  </si>
  <si>
    <t>ANTICONGELANTE ETILIENO GLICOL 20L</t>
  </si>
  <si>
    <t>AM2501043</t>
  </si>
  <si>
    <t>20L ETHYLENE GLYCOL ANTIFREEZE</t>
  </si>
  <si>
    <t>1505273633</t>
  </si>
  <si>
    <t>Ref. 76359-0 Fatura Fornecedor Transferencia de co</t>
  </si>
  <si>
    <t>1505130100</t>
  </si>
  <si>
    <t>Ref. 00288797-2 Invoice - Gross Trf to Asset Acct</t>
  </si>
  <si>
    <t>1505130102</t>
  </si>
  <si>
    <t>Ref. 00288798-2 Invoice - Gross Trf to Asset Acct</t>
  </si>
  <si>
    <t>1505267956</t>
  </si>
  <si>
    <t>1505214910</t>
  </si>
  <si>
    <t>1505214923</t>
  </si>
  <si>
    <t>1505214987</t>
  </si>
  <si>
    <t>1505215258</t>
  </si>
  <si>
    <t>1505215298</t>
  </si>
  <si>
    <t>1505224818</t>
  </si>
  <si>
    <t>Ref. 28768-0 Fatura Fornecedor Transferencia de co</t>
  </si>
  <si>
    <t>1505264686</t>
  </si>
  <si>
    <t>1505265114</t>
  </si>
  <si>
    <t>1505265338</t>
  </si>
  <si>
    <t>1505265354</t>
  </si>
  <si>
    <t>1505265356</t>
  </si>
  <si>
    <t>1505265360</t>
  </si>
  <si>
    <t>1505265382</t>
  </si>
  <si>
    <t>1505273691</t>
  </si>
  <si>
    <t>Ref. 1297-0 Invoice - Gross Trf to Asset Acct</t>
  </si>
  <si>
    <t>1505216545</t>
  </si>
  <si>
    <t>1505228254</t>
  </si>
  <si>
    <t>Ref. 2071-0 Fatura Fornecedor Transferencia de con</t>
  </si>
  <si>
    <t>1505266999</t>
  </si>
  <si>
    <t>1505267587</t>
  </si>
  <si>
    <t>1505267595</t>
  </si>
  <si>
    <t>1505267709</t>
  </si>
  <si>
    <t>1505267714</t>
  </si>
  <si>
    <t>1505273197</t>
  </si>
  <si>
    <t>1505273719</t>
  </si>
  <si>
    <t>1505215426</t>
  </si>
  <si>
    <t>1505262138</t>
  </si>
  <si>
    <t>Ref. 116611-0 Fatura Fornecedor Transferencia de c</t>
  </si>
  <si>
    <t>1505262203</t>
  </si>
  <si>
    <t>Ref. 74365-0 Fatura Fornecedor Transferencia de co</t>
  </si>
  <si>
    <t>8242052540</t>
  </si>
  <si>
    <t>1505271000</t>
  </si>
  <si>
    <t>1505110243</t>
  </si>
  <si>
    <t>Ref. 168341-1 Recebimento Fatura Transferencia de</t>
  </si>
  <si>
    <t>CHAVE FIM DE CURSO DE SEGURANCA. SENATOR</t>
  </si>
  <si>
    <t>CC7540358</t>
  </si>
  <si>
    <t>SWITCH SAFETY</t>
  </si>
  <si>
    <t>1505110244</t>
  </si>
  <si>
    <t>Ref. 168341-1 Fatura Fornecedor Transferencia de c</t>
  </si>
  <si>
    <t>1505109065</t>
  </si>
  <si>
    <t>Ref. 168206-1 Recebimento Fatura Transferencia de</t>
  </si>
  <si>
    <t>1505109066</t>
  </si>
  <si>
    <t>Ref. 168206-1 Fatura Fornecedor Transferencia de c</t>
  </si>
  <si>
    <t>1505109060</t>
  </si>
  <si>
    <t>Ref. 168205-1 Recebimento Fatura Transferencia de</t>
  </si>
  <si>
    <t>1505109061</t>
  </si>
  <si>
    <t>Ref. 168205-1 Fatura Fornecedor Transferencia de c</t>
  </si>
  <si>
    <t>8241895983</t>
  </si>
  <si>
    <t>1505110508</t>
  </si>
  <si>
    <t>Ref. 168331-1 Recebimento Fatura Transferencia de</t>
  </si>
  <si>
    <t>Placa Indentificação do botão de emerg</t>
  </si>
  <si>
    <t>AM2308128</t>
  </si>
  <si>
    <t>Emergency button identification plate</t>
  </si>
  <si>
    <t>1505110509</t>
  </si>
  <si>
    <t>Ref. 168331-1 Fatura Fornecedor Transferencia de c</t>
  </si>
  <si>
    <t>1505262285</t>
  </si>
  <si>
    <t>Ref. 116302-0 Fatura Fornecedor Transferencia de c</t>
  </si>
  <si>
    <t>1505262675</t>
  </si>
  <si>
    <t>Ref. 74040-0 Fatura Fornecedor Transferencia de co</t>
  </si>
  <si>
    <t>1505262694</t>
  </si>
  <si>
    <t>1505263047</t>
  </si>
  <si>
    <t>8241875780</t>
  </si>
  <si>
    <t>1505269287</t>
  </si>
  <si>
    <t>1505269243</t>
  </si>
  <si>
    <t>8242013635</t>
  </si>
  <si>
    <t>1505273997</t>
  </si>
  <si>
    <t>8241872516</t>
  </si>
  <si>
    <t>1505115256</t>
  </si>
  <si>
    <t>1505230225</t>
  </si>
  <si>
    <t>8242052592</t>
  </si>
  <si>
    <t>1505222401</t>
  </si>
  <si>
    <t>Suporte técnico em informática geral</t>
  </si>
  <si>
    <t>1505222406</t>
  </si>
  <si>
    <t>8242032394</t>
  </si>
  <si>
    <t>1505261968</t>
  </si>
  <si>
    <t>Elaboração de estudos constr.civil</t>
  </si>
  <si>
    <t>8242067119</t>
  </si>
  <si>
    <t>1505234897</t>
  </si>
  <si>
    <t>8241937598</t>
  </si>
  <si>
    <t>1505268369</t>
  </si>
  <si>
    <t>4500469309</t>
  </si>
  <si>
    <t>1505271398</t>
  </si>
  <si>
    <t>PROJETO-BR00496I25</t>
  </si>
  <si>
    <t>DRUM PLATE ASSY 19" L 15^ W=5 H=6</t>
  </si>
  <si>
    <t>AM2408007</t>
  </si>
  <si>
    <t>DRUM PLATE ASSY 19"S 15^ W=5 H=6</t>
  </si>
  <si>
    <t>AM2408008</t>
  </si>
  <si>
    <t>-17.502,54</t>
  </si>
  <si>
    <t>602672892</t>
  </si>
  <si>
    <t>602700846</t>
  </si>
  <si>
    <t>602700855</t>
  </si>
  <si>
    <t>602705039</t>
  </si>
  <si>
    <t>602705041</t>
  </si>
  <si>
    <t>602705042</t>
  </si>
  <si>
    <t>57047400</t>
  </si>
  <si>
    <t>602707439</t>
  </si>
  <si>
    <t>Cintoo 4Q Chargeout</t>
  </si>
  <si>
    <t>57047416</t>
  </si>
  <si>
    <t>Procurement Card</t>
  </si>
  <si>
    <t>ICP-230034-40</t>
  </si>
  <si>
    <t>8242111402</t>
  </si>
  <si>
    <t>Network Boxes</t>
  </si>
  <si>
    <t>8241120681</t>
  </si>
  <si>
    <t>1505219564</t>
  </si>
  <si>
    <t>1505267564</t>
  </si>
  <si>
    <t>Ref. 130-0 Fatura Fornecedor Transferencia de con</t>
  </si>
  <si>
    <t>8241470851</t>
  </si>
  <si>
    <t>1505220338</t>
  </si>
  <si>
    <t>1505266942</t>
  </si>
  <si>
    <t>Ref. 921-0 Fatura Fornecedor Transferencia de con</t>
  </si>
  <si>
    <t>1505232753</t>
  </si>
  <si>
    <t>1505223574</t>
  </si>
  <si>
    <t>Ref. 1031-0 Fatura Fornecedor Transferencia de con</t>
  </si>
  <si>
    <t>1505110636</t>
  </si>
  <si>
    <t>1505228277</t>
  </si>
  <si>
    <t>Ref. 3833-0 Fatura Fornecedor Transferencia de con</t>
  </si>
  <si>
    <t>1505270018</t>
  </si>
  <si>
    <t>Ref. 8723-0 Invoice - Gross Trf to Asset Acct</t>
  </si>
  <si>
    <t>1505271937</t>
  </si>
  <si>
    <t>Orientação pedagógica e educacional</t>
  </si>
  <si>
    <t>1505124274</t>
  </si>
  <si>
    <t>1505215160</t>
  </si>
  <si>
    <t>Pagamento Net Empresa - CETESB LONADO</t>
  </si>
  <si>
    <t>1505118876</t>
  </si>
  <si>
    <t>1505118880</t>
  </si>
  <si>
    <t>1505119429</t>
  </si>
  <si>
    <t>1505119477</t>
  </si>
  <si>
    <t>1505224816</t>
  </si>
  <si>
    <t>1505224842</t>
  </si>
  <si>
    <t>1505224868</t>
  </si>
  <si>
    <t>1505224876</t>
  </si>
  <si>
    <t xml:space="preserve">           31.321,85</t>
  </si>
  <si>
    <t xml:space="preserve">            1.383,98</t>
  </si>
  <si>
    <t xml:space="preserve">           21.631,82</t>
  </si>
  <si>
    <t xml:space="preserve"> 13.807,29</t>
  </si>
  <si>
    <t>1505275273</t>
  </si>
  <si>
    <t>1505277211</t>
  </si>
  <si>
    <t>Ref. 80-0 Invoice - Gross Trf to Asset Acct</t>
  </si>
  <si>
    <t>1505276577</t>
  </si>
  <si>
    <t>Ref. 73-0 Invoice - Gross Trf to Asset Acct</t>
  </si>
  <si>
    <t>1505276764</t>
  </si>
  <si>
    <t>Ref. 74-0 Invoice - Gross Trf to Asset Acct</t>
  </si>
  <si>
    <t>1505277085</t>
  </si>
  <si>
    <t>Ref. 75-0 Invoice - Gross Trf to Asset Acct</t>
  </si>
  <si>
    <t>1505277100</t>
  </si>
  <si>
    <t>Ref. 76-0 Invoice - Gross Trf to Asset Acct</t>
  </si>
  <si>
    <t>1505277299</t>
  </si>
  <si>
    <t>Ref. 79-0 Invoice - Gross Trf to Asset Acct</t>
  </si>
  <si>
    <t>1505277577</t>
  </si>
  <si>
    <t>Ref. 78-0 Invoice - Gross Trf to Asset Acct</t>
  </si>
  <si>
    <t>1505277588</t>
  </si>
  <si>
    <t>Ref. 77-0 Invoice - Gross Trf to Asset Acct</t>
  </si>
  <si>
    <t>1505277619</t>
  </si>
  <si>
    <t>Ref. 2956-0 Invoice - Gross Trf to Asset Acct</t>
  </si>
  <si>
    <t>1505277624</t>
  </si>
  <si>
    <t>Ref. 2957-0 Invoice - Gross Trf to Asset Acct</t>
  </si>
  <si>
    <t>1505277674</t>
  </si>
  <si>
    <t>Ref. 2958-0 Invoice - Gross Trf to Asset Acct</t>
  </si>
  <si>
    <t>1505278409</t>
  </si>
  <si>
    <t>Ref. 2959-0 Invoice - Gross Trf to Asset Acct</t>
  </si>
  <si>
    <t>1505274803</t>
  </si>
  <si>
    <t>Ref. 99-0 Fatura Fornecedor Transferencia de con</t>
  </si>
  <si>
    <t>CAP - JATEADORA DE G</t>
  </si>
  <si>
    <t>Colocado TECO em 11/03/2025 a pedido de finanças.
Histórico:
PO em aberto: 8240710745 - CAVALSAN 
Vildem irá verificar (08 02 24)
Vildem irá verificar (09 08 24)
Vildem irá faturar em Janeieo 2025 (19 12 24)
Cobrado Videm (04 02 24)
Vildem disse que finaliza até julho (26/03/25)</t>
  </si>
  <si>
    <t>1505308499</t>
  </si>
  <si>
    <t>Ref. 3842-0 Invoice - Gross Trf to Asset Acct</t>
  </si>
  <si>
    <t>1505310610</t>
  </si>
  <si>
    <t>PROCESSO DE EMBARQUE:MRO-BR02594I24</t>
  </si>
  <si>
    <t>1505345556</t>
  </si>
  <si>
    <t>Ref. 26044-0 Fatura Fornecedor Transferencia de co</t>
  </si>
  <si>
    <t>1505347183</t>
  </si>
  <si>
    <t>Ref. 3341-0 Fatura Fornecedor Transferencia de con</t>
  </si>
  <si>
    <t>1505315379</t>
  </si>
  <si>
    <t>1505306025</t>
  </si>
  <si>
    <t>Ref. 1298-0 Invoice - Gross Trf to Asset Acct</t>
  </si>
  <si>
    <t>1505307284</t>
  </si>
  <si>
    <t>Ref. 1299-0 Invoice - Gross Trf to Asset Acct</t>
  </si>
  <si>
    <t>1505307438</t>
  </si>
  <si>
    <t>Ref. 1300-0 Invoice - Gross Trf to Asset Acct</t>
  </si>
  <si>
    <t>1505307456</t>
  </si>
  <si>
    <t>Ref. 1301-0 Invoice - Gross Trf to Asset Acct</t>
  </si>
  <si>
    <t>1505345595</t>
  </si>
  <si>
    <t>Ref. 3338-0 Fatura Fornecedor Transferencia de con</t>
  </si>
  <si>
    <t>1505346262</t>
  </si>
  <si>
    <t>Ref. 3339-0 Fatura Fornecedor Transferencia de con</t>
  </si>
  <si>
    <t>1505346483</t>
  </si>
  <si>
    <t>Ref. 3340-0 Fatura Fornecedor Transferencia de con</t>
  </si>
  <si>
    <t>1505346950</t>
  </si>
  <si>
    <t>1505346955</t>
  </si>
  <si>
    <t>1505347121</t>
  </si>
  <si>
    <t>1505312388</t>
  </si>
  <si>
    <t>Ref. 2960-0 Fatura Fornecedor Transferencia de con</t>
  </si>
  <si>
    <t>1505314548</t>
  </si>
  <si>
    <t>Ref. 26058-0 Fatura Fornecedor Transferencia de co</t>
  </si>
  <si>
    <t>8242104803</t>
  </si>
  <si>
    <t>1505307880</t>
  </si>
  <si>
    <t>Ref. 73218-2 Recebimento Fatura Transferencia de c</t>
  </si>
  <si>
    <t>CRIMATIZADOR EBV-50</t>
  </si>
  <si>
    <t>AM2410095</t>
  </si>
  <si>
    <t>CRIMATIZER EBV-50</t>
  </si>
  <si>
    <t>1505307882</t>
  </si>
  <si>
    <t>Ref. 73218-2 Fatura Fornecedor Transferencia de co</t>
  </si>
  <si>
    <t>1505311247</t>
  </si>
  <si>
    <t>Ref. 1070-0 Invoice - Gross Trf to Asset Acct</t>
  </si>
  <si>
    <t>602726786</t>
  </si>
  <si>
    <t>602727111</t>
  </si>
  <si>
    <t>602727113</t>
  </si>
  <si>
    <t>LOC-250001-00-12</t>
  </si>
  <si>
    <t>(1) GELADEIRA FRIGOBAR 117 LITROS</t>
  </si>
  <si>
    <t>Colocado TECO em 11/03/2025 a pedido de finanças.
Pode ser encerrado.</t>
  </si>
  <si>
    <t>AUTOCOMPOUND Q5 SLOW MOVING</t>
  </si>
  <si>
    <t>1505520747</t>
  </si>
  <si>
    <t>1505506505</t>
  </si>
  <si>
    <t>DP IMP Marco/25</t>
  </si>
  <si>
    <t>1505520749</t>
  </si>
  <si>
    <t>1505401014</t>
  </si>
  <si>
    <t>AJUSTE ENCERRAMENTO 03.25</t>
  </si>
  <si>
    <t>1505362505</t>
  </si>
  <si>
    <t>Ref. 26059-0 Fatura Fornecedor Transferencia de co</t>
  </si>
  <si>
    <t>1505520751</t>
  </si>
  <si>
    <t>1505356824</t>
  </si>
  <si>
    <t>Diferencial de aliquota de ATIVO 03-2025</t>
  </si>
  <si>
    <t>1505520754</t>
  </si>
  <si>
    <t>1505520758</t>
  </si>
  <si>
    <t>1505520759</t>
  </si>
  <si>
    <t>1505520761</t>
  </si>
  <si>
    <t>1505520768</t>
  </si>
  <si>
    <t>abril</t>
  </si>
  <si>
    <t>4</t>
  </si>
  <si>
    <t>4500430221</t>
  </si>
  <si>
    <t>1505570804</t>
  </si>
  <si>
    <t>PROJETO-BR01688I24</t>
  </si>
  <si>
    <t>Kokusai Truck Tire Balancer</t>
  </si>
  <si>
    <t>AM2203091</t>
  </si>
  <si>
    <t>1505570813</t>
  </si>
  <si>
    <t>1505570822</t>
  </si>
  <si>
    <t>1505520772</t>
  </si>
  <si>
    <t>1505520774</t>
  </si>
  <si>
    <t>1505362867</t>
  </si>
  <si>
    <t>Estorno de impostos - NF's 683 e 685 - Campo de Pr</t>
  </si>
  <si>
    <t>1505520776</t>
  </si>
  <si>
    <t>1505351788</t>
  </si>
  <si>
    <t>Ref. 76359-0 Invoice - Gross Trf to Asset Acct</t>
  </si>
  <si>
    <t>1505352080</t>
  </si>
  <si>
    <t>1505520778</t>
  </si>
  <si>
    <t>1505520781</t>
  </si>
  <si>
    <t>1505520782</t>
  </si>
  <si>
    <t>1505350572</t>
  </si>
  <si>
    <t>Baixa LAVAGEM DE CONTAINER</t>
  </si>
  <si>
    <t>1086601100</t>
  </si>
  <si>
    <t>BcoBradesco1063-4 in</t>
  </si>
  <si>
    <t>1505418822</t>
  </si>
  <si>
    <t>1505418826</t>
  </si>
  <si>
    <t>1505520784</t>
  </si>
  <si>
    <t>1505520786</t>
  </si>
  <si>
    <t>1505520787</t>
  </si>
  <si>
    <t>1505356371</t>
  </si>
  <si>
    <t>1505365384</t>
  </si>
  <si>
    <t>Ref. 3343-0 Fatura Fornecedor Transferencia de con</t>
  </si>
  <si>
    <t>1505366111</t>
  </si>
  <si>
    <t>Ref. 3337-0 Fatura Fornecedor Transferencia de con</t>
  </si>
  <si>
    <t>1505520789</t>
  </si>
  <si>
    <t>1505520791</t>
  </si>
  <si>
    <t>1505520792</t>
  </si>
  <si>
    <t>1505354125</t>
  </si>
  <si>
    <t>CHG-MERIDI-4503182 - 3/25</t>
  </si>
  <si>
    <t>1505520794</t>
  </si>
  <si>
    <t>1505520796</t>
  </si>
  <si>
    <t>1505520798</t>
  </si>
  <si>
    <t>1505362528</t>
  </si>
  <si>
    <t>Ref. 2962-0 Fatura Fornecedor Transferencia de con</t>
  </si>
  <si>
    <t>1505362533</t>
  </si>
  <si>
    <t>Ref. 2961-0 Fatura Fornecedor Transferencia de con</t>
  </si>
  <si>
    <t>1505520800</t>
  </si>
  <si>
    <t>1505366754</t>
  </si>
  <si>
    <t>Ref. 509-0 Fatura Fornecedor Transferencia de con</t>
  </si>
  <si>
    <t>1505520802</t>
  </si>
  <si>
    <t>1505520803</t>
  </si>
  <si>
    <t>1505575545</t>
  </si>
  <si>
    <t>Ref.  Recebimento Mercador Transferencia de con</t>
  </si>
  <si>
    <t>1169910000</t>
  </si>
  <si>
    <t>RM-Supplies-Ctrl</t>
  </si>
  <si>
    <t>CC2870024</t>
  </si>
  <si>
    <t>THREAD SEWING</t>
  </si>
  <si>
    <t>CC2267094</t>
  </si>
  <si>
    <t>CYLINDER EXTENSION</t>
  </si>
  <si>
    <t>1505358532</t>
  </si>
  <si>
    <t>Estorno de impostos - NF's 335 e 352 - Campo de Pr</t>
  </si>
  <si>
    <t>1505520806</t>
  </si>
  <si>
    <t>1505518457</t>
  </si>
  <si>
    <t>RECLASS PROJ CC</t>
  </si>
  <si>
    <t>5705500000</t>
  </si>
  <si>
    <t>Tech&amp;Clr Out Serv</t>
  </si>
  <si>
    <t>1505519485</t>
  </si>
  <si>
    <t>1505520123</t>
  </si>
  <si>
    <t>1505520809</t>
  </si>
  <si>
    <t>1505520811</t>
  </si>
  <si>
    <t>8242061983</t>
  </si>
  <si>
    <t>1505569419</t>
  </si>
  <si>
    <t>Ref. 215882-11 Recebimento Fatura Transferencia de</t>
  </si>
  <si>
    <t>Cabo de alimentação 6FX5008-1BB50 4x 50</t>
  </si>
  <si>
    <t>AM2411173</t>
  </si>
  <si>
    <t>Power cable 6FX5008-1BB50 4x 50</t>
  </si>
  <si>
    <t>Cabo de alimentação 6FX5008-1BB11 4x 1,5</t>
  </si>
  <si>
    <t>AM2411172</t>
  </si>
  <si>
    <t>Power cable 6FX5008-1BB11 4x 1.5</t>
  </si>
  <si>
    <t>Cabo de alimentação 6FX5008-1BB51-1FA0</t>
  </si>
  <si>
    <t>AM2411170</t>
  </si>
  <si>
    <t>Power cable 6FX5008-1BB51-1FA0</t>
  </si>
  <si>
    <t>Cabo de alimentação 6FX5008-1BB21-1FA0</t>
  </si>
  <si>
    <t>AM2412008</t>
  </si>
  <si>
    <t>Power cable 6FX5008-1BB21-1FA0</t>
  </si>
  <si>
    <t>1505569544</t>
  </si>
  <si>
    <t>Ref. 215882-11 Fatura Fornecedor Transferencia de</t>
  </si>
  <si>
    <t>1505520812</t>
  </si>
  <si>
    <t>1505520814</t>
  </si>
  <si>
    <t>1505520815</t>
  </si>
  <si>
    <t>1505520820</t>
  </si>
  <si>
    <t>1505520822</t>
  </si>
  <si>
    <t>1505520823</t>
  </si>
  <si>
    <t>1505520824</t>
  </si>
  <si>
    <t>1505364195</t>
  </si>
  <si>
    <t>Ref. 98-0 Fatura Fornecedor Transferencia de con</t>
  </si>
  <si>
    <t>1505520826</t>
  </si>
  <si>
    <t>1505520827</t>
  </si>
  <si>
    <t>1505517669</t>
  </si>
  <si>
    <t>1505517670</t>
  </si>
  <si>
    <t>1505520829</t>
  </si>
  <si>
    <t>1505353995</t>
  </si>
  <si>
    <t>NF 16551 - M GARCIA</t>
  </si>
  <si>
    <t>1301302450</t>
  </si>
  <si>
    <t>ICMS F/A RecoverCIAP</t>
  </si>
  <si>
    <t>1505520830</t>
  </si>
  <si>
    <t>1505358736</t>
  </si>
  <si>
    <t>Ref. 3092-0 Fatura Fornecedor Transferencia de con</t>
  </si>
  <si>
    <t>1505520831</t>
  </si>
  <si>
    <t>1505520833</t>
  </si>
  <si>
    <t>1505520834</t>
  </si>
  <si>
    <t>1505350885</t>
  </si>
  <si>
    <t>1505350904</t>
  </si>
  <si>
    <t>1505367330</t>
  </si>
  <si>
    <t>Ref. 2665-0 Fatura Fornecedor Transferencia de con</t>
  </si>
  <si>
    <t>1505520836</t>
  </si>
  <si>
    <t>1505520837</t>
  </si>
  <si>
    <t>1505518715</t>
  </si>
  <si>
    <t>1505520838</t>
  </si>
  <si>
    <t>1505407882</t>
  </si>
  <si>
    <t>1505520840</t>
  </si>
  <si>
    <t>1505520844</t>
  </si>
  <si>
    <t>1505520845</t>
  </si>
  <si>
    <t>-6.514,24</t>
  </si>
  <si>
    <t>FSB - 2025 MISCELLAN</t>
  </si>
  <si>
    <t>356223888</t>
  </si>
  <si>
    <t>356223889</t>
  </si>
  <si>
    <t>356223890</t>
  </si>
  <si>
    <t>356223891</t>
  </si>
  <si>
    <t>356223892</t>
  </si>
  <si>
    <t>356223893</t>
  </si>
  <si>
    <t>356225708</t>
  </si>
  <si>
    <t>356225709</t>
  </si>
  <si>
    <t>356225710</t>
  </si>
  <si>
    <t>356225711</t>
  </si>
  <si>
    <t>356225712</t>
  </si>
  <si>
    <t>356225713</t>
  </si>
  <si>
    <t>356225714</t>
  </si>
  <si>
    <t>356225715</t>
  </si>
  <si>
    <t>356225716</t>
  </si>
  <si>
    <t>356225717</t>
  </si>
  <si>
    <t>356225718</t>
  </si>
  <si>
    <t>356225719</t>
  </si>
  <si>
    <t>356225720</t>
  </si>
  <si>
    <t>356225721</t>
  </si>
  <si>
    <t>356225722</t>
  </si>
  <si>
    <t>356225723</t>
  </si>
  <si>
    <t>356225724</t>
  </si>
  <si>
    <t>356225725</t>
  </si>
  <si>
    <t>356225726</t>
  </si>
  <si>
    <t>356225727</t>
  </si>
  <si>
    <t>356225728</t>
  </si>
  <si>
    <t>356225729</t>
  </si>
  <si>
    <t>356225730</t>
  </si>
  <si>
    <t>356225731</t>
  </si>
  <si>
    <t>356225732</t>
  </si>
  <si>
    <t>356225733</t>
  </si>
  <si>
    <t>356225734</t>
  </si>
  <si>
    <t>356225735</t>
  </si>
  <si>
    <t>356225736</t>
  </si>
  <si>
    <t>356225737</t>
  </si>
  <si>
    <t>356225738</t>
  </si>
  <si>
    <t>356225739</t>
  </si>
  <si>
    <t>356225740</t>
  </si>
  <si>
    <t>356225741</t>
  </si>
  <si>
    <t>356225742</t>
  </si>
  <si>
    <t>356225743</t>
  </si>
  <si>
    <t>356225744</t>
  </si>
  <si>
    <t>356225745</t>
  </si>
  <si>
    <t>356225746</t>
  </si>
  <si>
    <t>356225747</t>
  </si>
  <si>
    <t>356225748</t>
  </si>
  <si>
    <t>356225749</t>
  </si>
  <si>
    <t>356225750</t>
  </si>
  <si>
    <t>356225751</t>
  </si>
  <si>
    <t>356225752</t>
  </si>
  <si>
    <t>356225753</t>
  </si>
  <si>
    <t>356225754</t>
  </si>
  <si>
    <t>356225755</t>
  </si>
  <si>
    <t>356225756</t>
  </si>
  <si>
    <t>356225757</t>
  </si>
  <si>
    <t>356225758</t>
  </si>
  <si>
    <t>356225759</t>
  </si>
  <si>
    <t>356225760</t>
  </si>
  <si>
    <t>356225761</t>
  </si>
  <si>
    <t>356225762</t>
  </si>
  <si>
    <t>356225763</t>
  </si>
  <si>
    <t>356225764</t>
  </si>
  <si>
    <t>356225765</t>
  </si>
  <si>
    <t>356225766</t>
  </si>
  <si>
    <t>356225767</t>
  </si>
  <si>
    <t>356225768</t>
  </si>
  <si>
    <t>356225769</t>
  </si>
  <si>
    <t>356225770</t>
  </si>
  <si>
    <t>356225771</t>
  </si>
  <si>
    <t>356225772</t>
  </si>
  <si>
    <t>356225773</t>
  </si>
  <si>
    <t>356225774</t>
  </si>
  <si>
    <t>356225775</t>
  </si>
  <si>
    <t>356225776</t>
  </si>
  <si>
    <t>356225777</t>
  </si>
  <si>
    <t>356225778</t>
  </si>
  <si>
    <t>356225779</t>
  </si>
  <si>
    <t>356225780</t>
  </si>
  <si>
    <t>356226094</t>
  </si>
  <si>
    <t>356226095</t>
  </si>
  <si>
    <t>356226096</t>
  </si>
  <si>
    <t>356226097</t>
  </si>
  <si>
    <t>356226098</t>
  </si>
  <si>
    <t>356226099</t>
  </si>
  <si>
    <t>356226100</t>
  </si>
  <si>
    <t>356226101</t>
  </si>
  <si>
    <t>356226102</t>
  </si>
  <si>
    <t>356226103</t>
  </si>
  <si>
    <t>356226104</t>
  </si>
  <si>
    <t>356226105</t>
  </si>
  <si>
    <t>356226106</t>
  </si>
  <si>
    <t>356226107</t>
  </si>
  <si>
    <t>356226108</t>
  </si>
  <si>
    <t>356226109</t>
  </si>
  <si>
    <t>356226110</t>
  </si>
  <si>
    <t>356226111</t>
  </si>
  <si>
    <t>356226112</t>
  </si>
  <si>
    <t>356226113</t>
  </si>
  <si>
    <t>356226114</t>
  </si>
  <si>
    <t>356226115</t>
  </si>
  <si>
    <t>356226116</t>
  </si>
  <si>
    <t>356226117</t>
  </si>
  <si>
    <t>356226118</t>
  </si>
  <si>
    <t>356226119</t>
  </si>
  <si>
    <t>356226120</t>
  </si>
  <si>
    <t>356226121</t>
  </si>
  <si>
    <t>356226122</t>
  </si>
  <si>
    <t>356226123</t>
  </si>
  <si>
    <t>356226124</t>
  </si>
  <si>
    <t>356226125</t>
  </si>
  <si>
    <t>356226126</t>
  </si>
  <si>
    <t>356226127</t>
  </si>
  <si>
    <t>356226128</t>
  </si>
  <si>
    <t>356226129</t>
  </si>
  <si>
    <t>356226130</t>
  </si>
  <si>
    <t>356226131</t>
  </si>
  <si>
    <t>356226132</t>
  </si>
  <si>
    <t>356226133</t>
  </si>
  <si>
    <t>356226134</t>
  </si>
  <si>
    <t>356226135</t>
  </si>
  <si>
    <t>356226136</t>
  </si>
  <si>
    <t>356226137</t>
  </si>
  <si>
    <t>356226138</t>
  </si>
  <si>
    <t>356226139</t>
  </si>
  <si>
    <t>356226140</t>
  </si>
  <si>
    <t>356226141</t>
  </si>
  <si>
    <t>356226142</t>
  </si>
  <si>
    <t>356226143</t>
  </si>
  <si>
    <t>356226144</t>
  </si>
  <si>
    <t>356226145</t>
  </si>
  <si>
    <t>356226146</t>
  </si>
  <si>
    <t>356226147</t>
  </si>
  <si>
    <t>356226148</t>
  </si>
  <si>
    <t>356226149</t>
  </si>
  <si>
    <t>356226150</t>
  </si>
  <si>
    <t>356226151</t>
  </si>
  <si>
    <t>356226152</t>
  </si>
  <si>
    <t>356226153</t>
  </si>
  <si>
    <t>356226154</t>
  </si>
  <si>
    <t>356226155</t>
  </si>
  <si>
    <t>356226156</t>
  </si>
  <si>
    <t>356226157</t>
  </si>
  <si>
    <t>356226158</t>
  </si>
  <si>
    <t>356226159</t>
  </si>
  <si>
    <t>356226160</t>
  </si>
  <si>
    <t>356226161</t>
  </si>
  <si>
    <t>356226162</t>
  </si>
  <si>
    <t>356226163</t>
  </si>
  <si>
    <t>356226164</t>
  </si>
  <si>
    <t>356226165</t>
  </si>
  <si>
    <t>356226166</t>
  </si>
  <si>
    <t>356226167</t>
  </si>
  <si>
    <t>356226168</t>
  </si>
  <si>
    <t>356226169</t>
  </si>
  <si>
    <t>356226170</t>
  </si>
  <si>
    <t>356226171</t>
  </si>
  <si>
    <t>356226172</t>
  </si>
  <si>
    <t>356226173</t>
  </si>
  <si>
    <t>356226174</t>
  </si>
  <si>
    <t>356226175</t>
  </si>
  <si>
    <t>356226176</t>
  </si>
  <si>
    <t>356226177</t>
  </si>
  <si>
    <t>356226178</t>
  </si>
  <si>
    <t>356226179</t>
  </si>
  <si>
    <t>356226180</t>
  </si>
  <si>
    <t>356226181</t>
  </si>
  <si>
    <t>356226182</t>
  </si>
  <si>
    <t>356226183</t>
  </si>
  <si>
    <t>356226184</t>
  </si>
  <si>
    <t>356226185</t>
  </si>
  <si>
    <t>356226186</t>
  </si>
  <si>
    <t>356226187</t>
  </si>
  <si>
    <t>356226188</t>
  </si>
  <si>
    <t>356226189</t>
  </si>
  <si>
    <t>356226190</t>
  </si>
  <si>
    <t>356226191</t>
  </si>
  <si>
    <t>356226192</t>
  </si>
  <si>
    <t>356226193</t>
  </si>
  <si>
    <t>356226194</t>
  </si>
  <si>
    <t>356226195</t>
  </si>
  <si>
    <t>356226196</t>
  </si>
  <si>
    <t>356226197</t>
  </si>
  <si>
    <t>356226198</t>
  </si>
  <si>
    <t>356226199</t>
  </si>
  <si>
    <t>356226200</t>
  </si>
  <si>
    <t>356226201</t>
  </si>
  <si>
    <t>356226202</t>
  </si>
  <si>
    <t>356226203</t>
  </si>
  <si>
    <t>356226204</t>
  </si>
  <si>
    <t>356226205</t>
  </si>
  <si>
    <t>356226206</t>
  </si>
  <si>
    <t>356226207</t>
  </si>
  <si>
    <t>356226208</t>
  </si>
  <si>
    <t>356226209</t>
  </si>
  <si>
    <t>356226705</t>
  </si>
  <si>
    <t>356226706</t>
  </si>
  <si>
    <t>356226707</t>
  </si>
  <si>
    <t>356226708</t>
  </si>
  <si>
    <t>356226709</t>
  </si>
  <si>
    <t>356226710</t>
  </si>
  <si>
    <t>356226711</t>
  </si>
  <si>
    <t>356226712</t>
  </si>
  <si>
    <t>356226713</t>
  </si>
  <si>
    <t>356226714</t>
  </si>
  <si>
    <t>356226715</t>
  </si>
  <si>
    <t>356226716</t>
  </si>
  <si>
    <t>356226717</t>
  </si>
  <si>
    <t>356226718</t>
  </si>
  <si>
    <t>356227357</t>
  </si>
  <si>
    <t>356227358</t>
  </si>
  <si>
    <t>356227359</t>
  </si>
  <si>
    <t>356227360</t>
  </si>
  <si>
    <t>356227361</t>
  </si>
  <si>
    <t>356227362</t>
  </si>
  <si>
    <t>356227541</t>
  </si>
  <si>
    <t>356227542</t>
  </si>
  <si>
    <t>356227543</t>
  </si>
  <si>
    <t>356227544</t>
  </si>
  <si>
    <t>356227545</t>
  </si>
  <si>
    <t>356227552</t>
  </si>
  <si>
    <t>356227553</t>
  </si>
  <si>
    <t>356227554</t>
  </si>
  <si>
    <t>356227555</t>
  </si>
  <si>
    <t>356227580</t>
  </si>
  <si>
    <t>356227581</t>
  </si>
  <si>
    <t>356227582</t>
  </si>
  <si>
    <t>356227583</t>
  </si>
  <si>
    <t>356227584</t>
  </si>
  <si>
    <t>356227585</t>
  </si>
  <si>
    <t>356227586</t>
  </si>
  <si>
    <t>356227587</t>
  </si>
  <si>
    <t>356227588</t>
  </si>
  <si>
    <t>356227641</t>
  </si>
  <si>
    <t>356227642</t>
  </si>
  <si>
    <t>356227643</t>
  </si>
  <si>
    <t>356227644</t>
  </si>
  <si>
    <t>356227645</t>
  </si>
  <si>
    <t>356227646</t>
  </si>
  <si>
    <t>356227647</t>
  </si>
  <si>
    <t>356227648</t>
  </si>
  <si>
    <t>356227649</t>
  </si>
  <si>
    <t>356227650</t>
  </si>
  <si>
    <t>356227651</t>
  </si>
  <si>
    <t>356227652</t>
  </si>
  <si>
    <t>356227653</t>
  </si>
  <si>
    <t>356227654</t>
  </si>
  <si>
    <t>356227655</t>
  </si>
  <si>
    <t>356227656</t>
  </si>
  <si>
    <t>356227657</t>
  </si>
  <si>
    <t>356227658</t>
  </si>
  <si>
    <t>356227659</t>
  </si>
  <si>
    <t>356227660</t>
  </si>
  <si>
    <t>356227661</t>
  </si>
  <si>
    <t>356227662</t>
  </si>
  <si>
    <t>356227663</t>
  </si>
  <si>
    <t>356227664</t>
  </si>
  <si>
    <t>356227665</t>
  </si>
  <si>
    <t>356227666</t>
  </si>
  <si>
    <t>356227667</t>
  </si>
  <si>
    <t>356227668</t>
  </si>
  <si>
    <t>356227669</t>
  </si>
  <si>
    <t>356227670</t>
  </si>
  <si>
    <t>356227671</t>
  </si>
  <si>
    <t>356227672</t>
  </si>
  <si>
    <t>356227673</t>
  </si>
  <si>
    <t>356227674</t>
  </si>
  <si>
    <t>356227675</t>
  </si>
  <si>
    <t>356227676</t>
  </si>
  <si>
    <t>356227677</t>
  </si>
  <si>
    <t>356227678</t>
  </si>
  <si>
    <t>356227679</t>
  </si>
  <si>
    <t>356227680</t>
  </si>
  <si>
    <t>356227681</t>
  </si>
  <si>
    <t>356227682</t>
  </si>
  <si>
    <t>356227683</t>
  </si>
  <si>
    <t>356227684</t>
  </si>
  <si>
    <t>356227685</t>
  </si>
  <si>
    <t>356227686</t>
  </si>
  <si>
    <t>356227687</t>
  </si>
  <si>
    <t>356227688</t>
  </si>
  <si>
    <t>356227689</t>
  </si>
  <si>
    <t>356227690</t>
  </si>
  <si>
    <t>356227691</t>
  </si>
  <si>
    <t>356227692</t>
  </si>
  <si>
    <t>356227693</t>
  </si>
  <si>
    <t>356227694</t>
  </si>
  <si>
    <t>356227695</t>
  </si>
  <si>
    <t>356227696</t>
  </si>
  <si>
    <t>356227697</t>
  </si>
  <si>
    <t>356227698</t>
  </si>
  <si>
    <t>356227699</t>
  </si>
  <si>
    <t>356227700</t>
  </si>
  <si>
    <t>356227701</t>
  </si>
  <si>
    <t>356227702</t>
  </si>
  <si>
    <t>356227703</t>
  </si>
  <si>
    <t>356227704</t>
  </si>
  <si>
    <t>356227705</t>
  </si>
  <si>
    <t>356227706</t>
  </si>
  <si>
    <t>356227707</t>
  </si>
  <si>
    <t>356227708</t>
  </si>
  <si>
    <t>356227709</t>
  </si>
  <si>
    <t>356227710</t>
  </si>
  <si>
    <t>356227711</t>
  </si>
  <si>
    <t>356227712</t>
  </si>
  <si>
    <t>356227713</t>
  </si>
  <si>
    <t>356227714</t>
  </si>
  <si>
    <t>356227715</t>
  </si>
  <si>
    <t>356227716</t>
  </si>
  <si>
    <t>356227717</t>
  </si>
  <si>
    <t>356227718</t>
  </si>
  <si>
    <t>356227719</t>
  </si>
  <si>
    <t>356227720</t>
  </si>
  <si>
    <t>356227721</t>
  </si>
  <si>
    <t>356227722</t>
  </si>
  <si>
    <t>356227723</t>
  </si>
  <si>
    <t>356227724</t>
  </si>
  <si>
    <t>356227725</t>
  </si>
  <si>
    <t>356227726</t>
  </si>
  <si>
    <t>356227727</t>
  </si>
  <si>
    <t>356227728</t>
  </si>
  <si>
    <t>356227729</t>
  </si>
  <si>
    <t>356227730</t>
  </si>
  <si>
    <t>356227731</t>
  </si>
  <si>
    <t>356227732</t>
  </si>
  <si>
    <t>356227733</t>
  </si>
  <si>
    <t>356227734</t>
  </si>
  <si>
    <t>356227735</t>
  </si>
  <si>
    <t>356227736</t>
  </si>
  <si>
    <t>356227737</t>
  </si>
  <si>
    <t>356227738</t>
  </si>
  <si>
    <t>356227739</t>
  </si>
  <si>
    <t>356227740</t>
  </si>
  <si>
    <t>356227741</t>
  </si>
  <si>
    <t>356227742</t>
  </si>
  <si>
    <t>356227743</t>
  </si>
  <si>
    <t>356227744</t>
  </si>
  <si>
    <t>356227745</t>
  </si>
  <si>
    <t>356227746</t>
  </si>
  <si>
    <t>356227747</t>
  </si>
  <si>
    <t>356227748</t>
  </si>
  <si>
    <t>356227749</t>
  </si>
  <si>
    <t>356227750</t>
  </si>
  <si>
    <t>356227751</t>
  </si>
  <si>
    <t>356227752</t>
  </si>
  <si>
    <t>356227753</t>
  </si>
  <si>
    <t>356227754</t>
  </si>
  <si>
    <t>356227755</t>
  </si>
  <si>
    <t>356227756</t>
  </si>
  <si>
    <t>356227757</t>
  </si>
  <si>
    <t>356227758</t>
  </si>
  <si>
    <t>356227759</t>
  </si>
  <si>
    <t>356227760</t>
  </si>
  <si>
    <t>356227761</t>
  </si>
  <si>
    <t>356227762</t>
  </si>
  <si>
    <t>356227763</t>
  </si>
  <si>
    <t>356227764</t>
  </si>
  <si>
    <t>356227765</t>
  </si>
  <si>
    <t>356227766</t>
  </si>
  <si>
    <t>356227767</t>
  </si>
  <si>
    <t>356227768</t>
  </si>
  <si>
    <t>356227769</t>
  </si>
  <si>
    <t>356227770</t>
  </si>
  <si>
    <t>356227771</t>
  </si>
  <si>
    <t>356227772</t>
  </si>
  <si>
    <t>356227773</t>
  </si>
  <si>
    <t>356227774</t>
  </si>
  <si>
    <t>356227775</t>
  </si>
  <si>
    <t>356227776</t>
  </si>
  <si>
    <t>356227777</t>
  </si>
  <si>
    <t>356227778</t>
  </si>
  <si>
    <t>356227779</t>
  </si>
  <si>
    <t>356227780</t>
  </si>
  <si>
    <t>356227781</t>
  </si>
  <si>
    <t>356227782</t>
  </si>
  <si>
    <t>356227783</t>
  </si>
  <si>
    <t>356227784</t>
  </si>
  <si>
    <t>356227785</t>
  </si>
  <si>
    <t>356227786</t>
  </si>
  <si>
    <t>356227787</t>
  </si>
  <si>
    <t>356227788</t>
  </si>
  <si>
    <t>356227789</t>
  </si>
  <si>
    <t>356227790</t>
  </si>
  <si>
    <t>356227791</t>
  </si>
  <si>
    <t>356227792</t>
  </si>
  <si>
    <t>602760327</t>
  </si>
  <si>
    <t>602746487</t>
  </si>
  <si>
    <t>602748479</t>
  </si>
  <si>
    <t>143227</t>
  </si>
  <si>
    <t>602760302</t>
  </si>
  <si>
    <t>602817185</t>
  </si>
  <si>
    <t>602754063</t>
  </si>
  <si>
    <t>,50010000, 8019279-0020 2024 Jan and Feb GMITLabor</t>
  </si>
  <si>
    <t>602754073</t>
  </si>
  <si>
    <t>,50010000, 8020963-0020 2024 Jan and Feb GMITLabor</t>
  </si>
  <si>
    <t>602754074</t>
  </si>
  <si>
    <t>,50010000, ICP-230034-99 2024 Jan and Feb GMITLabo</t>
  </si>
  <si>
    <t>602820545</t>
  </si>
  <si>
    <t>February 2025 Akron Engineering</t>
  </si>
  <si>
    <t>Line distribution panels</t>
  </si>
  <si>
    <t>8242118784</t>
  </si>
  <si>
    <t>Power Distribution Panels</t>
  </si>
  <si>
    <t>REXEL /GEXPRO</t>
  </si>
  <si>
    <t>8242087943</t>
  </si>
  <si>
    <t>1505280439</t>
  </si>
  <si>
    <t>1505276574</t>
  </si>
  <si>
    <t>1505309302</t>
  </si>
  <si>
    <t>Ref. 3843-0 Invoice - Gross Trf to Asset Acct</t>
  </si>
  <si>
    <t>1505347186</t>
  </si>
  <si>
    <t>Ref. 3342-0 Fatura Fornecedor Transferencia de con</t>
  </si>
  <si>
    <t>1505520763</t>
  </si>
  <si>
    <t>1505520765</t>
  </si>
  <si>
    <t>1505520805</t>
  </si>
  <si>
    <t>1505353795</t>
  </si>
  <si>
    <t>Ref. 8731-0 Fatura Fornecedor Transferencia de con</t>
  </si>
  <si>
    <t>1505520818</t>
  </si>
  <si>
    <t>1505322589</t>
  </si>
  <si>
    <t>Ref. 3583-0 Fatura Fornecedor Transferencia de con</t>
  </si>
  <si>
    <t>1505399738</t>
  </si>
  <si>
    <t>Ajuste falta de crédito PIS/COFINS NF 64-1 ALUMIGR</t>
  </si>
  <si>
    <t>1505399750</t>
  </si>
  <si>
    <t>Ajuste falta de crédito PIS/COFINS NF 62-1 ALUMIGR</t>
  </si>
  <si>
    <t>1505399797</t>
  </si>
  <si>
    <t>Ajuste falta de crédito PIS/COFINS NF 3537-1 IRALT</t>
  </si>
  <si>
    <t>1505507687</t>
  </si>
  <si>
    <t>RECLASS ENTRE LINHAS LCP-240104</t>
  </si>
  <si>
    <t>1505516027</t>
  </si>
  <si>
    <t>1505516051</t>
  </si>
  <si>
    <t>1505517852</t>
  </si>
  <si>
    <t>1505518717</t>
  </si>
  <si>
    <t>1505520847</t>
  </si>
  <si>
    <t>1505309918</t>
  </si>
  <si>
    <t>Ref. 3587-0 Fatura Fornecedor Transferencia de con</t>
  </si>
  <si>
    <t>1505322918</t>
  </si>
  <si>
    <t>Ref. 3584-0 Fatura Fornecedor Transferencia de con</t>
  </si>
  <si>
    <t>1505324961</t>
  </si>
  <si>
    <t>Ref. 3585-0 Fatura Fornecedor Transferencia de con</t>
  </si>
  <si>
    <t>1505325027</t>
  </si>
  <si>
    <t>Ref. 3586-0 Fatura Fornecedor Transferencia de con</t>
  </si>
  <si>
    <t>1505325095</t>
  </si>
  <si>
    <t>Ref. 3589-0 Fatura Fornecedor Transferencia de con</t>
  </si>
  <si>
    <t>1505325307</t>
  </si>
  <si>
    <t>Ref. 3592-0 Fatura Fornecedor Transferencia de con</t>
  </si>
  <si>
    <t>1505325600</t>
  </si>
  <si>
    <t>Ref. 3591-0 Fatura Fornecedor Transferencia de con</t>
  </si>
  <si>
    <t>1505325676</t>
  </si>
  <si>
    <t>Ref. 3590-0 Fatura Fornecedor Transferencia de con</t>
  </si>
  <si>
    <t>1505398894</t>
  </si>
  <si>
    <t>Ajuste falta de crédito PIS/COFINS NF 3536-1 IRALT</t>
  </si>
  <si>
    <t>1505399720</t>
  </si>
  <si>
    <t>Ajuste falta de crédito PIS/COFINS NF 3535-1 IRALT</t>
  </si>
  <si>
    <t>1505520849</t>
  </si>
  <si>
    <t>1505351098</t>
  </si>
  <si>
    <t>Ref. 347-0 Fatura Fornecedor Transferencia de con</t>
  </si>
  <si>
    <t>1505517674</t>
  </si>
  <si>
    <t xml:space="preserve">           13.188,12</t>
  </si>
  <si>
    <t xml:space="preserve">           70.539,84</t>
  </si>
  <si>
    <t xml:space="preserve">           83.727,96</t>
  </si>
  <si>
    <t>-5.191,91</t>
  </si>
  <si>
    <t xml:space="preserve">           25.686,06</t>
  </si>
  <si>
    <t>BALANÇA PARA PONTE ROLANTE</t>
  </si>
  <si>
    <t>LCP-250006-13</t>
  </si>
  <si>
    <t>LCP-250006-14</t>
  </si>
  <si>
    <t>Em execução</t>
  </si>
  <si>
    <t>January
AOP</t>
  </si>
  <si>
    <t>March
AOP</t>
  </si>
  <si>
    <t>February
AOP</t>
  </si>
  <si>
    <t>April
AOP</t>
  </si>
  <si>
    <t>May
AOP</t>
  </si>
  <si>
    <t>June
AOP</t>
  </si>
  <si>
    <t>July
AOP</t>
  </si>
  <si>
    <t>August
AOP</t>
  </si>
  <si>
    <t>September
AOP</t>
  </si>
  <si>
    <t>October
AOP</t>
  </si>
  <si>
    <t>November
AOP</t>
  </si>
  <si>
    <t>December
AOP</t>
  </si>
  <si>
    <t>Waiting1</t>
  </si>
  <si>
    <t>Waiting2</t>
  </si>
  <si>
    <t>Waiting3</t>
  </si>
  <si>
    <t>1505591592</t>
  </si>
  <si>
    <t>Ref. 00311771-2 Invoice - Gross Trf to Asset Acct</t>
  </si>
  <si>
    <t>1505659205</t>
  </si>
  <si>
    <t>Ref. 2177-1 Recebimento Fatura Transferencia de co</t>
  </si>
  <si>
    <t>Transformador de Média Tensão 1500kVA</t>
  </si>
  <si>
    <t>AM2311109</t>
  </si>
  <si>
    <t>Medium Voltage Transformer 1500kVA</t>
  </si>
  <si>
    <t>1505659206</t>
  </si>
  <si>
    <t>Ref. 2177-1 Fatura Fornecedor Transferencia de con</t>
  </si>
  <si>
    <t>1505667441</t>
  </si>
  <si>
    <t>Ref. 2180-1 Recebimento Fatura Transferencia de co</t>
  </si>
  <si>
    <t>Retificador Tiristorizado com supervisão</t>
  </si>
  <si>
    <t>AM2402239</t>
  </si>
  <si>
    <t>Thyristor Rectifier with supervision</t>
  </si>
  <si>
    <t>1505667444</t>
  </si>
  <si>
    <t>Ref. 2180-1 Fatura Fornecedor Transferencia de con</t>
  </si>
  <si>
    <t>8242106264</t>
  </si>
  <si>
    <t>1505658073</t>
  </si>
  <si>
    <t>Ref. 70081-1 Recebimento Fatura Transferencia de c</t>
  </si>
  <si>
    <t>JOGO CASTANHA DURA KIT Ø250</t>
  </si>
  <si>
    <t>AM2502072</t>
  </si>
  <si>
    <t>HARD CHESTNUT SET KIT Ø250</t>
  </si>
  <si>
    <t>1505658074</t>
  </si>
  <si>
    <t>Ref. 70081-1 Fatura Fornecedor Transferencia de co</t>
  </si>
  <si>
    <t>1505658076</t>
  </si>
  <si>
    <t>Ref. 70071-1 Recebimento Fatura Transferencia de c</t>
  </si>
  <si>
    <t>Fresa CoroMill® Plura D1/4 "RA216.24-165</t>
  </si>
  <si>
    <t>AM2502100</t>
  </si>
  <si>
    <t>CoroMill® Plura D1/4" RA216.24-165 cutte</t>
  </si>
  <si>
    <t>Fresa CoroMill® Plura D 5/16"2050AAK10P</t>
  </si>
  <si>
    <t>AM2502101</t>
  </si>
  <si>
    <t>CoroMill® Plura D 5/16"2050AAK10P Millin</t>
  </si>
  <si>
    <t>Fresa CoroMill® Plura D 5/8 "4050BAK20P</t>
  </si>
  <si>
    <t>AM2502102</t>
  </si>
  <si>
    <t>Fresa de topo CoroMill® Dura D5MM 1K324-</t>
  </si>
  <si>
    <t>AM2502103</t>
  </si>
  <si>
    <t>Pastilha CoroTurn® 107 p  CCMT 09 T3 08-</t>
  </si>
  <si>
    <t>AM2502118</t>
  </si>
  <si>
    <t>CoroTurn® insert 107 p CCMT 09 T3 08-</t>
  </si>
  <si>
    <t>Suporte Interno D16MM C5-SCLCL-11070-09</t>
  </si>
  <si>
    <t>AM2502119</t>
  </si>
  <si>
    <t>Internal Support D16MM C5-SCLCL-11070-09</t>
  </si>
  <si>
    <t>Suporte INterno D25MM C5-SCLCL-17090-09</t>
  </si>
  <si>
    <t>AM2502120</t>
  </si>
  <si>
    <t>Internal Bracket D25MM C5-SCLCL-17090-09</t>
  </si>
  <si>
    <t>Pastilha CoroTurn® 107 para torneamento</t>
  </si>
  <si>
    <t>AM2502144</t>
  </si>
  <si>
    <t>CoroTurn® 107 insert for turning</t>
  </si>
  <si>
    <t>1505658078</t>
  </si>
  <si>
    <t>Ref. 70071-1 Fatura Fornecedor Transferencia de co</t>
  </si>
  <si>
    <t>1505658086</t>
  </si>
  <si>
    <t>Ref. 70072-1 Recebimento Fatura Transferencia de c</t>
  </si>
  <si>
    <t>JOGO CASTANHA MOLE KIT Ø250.</t>
  </si>
  <si>
    <t>AM2502073</t>
  </si>
  <si>
    <t>SOFT CHESTNUT SET KIT Ø250.</t>
  </si>
  <si>
    <t>Pastilha CoroTurn® TR para TR-DC1304-F</t>
  </si>
  <si>
    <t>AM2502090</t>
  </si>
  <si>
    <t>CoroTurn® TR Insert for TR-DC1304-F</t>
  </si>
  <si>
    <t>Pastilha CoroTurn® TR para TR-DC1308-F</t>
  </si>
  <si>
    <t>AM2502091</t>
  </si>
  <si>
    <t>Bedame 1.5 MM C2I-D2N-0150-0002-CM1225</t>
  </si>
  <si>
    <t>AM2502093</t>
  </si>
  <si>
    <t>Suporte Bedame 1,5 MM C2R-CC5-LD15GB</t>
  </si>
  <si>
    <t>AM2502094</t>
  </si>
  <si>
    <t>Bedame 2 MM C2I-E2N-0200-0002-CM1135</t>
  </si>
  <si>
    <t>AM2502095</t>
  </si>
  <si>
    <t>Suporte Bedame 2 MM C2R-CC5-LE15CB</t>
  </si>
  <si>
    <t>AM2502096</t>
  </si>
  <si>
    <t>Bedame Support 2 MM C2R-CC5-LE15CB</t>
  </si>
  <si>
    <t>Bedame 3 MM C2I-G2N-0300-0002-CM1135</t>
  </si>
  <si>
    <t>AM2502097</t>
  </si>
  <si>
    <t>Suporte Bedame 3 MM C2R-CC5-LG20CB</t>
  </si>
  <si>
    <t>AM2502057</t>
  </si>
  <si>
    <t>Bedame Support 3 MM C2R-CC5-LG20CB</t>
  </si>
  <si>
    <t>Fresa CoroMill® Plura D 3/16"RA216.23-12</t>
  </si>
  <si>
    <t>AM2502099</t>
  </si>
  <si>
    <t>CoroMill® Plura D Milling Cutter 3/16"RA</t>
  </si>
  <si>
    <t>1505658087</t>
  </si>
  <si>
    <t>Ref. 70072-1 Fatura Fornecedor Transferencia de co</t>
  </si>
  <si>
    <t>1505658089</t>
  </si>
  <si>
    <t>Ref. 70074-1 Recebimento Fatura Transferencia de c</t>
  </si>
  <si>
    <t>Pinça ER 393.15-32 12</t>
  </si>
  <si>
    <t>AM2502108</t>
  </si>
  <si>
    <t>Clamp ER 393.15-32 12</t>
  </si>
  <si>
    <t>PINÇA ER</t>
  </si>
  <si>
    <t>AM2311132</t>
  </si>
  <si>
    <t>ER CLAMP</t>
  </si>
  <si>
    <t>AM2311112</t>
  </si>
  <si>
    <t>Suporte de Rosca C5-266LFG-35060-16</t>
  </si>
  <si>
    <t>AM2502109</t>
  </si>
  <si>
    <t>Thread Holder C5-266LFG-35060-16</t>
  </si>
  <si>
    <t>PAstilha Rosca Passo 1,5 a 3,0 266LG-16V</t>
  </si>
  <si>
    <t>AM2502110</t>
  </si>
  <si>
    <t>Thread Pad Pitch 1.5 to 3.0 266LG-16V</t>
  </si>
  <si>
    <t>Pastilha CoroTurn® 107 para CCMT 06 02 0</t>
  </si>
  <si>
    <t>AM2502111</t>
  </si>
  <si>
    <t>CoroTurn® 107 insert for CCMT 06 02 02-P</t>
  </si>
  <si>
    <t>Barra de mandrilar CoroTurn® 107 P A10K-</t>
  </si>
  <si>
    <t>AM2502112</t>
  </si>
  <si>
    <t>CoroTurn® boring bar 107 P A10K-</t>
  </si>
  <si>
    <t>Porta Barra D10MM C5-131-00045-10</t>
  </si>
  <si>
    <t>AM2502113</t>
  </si>
  <si>
    <t>Bar Holder D10MM C5-131-00045-10</t>
  </si>
  <si>
    <t>Barra mandrilar CoroTurn® 107 p A12M-SCL</t>
  </si>
  <si>
    <t>AM2502114</t>
  </si>
  <si>
    <t>CoroTurn® boring bar 107 p A12M-SCLCR 06</t>
  </si>
  <si>
    <t>Porta Barra D12MM C5-131-00045-12</t>
  </si>
  <si>
    <t>AM2502115</t>
  </si>
  <si>
    <t>Bar Holder D12MM C5-131-00045-12</t>
  </si>
  <si>
    <t>1505658090</t>
  </si>
  <si>
    <t>Ref. 70074-1 Fatura Fornecedor Transferencia de co</t>
  </si>
  <si>
    <t>1505658472</t>
  </si>
  <si>
    <t>Ref. 70073-1 Recebimento Fatura Transferencia de c</t>
  </si>
  <si>
    <t>Fresa de topo CoroMill® Dura D10MM 1K325</t>
  </si>
  <si>
    <t>AM2502104</t>
  </si>
  <si>
    <t>CoroMill® Dura D10MM 1K325 end mill</t>
  </si>
  <si>
    <t>Fresa de topo CoroMill® Dura D12MM 1200-</t>
  </si>
  <si>
    <t>AM2502105</t>
  </si>
  <si>
    <t>Pinça ER A393.15-32 1/4</t>
  </si>
  <si>
    <t>AM2502106</t>
  </si>
  <si>
    <t>ER forceps A393.15-32 1/4</t>
  </si>
  <si>
    <t>Pinça ER A393.15-32 5/8</t>
  </si>
  <si>
    <t>AM2502107</t>
  </si>
  <si>
    <t>ER collet A393.15-32 5/8</t>
  </si>
  <si>
    <t>Barra mandrilar CoroTurn® 107 p A16R-SCL</t>
  </si>
  <si>
    <t>AM2502116</t>
  </si>
  <si>
    <t>CoroTurn® boring bar 107 p A16R-SCL</t>
  </si>
  <si>
    <t>Porta Barra D16MM C5-131-00055-16</t>
  </si>
  <si>
    <t>AM2502117</t>
  </si>
  <si>
    <t>Bar Holder D16MM C5-131-00055-16</t>
  </si>
  <si>
    <t>Broca CoroDrill® 860 inteiriça de metal</t>
  </si>
  <si>
    <t>AM2502148</t>
  </si>
  <si>
    <t>CoroDrill® 860 Solid Carbide Drill</t>
  </si>
  <si>
    <t>Broca Coro 860.1-0400-032A1-GM X1BM</t>
  </si>
  <si>
    <t>AM2502147</t>
  </si>
  <si>
    <t>CoroDrill 860.1-0400-032A1-GM X1BM</t>
  </si>
  <si>
    <t>Broca Coro 860.1-0500-040A1-GM X1BM</t>
  </si>
  <si>
    <t>AM2502146</t>
  </si>
  <si>
    <t>CoroDrill 860.1-0500-040A1-GM X1BM</t>
  </si>
  <si>
    <t>Broca Coro 860.1-0600-049A1-GM X1BM</t>
  </si>
  <si>
    <t>AM2502145</t>
  </si>
  <si>
    <t>CoroDrill 860.1-0600-049A1-GM X1BM</t>
  </si>
  <si>
    <t>Licenciamento, cessão uso programas</t>
  </si>
  <si>
    <t>CAP - BALANÇA PARA P</t>
  </si>
  <si>
    <t>356232815</t>
  </si>
  <si>
    <t>356232830</t>
  </si>
  <si>
    <t>356234310</t>
  </si>
  <si>
    <t>356234320</t>
  </si>
  <si>
    <t>356237290</t>
  </si>
  <si>
    <t>356237306</t>
  </si>
  <si>
    <t>356237308</t>
  </si>
  <si>
    <t>356237309</t>
  </si>
  <si>
    <t>356237310</t>
  </si>
  <si>
    <t>356237807</t>
  </si>
  <si>
    <t>356237808</t>
  </si>
  <si>
    <t>356238737</t>
  </si>
  <si>
    <t>356238739</t>
  </si>
  <si>
    <t>356238741</t>
  </si>
  <si>
    <t>356238748</t>
  </si>
  <si>
    <t>356238749</t>
  </si>
  <si>
    <t>356238751</t>
  </si>
  <si>
    <t>400202402</t>
  </si>
  <si>
    <t>Material Coordinators Cost Distribution Mar2025</t>
  </si>
  <si>
    <t>602831690</t>
  </si>
  <si>
    <t>8241252252 - Mar 2025 VIM Accrual</t>
  </si>
  <si>
    <t>8241844130 - Mar 2025 VIM Accrual</t>
  </si>
  <si>
    <t>8241844140 - Mar 2025 VIM Accrual</t>
  </si>
  <si>
    <t>8241463855 - Mar 2025 VIM Accrual</t>
  </si>
  <si>
    <t>8241998814 - Mar 2025 VIM Accrual</t>
  </si>
  <si>
    <t>8241850023 - Mar 2025 VIM Accrual</t>
  </si>
  <si>
    <t>602832578</t>
  </si>
  <si>
    <t>8241204967 - COLOR SERVICE SRL</t>
  </si>
  <si>
    <t>8242026034 - ERIEZ MANUFACTURING CO</t>
  </si>
  <si>
    <t>602853626</t>
  </si>
  <si>
    <t>Capital Engineering</t>
  </si>
  <si>
    <t>602856222</t>
  </si>
  <si>
    <t>602856225</t>
  </si>
  <si>
    <t>MC reduziu 385K do AOP</t>
  </si>
  <si>
    <t>8242098588</t>
  </si>
  <si>
    <t>1505705232</t>
  </si>
  <si>
    <t>Ref. 168628-1 Recebimento Fatura Transferencia de</t>
  </si>
  <si>
    <t>SWITCH INDUSTRIAL STRATIX REF 1783LMS5</t>
  </si>
  <si>
    <t>CC7524044</t>
  </si>
  <si>
    <t>INDUSTRIAL SWITCH STRATIX REF. 1783LMS5</t>
  </si>
  <si>
    <t>1505705233</t>
  </si>
  <si>
    <t>Ref. 168628-1 Fatura Fornecedor Transferencia de c</t>
  </si>
  <si>
    <t>1505702850</t>
  </si>
  <si>
    <t>Ref. 168613-1 Recebimento Fatura Transferencia de</t>
  </si>
  <si>
    <t>1505702851</t>
  </si>
  <si>
    <t>Ref. 168613-1 Fatura Fornecedor Transferencia de c</t>
  </si>
  <si>
    <t>8242067140</t>
  </si>
  <si>
    <t>1505800594</t>
  </si>
  <si>
    <t>Ref. 442974-1 Recebimento Fatura Transferencia de</t>
  </si>
  <si>
    <t>PLUG STECK 63A 3P+T 600/690V 7H S4575</t>
  </si>
  <si>
    <t>AM2501006</t>
  </si>
  <si>
    <t>STECK 63A 3P+T 600/690V 7H S4575 PLUG</t>
  </si>
  <si>
    <t>1505800597</t>
  </si>
  <si>
    <t>Ref. 442974-1 Fatura Fornecedor Transferencia de c</t>
  </si>
  <si>
    <t>8242004781</t>
  </si>
  <si>
    <t>1505708730</t>
  </si>
  <si>
    <t>Ref. 101-1 Recebimento Fatura Transferencia de con</t>
  </si>
  <si>
    <t>Ventilador suprimento axial 7,050 ACMF</t>
  </si>
  <si>
    <t>AM2405036</t>
  </si>
  <si>
    <t>Axial Supply Fan 7,050 ACMF</t>
  </si>
  <si>
    <t>Ventilador suprimento axial 8,350 ACMF</t>
  </si>
  <si>
    <t>AM2405037</t>
  </si>
  <si>
    <t>Axial Supply Fan 8,350 ACMF</t>
  </si>
  <si>
    <t>Ventilador Axial para telhado 8,950 ACMF</t>
  </si>
  <si>
    <t>AM2403083</t>
  </si>
  <si>
    <t>Axial roof fan 8,950 ACMF</t>
  </si>
  <si>
    <t>Ventilador Axial para telhado 5000 ACMF</t>
  </si>
  <si>
    <t>AM2403084</t>
  </si>
  <si>
    <t>Axial roof fan 5000 ACMF</t>
  </si>
  <si>
    <t>Ventilador Axial para telhado 1000 ACMF</t>
  </si>
  <si>
    <t>AM2403085</t>
  </si>
  <si>
    <t>Axial roof fan 1000 ACMF</t>
  </si>
  <si>
    <t>Ventilador axial telhado 12,450 ACMF</t>
  </si>
  <si>
    <t>AM2403086</t>
  </si>
  <si>
    <t>Axial roof fan 12,450 ACMF</t>
  </si>
  <si>
    <t>1505702776</t>
  </si>
  <si>
    <t>Ref. 168719-1 Recebimento Fatura Transferencia de</t>
  </si>
  <si>
    <t>ESTACAO DE FERRO FUNDIDO 800T4TZ</t>
  </si>
  <si>
    <t>AM1912037</t>
  </si>
  <si>
    <t>CAST IRON STATION 800T4TZ</t>
  </si>
  <si>
    <t>ESTAÇÃO DE FERRO FUNDIDO 800T-2TZ</t>
  </si>
  <si>
    <t>AM2501123</t>
  </si>
  <si>
    <t>CAST IRON STATION 800T-2TZ</t>
  </si>
  <si>
    <t>1505702778</t>
  </si>
  <si>
    <t>Ref. 168719-1 Fatura Fornecedor Transferencia de c</t>
  </si>
  <si>
    <t>1505703311</t>
  </si>
  <si>
    <t>Ref. 168667-1 Recebimento Fatura Transferencia de</t>
  </si>
  <si>
    <t>ESTAÇÃO DE FERRO FUNDIDO</t>
  </si>
  <si>
    <t>AM2308129</t>
  </si>
  <si>
    <t>CAST IRON STATION</t>
  </si>
  <si>
    <t>1505703312</t>
  </si>
  <si>
    <t>Ref. 168667-1 Fatura Fornecedor Transferencia de c</t>
  </si>
  <si>
    <t>8241779499</t>
  </si>
  <si>
    <t>1505799969</t>
  </si>
  <si>
    <t>Ref. 223704-11 Recebimento Fatura Transferencia de</t>
  </si>
  <si>
    <t>(CPU, Conjunto de IOs IHMs etc)</t>
  </si>
  <si>
    <t>AM2311405</t>
  </si>
  <si>
    <t>(CPU, IO Set, HMIs, etc.)</t>
  </si>
  <si>
    <t>(SINAMICS G120 e SINAMICS S120)</t>
  </si>
  <si>
    <t>AM2311408</t>
  </si>
  <si>
    <t>(SINAMICS G120 and SINAMICS S120)</t>
  </si>
  <si>
    <t>1505799972</t>
  </si>
  <si>
    <t>Ref. 223702-11 Recebimento Fatura Transferencia de</t>
  </si>
  <si>
    <t>Remotas, Fonte e Bus Adapter</t>
  </si>
  <si>
    <t>AM2311406</t>
  </si>
  <si>
    <t>Remotes, Source and Bus Adapter</t>
  </si>
  <si>
    <t>Conjunto Retificador (SINAMICS S120)</t>
  </si>
  <si>
    <t>AM2311410</t>
  </si>
  <si>
    <t>Rectifier Assembly (SINAMICS S120)</t>
  </si>
  <si>
    <t>8241779506</t>
  </si>
  <si>
    <t>1505799967</t>
  </si>
  <si>
    <t>Ref. 223703-11 Recebimento Fatura Transferencia de</t>
  </si>
  <si>
    <t>1505799973</t>
  </si>
  <si>
    <t>Ref. 223700-11 Recebimento Fatura Transferencia de</t>
  </si>
  <si>
    <t>1505702847</t>
  </si>
  <si>
    <t>Ref. 168616-1 Recebimento Fatura Transferencia de</t>
  </si>
  <si>
    <t>1505702848</t>
  </si>
  <si>
    <t>Ref. 168616-1 Fatura Fornecedor Transferencia de c</t>
  </si>
  <si>
    <t>8241779508</t>
  </si>
  <si>
    <t>1505799964</t>
  </si>
  <si>
    <t>Ref. 225042-11 Recebimento Fatura Transferencia de</t>
  </si>
  <si>
    <t>1505799974</t>
  </si>
  <si>
    <t>Ref. 223698-11 Recebimento Fatura Transferencia de</t>
  </si>
  <si>
    <t>8241779488</t>
  </si>
  <si>
    <t>1505799965</t>
  </si>
  <si>
    <t>Ref. 223699-11 Recebimento Fatura Transferencia de</t>
  </si>
  <si>
    <t>1505799966</t>
  </si>
  <si>
    <t>Ref. 223701-11 Recebimento Fatura Transferencia de</t>
  </si>
  <si>
    <t>1505702771</t>
  </si>
  <si>
    <t>Ref. 168671-1 Recebimento Fatura Transferencia de</t>
  </si>
  <si>
    <t>1505702773</t>
  </si>
  <si>
    <t>Ref. 168671-1 Fatura Fornecedor Transferencia de c</t>
  </si>
  <si>
    <t>1505703314</t>
  </si>
  <si>
    <t>Ref. 168722-1 Recebimento Fatura Transferencia de</t>
  </si>
  <si>
    <t>1505703315</t>
  </si>
  <si>
    <t>Ref. 168722-1 Fatura Fornecedor Transferencia de c</t>
  </si>
  <si>
    <t>8241779531</t>
  </si>
  <si>
    <t>1505799970</t>
  </si>
  <si>
    <t>Ref. 223705-11 Recebimento Fatura Transferencia de</t>
  </si>
  <si>
    <t>1505799971</t>
  </si>
  <si>
    <t>Ref. 223697-11 Recebimento Fatura Transferencia de</t>
  </si>
  <si>
    <t>1505735991</t>
  </si>
  <si>
    <t>Ref. 70073-1 Fatura Fornecedor Transferencia de co</t>
  </si>
  <si>
    <t>1505703202</t>
  </si>
  <si>
    <t>Ref. 168610-1 Recebimento Fatura Transferencia de</t>
  </si>
  <si>
    <t>1505703205</t>
  </si>
  <si>
    <t>Ref. 168610-1 Fatura Fornecedor Transferencia de c</t>
  </si>
  <si>
    <t>8242098575</t>
  </si>
  <si>
    <t>1505850548</t>
  </si>
  <si>
    <t>Ref. 752391-2 Recebimento Fatura Transferencia de</t>
  </si>
  <si>
    <t>1505850549</t>
  </si>
  <si>
    <t>Ref. 752391-2 Fatura Fornecedor Transferencia de c</t>
  </si>
  <si>
    <t>4500477306</t>
  </si>
  <si>
    <t>1505852323</t>
  </si>
  <si>
    <t>PROJETO-BR00559I25</t>
  </si>
  <si>
    <t>TRANSFER O-RING WYKO TI012820-001</t>
  </si>
  <si>
    <t>AM2409068</t>
  </si>
  <si>
    <t>-26.090,45</t>
  </si>
  <si>
    <t>602919014</t>
  </si>
  <si>
    <t>643356</t>
  </si>
  <si>
    <t>Jairo Dos Santos (AA02891)</t>
  </si>
  <si>
    <t>LOC-250001-00-13</t>
  </si>
  <si>
    <t>MOVEIS SALA DE TI (MESAS, ARMARIOS, POLTRONA)</t>
  </si>
  <si>
    <t>REGIAO
CURRENT YEAR</t>
  </si>
  <si>
    <t>MELHORIA UNIDADE HIDRÁULICA NGTTS</t>
  </si>
  <si>
    <t>11/04: Liberado em 11/04</t>
  </si>
  <si>
    <t>LCP-250006-15</t>
  </si>
  <si>
    <t>Marcio Dos Santos Bosso (AA44101)</t>
  </si>
  <si>
    <t>LOC-250001-00-14</t>
  </si>
  <si>
    <t>(1) MICROONDAS ELECTROLUX 31LITROS</t>
  </si>
  <si>
    <t>14/04: Manutenção irá suportar na ligação/ajuste de software dos equipamentos que já estão instalados fisicamente, após isso o projeto será encerrado</t>
  </si>
  <si>
    <t>14/04 - Materiais estão na FAM mas foram comprados sem Project Design,
A ideia é fracassar este projeto pois não está abrangendo corretamente as normas vigentes.
Os materiais comprados serão transferidos para outro projeto e então será encerrado.
Posteriormente os projetos de WULO irão cobrir este projeto</t>
  </si>
  <si>
    <t>LCP-250040</t>
  </si>
  <si>
    <t>1505949397</t>
  </si>
  <si>
    <t>8242119684</t>
  </si>
  <si>
    <t>1506126351</t>
  </si>
  <si>
    <t>Ref. 443755-1 Recebimento Fatura Transferencia de</t>
  </si>
  <si>
    <t>FUSIVEL MEDIA TENSAO</t>
  </si>
  <si>
    <t>AM2109092</t>
  </si>
  <si>
    <t>MEDIUM VOLTAGE FUSE</t>
  </si>
  <si>
    <t>1506126352</t>
  </si>
  <si>
    <t>Ref. 443755-1 Fatura Fornecedor Transferencia de c</t>
  </si>
  <si>
    <t>8242124862</t>
  </si>
  <si>
    <t>1506233740</t>
  </si>
  <si>
    <t>Ref. 9759-1 Recebimento Fatura Transferencia de co</t>
  </si>
  <si>
    <t>CONJUNTO 1 CALÇO MOTOR  BAMBURY 3</t>
  </si>
  <si>
    <t>AM2503090</t>
  </si>
  <si>
    <t>SET 1 OF SHIMS FOR THE BAMBURY 3 MOTOR.</t>
  </si>
  <si>
    <t>CONJUNTO 2 CALÇO MOTOR  BAMBURY 3</t>
  </si>
  <si>
    <t>AM2503089</t>
  </si>
  <si>
    <t>SET 2 OF SHIMS FOR THE BAMBURY 3 MOTOR.</t>
  </si>
  <si>
    <t>1506233741</t>
  </si>
  <si>
    <t>Ref. 9759-1 Fatura Fornecedor Transferencia de con</t>
  </si>
  <si>
    <t>8242119610</t>
  </si>
  <si>
    <t>1505901896</t>
  </si>
  <si>
    <t>Ref. 140036-1 Recebimento Fatura Transferencia de</t>
  </si>
  <si>
    <t>TINTA INTERLIGHT PRETO 18 L</t>
  </si>
  <si>
    <t>CC2521070</t>
  </si>
  <si>
    <t>BLACK INTERLIGHT INK</t>
  </si>
  <si>
    <t>8242125752</t>
  </si>
  <si>
    <t>1506174618</t>
  </si>
  <si>
    <t>Ref. 16614-1 Recebimento Fatura Transferencia de c</t>
  </si>
  <si>
    <t>SUPORTE METÁLICO PARA FIXAÇÃO DO PAINEL</t>
  </si>
  <si>
    <t>AM2503102</t>
  </si>
  <si>
    <t>METAL SUPPORT FOR PANEL MOUNTING</t>
  </si>
  <si>
    <t>8242124851</t>
  </si>
  <si>
    <t>1506225308</t>
  </si>
  <si>
    <t>Ref. 169333-1 Recebimento Fatura Transferencia de</t>
  </si>
  <si>
    <t>CABO FLEXIVEL 1KV 90G HEPR 4X50MM2</t>
  </si>
  <si>
    <t>AM1810126</t>
  </si>
  <si>
    <t>FLEXIBLE CABLE 1KV 90G HEPR 4X50MM2</t>
  </si>
  <si>
    <t>DISJUNTOR CAIXA MOLDADA, 3 POLOS, 125A</t>
  </si>
  <si>
    <t>CC6102775</t>
  </si>
  <si>
    <t>BREAKER CIRCUIT P/N 140G-G2C3-D12</t>
  </si>
  <si>
    <t>1506225312</t>
  </si>
  <si>
    <t>Ref. 169333-1 Fatura Fornecedor Transferencia de c</t>
  </si>
  <si>
    <t>1506225327</t>
  </si>
  <si>
    <t>Ref. 169348-1 Recebimento Fatura Transferencia de</t>
  </si>
  <si>
    <t>TERMINAL DE COMPRESSAO PARA CABO DE 50MM</t>
  </si>
  <si>
    <t>CC7890504</t>
  </si>
  <si>
    <t>TERMINAL CONNECTOR</t>
  </si>
  <si>
    <t>1506225330</t>
  </si>
  <si>
    <t>Ref. 169348-1 Fatura Fornecedor Transferencia de c</t>
  </si>
  <si>
    <t>8242126186</t>
  </si>
  <si>
    <t>1506134947</t>
  </si>
  <si>
    <t>Ref. 754232-2 Recebimento Fatura Transferencia de</t>
  </si>
  <si>
    <t>RJ45 Industrial Ethernet FastConnect 180</t>
  </si>
  <si>
    <t>AM2503054</t>
  </si>
  <si>
    <t>1506134948</t>
  </si>
  <si>
    <t>Ref. 754232-2 Fatura Fornecedor Transferencia de c</t>
  </si>
  <si>
    <t>1505931175</t>
  </si>
  <si>
    <t>Ref. 33-0 Fatura Fornecedor Transferencia de con</t>
  </si>
  <si>
    <t>1506078718</t>
  </si>
  <si>
    <t>Ref. 69-0 Fatura Fornecedor Transferencia de con</t>
  </si>
  <si>
    <t>1506078772</t>
  </si>
  <si>
    <t>1506078781</t>
  </si>
  <si>
    <t>Ref. 64-0 Fatura Fornecedor Transferencia de con</t>
  </si>
  <si>
    <t>1506078797</t>
  </si>
  <si>
    <t>Ref. 63-0 Fatura Fornecedor Transferencia de con</t>
  </si>
  <si>
    <t>1506079500</t>
  </si>
  <si>
    <t>1506079502</t>
  </si>
  <si>
    <t>Ref. 68-0 Fatura Fornecedor Transferencia de con</t>
  </si>
  <si>
    <t>1506079548</t>
  </si>
  <si>
    <t>Ref. 66-0 Fatura Fornecedor Transferencia de con</t>
  </si>
  <si>
    <t>1506079550</t>
  </si>
  <si>
    <t>Ref. 70-0 Fatura Fornecedor Transferencia de con</t>
  </si>
  <si>
    <t>8242104824</t>
  </si>
  <si>
    <t>1506096011</t>
  </si>
  <si>
    <t>1506232685</t>
  </si>
  <si>
    <t>1506232722</t>
  </si>
  <si>
    <t>1506232785</t>
  </si>
  <si>
    <t>1506232816</t>
  </si>
  <si>
    <t>1506133061</t>
  </si>
  <si>
    <t>1506140172</t>
  </si>
  <si>
    <t>Ref. 0IX0030002 G/L account document Trf to Asset</t>
  </si>
  <si>
    <t>8241388491</t>
  </si>
  <si>
    <t>1506176682</t>
  </si>
  <si>
    <t>Ref. 12771-1 Recebimento Fatura Transferencia de c</t>
  </si>
  <si>
    <t>Veículo elétrico para manuseio de carga</t>
  </si>
  <si>
    <t>AM2302054</t>
  </si>
  <si>
    <t>Electric vehicle for cargo handling</t>
  </si>
  <si>
    <t>1506176683</t>
  </si>
  <si>
    <t>Ref. 12771-1 Fatura Fornecedor Transferencia de co</t>
  </si>
  <si>
    <t>1506218229</t>
  </si>
  <si>
    <t>Ref. 28111-0 Fatura Fornecedor Transferencia de co</t>
  </si>
  <si>
    <t>90030790</t>
  </si>
  <si>
    <t>COMANDO G8 SERVICOS ADMINISTRATIVOS</t>
  </si>
  <si>
    <t>8241909923</t>
  </si>
  <si>
    <t>1506079615</t>
  </si>
  <si>
    <t>PROJETO-BR00005I25</t>
  </si>
  <si>
    <t>CNC lathe VF-5/40 HAAS</t>
  </si>
  <si>
    <t>AM2312168</t>
  </si>
  <si>
    <t>8241944417</t>
  </si>
  <si>
    <t>1506096025</t>
  </si>
  <si>
    <t>1506096068</t>
  </si>
  <si>
    <t>1506133065</t>
  </si>
  <si>
    <t>1506133070</t>
  </si>
  <si>
    <t>1506079561</t>
  </si>
  <si>
    <t>Ref. 24119-0 Fatura Fornecedor Transferencia de co</t>
  </si>
  <si>
    <t>1505902280</t>
  </si>
  <si>
    <t>Ref. 223702-11 Invoice - Gross Trf to Asset Acct</t>
  </si>
  <si>
    <t>90032068</t>
  </si>
  <si>
    <t>SIEMENS INFRAESTRUTURA E INDUSTRIA</t>
  </si>
  <si>
    <t>1505903902</t>
  </si>
  <si>
    <t>Ref. 223704-11 Invoice - Gross Trf to Asset Acct</t>
  </si>
  <si>
    <t>1506088763</t>
  </si>
  <si>
    <t>Ref. 225386-11 Recebimento Fatura Transferencia de</t>
  </si>
  <si>
    <t>SIMOTICS 1FT7 e SIMOTICS 1PH8)</t>
  </si>
  <si>
    <t>AM2311414</t>
  </si>
  <si>
    <t>SIMOTICS 1FT7 and SIMOTICS 1PH8)</t>
  </si>
  <si>
    <t>1506088764</t>
  </si>
  <si>
    <t>Ref. 225386-11 Fatura Fornecedor Transferencia de</t>
  </si>
  <si>
    <t>1506225174</t>
  </si>
  <si>
    <t>Ref. 169289-1 Recebimento Fatura Transferencia de</t>
  </si>
  <si>
    <t>1506225180</t>
  </si>
  <si>
    <t>Ref. 169289-1 Fatura Fornecedor Transferencia de c</t>
  </si>
  <si>
    <t>1505902262</t>
  </si>
  <si>
    <t>Ref. 223700-11 Invoice - Gross Trf to Asset Acct</t>
  </si>
  <si>
    <t>1505902293</t>
  </si>
  <si>
    <t>Ref. 223703-11 Invoice - Gross Trf to Asset Acct</t>
  </si>
  <si>
    <t>1506088762</t>
  </si>
  <si>
    <t>Ref. 225806-11 Recebimento Fatura Transferencia de</t>
  </si>
  <si>
    <t>1506088978</t>
  </si>
  <si>
    <t>Ref. 225806-11 Fatura Fornecedor Transferencia de</t>
  </si>
  <si>
    <t>1505856615</t>
  </si>
  <si>
    <t>Ref. 223698-11 Invoice - Gross Trf to Asset Acct</t>
  </si>
  <si>
    <t>1505904228</t>
  </si>
  <si>
    <t>Ref. 225042-11 Invoice - Gross Trf to Asset Acct</t>
  </si>
  <si>
    <t>1505974983</t>
  </si>
  <si>
    <t>Ref. 169059-1 Recebimento Fatura Transferencia de</t>
  </si>
  <si>
    <t>1505974984</t>
  </si>
  <si>
    <t>Ref. 169059-1 Fatura Fornecedor Transferencia de c</t>
  </si>
  <si>
    <t>8242040420</t>
  </si>
  <si>
    <t>1506088611</t>
  </si>
  <si>
    <t>Ref. 225188-11 Fatura Fornecedor Transferencia de</t>
  </si>
  <si>
    <t>1506088616</t>
  </si>
  <si>
    <t>Ref. 210188-11 Recebimento Fatura Transferencia de</t>
  </si>
  <si>
    <t>1506088759</t>
  </si>
  <si>
    <t>Ref. 225888-11 Recebimento Fatura Transferencia de</t>
  </si>
  <si>
    <t>1506088760</t>
  </si>
  <si>
    <t>Ref. 225888-11 Fatura Fornecedor Transferencia de</t>
  </si>
  <si>
    <t>1506088766</t>
  </si>
  <si>
    <t>Ref. 225188-11 Recebimento Fatura Transferencia de</t>
  </si>
  <si>
    <t>1506088767</t>
  </si>
  <si>
    <t>Ref. 210188-11 Fatura Fornecedor Transferencia de</t>
  </si>
  <si>
    <t>1505857581</t>
  </si>
  <si>
    <t>Ref. 223699-11 Invoice - Gross Trf to Asset Acct</t>
  </si>
  <si>
    <t>1505902276</t>
  </si>
  <si>
    <t>Ref. 223701-11 Invoice - Gross Trf to Asset Acct</t>
  </si>
  <si>
    <t>1506088613</t>
  </si>
  <si>
    <t>Ref. 225810-11 Recebimento Fatura Transferencia de</t>
  </si>
  <si>
    <t>1506088614</t>
  </si>
  <si>
    <t>Ref. 225810-11 Fatura Fornecedor Transferencia de</t>
  </si>
  <si>
    <t>8242035869</t>
  </si>
  <si>
    <t>1506088973</t>
  </si>
  <si>
    <t>Ref. 225853-11 Recebimento Fatura Transferencia de</t>
  </si>
  <si>
    <t>Cabo de alimentação 6FX5008-1BB21-2AA0</t>
  </si>
  <si>
    <t>AM2411171</t>
  </si>
  <si>
    <t>Power cord 6FX5008-1BB21-2AA0</t>
  </si>
  <si>
    <t>1506088975</t>
  </si>
  <si>
    <t>Ref. 225853-11 Fatura Fornecedor Transferencia de</t>
  </si>
  <si>
    <t>1505899053</t>
  </si>
  <si>
    <t>Ref. 223697-11 Invoice - Gross Trf to Asset Acct</t>
  </si>
  <si>
    <t>1505903934</t>
  </si>
  <si>
    <t>Ref. 223705-11 Invoice - Gross Trf to Asset Acct</t>
  </si>
  <si>
    <t>1506088966</t>
  </si>
  <si>
    <t>Ref. 225817-11 Recebimento Fatura Transferencia de</t>
  </si>
  <si>
    <t>1506088967</t>
  </si>
  <si>
    <t>Ref. 225817-11 Fatura Fornecedor Transferencia de</t>
  </si>
  <si>
    <t>1506225123</t>
  </si>
  <si>
    <t>Ref. 169290-1 Recebimento Fatura Transferencia de</t>
  </si>
  <si>
    <t>1506225127</t>
  </si>
  <si>
    <t>Ref. 169290-1 Fatura Fornecedor Transferencia de c</t>
  </si>
  <si>
    <t>8242092034</t>
  </si>
  <si>
    <t>1505976851</t>
  </si>
  <si>
    <t>Ref. 169072-1 Recebimento Fatura Transferencia de</t>
  </si>
  <si>
    <t>INTERFACE DE OPRERACAO(LCD)TIPO HANDHELD</t>
  </si>
  <si>
    <t>CC7963470</t>
  </si>
  <si>
    <t>IHM TIPO HANDHELD - 22HIMA3</t>
  </si>
  <si>
    <t>MODULO SAIDA REFERÊNCIA: 1734-OB4K</t>
  </si>
  <si>
    <t>CC6102911</t>
  </si>
  <si>
    <t>MODULE OUTPUT</t>
  </si>
  <si>
    <t>1505976852</t>
  </si>
  <si>
    <t>Ref. 169072-1 Fatura Fornecedor Transferencia de c</t>
  </si>
  <si>
    <t>8242072932</t>
  </si>
  <si>
    <t>1506175624</t>
  </si>
  <si>
    <t>Ref. 150551-1 Recebimento Fatura Transferencia de</t>
  </si>
  <si>
    <t>SENSOR LASER SERIE LR-TB</t>
  </si>
  <si>
    <t>AM2211015</t>
  </si>
  <si>
    <t>LASER SENSOR SERIES LR-TB</t>
  </si>
  <si>
    <t>SUPORTE DE MONTAGEM PARA SERIE LR-T</t>
  </si>
  <si>
    <t>AM2211014</t>
  </si>
  <si>
    <t>MOUNTING BRACKET FOR LR-T SERIES</t>
  </si>
  <si>
    <t>AM2211013</t>
  </si>
  <si>
    <t>CABO COM CONECTOR OP-87635 KEYENCE</t>
  </si>
  <si>
    <t>AM2501115</t>
  </si>
  <si>
    <t>1506175628</t>
  </si>
  <si>
    <t>Ref. 150551-1 Fatura Fornecedor Transferencia de c</t>
  </si>
  <si>
    <t>8242072920</t>
  </si>
  <si>
    <t>1506225193</t>
  </si>
  <si>
    <t>Ref. 169291-1 Recebimento Fatura Transferencia de</t>
  </si>
  <si>
    <t>SENSOR FOTOELETRICO LINHA 42 GRU</t>
  </si>
  <si>
    <t>CC7531440</t>
  </si>
  <si>
    <t>PHOTOELECTRIC SENSOR 42 GRU</t>
  </si>
  <si>
    <t>1506225194</t>
  </si>
  <si>
    <t>Ref. 169291-1 Fatura Fornecedor Transferencia de c</t>
  </si>
  <si>
    <t>1505857089</t>
  </si>
  <si>
    <t>1505858132</t>
  </si>
  <si>
    <t>1505907084</t>
  </si>
  <si>
    <t>Ref. 2184 -0 Fatura Fornecedor Transferencia de co</t>
  </si>
  <si>
    <t>1505907086</t>
  </si>
  <si>
    <t>Ref. 2183-0 Fatura Fornecedor Transferencia de con</t>
  </si>
  <si>
    <t>4500477822</t>
  </si>
  <si>
    <t>1505948909</t>
  </si>
  <si>
    <t>PROJETO-BR00514I25</t>
  </si>
  <si>
    <t>sets Y.Tire PCs (LDA PC) Win10 with</t>
  </si>
  <si>
    <t>AM2409065</t>
  </si>
  <si>
    <t>1505858427</t>
  </si>
  <si>
    <t>Ref. 00312097-2 Invoice - Gross Trf to Asset Acct</t>
  </si>
  <si>
    <t>1505955592</t>
  </si>
  <si>
    <t>Ref. 00312593-2 Invoice - Gross Trf to Asset Acct</t>
  </si>
  <si>
    <t>8242111477</t>
  </si>
  <si>
    <t>1506085631</t>
  </si>
  <si>
    <t>1506095163</t>
  </si>
  <si>
    <t>Ref. 2699053-0 Fatura Fornecedor Transferencia de</t>
  </si>
  <si>
    <t>602004869</t>
  </si>
  <si>
    <t>DELL COMPUTADORES DO BRASIL</t>
  </si>
  <si>
    <t xml:space="preserve">       13.168.052,00</t>
  </si>
  <si>
    <t xml:space="preserve">       13.053.761,69</t>
  </si>
  <si>
    <t xml:space="preserve">          114.290,31</t>
  </si>
  <si>
    <t xml:space="preserve">            7.871,00</t>
  </si>
  <si>
    <t xml:space="preserve">        6.163.260,00</t>
  </si>
  <si>
    <t xml:space="preserve">        6.169.256,00</t>
  </si>
  <si>
    <t xml:space="preserve">        1.928.552,00</t>
  </si>
  <si>
    <t xml:space="preserve">        1.910.791,24</t>
  </si>
  <si>
    <t xml:space="preserve">           17.760,76</t>
  </si>
  <si>
    <t xml:space="preserve">           68.684,00</t>
  </si>
  <si>
    <t xml:space="preserve">           41.236,28</t>
  </si>
  <si>
    <t xml:space="preserve">           27.447,72</t>
  </si>
  <si>
    <t xml:space="preserve">          718.700,00</t>
  </si>
  <si>
    <t xml:space="preserve">          715.790,26</t>
  </si>
  <si>
    <t xml:space="preserve">            2.909,74</t>
  </si>
  <si>
    <t xml:space="preserve">        3.775.985,00</t>
  </si>
  <si>
    <t xml:space="preserve">        3.733.126,74</t>
  </si>
  <si>
    <t xml:space="preserve">           42.858,26</t>
  </si>
  <si>
    <t xml:space="preserve">          300.000,00</t>
  </si>
  <si>
    <t xml:space="preserve">          294.548,08</t>
  </si>
  <si>
    <t xml:space="preserve">            5.451,92</t>
  </si>
  <si>
    <t xml:space="preserve">          125.000,00</t>
  </si>
  <si>
    <t xml:space="preserve">          110.477,67</t>
  </si>
  <si>
    <t xml:space="preserve">           14.522,33</t>
  </si>
  <si>
    <t xml:space="preserve">           78.535,42</t>
  </si>
  <si>
    <t xml:space="preserve">            1.464,58</t>
  </si>
  <si>
    <t xml:space="preserve">        1.296.200,00</t>
  </si>
  <si>
    <t xml:space="preserve">        1.267.709,24</t>
  </si>
  <si>
    <t xml:space="preserve">           28.490,76</t>
  </si>
  <si>
    <t xml:space="preserve">        1.276.200,00</t>
  </si>
  <si>
    <t xml:space="preserve">        1.252.821,71</t>
  </si>
  <si>
    <t xml:space="preserve">           23.378,29</t>
  </si>
  <si>
    <t xml:space="preserve">           20.000,00</t>
  </si>
  <si>
    <t xml:space="preserve">           14.887,53</t>
  </si>
  <si>
    <t xml:space="preserve">            5.112,47</t>
  </si>
  <si>
    <t xml:space="preserve">           63.100,00</t>
  </si>
  <si>
    <t xml:space="preserve">           58.100,00</t>
  </si>
  <si>
    <t xml:space="preserve">          350.000,00</t>
  </si>
  <si>
    <t xml:space="preserve">          347.072,38</t>
  </si>
  <si>
    <t xml:space="preserve">            2.927,62</t>
  </si>
  <si>
    <t xml:space="preserve">          293.700,00</t>
  </si>
  <si>
    <t xml:space="preserve">          292.649,16</t>
  </si>
  <si>
    <t xml:space="preserve">            1.050,84</t>
  </si>
  <si>
    <t xml:space="preserve">           56.300,00</t>
  </si>
  <si>
    <t xml:space="preserve">           54.423,22</t>
  </si>
  <si>
    <t xml:space="preserve">            1.876,78</t>
  </si>
  <si>
    <t xml:space="preserve">          770.100,00</t>
  </si>
  <si>
    <t xml:space="preserve">          744.723,00</t>
  </si>
  <si>
    <t xml:space="preserve">          744.723,18</t>
  </si>
  <si>
    <t xml:space="preserve">           25.376,82</t>
  </si>
  <si>
    <t xml:space="preserve">          747.100,00</t>
  </si>
  <si>
    <t xml:space="preserve">          721.559,50</t>
  </si>
  <si>
    <t xml:space="preserve">          721.559,68</t>
  </si>
  <si>
    <t xml:space="preserve">           25.540,32</t>
  </si>
  <si>
    <t xml:space="preserve">           23.000,00</t>
  </si>
  <si>
    <t xml:space="preserve">           23.163,50</t>
  </si>
  <si>
    <t xml:space="preserve">          352.000,00</t>
  </si>
  <si>
    <t xml:space="preserve">          347.316,49</t>
  </si>
  <si>
    <t xml:space="preserve">            4.683,51</t>
  </si>
  <si>
    <t xml:space="preserve">        1.338.900,00</t>
  </si>
  <si>
    <t xml:space="preserve">        1.335.952,45</t>
  </si>
  <si>
    <t xml:space="preserve">            2.947,55</t>
  </si>
  <si>
    <t xml:space="preserve">        1.253.200,00</t>
  </si>
  <si>
    <t xml:space="preserve">        1.250.279,98</t>
  </si>
  <si>
    <t xml:space="preserve">            2.920,02</t>
  </si>
  <si>
    <t xml:space="preserve">           85.700,00</t>
  </si>
  <si>
    <t xml:space="preserve">           85.672,47</t>
  </si>
  <si>
    <t xml:space="preserve">               27,53</t>
  </si>
  <si>
    <t xml:space="preserve">          513.000,00</t>
  </si>
  <si>
    <t xml:space="preserve">          486.746,03</t>
  </si>
  <si>
    <t xml:space="preserve">           26.253,97</t>
  </si>
  <si>
    <t xml:space="preserve">          148.673,47</t>
  </si>
  <si>
    <t xml:space="preserve">          131.683,21</t>
  </si>
  <si>
    <t xml:space="preserve">           16.990,26</t>
  </si>
  <si>
    <t xml:space="preserve">           19.926,53</t>
  </si>
  <si>
    <t xml:space="preserve">          255.000,00</t>
  </si>
  <si>
    <t xml:space="preserve">          249.880,56</t>
  </si>
  <si>
    <t xml:space="preserve">            5.119,44</t>
  </si>
  <si>
    <t xml:space="preserve">           79.400,00</t>
  </si>
  <si>
    <t xml:space="preserve">           78.702,56</t>
  </si>
  <si>
    <t xml:space="preserve">              697,44</t>
  </si>
  <si>
    <t xml:space="preserve">            6.553,17</t>
  </si>
  <si>
    <t xml:space="preserve">            3.446,83</t>
  </si>
  <si>
    <t xml:space="preserve">          987.731,00</t>
  </si>
  <si>
    <t xml:space="preserve">          801.613,39</t>
  </si>
  <si>
    <t xml:space="preserve">          186.117,61</t>
  </si>
  <si>
    <t xml:space="preserve">          243.831,00</t>
  </si>
  <si>
    <t xml:space="preserve">          234.706,44</t>
  </si>
  <si>
    <t xml:space="preserve">            9.124,56</t>
  </si>
  <si>
    <t xml:space="preserve">           61.269,00</t>
  </si>
  <si>
    <t xml:space="preserve">           61.268,90</t>
  </si>
  <si>
    <t xml:space="preserve">                0,10</t>
  </si>
  <si>
    <t xml:space="preserve">          232.729,00</t>
  </si>
  <si>
    <t xml:space="preserve">          146.790,57</t>
  </si>
  <si>
    <t xml:space="preserve">           85.938,43</t>
  </si>
  <si>
    <t xml:space="preserve">           13.607,00</t>
  </si>
  <si>
    <t xml:space="preserve">           13.606,92</t>
  </si>
  <si>
    <t xml:space="preserve">          115.826,00</t>
  </si>
  <si>
    <t xml:space="preserve">          115.825,11</t>
  </si>
  <si>
    <t xml:space="preserve">                0,89</t>
  </si>
  <si>
    <t xml:space="preserve">           94.300,00</t>
  </si>
  <si>
    <t xml:space="preserve">           94.279,46</t>
  </si>
  <si>
    <t xml:space="preserve">               20,54</t>
  </si>
  <si>
    <t xml:space="preserve">            9.073,49</t>
  </si>
  <si>
    <t xml:space="preserve">           90.926,51</t>
  </si>
  <si>
    <t xml:space="preserve">          117.361,00</t>
  </si>
  <si>
    <t xml:space="preserve">          117.254,53</t>
  </si>
  <si>
    <t xml:space="preserve">              106,47</t>
  </si>
  <si>
    <t xml:space="preserve">            8.808,00</t>
  </si>
  <si>
    <t xml:space="preserve">            8.807,97</t>
  </si>
  <si>
    <t xml:space="preserve">                0,03</t>
  </si>
  <si>
    <t xml:space="preserve">          713.300,00</t>
  </si>
  <si>
    <t xml:space="preserve">          659.177,50</t>
  </si>
  <si>
    <t xml:space="preserve">           54.122,50</t>
  </si>
  <si>
    <t xml:space="preserve">          688.800,00</t>
  </si>
  <si>
    <t xml:space="preserve">          655.906,37</t>
  </si>
  <si>
    <t xml:space="preserve">           32.893,63</t>
  </si>
  <si>
    <t xml:space="preserve">            3.271,13</t>
  </si>
  <si>
    <t xml:space="preserve">            1.228,87</t>
  </si>
  <si>
    <t xml:space="preserve">          248.000,00</t>
  </si>
  <si>
    <t xml:space="preserve">          203.211,10</t>
  </si>
  <si>
    <t xml:space="preserve">           44.788,90</t>
  </si>
  <si>
    <t xml:space="preserve">          233.500,00</t>
  </si>
  <si>
    <t xml:space="preserve">          189.817,31</t>
  </si>
  <si>
    <t xml:space="preserve">           43.682,69</t>
  </si>
  <si>
    <t xml:space="preserve">           14.500,00</t>
  </si>
  <si>
    <t xml:space="preserve">           13.393,79</t>
  </si>
  <si>
    <t xml:space="preserve">            1.106,21</t>
  </si>
  <si>
    <t xml:space="preserve">        2.866.600,00</t>
  </si>
  <si>
    <t xml:space="preserve">        2.781.011,99</t>
  </si>
  <si>
    <t xml:space="preserve">           85.588,01</t>
  </si>
  <si>
    <t xml:space="preserve">          164.500,00</t>
  </si>
  <si>
    <t xml:space="preserve">          163.789,18</t>
  </si>
  <si>
    <t xml:space="preserve">              710,82</t>
  </si>
  <si>
    <t xml:space="preserve">           72.200,00</t>
  </si>
  <si>
    <t xml:space="preserve">           71.693,22</t>
  </si>
  <si>
    <t xml:space="preserve">              506,78</t>
  </si>
  <si>
    <t xml:space="preserve">           22.300,00</t>
  </si>
  <si>
    <t xml:space="preserve">           21.447,87</t>
  </si>
  <si>
    <t xml:space="preserve">              852,13</t>
  </si>
  <si>
    <t xml:space="preserve">        2.607.600,00</t>
  </si>
  <si>
    <t xml:space="preserve">        2.524.081,72</t>
  </si>
  <si>
    <t xml:space="preserve">           83.518,28</t>
  </si>
  <si>
    <t xml:space="preserve">          355.017,00</t>
  </si>
  <si>
    <t xml:space="preserve">          341.417,96</t>
  </si>
  <si>
    <t xml:space="preserve">           13.599,04</t>
  </si>
  <si>
    <t xml:space="preserve">          349.017,00</t>
  </si>
  <si>
    <t xml:space="preserve">          335.553,62</t>
  </si>
  <si>
    <t xml:space="preserve">           13.463,38</t>
  </si>
  <si>
    <t xml:space="preserve">            5.864,34</t>
  </si>
  <si>
    <t xml:space="preserve">              135,66</t>
  </si>
  <si>
    <t xml:space="preserve">          464.600,00</t>
  </si>
  <si>
    <t xml:space="preserve">          450.673,70</t>
  </si>
  <si>
    <t xml:space="preserve">           13.926,30</t>
  </si>
  <si>
    <t xml:space="preserve">          161.098,79</t>
  </si>
  <si>
    <t xml:space="preserve">          159.438,86</t>
  </si>
  <si>
    <t xml:space="preserve">            1.659,93</t>
  </si>
  <si>
    <t xml:space="preserve">          235.755,05</t>
  </si>
  <si>
    <t xml:space="preserve">          232.435,57</t>
  </si>
  <si>
    <t xml:space="preserve">            3.319,48</t>
  </si>
  <si>
    <t xml:space="preserve">           42.373,79</t>
  </si>
  <si>
    <t xml:space="preserve">            8.586,89</t>
  </si>
  <si>
    <t xml:space="preserve">           16.425,48</t>
  </si>
  <si>
    <t xml:space="preserve">          198.000,00</t>
  </si>
  <si>
    <t xml:space="preserve">          196.421,89</t>
  </si>
  <si>
    <t xml:space="preserve">            1.578,11</t>
  </si>
  <si>
    <t xml:space="preserve">          190.800,00</t>
  </si>
  <si>
    <t xml:space="preserve">          189.230,14</t>
  </si>
  <si>
    <t xml:space="preserve">            1.569,86</t>
  </si>
  <si>
    <t xml:space="preserve">            7.200,00</t>
  </si>
  <si>
    <t xml:space="preserve">            7.191,75</t>
  </si>
  <si>
    <t xml:space="preserve">                8,25</t>
  </si>
  <si>
    <t xml:space="preserve">          234.000,00</t>
  </si>
  <si>
    <t xml:space="preserve">          217.421,75</t>
  </si>
  <si>
    <t xml:space="preserve">           16.578,25</t>
  </si>
  <si>
    <t xml:space="preserve">          225.800,00</t>
  </si>
  <si>
    <t xml:space="preserve">          209.481,26</t>
  </si>
  <si>
    <t xml:space="preserve">           16.318,74</t>
  </si>
  <si>
    <t xml:space="preserve">            7.940,49</t>
  </si>
  <si>
    <t xml:space="preserve">              259,51</t>
  </si>
  <si>
    <t xml:space="preserve">           62.697,22</t>
  </si>
  <si>
    <t xml:space="preserve">            5.302,78</t>
  </si>
  <si>
    <t xml:space="preserve">           54.989,48</t>
  </si>
  <si>
    <t xml:space="preserve">            5.010,52</t>
  </si>
  <si>
    <t xml:space="preserve">            8.000,00</t>
  </si>
  <si>
    <t xml:space="preserve">            7.707,74</t>
  </si>
  <si>
    <t xml:space="preserve">              292,26</t>
  </si>
  <si>
    <t xml:space="preserve">        3.492.000,00</t>
  </si>
  <si>
    <t xml:space="preserve">        3.328.794,75</t>
  </si>
  <si>
    <t xml:space="preserve">          163.205,25</t>
  </si>
  <si>
    <t xml:space="preserve">          840.000,00</t>
  </si>
  <si>
    <t xml:space="preserve">          827.296,83</t>
  </si>
  <si>
    <t xml:space="preserve">           12.703,17</t>
  </si>
  <si>
    <t xml:space="preserve">          994.565,12</t>
  </si>
  <si>
    <t xml:space="preserve">            5.434,88</t>
  </si>
  <si>
    <t xml:space="preserve">           29.000,00</t>
  </si>
  <si>
    <t xml:space="preserve">           27.045,53</t>
  </si>
  <si>
    <t xml:space="preserve">            1.954,47</t>
  </si>
  <si>
    <t xml:space="preserve">          893.000,00</t>
  </si>
  <si>
    <t xml:space="preserve">          891.657,01</t>
  </si>
  <si>
    <t xml:space="preserve">            1.342,99</t>
  </si>
  <si>
    <t xml:space="preserve">          562.000,00</t>
  </si>
  <si>
    <t xml:space="preserve">          560.305,59</t>
  </si>
  <si>
    <t xml:space="preserve">            1.694,41</t>
  </si>
  <si>
    <t xml:space="preserve">          168.000,00</t>
  </si>
  <si>
    <t xml:space="preserve">           27.924,67</t>
  </si>
  <si>
    <t xml:space="preserve">          140.075,33</t>
  </si>
  <si>
    <t xml:space="preserve">        3.767.500,00</t>
  </si>
  <si>
    <t xml:space="preserve">        3.610.572,56</t>
  </si>
  <si>
    <t xml:space="preserve">          156.927,44</t>
  </si>
  <si>
    <t xml:space="preserve">        3.737.400,00</t>
  </si>
  <si>
    <t xml:space="preserve">        3.580.577,58</t>
  </si>
  <si>
    <t xml:space="preserve">          156.822,42</t>
  </si>
  <si>
    <t xml:space="preserve">           30.100,00</t>
  </si>
  <si>
    <t xml:space="preserve">           29.994,98</t>
  </si>
  <si>
    <t xml:space="preserve">              105,02</t>
  </si>
  <si>
    <t xml:space="preserve">          499.890,00</t>
  </si>
  <si>
    <t xml:space="preserve">          469.433,90</t>
  </si>
  <si>
    <t xml:space="preserve">           30.456,10</t>
  </si>
  <si>
    <t xml:space="preserve">          494.890,00</t>
  </si>
  <si>
    <t xml:space="preserve">          465.178,46</t>
  </si>
  <si>
    <t xml:space="preserve">           29.711,54</t>
  </si>
  <si>
    <t xml:space="preserve">            4.255,44</t>
  </si>
  <si>
    <t xml:space="preserve">              744,56</t>
  </si>
  <si>
    <t xml:space="preserve">          206.300,00</t>
  </si>
  <si>
    <t xml:space="preserve">          205.140,37</t>
  </si>
  <si>
    <t xml:space="preserve">            1.159,63</t>
  </si>
  <si>
    <t xml:space="preserve">          201.300,00</t>
  </si>
  <si>
    <t xml:space="preserve">          200.775,87</t>
  </si>
  <si>
    <t xml:space="preserve">              524,13</t>
  </si>
  <si>
    <t xml:space="preserve">            4.364,50</t>
  </si>
  <si>
    <t xml:space="preserve">              635,50</t>
  </si>
  <si>
    <t xml:space="preserve">        2.961.500,00</t>
  </si>
  <si>
    <t xml:space="preserve">        2.734.636,61</t>
  </si>
  <si>
    <t xml:space="preserve">          226.863,39</t>
  </si>
  <si>
    <t xml:space="preserve">        1.740.500,00</t>
  </si>
  <si>
    <t xml:space="preserve">        1.703.465,74</t>
  </si>
  <si>
    <t xml:space="preserve">           37.034,26</t>
  </si>
  <si>
    <t xml:space="preserve">           46.000,00</t>
  </si>
  <si>
    <t xml:space="preserve">           15.147,49</t>
  </si>
  <si>
    <t xml:space="preserve">           30.852,51</t>
  </si>
  <si>
    <t xml:space="preserve">          254.000,00</t>
  </si>
  <si>
    <t xml:space="preserve">          227.473,56</t>
  </si>
  <si>
    <t xml:space="preserve">           26.526,44</t>
  </si>
  <si>
    <t xml:space="preserve">          621.900,00</t>
  </si>
  <si>
    <t xml:space="preserve">          609.350,06</t>
  </si>
  <si>
    <t xml:space="preserve">           12.549,94</t>
  </si>
  <si>
    <t xml:space="preserve">           52.587,90</t>
  </si>
  <si>
    <t xml:space="preserve">            2.412,10</t>
  </si>
  <si>
    <t xml:space="preserve">          174.100,00</t>
  </si>
  <si>
    <t xml:space="preserve">          126.611,86</t>
  </si>
  <si>
    <t xml:space="preserve">           47.488,14</t>
  </si>
  <si>
    <t xml:space="preserve">        1.426.215,00</t>
  </si>
  <si>
    <t xml:space="preserve">        1.422.479,13</t>
  </si>
  <si>
    <t xml:space="preserve">            3.735,87</t>
  </si>
  <si>
    <t xml:space="preserve">        1.423.215,00</t>
  </si>
  <si>
    <t xml:space="preserve">        1.419.525,30</t>
  </si>
  <si>
    <t xml:space="preserve">            3.689,70</t>
  </si>
  <si>
    <t xml:space="preserve">            3.000,00</t>
  </si>
  <si>
    <t xml:space="preserve">            2.953,83</t>
  </si>
  <si>
    <t xml:space="preserve">               46,17</t>
  </si>
  <si>
    <t xml:space="preserve">          271.000,00</t>
  </si>
  <si>
    <t xml:space="preserve">          225.209,80</t>
  </si>
  <si>
    <t xml:space="preserve">           45.790,20</t>
  </si>
  <si>
    <t xml:space="preserve">          267.000,00</t>
  </si>
  <si>
    <t xml:space="preserve">          221.265,31</t>
  </si>
  <si>
    <t xml:space="preserve">           45.734,69</t>
  </si>
  <si>
    <t xml:space="preserve">            4.000,00</t>
  </si>
  <si>
    <t xml:space="preserve">            3.944,49</t>
  </si>
  <si>
    <t xml:space="preserve">               55,51</t>
  </si>
  <si>
    <t xml:space="preserve">          454.000,00</t>
  </si>
  <si>
    <t xml:space="preserve">          424.085,59</t>
  </si>
  <si>
    <t xml:space="preserve">           29.914,41</t>
  </si>
  <si>
    <t xml:space="preserve">          429.000,00</t>
  </si>
  <si>
    <t xml:space="preserve">          401.733,30</t>
  </si>
  <si>
    <t xml:space="preserve">           27.266,70</t>
  </si>
  <si>
    <t xml:space="preserve">           15.539,72</t>
  </si>
  <si>
    <t xml:space="preserve">            2.460,28</t>
  </si>
  <si>
    <t xml:space="preserve">            7.000,00</t>
  </si>
  <si>
    <t xml:space="preserve">            6.812,57</t>
  </si>
  <si>
    <t xml:space="preserve">              187,43</t>
  </si>
  <si>
    <t xml:space="preserve">          160.000,00</t>
  </si>
  <si>
    <t xml:space="preserve">          156.630,91</t>
  </si>
  <si>
    <t xml:space="preserve">            3.369,09</t>
  </si>
  <si>
    <t xml:space="preserve">          155.000,00</t>
  </si>
  <si>
    <t xml:space="preserve">          151.809,92</t>
  </si>
  <si>
    <t xml:space="preserve">            3.190,08</t>
  </si>
  <si>
    <t xml:space="preserve">            4.820,99</t>
  </si>
  <si>
    <t xml:space="preserve">              179,01</t>
  </si>
  <si>
    <t xml:space="preserve">        1.212.000,00</t>
  </si>
  <si>
    <t xml:space="preserve">        1.152.578,00</t>
  </si>
  <si>
    <t xml:space="preserve">           59.422,00</t>
  </si>
  <si>
    <t xml:space="preserve">            5.702,86</t>
  </si>
  <si>
    <t xml:space="preserve">           49.773,39</t>
  </si>
  <si>
    <t xml:space="preserve">           14.724,96</t>
  </si>
  <si>
    <t xml:space="preserve">              275,04</t>
  </si>
  <si>
    <t xml:space="preserve">           21.547,95</t>
  </si>
  <si>
    <t xml:space="preserve">              452,05</t>
  </si>
  <si>
    <t xml:space="preserve">           47.000,00</t>
  </si>
  <si>
    <t xml:space="preserve">           43.939,07</t>
  </si>
  <si>
    <t xml:space="preserve">            3.060,93</t>
  </si>
  <si>
    <t xml:space="preserve">           37.248,86</t>
  </si>
  <si>
    <t xml:space="preserve">           39.870,59</t>
  </si>
  <si>
    <t xml:space="preserve">              129,41</t>
  </si>
  <si>
    <t xml:space="preserve">           45.405,32</t>
  </si>
  <si>
    <t xml:space="preserve">            1.594,68</t>
  </si>
  <si>
    <t xml:space="preserve">           37.421,34</t>
  </si>
  <si>
    <t xml:space="preserve">           12.578,66</t>
  </si>
  <si>
    <t xml:space="preserve">           38.943,48</t>
  </si>
  <si>
    <t xml:space="preserve">            7.056,52</t>
  </si>
  <si>
    <t xml:space="preserve">           26.955,37</t>
  </si>
  <si>
    <t xml:space="preserve">            3.044,63</t>
  </si>
  <si>
    <t xml:space="preserve">           33.000,00</t>
  </si>
  <si>
    <t xml:space="preserve">           32.536,13</t>
  </si>
  <si>
    <t xml:space="preserve">              463,87</t>
  </si>
  <si>
    <t xml:space="preserve">           46.282,70</t>
  </si>
  <si>
    <t xml:space="preserve">              717,30</t>
  </si>
  <si>
    <t xml:space="preserve">           32.000,00</t>
  </si>
  <si>
    <t xml:space="preserve">           31.667,87</t>
  </si>
  <si>
    <t xml:space="preserve">              332,13</t>
  </si>
  <si>
    <t xml:space="preserve">           31.294,00</t>
  </si>
  <si>
    <t xml:space="preserve">           31.126,34</t>
  </si>
  <si>
    <t xml:space="preserve">              167,66</t>
  </si>
  <si>
    <t xml:space="preserve">           40.206,00</t>
  </si>
  <si>
    <t xml:space="preserve">           40.204,14</t>
  </si>
  <si>
    <t xml:space="preserve">                1,86</t>
  </si>
  <si>
    <t xml:space="preserve">           38.225,29</t>
  </si>
  <si>
    <t xml:space="preserve">            1.774,71</t>
  </si>
  <si>
    <t xml:space="preserve">           44.000,00</t>
  </si>
  <si>
    <t xml:space="preserve">           42.182,37</t>
  </si>
  <si>
    <t xml:space="preserve">            1.817,63</t>
  </si>
  <si>
    <t xml:space="preserve">           39.200,00</t>
  </si>
  <si>
    <t xml:space="preserve">           39.132,22</t>
  </si>
  <si>
    <t xml:space="preserve">               67,78</t>
  </si>
  <si>
    <t xml:space="preserve">           44.955,44</t>
  </si>
  <si>
    <t xml:space="preserve">               44,56</t>
  </si>
  <si>
    <t xml:space="preserve">           49.654,35</t>
  </si>
  <si>
    <t xml:space="preserve">              345,65</t>
  </si>
  <si>
    <t xml:space="preserve">           41.000,00</t>
  </si>
  <si>
    <t xml:space="preserve">           40.771,68</t>
  </si>
  <si>
    <t xml:space="preserve">              228,32</t>
  </si>
  <si>
    <t xml:space="preserve">           29.700,00</t>
  </si>
  <si>
    <t xml:space="preserve">           28.506,39</t>
  </si>
  <si>
    <t xml:space="preserve">            1.193,61</t>
  </si>
  <si>
    <t xml:space="preserve">           18.100,00</t>
  </si>
  <si>
    <t xml:space="preserve">           17.237,84</t>
  </si>
  <si>
    <t xml:space="preserve">              862,16</t>
  </si>
  <si>
    <t xml:space="preserve">           22.500,00</t>
  </si>
  <si>
    <t xml:space="preserve">           22.172,38</t>
  </si>
  <si>
    <t xml:space="preserve">              327,62</t>
  </si>
  <si>
    <t xml:space="preserve">            5.189,73</t>
  </si>
  <si>
    <t xml:space="preserve">           12.085,42</t>
  </si>
  <si>
    <t xml:space="preserve">           48.600,00</t>
  </si>
  <si>
    <t xml:space="preserve">           42.154,00</t>
  </si>
  <si>
    <t xml:space="preserve">            6.446,00</t>
  </si>
  <si>
    <t xml:space="preserve">           17.100,00</t>
  </si>
  <si>
    <t xml:space="preserve">           16.816,30</t>
  </si>
  <si>
    <t xml:space="preserve">              283,70</t>
  </si>
  <si>
    <t xml:space="preserve">           34.300,00</t>
  </si>
  <si>
    <t xml:space="preserve">           33.134,10</t>
  </si>
  <si>
    <t xml:space="preserve">            1.165,90</t>
  </si>
  <si>
    <t xml:space="preserve">           49.926,36</t>
  </si>
  <si>
    <t xml:space="preserve">               73,64</t>
  </si>
  <si>
    <t xml:space="preserve">           39.940,07</t>
  </si>
  <si>
    <t xml:space="preserve">            1.059,93</t>
  </si>
  <si>
    <t xml:space="preserve">            9.399,74</t>
  </si>
  <si>
    <t xml:space="preserve">            9.389,32</t>
  </si>
  <si>
    <t xml:space="preserve">               10,42</t>
  </si>
  <si>
    <t xml:space="preserve">           19.900,00</t>
  </si>
  <si>
    <t xml:space="preserve">           17.525,11</t>
  </si>
  <si>
    <t xml:space="preserve">            2.374,89</t>
  </si>
  <si>
    <t xml:space="preserve">           28.900,00</t>
  </si>
  <si>
    <t xml:space="preserve">           24.695,01</t>
  </si>
  <si>
    <t xml:space="preserve">            4.204,99</t>
  </si>
  <si>
    <t xml:space="preserve">           15.300,00</t>
  </si>
  <si>
    <t xml:space="preserve">           15.152,03</t>
  </si>
  <si>
    <t xml:space="preserve">              147,97</t>
  </si>
  <si>
    <t xml:space="preserve">            5.612,85</t>
  </si>
  <si>
    <t xml:space="preserve">            1.387,15</t>
  </si>
  <si>
    <t xml:space="preserve">           20.500,00</t>
  </si>
  <si>
    <t xml:space="preserve">           20.472,23</t>
  </si>
  <si>
    <t xml:space="preserve">               27,77</t>
  </si>
  <si>
    <t xml:space="preserve">          206.350,00</t>
  </si>
  <si>
    <t xml:space="preserve">          206.341,42</t>
  </si>
  <si>
    <t xml:space="preserve">                8,58</t>
  </si>
  <si>
    <t xml:space="preserve">          187.100,00</t>
  </si>
  <si>
    <t xml:space="preserve">          179.230,55</t>
  </si>
  <si>
    <t xml:space="preserve">            7.869,45</t>
  </si>
  <si>
    <t xml:space="preserve">            7.769,45</t>
  </si>
  <si>
    <t xml:space="preserve">              100,00</t>
  </si>
  <si>
    <t xml:space="preserve">          112.100,00</t>
  </si>
  <si>
    <t xml:space="preserve">          101.470,56</t>
  </si>
  <si>
    <t xml:space="preserve">           10.629,44</t>
  </si>
  <si>
    <t xml:space="preserve">          108.100,00</t>
  </si>
  <si>
    <t xml:space="preserve">           97.567,38</t>
  </si>
  <si>
    <t xml:space="preserve">           10.532,62</t>
  </si>
  <si>
    <t xml:space="preserve">            3.903,18</t>
  </si>
  <si>
    <t xml:space="preserve">               96,82</t>
  </si>
  <si>
    <t xml:space="preserve">           68.500,00</t>
  </si>
  <si>
    <t xml:space="preserve">           65.735,70</t>
  </si>
  <si>
    <t xml:space="preserve">            2.764,30</t>
  </si>
  <si>
    <t xml:space="preserve">           61.350,00</t>
  </si>
  <si>
    <t xml:space="preserve">           58.615,64</t>
  </si>
  <si>
    <t xml:space="preserve">            2.734,36</t>
  </si>
  <si>
    <t xml:space="preserve">            7.150,00</t>
  </si>
  <si>
    <t xml:space="preserve">            7.120,06</t>
  </si>
  <si>
    <t xml:space="preserve">               29,94</t>
  </si>
  <si>
    <t xml:space="preserve">           56.650,00</t>
  </si>
  <si>
    <t xml:space="preserve">           55.890,91</t>
  </si>
  <si>
    <t xml:space="preserve">              759,09</t>
  </si>
  <si>
    <t xml:space="preserve">           52.650,00</t>
  </si>
  <si>
    <t xml:space="preserve">           51.994,55</t>
  </si>
  <si>
    <t xml:space="preserve">              655,45</t>
  </si>
  <si>
    <t xml:space="preserve">            3.896,36</t>
  </si>
  <si>
    <t xml:space="preserve">              103,64</t>
  </si>
  <si>
    <t xml:space="preserve">       10.218.982,00</t>
  </si>
  <si>
    <t xml:space="preserve">        6.927.791,67</t>
  </si>
  <si>
    <t xml:space="preserve">        3.291.190,33</t>
  </si>
  <si>
    <t xml:space="preserve">          278.857,00</t>
  </si>
  <si>
    <t xml:space="preserve">           71.196,00</t>
  </si>
  <si>
    <t xml:space="preserve">           61.645,03</t>
  </si>
  <si>
    <t xml:space="preserve">            9.550,97</t>
  </si>
  <si>
    <t xml:space="preserve">           17.813,35</t>
  </si>
  <si>
    <t xml:space="preserve">          653.423,00</t>
  </si>
  <si>
    <t xml:space="preserve">          622.757,26</t>
  </si>
  <si>
    <t xml:space="preserve">           30.665,74</t>
  </si>
  <si>
    <t xml:space="preserve">           31.620,00</t>
  </si>
  <si>
    <t xml:space="preserve">        4.808.832,00</t>
  </si>
  <si>
    <t xml:space="preserve">        3.699.247,55</t>
  </si>
  <si>
    <t xml:space="preserve">        1.109.584,45</t>
  </si>
  <si>
    <t xml:space="preserve">           59.049,00</t>
  </si>
  <si>
    <t xml:space="preserve">            1.992,25</t>
  </si>
  <si>
    <t xml:space="preserve">           57.056,75</t>
  </si>
  <si>
    <t xml:space="preserve">          708.339,00</t>
  </si>
  <si>
    <t xml:space="preserve">          705.908,47</t>
  </si>
  <si>
    <t xml:space="preserve">            2.430,53</t>
  </si>
  <si>
    <t xml:space="preserve">        1.649.663,00</t>
  </si>
  <si>
    <t xml:space="preserve">          479.977,14</t>
  </si>
  <si>
    <t xml:space="preserve">        1.169.685,86</t>
  </si>
  <si>
    <t xml:space="preserve">        1.928.003,00</t>
  </si>
  <si>
    <t xml:space="preserve">        1.338.450,33</t>
  </si>
  <si>
    <t xml:space="preserve">          589.552,67</t>
  </si>
  <si>
    <t xml:space="preserve">        5.863.000,00</t>
  </si>
  <si>
    <t xml:space="preserve">        5.094.018,65</t>
  </si>
  <si>
    <t xml:space="preserve">          768.981,35</t>
  </si>
  <si>
    <t xml:space="preserve">        1.700.000,00</t>
  </si>
  <si>
    <t xml:space="preserve">        1.633.706,26</t>
  </si>
  <si>
    <t xml:space="preserve">           66.293,74</t>
  </si>
  <si>
    <t xml:space="preserve">           30.200,00</t>
  </si>
  <si>
    <t xml:space="preserve">            1.714,04</t>
  </si>
  <si>
    <t xml:space="preserve">           28.485,96</t>
  </si>
  <si>
    <t xml:space="preserve">           88.868,87</t>
  </si>
  <si>
    <t xml:space="preserve">           11.131,13</t>
  </si>
  <si>
    <t xml:space="preserve">        2.467.800,00</t>
  </si>
  <si>
    <t xml:space="preserve">        1.964.681,34</t>
  </si>
  <si>
    <t xml:space="preserve">          503.118,66</t>
  </si>
  <si>
    <t xml:space="preserve">          704.000,00</t>
  </si>
  <si>
    <t xml:space="preserve">          691.012,37</t>
  </si>
  <si>
    <t xml:space="preserve">           12.987,63</t>
  </si>
  <si>
    <t xml:space="preserve">          217.432,94</t>
  </si>
  <si>
    <t xml:space="preserve">           37.567,06</t>
  </si>
  <si>
    <t xml:space="preserve">          335.000,00</t>
  </si>
  <si>
    <t xml:space="preserve">          299.588,32</t>
  </si>
  <si>
    <t xml:space="preserve">           35.411,68</t>
  </si>
  <si>
    <t xml:space="preserve">          179.000,00</t>
  </si>
  <si>
    <t xml:space="preserve">          137.141,45</t>
  </si>
  <si>
    <t xml:space="preserve">           41.858,55</t>
  </si>
  <si>
    <t xml:space="preserve">           90.000,00</t>
  </si>
  <si>
    <t xml:space="preserve">           59.873,06</t>
  </si>
  <si>
    <t xml:space="preserve">           30.126,94</t>
  </si>
  <si>
    <t xml:space="preserve">          211.800,00</t>
  </si>
  <si>
    <t xml:space="preserve">          186.176,10</t>
  </si>
  <si>
    <t xml:space="preserve">           25.623,90</t>
  </si>
  <si>
    <t xml:space="preserve">          211.900,00</t>
  </si>
  <si>
    <t xml:space="preserve">          203.581,41</t>
  </si>
  <si>
    <t xml:space="preserve">            8.318,59</t>
  </si>
  <si>
    <t xml:space="preserve">          204.200,00</t>
  </si>
  <si>
    <t xml:space="preserve">          196.168,29</t>
  </si>
  <si>
    <t xml:space="preserve">            8.031,71</t>
  </si>
  <si>
    <t xml:space="preserve">            7.700,00</t>
  </si>
  <si>
    <t xml:space="preserve">            7.413,12</t>
  </si>
  <si>
    <t xml:space="preserve">              286,88</t>
  </si>
  <si>
    <t xml:space="preserve">          296.000,00</t>
  </si>
  <si>
    <t xml:space="preserve">          259.936,18</t>
  </si>
  <si>
    <t xml:space="preserve">           36.063,82</t>
  </si>
  <si>
    <t xml:space="preserve">          295.000,00</t>
  </si>
  <si>
    <t xml:space="preserve">          259.208,05</t>
  </si>
  <si>
    <t xml:space="preserve">           35.791,95</t>
  </si>
  <si>
    <t xml:space="preserve">            1.000,00</t>
  </si>
  <si>
    <t xml:space="preserve">              728,13</t>
  </si>
  <si>
    <t xml:space="preserve">              271,87</t>
  </si>
  <si>
    <t xml:space="preserve">          275.956,00</t>
  </si>
  <si>
    <t xml:space="preserve">          255.623,75</t>
  </si>
  <si>
    <t xml:space="preserve">           20.332,25</t>
  </si>
  <si>
    <t xml:space="preserve">          268.956,00</t>
  </si>
  <si>
    <t xml:space="preserve">          252.648,72</t>
  </si>
  <si>
    <t xml:space="preserve">           16.307,28</t>
  </si>
  <si>
    <t xml:space="preserve">            2.975,03</t>
  </si>
  <si>
    <t xml:space="preserve">            4.024,97</t>
  </si>
  <si>
    <t xml:space="preserve">           66.357,46</t>
  </si>
  <si>
    <t xml:space="preserve">            8.642,54</t>
  </si>
  <si>
    <t xml:space="preserve">            7.706,52</t>
  </si>
  <si>
    <t xml:space="preserve">           16.228,23</t>
  </si>
  <si>
    <t xml:space="preserve">           14.167,56</t>
  </si>
  <si>
    <t xml:space="preserve">            2.060,67</t>
  </si>
  <si>
    <t xml:space="preserve">           22.450,00</t>
  </si>
  <si>
    <t xml:space="preserve">           20.662,41</t>
  </si>
  <si>
    <t xml:space="preserve">            1.787,59</t>
  </si>
  <si>
    <t xml:space="preserve">            9.399,05</t>
  </si>
  <si>
    <t xml:space="preserve">            8.591,79</t>
  </si>
  <si>
    <t xml:space="preserve">              807,26</t>
  </si>
  <si>
    <t xml:space="preserve">           19.216,20</t>
  </si>
  <si>
    <t xml:space="preserve">           15.229,18</t>
  </si>
  <si>
    <t xml:space="preserve">            3.987,02</t>
  </si>
  <si>
    <t xml:space="preserve">          116.580,00</t>
  </si>
  <si>
    <t xml:space="preserve">          103.485,43</t>
  </si>
  <si>
    <t xml:space="preserve">           13.094,57</t>
  </si>
  <si>
    <t xml:space="preserve">           94.580,00</t>
  </si>
  <si>
    <t xml:space="preserve">           94.478,65</t>
  </si>
  <si>
    <t xml:space="preserve">              101,35</t>
  </si>
  <si>
    <t xml:space="preserve">            6.745,39</t>
  </si>
  <si>
    <t xml:space="preserve">              254,61</t>
  </si>
  <si>
    <t xml:space="preserve">            2.261,39</t>
  </si>
  <si>
    <t xml:space="preserve">           12.738,61</t>
  </si>
  <si>
    <t xml:space="preserve">           99.100,00</t>
  </si>
  <si>
    <t xml:space="preserve">           91.053,14</t>
  </si>
  <si>
    <t xml:space="preserve">            8.046,86</t>
  </si>
  <si>
    <t xml:space="preserve">           95.500,00</t>
  </si>
  <si>
    <t xml:space="preserve">           87.513,49</t>
  </si>
  <si>
    <t xml:space="preserve">            7.986,51</t>
  </si>
  <si>
    <t xml:space="preserve">            3.600,00</t>
  </si>
  <si>
    <t xml:space="preserve">            3.539,65</t>
  </si>
  <si>
    <t xml:space="preserve">               60,35</t>
  </si>
  <si>
    <t xml:space="preserve">          111.750,00</t>
  </si>
  <si>
    <t xml:space="preserve">          104.376,04</t>
  </si>
  <si>
    <t xml:space="preserve">            7.373,96</t>
  </si>
  <si>
    <t xml:space="preserve">          107.100,00</t>
  </si>
  <si>
    <t xml:space="preserve">          100.127,60</t>
  </si>
  <si>
    <t xml:space="preserve">            6.972,40</t>
  </si>
  <si>
    <t xml:space="preserve">            4.650,00</t>
  </si>
  <si>
    <t xml:space="preserve">            4.248,44</t>
  </si>
  <si>
    <t xml:space="preserve">              401,56</t>
  </si>
  <si>
    <t xml:space="preserve">           64.700,00</t>
  </si>
  <si>
    <t xml:space="preserve">           62.254,97</t>
  </si>
  <si>
    <t xml:space="preserve">            2.445,03</t>
  </si>
  <si>
    <t xml:space="preserve">          267.800,00</t>
  </si>
  <si>
    <t xml:space="preserve">          200.904,90</t>
  </si>
  <si>
    <t xml:space="preserve">           66.895,10</t>
  </si>
  <si>
    <t xml:space="preserve">          255.300,00</t>
  </si>
  <si>
    <t xml:space="preserve">           54.395,10</t>
  </si>
  <si>
    <t xml:space="preserve">            5.500,00</t>
  </si>
  <si>
    <t xml:space="preserve">          329.750,00</t>
  </si>
  <si>
    <t xml:space="preserve">          328.543,75</t>
  </si>
  <si>
    <t xml:space="preserve">            1.206,25</t>
  </si>
  <si>
    <t xml:space="preserve">          338.575,31</t>
  </si>
  <si>
    <t xml:space="preserve">          387.670,00</t>
  </si>
  <si>
    <t xml:space="preserve">          323.375,12</t>
  </si>
  <si>
    <t xml:space="preserve">           64.294,88</t>
  </si>
  <si>
    <t xml:space="preserve">          380.320,00</t>
  </si>
  <si>
    <t xml:space="preserve">          322.824,97</t>
  </si>
  <si>
    <t xml:space="preserve">           57.495,03</t>
  </si>
  <si>
    <t xml:space="preserve">            7.350,00</t>
  </si>
  <si>
    <t xml:space="preserve">              550,15</t>
  </si>
  <si>
    <t xml:space="preserve">            6.799,85</t>
  </si>
  <si>
    <t xml:space="preserve">          213.000,00</t>
  </si>
  <si>
    <t xml:space="preserve">          207.579,70</t>
  </si>
  <si>
    <t xml:space="preserve">            5.420,30</t>
  </si>
  <si>
    <t xml:space="preserve">        1.326.865,00</t>
  </si>
  <si>
    <t xml:space="preserve">        1.314.952,95</t>
  </si>
  <si>
    <t xml:space="preserve">           11.912,05</t>
  </si>
  <si>
    <t xml:space="preserve">        1.325.694,00</t>
  </si>
  <si>
    <t xml:space="preserve">        1.313.782,02</t>
  </si>
  <si>
    <t xml:space="preserve">           11.911,98</t>
  </si>
  <si>
    <t xml:space="preserve">            1.171,00</t>
  </si>
  <si>
    <t xml:space="preserve">            1.170,93</t>
  </si>
  <si>
    <t xml:space="preserve">                0,07</t>
  </si>
  <si>
    <t xml:space="preserve">          240.000,00</t>
  </si>
  <si>
    <t xml:space="preserve">          233.937,49</t>
  </si>
  <si>
    <t xml:space="preserve">            6.062,51</t>
  </si>
  <si>
    <t xml:space="preserve">          236.240,12</t>
  </si>
  <si>
    <t xml:space="preserve">          230.177,61</t>
  </si>
  <si>
    <t xml:space="preserve">            3.759,88</t>
  </si>
  <si>
    <t xml:space="preserve">          473.676,00</t>
  </si>
  <si>
    <t xml:space="preserve">          409.643,60</t>
  </si>
  <si>
    <t xml:space="preserve">           64.032,40</t>
  </si>
  <si>
    <t xml:space="preserve">          465.743,00</t>
  </si>
  <si>
    <t xml:space="preserve">          403.756,39</t>
  </si>
  <si>
    <t xml:space="preserve">           61.986,61</t>
  </si>
  <si>
    <t xml:space="preserve">            7.933,00</t>
  </si>
  <si>
    <t xml:space="preserve">            5.887,21</t>
  </si>
  <si>
    <t xml:space="preserve">            2.045,79</t>
  </si>
  <si>
    <t xml:space="preserve">           77.800,00</t>
  </si>
  <si>
    <t xml:space="preserve">           67.885,16</t>
  </si>
  <si>
    <t xml:space="preserve">            9.914,84</t>
  </si>
  <si>
    <t xml:space="preserve">           73.000,00</t>
  </si>
  <si>
    <t xml:space="preserve">           65.030,71</t>
  </si>
  <si>
    <t xml:space="preserve">            7.969,29</t>
  </si>
  <si>
    <t xml:space="preserve">            2.854,45</t>
  </si>
  <si>
    <t xml:space="preserve">            1.945,55</t>
  </si>
  <si>
    <t xml:space="preserve">          145.150,00</t>
  </si>
  <si>
    <t xml:space="preserve">           16.617,82</t>
  </si>
  <si>
    <t xml:space="preserve">          128.532,18</t>
  </si>
  <si>
    <t xml:space="preserve">          137.550,00</t>
  </si>
  <si>
    <t xml:space="preserve">           10.478,23</t>
  </si>
  <si>
    <t xml:space="preserve">          127.071,77</t>
  </si>
  <si>
    <t xml:space="preserve">            7.600,00</t>
  </si>
  <si>
    <t xml:space="preserve">            6.139,59</t>
  </si>
  <si>
    <t xml:space="preserve">            1.460,41</t>
  </si>
  <si>
    <t xml:space="preserve">          109.000,00</t>
  </si>
  <si>
    <t xml:space="preserve">          102.425,85</t>
  </si>
  <si>
    <t xml:space="preserve">            6.574,15</t>
  </si>
  <si>
    <t xml:space="preserve">          108.000,00</t>
  </si>
  <si>
    <t xml:space="preserve">            5.574,15</t>
  </si>
  <si>
    <t xml:space="preserve">           74.500,00</t>
  </si>
  <si>
    <t xml:space="preserve">           23.357,10</t>
  </si>
  <si>
    <t xml:space="preserve">           51.142,90</t>
  </si>
  <si>
    <t xml:space="preserve">           18.500,00</t>
  </si>
  <si>
    <t xml:space="preserve">           10.580,23</t>
  </si>
  <si>
    <t xml:space="preserve">            7.919,77</t>
  </si>
  <si>
    <t xml:space="preserve">            4.562,59</t>
  </si>
  <si>
    <t xml:space="preserve">            1.437,41</t>
  </si>
  <si>
    <t xml:space="preserve">           19.000,00</t>
  </si>
  <si>
    <t xml:space="preserve">            8.214,28</t>
  </si>
  <si>
    <t xml:space="preserve">           10.785,72</t>
  </si>
  <si>
    <t xml:space="preserve">          390.224,00</t>
  </si>
  <si>
    <t xml:space="preserve">          343.890,91</t>
  </si>
  <si>
    <t xml:space="preserve">           46.333,09</t>
  </si>
  <si>
    <t xml:space="preserve">          279.570,00</t>
  </si>
  <si>
    <t xml:space="preserve">          288.794,06</t>
  </si>
  <si>
    <t xml:space="preserve">            4.828,00</t>
  </si>
  <si>
    <t xml:space="preserve">              172,00</t>
  </si>
  <si>
    <t xml:space="preserve">          106.415,00</t>
  </si>
  <si>
    <t xml:space="preserve">           92.515,22</t>
  </si>
  <si>
    <t xml:space="preserve">           13.899,78</t>
  </si>
  <si>
    <t xml:space="preserve">          242.750,00</t>
  </si>
  <si>
    <t xml:space="preserve">          235.986,42</t>
  </si>
  <si>
    <t xml:space="preserve">            6.763,58</t>
  </si>
  <si>
    <t xml:space="preserve">          236.750,00</t>
  </si>
  <si>
    <t xml:space="preserve">          230.055,95</t>
  </si>
  <si>
    <t xml:space="preserve">            6.694,05</t>
  </si>
  <si>
    <t xml:space="preserve">            5.930,47</t>
  </si>
  <si>
    <t xml:space="preserve">               69,53</t>
  </si>
  <si>
    <t xml:space="preserve">          783.300,00</t>
  </si>
  <si>
    <t xml:space="preserve">          749.764,86</t>
  </si>
  <si>
    <t xml:space="preserve">           33.535,14</t>
  </si>
  <si>
    <t xml:space="preserve">          775.800,00</t>
  </si>
  <si>
    <t xml:space="preserve">          748.601,71</t>
  </si>
  <si>
    <t xml:space="preserve">           27.198,29</t>
  </si>
  <si>
    <t xml:space="preserve">            7.500,00</t>
  </si>
  <si>
    <t xml:space="preserve">            1.163,15</t>
  </si>
  <si>
    <t xml:space="preserve">            6.336,85</t>
  </si>
  <si>
    <t xml:space="preserve">          560.600,00</t>
  </si>
  <si>
    <t xml:space="preserve">          261.373,40</t>
  </si>
  <si>
    <t xml:space="preserve">          299.226,60</t>
  </si>
  <si>
    <t xml:space="preserve">          543.600,00</t>
  </si>
  <si>
    <t xml:space="preserve">          258.106,23</t>
  </si>
  <si>
    <t xml:space="preserve">          285.493,77</t>
  </si>
  <si>
    <t xml:space="preserve">           17.000,00</t>
  </si>
  <si>
    <t xml:space="preserve">            3.267,17</t>
  </si>
  <si>
    <t xml:space="preserve">           13.732,83</t>
  </si>
  <si>
    <t xml:space="preserve">           38.637,00</t>
  </si>
  <si>
    <t xml:space="preserve">           38.428,54</t>
  </si>
  <si>
    <t xml:space="preserve">              208,46</t>
  </si>
  <si>
    <t xml:space="preserve">           36.500,00</t>
  </si>
  <si>
    <t xml:space="preserve">           36.295,22</t>
  </si>
  <si>
    <t xml:space="preserve">              204,78</t>
  </si>
  <si>
    <t xml:space="preserve">            2.137,00</t>
  </si>
  <si>
    <t xml:space="preserve">            2.133,32</t>
  </si>
  <si>
    <t xml:space="preserve">                3,68</t>
  </si>
  <si>
    <t xml:space="preserve">          190.971,00</t>
  </si>
  <si>
    <t xml:space="preserve">          171.840,77</t>
  </si>
  <si>
    <t xml:space="preserve">           19.130,23</t>
  </si>
  <si>
    <t xml:space="preserve">           57.000,00</t>
  </si>
  <si>
    <t xml:space="preserve">           41.443,29</t>
  </si>
  <si>
    <t xml:space="preserve">           15.556,71</t>
  </si>
  <si>
    <t xml:space="preserve">           54.000,00</t>
  </si>
  <si>
    <t xml:space="preserve">           38.598,99</t>
  </si>
  <si>
    <t xml:space="preserve">           15.401,01</t>
  </si>
  <si>
    <t xml:space="preserve">            2.844,30</t>
  </si>
  <si>
    <t xml:space="preserve">              155,70</t>
  </si>
  <si>
    <t xml:space="preserve">        1.236.000,00</t>
  </si>
  <si>
    <t xml:space="preserve">        1.197.407,01</t>
  </si>
  <si>
    <t xml:space="preserve">           38.592,99</t>
  </si>
  <si>
    <t xml:space="preserve">           22.831,78</t>
  </si>
  <si>
    <t xml:space="preserve">           28.550,00</t>
  </si>
  <si>
    <t xml:space="preserve">           26.975,70</t>
  </si>
  <si>
    <t xml:space="preserve">            1.574,30</t>
  </si>
  <si>
    <t xml:space="preserve">            9.404,07</t>
  </si>
  <si>
    <t xml:space="preserve">           48.110,00</t>
  </si>
  <si>
    <t xml:space="preserve">           47.451,08</t>
  </si>
  <si>
    <t xml:space="preserve">              658,92</t>
  </si>
  <si>
    <t xml:space="preserve">           39.582,02</t>
  </si>
  <si>
    <t xml:space="preserve">           48.800,00</t>
  </si>
  <si>
    <t xml:space="preserve">           45.807,04</t>
  </si>
  <si>
    <t xml:space="preserve">            2.992,96</t>
  </si>
  <si>
    <t xml:space="preserve">           20.120,00</t>
  </si>
  <si>
    <t xml:space="preserve">           19.692,59</t>
  </si>
  <si>
    <t xml:space="preserve">              427,41</t>
  </si>
  <si>
    <t xml:space="preserve">           16.780,92</t>
  </si>
  <si>
    <t xml:space="preserve">           16.348,64</t>
  </si>
  <si>
    <t xml:space="preserve">              432,28</t>
  </si>
  <si>
    <t xml:space="preserve">           34.010,00</t>
  </si>
  <si>
    <t xml:space="preserve">           32.885,24</t>
  </si>
  <si>
    <t xml:space="preserve">            1.124,76</t>
  </si>
  <si>
    <t xml:space="preserve">           38.250,00</t>
  </si>
  <si>
    <t xml:space="preserve">           37.094,19</t>
  </si>
  <si>
    <t xml:space="preserve">            1.155,81</t>
  </si>
  <si>
    <t xml:space="preserve">            6.402,17</t>
  </si>
  <si>
    <t xml:space="preserve">            6.225,26</t>
  </si>
  <si>
    <t xml:space="preserve">              176,91</t>
  </si>
  <si>
    <t xml:space="preserve">           17.769,81</t>
  </si>
  <si>
    <t xml:space="preserve">           17.438,54</t>
  </si>
  <si>
    <t xml:space="preserve">              331,27</t>
  </si>
  <si>
    <t xml:space="preserve">            5.044,79</t>
  </si>
  <si>
    <t xml:space="preserve">           43.350,25</t>
  </si>
  <si>
    <t xml:space="preserve">           29.795,63</t>
  </si>
  <si>
    <t xml:space="preserve">           49.550,00</t>
  </si>
  <si>
    <t xml:space="preserve">           48.357,66</t>
  </si>
  <si>
    <t xml:space="preserve">            1.192,34</t>
  </si>
  <si>
    <t xml:space="preserve">           38.500,00</t>
  </si>
  <si>
    <t xml:space="preserve">           36.697,05</t>
  </si>
  <si>
    <t xml:space="preserve">            1.802,95</t>
  </si>
  <si>
    <t xml:space="preserve">           21.343,75</t>
  </si>
  <si>
    <t xml:space="preserve">           20.147,48</t>
  </si>
  <si>
    <t xml:space="preserve">            1.196,27</t>
  </si>
  <si>
    <t xml:space="preserve">            7.990,47</t>
  </si>
  <si>
    <t xml:space="preserve">           18.710,00</t>
  </si>
  <si>
    <t xml:space="preserve">           18.241,92</t>
  </si>
  <si>
    <t xml:space="preserve">              468,08</t>
  </si>
  <si>
    <t xml:space="preserve">           28.976,09</t>
  </si>
  <si>
    <t xml:space="preserve">           28.405,23</t>
  </si>
  <si>
    <t xml:space="preserve">              570,86</t>
  </si>
  <si>
    <t xml:space="preserve">           17.050,00</t>
  </si>
  <si>
    <t xml:space="preserve">           16.581,80</t>
  </si>
  <si>
    <t xml:space="preserve">              468,20</t>
  </si>
  <si>
    <t xml:space="preserve">           14.128,27</t>
  </si>
  <si>
    <t xml:space="preserve">           14.005,33</t>
  </si>
  <si>
    <t xml:space="preserve">              122,94</t>
  </si>
  <si>
    <t xml:space="preserve">           48.500,00</t>
  </si>
  <si>
    <t xml:space="preserve">           46.486,61</t>
  </si>
  <si>
    <t xml:space="preserve">            2.013,39</t>
  </si>
  <si>
    <t xml:space="preserve">           14.706,35</t>
  </si>
  <si>
    <t xml:space="preserve">           52.210,00</t>
  </si>
  <si>
    <t xml:space="preserve">           51.913,52</t>
  </si>
  <si>
    <t xml:space="preserve">              296,48</t>
  </si>
  <si>
    <t xml:space="preserve">           46.800,00</t>
  </si>
  <si>
    <t xml:space="preserve">           44.859,28</t>
  </si>
  <si>
    <t xml:space="preserve">            1.940,72</t>
  </si>
  <si>
    <t xml:space="preserve">           48.776,39</t>
  </si>
  <si>
    <t xml:space="preserve">            1.223,61</t>
  </si>
  <si>
    <t xml:space="preserve">           13.585,73</t>
  </si>
  <si>
    <t xml:space="preserve">           13.413,41</t>
  </si>
  <si>
    <t xml:space="preserve">              172,32</t>
  </si>
  <si>
    <t xml:space="preserve">           38.513,61</t>
  </si>
  <si>
    <t xml:space="preserve">           36.941,80</t>
  </si>
  <si>
    <t xml:space="preserve">            1.571,81</t>
  </si>
  <si>
    <t xml:space="preserve">           36.800,00</t>
  </si>
  <si>
    <t xml:space="preserve">           35.508,80</t>
  </si>
  <si>
    <t xml:space="preserve">            1.291,20</t>
  </si>
  <si>
    <t xml:space="preserve">           60.612,92</t>
  </si>
  <si>
    <t xml:space="preserve">           60.575,67</t>
  </si>
  <si>
    <t xml:space="preserve">               37,25</t>
  </si>
  <si>
    <t xml:space="preserve">           42.500,00</t>
  </si>
  <si>
    <t xml:space="preserve">           40.422,12</t>
  </si>
  <si>
    <t xml:space="preserve">            2.077,88</t>
  </si>
  <si>
    <t xml:space="preserve">           39.920,63</t>
  </si>
  <si>
    <t xml:space="preserve">           39.917,39</t>
  </si>
  <si>
    <t xml:space="preserve">                3,24</t>
  </si>
  <si>
    <t xml:space="preserve">            6.961,31</t>
  </si>
  <si>
    <t xml:space="preserve">           16.348,50</t>
  </si>
  <si>
    <t xml:space="preserve">           10.350,66</t>
  </si>
  <si>
    <t xml:space="preserve">            4.642,03</t>
  </si>
  <si>
    <t xml:space="preserve">              357,97</t>
  </si>
  <si>
    <t xml:space="preserve">            9.837,25</t>
  </si>
  <si>
    <t xml:space="preserve">            9.522,29</t>
  </si>
  <si>
    <t xml:space="preserve">              314,96</t>
  </si>
  <si>
    <t xml:space="preserve">            8.230,11</t>
  </si>
  <si>
    <t xml:space="preserve">            8.197,24</t>
  </si>
  <si>
    <t xml:space="preserve">               32,87</t>
  </si>
  <si>
    <t xml:space="preserve">            5.439,86</t>
  </si>
  <si>
    <t xml:space="preserve">            5.326,48</t>
  </si>
  <si>
    <t xml:space="preserve">              113,38</t>
  </si>
  <si>
    <t xml:space="preserve">           12.050,00</t>
  </si>
  <si>
    <t xml:space="preserve">           11.524,92</t>
  </si>
  <si>
    <t xml:space="preserve">              525,08</t>
  </si>
  <si>
    <t xml:space="preserve">           15.020,00</t>
  </si>
  <si>
    <t xml:space="preserve">           14.361,24</t>
  </si>
  <si>
    <t xml:space="preserve">              658,76</t>
  </si>
  <si>
    <t xml:space="preserve">            6.847,41</t>
  </si>
  <si>
    <t xml:space="preserve">            9.350,13</t>
  </si>
  <si>
    <t xml:space="preserve">           12.900,00</t>
  </si>
  <si>
    <t xml:space="preserve">           12.315,35</t>
  </si>
  <si>
    <t xml:space="preserve">              584,65</t>
  </si>
  <si>
    <t xml:space="preserve">           17.616,62</t>
  </si>
  <si>
    <t xml:space="preserve">           17.009,60</t>
  </si>
  <si>
    <t xml:space="preserve">              607,02</t>
  </si>
  <si>
    <t xml:space="preserve">           10.900,00</t>
  </si>
  <si>
    <t xml:space="preserve">           10.080,74</t>
  </si>
  <si>
    <t xml:space="preserve">              819,26</t>
  </si>
  <si>
    <t xml:space="preserve">            8.044,56</t>
  </si>
  <si>
    <t xml:space="preserve">            7.845,14</t>
  </si>
  <si>
    <t xml:space="preserve">              199,42</t>
  </si>
  <si>
    <t xml:space="preserve">           14.745,00</t>
  </si>
  <si>
    <t xml:space="preserve">           14.731,86</t>
  </si>
  <si>
    <t xml:space="preserve">               13,14</t>
  </si>
  <si>
    <t xml:space="preserve">           14.175,17</t>
  </si>
  <si>
    <t xml:space="preserve">            8.117,01</t>
  </si>
  <si>
    <t xml:space="preserve">            6.058,16</t>
  </si>
  <si>
    <t xml:space="preserve">          371.996,00</t>
  </si>
  <si>
    <t xml:space="preserve">          309.585,36</t>
  </si>
  <si>
    <t xml:space="preserve">           26.200,00</t>
  </si>
  <si>
    <t xml:space="preserve">           16.689,49</t>
  </si>
  <si>
    <t xml:space="preserve">            9.510,51</t>
  </si>
  <si>
    <t xml:space="preserve">           24.130,00</t>
  </si>
  <si>
    <t xml:space="preserve">           14.976,66</t>
  </si>
  <si>
    <t xml:space="preserve">            9.153,34</t>
  </si>
  <si>
    <t xml:space="preserve">            2.070,00</t>
  </si>
  <si>
    <t xml:space="preserve">            1.712,83</t>
  </si>
  <si>
    <t xml:space="preserve">              357,17</t>
  </si>
  <si>
    <t xml:space="preserve">           63.970,76</t>
  </si>
  <si>
    <t xml:space="preserve">           11.029,24</t>
  </si>
  <si>
    <t xml:space="preserve">           19.090,00</t>
  </si>
  <si>
    <t xml:space="preserve">           16.925,76</t>
  </si>
  <si>
    <t xml:space="preserve">            2.164,24</t>
  </si>
  <si>
    <t xml:space="preserve">           20.100,00</t>
  </si>
  <si>
    <t xml:space="preserve">           17.503,84</t>
  </si>
  <si>
    <t xml:space="preserve">            2.596,16</t>
  </si>
  <si>
    <t xml:space="preserve">           23.210,00</t>
  </si>
  <si>
    <t xml:space="preserve">           20.885,63</t>
  </si>
  <si>
    <t xml:space="preserve">            2.324,37</t>
  </si>
  <si>
    <t xml:space="preserve">           12.600,00</t>
  </si>
  <si>
    <t xml:space="preserve">            8.655,53</t>
  </si>
  <si>
    <t xml:space="preserve">            3.944,47</t>
  </si>
  <si>
    <t xml:space="preserve">          375.719,00</t>
  </si>
  <si>
    <t xml:space="preserve">          229.302,78</t>
  </si>
  <si>
    <t xml:space="preserve">          146.416,22</t>
  </si>
  <si>
    <t xml:space="preserve">          360.719,00</t>
  </si>
  <si>
    <t xml:space="preserve">          227.752,00</t>
  </si>
  <si>
    <t xml:space="preserve">          132.967,00</t>
  </si>
  <si>
    <t xml:space="preserve">            1.550,78</t>
  </si>
  <si>
    <t xml:space="preserve">           13.449,22</t>
  </si>
  <si>
    <t xml:space="preserve">          372.800,47</t>
  </si>
  <si>
    <t xml:space="preserve">          271.197,74</t>
  </si>
  <si>
    <t xml:space="preserve">          101.602,73</t>
  </si>
  <si>
    <t xml:space="preserve">          367.300,00</t>
  </si>
  <si>
    <t xml:space="preserve">           96.102,26</t>
  </si>
  <si>
    <t xml:space="preserve">           89.850,00</t>
  </si>
  <si>
    <t xml:space="preserve">           59.684,78</t>
  </si>
  <si>
    <t xml:space="preserve">           30.165,22</t>
  </si>
  <si>
    <t xml:space="preserve">           88.900,00</t>
  </si>
  <si>
    <t xml:space="preserve">           29.215,22</t>
  </si>
  <si>
    <t xml:space="preserve">              950,00</t>
  </si>
  <si>
    <t xml:space="preserve">           56.107,64</t>
  </si>
  <si>
    <t xml:space="preserve">           18.892,36</t>
  </si>
  <si>
    <t xml:space="preserve">           13.795,64</t>
  </si>
  <si>
    <t xml:space="preserve">              204,36</t>
  </si>
  <si>
    <t xml:space="preserve">           38.000,00</t>
  </si>
  <si>
    <t xml:space="preserve">           28.587,10</t>
  </si>
  <si>
    <t xml:space="preserve">            9.412,90</t>
  </si>
  <si>
    <t xml:space="preserve">           13.724,90</t>
  </si>
  <si>
    <t xml:space="preserve">            9.275,10</t>
  </si>
  <si>
    <t xml:space="preserve">        1.675.630,00</t>
  </si>
  <si>
    <t xml:space="preserve">        1.150.013,08</t>
  </si>
  <si>
    <t xml:space="preserve">          525.616,92</t>
  </si>
  <si>
    <t xml:space="preserve">          200.500,00</t>
  </si>
  <si>
    <t xml:space="preserve">          142.412,51</t>
  </si>
  <si>
    <t xml:space="preserve">           58.087,49</t>
  </si>
  <si>
    <t xml:space="preserve">        1.273.000,00</t>
  </si>
  <si>
    <t xml:space="preserve">        1.004.379,48</t>
  </si>
  <si>
    <t xml:space="preserve">          268.620,52</t>
  </si>
  <si>
    <t xml:space="preserve">            3.221,09</t>
  </si>
  <si>
    <t xml:space="preserve">            1.778,91</t>
  </si>
  <si>
    <t xml:space="preserve">          140.000,00</t>
  </si>
  <si>
    <t xml:space="preserve">          115.485,41</t>
  </si>
  <si>
    <t xml:space="preserve">           24.514,59</t>
  </si>
  <si>
    <t xml:space="preserve">          385.700,00</t>
  </si>
  <si>
    <t xml:space="preserve">          299.870,86</t>
  </si>
  <si>
    <t xml:space="preserve">           85.829,14</t>
  </si>
  <si>
    <t xml:space="preserve">          272.000,00</t>
  </si>
  <si>
    <t xml:space="preserve">          228.890,95</t>
  </si>
  <si>
    <t xml:space="preserve">           43.109,05</t>
  </si>
  <si>
    <t xml:space="preserve">            3.500,00</t>
  </si>
  <si>
    <t xml:space="preserve">          104.600,00</t>
  </si>
  <si>
    <t xml:space="preserve">           68.481,29</t>
  </si>
  <si>
    <t xml:space="preserve">           36.118,71</t>
  </si>
  <si>
    <t xml:space="preserve">            5.600,00</t>
  </si>
  <si>
    <t xml:space="preserve">            2.498,62</t>
  </si>
  <si>
    <t xml:space="preserve">            3.101,38</t>
  </si>
  <si>
    <t xml:space="preserve">           11.500,00</t>
  </si>
  <si>
    <t xml:space="preserve">           11.299,26</t>
  </si>
  <si>
    <t xml:space="preserve">              200,74</t>
  </si>
  <si>
    <t xml:space="preserve">              904,24</t>
  </si>
  <si>
    <t xml:space="preserve">              902,76</t>
  </si>
  <si>
    <t xml:space="preserve">                1,48</t>
  </si>
  <si>
    <t xml:space="preserve">           10.595,76</t>
  </si>
  <si>
    <t xml:space="preserve">           10.396,50</t>
  </si>
  <si>
    <t xml:space="preserve">              199,26</t>
  </si>
  <si>
    <t xml:space="preserve">           67.500,00</t>
  </si>
  <si>
    <t xml:space="preserve">           54.663,08</t>
  </si>
  <si>
    <t xml:space="preserve">           12.836,92</t>
  </si>
  <si>
    <t xml:space="preserve">           40.332,00</t>
  </si>
  <si>
    <t xml:space="preserve">           33.796,50</t>
  </si>
  <si>
    <t xml:space="preserve">            6.535,50</t>
  </si>
  <si>
    <t xml:space="preserve">           13.766,00</t>
  </si>
  <si>
    <t xml:space="preserve">            7.465,25</t>
  </si>
  <si>
    <t xml:space="preserve">            6.300,75</t>
  </si>
  <si>
    <t xml:space="preserve">           13.402,00</t>
  </si>
  <si>
    <t xml:space="preserve">           13.401,33</t>
  </si>
  <si>
    <t xml:space="preserve">                0,67</t>
  </si>
  <si>
    <t xml:space="preserve">           85.000,00</t>
  </si>
  <si>
    <t xml:space="preserve">           69.845,59</t>
  </si>
  <si>
    <t xml:space="preserve">           15.154,41</t>
  </si>
  <si>
    <t xml:space="preserve">           11.000,00</t>
  </si>
  <si>
    <t xml:space="preserve">            8.430,26</t>
  </si>
  <si>
    <t xml:space="preserve">            2.569,74</t>
  </si>
  <si>
    <t xml:space="preserve">           43.000,00</t>
  </si>
  <si>
    <t xml:space="preserve">           36.125,30</t>
  </si>
  <si>
    <t xml:space="preserve">            6.874,70</t>
  </si>
  <si>
    <t xml:space="preserve">           25.290,03</t>
  </si>
  <si>
    <t xml:space="preserve">            5.709,97</t>
  </si>
  <si>
    <t xml:space="preserve">           96.300,00</t>
  </si>
  <si>
    <t xml:space="preserve">           86.339,36</t>
  </si>
  <si>
    <t xml:space="preserve">            9.960,64</t>
  </si>
  <si>
    <t xml:space="preserve">           64.950,02</t>
  </si>
  <si>
    <t xml:space="preserve">           36.300,00</t>
  </si>
  <si>
    <t xml:space="preserve">           21.389,34</t>
  </si>
  <si>
    <t xml:space="preserve">           14.910,66</t>
  </si>
  <si>
    <t xml:space="preserve">          844.223,15</t>
  </si>
  <si>
    <t xml:space="preserve">          741.114,70</t>
  </si>
  <si>
    <t xml:space="preserve">          103.108,45</t>
  </si>
  <si>
    <t xml:space="preserve">            9.432,93</t>
  </si>
  <si>
    <t xml:space="preserve">          754.790,22</t>
  </si>
  <si>
    <t xml:space="preserve">          667.466,41</t>
  </si>
  <si>
    <t xml:space="preserve">           87.323,81</t>
  </si>
  <si>
    <t xml:space="preserve">           73.648,29</t>
  </si>
  <si>
    <t xml:space="preserve">            6.351,71</t>
  </si>
  <si>
    <t xml:space="preserve">           15.600,00</t>
  </si>
  <si>
    <t xml:space="preserve">           15.107,22</t>
  </si>
  <si>
    <t xml:space="preserve">              492,78</t>
  </si>
  <si>
    <t xml:space="preserve">           15.250,00</t>
  </si>
  <si>
    <t xml:space="preserve">              142,78</t>
  </si>
  <si>
    <t xml:space="preserve">              350,00</t>
  </si>
  <si>
    <t xml:space="preserve">          427.820,44</t>
  </si>
  <si>
    <t xml:space="preserve">          313.021,71</t>
  </si>
  <si>
    <t xml:space="preserve">          114.798,73</t>
  </si>
  <si>
    <t xml:space="preserve">           36.126,84</t>
  </si>
  <si>
    <t xml:space="preserve">           25.583,81</t>
  </si>
  <si>
    <t xml:space="preserve">           10.543,03</t>
  </si>
  <si>
    <t xml:space="preserve">          248.622,56</t>
  </si>
  <si>
    <t xml:space="preserve">          167.289,56</t>
  </si>
  <si>
    <t xml:space="preserve">           81.333,00</t>
  </si>
  <si>
    <t xml:space="preserve">           58.870,90</t>
  </si>
  <si>
    <t xml:space="preserve">           50.371,05</t>
  </si>
  <si>
    <t xml:space="preserve">            8.499,85</t>
  </si>
  <si>
    <t xml:space="preserve">            7.306,75</t>
  </si>
  <si>
    <t xml:space="preserve">            7.189,12</t>
  </si>
  <si>
    <t xml:space="preserve">              117,63</t>
  </si>
  <si>
    <t xml:space="preserve">           21.223,35</t>
  </si>
  <si>
    <t xml:space="preserve">           15.240,20</t>
  </si>
  <si>
    <t xml:space="preserve">            5.983,15</t>
  </si>
  <si>
    <t xml:space="preserve">           55.670,04</t>
  </si>
  <si>
    <t xml:space="preserve">           47.347,97</t>
  </si>
  <si>
    <t xml:space="preserve">            8.322,07</t>
  </si>
  <si>
    <t xml:space="preserve">          616.409,79</t>
  </si>
  <si>
    <t xml:space="preserve">          567.110,00</t>
  </si>
  <si>
    <t xml:space="preserve">           49.299,79</t>
  </si>
  <si>
    <t xml:space="preserve">           15.263,16</t>
  </si>
  <si>
    <t xml:space="preserve">           14.366,85</t>
  </si>
  <si>
    <t xml:space="preserve">              896,31</t>
  </si>
  <si>
    <t xml:space="preserve">           86.083,42</t>
  </si>
  <si>
    <t xml:space="preserve">           67.142,29</t>
  </si>
  <si>
    <t xml:space="preserve">           18.941,13</t>
  </si>
  <si>
    <t xml:space="preserve">           24.000,00</t>
  </si>
  <si>
    <t xml:space="preserve">           21.875,01</t>
  </si>
  <si>
    <t xml:space="preserve">            2.124,99</t>
  </si>
  <si>
    <t xml:space="preserve">           83.529,00</t>
  </si>
  <si>
    <t xml:space="preserve">           83.233,48</t>
  </si>
  <si>
    <t xml:space="preserve">              295,52</t>
  </si>
  <si>
    <t xml:space="preserve">          286.836,84</t>
  </si>
  <si>
    <t xml:space="preserve">          275.115,56</t>
  </si>
  <si>
    <t xml:space="preserve">           11.721,28</t>
  </si>
  <si>
    <t xml:space="preserve">           17.368,42</t>
  </si>
  <si>
    <t xml:space="preserve">           15.345,97</t>
  </si>
  <si>
    <t xml:space="preserve">            2.022,45</t>
  </si>
  <si>
    <t xml:space="preserve">           38.750,00</t>
  </si>
  <si>
    <t xml:space="preserve">           32.523,67</t>
  </si>
  <si>
    <t xml:space="preserve">            6.226,33</t>
  </si>
  <si>
    <t xml:space="preserve">           11.240,31</t>
  </si>
  <si>
    <t xml:space="preserve">              759,69</t>
  </si>
  <si>
    <t xml:space="preserve">           32.578,95</t>
  </si>
  <si>
    <t xml:space="preserve">           31.267,70</t>
  </si>
  <si>
    <t xml:space="preserve">            1.311,25</t>
  </si>
  <si>
    <t xml:space="preserve">           14.999,16</t>
  </si>
  <si>
    <t xml:space="preserve">            5.000,84</t>
  </si>
  <si>
    <t xml:space="preserve">           67.000,00</t>
  </si>
  <si>
    <t xml:space="preserve">           20.149,59</t>
  </si>
  <si>
    <t xml:space="preserve">           46.850,41</t>
  </si>
  <si>
    <t xml:space="preserve">           90.500,00</t>
  </si>
  <si>
    <t xml:space="preserve">           27.000,00</t>
  </si>
  <si>
    <t xml:space="preserve">            9.450,00</t>
  </si>
  <si>
    <t xml:space="preserve">            4.550,00</t>
  </si>
  <si>
    <t xml:space="preserve">           22.100,00</t>
  </si>
  <si>
    <t xml:space="preserve">            3.800,00</t>
  </si>
  <si>
    <t xml:space="preserve">          157.200,00</t>
  </si>
  <si>
    <t xml:space="preserve">          132.870,40</t>
  </si>
  <si>
    <t xml:space="preserve">           24.329,60</t>
  </si>
  <si>
    <t xml:space="preserve">          145.200,00</t>
  </si>
  <si>
    <t xml:space="preserve">          124.270,86</t>
  </si>
  <si>
    <t xml:space="preserve">           20.929,14</t>
  </si>
  <si>
    <t xml:space="preserve">            8.599,54</t>
  </si>
  <si>
    <t xml:space="preserve">            3.400,46</t>
  </si>
  <si>
    <t xml:space="preserve">          307.040,00</t>
  </si>
  <si>
    <t xml:space="preserve">          306.291,59</t>
  </si>
  <si>
    <t xml:space="preserve">              748,41</t>
  </si>
  <si>
    <t xml:space="preserve">          242.654,65</t>
  </si>
  <si>
    <t xml:space="preserve">           64.385,35</t>
  </si>
  <si>
    <t xml:space="preserve">           63.636,94</t>
  </si>
  <si>
    <t xml:space="preserve">           79.000,00</t>
  </si>
  <si>
    <t xml:space="preserve">           40.696,59</t>
  </si>
  <si>
    <t xml:space="preserve">           38.303,41</t>
  </si>
  <si>
    <t xml:space="preserve">           21.411,11</t>
  </si>
  <si>
    <t xml:space="preserve">            3.588,89</t>
  </si>
  <si>
    <t xml:space="preserve">            6.722,96</t>
  </si>
  <si>
    <t xml:space="preserve">            9.277,04</t>
  </si>
  <si>
    <t xml:space="preserve">            2.989,47</t>
  </si>
  <si>
    <t xml:space="preserve">            5.010,53</t>
  </si>
  <si>
    <t xml:space="preserve">            1.613,53</t>
  </si>
  <si>
    <t xml:space="preserve">           13.386,47</t>
  </si>
  <si>
    <t xml:space="preserve">            7.959,52</t>
  </si>
  <si>
    <t xml:space="preserve">            2.040,48</t>
  </si>
  <si>
    <t xml:space="preserve">          298.962,00</t>
  </si>
  <si>
    <t xml:space="preserve">          179.694,66</t>
  </si>
  <si>
    <t xml:space="preserve">          119.267,34</t>
  </si>
  <si>
    <t xml:space="preserve">          149.090,95</t>
  </si>
  <si>
    <t xml:space="preserve">            7.411,12</t>
  </si>
  <si>
    <t xml:space="preserve">           15.346,26</t>
  </si>
  <si>
    <t xml:space="preserve">            6.701,03</t>
  </si>
  <si>
    <t xml:space="preserve">            1.145,30</t>
  </si>
  <si>
    <t xml:space="preserve">          180.019,50</t>
  </si>
  <si>
    <t xml:space="preserve">          151.330,89</t>
  </si>
  <si>
    <t xml:space="preserve">           28.688,61</t>
  </si>
  <si>
    <t xml:space="preserve">          117.453,06</t>
  </si>
  <si>
    <t xml:space="preserve">          113.973,69</t>
  </si>
  <si>
    <t xml:space="preserve">            3.479,37</t>
  </si>
  <si>
    <t xml:space="preserve">           61.237,50</t>
  </si>
  <si>
    <t xml:space="preserve">           36.689,80</t>
  </si>
  <si>
    <t xml:space="preserve">           24.547,70</t>
  </si>
  <si>
    <t xml:space="preserve">            1.327,94</t>
  </si>
  <si>
    <t xml:space="preserve">              667,40</t>
  </si>
  <si>
    <t xml:space="preserve">              660,54</t>
  </si>
  <si>
    <t xml:space="preserve">          445.883,00</t>
  </si>
  <si>
    <t xml:space="preserve">          395.051,02</t>
  </si>
  <si>
    <t xml:space="preserve">           50.831,98</t>
  </si>
  <si>
    <t xml:space="preserve">          101.652,15</t>
  </si>
  <si>
    <t xml:space="preserve">           79.205,36</t>
  </si>
  <si>
    <t xml:space="preserve">           42.899,88</t>
  </si>
  <si>
    <t xml:space="preserve">           36.305,48</t>
  </si>
  <si>
    <t xml:space="preserve">           45.181,07</t>
  </si>
  <si>
    <t xml:space="preserve">           44.051,60</t>
  </si>
  <si>
    <t xml:space="preserve">            1.129,47</t>
  </si>
  <si>
    <t xml:space="preserve">          136.512,60</t>
  </si>
  <si>
    <t xml:space="preserve">          135.547,66</t>
  </si>
  <si>
    <t xml:space="preserve">              964,94</t>
  </si>
  <si>
    <t xml:space="preserve">           58.605,21</t>
  </si>
  <si>
    <t xml:space="preserve">           57.818,65</t>
  </si>
  <si>
    <t xml:space="preserve">              786,56</t>
  </si>
  <si>
    <t xml:space="preserve">           23.751,12</t>
  </si>
  <si>
    <t xml:space="preserve">           12.105,59</t>
  </si>
  <si>
    <t xml:space="preserve">           11.645,53</t>
  </si>
  <si>
    <t xml:space="preserve">              975,49</t>
  </si>
  <si>
    <t xml:space="preserve">          132.400,00</t>
  </si>
  <si>
    <t xml:space="preserve">        1.490.000,00</t>
  </si>
  <si>
    <t xml:space="preserve">        1.350.952,08</t>
  </si>
  <si>
    <t xml:space="preserve">          139.047,92</t>
  </si>
  <si>
    <t xml:space="preserve">          576.000,00</t>
  </si>
  <si>
    <t xml:space="preserve">          562.265,46</t>
  </si>
  <si>
    <t xml:space="preserve">           13.734,54</t>
  </si>
  <si>
    <t xml:space="preserve">          460.000,00</t>
  </si>
  <si>
    <t xml:space="preserve">          419.441,79</t>
  </si>
  <si>
    <t xml:space="preserve">           40.558,21</t>
  </si>
  <si>
    <t xml:space="preserve">          134.444,35</t>
  </si>
  <si>
    <t xml:space="preserve">           10.555,65</t>
  </si>
  <si>
    <t xml:space="preserve">          159.000,00</t>
  </si>
  <si>
    <t xml:space="preserve">          117.804,74</t>
  </si>
  <si>
    <t xml:space="preserve">           41.195,26</t>
  </si>
  <si>
    <t xml:space="preserve">          150.000,00</t>
  </si>
  <si>
    <t xml:space="preserve">          116.995,74</t>
  </si>
  <si>
    <t xml:space="preserve">           33.004,26</t>
  </si>
  <si>
    <t xml:space="preserve">           10.990,00</t>
  </si>
  <si>
    <t xml:space="preserve">            9.471,85</t>
  </si>
  <si>
    <t xml:space="preserve">            1.518,15</t>
  </si>
  <si>
    <t xml:space="preserve">           46.003,00</t>
  </si>
  <si>
    <t xml:space="preserve">           42.414,75</t>
  </si>
  <si>
    <t xml:space="preserve">            3.588,25</t>
  </si>
  <si>
    <t xml:space="preserve">           26.297,20</t>
  </si>
  <si>
    <t xml:space="preserve">           19.705,80</t>
  </si>
  <si>
    <t xml:space="preserve">           16.117,55</t>
  </si>
  <si>
    <t xml:space="preserve">        1.431.340,00</t>
  </si>
  <si>
    <t xml:space="preserve">        1.385.290,87</t>
  </si>
  <si>
    <t xml:space="preserve">           46.049,13</t>
  </si>
  <si>
    <t xml:space="preserve">        1.182.840,00</t>
  </si>
  <si>
    <t xml:space="preserve">        1.178.065,75</t>
  </si>
  <si>
    <t xml:space="preserve">            4.774,25</t>
  </si>
  <si>
    <t xml:space="preserve">          136.400,00</t>
  </si>
  <si>
    <t xml:space="preserve">          126.208,12</t>
  </si>
  <si>
    <t xml:space="preserve">           10.191,88</t>
  </si>
  <si>
    <t xml:space="preserve">           39.100,00</t>
  </si>
  <si>
    <t xml:space="preserve">           37.365,08</t>
  </si>
  <si>
    <t xml:space="preserve">            1.734,92</t>
  </si>
  <si>
    <t xml:space="preserve">           65.000,00</t>
  </si>
  <si>
    <t xml:space="preserve">           36.724,50</t>
  </si>
  <si>
    <t xml:space="preserve">           28.275,50</t>
  </si>
  <si>
    <t xml:space="preserve">            6.927,42</t>
  </si>
  <si>
    <t xml:space="preserve">            1.072,58</t>
  </si>
  <si>
    <t xml:space="preserve">           72.100,00</t>
  </si>
  <si>
    <t xml:space="preserve">           65.506,29</t>
  </si>
  <si>
    <t xml:space="preserve">            6.593,71</t>
  </si>
  <si>
    <t xml:space="preserve">            3.100,00</t>
  </si>
  <si>
    <t xml:space="preserve">            2.624,20</t>
  </si>
  <si>
    <t xml:space="preserve">              475,80</t>
  </si>
  <si>
    <t xml:space="preserve">           18.097,11</t>
  </si>
  <si>
    <t xml:space="preserve">            1.802,89</t>
  </si>
  <si>
    <t xml:space="preserve">           28.500,00</t>
  </si>
  <si>
    <t xml:space="preserve">           26.355,81</t>
  </si>
  <si>
    <t xml:space="preserve">            2.144,19</t>
  </si>
  <si>
    <t xml:space="preserve">           16.400,00</t>
  </si>
  <si>
    <t xml:space="preserve">           15.438,93</t>
  </si>
  <si>
    <t xml:space="preserve">              961,07</t>
  </si>
  <si>
    <t xml:space="preserve">            4.200,00</t>
  </si>
  <si>
    <t xml:space="preserve">            2.990,24</t>
  </si>
  <si>
    <t xml:space="preserve">            1.209,76</t>
  </si>
  <si>
    <t xml:space="preserve">          131.600,00</t>
  </si>
  <si>
    <t xml:space="preserve">          130.223,26</t>
  </si>
  <si>
    <t xml:space="preserve">            1.376,74</t>
  </si>
  <si>
    <t xml:space="preserve">           95.635,46</t>
  </si>
  <si>
    <t xml:space="preserve">           95.634,96</t>
  </si>
  <si>
    <t xml:space="preserve">                0,50</t>
  </si>
  <si>
    <t xml:space="preserve">            5.368,12</t>
  </si>
  <si>
    <t xml:space="preserve">           24.919,14</t>
  </si>
  <si>
    <t xml:space="preserve">           23.724,67</t>
  </si>
  <si>
    <t xml:space="preserve">            1.194,47</t>
  </si>
  <si>
    <t xml:space="preserve">            3.777,40</t>
  </si>
  <si>
    <t xml:space="preserve">            3.595,63</t>
  </si>
  <si>
    <t xml:space="preserve">              181,77</t>
  </si>
  <si>
    <t xml:space="preserve">            1.899,88</t>
  </si>
  <si>
    <t xml:space="preserve">          560.500,00</t>
  </si>
  <si>
    <t xml:space="preserve">          525.427,05</t>
  </si>
  <si>
    <t xml:space="preserve">           35.072,95</t>
  </si>
  <si>
    <t xml:space="preserve">          353.000,00</t>
  </si>
  <si>
    <t xml:space="preserve">          347.691,10</t>
  </si>
  <si>
    <t xml:space="preserve">            5.308,90</t>
  </si>
  <si>
    <t xml:space="preserve">           10.500,00</t>
  </si>
  <si>
    <t xml:space="preserve">           10.469,99</t>
  </si>
  <si>
    <t xml:space="preserve">               30,01</t>
  </si>
  <si>
    <t xml:space="preserve">           63.000,00</t>
  </si>
  <si>
    <t xml:space="preserve">           56.837,54</t>
  </si>
  <si>
    <t xml:space="preserve">            6.162,46</t>
  </si>
  <si>
    <t xml:space="preserve">           67.211,79</t>
  </si>
  <si>
    <t xml:space="preserve">            7.788,21</t>
  </si>
  <si>
    <t xml:space="preserve">            9.680,38</t>
  </si>
  <si>
    <t xml:space="preserve">            6.319,62</t>
  </si>
  <si>
    <t xml:space="preserve">           33.536,25</t>
  </si>
  <si>
    <t xml:space="preserve">            1.463,75</t>
  </si>
  <si>
    <t xml:space="preserve">          138.869,00</t>
  </si>
  <si>
    <t xml:space="preserve">          133.282,54</t>
  </si>
  <si>
    <t xml:space="preserve">            5.586,46</t>
  </si>
  <si>
    <t xml:space="preserve">          121.121,00</t>
  </si>
  <si>
    <t xml:space="preserve">          117.143,11</t>
  </si>
  <si>
    <t xml:space="preserve">            3.977,89</t>
  </si>
  <si>
    <t xml:space="preserve">           10.145,00</t>
  </si>
  <si>
    <t xml:space="preserve">            9.700,36</t>
  </si>
  <si>
    <t xml:space="preserve">              444,64</t>
  </si>
  <si>
    <t xml:space="preserve">            7.603,00</t>
  </si>
  <si>
    <t xml:space="preserve">            6.439,07</t>
  </si>
  <si>
    <t xml:space="preserve">            1.163,93</t>
  </si>
  <si>
    <t xml:space="preserve">        1.244.503,60</t>
  </si>
  <si>
    <t xml:space="preserve">          648.574,00</t>
  </si>
  <si>
    <t xml:space="preserve">           34.000,00</t>
  </si>
  <si>
    <t xml:space="preserve">              574,51</t>
  </si>
  <si>
    <t xml:space="preserve">          109.571,28</t>
  </si>
  <si>
    <t xml:space="preserve">           10.330,34</t>
  </si>
  <si>
    <t xml:space="preserve">          119.901,62</t>
  </si>
  <si>
    <t xml:space="preserve">           25.098,38</t>
  </si>
  <si>
    <t xml:space="preserve">            4.471,69</t>
  </si>
  <si>
    <t xml:space="preserve">           71.920,15</t>
  </si>
  <si>
    <t xml:space="preserve">           42.046,39</t>
  </si>
  <si>
    <t xml:space="preserve">            1.219,25</t>
  </si>
  <si>
    <t xml:space="preserve">           43.265,64</t>
  </si>
  <si>
    <t xml:space="preserve">           21.734,36</t>
  </si>
  <si>
    <t xml:space="preserve">           10.147,05</t>
  </si>
  <si>
    <t xml:space="preserve">           74.429,60</t>
  </si>
  <si>
    <t xml:space="preserve">           85.241,84</t>
  </si>
  <si>
    <t xml:space="preserve">          120.000,00</t>
  </si>
  <si>
    <t xml:space="preserve">          100.311,56</t>
  </si>
  <si>
    <t xml:space="preserve">           19.688,44</t>
  </si>
  <si>
    <t xml:space="preserve">           81.186,06</t>
  </si>
  <si>
    <t xml:space="preserve">           11.813,94</t>
  </si>
  <si>
    <t xml:space="preserve">           13.875,00</t>
  </si>
  <si>
    <t xml:space="preserve">            9.789,57</t>
  </si>
  <si>
    <t xml:space="preserve">            4.085,43</t>
  </si>
  <si>
    <t xml:space="preserve">           13.125,00</t>
  </si>
  <si>
    <t xml:space="preserve">            9.335,93</t>
  </si>
  <si>
    <t xml:space="preserve">            3.789,07</t>
  </si>
  <si>
    <t xml:space="preserve">          225.000,00</t>
  </si>
  <si>
    <t xml:space="preserve">          197.287,94</t>
  </si>
  <si>
    <t xml:space="preserve">           27.712,06</t>
  </si>
  <si>
    <t xml:space="preserve">        1.208.957,00</t>
  </si>
  <si>
    <t xml:space="preserve">        1.080.993,47</t>
  </si>
  <si>
    <t xml:space="preserve">          127.963,53</t>
  </si>
  <si>
    <t xml:space="preserve">          955.782,00</t>
  </si>
  <si>
    <t xml:space="preserve">          328.196,28</t>
  </si>
  <si>
    <t xml:space="preserve">          627.585,72</t>
  </si>
  <si>
    <t xml:space="preserve">          861.976,00</t>
  </si>
  <si>
    <t xml:space="preserve">          317.515,85</t>
  </si>
  <si>
    <t xml:space="preserve">          544.460,15</t>
  </si>
  <si>
    <t xml:space="preserve">           63.806,00</t>
  </si>
  <si>
    <t xml:space="preserve">           10.680,43</t>
  </si>
  <si>
    <t xml:space="preserve">           53.125,57</t>
  </si>
  <si>
    <t xml:space="preserve">          864.938,00</t>
  </si>
  <si>
    <t xml:space="preserve">          282.755,99</t>
  </si>
  <si>
    <t xml:space="preserve">           13.467,09</t>
  </si>
  <si>
    <t xml:space="preserve">           11.650,20</t>
  </si>
  <si>
    <t xml:space="preserve">          307.873,28</t>
  </si>
  <si>
    <t xml:space="preserve">          557.064,72</t>
  </si>
  <si>
    <t xml:space="preserve">          707.326,00</t>
  </si>
  <si>
    <t xml:space="preserve">          235.096,88</t>
  </si>
  <si>
    <t xml:space="preserve">          472.229,12</t>
  </si>
  <si>
    <t xml:space="preserve">          127.612,00</t>
  </si>
  <si>
    <t xml:space="preserve">           47.659,11</t>
  </si>
  <si>
    <t xml:space="preserve">           72.776,40</t>
  </si>
  <si>
    <t xml:space="preserve">           54.835,60</t>
  </si>
  <si>
    <t xml:space="preserve">        1.267.050,00</t>
  </si>
  <si>
    <t xml:space="preserve">          849.154,43</t>
  </si>
  <si>
    <t xml:space="preserve">          797.531,80</t>
  </si>
  <si>
    <t xml:space="preserve">          752.972,45</t>
  </si>
  <si>
    <t xml:space="preserve">          179.358,00</t>
  </si>
  <si>
    <t xml:space="preserve">           67.021,51</t>
  </si>
  <si>
    <t xml:space="preserve">           28.822,19</t>
  </si>
  <si>
    <t xml:space="preserve">              338,01</t>
  </si>
  <si>
    <t xml:space="preserve">              338,28</t>
  </si>
  <si>
    <t xml:space="preserve">          571.448,50</t>
  </si>
  <si>
    <t xml:space="preserve">          569.785,13</t>
  </si>
  <si>
    <t xml:space="preserve">            1.663,37</t>
  </si>
  <si>
    <t xml:space="preserve">          432.202,71</t>
  </si>
  <si>
    <t xml:space="preserve">          431.084,44</t>
  </si>
  <si>
    <t xml:space="preserve">            1.118,27</t>
  </si>
  <si>
    <t xml:space="preserve">           26.001,70</t>
  </si>
  <si>
    <t xml:space="preserve">           26.001,78</t>
  </si>
  <si>
    <t xml:space="preserve">           55.324,01</t>
  </si>
  <si>
    <t xml:space="preserve">           55.324,19</t>
  </si>
  <si>
    <t xml:space="preserve">           54.666,91</t>
  </si>
  <si>
    <t xml:space="preserve">           54.121,55</t>
  </si>
  <si>
    <t xml:space="preserve">              545,36</t>
  </si>
  <si>
    <t xml:space="preserve">            3.253,17</t>
  </si>
  <si>
    <t xml:space="preserve">          850.481,70</t>
  </si>
  <si>
    <t xml:space="preserve">          149.518,30</t>
  </si>
  <si>
    <t xml:space="preserve">           48.848,81</t>
  </si>
  <si>
    <t xml:space="preserve">           47.922,45</t>
  </si>
  <si>
    <t xml:space="preserve">              926,36</t>
  </si>
  <si>
    <t xml:space="preserve">           49.888,49</t>
  </si>
  <si>
    <t xml:space="preserve">              111,51</t>
  </si>
  <si>
    <t xml:space="preserve">           43.518,74</t>
  </si>
  <si>
    <t xml:space="preserve">            6.481,26</t>
  </si>
  <si>
    <t xml:space="preserve">           49.000,00</t>
  </si>
  <si>
    <t xml:space="preserve">           40.695,72</t>
  </si>
  <si>
    <t xml:space="preserve">            8.304,28</t>
  </si>
  <si>
    <t xml:space="preserve">           49.370,00</t>
  </si>
  <si>
    <t xml:space="preserve">           49.321,40</t>
  </si>
  <si>
    <t xml:space="preserve">               48,60</t>
  </si>
  <si>
    <t xml:space="preserve">           32.776,00</t>
  </si>
  <si>
    <t xml:space="preserve">           31.087,20</t>
  </si>
  <si>
    <t xml:space="preserve">            1.688,80</t>
  </si>
  <si>
    <t xml:space="preserve">           48.000,00</t>
  </si>
  <si>
    <t xml:space="preserve">           43.455,09</t>
  </si>
  <si>
    <t xml:space="preserve">            4.544,91</t>
  </si>
  <si>
    <t xml:space="preserve">           11.335,14</t>
  </si>
  <si>
    <t xml:space="preserve">            1.664,86</t>
  </si>
  <si>
    <t xml:space="preserve">           40.400,00</t>
  </si>
  <si>
    <t xml:space="preserve">           40.398,54</t>
  </si>
  <si>
    <t xml:space="preserve">                1,46</t>
  </si>
  <si>
    <t xml:space="preserve">           38.709,00</t>
  </si>
  <si>
    <t xml:space="preserve">           36.277,09</t>
  </si>
  <si>
    <t xml:space="preserve">            2.431,91</t>
  </si>
  <si>
    <t xml:space="preserve">           12.077,00</t>
  </si>
  <si>
    <t xml:space="preserve">           12.074,52</t>
  </si>
  <si>
    <t xml:space="preserve">                2,48</t>
  </si>
  <si>
    <t xml:space="preserve">           37.831,26</t>
  </si>
  <si>
    <t xml:space="preserve">            7.168,74</t>
  </si>
  <si>
    <t xml:space="preserve">           49.209,00</t>
  </si>
  <si>
    <t xml:space="preserve">           45.710,29</t>
  </si>
  <si>
    <t xml:space="preserve">            3.498,71</t>
  </si>
  <si>
    <t xml:space="preserve">           46.298,01</t>
  </si>
  <si>
    <t xml:space="preserve">            3.701,99</t>
  </si>
  <si>
    <t xml:space="preserve">            6.195,00</t>
  </si>
  <si>
    <t xml:space="preserve">            6.194,47</t>
  </si>
  <si>
    <t xml:space="preserve">                0,53</t>
  </si>
  <si>
    <t xml:space="preserve">            7.718,00</t>
  </si>
  <si>
    <t xml:space="preserve">            7.716,94</t>
  </si>
  <si>
    <t xml:space="preserve">                1,06</t>
  </si>
  <si>
    <t xml:space="preserve">            9.028,00</t>
  </si>
  <si>
    <t xml:space="preserve">            8.714,27</t>
  </si>
  <si>
    <t xml:space="preserve">              313,73</t>
  </si>
  <si>
    <t xml:space="preserve">           15.473,00</t>
  </si>
  <si>
    <t xml:space="preserve">           13.219,75</t>
  </si>
  <si>
    <t xml:space="preserve">            2.253,25</t>
  </si>
  <si>
    <t xml:space="preserve">           25.943,12</t>
  </si>
  <si>
    <t xml:space="preserve">            6.056,88</t>
  </si>
  <si>
    <t xml:space="preserve">            8.798,78</t>
  </si>
  <si>
    <t xml:space="preserve">            6.201,22</t>
  </si>
  <si>
    <t xml:space="preserve">           28.365,00</t>
  </si>
  <si>
    <t xml:space="preserve">           27.948,47</t>
  </si>
  <si>
    <t xml:space="preserve">              416,53</t>
  </si>
  <si>
    <t xml:space="preserve">           16.806,00</t>
  </si>
  <si>
    <t xml:space="preserve">           16.805,02</t>
  </si>
  <si>
    <t xml:space="preserve">                0,98</t>
  </si>
  <si>
    <t xml:space="preserve">           53.000,00</t>
  </si>
  <si>
    <t xml:space="preserve">           37.062,53</t>
  </si>
  <si>
    <t xml:space="preserve">           15.937,47</t>
  </si>
  <si>
    <t xml:space="preserve">           30.651,76</t>
  </si>
  <si>
    <t xml:space="preserve">            4.348,24</t>
  </si>
  <si>
    <t xml:space="preserve">           25.468,34</t>
  </si>
  <si>
    <t xml:space="preserve">            6.531,66</t>
  </si>
  <si>
    <t xml:space="preserve">           44.989,36</t>
  </si>
  <si>
    <t xml:space="preserve">            8.010,64</t>
  </si>
  <si>
    <t xml:space="preserve">            6.545,81</t>
  </si>
  <si>
    <t xml:space="preserve">           43.454,19</t>
  </si>
  <si>
    <t xml:space="preserve">           23.122,02</t>
  </si>
  <si>
    <t xml:space="preserve">            1.877,98</t>
  </si>
  <si>
    <t xml:space="preserve">           10.265,03</t>
  </si>
  <si>
    <t xml:space="preserve">              734,97</t>
  </si>
  <si>
    <t xml:space="preserve">           21.222,09</t>
  </si>
  <si>
    <t xml:space="preserve">            1.777,91</t>
  </si>
  <si>
    <t xml:space="preserve">          312.552,60</t>
  </si>
  <si>
    <t xml:space="preserve">          284.401,21</t>
  </si>
  <si>
    <t xml:space="preserve">           28.151,39</t>
  </si>
  <si>
    <t xml:space="preserve">           74.612,15</t>
  </si>
  <si>
    <t xml:space="preserve">           87.191,51</t>
  </si>
  <si>
    <t xml:space="preserve">           74.221,65</t>
  </si>
  <si>
    <t xml:space="preserve">           20.898,33</t>
  </si>
  <si>
    <t xml:space="preserve">           53.323,32</t>
  </si>
  <si>
    <t xml:space="preserve">           75.612,15</t>
  </si>
  <si>
    <t xml:space="preserve">           89.119,86</t>
  </si>
  <si>
    <t xml:space="preserve">          372.819,00</t>
  </si>
  <si>
    <t xml:space="preserve">          355.315,24</t>
  </si>
  <si>
    <t xml:space="preserve">           17.503,76</t>
  </si>
  <si>
    <t xml:space="preserve">          205.766,72</t>
  </si>
  <si>
    <t xml:space="preserve">          197.230,09</t>
  </si>
  <si>
    <t xml:space="preserve">            8.536,63</t>
  </si>
  <si>
    <t xml:space="preserve">           35.560,79</t>
  </si>
  <si>
    <t xml:space="preserve">           34.789,37</t>
  </si>
  <si>
    <t xml:space="preserve">              771,42</t>
  </si>
  <si>
    <t xml:space="preserve">          131.491,49</t>
  </si>
  <si>
    <t xml:space="preserve">          123.295,78</t>
  </si>
  <si>
    <t xml:space="preserve">            8.195,71</t>
  </si>
  <si>
    <t xml:space="preserve">          341.866,00</t>
  </si>
  <si>
    <t xml:space="preserve">          225.720,58</t>
  </si>
  <si>
    <t xml:space="preserve">          116.145,42</t>
  </si>
  <si>
    <t xml:space="preserve">        1.647.355,00</t>
  </si>
  <si>
    <t xml:space="preserve">        1.468.758,35</t>
  </si>
  <si>
    <t xml:space="preserve">          178.596,65</t>
  </si>
  <si>
    <t xml:space="preserve">        1.208.049,00</t>
  </si>
  <si>
    <t xml:space="preserve">        1.104.505,45</t>
  </si>
  <si>
    <t xml:space="preserve">          103.543,55</t>
  </si>
  <si>
    <t xml:space="preserve">          135.477,08</t>
  </si>
  <si>
    <t xml:space="preserve">           34.522,92</t>
  </si>
  <si>
    <t xml:space="preserve">           69.000,00</t>
  </si>
  <si>
    <t xml:space="preserve">           58.381,75</t>
  </si>
  <si>
    <t xml:space="preserve">           10.618,25</t>
  </si>
  <si>
    <t xml:space="preserve">           72.206,00</t>
  </si>
  <si>
    <t xml:space="preserve">           52.549,08</t>
  </si>
  <si>
    <t xml:space="preserve">           19.656,92</t>
  </si>
  <si>
    <t xml:space="preserve">           20.300,00</t>
  </si>
  <si>
    <t xml:space="preserve">           15.889,65</t>
  </si>
  <si>
    <t xml:space="preserve">            4.410,35</t>
  </si>
  <si>
    <t xml:space="preserve">           64.000,00</t>
  </si>
  <si>
    <t xml:space="preserve">           58.604,63</t>
  </si>
  <si>
    <t xml:space="preserve">            5.395,37</t>
  </si>
  <si>
    <t xml:space="preserve">           43.800,00</t>
  </si>
  <si>
    <t xml:space="preserve">           43.350,71</t>
  </si>
  <si>
    <t xml:space="preserve">              449,29</t>
  </si>
  <si>
    <t xml:space="preserve">          158.287,87</t>
  </si>
  <si>
    <t xml:space="preserve">          151.709,71</t>
  </si>
  <si>
    <t xml:space="preserve">            6.578,16</t>
  </si>
  <si>
    <t xml:space="preserve">          213.850,00</t>
  </si>
  <si>
    <t xml:space="preserve">          206.782,35</t>
  </si>
  <si>
    <t xml:space="preserve">            7.067,65</t>
  </si>
  <si>
    <t xml:space="preserve">           15.456,06</t>
  </si>
  <si>
    <t xml:space="preserve">            8.375,80</t>
  </si>
  <si>
    <t xml:space="preserve">           92.392,53</t>
  </si>
  <si>
    <t xml:space="preserve">           85.332,50</t>
  </si>
  <si>
    <t xml:space="preserve">            7.060,03</t>
  </si>
  <si>
    <t xml:space="preserve">           73.760,34</t>
  </si>
  <si>
    <t xml:space="preserve">               85,41</t>
  </si>
  <si>
    <t xml:space="preserve">            5.334,86</t>
  </si>
  <si>
    <t xml:space="preserve">            5.327,73</t>
  </si>
  <si>
    <t xml:space="preserve">                7,13</t>
  </si>
  <si>
    <t xml:space="preserve">           18.445,00</t>
  </si>
  <si>
    <t xml:space="preserve">           18.444,51</t>
  </si>
  <si>
    <t xml:space="preserve">                0,49</t>
  </si>
  <si>
    <t xml:space="preserve">          245.000,00</t>
  </si>
  <si>
    <t xml:space="preserve">          131.409,62</t>
  </si>
  <si>
    <t xml:space="preserve">          113.590,38</t>
  </si>
  <si>
    <t xml:space="preserve">           85.236,65</t>
  </si>
  <si>
    <t xml:space="preserve">           64.763,35</t>
  </si>
  <si>
    <t xml:space="preserve">           51.000,00</t>
  </si>
  <si>
    <t xml:space="preserve">           33.939,05</t>
  </si>
  <si>
    <t xml:space="preserve">           17.060,95</t>
  </si>
  <si>
    <t xml:space="preserve">           12.233,92</t>
  </si>
  <si>
    <t xml:space="preserve">           10.766,08</t>
  </si>
  <si>
    <t xml:space="preserve">           99.994,00</t>
  </si>
  <si>
    <t xml:space="preserve">           92.004,50</t>
  </si>
  <si>
    <t xml:space="preserve">            7.989,50</t>
  </si>
  <si>
    <t xml:space="preserve">          492.220,00</t>
  </si>
  <si>
    <t xml:space="preserve">          424.066,95</t>
  </si>
  <si>
    <t xml:space="preserve">           68.153,05</t>
  </si>
  <si>
    <t xml:space="preserve">          126.430,00</t>
  </si>
  <si>
    <t xml:space="preserve">           90.819,78</t>
  </si>
  <si>
    <t xml:space="preserve">           35.610,22</t>
  </si>
  <si>
    <t xml:space="preserve">          300.800,00</t>
  </si>
  <si>
    <t xml:space="preserve">          280.681,86</t>
  </si>
  <si>
    <t xml:space="preserve">           20.118,14</t>
  </si>
  <si>
    <t xml:space="preserve">           64.990,00</t>
  </si>
  <si>
    <t xml:space="preserve">           52.565,31</t>
  </si>
  <si>
    <t xml:space="preserve">           12.424,69</t>
  </si>
  <si>
    <t xml:space="preserve">          109.917,86</t>
  </si>
  <si>
    <t xml:space="preserve">          109.674,07</t>
  </si>
  <si>
    <t xml:space="preserve">              243,79</t>
  </si>
  <si>
    <t xml:space="preserve">          309.296,00</t>
  </si>
  <si>
    <t xml:space="preserve">          288.335,88</t>
  </si>
  <si>
    <t xml:space="preserve">           20.960,12</t>
  </si>
  <si>
    <t xml:space="preserve">          291.667,00</t>
  </si>
  <si>
    <t xml:space="preserve">          278.774,78</t>
  </si>
  <si>
    <t xml:space="preserve">           12.892,22</t>
  </si>
  <si>
    <t xml:space="preserve">           17.629,00</t>
  </si>
  <si>
    <t xml:space="preserve">            9.561,10</t>
  </si>
  <si>
    <t xml:space="preserve">            8.067,90</t>
  </si>
  <si>
    <t xml:space="preserve">           18.200,00</t>
  </si>
  <si>
    <t xml:space="preserve">           14.204,10</t>
  </si>
  <si>
    <t xml:space="preserve">            3.995,90</t>
  </si>
  <si>
    <t xml:space="preserve">           98.660,37</t>
  </si>
  <si>
    <t xml:space="preserve">           32.433,92</t>
  </si>
  <si>
    <t xml:space="preserve">           66.226,45</t>
  </si>
  <si>
    <t xml:space="preserve">           53.694,63</t>
  </si>
  <si>
    <t xml:space="preserve">           21.260,71</t>
  </si>
  <si>
    <t xml:space="preserve">           10.021,11</t>
  </si>
  <si>
    <t xml:space="preserve">           17.162,04</t>
  </si>
  <si>
    <t xml:space="preserve">           17.782,59</t>
  </si>
  <si>
    <t xml:space="preserve">           63.145,00</t>
  </si>
  <si>
    <t xml:space="preserve">           59.153,42</t>
  </si>
  <si>
    <t xml:space="preserve">            3.991,58</t>
  </si>
  <si>
    <t xml:space="preserve">            6.293,10</t>
  </si>
  <si>
    <t xml:space="preserve">            6.247,54</t>
  </si>
  <si>
    <t xml:space="preserve">               45,56</t>
  </si>
  <si>
    <t xml:space="preserve">           36.781,64</t>
  </si>
  <si>
    <t xml:space="preserve">           33.917,33</t>
  </si>
  <si>
    <t xml:space="preserve">            2.864,31</t>
  </si>
  <si>
    <t xml:space="preserve">           20.069,26</t>
  </si>
  <si>
    <t xml:space="preserve">           18.988,55</t>
  </si>
  <si>
    <t xml:space="preserve">            1.080,71</t>
  </si>
  <si>
    <t xml:space="preserve">          239.983,00</t>
  </si>
  <si>
    <t xml:space="preserve">          239.062,93</t>
  </si>
  <si>
    <t xml:space="preserve">              920,07</t>
  </si>
  <si>
    <t xml:space="preserve">          148.922,00</t>
  </si>
  <si>
    <t xml:space="preserve">          148.463,36</t>
  </si>
  <si>
    <t xml:space="preserve">              458,64</t>
  </si>
  <si>
    <t xml:space="preserve">           41.657,00</t>
  </si>
  <si>
    <t xml:space="preserve">           41.301,04</t>
  </si>
  <si>
    <t xml:space="preserve">              355,96</t>
  </si>
  <si>
    <t xml:space="preserve">           29.604,00</t>
  </si>
  <si>
    <t xml:space="preserve">           29.603,73</t>
  </si>
  <si>
    <t xml:space="preserve">                0,27</t>
  </si>
  <si>
    <t xml:space="preserve">           10.110,00</t>
  </si>
  <si>
    <t xml:space="preserve">           10.092,32</t>
  </si>
  <si>
    <t xml:space="preserve">               17,68</t>
  </si>
  <si>
    <t xml:space="preserve">            9.690,00</t>
  </si>
  <si>
    <t xml:space="preserve">            9.602,48</t>
  </si>
  <si>
    <t xml:space="preserve">               87,52</t>
  </si>
  <si>
    <t xml:space="preserve">          361.223,00</t>
  </si>
  <si>
    <t xml:space="preserve">          347.931,21</t>
  </si>
  <si>
    <t xml:space="preserve">           13.291,79</t>
  </si>
  <si>
    <t xml:space="preserve">          300.686,00</t>
  </si>
  <si>
    <t xml:space="preserve">          298.115,33</t>
  </si>
  <si>
    <t xml:space="preserve">            2.570,67</t>
  </si>
  <si>
    <t xml:space="preserve">           60.537,00</t>
  </si>
  <si>
    <t xml:space="preserve">           49.815,88</t>
  </si>
  <si>
    <t xml:space="preserve">           10.721,12</t>
  </si>
  <si>
    <t xml:space="preserve">           53.961,00</t>
  </si>
  <si>
    <t xml:space="preserve">            4.717,31</t>
  </si>
  <si>
    <t xml:space="preserve">           49.243,69</t>
  </si>
  <si>
    <t xml:space="preserve">        1.074.810,60</t>
  </si>
  <si>
    <t xml:space="preserve">          920.386,02</t>
  </si>
  <si>
    <t xml:space="preserve">          581.000,00</t>
  </si>
  <si>
    <t xml:space="preserve">          568.651,80</t>
  </si>
  <si>
    <t xml:space="preserve">           12.348,20</t>
  </si>
  <si>
    <t xml:space="preserve">           29.436,14</t>
  </si>
  <si>
    <t xml:space="preserve">           25.478,89</t>
  </si>
  <si>
    <t xml:space="preserve">           31.500,00</t>
  </si>
  <si>
    <t xml:space="preserve">           22.676,74</t>
  </si>
  <si>
    <t xml:space="preserve">            8.823,26</t>
  </si>
  <si>
    <t xml:space="preserve">          351.020,97</t>
  </si>
  <si>
    <t xml:space="preserve">          240.706,09</t>
  </si>
  <si>
    <t xml:space="preserve">           50.352,49</t>
  </si>
  <si>
    <t xml:space="preserve">           40.195,76</t>
  </si>
  <si>
    <t xml:space="preserve">           10.156,73</t>
  </si>
  <si>
    <t xml:space="preserve">          420.889,82</t>
  </si>
  <si>
    <t xml:space="preserve">          293.206,91</t>
  </si>
  <si>
    <t xml:space="preserve">          127.682,91</t>
  </si>
  <si>
    <t xml:space="preserve">           98.349,44</t>
  </si>
  <si>
    <t xml:space="preserve">           89.114,68</t>
  </si>
  <si>
    <t xml:space="preserve">            9.234,76</t>
  </si>
  <si>
    <t xml:space="preserve">           30.119,42</t>
  </si>
  <si>
    <t xml:space="preserve">           17.815,40</t>
  </si>
  <si>
    <t xml:space="preserve">           12.304,02</t>
  </si>
  <si>
    <t xml:space="preserve">          163.658,86</t>
  </si>
  <si>
    <t xml:space="preserve">           93.170,90</t>
  </si>
  <si>
    <t xml:space="preserve">           70.487,96</t>
  </si>
  <si>
    <t xml:space="preserve">           30.947,78</t>
  </si>
  <si>
    <t xml:space="preserve">            5.984,72</t>
  </si>
  <si>
    <t xml:space="preserve">           24.963,06</t>
  </si>
  <si>
    <t xml:space="preserve">           65.947,78</t>
  </si>
  <si>
    <t xml:space="preserve">           57.203,22</t>
  </si>
  <si>
    <t xml:space="preserve">            8.744,56</t>
  </si>
  <si>
    <t xml:space="preserve">           29.917,99</t>
  </si>
  <si>
    <t xml:space="preserve">            1.029,79</t>
  </si>
  <si>
    <t xml:space="preserve">              918,76</t>
  </si>
  <si>
    <t xml:space="preserve">           65.720,00</t>
  </si>
  <si>
    <t xml:space="preserve">           64.558,85</t>
  </si>
  <si>
    <t xml:space="preserve">            1.161,15</t>
  </si>
  <si>
    <t xml:space="preserve">            2.860,00</t>
  </si>
  <si>
    <t xml:space="preserve">            2.302,12</t>
  </si>
  <si>
    <t xml:space="preserve">              557,88</t>
  </si>
  <si>
    <t xml:space="preserve">           38.319,00</t>
  </si>
  <si>
    <t xml:space="preserve">           38.201,46</t>
  </si>
  <si>
    <t xml:space="preserve">              117,54</t>
  </si>
  <si>
    <t xml:space="preserve">           15.356,00</t>
  </si>
  <si>
    <t xml:space="preserve">           15.350,44</t>
  </si>
  <si>
    <t xml:space="preserve">                5,56</t>
  </si>
  <si>
    <t xml:space="preserve">            9.185,00</t>
  </si>
  <si>
    <t xml:space="preserve">            8.704,83</t>
  </si>
  <si>
    <t xml:space="preserve">              480,17</t>
  </si>
  <si>
    <t xml:space="preserve">           44.950,00</t>
  </si>
  <si>
    <t xml:space="preserve">           38.536,25</t>
  </si>
  <si>
    <t xml:space="preserve">            6.413,75</t>
  </si>
  <si>
    <t xml:space="preserve">           34.500,00</t>
  </si>
  <si>
    <t xml:space="preserve">           30.903,38</t>
  </si>
  <si>
    <t xml:space="preserve">            3.596,62</t>
  </si>
  <si>
    <t xml:space="preserve">              716,20</t>
  </si>
  <si>
    <t xml:space="preserve">              283,80</t>
  </si>
  <si>
    <t xml:space="preserve">            2.600,00</t>
  </si>
  <si>
    <t xml:space="preserve">            1.285,02</t>
  </si>
  <si>
    <t xml:space="preserve">            1.314,98</t>
  </si>
  <si>
    <t xml:space="preserve">            1.100,00</t>
  </si>
  <si>
    <t xml:space="preserve">              995,69</t>
  </si>
  <si>
    <t xml:space="preserve">              104,31</t>
  </si>
  <si>
    <t xml:space="preserve">            5.750,00</t>
  </si>
  <si>
    <t xml:space="preserve">            4.635,96</t>
  </si>
  <si>
    <t xml:space="preserve">            1.114,04</t>
  </si>
  <si>
    <t xml:space="preserve">           71.727,00</t>
  </si>
  <si>
    <t xml:space="preserve">           71.238,19</t>
  </si>
  <si>
    <t xml:space="preserve">              488,81</t>
  </si>
  <si>
    <t xml:space="preserve">            7.917,66</t>
  </si>
  <si>
    <t xml:space="preserve">            7.863,28</t>
  </si>
  <si>
    <t xml:space="preserve">               54,38</t>
  </si>
  <si>
    <t xml:space="preserve">           32.614,00</t>
  </si>
  <si>
    <t xml:space="preserve">           32.440,62</t>
  </si>
  <si>
    <t xml:space="preserve">              173,38</t>
  </si>
  <si>
    <t xml:space="preserve">           31.195,00</t>
  </si>
  <si>
    <t xml:space="preserve">           30.934,29</t>
  </si>
  <si>
    <t xml:space="preserve">              260,71</t>
  </si>
  <si>
    <t xml:space="preserve">          391.939,67</t>
  </si>
  <si>
    <t xml:space="preserve">          385.554,97</t>
  </si>
  <si>
    <t xml:space="preserve">            6.384,70</t>
  </si>
  <si>
    <t xml:space="preserve">          163.196,67</t>
  </si>
  <si>
    <t xml:space="preserve">          157.290,24</t>
  </si>
  <si>
    <t xml:space="preserve">            5.906,43</t>
  </si>
  <si>
    <t xml:space="preserve">          210.414,00</t>
  </si>
  <si>
    <t xml:space="preserve">          210.332,12</t>
  </si>
  <si>
    <t xml:space="preserve">               81,88</t>
  </si>
  <si>
    <t xml:space="preserve">           11.700,00</t>
  </si>
  <si>
    <t xml:space="preserve">           11.571,38</t>
  </si>
  <si>
    <t xml:space="preserve">              128,62</t>
  </si>
  <si>
    <t xml:space="preserve">            6.629,00</t>
  </si>
  <si>
    <t xml:space="preserve">            6.361,23</t>
  </si>
  <si>
    <t xml:space="preserve">              267,77</t>
  </si>
  <si>
    <t xml:space="preserve">          103.236,00</t>
  </si>
  <si>
    <t xml:space="preserve">           97.741,42</t>
  </si>
  <si>
    <t xml:space="preserve">            5.494,58</t>
  </si>
  <si>
    <t xml:space="preserve">           81.648,00</t>
  </si>
  <si>
    <t xml:space="preserve">           76.963,03</t>
  </si>
  <si>
    <t xml:space="preserve">            4.684,97</t>
  </si>
  <si>
    <t xml:space="preserve">           21.588,00</t>
  </si>
  <si>
    <t xml:space="preserve">           20.778,39</t>
  </si>
  <si>
    <t xml:space="preserve">              809,61</t>
  </si>
  <si>
    <t xml:space="preserve">          189.247,80</t>
  </si>
  <si>
    <t xml:space="preserve">          188.435,60</t>
  </si>
  <si>
    <t xml:space="preserve">              812,20</t>
  </si>
  <si>
    <t xml:space="preserve">           10.169,18</t>
  </si>
  <si>
    <t xml:space="preserve">          179.078,62</t>
  </si>
  <si>
    <t xml:space="preserve">          178.266,42</t>
  </si>
  <si>
    <t xml:space="preserve">          300.184,60</t>
  </si>
  <si>
    <t xml:space="preserve">           10.539,82</t>
  </si>
  <si>
    <t xml:space="preserve">            6.094,18</t>
  </si>
  <si>
    <t xml:space="preserve">            3.274,34</t>
  </si>
  <si>
    <t xml:space="preserve">            1.805,98</t>
  </si>
  <si>
    <t xml:space="preserve">            1.468,36</t>
  </si>
  <si>
    <t xml:space="preserve">           86.439,29</t>
  </si>
  <si>
    <t xml:space="preserve">           82.081,14</t>
  </si>
  <si>
    <t xml:space="preserve">            4.358,15</t>
  </si>
  <si>
    <t xml:space="preserve">           58.709,41</t>
  </si>
  <si>
    <t xml:space="preserve">           51.733,56</t>
  </si>
  <si>
    <t xml:space="preserve">            6.975,85</t>
  </si>
  <si>
    <t xml:space="preserve">           15.130,97</t>
  </si>
  <si>
    <t xml:space="preserve">           14.162,51</t>
  </si>
  <si>
    <t xml:space="preserve">              968,46</t>
  </si>
  <si>
    <t xml:space="preserve">          112.324,40</t>
  </si>
  <si>
    <t xml:space="preserve">           10.597,70</t>
  </si>
  <si>
    <t xml:space="preserve">              108,67</t>
  </si>
  <si>
    <t xml:space="preserve">            2.125,25</t>
  </si>
  <si>
    <t xml:space="preserve">              874,75</t>
  </si>
  <si>
    <t xml:space="preserve">          573.530,00</t>
  </si>
  <si>
    <t xml:space="preserve">          571.690,55</t>
  </si>
  <si>
    <t xml:space="preserve">            1.839,45</t>
  </si>
  <si>
    <t xml:space="preserve">          107.814,00</t>
  </si>
  <si>
    <t xml:space="preserve">           49.774,95</t>
  </si>
  <si>
    <t xml:space="preserve">           58.039,05</t>
  </si>
  <si>
    <t xml:space="preserve">           78.920,00</t>
  </si>
  <si>
    <t xml:space="preserve">           29.145,05</t>
  </si>
  <si>
    <t xml:space="preserve">           23.894,00</t>
  </si>
  <si>
    <t xml:space="preserve">       26.690.000,00</t>
  </si>
  <si>
    <t xml:space="preserve">            1.552,41</t>
  </si>
  <si>
    <t xml:space="preserve">          178.914,22</t>
  </si>
  <si>
    <t xml:space="preserve">              816,55</t>
  </si>
  <si>
    <t xml:space="preserve">          179.730,77</t>
  </si>
  <si>
    <t xml:space="preserve">        1.424.457,16</t>
  </si>
  <si>
    <t xml:space="preserve">        1.477.850,72</t>
  </si>
  <si>
    <t xml:space="preserve">          310.023,18</t>
  </si>
  <si>
    <t xml:space="preserve">            1.476,89</t>
  </si>
  <si>
    <t xml:space="preserve">          463.499,14</t>
  </si>
  <si>
    <t xml:space="preserve">               75,52</t>
  </si>
  <si>
    <t xml:space="preserve">            5.760,06</t>
  </si>
  <si>
    <t xml:space="preserve">          103.883,38</t>
  </si>
  <si>
    <t xml:space="preserve">          692.162,55</t>
  </si>
  <si>
    <t xml:space="preserve">           26.090,45</t>
  </si>
  <si>
    <t xml:space="preserve">          126.379,56</t>
  </si>
  <si>
    <t xml:space="preserve">          878.960,00</t>
  </si>
  <si>
    <t xml:space="preserve">          831.690,06</t>
  </si>
  <si>
    <t xml:space="preserve">           47.269,94</t>
  </si>
  <si>
    <t xml:space="preserve">           47.642,12</t>
  </si>
  <si>
    <t xml:space="preserve">           46.656,36</t>
  </si>
  <si>
    <t xml:space="preserve">           46.816,19</t>
  </si>
  <si>
    <t xml:space="preserve">           29.666,01</t>
  </si>
  <si>
    <t xml:space="preserve">           29.055,99</t>
  </si>
  <si>
    <t xml:space="preserve">              610,02</t>
  </si>
  <si>
    <t xml:space="preserve">           38.234,73</t>
  </si>
  <si>
    <t xml:space="preserve">           33.138,70</t>
  </si>
  <si>
    <t xml:space="preserve">            5.096,03</t>
  </si>
  <si>
    <t xml:space="preserve">           27.087,66</t>
  </si>
  <si>
    <t xml:space="preserve">           20.115,99</t>
  </si>
  <si>
    <t xml:space="preserve">           19.805,59</t>
  </si>
  <si>
    <t xml:space="preserve">              310,40</t>
  </si>
  <si>
    <t xml:space="preserve">           17.700,09</t>
  </si>
  <si>
    <t xml:space="preserve">           27.188,34</t>
  </si>
  <si>
    <t xml:space="preserve">           27.153,01</t>
  </si>
  <si>
    <t xml:space="preserve">               35,33</t>
  </si>
  <si>
    <t xml:space="preserve">           29.828,30</t>
  </si>
  <si>
    <t xml:space="preserve">           29.513,84</t>
  </si>
  <si>
    <t xml:space="preserve">              314,46</t>
  </si>
  <si>
    <t xml:space="preserve">           17.314,16</t>
  </si>
  <si>
    <t xml:space="preserve">           39.230,93</t>
  </si>
  <si>
    <t xml:space="preserve">           37.551,92</t>
  </si>
  <si>
    <t xml:space="preserve">            1.679,01</t>
  </si>
  <si>
    <t xml:space="preserve">           48.054,15</t>
  </si>
  <si>
    <t xml:space="preserve">           48.752,49</t>
  </si>
  <si>
    <t xml:space="preserve">           47.598,30</t>
  </si>
  <si>
    <t xml:space="preserve">           49.784,74</t>
  </si>
  <si>
    <t xml:space="preserve">           48.486,32</t>
  </si>
  <si>
    <t xml:space="preserve">            1.298,42</t>
  </si>
  <si>
    <t xml:space="preserve">           45.350,31</t>
  </si>
  <si>
    <t xml:space="preserve">           44.702,54</t>
  </si>
  <si>
    <t xml:space="preserve">              647,77</t>
  </si>
  <si>
    <t xml:space="preserve">           15.797,46</t>
  </si>
  <si>
    <t xml:space="preserve">           15.580,83</t>
  </si>
  <si>
    <t xml:space="preserve">              216,63</t>
  </si>
  <si>
    <t xml:space="preserve">           48.917,74</t>
  </si>
  <si>
    <t xml:space="preserve">           48.534,61</t>
  </si>
  <si>
    <t xml:space="preserve">              383,13</t>
  </si>
  <si>
    <t xml:space="preserve">            5.452,44</t>
  </si>
  <si>
    <t xml:space="preserve">            5.898,60</t>
  </si>
  <si>
    <t xml:space="preserve">           43.278,97</t>
  </si>
  <si>
    <t xml:space="preserve">           42.455,95</t>
  </si>
  <si>
    <t xml:space="preserve">              823,02</t>
  </si>
  <si>
    <t xml:space="preserve">           40.117,76</t>
  </si>
  <si>
    <t xml:space="preserve">           37.228,10</t>
  </si>
  <si>
    <t xml:space="preserve">            2.889,66</t>
  </si>
  <si>
    <t xml:space="preserve">            5.211,40</t>
  </si>
  <si>
    <t xml:space="preserve">           24.034,81</t>
  </si>
  <si>
    <t xml:space="preserve">           19.903,44</t>
  </si>
  <si>
    <t xml:space="preserve">           19.629,95</t>
  </si>
  <si>
    <t xml:space="preserve">              273,49</t>
  </si>
  <si>
    <t xml:space="preserve">           14.730,87</t>
  </si>
  <si>
    <t xml:space="preserve">           14.568,22</t>
  </si>
  <si>
    <t xml:space="preserve">              162,65</t>
  </si>
  <si>
    <t xml:space="preserve">           29.198,58</t>
  </si>
  <si>
    <t xml:space="preserve">           31.526,24</t>
  </si>
  <si>
    <t xml:space="preserve">           40.000,55</t>
  </si>
  <si>
    <t xml:space="preserve">           37.773,21</t>
  </si>
  <si>
    <t xml:space="preserve">            2.227,34</t>
  </si>
  <si>
    <t xml:space="preserve">            2.237,47</t>
  </si>
  <si>
    <t xml:space="preserve">           30.204,57</t>
  </si>
  <si>
    <t xml:space="preserve">           26.688,18</t>
  </si>
  <si>
    <t xml:space="preserve">            3.516,39</t>
  </si>
  <si>
    <t xml:space="preserve">           22.522,39</t>
  </si>
  <si>
    <t xml:space="preserve">          156.626,00</t>
  </si>
  <si>
    <t xml:space="preserve">          113.534,95</t>
  </si>
  <si>
    <t xml:space="preserve">           43.091,05</t>
  </si>
  <si>
    <t xml:space="preserve">           84.746,11</t>
  </si>
  <si>
    <t xml:space="preserve">           71.879,89</t>
  </si>
  <si>
    <t xml:space="preserve">           28.788,84</t>
  </si>
  <si>
    <t xml:space="preserve">          142.849,80</t>
  </si>
  <si>
    <t xml:space="preserve">          149.151,91</t>
  </si>
  <si>
    <t xml:space="preserve">          138.695,63</t>
  </si>
  <si>
    <t xml:space="preserve">          144.997,74</t>
  </si>
  <si>
    <t xml:space="preserve">            4.154,17</t>
  </si>
  <si>
    <t xml:space="preserve">          185.198,00</t>
  </si>
  <si>
    <t xml:space="preserve">            3.659,44</t>
  </si>
  <si>
    <t xml:space="preserve">           77.970,92</t>
  </si>
  <si>
    <t xml:space="preserve">          103.567,64</t>
  </si>
  <si>
    <t xml:space="preserve">           75.397,32</t>
  </si>
  <si>
    <t xml:space="preserve">           63.492,46</t>
  </si>
  <si>
    <t xml:space="preserve">           11.904,86</t>
  </si>
  <si>
    <t xml:space="preserve">          465.116,58</t>
  </si>
  <si>
    <t xml:space="preserve">          326.437,31</t>
  </si>
  <si>
    <t xml:space="preserve">            4.716,96</t>
  </si>
  <si>
    <t xml:space="preserve">           12.298,04</t>
  </si>
  <si>
    <t xml:space="preserve">           78.490,57</t>
  </si>
  <si>
    <t xml:space="preserve">            1.286,76</t>
  </si>
  <si>
    <t xml:space="preserve">           15.094,34</t>
  </si>
  <si>
    <t xml:space="preserve">          240.089,43</t>
  </si>
  <si>
    <t xml:space="preserve">          277.490,84</t>
  </si>
  <si>
    <t xml:space="preserve">           41.509,43</t>
  </si>
  <si>
    <t xml:space="preserve">           80.215,85</t>
  </si>
  <si>
    <t xml:space="preserve">           35.361,67</t>
  </si>
  <si>
    <t xml:space="preserve">           44.854,18</t>
  </si>
  <si>
    <t xml:space="preserve">          769.080,20</t>
  </si>
  <si>
    <t xml:space="preserve">          321.295,43</t>
  </si>
  <si>
    <t xml:space="preserve">          314.124,70</t>
  </si>
  <si>
    <t xml:space="preserve">            7.229,49</t>
  </si>
  <si>
    <t xml:space="preserve">            6.699,58</t>
  </si>
  <si>
    <t xml:space="preserve">           46.022,93</t>
  </si>
  <si>
    <t xml:space="preserve">           26.167,27</t>
  </si>
  <si>
    <t xml:space="preserve">           11.462,72</t>
  </si>
  <si>
    <t xml:space="preserve">            1.037,28</t>
  </si>
  <si>
    <t xml:space="preserve">          138.752,88</t>
  </si>
  <si>
    <t xml:space="preserve">           98.200,00</t>
  </si>
  <si>
    <t xml:space="preserve">           89.953,92</t>
  </si>
  <si>
    <t xml:space="preserve">           23.412,20</t>
  </si>
  <si>
    <t xml:space="preserve">           22.802,02</t>
  </si>
  <si>
    <t xml:space="preserve">              610,18</t>
  </si>
  <si>
    <t xml:space="preserve">           22.600,00</t>
  </si>
  <si>
    <t xml:space="preserve">           72.900,00</t>
  </si>
  <si>
    <t xml:space="preserve">           65.857,61</t>
  </si>
  <si>
    <t xml:space="preserve">            7.042,39</t>
  </si>
  <si>
    <t xml:space="preserve">          772.534,00</t>
  </si>
  <si>
    <t xml:space="preserve">          587.593,79</t>
  </si>
  <si>
    <t xml:space="preserve">          184.940,21</t>
  </si>
  <si>
    <t xml:space="preserve">          652.234,00</t>
  </si>
  <si>
    <t xml:space="preserve">          568.929,79</t>
  </si>
  <si>
    <t xml:space="preserve">           83.304,21</t>
  </si>
  <si>
    <t xml:space="preserve">           38.521,00</t>
  </si>
  <si>
    <t xml:space="preserve">           15.610,92</t>
  </si>
  <si>
    <t xml:space="preserve">           22.910,08</t>
  </si>
  <si>
    <t xml:space="preserve">           11.556,00</t>
  </si>
  <si>
    <t xml:space="preserve">           70.223,00</t>
  </si>
  <si>
    <t xml:space="preserve">            3.053,08</t>
  </si>
  <si>
    <t xml:space="preserve">           67.169,92</t>
  </si>
  <si>
    <t xml:space="preserve">          241.200,00</t>
  </si>
  <si>
    <t xml:space="preserve">          204.568,72</t>
  </si>
  <si>
    <t xml:space="preserve">           36.631,28</t>
  </si>
  <si>
    <t xml:space="preserve">          193.600,00</t>
  </si>
  <si>
    <t xml:space="preserve">          193.560,97</t>
  </si>
  <si>
    <t xml:space="preserve">               39,03</t>
  </si>
  <si>
    <t xml:space="preserve">              566,54</t>
  </si>
  <si>
    <t xml:space="preserve">              933,46</t>
  </si>
  <si>
    <t xml:space="preserve">            2.178,06</t>
  </si>
  <si>
    <t xml:space="preserve">            1.321,94</t>
  </si>
  <si>
    <t xml:space="preserve">            1.055,85</t>
  </si>
  <si>
    <t xml:space="preserve">            3.744,15</t>
  </si>
  <si>
    <t xml:space="preserve">            4.400,00</t>
  </si>
  <si>
    <t xml:space="preserve">            1.266,04</t>
  </si>
  <si>
    <t xml:space="preserve">            3.133,96</t>
  </si>
  <si>
    <t xml:space="preserve">           33.400,00</t>
  </si>
  <si>
    <t xml:space="preserve">            5.941,26</t>
  </si>
  <si>
    <t xml:space="preserve">           27.458,74</t>
  </si>
  <si>
    <t xml:space="preserve">          197.859,60</t>
  </si>
  <si>
    <t xml:space="preserve">          144.971,21</t>
  </si>
  <si>
    <t xml:space="preserve">           79.859,60</t>
  </si>
  <si>
    <t xml:space="preserve">           47.721,83</t>
  </si>
  <si>
    <t xml:space="preserve">          118.000,00</t>
  </si>
  <si>
    <t xml:space="preserve">           97.249,38</t>
  </si>
  <si>
    <t xml:space="preserve">           20.750,62</t>
  </si>
  <si>
    <t xml:space="preserve">           92.000,00</t>
  </si>
  <si>
    <t xml:space="preserve">           68.495,26</t>
  </si>
  <si>
    <t xml:space="preserve">           23.504,74</t>
  </si>
  <si>
    <t xml:space="preserve">           15.500,00</t>
  </si>
  <si>
    <t xml:space="preserve">           12.998,00</t>
  </si>
  <si>
    <t xml:space="preserve">            2.502,00</t>
  </si>
  <si>
    <t xml:space="preserve">           21.276,86</t>
  </si>
  <si>
    <t xml:space="preserve">           10.723,14</t>
  </si>
  <si>
    <t xml:space="preserve">           29.600,00</t>
  </si>
  <si>
    <t xml:space="preserve">           20.820,84</t>
  </si>
  <si>
    <t xml:space="preserve">            8.779,16</t>
  </si>
  <si>
    <t xml:space="preserve">           14.900,00</t>
  </si>
  <si>
    <t xml:space="preserve">           13.399,56</t>
  </si>
  <si>
    <t xml:space="preserve">            1.500,44</t>
  </si>
  <si>
    <t xml:space="preserve">          846.307,80</t>
  </si>
  <si>
    <t xml:space="preserve">          463.251,66</t>
  </si>
  <si>
    <t xml:space="preserve">               52,64</t>
  </si>
  <si>
    <t xml:space="preserve">           71.999,45</t>
  </si>
  <si>
    <t xml:space="preserve">            3.000,55</t>
  </si>
  <si>
    <t xml:space="preserve">           95.824,79</t>
  </si>
  <si>
    <t xml:space="preserve">            4.175,21</t>
  </si>
  <si>
    <t xml:space="preserve">            2.663,57</t>
  </si>
  <si>
    <t xml:space="preserve">           43.480,69</t>
  </si>
  <si>
    <t xml:space="preserve">           19.731,25</t>
  </si>
  <si>
    <t xml:space="preserve">           16.723,60</t>
  </si>
  <si>
    <t xml:space="preserve">            3.007,65</t>
  </si>
  <si>
    <t xml:space="preserve">           17.018,09</t>
  </si>
  <si>
    <t xml:space="preserve">              825,41</t>
  </si>
  <si>
    <t xml:space="preserve">           16.280,99</t>
  </si>
  <si>
    <t xml:space="preserve">           15.113,43</t>
  </si>
  <si>
    <t xml:space="preserve">            1.167,56</t>
  </si>
  <si>
    <t xml:space="preserve">          126.860,00</t>
  </si>
  <si>
    <t xml:space="preserve">           46.031,99</t>
  </si>
  <si>
    <t xml:space="preserve">           80.828,01</t>
  </si>
  <si>
    <t xml:space="preserve">           12.700,00</t>
  </si>
  <si>
    <t xml:space="preserve">           63.420,00</t>
  </si>
  <si>
    <t xml:space="preserve">           17.388,01</t>
  </si>
  <si>
    <t xml:space="preserve">           50.740,00</t>
  </si>
  <si>
    <t xml:space="preserve">        1.369.724,94</t>
  </si>
  <si>
    <t xml:space="preserve">            1.454,68</t>
  </si>
  <si>
    <t xml:space="preserve">                4,00</t>
  </si>
  <si>
    <t xml:space="preserve">          344.974,78</t>
  </si>
  <si>
    <t xml:space="preserve">          344.972,78</t>
  </si>
  <si>
    <t xml:space="preserve">                2,00</t>
  </si>
  <si>
    <t xml:space="preserve">          342.557,97</t>
  </si>
  <si>
    <t xml:space="preserve">          342.555,97</t>
  </si>
  <si>
    <t xml:space="preserve">                5,98</t>
  </si>
  <si>
    <t xml:space="preserve">            1.994,02</t>
  </si>
  <si>
    <t xml:space="preserve">          162.928,25</t>
  </si>
  <si>
    <t xml:space="preserve">           11.259,04</t>
  </si>
  <si>
    <t xml:space="preserve">           12.713,72</t>
  </si>
  <si>
    <t xml:space="preserve">          150.214,53</t>
  </si>
  <si>
    <t xml:space="preserve">          484.834,40</t>
  </si>
  <si>
    <t xml:space="preserve">          259.191,15</t>
  </si>
  <si>
    <t xml:space="preserve">          225.643,25</t>
  </si>
  <si>
    <t xml:space="preserve">            2.429,54</t>
  </si>
  <si>
    <t xml:space="preserve">        5.512.050,00</t>
  </si>
  <si>
    <t xml:space="preserve">        5.322.280,87</t>
  </si>
  <si>
    <t xml:space="preserve">          189.769,13</t>
  </si>
  <si>
    <t xml:space="preserve">          979.560,00</t>
  </si>
  <si>
    <t xml:space="preserve">          903.077,55</t>
  </si>
  <si>
    <t xml:space="preserve">           76.482,45</t>
  </si>
  <si>
    <t xml:space="preserve">        4.407.820,00</t>
  </si>
  <si>
    <t xml:space="preserve">        4.344.108,97</t>
  </si>
  <si>
    <t xml:space="preserve">           63.711,03</t>
  </si>
  <si>
    <t xml:space="preserve">           70.180,00</t>
  </si>
  <si>
    <t xml:space="preserve">           62.290,83</t>
  </si>
  <si>
    <t xml:space="preserve">            7.889,17</t>
  </si>
  <si>
    <t xml:space="preserve">           54.490,00</t>
  </si>
  <si>
    <t xml:space="preserve">           12.803,52</t>
  </si>
  <si>
    <t xml:space="preserve">           41.686,48</t>
  </si>
  <si>
    <t xml:space="preserve">          558.154,01</t>
  </si>
  <si>
    <t xml:space="preserve">          486.139,55</t>
  </si>
  <si>
    <t xml:space="preserve">           72.014,46</t>
  </si>
  <si>
    <t xml:space="preserve">          420.477,37</t>
  </si>
  <si>
    <t xml:space="preserve">          420.235,65</t>
  </si>
  <si>
    <t xml:space="preserve">              241,72</t>
  </si>
  <si>
    <t xml:space="preserve">           27.778,92</t>
  </si>
  <si>
    <t xml:space="preserve">           27.231,84</t>
  </si>
  <si>
    <t xml:space="preserve">              547,08</t>
  </si>
  <si>
    <t xml:space="preserve">           39.897,72</t>
  </si>
  <si>
    <t xml:space="preserve">           38.672,06</t>
  </si>
  <si>
    <t xml:space="preserve">            1.225,66</t>
  </si>
  <si>
    <t xml:space="preserve">          184.033,00</t>
  </si>
  <si>
    <t xml:space="preserve">          174.287,21</t>
  </si>
  <si>
    <t xml:space="preserve">            9.745,79</t>
  </si>
  <si>
    <t xml:space="preserve">           96.832,66</t>
  </si>
  <si>
    <t xml:space="preserve">           94.857,34</t>
  </si>
  <si>
    <t xml:space="preserve">            1.975,32</t>
  </si>
  <si>
    <t xml:space="preserve">           73.397,30</t>
  </si>
  <si>
    <t xml:space="preserve">           70.192,61</t>
  </si>
  <si>
    <t xml:space="preserve">            3.204,69</t>
  </si>
  <si>
    <t xml:space="preserve">           11.580,40</t>
  </si>
  <si>
    <t xml:space="preserve">            7.160,45</t>
  </si>
  <si>
    <t xml:space="preserve">            4.419,95</t>
  </si>
  <si>
    <t xml:space="preserve">            2.222,64</t>
  </si>
  <si>
    <t xml:space="preserve">            2.076,81</t>
  </si>
  <si>
    <t xml:space="preserve">              145,83</t>
  </si>
  <si>
    <t xml:space="preserve">        2.764.000,00</t>
  </si>
  <si>
    <t xml:space="preserve">        1.452.000,00</t>
  </si>
  <si>
    <t xml:space="preserve">            2.057,69</t>
  </si>
  <si>
    <t xml:space="preserve">           22.942,31</t>
  </si>
  <si>
    <t xml:space="preserve">          507.000,00</t>
  </si>
  <si>
    <t xml:space="preserve">            1.525,50</t>
  </si>
  <si>
    <t xml:space="preserve">           13.474,50</t>
  </si>
  <si>
    <t xml:space="preserve">          365.000,00</t>
  </si>
  <si>
    <t xml:space="preserve">          343.379,92</t>
  </si>
  <si>
    <t xml:space="preserve">           97.502,54</t>
  </si>
  <si>
    <t xml:space="preserve">          195.000,00</t>
  </si>
  <si>
    <t xml:space="preserve">            1.439,57</t>
  </si>
  <si>
    <t xml:space="preserve">          106.779,00</t>
  </si>
  <si>
    <t xml:space="preserve">           88.613,32</t>
  </si>
  <si>
    <t xml:space="preserve">           18.165,68</t>
  </si>
  <si>
    <t xml:space="preserve">           34.700,00</t>
  </si>
  <si>
    <t xml:space="preserve">           29.991,19</t>
  </si>
  <si>
    <t xml:space="preserve">            4.708,81</t>
  </si>
  <si>
    <t xml:space="preserve">           35.175,00</t>
  </si>
  <si>
    <t xml:space="preserve">           29.456,20</t>
  </si>
  <si>
    <t xml:space="preserve">            5.718,80</t>
  </si>
  <si>
    <t xml:space="preserve">           36.904,00</t>
  </si>
  <si>
    <t xml:space="preserve">           29.165,93</t>
  </si>
  <si>
    <t xml:space="preserve">            7.738,07</t>
  </si>
  <si>
    <t xml:space="preserve">          286.955,00</t>
  </si>
  <si>
    <t xml:space="preserve">           92.107,62</t>
  </si>
  <si>
    <t xml:space="preserve">           22.456,00</t>
  </si>
  <si>
    <t xml:space="preserve">            6.821,75</t>
  </si>
  <si>
    <t xml:space="preserve">           15.634,25</t>
  </si>
  <si>
    <t xml:space="preserve">          148.639,00</t>
  </si>
  <si>
    <t xml:space="preserve">           51.617,50</t>
  </si>
  <si>
    <t xml:space="preserve">              597,72</t>
  </si>
  <si>
    <t xml:space="preserve">           52.215,22</t>
  </si>
  <si>
    <t xml:space="preserve">           96.423,78</t>
  </si>
  <si>
    <t xml:space="preserve">           39.474,00</t>
  </si>
  <si>
    <t xml:space="preserve">            1.737,60</t>
  </si>
  <si>
    <t xml:space="preserve">           10.543,09</t>
  </si>
  <si>
    <t xml:space="preserve">           12.280,69</t>
  </si>
  <si>
    <t xml:space="preserve">           27.193,31</t>
  </si>
  <si>
    <t xml:space="preserve">           43.860,00</t>
  </si>
  <si>
    <t xml:space="preserve">           18.844,26</t>
  </si>
  <si>
    <t xml:space="preserve">           13.086,51</t>
  </si>
  <si>
    <t xml:space="preserve">            8.913,49</t>
  </si>
  <si>
    <t xml:space="preserve">           10.526,00</t>
  </si>
  <si>
    <t xml:space="preserve">           60.600,00</t>
  </si>
  <si>
    <t xml:space="preserve">           40.910,85</t>
  </si>
  <si>
    <t xml:space="preserve">           19.689,15</t>
  </si>
  <si>
    <t xml:space="preserve">            5.700,00</t>
  </si>
  <si>
    <t xml:space="preserve">              673,09</t>
  </si>
  <si>
    <t xml:space="preserve">            5.026,91</t>
  </si>
  <si>
    <t xml:space="preserve">           40.237,76</t>
  </si>
  <si>
    <t xml:space="preserve">           13.762,24</t>
  </si>
  <si>
    <t xml:space="preserve">              900,00</t>
  </si>
  <si>
    <t xml:space="preserve">           64.536,04</t>
  </si>
  <si>
    <t xml:space="preserve">            5.463,96</t>
  </si>
  <si>
    <t xml:space="preserve">            1.935,69</t>
  </si>
  <si>
    <t xml:space="preserve">            1.950,64</t>
  </si>
  <si>
    <t xml:space="preserve">                0,37</t>
  </si>
  <si>
    <t xml:space="preserve">           68.063,94</t>
  </si>
  <si>
    <t xml:space="preserve">           62.585,40</t>
  </si>
  <si>
    <t xml:space="preserve">            5.478,54</t>
  </si>
  <si>
    <t xml:space="preserve">           70.600,00</t>
  </si>
  <si>
    <t xml:space="preserve">           60.487,11</t>
  </si>
  <si>
    <t xml:space="preserve">           10.112,89</t>
  </si>
  <si>
    <t xml:space="preserve">          345.926,82</t>
  </si>
  <si>
    <t xml:space="preserve">          327.542,37</t>
  </si>
  <si>
    <t xml:space="preserve">           18.384,45</t>
  </si>
  <si>
    <t xml:space="preserve">            5.831,21</t>
  </si>
  <si>
    <t xml:space="preserve">            4.022,44</t>
  </si>
  <si>
    <t xml:space="preserve">            1.808,77</t>
  </si>
  <si>
    <t xml:space="preserve">          151.304,62</t>
  </si>
  <si>
    <t xml:space="preserve">          121.558,49</t>
  </si>
  <si>
    <t xml:space="preserve">           29.746,13</t>
  </si>
  <si>
    <t xml:space="preserve">          188.790,99</t>
  </si>
  <si>
    <t xml:space="preserve">          201.961,44</t>
  </si>
  <si>
    <t xml:space="preserve">          100.100,00</t>
  </si>
  <si>
    <t xml:space="preserve">           95.603,03</t>
  </si>
  <si>
    <t xml:space="preserve">            4.496,97</t>
  </si>
  <si>
    <t xml:space="preserve">           31.956,25</t>
  </si>
  <si>
    <t xml:space="preserve">           22.238,53</t>
  </si>
  <si>
    <t xml:space="preserve">           12.544,81</t>
  </si>
  <si>
    <t xml:space="preserve">           11.522,69</t>
  </si>
  <si>
    <t xml:space="preserve">            1.022,12</t>
  </si>
  <si>
    <t xml:space="preserve">           33.360,41</t>
  </si>
  <si>
    <t xml:space="preserve">           29.885,56</t>
  </si>
  <si>
    <t xml:space="preserve">            3.474,85</t>
  </si>
  <si>
    <t xml:space="preserve">          247.637,00</t>
  </si>
  <si>
    <t xml:space="preserve">           65.760,05</t>
  </si>
  <si>
    <t xml:space="preserve">          181.876,95</t>
  </si>
  <si>
    <t xml:space="preserve">           62.681,71</t>
  </si>
  <si>
    <t xml:space="preserve">           29.543,18</t>
  </si>
  <si>
    <t xml:space="preserve">           33.138,53</t>
  </si>
  <si>
    <t xml:space="preserve">            7.409,20</t>
  </si>
  <si>
    <t xml:space="preserve">            5.632,89</t>
  </si>
  <si>
    <t xml:space="preserve">            1.776,31</t>
  </si>
  <si>
    <t xml:space="preserve">          155.671,98</t>
  </si>
  <si>
    <t xml:space="preserve">           30.583,98</t>
  </si>
  <si>
    <t xml:space="preserve">          125.088,00</t>
  </si>
  <si>
    <t xml:space="preserve">           82.000,00</t>
  </si>
  <si>
    <t xml:space="preserve">           66.262,33</t>
  </si>
  <si>
    <t xml:space="preserve">           15.737,67</t>
  </si>
  <si>
    <t xml:space="preserve">           15.008,00</t>
  </si>
  <si>
    <t xml:space="preserve">           15.007,18</t>
  </si>
  <si>
    <t xml:space="preserve">                0,82</t>
  </si>
  <si>
    <t xml:space="preserve">            7.339,74</t>
  </si>
  <si>
    <t xml:space="preserve">            7.338,74</t>
  </si>
  <si>
    <t xml:space="preserve">                1,00</t>
  </si>
  <si>
    <t xml:space="preserve">            8.559,25</t>
  </si>
  <si>
    <t xml:space="preserve">            8.557,84</t>
  </si>
  <si>
    <t xml:space="preserve">                1,41</t>
  </si>
  <si>
    <t xml:space="preserve">           39.601,01</t>
  </si>
  <si>
    <t xml:space="preserve">           35.358,57</t>
  </si>
  <si>
    <t xml:space="preserve">            4.242,44</t>
  </si>
  <si>
    <t xml:space="preserve">            5.675,00</t>
  </si>
  <si>
    <t xml:space="preserve">            5.817,00</t>
  </si>
  <si>
    <t xml:space="preserve">          254.334,00</t>
  </si>
  <si>
    <t xml:space="preserve">          238.612,83</t>
  </si>
  <si>
    <t xml:space="preserve">           15.721,17</t>
  </si>
  <si>
    <t xml:space="preserve">          119.400,75</t>
  </si>
  <si>
    <t xml:space="preserve">          110.610,14</t>
  </si>
  <si>
    <t xml:space="preserve">            8.790,61</t>
  </si>
  <si>
    <t xml:space="preserve">          134.933,25</t>
  </si>
  <si>
    <t xml:space="preserve">          128.002,69</t>
  </si>
  <si>
    <t xml:space="preserve">            6.930,56</t>
  </si>
  <si>
    <t xml:space="preserve">          195.585,00</t>
  </si>
  <si>
    <t xml:space="preserve">          191.796,61</t>
  </si>
  <si>
    <t xml:space="preserve">            3.788,39</t>
  </si>
  <si>
    <t xml:space="preserve">          195.462,00</t>
  </si>
  <si>
    <t xml:space="preserve">          191.701,63</t>
  </si>
  <si>
    <t xml:space="preserve">            3.760,37</t>
  </si>
  <si>
    <t xml:space="preserve">          103.200,00</t>
  </si>
  <si>
    <t xml:space="preserve">           56.943,45</t>
  </si>
  <si>
    <t xml:space="preserve">            2.928,60</t>
  </si>
  <si>
    <t xml:space="preserve">            2.757,55</t>
  </si>
  <si>
    <t xml:space="preserve">           25.191,67</t>
  </si>
  <si>
    <t xml:space="preserve">           18.808,33</t>
  </si>
  <si>
    <t xml:space="preserve">           15.507,00</t>
  </si>
  <si>
    <t xml:space="preserve">           13.513,88</t>
  </si>
  <si>
    <t xml:space="preserve">            1.993,12</t>
  </si>
  <si>
    <t xml:space="preserve">            9.500,00</t>
  </si>
  <si>
    <t xml:space="preserve">           30.693,00</t>
  </si>
  <si>
    <t xml:space="preserve">           15.480,35</t>
  </si>
  <si>
    <t xml:space="preserve">          183.279,68</t>
  </si>
  <si>
    <t xml:space="preserve">           11.720,32</t>
  </si>
  <si>
    <t xml:space="preserve">          280.955,00</t>
  </si>
  <si>
    <t xml:space="preserve">          143.070,00</t>
  </si>
  <si>
    <t xml:space="preserve">          101.501,41</t>
  </si>
  <si>
    <t xml:space="preserve">           36.383,59</t>
  </si>
  <si>
    <t xml:space="preserve">           26.937,57</t>
  </si>
  <si>
    <t xml:space="preserve">            9.446,02</t>
  </si>
  <si>
    <t xml:space="preserve">          160.316,53</t>
  </si>
  <si>
    <t xml:space="preserve">            7.683,47</t>
  </si>
  <si>
    <t xml:space="preserve">          133.995,40</t>
  </si>
  <si>
    <t xml:space="preserve">          128.048,41</t>
  </si>
  <si>
    <t xml:space="preserve">            5.946,99</t>
  </si>
  <si>
    <t xml:space="preserve">           17.502,30</t>
  </si>
  <si>
    <t xml:space="preserve">           16.134,06</t>
  </si>
  <si>
    <t xml:space="preserve">            1.368,24</t>
  </si>
  <si>
    <t xml:space="preserve">           16.502,30</t>
  </si>
  <si>
    <t xml:space="preserve">              368,24</t>
  </si>
  <si>
    <t xml:space="preserve">           73.208,47</t>
  </si>
  <si>
    <t xml:space="preserve">           32.793,92</t>
  </si>
  <si>
    <t xml:space="preserve">           23.735,96</t>
  </si>
  <si>
    <t xml:space="preserve">            6.930,36</t>
  </si>
  <si>
    <t xml:space="preserve">            9.748,23</t>
  </si>
  <si>
    <t xml:space="preserve">          182.446,23</t>
  </si>
  <si>
    <t xml:space="preserve">          172.909,17</t>
  </si>
  <si>
    <t xml:space="preserve">            9.537,06</t>
  </si>
  <si>
    <t xml:space="preserve">          135.895,51</t>
  </si>
  <si>
    <t xml:space="preserve">          135.143,10</t>
  </si>
  <si>
    <t xml:space="preserve">              752,41</t>
  </si>
  <si>
    <t xml:space="preserve">           46.550,72</t>
  </si>
  <si>
    <t xml:space="preserve">           37.766,07</t>
  </si>
  <si>
    <t xml:space="preserve">            8.784,65</t>
  </si>
  <si>
    <t xml:space="preserve">          249.500,00</t>
  </si>
  <si>
    <t xml:space="preserve">          249.048,94</t>
  </si>
  <si>
    <t xml:space="preserve">              451,06</t>
  </si>
  <si>
    <t xml:space="preserve">          201.560,69</t>
  </si>
  <si>
    <t xml:space="preserve">          201.458,52</t>
  </si>
  <si>
    <t xml:space="preserve">              102,17</t>
  </si>
  <si>
    <t xml:space="preserve">           45.016,69</t>
  </si>
  <si>
    <t xml:space="preserve">           44.668,00</t>
  </si>
  <si>
    <t xml:space="preserve">              348,69</t>
  </si>
  <si>
    <t xml:space="preserve">            2.922,62</t>
  </si>
  <si>
    <t xml:space="preserve">            2.922,42</t>
  </si>
  <si>
    <t xml:space="preserve">          124.166,91</t>
  </si>
  <si>
    <t xml:space="preserve">          117.711,87</t>
  </si>
  <si>
    <t xml:space="preserve">            6.455,04</t>
  </si>
  <si>
    <t xml:space="preserve">          175.171,37</t>
  </si>
  <si>
    <t xml:space="preserve">            4.776,48</t>
  </si>
  <si>
    <t xml:space="preserve">          122.289,84</t>
  </si>
  <si>
    <t xml:space="preserve">           48.105,05</t>
  </si>
  <si>
    <t xml:space="preserve">          143.650,00</t>
  </si>
  <si>
    <t xml:space="preserve">          130.181,35</t>
  </si>
  <si>
    <t xml:space="preserve">           13.468,65</t>
  </si>
  <si>
    <t xml:space="preserve">            3.154,81</t>
  </si>
  <si>
    <t xml:space="preserve">            2.901,45</t>
  </si>
  <si>
    <t xml:space="preserve">              253,36</t>
  </si>
  <si>
    <t xml:space="preserve">           48.898,04</t>
  </si>
  <si>
    <t xml:space="preserve">           10.841,46</t>
  </si>
  <si>
    <t xml:space="preserve">            9.386,66</t>
  </si>
  <si>
    <t xml:space="preserve">            1.454,80</t>
  </si>
  <si>
    <t xml:space="preserve">           70.903,84</t>
  </si>
  <si>
    <t xml:space="preserve">           61.602,03</t>
  </si>
  <si>
    <t xml:space="preserve">            9.301,81</t>
  </si>
  <si>
    <t xml:space="preserve">            9.851,85</t>
  </si>
  <si>
    <t xml:space="preserve">            7.393,17</t>
  </si>
  <si>
    <t xml:space="preserve">            2.458,68</t>
  </si>
  <si>
    <t xml:space="preserve">        1.415.609,29</t>
  </si>
  <si>
    <t xml:space="preserve">          650.019,04</t>
  </si>
  <si>
    <t xml:space="preserve">          602.741,81</t>
  </si>
  <si>
    <t xml:space="preserve">           96.325,04</t>
  </si>
  <si>
    <t xml:space="preserve">          162.848,44</t>
  </si>
  <si>
    <t xml:space="preserve">            5.878,56</t>
  </si>
  <si>
    <t xml:space="preserve">           18.802,60</t>
  </si>
  <si>
    <t xml:space="preserve">           24.681,16</t>
  </si>
  <si>
    <t xml:space="preserve">          138.167,28</t>
  </si>
  <si>
    <t xml:space="preserve">          879.700,00</t>
  </si>
  <si>
    <t xml:space="preserve">          227.907,62</t>
  </si>
  <si>
    <t xml:space="preserve">           25.500,00</t>
  </si>
  <si>
    <t xml:space="preserve">           60.500,00</t>
  </si>
  <si>
    <t xml:space="preserve">          341.000,00</t>
  </si>
  <si>
    <t xml:space="preserve">          195.758,83</t>
  </si>
  <si>
    <t xml:space="preserve">          145.241,17</t>
  </si>
  <si>
    <t xml:space="preserve">           81.700,00</t>
  </si>
  <si>
    <t xml:space="preserve">           32.148,79</t>
  </si>
  <si>
    <t xml:space="preserve">           49.551,21</t>
  </si>
  <si>
    <t xml:space="preserve">           95.000,00</t>
  </si>
  <si>
    <t xml:space="preserve">          166.000,00</t>
  </si>
  <si>
    <t xml:space="preserve">          350.100,00</t>
  </si>
  <si>
    <t xml:space="preserve">          169.579,56</t>
  </si>
  <si>
    <t xml:space="preserve">            8.400,00</t>
  </si>
  <si>
    <t xml:space="preserve">            8.140,96</t>
  </si>
  <si>
    <t xml:space="preserve">              259,04</t>
  </si>
  <si>
    <t xml:space="preserve">            6.800,00</t>
  </si>
  <si>
    <t xml:space="preserve">            6.660,72</t>
  </si>
  <si>
    <t xml:space="preserve">              139,28</t>
  </si>
  <si>
    <t xml:space="preserve">           17.500,00</t>
  </si>
  <si>
    <t xml:space="preserve">           92.500,00</t>
  </si>
  <si>
    <t xml:space="preserve">           77.500,50</t>
  </si>
  <si>
    <t xml:space="preserve">           14.999,50</t>
  </si>
  <si>
    <t xml:space="preserve">           38.634,11</t>
  </si>
  <si>
    <t xml:space="preserve">           10.165,89</t>
  </si>
  <si>
    <t xml:space="preserve">           14.803,48</t>
  </si>
  <si>
    <t xml:space="preserve">           45.796,52</t>
  </si>
  <si>
    <t xml:space="preserve">           22.205,32</t>
  </si>
  <si>
    <t xml:space="preserve">           50.794,68</t>
  </si>
  <si>
    <t xml:space="preserve">            1.634,47</t>
  </si>
  <si>
    <t xml:space="preserve">          105.040,00</t>
  </si>
  <si>
    <t xml:space="preserve">           92.788,10</t>
  </si>
  <si>
    <t xml:space="preserve">           57.681,45</t>
  </si>
  <si>
    <t xml:space="preserve">           57.652,22</t>
  </si>
  <si>
    <t xml:space="preserve">               29,23</t>
  </si>
  <si>
    <t xml:space="preserve">           47.358,55</t>
  </si>
  <si>
    <t xml:space="preserve">           35.135,88</t>
  </si>
  <si>
    <t xml:space="preserve">          183.670,00</t>
  </si>
  <si>
    <t xml:space="preserve">          109.683,71</t>
  </si>
  <si>
    <t xml:space="preserve">           73.986,29</t>
  </si>
  <si>
    <t xml:space="preserve">          153.670,00</t>
  </si>
  <si>
    <t xml:space="preserve">           93.481,40</t>
  </si>
  <si>
    <t xml:space="preserve">           60.188,60</t>
  </si>
  <si>
    <t xml:space="preserve">           16.202,31</t>
  </si>
  <si>
    <t xml:space="preserve">           13.797,69</t>
  </si>
  <si>
    <t xml:space="preserve">        1.251.486,00</t>
  </si>
  <si>
    <t xml:space="preserve">          734.402,00</t>
  </si>
  <si>
    <t xml:space="preserve">           62.117,00</t>
  </si>
  <si>
    <t xml:space="preserve">           24.216,75</t>
  </si>
  <si>
    <t xml:space="preserve">           37.900,25</t>
  </si>
  <si>
    <t xml:space="preserve">          410.967,00</t>
  </si>
  <si>
    <t xml:space="preserve">           32.864,00</t>
  </si>
  <si>
    <t xml:space="preserve">           30.854,51</t>
  </si>
  <si>
    <t xml:space="preserve">            2.009,49</t>
  </si>
  <si>
    <t xml:space="preserve">          289.732,43</t>
  </si>
  <si>
    <t xml:space="preserve">          275.219,29</t>
  </si>
  <si>
    <t xml:space="preserve">            6.654,28</t>
  </si>
  <si>
    <t xml:space="preserve">                9,06</t>
  </si>
  <si>
    <t xml:space="preserve">          281.882,63</t>
  </si>
  <si>
    <t xml:space="preserve">            7.849,80</t>
  </si>
  <si>
    <t xml:space="preserve">          152.076,50</t>
  </si>
  <si>
    <t xml:space="preserve">          150.886,56</t>
  </si>
  <si>
    <t xml:space="preserve">            1.189,94</t>
  </si>
  <si>
    <t xml:space="preserve">            3.076,00</t>
  </si>
  <si>
    <t xml:space="preserve">            2.700,39</t>
  </si>
  <si>
    <t xml:space="preserve">              330,64</t>
  </si>
  <si>
    <t xml:space="preserve">            3.031,03</t>
  </si>
  <si>
    <t xml:space="preserve">               44,97</t>
  </si>
  <si>
    <t xml:space="preserve">           61.040,93</t>
  </si>
  <si>
    <t xml:space="preserve">           61.231,53</t>
  </si>
  <si>
    <t xml:space="preserve">            6.323,64</t>
  </si>
  <si>
    <t xml:space="preserve">           67.555,17</t>
  </si>
  <si>
    <t xml:space="preserve">           63.539,00</t>
  </si>
  <si>
    <t xml:space="preserve">           53.450,27</t>
  </si>
  <si>
    <t xml:space="preserve">           53.459,33</t>
  </si>
  <si>
    <t xml:space="preserve">           10.079,67</t>
  </si>
  <si>
    <t xml:space="preserve">            6.950,54</t>
  </si>
  <si>
    <t xml:space="preserve">            3.049,46</t>
  </si>
  <si>
    <t xml:space="preserve">        1.070.540,00</t>
  </si>
  <si>
    <t xml:space="preserve">          559.841,42</t>
  </si>
  <si>
    <t xml:space="preserve">          474.540,00</t>
  </si>
  <si>
    <t xml:space="preserve">          525.376,12</t>
  </si>
  <si>
    <t xml:space="preserve">          146.000,00</t>
  </si>
  <si>
    <t xml:space="preserve">           16.877,88</t>
  </si>
  <si>
    <t xml:space="preserve">          129.122,12</t>
  </si>
  <si>
    <t xml:space="preserve">           16.668,04</t>
  </si>
  <si>
    <t xml:space="preserve">              919,38</t>
  </si>
  <si>
    <t xml:space="preserve">           11.080,62</t>
  </si>
  <si>
    <t xml:space="preserve">          221.000,00</t>
  </si>
  <si>
    <t xml:space="preserve">        1.939.257,11</t>
  </si>
  <si>
    <t xml:space="preserve">        1.887.810,93</t>
  </si>
  <si>
    <t xml:space="preserve">          989.000,00</t>
  </si>
  <si>
    <t xml:space="preserve">          980.724,48</t>
  </si>
  <si>
    <t xml:space="preserve">           34.154,00</t>
  </si>
  <si>
    <t xml:space="preserve">           33.114,10</t>
  </si>
  <si>
    <t xml:space="preserve">            1.039,90</t>
  </si>
  <si>
    <t xml:space="preserve">           18.668,00</t>
  </si>
  <si>
    <t xml:space="preserve">           18.576,45</t>
  </si>
  <si>
    <t xml:space="preserve">               91,55</t>
  </si>
  <si>
    <t xml:space="preserve">          109.500,00</t>
  </si>
  <si>
    <t xml:space="preserve">          109.313,21</t>
  </si>
  <si>
    <t xml:space="preserve">              186,79</t>
  </si>
  <si>
    <t xml:space="preserve">           57.296,00</t>
  </si>
  <si>
    <t xml:space="preserve">           55.564,89</t>
  </si>
  <si>
    <t xml:space="preserve">            1.731,11</t>
  </si>
  <si>
    <t xml:space="preserve">           41.344,00</t>
  </si>
  <si>
    <t xml:space="preserve">           40.103,05</t>
  </si>
  <si>
    <t xml:space="preserve">            1.240,95</t>
  </si>
  <si>
    <t xml:space="preserve">            4.239,19</t>
  </si>
  <si>
    <t xml:space="preserve">            1.745,29</t>
  </si>
  <si>
    <t xml:space="preserve">            8.950,00</t>
  </si>
  <si>
    <t xml:space="preserve">            7.846,98</t>
  </si>
  <si>
    <t xml:space="preserve">           39.497,97</t>
  </si>
  <si>
    <t xml:space="preserve">          319.655,04</t>
  </si>
  <si>
    <t xml:space="preserve">          293.984,78</t>
  </si>
  <si>
    <t xml:space="preserve">           71.306,00</t>
  </si>
  <si>
    <t xml:space="preserve">           48.921,72</t>
  </si>
  <si>
    <t xml:space="preserve">           22.384,28</t>
  </si>
  <si>
    <t xml:space="preserve">          120.380,00</t>
  </si>
  <si>
    <t xml:space="preserve">          131.829,26</t>
  </si>
  <si>
    <t xml:space="preserve">           15.503,88</t>
  </si>
  <si>
    <t xml:space="preserve">            8.779,02</t>
  </si>
  <si>
    <t xml:space="preserve">           11.707,62</t>
  </si>
  <si>
    <t xml:space="preserve">            3.796,26</t>
  </si>
  <si>
    <t xml:space="preserve">           14.261,00</t>
  </si>
  <si>
    <t xml:space="preserve">           12.069,69</t>
  </si>
  <si>
    <t xml:space="preserve">            2.191,31</t>
  </si>
  <si>
    <t xml:space="preserve">           36.127,98</t>
  </si>
  <si>
    <t xml:space="preserve">           27.872,02</t>
  </si>
  <si>
    <t xml:space="preserve">           69.612,06</t>
  </si>
  <si>
    <t xml:space="preserve">          174.235,00</t>
  </si>
  <si>
    <t xml:space="preserve">          172.052,59</t>
  </si>
  <si>
    <t xml:space="preserve">            2.182,41</t>
  </si>
  <si>
    <t xml:space="preserve">           91.863,46</t>
  </si>
  <si>
    <t xml:space="preserve">           90.414,95</t>
  </si>
  <si>
    <t xml:space="preserve">            1.448,51</t>
  </si>
  <si>
    <t xml:space="preserve">           82.371,54</t>
  </si>
  <si>
    <t xml:space="preserve">           81.637,64</t>
  </si>
  <si>
    <t xml:space="preserve">              733,90</t>
  </si>
  <si>
    <t xml:space="preserve">          280.480,00</t>
  </si>
  <si>
    <t xml:space="preserve">          226.962,00</t>
  </si>
  <si>
    <t xml:space="preserve">           53.518,00</t>
  </si>
  <si>
    <t xml:space="preserve">          210.000,00</t>
  </si>
  <si>
    <t xml:space="preserve">          209.114,68</t>
  </si>
  <si>
    <t xml:space="preserve">              885,32</t>
  </si>
  <si>
    <t xml:space="preserve">           68.480,00</t>
  </si>
  <si>
    <t xml:space="preserve">           15.797,04</t>
  </si>
  <si>
    <t xml:space="preserve">           52.682,96</t>
  </si>
  <si>
    <t xml:space="preserve">            2.050,28</t>
  </si>
  <si>
    <t xml:space="preserve">          126.929,00</t>
  </si>
  <si>
    <t xml:space="preserve">          117.490,17</t>
  </si>
  <si>
    <t xml:space="preserve">            9.438,83</t>
  </si>
  <si>
    <t xml:space="preserve">           96.659,64</t>
  </si>
  <si>
    <t xml:space="preserve">           89.337,18</t>
  </si>
  <si>
    <t xml:space="preserve">            7.322,46</t>
  </si>
  <si>
    <t xml:space="preserve">            6.547,62</t>
  </si>
  <si>
    <t xml:space="preserve">            6.248,92</t>
  </si>
  <si>
    <t xml:space="preserve">              298,70</t>
  </si>
  <si>
    <t xml:space="preserve">           23.721,74</t>
  </si>
  <si>
    <t xml:space="preserve">           21.904,07</t>
  </si>
  <si>
    <t xml:space="preserve">            1.817,67</t>
  </si>
  <si>
    <t xml:space="preserve">          506.591,73</t>
  </si>
  <si>
    <t xml:space="preserve">           93.408,27</t>
  </si>
  <si>
    <t xml:space="preserve">          493.500,00</t>
  </si>
  <si>
    <t xml:space="preserve">          414.191,26</t>
  </si>
  <si>
    <t xml:space="preserve">           79.308,74</t>
  </si>
  <si>
    <t xml:space="preserve">              704,76</t>
  </si>
  <si>
    <t xml:space="preserve">              795,24</t>
  </si>
  <si>
    <t xml:space="preserve">           40.824,00</t>
  </si>
  <si>
    <t xml:space="preserve">           12.176,00</t>
  </si>
  <si>
    <t xml:space="preserve">           52.000,00</t>
  </si>
  <si>
    <t xml:space="preserve">           50.871,71</t>
  </si>
  <si>
    <t xml:space="preserve">            1.128,29</t>
  </si>
  <si>
    <t xml:space="preserve">          244.753,77</t>
  </si>
  <si>
    <t xml:space="preserve">          108.758,75</t>
  </si>
  <si>
    <t xml:space="preserve">            8.036,14</t>
  </si>
  <si>
    <t xml:space="preserve">            6.972,13</t>
  </si>
  <si>
    <t xml:space="preserve">              378,25</t>
  </si>
  <si>
    <t xml:space="preserve">            7.350,38</t>
  </si>
  <si>
    <t xml:space="preserve">              685,76</t>
  </si>
  <si>
    <t xml:space="preserve">           43.578,33</t>
  </si>
  <si>
    <t xml:space="preserve">           24.006,27</t>
  </si>
  <si>
    <t xml:space="preserve">           19.572,06</t>
  </si>
  <si>
    <t xml:space="preserve">           35.803,45</t>
  </si>
  <si>
    <t xml:space="preserve">           34.140,21</t>
  </si>
  <si>
    <t xml:space="preserve">              441,44</t>
  </si>
  <si>
    <t xml:space="preserve">           34.581,65</t>
  </si>
  <si>
    <t xml:space="preserve">            1.221,80</t>
  </si>
  <si>
    <t xml:space="preserve">           53.221,34</t>
  </si>
  <si>
    <t xml:space="preserve">           10.934,03</t>
  </si>
  <si>
    <t xml:space="preserve">           13.934,32</t>
  </si>
  <si>
    <t xml:space="preserve">              403,78</t>
  </si>
  <si>
    <t xml:space="preserve">            9.676,61</t>
  </si>
  <si>
    <t xml:space="preserve">            6.171,15</t>
  </si>
  <si>
    <t xml:space="preserve">            2.139,66</t>
  </si>
  <si>
    <t xml:space="preserve">            8.310,81</t>
  </si>
  <si>
    <t xml:space="preserve">            1.365,80</t>
  </si>
  <si>
    <t xml:space="preserve">           80.264,63</t>
  </si>
  <si>
    <t xml:space="preserve">           26.131,18</t>
  </si>
  <si>
    <t xml:space="preserve">              238,95</t>
  </si>
  <si>
    <t xml:space="preserve">          262.876,00</t>
  </si>
  <si>
    <t xml:space="preserve">          225.067,91</t>
  </si>
  <si>
    <t xml:space="preserve">           37.808,09</t>
  </si>
  <si>
    <t xml:space="preserve">          155.031,72</t>
  </si>
  <si>
    <t xml:space="preserve">          144.521,15</t>
  </si>
  <si>
    <t xml:space="preserve">           10.510,57</t>
  </si>
  <si>
    <t xml:space="preserve">           98.911,72</t>
  </si>
  <si>
    <t xml:space="preserve">           72.434,29</t>
  </si>
  <si>
    <t xml:space="preserve">           26.477,43</t>
  </si>
  <si>
    <t xml:space="preserve">            8.932,56</t>
  </si>
  <si>
    <t xml:space="preserve">            8.112,47</t>
  </si>
  <si>
    <t xml:space="preserve">              820,09</t>
  </si>
  <si>
    <t xml:space="preserve">          233.400,00</t>
  </si>
  <si>
    <t xml:space="preserve">          227.119,78</t>
  </si>
  <si>
    <t xml:space="preserve">            6.280,22</t>
  </si>
  <si>
    <t xml:space="preserve">           62.100,00</t>
  </si>
  <si>
    <t xml:space="preserve">           60.585,27</t>
  </si>
  <si>
    <t xml:space="preserve">            1.514,73</t>
  </si>
  <si>
    <t xml:space="preserve">           50.105,31</t>
  </si>
  <si>
    <t xml:space="preserve">            3.894,69</t>
  </si>
  <si>
    <t xml:space="preserve">          117.300,00</t>
  </si>
  <si>
    <t xml:space="preserve">          116.429,20</t>
  </si>
  <si>
    <t xml:space="preserve">              870,80</t>
  </si>
  <si>
    <t xml:space="preserve">           74.000,00</t>
  </si>
  <si>
    <t xml:space="preserve">           51.653,78</t>
  </si>
  <si>
    <t xml:space="preserve">           22.346,22</t>
  </si>
  <si>
    <t xml:space="preserve">            6.500,00</t>
  </si>
  <si>
    <t xml:space="preserve">           15.846,22</t>
  </si>
  <si>
    <t xml:space="preserve">           56.241,90</t>
  </si>
  <si>
    <t xml:space="preserve">           45.819,36</t>
  </si>
  <si>
    <t xml:space="preserve">           10.422,54</t>
  </si>
  <si>
    <t xml:space="preserve">           36.062,61</t>
  </si>
  <si>
    <t xml:space="preserve">           29.262,81</t>
  </si>
  <si>
    <t xml:space="preserve">            6.799,80</t>
  </si>
  <si>
    <t xml:space="preserve">            2.692,65</t>
  </si>
  <si>
    <t xml:space="preserve">            1.693,31</t>
  </si>
  <si>
    <t xml:space="preserve">              999,34</t>
  </si>
  <si>
    <t xml:space="preserve">            6.351,93</t>
  </si>
  <si>
    <t xml:space="preserve">            5.412,63</t>
  </si>
  <si>
    <t xml:space="preserve">              939,30</t>
  </si>
  <si>
    <t xml:space="preserve">           11.134,71</t>
  </si>
  <si>
    <t xml:space="preserve">            9.450,61</t>
  </si>
  <si>
    <t xml:space="preserve">            1.684,10</t>
  </si>
  <si>
    <t xml:space="preserve">          183.447,60</t>
  </si>
  <si>
    <t xml:space="preserve">           68.705,13</t>
  </si>
  <si>
    <t xml:space="preserve">           76.937,87</t>
  </si>
  <si>
    <t xml:space="preserve">           73.353,83</t>
  </si>
  <si>
    <t xml:space="preserve">            3.584,04</t>
  </si>
  <si>
    <t xml:space="preserve">          128.904,07</t>
  </si>
  <si>
    <t xml:space="preserve">           27.392,39</t>
  </si>
  <si>
    <t xml:space="preserve">           34.328,50</t>
  </si>
  <si>
    <t xml:space="preserve">        5.189.167,50</t>
  </si>
  <si>
    <t xml:space="preserve">        4.326.167,50</t>
  </si>
  <si>
    <t xml:space="preserve">          242.000,00</t>
  </si>
  <si>
    <t xml:space="preserve">          206.000,00</t>
  </si>
  <si>
    <t xml:space="preserve">           66.490,27</t>
  </si>
  <si>
    <t xml:space="preserve">          139.509,73</t>
  </si>
  <si>
    <t xml:space="preserve">          175.000,00</t>
  </si>
  <si>
    <t xml:space="preserve">          180.000,00</t>
  </si>
  <si>
    <t xml:space="preserve">           27.449,81</t>
  </si>
  <si>
    <t xml:space="preserve">           32.550,19</t>
  </si>
  <si>
    <t xml:space="preserve">          149.464,00</t>
  </si>
  <si>
    <t xml:space="preserve">          131.389,50</t>
  </si>
  <si>
    <t xml:space="preserve">           18.074,50</t>
  </si>
  <si>
    <t xml:space="preserve">          147.828,61</t>
  </si>
  <si>
    <t xml:space="preserve">          129.754,11</t>
  </si>
  <si>
    <t xml:space="preserve">            1.635,39</t>
  </si>
  <si>
    <t xml:space="preserve">          166.769,00</t>
  </si>
  <si>
    <t xml:space="preserve">          160.708,92</t>
  </si>
  <si>
    <t xml:space="preserve">            6.060,08</t>
  </si>
  <si>
    <t xml:space="preserve">            5.621,34</t>
  </si>
  <si>
    <t xml:space="preserve">          132.218,19</t>
  </si>
  <si>
    <t xml:space="preserve">          126.158,11</t>
  </si>
  <si>
    <t xml:space="preserve">           28.929,47</t>
  </si>
  <si>
    <t xml:space="preserve">          357.140,00</t>
  </si>
  <si>
    <t xml:space="preserve">          316.663,73</t>
  </si>
  <si>
    <t xml:space="preserve">           40.476,27</t>
  </si>
  <si>
    <t xml:space="preserve">          900.000,00</t>
  </si>
  <si>
    <t xml:space="preserve">          285.872,65</t>
  </si>
  <si>
    <t xml:space="preserve">          614.127,35</t>
  </si>
  <si>
    <t xml:space="preserve">          394.059,10</t>
  </si>
  <si>
    <t xml:space="preserve">           38.185,00</t>
  </si>
  <si>
    <t xml:space="preserve">           31.706,74</t>
  </si>
  <si>
    <t xml:space="preserve">            6.478,26</t>
  </si>
  <si>
    <t xml:space="preserve">           35.978,57</t>
  </si>
  <si>
    <t xml:space="preserve">           21.489,46</t>
  </si>
  <si>
    <t xml:space="preserve">           14.489,11</t>
  </si>
  <si>
    <t xml:space="preserve">           46.823,39</t>
  </si>
  <si>
    <t xml:space="preserve">           45.324,08</t>
  </si>
  <si>
    <t xml:space="preserve">            1.499,31</t>
  </si>
  <si>
    <t xml:space="preserve">           17.801,03</t>
  </si>
  <si>
    <t xml:space="preserve">           27.198,97</t>
  </si>
  <si>
    <t xml:space="preserve">           49.110,00</t>
  </si>
  <si>
    <t xml:space="preserve">           28.130,34</t>
  </si>
  <si>
    <t xml:space="preserve">           20.979,66</t>
  </si>
  <si>
    <t xml:space="preserve">           36.865,94</t>
  </si>
  <si>
    <t xml:space="preserve">           23.955,21</t>
  </si>
  <si>
    <t xml:space="preserve">           12.910,73</t>
  </si>
  <si>
    <t xml:space="preserve">           21.268,00</t>
  </si>
  <si>
    <t xml:space="preserve">            7.488,50</t>
  </si>
  <si>
    <t xml:space="preserve">           13.779,50</t>
  </si>
  <si>
    <t xml:space="preserve">           22.710,00</t>
  </si>
  <si>
    <t xml:space="preserve">           15.070,49</t>
  </si>
  <si>
    <t xml:space="preserve">            7.639,51</t>
  </si>
  <si>
    <t xml:space="preserve">           41.063,87</t>
  </si>
  <si>
    <t xml:space="preserve">            7.936,13</t>
  </si>
  <si>
    <t xml:space="preserve">           39.594,26</t>
  </si>
  <si>
    <t xml:space="preserve">            9.405,74</t>
  </si>
  <si>
    <t xml:space="preserve">           14.248,67</t>
  </si>
  <si>
    <t xml:space="preserve">           15.751,33</t>
  </si>
  <si>
    <t xml:space="preserve">          450.450,00</t>
  </si>
  <si>
    <t xml:space="preserve">           88.270,00</t>
  </si>
  <si>
    <t xml:space="preserve">          228.130,00</t>
  </si>
  <si>
    <t xml:space="preserve">            2.047,46</t>
  </si>
  <si>
    <t xml:space="preserve">          226.082,54</t>
  </si>
  <si>
    <t xml:space="preserve">          134.050,00</t>
  </si>
  <si>
    <t xml:space="preserve">            4.149,74</t>
  </si>
  <si>
    <t xml:space="preserve">          129.900,26</t>
  </si>
  <si>
    <t xml:space="preserve">          660.000,00</t>
  </si>
  <si>
    <t xml:space="preserve">          547.397,58</t>
  </si>
  <si>
    <t xml:space="preserve">          112.602,42</t>
  </si>
  <si>
    <t xml:space="preserve">          220.000,00</t>
  </si>
  <si>
    <t xml:space="preserve">          148.211,00</t>
  </si>
  <si>
    <t xml:space="preserve">           81.781,82</t>
  </si>
  <si>
    <t xml:space="preserve">           66.429,18</t>
  </si>
  <si>
    <t xml:space="preserve">           15.578,00</t>
  </si>
  <si>
    <t xml:space="preserve">           11.392,85</t>
  </si>
  <si>
    <t xml:space="preserve">            4.185,15</t>
  </si>
  <si>
    <t xml:space="preserve">          115.039,00</t>
  </si>
  <si>
    <t xml:space="preserve">           70.388,97</t>
  </si>
  <si>
    <t xml:space="preserve">           44.650,03</t>
  </si>
  <si>
    <t xml:space="preserve">           17.594,00</t>
  </si>
  <si>
    <t xml:space="preserve">           60.095,73</t>
  </si>
  <si>
    <t xml:space="preserve">           59.904,27</t>
  </si>
  <si>
    <t xml:space="preserve">           31.809,04</t>
  </si>
  <si>
    <t xml:space="preserve">            4.190,96</t>
  </si>
  <si>
    <t xml:space="preserve">           53.500,00</t>
  </si>
  <si>
    <t xml:space="preserve">           18.948,74</t>
  </si>
  <si>
    <t xml:space="preserve">           34.551,26</t>
  </si>
  <si>
    <t xml:space="preserve">            9.337,95</t>
  </si>
  <si>
    <t xml:space="preserve">            3.662,05</t>
  </si>
  <si>
    <t xml:space="preserve">           20.372,32</t>
  </si>
  <si>
    <t xml:space="preserve">           79.627,68</t>
  </si>
  <si>
    <t xml:space="preserve">           44.100,00</t>
  </si>
  <si>
    <t xml:space="preserve">           12.100,00</t>
  </si>
  <si>
    <t xml:space="preserve">            7.360,31</t>
  </si>
  <si>
    <t xml:space="preserve">            2.139,69</t>
  </si>
  <si>
    <t xml:space="preserve">           13.900,00</t>
  </si>
  <si>
    <t xml:space="preserve">           13.012,01</t>
  </si>
  <si>
    <t xml:space="preserve">              887,99</t>
  </si>
  <si>
    <t xml:space="preserve">          113.180,00</t>
  </si>
  <si>
    <t xml:space="preserve">          100.301,65</t>
  </si>
  <si>
    <t xml:space="preserve">           12.878,35</t>
  </si>
  <si>
    <t xml:space="preserve">          113.119,00</t>
  </si>
  <si>
    <t xml:space="preserve">           12.817,35</t>
  </si>
  <si>
    <t xml:space="preserve">               61,00</t>
  </si>
  <si>
    <t xml:space="preserve">          216.600,00</t>
  </si>
  <si>
    <t xml:space="preserve">          116.601,75</t>
  </si>
  <si>
    <t xml:space="preserve">          115.677,52</t>
  </si>
  <si>
    <t xml:space="preserve">              924,23</t>
  </si>
  <si>
    <t xml:space="preserve">            5.839,85</t>
  </si>
  <si>
    <t xml:space="preserve">            2.360,15</t>
  </si>
  <si>
    <t xml:space="preserve">           24.500,00</t>
  </si>
  <si>
    <t xml:space="preserve">           27.298,25</t>
  </si>
  <si>
    <t xml:space="preserve">           28.000,00</t>
  </si>
  <si>
    <t xml:space="preserve">            5.542,32</t>
  </si>
  <si>
    <t xml:space="preserve">            6.457,68</t>
  </si>
  <si>
    <t xml:space="preserve">          223.000,00</t>
  </si>
  <si>
    <t xml:space="preserve">            9.000,00</t>
  </si>
  <si>
    <t xml:space="preserve">          916.040,39</t>
  </si>
  <si>
    <t xml:space="preserve">          586.025,30</t>
  </si>
  <si>
    <t xml:space="preserve">            6.709,56</t>
  </si>
  <si>
    <t xml:space="preserve">           22.582,78</t>
  </si>
  <si>
    <t xml:space="preserve">            6.493,96</t>
  </si>
  <si>
    <t xml:space="preserve">           16.088,82</t>
  </si>
  <si>
    <t xml:space="preserve">          428.421,90</t>
  </si>
  <si>
    <t xml:space="preserve">          235.094,38</t>
  </si>
  <si>
    <t xml:space="preserve">          193.327,52</t>
  </si>
  <si>
    <t xml:space="preserve">          348.120,96</t>
  </si>
  <si>
    <t xml:space="preserve">          286.811,17</t>
  </si>
  <si>
    <t xml:space="preserve">          104.039,72</t>
  </si>
  <si>
    <t xml:space="preserve">           57.625,79</t>
  </si>
  <si>
    <t xml:space="preserve">            8.322,97</t>
  </si>
  <si>
    <t xml:space="preserve">           65.948,76</t>
  </si>
  <si>
    <t xml:space="preserve">           38.090,96</t>
  </si>
  <si>
    <t xml:space="preserve">            9.605,03</t>
  </si>
  <si>
    <t xml:space="preserve">          114.700,00</t>
  </si>
  <si>
    <t xml:space="preserve">           80.334,42</t>
  </si>
  <si>
    <t xml:space="preserve">           34.365,58</t>
  </si>
  <si>
    <t xml:space="preserve">           14.600,00</t>
  </si>
  <si>
    <t xml:space="preserve">           13.878,39</t>
  </si>
  <si>
    <t xml:space="preserve">              721,61</t>
  </si>
  <si>
    <t xml:space="preserve">           46.881,72</t>
  </si>
  <si>
    <t xml:space="preserve">              118,28</t>
  </si>
  <si>
    <t xml:space="preserve">           15.653,40</t>
  </si>
  <si>
    <t xml:space="preserve">            1.846,60</t>
  </si>
  <si>
    <t xml:space="preserve">            5.900,00</t>
  </si>
  <si>
    <t xml:space="preserve">            3.398,44</t>
  </si>
  <si>
    <t xml:space="preserve">            2.501,56</t>
  </si>
  <si>
    <t xml:space="preserve">              522,47</t>
  </si>
  <si>
    <t xml:space="preserve">           29.177,53</t>
  </si>
  <si>
    <t xml:space="preserve">          385.047,00</t>
  </si>
  <si>
    <t xml:space="preserve">          354.619,69</t>
  </si>
  <si>
    <t xml:space="preserve">           30.427,31</t>
  </si>
  <si>
    <t xml:space="preserve">          105.677,00</t>
  </si>
  <si>
    <t xml:space="preserve">          103.383,90</t>
  </si>
  <si>
    <t xml:space="preserve">            2.293,10</t>
  </si>
  <si>
    <t xml:space="preserve">          118.389,00</t>
  </si>
  <si>
    <t xml:space="preserve">          114.482,72</t>
  </si>
  <si>
    <t xml:space="preserve">            3.906,28</t>
  </si>
  <si>
    <t xml:space="preserve">           95.451,00</t>
  </si>
  <si>
    <t xml:space="preserve">           88.970,76</t>
  </si>
  <si>
    <t xml:space="preserve">            6.480,24</t>
  </si>
  <si>
    <t xml:space="preserve">           65.530,00</t>
  </si>
  <si>
    <t xml:space="preserve">           47.782,31</t>
  </si>
  <si>
    <t xml:space="preserve">           17.747,69</t>
  </si>
  <si>
    <t xml:space="preserve">          179.300,00</t>
  </si>
  <si>
    <t xml:space="preserve">            8.718,27</t>
  </si>
  <si>
    <t xml:space="preserve">            8.806,87</t>
  </si>
  <si>
    <t xml:space="preserve">          103.400,00</t>
  </si>
  <si>
    <t xml:space="preserve">           20.900,00</t>
  </si>
  <si>
    <t xml:space="preserve">           12.181,73</t>
  </si>
  <si>
    <t xml:space="preserve">           45.200,00</t>
  </si>
  <si>
    <t xml:space="preserve">           38.746,01</t>
  </si>
  <si>
    <t xml:space="preserve">            6.453,99</t>
  </si>
  <si>
    <t xml:space="preserve">          609.900,00</t>
  </si>
  <si>
    <t xml:space="preserve">          501.512,77</t>
  </si>
  <si>
    <t xml:space="preserve">          108.387,23</t>
  </si>
  <si>
    <t xml:space="preserve">           78.900,00</t>
  </si>
  <si>
    <t xml:space="preserve">           65.982,22</t>
  </si>
  <si>
    <t xml:space="preserve">           12.917,78</t>
  </si>
  <si>
    <t xml:space="preserve">           77.600,00</t>
  </si>
  <si>
    <t xml:space="preserve">           61.551,92</t>
  </si>
  <si>
    <t xml:space="preserve">           16.048,08</t>
  </si>
  <si>
    <t xml:space="preserve">           25.300,00</t>
  </si>
  <si>
    <t xml:space="preserve">           19.662,74</t>
  </si>
  <si>
    <t xml:space="preserve">            5.637,26</t>
  </si>
  <si>
    <t xml:space="preserve">           77.200,00</t>
  </si>
  <si>
    <t xml:space="preserve">           45.008,91</t>
  </si>
  <si>
    <t xml:space="preserve">           32.191,09</t>
  </si>
  <si>
    <t xml:space="preserve">           39.600,00</t>
  </si>
  <si>
    <t xml:space="preserve">           28.707,79</t>
  </si>
  <si>
    <t xml:space="preserve">           10.892,21</t>
  </si>
  <si>
    <t xml:space="preserve">           33.900,00</t>
  </si>
  <si>
    <t xml:space="preserve">           25.800,70</t>
  </si>
  <si>
    <t xml:space="preserve">            8.099,30</t>
  </si>
  <si>
    <t xml:space="preserve">            7.582,34</t>
  </si>
  <si>
    <t xml:space="preserve">            7.417,66</t>
  </si>
  <si>
    <t xml:space="preserve">          262.400,00</t>
  </si>
  <si>
    <t xml:space="preserve">          247.216,15</t>
  </si>
  <si>
    <t xml:space="preserve">           15.183,85</t>
  </si>
  <si>
    <t xml:space="preserve">          766.473,37</t>
  </si>
  <si>
    <t xml:space="preserve">          542.510,46</t>
  </si>
  <si>
    <t xml:space="preserve">            3.095,35</t>
  </si>
  <si>
    <t xml:space="preserve">          545.605,81</t>
  </si>
  <si>
    <t xml:space="preserve">          220.867,56</t>
  </si>
  <si>
    <t xml:space="preserve">          626.095,37</t>
  </si>
  <si>
    <t xml:space="preserve">          525.595,40</t>
  </si>
  <si>
    <t xml:space="preserve">          100.499,97</t>
  </si>
  <si>
    <t xml:space="preserve">            2.200,00</t>
  </si>
  <si>
    <t xml:space="preserve">            1.650,00</t>
  </si>
  <si>
    <t xml:space="preserve">            1.950,00</t>
  </si>
  <si>
    <t xml:space="preserve">           41.077,50</t>
  </si>
  <si>
    <t xml:space="preserve">           16.915,06</t>
  </si>
  <si>
    <t xml:space="preserve">           20.010,41</t>
  </si>
  <si>
    <t xml:space="preserve">           21.067,09</t>
  </si>
  <si>
    <t xml:space="preserve">           78.336,00</t>
  </si>
  <si>
    <t xml:space="preserve">           30.130,09</t>
  </si>
  <si>
    <t xml:space="preserve">           48.205,91</t>
  </si>
  <si>
    <t xml:space="preserve">           53.336,00</t>
  </si>
  <si>
    <t xml:space="preserve">           23.205,91</t>
  </si>
  <si>
    <t xml:space="preserve">          105.000,00</t>
  </si>
  <si>
    <t xml:space="preserve">           73.249,88</t>
  </si>
  <si>
    <t xml:space="preserve">           31.750,12</t>
  </si>
  <si>
    <t xml:space="preserve">           47.300,00</t>
  </si>
  <si>
    <t xml:space="preserve">           33.248,38</t>
  </si>
  <si>
    <t xml:space="preserve">           14.051,62</t>
  </si>
  <si>
    <t xml:space="preserve">           21.000,00</t>
  </si>
  <si>
    <t xml:space="preserve">           19.327,50</t>
  </si>
  <si>
    <t xml:space="preserve">            1.672,50</t>
  </si>
  <si>
    <t xml:space="preserve">           31.700,00</t>
  </si>
  <si>
    <t xml:space="preserve">           20.674,00</t>
  </si>
  <si>
    <t xml:space="preserve">           11.026,00</t>
  </si>
  <si>
    <t xml:space="preserve">           89.500,00</t>
  </si>
  <si>
    <t xml:space="preserve">           87.097,39</t>
  </si>
  <si>
    <t xml:space="preserve">            2.402,61</t>
  </si>
  <si>
    <t xml:space="preserve">           21.594,58</t>
  </si>
  <si>
    <t xml:space="preserve">           19.983,00</t>
  </si>
  <si>
    <t xml:space="preserve">            1.611,58</t>
  </si>
  <si>
    <t xml:space="preserve">           36.859,45</t>
  </si>
  <si>
    <t xml:space="preserve">           36.068,42</t>
  </si>
  <si>
    <t xml:space="preserve">              791,03</t>
  </si>
  <si>
    <t xml:space="preserve">           31.045,97</t>
  </si>
  <si>
    <t xml:space="preserve">           65.940,00</t>
  </si>
  <si>
    <t xml:space="preserve">           55.634,98</t>
  </si>
  <si>
    <t xml:space="preserve">           10.305,02</t>
  </si>
  <si>
    <t xml:space="preserve">           78.029,00</t>
  </si>
  <si>
    <t xml:space="preserve">           72.935,05</t>
  </si>
  <si>
    <t xml:space="preserve">            5.093,95</t>
  </si>
  <si>
    <t xml:space="preserve">           49.284,09</t>
  </si>
  <si>
    <t xml:space="preserve">           28.744,91</t>
  </si>
  <si>
    <t xml:space="preserve">           23.650,96</t>
  </si>
  <si>
    <t xml:space="preserve">          154.330,08</t>
  </si>
  <si>
    <t xml:space="preserve">          126.567,30</t>
  </si>
  <si>
    <t xml:space="preserve">           27.762,78</t>
  </si>
  <si>
    <t xml:space="preserve">           88.549,34</t>
  </si>
  <si>
    <t xml:space="preserve">           72.509,47</t>
  </si>
  <si>
    <t xml:space="preserve">           16.039,87</t>
  </si>
  <si>
    <t xml:space="preserve">           26.710,15</t>
  </si>
  <si>
    <t xml:space="preserve">           23.275,06</t>
  </si>
  <si>
    <t xml:space="preserve">            3.435,09</t>
  </si>
  <si>
    <t xml:space="preserve">           26.615,55</t>
  </si>
  <si>
    <t xml:space="preserve">           22.474,41</t>
  </si>
  <si>
    <t xml:space="preserve">            4.141,14</t>
  </si>
  <si>
    <t xml:space="preserve">           12.454,96</t>
  </si>
  <si>
    <t xml:space="preserve">            8.308,36</t>
  </si>
  <si>
    <t xml:space="preserve">            4.146,60</t>
  </si>
  <si>
    <t xml:space="preserve">           98.357,44</t>
  </si>
  <si>
    <t xml:space="preserve">           92.033,80</t>
  </si>
  <si>
    <t xml:space="preserve">           86.665,06</t>
  </si>
  <si>
    <t xml:space="preserve">           82.329,51</t>
  </si>
  <si>
    <t xml:space="preserve">            4.335,55</t>
  </si>
  <si>
    <t xml:space="preserve">           11.692,19</t>
  </si>
  <si>
    <t xml:space="preserve">            9.704,29</t>
  </si>
  <si>
    <t xml:space="preserve">            1.987,90</t>
  </si>
  <si>
    <t xml:space="preserve">                0,19</t>
  </si>
  <si>
    <t xml:space="preserve">          162.810,86</t>
  </si>
  <si>
    <t xml:space="preserve">          162.406,98</t>
  </si>
  <si>
    <t xml:space="preserve">              403,88</t>
  </si>
  <si>
    <t xml:space="preserve">          107.627,20</t>
  </si>
  <si>
    <t xml:space="preserve">          123.402,45</t>
  </si>
  <si>
    <t xml:space="preserve">            1.762,09</t>
  </si>
  <si>
    <t xml:space="preserve">              983,58</t>
  </si>
  <si>
    <t xml:space="preserve">              778,51</t>
  </si>
  <si>
    <t xml:space="preserve">            2.215,56</t>
  </si>
  <si>
    <t xml:space="preserve">            1.650,25</t>
  </si>
  <si>
    <t xml:space="preserve">              565,31</t>
  </si>
  <si>
    <t xml:space="preserve">           36.405,01</t>
  </si>
  <si>
    <t xml:space="preserve">           36.370,70</t>
  </si>
  <si>
    <t xml:space="preserve">               34,31</t>
  </si>
  <si>
    <t xml:space="preserve">        2.701.502,00</t>
  </si>
  <si>
    <t xml:space="preserve">        2.245.908,22</t>
  </si>
  <si>
    <t xml:space="preserve">          455.593,78</t>
  </si>
  <si>
    <t xml:space="preserve">        2.572.099,00</t>
  </si>
  <si>
    <t xml:space="preserve">        2.208.580,75</t>
  </si>
  <si>
    <t xml:space="preserve">          363.518,25</t>
  </si>
  <si>
    <t xml:space="preserve">            6.736,21</t>
  </si>
  <si>
    <t xml:space="preserve">            4.763,79</t>
  </si>
  <si>
    <t xml:space="preserve">           30.591,26</t>
  </si>
  <si>
    <t xml:space="preserve">            3.408,74</t>
  </si>
  <si>
    <t xml:space="preserve">           67.903,00</t>
  </si>
  <si>
    <t xml:space="preserve">          131.100,00</t>
  </si>
  <si>
    <t xml:space="preserve">          127.597,44</t>
  </si>
  <si>
    <t xml:space="preserve">            3.502,56</t>
  </si>
  <si>
    <t xml:space="preserve">           76.022,00</t>
  </si>
  <si>
    <t xml:space="preserve">           73.053,88</t>
  </si>
  <si>
    <t xml:space="preserve">            2.968,12</t>
  </si>
  <si>
    <t xml:space="preserve">           55.078,00</t>
  </si>
  <si>
    <t xml:space="preserve">           54.543,56</t>
  </si>
  <si>
    <t xml:space="preserve">              534,44</t>
  </si>
  <si>
    <t xml:space="preserve">          314.125,00</t>
  </si>
  <si>
    <t xml:space="preserve">          234.428,79</t>
  </si>
  <si>
    <t xml:space="preserve">           79.696,21</t>
  </si>
  <si>
    <t xml:space="preserve">          216.476,00</t>
  </si>
  <si>
    <t xml:space="preserve">          214.272,96</t>
  </si>
  <si>
    <t xml:space="preserve">            2.203,04</t>
  </si>
  <si>
    <t xml:space="preserve">           77.649,00</t>
  </si>
  <si>
    <t xml:space="preserve">           20.155,83</t>
  </si>
  <si>
    <t xml:space="preserve">           57.493,17</t>
  </si>
  <si>
    <t xml:space="preserve">          239.519,00</t>
  </si>
  <si>
    <t xml:space="preserve">          177.051,56</t>
  </si>
  <si>
    <t xml:space="preserve">           62.467,44</t>
  </si>
  <si>
    <t xml:space="preserve">          204.971,00</t>
  </si>
  <si>
    <t xml:space="preserve">          155.573,88</t>
  </si>
  <si>
    <t xml:space="preserve">           49.397,12</t>
  </si>
  <si>
    <t xml:space="preserve">           24.548,00</t>
  </si>
  <si>
    <t xml:space="preserve">           21.477,68</t>
  </si>
  <si>
    <t xml:space="preserve">            3.070,32</t>
  </si>
  <si>
    <t xml:space="preserve">          277.029,41</t>
  </si>
  <si>
    <t xml:space="preserve">          190.197,11</t>
  </si>
  <si>
    <t xml:space="preserve">           86.832,30</t>
  </si>
  <si>
    <t xml:space="preserve">            4.458,84</t>
  </si>
  <si>
    <t xml:space="preserve">            4.458,64</t>
  </si>
  <si>
    <t xml:space="preserve">          255.364,46</t>
  </si>
  <si>
    <t xml:space="preserve">          172.024,46</t>
  </si>
  <si>
    <t xml:space="preserve">           83.340,00</t>
  </si>
  <si>
    <t xml:space="preserve">           17.206,11</t>
  </si>
  <si>
    <t xml:space="preserve">           13.714,01</t>
  </si>
  <si>
    <t xml:space="preserve">            3.492,10</t>
  </si>
  <si>
    <t xml:space="preserve">          120.497,50</t>
  </si>
  <si>
    <t xml:space="preserve">          116.353,34</t>
  </si>
  <si>
    <t xml:space="preserve">            4.144,16</t>
  </si>
  <si>
    <t xml:space="preserve">          472.860,00</t>
  </si>
  <si>
    <t xml:space="preserve">          276.737,17</t>
  </si>
  <si>
    <t xml:space="preserve">          273.803,59</t>
  </si>
  <si>
    <t xml:space="preserve">           62.200,00</t>
  </si>
  <si>
    <t xml:space="preserve">            2.933,58</t>
  </si>
  <si>
    <t xml:space="preserve">           15.800,00</t>
  </si>
  <si>
    <t xml:space="preserve">            7.390,00</t>
  </si>
  <si>
    <t xml:space="preserve">           19.470,00</t>
  </si>
  <si>
    <t xml:space="preserve">           90.782,06</t>
  </si>
  <si>
    <t xml:space="preserve">           60.685,09</t>
  </si>
  <si>
    <t xml:space="preserve">           30.096,97</t>
  </si>
  <si>
    <t xml:space="preserve">           83.764,81</t>
  </si>
  <si>
    <t xml:space="preserve">           59.011,39</t>
  </si>
  <si>
    <t xml:space="preserve">           24.753,42</t>
  </si>
  <si>
    <t xml:space="preserve">              756,35</t>
  </si>
  <si>
    <t xml:space="preserve">            3.235,50</t>
  </si>
  <si>
    <t xml:space="preserve">            1.673,70</t>
  </si>
  <si>
    <t xml:space="preserve">            1.561,80</t>
  </si>
  <si>
    <t xml:space="preserve">            3.025,40</t>
  </si>
  <si>
    <t xml:space="preserve">          508.900,00</t>
  </si>
  <si>
    <t xml:space="preserve">          383.773,14</t>
  </si>
  <si>
    <t xml:space="preserve">          125.126,86</t>
  </si>
  <si>
    <t xml:space="preserve">          400.000,00</t>
  </si>
  <si>
    <t xml:space="preserve">          362.463,41</t>
  </si>
  <si>
    <t xml:space="preserve">           37.536,59</t>
  </si>
  <si>
    <t xml:space="preserve">          108.900,00</t>
  </si>
  <si>
    <t xml:space="preserve">           21.309,73</t>
  </si>
  <si>
    <t xml:space="preserve">           87.590,27</t>
  </si>
  <si>
    <t xml:space="preserve">       24.334.362,01</t>
  </si>
  <si>
    <t xml:space="preserve">        4.000.000,00</t>
  </si>
  <si>
    <t xml:space="preserve">           17.641,25</t>
  </si>
  <si>
    <t xml:space="preserve">        3.982.358,75</t>
  </si>
  <si>
    <t xml:space="preserve">        2.610.000,00</t>
  </si>
  <si>
    <t xml:space="preserve">        1.651.073,00</t>
  </si>
  <si>
    <t xml:space="preserve">        8.999.413,01</t>
  </si>
  <si>
    <t xml:space="preserve">               53,00</t>
  </si>
  <si>
    <t xml:space="preserve">        5.823.823,00</t>
  </si>
  <si>
    <t xml:space="preserve">        1.150.000,00</t>
  </si>
  <si>
    <t xml:space="preserve">          102.103,71</t>
  </si>
  <si>
    <t xml:space="preserve">           12.252,45</t>
  </si>
  <si>
    <t xml:space="preserve">           55.136,00</t>
  </si>
  <si>
    <t xml:space="preserve">           34.715,26</t>
  </si>
  <si>
    <t xml:space="preserve">        2.870.567,87</t>
  </si>
  <si>
    <t xml:space="preserve">        2.322.024,80</t>
  </si>
  <si>
    <t xml:space="preserve">        2.124.138,00</t>
  </si>
  <si>
    <t xml:space="preserve">        2.026.348,79</t>
  </si>
  <si>
    <t xml:space="preserve">           97.789,21</t>
  </si>
  <si>
    <t xml:space="preserve">          276.809,33</t>
  </si>
  <si>
    <t xml:space="preserve">           14.159,17</t>
  </si>
  <si>
    <t xml:space="preserve">          262.650,16</t>
  </si>
  <si>
    <t xml:space="preserve">           89.339,56</t>
  </si>
  <si>
    <t xml:space="preserve">            3.428,71</t>
  </si>
  <si>
    <t xml:space="preserve">           85.910,85</t>
  </si>
  <si>
    <t xml:space="preserve">           91.494,05</t>
  </si>
  <si>
    <t xml:space="preserve">           87.251,81</t>
  </si>
  <si>
    <t xml:space="preserve">          197.596,10</t>
  </si>
  <si>
    <t xml:space="preserve">          122.625,91</t>
  </si>
  <si>
    <t xml:space="preserve">           74.970,19</t>
  </si>
  <si>
    <t xml:space="preserve">           37.831,64</t>
  </si>
  <si>
    <t xml:space="preserve">           27.320,86</t>
  </si>
  <si>
    <t xml:space="preserve">           10.510,78</t>
  </si>
  <si>
    <t xml:space="preserve">           47.792,86</t>
  </si>
  <si>
    <t xml:space="preserve">           40.889,55</t>
  </si>
  <si>
    <t xml:space="preserve">            5.566,33</t>
  </si>
  <si>
    <t xml:space="preserve">          251.425,00</t>
  </si>
  <si>
    <t xml:space="preserve">          238.340,19</t>
  </si>
  <si>
    <t xml:space="preserve">           13.084,11</t>
  </si>
  <si>
    <t xml:space="preserve">        1.235.000,00</t>
  </si>
  <si>
    <t xml:space="preserve">          635.515,54</t>
  </si>
  <si>
    <t xml:space="preserve">          331.642,30</t>
  </si>
  <si>
    <t xml:space="preserve">           88.186,05</t>
  </si>
  <si>
    <t xml:space="preserve">           11.813,95</t>
  </si>
  <si>
    <t xml:space="preserve">           43.244,69</t>
  </si>
  <si>
    <t xml:space="preserve">           31.755,31</t>
  </si>
  <si>
    <t xml:space="preserve">           92.312,06</t>
  </si>
  <si>
    <t xml:space="preserve">           51.488,31</t>
  </si>
  <si>
    <t xml:space="preserve">           47.404,21</t>
  </si>
  <si>
    <t xml:space="preserve">            4.084,10</t>
  </si>
  <si>
    <t xml:space="preserve">           29.362,80</t>
  </si>
  <si>
    <t xml:space="preserve">            2.637,20</t>
  </si>
  <si>
    <t xml:space="preserve">           97.604,39</t>
  </si>
  <si>
    <t xml:space="preserve">           56.775,00</t>
  </si>
  <si>
    <t xml:space="preserve">           48.243,19</t>
  </si>
  <si>
    <t xml:space="preserve">            8.531,81</t>
  </si>
  <si>
    <t xml:space="preserve">           71.500,00</t>
  </si>
  <si>
    <t xml:space="preserve">           29.247,55</t>
  </si>
  <si>
    <t xml:space="preserve">           42.252,45</t>
  </si>
  <si>
    <t xml:space="preserve">            7.259,55</t>
  </si>
  <si>
    <t xml:space="preserve">            4.740,45</t>
  </si>
  <si>
    <t xml:space="preserve">           72.523,65</t>
  </si>
  <si>
    <t xml:space="preserve">           46.945,87</t>
  </si>
  <si>
    <t xml:space="preserve">            2.054,13</t>
  </si>
  <si>
    <t xml:space="preserve">           36.850,00</t>
  </si>
  <si>
    <t xml:space="preserve">           35.394,68</t>
  </si>
  <si>
    <t xml:space="preserve">            1.455,32</t>
  </si>
  <si>
    <t xml:space="preserve">           98.000,00</t>
  </si>
  <si>
    <t xml:space="preserve">           95.391,24</t>
  </si>
  <si>
    <t xml:space="preserve">            2.608,76</t>
  </si>
  <si>
    <t xml:space="preserve">          346.500,00</t>
  </si>
  <si>
    <t xml:space="preserve">          320.000,00</t>
  </si>
  <si>
    <t xml:space="preserve">          368.500,00</t>
  </si>
  <si>
    <t xml:space="preserve">          261.940,50</t>
  </si>
  <si>
    <t xml:space="preserve">          106.559,50</t>
  </si>
  <si>
    <t xml:space="preserve">          352.500,00</t>
  </si>
  <si>
    <t xml:space="preserve">           90.559,50</t>
  </si>
  <si>
    <t xml:space="preserve">          435.767,00</t>
  </si>
  <si>
    <t xml:space="preserve">           13.108,00</t>
  </si>
  <si>
    <t xml:space="preserve">          269.663,00</t>
  </si>
  <si>
    <t xml:space="preserve">          152.996,00</t>
  </si>
  <si>
    <t xml:space="preserve">        1.164.800,00</t>
  </si>
  <si>
    <t xml:space="preserve">        1.056.571,62</t>
  </si>
  <si>
    <t xml:space="preserve">          410.319,21</t>
  </si>
  <si>
    <t xml:space="preserve">          405.019,58</t>
  </si>
  <si>
    <t xml:space="preserve">            5.299,63</t>
  </si>
  <si>
    <t xml:space="preserve">          414.000,00</t>
  </si>
  <si>
    <t xml:space="preserve">          403.741,19</t>
  </si>
  <si>
    <t xml:space="preserve">            3.770,92</t>
  </si>
  <si>
    <t xml:space="preserve">           13.336,48</t>
  </si>
  <si>
    <t xml:space="preserve">           17.107,40</t>
  </si>
  <si>
    <t xml:space="preserve">              892,60</t>
  </si>
  <si>
    <t xml:space="preserve">          173.180,79</t>
  </si>
  <si>
    <t xml:space="preserve">          157.440,36</t>
  </si>
  <si>
    <t xml:space="preserve">          119.300,00</t>
  </si>
  <si>
    <t xml:space="preserve">           86.599,57</t>
  </si>
  <si>
    <t xml:space="preserve">           32.700,43</t>
  </si>
  <si>
    <t xml:space="preserve">          861.100,00</t>
  </si>
  <si>
    <t xml:space="preserve">          119.338,60</t>
  </si>
  <si>
    <t xml:space="preserve">          475.264,36</t>
  </si>
  <si>
    <t xml:space="preserve">          555.000,00</t>
  </si>
  <si>
    <t xml:space="preserve">          550.198,37</t>
  </si>
  <si>
    <t xml:space="preserve">            4.801,63</t>
  </si>
  <si>
    <t xml:space="preserve">       31.100.000,00</t>
  </si>
  <si>
    <t xml:space="preserve">       15.180.630,00</t>
  </si>
  <si>
    <t xml:space="preserve">            3.319,84</t>
  </si>
  <si>
    <t xml:space="preserve">           14.794,70</t>
  </si>
  <si>
    <t xml:space="preserve">          985.205,30</t>
  </si>
  <si>
    <t xml:space="preserve">           11.475,47</t>
  </si>
  <si>
    <t xml:space="preserve">            8.524,53</t>
  </si>
  <si>
    <t xml:space="preserve">        6.700.000,00</t>
  </si>
  <si>
    <t xml:space="preserve">        1.299.370,00</t>
  </si>
  <si>
    <t xml:space="preserve">          156.708,00</t>
  </si>
  <si>
    <t xml:space="preserve">           26.772,00</t>
  </si>
  <si>
    <t xml:space="preserve">          730.255,00</t>
  </si>
  <si>
    <t xml:space="preserve">          108.343,00</t>
  </si>
  <si>
    <t xml:space="preserve">          108.040,78</t>
  </si>
  <si>
    <t xml:space="preserve">              302,22</t>
  </si>
  <si>
    <t xml:space="preserve">          183.603,00</t>
  </si>
  <si>
    <t xml:space="preserve">          177.790,26</t>
  </si>
  <si>
    <t xml:space="preserve">            5.812,74</t>
  </si>
  <si>
    <t xml:space="preserve">          122.306,00</t>
  </si>
  <si>
    <t xml:space="preserve">          122.305,74</t>
  </si>
  <si>
    <t xml:space="preserve">           77.020,00</t>
  </si>
  <si>
    <t xml:space="preserve">           77.019,83</t>
  </si>
  <si>
    <t xml:space="preserve">           45.173,00</t>
  </si>
  <si>
    <t xml:space="preserve">           45.172,20</t>
  </si>
  <si>
    <t xml:space="preserve">                0,80</t>
  </si>
  <si>
    <t xml:space="preserve">           27.692,00</t>
  </si>
  <si>
    <t xml:space="preserve">           26.173,00</t>
  </si>
  <si>
    <t xml:space="preserve">           17.408,00</t>
  </si>
  <si>
    <t xml:space="preserve">           10.469,43</t>
  </si>
  <si>
    <t xml:space="preserve">            6.938,57</t>
  </si>
  <si>
    <t xml:space="preserve">           44.461,00</t>
  </si>
  <si>
    <t xml:space="preserve">           78.076,00</t>
  </si>
  <si>
    <t xml:space="preserve">          224.700,00</t>
  </si>
  <si>
    <t xml:space="preserve">           18.710,99</t>
  </si>
  <si>
    <t xml:space="preserve">          205.989,01</t>
  </si>
  <si>
    <t xml:space="preserve">           26.800,00</t>
  </si>
  <si>
    <t xml:space="preserve">           12.269,29</t>
  </si>
  <si>
    <t xml:space="preserve">           14.530,71</t>
  </si>
  <si>
    <t xml:space="preserve">           99.000,00</t>
  </si>
  <si>
    <t xml:space="preserve">            6.441,70</t>
  </si>
  <si>
    <t xml:space="preserve">           92.558,30</t>
  </si>
  <si>
    <t xml:space="preserve">           98.900,00</t>
  </si>
  <si>
    <t xml:space="preserve">           84.000,00</t>
  </si>
  <si>
    <t xml:space="preserve">           65.899,76</t>
  </si>
  <si>
    <t xml:space="preserve">           18.100,24</t>
  </si>
  <si>
    <t xml:space="preserve">          221.700,00</t>
  </si>
  <si>
    <t xml:space="preserve">           12.074,43</t>
  </si>
  <si>
    <t xml:space="preserve">           98.846,50</t>
  </si>
  <si>
    <t xml:space="preserve">          148.200,00</t>
  </si>
  <si>
    <t xml:space="preserve">           49.353,50</t>
  </si>
  <si>
    <t xml:space="preserve">           21.100,00</t>
  </si>
  <si>
    <t xml:space="preserve">           17.900,00</t>
  </si>
  <si>
    <t xml:space="preserve">            5.825,57</t>
  </si>
  <si>
    <t xml:space="preserve">          382.000,00</t>
  </si>
  <si>
    <t xml:space="preserve">           95.668,62</t>
  </si>
  <si>
    <t xml:space="preserve">          286.331,38</t>
  </si>
  <si>
    <t xml:space="preserve">           57.238,54</t>
  </si>
  <si>
    <t xml:space="preserve">           37.761,46</t>
  </si>
  <si>
    <t xml:space="preserve">           47.500,00</t>
  </si>
  <si>
    <t xml:space="preserve">           38.430,08</t>
  </si>
  <si>
    <t xml:space="preserve">           21.569,92</t>
  </si>
  <si>
    <t xml:space="preserve">          157.121,00</t>
  </si>
  <si>
    <t xml:space="preserve">          136.651,93</t>
  </si>
  <si>
    <t xml:space="preserve">           20.469,07</t>
  </si>
  <si>
    <t xml:space="preserve">           95.853,00</t>
  </si>
  <si>
    <t xml:space="preserve">          105.527,88</t>
  </si>
  <si>
    <t xml:space="preserve">           28.162,00</t>
  </si>
  <si>
    <t xml:space="preserve">           30.106,79</t>
  </si>
  <si>
    <t xml:space="preserve">           28.606,00</t>
  </si>
  <si>
    <t xml:space="preserve">              598,48</t>
  </si>
  <si>
    <t xml:space="preserve">           28.007,52</t>
  </si>
  <si>
    <t xml:space="preserve">              418,78</t>
  </si>
  <si>
    <t xml:space="preserve">            4.081,22</t>
  </si>
  <si>
    <t xml:space="preserve">          213.400,00</t>
  </si>
  <si>
    <t xml:space="preserve">           78.554,42</t>
  </si>
  <si>
    <t xml:space="preserve">          134.845,58</t>
  </si>
  <si>
    <t xml:space="preserve">           63.400,00</t>
  </si>
  <si>
    <t xml:space="preserve">           55.971,84</t>
  </si>
  <si>
    <t xml:space="preserve">            7.428,16</t>
  </si>
  <si>
    <t xml:space="preserve">           34.400,00</t>
  </si>
  <si>
    <t xml:space="preserve">           22.582,58</t>
  </si>
  <si>
    <t xml:space="preserve">           11.817,42</t>
  </si>
  <si>
    <t xml:space="preserve">          114.300,00</t>
  </si>
  <si>
    <t xml:space="preserve">              400,00</t>
  </si>
  <si>
    <t xml:space="preserve">          521.404,00</t>
  </si>
  <si>
    <t xml:space="preserve">              893,31</t>
  </si>
  <si>
    <t xml:space="preserve">           17.858,82</t>
  </si>
  <si>
    <t xml:space="preserve">           15.344,91</t>
  </si>
  <si>
    <t xml:space="preserve">          469.136,98</t>
  </si>
  <si>
    <t xml:space="preserve">          435.039,94</t>
  </si>
  <si>
    <t xml:space="preserve">          453.792,07</t>
  </si>
  <si>
    <t xml:space="preserve">           52.267,02</t>
  </si>
  <si>
    <t xml:space="preserve">          152.173,41</t>
  </si>
  <si>
    <t xml:space="preserve">           64.426,59</t>
  </si>
  <si>
    <t xml:space="preserve">          105.403,00</t>
  </si>
  <si>
    <t xml:space="preserve">           87.765,54</t>
  </si>
  <si>
    <t xml:space="preserve">           17.637,46</t>
  </si>
  <si>
    <t xml:space="preserve">           42.548,00</t>
  </si>
  <si>
    <t xml:space="preserve">           35.201,65</t>
  </si>
  <si>
    <t xml:space="preserve">            7.346,35</t>
  </si>
  <si>
    <t xml:space="preserve">           29.902,81</t>
  </si>
  <si>
    <t xml:space="preserve">           29.206,22</t>
  </si>
  <si>
    <t xml:space="preserve">              696,59</t>
  </si>
  <si>
    <t xml:space="preserve">          336.600,00</t>
  </si>
  <si>
    <t xml:space="preserve">          203.000,00</t>
  </si>
  <si>
    <t xml:space="preserve">           77.233,34</t>
  </si>
  <si>
    <t xml:space="preserve">           64.241,82</t>
  </si>
  <si>
    <t xml:space="preserve">           12.991,52</t>
  </si>
  <si>
    <t xml:space="preserve">           31.866,66</t>
  </si>
  <si>
    <t xml:space="preserve">           17.600,00</t>
  </si>
  <si>
    <t xml:space="preserve">          421.034,65</t>
  </si>
  <si>
    <t xml:space="preserve">          420.436,52</t>
  </si>
  <si>
    <t xml:space="preserve">              598,13</t>
  </si>
  <si>
    <t xml:space="preserve">          360.234,06</t>
  </si>
  <si>
    <t xml:space="preserve">          360.091,49</t>
  </si>
  <si>
    <t xml:space="preserve">              142,57</t>
  </si>
  <si>
    <t xml:space="preserve">           60.800,59</t>
  </si>
  <si>
    <t xml:space="preserve">           60.345,03</t>
  </si>
  <si>
    <t xml:space="preserve">              455,56</t>
  </si>
  <si>
    <t xml:space="preserve">          160.779,26</t>
  </si>
  <si>
    <t xml:space="preserve">          146.213,58</t>
  </si>
  <si>
    <t xml:space="preserve">           14.565,68</t>
  </si>
  <si>
    <t xml:space="preserve">          163.218,46</t>
  </si>
  <si>
    <t xml:space="preserve">          101.438,09</t>
  </si>
  <si>
    <t xml:space="preserve">          132.898,46</t>
  </si>
  <si>
    <t xml:space="preserve">              720,00</t>
  </si>
  <si>
    <t xml:space="preserve">            1.800,00</t>
  </si>
  <si>
    <t xml:space="preserve">          373.534,82</t>
  </si>
  <si>
    <t xml:space="preserve">          226.465,18</t>
  </si>
  <si>
    <t xml:space="preserve">           94.230,65</t>
  </si>
  <si>
    <t xml:space="preserve">           28.395,00</t>
  </si>
  <si>
    <t xml:space="preserve">           24.234,43</t>
  </si>
  <si>
    <t xml:space="preserve">            4.160,57</t>
  </si>
  <si>
    <t xml:space="preserve">           93.079,05</t>
  </si>
  <si>
    <t xml:space="preserve">           53.420,66</t>
  </si>
  <si>
    <t xml:space="preserve">           39.658,39</t>
  </si>
  <si>
    <t xml:space="preserve">           99.950,25</t>
  </si>
  <si>
    <t xml:space="preserve">           73.588,63</t>
  </si>
  <si>
    <t xml:space="preserve">           26.361,62</t>
  </si>
  <si>
    <t xml:space="preserve">           41.017,00</t>
  </si>
  <si>
    <t xml:space="preserve">           39.527,42</t>
  </si>
  <si>
    <t xml:space="preserve">            1.489,58</t>
  </si>
  <si>
    <t xml:space="preserve">           97.860,16</t>
  </si>
  <si>
    <t xml:space="preserve">           82.520,84</t>
  </si>
  <si>
    <t xml:space="preserve">           15.339,32</t>
  </si>
  <si>
    <t xml:space="preserve">           50.042,50</t>
  </si>
  <si>
    <t xml:space="preserve">           37.344,49</t>
  </si>
  <si>
    <t xml:space="preserve">           12.698,01</t>
  </si>
  <si>
    <t xml:space="preserve">           24.017,00</t>
  </si>
  <si>
    <t xml:space="preserve">           16.880,18</t>
  </si>
  <si>
    <t xml:space="preserve">            7.136,82</t>
  </si>
  <si>
    <t xml:space="preserve">           71.408,39</t>
  </si>
  <si>
    <t xml:space="preserve">           46.018,17</t>
  </si>
  <si>
    <t xml:space="preserve">           25.390,22</t>
  </si>
  <si>
    <t xml:space="preserve">          215.500,00</t>
  </si>
  <si>
    <t xml:space="preserve">           12.800,00</t>
  </si>
  <si>
    <t xml:space="preserve">          170.600,00</t>
  </si>
  <si>
    <t xml:space="preserve">            5.300,00</t>
  </si>
  <si>
    <t xml:space="preserve">        1.394.631,00</t>
  </si>
  <si>
    <t xml:space="preserve">           29.639,65</t>
  </si>
  <si>
    <t xml:space="preserve">              639,65</t>
  </si>
  <si>
    <t xml:space="preserve">          731.626,46</t>
  </si>
  <si>
    <t xml:space="preserve">          668.498,63</t>
  </si>
  <si>
    <t xml:space="preserve">          633.364,89</t>
  </si>
  <si>
    <t xml:space="preserve">          841.583,00</t>
  </si>
  <si>
    <t xml:space="preserve">          265.892,00</t>
  </si>
  <si>
    <t xml:space="preserve">          425.691,00</t>
  </si>
  <si>
    <t xml:space="preserve">          509.283,00</t>
  </si>
  <si>
    <t xml:space="preserve">          510.201,00</t>
  </si>
  <si>
    <t xml:space="preserve">          238.000,00</t>
  </si>
  <si>
    <t xml:space="preserve">          164.946,00</t>
  </si>
  <si>
    <t xml:space="preserve">          107.255,00</t>
  </si>
  <si>
    <t xml:space="preserve">          531.880,00</t>
  </si>
  <si>
    <t xml:space="preserve">          139.500,00</t>
  </si>
  <si>
    <t xml:space="preserve">          237.125,00</t>
  </si>
  <si>
    <t xml:space="preserve">          155.255,00</t>
  </si>
  <si>
    <t xml:space="preserve">          785.941,00</t>
  </si>
  <si>
    <t xml:space="preserve">            2.617,70</t>
  </si>
  <si>
    <t xml:space="preserve">           11.538,00</t>
  </si>
  <si>
    <t xml:space="preserve">           10.577,00</t>
  </si>
  <si>
    <t xml:space="preserve">          370.882,00</t>
  </si>
  <si>
    <t xml:space="preserve">           69.264,00</t>
  </si>
  <si>
    <t xml:space="preserve">           80.769,00</t>
  </si>
  <si>
    <t xml:space="preserve">           78.151,30</t>
  </si>
  <si>
    <t xml:space="preserve">           19.231,00</t>
  </si>
  <si>
    <t xml:space="preserve">          174.642,00</t>
  </si>
  <si>
    <t xml:space="preserve">           28.846,00</t>
  </si>
  <si>
    <t xml:space="preserve">            9.615,00</t>
  </si>
  <si>
    <t xml:space="preserve">          673.342,00</t>
  </si>
  <si>
    <t xml:space="preserve">          292.915,00</t>
  </si>
  <si>
    <t xml:space="preserve">           34.632,00</t>
  </si>
  <si>
    <t xml:space="preserve">          158.688,58</t>
  </si>
  <si>
    <t xml:space="preserve">           54.925,15</t>
  </si>
  <si>
    <t xml:space="preserve">          103.763,43</t>
  </si>
  <si>
    <t xml:space="preserve">          146.162,58</t>
  </si>
  <si>
    <t xml:space="preserve">           43.164,77</t>
  </si>
  <si>
    <t xml:space="preserve">          102.997,81</t>
  </si>
  <si>
    <t xml:space="preserve">           12.526,00</t>
  </si>
  <si>
    <t xml:space="preserve">           11.760,38</t>
  </si>
  <si>
    <t xml:space="preserve">              765,62</t>
  </si>
  <si>
    <t xml:space="preserve">          314.299,00</t>
  </si>
  <si>
    <t xml:space="preserve">          252.024,37</t>
  </si>
  <si>
    <t xml:space="preserve">           62.274,63</t>
  </si>
  <si>
    <t xml:space="preserve">          117.681,00</t>
  </si>
  <si>
    <t xml:space="preserve">           77.442,83</t>
  </si>
  <si>
    <t xml:space="preserve">           40.238,17</t>
  </si>
  <si>
    <t xml:space="preserve">          196.618,00</t>
  </si>
  <si>
    <t xml:space="preserve">          174.581,54</t>
  </si>
  <si>
    <t xml:space="preserve">           22.036,46</t>
  </si>
  <si>
    <t xml:space="preserve">          456.800,00</t>
  </si>
  <si>
    <t xml:space="preserve">          315.682,83</t>
  </si>
  <si>
    <t xml:space="preserve">          141.117,17</t>
  </si>
  <si>
    <t xml:space="preserve">          339.400,00</t>
  </si>
  <si>
    <t xml:space="preserve">           23.717,17</t>
  </si>
  <si>
    <t xml:space="preserve">           42.400,00</t>
  </si>
  <si>
    <t xml:space="preserve">        1.371.590,00</t>
  </si>
  <si>
    <t xml:space="preserve">        1.167.183,94</t>
  </si>
  <si>
    <t xml:space="preserve">          204.406,06</t>
  </si>
  <si>
    <t xml:space="preserve">        1.371.589,00</t>
  </si>
  <si>
    <t xml:space="preserve">          204.405,06</t>
  </si>
  <si>
    <t xml:space="preserve">            1.790,29</t>
  </si>
  <si>
    <t xml:space="preserve">          280.000,00</t>
  </si>
  <si>
    <t xml:space="preserve">          470.000,00</t>
  </si>
  <si>
    <t xml:space="preserve">          841.074,00</t>
  </si>
  <si>
    <t xml:space="preserve">          266.000,00</t>
  </si>
  <si>
    <t xml:space="preserve">          430.000,00</t>
  </si>
  <si>
    <t xml:space="preserve">          145.074,00</t>
  </si>
  <si>
    <t xml:space="preserve">          263.634,00</t>
  </si>
  <si>
    <t xml:space="preserve">          103.027,01</t>
  </si>
  <si>
    <t xml:space="preserve">          178.568,00</t>
  </si>
  <si>
    <t xml:space="preserve">           75.540,99</t>
  </si>
  <si>
    <t xml:space="preserve">           64.481,00</t>
  </si>
  <si>
    <t xml:space="preserve">           41.815,87</t>
  </si>
  <si>
    <t xml:space="preserve">           20.585,00</t>
  </si>
  <si>
    <t xml:space="preserve">          183.905,00</t>
  </si>
  <si>
    <t xml:space="preserve">          115.201,92</t>
  </si>
  <si>
    <t xml:space="preserve">           89.570,00</t>
  </si>
  <si>
    <t xml:space="preserve">           54.029,09</t>
  </si>
  <si>
    <t xml:space="preserve">           94.335,00</t>
  </si>
  <si>
    <t xml:space="preserve">           61.172,83</t>
  </si>
  <si>
    <t xml:space="preserve">          526.339,00</t>
  </si>
  <si>
    <t xml:space="preserve">           71.000,00</t>
  </si>
  <si>
    <t xml:space="preserve">           91.339,00</t>
  </si>
  <si>
    <t xml:space="preserve">          545.000,00</t>
  </si>
  <si>
    <t xml:space="preserve">            7.015,26</t>
  </si>
  <si>
    <t xml:space="preserve">          258.285,89</t>
  </si>
  <si>
    <t xml:space="preserve">          265.301,15</t>
  </si>
  <si>
    <t xml:space="preserve">          697.769,52</t>
  </si>
  <si>
    <t xml:space="preserve">          818.916,09</t>
  </si>
  <si>
    <t xml:space="preserve">          489.164,71</t>
  </si>
  <si>
    <t xml:space="preserve">            4.016,00</t>
  </si>
  <si>
    <t xml:space="preserve">          493.180,71</t>
  </si>
  <si>
    <t xml:space="preserve">          325.735,38</t>
  </si>
  <si>
    <t xml:space="preserve">            9.596,64</t>
  </si>
  <si>
    <t xml:space="preserve">            1.160,59</t>
  </si>
  <si>
    <t xml:space="preserve">           10.757,23</t>
  </si>
  <si>
    <t xml:space="preserve">            3.242,77</t>
  </si>
  <si>
    <t xml:space="preserve">          368.423,47</t>
  </si>
  <si>
    <t xml:space="preserve">          141.276,32</t>
  </si>
  <si>
    <t xml:space="preserve">           98.001,73</t>
  </si>
  <si>
    <t xml:space="preserve">           43.274,59</t>
  </si>
  <si>
    <t xml:space="preserve">           13.142,87</t>
  </si>
  <si>
    <t xml:space="preserve">            2.855,41</t>
  </si>
  <si>
    <t xml:space="preserve">           15.998,28</t>
  </si>
  <si>
    <t xml:space="preserve">          413.000,00</t>
  </si>
  <si>
    <t xml:space="preserve">           67.074,32</t>
  </si>
  <si>
    <t xml:space="preserve">            2.925,68</t>
  </si>
  <si>
    <t xml:space="preserve">           77.000,00</t>
  </si>
  <si>
    <t xml:space="preserve">           37.261,79</t>
  </si>
  <si>
    <t xml:space="preserve">           39.738,21</t>
  </si>
  <si>
    <t xml:space="preserve">           16.669,95</t>
  </si>
  <si>
    <t xml:space="preserve">            8.330,05</t>
  </si>
  <si>
    <t xml:space="preserve">          122.500,00</t>
  </si>
  <si>
    <t xml:space="preserve">           51.500,00</t>
  </si>
  <si>
    <t xml:space="preserve">        1.165.555,00</t>
  </si>
  <si>
    <t xml:space="preserve">          713.552,00</t>
  </si>
  <si>
    <t xml:space="preserve">          703.068,38</t>
  </si>
  <si>
    <t xml:space="preserve">           10.483,62</t>
  </si>
  <si>
    <t xml:space="preserve">              219,43</t>
  </si>
  <si>
    <t xml:space="preserve">            8.780,57</t>
  </si>
  <si>
    <t xml:space="preserve">           66.583,00</t>
  </si>
  <si>
    <t xml:space="preserve">           32.372,31</t>
  </si>
  <si>
    <t xml:space="preserve">            7.192,20</t>
  </si>
  <si>
    <t xml:space="preserve">           39.564,51</t>
  </si>
  <si>
    <t xml:space="preserve">           27.018,49</t>
  </si>
  <si>
    <t xml:space="preserve">              494,63</t>
  </si>
  <si>
    <t xml:space="preserve">          153.470,37</t>
  </si>
  <si>
    <t xml:space="preserve">           83.000,00</t>
  </si>
  <si>
    <t xml:space="preserve">            5.872,51</t>
  </si>
  <si>
    <t xml:space="preserve">            2.627,49</t>
  </si>
  <si>
    <t xml:space="preserve">           99.980,00</t>
  </si>
  <si>
    <t xml:space="preserve">           81.821,97</t>
  </si>
  <si>
    <t xml:space="preserve">           18.158,03</t>
  </si>
  <si>
    <t xml:space="preserve">           59.948,00</t>
  </si>
  <si>
    <t xml:space="preserve">           26.950,00</t>
  </si>
  <si>
    <t xml:space="preserve">           18.030,00</t>
  </si>
  <si>
    <t xml:space="preserve">           15.721,04</t>
  </si>
  <si>
    <t xml:space="preserve">            2.308,96</t>
  </si>
  <si>
    <t xml:space="preserve">           25.045,40</t>
  </si>
  <si>
    <t xml:space="preserve">           93.349,39</t>
  </si>
  <si>
    <t xml:space="preserve">            6.650,61</t>
  </si>
  <si>
    <t xml:space="preserve">           42.076,23</t>
  </si>
  <si>
    <t xml:space="preserve">          213.392,00</t>
  </si>
  <si>
    <t xml:space="preserve">          131.753,56</t>
  </si>
  <si>
    <t xml:space="preserve">            8.229,60</t>
  </si>
  <si>
    <t xml:space="preserve">          139.983,16</t>
  </si>
  <si>
    <t xml:space="preserve">           73.408,84</t>
  </si>
  <si>
    <t xml:space="preserve">           99.390,00</t>
  </si>
  <si>
    <t xml:space="preserve">           98.039,44</t>
  </si>
  <si>
    <t xml:space="preserve">            1.350,56</t>
  </si>
  <si>
    <t xml:space="preserve">          114.002,00</t>
  </si>
  <si>
    <t xml:space="preserve">           33.714,12</t>
  </si>
  <si>
    <t xml:space="preserve">           41.943,72</t>
  </si>
  <si>
    <t xml:space="preserve">           72.058,28</t>
  </si>
  <si>
    <t xml:space="preserve">        1.225.271,00</t>
  </si>
  <si>
    <t xml:space="preserve">            7.034,44</t>
  </si>
  <si>
    <t xml:space="preserve">            1.249,01</t>
  </si>
  <si>
    <t xml:space="preserve">           32.102,00</t>
  </si>
  <si>
    <t xml:space="preserve">          170.054,13</t>
  </si>
  <si>
    <t xml:space="preserve">          326.726,80</t>
  </si>
  <si>
    <t xml:space="preserve">           97.537,49</t>
  </si>
  <si>
    <t xml:space="preserve">           65.435,49</t>
  </si>
  <si>
    <t xml:space="preserve">          158.811,11</t>
  </si>
  <si>
    <t xml:space="preserve">           27.720,32</t>
  </si>
  <si>
    <t xml:space="preserve">           64.342,48</t>
  </si>
  <si>
    <t xml:space="preserve">           69.624,60</t>
  </si>
  <si>
    <t xml:space="preserve">           68.144,45</t>
  </si>
  <si>
    <t xml:space="preserve">           37.795,04</t>
  </si>
  <si>
    <t xml:space="preserve">           73.719,26</t>
  </si>
  <si>
    <t xml:space="preserve">           61.475,41</t>
  </si>
  <si>
    <t xml:space="preserve">            9.221,31</t>
  </si>
  <si>
    <t xml:space="preserve">           60.098,34</t>
  </si>
  <si>
    <t xml:space="preserve">            8.283,45</t>
  </si>
  <si>
    <t xml:space="preserve">           51.814,89</t>
  </si>
  <si>
    <t xml:space="preserve">          204.972,00</t>
  </si>
  <si>
    <t xml:space="preserve">            1.716,56</t>
  </si>
  <si>
    <t xml:space="preserve">          178.255,44</t>
  </si>
  <si>
    <t xml:space="preserve">          287.978,00</t>
  </si>
  <si>
    <t xml:space="preserve">            2.600,84</t>
  </si>
  <si>
    <t xml:space="preserve">            6.885,00</t>
  </si>
  <si>
    <t xml:space="preserve">            1.418,02</t>
  </si>
  <si>
    <t xml:space="preserve">            4.018,86</t>
  </si>
  <si>
    <t xml:space="preserve">            2.866,14</t>
  </si>
  <si>
    <t xml:space="preserve">          223.936,00</t>
  </si>
  <si>
    <t xml:space="preserve">           40.136,00</t>
  </si>
  <si>
    <t xml:space="preserve">           17.021,00</t>
  </si>
  <si>
    <t xml:space="preserve">          383.000,00</t>
  </si>
  <si>
    <t xml:space="preserve">          121.853,01</t>
  </si>
  <si>
    <t xml:space="preserve">           63.041,39</t>
  </si>
  <si>
    <t xml:space="preserve">           40.896,67</t>
  </si>
  <si>
    <t xml:space="preserve">            1.650,06</t>
  </si>
  <si>
    <t xml:space="preserve">           11.280,00</t>
  </si>
  <si>
    <t xml:space="preserve">           10.923,12</t>
  </si>
  <si>
    <t xml:space="preserve">              356,88</t>
  </si>
  <si>
    <t xml:space="preserve">           17.020,00</t>
  </si>
  <si>
    <t xml:space="preserve">           15.837,81</t>
  </si>
  <si>
    <t xml:space="preserve">            1.182,19</t>
  </si>
  <si>
    <t xml:space="preserve">           24.150,00</t>
  </si>
  <si>
    <t xml:space="preserve">           25.550,00</t>
  </si>
  <si>
    <t xml:space="preserve">           15.204,86</t>
  </si>
  <si>
    <t xml:space="preserve">           10.345,14</t>
  </si>
  <si>
    <t xml:space="preserve">           15.958,61</t>
  </si>
  <si>
    <t xml:space="preserve">           12.380,47</t>
  </si>
  <si>
    <t xml:space="preserve">            2.619,53</t>
  </si>
  <si>
    <t xml:space="preserve">            9.001,41</t>
  </si>
  <si>
    <t xml:space="preserve">           10.998,59</t>
  </si>
  <si>
    <t xml:space="preserve">          239.107,00</t>
  </si>
  <si>
    <t xml:space="preserve">          140.212,00</t>
  </si>
  <si>
    <t xml:space="preserve">           98.081,50</t>
  </si>
  <si>
    <t xml:space="preserve">           42.130,50</t>
  </si>
  <si>
    <t xml:space="preserve">           74.989,00</t>
  </si>
  <si>
    <t xml:space="preserve">           26.538,00</t>
  </si>
  <si>
    <t xml:space="preserve">           48.451,00</t>
  </si>
  <si>
    <t xml:space="preserve">        1.851.072,00</t>
  </si>
  <si>
    <t xml:space="preserve">          466.103,29</t>
  </si>
  <si>
    <t xml:space="preserve">        1.384.968,71</t>
  </si>
  <si>
    <t xml:space="preserve">           41.444,00</t>
  </si>
  <si>
    <t xml:space="preserve">          269.989,00</t>
  </si>
  <si>
    <t xml:space="preserve">          515.884,00</t>
  </si>
  <si>
    <t xml:space="preserve">          367.990,05</t>
  </si>
  <si>
    <t xml:space="preserve">          147.893,95</t>
  </si>
  <si>
    <t xml:space="preserve">          259.107,00</t>
  </si>
  <si>
    <t xml:space="preserve">           98.113,24</t>
  </si>
  <si>
    <t xml:space="preserve">          160.993,76</t>
  </si>
  <si>
    <t xml:space="preserve">          362.638,00</t>
  </si>
  <si>
    <t xml:space="preserve">          402.010,00</t>
  </si>
  <si>
    <t xml:space="preserve">          394.385,00</t>
  </si>
  <si>
    <t xml:space="preserve">           28.806,57</t>
  </si>
  <si>
    <t xml:space="preserve">          262.942,00</t>
  </si>
  <si>
    <t xml:space="preserve">          131.443,00</t>
  </si>
  <si>
    <t xml:space="preserve">           57.744,90</t>
  </si>
  <si>
    <t xml:space="preserve">           62.255,10</t>
  </si>
  <si>
    <t xml:space="preserve">            6.521,95</t>
  </si>
  <si>
    <t xml:space="preserve">            3.478,05</t>
  </si>
  <si>
    <t xml:space="preserve">           20.748,56</t>
  </si>
  <si>
    <t xml:space="preserve">              251,44</t>
  </si>
  <si>
    <t xml:space="preserve">           31.851,05</t>
  </si>
  <si>
    <t xml:space="preserve">           28.325,44</t>
  </si>
  <si>
    <t xml:space="preserve">            3.525,61</t>
  </si>
  <si>
    <t xml:space="preserve">            2.148,95</t>
  </si>
  <si>
    <t xml:space="preserve">          220.331,33</t>
  </si>
  <si>
    <t xml:space="preserve">          140.632,53</t>
  </si>
  <si>
    <t xml:space="preserve">           79.698,80</t>
  </si>
  <si>
    <t xml:space="preserve">          347.470,00</t>
  </si>
  <si>
    <t xml:space="preserve">          188.072,29</t>
  </si>
  <si>
    <t xml:space="preserve">          159.397,60</t>
  </si>
  <si>
    <t xml:space="preserve">          175.585,00</t>
  </si>
  <si>
    <t xml:space="preserve">          161.088,00</t>
  </si>
  <si>
    <t xml:space="preserve">           53.535,17</t>
  </si>
  <si>
    <t xml:space="preserve">       33.381.621,00</t>
  </si>
  <si>
    <t xml:space="preserve">        2.000.000,00</t>
  </si>
  <si>
    <t xml:space="preserve">        3.000.000,00</t>
  </si>
  <si>
    <t xml:space="preserve">       10.000.000,00</t>
  </si>
  <si>
    <t xml:space="preserve">        7.855.630,74</t>
  </si>
  <si>
    <t xml:space="preserve">        8.081.621,00</t>
  </si>
  <si>
    <t xml:space="preserve">          500.000,00</t>
  </si>
  <si>
    <t xml:space="preserve">            8.167,68</t>
  </si>
  <si>
    <t xml:space="preserve">          291.832,32</t>
  </si>
  <si>
    <t xml:space="preserve">            2.036,44</t>
  </si>
  <si>
    <t xml:space="preserve">          997.963,56</t>
  </si>
  <si>
    <t xml:space="preserve">          146.920,00</t>
  </si>
  <si>
    <t xml:space="preserve">            9.100,00</t>
  </si>
  <si>
    <t xml:space="preserve">          385.085,00</t>
  </si>
  <si>
    <t xml:space="preserve">          276.095,00</t>
  </si>
  <si>
    <t xml:space="preserve">            3.590,00</t>
  </si>
  <si>
    <t xml:space="preserve">           16.980,91</t>
  </si>
  <si>
    <t xml:space="preserve">            3.019,09</t>
  </si>
  <si>
    <t xml:space="preserve">           14.885,04</t>
  </si>
  <si>
    <t xml:space="preserve">            2.114,96</t>
  </si>
  <si>
    <t xml:space="preserve">            2.095,87</t>
  </si>
  <si>
    <t xml:space="preserve">              904,13</t>
  </si>
  <si>
    <t xml:space="preserve">          284.225,00</t>
  </si>
  <si>
    <t xml:space="preserve">          271.425,00</t>
  </si>
  <si>
    <t xml:space="preserve">          297.500,00</t>
  </si>
  <si>
    <t xml:space="preserve">          282.500,00</t>
  </si>
  <si>
    <t xml:space="preserve">           69.168,00</t>
  </si>
  <si>
    <t xml:space="preserve">          595.471,00</t>
  </si>
  <si>
    <t xml:space="preserve">          339.041,00</t>
  </si>
  <si>
    <t xml:space="preserve">          133.540,00</t>
  </si>
  <si>
    <t xml:space="preserve">          122.890,00</t>
  </si>
  <si>
    <t xml:space="preserve">        1.470.000,00</t>
  </si>
  <si>
    <t xml:space="preserve">          869.505,00</t>
  </si>
  <si>
    <t xml:space="preserve">        3.452.374,00</t>
  </si>
  <si>
    <t xml:space="preserve">            7.307,37</t>
  </si>
  <si>
    <t xml:space="preserve">          112.266,00</t>
  </si>
  <si>
    <t xml:space="preserve">            1.043,91</t>
  </si>
  <si>
    <t xml:space="preserve">          138.083,00</t>
  </si>
  <si>
    <t xml:space="preserve">           17.376,00</t>
  </si>
  <si>
    <t xml:space="preserve">          139.822,00</t>
  </si>
  <si>
    <t xml:space="preserve">          112.293,00</t>
  </si>
  <si>
    <t xml:space="preserve">          135.772,00</t>
  </si>
  <si>
    <t xml:space="preserve">          139.847,00</t>
  </si>
  <si>
    <t xml:space="preserve">          114.471,00</t>
  </si>
  <si>
    <t xml:space="preserve">          129.570,00</t>
  </si>
  <si>
    <t xml:space="preserve">          106.533,00</t>
  </si>
  <si>
    <t xml:space="preserve">          130.506,00</t>
  </si>
  <si>
    <t xml:space="preserve">          118.599,00</t>
  </si>
  <si>
    <t xml:space="preserve">          108.244,00</t>
  </si>
  <si>
    <t xml:space="preserve">          103.862,00</t>
  </si>
  <si>
    <t xml:space="preserve">          123.197,00</t>
  </si>
  <si>
    <t xml:space="preserve">          133.098,00</t>
  </si>
  <si>
    <t xml:space="preserve">          142.467,00</t>
  </si>
  <si>
    <t xml:space="preserve">          132.335,00</t>
  </si>
  <si>
    <t xml:space="preserve">          106.534,00</t>
  </si>
  <si>
    <t xml:space="preserve">          112.707,00</t>
  </si>
  <si>
    <t xml:space="preserve">           95.331,00</t>
  </si>
  <si>
    <t xml:space="preserve">          108.712,00</t>
  </si>
  <si>
    <t xml:space="preserve">           91.336,00</t>
  </si>
  <si>
    <t xml:space="preserve">          105.272,00</t>
  </si>
  <si>
    <t xml:space="preserve">           87.896,00</t>
  </si>
  <si>
    <t xml:space="preserve">          106.067,00</t>
  </si>
  <si>
    <t xml:space="preserve">           88.691,00</t>
  </si>
  <si>
    <t xml:space="preserve">          488.000,00</t>
  </si>
  <si>
    <t xml:space="preserve">           17.141,00</t>
  </si>
  <si>
    <t xml:space="preserve">            7.859,00</t>
  </si>
  <si>
    <t xml:space="preserve">            6.851,92</t>
  </si>
  <si>
    <t xml:space="preserve">            1.548,08</t>
  </si>
  <si>
    <t>CAP - MELHORIA UNIDA</t>
  </si>
  <si>
    <t>LCP-250040-01</t>
  </si>
  <si>
    <t>CAP - BEARING HEATER</t>
  </si>
  <si>
    <t>LCP-250040-02</t>
  </si>
  <si>
    <t>CAP - INDUSTRIAL IMA</t>
  </si>
  <si>
    <t>LCP-250040-03</t>
  </si>
  <si>
    <t>CAP - SMALL BLOWERS</t>
  </si>
  <si>
    <t>602941228</t>
  </si>
  <si>
    <t>602941232</t>
  </si>
  <si>
    <t>602967792</t>
  </si>
  <si>
    <t>602967793</t>
  </si>
  <si>
    <t>602997619</t>
  </si>
  <si>
    <t>603029662</t>
  </si>
  <si>
    <t>603029665</t>
  </si>
  <si>
    <t>57099803</t>
  </si>
  <si>
    <t>602967667</t>
  </si>
  <si>
    <t>A343302/695890/Postage/Courier</t>
  </si>
  <si>
    <t>A343302/695890/Passports/Visa Fees</t>
  </si>
  <si>
    <t>602982028</t>
  </si>
  <si>
    <t>A399016/695969/Taxi</t>
  </si>
  <si>
    <t>A399016/695969/Parking</t>
  </si>
  <si>
    <t>A399016/695969/Own Meal in Travel Status</t>
  </si>
  <si>
    <t>A399016/695969/Hotel</t>
  </si>
  <si>
    <t>8242131300</t>
  </si>
  <si>
    <t>Eliot APS Americana Support</t>
  </si>
  <si>
    <t>ELIOT RESEARCH AND CONSULTING</t>
  </si>
  <si>
    <t>8241957690</t>
  </si>
  <si>
    <t>1506435262</t>
  </si>
  <si>
    <t>1506438575</t>
  </si>
  <si>
    <t>8241963424</t>
  </si>
  <si>
    <t>1506242413</t>
  </si>
  <si>
    <t>Ref. 562876-1 Recebimento Fatura Transferencia de</t>
  </si>
  <si>
    <t>Bomba p torre de resf. 454 m³/h</t>
  </si>
  <si>
    <t>AM2403075</t>
  </si>
  <si>
    <t>Pump for cooling tower 454 m³/h</t>
  </si>
  <si>
    <t>8241969198</t>
  </si>
  <si>
    <t>1506242481</t>
  </si>
  <si>
    <t>Ref. 562910-1 Recebimento Fatura Transferencia de</t>
  </si>
  <si>
    <t>Bomba centrifuga de água 14,3 L/s</t>
  </si>
  <si>
    <t>AM2403178</t>
  </si>
  <si>
    <t>Centrifugal water pump 14.3 L/s</t>
  </si>
  <si>
    <t>1506246680</t>
  </si>
  <si>
    <t>Ref. 2184-1 Recebimento Fatura Transferencia de co</t>
  </si>
  <si>
    <t>Painel de Baixa tensão 480V 1600A 65kA</t>
  </si>
  <si>
    <t>AM2310035</t>
  </si>
  <si>
    <t>Low Voltage Panel 480V 1600A 65kA</t>
  </si>
  <si>
    <t>1506246685</t>
  </si>
  <si>
    <t>Ref. 2184-1 Fatura Fornecedor Transferencia de con</t>
  </si>
  <si>
    <t>1506248195</t>
  </si>
  <si>
    <t>1506248367</t>
  </si>
  <si>
    <t>1506248667</t>
  </si>
  <si>
    <t>1506248684</t>
  </si>
  <si>
    <t>1506248726</t>
  </si>
  <si>
    <t>1506248767</t>
  </si>
  <si>
    <t>1506435735</t>
  </si>
  <si>
    <t>Ref. 562910-1 Fatura Fornecedor Transferencia de c</t>
  </si>
  <si>
    <t>1506435744</t>
  </si>
  <si>
    <t>Ref. 562876-1 Fatura Fornecedor Transferencia de c</t>
  </si>
  <si>
    <t>1506437238</t>
  </si>
  <si>
    <t>603110938</t>
  </si>
  <si>
    <t>603120396</t>
  </si>
  <si>
    <t>299953</t>
  </si>
  <si>
    <t>TECO BUDG AUC  AVAC  //  SUPP BREL EXPL</t>
  </si>
  <si>
    <t>1506523312</t>
  </si>
  <si>
    <t>Ref. 9759-1 Invoice - Gross Trf to Asset Acct</t>
  </si>
  <si>
    <t>1506523314</t>
  </si>
  <si>
    <t>1506523327</t>
  </si>
  <si>
    <t>Ref. 168628-1 Invoice - Gross Trf to Asset Acct</t>
  </si>
  <si>
    <t>1506523345</t>
  </si>
  <si>
    <t>1506457206</t>
  </si>
  <si>
    <t>8241026629</t>
  </si>
  <si>
    <t>1506512993</t>
  </si>
  <si>
    <t>Acompanhamento e Fiscal.exec.obras</t>
  </si>
  <si>
    <t>1506457989</t>
  </si>
  <si>
    <t>1506458301</t>
  </si>
  <si>
    <t>8242106245</t>
  </si>
  <si>
    <t>1506508430</t>
  </si>
  <si>
    <t>8242106278</t>
  </si>
  <si>
    <t>1506508457</t>
  </si>
  <si>
    <t>1506509203</t>
  </si>
  <si>
    <t>Ref. 169333-1 Invoice - Gross Trf to Asset Acct</t>
  </si>
  <si>
    <t>1506512021</t>
  </si>
  <si>
    <t>1506513070</t>
  </si>
  <si>
    <t>Ref. 169348-1 Invoice - Gross Trf to Asset Acct</t>
  </si>
  <si>
    <t>1506493984</t>
  </si>
  <si>
    <t>1506493987</t>
  </si>
  <si>
    <t>1506494026</t>
  </si>
  <si>
    <t>1506494029</t>
  </si>
  <si>
    <t>1506494039</t>
  </si>
  <si>
    <t>1506494825</t>
  </si>
  <si>
    <t>1506494829</t>
  </si>
  <si>
    <t>1506494873</t>
  </si>
  <si>
    <t>8241950534</t>
  </si>
  <si>
    <t>1506512588</t>
  </si>
  <si>
    <t>1506522234</t>
  </si>
  <si>
    <t>1506499121</t>
  </si>
  <si>
    <t>Ref. 444183-1 Recebimento Fatura Transferencia de</t>
  </si>
  <si>
    <t>TOMADA STECK 63A 3P+T 600/690V 7H S4505</t>
  </si>
  <si>
    <t>AM2501007</t>
  </si>
  <si>
    <t>STECK 63A 3P+T 600/690V 7H S4505 SOCKET</t>
  </si>
  <si>
    <t>1506499122</t>
  </si>
  <si>
    <t>Ref. 444183-1 Fatura Fornecedor Transferencia de c</t>
  </si>
  <si>
    <t>8241992617</t>
  </si>
  <si>
    <t>1506454745</t>
  </si>
  <si>
    <t>Ref. 97994-2 Recebimento Fatura Transferencia de c</t>
  </si>
  <si>
    <t>WATER VALVE G780-AFX24-MFT-S-X1 BELIMO</t>
  </si>
  <si>
    <t>AM2411119</t>
  </si>
  <si>
    <t>1506458646</t>
  </si>
  <si>
    <t>Ref. 97994-2 Fatura Fornecedor Transferencia de co</t>
  </si>
  <si>
    <t>1506531264</t>
  </si>
  <si>
    <t>1506531267</t>
  </si>
  <si>
    <t>1506530921</t>
  </si>
  <si>
    <t>1506530966</t>
  </si>
  <si>
    <t>1506531269</t>
  </si>
  <si>
    <t>1506531293</t>
  </si>
  <si>
    <t>1506530983</t>
  </si>
  <si>
    <t>1506531134</t>
  </si>
  <si>
    <t>1506531176</t>
  </si>
  <si>
    <t>1506531261</t>
  </si>
  <si>
    <t>1506531151</t>
  </si>
  <si>
    <t>1506531174</t>
  </si>
  <si>
    <t>1506531979</t>
  </si>
  <si>
    <t>1506532088</t>
  </si>
  <si>
    <t>1506531809</t>
  </si>
  <si>
    <t>1506531966</t>
  </si>
  <si>
    <t>8241880900</t>
  </si>
  <si>
    <t>1506499018</t>
  </si>
  <si>
    <t>Ref. 3274-1 Recebimento Fatura Transferencia de co</t>
  </si>
  <si>
    <t>proteção modular em alumínio para as FVM</t>
  </si>
  <si>
    <t>AM2406143</t>
  </si>
  <si>
    <t>Modular aluminum protection for FVMs.</t>
  </si>
  <si>
    <t>1506499020</t>
  </si>
  <si>
    <t>Ref. 3274-1 Fatura Fornecedor Transferencia de con</t>
  </si>
  <si>
    <t>1506514697</t>
  </si>
  <si>
    <t>Ref. 150551-1 Invoice - Gross Trf to Asset Acct</t>
  </si>
  <si>
    <t>1506518410</t>
  </si>
  <si>
    <t>1506508454</t>
  </si>
  <si>
    <t>8242066922</t>
  </si>
  <si>
    <t>1506456772</t>
  </si>
  <si>
    <t xml:space="preserve">          262.148,64</t>
  </si>
  <si>
    <t xml:space="preserve">            3.862,75</t>
  </si>
  <si>
    <t xml:space="preserve">            1.659,92</t>
  </si>
  <si>
    <t xml:space="preserve">        3.374.707,74</t>
  </si>
  <si>
    <t xml:space="preserve">        3.376.367,66</t>
  </si>
  <si>
    <t xml:space="preserve">        4.705.253,34</t>
  </si>
  <si>
    <t xml:space="preserve">        2.716.316,45</t>
  </si>
  <si>
    <t>603128126</t>
  </si>
  <si>
    <t>603140898</t>
  </si>
  <si>
    <t>603141110</t>
  </si>
  <si>
    <t>603144527</t>
  </si>
  <si>
    <t>25/02
Peças para Upgrade
Retirado TECO em 23/04</t>
  </si>
  <si>
    <t>1506555491</t>
  </si>
  <si>
    <t>Ref. 4239-0 Fatura Fornecedor Transferencia de con</t>
  </si>
  <si>
    <t>8242119669</t>
  </si>
  <si>
    <t>1506567823</t>
  </si>
  <si>
    <t>Ref. 11568-1 Recebimento Fatura Transferencia de c</t>
  </si>
  <si>
    <t>PLACA DE IDENTIFICACAO EM ALUMINIO</t>
  </si>
  <si>
    <t>CC2316006</t>
  </si>
  <si>
    <t>PLATE IDENTIFICATION</t>
  </si>
  <si>
    <t>1506567826</t>
  </si>
  <si>
    <t>Ref. 11568-1 Fatura Fornecedor Transferencia de co</t>
  </si>
  <si>
    <t>8242098596</t>
  </si>
  <si>
    <t>1506575151</t>
  </si>
  <si>
    <t>1506567975</t>
  </si>
  <si>
    <t>Ref. 88-0 Fatura Fornecedor Transferencia de con</t>
  </si>
  <si>
    <t>1506567991</t>
  </si>
  <si>
    <t>1506562989</t>
  </si>
  <si>
    <t>1506563022</t>
  </si>
  <si>
    <t>1506563034</t>
  </si>
  <si>
    <t>1506563260</t>
  </si>
  <si>
    <t>1506578193</t>
  </si>
  <si>
    <t>PROCESSO DE EMBARQUE:PROJETO-BR00005I25</t>
  </si>
  <si>
    <t>8241777294</t>
  </si>
  <si>
    <t>1506561976</t>
  </si>
  <si>
    <t>1506562230</t>
  </si>
  <si>
    <t>1506571652</t>
  </si>
  <si>
    <t>1506573591</t>
  </si>
  <si>
    <t>1506573982</t>
  </si>
  <si>
    <t>1506573901</t>
  </si>
  <si>
    <t>1506574240</t>
  </si>
  <si>
    <t>1506571670</t>
  </si>
  <si>
    <t>1506580512</t>
  </si>
  <si>
    <t>PROCESSO DE EMBARQUE:PROJETO-BR00514I25</t>
  </si>
  <si>
    <t>1506578710</t>
  </si>
  <si>
    <t>PROCESSO DE EMBARQUE:PROJETO-BR00496I25</t>
  </si>
  <si>
    <t>1506580402</t>
  </si>
  <si>
    <t>PROCESSO DE EMBARQUE:PROJETO-BR00559I25</t>
  </si>
  <si>
    <t xml:space="preserve">           38.931,91</t>
  </si>
  <si>
    <t xml:space="preserve">            6.068,09</t>
  </si>
  <si>
    <t xml:space="preserve">        1.275.502,48</t>
  </si>
  <si>
    <t xml:space="preserve">        1.724.497,52</t>
  </si>
  <si>
    <t xml:space="preserve">        1.393.544,62</t>
  </si>
  <si>
    <t xml:space="preserve">          506.715,64</t>
  </si>
  <si>
    <t xml:space="preserve">          104.269,00</t>
  </si>
  <si>
    <t xml:space="preserve">          642.287,19</t>
  </si>
  <si>
    <t>603154024</t>
  </si>
  <si>
    <t>603161014</t>
  </si>
  <si>
    <t>603161024</t>
  </si>
  <si>
    <t>603161034</t>
  </si>
  <si>
    <t>8242024934</t>
  </si>
  <si>
    <t>1506230450</t>
  </si>
  <si>
    <t>1506555488</t>
  </si>
  <si>
    <t>Ref. 175-0 Fatura Fornecedor Transferencia de con</t>
  </si>
  <si>
    <t>1506520129</t>
  </si>
  <si>
    <t>1506559704</t>
  </si>
  <si>
    <t>8242046757</t>
  </si>
  <si>
    <t>1506239375</t>
  </si>
  <si>
    <t>8242119670</t>
  </si>
  <si>
    <t>1506221146</t>
  </si>
  <si>
    <t>1506221374</t>
  </si>
  <si>
    <t>1506581309</t>
  </si>
  <si>
    <t>Ref. 90829-0 Fatura Fornecedor Transferencia de co</t>
  </si>
  <si>
    <t>1506581315</t>
  </si>
  <si>
    <t>Ref. 90828-0 Fatura Fornecedor Transferencia de co</t>
  </si>
  <si>
    <t>8242061005</t>
  </si>
  <si>
    <t>1506220098</t>
  </si>
  <si>
    <t>1506575566</t>
  </si>
  <si>
    <t>1505798746</t>
  </si>
  <si>
    <t>Ref. 192-0 Fatura Fornecedor Transferencia de con</t>
  </si>
  <si>
    <t>1505857320</t>
  </si>
  <si>
    <t>1506231361</t>
  </si>
  <si>
    <t>1505711335</t>
  </si>
  <si>
    <t>1505711341</t>
  </si>
  <si>
    <t>1505711349</t>
  </si>
  <si>
    <t>1505711355</t>
  </si>
  <si>
    <t>1505741178</t>
  </si>
  <si>
    <t>Ref. 3609-0 Fatura Fornecedor Transferencia de con</t>
  </si>
  <si>
    <t>1505741192</t>
  </si>
  <si>
    <t>Ref. 3610-0 Fatura Fornecedor Transferencia de con</t>
  </si>
  <si>
    <t>1505741194</t>
  </si>
  <si>
    <t>Ref. 3607-0 Fatura Fornecedor Transferencia de con</t>
  </si>
  <si>
    <t>1505741196</t>
  </si>
  <si>
    <t>Ref. 3608-0 Fatura Fornecedor Transferencia de con</t>
  </si>
  <si>
    <t>1505610092</t>
  </si>
  <si>
    <t>1505610097</t>
  </si>
  <si>
    <t>1505610856</t>
  </si>
  <si>
    <t>1505610932</t>
  </si>
  <si>
    <t>1505624769</t>
  </si>
  <si>
    <t>Ref. 3594-0 Fatura Fornecedor Transferencia de con</t>
  </si>
  <si>
    <t>1505624914</t>
  </si>
  <si>
    <t>Ref. 3595-0 Fatura Fornecedor Transferencia de con</t>
  </si>
  <si>
    <t>1505624928</t>
  </si>
  <si>
    <t>Ref. 3596-0 Fatura Fornecedor Transferencia de con</t>
  </si>
  <si>
    <t>1505626535</t>
  </si>
  <si>
    <t>Ref. 3597-0 Fatura Fornecedor Transferencia de con</t>
  </si>
  <si>
    <t>8242013481</t>
  </si>
  <si>
    <t>1505859169</t>
  </si>
  <si>
    <t>1505859318</t>
  </si>
  <si>
    <t>1505859395</t>
  </si>
  <si>
    <t>1505859405</t>
  </si>
  <si>
    <t>1505859424</t>
  </si>
  <si>
    <t>1505859429</t>
  </si>
  <si>
    <t>1505859460</t>
  </si>
  <si>
    <t>1505859466</t>
  </si>
  <si>
    <t>1505935008</t>
  </si>
  <si>
    <t>Ref. 3615-0 Fatura Fornecedor Transferencia de con</t>
  </si>
  <si>
    <t>1505935034</t>
  </si>
  <si>
    <t>Ref. 3613-0 Fatura Fornecedor Transferencia de con</t>
  </si>
  <si>
    <t>1505935046</t>
  </si>
  <si>
    <t>Ref. 3616-0 Fatura Fornecedor Transferencia de con</t>
  </si>
  <si>
    <t>1505937478</t>
  </si>
  <si>
    <t>Ref. 3612-0 Fatura Fornecedor Transferencia de con</t>
  </si>
  <si>
    <t>1505937808</t>
  </si>
  <si>
    <t>Ref. 3618-0 Fatura Fornecedor Transferencia de con</t>
  </si>
  <si>
    <t>1505937842</t>
  </si>
  <si>
    <t>Ref. 3611-0 Fatura Fornecedor Transferencia de con</t>
  </si>
  <si>
    <t>1505939013</t>
  </si>
  <si>
    <t>Ref. 3614-0 Fatura Fornecedor Transferencia de con</t>
  </si>
  <si>
    <t>1505939452</t>
  </si>
  <si>
    <t>Ref. 3617-0 Fatura Fornecedor Transferencia de con</t>
  </si>
  <si>
    <t>8242014091</t>
  </si>
  <si>
    <t>1505980451</t>
  </si>
  <si>
    <t>1505980475</t>
  </si>
  <si>
    <t>1505980486</t>
  </si>
  <si>
    <t>1505980494</t>
  </si>
  <si>
    <t>1506130645</t>
  </si>
  <si>
    <t>Ref. 3629-0 Fatura Fornecedor Transferencia de con</t>
  </si>
  <si>
    <t>1506130664</t>
  </si>
  <si>
    <t>Ref. 3628-0 Fatura Fornecedor Transferencia de con</t>
  </si>
  <si>
    <t>1506130692</t>
  </si>
  <si>
    <t>Ref. 3627-0 Fatura Fornecedor Transferencia de con</t>
  </si>
  <si>
    <t>1506130748</t>
  </si>
  <si>
    <t>Ref. 3630-0 Fatura Fornecedor Transferencia de con</t>
  </si>
  <si>
    <t>1506133163</t>
  </si>
  <si>
    <t>1506133165</t>
  </si>
  <si>
    <t>1506135696</t>
  </si>
  <si>
    <t>Ref. 3631-0 Fatura Fornecedor Transferencia de con</t>
  </si>
  <si>
    <t>1506135807</t>
  </si>
  <si>
    <t>Ref. 3632-0 Fatura Fornecedor Transferencia de con</t>
  </si>
  <si>
    <t>1506215263</t>
  </si>
  <si>
    <t>1506215266</t>
  </si>
  <si>
    <t>1506215273</t>
  </si>
  <si>
    <t>1506215960</t>
  </si>
  <si>
    <t>1506215984</t>
  </si>
  <si>
    <t>1506215990</t>
  </si>
  <si>
    <t>1506216027</t>
  </si>
  <si>
    <t>1506216092</t>
  </si>
  <si>
    <t>1506221887</t>
  </si>
  <si>
    <t>Ref. 3633-0 Fatura Fornecedor Transferencia de con</t>
  </si>
  <si>
    <t>1506221898</t>
  </si>
  <si>
    <t>Ref. 3634-0 Fatura Fornecedor Transferencia de con</t>
  </si>
  <si>
    <t>1506222109</t>
  </si>
  <si>
    <t>Ref. 3635-0 Fatura Fornecedor Transferencia de con</t>
  </si>
  <si>
    <t>1506222208</t>
  </si>
  <si>
    <t>Ref. 3636-0 Fatura Fornecedor Transferencia de con</t>
  </si>
  <si>
    <t>1506222253</t>
  </si>
  <si>
    <t>Ref. 3637-0 Fatura Fornecedor Transferencia de con</t>
  </si>
  <si>
    <t>1506222723</t>
  </si>
  <si>
    <t>Ref. 3638-0 Fatura Fornecedor Transferencia de con</t>
  </si>
  <si>
    <t>1506222743</t>
  </si>
  <si>
    <t>Ref. 3639-0 Fatura Fornecedor Transferencia de con</t>
  </si>
  <si>
    <t>1506222760</t>
  </si>
  <si>
    <t>Ref. 3640-0 Fatura Fornecedor Transferencia de con</t>
  </si>
  <si>
    <t>1506434793</t>
  </si>
  <si>
    <t>1506434795</t>
  </si>
  <si>
    <t>8242013467</t>
  </si>
  <si>
    <t>1506434797</t>
  </si>
  <si>
    <t>1506434799</t>
  </si>
  <si>
    <t>1506444510</t>
  </si>
  <si>
    <t>Ref. 3643-0 Fatura Fornecedor Transferencia de con</t>
  </si>
  <si>
    <t>1506444548</t>
  </si>
  <si>
    <t>Ref. 3644-0 Fatura Fornecedor Transferencia de con</t>
  </si>
  <si>
    <t>1506444591</t>
  </si>
  <si>
    <t>Ref. 3645-0 Fatura Fornecedor Transferencia de con</t>
  </si>
  <si>
    <t>1506444809</t>
  </si>
  <si>
    <t>Ref. 3646-0 Fatura Fornecedor Transferencia de con</t>
  </si>
  <si>
    <t xml:space="preserve">            5.392,72</t>
  </si>
  <si>
    <t xml:space="preserve">            5.466,76</t>
  </si>
  <si>
    <t xml:space="preserve">           10.859,48</t>
  </si>
  <si>
    <t xml:space="preserve">            1.649,77</t>
  </si>
  <si>
    <t xml:space="preserve">           14.592,08</t>
  </si>
  <si>
    <t xml:space="preserve">            7.450,08</t>
  </si>
  <si>
    <t xml:space="preserve">           17.394,00</t>
  </si>
  <si>
    <t xml:space="preserve">            7.983,67</t>
  </si>
  <si>
    <t xml:space="preserve">           14.699,99</t>
  </si>
  <si>
    <t xml:space="preserve">           16.359,91</t>
  </si>
  <si>
    <t xml:space="preserve">           63.340,09</t>
  </si>
  <si>
    <t xml:space="preserve">           16.340,09</t>
  </si>
  <si>
    <t xml:space="preserve">           11.198,91</t>
  </si>
  <si>
    <t>EXPENSES -AME - MIXE</t>
  </si>
  <si>
    <t>LCP-250008-EX-01</t>
  </si>
  <si>
    <t>EX - REMOTION (INTER</t>
  </si>
  <si>
    <t xml:space="preserve"> 45.842,94</t>
  </si>
  <si>
    <t xml:space="preserve">   8.400,00</t>
  </si>
  <si>
    <t xml:space="preserve">  6.851,92</t>
  </si>
  <si>
    <t xml:space="preserve">   6.851,92</t>
  </si>
  <si>
    <t xml:space="preserve">  1.548,08</t>
  </si>
  <si>
    <t xml:space="preserve">  45.000,00</t>
  </si>
  <si>
    <t>AME - NR12 - SAFETY REGULARIZATION BW#02</t>
  </si>
  <si>
    <t>25/04
Todos os pedidos em aberto com material está para este ano (2025)
Escopo Técnico de instalação eletromecânica criado. Aguardando processo de compras (estimado 150K) sendo previsto para fazer em 2026</t>
  </si>
  <si>
    <t>June: JAV
Outubro: People Teams
2026: Siemens e Instalação</t>
  </si>
  <si>
    <t>DEZ: Relocação do RaioX
4K Estudo de Carga
15K Mamuth
Relocacao Raio X RICAMIL: 23K
Acompanhamento YXLON 42K em despesa</t>
  </si>
  <si>
    <t>25/04: Em definicao novo Engenheiro
Ainda não tempos PO dos itens faltantes: Analise de dados pela camera e comunicacao da camera com Wind up (Sera aberta SC)</t>
  </si>
  <si>
    <t xml:space="preserve">25/04: Equipamento chegou em Abril
Aguardando vinda do técnica da YXLON. PO colocado via ICP
</t>
  </si>
  <si>
    <t>Aprovado em 25/02: Aguardando OK da regiao para antecipar para 2025.
Serviço para medições dos rolos usando o Pro Mic</t>
  </si>
  <si>
    <t>25/04: 98% pronto. Instalação elétrica será feita na parada de fábrica de 01/05 e comissionamento no fim de maio</t>
  </si>
  <si>
    <t>LOC-250001-00-15</t>
  </si>
  <si>
    <t>(1) FRIGOBAR E (1) FREEZER</t>
  </si>
  <si>
    <t>JOAO DANIEL AUGUSTO (AC98801)</t>
  </si>
  <si>
    <t>LOC-250001-00-16</t>
  </si>
  <si>
    <t>(1) SMAT TV 65" LG</t>
  </si>
  <si>
    <t>28/04
Scope Change aprovado para instalar em 3 diferentes locais.
Será feito a compra dos componentes.</t>
  </si>
  <si>
    <t xml:space="preserve">25/04Scope Chage aprovado. Esta no AOP de 2026
PO em aberto: Rockwell
</t>
  </si>
  <si>
    <t>29/04: Scope Change aprovado em Outubro para adequar a NR12. Retirado TECO em fevereiro
Escopo e SC criada. Aguardando PO de compras.
Será colocado valor na SC pois está em zero reais</t>
  </si>
  <si>
    <t>1506767022</t>
  </si>
  <si>
    <t>AJUSTE ENCERRAMENTO 04.25</t>
  </si>
  <si>
    <t>1506630566</t>
  </si>
  <si>
    <t>Ref. 536-0 Fatura Fornecedor Transferencia de con</t>
  </si>
  <si>
    <t>1506630575</t>
  </si>
  <si>
    <t>Ref. 535-0 Fatura Fornecedor Transferencia de con</t>
  </si>
  <si>
    <t>1506612849</t>
  </si>
  <si>
    <t>Ref. 4238-0 Fatura Fornecedor Transferencia de con</t>
  </si>
  <si>
    <t>1506761940</t>
  </si>
  <si>
    <t>Ref. 3357-0 Fatura Fornecedor Transferencia de con</t>
  </si>
  <si>
    <t>1506819711</t>
  </si>
  <si>
    <t>1506577676</t>
  </si>
  <si>
    <t>NF 169333 - JAV</t>
  </si>
  <si>
    <t>2192002520</t>
  </si>
  <si>
    <t>ICMS</t>
  </si>
  <si>
    <t>1506773853</t>
  </si>
  <si>
    <t>Ref. 11568-1 Invoice - Gross Trf to Asset Acct</t>
  </si>
  <si>
    <t>1506613878</t>
  </si>
  <si>
    <t>Ref. 4364-0 Fatura Fornecedor Transferencia de con</t>
  </si>
  <si>
    <t>1506774839</t>
  </si>
  <si>
    <t>Reclass. Baixa Protestos Trox Brasil</t>
  </si>
  <si>
    <t>5705510000</t>
  </si>
  <si>
    <t>Cnsulting/Prof Fees</t>
  </si>
  <si>
    <t>8242051924</t>
  </si>
  <si>
    <t>1506615938</t>
  </si>
  <si>
    <t>1506616089</t>
  </si>
  <si>
    <t>Ref. 3352-0 Fatura Fornecedor Transferencia de con</t>
  </si>
  <si>
    <t>1506619571</t>
  </si>
  <si>
    <t>1506622137</t>
  </si>
  <si>
    <t>Ref. 1326-0 Fatura Fornecedor Transferencia de con</t>
  </si>
  <si>
    <t>1506622191</t>
  </si>
  <si>
    <t>Ref. 1325-0 Fatura Fornecedor Transferencia de con</t>
  </si>
  <si>
    <t>1506622451</t>
  </si>
  <si>
    <t>Ref. 1324-0 Fatura Fornecedor Transferencia de con</t>
  </si>
  <si>
    <t>1506622559</t>
  </si>
  <si>
    <t>Ref. 1323-0 Fatura Fornecedor Transferencia de con</t>
  </si>
  <si>
    <t>1506623335</t>
  </si>
  <si>
    <t>Ref. 1318-0 Fatura Fornecedor Transferencia de con</t>
  </si>
  <si>
    <t>1506623354</t>
  </si>
  <si>
    <t>Ref. 1319-0 Fatura Fornecedor Transferencia de con</t>
  </si>
  <si>
    <t>1506632674</t>
  </si>
  <si>
    <t>Ref. 954-0 Fatura Fornecedor Transferencia de con</t>
  </si>
  <si>
    <t>1506760630</t>
  </si>
  <si>
    <t>Ref. 3350-0 Fatura Fornecedor Transferencia de con</t>
  </si>
  <si>
    <t>1506760688</t>
  </si>
  <si>
    <t>Ref. 3353-0 Fatura Fornecedor Transferencia de con</t>
  </si>
  <si>
    <t>1506761011</t>
  </si>
  <si>
    <t>Ref. 3354-0 Fatura Fornecedor Transferencia de con</t>
  </si>
  <si>
    <t>1506761431</t>
  </si>
  <si>
    <t>Ref. 3355-0 Fatura Fornecedor Transferencia de con</t>
  </si>
  <si>
    <t>1506763513</t>
  </si>
  <si>
    <t>Ref. 3359-0 Fatura Fornecedor Transferencia de con</t>
  </si>
  <si>
    <t>1506766505</t>
  </si>
  <si>
    <t>1506767030</t>
  </si>
  <si>
    <t>Ref. 34-0 Fatura Fornecedor Transferencia de con</t>
  </si>
  <si>
    <t>1506769172</t>
  </si>
  <si>
    <t>Ref. 1320-0 Fatura Fornecedor Transferencia de con</t>
  </si>
  <si>
    <t>1506769415</t>
  </si>
  <si>
    <t>1506769721</t>
  </si>
  <si>
    <t>1506770071</t>
  </si>
  <si>
    <t>Ref. 1317-0 Fatura Fornecedor Transferencia de con</t>
  </si>
  <si>
    <t>1506770436</t>
  </si>
  <si>
    <t>Ref. 1316-0 Fatura Fornecedor Transferencia de con</t>
  </si>
  <si>
    <t>1506770465</t>
  </si>
  <si>
    <t>Ref. 1315-0 Fatura Fornecedor Transferencia de con</t>
  </si>
  <si>
    <t>1506767493</t>
  </si>
  <si>
    <t>Ref. 2099-0 Fatura Fornecedor Transferencia de con</t>
  </si>
  <si>
    <t>1506774142</t>
  </si>
  <si>
    <t>CHG-MERIDI-4503182 - 4/25</t>
  </si>
  <si>
    <t>1506832684</t>
  </si>
  <si>
    <t>Sem Parar - Provisão Abril/2025</t>
  </si>
  <si>
    <t>1300030010</t>
  </si>
  <si>
    <t>Prpd Exp-Imp/Exp</t>
  </si>
  <si>
    <t>1506625428</t>
  </si>
  <si>
    <t>Ref. 2972-0 Fatura Fornecedor Transferencia de con</t>
  </si>
  <si>
    <t>1506625921</t>
  </si>
  <si>
    <t>Ref. 2976-0 Fatura Fornecedor Transferencia de con</t>
  </si>
  <si>
    <t>1506626310</t>
  </si>
  <si>
    <t>Ref. 2973-0 Fatura Fornecedor Transferencia de con</t>
  </si>
  <si>
    <t>1506627120</t>
  </si>
  <si>
    <t>Ref. 2974-0 Fatura Fornecedor Transferencia de con</t>
  </si>
  <si>
    <t>1506627154</t>
  </si>
  <si>
    <t>Ref. 2975-0 Fatura Fornecedor Transferencia de con</t>
  </si>
  <si>
    <t>1506627186</t>
  </si>
  <si>
    <t>Ref. 2977-0 Fatura Fornecedor Transferencia de con</t>
  </si>
  <si>
    <t>1506616598</t>
  </si>
  <si>
    <t>Ref. 519-0 Fatura Fornecedor Transferencia de con</t>
  </si>
  <si>
    <t>1506613888</t>
  </si>
  <si>
    <t>Ref. 26258-0 Fatura Fornecedor Transferencia de co</t>
  </si>
  <si>
    <t>1506624959</t>
  </si>
  <si>
    <t>Ref. 533-0 Fatura Fornecedor Transferencia de con</t>
  </si>
  <si>
    <t>1506624990</t>
  </si>
  <si>
    <t>Ref. 532-0 Fatura Fornecedor Transferencia de con</t>
  </si>
  <si>
    <t>1506839185</t>
  </si>
  <si>
    <t>1506839539</t>
  </si>
  <si>
    <t>1506837150</t>
  </si>
  <si>
    <t>1506837186</t>
  </si>
  <si>
    <t>1506839558</t>
  </si>
  <si>
    <t>1506839760</t>
  </si>
  <si>
    <t>1506837305</t>
  </si>
  <si>
    <t>1506837337</t>
  </si>
  <si>
    <t>1506839132</t>
  </si>
  <si>
    <t>1506839172</t>
  </si>
  <si>
    <t>1506838985</t>
  </si>
  <si>
    <t>1506839120</t>
  </si>
  <si>
    <t>1506840188</t>
  </si>
  <si>
    <t>1506841225</t>
  </si>
  <si>
    <t>1506839861</t>
  </si>
  <si>
    <t>1506840122</t>
  </si>
  <si>
    <t>1506619477</t>
  </si>
  <si>
    <t>Ref. 3732-0 Invoice - Gross Trf to Asset Acct</t>
  </si>
  <si>
    <t>1506613882</t>
  </si>
  <si>
    <t>Ref. 26259-0 Fatura Fornecedor Transferencia de co</t>
  </si>
  <si>
    <t>1506762456</t>
  </si>
  <si>
    <t>Ref. 3358-0 Fatura Fornecedor Transferencia de con</t>
  </si>
  <si>
    <t>1506616226</t>
  </si>
  <si>
    <t xml:space="preserve">            2.820,32</t>
  </si>
  <si>
    <t xml:space="preserve">           89.815,92</t>
  </si>
  <si>
    <t xml:space="preserve">           88.388,55</t>
  </si>
  <si>
    <t xml:space="preserve">          105.056,59</t>
  </si>
  <si>
    <t xml:space="preserve">           64.943,41</t>
  </si>
  <si>
    <t xml:space="preserve">              993,13</t>
  </si>
  <si>
    <t xml:space="preserve">            8.813,50</t>
  </si>
  <si>
    <t xml:space="preserve">        1.529.000,00</t>
  </si>
  <si>
    <t xml:space="preserve">        1.527.209,71</t>
  </si>
  <si>
    <t>CAP - EXPANSION BUIL</t>
  </si>
  <si>
    <t>CAP - FIRE PROTECTIO</t>
  </si>
  <si>
    <t>CAP - NEW ELECTRICAL</t>
  </si>
  <si>
    <t>CAP - SUBSTATION INS</t>
  </si>
  <si>
    <t>CAP - LIGHTNING PROT</t>
  </si>
  <si>
    <t xml:space="preserve">           49.209,71</t>
  </si>
  <si>
    <t>LCP-230191-07</t>
  </si>
  <si>
    <t>CAP - LICENSES &amp; PER</t>
  </si>
  <si>
    <t>LCP-230191-08</t>
  </si>
  <si>
    <t>CAP - OVERHAUL HIGH</t>
  </si>
  <si>
    <t xml:space="preserve">          228.000,00</t>
  </si>
  <si>
    <t xml:space="preserve">        1.300.000,00</t>
  </si>
  <si>
    <t xml:space="preserve">          144.000,00</t>
  </si>
  <si>
    <t xml:space="preserve">            3.518,60</t>
  </si>
  <si>
    <t xml:space="preserve">          638.768,59</t>
  </si>
  <si>
    <t>603171283</t>
  </si>
  <si>
    <t>603208465</t>
  </si>
  <si>
    <t>603215213</t>
  </si>
  <si>
    <t>299503</t>
  </si>
  <si>
    <t>603218970</t>
  </si>
  <si>
    <t>90006057</t>
  </si>
  <si>
    <t>603224195</t>
  </si>
  <si>
    <t>603210025</t>
  </si>
  <si>
    <t>603210028</t>
  </si>
  <si>
    <t>1506887653</t>
  </si>
  <si>
    <t>1506887699</t>
  </si>
  <si>
    <t>1506884917</t>
  </si>
  <si>
    <t>DP IMP Abril/25</t>
  </si>
  <si>
    <t>1506884635</t>
  </si>
  <si>
    <t>Diferencial de aliquota de ATIVO 04-2025</t>
  </si>
  <si>
    <t>1506885067</t>
  </si>
  <si>
    <t>Prov. 90016655 JOSE FERNANDO ALVES JUNIOR</t>
  </si>
  <si>
    <t>2110000011</t>
  </si>
  <si>
    <t>AP-Trade Man Adj Pro</t>
  </si>
  <si>
    <t>1506885999</t>
  </si>
  <si>
    <t>8241941103</t>
  </si>
  <si>
    <t>1506886857</t>
  </si>
  <si>
    <t>Ref. 5518-1 Recebimento Fatura Transferencia de co</t>
  </si>
  <si>
    <t>MATERIAL EQUIPAMENTO TRIMMER</t>
  </si>
  <si>
    <t>AM2010948</t>
  </si>
  <si>
    <t>TRIMMER EQUIPMENT MATERIAL</t>
  </si>
  <si>
    <t>1506787050</t>
  </si>
  <si>
    <t>Ajuste crédito indevido PIS/COFINS NF 921-1-CASTEL</t>
  </si>
  <si>
    <t>1506613824</t>
  </si>
  <si>
    <t>Ref. 3895-0 Fatura Fornecedor Transferencia de con</t>
  </si>
  <si>
    <t>1506787362</t>
  </si>
  <si>
    <t>Ajuste crédito indevido PIS/COFINS NF 8731-1-MAZAK</t>
  </si>
  <si>
    <t>1506613687</t>
  </si>
  <si>
    <t xml:space="preserve">              308,89</t>
  </si>
  <si>
    <t xml:space="preserve">               31,62</t>
  </si>
  <si>
    <t xml:space="preserve">           36.096,67</t>
  </si>
  <si>
    <t>EX - CHANGING ROOM R</t>
  </si>
  <si>
    <t xml:space="preserve">            3.211,49</t>
  </si>
  <si>
    <t xml:space="preserve">           14.410,40</t>
  </si>
  <si>
    <t xml:space="preserve">           60.589,60</t>
  </si>
  <si>
    <t>25/02 - Saldo em aberto USD202K
Nov: Pagar horas da MICROPOISE
Ver se os 11K com PO em ICP será usado</t>
  </si>
  <si>
    <t>04/02 - Saldo em aberto USD 0,1K
Ver se os 9K com PO serão usados</t>
  </si>
  <si>
    <t>Finalizado. Aguardando DOC 20</t>
  </si>
  <si>
    <t>1506896544</t>
  </si>
  <si>
    <t>1506896545</t>
  </si>
  <si>
    <t>1506896546</t>
  </si>
  <si>
    <t>1506896547</t>
  </si>
  <si>
    <t>1506896548</t>
  </si>
  <si>
    <t>1506896549</t>
  </si>
  <si>
    <t>1506896551</t>
  </si>
  <si>
    <t>1506896552</t>
  </si>
  <si>
    <t>1506896553</t>
  </si>
  <si>
    <t>1506896554</t>
  </si>
  <si>
    <t>1506896556</t>
  </si>
  <si>
    <t>maio</t>
  </si>
  <si>
    <t>5</t>
  </si>
  <si>
    <t>1506944504</t>
  </si>
  <si>
    <t>CC6930058</t>
  </si>
  <si>
    <t>FUSE 0125</t>
  </si>
  <si>
    <t>1506896557</t>
  </si>
  <si>
    <t>1506896558</t>
  </si>
  <si>
    <t>1506896559</t>
  </si>
  <si>
    <t>1506896560</t>
  </si>
  <si>
    <t>1506896561</t>
  </si>
  <si>
    <t>1506896563</t>
  </si>
  <si>
    <t>1506896564</t>
  </si>
  <si>
    <t>1506896565</t>
  </si>
  <si>
    <t>1506896566</t>
  </si>
  <si>
    <t>1506896567</t>
  </si>
  <si>
    <t>1506896568</t>
  </si>
  <si>
    <t>1506896569</t>
  </si>
  <si>
    <t>1506896570</t>
  </si>
  <si>
    <t>8242131836</t>
  </si>
  <si>
    <t>1506947081</t>
  </si>
  <si>
    <t>Ref. 759954-2 Recebimento Fatura Transferencia de</t>
  </si>
  <si>
    <t>CABO DE REDE CAT.6 24AWG X 4P</t>
  </si>
  <si>
    <t>CC7844851</t>
  </si>
  <si>
    <t>CAT.6 NETWORK CABLE 24AWG X 4P</t>
  </si>
  <si>
    <t>1506947082</t>
  </si>
  <si>
    <t>Ref. 759954-2 Fatura Fornecedor Transferencia de c</t>
  </si>
  <si>
    <t>8242139998</t>
  </si>
  <si>
    <t>1506947086</t>
  </si>
  <si>
    <t>Ref. 758020-2 Recebimento Fatura Transferencia de</t>
  </si>
  <si>
    <t>Cabo unipolar 70mm2 0,6/1kV PT</t>
  </si>
  <si>
    <t>AM2503061</t>
  </si>
  <si>
    <t>Unipolar cable 70mm2 0.6/1kV PT</t>
  </si>
  <si>
    <t>1506947087</t>
  </si>
  <si>
    <t>Ref. 758020-2 Fatura Fornecedor Transferencia de c</t>
  </si>
  <si>
    <t>1506947089</t>
  </si>
  <si>
    <t>Ref. 760012-2 Recebimento Fatura Transferencia de</t>
  </si>
  <si>
    <t>Cabo unipolar 70mm2 0,6/1kV VD</t>
  </si>
  <si>
    <t>AM2503059</t>
  </si>
  <si>
    <t>Unipolar cable 70mm2 0.6/1kV VD</t>
  </si>
  <si>
    <t>1506947090</t>
  </si>
  <si>
    <t>Ref. 760012-2 Fatura Fornecedor Transferencia de c</t>
  </si>
  <si>
    <t>8242144724</t>
  </si>
  <si>
    <t>1507018821</t>
  </si>
  <si>
    <t>Ref. 445067-1 Recebimento Fatura Transferencia de</t>
  </si>
  <si>
    <t>1507018822</t>
  </si>
  <si>
    <t>Ref. 445067-1 Fatura Fornecedor Transferencia de c</t>
  </si>
  <si>
    <t>1506896571</t>
  </si>
  <si>
    <t>1506896572</t>
  </si>
  <si>
    <t>1506896573</t>
  </si>
  <si>
    <t>1506896574</t>
  </si>
  <si>
    <t>1506896576</t>
  </si>
  <si>
    <t>5202000000</t>
  </si>
  <si>
    <t>1506931503</t>
  </si>
  <si>
    <t>AA43831/704564/Own Meal in Travel Status</t>
  </si>
  <si>
    <t>2110002003</t>
  </si>
  <si>
    <t>Travel AP Clearing</t>
  </si>
  <si>
    <t>5721000000</t>
  </si>
  <si>
    <t>AA43831/704564/Parking</t>
  </si>
  <si>
    <t>1506896578</t>
  </si>
  <si>
    <t>1506896579</t>
  </si>
  <si>
    <t>1506896580</t>
  </si>
  <si>
    <t>1506896581</t>
  </si>
  <si>
    <t>1506896582</t>
  </si>
  <si>
    <t>1506896583</t>
  </si>
  <si>
    <t>1506896584</t>
  </si>
  <si>
    <t>1506896585</t>
  </si>
  <si>
    <t>1506896586</t>
  </si>
  <si>
    <t>1506896589</t>
  </si>
  <si>
    <t>1506896591</t>
  </si>
  <si>
    <t>1506896592</t>
  </si>
  <si>
    <t>1506896593</t>
  </si>
  <si>
    <t>1506944370</t>
  </si>
  <si>
    <t>Ref. 169786-1 Recebimento Fatura Transferencia de</t>
  </si>
  <si>
    <t>CORTINA DE LUZ 450LE4HL1800YD</t>
  </si>
  <si>
    <t>AM2501072</t>
  </si>
  <si>
    <t>LIGHT CURTAIN 450LE4HL1800YD</t>
  </si>
  <si>
    <t>CHAVE DE INTERTRAVAMENTO 440K-MT55080</t>
  </si>
  <si>
    <t>CC1015151</t>
  </si>
  <si>
    <t>INTERLOCK SWITCHES 440K-MT55080</t>
  </si>
  <si>
    <t>1506944371</t>
  </si>
  <si>
    <t>Ref. 169786-1 Fatura Fornecedor Transferencia de c</t>
  </si>
  <si>
    <t>1506945476</t>
  </si>
  <si>
    <t>Ref. 169724-1 Recebimento Fatura Transferencia de</t>
  </si>
  <si>
    <t>1506945478</t>
  </si>
  <si>
    <t>Ref. 169724-1 Fatura Fornecedor Transferencia de c</t>
  </si>
  <si>
    <t>1506896594</t>
  </si>
  <si>
    <t>1506896595</t>
  </si>
  <si>
    <t>1506896596</t>
  </si>
  <si>
    <t>1506896597</t>
  </si>
  <si>
    <t>1506944374</t>
  </si>
  <si>
    <t>Ref. 169787-1 Recebimento Fatura Transferencia de</t>
  </si>
  <si>
    <t>1506944375</t>
  </si>
  <si>
    <t>Ref. 169787-1 Fatura Fornecedor Transferencia de c</t>
  </si>
  <si>
    <t>1506945470</t>
  </si>
  <si>
    <t>Ref. 169720-1 Recebimento Fatura Transferencia de</t>
  </si>
  <si>
    <t>1506945471</t>
  </si>
  <si>
    <t>Ref. 169720-1 Fatura Fornecedor Transferencia de c</t>
  </si>
  <si>
    <t>1506896598</t>
  </si>
  <si>
    <t>1506897400</t>
  </si>
  <si>
    <t>1506897401</t>
  </si>
  <si>
    <t>1506896518</t>
  </si>
  <si>
    <t>1506897403</t>
  </si>
  <si>
    <t>1506897404</t>
  </si>
  <si>
    <t>8242092747</t>
  </si>
  <si>
    <t>1506945407</t>
  </si>
  <si>
    <t>Ref. 169697-1 Recebimento Fatura Transferencia de</t>
  </si>
  <si>
    <t>MODULO ADAPTADOR ETHERNET 1734AENTK</t>
  </si>
  <si>
    <t>CC7912650</t>
  </si>
  <si>
    <t>ADAPTER ENET#A/B#1734-AENTK QUAD</t>
  </si>
  <si>
    <t>MODULO DE ENTRADA DIG. 8 PONTOS 1734IB8K</t>
  </si>
  <si>
    <t>CC6102245</t>
  </si>
  <si>
    <t>BOARD CIRCUIT DC#A/B#1734-IB8#QUAD</t>
  </si>
  <si>
    <t>CARTAO ELETRONICO MODULO POINT I/O 24VDC</t>
  </si>
  <si>
    <t>CC6102229</t>
  </si>
  <si>
    <t>BOARD CIRCUIT#A/B#1734-IB4#QUAD</t>
  </si>
  <si>
    <t>INDICADOR DE FEIXE DO ELETRODUTO 1/2"NPT</t>
  </si>
  <si>
    <t>CC7906521</t>
  </si>
  <si>
    <t>BEACON INDICATOR</t>
  </si>
  <si>
    <t>1506945408</t>
  </si>
  <si>
    <t>Ref. 169697-1 Fatura Fornecedor Transferencia de c</t>
  </si>
  <si>
    <t>1506897405</t>
  </si>
  <si>
    <t>1506897406</t>
  </si>
  <si>
    <t>8242037230</t>
  </si>
  <si>
    <t>1506948739</t>
  </si>
  <si>
    <t>Ref. 2573334-1 Recebimento Fatura Transferencia de</t>
  </si>
  <si>
    <t>CILINDRO DO GRIPPER</t>
  </si>
  <si>
    <t>AM2404119</t>
  </si>
  <si>
    <t>GRIPPER CYLINDER</t>
  </si>
  <si>
    <t>1506948740</t>
  </si>
  <si>
    <t>Ref. 2573334-1 Fatura Fornecedor Transferencia de</t>
  </si>
  <si>
    <t>1506948743</t>
  </si>
  <si>
    <t>Ref. 2572348-1 Recebimento Fatura Transferencia de</t>
  </si>
  <si>
    <t>1506948744</t>
  </si>
  <si>
    <t>Ref. 2572348-1 Fatura Fornecedor Transferencia de</t>
  </si>
  <si>
    <t>1506897407</t>
  </si>
  <si>
    <t>1506897408</t>
  </si>
  <si>
    <t>1506897410</t>
  </si>
  <si>
    <t>1506896526</t>
  </si>
  <si>
    <t>1506897411</t>
  </si>
  <si>
    <t>1506897412</t>
  </si>
  <si>
    <t>1506897417</t>
  </si>
  <si>
    <t>1506897421</t>
  </si>
  <si>
    <t>1506897424</t>
  </si>
  <si>
    <t xml:space="preserve">          687.930,54</t>
  </si>
  <si>
    <t xml:space="preserve">          689.522,66</t>
  </si>
  <si>
    <t xml:space="preserve">          106.431,91</t>
  </si>
  <si>
    <t xml:space="preserve">           15.341,85</t>
  </si>
  <si>
    <t xml:space="preserve">            2.658,15</t>
  </si>
  <si>
    <t xml:space="preserve">           35.690,16</t>
  </si>
  <si>
    <t xml:space="preserve">          587.200,35</t>
  </si>
  <si>
    <t xml:space="preserve">           19.105,84</t>
  </si>
  <si>
    <t xml:space="preserve">            7.067,16</t>
  </si>
  <si>
    <t xml:space="preserve">           27.296,27</t>
  </si>
  <si>
    <t xml:space="preserve">          130.000,00</t>
  </si>
  <si>
    <t xml:space="preserve">          173.528,00</t>
  </si>
  <si>
    <t xml:space="preserve">          205.755,00</t>
  </si>
  <si>
    <t xml:space="preserve">        2.303.214,40</t>
  </si>
  <si>
    <t xml:space="preserve">        1.556.846,56</t>
  </si>
  <si>
    <t xml:space="preserve">           41.583,06</t>
  </si>
  <si>
    <t xml:space="preserve">           10.507,16</t>
  </si>
  <si>
    <t xml:space="preserve">            5.492,84</t>
  </si>
  <si>
    <t xml:space="preserve">           35.340,80</t>
  </si>
  <si>
    <t xml:space="preserve">           23.335,56</t>
  </si>
  <si>
    <t xml:space="preserve">           36.612,44</t>
  </si>
  <si>
    <t xml:space="preserve">          295.687,62</t>
  </si>
  <si>
    <t xml:space="preserve">          324.494,19</t>
  </si>
  <si>
    <t xml:space="preserve">           69.890,81</t>
  </si>
  <si>
    <t xml:space="preserve">          261.094,18</t>
  </si>
  <si>
    <t xml:space="preserve">            1.847,82</t>
  </si>
  <si>
    <t xml:space="preserve">           34.593,44</t>
  </si>
  <si>
    <t xml:space="preserve">           63.400,01</t>
  </si>
  <si>
    <t xml:space="preserve">           68.042,99</t>
  </si>
  <si>
    <t xml:space="preserve">          141.840,20</t>
  </si>
  <si>
    <t xml:space="preserve">           33.744,80</t>
  </si>
  <si>
    <t xml:space="preserve">           19.247,80</t>
  </si>
  <si>
    <t xml:space="preserve">           37.577,37</t>
  </si>
  <si>
    <t xml:space="preserve">           12.422,63</t>
  </si>
  <si>
    <t>356627733</t>
  </si>
  <si>
    <t>356627734</t>
  </si>
  <si>
    <t>356627735</t>
  </si>
  <si>
    <t>356627736</t>
  </si>
  <si>
    <t>356627737</t>
  </si>
  <si>
    <t>356627775</t>
  </si>
  <si>
    <t>356629340</t>
  </si>
  <si>
    <t>356629341</t>
  </si>
  <si>
    <t>356629342</t>
  </si>
  <si>
    <t>356629343</t>
  </si>
  <si>
    <t>356629344</t>
  </si>
  <si>
    <t>356629345</t>
  </si>
  <si>
    <t>356629346</t>
  </si>
  <si>
    <t>356629347</t>
  </si>
  <si>
    <t>356629348</t>
  </si>
  <si>
    <t>356629349</t>
  </si>
  <si>
    <t>356629350</t>
  </si>
  <si>
    <t>356629351</t>
  </si>
  <si>
    <t>356629352</t>
  </si>
  <si>
    <t>356629353</t>
  </si>
  <si>
    <t>356629354</t>
  </si>
  <si>
    <t>356629355</t>
  </si>
  <si>
    <t>356629356</t>
  </si>
  <si>
    <t>356629357</t>
  </si>
  <si>
    <t>356629358</t>
  </si>
  <si>
    <t>356629359</t>
  </si>
  <si>
    <t>356629360</t>
  </si>
  <si>
    <t>356629361</t>
  </si>
  <si>
    <t>356629362</t>
  </si>
  <si>
    <t>356629363</t>
  </si>
  <si>
    <t>356629364</t>
  </si>
  <si>
    <t>356629365</t>
  </si>
  <si>
    <t>356629366</t>
  </si>
  <si>
    <t>356629367</t>
  </si>
  <si>
    <t>356629368</t>
  </si>
  <si>
    <t>356629369</t>
  </si>
  <si>
    <t>356629370</t>
  </si>
  <si>
    <t>356629371</t>
  </si>
  <si>
    <t>356629372</t>
  </si>
  <si>
    <t>356629373</t>
  </si>
  <si>
    <t>356629374</t>
  </si>
  <si>
    <t>356629375</t>
  </si>
  <si>
    <t>356629376</t>
  </si>
  <si>
    <t>356629377</t>
  </si>
  <si>
    <t>356629378</t>
  </si>
  <si>
    <t>356629379</t>
  </si>
  <si>
    <t>356629380</t>
  </si>
  <si>
    <t>356629381</t>
  </si>
  <si>
    <t>356629382</t>
  </si>
  <si>
    <t>356629383</t>
  </si>
  <si>
    <t>356629384</t>
  </si>
  <si>
    <t>356629385</t>
  </si>
  <si>
    <t>356629386</t>
  </si>
  <si>
    <t>356629387</t>
  </si>
  <si>
    <t>356629388</t>
  </si>
  <si>
    <t>356629389</t>
  </si>
  <si>
    <t>356629390</t>
  </si>
  <si>
    <t>356629391</t>
  </si>
  <si>
    <t>356629728</t>
  </si>
  <si>
    <t>356629729</t>
  </si>
  <si>
    <t>356629730</t>
  </si>
  <si>
    <t>356629731</t>
  </si>
  <si>
    <t>356629732</t>
  </si>
  <si>
    <t>356629733</t>
  </si>
  <si>
    <t>356629734</t>
  </si>
  <si>
    <t>356629735</t>
  </si>
  <si>
    <t>356629736</t>
  </si>
  <si>
    <t>356629737</t>
  </si>
  <si>
    <t>356629738</t>
  </si>
  <si>
    <t>356629739</t>
  </si>
  <si>
    <t>356629740</t>
  </si>
  <si>
    <t>356629741</t>
  </si>
  <si>
    <t>356629742</t>
  </si>
  <si>
    <t>356629743</t>
  </si>
  <si>
    <t>356629744</t>
  </si>
  <si>
    <t>356629745</t>
  </si>
  <si>
    <t>356629746</t>
  </si>
  <si>
    <t>356629747</t>
  </si>
  <si>
    <t>356629748</t>
  </si>
  <si>
    <t>356629749</t>
  </si>
  <si>
    <t>356629750</t>
  </si>
  <si>
    <t>356629751</t>
  </si>
  <si>
    <t>356629752</t>
  </si>
  <si>
    <t>356629753</t>
  </si>
  <si>
    <t>356629754</t>
  </si>
  <si>
    <t>356629755</t>
  </si>
  <si>
    <t>356629756</t>
  </si>
  <si>
    <t>356629757</t>
  </si>
  <si>
    <t>356629758</t>
  </si>
  <si>
    <t>356629759</t>
  </si>
  <si>
    <t>356629760</t>
  </si>
  <si>
    <t>356629761</t>
  </si>
  <si>
    <t>356629762</t>
  </si>
  <si>
    <t>356629763</t>
  </si>
  <si>
    <t>356629764</t>
  </si>
  <si>
    <t>356629765</t>
  </si>
  <si>
    <t>356629766</t>
  </si>
  <si>
    <t>356629767</t>
  </si>
  <si>
    <t>356629768</t>
  </si>
  <si>
    <t>356629769</t>
  </si>
  <si>
    <t>356629770</t>
  </si>
  <si>
    <t>356629771</t>
  </si>
  <si>
    <t>356629772</t>
  </si>
  <si>
    <t>356629773</t>
  </si>
  <si>
    <t>356629774</t>
  </si>
  <si>
    <t>356629775</t>
  </si>
  <si>
    <t>356629776</t>
  </si>
  <si>
    <t>356629777</t>
  </si>
  <si>
    <t>356629778</t>
  </si>
  <si>
    <t>356629779</t>
  </si>
  <si>
    <t>356629780</t>
  </si>
  <si>
    <t>356629781</t>
  </si>
  <si>
    <t>356629782</t>
  </si>
  <si>
    <t>356629783</t>
  </si>
  <si>
    <t>356629784</t>
  </si>
  <si>
    <t>356629785</t>
  </si>
  <si>
    <t>356629786</t>
  </si>
  <si>
    <t>356629787</t>
  </si>
  <si>
    <t>356629788</t>
  </si>
  <si>
    <t>356629789</t>
  </si>
  <si>
    <t>356629790</t>
  </si>
  <si>
    <t>356629791</t>
  </si>
  <si>
    <t>356629792</t>
  </si>
  <si>
    <t>356629793</t>
  </si>
  <si>
    <t>356629794</t>
  </si>
  <si>
    <t>356629795</t>
  </si>
  <si>
    <t>356629796</t>
  </si>
  <si>
    <t>356629797</t>
  </si>
  <si>
    <t>356629798</t>
  </si>
  <si>
    <t>356629799</t>
  </si>
  <si>
    <t>356629800</t>
  </si>
  <si>
    <t>356629801</t>
  </si>
  <si>
    <t>356629802</t>
  </si>
  <si>
    <t>356629803</t>
  </si>
  <si>
    <t>356629804</t>
  </si>
  <si>
    <t>356629805</t>
  </si>
  <si>
    <t>356629806</t>
  </si>
  <si>
    <t>356629807</t>
  </si>
  <si>
    <t>356629808</t>
  </si>
  <si>
    <t>356629809</t>
  </si>
  <si>
    <t>356629810</t>
  </si>
  <si>
    <t>356629811</t>
  </si>
  <si>
    <t>356629812</t>
  </si>
  <si>
    <t>356629813</t>
  </si>
  <si>
    <t>356629814</t>
  </si>
  <si>
    <t>356629815</t>
  </si>
  <si>
    <t>356629816</t>
  </si>
  <si>
    <t>356629817</t>
  </si>
  <si>
    <t>356629818</t>
  </si>
  <si>
    <t>356629819</t>
  </si>
  <si>
    <t>356629820</t>
  </si>
  <si>
    <t>356629821</t>
  </si>
  <si>
    <t>356629822</t>
  </si>
  <si>
    <t>356629823</t>
  </si>
  <si>
    <t>356629824</t>
  </si>
  <si>
    <t>356629825</t>
  </si>
  <si>
    <t>356629826</t>
  </si>
  <si>
    <t>356629827</t>
  </si>
  <si>
    <t>356629828</t>
  </si>
  <si>
    <t>356629829</t>
  </si>
  <si>
    <t>356629830</t>
  </si>
  <si>
    <t>356629831</t>
  </si>
  <si>
    <t>356629832</t>
  </si>
  <si>
    <t>356629833</t>
  </si>
  <si>
    <t>356629834</t>
  </si>
  <si>
    <t>356629835</t>
  </si>
  <si>
    <t>356629836</t>
  </si>
  <si>
    <t>356629837</t>
  </si>
  <si>
    <t>356629838</t>
  </si>
  <si>
    <t>356629839</t>
  </si>
  <si>
    <t>356629840</t>
  </si>
  <si>
    <t>356629841</t>
  </si>
  <si>
    <t>356629842</t>
  </si>
  <si>
    <t>356629843</t>
  </si>
  <si>
    <t>356629844</t>
  </si>
  <si>
    <t>356629845</t>
  </si>
  <si>
    <t>356629846</t>
  </si>
  <si>
    <t>356629847</t>
  </si>
  <si>
    <t>356629848</t>
  </si>
  <si>
    <t>356629849</t>
  </si>
  <si>
    <t>356629850</t>
  </si>
  <si>
    <t>356629851</t>
  </si>
  <si>
    <t>356629852</t>
  </si>
  <si>
    <t>356629853</t>
  </si>
  <si>
    <t>356629854</t>
  </si>
  <si>
    <t>356629855</t>
  </si>
  <si>
    <t>356629856</t>
  </si>
  <si>
    <t>356629857</t>
  </si>
  <si>
    <t>356629858</t>
  </si>
  <si>
    <t>356630315</t>
  </si>
  <si>
    <t>356630316</t>
  </si>
  <si>
    <t>356630317</t>
  </si>
  <si>
    <t>356630318</t>
  </si>
  <si>
    <t>356630319</t>
  </si>
  <si>
    <t>356630320</t>
  </si>
  <si>
    <t>356630321</t>
  </si>
  <si>
    <t>356630490</t>
  </si>
  <si>
    <t>356630491</t>
  </si>
  <si>
    <t>356630492</t>
  </si>
  <si>
    <t>356630493</t>
  </si>
  <si>
    <t>356630494</t>
  </si>
  <si>
    <t>356630921</t>
  </si>
  <si>
    <t>356630922</t>
  </si>
  <si>
    <t>356631150</t>
  </si>
  <si>
    <t>356631151</t>
  </si>
  <si>
    <t>356631152</t>
  </si>
  <si>
    <t>356631153</t>
  </si>
  <si>
    <t>356631154</t>
  </si>
  <si>
    <t>356631155</t>
  </si>
  <si>
    <t>356631156</t>
  </si>
  <si>
    <t>356631157</t>
  </si>
  <si>
    <t>356631158</t>
  </si>
  <si>
    <t>356631159</t>
  </si>
  <si>
    <t>356631160</t>
  </si>
  <si>
    <t>356631161</t>
  </si>
  <si>
    <t>356631162</t>
  </si>
  <si>
    <t>356631191</t>
  </si>
  <si>
    <t>356631192</t>
  </si>
  <si>
    <t>356631193</t>
  </si>
  <si>
    <t>356631194</t>
  </si>
  <si>
    <t>356631195</t>
  </si>
  <si>
    <t>356631196</t>
  </si>
  <si>
    <t>356631197</t>
  </si>
  <si>
    <t>356631286</t>
  </si>
  <si>
    <t>356631287</t>
  </si>
  <si>
    <t>356631288</t>
  </si>
  <si>
    <t>356631289</t>
  </si>
  <si>
    <t>356631290</t>
  </si>
  <si>
    <t>356631291</t>
  </si>
  <si>
    <t>356631292</t>
  </si>
  <si>
    <t>356631293</t>
  </si>
  <si>
    <t>356631294</t>
  </si>
  <si>
    <t>356631295</t>
  </si>
  <si>
    <t>356631296</t>
  </si>
  <si>
    <t>356631297</t>
  </si>
  <si>
    <t>356631298</t>
  </si>
  <si>
    <t>356631299</t>
  </si>
  <si>
    <t>356631300</t>
  </si>
  <si>
    <t>356631301</t>
  </si>
  <si>
    <t>356631302</t>
  </si>
  <si>
    <t>356631303</t>
  </si>
  <si>
    <t>356631304</t>
  </si>
  <si>
    <t>356631305</t>
  </si>
  <si>
    <t>356631306</t>
  </si>
  <si>
    <t>356631307</t>
  </si>
  <si>
    <t>356631308</t>
  </si>
  <si>
    <t>356631309</t>
  </si>
  <si>
    <t>356631310</t>
  </si>
  <si>
    <t>356631311</t>
  </si>
  <si>
    <t>356631312</t>
  </si>
  <si>
    <t>356631313</t>
  </si>
  <si>
    <t>356631314</t>
  </si>
  <si>
    <t>356631315</t>
  </si>
  <si>
    <t>356631316</t>
  </si>
  <si>
    <t>356631317</t>
  </si>
  <si>
    <t>356631318</t>
  </si>
  <si>
    <t>356631319</t>
  </si>
  <si>
    <t>356631320</t>
  </si>
  <si>
    <t>356631321</t>
  </si>
  <si>
    <t>356631322</t>
  </si>
  <si>
    <t>356631323</t>
  </si>
  <si>
    <t>356631324</t>
  </si>
  <si>
    <t>356631325</t>
  </si>
  <si>
    <t>356631326</t>
  </si>
  <si>
    <t>356631327</t>
  </si>
  <si>
    <t>356631328</t>
  </si>
  <si>
    <t>356631329</t>
  </si>
  <si>
    <t>356631330</t>
  </si>
  <si>
    <t>356631331</t>
  </si>
  <si>
    <t>356631332</t>
  </si>
  <si>
    <t>356631333</t>
  </si>
  <si>
    <t>356631334</t>
  </si>
  <si>
    <t>356631335</t>
  </si>
  <si>
    <t>356631336</t>
  </si>
  <si>
    <t>356631337</t>
  </si>
  <si>
    <t>356631338</t>
  </si>
  <si>
    <t>356631339</t>
  </si>
  <si>
    <t>356631340</t>
  </si>
  <si>
    <t>356631341</t>
  </si>
  <si>
    <t>356631342</t>
  </si>
  <si>
    <t>356631343</t>
  </si>
  <si>
    <t>356631344</t>
  </si>
  <si>
    <t>356631345</t>
  </si>
  <si>
    <t>356631346</t>
  </si>
  <si>
    <t>356631347</t>
  </si>
  <si>
    <t>356631348</t>
  </si>
  <si>
    <t>356631349</t>
  </si>
  <si>
    <t>356631350</t>
  </si>
  <si>
    <t>356631351</t>
  </si>
  <si>
    <t>356631352</t>
  </si>
  <si>
    <t>356631353</t>
  </si>
  <si>
    <t>356631354</t>
  </si>
  <si>
    <t>356631355</t>
  </si>
  <si>
    <t>356631356</t>
  </si>
  <si>
    <t>356631357</t>
  </si>
  <si>
    <t>356631358</t>
  </si>
  <si>
    <t>356631359</t>
  </si>
  <si>
    <t>356631360</t>
  </si>
  <si>
    <t>356631361</t>
  </si>
  <si>
    <t>356631362</t>
  </si>
  <si>
    <t>356631363</t>
  </si>
  <si>
    <t>356631364</t>
  </si>
  <si>
    <t>356631365</t>
  </si>
  <si>
    <t>356631366</t>
  </si>
  <si>
    <t>356631367</t>
  </si>
  <si>
    <t>356631368</t>
  </si>
  <si>
    <t>356631369</t>
  </si>
  <si>
    <t>356631370</t>
  </si>
  <si>
    <t>356631371</t>
  </si>
  <si>
    <t>356631372</t>
  </si>
  <si>
    <t>356631373</t>
  </si>
  <si>
    <t>356631374</t>
  </si>
  <si>
    <t>356631375</t>
  </si>
  <si>
    <t>356631376</t>
  </si>
  <si>
    <t>356631377</t>
  </si>
  <si>
    <t>356631378</t>
  </si>
  <si>
    <t>356631379</t>
  </si>
  <si>
    <t>356631380</t>
  </si>
  <si>
    <t>356631381</t>
  </si>
  <si>
    <t>356631382</t>
  </si>
  <si>
    <t>356631383</t>
  </si>
  <si>
    <t>356631384</t>
  </si>
  <si>
    <t>356631385</t>
  </si>
  <si>
    <t>356631386</t>
  </si>
  <si>
    <t>356631387</t>
  </si>
  <si>
    <t>356631388</t>
  </si>
  <si>
    <t>356631389</t>
  </si>
  <si>
    <t>356631390</t>
  </si>
  <si>
    <t>356631391</t>
  </si>
  <si>
    <t>356631392</t>
  </si>
  <si>
    <t>356631393</t>
  </si>
  <si>
    <t>356631394</t>
  </si>
  <si>
    <t>356631395</t>
  </si>
  <si>
    <t>356631396</t>
  </si>
  <si>
    <t>356631397</t>
  </si>
  <si>
    <t>356631398</t>
  </si>
  <si>
    <t>356631399</t>
  </si>
  <si>
    <t>356631400</t>
  </si>
  <si>
    <t>356631401</t>
  </si>
  <si>
    <t>356631402</t>
  </si>
  <si>
    <t>356631403</t>
  </si>
  <si>
    <t>356631404</t>
  </si>
  <si>
    <t>356639099</t>
  </si>
  <si>
    <t>356639104</t>
  </si>
  <si>
    <t>356639108</t>
  </si>
  <si>
    <t>356639112</t>
  </si>
  <si>
    <t>356639344</t>
  </si>
  <si>
    <t>356639351</t>
  </si>
  <si>
    <t>356639494</t>
  </si>
  <si>
    <t>356639497</t>
  </si>
  <si>
    <t>356639500</t>
  </si>
  <si>
    <t>356639505</t>
  </si>
  <si>
    <t>356639513</t>
  </si>
  <si>
    <t>356639814</t>
  </si>
  <si>
    <t>356639815</t>
  </si>
  <si>
    <t>356640840</t>
  </si>
  <si>
    <t>356640841</t>
  </si>
  <si>
    <t>603286778</t>
  </si>
  <si>
    <t>IX30208/ AKRON ENGR</t>
  </si>
  <si>
    <t>603255642</t>
  </si>
  <si>
    <t>366071</t>
  </si>
  <si>
    <t>603262731</t>
  </si>
  <si>
    <t>90009543</t>
  </si>
  <si>
    <t>603262981</t>
  </si>
  <si>
    <t>603312937</t>
  </si>
  <si>
    <t>A343302/705163/Airfare</t>
  </si>
  <si>
    <t>A343302/705163/Agency Booking Fees</t>
  </si>
  <si>
    <t>603248435</t>
  </si>
  <si>
    <t>603263361</t>
  </si>
  <si>
    <t>8241404117 - KraussMaffei Extrusion GmbH</t>
  </si>
  <si>
    <t>8241907394 - ZESCO INC</t>
  </si>
  <si>
    <t>603264739</t>
  </si>
  <si>
    <t>8241252252 - Apr 2025 VIM Accrual</t>
  </si>
  <si>
    <t>8241463855 - Apr 2025 VIM Accrual</t>
  </si>
  <si>
    <t>8241998814 - Apr 2025 VIM Accrual</t>
  </si>
  <si>
    <t>8242041555 - Apr 2025 VIM Accrual</t>
  </si>
  <si>
    <t>8242077795 - Apr 2025 VIM Accrual</t>
  </si>
  <si>
    <t>603281549</t>
  </si>
  <si>
    <t>57109902</t>
  </si>
  <si>
    <t>Capital Contracts</t>
  </si>
  <si>
    <t>A-2861</t>
  </si>
  <si>
    <t>A-2862</t>
  </si>
  <si>
    <t>A-2879</t>
  </si>
  <si>
    <t>A-2863</t>
  </si>
  <si>
    <t>8241872430</t>
  </si>
  <si>
    <t>1507027463</t>
  </si>
  <si>
    <t>Ref. 98244-2 Recebimento Fatura Transferencia de c</t>
  </si>
  <si>
    <t>PAINEL ELÉ COM CPU ROCKWELL COMPACTLOGIX</t>
  </si>
  <si>
    <t>AM2406039</t>
  </si>
  <si>
    <t>ELEC PANEL W/ ROCKWELL COMPACTLOGIX CPU</t>
  </si>
  <si>
    <t>1507027464</t>
  </si>
  <si>
    <t>Ref. 98244-2 Fatura Fornecedor Transferencia de co</t>
  </si>
  <si>
    <t>1507045329</t>
  </si>
  <si>
    <t>Ref. 00313053-2 Invoice - Gross Trf to Asset Acct</t>
  </si>
  <si>
    <t>1507045325</t>
  </si>
  <si>
    <t>Ref. 00313005-2 Invoice - Gross Trf to Asset Acct</t>
  </si>
  <si>
    <t>603316666</t>
  </si>
  <si>
    <t>603316667</t>
  </si>
  <si>
    <t>8242150181</t>
  </si>
  <si>
    <t>1506896575</t>
  </si>
  <si>
    <t>1506896587</t>
  </si>
  <si>
    <t>1506896588</t>
  </si>
  <si>
    <t>1506896599</t>
  </si>
  <si>
    <t>1506897420</t>
  </si>
  <si>
    <t>1506897434</t>
  </si>
  <si>
    <t>8242144009</t>
  </si>
  <si>
    <t>1506947667</t>
  </si>
  <si>
    <t>Ref. 9269-1 Recebimento Fatura Transferencia de co</t>
  </si>
  <si>
    <t>SLUGS PARA MOLDE</t>
  </si>
  <si>
    <t>AM2504064</t>
  </si>
  <si>
    <t>SLUGS PARA MOLDES</t>
  </si>
  <si>
    <t>1506947670</t>
  </si>
  <si>
    <t>Ref. 9269-1 Fatura Fornecedor Transferencia de con</t>
  </si>
  <si>
    <t xml:space="preserve">                                    Overall values</t>
  </si>
  <si>
    <t xml:space="preserve">                                  Previous years</t>
  </si>
  <si>
    <t>Commitmen</t>
  </si>
  <si>
    <t xml:space="preserve">  35.340,80</t>
  </si>
  <si>
    <t xml:space="preserve">  23.335,56</t>
  </si>
  <si>
    <t xml:space="preserve"> 36.612,44</t>
  </si>
  <si>
    <t xml:space="preserve"> 37.577,37</t>
  </si>
  <si>
    <t xml:space="preserve">  37.577,37</t>
  </si>
  <si>
    <t xml:space="preserve"> 12.422,63</t>
  </si>
  <si>
    <t>11.240,45</t>
  </si>
  <si>
    <t xml:space="preserve">  11.240,45</t>
  </si>
  <si>
    <t>-11.240,45</t>
  </si>
  <si>
    <t>8242126167</t>
  </si>
  <si>
    <t>1507193702</t>
  </si>
  <si>
    <t>Ref. 76835-0 Recebimento Fatura Transferencia de c</t>
  </si>
  <si>
    <t>MOLA HIDRAULICA P/ PORTA MARCA DORMA</t>
  </si>
  <si>
    <t>CC3205158</t>
  </si>
  <si>
    <t>SPRING PISTON</t>
  </si>
  <si>
    <t>1507199102</t>
  </si>
  <si>
    <t>Ref. 609-0 Fatura Fornecedor Transferencia de con</t>
  </si>
  <si>
    <t>8241819963</t>
  </si>
  <si>
    <t>1507199098</t>
  </si>
  <si>
    <t>1507231404</t>
  </si>
  <si>
    <t>Ref. 5518-1 Fatura Fornecedor Transferencia de con</t>
  </si>
  <si>
    <t xml:space="preserve">            1.060,03</t>
  </si>
  <si>
    <t xml:space="preserve">            4.445,64</t>
  </si>
  <si>
    <t xml:space="preserve">           28.560,43</t>
  </si>
  <si>
    <t xml:space="preserve">              742,45</t>
  </si>
  <si>
    <t xml:space="preserve">          648.229,97</t>
  </si>
  <si>
    <t xml:space="preserve">          422.310,03</t>
  </si>
  <si>
    <t>-50.836,12</t>
  </si>
  <si>
    <t xml:space="preserve">            2.493,90</t>
  </si>
  <si>
    <t xml:space="preserve">            1.103,02</t>
  </si>
  <si>
    <t xml:space="preserve">           42.287,31</t>
  </si>
  <si>
    <t xml:space="preserve">            1.778,60</t>
  </si>
  <si>
    <t xml:space="preserve">           17.244,49</t>
  </si>
  <si>
    <t xml:space="preserve">          291.048,08</t>
  </si>
  <si>
    <t xml:space="preserve">           58.951,92</t>
  </si>
  <si>
    <t>CAP - AUTOCOMPOUND Q</t>
  </si>
  <si>
    <t xml:space="preserve">           32.273,76</t>
  </si>
  <si>
    <t>8242150208</t>
  </si>
  <si>
    <t>8242150551</t>
  </si>
  <si>
    <t>LCP-250041</t>
  </si>
  <si>
    <t>TEST</t>
  </si>
  <si>
    <t>AOP 4+8 Até Abril</t>
  </si>
  <si>
    <t>Realizado</t>
  </si>
  <si>
    <t>TBD</t>
  </si>
  <si>
    <t>NOVO DISPERGRADER PARA MEDIÇÃO DA DISPERSÃO EM COMPOSTOS</t>
  </si>
  <si>
    <t>LCP-250006-16</t>
  </si>
  <si>
    <t>Difference</t>
  </si>
  <si>
    <t>FSB - UPGRADE DUST COLLECTOR BUFFER</t>
  </si>
  <si>
    <t>LCP-250041-EX</t>
  </si>
  <si>
    <t>EXP FSB UPGRADE DUST COLLECTOR BUFFER</t>
  </si>
  <si>
    <t>TECO DATE (policy 30 months ~ 912 days)</t>
  </si>
  <si>
    <t>2 ½ years for TECO</t>
  </si>
  <si>
    <t>3 ½ years for CLOSE</t>
  </si>
  <si>
    <t>13/05: Falta Adequação do Sistema de Proteção contra descargas atmosféricas e instalação de Multimedidor</t>
  </si>
  <si>
    <t>OLIVEIRA</t>
  </si>
  <si>
    <t>8242140117</t>
  </si>
  <si>
    <t>1507548808</t>
  </si>
  <si>
    <t>8242132121</t>
  </si>
  <si>
    <t>1507548853</t>
  </si>
  <si>
    <t>8240817722</t>
  </si>
  <si>
    <t>1507597639</t>
  </si>
  <si>
    <t>8242144408</t>
  </si>
  <si>
    <t>1507674869</t>
  </si>
  <si>
    <t>Ref. 141063-1 Recebimento Fatura Transferencia de</t>
  </si>
  <si>
    <t>TINTA AUTOMOTIVA SECAGEM RAPIDA AMARELO</t>
  </si>
  <si>
    <t>CC2521217</t>
  </si>
  <si>
    <t>INK STENCIL</t>
  </si>
  <si>
    <t>1507309517</t>
  </si>
  <si>
    <t>1507309526</t>
  </si>
  <si>
    <t>1507309548</t>
  </si>
  <si>
    <t>1507316147</t>
  </si>
  <si>
    <t>Alteração de projeto, material não será utilizado.</t>
  </si>
  <si>
    <t>1507310596</t>
  </si>
  <si>
    <t>Ref. 169837-1 Recebimento Fatura Transferencia de</t>
  </si>
  <si>
    <t>1507310597</t>
  </si>
  <si>
    <t>Ref. 169837-1 Fatura Fornecedor Transferencia de c</t>
  </si>
  <si>
    <t>1507675289</t>
  </si>
  <si>
    <t>Ref. 98583-2 Recebimento Fatura Transferencia de c</t>
  </si>
  <si>
    <t>1507675290</t>
  </si>
  <si>
    <t>Ref. 98583-2 Fatura Fornecedor Transferencia de co</t>
  </si>
  <si>
    <t>1507603710</t>
  </si>
  <si>
    <t>1507603745</t>
  </si>
  <si>
    <t>1507491042</t>
  </si>
  <si>
    <t>1507491013</t>
  </si>
  <si>
    <t>1507491056</t>
  </si>
  <si>
    <t>8241864591</t>
  </si>
  <si>
    <t>1507553265</t>
  </si>
  <si>
    <t>1507310818</t>
  </si>
  <si>
    <t>Ref. 169812-1 Recebimento Fatura Transferencia de</t>
  </si>
  <si>
    <t>MINI SUPORTE REF. 442LAMBSZMN3</t>
  </si>
  <si>
    <t>AM1810013</t>
  </si>
  <si>
    <t>MINI SUPPORT REF. 442LAMBSZMN3</t>
  </si>
  <si>
    <t>CABO P/ SCANNER SEGURANCA</t>
  </si>
  <si>
    <t>AM1811236</t>
  </si>
  <si>
    <t>SAFETY CABLE FOR SCANNER</t>
  </si>
  <si>
    <t>CORTINA DE LUZ  450LE4HL0150YD</t>
  </si>
  <si>
    <t>AM2501096</t>
  </si>
  <si>
    <t>LIGHT CURTAIN 450LE4HL0150YD</t>
  </si>
  <si>
    <t>1507311419</t>
  </si>
  <si>
    <t>Ref. 169812-1 Fatura Fornecedor Transferencia de c</t>
  </si>
  <si>
    <t>8242053618</t>
  </si>
  <si>
    <t>1507557351</t>
  </si>
  <si>
    <t>Ref. 5526-1 Fatura Fornecedor Transferencia de con</t>
  </si>
  <si>
    <t>Mezanino metálico escada e guarda corpo</t>
  </si>
  <si>
    <t>90016655</t>
  </si>
  <si>
    <t>JOSE FERNANDO ALVES JUNIOR</t>
  </si>
  <si>
    <t>AM2501073</t>
  </si>
  <si>
    <t>Metal mezzanine ladder and guardrail</t>
  </si>
  <si>
    <t>8241864558</t>
  </si>
  <si>
    <t>1507553268</t>
  </si>
  <si>
    <t>1507310820</t>
  </si>
  <si>
    <t>Ref. 169815-1 Fatura Fornecedor Transferencia de c</t>
  </si>
  <si>
    <t>1507311421</t>
  </si>
  <si>
    <t>Ref. 169815-1 Recebimento Fatura Transferencia de</t>
  </si>
  <si>
    <t>1507311459</t>
  </si>
  <si>
    <t>Ref. 169975-1 Recebimento Fatura Transferencia de</t>
  </si>
  <si>
    <t>1507311461</t>
  </si>
  <si>
    <t>Ref. 169975-1 Fatura Fornecedor Transferencia de c</t>
  </si>
  <si>
    <t>1507445289</t>
  </si>
  <si>
    <t>Ref. 70213-1 Recebimento Fatura Transferencia de c</t>
  </si>
  <si>
    <t>PONTO FIXO HSS CM 5 - EXTEND. C/</t>
  </si>
  <si>
    <t>AM2502074</t>
  </si>
  <si>
    <t>FIXED POINT HSS CM 5 - EXTEND. W/</t>
  </si>
  <si>
    <t>Suporte Externo PAtilha TR C5-TR-D13JCL</t>
  </si>
  <si>
    <t>AM2502092</t>
  </si>
  <si>
    <t>External Support TR Tab C5-TR-D13JCL</t>
  </si>
  <si>
    <t>1507445292</t>
  </si>
  <si>
    <t>Ref. 70213-1 Fatura Fornecedor Transferencia de co</t>
  </si>
  <si>
    <t>1507657767</t>
  </si>
  <si>
    <t>8242111478</t>
  </si>
  <si>
    <t>1507233712</t>
  </si>
  <si>
    <t>Ref. 21721-1 Recebimento Fatura Transferencia de c</t>
  </si>
  <si>
    <t>CABO FIBRA HP 5MT PREMIER FLEX LC/LC OM4</t>
  </si>
  <si>
    <t>AM1810080</t>
  </si>
  <si>
    <t>FIBER CABLE HP 5M PREMIER FLEX LC/LC OM4</t>
  </si>
  <si>
    <t>HPE PROLIANT DL380 GEN10 8SFF CTO SERVER</t>
  </si>
  <si>
    <t>AM1810079</t>
  </si>
  <si>
    <t>1507260698</t>
  </si>
  <si>
    <t>1507600873</t>
  </si>
  <si>
    <t>CC7856226</t>
  </si>
  <si>
    <t>CHAINFLEX CABLE 25 G 1,0 IGUS</t>
  </si>
  <si>
    <t>CC7913716</t>
  </si>
  <si>
    <t>CAP PROTECTIVE</t>
  </si>
  <si>
    <t>-39.356,54</t>
  </si>
  <si>
    <t xml:space="preserve">            9.852,95</t>
  </si>
  <si>
    <t xml:space="preserve">           22.761,27</t>
  </si>
  <si>
    <t xml:space="preserve">           89.782,78</t>
  </si>
  <si>
    <t xml:space="preserve">           89.575,22</t>
  </si>
  <si>
    <t xml:space="preserve">           65.626,51</t>
  </si>
  <si>
    <t xml:space="preserve">            6.221,60</t>
  </si>
  <si>
    <t xml:space="preserve">           28.898,34</t>
  </si>
  <si>
    <t xml:space="preserve">            2.601,66</t>
  </si>
  <si>
    <t xml:space="preserve">          306.332,60</t>
  </si>
  <si>
    <t xml:space="preserve">           44.688,37</t>
  </si>
  <si>
    <t xml:space="preserve">          463.574,66</t>
  </si>
  <si>
    <t>-463.574,66</t>
  </si>
  <si>
    <t xml:space="preserve">            6.610,60</t>
  </si>
  <si>
    <t xml:space="preserve">          115.862,83</t>
  </si>
  <si>
    <t xml:space="preserve">           22.890,05</t>
  </si>
  <si>
    <t xml:space="preserve">           11.749,31</t>
  </si>
  <si>
    <t xml:space="preserve">          305.734,09</t>
  </si>
  <si>
    <t xml:space="preserve">           13.920,95</t>
  </si>
  <si>
    <t xml:space="preserve">          293.981,66</t>
  </si>
  <si>
    <t xml:space="preserve">          178.878,34</t>
  </si>
  <si>
    <t xml:space="preserve">           15.066,42</t>
  </si>
  <si>
    <t xml:space="preserve">            1.853,84</t>
  </si>
  <si>
    <t xml:space="preserve">            3.856,22</t>
  </si>
  <si>
    <t xml:space="preserve">           91.108,03</t>
  </si>
  <si>
    <t xml:space="preserve">              386,02</t>
  </si>
  <si>
    <t xml:space="preserve">          166.253,86</t>
  </si>
  <si>
    <t xml:space="preserve">            6.926,93</t>
  </si>
  <si>
    <t xml:space="preserve">            9.096,30</t>
  </si>
  <si>
    <t xml:space="preserve">          596.296,65</t>
  </si>
  <si>
    <t xml:space="preserve">          133.958,35</t>
  </si>
  <si>
    <t xml:space="preserve">           36.392,57</t>
  </si>
  <si>
    <t xml:space="preserve">           41.683,43</t>
  </si>
  <si>
    <t xml:space="preserve">          368.740,16</t>
  </si>
  <si>
    <t xml:space="preserve">              316,69</t>
  </si>
  <si>
    <t xml:space="preserve">          294.899,61</t>
  </si>
  <si>
    <t xml:space="preserve">          278.901,33</t>
  </si>
  <si>
    <t xml:space="preserve">           24.659,20</t>
  </si>
  <si>
    <t xml:space="preserve">          261.146,99</t>
  </si>
  <si>
    <t xml:space="preserve">           22.144,72</t>
  </si>
  <si>
    <t xml:space="preserve">           98.349,94</t>
  </si>
  <si>
    <t xml:space="preserve">       12.505.840,96</t>
  </si>
  <si>
    <t xml:space="preserve">            7.915,05</t>
  </si>
  <si>
    <t xml:space="preserve">          598.400,80</t>
  </si>
  <si>
    <t xml:space="preserve">          605.708,17</t>
  </si>
  <si>
    <t xml:space="preserve">        2.846.665,83</t>
  </si>
  <si>
    <t xml:space="preserve">           22.914,96</t>
  </si>
  <si>
    <t xml:space="preserve">           23.958,87</t>
  </si>
  <si>
    <t xml:space="preserve">           88.307,13</t>
  </si>
  <si>
    <t xml:space="preserve">           20.192,16</t>
  </si>
  <si>
    <t xml:space="preserve">           21.236,07</t>
  </si>
  <si>
    <t xml:space="preserve">          116.846,93</t>
  </si>
  <si>
    <t xml:space="preserve">           24.536,16</t>
  </si>
  <si>
    <t xml:space="preserve">           25.580,07</t>
  </si>
  <si>
    <t xml:space="preserve">          114.241,93</t>
  </si>
  <si>
    <t xml:space="preserve">           20.896,20</t>
  </si>
  <si>
    <t xml:space="preserve">           91.396,80</t>
  </si>
  <si>
    <t xml:space="preserve">          114.875,80</t>
  </si>
  <si>
    <t xml:space="preserve">          115.310,84</t>
  </si>
  <si>
    <t xml:space="preserve">           21.940,11</t>
  </si>
  <si>
    <t xml:space="preserve">           92.530,89</t>
  </si>
  <si>
    <t xml:space="preserve">          107.629,89</t>
  </si>
  <si>
    <t xml:space="preserve">           15.848,16</t>
  </si>
  <si>
    <t xml:space="preserve">           90.684,84</t>
  </si>
  <si>
    <t xml:space="preserve">          108.565,89</t>
  </si>
  <si>
    <t xml:space="preserve">           37.428,16</t>
  </si>
  <si>
    <t xml:space="preserve">           81.170,84</t>
  </si>
  <si>
    <t xml:space="preserve">           88.051,84</t>
  </si>
  <si>
    <t xml:space="preserve">           83.669,84</t>
  </si>
  <si>
    <t xml:space="preserve">          103.004,84</t>
  </si>
  <si>
    <t xml:space="preserve">          121.570,80</t>
  </si>
  <si>
    <t xml:space="preserve">          111.438,80</t>
  </si>
  <si>
    <t xml:space="preserve">           28.775,16</t>
  </si>
  <si>
    <t xml:space="preserve">           77.758,84</t>
  </si>
  <si>
    <t xml:space="preserve">           92.514,84</t>
  </si>
  <si>
    <t>CAP - DISPERGRADER D</t>
  </si>
  <si>
    <t>FSB - UPGRADE DUST C</t>
  </si>
  <si>
    <t>LCP-250041-01</t>
  </si>
  <si>
    <t>LCP-250041-02</t>
  </si>
  <si>
    <t>LCP-250041-03</t>
  </si>
  <si>
    <t>CAP - CIVIL SERVICE</t>
  </si>
  <si>
    <t>400202704</t>
  </si>
  <si>
    <t>Material Coordinators Cost Distribution Apr2025</t>
  </si>
  <si>
    <t>603416100</t>
  </si>
  <si>
    <t>603437368</t>
  </si>
  <si>
    <t>603437369</t>
  </si>
  <si>
    <t>603437370</t>
  </si>
  <si>
    <t>603437371</t>
  </si>
  <si>
    <t>603437372</t>
  </si>
  <si>
    <t>603437373</t>
  </si>
  <si>
    <t>603446460</t>
  </si>
  <si>
    <t>603451843</t>
  </si>
  <si>
    <t>603454073</t>
  </si>
  <si>
    <t>603466917</t>
  </si>
  <si>
    <t>Storage</t>
  </si>
  <si>
    <t>8242155606</t>
  </si>
  <si>
    <t>8242155607</t>
  </si>
  <si>
    <t xml:space="preserve">            2.756,00</t>
  </si>
  <si>
    <t>603496204</t>
  </si>
  <si>
    <t>8242144018</t>
  </si>
  <si>
    <t>1507183701</t>
  </si>
  <si>
    <t>Ref. 24079-1 Recebimento Fatura Transferencia de c</t>
  </si>
  <si>
    <t>EXTINTOR CARRETA PQS 20 KG BC 80 BC</t>
  </si>
  <si>
    <t>AM2306150</t>
  </si>
  <si>
    <t>TRUCK EXTINGUISHER PQS 20 KG BC 80 BC</t>
  </si>
  <si>
    <t>Placa de Sinalização EXTINTOR</t>
  </si>
  <si>
    <t>AM2309143</t>
  </si>
  <si>
    <t>EXTINGUISHER Sign Board</t>
  </si>
  <si>
    <t>1507293275</t>
  </si>
  <si>
    <t>8242139969</t>
  </si>
  <si>
    <t>1507507480</t>
  </si>
  <si>
    <t>1507546899</t>
  </si>
  <si>
    <t>1507548720</t>
  </si>
  <si>
    <t>1507548730</t>
  </si>
  <si>
    <t>1507548745</t>
  </si>
  <si>
    <t>1507548775</t>
  </si>
  <si>
    <t>1507548785</t>
  </si>
  <si>
    <t>1507550600</t>
  </si>
  <si>
    <t>1507550620</t>
  </si>
  <si>
    <t>1507554663</t>
  </si>
  <si>
    <t>1507554951</t>
  </si>
  <si>
    <t>1507623052</t>
  </si>
  <si>
    <t>1507623057</t>
  </si>
  <si>
    <t>1507659923</t>
  </si>
  <si>
    <t>Ref. 3652-0 Fatura Fornecedor Transferencia de con</t>
  </si>
  <si>
    <t>1507659925</t>
  </si>
  <si>
    <t>Ref. 3653-0 Fatura Fornecedor Transferencia de con</t>
  </si>
  <si>
    <t>1507659932</t>
  </si>
  <si>
    <t>Ref. 3654-0 Fatura Fornecedor Transferencia de con</t>
  </si>
  <si>
    <t>1507659935</t>
  </si>
  <si>
    <t>Ref. 3656-0 Fatura Fornecedor Transferencia de con</t>
  </si>
  <si>
    <t>1507661749</t>
  </si>
  <si>
    <t>Ref. 3658-0 Fatura Fornecedor Transferencia de con</t>
  </si>
  <si>
    <t>1507661752</t>
  </si>
  <si>
    <t>Ref. 3659-0 Fatura Fornecedor Transferencia de con</t>
  </si>
  <si>
    <t>1507668301</t>
  </si>
  <si>
    <t>Ref. 3674-0 Fatura Fornecedor Transferencia de con</t>
  </si>
  <si>
    <t>1507668303</t>
  </si>
  <si>
    <t>Ref. 3675-0 Fatura Fornecedor Transferencia de con</t>
  </si>
  <si>
    <t>1507668307</t>
  </si>
  <si>
    <t>Ref. 3676-0 Fatura Fornecedor Transferencia de con</t>
  </si>
  <si>
    <t>1507668309</t>
  </si>
  <si>
    <t>Ref. 3677-0 Fatura Fornecedor Transferencia de con</t>
  </si>
  <si>
    <t>1507668311</t>
  </si>
  <si>
    <t>Ref. 3679-0 Fatura Fornecedor Transferencia de con</t>
  </si>
  <si>
    <t>1507668315</t>
  </si>
  <si>
    <t>Ref. 3680-0 Fatura Fornecedor Transferencia de con</t>
  </si>
  <si>
    <t>1507675749</t>
  </si>
  <si>
    <t>1507675755</t>
  </si>
  <si>
    <t xml:space="preserve">           25.165,53</t>
  </si>
  <si>
    <t xml:space="preserve">           56.921,98</t>
  </si>
  <si>
    <t xml:space="preserve">           19.253,95</t>
  </si>
  <si>
    <t xml:space="preserve">           76.175,93</t>
  </si>
  <si>
    <t xml:space="preserve">           16.824,07</t>
  </si>
  <si>
    <t xml:space="preserve">           65.385,95</t>
  </si>
  <si>
    <t xml:space="preserve">           11.628,50</t>
  </si>
  <si>
    <t xml:space="preserve">           28.684,50</t>
  </si>
  <si>
    <t xml:space="preserve">            1.696,72</t>
  </si>
  <si>
    <t xml:space="preserve">            3.060,28</t>
  </si>
  <si>
    <t xml:space="preserve">           53.485,61</t>
  </si>
  <si>
    <t xml:space="preserve">            2.637,84</t>
  </si>
  <si>
    <t xml:space="preserve"> 24.659,20</t>
  </si>
  <si>
    <t xml:space="preserve"> 48.931,76</t>
  </si>
  <si>
    <t xml:space="preserve">  32.273,76</t>
  </si>
  <si>
    <t>1507863767</t>
  </si>
  <si>
    <t>8241701142</t>
  </si>
  <si>
    <t>1507859927</t>
  </si>
  <si>
    <t>1507857364</t>
  </si>
  <si>
    <t>1507862431</t>
  </si>
  <si>
    <t>Ref. 765312-2 Recebimento Fatura Transferencia de</t>
  </si>
  <si>
    <t>Cabo PROFINET  A CAT5E 4x0,64mm² 100 ver</t>
  </si>
  <si>
    <t>AM2503055</t>
  </si>
  <si>
    <t>PROFINET Cable  A CAT5E 4x0.64mm² 10 ver</t>
  </si>
  <si>
    <t>1507862432</t>
  </si>
  <si>
    <t>Ref. 765312-2 Fatura Fornecedor Transferencia de c</t>
  </si>
  <si>
    <t>1507862424</t>
  </si>
  <si>
    <t>Ref. 765277-2 Recebimento Fatura Transferencia de</t>
  </si>
  <si>
    <t>1507862425</t>
  </si>
  <si>
    <t>Ref. 765277-2 Fatura Fornecedor Transferencia de c</t>
  </si>
  <si>
    <t>1507862445</t>
  </si>
  <si>
    <t>Ref. 765080-2 Recebimento Fatura Transferencia de</t>
  </si>
  <si>
    <t>1507862446</t>
  </si>
  <si>
    <t>Ref. 765080-2 Fatura Fornecedor Transferencia de c</t>
  </si>
  <si>
    <t>1507859943</t>
  </si>
  <si>
    <t>CHG-MERIDI-4503182 - 5/25</t>
  </si>
  <si>
    <t>4500477824</t>
  </si>
  <si>
    <t>1507864200</t>
  </si>
  <si>
    <t>PROJETO-BR00516I25</t>
  </si>
  <si>
    <t>TEMPORARY DBM#4 CONVEYORS</t>
  </si>
  <si>
    <t>AM2502077</t>
  </si>
  <si>
    <t>8242104813</t>
  </si>
  <si>
    <t>1507856239</t>
  </si>
  <si>
    <t>-1.477.850,72</t>
  </si>
  <si>
    <t xml:space="preserve">           18.502,03</t>
  </si>
  <si>
    <t xml:space="preserve">          121.300,00</t>
  </si>
  <si>
    <t xml:space="preserve">            6.520,00</t>
  </si>
  <si>
    <t xml:space="preserve">          875.737,67</t>
  </si>
  <si>
    <t xml:space="preserve">            6.232,67</t>
  </si>
  <si>
    <t>Facilities Civil Design Srvcs (Expense)</t>
  </si>
  <si>
    <t>Facilities Civil Design Services (Labor)</t>
  </si>
  <si>
    <t>1507925865</t>
  </si>
  <si>
    <t>8242069070</t>
  </si>
  <si>
    <t>1507924632</t>
  </si>
  <si>
    <t>1507924629</t>
  </si>
  <si>
    <t>1507929868</t>
  </si>
  <si>
    <t>1507929909</t>
  </si>
  <si>
    <t>1507929952</t>
  </si>
  <si>
    <t>1507930004</t>
  </si>
  <si>
    <t>1507930021</t>
  </si>
  <si>
    <t>1507928073</t>
  </si>
  <si>
    <t>Ref. 527-0 Fatura Fornecedor Transferencia de con</t>
  </si>
  <si>
    <t>1507933290</t>
  </si>
  <si>
    <t>1507933440</t>
  </si>
  <si>
    <t>1507933811</t>
  </si>
  <si>
    <t>1507933822</t>
  </si>
  <si>
    <t>1507933825</t>
  </si>
  <si>
    <t>1507933830</t>
  </si>
  <si>
    <t>1507928223</t>
  </si>
  <si>
    <t>Ref. 528-0 Fatura Fornecedor Transferencia de con</t>
  </si>
  <si>
    <t>1507924057</t>
  </si>
  <si>
    <t xml:space="preserve">              123,64</t>
  </si>
  <si>
    <t>-10.812,24</t>
  </si>
  <si>
    <t xml:space="preserve">          872.975,73</t>
  </si>
  <si>
    <t xml:space="preserve">          394.074,27</t>
  </si>
  <si>
    <t xml:space="preserve">          754.032,48</t>
  </si>
  <si>
    <t xml:space="preserve">           43.499,32</t>
  </si>
  <si>
    <t xml:space="preserve">           10.597,80</t>
  </si>
  <si>
    <t xml:space="preserve">          337.035,11</t>
  </si>
  <si>
    <t xml:space="preserve">          128.081,47</t>
  </si>
  <si>
    <t xml:space="preserve">           11.884,56</t>
  </si>
  <si>
    <t xml:space="preserve">           66.606,01</t>
  </si>
  <si>
    <t xml:space="preserve">            8.246,08</t>
  </si>
  <si>
    <t xml:space="preserve">           21.620,08</t>
  </si>
  <si>
    <t xml:space="preserve">            1.164,65</t>
  </si>
  <si>
    <t xml:space="preserve">           27.295,83</t>
  </si>
  <si>
    <t xml:space="preserve">           52.968,80</t>
  </si>
  <si>
    <t xml:space="preserve">          106.970,00</t>
  </si>
  <si>
    <t xml:space="preserve">               72,00</t>
  </si>
  <si>
    <t xml:space="preserve">           20.138,00</t>
  </si>
  <si>
    <t xml:space="preserve">        1.399.933,00</t>
  </si>
  <si>
    <t xml:space="preserve">          808.965,40</t>
  </si>
  <si>
    <t xml:space="preserve">          590.967,60</t>
  </si>
  <si>
    <t xml:space="preserve">           38.202,00</t>
  </si>
  <si>
    <t xml:space="preserve">           35.326,00</t>
  </si>
  <si>
    <t xml:space="preserve">            2.876,00</t>
  </si>
  <si>
    <t xml:space="preserve">          834.154,00</t>
  </si>
  <si>
    <t xml:space="preserve">          464.536,90</t>
  </si>
  <si>
    <t xml:space="preserve">          369.617,10</t>
  </si>
  <si>
    <t xml:space="preserve">          425.442,00</t>
  </si>
  <si>
    <t xml:space="preserve">          309.102,50</t>
  </si>
  <si>
    <t xml:space="preserve">          116.339,50</t>
  </si>
  <si>
    <t xml:space="preserve">          102.135,00</t>
  </si>
  <si>
    <t xml:space="preserve">          231.574,00</t>
  </si>
  <si>
    <t xml:space="preserve">          152.347,00</t>
  </si>
  <si>
    <t xml:space="preserve">           70.608,00</t>
  </si>
  <si>
    <t xml:space="preserve">            8.619,00</t>
  </si>
  <si>
    <t>603527079</t>
  </si>
  <si>
    <t>603529298</t>
  </si>
  <si>
    <t>8242162699</t>
  </si>
  <si>
    <t>1507924368</t>
  </si>
  <si>
    <t>8242046320</t>
  </si>
  <si>
    <t>1507929875</t>
  </si>
  <si>
    <t>Perícias, laudos, exames técnicos</t>
  </si>
  <si>
    <t>1507821118</t>
  </si>
  <si>
    <t>Ref. 3683-0 Fatura Fornecedor Transferencia de con</t>
  </si>
  <si>
    <t>1507859261</t>
  </si>
  <si>
    <t>Ref. 3684-0 Fatura Fornecedor Transferencia de con</t>
  </si>
  <si>
    <t>66 Cilindros comprados, 63 Recebidos. Os 3 faltantes serão entregues em Junho</t>
  </si>
  <si>
    <t>8240811995</t>
  </si>
  <si>
    <t>1508026547</t>
  </si>
  <si>
    <t>8241258984</t>
  </si>
  <si>
    <t>1507986835</t>
  </si>
  <si>
    <t>1507989904</t>
  </si>
  <si>
    <t>1507989911</t>
  </si>
  <si>
    <t>1507989919</t>
  </si>
  <si>
    <t>1507989934</t>
  </si>
  <si>
    <t>1507964147</t>
  </si>
  <si>
    <t>1507965789</t>
  </si>
  <si>
    <t>1507965810</t>
  </si>
  <si>
    <t>1507965830</t>
  </si>
  <si>
    <t>1507965858</t>
  </si>
  <si>
    <t>1507965878</t>
  </si>
  <si>
    <t>1507965881</t>
  </si>
  <si>
    <t>1507967324</t>
  </si>
  <si>
    <t>1507967425</t>
  </si>
  <si>
    <t>1507967488</t>
  </si>
  <si>
    <t>1507967612</t>
  </si>
  <si>
    <t>1507967655</t>
  </si>
  <si>
    <t>1507967696</t>
  </si>
  <si>
    <t>8242162684</t>
  </si>
  <si>
    <t>1507981066</t>
  </si>
  <si>
    <t>Ref. 446449-1 Recebimento Fatura Transferencia de</t>
  </si>
  <si>
    <t>CABO 50mm2 SINTENAX 0.6/1KV COR VERDE</t>
  </si>
  <si>
    <t>AM1901387</t>
  </si>
  <si>
    <t>CABLE 50mm2 SINTENAX 0.6/1KV COLOR GREEN</t>
  </si>
  <si>
    <t>1507981071</t>
  </si>
  <si>
    <t>Ref. 446449-1 Fatura Fornecedor Transferencia de c</t>
  </si>
  <si>
    <t>1508026566</t>
  </si>
  <si>
    <t>1508027218</t>
  </si>
  <si>
    <t>1508027300</t>
  </si>
  <si>
    <t>1508027339</t>
  </si>
  <si>
    <t>1507968067</t>
  </si>
  <si>
    <t>1507989072</t>
  </si>
  <si>
    <t>1507967038</t>
  </si>
  <si>
    <t>Ref. 529-0 Fatura Fornecedor Transferencia de con</t>
  </si>
  <si>
    <t>1507973170</t>
  </si>
  <si>
    <t>Ref. 1297-0 Fatura Fornecedor Transferencia de con</t>
  </si>
  <si>
    <t>8241779505</t>
  </si>
  <si>
    <t>1507982180</t>
  </si>
  <si>
    <t>Elaboração de programa de computador</t>
  </si>
  <si>
    <t>1507973313</t>
  </si>
  <si>
    <t>Ref. 1296-0 Fatura Fornecedor Transferencia de con</t>
  </si>
  <si>
    <t>1507979373</t>
  </si>
  <si>
    <t>Ref. 2582101-1 Recebimento Fatura Transferencia de</t>
  </si>
  <si>
    <t>1507979374</t>
  </si>
  <si>
    <t>Ref. 2582101-1 Fatura Fornecedor Transferencia de</t>
  </si>
  <si>
    <t>603546389</t>
  </si>
  <si>
    <t>603546390</t>
  </si>
  <si>
    <t>1508146848</t>
  </si>
  <si>
    <t>Ref. 2125-0 Fatura Fornecedor Transferencia de con</t>
  </si>
  <si>
    <t>8242124830</t>
  </si>
  <si>
    <t>1508032575</t>
  </si>
  <si>
    <t>1508168579</t>
  </si>
  <si>
    <t>8242144041</t>
  </si>
  <si>
    <t>1508038901</t>
  </si>
  <si>
    <t>Ref. 170471-1 Recebimento Fatura Transferencia de</t>
  </si>
  <si>
    <t>MODULE A-B 1734-IB8SK 24VDC 8 INPUT, VUL</t>
  </si>
  <si>
    <t>CC6189085</t>
  </si>
  <si>
    <t>MODULE A-B 1734-IB8SK 24VDC 8 INPUT, VU</t>
  </si>
  <si>
    <t>Base terminal, POINT I/O, uma peça</t>
  </si>
  <si>
    <t>AM2411101</t>
  </si>
  <si>
    <t>Terminal Base,POINT I/O,One Piece</t>
  </si>
  <si>
    <t>MODULO POINT I/O SAFETY. REF. 1734OB8SK</t>
  </si>
  <si>
    <t>CC6102532</t>
  </si>
  <si>
    <t>MODULE ELECTRONIC</t>
  </si>
  <si>
    <t>BASE MODULO I/O COM 8 PONTO FISCHER BREK</t>
  </si>
  <si>
    <t>CC6187298</t>
  </si>
  <si>
    <t>BASE P/ MODULO I/O WITH 8 PONTOS</t>
  </si>
  <si>
    <t>BORNE CINZA DUPLO 1492JD3</t>
  </si>
  <si>
    <t>AM1903588</t>
  </si>
  <si>
    <t>TERMINAL BLOCK  1492JD3</t>
  </si>
  <si>
    <t>BOTÃO PULSADOR AZUL METALICO ILUMINADO</t>
  </si>
  <si>
    <t>CC6102236</t>
  </si>
  <si>
    <t>PUSHBUTTON OPERATOR</t>
  </si>
  <si>
    <t>BLOCO DE CONTATO NORMAL ABERTO 800F-X10</t>
  </si>
  <si>
    <t>CC6101687</t>
  </si>
  <si>
    <t>DIODO EMISSOR DE LUZ INCOLOR. 24 VDC</t>
  </si>
  <si>
    <t>CC6188668</t>
  </si>
  <si>
    <t>MODULE RELAY</t>
  </si>
  <si>
    <t>TRAVA COMANDOS ELETRO-ELETRONICOS. NGTTS</t>
  </si>
  <si>
    <t>CC7533784</t>
  </si>
  <si>
    <t>MOUNTING LATCH, METAL#A/B#800F-ALM#QUAD</t>
  </si>
  <si>
    <t>Plug-in de conexão para luz de segurança</t>
  </si>
  <si>
    <t>AM2411092</t>
  </si>
  <si>
    <t>Connection Plug-in for 450L safety light</t>
  </si>
  <si>
    <t>Micro cabo DC, fêmea, reto 889DF5AC10</t>
  </si>
  <si>
    <t>AM2411084</t>
  </si>
  <si>
    <t>DC Micro Cable,Female, Straight 889DF5AC</t>
  </si>
  <si>
    <t>Mídia Ethernet, código1585DM4TBDM10</t>
  </si>
  <si>
    <t>AM2411083</t>
  </si>
  <si>
    <t>Ethernet media, Micro D code, QD style</t>
  </si>
  <si>
    <t>Interruptor sem contato 440N, SensaGuard</t>
  </si>
  <si>
    <t>AM2411078</t>
  </si>
  <si>
    <t>440N Non Contact Switch,SensaGuard</t>
  </si>
  <si>
    <t>Chave de habilitação, 2 N.C. Segurança,</t>
  </si>
  <si>
    <t>AM2411098</t>
  </si>
  <si>
    <t>Enabling Switch, 2 N.C. Safety, 1 N.O Au</t>
  </si>
  <si>
    <t>CABO AXIAL FEMEA MICRO DC 30M</t>
  </si>
  <si>
    <t>AM1811161</t>
  </si>
  <si>
    <t>FEMALE CORDSET DC MICRO CABLE 30M</t>
  </si>
  <si>
    <t>Micro cabo DC, macho, roscas externas re</t>
  </si>
  <si>
    <t>AM2411071</t>
  </si>
  <si>
    <t>DC Micro Cable,Male,Straight Ext Threads</t>
  </si>
  <si>
    <t>KIT INSTALAÇÃO LIFELINE 440E-A13080</t>
  </si>
  <si>
    <t>CC2251846</t>
  </si>
  <si>
    <t>INATALLATION KIT LIFELINE ROPE  5M</t>
  </si>
  <si>
    <t>KIT DE INSTALAÇÃO, COMPOSTO POR PARAFUSO</t>
  </si>
  <si>
    <t>CC7942165</t>
  </si>
  <si>
    <t>INSTALLATION KIT, COMPOSITE SCREW</t>
  </si>
  <si>
    <t>Mídia Ethernet, 1585DM4DCSH</t>
  </si>
  <si>
    <t>AM2411086</t>
  </si>
  <si>
    <t>Ethernet Media,Micro Style QD</t>
  </si>
  <si>
    <t>CABO RECEPTOR DA CORTINA LUZ. 889DF8AB30</t>
  </si>
  <si>
    <t>CC7804954</t>
  </si>
  <si>
    <t>CABLE RECEIVER</t>
  </si>
  <si>
    <t>Adaptador de furo 800F-AHA1</t>
  </si>
  <si>
    <t>AM2411134</t>
  </si>
  <si>
    <t>Microcabo, fêmea  889D-F5AC-30</t>
  </si>
  <si>
    <t>AM2411133</t>
  </si>
  <si>
    <t>Micro Cable,Female  889D-F5AC-30</t>
  </si>
  <si>
    <t>Microcabo DC</t>
  </si>
  <si>
    <t>AM2411120</t>
  </si>
  <si>
    <t>DC Micro Cable</t>
  </si>
  <si>
    <t>PLUG PARA ETHERNET RJ45</t>
  </si>
  <si>
    <t>AM2501001</t>
  </si>
  <si>
    <t>RJ45 ETHERNET PLUG</t>
  </si>
  <si>
    <t>MICRO CABO - 889D-F5AC-5</t>
  </si>
  <si>
    <t>AM2501002</t>
  </si>
  <si>
    <t>MICRO CABLE - 889D-F5AC-5</t>
  </si>
  <si>
    <t>1508038906</t>
  </si>
  <si>
    <t>Ref. 170471-1 Fatura Fornecedor Transferencia de c</t>
  </si>
  <si>
    <t>8242138385</t>
  </si>
  <si>
    <t>1508047346</t>
  </si>
  <si>
    <t>8242125451</t>
  </si>
  <si>
    <t>1508040105</t>
  </si>
  <si>
    <t>8241229725</t>
  </si>
  <si>
    <t>1508032506</t>
  </si>
  <si>
    <t>1508033132</t>
  </si>
  <si>
    <t>8241969226</t>
  </si>
  <si>
    <t>1508044108</t>
  </si>
  <si>
    <t>Ref. 10466-1 Recebimento Fatura Transferencia de c</t>
  </si>
  <si>
    <t>PAINEL ELET. AUT. ESTEIRAS CM ANCHIETA</t>
  </si>
  <si>
    <t>AM2404277</t>
  </si>
  <si>
    <t>ELECTRICAL PANEL AUT. CM ANCHIETA MATS</t>
  </si>
  <si>
    <t>1508044109</t>
  </si>
  <si>
    <t>Ref. 10466-1 Fatura Fornecedor Transferencia de co</t>
  </si>
  <si>
    <t>1508049671</t>
  </si>
  <si>
    <t>1508038766</t>
  </si>
  <si>
    <t>Ref. 170458-1 Recebimento Fatura Transferencia de</t>
  </si>
  <si>
    <t>CABO, TIPO CORDSET  889DF5BC20</t>
  </si>
  <si>
    <t>AM2501098</t>
  </si>
  <si>
    <t>CABLE, CORDSET TYPE 889DF5BC20</t>
  </si>
  <si>
    <t>1508038767</t>
  </si>
  <si>
    <t>Ref. 170458-1 Fatura Fornecedor Transferencia de c</t>
  </si>
  <si>
    <t>8242061003</t>
  </si>
  <si>
    <t>1508035938</t>
  </si>
  <si>
    <t>Ref. 1371-1 Recebimento Fatura Transferencia de co</t>
  </si>
  <si>
    <t>proteção modular em alumínio</t>
  </si>
  <si>
    <t>AM2411169</t>
  </si>
  <si>
    <t>modular aluminum protection</t>
  </si>
  <si>
    <t>8242060993</t>
  </si>
  <si>
    <t>1508038914</t>
  </si>
  <si>
    <t>Ref. 170494-1 Recebimento Fatura Transferencia de</t>
  </si>
  <si>
    <t>1508038915</t>
  </si>
  <si>
    <t>Ref. 170494-1 Fatura Fornecedor Transferencia de c</t>
  </si>
  <si>
    <t>8242155975</t>
  </si>
  <si>
    <t>1508035346</t>
  </si>
  <si>
    <t>Ref. 22590-1 Recebimento Fatura Transferencia de c</t>
  </si>
  <si>
    <t>PARAFUSO OLHAL GALVANIZADO 1/2"X10"</t>
  </si>
  <si>
    <t>AM2502186</t>
  </si>
  <si>
    <t>GALVANIZED EYE SCREW 1/2"X10"</t>
  </si>
  <si>
    <t>1508035347</t>
  </si>
  <si>
    <t>Ref. 22590-1 Fatura Fornecedor Transferencia de co</t>
  </si>
  <si>
    <t>8242092723</t>
  </si>
  <si>
    <t>1508038587</t>
  </si>
  <si>
    <t>Ref. 170439-1 Recebimento Fatura Transferencia de</t>
  </si>
  <si>
    <t>1508038588</t>
  </si>
  <si>
    <t>Ref. 170439-1 Fatura Fornecedor Transferencia de c</t>
  </si>
  <si>
    <t>1508040487</t>
  </si>
  <si>
    <t>Ref. 2572348-1 Invoice - Gross Trf to Asset Acct</t>
  </si>
  <si>
    <t>1508040495</t>
  </si>
  <si>
    <t>Ref. 2573334-1 Invoice - Gross Trf to Asset Acct</t>
  </si>
  <si>
    <t>1508040497</t>
  </si>
  <si>
    <t>Ref. 2582101-1 Invoice - Gross Trf to Asset Acct</t>
  </si>
  <si>
    <t>1508041803</t>
  </si>
  <si>
    <t>1508041815</t>
  </si>
  <si>
    <t>1508041828</t>
  </si>
  <si>
    <t>8241969525</t>
  </si>
  <si>
    <t>1508032560</t>
  </si>
  <si>
    <t>8242151848</t>
  </si>
  <si>
    <t>1508038434</t>
  </si>
  <si>
    <t>Ref. 170185-1 Recebimento Fatura Transferencia de</t>
  </si>
  <si>
    <t>1508038435</t>
  </si>
  <si>
    <t>Ref. 170185-1 Fatura Fornecedor Transferencia de c</t>
  </si>
  <si>
    <t>1508038747</t>
  </si>
  <si>
    <t>Ref. 170451-1 Recebimento Fatura Transferencia de</t>
  </si>
  <si>
    <t>1508038749</t>
  </si>
  <si>
    <t>Ref. 170451-1 Fatura Fornecedor Transferencia de c</t>
  </si>
  <si>
    <t xml:space="preserve">            2.773,85</t>
  </si>
  <si>
    <t xml:space="preserve">          132.086,78</t>
  </si>
  <si>
    <t xml:space="preserve">          144.161,21</t>
  </si>
  <si>
    <t xml:space="preserve">           77.538,79</t>
  </si>
  <si>
    <t xml:space="preserve">           33.240,28</t>
  </si>
  <si>
    <t xml:space="preserve">            1.259,72</t>
  </si>
  <si>
    <t xml:space="preserve">           15.142,25</t>
  </si>
  <si>
    <t xml:space="preserve">           15.487,10</t>
  </si>
  <si>
    <t xml:space="preserve">           52.073,64</t>
  </si>
  <si>
    <t xml:space="preserve">           41.115,00</t>
  </si>
  <si>
    <t xml:space="preserve">           28.053,00</t>
  </si>
  <si>
    <t xml:space="preserve">          331.413,60</t>
  </si>
  <si>
    <t xml:space="preserve">          327.895,00</t>
  </si>
  <si>
    <t>1508178151</t>
  </si>
  <si>
    <t>8242150581</t>
  </si>
  <si>
    <t>1508176213</t>
  </si>
  <si>
    <t>Ref. 5026-1 Recebimento Fatura Transferencia de co</t>
  </si>
  <si>
    <t>PAINEL ELÉTRICO</t>
  </si>
  <si>
    <t>AM2503103</t>
  </si>
  <si>
    <t>ELECTRICAL PANEL</t>
  </si>
  <si>
    <t>1508176214</t>
  </si>
  <si>
    <t>Ref. 5026-1 Fatura Fornecedor Transferencia de con</t>
  </si>
  <si>
    <t>1508186257</t>
  </si>
  <si>
    <t>1508179429</t>
  </si>
  <si>
    <t>Ref. 92-0 Fatura Fornecedor Transferencia de con</t>
  </si>
  <si>
    <t>1508181484</t>
  </si>
  <si>
    <t>Ref. 93-0 Fatura Fornecedor Transferencia de con</t>
  </si>
  <si>
    <t>1508175042</t>
  </si>
  <si>
    <t>1508175403</t>
  </si>
  <si>
    <t>1508175428</t>
  </si>
  <si>
    <t>1508175447</t>
  </si>
  <si>
    <t>1508175478</t>
  </si>
  <si>
    <t>1508175490</t>
  </si>
  <si>
    <t>1508175493</t>
  </si>
  <si>
    <t>1508179445</t>
  </si>
  <si>
    <t>Ref. 101-0 Fatura Fornecedor Transferencia de con</t>
  </si>
  <si>
    <t>1508179471</t>
  </si>
  <si>
    <t>Ref. 100-0 Fatura Fornecedor Transferencia de con</t>
  </si>
  <si>
    <t>1508179482</t>
  </si>
  <si>
    <t>1508180554</t>
  </si>
  <si>
    <t>Ref. 1338-0 Fatura Fornecedor Transferencia de con</t>
  </si>
  <si>
    <t>1508181429</t>
  </si>
  <si>
    <t>1508181475</t>
  </si>
  <si>
    <t>Ref. 97-0 Fatura Fornecedor Transferencia de con</t>
  </si>
  <si>
    <t>1508181606</t>
  </si>
  <si>
    <t>Ref. 1339-0 Fatura Fornecedor Transferencia de con</t>
  </si>
  <si>
    <t>1508183534</t>
  </si>
  <si>
    <t>Ref. 1340-0 Fatura Fornecedor Transferencia de con</t>
  </si>
  <si>
    <t>1508183579</t>
  </si>
  <si>
    <t>Ref. 1341-0 Fatura Fornecedor Transferencia de con</t>
  </si>
  <si>
    <t>1508183621</t>
  </si>
  <si>
    <t>Ref. 1342-0 Fatura Fornecedor Transferencia de con</t>
  </si>
  <si>
    <t>1508183698</t>
  </si>
  <si>
    <t>Ref. 1343-0 Fatura Fornecedor Transferencia de con</t>
  </si>
  <si>
    <t>1508174402</t>
  </si>
  <si>
    <t>Ref. 2994-0 Fatura Fornecedor Transferencia de con</t>
  </si>
  <si>
    <t>1508174434</t>
  </si>
  <si>
    <t>Ref. 2995-0 Fatura Fornecedor Transferencia de con</t>
  </si>
  <si>
    <t>1508174473</t>
  </si>
  <si>
    <t>Ref. 2996-0 Fatura Fornecedor Transferencia de con</t>
  </si>
  <si>
    <t>1508175449</t>
  </si>
  <si>
    <t>Ref. 2997-0 Fatura Fornecedor Transferencia de con</t>
  </si>
  <si>
    <t>1508173515</t>
  </si>
  <si>
    <t>Ref. 2731-0 Fatura Fornecedor Transferencia de con</t>
  </si>
  <si>
    <t>26/05.
PO criado, 
Aguardando contrato, downpayment e tramites de importação
Prontidão será em 11 de Junho.</t>
  </si>
  <si>
    <t>26/03: MC São Bernardo do Campo - de Anchieta.
Materiais chegaram em Maio
Instalação prevista para Junho após data de corte.</t>
  </si>
  <si>
    <t>26/05: Equipamento recebido em Maio mais deu defeito. Fornecedor está corregindo os problemas 
Projeto é um requerimento da GM</t>
  </si>
  <si>
    <t>26/05: Aguardando aprovação para pagamento do DownPayment (Rubia Rodrigues)
Setembro - Maquina de Prontidão - Chegada em Novembro
Consiste na troca da Balanceadora e Upgrade dos demais equipamentos (esteira, montadora de rodas e pneus e sistema de tração do false truck)</t>
  </si>
  <si>
    <t xml:space="preserve">SC Aberta, aguardando equalização técnica para então termos o PO de compras
</t>
  </si>
  <si>
    <t>Em rota de aprovação regional desde 25/02</t>
  </si>
  <si>
    <t>Em rota de aprovação regional desde 26/02</t>
  </si>
  <si>
    <t>1508197402</t>
  </si>
  <si>
    <t>Ref. 36499-0 Fatura Fornecedor Transferencia de co</t>
  </si>
  <si>
    <t>1508223645</t>
  </si>
  <si>
    <t>Ref. 3966-0 Fatura Fornecedor Transferencia de con</t>
  </si>
  <si>
    <t>1508224906</t>
  </si>
  <si>
    <t>Ref. 632-0 Fatura Fornecedor Transferencia de con</t>
  </si>
  <si>
    <t>1508223607</t>
  </si>
  <si>
    <t>Ref. 4327-0 Fatura Fornecedor Transferencia de con</t>
  </si>
  <si>
    <t>8242051906</t>
  </si>
  <si>
    <t>1508188138</t>
  </si>
  <si>
    <t>1508188678</t>
  </si>
  <si>
    <t>Ref. 103-0 Fatura Fornecedor Transferencia de con</t>
  </si>
  <si>
    <t>1508192788</t>
  </si>
  <si>
    <t>Ref. 3365-0 Fatura Fornecedor Transferencia de con</t>
  </si>
  <si>
    <t>1508193839</t>
  </si>
  <si>
    <t>Ref. 3366-0 Fatura Fornecedor Transferencia de con</t>
  </si>
  <si>
    <t>1508193852</t>
  </si>
  <si>
    <t>Ref. 3367-0 Fatura Fornecedor Transferencia de con</t>
  </si>
  <si>
    <t>1508193856</t>
  </si>
  <si>
    <t>Ref. 3368-0 Fatura Fornecedor Transferencia de con</t>
  </si>
  <si>
    <t>1508193858</t>
  </si>
  <si>
    <t>Ref. 3369-0 Fatura Fornecedor Transferencia de con</t>
  </si>
  <si>
    <t>1508193860</t>
  </si>
  <si>
    <t>Ref. 3370-0 Fatura Fornecedor Transferencia de con</t>
  </si>
  <si>
    <t>1508223055</t>
  </si>
  <si>
    <t>Ref. 109-0 Fatura Fornecedor Transferencia de con</t>
  </si>
  <si>
    <t>1508223057</t>
  </si>
  <si>
    <t>Ref. 108-0 Fatura Fornecedor Transferencia de con</t>
  </si>
  <si>
    <t>1508223059</t>
  </si>
  <si>
    <t>Ref. 107-0 Fatura Fornecedor Transferencia de con</t>
  </si>
  <si>
    <t>1508223061</t>
  </si>
  <si>
    <t>Ref. 106-0 Fatura Fornecedor Transferencia de con</t>
  </si>
  <si>
    <t>1508223063</t>
  </si>
  <si>
    <t>Ref. 105-0 Fatura Fornecedor Transferencia de con</t>
  </si>
  <si>
    <t>1508223065</t>
  </si>
  <si>
    <t>Ref. 104-0 Fatura Fornecedor Transferencia de con</t>
  </si>
  <si>
    <t>1508223618</t>
  </si>
  <si>
    <t>Ref. 955-0 Fatura Fornecedor Transferencia de con</t>
  </si>
  <si>
    <t>1508200119</t>
  </si>
  <si>
    <t>603605952</t>
  </si>
  <si>
    <t>27/05 - Todos os tambores comprados e disponibilizado para a FAM. A instalação pela HF só sera feita quando o Pneu para este tipo de tambor for desenvolvido, o que pode levar anos. Aguardando definicao se Projeto sera finalizado como esta</t>
  </si>
  <si>
    <t>27/05 - Retirada de pendencias
Falta fazer o Poka Yoke da Piramide. Aguardando definicao com a area e PO rockwell (SC será aberta pelo Engenheiro)</t>
  </si>
  <si>
    <t>27/05 . Fase 1 finalizada.
Fase 2 em processo de compras (adequações pois as medidas dos Racks estavam incorretas (DOI))
Compras está negociando com as empresas em paralelo. Possivelmente será feito um adicional ao PO atual, por isso não tem SC em aberto</t>
  </si>
  <si>
    <t>1507973212</t>
  </si>
  <si>
    <t>8242112703</t>
  </si>
  <si>
    <t>1508164611</t>
  </si>
  <si>
    <t>1508179247</t>
  </si>
  <si>
    <t>1508223637</t>
  </si>
  <si>
    <t>Ref. 3967-0 Fatura Fornecedor Transferencia de con</t>
  </si>
  <si>
    <t>8242098568</t>
  </si>
  <si>
    <t>1508225610</t>
  </si>
  <si>
    <t>1508033135</t>
  </si>
  <si>
    <t>1508193863</t>
  </si>
  <si>
    <t>Ref. 3373-0 Fatura Fornecedor Transferencia de con</t>
  </si>
  <si>
    <t>8242154970</t>
  </si>
  <si>
    <t>1508046755</t>
  </si>
  <si>
    <t xml:space="preserve">        1.123.857,23</t>
  </si>
  <si>
    <t xml:space="preserve">          631.582,25</t>
  </si>
  <si>
    <t xml:space="preserve">           17.893,05</t>
  </si>
  <si>
    <t xml:space="preserve">          649.475,30</t>
  </si>
  <si>
    <t xml:space="preserve">           73.497,81</t>
  </si>
  <si>
    <t xml:space="preserve">            1.905,82</t>
  </si>
  <si>
    <t xml:space="preserve">            6.694,18</t>
  </si>
  <si>
    <t xml:space="preserve">            2.594,18</t>
  </si>
  <si>
    <t>25/07 - 
Aguardando PO de compras por Andy do Global. Ele esta solicitando que seja feito BID ou que para este ano só fechemos metade do PO.
Colocar mais 140K para 2025
Projeto Eletrico, Automação, Comissionamento e Validação - Aguardando contratação (compras) 
Protecao mecânica e pneumática - Em contratacao
Materiais - Aguardando project design</t>
  </si>
  <si>
    <t>Colocado TECO em 11/03/2025 a pedido de finanças.
Histórico:
Faturamento será feito em Junho (Compras está negociando um desconto). Fornecedor não está respondendo o time de compras</t>
  </si>
  <si>
    <t>SC em aberto será utilizado (Reparo na proteção)</t>
  </si>
  <si>
    <t>27/05 
Maquina instalada e funcionando.
Falta apenas documentações e As Built e Pendencias
6K Empresa Jose Fernando
1K Microsel
6K Será aberto SC para Pendencias</t>
  </si>
  <si>
    <t>14/05 Aprovado via GBS somente pelo PACO. Em analise do Reginoal</t>
  </si>
  <si>
    <t xml:space="preserve">Carta Suporte em rota Regional
Alinhado com a Região que iria ultrapassar o AOP. </t>
  </si>
  <si>
    <t>27/05: Maio - instalacao da Infra (Aguardando PO)
Nov: Maquina</t>
  </si>
  <si>
    <t>25/05 - Scope change colodado em rota de aprovação para construir a sala nova no prédio da Quad, porém não foi aprovado pois está sendo exigido o BID. Devido ao time já não compensa fazer este ano. Será feito em 2026 quando o prédio da Q7 ficar pronto
Layout mudou, será instalado na nova sala do Quad. 
Compra e instalação de uma nova máquina para fazer testes no pneu.
Maquina ja Chegou. PO em aberto é com instalação</t>
  </si>
  <si>
    <t>25/04
Todos os pedidos em aberto com material está para este ano (2025)
MO de instalacao: Setembro e Outubro</t>
  </si>
  <si>
    <t>25/04
Todos os pedidos em aberto com material está para este ano (2025)
Escopo Técnico de instalação eletromecânica criado. Aguardando processo de compras (estimado 150K)) será feito em 2026</t>
  </si>
  <si>
    <t>27/05
junho: Protecoes
Julho: Projeto Eletrico
Agosto e Outubro: Instalações em 2 máquinas para este ano junto com Anthony (Instalacao será em Julho e Setembro)
Demais máquinas para 2026
Aguardando PO de Instalação Eletrica e mecanica (Previsto para ter o PO em Maio)
Falta (SC aberta):
Itens de segurança
MO Instalacao
Itens OK:
Paineis - OK
Sistema de Lubrificacao automatica - OK
Valvulas hidraulicas - OK
Apreciacao de risco Rockwell - OK
Servomotores - OK
Total de 16 maquinas (porem 1 delas já foi feito o upgrade, falta só adequar a seguranca):</t>
  </si>
  <si>
    <t xml:space="preserve">27/05:
Itens Faltantes: Pendencias RICAMIL - 6K Ja com PO
Programação Rockwell para linkar o Compressor com o Supervisório - SC em aberto - 3K
Monovia (mat e  instalacao) -  SC em aberto - 17K
</t>
  </si>
  <si>
    <t>27/05: Dois secadores já instalados, finalizando pendências (trocar 4 purgadores elétricos). PO ja criado com a empresa MP ENGENHARIA (5K)
PO de 300 dolares com a APRIS será cancelado</t>
  </si>
  <si>
    <t xml:space="preserve">27/05
PO criado com a PROENG. Falta apenas Overhaul do Fancoil 11 da B2. Em andamento
1K Valvula da KTB
</t>
  </si>
  <si>
    <t>27/05:  Falta apenas comprar e instalar um trocador de calor para o redutor.
13K Trocador de Calor - Ja tem PO
8K instalacao - SC em aberto</t>
  </si>
  <si>
    <t>27/05: Projeto para fazer um Overhaul em um Centac ja existente
PO criado. Instalacao em andamento
OK de 6K com BUSCORIOLE sera cancelado (8241894800)</t>
  </si>
  <si>
    <t>27/05Ç
BID sendo reiniciado. As 5 empresas cotadas inicialmente não foram aprovadas pelo Compras.</t>
  </si>
  <si>
    <t>27/05 - Dificuldades para encontrar empresas de Projeto - Compras
 Iniciado Extarifário. Estimado para ter o OK para Julho referente ao Extarifário.
Estimado embarcar em Agosto</t>
  </si>
  <si>
    <t>Fornecedor informou que chegará em Setembro</t>
  </si>
  <si>
    <t>27/05 - Para este ano está previso o Banheiro da Div A
Junho Estudo de Carga e Parte do Civil
Julho: Parte Civil
Para o de EHS será feito Scope Change</t>
  </si>
  <si>
    <t>REL  BUDG AUC  AVAC  //  RJCD BREL INPL</t>
  </si>
  <si>
    <t>LCP-250036</t>
  </si>
  <si>
    <t>AME - MILL ROLLERS 100 MIXER #4</t>
  </si>
  <si>
    <t>1508228714</t>
  </si>
  <si>
    <t>Ref. 26434-0 Fatura Fornecedor Transferencia de co</t>
  </si>
  <si>
    <t>1508253387</t>
  </si>
  <si>
    <t>Ref. 6667-0 Fatura Fornecedor Transferencia de con</t>
  </si>
  <si>
    <t>1508276298</t>
  </si>
  <si>
    <t>Ref. 6666-0 Fatura Fornecedor Transferencia de con</t>
  </si>
  <si>
    <t>1508251686</t>
  </si>
  <si>
    <t>Ref. 0IX0030208 G/L account document Trf to Asset</t>
  </si>
  <si>
    <t>1508226285</t>
  </si>
  <si>
    <t>Ref. 26465-0 Fatura Fornecedor Transferencia de co</t>
  </si>
  <si>
    <t>1508226287</t>
  </si>
  <si>
    <t>Ref. 26463-0 Fatura Fornecedor Transferencia de co</t>
  </si>
  <si>
    <t>1508228766</t>
  </si>
  <si>
    <t>Ref. 3371-0 Fatura Fornecedor Transferencia de con</t>
  </si>
  <si>
    <t>1508245835</t>
  </si>
  <si>
    <t>Ref. 36501-0 Fatura Fornecedor Transferencia de co</t>
  </si>
  <si>
    <t>1508228778</t>
  </si>
  <si>
    <t>Ref. 3372-0 Fatura Fornecedor Transferencia de con</t>
  </si>
  <si>
    <t>1508244270</t>
  </si>
  <si>
    <t>Ref. 1348-0 Fatura Fornecedor Transferencia de con</t>
  </si>
  <si>
    <t>1508244413</t>
  </si>
  <si>
    <t>Ref. 1347-0 Fatura Fornecedor Transferencia de con</t>
  </si>
  <si>
    <t>1508244511</t>
  </si>
  <si>
    <t>Ref. 1346-0 Fatura Fornecedor Transferencia de con</t>
  </si>
  <si>
    <t>1508244948</t>
  </si>
  <si>
    <t>Ref. 1345-0 Fatura Fornecedor Transferencia de con</t>
  </si>
  <si>
    <t>1508249300</t>
  </si>
  <si>
    <t>Ref. 2118-0 Fatura Fornecedor Transferencia de con</t>
  </si>
  <si>
    <t>1508251677</t>
  </si>
  <si>
    <t>AJ Encerramento 05.25</t>
  </si>
  <si>
    <t>1508252542</t>
  </si>
  <si>
    <t>AJUSTE ENCERRAMENTO SONDA EN 05.25</t>
  </si>
  <si>
    <t>1508251815</t>
  </si>
  <si>
    <t>Ref. 2993-0 Fatura Fornecedor Transferencia de con</t>
  </si>
  <si>
    <t>1508226283</t>
  </si>
  <si>
    <t>Ref. 26469-0 Fatura Fornecedor Transferencia de co</t>
  </si>
  <si>
    <t>1508254025</t>
  </si>
  <si>
    <t>ADTO SIEMENS PO 8241779499</t>
  </si>
  <si>
    <t>1508245042</t>
  </si>
  <si>
    <t>Ref. 10732-0 Fatura Fornecedor Transferencia de co</t>
  </si>
  <si>
    <t>ADTO SIEMENS PO 8241779506 </t>
  </si>
  <si>
    <t>ADTO SIEMENS PO 8241779508</t>
  </si>
  <si>
    <t>ADTO SIEMENS PO 8241779488</t>
  </si>
  <si>
    <t>ADTO SIEMENS PO 8241779531</t>
  </si>
  <si>
    <t>1508246781</t>
  </si>
  <si>
    <t>Reclassificação Item CAPEX Extraviado</t>
  </si>
  <si>
    <t>5709000000</t>
  </si>
  <si>
    <t>Other Expenses</t>
  </si>
  <si>
    <t>1508246792</t>
  </si>
  <si>
    <t>1508248612</t>
  </si>
  <si>
    <t>1508252917</t>
  </si>
  <si>
    <t>1508280104</t>
  </si>
  <si>
    <t>Ref. 362-0 Fatura Fornecedor Transferencia de con</t>
  </si>
  <si>
    <t xml:space="preserve">          783.323,30</t>
  </si>
  <si>
    <t xml:space="preserve">          265.302,00</t>
  </si>
  <si>
    <t xml:space="preserve">                0,85</t>
  </si>
  <si>
    <t xml:space="preserve">        1.556.850,00</t>
  </si>
  <si>
    <t xml:space="preserve">                3,44</t>
  </si>
  <si>
    <t xml:space="preserve">          697.774,00</t>
  </si>
  <si>
    <t xml:space="preserve">                4,48</t>
  </si>
  <si>
    <t xml:space="preserve">          458.498,00</t>
  </si>
  <si>
    <t xml:space="preserve">          227.909,09</t>
  </si>
  <si>
    <t xml:space="preserve">          185.090,91</t>
  </si>
  <si>
    <t xml:space="preserve">           96.395,87</t>
  </si>
  <si>
    <t xml:space="preserve">           26.104,13</t>
  </si>
  <si>
    <t>AME - MILL ROLLERS 1</t>
  </si>
  <si>
    <t>LCP-250036-01</t>
  </si>
  <si>
    <t>LCP-250036-02</t>
  </si>
  <si>
    <t>603612957</t>
  </si>
  <si>
    <t>603614357</t>
  </si>
  <si>
    <t>Carta Suporte em rota de aprovação. Aguardando BAR e One Page</t>
  </si>
  <si>
    <t>1508286707</t>
  </si>
  <si>
    <t>Ref. 2672-0 Fatura Fornecedor Transferencia de con</t>
  </si>
  <si>
    <t>1508282233</t>
  </si>
  <si>
    <t>Ref. 5526-1 Invoice - Gross Trf to Asset Acct</t>
  </si>
  <si>
    <t>1508290586</t>
  </si>
  <si>
    <t>1508284783</t>
  </si>
  <si>
    <t>Ref. 22590-1 Invoice - Gross Trf to Asset Acct</t>
  </si>
  <si>
    <t>1508284785</t>
  </si>
  <si>
    <t>603625941</t>
  </si>
  <si>
    <t>603625957</t>
  </si>
  <si>
    <t>PWS Silos Adjustment</t>
  </si>
  <si>
    <t>1508306322</t>
  </si>
  <si>
    <t>AJUSTE ENCERRAMENTO 05.25</t>
  </si>
  <si>
    <t>1508337869</t>
  </si>
  <si>
    <t>Reclass Despesa Concur AA43831</t>
  </si>
  <si>
    <t>Business Meals</t>
  </si>
  <si>
    <t>1508337891</t>
  </si>
  <si>
    <t>4330000000</t>
  </si>
  <si>
    <t>Repl (Std Chg) Var</t>
  </si>
  <si>
    <t>1508337899</t>
  </si>
  <si>
    <t>603640884</t>
  </si>
  <si>
    <t>8939</t>
  </si>
  <si>
    <t>8242171068</t>
  </si>
  <si>
    <t>EEX-250002-00-06</t>
  </si>
  <si>
    <t>ESTUDO PARA ADEQUAÇÃO DE PRONTUÁRIOS DE VASOS DE PRESSÃO NR13</t>
  </si>
  <si>
    <t>Aprovado em 29/05/2025</t>
  </si>
  <si>
    <t>1508398318</t>
  </si>
  <si>
    <t>DP IMP Maio/25</t>
  </si>
  <si>
    <t>1508341430</t>
  </si>
  <si>
    <t>AJUSTE CREDITO ATIVO PLANILHA PRODUTIVIDADE 03_202</t>
  </si>
  <si>
    <t>1508285288</t>
  </si>
  <si>
    <t>Diferencial de aliquota de ATIVO 05-2025</t>
  </si>
  <si>
    <t>1508339343</t>
  </si>
  <si>
    <t>1508353800</t>
  </si>
  <si>
    <t>Sem Parar - Provisão Maio/2025</t>
  </si>
  <si>
    <t>1508338972</t>
  </si>
  <si>
    <t>AJUSTE CREDITO ATIVO PLANILHA PRODUTIVIDADE 04_202</t>
  </si>
  <si>
    <t>603648418</t>
  </si>
  <si>
    <t>603654499</t>
  </si>
  <si>
    <t>,50010000, 8020963-0020 2024 Apr GMITLabor</t>
  </si>
  <si>
    <t>603654500</t>
  </si>
  <si>
    <t>,50010000, 8019279-0020 2024 Apr GMITLabor</t>
  </si>
  <si>
    <t>8242173702</t>
  </si>
  <si>
    <t>1508414305</t>
  </si>
  <si>
    <t>1508414307</t>
  </si>
  <si>
    <t>1508414308</t>
  </si>
  <si>
    <t>1508414310</t>
  </si>
  <si>
    <t>1508414311</t>
  </si>
  <si>
    <t>1508414312</t>
  </si>
  <si>
    <t>1508414313</t>
  </si>
  <si>
    <t>1508414315</t>
  </si>
  <si>
    <t>1508414317</t>
  </si>
  <si>
    <t>1508414320</t>
  </si>
  <si>
    <t>1508414321</t>
  </si>
  <si>
    <t>1508414322</t>
  </si>
  <si>
    <t>1508414324</t>
  </si>
  <si>
    <t>1508414325</t>
  </si>
  <si>
    <t>1508414327</t>
  </si>
  <si>
    <t>1508414328</t>
  </si>
  <si>
    <t>1508414329</t>
  </si>
  <si>
    <t>1508414331</t>
  </si>
  <si>
    <t>1508414334</t>
  </si>
  <si>
    <t>1508414335</t>
  </si>
  <si>
    <t>1508414337</t>
  </si>
  <si>
    <t>1508414338</t>
  </si>
  <si>
    <t>1508414339</t>
  </si>
  <si>
    <t>1508414341</t>
  </si>
  <si>
    <t>1508414342</t>
  </si>
  <si>
    <t>1508414343</t>
  </si>
  <si>
    <t>1508414345</t>
  </si>
  <si>
    <t>1508414346</t>
  </si>
  <si>
    <t>1508414347</t>
  </si>
  <si>
    <t>1508414349</t>
  </si>
  <si>
    <t>1508414350</t>
  </si>
  <si>
    <t>1508414351</t>
  </si>
  <si>
    <t>1508414353</t>
  </si>
  <si>
    <t>1508414355</t>
  </si>
  <si>
    <t>1508414356</t>
  </si>
  <si>
    <t>1508414357</t>
  </si>
  <si>
    <t>1508413591</t>
  </si>
  <si>
    <t>1508414359</t>
  </si>
  <si>
    <t>1508414360</t>
  </si>
  <si>
    <t>1508414362</t>
  </si>
  <si>
    <t>1508414363</t>
  </si>
  <si>
    <t>1508414364</t>
  </si>
  <si>
    <t>1508414365</t>
  </si>
  <si>
    <t>1508414367</t>
  </si>
  <si>
    <t>1508414368</t>
  </si>
  <si>
    <t>1508414369</t>
  </si>
  <si>
    <t>1508414370</t>
  </si>
  <si>
    <t>1508414374</t>
  </si>
  <si>
    <t>1508414376</t>
  </si>
  <si>
    <t>1508414377</t>
  </si>
  <si>
    <t>1508414379</t>
  </si>
  <si>
    <t>1508414380</t>
  </si>
  <si>
    <t>1508414385</t>
  </si>
  <si>
    <t>1508414387</t>
  </si>
  <si>
    <t>1508414255</t>
  </si>
  <si>
    <t>1508414389</t>
  </si>
  <si>
    <t>1508414391</t>
  </si>
  <si>
    <t>1508414394</t>
  </si>
  <si>
    <t>1508414395</t>
  </si>
  <si>
    <t>1508414020</t>
  </si>
  <si>
    <t>1508414415</t>
  </si>
  <si>
    <t>junho</t>
  </si>
  <si>
    <t>6</t>
  </si>
  <si>
    <t>8242162674</t>
  </si>
  <si>
    <t>1508552225</t>
  </si>
  <si>
    <t xml:space="preserve">          107.261,56</t>
  </si>
  <si>
    <t xml:space="preserve">            5.062,84</t>
  </si>
  <si>
    <t xml:space="preserve">        9.186.232,77</t>
  </si>
  <si>
    <t xml:space="preserve">        9.532.230,92</t>
  </si>
  <si>
    <t>-9.532.230,92</t>
  </si>
  <si>
    <t xml:space="preserve">        4.057.440,95</t>
  </si>
  <si>
    <t xml:space="preserve">          968.220,03</t>
  </si>
  <si>
    <t xml:space="preserve">          969.678,71</t>
  </si>
  <si>
    <t xml:space="preserve">          400.046,23</t>
  </si>
  <si>
    <t xml:space="preserve">           10.235,11</t>
  </si>
  <si>
    <t xml:space="preserve">            7.764,89</t>
  </si>
  <si>
    <t xml:space="preserve">        1.785.636,22</t>
  </si>
  <si>
    <t>-333.636,22</t>
  </si>
  <si>
    <t xml:space="preserve">           39.192,42</t>
  </si>
  <si>
    <t xml:space="preserve">          467.807,58</t>
  </si>
  <si>
    <t xml:space="preserve">          169.490,65</t>
  </si>
  <si>
    <t xml:space="preserve">          172.264,50</t>
  </si>
  <si>
    <t xml:space="preserve">            7.735,50</t>
  </si>
  <si>
    <t xml:space="preserve">          137.554,84</t>
  </si>
  <si>
    <t xml:space="preserve">          143.097,16</t>
  </si>
  <si>
    <t xml:space="preserve">           73.502,84</t>
  </si>
  <si>
    <t xml:space="preserve">           16.037,47</t>
  </si>
  <si>
    <t xml:space="preserve">           11.260,78</t>
  </si>
  <si>
    <t xml:space="preserve">           95.697,75</t>
  </si>
  <si>
    <t xml:space="preserve">          104.416,02</t>
  </si>
  <si>
    <t xml:space="preserve">           74.883,98</t>
  </si>
  <si>
    <t xml:space="preserve">           48.144,87</t>
  </si>
  <si>
    <t xml:space="preserve">           55.255,13</t>
  </si>
  <si>
    <t xml:space="preserve">            1.364,42</t>
  </si>
  <si>
    <t xml:space="preserve">           66.862,31</t>
  </si>
  <si>
    <t xml:space="preserve">          130.523,35</t>
  </si>
  <si>
    <t xml:space="preserve">          145.665,60</t>
  </si>
  <si>
    <t xml:space="preserve">           27.862,40</t>
  </si>
  <si>
    <t xml:space="preserve">          136.647,68</t>
  </si>
  <si>
    <t xml:space="preserve">          152.134,78</t>
  </si>
  <si>
    <t xml:space="preserve">           85.865,22</t>
  </si>
  <si>
    <t xml:space="preserve">               95,06</t>
  </si>
  <si>
    <t xml:space="preserve">           24.904,94</t>
  </si>
  <si>
    <t xml:space="preserve">          149.389,31</t>
  </si>
  <si>
    <t xml:space="preserve">          146.788,47</t>
  </si>
  <si>
    <t xml:space="preserve">           10.851,11</t>
  </si>
  <si>
    <t xml:space="preserve">           62.924,75</t>
  </si>
  <si>
    <t xml:space="preserve">          157.406,58</t>
  </si>
  <si>
    <t xml:space="preserve">           16.774,05</t>
  </si>
  <si>
    <t xml:space="preserve">          157.671,00</t>
  </si>
  <si>
    <t xml:space="preserve">          189.799,00</t>
  </si>
  <si>
    <t xml:space="preserve">           30.401,29</t>
  </si>
  <si>
    <t xml:space="preserve">           63.921,53</t>
  </si>
  <si>
    <t xml:space="preserve">           52.057,49</t>
  </si>
  <si>
    <t xml:space="preserve">          447.942,51</t>
  </si>
  <si>
    <t xml:space="preserve">          264.750,44</t>
  </si>
  <si>
    <t xml:space="preserve">           11.344,56</t>
  </si>
  <si>
    <t xml:space="preserve">            3.993,93</t>
  </si>
  <si>
    <t xml:space="preserve">          175.700,00</t>
  </si>
  <si>
    <t>603681118</t>
  </si>
  <si>
    <t>Thiago Possobon (AA31342)</t>
  </si>
  <si>
    <t>LOC-250001-00-17</t>
  </si>
  <si>
    <t>(1) TABLET ID2941</t>
  </si>
  <si>
    <t>1508565528</t>
  </si>
  <si>
    <t>CC0217030</t>
  </si>
  <si>
    <t>DETECTOR,MIR,FLAME,HC,LON</t>
  </si>
  <si>
    <t>1508572536</t>
  </si>
  <si>
    <t>CC0912263</t>
  </si>
  <si>
    <t>FILTER ELEMENT FOR AIR 993169C1 COGEN</t>
  </si>
  <si>
    <t>CC0912264</t>
  </si>
  <si>
    <t>FILTER ELEMENT FOR AIR</t>
  </si>
  <si>
    <t>1508583437</t>
  </si>
  <si>
    <t>Ref. 00285164-60 Invoice - Gross Trf to Asset Acct</t>
  </si>
  <si>
    <t>1508583477</t>
  </si>
  <si>
    <t>Ref. 00285172-60 Invoice - Gross Trf to Asset Acct</t>
  </si>
  <si>
    <t>1508583559</t>
  </si>
  <si>
    <t>Ref. 00285097-60 Invoice - Gross Trf to Asset Acct</t>
  </si>
  <si>
    <t>1508583585</t>
  </si>
  <si>
    <t>Ref. 00285208-60 Invoice - Gross Trf to Asset Acct</t>
  </si>
  <si>
    <t>1508583591</t>
  </si>
  <si>
    <t>Ref. 00285095-60 Invoice - Gross Trf to Asset Acct</t>
  </si>
  <si>
    <t>1508583691</t>
  </si>
  <si>
    <t>Ref. 00285206-60 Invoice - Gross Trf to Asset Acct</t>
  </si>
  <si>
    <t>1508583843</t>
  </si>
  <si>
    <t>Ref. 00285204-60 Invoice - Gross Trf to Asset Acct</t>
  </si>
  <si>
    <t>1508583872</t>
  </si>
  <si>
    <t>Ref. 00285096-60 Invoice - Gross Trf to Asset Acct</t>
  </si>
  <si>
    <t>1508583876</t>
  </si>
  <si>
    <t>Ref. 00285170-60 Invoice - Gross Trf to Asset Acct</t>
  </si>
  <si>
    <t>1508583969</t>
  </si>
  <si>
    <t>Ref. 00284971-60 Invoice - Gross Trf to Asset Acct</t>
  </si>
  <si>
    <t>8242104776</t>
  </si>
  <si>
    <t>1508566133</t>
  </si>
  <si>
    <t>Ref. 68528-1 Recebimento Fatura Transferencia de c</t>
  </si>
  <si>
    <t>Smooth CAM Ai MT Basic Package</t>
  </si>
  <si>
    <t>AM2502194</t>
  </si>
  <si>
    <t>1508566135</t>
  </si>
  <si>
    <t>Ref. 68528-1 Fatura Fornecedor Transferencia de co</t>
  </si>
  <si>
    <t>1508570840</t>
  </si>
  <si>
    <t>Ref. 70522-1 Recebimento Fatura Transferencia de c</t>
  </si>
  <si>
    <t>1508570841</t>
  </si>
  <si>
    <t>Ref. 70522-1 Fatura Fornecedor Transferencia de co</t>
  </si>
  <si>
    <t>4500478372</t>
  </si>
  <si>
    <t>1508567528</t>
  </si>
  <si>
    <t>PROJETO-BR00564I25</t>
  </si>
  <si>
    <t>RTS Scanner System - P77</t>
  </si>
  <si>
    <t>AM2502029</t>
  </si>
  <si>
    <t>  RTS Scanner System - P77</t>
  </si>
  <si>
    <t>RTS AC ventilation unit</t>
  </si>
  <si>
    <t>AM2502065</t>
  </si>
  <si>
    <t>357029358</t>
  </si>
  <si>
    <t>357029359</t>
  </si>
  <si>
    <t>357029360</t>
  </si>
  <si>
    <t>357029361</t>
  </si>
  <si>
    <t>357029362</t>
  </si>
  <si>
    <t>357029363</t>
  </si>
  <si>
    <t>357029364</t>
  </si>
  <si>
    <t>357030650</t>
  </si>
  <si>
    <t>357030651</t>
  </si>
  <si>
    <t>357030652</t>
  </si>
  <si>
    <t>357030653</t>
  </si>
  <si>
    <t>357030654</t>
  </si>
  <si>
    <t>357030655</t>
  </si>
  <si>
    <t>357030656</t>
  </si>
  <si>
    <t>357030657</t>
  </si>
  <si>
    <t>357030658</t>
  </si>
  <si>
    <t>357030659</t>
  </si>
  <si>
    <t>357030660</t>
  </si>
  <si>
    <t>357030661</t>
  </si>
  <si>
    <t>357030662</t>
  </si>
  <si>
    <t>357030663</t>
  </si>
  <si>
    <t>357030664</t>
  </si>
  <si>
    <t>357030665</t>
  </si>
  <si>
    <t>357030666</t>
  </si>
  <si>
    <t>357030667</t>
  </si>
  <si>
    <t>357030668</t>
  </si>
  <si>
    <t>357030669</t>
  </si>
  <si>
    <t>357030670</t>
  </si>
  <si>
    <t>357030671</t>
  </si>
  <si>
    <t>357030672</t>
  </si>
  <si>
    <t>357030673</t>
  </si>
  <si>
    <t>357030674</t>
  </si>
  <si>
    <t>357030675</t>
  </si>
  <si>
    <t>357030676</t>
  </si>
  <si>
    <t>357030677</t>
  </si>
  <si>
    <t>357030678</t>
  </si>
  <si>
    <t>357030679</t>
  </si>
  <si>
    <t>357030680</t>
  </si>
  <si>
    <t>357030681</t>
  </si>
  <si>
    <t>357030682</t>
  </si>
  <si>
    <t>357030683</t>
  </si>
  <si>
    <t>357030684</t>
  </si>
  <si>
    <t>357030685</t>
  </si>
  <si>
    <t>357030686</t>
  </si>
  <si>
    <t>357030687</t>
  </si>
  <si>
    <t>357030688</t>
  </si>
  <si>
    <t>357030689</t>
  </si>
  <si>
    <t>357030690</t>
  </si>
  <si>
    <t>357030691</t>
  </si>
  <si>
    <t>357030692</t>
  </si>
  <si>
    <t>357030693</t>
  </si>
  <si>
    <t>357030694</t>
  </si>
  <si>
    <t>357030695</t>
  </si>
  <si>
    <t>357030696</t>
  </si>
  <si>
    <t>357030697</t>
  </si>
  <si>
    <t>357030981</t>
  </si>
  <si>
    <t>357030982</t>
  </si>
  <si>
    <t>357030983</t>
  </si>
  <si>
    <t>357030984</t>
  </si>
  <si>
    <t>357030985</t>
  </si>
  <si>
    <t>357030986</t>
  </si>
  <si>
    <t>357030987</t>
  </si>
  <si>
    <t>357030988</t>
  </si>
  <si>
    <t>357030989</t>
  </si>
  <si>
    <t>357030990</t>
  </si>
  <si>
    <t>357030991</t>
  </si>
  <si>
    <t>357030992</t>
  </si>
  <si>
    <t>357030993</t>
  </si>
  <si>
    <t>357030994</t>
  </si>
  <si>
    <t>357030995</t>
  </si>
  <si>
    <t>357030996</t>
  </si>
  <si>
    <t>357030997</t>
  </si>
  <si>
    <t>357030998</t>
  </si>
  <si>
    <t>357030999</t>
  </si>
  <si>
    <t>357031000</t>
  </si>
  <si>
    <t>357031001</t>
  </si>
  <si>
    <t>357031002</t>
  </si>
  <si>
    <t>357031003</t>
  </si>
  <si>
    <t>357031004</t>
  </si>
  <si>
    <t>357031005</t>
  </si>
  <si>
    <t>357031006</t>
  </si>
  <si>
    <t>357031007</t>
  </si>
  <si>
    <t>357031008</t>
  </si>
  <si>
    <t>357031009</t>
  </si>
  <si>
    <t>357031010</t>
  </si>
  <si>
    <t>357031011</t>
  </si>
  <si>
    <t>357031012</t>
  </si>
  <si>
    <t>357031013</t>
  </si>
  <si>
    <t>357031014</t>
  </si>
  <si>
    <t>357031015</t>
  </si>
  <si>
    <t>357031016</t>
  </si>
  <si>
    <t>357031017</t>
  </si>
  <si>
    <t>357031018</t>
  </si>
  <si>
    <t>357031019</t>
  </si>
  <si>
    <t>357031020</t>
  </si>
  <si>
    <t>357031021</t>
  </si>
  <si>
    <t>357031022</t>
  </si>
  <si>
    <t>357031023</t>
  </si>
  <si>
    <t>357031024</t>
  </si>
  <si>
    <t>357031025</t>
  </si>
  <si>
    <t>357031026</t>
  </si>
  <si>
    <t>357031027</t>
  </si>
  <si>
    <t>357031028</t>
  </si>
  <si>
    <t>357031029</t>
  </si>
  <si>
    <t>357031030</t>
  </si>
  <si>
    <t>357031031</t>
  </si>
  <si>
    <t>357031032</t>
  </si>
  <si>
    <t>357031033</t>
  </si>
  <si>
    <t>357031034</t>
  </si>
  <si>
    <t>357031035</t>
  </si>
  <si>
    <t>357031036</t>
  </si>
  <si>
    <t>357031037</t>
  </si>
  <si>
    <t>357031038</t>
  </si>
  <si>
    <t>357031039</t>
  </si>
  <si>
    <t>357031040</t>
  </si>
  <si>
    <t>357031041</t>
  </si>
  <si>
    <t>357031042</t>
  </si>
  <si>
    <t>357031043</t>
  </si>
  <si>
    <t>357031044</t>
  </si>
  <si>
    <t>357031045</t>
  </si>
  <si>
    <t>357031046</t>
  </si>
  <si>
    <t>357031047</t>
  </si>
  <si>
    <t>357031048</t>
  </si>
  <si>
    <t>357031049</t>
  </si>
  <si>
    <t>357031050</t>
  </si>
  <si>
    <t>357031051</t>
  </si>
  <si>
    <t>357031052</t>
  </si>
  <si>
    <t>357031053</t>
  </si>
  <si>
    <t>357031054</t>
  </si>
  <si>
    <t>357031055</t>
  </si>
  <si>
    <t>357031056</t>
  </si>
  <si>
    <t>357031057</t>
  </si>
  <si>
    <t>357031058</t>
  </si>
  <si>
    <t>357031059</t>
  </si>
  <si>
    <t>357031060</t>
  </si>
  <si>
    <t>357031061</t>
  </si>
  <si>
    <t>357031062</t>
  </si>
  <si>
    <t>357031063</t>
  </si>
  <si>
    <t>357031064</t>
  </si>
  <si>
    <t>357031065</t>
  </si>
  <si>
    <t>357031066</t>
  </si>
  <si>
    <t>357031067</t>
  </si>
  <si>
    <t>357031068</t>
  </si>
  <si>
    <t>357031069</t>
  </si>
  <si>
    <t>357031070</t>
  </si>
  <si>
    <t>357031071</t>
  </si>
  <si>
    <t>357031072</t>
  </si>
  <si>
    <t>357031073</t>
  </si>
  <si>
    <t>357031074</t>
  </si>
  <si>
    <t>357031075</t>
  </si>
  <si>
    <t>357031076</t>
  </si>
  <si>
    <t>357031077</t>
  </si>
  <si>
    <t>357031078</t>
  </si>
  <si>
    <t>357031079</t>
  </si>
  <si>
    <t>357031080</t>
  </si>
  <si>
    <t>357031081</t>
  </si>
  <si>
    <t>357031082</t>
  </si>
  <si>
    <t>357031083</t>
  </si>
  <si>
    <t>357031084</t>
  </si>
  <si>
    <t>357031085</t>
  </si>
  <si>
    <t>357031086</t>
  </si>
  <si>
    <t>357031087</t>
  </si>
  <si>
    <t>357031088</t>
  </si>
  <si>
    <t>357031089</t>
  </si>
  <si>
    <t>357031090</t>
  </si>
  <si>
    <t>357031091</t>
  </si>
  <si>
    <t>357031092</t>
  </si>
  <si>
    <t>357031093</t>
  </si>
  <si>
    <t>357031094</t>
  </si>
  <si>
    <t>357031095</t>
  </si>
  <si>
    <t>357031096</t>
  </si>
  <si>
    <t>357031097</t>
  </si>
  <si>
    <t>357031098</t>
  </si>
  <si>
    <t>357031099</t>
  </si>
  <si>
    <t>357031100</t>
  </si>
  <si>
    <t>357031101</t>
  </si>
  <si>
    <t>357031102</t>
  </si>
  <si>
    <t>357031103</t>
  </si>
  <si>
    <t>357031104</t>
  </si>
  <si>
    <t>357031105</t>
  </si>
  <si>
    <t>357031106</t>
  </si>
  <si>
    <t>357031107</t>
  </si>
  <si>
    <t>357031108</t>
  </si>
  <si>
    <t>357031109</t>
  </si>
  <si>
    <t>357031110</t>
  </si>
  <si>
    <t>357031111</t>
  </si>
  <si>
    <t>357031112</t>
  </si>
  <si>
    <t>357031113</t>
  </si>
  <si>
    <t>357031114</t>
  </si>
  <si>
    <t>357031561</t>
  </si>
  <si>
    <t>357031562</t>
  </si>
  <si>
    <t>357031751</t>
  </si>
  <si>
    <t>357031752</t>
  </si>
  <si>
    <t>357031753</t>
  </si>
  <si>
    <t>357031754</t>
  </si>
  <si>
    <t>357032211</t>
  </si>
  <si>
    <t>357032402</t>
  </si>
  <si>
    <t>357032417</t>
  </si>
  <si>
    <t>357032418</t>
  </si>
  <si>
    <t>357032419</t>
  </si>
  <si>
    <t>357032420</t>
  </si>
  <si>
    <t>357032421</t>
  </si>
  <si>
    <t>357032422</t>
  </si>
  <si>
    <t>357032423</t>
  </si>
  <si>
    <t>357032424</t>
  </si>
  <si>
    <t>357032425</t>
  </si>
  <si>
    <t>357032426</t>
  </si>
  <si>
    <t>357032427</t>
  </si>
  <si>
    <t>357032428</t>
  </si>
  <si>
    <t>357032429</t>
  </si>
  <si>
    <t>357032430</t>
  </si>
  <si>
    <t>357032451</t>
  </si>
  <si>
    <t>357032452</t>
  </si>
  <si>
    <t>357032456</t>
  </si>
  <si>
    <t>357032457</t>
  </si>
  <si>
    <t>357032458</t>
  </si>
  <si>
    <t>357032459</t>
  </si>
  <si>
    <t>357032460</t>
  </si>
  <si>
    <t>357032461</t>
  </si>
  <si>
    <t>357032462</t>
  </si>
  <si>
    <t>357032463</t>
  </si>
  <si>
    <t>357032464</t>
  </si>
  <si>
    <t>357032465</t>
  </si>
  <si>
    <t>357032527</t>
  </si>
  <si>
    <t>357032528</t>
  </si>
  <si>
    <t>357032529</t>
  </si>
  <si>
    <t>357032530</t>
  </si>
  <si>
    <t>357032531</t>
  </si>
  <si>
    <t>357032532</t>
  </si>
  <si>
    <t>357032533</t>
  </si>
  <si>
    <t>357032534</t>
  </si>
  <si>
    <t>357032535</t>
  </si>
  <si>
    <t>357032536</t>
  </si>
  <si>
    <t>357032537</t>
  </si>
  <si>
    <t>357032538</t>
  </si>
  <si>
    <t>357032539</t>
  </si>
  <si>
    <t>357032540</t>
  </si>
  <si>
    <t>357032541</t>
  </si>
  <si>
    <t>357032542</t>
  </si>
  <si>
    <t>357032543</t>
  </si>
  <si>
    <t>357032544</t>
  </si>
  <si>
    <t>357032545</t>
  </si>
  <si>
    <t>357032546</t>
  </si>
  <si>
    <t>357032547</t>
  </si>
  <si>
    <t>357032548</t>
  </si>
  <si>
    <t>357032549</t>
  </si>
  <si>
    <t>357032550</t>
  </si>
  <si>
    <t>357032551</t>
  </si>
  <si>
    <t>357032552</t>
  </si>
  <si>
    <t>357032553</t>
  </si>
  <si>
    <t>357032554</t>
  </si>
  <si>
    <t>357032555</t>
  </si>
  <si>
    <t>357032556</t>
  </si>
  <si>
    <t>357032557</t>
  </si>
  <si>
    <t>357032558</t>
  </si>
  <si>
    <t>357032559</t>
  </si>
  <si>
    <t>357032560</t>
  </si>
  <si>
    <t>357032561</t>
  </si>
  <si>
    <t>357032562</t>
  </si>
  <si>
    <t>357032563</t>
  </si>
  <si>
    <t>357032564</t>
  </si>
  <si>
    <t>357032565</t>
  </si>
  <si>
    <t>357032566</t>
  </si>
  <si>
    <t>357032567</t>
  </si>
  <si>
    <t>357032568</t>
  </si>
  <si>
    <t>357032569</t>
  </si>
  <si>
    <t>357032570</t>
  </si>
  <si>
    <t>357032571</t>
  </si>
  <si>
    <t>357032572</t>
  </si>
  <si>
    <t>357032573</t>
  </si>
  <si>
    <t>357032574</t>
  </si>
  <si>
    <t>357032575</t>
  </si>
  <si>
    <t>357032576</t>
  </si>
  <si>
    <t>357032577</t>
  </si>
  <si>
    <t>357032578</t>
  </si>
  <si>
    <t>357032579</t>
  </si>
  <si>
    <t>357032580</t>
  </si>
  <si>
    <t>357032581</t>
  </si>
  <si>
    <t>357032582</t>
  </si>
  <si>
    <t>357032583</t>
  </si>
  <si>
    <t>357032584</t>
  </si>
  <si>
    <t>357032585</t>
  </si>
  <si>
    <t>357032586</t>
  </si>
  <si>
    <t>357032587</t>
  </si>
  <si>
    <t>357032588</t>
  </si>
  <si>
    <t>357032589</t>
  </si>
  <si>
    <t>357032590</t>
  </si>
  <si>
    <t>357032591</t>
  </si>
  <si>
    <t>357032592</t>
  </si>
  <si>
    <t>357032593</t>
  </si>
  <si>
    <t>357032594</t>
  </si>
  <si>
    <t>357032595</t>
  </si>
  <si>
    <t>357032596</t>
  </si>
  <si>
    <t>357032597</t>
  </si>
  <si>
    <t>357032598</t>
  </si>
  <si>
    <t>357032599</t>
  </si>
  <si>
    <t>357032600</t>
  </si>
  <si>
    <t>357032601</t>
  </si>
  <si>
    <t>357032602</t>
  </si>
  <si>
    <t>357032603</t>
  </si>
  <si>
    <t>357032604</t>
  </si>
  <si>
    <t>357032605</t>
  </si>
  <si>
    <t>357032606</t>
  </si>
  <si>
    <t>357032607</t>
  </si>
  <si>
    <t>357032608</t>
  </si>
  <si>
    <t>357032609</t>
  </si>
  <si>
    <t>357032610</t>
  </si>
  <si>
    <t>357032611</t>
  </si>
  <si>
    <t>357032612</t>
  </si>
  <si>
    <t>357032613</t>
  </si>
  <si>
    <t>357032614</t>
  </si>
  <si>
    <t>357032615</t>
  </si>
  <si>
    <t>357032616</t>
  </si>
  <si>
    <t>357032617</t>
  </si>
  <si>
    <t>357032618</t>
  </si>
  <si>
    <t>357032619</t>
  </si>
  <si>
    <t>357032620</t>
  </si>
  <si>
    <t>357032621</t>
  </si>
  <si>
    <t>357032622</t>
  </si>
  <si>
    <t>357032623</t>
  </si>
  <si>
    <t>357032624</t>
  </si>
  <si>
    <t>357032625</t>
  </si>
  <si>
    <t>357032626</t>
  </si>
  <si>
    <t>357032627</t>
  </si>
  <si>
    <t>357032628</t>
  </si>
  <si>
    <t>357032629</t>
  </si>
  <si>
    <t>357032630</t>
  </si>
  <si>
    <t>357032631</t>
  </si>
  <si>
    <t>357032632</t>
  </si>
  <si>
    <t>357032633</t>
  </si>
  <si>
    <t>357032634</t>
  </si>
  <si>
    <t>357032635</t>
  </si>
  <si>
    <t>357032636</t>
  </si>
  <si>
    <t>357032637</t>
  </si>
  <si>
    <t>357032638</t>
  </si>
  <si>
    <t>357032639</t>
  </si>
  <si>
    <t>357032640</t>
  </si>
  <si>
    <t>357032641</t>
  </si>
  <si>
    <t>357032642</t>
  </si>
  <si>
    <t>357032643</t>
  </si>
  <si>
    <t>357032644</t>
  </si>
  <si>
    <t>357032645</t>
  </si>
  <si>
    <t>357032646</t>
  </si>
  <si>
    <t>357032647</t>
  </si>
  <si>
    <t>357032648</t>
  </si>
  <si>
    <t>357032649</t>
  </si>
  <si>
    <t>357032650</t>
  </si>
  <si>
    <t>357032651</t>
  </si>
  <si>
    <t>357032652</t>
  </si>
  <si>
    <t>357032653</t>
  </si>
  <si>
    <t>357032654</t>
  </si>
  <si>
    <t>357032655</t>
  </si>
  <si>
    <t>357032656</t>
  </si>
  <si>
    <t>400202507</t>
  </si>
  <si>
    <t>RAGEMTE1</t>
  </si>
  <si>
    <t>603695055</t>
  </si>
  <si>
    <t>603695060</t>
  </si>
  <si>
    <t>603695062</t>
  </si>
  <si>
    <t>603695065</t>
  </si>
  <si>
    <t>603701472</t>
  </si>
  <si>
    <t>8241927899 - ZESCO INC</t>
  </si>
  <si>
    <t>8241717769 - TEMPEST INC</t>
  </si>
  <si>
    <t>8241717769 - ERIEZ MANUFACTURING CO</t>
  </si>
  <si>
    <t>8241463862 - ROCKWELL AUTOMATION</t>
  </si>
  <si>
    <t>8241731239 - ROCKWELL AUTOMATION</t>
  </si>
  <si>
    <t>8242032366 - REXEL /GEXPRO</t>
  </si>
  <si>
    <t>603701487</t>
  </si>
  <si>
    <t>8241998814 - May 2025 VIM Accrual</t>
  </si>
  <si>
    <t>8242041555 - May 2025 VIM Accrual</t>
  </si>
  <si>
    <t>8242155606 - May 2025 VIM Accrual</t>
  </si>
  <si>
    <t>8242150551 - May 2025 VIM Accrual</t>
  </si>
  <si>
    <t>8242150208 - May 2025 VIM Accrual</t>
  </si>
  <si>
    <t>8242150181 - May 2025 VIM Accrual</t>
  </si>
  <si>
    <t>357041398</t>
  </si>
  <si>
    <t>357041407</t>
  </si>
  <si>
    <t>357041408</t>
  </si>
  <si>
    <t>357042534</t>
  </si>
  <si>
    <t>357044656</t>
  </si>
  <si>
    <t>357044662</t>
  </si>
  <si>
    <t>357044671</t>
  </si>
  <si>
    <t>357044674</t>
  </si>
  <si>
    <t>357044678</t>
  </si>
  <si>
    <t>357044746</t>
  </si>
  <si>
    <t>357044770</t>
  </si>
  <si>
    <t>357045535</t>
  </si>
  <si>
    <t>357045536</t>
  </si>
  <si>
    <t>357045540</t>
  </si>
  <si>
    <t>603722278</t>
  </si>
  <si>
    <t>603726282</t>
  </si>
  <si>
    <t>603726284</t>
  </si>
  <si>
    <t>1508228718</t>
  </si>
  <si>
    <t>Ref. 26436-0 Fatura Fornecedor Transferencia de co</t>
  </si>
  <si>
    <t>1508339383</t>
  </si>
  <si>
    <t>Ref. 7185-0 Fatura Fornecedor Transferencia de con</t>
  </si>
  <si>
    <t>1508414319</t>
  </si>
  <si>
    <t>1508414354</t>
  </si>
  <si>
    <t>1508243656</t>
  </si>
  <si>
    <t>Ref. 140-0 Fatura Fornecedor Transferencia de con</t>
  </si>
  <si>
    <t>1508414372</t>
  </si>
  <si>
    <t>1508167628</t>
  </si>
  <si>
    <t>PAGAMENTO NET EMPRESA - CETESB NOVO LONADO</t>
  </si>
  <si>
    <t>1508414393</t>
  </si>
  <si>
    <t>1508287279</t>
  </si>
  <si>
    <t>NF 9269 - Somartec</t>
  </si>
  <si>
    <t>1508414406</t>
  </si>
  <si>
    <t>1508656641</t>
  </si>
  <si>
    <t>1508656649</t>
  </si>
  <si>
    <t>1508656650</t>
  </si>
  <si>
    <t>1508656652</t>
  </si>
  <si>
    <t>1508656661</t>
  </si>
  <si>
    <t>1508656662</t>
  </si>
  <si>
    <t>8242104796</t>
  </si>
  <si>
    <t>1508618362</t>
  </si>
  <si>
    <t>1508678360</t>
  </si>
  <si>
    <t>1508678364</t>
  </si>
  <si>
    <t>ESTUDO ADEQUAÇÃO VAS</t>
  </si>
  <si>
    <t xml:space="preserve">           52.533,72</t>
  </si>
  <si>
    <t xml:space="preserve">            9.664,88</t>
  </si>
  <si>
    <t xml:space="preserve">            2.724,50</t>
  </si>
  <si>
    <t xml:space="preserve">           15.823,90</t>
  </si>
  <si>
    <t xml:space="preserve">           62.139,00</t>
  </si>
  <si>
    <t xml:space="preserve">           47.861,00</t>
  </si>
  <si>
    <t>-2.139,00</t>
  </si>
  <si>
    <t xml:space="preserve">           87.884,42</t>
  </si>
  <si>
    <t xml:space="preserve">          113.570,48</t>
  </si>
  <si>
    <t xml:space="preserve">           86.429,52</t>
  </si>
  <si>
    <t xml:space="preserve">           63.640,79</t>
  </si>
  <si>
    <t xml:space="preserve">            4.865,76</t>
  </si>
  <si>
    <t xml:space="preserve">           60.989,21</t>
  </si>
  <si>
    <t xml:space="preserve">          939.010,79</t>
  </si>
  <si>
    <t xml:space="preserve">           39.010,79</t>
  </si>
  <si>
    <t xml:space="preserve">           26.414,68</t>
  </si>
  <si>
    <t xml:space="preserve">           33.585,32</t>
  </si>
  <si>
    <t xml:space="preserve">     332,81</t>
  </si>
  <si>
    <t>8242155985</t>
  </si>
  <si>
    <t>1508773988</t>
  </si>
  <si>
    <t>Ref. 170772-1 Recebimento Fatura Transferencia de</t>
  </si>
  <si>
    <t>SUPORTE PARA MONTAGEM DE FOTOCELULAS</t>
  </si>
  <si>
    <t>CC6388044</t>
  </si>
  <si>
    <t>REFLETOR FOTOELETRICO 92-39 ALLEN BRADLE</t>
  </si>
  <si>
    <t>CC7058808</t>
  </si>
  <si>
    <t>REFLECTOR FOTOELECTRICO 92-39</t>
  </si>
  <si>
    <t>1508773989</t>
  </si>
  <si>
    <t>Ref. 170772-1 Fatura Fornecedor Transferencia de c</t>
  </si>
  <si>
    <t>8242174725</t>
  </si>
  <si>
    <t>1508775353</t>
  </si>
  <si>
    <t>Ref. 170954-1 Recebimento Fatura Transferencia de</t>
  </si>
  <si>
    <t>DISJUNTOR 1 POLO CURVA C 15 A-1489M1C150</t>
  </si>
  <si>
    <t>CC7912751</t>
  </si>
  <si>
    <t>1508774377</t>
  </si>
  <si>
    <t>Ref. 170788-1 Recebimento Fatura Transferencia de</t>
  </si>
  <si>
    <t>1508774378</t>
  </si>
  <si>
    <t>Ref. 170788-1 Fatura Fornecedor Transferencia de c</t>
  </si>
  <si>
    <t>1508774459</t>
  </si>
  <si>
    <t>Ref. 170940-1 Recebimento Fatura Transferencia de</t>
  </si>
  <si>
    <t>1508774465</t>
  </si>
  <si>
    <t>Ref. 170940-1 Fatura Fornecedor Transferencia de c</t>
  </si>
  <si>
    <t>8242174727</t>
  </si>
  <si>
    <t>1508765666</t>
  </si>
  <si>
    <t>Ref. 24345-1 Recebimento Fatura Transferencia de c</t>
  </si>
  <si>
    <t>ACIONADOR MANUAL ENDERECAVEL AME 521</t>
  </si>
  <si>
    <t>AM2505095</t>
  </si>
  <si>
    <t>ADDRESSABLE MANUAL ACTUATOR AME 521</t>
  </si>
  <si>
    <t>EXTINTOR-I PO ABC 04Kg 2-A 20-BC</t>
  </si>
  <si>
    <t>AM2207238</t>
  </si>
  <si>
    <t>EXTINGUISHER-I PO ABC 04Kg 2-A 20-BC</t>
  </si>
  <si>
    <t>1508765667</t>
  </si>
  <si>
    <t>Ref. 24345-1 Fatura Fornecedor Transferencia de co</t>
  </si>
  <si>
    <t>1508680811</t>
  </si>
  <si>
    <t>Ref. 2999-0 Fatura Fornecedor Transferencia de con</t>
  </si>
  <si>
    <t>8242174393</t>
  </si>
  <si>
    <t>1508774438</t>
  </si>
  <si>
    <t>Ref. 170952-1 Recebimento Fatura Transferencia de</t>
  </si>
  <si>
    <t>1508774441</t>
  </si>
  <si>
    <t>Ref. 170952-1 Fatura Fornecedor Transferencia de c</t>
  </si>
  <si>
    <t>8242092748</t>
  </si>
  <si>
    <t>1508774374</t>
  </si>
  <si>
    <t>Ref. 170823-1 Recebimento Fatura Transferencia de</t>
  </si>
  <si>
    <t>POLIAS DE DENTRO PARA PASSA OS CABOS</t>
  </si>
  <si>
    <t>CC0464012</t>
  </si>
  <si>
    <t>PULLEY CABLE</t>
  </si>
  <si>
    <t>1508774375</t>
  </si>
  <si>
    <t>Ref. 170823-1 Fatura Fornecedor Transferencia de c</t>
  </si>
  <si>
    <t>1508772778</t>
  </si>
  <si>
    <t>Ref. 2592917-1 Recebimento Fatura Transferencia de</t>
  </si>
  <si>
    <t>1508772779</t>
  </si>
  <si>
    <t>Ref. 2592917-1 Fatura Fornecedor Transferencia de</t>
  </si>
  <si>
    <t>8242143997</t>
  </si>
  <si>
    <t>1508772775</t>
  </si>
  <si>
    <t>Ref. 2590999-1 Recebimento Fatura Transferencia de</t>
  </si>
  <si>
    <t>VALVULA SOLENOIDE VSVA-B-M52-MZD-D1-1T1L</t>
  </si>
  <si>
    <t>CC5604786</t>
  </si>
  <si>
    <t>VALVE SOLENOID</t>
  </si>
  <si>
    <t>1508772776</t>
  </si>
  <si>
    <t>Ref. 2590999-1 Fatura Fornecedor Transferencia de</t>
  </si>
  <si>
    <t xml:space="preserve">           14.677,91</t>
  </si>
  <si>
    <t xml:space="preserve">            6.506,71</t>
  </si>
  <si>
    <t xml:space="preserve">        2.328.531,51</t>
  </si>
  <si>
    <t xml:space="preserve">          542.036,36</t>
  </si>
  <si>
    <t xml:space="preserve">            2.650,49</t>
  </si>
  <si>
    <t xml:space="preserve">           43.540,04</t>
  </si>
  <si>
    <t xml:space="preserve">            4.252,82</t>
  </si>
  <si>
    <t xml:space="preserve">              883,44</t>
  </si>
  <si>
    <t xml:space="preserve">            1.378,07</t>
  </si>
  <si>
    <t xml:space="preserve">            7.621,93</t>
  </si>
  <si>
    <t xml:space="preserve">           32.102,05</t>
  </si>
  <si>
    <t xml:space="preserve">           40.385,50</t>
  </si>
  <si>
    <t xml:space="preserve">        1.184.885,50</t>
  </si>
  <si>
    <t xml:space="preserve">                0,05</t>
  </si>
  <si>
    <t xml:space="preserve">           69.624,55</t>
  </si>
  <si>
    <t xml:space="preserve">            8.869,61</t>
  </si>
  <si>
    <t xml:space="preserve">          158.258,92</t>
  </si>
  <si>
    <t xml:space="preserve">          129.719,08</t>
  </si>
  <si>
    <t xml:space="preserve">            7.451,59</t>
  </si>
  <si>
    <t xml:space="preserve">          154.240,06</t>
  </si>
  <si>
    <t xml:space="preserve">           69.695,94</t>
  </si>
  <si>
    <t>5+7</t>
  </si>
  <si>
    <t>MIXER 05 - TROCA TCU CALANDRA E EXTRUSORA</t>
  </si>
  <si>
    <t>FSB - FACTORY ACCESS CONTROL</t>
  </si>
  <si>
    <t>LCP-250056</t>
  </si>
  <si>
    <t>Waiting4</t>
  </si>
  <si>
    <t>MC  - CLIMATIZER MBB MANUFACTURING CELL</t>
  </si>
  <si>
    <t>LCP-250043</t>
  </si>
  <si>
    <t>LOC-250001-00-18</t>
  </si>
  <si>
    <t>(3) MESAS E (4) CADEIRAS  DIRETOR DE RH E JURIDICO DO SETOR</t>
  </si>
  <si>
    <t>EEX-250002-00-07</t>
  </si>
  <si>
    <t>ESTUDO ELÉTRICO SUBESTAÇÃO PRIMÁRIA 138KV</t>
  </si>
  <si>
    <t>Aprovado em 18/06/2025</t>
  </si>
  <si>
    <t>20/06 - Saldo em aberto USD3,5K</t>
  </si>
  <si>
    <t>1508947914</t>
  </si>
  <si>
    <t>8242162678</t>
  </si>
  <si>
    <t>1509385998</t>
  </si>
  <si>
    <t>1509386300</t>
  </si>
  <si>
    <t>8240513854</t>
  </si>
  <si>
    <t>1509274349</t>
  </si>
  <si>
    <t>1509386331</t>
  </si>
  <si>
    <t>1509381269</t>
  </si>
  <si>
    <t>Ref. 171224-1 Recebimento Fatura Transferencia de</t>
  </si>
  <si>
    <t>1509381273</t>
  </si>
  <si>
    <t>Ref. 171224-1 Fatura Fornecedor Transferencia de c</t>
  </si>
  <si>
    <t>8242173189</t>
  </si>
  <si>
    <t>1508950243</t>
  </si>
  <si>
    <t>Ref. 16701-1 Recebimento Fatura Transferencia de c</t>
  </si>
  <si>
    <t>BANCO VESTIÁRIO METALON PRETO 200X50</t>
  </si>
  <si>
    <t>AM2503094</t>
  </si>
  <si>
    <t>BLACK METALON CLOAKROOM BENCH 200X50</t>
  </si>
  <si>
    <t>ARMÁRIO ROUPEIRO AÇO 16 PORTAS PRETO</t>
  </si>
  <si>
    <t>AM2503096</t>
  </si>
  <si>
    <t>STEEL WARDROBE LOCKER WITH 16 DOORSBLACK</t>
  </si>
  <si>
    <t>1508950244</t>
  </si>
  <si>
    <t>Ref. 16701-1 Fatura Fornecedor Transferencia de co</t>
  </si>
  <si>
    <t>1508626767</t>
  </si>
  <si>
    <t>1509381114</t>
  </si>
  <si>
    <t>Ref. 171172-1 Recebimento Fatura Transferencia de</t>
  </si>
  <si>
    <t>STRATIX 5800 EXPANSION MOD 16 PORTS COB</t>
  </si>
  <si>
    <t>CC6198606</t>
  </si>
  <si>
    <t>CABO PARA EMISSOR DE LUZ REF.889DF4AC10</t>
  </si>
  <si>
    <t>CC7804370</t>
  </si>
  <si>
    <t>LIGHT CURTAIN CABLE TRANSMITER NO PROG.</t>
  </si>
  <si>
    <t>Conjunto de alça, caixa de acesso 442G</t>
  </si>
  <si>
    <t>AM2411094</t>
  </si>
  <si>
    <t>Handle Assembly, 442G Access Box</t>
  </si>
  <si>
    <t>1509381115</t>
  </si>
  <si>
    <t>Ref. 171172-1 Fatura Fornecedor Transferencia de c</t>
  </si>
  <si>
    <t>1509381204</t>
  </si>
  <si>
    <t>Ref. 171216-1 Recebimento Fatura Transferencia de</t>
  </si>
  <si>
    <t>SWITCH INDUSTRIAL STRATIX 8000</t>
  </si>
  <si>
    <t>CC6102045</t>
  </si>
  <si>
    <t>STRATIX SWITCH 8000</t>
  </si>
  <si>
    <t>1509381205</t>
  </si>
  <si>
    <t>Ref. 171216-1 Fatura Fornecedor Transferencia de c</t>
  </si>
  <si>
    <t>8242106957</t>
  </si>
  <si>
    <t>1508899561</t>
  </si>
  <si>
    <t>MRO-BR00817I25</t>
  </si>
  <si>
    <t>FANC UNISTEEL WATER CONTROL GLOBE VALVE</t>
  </si>
  <si>
    <t>AM1911660</t>
  </si>
  <si>
    <t>1509395345</t>
  </si>
  <si>
    <t>1509264021</t>
  </si>
  <si>
    <t>1509264051</t>
  </si>
  <si>
    <t>1509380710</t>
  </si>
  <si>
    <t>Ref. 694-0 Fatura Fornecedor Transferencia de con</t>
  </si>
  <si>
    <t>1508903418</t>
  </si>
  <si>
    <t>Ref. 96-0 Fatura Fornecedor Transferencia de con</t>
  </si>
  <si>
    <t>8242174728</t>
  </si>
  <si>
    <t>1509273045</t>
  </si>
  <si>
    <t>Ref. 17544-1 Recebimento Fatura Transferencia de c</t>
  </si>
  <si>
    <t>CENTRAL ALARME INCEND. CIE1060 INTELBRAS</t>
  </si>
  <si>
    <t>AM2505096</t>
  </si>
  <si>
    <t>FIRE ALARM CONTROL UNIT. CIE 1060 INTELB</t>
  </si>
  <si>
    <t>1509273049</t>
  </si>
  <si>
    <t>Ref. 17544-1 Fatura Fornecedor Transferencia de co</t>
  </si>
  <si>
    <t>1509379043</t>
  </si>
  <si>
    <t>Ref. 24345-1 Invoice - Gross Trf to Asset Acct</t>
  </si>
  <si>
    <t>1509379082</t>
  </si>
  <si>
    <t>Ref. 17544-1 Invoice - Gross Trf to Asset Acct</t>
  </si>
  <si>
    <t>8242169872</t>
  </si>
  <si>
    <t>1509381117</t>
  </si>
  <si>
    <t>Ref. 171175-1 Recebimento Fatura Transferencia de</t>
  </si>
  <si>
    <t>CABO ELETRICO SHILDADO 6 X 0.5MMÃ½</t>
  </si>
  <si>
    <t>CC7803001</t>
  </si>
  <si>
    <t>CABLE COAXIAL</t>
  </si>
  <si>
    <t>1509381118</t>
  </si>
  <si>
    <t>Ref. 171175-1 Fatura Fornecedor Transferencia de c</t>
  </si>
  <si>
    <t>8242162383</t>
  </si>
  <si>
    <t>1509487057</t>
  </si>
  <si>
    <t>1509375999</t>
  </si>
  <si>
    <t>1509376111</t>
  </si>
  <si>
    <t>1509276529</t>
  </si>
  <si>
    <t>Ref. 99381-2 Recebimento Fatura Transferencia de c</t>
  </si>
  <si>
    <t>Unidade de tratamento de Ar 8000 CFM</t>
  </si>
  <si>
    <t>AM2403087</t>
  </si>
  <si>
    <t>Air handling unit 8000 CFM</t>
  </si>
  <si>
    <t>1509276530</t>
  </si>
  <si>
    <t>Ref. 99381-2 Fatura Fornecedor Transferencia de co</t>
  </si>
  <si>
    <t>1509376101</t>
  </si>
  <si>
    <t>1509376114</t>
  </si>
  <si>
    <t>8241992336</t>
  </si>
  <si>
    <t>1509428451</t>
  </si>
  <si>
    <t>8242173742</t>
  </si>
  <si>
    <t>1509380980</t>
  </si>
  <si>
    <t>Ref. 171138-1 Recebimento Fatura Transferencia de</t>
  </si>
  <si>
    <t>CONTROLADOR COMPACLOGIX 5380 -5069-L320E</t>
  </si>
  <si>
    <t>CC6103402</t>
  </si>
  <si>
    <t>CONTROLLER, COMPACTLOGIX - 5069L320ER</t>
  </si>
  <si>
    <t>1509380981</t>
  </si>
  <si>
    <t>Ref. 171138-1 Fatura Fornecedor Transferencia de c</t>
  </si>
  <si>
    <t>8242058501</t>
  </si>
  <si>
    <t>1509387245</t>
  </si>
  <si>
    <t>Ref. 1376-1 Recebimento Fatura Transferencia de co</t>
  </si>
  <si>
    <t>8242168319</t>
  </si>
  <si>
    <t>1509013190</t>
  </si>
  <si>
    <t>1509390815</t>
  </si>
  <si>
    <t>Ref. 171126-1 Recebimento Fatura Transferencia de</t>
  </si>
  <si>
    <t>CABO 4 PINOS, P/N 889DS-F4ACDM 10 METROS</t>
  </si>
  <si>
    <t>CC7970741</t>
  </si>
  <si>
    <t>CABLE 4 PIN, LENGTH 10 METRES</t>
  </si>
  <si>
    <t>INTERRUPTOR DE EMERGÊNCIA</t>
  </si>
  <si>
    <t>CC7506196</t>
  </si>
  <si>
    <t>EMERGENCY STOP</t>
  </si>
  <si>
    <t>SUPORTE DE FIXAÇÃO, COM CHAVES ATUADORAS</t>
  </si>
  <si>
    <t>CC7914187</t>
  </si>
  <si>
    <t>MOUNTING BRACKET, KEY ACTUATOR</t>
  </si>
  <si>
    <t>LAMPADA 24V, 2,8 WATTS</t>
  </si>
  <si>
    <t>CC6603004</t>
  </si>
  <si>
    <t>LAMP 24V, 2,8 WATTS</t>
  </si>
  <si>
    <t>TENSIONADOR E CHAVE ALLEN(A/B)</t>
  </si>
  <si>
    <t>CC3360141</t>
  </si>
  <si>
    <t>TENSIONER BANDING</t>
  </si>
  <si>
    <t>MOLA TENSIONADORA P/ CABO FIM DE CURSO</t>
  </si>
  <si>
    <t>CC3219013</t>
  </si>
  <si>
    <t>SPRING SAFETY</t>
  </si>
  <si>
    <t>RODÍZIO PARA PASSAGEM DE CABO</t>
  </si>
  <si>
    <t>CC7916814</t>
  </si>
  <si>
    <t>LIFELINE OUTSIDE CORNER PULLEY</t>
  </si>
  <si>
    <t>CABO.SEG. VERMELHO CASSETE 8X8</t>
  </si>
  <si>
    <t>CC7855759</t>
  </si>
  <si>
    <t>SAFETY CABLE RED, CASSETE 8X8</t>
  </si>
  <si>
    <t>1509392935</t>
  </si>
  <si>
    <t>1508819512</t>
  </si>
  <si>
    <t>1508819514</t>
  </si>
  <si>
    <t>1508890267</t>
  </si>
  <si>
    <t>1508890269</t>
  </si>
  <si>
    <t>1509385590</t>
  </si>
  <si>
    <t>Ref. 2592917-1 Invoice - Gross Trf to Asset Acct</t>
  </si>
  <si>
    <t>1509387400</t>
  </si>
  <si>
    <t>1508787540</t>
  </si>
  <si>
    <t>Ref. 00314553-2 Invoice - Gross Trf to Asset Acct</t>
  </si>
  <si>
    <t>1509012441</t>
  </si>
  <si>
    <t>Ref. 2593901-1 Recebimento Fatura Transferencia de</t>
  </si>
  <si>
    <t>MANIFOLD SUB-BASE VABV-S2-1S-G38-T2</t>
  </si>
  <si>
    <t>CC5152004</t>
  </si>
  <si>
    <t>1509012444</t>
  </si>
  <si>
    <t>Ref. 2593901-1 Fatura Fornecedor Transferencia de</t>
  </si>
  <si>
    <t>1509385582</t>
  </si>
  <si>
    <t>Ref. 2590999-1 Invoice - Gross Trf to Asset Acct</t>
  </si>
  <si>
    <t>1509385586</t>
  </si>
  <si>
    <t>1509387402</t>
  </si>
  <si>
    <t>Ref. 2593901-1 Invoice - Gross Trf to Asset Acct</t>
  </si>
  <si>
    <t>1509387406</t>
  </si>
  <si>
    <t xml:space="preserve">            8.008,99</t>
  </si>
  <si>
    <t xml:space="preserve">            1.969,41</t>
  </si>
  <si>
    <t xml:space="preserve">          319.563,76</t>
  </si>
  <si>
    <t xml:space="preserve">           52.432,24</t>
  </si>
  <si>
    <t xml:space="preserve">           39.425,49</t>
  </si>
  <si>
    <t xml:space="preserve">            5.182,31</t>
  </si>
  <si>
    <t xml:space="preserve">           69.317,69</t>
  </si>
  <si>
    <t xml:space="preserve">            1.921,15</t>
  </si>
  <si>
    <t xml:space="preserve">          344.077,00</t>
  </si>
  <si>
    <t xml:space="preserve">        1.158.444,00</t>
  </si>
  <si>
    <t xml:space="preserve">          266.198,26</t>
  </si>
  <si>
    <t xml:space="preserve">          962.331,52</t>
  </si>
  <si>
    <t>-193.251,32</t>
  </si>
  <si>
    <t xml:space="preserve">          245.750,94</t>
  </si>
  <si>
    <t xml:space="preserve">          559.875,64</t>
  </si>
  <si>
    <t>-238.580,21</t>
  </si>
  <si>
    <t xml:space="preserve">              529,91</t>
  </si>
  <si>
    <t xml:space="preserve">           17.627,00</t>
  </si>
  <si>
    <t xml:space="preserve">            4.973,00</t>
  </si>
  <si>
    <t xml:space="preserve">           23.902,11</t>
  </si>
  <si>
    <t xml:space="preserve">           11.140,81</t>
  </si>
  <si>
    <t xml:space="preserve">          103.248,43</t>
  </si>
  <si>
    <t xml:space="preserve">          183.706,57</t>
  </si>
  <si>
    <t xml:space="preserve">           25.015,74</t>
  </si>
  <si>
    <t xml:space="preserve">           46.256,55</t>
  </si>
  <si>
    <t xml:space="preserve">           15.212,65</t>
  </si>
  <si>
    <t xml:space="preserve">          651.792,38</t>
  </si>
  <si>
    <t xml:space="preserve">           12.251,90</t>
  </si>
  <si>
    <t xml:space="preserve">           12.222,67</t>
  </si>
  <si>
    <t xml:space="preserve">        1.902.488,84</t>
  </si>
  <si>
    <t xml:space="preserve">           36.768,27</t>
  </si>
  <si>
    <t xml:space="preserve">            8.275,52</t>
  </si>
  <si>
    <t xml:space="preserve">            7.718,07</t>
  </si>
  <si>
    <t xml:space="preserve">          116.855,07</t>
  </si>
  <si>
    <t xml:space="preserve">          127.898,70</t>
  </si>
  <si>
    <t xml:space="preserve">            3.972,32</t>
  </si>
  <si>
    <t xml:space="preserve">            4.376,10</t>
  </si>
  <si>
    <t xml:space="preserve">            9.558,22</t>
  </si>
  <si>
    <t xml:space="preserve">           30.429,53</t>
  </si>
  <si>
    <t xml:space="preserve">               94,91</t>
  </si>
  <si>
    <t xml:space="preserve">           15.213,15</t>
  </si>
  <si>
    <t xml:space="preserve">          607.948,01</t>
  </si>
  <si>
    <t xml:space="preserve">          308.092,38</t>
  </si>
  <si>
    <t xml:space="preserve">            6.890,18</t>
  </si>
  <si>
    <t xml:space="preserve">          300.410,91</t>
  </si>
  <si>
    <t xml:space="preserve">           47.710,05</t>
  </si>
  <si>
    <t xml:space="preserve">           55.468,44</t>
  </si>
  <si>
    <t xml:space="preserve">            5.641,26</t>
  </si>
  <si>
    <t xml:space="preserve">           97.953,32</t>
  </si>
  <si>
    <t xml:space="preserve">            2.046,68</t>
  </si>
  <si>
    <t xml:space="preserve">        1.078.721,60</t>
  </si>
  <si>
    <t xml:space="preserve">           86.078,40</t>
  </si>
  <si>
    <t xml:space="preserve">           10.258,81</t>
  </si>
  <si>
    <t xml:space="preserve">          964.309,84</t>
  </si>
  <si>
    <t xml:space="preserve">        5.900.000,00</t>
  </si>
  <si>
    <t xml:space="preserve">           10.219,55</t>
  </si>
  <si>
    <t xml:space="preserve">            1.696,66</t>
  </si>
  <si>
    <t xml:space="preserve">          680.414,84</t>
  </si>
  <si>
    <t xml:space="preserve">           51.211,62</t>
  </si>
  <si>
    <t xml:space="preserve">           48.436,29</t>
  </si>
  <si>
    <t xml:space="preserve">            6.620,42</t>
  </si>
  <si>
    <t xml:space="preserve">        3.178.424,00</t>
  </si>
  <si>
    <t xml:space="preserve">          657.000,00</t>
  </si>
  <si>
    <t xml:space="preserve">        3.222.363,04</t>
  </si>
  <si>
    <t>-43.939,04</t>
  </si>
  <si>
    <t xml:space="preserve">          702.445,81</t>
  </si>
  <si>
    <t>-243.947,81</t>
  </si>
  <si>
    <t xml:space="preserve">            8.277,72</t>
  </si>
  <si>
    <t xml:space="preserve">              526,81</t>
  </si>
  <si>
    <t xml:space="preserve">          130.420,00</t>
  </si>
  <si>
    <t xml:space="preserve">          174.000,00</t>
  </si>
  <si>
    <t xml:space="preserve">              202,08</t>
  </si>
  <si>
    <t xml:space="preserve">            4.796,07</t>
  </si>
  <si>
    <t xml:space="preserve">           18.611,76</t>
  </si>
  <si>
    <t xml:space="preserve">            6.433,64</t>
  </si>
  <si>
    <t xml:space="preserve">          130.163,28</t>
  </si>
  <si>
    <t xml:space="preserve">          108.943,72</t>
  </si>
  <si>
    <t xml:space="preserve">            5.543,78</t>
  </si>
  <si>
    <t xml:space="preserve">            1.341,22</t>
  </si>
  <si>
    <t xml:space="preserve">            1.747,28</t>
  </si>
  <si>
    <t xml:space="preserve">            3.252,72</t>
  </si>
  <si>
    <t xml:space="preserve">           49.974,51</t>
  </si>
  <si>
    <t xml:space="preserve">           19.193,49</t>
  </si>
  <si>
    <t xml:space="preserve">           37.175,99</t>
  </si>
  <si>
    <t xml:space="preserve">            3.939,01</t>
  </si>
  <si>
    <t xml:space="preserve">           12.798,52</t>
  </si>
  <si>
    <t xml:space="preserve">           15.254,48</t>
  </si>
  <si>
    <t xml:space="preserve">                0,34</t>
  </si>
  <si>
    <t xml:space="preserve">           21.999,66</t>
  </si>
  <si>
    <t xml:space="preserve">           10.999,83</t>
  </si>
  <si>
    <t xml:space="preserve">           56.403,39</t>
  </si>
  <si>
    <t xml:space="preserve">            3.596,61</t>
  </si>
  <si>
    <t xml:space="preserve">           15.347,60</t>
  </si>
  <si>
    <t xml:space="preserve">          216.226,40</t>
  </si>
  <si>
    <t xml:space="preserve">          136.999,40</t>
  </si>
  <si>
    <t>MC  - CLIMATIZER MBB</t>
  </si>
  <si>
    <t>LCP-250043-01</t>
  </si>
  <si>
    <t>LCP-250043-02</t>
  </si>
  <si>
    <t>400202609</t>
  </si>
  <si>
    <t>Material Coordinators Cost Distribution May2025</t>
  </si>
  <si>
    <t>603801867</t>
  </si>
  <si>
    <t>603801868</t>
  </si>
  <si>
    <t>603810664</t>
  </si>
  <si>
    <t>603834740</t>
  </si>
  <si>
    <t>603840372</t>
  </si>
  <si>
    <t>603915748</t>
  </si>
  <si>
    <t>603915756</t>
  </si>
  <si>
    <t>603925421</t>
  </si>
  <si>
    <t>603881428</t>
  </si>
  <si>
    <t>,57109901,Z058,604927334 ICP-200043</t>
  </si>
  <si>
    <t>8242180815</t>
  </si>
  <si>
    <t>8242185522</t>
  </si>
  <si>
    <t>8242113052</t>
  </si>
  <si>
    <t>1509395699</t>
  </si>
  <si>
    <t>1508950605</t>
  </si>
  <si>
    <t>1508950617</t>
  </si>
  <si>
    <t>1509396209</t>
  </si>
  <si>
    <t>1509396333</t>
  </si>
  <si>
    <t>1509396522</t>
  </si>
  <si>
    <t>1509396610</t>
  </si>
  <si>
    <t>1509440263</t>
  </si>
  <si>
    <t>Ref. 3740-0 Fatura Fornecedor Transferencia de con</t>
  </si>
  <si>
    <t>1509440269</t>
  </si>
  <si>
    <t>Ref. 3739-0 Fatura Fornecedor Transferencia de con</t>
  </si>
  <si>
    <t>1509440274</t>
  </si>
  <si>
    <t>Ref. 3738-0 Fatura Fornecedor Transferencia de con</t>
  </si>
  <si>
    <t>1509440276</t>
  </si>
  <si>
    <t>Ref. 3737-0 Fatura Fornecedor Transferencia de con</t>
  </si>
  <si>
    <t>1508728064</t>
  </si>
  <si>
    <t>Ref. 3697-0 Fatura Fornecedor Transferencia de con</t>
  </si>
  <si>
    <t>1508728067</t>
  </si>
  <si>
    <t>Ref. 3698-0 Fatura Fornecedor Transferencia de con</t>
  </si>
  <si>
    <t>1508728069</t>
  </si>
  <si>
    <t>Ref. 3699-0 Fatura Fornecedor Transferencia de con</t>
  </si>
  <si>
    <t>1508728088</t>
  </si>
  <si>
    <t>Ref. 3700-0 Fatura Fornecedor Transferencia de con</t>
  </si>
  <si>
    <t>1508729967</t>
  </si>
  <si>
    <t>Ref. 3708-0 Fatura Fornecedor Transferencia de con</t>
  </si>
  <si>
    <t>1508729987</t>
  </si>
  <si>
    <t>Ref. 3709-0 Fatura Fornecedor Transferencia de con</t>
  </si>
  <si>
    <t xml:space="preserve">            3.150,98</t>
  </si>
  <si>
    <t xml:space="preserve">           12.552,61</t>
  </si>
  <si>
    <t xml:space="preserve">           15.703,59</t>
  </si>
  <si>
    <t xml:space="preserve">           13.369,32</t>
  </si>
  <si>
    <t xml:space="preserve">           46.739,21</t>
  </si>
  <si>
    <t xml:space="preserve">            5.794,51</t>
  </si>
  <si>
    <t>ESTUDO ELÉTRICO SUBE</t>
  </si>
  <si>
    <t xml:space="preserve">           15.383,35</t>
  </si>
  <si>
    <t xml:space="preserve">           33.287,72</t>
  </si>
  <si>
    <t xml:space="preserve">        1.157.144,95</t>
  </si>
  <si>
    <t xml:space="preserve">        2.498.479,05</t>
  </si>
  <si>
    <t xml:space="preserve">           15.394,67</t>
  </si>
  <si>
    <t xml:space="preserve">          276.523,52</t>
  </si>
  <si>
    <t xml:space="preserve">          330.503,37</t>
  </si>
  <si>
    <t xml:space="preserve">           30.353,31</t>
  </si>
  <si>
    <t xml:space="preserve">           46.177,21</t>
  </si>
  <si>
    <t xml:space="preserve">           66.100,79</t>
  </si>
  <si>
    <t xml:space="preserve">           21.822,79</t>
  </si>
  <si>
    <t xml:space="preserve">           87.884,66</t>
  </si>
  <si>
    <t xml:space="preserve">                0,24</t>
  </si>
  <si>
    <t xml:space="preserve">            7.355,17</t>
  </si>
  <si>
    <t xml:space="preserve">  5.641,26</t>
  </si>
  <si>
    <t xml:space="preserve">  97.953,32</t>
  </si>
  <si>
    <t xml:space="preserve">  2.046,68</t>
  </si>
  <si>
    <t xml:space="preserve">  4.796,07</t>
  </si>
  <si>
    <t xml:space="preserve"> 42.401,06</t>
  </si>
  <si>
    <t xml:space="preserve">  18.611,76</t>
  </si>
  <si>
    <t xml:space="preserve">  6.433,64</t>
  </si>
  <si>
    <t xml:space="preserve"> 56.403,39</t>
  </si>
  <si>
    <t xml:space="preserve">  56.403,39</t>
  </si>
  <si>
    <t xml:space="preserve">  3.596,61</t>
  </si>
  <si>
    <t>LCP-250036-EX</t>
  </si>
  <si>
    <t>EXP - AME - MILL ROLLERS 100 MIXER #4</t>
  </si>
  <si>
    <t>LCP-250056-EX</t>
  </si>
  <si>
    <t>FSB - EXP - FACTORY ACCESS CONTROL</t>
  </si>
  <si>
    <t>Colocado em rota regional em 25/02. Aprovado em 20/05
Teve demora na aprovacao. Com isso for retirado da Base deste ano.
Para 2025: Valor do Projeto
Serao 14 pequenas paradas e uma grande parada de 9 dias (de 24/12 a 02/01)</t>
  </si>
  <si>
    <t>Aprovado em 20/05/2025</t>
  </si>
  <si>
    <t xml:space="preserve">Scope Change aprovado. Aguardando Doc 20 para encerrar o projeto
</t>
  </si>
  <si>
    <t>8242143998</t>
  </si>
  <si>
    <t>1509502567</t>
  </si>
  <si>
    <t>1509501793</t>
  </si>
  <si>
    <t>1509501898</t>
  </si>
  <si>
    <t>1509501941</t>
  </si>
  <si>
    <t>1509501948</t>
  </si>
  <si>
    <t>1509502177</t>
  </si>
  <si>
    <t>1509502240</t>
  </si>
  <si>
    <t>1509502412</t>
  </si>
  <si>
    <t>1509502469</t>
  </si>
  <si>
    <t>1509502476</t>
  </si>
  <si>
    <t>4500479924</t>
  </si>
  <si>
    <t>1509503094</t>
  </si>
  <si>
    <t>PROJETO-BR00855I25</t>
  </si>
  <si>
    <t>X-series Metal Detector Conveyor Belt</t>
  </si>
  <si>
    <t>AM2503034</t>
  </si>
  <si>
    <t xml:space="preserve">           14.274,13</t>
  </si>
  <si>
    <t xml:space="preserve">          159.245,34</t>
  </si>
  <si>
    <t xml:space="preserve">           38.614,26</t>
  </si>
  <si>
    <t xml:space="preserve">           61.995,96</t>
  </si>
  <si>
    <t xml:space="preserve">           17.863,64</t>
  </si>
  <si>
    <t xml:space="preserve">        4.861.123,99</t>
  </si>
  <si>
    <t xml:space="preserve">        2.222.122,81</t>
  </si>
  <si>
    <t>8242191160</t>
  </si>
  <si>
    <t xml:space="preserve">Aprovado em 23/06/25
</t>
  </si>
  <si>
    <t>1509639834</t>
  </si>
  <si>
    <t>Ref. 704-0 Fatura Fornecedor Transferencia de con</t>
  </si>
  <si>
    <t>1509644607</t>
  </si>
  <si>
    <t>1509638539</t>
  </si>
  <si>
    <t>Ref. 26651-0 Fatura Fornecedor Transferencia de co</t>
  </si>
  <si>
    <t>1509640469</t>
  </si>
  <si>
    <t>Ref. 4412-0 Fatura Fornecedor Transferencia de con</t>
  </si>
  <si>
    <t>1509626621</t>
  </si>
  <si>
    <t>8242138836</t>
  </si>
  <si>
    <t>1509645273</t>
  </si>
  <si>
    <t>1509649006</t>
  </si>
  <si>
    <t>1509649008</t>
  </si>
  <si>
    <t>1509649009</t>
  </si>
  <si>
    <t>1509649012</t>
  </si>
  <si>
    <t>1509682236</t>
  </si>
  <si>
    <t>8242019397</t>
  </si>
  <si>
    <t>1509643751</t>
  </si>
  <si>
    <t>1509634579</t>
  </si>
  <si>
    <t>1509634911</t>
  </si>
  <si>
    <t>1509635151</t>
  </si>
  <si>
    <t>1509638562</t>
  </si>
  <si>
    <t>Ref. 3163-0 Fatura Fornecedor Transferencia de con</t>
  </si>
  <si>
    <t>8242138285</t>
  </si>
  <si>
    <t>1509642406</t>
  </si>
  <si>
    <t xml:space="preserve">           20.871,71</t>
  </si>
  <si>
    <t xml:space="preserve">           49.179,81</t>
  </si>
  <si>
    <t xml:space="preserve">          641.156,80</t>
  </si>
  <si>
    <t xml:space="preserve">          593.843,20</t>
  </si>
  <si>
    <t xml:space="preserve">           17.476,35</t>
  </si>
  <si>
    <t xml:space="preserve">           64.869,26</t>
  </si>
  <si>
    <t xml:space="preserve">           67.611,93</t>
  </si>
  <si>
    <t xml:space="preserve">           58.571,75</t>
  </si>
  <si>
    <t xml:space="preserve">           66.689,22</t>
  </si>
  <si>
    <t xml:space="preserve">          125.260,97</t>
  </si>
  <si>
    <t xml:space="preserve">            4.739,03</t>
  </si>
  <si>
    <t xml:space="preserve">           41.629,42</t>
  </si>
  <si>
    <t xml:space="preserve">          102.766,70</t>
  </si>
  <si>
    <t xml:space="preserve">          144.396,12</t>
  </si>
  <si>
    <t xml:space="preserve">           20.549,88</t>
  </si>
  <si>
    <t xml:space="preserve">           42.007,97</t>
  </si>
  <si>
    <t xml:space="preserve">           86.084,71</t>
  </si>
  <si>
    <t xml:space="preserve">          128.092,68</t>
  </si>
  <si>
    <t xml:space="preserve">           11.407,32</t>
  </si>
  <si>
    <t xml:space="preserve">           53.228,48</t>
  </si>
  <si>
    <t xml:space="preserve">           58.024,55</t>
  </si>
  <si>
    <t xml:space="preserve">           24.975,45</t>
  </si>
  <si>
    <t>603953778</t>
  </si>
  <si>
    <t>603955432</t>
  </si>
  <si>
    <t>603958123</t>
  </si>
  <si>
    <t>603958128</t>
  </si>
  <si>
    <t xml:space="preserve">            2.729,96</t>
  </si>
  <si>
    <t xml:space="preserve">           66.370,75</t>
  </si>
  <si>
    <t xml:space="preserve">           33.629,25</t>
  </si>
  <si>
    <t xml:space="preserve">           10.100,00</t>
  </si>
  <si>
    <t xml:space="preserve">            9.714,65</t>
  </si>
  <si>
    <t xml:space="preserve">              385,35</t>
  </si>
  <si>
    <t>LCP-250030-EX-01</t>
  </si>
  <si>
    <t>EXP FSB UPGRADE DUST</t>
  </si>
  <si>
    <t>LCP-250041-EX-01</t>
  </si>
  <si>
    <t>EXP - RELOCATION/REM</t>
  </si>
  <si>
    <t>LCP-250041-EX-02</t>
  </si>
  <si>
    <t>EXP - VISIT TO THE S</t>
  </si>
  <si>
    <t xml:space="preserve">       16.514.370,46</t>
  </si>
  <si>
    <t xml:space="preserve"> 17.476,35</t>
  </si>
  <si>
    <t xml:space="preserve">  53.228,48</t>
  </si>
  <si>
    <t xml:space="preserve">  58.024,55</t>
  </si>
  <si>
    <t xml:space="preserve"> 24.975,45</t>
  </si>
  <si>
    <t>REL  BUDG AUC  AVAC SETC  //  BREL</t>
  </si>
  <si>
    <t>REL  BUDG ISBD AUC  AVAC  //  BREL</t>
  </si>
  <si>
    <t>CAP - JATEADORA DE GELO SECO</t>
  </si>
  <si>
    <t>CAP - BALANÇA PARA PONTE ROLANTE</t>
  </si>
  <si>
    <t>CAP - MELHORIA UNIDADE HIDRÁULICA NGTTS</t>
  </si>
  <si>
    <t>CAP - AUTOCOMPOUND Q5 SLOW MOVING</t>
  </si>
  <si>
    <t>CAP - DISPERGRADER DISPERSÃO COMPOSTOS</t>
  </si>
  <si>
    <t>REL  AUC  AVAC  //  BNRL</t>
  </si>
  <si>
    <t>CAP - TROCA TCU CALANDRA E EXTRUSOR BB5</t>
  </si>
  <si>
    <t>24/06 - Mão de obra da manutenção para a troca.
Valor é de caminhão munk, remoção e alinhamento.
Precisa ser feito em parada de fábrica
Ou será feito o LCP-230031 ou o LCP-230098 em dezembro. Manutencao nao consegue fazer os 2</t>
  </si>
  <si>
    <t>24/06: Desenvolvendo solucao para seguir com processos de compras (materiais importados). Foi envolvido o time Global.
Esta sendo o escopo de fornecimento da nova Unidade Hidraulica. Expectativa de receber o item apenas em 2025 devido ao Leadtime</t>
  </si>
  <si>
    <t xml:space="preserve">24/06
Compras e Jurídico está acertando o PO/ Contrato devido aos valores de armazenamento
Após isso material será importado.
Valor pode ser maior devido as negociações comerciais e impostos
Valor de Impostos: R$ 831K
2023: Feito Downpayment
</t>
  </si>
  <si>
    <t>AME - PROTECTO WIRE SYS</t>
  </si>
  <si>
    <t>24/06: Alinhando com a manutencao para eles instalarem o equipamento (Terá MO suporte da RICAMIL para suportar). Estimado instalar em setembro
OUT: MO de apoio a Instalacao com RICAMIL
NOV: Servico de Ensaios não destrutivos nos rolos que serão instalados - SC em aberto</t>
  </si>
  <si>
    <r>
      <t xml:space="preserve">24/06
Paineis disponíveis serão entregues para manutenção fazer a instalação. Possivelmente terá que ser comprado os materiais faltantes.
</t>
    </r>
    <r>
      <rPr>
        <b/>
        <sz val="10"/>
        <rFont val="Calibri"/>
        <family val="2"/>
        <scheme val="minor"/>
      </rPr>
      <t>Será criada SC de materiais</t>
    </r>
    <r>
      <rPr>
        <sz val="10"/>
        <rFont val="Calibri"/>
        <family val="2"/>
        <scheme val="minor"/>
      </rPr>
      <t xml:space="preserve">
Total de 12 máquinas
Feito 5 máquinas
Faltam 07: Pode ser que dentro de 2025 sejam instalados 3 paineis. Estamos aguardando retirada do TECO
PO em aberto: 65K com Rockwell - Pode ser que seja utilizado, dependendo da necessidade da manutenção.</t>
    </r>
  </si>
  <si>
    <t>24/06: Manutenção irá suportar na ligação/ajuste de software dos equipamentos que já estão instalados fisicamente, após isso o projeto será encerrado.
Valor que estava na base foi retirado pois a manutenção é quem irá fazer a instalação</t>
  </si>
  <si>
    <r>
      <t xml:space="preserve">24/06:
Paineis disponíveis serão entregues para manutenção fazer a instalação. Possivelmente terá que ser comprado os materiais faltantes.
</t>
    </r>
    <r>
      <rPr>
        <b/>
        <sz val="10"/>
        <rFont val="Calibri"/>
        <family val="2"/>
        <scheme val="minor"/>
      </rPr>
      <t xml:space="preserve">
Será criada SC de materiais
</t>
    </r>
    <r>
      <rPr>
        <sz val="10"/>
        <rFont val="Calibri"/>
        <family val="2"/>
        <scheme val="minor"/>
      </rPr>
      <t xml:space="preserve">
Total 11 máquinas.
Feito 2 máquinas.
Necessário finalizar o LCP-200130 para dar continuidade</t>
    </r>
  </si>
  <si>
    <t>24/06: Será feito um scope change e será retirado a parte de Wulo de dentro deste projeto. Será tratado apenas de MSR.
Scope Change não impede de ir comprando os materiais par aa manutenção instalar (Exemplo NT01)
Serão feitos em todos os NT.</t>
  </si>
  <si>
    <t>27/05  Em fase Final. Falta apenas:
Realizando testes de IO e inspeções em sistemas de ventilação, montagem de bomba, motores e mancal do redutor com o gerador.
Previsão de finalizar em Junho
JUN: Requisicao do estoque
JUL: 41K
AGO: 2K SGS (Ainda em definicao)
Possivelmente irá gastar uns 10K a mais devido a requisicóes do estoque</t>
  </si>
  <si>
    <t>29/06:
Maio: 8k  Rockwell - Servico realizado
Ja temos APR e Conceitual de safety.
Maquina PG 0102
Será criado escopo Proj. Ele/Mec/Auto e compra de materiais e instalacao.
Possivelmente será criado Scope Change (apenas de escopo) para atender a mitigação de riscos críticos/altos da FAM
SCs serão abertas</t>
  </si>
  <si>
    <t>24/06: MaquinaLiberada e funcionando.
Sera feito isolamento térmico e proteções de maquina. Em processo de compras.
6K Protecoes (PO Colocado - MGARCIA)
6K Isolamento termico (Aguardando PO)
Demais SC serão canceladas</t>
  </si>
  <si>
    <t>24/06
Isolamento Térmico - SC aberta - 8K
Treinamento - Será aberta SC - 5K</t>
  </si>
  <si>
    <t>24/06
Aguardando apenas documentações de importação - Estimado embarcar em 06/06
Em definição se será instalado em 7 de setembro
Será aberto SC de isntalacao</t>
  </si>
  <si>
    <t>24/06: PO eletrico finalizado - 11K em Maio
Rockwell está analisando a programação (outros 50K)  Será aberto SC de Materiais
Prazo dos entrega dos materiais é de cerca de 4 meses (120 dias)</t>
  </si>
  <si>
    <t>24/06: SC aberta - Iniciado negociações com a HF (possivelmente os materiais serão comprados no Brasil)</t>
  </si>
  <si>
    <t>24/06: Equip Chegou em Junho. Será instalado pela manutencao
Ver se os 9K com PO em ICPserão usados</t>
  </si>
  <si>
    <t>1509692126</t>
  </si>
  <si>
    <t>Ref. 4407-0 Fatura Fornecedor Transferencia de con</t>
  </si>
  <si>
    <t>1509689476</t>
  </si>
  <si>
    <t>Ref. 20459-0 Fatura Fornecedor Transferencia de co</t>
  </si>
  <si>
    <t>1509683988</t>
  </si>
  <si>
    <t xml:space="preserve">            6.731,86</t>
  </si>
  <si>
    <t xml:space="preserve">            1.935,79</t>
  </si>
  <si>
    <t>603968706</t>
  </si>
  <si>
    <t>603968707</t>
  </si>
  <si>
    <t>603969430</t>
  </si>
  <si>
    <t>240857</t>
  </si>
  <si>
    <t>603971227</t>
  </si>
  <si>
    <t>603971866</t>
  </si>
  <si>
    <t>1509696229</t>
  </si>
  <si>
    <t>1509709866</t>
  </si>
  <si>
    <t>Ref. 3396-0 Fatura Fornecedor Transferencia de con</t>
  </si>
  <si>
    <t>1509708256</t>
  </si>
  <si>
    <t>1509696215</t>
  </si>
  <si>
    <t>1509696263</t>
  </si>
  <si>
    <t>1509696280</t>
  </si>
  <si>
    <t>1509696293</t>
  </si>
  <si>
    <t>1509696409</t>
  </si>
  <si>
    <t>1509696483</t>
  </si>
  <si>
    <t>1509702158</t>
  </si>
  <si>
    <t>1509708414</t>
  </si>
  <si>
    <t>Ref. 3385-0 Fatura Fornecedor Transferencia de con</t>
  </si>
  <si>
    <t>1509708446</t>
  </si>
  <si>
    <t>Ref. 3386-0 Fatura Fornecedor Transferencia de con</t>
  </si>
  <si>
    <t>1509708892</t>
  </si>
  <si>
    <t>Ref. 3387-0 Fatura Fornecedor Transferencia de con</t>
  </si>
  <si>
    <t>1509709409</t>
  </si>
  <si>
    <t>Ref. 3388-0 Fatura Fornecedor Transferencia de con</t>
  </si>
  <si>
    <t>1509709657</t>
  </si>
  <si>
    <t>Ref. 3389-0 Fatura Fornecedor Transferencia de con</t>
  </si>
  <si>
    <t>1509709254</t>
  </si>
  <si>
    <t>Ref. 12833-1 Recebimento Fatura Transferencia de c</t>
  </si>
  <si>
    <t>1509709255</t>
  </si>
  <si>
    <t>Ref. 12833-1 Fatura Fornecedor Transferencia de co</t>
  </si>
  <si>
    <t>1509696604</t>
  </si>
  <si>
    <t>Ref. 3020-0 Fatura Fornecedor Transferencia de con</t>
  </si>
  <si>
    <t>1509707165</t>
  </si>
  <si>
    <t>8242162395</t>
  </si>
  <si>
    <t>1509707617</t>
  </si>
  <si>
    <t>Ref. 56221-0 Recebimento Fatura Transferencia de c</t>
  </si>
  <si>
    <t>VALVULA RETENÇÃO R901086600</t>
  </si>
  <si>
    <t>AM2407086</t>
  </si>
  <si>
    <t>CHECK VALVE R901086600</t>
  </si>
  <si>
    <t>VÁLVULA ASSENTO DIRECIONAL R900052392</t>
  </si>
  <si>
    <t>AM2407083</t>
  </si>
  <si>
    <t>DIRECTIONAL SEAT VALVE R900052392</t>
  </si>
  <si>
    <t>1509707618</t>
  </si>
  <si>
    <t>Ref. 56221-0 Fatura Fornecedor Transferencia de co</t>
  </si>
  <si>
    <t xml:space="preserve">           20.092,93</t>
  </si>
  <si>
    <t xml:space="preserve">           76.602,62</t>
  </si>
  <si>
    <t>24/06: Scope Change em rota de aprovacao local
Houve problema e o pessoal esta reavaliando para voltar as instalacoes.
Eixo do carreteu é antigo e está quebrando.</t>
  </si>
  <si>
    <t>24/06
Maio: Faturamento Civil
Junho: Civil + Mecanica
Julho: Civil + Mecanica
Agosto: Civil + Mecanica + Elétrica
Setembro: Civil + Mecanica + Elétrica
Outubro: Civil + Mecanica + Elétrica + Inst. de Máquina
Novembro: Civil + Mecanica + Elétrica + Inst. de Máquina + Sistema de Incendio
Dezembro:Mecanica + Inst. de Máquina
Para este ano:
Contrucao de Prédio e compra de HVAC (Refrigeração)
CNC está com o Oliveira</t>
  </si>
  <si>
    <r>
      <t xml:space="preserve">24/06
1 Máquina Comissionada.
Previsão de liberar todas as máquinas até Agosto
</t>
    </r>
    <r>
      <rPr>
        <b/>
        <sz val="10"/>
        <rFont val="Calibri"/>
        <family val="2"/>
        <scheme val="minor"/>
      </rPr>
      <t>180K:</t>
    </r>
    <r>
      <rPr>
        <sz val="10"/>
        <rFont val="Calibri"/>
        <family val="2"/>
        <scheme val="minor"/>
      </rPr>
      <t xml:space="preserve"> Tem um valor com a NOVAC 180K referente a adicional que será pago assim que o PO for criado
</t>
    </r>
    <r>
      <rPr>
        <b/>
        <sz val="10"/>
        <rFont val="Calibri"/>
        <family val="2"/>
        <scheme val="minor"/>
      </rPr>
      <t>60K</t>
    </r>
    <r>
      <rPr>
        <sz val="10"/>
        <rFont val="Calibri"/>
        <family val="2"/>
        <scheme val="minor"/>
      </rPr>
      <t xml:space="preserve">: Adicional com a Ricamil - será pago assim que o PO for criado
</t>
    </r>
    <r>
      <rPr>
        <b/>
        <sz val="10"/>
        <rFont val="Calibri"/>
        <family val="2"/>
        <scheme val="minor"/>
      </rPr>
      <t xml:space="preserve">851K: </t>
    </r>
    <r>
      <rPr>
        <sz val="10"/>
        <rFont val="Calibri"/>
        <family val="2"/>
        <scheme val="minor"/>
      </rPr>
      <t xml:space="preserve">Sistema de incendio (Junho e Julho)
</t>
    </r>
    <r>
      <rPr>
        <b/>
        <sz val="10"/>
        <rFont val="Calibri"/>
        <family val="2"/>
        <scheme val="minor"/>
      </rPr>
      <t xml:space="preserve">170K: </t>
    </r>
    <r>
      <rPr>
        <sz val="10"/>
        <rFont val="Calibri"/>
        <family val="2"/>
        <scheme val="minor"/>
      </rPr>
      <t>Possível adicional com ATUS - Em negociação</t>
    </r>
    <r>
      <rPr>
        <b/>
        <sz val="10"/>
        <rFont val="Calibri"/>
        <family val="2"/>
        <scheme val="minor"/>
      </rPr>
      <t xml:space="preserve">
200K</t>
    </r>
    <r>
      <rPr>
        <sz val="10"/>
        <rFont val="Calibri"/>
        <family val="2"/>
        <scheme val="minor"/>
      </rPr>
      <t>: Itens de PO. Será aberta SC
ABRIL - MOTIVO DO ADIAMENTO
o pedido da NOVAC teve um problema de TI na rota de aprovação do pedido, foi envolvido o TI global e eles não conseguiram resolver. Foi solicitado via gerencia para abrir uma nova SC que está em rota de aprovação.
E também o pacote mecanico que está com compras desde fevereiro para incluir um aditivo relacionado a mudanças de desenho da engenharia de akron não foi efetivado em pedido ainda</t>
    </r>
  </si>
  <si>
    <t>06/05
Agosto: Inicio da mobilizaçãodas empresas construtoras de civil (Downpayment). Ainda não temos PO</t>
  </si>
  <si>
    <t xml:space="preserve">25/06
Ja tem PO MO Rockwell 108K (Projeto Eletrico, Software, Start up, Comissionamento e Validação) e Materiais JAV
PO Material - OK
Projeto ELE - OK
Projeto MEC - Em contratacao
Projeto Pneumatico - Em contratacao
Instalação - Em contratacao
</t>
  </si>
  <si>
    <t>27/05-
Julho: Armário 17k
Agosto: Xprint 2k
Aguardando PO:  Proteção em capital (8K)</t>
  </si>
  <si>
    <t>8241992623</t>
  </si>
  <si>
    <t>1509710776</t>
  </si>
  <si>
    <t>Ref. 16825-1 Recebimento Fatura Transferencia de c</t>
  </si>
  <si>
    <t>CARRO DE TRANSPORTE PARA SISTEMA PWS</t>
  </si>
  <si>
    <t>AM2405043</t>
  </si>
  <si>
    <t>TRANSPORT CART FOR PWS</t>
  </si>
  <si>
    <t>1509710777</t>
  </si>
  <si>
    <t>Ref. 16825-1 Fatura Fornecedor Transferencia de co</t>
  </si>
  <si>
    <t>1509720639</t>
  </si>
  <si>
    <t>1509744719</t>
  </si>
  <si>
    <t>Ref. 6859-0 Fatura Fornecedor Transferencia de con</t>
  </si>
  <si>
    <t>1509744934</t>
  </si>
  <si>
    <t>1509720620</t>
  </si>
  <si>
    <t>PROCESSO DE EMBARQUE:PROJETO-BR00516I25</t>
  </si>
  <si>
    <t>1509743478</t>
  </si>
  <si>
    <t>Ref. 2771-0 Fatura Fornecedor Transferencia de con</t>
  </si>
  <si>
    <t>1509720935</t>
  </si>
  <si>
    <t>1509723177</t>
  </si>
  <si>
    <t>PROCESSO DE EMBARQUE:PROJETO-BR00564I25</t>
  </si>
  <si>
    <t xml:space="preserve">        9.539.152,75</t>
  </si>
  <si>
    <t xml:space="preserve">        9.541.006,59</t>
  </si>
  <si>
    <t>-541.593,58</t>
  </si>
  <si>
    <t xml:space="preserve">          174.948,85</t>
  </si>
  <si>
    <t xml:space="preserve">          176.665,41</t>
  </si>
  <si>
    <t xml:space="preserve">           28.306,59</t>
  </si>
  <si>
    <t xml:space="preserve">          174.853,79</t>
  </si>
  <si>
    <t xml:space="preserve">            3.401,65</t>
  </si>
  <si>
    <t xml:space="preserve">           34.119,70</t>
  </si>
  <si>
    <t xml:space="preserve">           16.978,70</t>
  </si>
  <si>
    <t>25/06: Em reta final. Previsão de término: Julho. Fornecedor vai querer adendo
3 meses de TECO impactaram a execução</t>
  </si>
  <si>
    <t>25/06: Demorou muito para aprovar o segundo projeto. Ja não é mais possível instalar este ano
Serao 14 pequenas paradas e uma grande parada de 9 dias (de 24/12 a 02/01)</t>
  </si>
  <si>
    <t>27/05 JUN: 8K Materiais JAV nao foram entregues… passou para Julho
Novembro: Valor com People Teams (Industrialização de Painel)
Valores menores são referente a desenvolvimento de software de projeto pela SIEMENS</t>
  </si>
  <si>
    <t>24/06: Manutenção está fazendo o trabalho de Calibração e ajustes finais.</t>
  </si>
  <si>
    <t>27/05: Esteiras chegaram em Maio
Diferença de Maio é que os materiais da JAV não chegeram
Tem uma SC em aberto para compras de Paineis
0,2K materiais JAV
16K Paineis aguardando PO
7K RICAMIL  Instalacao das esteiras e Paineis
Ver se os 11K com PO em ICP será usado</t>
  </si>
  <si>
    <t>24/06
Falta alguns Segmentos para Tambor ($28K) que serão importados.</t>
  </si>
  <si>
    <t>3 Transfer foram instalados. 
2K Julho - Ricamil</t>
  </si>
  <si>
    <t>1509766243</t>
  </si>
  <si>
    <t>Ref. 4401-0 Fatura Fornecedor Transferencia de con</t>
  </si>
  <si>
    <t>1509746934</t>
  </si>
  <si>
    <t>Ref. 120-0 Fatura Fornecedor Transferencia de con</t>
  </si>
  <si>
    <t>1509746936</t>
  </si>
  <si>
    <t>Ref. 119-0 Fatura Fornecedor Transferencia de con</t>
  </si>
  <si>
    <t>1509746940</t>
  </si>
  <si>
    <t>Ref. 118-0 Fatura Fornecedor Transferencia de con</t>
  </si>
  <si>
    <t>1509746943</t>
  </si>
  <si>
    <t>Ref. 117-0 Fatura Fornecedor Transferencia de con</t>
  </si>
  <si>
    <t>1509748249</t>
  </si>
  <si>
    <t>Ref. 115-0 Fatura Fornecedor Transferencia de con</t>
  </si>
  <si>
    <t>1509748290</t>
  </si>
  <si>
    <t>Ref. 114-0 Fatura Fornecedor Transferencia de con</t>
  </si>
  <si>
    <t>1509748301</t>
  </si>
  <si>
    <t>Ref. 116-0 Fatura Fornecedor Transferencia de con</t>
  </si>
  <si>
    <t>1509762041</t>
  </si>
  <si>
    <t>Ref. 1364-0 Fatura Fornecedor Transferencia de con</t>
  </si>
  <si>
    <t>1509762065</t>
  </si>
  <si>
    <t>Ref. 1365-0 Fatura Fornecedor Transferencia de con</t>
  </si>
  <si>
    <t>1509762069</t>
  </si>
  <si>
    <t>Ref. 1366-0 Fatura Fornecedor Transferencia de con</t>
  </si>
  <si>
    <t>1509762080</t>
  </si>
  <si>
    <t>Ref. 1362-0 Fatura Fornecedor Transferencia de con</t>
  </si>
  <si>
    <t>1509762098</t>
  </si>
  <si>
    <t>Ref. 1363-0 Fatura Fornecedor Transferencia de con</t>
  </si>
  <si>
    <t>1509766240</t>
  </si>
  <si>
    <t>Ref. 2130-0 Fatura Fornecedor Transferencia de con</t>
  </si>
  <si>
    <t>1509763132</t>
  </si>
  <si>
    <t>Ref. 3019-0 Fatura Fornecedor Transferencia de con</t>
  </si>
  <si>
    <t>1509763186</t>
  </si>
  <si>
    <t>Ref. 3016-0 Fatura Fornecedor Transferencia de con</t>
  </si>
  <si>
    <t>1509764405</t>
  </si>
  <si>
    <t>Ref. 3017-0 Fatura Fornecedor Transferencia de con</t>
  </si>
  <si>
    <t>1509764437</t>
  </si>
  <si>
    <t>Ref. 3018-0 Fatura Fornecedor Transferencia de con</t>
  </si>
  <si>
    <t>1509746717</t>
  </si>
  <si>
    <t>Ref. 26682-0 Fatura Fornecedor Transferencia de co</t>
  </si>
  <si>
    <t>1509705719</t>
  </si>
  <si>
    <t>8242162703</t>
  </si>
  <si>
    <t>1509683703</t>
  </si>
  <si>
    <t xml:space="preserve">          207.128,64</t>
  </si>
  <si>
    <t xml:space="preserve">           82.814,63</t>
  </si>
  <si>
    <t xml:space="preserve">          289.943,27</t>
  </si>
  <si>
    <t xml:space="preserve">           49.701,30</t>
  </si>
  <si>
    <t xml:space="preserve">          129.882,48</t>
  </si>
  <si>
    <t xml:space="preserve">           19.118,66</t>
  </si>
  <si>
    <t xml:space="preserve">          149.001,38</t>
  </si>
  <si>
    <t xml:space="preserve">           52.998,62</t>
  </si>
  <si>
    <t xml:space="preserve">  1.935,79</t>
  </si>
  <si>
    <t xml:space="preserve"> 1.935,79</t>
  </si>
  <si>
    <t xml:space="preserve">   1.935,79</t>
  </si>
  <si>
    <t xml:space="preserve"> 70.064,21</t>
  </si>
  <si>
    <t xml:space="preserve"> 18.279,12</t>
  </si>
  <si>
    <t xml:space="preserve"> 16.978,70</t>
  </si>
  <si>
    <t>17.413,01</t>
  </si>
  <si>
    <t>1210.648,09</t>
  </si>
  <si>
    <t>694.237,97</t>
  </si>
  <si>
    <t>REL  BUDG AUC   //  APPR BREL INPL</t>
  </si>
  <si>
    <t>REL  BUDG SETC  //  BREL</t>
  </si>
  <si>
    <t>REL  BUDG AUC   //  APPR BREL EXPL</t>
  </si>
  <si>
    <t>REL  AUC   //  BREL</t>
  </si>
  <si>
    <t>1509775488</t>
  </si>
  <si>
    <t>Ref. 170954-1 Fatura Fornecedor Transferencia de c</t>
  </si>
  <si>
    <t>90009732</t>
  </si>
  <si>
    <t>JAV AUTOMACAO INDUSTRIAL LTDA</t>
  </si>
  <si>
    <t>1509804316</t>
  </si>
  <si>
    <t>Ref. 16833-1 Recebimento Fatura Transferencia de c</t>
  </si>
  <si>
    <t>1509804317</t>
  </si>
  <si>
    <t>Ref. 16833-1 Fatura Fornecedor Transferencia de co</t>
  </si>
  <si>
    <t xml:space="preserve">           35.101,90</t>
  </si>
  <si>
    <t xml:space="preserve">            4.898,10</t>
  </si>
  <si>
    <t>604001464</t>
  </si>
  <si>
    <t>604001479</t>
  </si>
  <si>
    <t>Colocado TECO em 11/03/2025 a pedido de finanças. Retirado TECO</t>
  </si>
  <si>
    <t>1509870344</t>
  </si>
  <si>
    <t>Diferencial de aliquota de ATIVO 06-2025</t>
  </si>
  <si>
    <t>1509645976</t>
  </si>
  <si>
    <t>NF 16701 - M Garcia</t>
  </si>
  <si>
    <t>1509824687</t>
  </si>
  <si>
    <t>Ref. 26667-0 Fatura Fornecedor Transferencia de co</t>
  </si>
  <si>
    <t>1509869531</t>
  </si>
  <si>
    <t>CHG-MERIDI-4503182 - 6/25</t>
  </si>
  <si>
    <t>1509866012</t>
  </si>
  <si>
    <t>1509878547</t>
  </si>
  <si>
    <t>Sem Parar - Provisão Junho/2025</t>
  </si>
  <si>
    <t>1509881332</t>
  </si>
  <si>
    <t>1509815406</t>
  </si>
  <si>
    <t>Ref. 1376-1 Invoice - Gross Trf to Asset Acct</t>
  </si>
  <si>
    <t>8242051907</t>
  </si>
  <si>
    <t>1509813401</t>
  </si>
  <si>
    <t>Ref. 68796-3 Recebimento Fatura Transferencia de c</t>
  </si>
  <si>
    <t>LUNETA HIDRAULICA AUTOCENTRANTE TIPO K 4</t>
  </si>
  <si>
    <t>AM2311024</t>
  </si>
  <si>
    <t>SELF-CENTERING HYDRAULIC SPEECH TYPE K 4</t>
  </si>
  <si>
    <t>1509813405</t>
  </si>
  <si>
    <t>Ref. 68796-3 Fatura Fornecedor Transferencia de co</t>
  </si>
  <si>
    <t>1509808774</t>
  </si>
  <si>
    <t>Ref. 171126-1 Fatura Fornecedor Transferencia de c</t>
  </si>
  <si>
    <t>1509866212</t>
  </si>
  <si>
    <t>1509866231</t>
  </si>
  <si>
    <t>1509876046</t>
  </si>
  <si>
    <t>1509876094</t>
  </si>
  <si>
    <t>8242118057</t>
  </si>
  <si>
    <t>1509822047</t>
  </si>
  <si>
    <t>MRO-BR00810I25</t>
  </si>
  <si>
    <t>Dry ice blasting</t>
  </si>
  <si>
    <t>AM2406114</t>
  </si>
  <si>
    <t>1509814656</t>
  </si>
  <si>
    <t>Ref. 56221-0 Invoice - Gross Trf to Asset Acct</t>
  </si>
  <si>
    <t>1509814681</t>
  </si>
  <si>
    <t xml:space="preserve">           30.918,44</t>
  </si>
  <si>
    <t xml:space="preserve">           35.513,77</t>
  </si>
  <si>
    <t>-15.513,77</t>
  </si>
  <si>
    <t xml:space="preserve">              410,87</t>
  </si>
  <si>
    <t xml:space="preserve">          140.159,89</t>
  </si>
  <si>
    <t xml:space="preserve">          180.520,44</t>
  </si>
  <si>
    <t xml:space="preserve">           40.865,53</t>
  </si>
  <si>
    <t xml:space="preserve">           48.924,95</t>
  </si>
  <si>
    <t xml:space="preserve">           44.372,50</t>
  </si>
  <si>
    <t xml:space="preserve">          498.000,00</t>
  </si>
  <si>
    <t xml:space="preserve">        5.362.443,83</t>
  </si>
  <si>
    <t xml:space="preserve">          537.556,17</t>
  </si>
  <si>
    <t xml:space="preserve">              153,29</t>
  </si>
  <si>
    <t xml:space="preserve">            2.602,71</t>
  </si>
  <si>
    <t xml:space="preserve">           93.755,58</t>
  </si>
  <si>
    <t xml:space="preserve">           92.058,92</t>
  </si>
  <si>
    <t xml:space="preserve">            7.105,05</t>
  </si>
  <si>
    <t xml:space="preserve">          193.825,81</t>
  </si>
  <si>
    <t xml:space="preserve">          260.688,12</t>
  </si>
  <si>
    <t xml:space="preserve">            5.311,88</t>
  </si>
  <si>
    <t xml:space="preserve">            1.082,64</t>
  </si>
  <si>
    <t xml:space="preserve">          143.991,36</t>
  </si>
  <si>
    <t xml:space="preserve">            2.341,85</t>
  </si>
  <si>
    <t xml:space="preserve">           70.484,65</t>
  </si>
  <si>
    <t>604009301</t>
  </si>
  <si>
    <t>604016879</t>
  </si>
  <si>
    <t>268406</t>
  </si>
  <si>
    <t>8242196273</t>
  </si>
  <si>
    <t>Ocean Freight Packaging Services</t>
  </si>
  <si>
    <t>DEUFOL WORLDWIDE PACKAGING LLC</t>
  </si>
  <si>
    <t>8242196296</t>
  </si>
  <si>
    <t xml:space="preserve">          192.328,33</t>
  </si>
  <si>
    <t xml:space="preserve">          259.190,64</t>
  </si>
  <si>
    <t xml:space="preserve">            6.701,36</t>
  </si>
  <si>
    <t xml:space="preserve">            1.095,84</t>
  </si>
  <si>
    <t xml:space="preserve">          148.904,16</t>
  </si>
  <si>
    <t>604026225</t>
  </si>
  <si>
    <t>,50010000, 8020963-0020 2024 May GMITLabor</t>
  </si>
  <si>
    <t>604026226</t>
  </si>
  <si>
    <t>,50010000, 8019279-0020 2024 May GMITLabor</t>
  </si>
  <si>
    <t>25/06
Junho - Erro no Cod de Servico do PO. Valor vai entrar em Julho
Projeto em reta final: Falta finalização de pendências da DIMENSIONAL (pela PROENG) e valicação de 09 máquinas (11 ja estão OK)
Contempla 20 maquinas diferentes
valor de 27K com Microsel em análise se será mantido (As Built)</t>
  </si>
  <si>
    <t>(3) IPHONES - (3) CARREGADORORES</t>
  </si>
  <si>
    <t>LOC-250001-00-19</t>
  </si>
  <si>
    <t>LOC-250001-00-20</t>
  </si>
  <si>
    <t>LOC-250001-00-21</t>
  </si>
  <si>
    <t>(24) IPHONES - (24) CARREGADORORES</t>
  </si>
  <si>
    <t>(55) IPHONES - (55) CARREGADORORES</t>
  </si>
  <si>
    <t>1510035371</t>
  </si>
  <si>
    <t>1510018672</t>
  </si>
  <si>
    <t>DP IMP Junho/25</t>
  </si>
  <si>
    <t>1510035372</t>
  </si>
  <si>
    <t>1510035373</t>
  </si>
  <si>
    <t>1510035375</t>
  </si>
  <si>
    <t>1510035376</t>
  </si>
  <si>
    <t>1510035377</t>
  </si>
  <si>
    <t>1510035378</t>
  </si>
  <si>
    <t>1510035379</t>
  </si>
  <si>
    <t>1510035380</t>
  </si>
  <si>
    <t>1510035381</t>
  </si>
  <si>
    <t>1510035383</t>
  </si>
  <si>
    <t>1510035384</t>
  </si>
  <si>
    <t>1510035385</t>
  </si>
  <si>
    <t>1510038093</t>
  </si>
  <si>
    <t>NF 98583 - TROX BRASIL</t>
  </si>
  <si>
    <t>1510042187</t>
  </si>
  <si>
    <t>1510035386</t>
  </si>
  <si>
    <t>1510035387</t>
  </si>
  <si>
    <t>1510035388</t>
  </si>
  <si>
    <t>1510035389</t>
  </si>
  <si>
    <t>1510035390</t>
  </si>
  <si>
    <t>1510035391</t>
  </si>
  <si>
    <t>1510035392</t>
  </si>
  <si>
    <t>1510035393</t>
  </si>
  <si>
    <t>1510035394</t>
  </si>
  <si>
    <t>1510035395</t>
  </si>
  <si>
    <t>1510035397</t>
  </si>
  <si>
    <t>1510035398</t>
  </si>
  <si>
    <t>1510035399</t>
  </si>
  <si>
    <t>1510035500</t>
  </si>
  <si>
    <t>1510035501</t>
  </si>
  <si>
    <t>1510035504</t>
  </si>
  <si>
    <t>1510035506</t>
  </si>
  <si>
    <t>1510035508</t>
  </si>
  <si>
    <t>1510035509</t>
  </si>
  <si>
    <t>1510033849</t>
  </si>
  <si>
    <t>1510035510</t>
  </si>
  <si>
    <t>1510035511</t>
  </si>
  <si>
    <t>1510021764</t>
  </si>
  <si>
    <t>Prov. 90005699 INGERSOLL-RAND COMERCIO E SERVICOS</t>
  </si>
  <si>
    <t>1510035512</t>
  </si>
  <si>
    <t>1510035513</t>
  </si>
  <si>
    <t>1510035514</t>
  </si>
  <si>
    <t>1510035515</t>
  </si>
  <si>
    <t>1510035516</t>
  </si>
  <si>
    <t>1510035517</t>
  </si>
  <si>
    <t>1510035519</t>
  </si>
  <si>
    <t>1510035520</t>
  </si>
  <si>
    <t>1509884475</t>
  </si>
  <si>
    <t>Adiantamento Micropoise - 8242060407</t>
  </si>
  <si>
    <t>1510033893</t>
  </si>
  <si>
    <t>1510035535</t>
  </si>
  <si>
    <t>1510035536</t>
  </si>
  <si>
    <t>1510035537</t>
  </si>
  <si>
    <t xml:space="preserve">              201,16</t>
  </si>
  <si>
    <t xml:space="preserve">           14.798,84</t>
  </si>
  <si>
    <t xml:space="preserve">          274.763,65</t>
  </si>
  <si>
    <t xml:space="preserve">           25.420,95</t>
  </si>
  <si>
    <t xml:space="preserve">            9.499,47</t>
  </si>
  <si>
    <t xml:space="preserve">            1.098,23</t>
  </si>
  <si>
    <t xml:space="preserve">       21.653.134,16</t>
  </si>
  <si>
    <t xml:space="preserve">        1.502.521,00</t>
  </si>
  <si>
    <t xml:space="preserve">        2.195.566,17</t>
  </si>
  <si>
    <t xml:space="preserve">        2.215.659,10</t>
  </si>
  <si>
    <t>-2.215.659,10</t>
  </si>
  <si>
    <t xml:space="preserve">        1.430.964,30</t>
  </si>
  <si>
    <t xml:space="preserve">           27.242,62</t>
  </si>
  <si>
    <t xml:space="preserve">        1.458.206,92</t>
  </si>
  <si>
    <t>-1.458.206,92</t>
  </si>
  <si>
    <t xml:space="preserve">          271.847,77</t>
  </si>
  <si>
    <t xml:space="preserve">          104.750,31</t>
  </si>
  <si>
    <t xml:space="preserve">          105.161,18</t>
  </si>
  <si>
    <t>-3.659,77</t>
  </si>
  <si>
    <t xml:space="preserve">          145.667,19</t>
  </si>
  <si>
    <t xml:space="preserve">          166.538,90</t>
  </si>
  <si>
    <t xml:space="preserve">           16.908,70</t>
  </si>
  <si>
    <t xml:space="preserve">           72.313,36</t>
  </si>
  <si>
    <t xml:space="preserve">           93.185,07</t>
  </si>
  <si>
    <t>-24.479,94</t>
  </si>
  <si>
    <t xml:space="preserve">           93.927,04</t>
  </si>
  <si>
    <t xml:space="preserve">          124.356,57</t>
  </si>
  <si>
    <t xml:space="preserve">            4.547,50</t>
  </si>
  <si>
    <t xml:space="preserve">           66.534,65</t>
  </si>
  <si>
    <t xml:space="preserve">           96.964,18</t>
  </si>
  <si>
    <t>-62.635,68</t>
  </si>
  <si>
    <t xml:space="preserve">        4.601.760,37</t>
  </si>
  <si>
    <t xml:space="preserve">        4.650.685,32</t>
  </si>
  <si>
    <t xml:space="preserve">          538.482,18</t>
  </si>
  <si>
    <t xml:space="preserve">        4.206.777,09</t>
  </si>
  <si>
    <t xml:space="preserve">        4.208.555,69</t>
  </si>
  <si>
    <t xml:space="preserve">          117.611,81</t>
  </si>
  <si>
    <t xml:space="preserve">          131.552,55</t>
  </si>
  <si>
    <t xml:space="preserve">          175.925,05</t>
  </si>
  <si>
    <t xml:space="preserve">           66.074,95</t>
  </si>
  <si>
    <t xml:space="preserve">           12.830,25</t>
  </si>
  <si>
    <t xml:space="preserve">           12.925,16</t>
  </si>
  <si>
    <t xml:space="preserve">          437.524,84</t>
  </si>
  <si>
    <t xml:space="preserve">            6.633,05</t>
  </si>
  <si>
    <t xml:space="preserve">            6.727,96</t>
  </si>
  <si>
    <t xml:space="preserve">           81.542,04</t>
  </si>
  <si>
    <t xml:space="preserve">        1.013.393,28</t>
  </si>
  <si>
    <t xml:space="preserve">        1.068.861,72</t>
  </si>
  <si>
    <t xml:space="preserve">        1.541.138,28</t>
  </si>
  <si>
    <t xml:space="preserve">          236.225,07</t>
  </si>
  <si>
    <t xml:space="preserve">        1.414.847,93</t>
  </si>
  <si>
    <t xml:space="preserve">        1.157.154,58</t>
  </si>
  <si>
    <t xml:space="preserve">        1.206.334,39</t>
  </si>
  <si>
    <t>-56.334,39</t>
  </si>
  <si>
    <t xml:space="preserve">          171.213,67</t>
  </si>
  <si>
    <t xml:space="preserve">          247.816,29</t>
  </si>
  <si>
    <t xml:space="preserve">           98.683,71</t>
  </si>
  <si>
    <t xml:space="preserve">          155.871,82</t>
  </si>
  <si>
    <t xml:space="preserve">          232.474,44</t>
  </si>
  <si>
    <t xml:space="preserve">           87.525,56</t>
  </si>
  <si>
    <t xml:space="preserve">        4.044.857,97</t>
  </si>
  <si>
    <t xml:space="preserve">        7.153.494,54</t>
  </si>
  <si>
    <t xml:space="preserve">          202.318,83</t>
  </si>
  <si>
    <t xml:space="preserve">            5.378,48</t>
  </si>
  <si>
    <t xml:space="preserve">          207.697,31</t>
  </si>
  <si>
    <t xml:space="preserve">       14.972.932,69</t>
  </si>
  <si>
    <t xml:space="preserve">        2.860.804,12</t>
  </si>
  <si>
    <t xml:space="preserve">          931.249,55</t>
  </si>
  <si>
    <t xml:space="preserve">          996.120,29</t>
  </si>
  <si>
    <t xml:space="preserve">          303.249,71</t>
  </si>
  <si>
    <t xml:space="preserve">          126.335,57</t>
  </si>
  <si>
    <t xml:space="preserve">           30.372,43</t>
  </si>
  <si>
    <t xml:space="preserve">          125.390,97</t>
  </si>
  <si>
    <t>-18.420,97</t>
  </si>
  <si>
    <t xml:space="preserve">              791,31</t>
  </si>
  <si>
    <t xml:space="preserve">           19.346,69</t>
  </si>
  <si>
    <t xml:space="preserve">           91.280,14</t>
  </si>
  <si>
    <t xml:space="preserve">          155.521,96</t>
  </si>
  <si>
    <t xml:space="preserve">          181.078,04</t>
  </si>
  <si>
    <t xml:space="preserve">          111.719,86</t>
  </si>
  <si>
    <t xml:space="preserve">        1.200.688,37</t>
  </si>
  <si>
    <t xml:space="preserve">        1.304.663,50</t>
  </si>
  <si>
    <t xml:space="preserve">           89.967,50</t>
  </si>
  <si>
    <t xml:space="preserve">          531.550,09</t>
  </si>
  <si>
    <t xml:space="preserve">          623.609,01</t>
  </si>
  <si>
    <t xml:space="preserve">            9.755,88</t>
  </si>
  <si>
    <t xml:space="preserve">           15.018,88</t>
  </si>
  <si>
    <t xml:space="preserve">          151.652,04</t>
  </si>
  <si>
    <t xml:space="preserve">          200.088,33</t>
  </si>
  <si>
    <t xml:space="preserve">           63.545,67</t>
  </si>
  <si>
    <t xml:space="preserve">           40.919,45</t>
  </si>
  <si>
    <t xml:space="preserve">           82.735,32</t>
  </si>
  <si>
    <t>-18.254,32</t>
  </si>
  <si>
    <t xml:space="preserve">            7.705,58</t>
  </si>
  <si>
    <t xml:space="preserve">           14.326,00</t>
  </si>
  <si>
    <t xml:space="preserve">            6.259,00</t>
  </si>
  <si>
    <t xml:space="preserve">          502.306,16</t>
  </si>
  <si>
    <t xml:space="preserve">          923.858,86</t>
  </si>
  <si>
    <t xml:space="preserve">          932.663,39</t>
  </si>
  <si>
    <t xml:space="preserve">          232.891,61</t>
  </si>
  <si>
    <t xml:space="preserve">           30.212,41</t>
  </si>
  <si>
    <t xml:space="preserve">          100.207,59</t>
  </si>
  <si>
    <t xml:space="preserve">          118.559,79</t>
  </si>
  <si>
    <t xml:space="preserve">          119.288,68</t>
  </si>
  <si>
    <t xml:space="preserve">           54.711,32</t>
  </si>
  <si>
    <t xml:space="preserve">          428.321,25</t>
  </si>
  <si>
    <t xml:space="preserve">          435.053,11</t>
  </si>
  <si>
    <t xml:space="preserve">          464.946,89</t>
  </si>
  <si>
    <t xml:space="preserve">           72.917,39</t>
  </si>
  <si>
    <t xml:space="preserve">           27.082,61</t>
  </si>
  <si>
    <t xml:space="preserve">           28.122,35</t>
  </si>
  <si>
    <t xml:space="preserve">           30.058,14</t>
  </si>
  <si>
    <t xml:space="preserve">           41.941,86</t>
  </si>
  <si>
    <t xml:space="preserve">          116.860,60</t>
  </si>
  <si>
    <t xml:space="preserve">           30.059,40</t>
  </si>
  <si>
    <t xml:space="preserve">            4.439,40</t>
  </si>
  <si>
    <t xml:space="preserve">          274.741,24</t>
  </si>
  <si>
    <t xml:space="preserve">          277.083,09</t>
  </si>
  <si>
    <t xml:space="preserve">          108.001,91</t>
  </si>
  <si>
    <t xml:space="preserve">            8.243,52</t>
  </si>
  <si>
    <t xml:space="preserve">           10.585,37</t>
  </si>
  <si>
    <t xml:space="preserve">           14.414,63</t>
  </si>
  <si>
    <t xml:space="preserve">          171.809,10</t>
  </si>
  <si>
    <t xml:space="preserve">          167.815,17</t>
  </si>
  <si>
    <t xml:space="preserve">        1.045.235,22</t>
  </si>
  <si>
    <t xml:space="preserve">          254.764,78</t>
  </si>
  <si>
    <t xml:space="preserve">           74.039,31</t>
  </si>
  <si>
    <t xml:space="preserve">           15.960,69</t>
  </si>
  <si>
    <t xml:space="preserve">           38.937,41</t>
  </si>
  <si>
    <t xml:space="preserve">           11.062,59</t>
  </si>
  <si>
    <t xml:space="preserve">           59.576,57</t>
  </si>
  <si>
    <t xml:space="preserve">           10.908,08</t>
  </si>
  <si>
    <t xml:space="preserve">           19.082,11</t>
  </si>
  <si>
    <t xml:space="preserve">            1.684,30</t>
  </si>
  <si>
    <t xml:space="preserve">          508.797,90</t>
  </si>
  <si>
    <t xml:space="preserve">        2.207.518,55</t>
  </si>
  <si>
    <t xml:space="preserve">          505.279,30</t>
  </si>
  <si>
    <t xml:space="preserve">          888.265,32</t>
  </si>
  <si>
    <t>604050352</t>
  </si>
  <si>
    <t>IX30118/8241844140</t>
  </si>
  <si>
    <t>604050366</t>
  </si>
  <si>
    <t>IX30118/8241844130</t>
  </si>
  <si>
    <t>604050400</t>
  </si>
  <si>
    <t>IX30139/8241904135</t>
  </si>
  <si>
    <t>604051512</t>
  </si>
  <si>
    <t>IX30144/8241944515</t>
  </si>
  <si>
    <t>604051530</t>
  </si>
  <si>
    <t>IX30171/8242025906</t>
  </si>
  <si>
    <t>julho</t>
  </si>
  <si>
    <t>7</t>
  </si>
  <si>
    <t>604055771</t>
  </si>
  <si>
    <t>130496</t>
  </si>
  <si>
    <t>1509803140</t>
  </si>
  <si>
    <t>1509803179</t>
  </si>
  <si>
    <t>1509777417</t>
  </si>
  <si>
    <t>Ref. 92360-0 Fatura Fornecedor Transferencia de co</t>
  </si>
  <si>
    <t>1509777419</t>
  </si>
  <si>
    <t>Ref. 92361-0 Fatura Fornecedor Transferencia de co</t>
  </si>
  <si>
    <t>1510035396</t>
  </si>
  <si>
    <t>1510081327</t>
  </si>
  <si>
    <t>1510035507</t>
  </si>
  <si>
    <t>1510035518</t>
  </si>
  <si>
    <t>1510035527</t>
  </si>
  <si>
    <t>Current data (01.07.2025 08:41:26)</t>
  </si>
  <si>
    <t xml:space="preserve">           22.042,34</t>
  </si>
  <si>
    <t xml:space="preserve">           17.562,05</t>
  </si>
  <si>
    <t xml:space="preserve">           30.640,23</t>
  </si>
  <si>
    <t xml:space="preserve">           20.747,31</t>
  </si>
  <si>
    <t xml:space="preserve">           51.387,54</t>
  </si>
  <si>
    <t xml:space="preserve">            5.287,96</t>
  </si>
  <si>
    <t xml:space="preserve">          126.594,05</t>
  </si>
  <si>
    <t xml:space="preserve">           28.188,07</t>
  </si>
  <si>
    <t xml:space="preserve">          154.782,12</t>
  </si>
  <si>
    <t xml:space="preserve">          545.217,88</t>
  </si>
  <si>
    <t xml:space="preserve">            6.916,18</t>
  </si>
  <si>
    <t xml:space="preserve">            8.934,12</t>
  </si>
  <si>
    <t xml:space="preserve">           15.850,30</t>
  </si>
  <si>
    <t>-15.850,30</t>
  </si>
  <si>
    <t xml:space="preserve">          160.278,93</t>
  </si>
  <si>
    <t xml:space="preserve">           26.187,98</t>
  </si>
  <si>
    <t xml:space="preserve">          274.351,57</t>
  </si>
  <si>
    <t xml:space="preserve">        1.825.648,43</t>
  </si>
  <si>
    <t xml:space="preserve">            4.710,39</t>
  </si>
  <si>
    <t xml:space="preserve">            7.069,32</t>
  </si>
  <si>
    <t xml:space="preserve">           11.779,71</t>
  </si>
  <si>
    <t xml:space="preserve">          617.590,29</t>
  </si>
  <si>
    <t xml:space="preserve">           49.660,36</t>
  </si>
  <si>
    <t xml:space="preserve">           57.015,53</t>
  </si>
  <si>
    <t xml:space="preserve">           14.984,47</t>
  </si>
  <si>
    <t xml:space="preserve">          161.006,39</t>
  </si>
  <si>
    <t xml:space="preserve">            3.993,61</t>
  </si>
  <si>
    <t xml:space="preserve">        5.300.474,58</t>
  </si>
  <si>
    <t xml:space="preserve">          589.821,37</t>
  </si>
  <si>
    <t xml:space="preserve">          120.361,46</t>
  </si>
  <si>
    <t xml:space="preserve">        6.010.657,41</t>
  </si>
  <si>
    <t xml:space="preserve">       10.503.713,05</t>
  </si>
  <si>
    <t>Current data (01.07.2025 08:41:42)</t>
  </si>
  <si>
    <t xml:space="preserve">  72.917,39</t>
  </si>
  <si>
    <t xml:space="preserve"> 27.082,61</t>
  </si>
  <si>
    <t xml:space="preserve">  28.122,35</t>
  </si>
  <si>
    <t xml:space="preserve">  30.058,14</t>
  </si>
  <si>
    <t xml:space="preserve"> 41.941,86</t>
  </si>
  <si>
    <t xml:space="preserve">  70.484,65</t>
  </si>
  <si>
    <t xml:space="preserve">  59.576,57</t>
  </si>
  <si>
    <t xml:space="preserve"> 10.908,08</t>
  </si>
  <si>
    <t xml:space="preserve">  19.082,11</t>
  </si>
  <si>
    <t xml:space="preserve">  37.361,23</t>
  </si>
  <si>
    <t xml:space="preserve">  7.638,77</t>
  </si>
  <si>
    <t xml:space="preserve">  3.551,63</t>
  </si>
  <si>
    <t xml:space="preserve">  20.863,14</t>
  </si>
  <si>
    <t xml:space="preserve"> 11.410,62</t>
  </si>
  <si>
    <t>2213.044,47</t>
  </si>
  <si>
    <t>1516.363,10</t>
  </si>
  <si>
    <t>135.036,55</t>
  </si>
  <si>
    <t>1668.378,35</t>
  </si>
  <si>
    <t>544.666,12</t>
  </si>
  <si>
    <t>Finalizado. Aguardando aprovação do PSO</t>
  </si>
  <si>
    <t>VALIDAÇÃO DE NR12 - NGs</t>
  </si>
  <si>
    <t>VALIDAÇÃO DE NR12 - TBMs</t>
  </si>
  <si>
    <t>Colocado TECO em 11/03/2025 a pedido de finanças - Retirar valor da base no 7+5</t>
  </si>
  <si>
    <t>24/06
Máquina ja Instalada, faltando:
Coletor de Pó, Leitor de Barcode e singulador
Julho:
16K Leitores Cod de Barras
6K Singulador Web Styles
43K Coletores de Pó INDACLIMA
34K Demais Itens</t>
  </si>
  <si>
    <t>24/06
Falta apenas painel da F17/18, pendencias e sistema de proteção para cabos da unidade hidráulica.
Data estimada de conclusão: Agosto/2025</t>
  </si>
  <si>
    <t>24/06
Compra de 4 carros.
Recebido 3.</t>
  </si>
  <si>
    <t>27/05: Máquina Chegou em Abril
Estudo de carga 4K SC em rota de aprovacao
Instalação 80K Sc em rota de aprovacao
Start up pela Kokusai 36K (Via ICP)</t>
  </si>
  <si>
    <r>
      <t>27/05: 
Corpo ja foi trocado.
TCU instalado em Abril
Restante dos itens (safety enhancement. e unidade hidraulica e instacao de ar comprimido)
Scope Change em rota desde 19/02 (</t>
    </r>
    <r>
      <rPr>
        <b/>
        <sz val="10"/>
        <rFont val="Calibri"/>
        <family val="2"/>
        <scheme val="minor"/>
      </rPr>
      <t>95K)
Terá que ser revisado para inserir o Mxier 5</t>
    </r>
    <r>
      <rPr>
        <sz val="10"/>
        <rFont val="Calibri"/>
        <family val="2"/>
        <scheme val="minor"/>
      </rPr>
      <t xml:space="preserve">
</t>
    </r>
    <r>
      <rPr>
        <b/>
        <sz val="10"/>
        <rFont val="Calibri"/>
        <family val="2"/>
        <scheme val="minor"/>
      </rPr>
      <t xml:space="preserve">Julho 14K </t>
    </r>
    <r>
      <rPr>
        <sz val="10"/>
        <rFont val="Calibri"/>
        <family val="2"/>
        <scheme val="minor"/>
      </rPr>
      <t>ja com pedido (11K Rockwell e 3K Microsel)</t>
    </r>
  </si>
  <si>
    <t>27/05
21K PO em aberto com a PROENG para realizar a reforma do Fancoil de isolamento do BB03</t>
  </si>
  <si>
    <t>27/05
5K ROCKWELL: Falta apenas teste final e faturamento</t>
  </si>
  <si>
    <t>25/06: Time de manutenção finalizou as instalações.
PO em aberto com a Rockwell (Software) será cancelado (15K) e será aberto outro PO com o escopo atualizado.
Serã aberta SC para reforma da plataforma do Festoon</t>
  </si>
  <si>
    <t>CAL4R1 - Barril, rosca, feedbox e pinos</t>
  </si>
  <si>
    <t>24/06: Faltam 4 máquinas.
Quadriplex - rosca superior de 6"
Hotformer - estação 1
CAL4R1 - Barril 1 e 2, Rosca, Feedbox e pinos
Valor em aberto é referente a Requisicao dos itens no almoxarifado e valor de Guinch
Tem um problema referente a um item que foi requisitado do estoque mais que não estava ok. Finanças está analisando como irá dar baixa neste valor.</t>
  </si>
  <si>
    <t>01/07 - Solicitado documentos ao Hebert - 
Materiais estão na FAM mas foram comprados sem Project Design,
A ideia é fracassar este projeto pois não está abrangendo corretamente as normas vigentes.
Os materiais comprados serão transferidos para outro projeto e então será encerrado.
Posteriormente os projetos de WULO irão cobrir este projeto
SC e PO em aberto serão cancelados</t>
  </si>
  <si>
    <t>8242192283</t>
  </si>
  <si>
    <t>1510098001</t>
  </si>
  <si>
    <t>Ref. 185100-2 Recebimento Fatura Transferencia de</t>
  </si>
  <si>
    <t>NIPLE DUPLO ACO CARBONO DIAM.3/4" NPT</t>
  </si>
  <si>
    <t>CC5166070</t>
  </si>
  <si>
    <t>NIPPLE PIPE</t>
  </si>
  <si>
    <t>1510098002</t>
  </si>
  <si>
    <t>Ref. 185100-2 Fatura Fornecedor Transferencia de c</t>
  </si>
  <si>
    <t>1510098014</t>
  </si>
  <si>
    <t>Ref. 185094-2 Recebimento Fatura Transferencia de</t>
  </si>
  <si>
    <t>1510098015</t>
  </si>
  <si>
    <t>Ref. 185094-2 Fatura Fornecedor Transferencia de c</t>
  </si>
  <si>
    <t>8242185930</t>
  </si>
  <si>
    <t>1510099346</t>
  </si>
  <si>
    <t>Ref. 776555-2 Recebimento Fatura Transferencia de</t>
  </si>
  <si>
    <t>CONDULETE 4" X 2". CORPO DE ALUMINIO</t>
  </si>
  <si>
    <t>CC6503241</t>
  </si>
  <si>
    <t>BOX CONDUIT</t>
  </si>
  <si>
    <t>1510099348</t>
  </si>
  <si>
    <t>Ref. 776555-2 Fatura Fornecedor Transferencia de c</t>
  </si>
  <si>
    <t xml:space="preserve">          635.271,05</t>
  </si>
  <si>
    <t xml:space="preserve">          611.054,30</t>
  </si>
  <si>
    <t xml:space="preserve">           44.237,70</t>
  </si>
  <si>
    <t xml:space="preserve">          253.273,67</t>
  </si>
  <si>
    <t xml:space="preserve">          847.876,63</t>
  </si>
  <si>
    <t xml:space="preserve">           13.223,37</t>
  </si>
  <si>
    <t xml:space="preserve">           54.650,00</t>
  </si>
  <si>
    <t xml:space="preserve">            1.114,83</t>
  </si>
  <si>
    <t xml:space="preserve">            1.751,88</t>
  </si>
  <si>
    <t xml:space="preserve">        7.857.382,62</t>
  </si>
  <si>
    <t xml:space="preserve">        2.142.617,38</t>
  </si>
  <si>
    <t xml:space="preserve">          170.768,25</t>
  </si>
  <si>
    <t xml:space="preserve">          113.456,75</t>
  </si>
  <si>
    <t xml:space="preserve">          167.063,25</t>
  </si>
  <si>
    <t xml:space="preserve">          104.361,75</t>
  </si>
  <si>
    <t xml:space="preserve">            3.705,00</t>
  </si>
  <si>
    <t xml:space="preserve">            9.095,00</t>
  </si>
  <si>
    <t xml:space="preserve">          176.379,10</t>
  </si>
  <si>
    <t xml:space="preserve">          121.120,90</t>
  </si>
  <si>
    <t xml:space="preserve">          172.674,10</t>
  </si>
  <si>
    <t xml:space="preserve">          109.825,90</t>
  </si>
  <si>
    <t xml:space="preserve">           11.295,00</t>
  </si>
  <si>
    <t xml:space="preserve">      303.192.058,19</t>
  </si>
  <si>
    <t>357417400</t>
  </si>
  <si>
    <t>357417401</t>
  </si>
  <si>
    <t>357417402</t>
  </si>
  <si>
    <t>357417403</t>
  </si>
  <si>
    <t>357417404</t>
  </si>
  <si>
    <t>357417405</t>
  </si>
  <si>
    <t>357417430</t>
  </si>
  <si>
    <t>357417431</t>
  </si>
  <si>
    <t>357418641</t>
  </si>
  <si>
    <t>357418642</t>
  </si>
  <si>
    <t>357418643</t>
  </si>
  <si>
    <t>357418644</t>
  </si>
  <si>
    <t>357418645</t>
  </si>
  <si>
    <t>357418646</t>
  </si>
  <si>
    <t>357418647</t>
  </si>
  <si>
    <t>357418648</t>
  </si>
  <si>
    <t>357418649</t>
  </si>
  <si>
    <t>357418650</t>
  </si>
  <si>
    <t>357418651</t>
  </si>
  <si>
    <t>357418652</t>
  </si>
  <si>
    <t>357418653</t>
  </si>
  <si>
    <t>357418654</t>
  </si>
  <si>
    <t>357418655</t>
  </si>
  <si>
    <t>357418656</t>
  </si>
  <si>
    <t>357418657</t>
  </si>
  <si>
    <t>357418658</t>
  </si>
  <si>
    <t>357418659</t>
  </si>
  <si>
    <t>357418660</t>
  </si>
  <si>
    <t>357418661</t>
  </si>
  <si>
    <t>357418662</t>
  </si>
  <si>
    <t>357418663</t>
  </si>
  <si>
    <t>357418664</t>
  </si>
  <si>
    <t>357418665</t>
  </si>
  <si>
    <t>357418666</t>
  </si>
  <si>
    <t>357418667</t>
  </si>
  <si>
    <t>357418668</t>
  </si>
  <si>
    <t>357418669</t>
  </si>
  <si>
    <t>357418670</t>
  </si>
  <si>
    <t>357418671</t>
  </si>
  <si>
    <t>357418672</t>
  </si>
  <si>
    <t>357418831</t>
  </si>
  <si>
    <t>357418910</t>
  </si>
  <si>
    <t>357418911</t>
  </si>
  <si>
    <t>357418912</t>
  </si>
  <si>
    <t>357418913</t>
  </si>
  <si>
    <t>357418914</t>
  </si>
  <si>
    <t>357418915</t>
  </si>
  <si>
    <t>357418916</t>
  </si>
  <si>
    <t>357418917</t>
  </si>
  <si>
    <t>357418918</t>
  </si>
  <si>
    <t>357418919</t>
  </si>
  <si>
    <t>357418920</t>
  </si>
  <si>
    <t>357418921</t>
  </si>
  <si>
    <t>357418922</t>
  </si>
  <si>
    <t>357418923</t>
  </si>
  <si>
    <t>357418924</t>
  </si>
  <si>
    <t>357418925</t>
  </si>
  <si>
    <t>357418926</t>
  </si>
  <si>
    <t>357418927</t>
  </si>
  <si>
    <t>357418928</t>
  </si>
  <si>
    <t>357418929</t>
  </si>
  <si>
    <t>357418930</t>
  </si>
  <si>
    <t>357418931</t>
  </si>
  <si>
    <t>357418932</t>
  </si>
  <si>
    <t>357418933</t>
  </si>
  <si>
    <t>357418934</t>
  </si>
  <si>
    <t>357418935</t>
  </si>
  <si>
    <t>357418936</t>
  </si>
  <si>
    <t>357418937</t>
  </si>
  <si>
    <t>357418938</t>
  </si>
  <si>
    <t>357418939</t>
  </si>
  <si>
    <t>357418940</t>
  </si>
  <si>
    <t>357418941</t>
  </si>
  <si>
    <t>357418942</t>
  </si>
  <si>
    <t>357418943</t>
  </si>
  <si>
    <t>357418944</t>
  </si>
  <si>
    <t>357418945</t>
  </si>
  <si>
    <t>357418946</t>
  </si>
  <si>
    <t>357418947</t>
  </si>
  <si>
    <t>357418948</t>
  </si>
  <si>
    <t>357418949</t>
  </si>
  <si>
    <t>357418950</t>
  </si>
  <si>
    <t>357418951</t>
  </si>
  <si>
    <t>357418952</t>
  </si>
  <si>
    <t>357418953</t>
  </si>
  <si>
    <t>357418954</t>
  </si>
  <si>
    <t>357418955</t>
  </si>
  <si>
    <t>357418956</t>
  </si>
  <si>
    <t>357418957</t>
  </si>
  <si>
    <t>357418958</t>
  </si>
  <si>
    <t>357418959</t>
  </si>
  <si>
    <t>357418960</t>
  </si>
  <si>
    <t>357418961</t>
  </si>
  <si>
    <t>357418962</t>
  </si>
  <si>
    <t>357418963</t>
  </si>
  <si>
    <t>357418964</t>
  </si>
  <si>
    <t>357418965</t>
  </si>
  <si>
    <t>357418966</t>
  </si>
  <si>
    <t>357418967</t>
  </si>
  <si>
    <t>357418968</t>
  </si>
  <si>
    <t>357418969</t>
  </si>
  <si>
    <t>357418970</t>
  </si>
  <si>
    <t>357418971</t>
  </si>
  <si>
    <t>357418972</t>
  </si>
  <si>
    <t>357418973</t>
  </si>
  <si>
    <t>357418974</t>
  </si>
  <si>
    <t>357418975</t>
  </si>
  <si>
    <t>357418976</t>
  </si>
  <si>
    <t>357418977</t>
  </si>
  <si>
    <t>357418978</t>
  </si>
  <si>
    <t>357418979</t>
  </si>
  <si>
    <t>357418980</t>
  </si>
  <si>
    <t>357418981</t>
  </si>
  <si>
    <t>357418982</t>
  </si>
  <si>
    <t>357418983</t>
  </si>
  <si>
    <t>357418984</t>
  </si>
  <si>
    <t>357418985</t>
  </si>
  <si>
    <t>357418986</t>
  </si>
  <si>
    <t>357418987</t>
  </si>
  <si>
    <t>357418988</t>
  </si>
  <si>
    <t>357418989</t>
  </si>
  <si>
    <t>357418990</t>
  </si>
  <si>
    <t>357418991</t>
  </si>
  <si>
    <t>357418992</t>
  </si>
  <si>
    <t>357418993</t>
  </si>
  <si>
    <t>357418994</t>
  </si>
  <si>
    <t>357418995</t>
  </si>
  <si>
    <t>357418996</t>
  </si>
  <si>
    <t>357418997</t>
  </si>
  <si>
    <t>357418998</t>
  </si>
  <si>
    <t>357418999</t>
  </si>
  <si>
    <t>357419000</t>
  </si>
  <si>
    <t>357419001</t>
  </si>
  <si>
    <t>357419002</t>
  </si>
  <si>
    <t>357419003</t>
  </si>
  <si>
    <t>357419004</t>
  </si>
  <si>
    <t>357419005</t>
  </si>
  <si>
    <t>357419356</t>
  </si>
  <si>
    <t>357419517</t>
  </si>
  <si>
    <t>357419518</t>
  </si>
  <si>
    <t>357419519</t>
  </si>
  <si>
    <t>357419520</t>
  </si>
  <si>
    <t>357419521</t>
  </si>
  <si>
    <t>357419522</t>
  </si>
  <si>
    <t>357419523</t>
  </si>
  <si>
    <t>357419524</t>
  </si>
  <si>
    <t>357419525</t>
  </si>
  <si>
    <t>357419526</t>
  </si>
  <si>
    <t>357420128</t>
  </si>
  <si>
    <t>357420129</t>
  </si>
  <si>
    <t>357420130</t>
  </si>
  <si>
    <t>357420131</t>
  </si>
  <si>
    <t>357420132</t>
  </si>
  <si>
    <t>357420133</t>
  </si>
  <si>
    <t>357420134</t>
  </si>
  <si>
    <t>357420135</t>
  </si>
  <si>
    <t>357420136</t>
  </si>
  <si>
    <t>357420137</t>
  </si>
  <si>
    <t>357420138</t>
  </si>
  <si>
    <t>357420139</t>
  </si>
  <si>
    <t>357420140</t>
  </si>
  <si>
    <t>357420141</t>
  </si>
  <si>
    <t>357420142</t>
  </si>
  <si>
    <t>357420143</t>
  </si>
  <si>
    <t>357420144</t>
  </si>
  <si>
    <t>357420145</t>
  </si>
  <si>
    <t>357420146</t>
  </si>
  <si>
    <t>357420147</t>
  </si>
  <si>
    <t>357420148</t>
  </si>
  <si>
    <t>357420149</t>
  </si>
  <si>
    <t>357420150</t>
  </si>
  <si>
    <t>357420151</t>
  </si>
  <si>
    <t>357420152</t>
  </si>
  <si>
    <t>357420153</t>
  </si>
  <si>
    <t>357420154</t>
  </si>
  <si>
    <t>357420155</t>
  </si>
  <si>
    <t>357420156</t>
  </si>
  <si>
    <t>357420157</t>
  </si>
  <si>
    <t>357420158</t>
  </si>
  <si>
    <t>357420159</t>
  </si>
  <si>
    <t>357420160</t>
  </si>
  <si>
    <t>357420161</t>
  </si>
  <si>
    <t>357420162</t>
  </si>
  <si>
    <t>357420163</t>
  </si>
  <si>
    <t>357420164</t>
  </si>
  <si>
    <t>357420165</t>
  </si>
  <si>
    <t>357420166</t>
  </si>
  <si>
    <t>357420167</t>
  </si>
  <si>
    <t>357420168</t>
  </si>
  <si>
    <t>357420169</t>
  </si>
  <si>
    <t>357420170</t>
  </si>
  <si>
    <t>357420171</t>
  </si>
  <si>
    <t>357420172</t>
  </si>
  <si>
    <t>357420173</t>
  </si>
  <si>
    <t>357420174</t>
  </si>
  <si>
    <t>357420175</t>
  </si>
  <si>
    <t>357420176</t>
  </si>
  <si>
    <t>357420177</t>
  </si>
  <si>
    <t>357420178</t>
  </si>
  <si>
    <t>357420179</t>
  </si>
  <si>
    <t>357420180</t>
  </si>
  <si>
    <t>357420181</t>
  </si>
  <si>
    <t>357420182</t>
  </si>
  <si>
    <t>357420183</t>
  </si>
  <si>
    <t>357420184</t>
  </si>
  <si>
    <t>357420185</t>
  </si>
  <si>
    <t>357420186</t>
  </si>
  <si>
    <t>357420187</t>
  </si>
  <si>
    <t>357420188</t>
  </si>
  <si>
    <t>357420189</t>
  </si>
  <si>
    <t>357420190</t>
  </si>
  <si>
    <t>357420191</t>
  </si>
  <si>
    <t>357420192</t>
  </si>
  <si>
    <t>357420193</t>
  </si>
  <si>
    <t>357420194</t>
  </si>
  <si>
    <t>357420195</t>
  </si>
  <si>
    <t>357420196</t>
  </si>
  <si>
    <t>357420197</t>
  </si>
  <si>
    <t>357420198</t>
  </si>
  <si>
    <t>357420199</t>
  </si>
  <si>
    <t>357420200</t>
  </si>
  <si>
    <t>357420201</t>
  </si>
  <si>
    <t>357420202</t>
  </si>
  <si>
    <t>357420203</t>
  </si>
  <si>
    <t>357420204</t>
  </si>
  <si>
    <t>357420205</t>
  </si>
  <si>
    <t>357420206</t>
  </si>
  <si>
    <t>357420207</t>
  </si>
  <si>
    <t>357420208</t>
  </si>
  <si>
    <t>357420209</t>
  </si>
  <si>
    <t>357420210</t>
  </si>
  <si>
    <t>357420211</t>
  </si>
  <si>
    <t>357420212</t>
  </si>
  <si>
    <t>357420213</t>
  </si>
  <si>
    <t>357420214</t>
  </si>
  <si>
    <t>357420215</t>
  </si>
  <si>
    <t>357420216</t>
  </si>
  <si>
    <t>357420217</t>
  </si>
  <si>
    <t>357420218</t>
  </si>
  <si>
    <t>357420219</t>
  </si>
  <si>
    <t>357420220</t>
  </si>
  <si>
    <t>357420221</t>
  </si>
  <si>
    <t>357420222</t>
  </si>
  <si>
    <t>357420223</t>
  </si>
  <si>
    <t>357420224</t>
  </si>
  <si>
    <t>357420225</t>
  </si>
  <si>
    <t>357420226</t>
  </si>
  <si>
    <t>357420227</t>
  </si>
  <si>
    <t>357420228</t>
  </si>
  <si>
    <t>357420229</t>
  </si>
  <si>
    <t>357420230</t>
  </si>
  <si>
    <t>357420231</t>
  </si>
  <si>
    <t>357420232</t>
  </si>
  <si>
    <t>357420233</t>
  </si>
  <si>
    <t>357420234</t>
  </si>
  <si>
    <t>357420235</t>
  </si>
  <si>
    <t>357420236</t>
  </si>
  <si>
    <t>357420237</t>
  </si>
  <si>
    <t>357420238</t>
  </si>
  <si>
    <t>357420239</t>
  </si>
  <si>
    <t>357420240</t>
  </si>
  <si>
    <t>604064999</t>
  </si>
  <si>
    <t>8242032366 - VMI EPE HOLLAND</t>
  </si>
  <si>
    <t>604066124</t>
  </si>
  <si>
    <t>8241998814 - June 2025 VIM Accrual</t>
  </si>
  <si>
    <t>8242041555 - June 2025 VIM Accrual</t>
  </si>
  <si>
    <t>8241463855 - June 2025 VIM Accrual</t>
  </si>
  <si>
    <t>8242118784 - June 2025 VIM Accrual</t>
  </si>
  <si>
    <t>8242197503</t>
  </si>
  <si>
    <t>8242197504</t>
  </si>
  <si>
    <t>25/06: 2 Tambores para o Módulo D (X1D): 1 aro 22 e 1 aro 20. Tambores ja chegaram. Precisa fazer uma adequação nos tambores (chavetas) - 12K em agosto</t>
  </si>
  <si>
    <t>8242087926</t>
  </si>
  <si>
    <t>1510153744</t>
  </si>
  <si>
    <t>Ref. 102-1 Recebimento Fatura Transferencia de con</t>
  </si>
  <si>
    <t>SIST. COLETOR DE PÓ COM FILTRAGEM</t>
  </si>
  <si>
    <t>AM2411068</t>
  </si>
  <si>
    <t>DUST COLLECTOR SYSTEM WITH FILTRATION</t>
  </si>
  <si>
    <t>1510153745</t>
  </si>
  <si>
    <t>Ref. 102-1 Fatura Fornecedor Transferencia de con</t>
  </si>
  <si>
    <t xml:space="preserve">           60.682,79</t>
  </si>
  <si>
    <t xml:space="preserve">           22.510,80</t>
  </si>
  <si>
    <t xml:space="preserve">           83.193,59</t>
  </si>
  <si>
    <t>-49.193,59</t>
  </si>
  <si>
    <t xml:space="preserve">          161.393,00</t>
  </si>
  <si>
    <t xml:space="preserve">           62.563,27</t>
  </si>
  <si>
    <t xml:space="preserve">           98.829,73</t>
  </si>
  <si>
    <t xml:space="preserve">          284.970,69</t>
  </si>
  <si>
    <t xml:space="preserve">          317.771,12</t>
  </si>
  <si>
    <t xml:space="preserve">            8.196,03</t>
  </si>
  <si>
    <t xml:space="preserve">            9.560,45</t>
  </si>
  <si>
    <t>-9.507,45</t>
  </si>
  <si>
    <t xml:space="preserve">           14.299,66</t>
  </si>
  <si>
    <t xml:space="preserve">          129.501,58</t>
  </si>
  <si>
    <t xml:space="preserve">           54.403,42</t>
  </si>
  <si>
    <t xml:space="preserve">            7.149,83</t>
  </si>
  <si>
    <t xml:space="preserve">           61.178,92</t>
  </si>
  <si>
    <t xml:space="preserve">           28.391,08</t>
  </si>
  <si>
    <t xml:space="preserve">           68.322,66</t>
  </si>
  <si>
    <t xml:space="preserve">           26.012,34</t>
  </si>
  <si>
    <t xml:space="preserve">           30.564,47</t>
  </si>
  <si>
    <t xml:space="preserve">          532.870,63</t>
  </si>
  <si>
    <t xml:space="preserve">           12.129,37</t>
  </si>
  <si>
    <t xml:space="preserve">           20.181,70</t>
  </si>
  <si>
    <t xml:space="preserve">              818,30</t>
  </si>
  <si>
    <t>357423631</t>
  </si>
  <si>
    <t>357426573</t>
  </si>
  <si>
    <t>357426583</t>
  </si>
  <si>
    <t>357426584</t>
  </si>
  <si>
    <t>357426586</t>
  </si>
  <si>
    <t>357426589</t>
  </si>
  <si>
    <t>357426591</t>
  </si>
  <si>
    <t>357426595</t>
  </si>
  <si>
    <t>357427647</t>
  </si>
  <si>
    <t>357427648</t>
  </si>
  <si>
    <t>357430037</t>
  </si>
  <si>
    <t>357430038</t>
  </si>
  <si>
    <t>604078279</t>
  </si>
  <si>
    <t>Cintoo Q2 Chargeout</t>
  </si>
  <si>
    <t>Service Oper Items</t>
  </si>
  <si>
    <t>604078304</t>
  </si>
  <si>
    <t>8242174726</t>
  </si>
  <si>
    <t>1510209460</t>
  </si>
  <si>
    <t>Ref. 2793-1 Recebimento Fatura Transferencia de co</t>
  </si>
  <si>
    <t>LUMINARIA EMERGENCIA HB90 100W/10W</t>
  </si>
  <si>
    <t>CC6615109</t>
  </si>
  <si>
    <t>EMERGENCY LIGHT DIM GTM IP20 277V G3</t>
  </si>
  <si>
    <t>1510209461</t>
  </si>
  <si>
    <t>Ref. 2793-1 Fatura Fornecedor Transferencia de con</t>
  </si>
  <si>
    <t>1510216803</t>
  </si>
  <si>
    <t xml:space="preserve">            4.435,47</t>
  </si>
  <si>
    <t xml:space="preserve">          276.694,11</t>
  </si>
  <si>
    <t xml:space="preserve">            4.260,89</t>
  </si>
  <si>
    <t xml:space="preserve">          144.595,36</t>
  </si>
  <si>
    <t>-1.525,36</t>
  </si>
  <si>
    <t xml:space="preserve">          174.498,60</t>
  </si>
  <si>
    <t xml:space="preserve">       16.827.475,64</t>
  </si>
  <si>
    <t xml:space="preserve">          981.155,91</t>
  </si>
  <si>
    <t xml:space="preserve">        1.034.463,25</t>
  </si>
  <si>
    <t xml:space="preserve">       18.843.094,80</t>
  </si>
  <si>
    <t xml:space="preserve">        5.491.267,21</t>
  </si>
  <si>
    <t xml:space="preserve">            8.846,96</t>
  </si>
  <si>
    <t xml:space="preserve">              229,09</t>
  </si>
  <si>
    <t xml:space="preserve">           53.313,75</t>
  </si>
  <si>
    <t xml:space="preserve">           46.686,25</t>
  </si>
  <si>
    <t xml:space="preserve">        4.818.306,59</t>
  </si>
  <si>
    <t xml:space="preserve">          857.610,83</t>
  </si>
  <si>
    <t xml:space="preserve">        1.034.234,16</t>
  </si>
  <si>
    <t xml:space="preserve">        6.710.151,58</t>
  </si>
  <si>
    <t>-886.328,58</t>
  </si>
  <si>
    <t xml:space="preserve">        1.421.795,53</t>
  </si>
  <si>
    <t xml:space="preserve">       12.620.148,04</t>
  </si>
  <si>
    <t xml:space="preserve">       18.479.851,96</t>
  </si>
  <si>
    <t xml:space="preserve">          908.999,35</t>
  </si>
  <si>
    <t xml:space="preserve">        5.991.926,28</t>
  </si>
  <si>
    <t xml:space="preserve">          708.073,72</t>
  </si>
  <si>
    <t xml:space="preserve">              140,70</t>
  </si>
  <si>
    <t xml:space="preserve">              735,34</t>
  </si>
  <si>
    <t xml:space="preserve">          102.314,13</t>
  </si>
  <si>
    <t xml:space="preserve">           60.904,33</t>
  </si>
  <si>
    <t xml:space="preserve">           30.584,33</t>
  </si>
  <si>
    <t xml:space="preserve">          190.309,24</t>
  </si>
  <si>
    <t xml:space="preserve">          273.340,53</t>
  </si>
  <si>
    <t xml:space="preserve">          463.649,77</t>
  </si>
  <si>
    <t xml:space="preserve">           45.633,23</t>
  </si>
  <si>
    <t xml:space="preserve">            1.214,14</t>
  </si>
  <si>
    <t xml:space="preserve">          191.509,06</t>
  </si>
  <si>
    <t xml:space="preserve">          192.723,20</t>
  </si>
  <si>
    <t xml:space="preserve">           13.031,80</t>
  </si>
  <si>
    <t xml:space="preserve">          179.491,25</t>
  </si>
  <si>
    <t xml:space="preserve">          118.808,51</t>
  </si>
  <si>
    <t xml:space="preserve">          298.299,76</t>
  </si>
  <si>
    <t xml:space="preserve">          211.901,24</t>
  </si>
  <si>
    <t xml:space="preserve">            1.214,15</t>
  </si>
  <si>
    <t xml:space="preserve">              554,71</t>
  </si>
  <si>
    <t xml:space="preserve">            1.768,86</t>
  </si>
  <si>
    <t xml:space="preserve">          105.486,14</t>
  </si>
  <si>
    <t xml:space="preserve">              756,85</t>
  </si>
  <si>
    <t xml:space="preserve">            1.040,70</t>
  </si>
  <si>
    <t xml:space="preserve">          141.320,81</t>
  </si>
  <si>
    <t xml:space="preserve">          142.361,51</t>
  </si>
  <si>
    <t xml:space="preserve">           12.893,49</t>
  </si>
  <si>
    <t xml:space="preserve">            2.119,58</t>
  </si>
  <si>
    <t xml:space="preserve">       12.571.882,07</t>
  </si>
  <si>
    <t xml:space="preserve">       20.809.738,93</t>
  </si>
  <si>
    <t xml:space="preserve">              367,70</t>
  </si>
  <si>
    <t xml:space="preserve">        3.999.632,30</t>
  </si>
  <si>
    <t xml:space="preserve">           18.160,22</t>
  </si>
  <si>
    <t xml:space="preserve">           37.242,33</t>
  </si>
  <si>
    <t xml:space="preserve">            7.757,67</t>
  </si>
  <si>
    <t>604086699</t>
  </si>
  <si>
    <t>604086701</t>
  </si>
  <si>
    <t>03/07 - linha de capital está finalizado.
Falta apenas algumas remoções na linhas de despesa. Scope Change em rota de aprovação
- Remocao de Driven antigo e remocao de tubulacao de resfriamento</t>
  </si>
  <si>
    <t>03/07 - Agendado reunião com o Finanças para definir como iremos seguir
 Em definição se será finalizado do jeito que está ou não.
Para o Fabiano é melhor finalizar o projeto com o que ja foi instalado (proteções). Os demais materiais podem ser transferidos para outros projetos. E então dar CLOSE no projeto.
Não fracassar o projeto. Fazer um Scope Change (Resp: Fabiano Oliveira) solicitando mudança de escopo (sem mudança de valores) e deixando apenas o que será abrangido por este projeto (proteção mecânica e corda de segurança), Porém não atenderá a norma vigente. Conforme informado pela Engenharia, não está contemplada a certificação NR-12 no escopo do projeto (Vide Carta Suporte).
O valor já faturado com a Piso X será transferido para a conta 4666 da fábrica (Direct Charge), com isso o valor de capital retornará para o projeto.
Obs: Verificar o valor que foi faturado com as empresas bloqueadas nesse projeto (Resp: Fabiano Oliveira – 30/08)</t>
  </si>
  <si>
    <t>1510270358</t>
  </si>
  <si>
    <t>Ref. 171818-1 Recebimento Fatura Transferencia de</t>
  </si>
  <si>
    <t>CAIXA COM BOTÃO DE PULSO COR PRETO</t>
  </si>
  <si>
    <t>CC7577060</t>
  </si>
  <si>
    <t>BOX WITH CLOCK COLOR BLACK BUTTON</t>
  </si>
  <si>
    <t>1510270359</t>
  </si>
  <si>
    <t>Ref. 171818-1 Fatura Fornecedor Transferencia de c</t>
  </si>
  <si>
    <t>1510270307</t>
  </si>
  <si>
    <t>Ref. 171624-1 Recebimento Fatura Transferencia de</t>
  </si>
  <si>
    <t>CABO DE AÇO COM CAPA 15 METROS</t>
  </si>
  <si>
    <t>CC0411255</t>
  </si>
  <si>
    <t>WIRE ROPE/ CABLE, W /CORE 15 METERS</t>
  </si>
  <si>
    <t>CABO ETHERNET 1585D-M4TBJM-10</t>
  </si>
  <si>
    <t>CC0401016</t>
  </si>
  <si>
    <t>ETHERNET CABLE 1585D-M4TBJM-10</t>
  </si>
  <si>
    <t>1510270308</t>
  </si>
  <si>
    <t>Ref. 171624-1 Fatura Fornecedor Transferencia de c</t>
  </si>
  <si>
    <t>1510270221</t>
  </si>
  <si>
    <t>Ref. 171821-1 Recebimento Fatura Transferencia de</t>
  </si>
  <si>
    <t>Scanner de segurança CIP SZ, SafeZone</t>
  </si>
  <si>
    <t>AM2411077</t>
  </si>
  <si>
    <t>SZ CIP Safety Scanner, SafeZone</t>
  </si>
  <si>
    <t>1510270222</t>
  </si>
  <si>
    <t>Ref. 171821-1 Fatura Fornecedor Transferencia de c</t>
  </si>
  <si>
    <t>1510270224</t>
  </si>
  <si>
    <t>Ref. 171652-1 Recebimento Fatura Transferencia de</t>
  </si>
  <si>
    <t>Acessório de bloco terminal 1492CJP210B</t>
  </si>
  <si>
    <t>AM2411102</t>
  </si>
  <si>
    <t>Terminal Block Accessory 1492CJP210B</t>
  </si>
  <si>
    <t>Bloco terminal, conexão 1492P6PD2E6RE</t>
  </si>
  <si>
    <t>AM2411104</t>
  </si>
  <si>
    <t>Terminal block, connection 1492P6PD2E6RE</t>
  </si>
  <si>
    <t>bloco terminal1492-CJP2-10-RE</t>
  </si>
  <si>
    <t>AM2411142</t>
  </si>
  <si>
    <t>Terminal Block Accessory 1492-CJP2-10-RE</t>
  </si>
  <si>
    <t>Módulo de liberação de escape, 442G-MAB,</t>
  </si>
  <si>
    <t>AM2411095</t>
  </si>
  <si>
    <t>Escape Release Module,442G-MAB,115mm Sha</t>
  </si>
  <si>
    <t>Placa de montagem, 442G-MAB, módulo de a</t>
  </si>
  <si>
    <t>AM2411097</t>
  </si>
  <si>
    <t>Mounting Plate,442G-MAB,Handle Module</t>
  </si>
  <si>
    <t>1510270225</t>
  </si>
  <si>
    <t>Ref. 171652-1 Fatura Fornecedor Transferencia de c</t>
  </si>
  <si>
    <t>1510270361</t>
  </si>
  <si>
    <t>Ref. 171804-1 Recebimento Fatura Transferencia de</t>
  </si>
  <si>
    <t>Suportes de montagem, cortina de luz de</t>
  </si>
  <si>
    <t>AM2411090</t>
  </si>
  <si>
    <t>Mounting brackets,Safety Light Curtain</t>
  </si>
  <si>
    <t>SafeZone EIP, suporte de montagem 4</t>
  </si>
  <si>
    <t>AM2411072</t>
  </si>
  <si>
    <t>SafeZone EIP, Mounting Bracket 4</t>
  </si>
  <si>
    <t>1510270362</t>
  </si>
  <si>
    <t>Ref. 171804-1 Fatura Fornecedor Transferencia de c</t>
  </si>
  <si>
    <t>1510270387</t>
  </si>
  <si>
    <t>Ref. 171837-1 Recebimento Fatura Transferencia de</t>
  </si>
  <si>
    <t>Scanner CIP SafeZone 442L-SZNCPMOD</t>
  </si>
  <si>
    <t>AM2411076</t>
  </si>
  <si>
    <t>442L-SZNCPMOD SafeZone CIP scanner</t>
  </si>
  <si>
    <t>1510270388</t>
  </si>
  <si>
    <t>Ref. 171837-1 Fatura Fornecedor Transferencia de c</t>
  </si>
  <si>
    <t>1510270380</t>
  </si>
  <si>
    <t>Ref. 171806-1 Recebimento Fatura Transferencia de</t>
  </si>
  <si>
    <t>1510270381</t>
  </si>
  <si>
    <t>Ref. 171806-1 Fatura Fornecedor Transferencia de c</t>
  </si>
  <si>
    <t>1510270214</t>
  </si>
  <si>
    <t>Ref. 171674-1 Recebimento Fatura Transferencia de</t>
  </si>
  <si>
    <t>1510270215</t>
  </si>
  <si>
    <t>Ref. 171674-1 Fatura Fornecedor Transferencia de c</t>
  </si>
  <si>
    <t>1510270364</t>
  </si>
  <si>
    <t>Ref. 171809-1 Recebimento Fatura Transferencia de</t>
  </si>
  <si>
    <t>1510270365</t>
  </si>
  <si>
    <t>Ref. 171809-1 Fatura Fornecedor Transferencia de c</t>
  </si>
  <si>
    <t>1510270211</t>
  </si>
  <si>
    <t>Ref. 171815-1 Recebimento Fatura Transferencia de</t>
  </si>
  <si>
    <t>ESTAÇÃO FERRO FUNDIDO 800T1TZ - AB</t>
  </si>
  <si>
    <t>AM1904055</t>
  </si>
  <si>
    <t>STAIN IRON 800T1TZ - AB</t>
  </si>
  <si>
    <t>1510270212</t>
  </si>
  <si>
    <t>Ref. 171815-1 Fatura Fornecedor Transferencia de c</t>
  </si>
  <si>
    <t>1510270227</t>
  </si>
  <si>
    <t>Ref. 171919-1 Recebimento Fatura Transferencia de</t>
  </si>
  <si>
    <t>BLOCO DE CONTATO AUXILIAR TIPO SHALLOW</t>
  </si>
  <si>
    <t>CC6350410</t>
  </si>
  <si>
    <t>BLOCK CONTACT</t>
  </si>
  <si>
    <t>1510270228</t>
  </si>
  <si>
    <t>Ref. 171919-1 Fatura Fornecedor Transferencia de c</t>
  </si>
  <si>
    <t xml:space="preserve">        1.078.042,52</t>
  </si>
  <si>
    <t xml:space="preserve">           66.529,02</t>
  </si>
  <si>
    <t xml:space="preserve">        1.144.695,18</t>
  </si>
  <si>
    <t xml:space="preserve">           99.808,42</t>
  </si>
  <si>
    <t xml:space="preserve">               72,81</t>
  </si>
  <si>
    <t xml:space="preserve">            1.550,19</t>
  </si>
  <si>
    <t xml:space="preserve">            1.623,00</t>
  </si>
  <si>
    <t xml:space="preserve">           16.377,00</t>
  </si>
  <si>
    <t xml:space="preserve">          115.428,56</t>
  </si>
  <si>
    <t xml:space="preserve">        1.042.036,18</t>
  </si>
  <si>
    <t xml:space="preserve">           32.774,42</t>
  </si>
  <si>
    <t xml:space="preserve">           49.802,05</t>
  </si>
  <si>
    <t xml:space="preserve">           75.280,94</t>
  </si>
  <si>
    <t>-45.844,80</t>
  </si>
  <si>
    <t xml:space="preserve">          111.722,35</t>
  </si>
  <si>
    <t xml:space="preserve">       23.268.929,92</t>
  </si>
  <si>
    <t xml:space="preserve">        3.421.070,08</t>
  </si>
  <si>
    <t xml:space="preserve">           35.558,65</t>
  </si>
  <si>
    <t xml:space="preserve">        5.252.920,49</t>
  </si>
  <si>
    <t>-5.252.920,49</t>
  </si>
  <si>
    <t xml:space="preserve">           52.618,99</t>
  </si>
  <si>
    <t xml:space="preserve">          515.923,29</t>
  </si>
  <si>
    <t xml:space="preserve">          330.384,51</t>
  </si>
  <si>
    <t xml:space="preserve">        2.271.838,66</t>
  </si>
  <si>
    <t xml:space="preserve">           94.327,76</t>
  </si>
  <si>
    <t xml:space="preserve">        2.390.068,53</t>
  </si>
  <si>
    <t xml:space="preserve">          373.931,47</t>
  </si>
  <si>
    <t xml:space="preserve">            1.104,80</t>
  </si>
  <si>
    <t xml:space="preserve">          119.334,67</t>
  </si>
  <si>
    <t xml:space="preserve">           75.665,33</t>
  </si>
  <si>
    <t xml:space="preserve">          368.186,27</t>
  </si>
  <si>
    <t xml:space="preserve">          170.585,87</t>
  </si>
  <si>
    <t xml:space="preserve">          700.165,14</t>
  </si>
  <si>
    <t xml:space="preserve">          715.444,15</t>
  </si>
  <si>
    <t xml:space="preserve">          265.982,67</t>
  </si>
  <si>
    <t xml:space="preserve">           61.967,35</t>
  </si>
  <si>
    <t xml:space="preserve">          390.513,29</t>
  </si>
  <si>
    <t xml:space="preserve">          259.505,75</t>
  </si>
  <si>
    <t xml:space="preserve">          302.558,10</t>
  </si>
  <si>
    <t xml:space="preserve">        1.112.327,75</t>
  </si>
  <si>
    <t xml:space="preserve">          139.158,25</t>
  </si>
  <si>
    <t xml:space="preserve">        1.088.111,00</t>
  </si>
  <si>
    <t>-353.709,00</t>
  </si>
  <si>
    <t xml:space="preserve">          317.410,85</t>
  </si>
  <si>
    <t xml:space="preserve">          244.343,81</t>
  </si>
  <si>
    <t xml:space="preserve">          576.773,54</t>
  </si>
  <si>
    <t xml:space="preserve">          264.809,46</t>
  </si>
  <si>
    <t xml:space="preserve">          250.548,54</t>
  </si>
  <si>
    <t xml:space="preserve">           50.919,64</t>
  </si>
  <si>
    <t xml:space="preserve">          316.487,06</t>
  </si>
  <si>
    <t xml:space="preserve">          109.203,94</t>
  </si>
  <si>
    <t xml:space="preserve">          190.771,90</t>
  </si>
  <si>
    <t xml:space="preserve">          244.566,72</t>
  </si>
  <si>
    <t xml:space="preserve">          436.095,47</t>
  </si>
  <si>
    <t xml:space="preserve">           95.784,53</t>
  </si>
  <si>
    <t xml:space="preserve">          147.723,23</t>
  </si>
  <si>
    <t xml:space="preserve">           17.161,20</t>
  </si>
  <si>
    <t xml:space="preserve">          165.641,28</t>
  </si>
  <si>
    <t xml:space="preserve">           71.483,72</t>
  </si>
  <si>
    <t xml:space="preserve">          309.711,00</t>
  </si>
  <si>
    <t xml:space="preserve">          254.339,85</t>
  </si>
  <si>
    <t xml:space="preserve">          571.155,90</t>
  </si>
  <si>
    <t xml:space="preserve">          269.918,10</t>
  </si>
  <si>
    <t xml:space="preserve">          242.848,69</t>
  </si>
  <si>
    <t xml:space="preserve">           59.431,40</t>
  </si>
  <si>
    <t xml:space="preserve">          309.385,14</t>
  </si>
  <si>
    <t xml:space="preserve">          120.614,86</t>
  </si>
  <si>
    <t xml:space="preserve">        1.055.461,82</t>
  </si>
  <si>
    <t xml:space="preserve">          414.538,18</t>
  </si>
  <si>
    <t xml:space="preserve">           10.226,60</t>
  </si>
  <si>
    <t xml:space="preserve">          133.773,40</t>
  </si>
  <si>
    <t xml:space="preserve">           79.204,30</t>
  </si>
  <si>
    <t xml:space="preserve">          122.316,36</t>
  </si>
  <si>
    <t xml:space="preserve">          235.640,36</t>
  </si>
  <si>
    <t xml:space="preserve">          252.359,64</t>
  </si>
  <si>
    <t xml:space="preserve">              545,62</t>
  </si>
  <si>
    <t xml:space="preserve">            3.323,46</t>
  </si>
  <si>
    <t xml:space="preserve">           20.847,78</t>
  </si>
  <si>
    <t xml:space="preserve">           11.425,98</t>
  </si>
  <si>
    <t xml:space="preserve">      176.300.898,85</t>
  </si>
  <si>
    <t xml:space="preserve">       25.813.372,32</t>
  </si>
  <si>
    <t xml:space="preserve">        8.877.156,68</t>
  </si>
  <si>
    <t xml:space="preserve">      210.992.980,26</t>
  </si>
  <si>
    <t xml:space="preserve">       92.199.077,93</t>
  </si>
  <si>
    <t>Current data (07.07.2025 08:14:06)</t>
  </si>
  <si>
    <t>26/05: SC 125663369 ja foi eliminada do SRM mas continua mostrando no SAP, JA aberto chamado para TI eliminar
Finalizado. Aguardando DOC 20</t>
  </si>
  <si>
    <t>Verificar com o Fabiano quando o material será entregue (Será só em Fevereiro de 2026??)</t>
  </si>
  <si>
    <t>01/07 - Time de manutenção irá instalar em Agosto 2025</t>
  </si>
  <si>
    <t>07/07: Ultima reunião sobre esse assunto foi em 10/06
 Em análise de viabilidade, pois inicialmente o projeto iria fracassar, mas agora vão reavaliar se mesmo a tempetaruta estando fora da especificação (norma) será suficiente. Para atingir a temperatura necessária requer um investimento muito maior.</t>
  </si>
  <si>
    <t>Realizado TECO em 07/07</t>
  </si>
  <si>
    <t>Q2 vs Q2</t>
  </si>
  <si>
    <t>Q3 vs Q3</t>
  </si>
  <si>
    <t>Q4 vs 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</si>
</sst>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quot;$&quot;* #,##0.00_);_(&quot;$&quot;* \(#,##0.00\);_(&quot;$&quot;* &quot;-&quot;??_);_(@_)"/>
    <numFmt numFmtId="165" formatCode="_(* #,##0.00_);_(* \(#,##0.00\);_(* &quot;-&quot;??_);_(@_)"/>
    <numFmt numFmtId="166" formatCode="_(&quot;R$ &quot;* #,##0.00_);_(&quot;R$ &quot;* \(#,##0.00\);_(&quot;R$ &quot;* &quot;-&quot;??_);_(@_)"/>
    <numFmt numFmtId="167" formatCode="_([$€-2]* #,##0.00_);_([$€-2]* \(#,##0.00\);_([$€-2]* &quot;-&quot;??_)"/>
    <numFmt numFmtId="168" formatCode="#,##0_ ;[Red]\-#,##0\ "/>
    <numFmt numFmtId="169" formatCode="[$$-409]#,##0"/>
    <numFmt numFmtId="170" formatCode="_(* #,##0.0_);_(* \(#,##0.0\);_(* &quot;-&quot;??_);_(@_)"/>
    <numFmt numFmtId="171" formatCode="#,##0.00_ ;[Red]\-#,##0.00\ "/>
    <numFmt numFmtId="172" formatCode="0.0%"/>
    <numFmt numFmtId="173" formatCode="_(* #,##0_);_(* \(#,##0\);_(* &quot;-&quot;??_);_(@_)"/>
    <numFmt numFmtId="174" formatCode="0.0"/>
    <numFmt numFmtId="175" formatCode="[$-416]mmm\-yy;@"/>
    <numFmt numFmtId="176" formatCode="#,##0.0_ ;[Red]\-#,##0.0\ "/>
    <numFmt numFmtId="177" formatCode="#,##0.0_);[Red]\(#,##0.0\)"/>
    <numFmt numFmtId="178" formatCode="#,##0.000000000000_);[Red]\(#,##0.000000000000\)"/>
    <numFmt numFmtId="179" formatCode="#,##0.000000_ ;[Red]\-#,##0.000000\ "/>
    <numFmt numFmtId="180" formatCode="_-* #,##0.0_-;\-* #,##0.0_-;_-* &quot;-&quot;?_-;_-@_-"/>
    <numFmt numFmtId="181" formatCode="_(* #,##0.000_);_(* \(#,##0.000\);_(* &quot;-&quot;??_);_(@_)"/>
    <numFmt numFmtId="182" formatCode="#,##0.00000_ ;[Red]\-#,##0.00000\ "/>
    <numFmt numFmtId="183" formatCode="#,##0.000_ ;[Red]\-#,##0.000\ "/>
    <numFmt numFmtId="184" formatCode="_-[$R$-416]\ * #,##0.00_-;\-[$R$-416]\ * #,##0.00_-;_-[$R$-416]\ * &quot;-&quot;??_-;_-@_-"/>
    <numFmt numFmtId="185" formatCode="_-[$$-409]* #,##0.0_ ;_-[$$-409]* \-#,##0.0\ ;_-[$$-409]* &quot;-&quot;??_ ;_-@_ "/>
    <numFmt numFmtId="186" formatCode="#,##0.000"/>
    <numFmt numFmtId="187" formatCode="mmmm\,\ yyyy;@"/>
    <numFmt numFmtId="188" formatCode="#,##0.0"/>
  </numFmts>
  <fonts count="69">
    <font>
      <sz val="11"/>
      <color theme="1"/>
      <name val="Calibri"/>
      <family val="2"/>
      <scheme val="minor"/>
    </font>
    <font>
      <sz val="11"/>
      <color theme="1"/>
      <name val="Calibri"/>
      <family val="2"/>
      <scheme val="minor"/>
    </font>
    <font>
      <sz val="10"/>
      <name val="Arial"/>
      <family val="2"/>
    </font>
    <font>
      <sz val="10"/>
      <name val="Verdana"/>
      <family val="2"/>
    </font>
    <font>
      <sz val="10"/>
      <name val="Arial"/>
      <family val="2"/>
    </font>
    <font>
      <sz val="12"/>
      <name val="Tahoma"/>
      <family val="2"/>
    </font>
    <font>
      <sz val="10"/>
      <color theme="1"/>
      <name val="Calibri"/>
      <family val="2"/>
      <scheme val="minor"/>
    </font>
    <font>
      <sz val="10"/>
      <color rgb="FF000000"/>
      <name val="Calibri"/>
      <family val="2"/>
      <scheme val="minor"/>
    </font>
    <font>
      <b/>
      <sz val="10"/>
      <color rgb="FF000000"/>
      <name val="Calibri"/>
      <family val="2"/>
      <scheme val="minor"/>
    </font>
    <font>
      <b/>
      <sz val="10"/>
      <color theme="1"/>
      <name val="Calibri"/>
      <family val="2"/>
      <scheme val="minor"/>
    </font>
    <font>
      <b/>
      <i/>
      <sz val="30"/>
      <color theme="1"/>
      <name val="Calibri"/>
      <family val="2"/>
      <scheme val="minor"/>
    </font>
    <font>
      <b/>
      <sz val="40"/>
      <color theme="1"/>
      <name val="Calibri"/>
      <family val="2"/>
      <scheme val="minor"/>
    </font>
    <font>
      <b/>
      <sz val="10"/>
      <name val="Calibri"/>
      <family val="2"/>
      <scheme val="minor"/>
    </font>
    <font>
      <b/>
      <i/>
      <sz val="33"/>
      <color theme="1"/>
      <name val="Calibri"/>
      <family val="2"/>
      <scheme val="minor"/>
    </font>
    <font>
      <sz val="10"/>
      <name val="Arial"/>
      <family val="2"/>
    </font>
    <font>
      <sz val="10"/>
      <name val="Calibri"/>
      <family val="2"/>
      <scheme val="minor"/>
    </font>
    <font>
      <b/>
      <sz val="14"/>
      <name val="Calibri"/>
      <family val="2"/>
      <scheme val="minor"/>
    </font>
    <font>
      <b/>
      <sz val="12"/>
      <color rgb="FF0000FF"/>
      <name val="Calibri"/>
      <family val="2"/>
      <scheme val="minor"/>
    </font>
    <font>
      <b/>
      <u/>
      <sz val="12"/>
      <color theme="1"/>
      <name val="Calibri"/>
      <family val="2"/>
      <scheme val="minor"/>
    </font>
    <font>
      <b/>
      <sz val="10"/>
      <color theme="0"/>
      <name val="Calibri"/>
      <family val="2"/>
      <scheme val="minor"/>
    </font>
    <font>
      <b/>
      <sz val="11"/>
      <name val="Calibri"/>
      <family val="2"/>
      <scheme val="minor"/>
    </font>
    <font>
      <b/>
      <i/>
      <sz val="12"/>
      <color theme="1"/>
      <name val="Calibri"/>
      <family val="2"/>
      <scheme val="minor"/>
    </font>
    <font>
      <sz val="8"/>
      <color theme="1"/>
      <name val="Wingdings"/>
      <charset val="2"/>
    </font>
    <font>
      <sz val="36"/>
      <color theme="1"/>
      <name val="Franklin Gothic Heavy"/>
      <family val="2"/>
    </font>
    <font>
      <b/>
      <sz val="14"/>
      <color theme="1"/>
      <name val="Calibri"/>
      <family val="2"/>
      <scheme val="minor"/>
    </font>
    <font>
      <b/>
      <sz val="36"/>
      <color theme="0"/>
      <name val="Calibri"/>
      <family val="2"/>
      <scheme val="minor"/>
    </font>
    <font>
      <sz val="8"/>
      <name val="Calibri"/>
      <family val="2"/>
      <scheme val="minor"/>
    </font>
    <font>
      <b/>
      <sz val="11"/>
      <color theme="0"/>
      <name val="Calibri"/>
      <family val="2"/>
      <scheme val="minor"/>
    </font>
    <font>
      <sz val="18"/>
      <color theme="1"/>
      <name val="Franklin Gothic Heavy"/>
      <family val="2"/>
    </font>
    <font>
      <b/>
      <sz val="12"/>
      <name val="Calibri"/>
      <family val="2"/>
      <scheme val="minor"/>
    </font>
    <font>
      <b/>
      <sz val="12"/>
      <color theme="0"/>
      <name val="Calibri"/>
      <family val="2"/>
      <scheme val="minor"/>
    </font>
    <font>
      <b/>
      <sz val="20"/>
      <color theme="1"/>
      <name val="Calibri"/>
      <family val="2"/>
      <scheme val="minor"/>
    </font>
    <font>
      <b/>
      <sz val="16"/>
      <color theme="1"/>
      <name val="Calibri"/>
      <family val="2"/>
      <scheme val="minor"/>
    </font>
    <font>
      <sz val="28"/>
      <color theme="1"/>
      <name val="Franklin Gothic Heavy"/>
      <family val="2"/>
    </font>
    <font>
      <sz val="24"/>
      <color theme="0"/>
      <name val="Calibri"/>
      <family val="2"/>
      <scheme val="minor"/>
    </font>
    <font>
      <sz val="11"/>
      <color theme="4"/>
      <name val="Calibri"/>
      <family val="2"/>
      <scheme val="minor"/>
    </font>
    <font>
      <sz val="11"/>
      <name val="Calibri"/>
      <family val="2"/>
      <scheme val="minor"/>
    </font>
    <font>
      <b/>
      <sz val="11"/>
      <color theme="1"/>
      <name val="Calibri"/>
      <family val="2"/>
      <scheme val="minor"/>
    </font>
    <font>
      <sz val="11"/>
      <color theme="0"/>
      <name val="Calibri"/>
      <family val="2"/>
      <scheme val="minor"/>
    </font>
    <font>
      <b/>
      <sz val="14"/>
      <color theme="0"/>
      <name val="Calibri"/>
      <family val="2"/>
      <scheme val="minor"/>
    </font>
    <font>
      <b/>
      <sz val="18"/>
      <color theme="0"/>
      <name val="Calibri"/>
      <family val="2"/>
      <scheme val="minor"/>
    </font>
    <font>
      <sz val="10"/>
      <color rgb="FFFF0000"/>
      <name val="Calibri"/>
      <family val="2"/>
      <scheme val="minor"/>
    </font>
    <font>
      <sz val="26"/>
      <color theme="1"/>
      <name val="Franklin Gothic Heavy"/>
      <family val="2"/>
    </font>
    <font>
      <sz val="20"/>
      <color theme="1"/>
      <name val="Franklin Gothic Heavy"/>
      <family val="2"/>
    </font>
    <font>
      <sz val="24"/>
      <color theme="1"/>
      <name val="Franklin Gothic Heavy"/>
      <family val="2"/>
    </font>
    <font>
      <sz val="11"/>
      <color rgb="FF000000"/>
      <name val="Calibri"/>
      <family val="2"/>
      <scheme val="minor"/>
    </font>
    <font>
      <b/>
      <sz val="10"/>
      <color rgb="FF0000FF"/>
      <name val="Calibri"/>
      <family val="2"/>
      <scheme val="minor"/>
    </font>
    <font>
      <b/>
      <sz val="12"/>
      <color theme="1"/>
      <name val="Calibri"/>
      <family val="2"/>
      <scheme val="minor"/>
    </font>
    <font>
      <b/>
      <sz val="20"/>
      <color theme="0"/>
      <name val="Calibri"/>
      <family val="2"/>
      <scheme val="minor"/>
    </font>
    <font>
      <sz val="11"/>
      <color theme="3" tint="0.59999389629810485"/>
      <name val="Calibri"/>
      <family val="2"/>
      <scheme val="minor"/>
    </font>
    <font>
      <sz val="11"/>
      <color rgb="FF00CC66"/>
      <name val="Calibri"/>
      <family val="2"/>
      <scheme val="minor"/>
    </font>
    <font>
      <b/>
      <sz val="18"/>
      <color theme="1"/>
      <name val="Calibri"/>
      <family val="2"/>
      <scheme val="minor"/>
    </font>
    <font>
      <sz val="11"/>
      <color theme="7" tint="0.39997558519241921"/>
      <name val="Calibri"/>
      <family val="2"/>
      <scheme val="minor"/>
    </font>
    <font>
      <b/>
      <sz val="10"/>
      <color theme="1" tint="4.9989318521683403E-2"/>
      <name val="Calibri"/>
      <family val="2"/>
      <scheme val="minor"/>
    </font>
    <font>
      <b/>
      <sz val="12"/>
      <color theme="1" tint="4.9989318521683403E-2"/>
      <name val="Calibri"/>
      <family val="2"/>
      <scheme val="minor"/>
    </font>
    <font>
      <b/>
      <sz val="10"/>
      <name val="Calibri"/>
      <family val="2"/>
    </font>
    <font>
      <sz val="10"/>
      <color rgb="FF000000"/>
      <name val="Calibri"/>
      <family val="2"/>
    </font>
    <font>
      <sz val="11"/>
      <color theme="1"/>
      <name val="Calibri"/>
      <family val="2"/>
    </font>
    <font>
      <sz val="10"/>
      <color theme="0"/>
      <name val="Calibri"/>
      <family val="2"/>
      <scheme val="minor"/>
    </font>
    <font>
      <sz val="11"/>
      <color indexed="8"/>
      <name val="Calibri"/>
      <family val="2"/>
      <scheme val="minor"/>
    </font>
    <font>
      <sz val="10"/>
      <name val="Arial"/>
      <family val="2"/>
    </font>
    <font>
      <sz val="11"/>
      <color theme="1"/>
      <name val="Cambria"/>
      <family val="2"/>
      <scheme val="major"/>
    </font>
    <font>
      <b/>
      <sz val="10"/>
      <color theme="0"/>
      <name val="Calibri"/>
      <family val="2"/>
    </font>
    <font>
      <sz val="11"/>
      <color theme="1"/>
      <name val="Franklin Gothic Heavy"/>
      <family val="2"/>
    </font>
    <font>
      <sz val="22"/>
      <color rgb="FF0070C0"/>
      <name val="Wingfoot Sans"/>
      <family val="2"/>
    </font>
    <font>
      <b/>
      <sz val="40"/>
      <name val="Calibri"/>
      <family val="2"/>
      <scheme val="minor"/>
    </font>
    <font>
      <sz val="22"/>
      <name val="Wingfoot Sans"/>
      <family val="2"/>
    </font>
    <font>
      <sz val="11"/>
      <name val="Arial"/>
      <family val="2"/>
    </font>
    <font>
      <sz val="10"/>
      <color rgb="FF000000"/>
      <name val="Barlow"/>
    </font>
  </fonts>
  <fills count="67">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FF00"/>
        <bgColor indexed="64"/>
      </patternFill>
    </fill>
    <fill>
      <patternFill patternType="solid">
        <fgColor rgb="FF00CC66"/>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3"/>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499984740745262"/>
        <bgColor indexed="64"/>
      </patternFill>
    </fill>
    <fill>
      <patternFill patternType="solid">
        <fgColor theme="8" tint="-0.249977111117893"/>
        <bgColor indexed="64"/>
      </patternFill>
    </fill>
    <fill>
      <patternFill patternType="solid">
        <fgColor rgb="FF92D050"/>
        <bgColor indexed="64"/>
      </patternFill>
    </fill>
    <fill>
      <patternFill patternType="solid">
        <fgColor theme="3" tint="0.39997558519241921"/>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4" tint="-0.499984740745262"/>
        <bgColor indexed="64"/>
      </patternFill>
    </fill>
    <fill>
      <patternFill patternType="solid">
        <fgColor theme="3" tint="-0.249977111117893"/>
        <bgColor indexed="64"/>
      </patternFill>
    </fill>
    <fill>
      <patternFill patternType="solid">
        <fgColor theme="0" tint="-4.9989318521683403E-2"/>
        <bgColor indexed="64"/>
      </patternFill>
    </fill>
    <fill>
      <patternFill patternType="solid">
        <fgColor theme="4"/>
        <bgColor indexed="64"/>
      </patternFill>
    </fill>
    <fill>
      <patternFill patternType="solid">
        <fgColor theme="6" tint="0.79998168889431442"/>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rgb="FF00CC00"/>
        <bgColor indexed="64"/>
      </patternFill>
    </fill>
    <fill>
      <patternFill patternType="solid">
        <fgColor theme="6" tint="-0.249977111117893"/>
        <bgColor indexed="64"/>
      </patternFill>
    </fill>
    <fill>
      <patternFill patternType="solid">
        <fgColor theme="6"/>
        <bgColor indexed="64"/>
      </patternFill>
    </fill>
    <fill>
      <patternFill patternType="solid">
        <fgColor theme="5" tint="0.59999389629810485"/>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9"/>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rgb="FFB8CCE4"/>
        <bgColor rgb="FF000000"/>
      </patternFill>
    </fill>
    <fill>
      <patternFill patternType="solid">
        <fgColor rgb="FFF2F2F2"/>
        <bgColor rgb="FF000000"/>
      </patternFill>
    </fill>
    <fill>
      <patternFill patternType="solid">
        <fgColor rgb="FFFFFFFF"/>
        <bgColor rgb="FF000000"/>
      </patternFill>
    </fill>
    <fill>
      <patternFill patternType="solid">
        <fgColor theme="0"/>
        <bgColor rgb="FF000000"/>
      </patternFill>
    </fill>
    <fill>
      <patternFill patternType="solid">
        <fgColor theme="6" tint="-0.499984740745262"/>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6" tint="0.39997558519241921"/>
        <bgColor rgb="FF000000"/>
      </patternFill>
    </fill>
    <fill>
      <patternFill patternType="solid">
        <fgColor indexed="22"/>
        <bgColor indexed="64"/>
      </patternFill>
    </fill>
    <fill>
      <patternFill patternType="solid">
        <fgColor indexed="13"/>
        <bgColor indexed="64"/>
      </patternFill>
    </fill>
    <fill>
      <patternFill patternType="solid">
        <fgColor rgb="FF00B050"/>
        <bgColor indexed="64"/>
      </patternFill>
    </fill>
    <fill>
      <patternFill patternType="solid">
        <fgColor rgb="FFC00000"/>
        <bgColor indexed="64"/>
      </patternFill>
    </fill>
    <fill>
      <patternFill patternType="solid">
        <fgColor rgb="FFA4F8C0"/>
        <bgColor indexed="64"/>
      </patternFill>
    </fill>
    <fill>
      <patternFill patternType="solid">
        <fgColor theme="3" tint="0.59999389629810485"/>
        <bgColor rgb="FF000000"/>
      </patternFill>
    </fill>
    <fill>
      <patternFill patternType="solid">
        <fgColor theme="8" tint="-0.499984740745262"/>
        <bgColor indexed="64"/>
      </patternFill>
    </fill>
    <fill>
      <patternFill patternType="solid">
        <fgColor theme="3" tint="-0.249977111117893"/>
        <bgColor rgb="FF000000"/>
      </patternFill>
    </fill>
    <fill>
      <patternFill patternType="solid">
        <fgColor rgb="FFA9FB8F"/>
        <bgColor indexed="64"/>
      </patternFill>
    </fill>
    <fill>
      <patternFill patternType="solid">
        <fgColor theme="3" tint="-0.499984740745262"/>
        <bgColor indexed="64"/>
      </patternFill>
    </fill>
    <fill>
      <patternFill patternType="solid">
        <fgColor rgb="FFFFC000"/>
        <bgColor indexed="64"/>
      </patternFill>
    </fill>
    <fill>
      <patternFill patternType="solid">
        <fgColor rgb="FF48F711"/>
        <bgColor indexed="64"/>
      </patternFill>
    </fill>
    <fill>
      <patternFill patternType="solid">
        <fgColor theme="9" tint="0.79998168889431442"/>
        <bgColor indexed="64"/>
      </patternFill>
    </fill>
    <fill>
      <patternFill patternType="solid">
        <fgColor rgb="FFFF5D9F"/>
        <bgColor indexed="64"/>
      </patternFill>
    </fill>
    <fill>
      <patternFill patternType="solid">
        <fgColor rgb="FFFFFF99"/>
        <bgColor indexed="64"/>
      </patternFill>
    </fill>
  </fills>
  <borders count="62">
    <border>
      <left/>
      <right/>
      <top/>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right/>
      <top style="thin">
        <color indexed="64"/>
      </top>
      <bottom style="thin">
        <color indexed="64"/>
      </bottom>
      <diagonal/>
    </border>
    <border>
      <left style="medium">
        <color theme="0" tint="-0.499984740745262"/>
      </left>
      <right style="medium">
        <color theme="0" tint="-0.499984740745262"/>
      </right>
      <top style="hair">
        <color theme="0" tint="-0.499984740745262"/>
      </top>
      <bottom style="hair">
        <color theme="0" tint="-0.499984740745262"/>
      </bottom>
      <diagonal/>
    </border>
    <border>
      <left style="medium">
        <color theme="0" tint="-0.499984740745262"/>
      </left>
      <right style="medium">
        <color theme="0" tint="-0.499984740745262"/>
      </right>
      <top style="hair">
        <color theme="0" tint="-0.499984740745262"/>
      </top>
      <bottom style="medium">
        <color theme="0" tint="-0.499984740745262"/>
      </bottom>
      <diagonal/>
    </border>
    <border>
      <left style="medium">
        <color theme="0" tint="-0.499984740745262"/>
      </left>
      <right style="medium">
        <color theme="0" tint="-0.499984740745262"/>
      </right>
      <top/>
      <bottom style="hair">
        <color theme="0" tint="-0.499984740745262"/>
      </bottom>
      <diagonal/>
    </border>
    <border>
      <left/>
      <right/>
      <top/>
      <bottom style="thick">
        <color auto="1"/>
      </bottom>
      <diagonal/>
    </border>
    <border>
      <left/>
      <right/>
      <top style="thick">
        <color auto="1"/>
      </top>
      <bottom style="double">
        <color auto="1"/>
      </bottom>
      <diagonal/>
    </border>
    <border>
      <left style="medium">
        <color theme="0" tint="-0.499984740745262"/>
      </left>
      <right style="medium">
        <color theme="0" tint="-0.499984740745262"/>
      </right>
      <top style="hair">
        <color theme="0" tint="-0.499984740745262"/>
      </top>
      <bottom/>
      <diagonal/>
    </border>
    <border>
      <left style="medium">
        <color theme="0" tint="-0.499984740745262"/>
      </left>
      <right style="medium">
        <color theme="0" tint="-0.499984740745262"/>
      </right>
      <top/>
      <bottom style="medium">
        <color theme="0" tint="-0.499984740745262"/>
      </bottom>
      <diagonal/>
    </border>
    <border>
      <left/>
      <right/>
      <top style="thick">
        <color auto="1"/>
      </top>
      <bottom/>
      <diagonal/>
    </border>
    <border>
      <left/>
      <right/>
      <top/>
      <bottom style="medium">
        <color theme="0" tint="-0.499984740745262"/>
      </bottom>
      <diagonal/>
    </border>
    <border>
      <left style="thin">
        <color indexed="64"/>
      </left>
      <right style="thin">
        <color indexed="64"/>
      </right>
      <top style="thin">
        <color indexed="64"/>
      </top>
      <bottom style="thin">
        <color indexed="64"/>
      </bottom>
      <diagonal/>
    </border>
    <border>
      <left style="medium">
        <color theme="0" tint="-0.499984740745262"/>
      </left>
      <right/>
      <top/>
      <bottom style="medium">
        <color theme="0" tint="-0.499984740745262"/>
      </bottom>
      <diagonal/>
    </border>
    <border>
      <left/>
      <right style="medium">
        <color theme="0" tint="-0.499984740745262"/>
      </right>
      <top/>
      <bottom style="medium">
        <color theme="0" tint="-0.499984740745262"/>
      </bottom>
      <diagonal/>
    </border>
    <border>
      <left style="medium">
        <color theme="0" tint="-0.499984740745262"/>
      </left>
      <right/>
      <top style="hair">
        <color theme="0" tint="-0.499984740745262"/>
      </top>
      <bottom style="hair">
        <color theme="0" tint="-0.499984740745262"/>
      </bottom>
      <diagonal/>
    </border>
    <border>
      <left style="medium">
        <color theme="0" tint="-0.499984740745262"/>
      </left>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
      <left/>
      <right/>
      <top style="hair">
        <color auto="1"/>
      </top>
      <bottom style="hair">
        <color auto="1"/>
      </bottom>
      <diagonal/>
    </border>
    <border>
      <left/>
      <right/>
      <top style="hair">
        <color auto="1"/>
      </top>
      <bottom style="thin">
        <color indexed="64"/>
      </bottom>
      <diagonal/>
    </border>
    <border>
      <left style="medium">
        <color theme="0" tint="-0.499984740745262"/>
      </left>
      <right style="medium">
        <color theme="0" tint="-0.499984740745262"/>
      </right>
      <top/>
      <bottom/>
      <diagonal/>
    </border>
    <border>
      <left/>
      <right/>
      <top/>
      <bottom style="thin">
        <color indexed="64"/>
      </bottom>
      <diagonal/>
    </border>
    <border>
      <left style="thick">
        <color rgb="FFFF0000"/>
      </left>
      <right style="thick">
        <color rgb="FFFF0000"/>
      </right>
      <top style="thick">
        <color rgb="FFFF0000"/>
      </top>
      <bottom style="thick">
        <color rgb="FFFF0000"/>
      </bottom>
      <diagonal/>
    </border>
    <border>
      <left style="medium">
        <color theme="0" tint="-0.499984740745262"/>
      </left>
      <right style="medium">
        <color theme="0" tint="-0.499984740745262"/>
      </right>
      <top style="medium">
        <color theme="0" tint="-0.499984740745262"/>
      </top>
      <bottom/>
      <diagonal/>
    </border>
    <border>
      <left style="medium">
        <color theme="0" tint="-0.499984740745262"/>
      </left>
      <right/>
      <top style="medium">
        <color theme="0" tint="-0.499984740745262"/>
      </top>
      <bottom/>
      <diagonal/>
    </border>
    <border>
      <left/>
      <right/>
      <top style="medium">
        <color theme="0" tint="-0.499984740745262"/>
      </top>
      <bottom/>
      <diagonal/>
    </border>
    <border>
      <left style="medium">
        <color indexed="64"/>
      </left>
      <right style="medium">
        <color indexed="64"/>
      </right>
      <top style="hair">
        <color indexed="64"/>
      </top>
      <bottom style="hair">
        <color indexed="64"/>
      </bottom>
      <diagonal/>
    </border>
    <border>
      <left/>
      <right style="medium">
        <color theme="0" tint="-0.499984740745262"/>
      </right>
      <top style="medium">
        <color theme="0" tint="-0.499984740745262"/>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theme="0" tint="-0.499984740745262"/>
      </top>
      <bottom style="medium">
        <color theme="0" tint="-0.499984740745262"/>
      </bottom>
      <diagonal/>
    </border>
    <border>
      <left style="medium">
        <color rgb="FF808080"/>
      </left>
      <right style="medium">
        <color rgb="FF808080"/>
      </right>
      <top style="medium">
        <color rgb="FF808080"/>
      </top>
      <bottom style="medium">
        <color rgb="FF808080"/>
      </bottom>
      <diagonal/>
    </border>
    <border>
      <left style="medium">
        <color rgb="FF808080"/>
      </left>
      <right style="medium">
        <color rgb="FF808080"/>
      </right>
      <top style="hair">
        <color rgb="FF808080"/>
      </top>
      <bottom style="hair">
        <color rgb="FF808080"/>
      </bottom>
      <diagonal/>
    </border>
    <border>
      <left style="medium">
        <color rgb="FF808080"/>
      </left>
      <right style="medium">
        <color rgb="FF808080"/>
      </right>
      <top style="hair">
        <color rgb="FF808080"/>
      </top>
      <bottom/>
      <diagonal/>
    </border>
    <border>
      <left style="medium">
        <color theme="0" tint="-0.499984740745262"/>
      </left>
      <right style="medium">
        <color theme="0" tint="-0.499984740745262"/>
      </right>
      <top style="medium">
        <color theme="0" tint="-0.499984740745262"/>
      </top>
      <bottom style="hair">
        <color theme="0" tint="-0.499984740745262"/>
      </bottom>
      <diagonal/>
    </border>
    <border>
      <left/>
      <right style="medium">
        <color theme="0" tint="-0.499984740745262"/>
      </right>
      <top style="hair">
        <color theme="0" tint="-0.499984740745262"/>
      </top>
      <bottom style="hair">
        <color theme="0" tint="-0.499984740745262"/>
      </bottom>
      <diagonal/>
    </border>
    <border>
      <left style="thick">
        <color auto="1"/>
      </left>
      <right style="medium">
        <color theme="0" tint="-0.499984740745262"/>
      </right>
      <top style="thick">
        <color auto="1"/>
      </top>
      <bottom style="medium">
        <color theme="0" tint="-0.499984740745262"/>
      </bottom>
      <diagonal/>
    </border>
    <border>
      <left style="medium">
        <color theme="0" tint="-0.499984740745262"/>
      </left>
      <right style="medium">
        <color theme="0" tint="-0.499984740745262"/>
      </right>
      <top style="thick">
        <color auto="1"/>
      </top>
      <bottom style="medium">
        <color theme="0" tint="-0.499984740745262"/>
      </bottom>
      <diagonal/>
    </border>
    <border>
      <left style="medium">
        <color theme="0" tint="-0.499984740745262"/>
      </left>
      <right style="thick">
        <color auto="1"/>
      </right>
      <top style="thick">
        <color auto="1"/>
      </top>
      <bottom style="medium">
        <color theme="0" tint="-0.499984740745262"/>
      </bottom>
      <diagonal/>
    </border>
    <border>
      <left style="thick">
        <color auto="1"/>
      </left>
      <right style="medium">
        <color theme="0" tint="-0.499984740745262"/>
      </right>
      <top style="hair">
        <color theme="0" tint="-0.499984740745262"/>
      </top>
      <bottom style="hair">
        <color theme="0" tint="-0.499984740745262"/>
      </bottom>
      <diagonal/>
    </border>
    <border>
      <left style="medium">
        <color theme="0" tint="-0.499984740745262"/>
      </left>
      <right style="thick">
        <color auto="1"/>
      </right>
      <top style="hair">
        <color theme="0" tint="-0.499984740745262"/>
      </top>
      <bottom style="hair">
        <color theme="0" tint="-0.499984740745262"/>
      </bottom>
      <diagonal/>
    </border>
    <border>
      <left/>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medium">
        <color rgb="FF808080"/>
      </left>
      <right style="medium">
        <color rgb="FF808080"/>
      </right>
      <top/>
      <bottom style="hair">
        <color rgb="FF808080"/>
      </bottom>
      <diagonal/>
    </border>
    <border>
      <left style="thick">
        <color theme="0" tint="-0.499984740745262"/>
      </left>
      <right style="thick">
        <color theme="0" tint="-0.499984740745262"/>
      </right>
      <top style="thick">
        <color theme="0" tint="-0.499984740745262"/>
      </top>
      <bottom style="thick">
        <color theme="0" tint="-0.499984740745262"/>
      </bottom>
      <diagonal/>
    </border>
    <border>
      <left style="thick">
        <color auto="1"/>
      </left>
      <right style="medium">
        <color theme="0" tint="-0.499984740745262"/>
      </right>
      <top/>
      <bottom style="hair">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theme="0" tint="-0.499984740745262"/>
      </right>
      <top style="thin">
        <color theme="0" tint="-0.499984740745262"/>
      </top>
      <bottom style="hair">
        <color theme="0" tint="-0.499984740745262"/>
      </bottom>
      <diagonal/>
    </border>
    <border>
      <left style="thin">
        <color theme="0" tint="-0.499984740745262"/>
      </left>
      <right style="thin">
        <color theme="0" tint="-0.499984740745262"/>
      </right>
      <top style="thin">
        <color theme="0" tint="-0.499984740745262"/>
      </top>
      <bottom style="hair">
        <color theme="0" tint="-0.499984740745262"/>
      </bottom>
      <diagonal/>
    </border>
    <border>
      <left style="thin">
        <color theme="0" tint="-0.499984740745262"/>
      </left>
      <right style="thin">
        <color indexed="64"/>
      </right>
      <top style="thin">
        <color theme="0" tint="-0.499984740745262"/>
      </top>
      <bottom style="hair">
        <color theme="0" tint="-0.499984740745262"/>
      </bottom>
      <diagonal/>
    </border>
    <border>
      <left style="thin">
        <color indexed="64"/>
      </left>
      <right style="thin">
        <color theme="0" tint="-0.499984740745262"/>
      </right>
      <top style="hair">
        <color theme="0" tint="-0.499984740745262"/>
      </top>
      <bottom style="hair">
        <color theme="0" tint="-0.499984740745262"/>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thin">
        <color theme="0" tint="-0.499984740745262"/>
      </left>
      <right style="thin">
        <color indexed="64"/>
      </right>
      <top style="hair">
        <color theme="0" tint="-0.499984740745262"/>
      </top>
      <bottom style="hair">
        <color theme="0" tint="-0.499984740745262"/>
      </bottom>
      <diagonal/>
    </border>
    <border>
      <left style="thin">
        <color indexed="64"/>
      </left>
      <right style="thin">
        <color theme="0" tint="-0.499984740745262"/>
      </right>
      <top style="hair">
        <color theme="0" tint="-0.499984740745262"/>
      </top>
      <bottom style="thin">
        <color indexed="64"/>
      </bottom>
      <diagonal/>
    </border>
    <border>
      <left style="thin">
        <color theme="0" tint="-0.499984740745262"/>
      </left>
      <right style="thin">
        <color theme="0" tint="-0.499984740745262"/>
      </right>
      <top style="hair">
        <color theme="0" tint="-0.499984740745262"/>
      </top>
      <bottom style="thin">
        <color indexed="64"/>
      </bottom>
      <diagonal/>
    </border>
    <border>
      <left style="thin">
        <color theme="0" tint="-0.499984740745262"/>
      </left>
      <right style="thin">
        <color indexed="64"/>
      </right>
      <top style="hair">
        <color theme="0" tint="-0.499984740745262"/>
      </top>
      <bottom style="thin">
        <color indexed="64"/>
      </bottom>
      <diagonal/>
    </border>
    <border>
      <left style="thin">
        <color indexed="64"/>
      </left>
      <right style="thin">
        <color indexed="64"/>
      </right>
      <top style="hair">
        <color indexed="64"/>
      </top>
      <bottom style="thin">
        <color indexed="64"/>
      </bottom>
      <diagonal/>
    </border>
    <border>
      <left/>
      <right/>
      <top style="hair">
        <color theme="0" tint="-0.499984740745262"/>
      </top>
      <bottom style="hair">
        <color theme="0" tint="-0.499984740745262"/>
      </bottom>
      <diagonal/>
    </border>
    <border>
      <left style="medium">
        <color theme="0" tint="-0.499984740745262"/>
      </left>
      <right/>
      <top/>
      <bottom style="hair">
        <color theme="0" tint="-0.499984740745262"/>
      </bottom>
      <diagonal/>
    </border>
    <border>
      <left style="medium">
        <color rgb="FF808080"/>
      </left>
      <right style="medium">
        <color theme="0" tint="-0.499984740745262"/>
      </right>
      <top style="medium">
        <color rgb="FF808080"/>
      </top>
      <bottom style="medium">
        <color rgb="FF808080"/>
      </bottom>
      <diagonal/>
    </border>
  </borders>
  <cellStyleXfs count="24">
    <xf numFmtId="0" fontId="0" fillId="0" borderId="0"/>
    <xf numFmtId="166" fontId="1" fillId="0" borderId="0" applyFont="0" applyFill="0" applyBorder="0" applyAlignment="0" applyProtection="0"/>
    <xf numFmtId="0" fontId="2" fillId="0" borderId="0"/>
    <xf numFmtId="167" fontId="3" fillId="0" borderId="0" applyFont="0" applyFill="0" applyBorder="0" applyAlignment="0" applyProtection="0"/>
    <xf numFmtId="0" fontId="4" fillId="0" borderId="0"/>
    <xf numFmtId="0" fontId="5" fillId="0" borderId="0"/>
    <xf numFmtId="0" fontId="4" fillId="0" borderId="0"/>
    <xf numFmtId="0" fontId="14" fillId="0" borderId="0"/>
    <xf numFmtId="165" fontId="1" fillId="0" borderId="0" applyFon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2"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6" fontId="1" fillId="0" borderId="0" applyFont="0" applyFill="0" applyBorder="0" applyAlignment="0" applyProtection="0"/>
    <xf numFmtId="0" fontId="59" fillId="0" borderId="0"/>
    <xf numFmtId="43" fontId="59" fillId="0" borderId="0" applyFont="0" applyFill="0" applyBorder="0" applyAlignment="0" applyProtection="0"/>
    <xf numFmtId="9" fontId="59" fillId="0" borderId="0" applyFont="0" applyFill="0" applyBorder="0" applyAlignment="0" applyProtection="0"/>
    <xf numFmtId="0" fontId="60" fillId="0" borderId="0"/>
  </cellStyleXfs>
  <cellXfs count="621">
    <xf numFmtId="0" fontId="0" fillId="0" borderId="0" xfId="0"/>
    <xf numFmtId="0" fontId="12" fillId="4" borderId="1"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7" fillId="2" borderId="3" xfId="0" applyFont="1" applyFill="1" applyBorder="1" applyAlignment="1">
      <alignment horizontal="center" vertical="center" wrapText="1"/>
    </xf>
    <xf numFmtId="14" fontId="7" fillId="2" borderId="3" xfId="1" applyNumberFormat="1" applyFont="1" applyFill="1" applyBorder="1" applyAlignment="1">
      <alignment horizontal="center" vertical="center" wrapText="1"/>
    </xf>
    <xf numFmtId="14" fontId="7" fillId="2" borderId="3" xfId="0" applyNumberFormat="1"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3" xfId="0" applyFont="1" applyFill="1" applyBorder="1" applyAlignment="1">
      <alignment horizontal="left" vertical="center" wrapText="1"/>
    </xf>
    <xf numFmtId="0" fontId="7" fillId="2" borderId="3" xfId="0" applyFont="1" applyFill="1" applyBorder="1" applyAlignment="1">
      <alignment vertical="center" wrapText="1"/>
    </xf>
    <xf numFmtId="0" fontId="8" fillId="6" borderId="3" xfId="0" applyFont="1" applyFill="1" applyBorder="1" applyAlignment="1">
      <alignment horizontal="center" vertical="center" wrapText="1"/>
    </xf>
    <xf numFmtId="0" fontId="7" fillId="2" borderId="3" xfId="0" applyFont="1" applyFill="1" applyBorder="1" applyAlignment="1">
      <alignment horizontal="left" vertical="center" wrapText="1"/>
    </xf>
    <xf numFmtId="0" fontId="7" fillId="2" borderId="4" xfId="0" applyFont="1" applyFill="1" applyBorder="1" applyAlignment="1">
      <alignment horizontal="center" vertical="center" wrapText="1"/>
    </xf>
    <xf numFmtId="0" fontId="7" fillId="2" borderId="4" xfId="0" applyFont="1" applyFill="1" applyBorder="1" applyAlignment="1">
      <alignment vertical="center" wrapText="1"/>
    </xf>
    <xf numFmtId="14" fontId="7" fillId="2" borderId="5" xfId="0" applyNumberFormat="1" applyFont="1" applyFill="1" applyBorder="1" applyAlignment="1">
      <alignment horizontal="center" vertical="center" wrapText="1"/>
    </xf>
    <xf numFmtId="0" fontId="12" fillId="5" borderId="1" xfId="0" applyFont="1" applyFill="1" applyBorder="1" applyAlignment="1">
      <alignment horizontal="center" vertical="center" wrapText="1"/>
    </xf>
    <xf numFmtId="168" fontId="7" fillId="2" borderId="3" xfId="1" applyNumberFormat="1" applyFont="1" applyFill="1" applyBorder="1" applyAlignment="1">
      <alignment horizontal="center" vertical="center" wrapText="1"/>
    </xf>
    <xf numFmtId="0" fontId="11" fillId="3" borderId="0" xfId="0" applyFont="1" applyFill="1" applyAlignment="1">
      <alignment horizontal="center" vertical="center"/>
    </xf>
    <xf numFmtId="0" fontId="20" fillId="3" borderId="0" xfId="0" applyFont="1" applyFill="1" applyAlignment="1">
      <alignment horizontal="center" vertical="center"/>
    </xf>
    <xf numFmtId="0" fontId="19" fillId="3" borderId="0" xfId="0" applyFont="1" applyFill="1" applyAlignment="1">
      <alignment horizontal="center" vertical="center"/>
    </xf>
    <xf numFmtId="0" fontId="12" fillId="3" borderId="0" xfId="0" applyFont="1" applyFill="1" applyAlignment="1">
      <alignment horizontal="center" vertical="center"/>
    </xf>
    <xf numFmtId="14" fontId="21"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0" fontId="13" fillId="3" borderId="0" xfId="0" applyFont="1" applyFill="1" applyAlignment="1">
      <alignment vertical="center"/>
    </xf>
    <xf numFmtId="0" fontId="6" fillId="3" borderId="0" xfId="0" applyFont="1" applyFill="1" applyAlignment="1">
      <alignment horizontal="center" vertical="center"/>
    </xf>
    <xf numFmtId="0" fontId="13" fillId="3" borderId="0" xfId="0" applyFont="1" applyFill="1" applyAlignment="1">
      <alignment horizontal="center" vertical="center"/>
    </xf>
    <xf numFmtId="0" fontId="18" fillId="3" borderId="0" xfId="0" applyFont="1" applyFill="1" applyAlignment="1">
      <alignment horizontal="right" vertical="center"/>
    </xf>
    <xf numFmtId="14" fontId="17" fillId="3" borderId="0" xfId="0" applyNumberFormat="1" applyFont="1" applyFill="1" applyAlignment="1">
      <alignment horizontal="left" vertical="center"/>
    </xf>
    <xf numFmtId="0" fontId="10" fillId="3" borderId="0" xfId="0" applyFont="1" applyFill="1" applyAlignment="1">
      <alignment horizontal="center" vertical="center"/>
    </xf>
    <xf numFmtId="0" fontId="16" fillId="3" borderId="0" xfId="0" applyFont="1" applyFill="1" applyAlignment="1">
      <alignment horizontal="center" vertical="center"/>
    </xf>
    <xf numFmtId="168" fontId="16" fillId="3" borderId="0" xfId="0" applyNumberFormat="1" applyFont="1" applyFill="1" applyAlignment="1">
      <alignment horizontal="center" vertical="center"/>
    </xf>
    <xf numFmtId="0" fontId="9" fillId="3" borderId="0" xfId="0" applyFont="1" applyFill="1" applyAlignment="1">
      <alignment horizontal="center" vertical="center"/>
    </xf>
    <xf numFmtId="0" fontId="15" fillId="3" borderId="0" xfId="0" applyFont="1" applyFill="1" applyAlignment="1">
      <alignment horizontal="center" vertical="center"/>
    </xf>
    <xf numFmtId="0" fontId="15" fillId="3" borderId="0" xfId="0" applyFont="1" applyFill="1" applyAlignment="1">
      <alignment vertical="center"/>
    </xf>
    <xf numFmtId="169" fontId="15" fillId="3" borderId="0" xfId="0" applyNumberFormat="1" applyFont="1" applyFill="1" applyAlignment="1">
      <alignment horizontal="center" vertical="center"/>
    </xf>
    <xf numFmtId="168" fontId="15" fillId="3" borderId="0" xfId="0" applyNumberFormat="1" applyFont="1" applyFill="1" applyAlignment="1">
      <alignment horizontal="center" vertical="center"/>
    </xf>
    <xf numFmtId="0" fontId="22" fillId="3" borderId="7" xfId="0" applyFont="1" applyFill="1" applyBorder="1" applyAlignment="1">
      <alignment vertical="center"/>
    </xf>
    <xf numFmtId="0" fontId="22" fillId="3" borderId="0" xfId="0" applyFont="1" applyFill="1" applyAlignment="1">
      <alignment vertical="center"/>
    </xf>
    <xf numFmtId="0" fontId="23" fillId="3" borderId="6" xfId="0" applyFont="1" applyFill="1" applyBorder="1" applyAlignment="1">
      <alignment vertical="center"/>
    </xf>
    <xf numFmtId="170" fontId="8" fillId="2" borderId="3" xfId="15" applyNumberFormat="1" applyFont="1" applyFill="1" applyBorder="1" applyAlignment="1">
      <alignment horizontal="center" vertical="center" wrapText="1"/>
    </xf>
    <xf numFmtId="170" fontId="8" fillId="2" borderId="3" xfId="15" applyNumberFormat="1" applyFont="1" applyFill="1" applyBorder="1" applyAlignment="1">
      <alignment horizontal="center" vertical="center"/>
    </xf>
    <xf numFmtId="0" fontId="12" fillId="7" borderId="1" xfId="0" applyFont="1" applyFill="1" applyBorder="1" applyAlignment="1">
      <alignment horizontal="center" vertical="center" wrapText="1"/>
    </xf>
    <xf numFmtId="0" fontId="7" fillId="2" borderId="8" xfId="0" applyFont="1" applyFill="1" applyBorder="1" applyAlignment="1">
      <alignment horizontal="center" vertical="center" wrapText="1"/>
    </xf>
    <xf numFmtId="14" fontId="7" fillId="2" borderId="8" xfId="1" applyNumberFormat="1" applyFont="1" applyFill="1" applyBorder="1" applyAlignment="1">
      <alignment horizontal="center" vertical="center" wrapText="1"/>
    </xf>
    <xf numFmtId="14" fontId="7" fillId="2" borderId="8" xfId="0" applyNumberFormat="1" applyFont="1" applyFill="1" applyBorder="1" applyAlignment="1">
      <alignment horizontal="center" vertical="center" wrapText="1"/>
    </xf>
    <xf numFmtId="0" fontId="7" fillId="2" borderId="8" xfId="0" applyFont="1" applyFill="1" applyBorder="1" applyAlignment="1">
      <alignment vertical="center" wrapText="1"/>
    </xf>
    <xf numFmtId="0" fontId="8" fillId="2" borderId="8" xfId="0" applyFont="1" applyFill="1" applyBorder="1" applyAlignment="1">
      <alignment horizontal="center" vertical="center" wrapText="1"/>
    </xf>
    <xf numFmtId="0" fontId="8" fillId="2" borderId="8" xfId="0" applyFont="1" applyFill="1" applyBorder="1" applyAlignment="1">
      <alignment horizontal="left" vertical="center" wrapText="1"/>
    </xf>
    <xf numFmtId="170" fontId="8" fillId="2" borderId="8" xfId="15" applyNumberFormat="1" applyFont="1" applyFill="1" applyBorder="1" applyAlignment="1">
      <alignment horizontal="center" vertical="center" wrapText="1"/>
    </xf>
    <xf numFmtId="0" fontId="7" fillId="2" borderId="5" xfId="0" applyFont="1" applyFill="1" applyBorder="1" applyAlignment="1">
      <alignment horizontal="center" vertical="center" wrapText="1"/>
    </xf>
    <xf numFmtId="168" fontId="20" fillId="3" borderId="2" xfId="0" applyNumberFormat="1" applyFont="1" applyFill="1" applyBorder="1" applyAlignment="1">
      <alignment horizontal="center" vertical="center"/>
    </xf>
    <xf numFmtId="0" fontId="19" fillId="9" borderId="1" xfId="0" applyFont="1" applyFill="1" applyBorder="1" applyAlignment="1">
      <alignment horizontal="center" vertical="center" wrapText="1"/>
    </xf>
    <xf numFmtId="168" fontId="6" fillId="3" borderId="0" xfId="0" applyNumberFormat="1" applyFont="1" applyFill="1" applyAlignment="1">
      <alignment horizontal="center" vertical="center"/>
    </xf>
    <xf numFmtId="0" fontId="15" fillId="2" borderId="3" xfId="0" applyFont="1" applyFill="1" applyBorder="1" applyAlignment="1">
      <alignment horizontal="center" vertical="center" wrapText="1"/>
    </xf>
    <xf numFmtId="169" fontId="16" fillId="3" borderId="0" xfId="0" applyNumberFormat="1" applyFont="1" applyFill="1" applyAlignment="1">
      <alignment horizontal="center" vertical="center"/>
    </xf>
    <xf numFmtId="171" fontId="16" fillId="3" borderId="0" xfId="0" applyNumberFormat="1" applyFont="1" applyFill="1" applyAlignment="1">
      <alignment horizontal="center" vertical="center"/>
    </xf>
    <xf numFmtId="0" fontId="19" fillId="14" borderId="1" xfId="0" applyFont="1" applyFill="1" applyBorder="1" applyAlignment="1">
      <alignment horizontal="center" vertical="center" wrapText="1"/>
    </xf>
    <xf numFmtId="170" fontId="8" fillId="8" borderId="3" xfId="0" applyNumberFormat="1" applyFont="1" applyFill="1" applyBorder="1" applyAlignment="1">
      <alignment horizontal="center" vertical="center" wrapText="1"/>
    </xf>
    <xf numFmtId="170" fontId="8" fillId="8" borderId="8" xfId="0" applyNumberFormat="1" applyFont="1" applyFill="1" applyBorder="1" applyAlignment="1">
      <alignment horizontal="center" vertical="center" wrapText="1"/>
    </xf>
    <xf numFmtId="0" fontId="23" fillId="3" borderId="0" xfId="0" applyFont="1" applyFill="1" applyAlignment="1">
      <alignment vertical="center"/>
    </xf>
    <xf numFmtId="0" fontId="22" fillId="3" borderId="10" xfId="0" applyFont="1" applyFill="1" applyBorder="1" applyAlignment="1">
      <alignment vertical="center"/>
    </xf>
    <xf numFmtId="168" fontId="6" fillId="16" borderId="0" xfId="0" applyNumberFormat="1" applyFont="1" applyFill="1" applyAlignment="1">
      <alignment horizontal="center" vertical="center"/>
    </xf>
    <xf numFmtId="0" fontId="0" fillId="0" borderId="0" xfId="0" applyAlignment="1">
      <alignment horizontal="center"/>
    </xf>
    <xf numFmtId="174" fontId="20" fillId="3" borderId="0" xfId="0" applyNumberFormat="1" applyFont="1" applyFill="1" applyAlignment="1">
      <alignment horizontal="center" vertical="center"/>
    </xf>
    <xf numFmtId="173" fontId="12" fillId="7" borderId="3" xfId="1" applyNumberFormat="1" applyFont="1" applyFill="1" applyBorder="1" applyAlignment="1">
      <alignment horizontal="center" vertical="center" wrapText="1"/>
    </xf>
    <xf numFmtId="173" fontId="12" fillId="7" borderId="4" xfId="1" applyNumberFormat="1" applyFont="1" applyFill="1" applyBorder="1" applyAlignment="1">
      <alignment horizontal="center" vertical="center" wrapText="1"/>
    </xf>
    <xf numFmtId="0" fontId="19" fillId="18" borderId="1" xfId="0" applyFont="1" applyFill="1" applyBorder="1" applyAlignment="1">
      <alignment horizontal="center" vertical="center" wrapText="1"/>
    </xf>
    <xf numFmtId="173" fontId="12" fillId="11" borderId="3" xfId="1" applyNumberFormat="1" applyFont="1" applyFill="1" applyBorder="1" applyAlignment="1">
      <alignment horizontal="center" vertical="center" wrapText="1"/>
    </xf>
    <xf numFmtId="173" fontId="12" fillId="11" borderId="4" xfId="1" applyNumberFormat="1" applyFont="1" applyFill="1" applyBorder="1" applyAlignment="1">
      <alignment horizontal="center" vertical="center" wrapText="1"/>
    </xf>
    <xf numFmtId="0" fontId="0" fillId="5" borderId="0" xfId="0" applyFill="1"/>
    <xf numFmtId="173" fontId="12" fillId="5" borderId="3" xfId="1" applyNumberFormat="1" applyFont="1" applyFill="1" applyBorder="1" applyAlignment="1">
      <alignment horizontal="center" vertical="center" wrapText="1"/>
    </xf>
    <xf numFmtId="9" fontId="0" fillId="0" borderId="0" xfId="16" applyFont="1"/>
    <xf numFmtId="0" fontId="0" fillId="3" borderId="0" xfId="0" applyFill="1"/>
    <xf numFmtId="0" fontId="0" fillId="3" borderId="0" xfId="0" applyFill="1" applyAlignment="1">
      <alignment horizontal="center"/>
    </xf>
    <xf numFmtId="173" fontId="0" fillId="3" borderId="0" xfId="0" applyNumberFormat="1" applyFill="1" applyAlignment="1">
      <alignment horizontal="center"/>
    </xf>
    <xf numFmtId="173" fontId="12" fillId="15" borderId="3" xfId="1" applyNumberFormat="1" applyFont="1" applyFill="1" applyBorder="1" applyAlignment="1">
      <alignment horizontal="center" vertical="center" wrapText="1"/>
    </xf>
    <xf numFmtId="173" fontId="12" fillId="15" borderId="4" xfId="1" applyNumberFormat="1" applyFont="1" applyFill="1" applyBorder="1" applyAlignment="1">
      <alignment horizontal="center" vertical="center" wrapText="1"/>
    </xf>
    <xf numFmtId="0" fontId="19" fillId="9" borderId="1" xfId="0" applyFont="1" applyFill="1" applyBorder="1" applyAlignment="1">
      <alignment horizontal="left" vertical="center" wrapText="1"/>
    </xf>
    <xf numFmtId="173" fontId="12" fillId="12" borderId="3" xfId="1" applyNumberFormat="1" applyFont="1" applyFill="1" applyBorder="1" applyAlignment="1">
      <alignment horizontal="center" vertical="center" wrapText="1"/>
    </xf>
    <xf numFmtId="173" fontId="12" fillId="12" borderId="4" xfId="1" applyNumberFormat="1" applyFont="1" applyFill="1" applyBorder="1" applyAlignment="1">
      <alignment horizontal="center" vertical="center" wrapText="1"/>
    </xf>
    <xf numFmtId="0" fontId="12" fillId="2" borderId="1" xfId="0" applyFont="1" applyFill="1" applyBorder="1" applyAlignment="1">
      <alignment horizontal="center" vertical="center" wrapText="1"/>
    </xf>
    <xf numFmtId="173" fontId="12" fillId="2" borderId="3" xfId="1" applyNumberFormat="1" applyFont="1" applyFill="1" applyBorder="1" applyAlignment="1">
      <alignment horizontal="center" vertical="center" wrapText="1"/>
    </xf>
    <xf numFmtId="173" fontId="12" fillId="2" borderId="4" xfId="1" applyNumberFormat="1" applyFont="1" applyFill="1" applyBorder="1" applyAlignment="1">
      <alignment horizontal="center" vertical="center" wrapText="1"/>
    </xf>
    <xf numFmtId="173" fontId="24" fillId="5" borderId="0" xfId="0" applyNumberFormat="1" applyFont="1" applyFill="1" applyAlignment="1">
      <alignment horizontal="center"/>
    </xf>
    <xf numFmtId="0" fontId="8" fillId="0" borderId="3" xfId="0" applyFont="1" applyBorder="1" applyAlignment="1">
      <alignment horizontal="center" vertical="center" wrapText="1"/>
    </xf>
    <xf numFmtId="14" fontId="7" fillId="0" borderId="3" xfId="0" applyNumberFormat="1" applyFont="1" applyBorder="1" applyAlignment="1">
      <alignment horizontal="center" vertical="center" wrapText="1"/>
    </xf>
    <xf numFmtId="0" fontId="7" fillId="0" borderId="3" xfId="0" applyFont="1" applyBorder="1" applyAlignment="1">
      <alignment horizontal="center" vertical="center" wrapText="1"/>
    </xf>
    <xf numFmtId="0" fontId="7" fillId="0" borderId="8" xfId="0" applyFont="1" applyBorder="1" applyAlignment="1">
      <alignment horizontal="center" vertical="center" wrapText="1"/>
    </xf>
    <xf numFmtId="0" fontId="7" fillId="0" borderId="8" xfId="0" applyFont="1" applyBorder="1" applyAlignment="1">
      <alignment vertical="center" wrapText="1"/>
    </xf>
    <xf numFmtId="170" fontId="19" fillId="19" borderId="3" xfId="0" applyNumberFormat="1" applyFont="1" applyFill="1" applyBorder="1" applyAlignment="1">
      <alignment horizontal="center" vertical="center" wrapText="1"/>
    </xf>
    <xf numFmtId="0" fontId="30" fillId="9" borderId="9" xfId="0" applyFont="1" applyFill="1" applyBorder="1" applyAlignment="1">
      <alignment horizontal="center" vertical="center" wrapText="1"/>
    </xf>
    <xf numFmtId="169" fontId="30" fillId="19" borderId="1" xfId="0" applyNumberFormat="1" applyFont="1" applyFill="1" applyBorder="1" applyAlignment="1">
      <alignment horizontal="center" vertical="center" wrapText="1"/>
    </xf>
    <xf numFmtId="0" fontId="30" fillId="19" borderId="1" xfId="0" applyFont="1" applyFill="1" applyBorder="1" applyAlignment="1">
      <alignment horizontal="center" vertical="center" wrapText="1"/>
    </xf>
    <xf numFmtId="169" fontId="29" fillId="5" borderId="1" xfId="0" applyNumberFormat="1" applyFont="1" applyFill="1" applyBorder="1" applyAlignment="1">
      <alignment horizontal="center" vertical="center" wrapText="1"/>
    </xf>
    <xf numFmtId="0" fontId="27" fillId="9" borderId="0" xfId="0" applyFont="1" applyFill="1" applyAlignment="1">
      <alignment horizontal="center"/>
    </xf>
    <xf numFmtId="168" fontId="0" fillId="0" borderId="0" xfId="0" applyNumberFormat="1" applyAlignment="1">
      <alignment horizontal="center"/>
    </xf>
    <xf numFmtId="175" fontId="0" fillId="0" borderId="0" xfId="0" applyNumberFormat="1" applyAlignment="1">
      <alignment horizontal="center"/>
    </xf>
    <xf numFmtId="0" fontId="35" fillId="0" borderId="0" xfId="0" applyFont="1" applyAlignment="1">
      <alignment horizontal="center"/>
    </xf>
    <xf numFmtId="170" fontId="8" fillId="5" borderId="3" xfId="15" applyNumberFormat="1" applyFont="1" applyFill="1" applyBorder="1" applyAlignment="1">
      <alignment horizontal="center" vertical="center" wrapText="1"/>
    </xf>
    <xf numFmtId="0" fontId="0" fillId="9" borderId="2" xfId="0" applyFill="1" applyBorder="1" applyAlignment="1">
      <alignment horizontal="center"/>
    </xf>
    <xf numFmtId="0" fontId="27" fillId="9" borderId="2" xfId="0" applyFont="1" applyFill="1" applyBorder="1" applyAlignment="1">
      <alignment horizontal="center"/>
    </xf>
    <xf numFmtId="168" fontId="27" fillId="9" borderId="2" xfId="0" applyNumberFormat="1" applyFont="1" applyFill="1" applyBorder="1" applyAlignment="1">
      <alignment horizontal="center"/>
    </xf>
    <xf numFmtId="0" fontId="0" fillId="0" borderId="18" xfId="0" applyBorder="1" applyAlignment="1">
      <alignment horizontal="center"/>
    </xf>
    <xf numFmtId="168" fontId="0" fillId="0" borderId="18" xfId="0" applyNumberFormat="1" applyBorder="1" applyAlignment="1">
      <alignment horizontal="center"/>
    </xf>
    <xf numFmtId="175" fontId="0" fillId="0" borderId="18" xfId="0" applyNumberFormat="1" applyBorder="1" applyAlignment="1">
      <alignment horizontal="center"/>
    </xf>
    <xf numFmtId="0" fontId="35" fillId="0" borderId="18" xfId="0" applyFont="1" applyBorder="1" applyAlignment="1">
      <alignment horizontal="center"/>
    </xf>
    <xf numFmtId="0" fontId="36" fillId="0" borderId="18" xfId="0" applyFont="1" applyBorder="1" applyAlignment="1">
      <alignment horizontal="center"/>
    </xf>
    <xf numFmtId="0" fontId="35" fillId="0" borderId="19" xfId="0" applyFont="1" applyBorder="1" applyAlignment="1">
      <alignment horizontal="center"/>
    </xf>
    <xf numFmtId="0" fontId="0" fillId="0" borderId="19" xfId="0" applyBorder="1" applyAlignment="1">
      <alignment horizontal="center"/>
    </xf>
    <xf numFmtId="168" fontId="0" fillId="0" borderId="19" xfId="0" applyNumberFormat="1" applyBorder="1" applyAlignment="1">
      <alignment horizontal="center"/>
    </xf>
    <xf numFmtId="175" fontId="0" fillId="0" borderId="19" xfId="0" applyNumberFormat="1" applyBorder="1" applyAlignment="1">
      <alignment horizontal="center"/>
    </xf>
    <xf numFmtId="0" fontId="0" fillId="0" borderId="0" xfId="0" applyAlignment="1">
      <alignment horizontal="center" vertical="center"/>
    </xf>
    <xf numFmtId="14" fontId="7" fillId="2" borderId="20" xfId="0" applyNumberFormat="1" applyFont="1" applyFill="1" applyBorder="1" applyAlignment="1">
      <alignment horizontal="center" vertical="center" wrapText="1"/>
    </xf>
    <xf numFmtId="168" fontId="0" fillId="0" borderId="0" xfId="0" applyNumberFormat="1"/>
    <xf numFmtId="0" fontId="37" fillId="0" borderId="0" xfId="0" applyFont="1"/>
    <xf numFmtId="0" fontId="37" fillId="5" borderId="0" xfId="0" applyFont="1" applyFill="1"/>
    <xf numFmtId="0" fontId="37" fillId="0" borderId="2" xfId="0" applyFont="1" applyBorder="1"/>
    <xf numFmtId="0" fontId="0" fillId="0" borderId="0" xfId="0" applyAlignment="1">
      <alignment horizontal="right"/>
    </xf>
    <xf numFmtId="176" fontId="0" fillId="0" borderId="0" xfId="0" applyNumberFormat="1"/>
    <xf numFmtId="0" fontId="6" fillId="3" borderId="0" xfId="0" applyFont="1" applyFill="1" applyAlignment="1">
      <alignment horizontal="center" vertical="center" wrapText="1"/>
    </xf>
    <xf numFmtId="0" fontId="8" fillId="0" borderId="3" xfId="0" applyFont="1" applyBorder="1" applyAlignment="1">
      <alignment horizontal="left" vertical="center" wrapText="1"/>
    </xf>
    <xf numFmtId="14" fontId="17" fillId="3" borderId="0" xfId="0" applyNumberFormat="1" applyFont="1" applyFill="1" applyAlignment="1">
      <alignment horizontal="center" vertical="center"/>
    </xf>
    <xf numFmtId="168" fontId="6" fillId="17" borderId="0" xfId="0" applyNumberFormat="1" applyFont="1" applyFill="1" applyAlignment="1">
      <alignment horizontal="center" vertical="center"/>
    </xf>
    <xf numFmtId="14" fontId="7" fillId="0" borderId="8" xfId="0" applyNumberFormat="1" applyFont="1" applyBorder="1" applyAlignment="1">
      <alignment horizontal="center" vertical="center" wrapText="1"/>
    </xf>
    <xf numFmtId="0" fontId="7" fillId="0" borderId="3" xfId="0" applyFont="1" applyBorder="1" applyAlignment="1">
      <alignment vertical="center" wrapText="1"/>
    </xf>
    <xf numFmtId="0" fontId="15" fillId="3" borderId="0" xfId="0" applyFont="1" applyFill="1" applyAlignment="1">
      <alignment horizontal="center" vertical="center" wrapText="1"/>
    </xf>
    <xf numFmtId="0" fontId="8" fillId="0" borderId="8" xfId="0"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vertical="center"/>
    </xf>
    <xf numFmtId="1" fontId="0" fillId="0" borderId="0" xfId="0" applyNumberFormat="1" applyAlignment="1">
      <alignment horizontal="center" vertical="center"/>
    </xf>
    <xf numFmtId="172" fontId="0" fillId="0" borderId="0" xfId="0" applyNumberFormat="1" applyAlignment="1">
      <alignment horizontal="center" vertical="center"/>
    </xf>
    <xf numFmtId="9" fontId="0" fillId="0" borderId="0" xfId="0" applyNumberFormat="1" applyAlignment="1">
      <alignment horizontal="center" vertical="center"/>
    </xf>
    <xf numFmtId="0" fontId="38" fillId="24" borderId="0" xfId="0" applyFont="1" applyFill="1" applyAlignment="1">
      <alignment horizontal="center" vertical="center"/>
    </xf>
    <xf numFmtId="176" fontId="36" fillId="0" borderId="0" xfId="0" applyNumberFormat="1" applyFont="1" applyAlignment="1">
      <alignment horizontal="center" vertical="center"/>
    </xf>
    <xf numFmtId="0" fontId="0" fillId="4" borderId="0" xfId="0" applyFill="1" applyAlignment="1">
      <alignment horizontal="center" vertical="center"/>
    </xf>
    <xf numFmtId="176" fontId="0" fillId="4" borderId="0" xfId="0" applyNumberFormat="1" applyFill="1" applyAlignment="1">
      <alignment horizontal="center" vertical="center"/>
    </xf>
    <xf numFmtId="0" fontId="0" fillId="26" borderId="0" xfId="0" applyFill="1" applyAlignment="1">
      <alignment horizontal="center" vertical="center"/>
    </xf>
    <xf numFmtId="176" fontId="36" fillId="12" borderId="12" xfId="0" applyNumberFormat="1" applyFont="1" applyFill="1" applyBorder="1" applyAlignment="1">
      <alignment horizontal="center" vertical="center"/>
    </xf>
    <xf numFmtId="9" fontId="0" fillId="12" borderId="12" xfId="16" applyFont="1" applyFill="1" applyBorder="1" applyAlignment="1">
      <alignment horizontal="center" vertical="center"/>
    </xf>
    <xf numFmtId="0" fontId="0" fillId="0" borderId="0" xfId="0" quotePrefix="1" applyAlignment="1">
      <alignment horizontal="center" vertical="center"/>
    </xf>
    <xf numFmtId="176" fontId="36" fillId="3" borderId="21" xfId="0" applyNumberFormat="1" applyFont="1" applyFill="1" applyBorder="1" applyAlignment="1">
      <alignment horizontal="center" vertical="center"/>
    </xf>
    <xf numFmtId="176" fontId="38" fillId="14" borderId="21" xfId="0" applyNumberFormat="1" applyFont="1" applyFill="1" applyBorder="1" applyAlignment="1">
      <alignment horizontal="center" vertical="center"/>
    </xf>
    <xf numFmtId="176" fontId="0" fillId="0" borderId="0" xfId="0" applyNumberFormat="1" applyAlignment="1">
      <alignment horizontal="center" vertical="center"/>
    </xf>
    <xf numFmtId="168" fontId="12" fillId="26" borderId="3" xfId="1" applyNumberFormat="1" applyFont="1" applyFill="1" applyBorder="1" applyAlignment="1">
      <alignment horizontal="center" vertical="center" wrapText="1"/>
    </xf>
    <xf numFmtId="176" fontId="36" fillId="12" borderId="22" xfId="0" applyNumberFormat="1" applyFont="1" applyFill="1" applyBorder="1" applyAlignment="1">
      <alignment horizontal="center" vertical="center"/>
    </xf>
    <xf numFmtId="0" fontId="37" fillId="0" borderId="0" xfId="0" applyFont="1" applyAlignment="1">
      <alignment horizontal="center" vertical="center"/>
    </xf>
    <xf numFmtId="177" fontId="0" fillId="0" borderId="0" xfId="0" applyNumberFormat="1"/>
    <xf numFmtId="178" fontId="0" fillId="0" borderId="0" xfId="0" applyNumberFormat="1"/>
    <xf numFmtId="176" fontId="36" fillId="5" borderId="0" xfId="0" applyNumberFormat="1" applyFont="1" applyFill="1" applyAlignment="1">
      <alignment horizontal="center" vertical="center"/>
    </xf>
    <xf numFmtId="0" fontId="0" fillId="0" borderId="0" xfId="0" applyAlignment="1">
      <alignment horizontal="left" vertical="center"/>
    </xf>
    <xf numFmtId="176" fontId="36" fillId="20" borderId="0" xfId="0" quotePrefix="1" applyNumberFormat="1" applyFont="1" applyFill="1" applyAlignment="1">
      <alignment horizontal="center" vertical="center"/>
    </xf>
    <xf numFmtId="0" fontId="0" fillId="31" borderId="0" xfId="0" applyFill="1" applyAlignment="1">
      <alignment horizontal="left" vertical="center"/>
    </xf>
    <xf numFmtId="0" fontId="7" fillId="0" borderId="3" xfId="0" applyFont="1" applyBorder="1" applyAlignment="1">
      <alignment horizontal="left" vertical="center" wrapText="1"/>
    </xf>
    <xf numFmtId="0" fontId="7" fillId="0" borderId="8" xfId="0" applyFont="1" applyBorder="1" applyAlignment="1">
      <alignment horizontal="left" vertical="center" wrapText="1"/>
    </xf>
    <xf numFmtId="0" fontId="7" fillId="5" borderId="3" xfId="0" applyFont="1" applyFill="1" applyBorder="1" applyAlignment="1">
      <alignment horizontal="center" vertical="center" wrapText="1"/>
    </xf>
    <xf numFmtId="0" fontId="7" fillId="5" borderId="8" xfId="0" applyFont="1" applyFill="1" applyBorder="1" applyAlignment="1">
      <alignment horizontal="center" vertical="center" wrapText="1"/>
    </xf>
    <xf numFmtId="170" fontId="15" fillId="4" borderId="5" xfId="1" applyNumberFormat="1" applyFont="1" applyFill="1" applyBorder="1" applyAlignment="1">
      <alignment horizontal="center" vertical="center" wrapText="1"/>
    </xf>
    <xf numFmtId="168" fontId="15" fillId="15" borderId="3" xfId="1" applyNumberFormat="1" applyFont="1" applyFill="1" applyBorder="1" applyAlignment="1">
      <alignment horizontal="center" vertical="center" wrapText="1"/>
    </xf>
    <xf numFmtId="168" fontId="15" fillId="26" borderId="3" xfId="1" applyNumberFormat="1" applyFont="1" applyFill="1" applyBorder="1" applyAlignment="1">
      <alignment horizontal="center" vertical="center" wrapText="1"/>
    </xf>
    <xf numFmtId="168" fontId="12" fillId="32" borderId="3" xfId="1" applyNumberFormat="1" applyFont="1" applyFill="1" applyBorder="1" applyAlignment="1">
      <alignment horizontal="center" vertical="center" wrapText="1"/>
    </xf>
    <xf numFmtId="0" fontId="12" fillId="23" borderId="1" xfId="0" applyFont="1" applyFill="1" applyBorder="1" applyAlignment="1">
      <alignment horizontal="center" vertical="center" wrapText="1"/>
    </xf>
    <xf numFmtId="0" fontId="15" fillId="0" borderId="3" xfId="0" quotePrefix="1" applyFont="1" applyBorder="1" applyAlignment="1">
      <alignment horizontal="left" vertical="center" wrapText="1"/>
    </xf>
    <xf numFmtId="0" fontId="7" fillId="0" borderId="3" xfId="0" quotePrefix="1" applyFont="1" applyBorder="1" applyAlignment="1">
      <alignment horizontal="left" vertical="center" wrapText="1"/>
    </xf>
    <xf numFmtId="0" fontId="41" fillId="0" borderId="3" xfId="0" applyFont="1" applyBorder="1" applyAlignment="1">
      <alignment horizontal="left" vertical="center" wrapText="1"/>
    </xf>
    <xf numFmtId="0" fontId="7" fillId="0" borderId="8" xfId="0" quotePrefix="1" applyFont="1" applyBorder="1" applyAlignment="1">
      <alignment horizontal="left" vertical="center" wrapText="1"/>
    </xf>
    <xf numFmtId="0" fontId="42" fillId="3" borderId="6" xfId="0" applyFont="1" applyFill="1" applyBorder="1" applyAlignment="1">
      <alignment vertical="center"/>
    </xf>
    <xf numFmtId="0" fontId="15" fillId="2" borderId="8" xfId="0" applyFont="1" applyFill="1" applyBorder="1" applyAlignment="1">
      <alignment horizontal="center" vertical="center" wrapText="1"/>
    </xf>
    <xf numFmtId="0" fontId="15" fillId="2" borderId="3" xfId="0" quotePrefix="1" applyFont="1" applyFill="1" applyBorder="1" applyAlignment="1">
      <alignment horizontal="center" vertical="center" wrapText="1"/>
    </xf>
    <xf numFmtId="0" fontId="29" fillId="5" borderId="1" xfId="0" applyFont="1" applyFill="1" applyBorder="1" applyAlignment="1">
      <alignment horizontal="center" vertical="center" wrapText="1"/>
    </xf>
    <xf numFmtId="0" fontId="30" fillId="29" borderId="1" xfId="0" applyFont="1" applyFill="1" applyBorder="1" applyAlignment="1">
      <alignment horizontal="center" vertical="center" wrapText="1"/>
    </xf>
    <xf numFmtId="170" fontId="19" fillId="29" borderId="3" xfId="0" applyNumberFormat="1" applyFont="1" applyFill="1" applyBorder="1" applyAlignment="1">
      <alignment horizontal="center" vertical="center" wrapText="1"/>
    </xf>
    <xf numFmtId="170" fontId="15" fillId="17" borderId="3" xfId="1" applyNumberFormat="1" applyFont="1" applyFill="1" applyBorder="1" applyAlignment="1">
      <alignment horizontal="center" vertical="center" wrapText="1"/>
    </xf>
    <xf numFmtId="170" fontId="15" fillId="17" borderId="8" xfId="1" applyNumberFormat="1" applyFont="1" applyFill="1" applyBorder="1" applyAlignment="1">
      <alignment horizontal="center" vertical="center" wrapText="1"/>
    </xf>
    <xf numFmtId="169" fontId="40" fillId="29" borderId="1" xfId="0" applyNumberFormat="1" applyFont="1" applyFill="1" applyBorder="1" applyAlignment="1">
      <alignment horizontal="center" vertical="center" wrapText="1"/>
    </xf>
    <xf numFmtId="0" fontId="15" fillId="2" borderId="3"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2" fillId="17" borderId="1" xfId="0" applyFont="1" applyFill="1" applyBorder="1" applyAlignment="1">
      <alignment horizontal="center" vertical="center" wrapText="1"/>
    </xf>
    <xf numFmtId="0" fontId="12" fillId="11" borderId="1" xfId="0" applyFont="1" applyFill="1" applyBorder="1" applyAlignment="1">
      <alignment horizontal="center" vertical="center" wrapText="1"/>
    </xf>
    <xf numFmtId="14" fontId="0" fillId="0" borderId="3" xfId="0" applyNumberFormat="1" applyBorder="1" applyAlignment="1">
      <alignment horizontal="center" vertical="center"/>
    </xf>
    <xf numFmtId="168" fontId="12" fillId="10" borderId="3" xfId="1" applyNumberFormat="1" applyFont="1" applyFill="1" applyBorder="1" applyAlignment="1">
      <alignment horizontal="center" vertical="center" wrapText="1"/>
    </xf>
    <xf numFmtId="0" fontId="15" fillId="2" borderId="8" xfId="0" quotePrefix="1" applyFont="1" applyFill="1" applyBorder="1" applyAlignment="1">
      <alignment horizontal="center" vertical="center" wrapText="1"/>
    </xf>
    <xf numFmtId="0" fontId="44" fillId="3" borderId="0" xfId="0" applyFont="1" applyFill="1" applyAlignment="1">
      <alignment vertical="center"/>
    </xf>
    <xf numFmtId="168" fontId="19" fillId="19" borderId="3" xfId="1" applyNumberFormat="1" applyFont="1" applyFill="1" applyBorder="1" applyAlignment="1">
      <alignment horizontal="center" vertical="center" wrapText="1"/>
    </xf>
    <xf numFmtId="0" fontId="12" fillId="6" borderId="23" xfId="0" applyFont="1" applyFill="1" applyBorder="1" applyAlignment="1">
      <alignment horizontal="center" vertical="center" wrapText="1"/>
    </xf>
    <xf numFmtId="14" fontId="0" fillId="0" borderId="8" xfId="0" applyNumberFormat="1" applyBorder="1" applyAlignment="1">
      <alignment horizontal="center" vertical="center"/>
    </xf>
    <xf numFmtId="179" fontId="20" fillId="3" borderId="0" xfId="0" applyNumberFormat="1" applyFont="1" applyFill="1" applyAlignment="1">
      <alignment horizontal="center" vertical="center"/>
    </xf>
    <xf numFmtId="170" fontId="8" fillId="3" borderId="3" xfId="0" applyNumberFormat="1" applyFont="1" applyFill="1" applyBorder="1" applyAlignment="1">
      <alignment horizontal="center" vertical="center" wrapText="1"/>
    </xf>
    <xf numFmtId="0" fontId="43" fillId="3" borderId="0" xfId="0" applyFont="1" applyFill="1" applyAlignment="1">
      <alignment vertical="center"/>
    </xf>
    <xf numFmtId="14" fontId="7" fillId="0" borderId="3" xfId="1" applyNumberFormat="1" applyFont="1" applyFill="1" applyBorder="1" applyAlignment="1">
      <alignment horizontal="center" vertical="center" wrapText="1"/>
    </xf>
    <xf numFmtId="3" fontId="8" fillId="2" borderId="3" xfId="0" applyNumberFormat="1" applyFont="1" applyFill="1" applyBorder="1" applyAlignment="1">
      <alignment horizontal="left" vertical="center" wrapText="1"/>
    </xf>
    <xf numFmtId="14" fontId="7" fillId="16" borderId="3" xfId="0" applyNumberFormat="1" applyFont="1" applyFill="1" applyBorder="1" applyAlignment="1">
      <alignment horizontal="center" vertical="center" wrapText="1"/>
    </xf>
    <xf numFmtId="0" fontId="33" fillId="3" borderId="6" xfId="0" applyFont="1" applyFill="1" applyBorder="1" applyAlignment="1">
      <alignment vertical="center"/>
    </xf>
    <xf numFmtId="171" fontId="21" fillId="3" borderId="0" xfId="0" applyNumberFormat="1" applyFont="1" applyFill="1" applyAlignment="1">
      <alignment vertical="center"/>
    </xf>
    <xf numFmtId="14" fontId="7" fillId="0" borderId="8" xfId="1" applyNumberFormat="1" applyFont="1" applyFill="1" applyBorder="1" applyAlignment="1">
      <alignment horizontal="center" vertical="center" wrapText="1"/>
    </xf>
    <xf numFmtId="0" fontId="18" fillId="3" borderId="6" xfId="0" applyFont="1" applyFill="1" applyBorder="1" applyAlignment="1">
      <alignment horizontal="right" vertical="center"/>
    </xf>
    <xf numFmtId="0" fontId="6" fillId="3" borderId="6" xfId="0" applyFont="1" applyFill="1" applyBorder="1" applyAlignment="1">
      <alignment horizontal="center" vertical="center"/>
    </xf>
    <xf numFmtId="0" fontId="7" fillId="28" borderId="3" xfId="0" applyFont="1" applyFill="1" applyBorder="1" applyAlignment="1">
      <alignment horizontal="center" vertical="center" wrapText="1"/>
    </xf>
    <xf numFmtId="170" fontId="15" fillId="15" borderId="3" xfId="1" applyNumberFormat="1" applyFont="1" applyFill="1" applyBorder="1" applyAlignment="1">
      <alignment horizontal="center" vertical="center" wrapText="1"/>
    </xf>
    <xf numFmtId="170" fontId="15" fillId="15" borderId="8" xfId="1" applyNumberFormat="1" applyFont="1" applyFill="1" applyBorder="1" applyAlignment="1">
      <alignment horizontal="center" vertical="center" wrapText="1"/>
    </xf>
    <xf numFmtId="14" fontId="0" fillId="2" borderId="3" xfId="0" applyNumberFormat="1" applyFill="1" applyBorder="1" applyAlignment="1">
      <alignment horizontal="center" vertical="center"/>
    </xf>
    <xf numFmtId="0" fontId="19" fillId="29" borderId="1" xfId="0" applyFont="1" applyFill="1" applyBorder="1" applyAlignment="1">
      <alignment horizontal="center" vertical="center" wrapText="1"/>
    </xf>
    <xf numFmtId="2" fontId="47" fillId="3" borderId="0" xfId="0" applyNumberFormat="1" applyFont="1" applyFill="1" applyAlignment="1">
      <alignment horizontal="center" vertical="center"/>
    </xf>
    <xf numFmtId="0" fontId="8" fillId="0" borderId="8" xfId="0" applyFont="1" applyBorder="1" applyAlignment="1">
      <alignment horizontal="left" vertical="center" wrapText="1"/>
    </xf>
    <xf numFmtId="168" fontId="20" fillId="3" borderId="0" xfId="0" applyNumberFormat="1" applyFont="1" applyFill="1" applyAlignment="1">
      <alignment horizontal="left" vertical="center"/>
    </xf>
    <xf numFmtId="4" fontId="46" fillId="3" borderId="0" xfId="0" applyNumberFormat="1" applyFont="1" applyFill="1" applyAlignment="1">
      <alignment horizontal="center" vertical="center"/>
    </xf>
    <xf numFmtId="0" fontId="0" fillId="15" borderId="0" xfId="0" applyFill="1"/>
    <xf numFmtId="0" fontId="29" fillId="8" borderId="1" xfId="0" applyFont="1" applyFill="1" applyBorder="1" applyAlignment="1">
      <alignment horizontal="center" vertical="center" wrapText="1"/>
    </xf>
    <xf numFmtId="168" fontId="12" fillId="3" borderId="3" xfId="1" applyNumberFormat="1" applyFont="1" applyFill="1" applyBorder="1" applyAlignment="1">
      <alignment horizontal="center" vertical="center" wrapText="1"/>
    </xf>
    <xf numFmtId="14" fontId="37" fillId="0" borderId="3" xfId="0" applyNumberFormat="1" applyFont="1" applyBorder="1" applyAlignment="1">
      <alignment horizontal="center" vertical="center"/>
    </xf>
    <xf numFmtId="0" fontId="7" fillId="16" borderId="3" xfId="0" applyFont="1" applyFill="1" applyBorder="1" applyAlignment="1">
      <alignment horizontal="center" vertical="center" wrapText="1"/>
    </xf>
    <xf numFmtId="0" fontId="48" fillId="38" borderId="1" xfId="0" applyFont="1" applyFill="1" applyBorder="1" applyAlignment="1">
      <alignment horizontal="center" vertical="center" wrapText="1"/>
    </xf>
    <xf numFmtId="0" fontId="30" fillId="38" borderId="1" xfId="0" applyFont="1" applyFill="1" applyBorder="1" applyAlignment="1">
      <alignment horizontal="center" vertical="center" wrapText="1"/>
    </xf>
    <xf numFmtId="170" fontId="19" fillId="38" borderId="3" xfId="0" applyNumberFormat="1" applyFont="1" applyFill="1" applyBorder="1" applyAlignment="1">
      <alignment horizontal="center" vertical="center" wrapText="1"/>
    </xf>
    <xf numFmtId="170" fontId="15" fillId="39" borderId="3" xfId="1" applyNumberFormat="1" applyFont="1" applyFill="1" applyBorder="1" applyAlignment="1">
      <alignment horizontal="center" vertical="center" wrapText="1"/>
    </xf>
    <xf numFmtId="170" fontId="15" fillId="39" borderId="8" xfId="1" applyNumberFormat="1" applyFont="1" applyFill="1" applyBorder="1" applyAlignment="1">
      <alignment horizontal="center" vertical="center" wrapText="1"/>
    </xf>
    <xf numFmtId="170" fontId="15" fillId="32" borderId="3" xfId="1" applyNumberFormat="1" applyFont="1" applyFill="1" applyBorder="1" applyAlignment="1">
      <alignment horizontal="center" vertical="center" wrapText="1"/>
    </xf>
    <xf numFmtId="170" fontId="15" fillId="32" borderId="8" xfId="1" applyNumberFormat="1" applyFont="1" applyFill="1" applyBorder="1" applyAlignment="1">
      <alignment horizontal="center" vertical="center" wrapText="1"/>
    </xf>
    <xf numFmtId="170" fontId="8" fillId="15" borderId="3" xfId="0" applyNumberFormat="1" applyFont="1" applyFill="1" applyBorder="1" applyAlignment="1">
      <alignment horizontal="center" vertical="center" wrapText="1"/>
    </xf>
    <xf numFmtId="170" fontId="8" fillId="32" borderId="3" xfId="0" applyNumberFormat="1" applyFont="1" applyFill="1" applyBorder="1" applyAlignment="1">
      <alignment horizontal="center" vertical="center" wrapText="1"/>
    </xf>
    <xf numFmtId="169" fontId="29" fillId="13" borderId="1" xfId="0" applyNumberFormat="1" applyFont="1" applyFill="1" applyBorder="1" applyAlignment="1">
      <alignment horizontal="center" vertical="center" wrapText="1"/>
    </xf>
    <xf numFmtId="0" fontId="8" fillId="21" borderId="3" xfId="0" applyFont="1" applyFill="1" applyBorder="1" applyAlignment="1">
      <alignment horizontal="center" vertical="center" wrapText="1"/>
    </xf>
    <xf numFmtId="0" fontId="9" fillId="30" borderId="1" xfId="0" applyFont="1" applyFill="1" applyBorder="1" applyAlignment="1">
      <alignment horizontal="center" vertical="center"/>
    </xf>
    <xf numFmtId="170" fontId="8" fillId="40" borderId="3" xfId="0" applyNumberFormat="1" applyFont="1" applyFill="1" applyBorder="1" applyAlignment="1">
      <alignment horizontal="center" vertical="center" wrapText="1"/>
    </xf>
    <xf numFmtId="14" fontId="0" fillId="6" borderId="3" xfId="0" applyNumberFormat="1" applyFill="1" applyBorder="1" applyAlignment="1">
      <alignment horizontal="center" vertical="center"/>
    </xf>
    <xf numFmtId="170" fontId="8" fillId="3" borderId="5" xfId="0" applyNumberFormat="1" applyFont="1" applyFill="1" applyBorder="1" applyAlignment="1">
      <alignment horizontal="center" vertical="center" wrapText="1"/>
    </xf>
    <xf numFmtId="168" fontId="12" fillId="0" borderId="3" xfId="1" applyNumberFormat="1" applyFont="1" applyFill="1" applyBorder="1" applyAlignment="1">
      <alignment horizontal="center" vertical="center" wrapText="1"/>
    </xf>
    <xf numFmtId="0" fontId="12" fillId="41" borderId="1" xfId="0" applyFont="1" applyFill="1" applyBorder="1" applyAlignment="1">
      <alignment horizontal="center" vertical="center" wrapText="1"/>
    </xf>
    <xf numFmtId="9" fontId="7" fillId="2" borderId="3" xfId="16" applyFont="1" applyFill="1" applyBorder="1" applyAlignment="1">
      <alignment horizontal="center" vertical="center" wrapText="1"/>
    </xf>
    <xf numFmtId="9" fontId="7" fillId="2" borderId="8" xfId="16" applyFont="1" applyFill="1" applyBorder="1" applyAlignment="1">
      <alignment horizontal="center" vertical="center" wrapText="1"/>
    </xf>
    <xf numFmtId="10" fontId="7" fillId="2" borderId="8" xfId="16" applyNumberFormat="1" applyFont="1" applyFill="1" applyBorder="1" applyAlignment="1">
      <alignment horizontal="center" vertical="center" wrapText="1"/>
    </xf>
    <xf numFmtId="10" fontId="20" fillId="3" borderId="0" xfId="0" applyNumberFormat="1" applyFont="1" applyFill="1" applyAlignment="1">
      <alignment horizontal="center" vertical="center"/>
    </xf>
    <xf numFmtId="0" fontId="37" fillId="3" borderId="0" xfId="0" applyFont="1" applyFill="1" applyAlignment="1">
      <alignment horizontal="center" vertical="center"/>
    </xf>
    <xf numFmtId="0" fontId="29" fillId="36" borderId="1" xfId="0" applyFont="1" applyFill="1" applyBorder="1" applyAlignment="1">
      <alignment horizontal="center" vertical="center" wrapText="1"/>
    </xf>
    <xf numFmtId="0" fontId="7" fillId="21" borderId="8" xfId="0" applyFont="1" applyFill="1" applyBorder="1" applyAlignment="1">
      <alignment horizontal="left" vertical="center" wrapText="1"/>
    </xf>
    <xf numFmtId="0" fontId="7" fillId="28" borderId="3" xfId="0" applyFont="1" applyFill="1" applyBorder="1" applyAlignment="1">
      <alignment horizontal="left" vertical="center" wrapText="1"/>
    </xf>
    <xf numFmtId="170" fontId="15" fillId="37" borderId="3" xfId="1" applyNumberFormat="1" applyFont="1" applyFill="1" applyBorder="1" applyAlignment="1">
      <alignment horizontal="center" vertical="center" wrapText="1"/>
    </xf>
    <xf numFmtId="180" fontId="6" fillId="3" borderId="0" xfId="0" applyNumberFormat="1" applyFont="1" applyFill="1" applyAlignment="1">
      <alignment horizontal="center" vertical="center"/>
    </xf>
    <xf numFmtId="0" fontId="7" fillId="11" borderId="3" xfId="0" applyFont="1" applyFill="1" applyBorder="1" applyAlignment="1">
      <alignment horizontal="center" vertical="center" wrapText="1"/>
    </xf>
    <xf numFmtId="170" fontId="15" fillId="2" borderId="3" xfId="0" applyNumberFormat="1" applyFont="1" applyFill="1" applyBorder="1" applyAlignment="1">
      <alignment horizontal="left" vertical="center" wrapText="1"/>
    </xf>
    <xf numFmtId="170" fontId="9" fillId="2" borderId="3" xfId="0" applyNumberFormat="1" applyFont="1" applyFill="1" applyBorder="1" applyAlignment="1">
      <alignment horizontal="center" vertical="center"/>
    </xf>
    <xf numFmtId="0" fontId="12" fillId="42" borderId="1" xfId="0" applyFont="1" applyFill="1" applyBorder="1" applyAlignment="1">
      <alignment horizontal="center" vertical="center" wrapText="1"/>
    </xf>
    <xf numFmtId="169" fontId="29" fillId="2" borderId="1" xfId="0" applyNumberFormat="1" applyFont="1" applyFill="1" applyBorder="1" applyAlignment="1">
      <alignment horizontal="center" vertical="center" wrapText="1"/>
    </xf>
    <xf numFmtId="170" fontId="8" fillId="2" borderId="5" xfId="0" applyNumberFormat="1" applyFont="1" applyFill="1" applyBorder="1" applyAlignment="1">
      <alignment horizontal="center" vertical="center" wrapText="1"/>
    </xf>
    <xf numFmtId="0" fontId="7" fillId="33" borderId="8" xfId="0" applyFont="1" applyFill="1" applyBorder="1" applyAlignment="1">
      <alignment horizontal="center" vertical="center" wrapText="1"/>
    </xf>
    <xf numFmtId="14" fontId="0" fillId="10" borderId="3" xfId="0" applyNumberFormat="1" applyFill="1" applyBorder="1" applyAlignment="1">
      <alignment horizontal="center" vertical="center"/>
    </xf>
    <xf numFmtId="170" fontId="8" fillId="10" borderId="5" xfId="0" applyNumberFormat="1" applyFont="1" applyFill="1" applyBorder="1" applyAlignment="1">
      <alignment horizontal="center" vertical="center" wrapText="1"/>
    </xf>
    <xf numFmtId="168" fontId="12" fillId="37" borderId="3" xfId="1" applyNumberFormat="1" applyFont="1" applyFill="1" applyBorder="1" applyAlignment="1">
      <alignment horizontal="center" vertical="center" wrapText="1"/>
    </xf>
    <xf numFmtId="0" fontId="7" fillId="33" borderId="3" xfId="0" applyFont="1" applyFill="1" applyBorder="1" applyAlignment="1">
      <alignment horizontal="left" vertical="center" wrapText="1"/>
    </xf>
    <xf numFmtId="170" fontId="8" fillId="35" borderId="5" xfId="0" applyNumberFormat="1" applyFont="1" applyFill="1" applyBorder="1" applyAlignment="1">
      <alignment horizontal="center" vertical="center" wrapText="1"/>
    </xf>
    <xf numFmtId="4" fontId="8" fillId="2" borderId="3" xfId="0" applyNumberFormat="1" applyFont="1" applyFill="1" applyBorder="1" applyAlignment="1">
      <alignment horizontal="left" vertical="center" wrapText="1"/>
    </xf>
    <xf numFmtId="14" fontId="0" fillId="11" borderId="3" xfId="0" applyNumberFormat="1" applyFill="1" applyBorder="1" applyAlignment="1">
      <alignment horizontal="center" vertical="center"/>
    </xf>
    <xf numFmtId="14" fontId="0" fillId="13" borderId="3" xfId="0" applyNumberFormat="1" applyFill="1" applyBorder="1" applyAlignment="1">
      <alignment horizontal="center" vertical="center"/>
    </xf>
    <xf numFmtId="170" fontId="15" fillId="7" borderId="3" xfId="1" applyNumberFormat="1" applyFont="1" applyFill="1" applyBorder="1" applyAlignment="1">
      <alignment horizontal="center" vertical="center" wrapText="1"/>
    </xf>
    <xf numFmtId="168" fontId="32" fillId="3" borderId="0" xfId="0" applyNumberFormat="1" applyFont="1" applyFill="1" applyAlignment="1">
      <alignment horizontal="center" vertical="center"/>
    </xf>
    <xf numFmtId="0" fontId="47" fillId="5" borderId="1" xfId="0" applyFont="1" applyFill="1" applyBorder="1" applyAlignment="1">
      <alignment horizontal="center" vertical="center" wrapText="1"/>
    </xf>
    <xf numFmtId="170" fontId="15" fillId="3" borderId="3" xfId="1" applyNumberFormat="1" applyFont="1" applyFill="1" applyBorder="1" applyAlignment="1">
      <alignment horizontal="center" vertical="center" wrapText="1"/>
    </xf>
    <xf numFmtId="169" fontId="29" fillId="41" borderId="1" xfId="0" applyNumberFormat="1" applyFont="1" applyFill="1" applyBorder="1" applyAlignment="1">
      <alignment horizontal="center" vertical="center" wrapText="1"/>
    </xf>
    <xf numFmtId="170" fontId="8" fillId="39" borderId="3" xfId="0" applyNumberFormat="1" applyFont="1" applyFill="1" applyBorder="1" applyAlignment="1">
      <alignment horizontal="center" vertical="center" wrapText="1"/>
    </xf>
    <xf numFmtId="0" fontId="7" fillId="21" borderId="8" xfId="0" quotePrefix="1" applyFont="1" applyFill="1" applyBorder="1" applyAlignment="1">
      <alignment horizontal="left" vertical="center" wrapText="1"/>
    </xf>
    <xf numFmtId="170" fontId="15" fillId="42" borderId="3" xfId="1" applyNumberFormat="1" applyFont="1" applyFill="1" applyBorder="1" applyAlignment="1">
      <alignment horizontal="center" vertical="center" wrapText="1"/>
    </xf>
    <xf numFmtId="170" fontId="15" fillId="42" borderId="8" xfId="1" applyNumberFormat="1" applyFont="1" applyFill="1" applyBorder="1" applyAlignment="1">
      <alignment horizontal="center" vertical="center" wrapText="1"/>
    </xf>
    <xf numFmtId="181" fontId="15" fillId="17" borderId="3" xfId="1" applyNumberFormat="1" applyFont="1" applyFill="1" applyBorder="1" applyAlignment="1">
      <alignment horizontal="center" vertical="center" wrapText="1"/>
    </xf>
    <xf numFmtId="0" fontId="7" fillId="28" borderId="8" xfId="0" applyFont="1" applyFill="1" applyBorder="1" applyAlignment="1">
      <alignment horizontal="left" vertical="center" wrapText="1"/>
    </xf>
    <xf numFmtId="14" fontId="7" fillId="28" borderId="3" xfId="0" applyNumberFormat="1" applyFont="1" applyFill="1" applyBorder="1" applyAlignment="1">
      <alignment horizontal="center" vertical="center" wrapText="1"/>
    </xf>
    <xf numFmtId="168" fontId="7" fillId="28" borderId="3" xfId="1" applyNumberFormat="1" applyFont="1" applyFill="1" applyBorder="1" applyAlignment="1">
      <alignment horizontal="center" vertical="center" wrapText="1"/>
    </xf>
    <xf numFmtId="14" fontId="7" fillId="28" borderId="5" xfId="0" applyNumberFormat="1" applyFont="1" applyFill="1" applyBorder="1" applyAlignment="1">
      <alignment horizontal="center" vertical="center" wrapText="1"/>
    </xf>
    <xf numFmtId="0" fontId="8" fillId="28" borderId="3" xfId="0" applyFont="1" applyFill="1" applyBorder="1" applyAlignment="1">
      <alignment horizontal="center" vertical="center" wrapText="1"/>
    </xf>
    <xf numFmtId="168" fontId="12" fillId="28" borderId="3" xfId="1" applyNumberFormat="1" applyFont="1" applyFill="1" applyBorder="1" applyAlignment="1">
      <alignment horizontal="center" vertical="center" wrapText="1"/>
    </xf>
    <xf numFmtId="170" fontId="15" fillId="5" borderId="3" xfId="1" applyNumberFormat="1" applyFont="1" applyFill="1" applyBorder="1" applyAlignment="1">
      <alignment horizontal="center" vertical="center" wrapText="1"/>
    </xf>
    <xf numFmtId="1" fontId="7" fillId="2" borderId="3" xfId="0" applyNumberFormat="1" applyFont="1" applyFill="1" applyBorder="1" applyAlignment="1">
      <alignment horizontal="center" vertical="center" wrapText="1"/>
    </xf>
    <xf numFmtId="16" fontId="15" fillId="2" borderId="3" xfId="0" quotePrefix="1" applyNumberFormat="1" applyFont="1" applyFill="1" applyBorder="1" applyAlignment="1">
      <alignment horizontal="center" vertical="center" wrapText="1"/>
    </xf>
    <xf numFmtId="168" fontId="51" fillId="33" borderId="0" xfId="0" applyNumberFormat="1" applyFont="1" applyFill="1" applyAlignment="1">
      <alignment horizontal="center" vertical="center"/>
    </xf>
    <xf numFmtId="169" fontId="30" fillId="25" borderId="1" xfId="0" applyNumberFormat="1" applyFont="1" applyFill="1" applyBorder="1" applyAlignment="1">
      <alignment horizontal="center" vertical="center" wrapText="1"/>
    </xf>
    <xf numFmtId="168" fontId="12" fillId="4" borderId="15" xfId="1" applyNumberFormat="1" applyFont="1" applyFill="1" applyBorder="1" applyAlignment="1">
      <alignment horizontal="center" vertical="center" wrapText="1"/>
    </xf>
    <xf numFmtId="168" fontId="19" fillId="29" borderId="15" xfId="1" applyNumberFormat="1" applyFont="1" applyFill="1" applyBorder="1" applyAlignment="1">
      <alignment horizontal="center" vertical="center" wrapText="1"/>
    </xf>
    <xf numFmtId="0" fontId="7" fillId="11" borderId="8" xfId="0" applyFont="1" applyFill="1" applyBorder="1" applyAlignment="1">
      <alignment horizontal="center" vertical="center" wrapText="1"/>
    </xf>
    <xf numFmtId="14" fontId="0" fillId="13" borderId="8" xfId="0" applyNumberFormat="1" applyFill="1" applyBorder="1" applyAlignment="1">
      <alignment horizontal="center" vertical="center"/>
    </xf>
    <xf numFmtId="14" fontId="0" fillId="6" borderId="8" xfId="0" applyNumberFormat="1" applyFill="1" applyBorder="1" applyAlignment="1">
      <alignment horizontal="center" vertical="center"/>
    </xf>
    <xf numFmtId="14" fontId="0" fillId="10" borderId="8" xfId="0" applyNumberFormat="1" applyFill="1" applyBorder="1" applyAlignment="1">
      <alignment horizontal="center" vertical="center"/>
    </xf>
    <xf numFmtId="17" fontId="15" fillId="2" borderId="8" xfId="0" applyNumberFormat="1" applyFont="1" applyFill="1" applyBorder="1" applyAlignment="1">
      <alignment horizontal="center" vertical="center" wrapText="1"/>
    </xf>
    <xf numFmtId="14" fontId="0" fillId="42" borderId="8" xfId="0" applyNumberFormat="1" applyFill="1" applyBorder="1" applyAlignment="1">
      <alignment horizontal="center" vertical="center"/>
    </xf>
    <xf numFmtId="14" fontId="7" fillId="0" borderId="5" xfId="0" applyNumberFormat="1" applyFont="1" applyBorder="1" applyAlignment="1">
      <alignment horizontal="center" vertical="center" wrapText="1"/>
    </xf>
    <xf numFmtId="0" fontId="7" fillId="16" borderId="8" xfId="0" applyFont="1" applyFill="1" applyBorder="1" applyAlignment="1">
      <alignment horizontal="left" vertical="center" wrapText="1"/>
    </xf>
    <xf numFmtId="0" fontId="15" fillId="0" borderId="3" xfId="0" applyFont="1" applyBorder="1" applyAlignment="1">
      <alignment horizontal="left" vertical="center" wrapText="1"/>
    </xf>
    <xf numFmtId="14" fontId="7" fillId="28" borderId="3" xfId="1" applyNumberFormat="1" applyFont="1" applyFill="1" applyBorder="1" applyAlignment="1">
      <alignment horizontal="center" vertical="center" wrapText="1"/>
    </xf>
    <xf numFmtId="0" fontId="7" fillId="5" borderId="3" xfId="0" applyFont="1" applyFill="1" applyBorder="1" applyAlignment="1">
      <alignment horizontal="left" vertical="center" wrapText="1"/>
    </xf>
    <xf numFmtId="0" fontId="7" fillId="33" borderId="3" xfId="0" applyFont="1" applyFill="1" applyBorder="1" applyAlignment="1">
      <alignment horizontal="center" vertical="center" wrapText="1"/>
    </xf>
    <xf numFmtId="14" fontId="7" fillId="2" borderId="8" xfId="1" quotePrefix="1" applyNumberFormat="1" applyFont="1" applyFill="1" applyBorder="1" applyAlignment="1">
      <alignment horizontal="center" vertical="center" wrapText="1"/>
    </xf>
    <xf numFmtId="0" fontId="41" fillId="0" borderId="8" xfId="0" applyFont="1" applyBorder="1" applyAlignment="1">
      <alignment horizontal="left" vertical="center" wrapText="1"/>
    </xf>
    <xf numFmtId="0" fontId="15" fillId="7" borderId="3" xfId="0" applyFont="1" applyFill="1" applyBorder="1" applyAlignment="1">
      <alignment horizontal="left" vertical="center" wrapText="1"/>
    </xf>
    <xf numFmtId="168" fontId="20" fillId="3" borderId="11" xfId="0" applyNumberFormat="1" applyFont="1" applyFill="1" applyBorder="1" applyAlignment="1">
      <alignment horizontal="center" vertical="center"/>
    </xf>
    <xf numFmtId="0" fontId="25" fillId="29" borderId="17" xfId="0" applyFont="1" applyFill="1" applyBorder="1" applyAlignment="1">
      <alignment horizontal="center" vertical="center"/>
    </xf>
    <xf numFmtId="14" fontId="52" fillId="43" borderId="3" xfId="0" applyNumberFormat="1" applyFont="1" applyFill="1" applyBorder="1" applyAlignment="1">
      <alignment horizontal="center" vertical="center"/>
    </xf>
    <xf numFmtId="0" fontId="7" fillId="21" borderId="3" xfId="0" applyFont="1" applyFill="1" applyBorder="1" applyAlignment="1">
      <alignment horizontal="left" vertical="center" wrapText="1"/>
    </xf>
    <xf numFmtId="0" fontId="41" fillId="0" borderId="8" xfId="0" quotePrefix="1" applyFont="1" applyBorder="1" applyAlignment="1">
      <alignment horizontal="left" vertical="center" wrapText="1"/>
    </xf>
    <xf numFmtId="0" fontId="7" fillId="16" borderId="3" xfId="0" applyFont="1" applyFill="1" applyBorder="1" applyAlignment="1">
      <alignment horizontal="left" vertical="center" wrapText="1"/>
    </xf>
    <xf numFmtId="0" fontId="15" fillId="0" borderId="8" xfId="0" quotePrefix="1" applyFont="1" applyBorder="1" applyAlignment="1">
      <alignment horizontal="left" vertical="center" wrapText="1"/>
    </xf>
    <xf numFmtId="10" fontId="7" fillId="2" borderId="3" xfId="16" applyNumberFormat="1" applyFont="1" applyFill="1" applyBorder="1" applyAlignment="1">
      <alignment horizontal="center" vertical="center" wrapText="1"/>
    </xf>
    <xf numFmtId="170" fontId="15" fillId="5" borderId="8" xfId="1" applyNumberFormat="1" applyFont="1" applyFill="1" applyBorder="1" applyAlignment="1">
      <alignment horizontal="center" vertical="center" wrapText="1"/>
    </xf>
    <xf numFmtId="0" fontId="7" fillId="2" borderId="8" xfId="0" applyFont="1" applyFill="1" applyBorder="1" applyAlignment="1">
      <alignment horizontal="left" vertical="center" wrapText="1"/>
    </xf>
    <xf numFmtId="168" fontId="15" fillId="0" borderId="3" xfId="1" applyNumberFormat="1" applyFont="1" applyFill="1" applyBorder="1" applyAlignment="1">
      <alignment horizontal="center" vertical="center" wrapText="1"/>
    </xf>
    <xf numFmtId="182" fontId="16" fillId="3" borderId="0" xfId="0" applyNumberFormat="1" applyFont="1" applyFill="1" applyAlignment="1">
      <alignment horizontal="center" vertical="center"/>
    </xf>
    <xf numFmtId="0" fontId="54" fillId="5" borderId="1" xfId="0" applyFont="1" applyFill="1" applyBorder="1" applyAlignment="1">
      <alignment horizontal="center" vertical="center" wrapText="1"/>
    </xf>
    <xf numFmtId="0" fontId="54" fillId="22" borderId="1" xfId="0" applyFont="1" applyFill="1" applyBorder="1" applyAlignment="1">
      <alignment horizontal="center" vertical="center" wrapText="1"/>
    </xf>
    <xf numFmtId="168" fontId="12" fillId="3" borderId="15" xfId="1" applyNumberFormat="1" applyFont="1" applyFill="1" applyBorder="1" applyAlignment="1">
      <alignment horizontal="center" vertical="center" wrapText="1"/>
    </xf>
    <xf numFmtId="168" fontId="12" fillId="15" borderId="15" xfId="1" applyNumberFormat="1" applyFont="1" applyFill="1" applyBorder="1" applyAlignment="1">
      <alignment horizontal="center" vertical="center" wrapText="1"/>
    </xf>
    <xf numFmtId="0" fontId="53" fillId="4" borderId="1" xfId="0" applyFont="1" applyFill="1" applyBorder="1" applyAlignment="1">
      <alignment horizontal="center" vertical="center" wrapText="1"/>
    </xf>
    <xf numFmtId="0" fontId="55" fillId="44" borderId="31" xfId="0" applyFont="1" applyFill="1" applyBorder="1" applyAlignment="1">
      <alignment horizontal="center" vertical="center" wrapText="1"/>
    </xf>
    <xf numFmtId="183" fontId="16" fillId="3" borderId="0" xfId="0" applyNumberFormat="1" applyFont="1" applyFill="1" applyAlignment="1">
      <alignment horizontal="center" vertical="center"/>
    </xf>
    <xf numFmtId="0" fontId="7" fillId="0" borderId="3" xfId="0" applyFont="1" applyFill="1" applyBorder="1" applyAlignment="1">
      <alignment horizontal="left" vertical="center" wrapText="1"/>
    </xf>
    <xf numFmtId="0" fontId="7" fillId="0" borderId="3" xfId="0" applyFont="1" applyFill="1" applyBorder="1" applyAlignment="1">
      <alignment horizontal="center" vertical="center" wrapText="1"/>
    </xf>
    <xf numFmtId="14" fontId="7" fillId="0" borderId="3" xfId="0" applyNumberFormat="1" applyFont="1" applyFill="1" applyBorder="1" applyAlignment="1">
      <alignment horizontal="center" vertical="center" wrapText="1"/>
    </xf>
    <xf numFmtId="14" fontId="7" fillId="0" borderId="5" xfId="0" applyNumberFormat="1" applyFont="1" applyFill="1" applyBorder="1" applyAlignment="1">
      <alignment horizontal="center" vertical="center" wrapText="1"/>
    </xf>
    <xf numFmtId="168" fontId="20" fillId="3" borderId="0" xfId="0" applyNumberFormat="1" applyFont="1" applyFill="1" applyAlignment="1">
      <alignment horizontal="center" vertical="center"/>
    </xf>
    <xf numFmtId="170" fontId="20" fillId="3" borderId="0" xfId="0" applyNumberFormat="1" applyFont="1" applyFill="1" applyAlignment="1">
      <alignment horizontal="center" vertical="center"/>
    </xf>
    <xf numFmtId="0" fontId="16" fillId="3" borderId="0" xfId="0" quotePrefix="1" applyFont="1" applyFill="1" applyAlignment="1">
      <alignment horizontal="center" vertical="center"/>
    </xf>
    <xf numFmtId="0" fontId="29" fillId="7" borderId="1" xfId="0" applyFont="1" applyFill="1" applyBorder="1" applyAlignment="1">
      <alignment horizontal="center" vertical="center" wrapText="1"/>
    </xf>
    <xf numFmtId="14" fontId="56" fillId="45" borderId="32" xfId="19" applyNumberFormat="1" applyFont="1" applyFill="1" applyBorder="1" applyAlignment="1">
      <alignment horizontal="center" vertical="center" wrapText="1"/>
    </xf>
    <xf numFmtId="14" fontId="57" fillId="2" borderId="32" xfId="0" applyNumberFormat="1" applyFont="1" applyFill="1" applyBorder="1" applyAlignment="1">
      <alignment horizontal="center" vertical="center"/>
    </xf>
    <xf numFmtId="170" fontId="8" fillId="8" borderId="5" xfId="0" applyNumberFormat="1" applyFont="1" applyFill="1" applyBorder="1" applyAlignment="1">
      <alignment horizontal="center" vertical="center" wrapText="1"/>
    </xf>
    <xf numFmtId="170" fontId="15" fillId="15" borderId="3" xfId="19" applyNumberFormat="1" applyFont="1" applyFill="1" applyBorder="1" applyAlignment="1">
      <alignment horizontal="center" vertical="center" wrapText="1"/>
    </xf>
    <xf numFmtId="170" fontId="8" fillId="33" borderId="5" xfId="0" applyNumberFormat="1" applyFont="1" applyFill="1" applyBorder="1" applyAlignment="1">
      <alignment horizontal="center" vertical="center" wrapText="1"/>
    </xf>
    <xf numFmtId="14" fontId="56" fillId="45" borderId="33" xfId="19" applyNumberFormat="1" applyFont="1" applyFill="1" applyBorder="1" applyAlignment="1">
      <alignment horizontal="center" vertical="center" wrapText="1"/>
    </xf>
    <xf numFmtId="0" fontId="56" fillId="46" borderId="33" xfId="0" applyFont="1" applyFill="1" applyBorder="1" applyAlignment="1">
      <alignment horizontal="center" vertical="center" wrapText="1"/>
    </xf>
    <xf numFmtId="14" fontId="56" fillId="46" borderId="33" xfId="19" applyNumberFormat="1" applyFont="1" applyFill="1" applyBorder="1" applyAlignment="1">
      <alignment horizontal="center" vertical="center" wrapText="1"/>
    </xf>
    <xf numFmtId="0" fontId="56" fillId="46" borderId="32" xfId="0" applyFont="1" applyFill="1" applyBorder="1" applyAlignment="1">
      <alignment horizontal="center" vertical="center" wrapText="1"/>
    </xf>
    <xf numFmtId="0" fontId="56" fillId="47" borderId="32" xfId="0" applyFont="1" applyFill="1" applyBorder="1" applyAlignment="1">
      <alignment horizontal="center" vertical="center" wrapText="1"/>
    </xf>
    <xf numFmtId="14" fontId="56" fillId="47" borderId="32" xfId="0" applyNumberFormat="1" applyFont="1" applyFill="1" applyBorder="1" applyAlignment="1">
      <alignment horizontal="center" vertical="center" wrapText="1"/>
    </xf>
    <xf numFmtId="168" fontId="20" fillId="3" borderId="0" xfId="0" applyNumberFormat="1" applyFont="1" applyFill="1" applyAlignment="1">
      <alignment horizontal="center" vertical="center"/>
    </xf>
    <xf numFmtId="173" fontId="15" fillId="4" borderId="5" xfId="19" applyNumberFormat="1" applyFont="1" applyFill="1" applyBorder="1" applyAlignment="1">
      <alignment horizontal="center" vertical="center" wrapText="1"/>
    </xf>
    <xf numFmtId="168"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0" fontId="30" fillId="48" borderId="1" xfId="0" applyFont="1" applyFill="1" applyBorder="1" applyAlignment="1">
      <alignment horizontal="center" vertical="center" wrapText="1"/>
    </xf>
    <xf numFmtId="170" fontId="15" fillId="33" borderId="3" xfId="19" applyNumberFormat="1" applyFont="1" applyFill="1" applyBorder="1" applyAlignment="1">
      <alignment horizontal="center" vertical="center" wrapText="1"/>
    </xf>
    <xf numFmtId="170" fontId="58" fillId="29" borderId="3" xfId="19" applyNumberFormat="1" applyFont="1" applyFill="1" applyBorder="1" applyAlignment="1">
      <alignment horizontal="center" vertical="center" wrapText="1"/>
    </xf>
    <xf numFmtId="0" fontId="29" fillId="23" borderId="1" xfId="0" applyFont="1" applyFill="1" applyBorder="1" applyAlignment="1">
      <alignment horizontal="center" vertical="center" wrapText="1"/>
    </xf>
    <xf numFmtId="184" fontId="7" fillId="0" borderId="3" xfId="0" applyNumberFormat="1" applyFont="1" applyBorder="1" applyAlignment="1">
      <alignment vertical="center" wrapText="1"/>
    </xf>
    <xf numFmtId="0" fontId="22" fillId="3" borderId="0" xfId="0" applyFont="1" applyFill="1" applyBorder="1" applyAlignment="1">
      <alignment vertical="center"/>
    </xf>
    <xf numFmtId="171" fontId="20" fillId="3" borderId="2" xfId="0" applyNumberFormat="1" applyFont="1" applyFill="1" applyBorder="1" applyAlignment="1">
      <alignment horizontal="center" vertical="center"/>
    </xf>
    <xf numFmtId="0" fontId="56" fillId="0" borderId="32" xfId="0" applyFont="1" applyFill="1" applyBorder="1" applyAlignment="1">
      <alignment horizontal="center" vertical="center" wrapText="1"/>
    </xf>
    <xf numFmtId="0" fontId="7" fillId="0" borderId="3" xfId="0" applyFont="1" applyFill="1" applyBorder="1" applyAlignment="1">
      <alignment vertical="center" wrapText="1"/>
    </xf>
    <xf numFmtId="0" fontId="7" fillId="0" borderId="8" xfId="0" applyFont="1" applyFill="1" applyBorder="1" applyAlignment="1">
      <alignment vertical="center" wrapText="1"/>
    </xf>
    <xf numFmtId="14" fontId="7" fillId="0" borderId="8" xfId="0" applyNumberFormat="1" applyFont="1" applyFill="1" applyBorder="1" applyAlignment="1">
      <alignment horizontal="left" vertical="center" wrapText="1"/>
    </xf>
    <xf numFmtId="0" fontId="7" fillId="0" borderId="8" xfId="0" applyFont="1" applyFill="1" applyBorder="1" applyAlignment="1">
      <alignment horizontal="left" vertical="center" wrapText="1"/>
    </xf>
    <xf numFmtId="170" fontId="15" fillId="4" borderId="3" xfId="19" applyNumberFormat="1" applyFont="1" applyFill="1" applyBorder="1" applyAlignment="1">
      <alignment horizontal="center" vertical="center" wrapText="1"/>
    </xf>
    <xf numFmtId="176" fontId="12" fillId="10" borderId="3" xfId="1" applyNumberFormat="1" applyFont="1" applyFill="1" applyBorder="1" applyAlignment="1">
      <alignment horizontal="center" vertical="center" wrapText="1"/>
    </xf>
    <xf numFmtId="168" fontId="20" fillId="3" borderId="0" xfId="0" applyNumberFormat="1" applyFont="1" applyFill="1" applyAlignment="1">
      <alignment horizontal="center" vertical="center"/>
    </xf>
    <xf numFmtId="170" fontId="8" fillId="50" borderId="5" xfId="0" applyNumberFormat="1" applyFont="1" applyFill="1" applyBorder="1" applyAlignment="1">
      <alignment horizontal="center" vertical="center" wrapText="1"/>
    </xf>
    <xf numFmtId="0" fontId="7" fillId="50" borderId="3" xfId="0" applyFont="1" applyFill="1" applyBorder="1" applyAlignment="1">
      <alignment horizontal="center" vertical="center" wrapText="1"/>
    </xf>
    <xf numFmtId="0" fontId="40" fillId="49" borderId="1" xfId="0" applyFont="1" applyFill="1" applyBorder="1" applyAlignment="1">
      <alignment horizontal="center" vertical="center" wrapText="1"/>
    </xf>
    <xf numFmtId="0" fontId="7" fillId="13" borderId="3" xfId="0" applyFont="1" applyFill="1" applyBorder="1" applyAlignment="1">
      <alignment horizontal="center" vertical="center" wrapText="1"/>
    </xf>
    <xf numFmtId="14" fontId="57" fillId="2" borderId="33" xfId="0" applyNumberFormat="1" applyFont="1" applyFill="1" applyBorder="1" applyAlignment="1">
      <alignment horizontal="center" vertical="center"/>
    </xf>
    <xf numFmtId="14" fontId="56" fillId="51" borderId="32" xfId="19" applyNumberFormat="1" applyFont="1" applyFill="1" applyBorder="1" applyAlignment="1">
      <alignment horizontal="center" vertical="center" wrapText="1"/>
    </xf>
    <xf numFmtId="14" fontId="56" fillId="51" borderId="33" xfId="19" applyNumberFormat="1" applyFont="1" applyFill="1" applyBorder="1" applyAlignment="1">
      <alignment horizontal="center" vertical="center" wrapText="1"/>
    </xf>
    <xf numFmtId="14" fontId="57" fillId="47" borderId="33" xfId="0" applyNumberFormat="1" applyFont="1" applyFill="1" applyBorder="1" applyAlignment="1">
      <alignment horizontal="center" vertical="center"/>
    </xf>
    <xf numFmtId="185" fontId="45" fillId="0" borderId="34" xfId="0" applyNumberFormat="1" applyFont="1" applyBorder="1" applyAlignment="1">
      <alignment horizontal="center" vertical="center"/>
    </xf>
    <xf numFmtId="185" fontId="45" fillId="0" borderId="3" xfId="0" applyNumberFormat="1" applyFont="1" applyBorder="1" applyAlignment="1">
      <alignment horizontal="center" vertical="center"/>
    </xf>
    <xf numFmtId="0" fontId="56" fillId="0" borderId="33" xfId="0" applyFont="1" applyFill="1" applyBorder="1" applyAlignment="1">
      <alignment horizontal="center" vertical="center" wrapText="1"/>
    </xf>
    <xf numFmtId="0" fontId="8" fillId="5" borderId="3" xfId="0" applyFont="1" applyFill="1" applyBorder="1" applyAlignment="1">
      <alignment horizontal="center" vertical="center" wrapText="1"/>
    </xf>
    <xf numFmtId="0" fontId="7" fillId="37" borderId="3" xfId="0" applyFont="1" applyFill="1" applyBorder="1" applyAlignment="1">
      <alignment horizontal="left" vertical="center" wrapText="1"/>
    </xf>
    <xf numFmtId="168" fontId="20" fillId="3" borderId="0" xfId="0" applyNumberFormat="1" applyFont="1" applyFill="1" applyAlignment="1">
      <alignment horizontal="center" vertical="center"/>
    </xf>
    <xf numFmtId="0" fontId="7" fillId="33" borderId="3" xfId="0" applyFont="1" applyFill="1" applyBorder="1" applyAlignment="1">
      <alignment vertical="center" wrapText="1"/>
    </xf>
    <xf numFmtId="14" fontId="7" fillId="0" borderId="8" xfId="0" applyNumberFormat="1" applyFont="1" applyFill="1" applyBorder="1" applyAlignment="1">
      <alignment horizontal="center" vertical="center" wrapText="1"/>
    </xf>
    <xf numFmtId="1"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170" fontId="8" fillId="32" borderId="5" xfId="0" applyNumberFormat="1" applyFont="1" applyFill="1" applyBorder="1" applyAlignment="1">
      <alignment horizontal="center" vertical="center" wrapText="1"/>
    </xf>
    <xf numFmtId="170" fontId="8" fillId="23" borderId="5" xfId="0" applyNumberFormat="1" applyFont="1" applyFill="1" applyBorder="1" applyAlignment="1">
      <alignment horizontal="center" vertical="center" wrapText="1"/>
    </xf>
    <xf numFmtId="168" fontId="20" fillId="3" borderId="0" xfId="0" applyNumberFormat="1" applyFont="1" applyFill="1" applyAlignment="1">
      <alignment horizontal="center" vertical="center"/>
    </xf>
    <xf numFmtId="170" fontId="19" fillId="29" borderId="15" xfId="0" applyNumberFormat="1" applyFont="1" applyFill="1" applyBorder="1" applyAlignment="1">
      <alignment horizontal="center" vertical="center" wrapText="1"/>
    </xf>
    <xf numFmtId="0" fontId="29" fillId="5" borderId="36" xfId="0" applyFont="1" applyFill="1" applyBorder="1" applyAlignment="1">
      <alignment horizontal="center" vertical="center" wrapText="1"/>
    </xf>
    <xf numFmtId="0" fontId="30" fillId="29" borderId="37" xfId="0" applyFont="1" applyFill="1" applyBorder="1" applyAlignment="1">
      <alignment horizontal="center" vertical="center" wrapText="1"/>
    </xf>
    <xf numFmtId="0" fontId="30" fillId="48" borderId="37" xfId="0" applyFont="1" applyFill="1" applyBorder="1" applyAlignment="1">
      <alignment horizontal="center" vertical="center" wrapText="1"/>
    </xf>
    <xf numFmtId="0" fontId="30" fillId="14" borderId="38" xfId="0" applyFont="1" applyFill="1" applyBorder="1" applyAlignment="1">
      <alignment horizontal="center" vertical="center" wrapText="1"/>
    </xf>
    <xf numFmtId="170" fontId="15" fillId="15" borderId="39" xfId="19" applyNumberFormat="1" applyFont="1" applyFill="1" applyBorder="1" applyAlignment="1">
      <alignment horizontal="center" vertical="center" wrapText="1"/>
    </xf>
    <xf numFmtId="170" fontId="15" fillId="8" borderId="40" xfId="19" applyNumberFormat="1" applyFont="1" applyFill="1" applyBorder="1" applyAlignment="1">
      <alignment horizontal="center" vertical="center" wrapText="1"/>
    </xf>
    <xf numFmtId="170" fontId="15" fillId="13" borderId="35" xfId="19" applyNumberFormat="1" applyFont="1" applyFill="1" applyBorder="1" applyAlignment="1">
      <alignment horizontal="center" vertical="center" wrapText="1"/>
    </xf>
    <xf numFmtId="180" fontId="15"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1" fontId="7" fillId="0" borderId="3" xfId="0" applyNumberFormat="1" applyFont="1" applyFill="1" applyBorder="1" applyAlignment="1">
      <alignment horizontal="center" vertical="center" wrapText="1"/>
    </xf>
    <xf numFmtId="0" fontId="7" fillId="0" borderId="5" xfId="0" applyFont="1" applyFill="1" applyBorder="1" applyAlignment="1">
      <alignment horizontal="center" vertical="center" wrapText="1"/>
    </xf>
    <xf numFmtId="1" fontId="7" fillId="0" borderId="26" xfId="0" applyNumberFormat="1" applyFont="1" applyFill="1" applyBorder="1" applyAlignment="1">
      <alignment horizontal="center" vertical="center" wrapText="1"/>
    </xf>
    <xf numFmtId="0" fontId="7" fillId="0" borderId="8" xfId="0" applyFont="1" applyFill="1" applyBorder="1" applyAlignment="1">
      <alignment horizontal="center" vertical="center" wrapText="1"/>
    </xf>
    <xf numFmtId="14" fontId="7" fillId="0" borderId="20" xfId="0" applyNumberFormat="1" applyFont="1" applyFill="1" applyBorder="1" applyAlignment="1">
      <alignment horizontal="center" vertical="center" wrapText="1"/>
    </xf>
    <xf numFmtId="14" fontId="56" fillId="46" borderId="32" xfId="0" applyNumberFormat="1" applyFont="1" applyFill="1" applyBorder="1" applyAlignment="1">
      <alignment horizontal="center" vertical="center" wrapText="1"/>
    </xf>
    <xf numFmtId="3" fontId="15" fillId="4" borderId="5" xfId="19" applyNumberFormat="1" applyFont="1" applyFill="1" applyBorder="1" applyAlignment="1">
      <alignment horizontal="center" vertical="center" wrapText="1"/>
    </xf>
    <xf numFmtId="168"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0" fontId="0" fillId="52" borderId="12" xfId="0" applyFill="1" applyBorder="1" applyAlignment="1">
      <alignment vertical="top"/>
    </xf>
    <xf numFmtId="0" fontId="0" fillId="52" borderId="12" xfId="0" applyFill="1" applyBorder="1" applyAlignment="1">
      <alignment vertical="top" wrapText="1"/>
    </xf>
    <xf numFmtId="0" fontId="0" fillId="0" borderId="0" xfId="0" applyAlignment="1">
      <alignment vertical="top"/>
    </xf>
    <xf numFmtId="4" fontId="0" fillId="0" borderId="0" xfId="0" applyNumberFormat="1" applyAlignment="1">
      <alignment horizontal="right" vertical="top"/>
    </xf>
    <xf numFmtId="14" fontId="0" fillId="0" borderId="0" xfId="0" applyNumberFormat="1" applyAlignment="1">
      <alignment horizontal="right" vertical="top"/>
    </xf>
    <xf numFmtId="0" fontId="7" fillId="0" borderId="20" xfId="0" applyFont="1" applyFill="1" applyBorder="1" applyAlignment="1">
      <alignment horizontal="center" vertical="center" wrapText="1"/>
    </xf>
    <xf numFmtId="186" fontId="0" fillId="0" borderId="0" xfId="0" applyNumberFormat="1" applyAlignment="1">
      <alignment horizontal="right" vertical="top"/>
    </xf>
    <xf numFmtId="0" fontId="0" fillId="53" borderId="12" xfId="0" applyFill="1" applyBorder="1" applyAlignment="1">
      <alignment vertical="top"/>
    </xf>
    <xf numFmtId="14" fontId="0" fillId="53" borderId="12" xfId="0" applyNumberFormat="1" applyFill="1" applyBorder="1" applyAlignment="1">
      <alignment horizontal="right" vertical="top"/>
    </xf>
    <xf numFmtId="3" fontId="0" fillId="53" borderId="12" xfId="0" applyNumberFormat="1" applyFill="1" applyBorder="1" applyAlignment="1">
      <alignment horizontal="right" vertical="top"/>
    </xf>
    <xf numFmtId="4" fontId="0" fillId="53" borderId="12" xfId="0" applyNumberFormat="1" applyFill="1" applyBorder="1" applyAlignment="1">
      <alignment horizontal="right" vertical="top"/>
    </xf>
    <xf numFmtId="3" fontId="0" fillId="0" borderId="0" xfId="0" applyNumberFormat="1" applyAlignment="1">
      <alignment horizontal="right" vertical="top"/>
    </xf>
    <xf numFmtId="168"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16" fontId="6"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0" fontId="56" fillId="15" borderId="32" xfId="0" applyFont="1" applyFill="1" applyBorder="1" applyAlignment="1">
      <alignment horizontal="center" vertical="center" wrapText="1"/>
    </xf>
    <xf numFmtId="0" fontId="15" fillId="0" borderId="3" xfId="0" applyFont="1" applyFill="1" applyBorder="1" applyAlignment="1">
      <alignment horizontal="center" vertical="center" wrapText="1"/>
    </xf>
    <xf numFmtId="168" fontId="20" fillId="3" borderId="0" xfId="0" applyNumberFormat="1" applyFont="1" applyFill="1" applyAlignment="1">
      <alignment horizontal="center" vertical="center"/>
    </xf>
    <xf numFmtId="14" fontId="7" fillId="0" borderId="3" xfId="0" applyNumberFormat="1" applyFont="1" applyFill="1" applyBorder="1" applyAlignment="1">
      <alignment horizontal="left" vertical="center" wrapText="1"/>
    </xf>
    <xf numFmtId="168" fontId="20" fillId="3" borderId="0" xfId="0" applyNumberFormat="1" applyFont="1" applyFill="1" applyAlignment="1">
      <alignment horizontal="center" vertical="center"/>
    </xf>
    <xf numFmtId="0" fontId="56" fillId="5" borderId="32" xfId="0" applyFont="1" applyFill="1" applyBorder="1" applyAlignment="1">
      <alignment horizontal="center" vertical="center" wrapText="1"/>
    </xf>
    <xf numFmtId="14" fontId="56" fillId="0" borderId="32" xfId="19" applyNumberFormat="1" applyFont="1" applyFill="1" applyBorder="1" applyAlignment="1">
      <alignment horizontal="center" vertical="center" wrapText="1"/>
    </xf>
    <xf numFmtId="0" fontId="7" fillId="56" borderId="3" xfId="0" applyFont="1" applyFill="1" applyBorder="1" applyAlignment="1">
      <alignment horizontal="center" vertical="center" wrapText="1"/>
    </xf>
    <xf numFmtId="14" fontId="20" fillId="3" borderId="0" xfId="0" applyNumberFormat="1" applyFont="1" applyFill="1" applyAlignment="1">
      <alignment horizontal="center" vertical="center"/>
    </xf>
    <xf numFmtId="0" fontId="61" fillId="0" borderId="42" xfId="0" applyFont="1" applyBorder="1" applyAlignment="1">
      <alignment horizontal="center" vertical="center"/>
    </xf>
    <xf numFmtId="14" fontId="45" fillId="0" borderId="42" xfId="0" applyNumberFormat="1" applyFont="1" applyBorder="1" applyAlignment="1">
      <alignment horizontal="center" vertical="center" wrapText="1"/>
    </xf>
    <xf numFmtId="0" fontId="15" fillId="0" borderId="8" xfId="0" applyFont="1" applyBorder="1" applyAlignment="1">
      <alignment horizontal="left" vertical="center" wrapText="1"/>
    </xf>
    <xf numFmtId="171"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0" fontId="42" fillId="3" borderId="0" xfId="0" applyFont="1" applyFill="1" applyBorder="1" applyAlignment="1">
      <alignment vertical="center"/>
    </xf>
    <xf numFmtId="14" fontId="57" fillId="2" borderId="44" xfId="0" applyNumberFormat="1" applyFont="1" applyFill="1" applyBorder="1" applyAlignment="1">
      <alignment horizontal="center" vertical="center"/>
    </xf>
    <xf numFmtId="170" fontId="58" fillId="19" borderId="3" xfId="19" applyNumberFormat="1" applyFont="1" applyFill="1" applyBorder="1" applyAlignment="1">
      <alignment horizontal="center" vertical="center" wrapText="1"/>
    </xf>
    <xf numFmtId="0" fontId="19" fillId="24" borderId="13" xfId="0" applyFont="1" applyFill="1" applyBorder="1" applyAlignment="1">
      <alignment horizontal="center" vertical="center" wrapText="1"/>
    </xf>
    <xf numFmtId="170" fontId="15" fillId="15" borderId="46" xfId="19" applyNumberFormat="1" applyFont="1" applyFill="1" applyBorder="1" applyAlignment="1">
      <alignment horizontal="center" vertical="center" wrapText="1"/>
    </xf>
    <xf numFmtId="170" fontId="58" fillId="19" borderId="5" xfId="19" applyNumberFormat="1" applyFont="1" applyFill="1" applyBorder="1" applyAlignment="1">
      <alignment horizontal="center" vertical="center" wrapText="1"/>
    </xf>
    <xf numFmtId="170" fontId="15" fillId="33" borderId="5" xfId="19" applyNumberFormat="1" applyFont="1" applyFill="1" applyBorder="1" applyAlignment="1">
      <alignment horizontal="center" vertical="center" wrapText="1"/>
    </xf>
    <xf numFmtId="0" fontId="29" fillId="5" borderId="45" xfId="0" applyFont="1" applyFill="1" applyBorder="1" applyAlignment="1">
      <alignment horizontal="center" vertical="center" wrapText="1"/>
    </xf>
    <xf numFmtId="0" fontId="30" fillId="58" borderId="45" xfId="0" applyFont="1" applyFill="1" applyBorder="1" applyAlignment="1">
      <alignment horizontal="center" vertical="center" wrapText="1"/>
    </xf>
    <xf numFmtId="0" fontId="30" fillId="48" borderId="45" xfId="0" applyFont="1" applyFill="1" applyBorder="1" applyAlignment="1">
      <alignment horizontal="center" vertical="center" wrapText="1"/>
    </xf>
    <xf numFmtId="170" fontId="15" fillId="10" borderId="3" xfId="19" applyNumberFormat="1" applyFont="1" applyFill="1" applyBorder="1" applyAlignment="1">
      <alignment horizontal="center" vertical="center" wrapText="1"/>
    </xf>
    <xf numFmtId="0" fontId="15" fillId="0" borderId="3" xfId="0" applyFont="1" applyFill="1" applyBorder="1" applyAlignment="1">
      <alignment horizontal="left" vertical="center" wrapText="1"/>
    </xf>
    <xf numFmtId="0" fontId="15" fillId="0" borderId="8" xfId="0" applyFont="1" applyFill="1" applyBorder="1" applyAlignment="1">
      <alignment horizontal="left" vertical="center" wrapText="1"/>
    </xf>
    <xf numFmtId="0" fontId="19" fillId="24" borderId="1" xfId="0" applyFont="1" applyFill="1" applyBorder="1" applyAlignment="1">
      <alignment horizontal="center" vertical="center" wrapText="1"/>
    </xf>
    <xf numFmtId="0" fontId="19" fillId="21" borderId="45" xfId="0" applyFont="1" applyFill="1" applyBorder="1" applyAlignment="1">
      <alignment horizontal="center" vertical="center" wrapText="1"/>
    </xf>
    <xf numFmtId="0" fontId="19" fillId="19" borderId="17" xfId="0" applyFont="1" applyFill="1" applyBorder="1" applyAlignment="1">
      <alignment horizontal="center" vertical="center" wrapText="1"/>
    </xf>
    <xf numFmtId="169" fontId="12" fillId="2" borderId="1" xfId="0" applyNumberFormat="1" applyFont="1" applyFill="1" applyBorder="1" applyAlignment="1">
      <alignment horizontal="center" vertical="center" wrapText="1"/>
    </xf>
    <xf numFmtId="0" fontId="19" fillId="49" borderId="1" xfId="0" applyFont="1" applyFill="1" applyBorder="1" applyAlignment="1">
      <alignment horizontal="center" vertical="center" wrapText="1"/>
    </xf>
    <xf numFmtId="0" fontId="19" fillId="19" borderId="1" xfId="0" applyFont="1" applyFill="1" applyBorder="1" applyAlignment="1">
      <alignment horizontal="center" vertical="center" wrapText="1"/>
    </xf>
    <xf numFmtId="0" fontId="12" fillId="10" borderId="1" xfId="0" applyFont="1" applyFill="1" applyBorder="1" applyAlignment="1">
      <alignment horizontal="center" vertical="center" wrapText="1"/>
    </xf>
    <xf numFmtId="0" fontId="55" fillId="57" borderId="31" xfId="0" applyFont="1" applyFill="1" applyBorder="1" applyAlignment="1">
      <alignment horizontal="center" vertical="center" wrapText="1"/>
    </xf>
    <xf numFmtId="187" fontId="62" fillId="59" borderId="1" xfId="0" applyNumberFormat="1" applyFont="1" applyFill="1" applyBorder="1" applyAlignment="1">
      <alignment horizontal="center" vertical="center" wrapText="1"/>
    </xf>
    <xf numFmtId="179" fontId="20" fillId="3" borderId="0" xfId="0" applyNumberFormat="1" applyFont="1" applyFill="1" applyBorder="1" applyAlignment="1">
      <alignment horizontal="center" vertical="center"/>
    </xf>
    <xf numFmtId="0" fontId="7" fillId="42" borderId="3" xfId="0" applyFont="1" applyFill="1" applyBorder="1" applyAlignment="1">
      <alignment horizontal="center" vertical="center" wrapText="1"/>
    </xf>
    <xf numFmtId="0" fontId="7" fillId="8" borderId="3" xfId="0" applyFont="1" applyFill="1" applyBorder="1" applyAlignment="1">
      <alignment horizontal="center" vertical="center" wrapText="1"/>
    </xf>
    <xf numFmtId="173" fontId="15" fillId="23" borderId="5" xfId="19" applyNumberFormat="1" applyFont="1" applyFill="1" applyBorder="1" applyAlignment="1">
      <alignment horizontal="center" vertical="center" wrapText="1"/>
    </xf>
    <xf numFmtId="0" fontId="19" fillId="58" borderId="1" xfId="0" applyFont="1" applyFill="1" applyBorder="1" applyAlignment="1">
      <alignment horizontal="center" vertical="center"/>
    </xf>
    <xf numFmtId="168" fontId="20" fillId="3" borderId="0" xfId="0" applyNumberFormat="1" applyFont="1" applyFill="1" applyAlignment="1">
      <alignment horizontal="center" vertical="center"/>
    </xf>
    <xf numFmtId="170" fontId="8" fillId="5" borderId="3" xfId="0" applyNumberFormat="1" applyFont="1" applyFill="1" applyBorder="1" applyAlignment="1">
      <alignment horizontal="center" vertical="center" wrapText="1"/>
    </xf>
    <xf numFmtId="0" fontId="12" fillId="54" borderId="1" xfId="0" applyFont="1" applyFill="1" applyBorder="1" applyAlignment="1">
      <alignment horizontal="center" vertical="center" wrapText="1"/>
    </xf>
    <xf numFmtId="170" fontId="8" fillId="60" borderId="5" xfId="0" applyNumberFormat="1" applyFont="1" applyFill="1" applyBorder="1" applyAlignment="1">
      <alignment horizontal="center" vertical="center" wrapText="1"/>
    </xf>
    <xf numFmtId="168"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170" fontId="58" fillId="58" borderId="35" xfId="19" applyNumberFormat="1" applyFont="1" applyFill="1" applyBorder="1" applyAlignment="1">
      <alignment horizontal="center" vertical="center" wrapText="1"/>
    </xf>
    <xf numFmtId="0" fontId="19" fillId="58" borderId="13" xfId="0" applyFont="1" applyFill="1" applyBorder="1" applyAlignment="1">
      <alignment horizontal="center" vertical="center" wrapText="1"/>
    </xf>
    <xf numFmtId="170" fontId="58" fillId="8" borderId="35" xfId="19" applyNumberFormat="1" applyFont="1" applyFill="1" applyBorder="1" applyAlignment="1">
      <alignment horizontal="center" vertical="center" wrapText="1"/>
    </xf>
    <xf numFmtId="0" fontId="7" fillId="62" borderId="3" xfId="0" applyFont="1" applyFill="1" applyBorder="1" applyAlignment="1">
      <alignment horizontal="center" vertical="center" wrapText="1"/>
    </xf>
    <xf numFmtId="168" fontId="20" fillId="3" borderId="0" xfId="0" applyNumberFormat="1" applyFont="1" applyFill="1" applyAlignment="1">
      <alignment horizontal="center" vertical="center"/>
    </xf>
    <xf numFmtId="14" fontId="63" fillId="3" borderId="0" xfId="0" applyNumberFormat="1" applyFont="1" applyFill="1" applyBorder="1" applyAlignment="1">
      <alignment horizontal="center" vertical="center"/>
    </xf>
    <xf numFmtId="0" fontId="56" fillId="5" borderId="33" xfId="0" applyFont="1" applyFill="1" applyBorder="1" applyAlignment="1">
      <alignment horizontal="center" vertical="center" wrapText="1"/>
    </xf>
    <xf numFmtId="0" fontId="15" fillId="31" borderId="3" xfId="0" applyFont="1" applyFill="1" applyBorder="1" applyAlignment="1">
      <alignment horizontal="left" vertical="center" wrapText="1"/>
    </xf>
    <xf numFmtId="14" fontId="7" fillId="5" borderId="3" xfId="0" applyNumberFormat="1" applyFont="1" applyFill="1" applyBorder="1" applyAlignment="1">
      <alignment horizontal="center" vertical="center" wrapText="1"/>
    </xf>
    <xf numFmtId="168" fontId="20" fillId="3" borderId="0" xfId="0" applyNumberFormat="1" applyFont="1" applyFill="1" applyAlignment="1">
      <alignment horizontal="center" vertical="center"/>
    </xf>
    <xf numFmtId="170" fontId="15" fillId="0" borderId="5" xfId="0" applyNumberFormat="1" applyFont="1" applyBorder="1" applyAlignment="1">
      <alignment horizontal="left" vertical="center" wrapText="1"/>
    </xf>
    <xf numFmtId="4" fontId="15" fillId="3" borderId="0" xfId="0" applyNumberFormat="1" applyFont="1" applyFill="1" applyAlignment="1">
      <alignment horizontal="center" vertical="center"/>
    </xf>
    <xf numFmtId="183"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14" fontId="15" fillId="0" borderId="5" xfId="0" applyNumberFormat="1" applyFont="1" applyBorder="1" applyAlignment="1">
      <alignment horizontal="center" vertical="center" wrapText="1"/>
    </xf>
    <xf numFmtId="175" fontId="15" fillId="0" borderId="5" xfId="0" applyNumberFormat="1" applyFont="1" applyBorder="1" applyAlignment="1">
      <alignment horizontal="center" vertical="center" wrapText="1"/>
    </xf>
    <xf numFmtId="168" fontId="20" fillId="3" borderId="0" xfId="0" applyNumberFormat="1" applyFont="1" applyFill="1" applyBorder="1" applyAlignment="1">
      <alignment horizontal="center" vertical="center"/>
    </xf>
    <xf numFmtId="171" fontId="20" fillId="3" borderId="0" xfId="0" applyNumberFormat="1" applyFont="1" applyFill="1" applyBorder="1" applyAlignment="1">
      <alignment horizontal="center" vertical="center"/>
    </xf>
    <xf numFmtId="176" fontId="12" fillId="15" borderId="3" xfId="1" applyNumberFormat="1" applyFont="1" applyFill="1" applyBorder="1" applyAlignment="1">
      <alignment horizontal="center" vertical="center" wrapText="1"/>
    </xf>
    <xf numFmtId="0" fontId="8" fillId="0" borderId="3" xfId="0" applyFont="1" applyFill="1" applyBorder="1" applyAlignment="1">
      <alignment horizontal="left" vertical="center" wrapText="1"/>
    </xf>
    <xf numFmtId="0" fontId="8" fillId="0" borderId="8" xfId="0" applyFont="1" applyFill="1" applyBorder="1" applyAlignment="1">
      <alignment horizontal="left" vertical="center" wrapText="1"/>
    </xf>
    <xf numFmtId="14" fontId="7" fillId="0" borderId="3" xfId="19" applyNumberFormat="1" applyFont="1" applyFill="1" applyBorder="1" applyAlignment="1">
      <alignment horizontal="center" vertical="center" wrapText="1"/>
    </xf>
    <xf numFmtId="0" fontId="7" fillId="31" borderId="3" xfId="0" applyFont="1" applyFill="1" applyBorder="1" applyAlignment="1">
      <alignment horizontal="center" vertical="center" wrapText="1"/>
    </xf>
    <xf numFmtId="0" fontId="7" fillId="6" borderId="3" xfId="0" applyFont="1" applyFill="1" applyBorder="1" applyAlignment="1">
      <alignment vertical="center" wrapText="1"/>
    </xf>
    <xf numFmtId="0" fontId="12" fillId="10" borderId="49" xfId="0" applyFont="1" applyFill="1" applyBorder="1" applyAlignment="1">
      <alignment horizontal="center" vertical="center" wrapText="1"/>
    </xf>
    <xf numFmtId="0" fontId="12" fillId="10" borderId="50" xfId="0" applyFont="1" applyFill="1" applyBorder="1" applyAlignment="1">
      <alignment horizontal="center" vertical="center" wrapText="1"/>
    </xf>
    <xf numFmtId="0" fontId="12" fillId="10" borderId="51" xfId="0" applyFont="1" applyFill="1" applyBorder="1" applyAlignment="1">
      <alignment horizontal="center" vertical="center" wrapText="1"/>
    </xf>
    <xf numFmtId="14" fontId="7" fillId="0" borderId="52" xfId="0" applyNumberFormat="1" applyFont="1" applyBorder="1" applyAlignment="1">
      <alignment horizontal="center" vertical="center" wrapText="1"/>
    </xf>
    <xf numFmtId="14" fontId="7" fillId="0" borderId="53" xfId="0" applyNumberFormat="1" applyFont="1" applyBorder="1" applyAlignment="1">
      <alignment horizontal="center" vertical="center" wrapText="1"/>
    </xf>
    <xf numFmtId="0" fontId="0" fillId="0" borderId="54" xfId="0" applyBorder="1"/>
    <xf numFmtId="14" fontId="7" fillId="0" borderId="55" xfId="0" applyNumberFormat="1" applyFont="1" applyBorder="1" applyAlignment="1">
      <alignment horizontal="center" vertical="center" wrapText="1"/>
    </xf>
    <xf numFmtId="14" fontId="7" fillId="0" borderId="56" xfId="0" applyNumberFormat="1" applyFont="1" applyBorder="1" applyAlignment="1">
      <alignment horizontal="center" vertical="center" wrapText="1"/>
    </xf>
    <xf numFmtId="0" fontId="0" fillId="0" borderId="57" xfId="0" applyBorder="1"/>
    <xf numFmtId="14" fontId="7" fillId="0" borderId="0" xfId="0" applyNumberFormat="1" applyFont="1" applyAlignment="1">
      <alignment horizontal="center" vertical="center" wrapText="1"/>
    </xf>
    <xf numFmtId="0" fontId="12" fillId="10" borderId="42" xfId="0" applyFont="1" applyFill="1" applyBorder="1" applyAlignment="1">
      <alignment horizontal="center" vertical="center" wrapText="1"/>
    </xf>
    <xf numFmtId="0" fontId="0" fillId="0" borderId="42" xfId="0" applyBorder="1"/>
    <xf numFmtId="14" fontId="7" fillId="0" borderId="42" xfId="0" applyNumberFormat="1" applyFont="1" applyBorder="1" applyAlignment="1">
      <alignment horizontal="center" vertical="center" wrapText="1"/>
    </xf>
    <xf numFmtId="0" fontId="0" fillId="0" borderId="58" xfId="0" applyBorder="1"/>
    <xf numFmtId="14" fontId="7" fillId="0" borderId="58" xfId="0" applyNumberFormat="1" applyFont="1" applyBorder="1" applyAlignment="1">
      <alignment horizontal="center" vertical="center" wrapText="1"/>
    </xf>
    <xf numFmtId="0" fontId="64" fillId="3" borderId="0" xfId="0" applyFont="1" applyFill="1" applyBorder="1" applyAlignment="1">
      <alignment vertical="center"/>
    </xf>
    <xf numFmtId="168" fontId="20" fillId="3" borderId="0" xfId="0" applyNumberFormat="1" applyFont="1" applyFill="1" applyAlignment="1">
      <alignment horizontal="center" vertical="center"/>
    </xf>
    <xf numFmtId="0" fontId="15" fillId="63" borderId="8" xfId="0" applyFont="1" applyFill="1" applyBorder="1" applyAlignment="1">
      <alignment horizontal="left" vertical="center" wrapText="1"/>
    </xf>
    <xf numFmtId="188" fontId="0" fillId="0" borderId="0" xfId="0" applyNumberFormat="1"/>
    <xf numFmtId="9" fontId="15" fillId="0" borderId="5" xfId="16" applyFont="1" applyBorder="1" applyAlignment="1">
      <alignment horizontal="left" vertical="center" wrapText="1"/>
    </xf>
    <xf numFmtId="0" fontId="56" fillId="34" borderId="32" xfId="0" applyFont="1" applyFill="1" applyBorder="1" applyAlignment="1">
      <alignment horizontal="center" vertical="center" wrapText="1"/>
    </xf>
    <xf numFmtId="0" fontId="56" fillId="34" borderId="33" xfId="0" applyFont="1" applyFill="1" applyBorder="1" applyAlignment="1">
      <alignment horizontal="center" vertical="center" wrapText="1"/>
    </xf>
    <xf numFmtId="0" fontId="15" fillId="26" borderId="0" xfId="0" applyFont="1" applyFill="1" applyAlignment="1">
      <alignment horizontal="center" vertical="center"/>
    </xf>
    <xf numFmtId="168" fontId="15" fillId="26" borderId="0" xfId="0" applyNumberFormat="1" applyFont="1" applyFill="1" applyAlignment="1">
      <alignment horizontal="center" vertical="center"/>
    </xf>
    <xf numFmtId="170" fontId="8" fillId="0" borderId="5" xfId="0" applyNumberFormat="1" applyFont="1" applyBorder="1" applyAlignment="1">
      <alignment horizontal="center" vertical="center" wrapText="1"/>
    </xf>
    <xf numFmtId="14" fontId="57" fillId="2" borderId="59" xfId="0" applyNumberFormat="1" applyFont="1" applyFill="1" applyBorder="1" applyAlignment="1">
      <alignment horizontal="center" vertical="center"/>
    </xf>
    <xf numFmtId="0" fontId="65" fillId="26" borderId="0" xfId="0" applyFont="1" applyFill="1" applyAlignment="1">
      <alignment horizontal="center" vertical="center"/>
    </xf>
    <xf numFmtId="0" fontId="16" fillId="26" borderId="0" xfId="0" applyFont="1" applyFill="1" applyAlignment="1">
      <alignment horizontal="center" vertical="center"/>
    </xf>
    <xf numFmtId="0" fontId="20" fillId="26" borderId="0" xfId="0" applyFont="1" applyFill="1" applyAlignment="1">
      <alignment horizontal="center" vertical="center"/>
    </xf>
    <xf numFmtId="168" fontId="16" fillId="26" borderId="0" xfId="0" applyNumberFormat="1" applyFont="1" applyFill="1" applyAlignment="1">
      <alignment horizontal="center" vertical="center"/>
    </xf>
    <xf numFmtId="0" fontId="66" fillId="26" borderId="0" xfId="0" applyFont="1" applyFill="1" applyAlignment="1">
      <alignment vertical="center"/>
    </xf>
    <xf numFmtId="168" fontId="20" fillId="26"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0" fontId="7" fillId="32" borderId="3" xfId="0" applyFont="1" applyFill="1" applyBorder="1" applyAlignment="1">
      <alignment horizontal="left" vertical="center" wrapText="1"/>
    </xf>
    <xf numFmtId="0" fontId="7" fillId="32" borderId="8" xfId="0" applyFont="1" applyFill="1" applyBorder="1" applyAlignment="1">
      <alignment horizontal="left" vertical="center" wrapText="1"/>
    </xf>
    <xf numFmtId="0" fontId="16" fillId="3" borderId="0" xfId="0" applyFont="1" applyFill="1" applyAlignment="1">
      <alignment horizontal="right" vertical="center"/>
    </xf>
    <xf numFmtId="14" fontId="7" fillId="0" borderId="42" xfId="0" applyNumberFormat="1" applyFont="1" applyFill="1" applyBorder="1" applyAlignment="1">
      <alignment horizontal="center" vertical="center" wrapText="1"/>
    </xf>
    <xf numFmtId="0" fontId="61" fillId="0" borderId="3" xfId="0" applyFont="1" applyBorder="1" applyAlignment="1">
      <alignment horizontal="center" vertical="center"/>
    </xf>
    <xf numFmtId="0" fontId="7" fillId="34" borderId="3" xfId="0" applyFont="1" applyFill="1" applyBorder="1" applyAlignment="1">
      <alignment horizontal="left" vertical="center" wrapText="1"/>
    </xf>
    <xf numFmtId="14" fontId="7" fillId="64" borderId="3" xfId="0" applyNumberFormat="1" applyFont="1" applyFill="1" applyBorder="1" applyAlignment="1">
      <alignment horizontal="center" vertical="center" wrapText="1"/>
    </xf>
    <xf numFmtId="0" fontId="7" fillId="64" borderId="3" xfId="0" applyFont="1" applyFill="1" applyBorder="1" applyAlignment="1">
      <alignment horizontal="center" vertical="center" wrapText="1"/>
    </xf>
    <xf numFmtId="168" fontId="20" fillId="3" borderId="0" xfId="0" applyNumberFormat="1" applyFont="1" applyFill="1" applyAlignment="1">
      <alignment horizontal="center" vertical="center"/>
    </xf>
    <xf numFmtId="14" fontId="7" fillId="65" borderId="3" xfId="0" applyNumberFormat="1" applyFont="1" applyFill="1" applyBorder="1" applyAlignment="1">
      <alignment horizontal="center" vertical="center" wrapText="1"/>
    </xf>
    <xf numFmtId="170" fontId="15" fillId="65" borderId="3" xfId="19" applyNumberFormat="1" applyFont="1" applyFill="1" applyBorder="1" applyAlignment="1">
      <alignment horizontal="center" vertical="center" wrapText="1"/>
    </xf>
    <xf numFmtId="170" fontId="8" fillId="3" borderId="60" xfId="0" applyNumberFormat="1" applyFont="1" applyFill="1" applyBorder="1" applyAlignment="1">
      <alignment horizontal="center" vertical="center" wrapText="1"/>
    </xf>
    <xf numFmtId="170" fontId="19" fillId="61" borderId="60" xfId="0" applyNumberFormat="1" applyFont="1" applyFill="1" applyBorder="1" applyAlignment="1">
      <alignment horizontal="center" vertical="center" wrapText="1"/>
    </xf>
    <xf numFmtId="0" fontId="19" fillId="61" borderId="17" xfId="0" applyFont="1" applyFill="1" applyBorder="1" applyAlignment="1">
      <alignment horizontal="center" vertical="center" wrapText="1"/>
    </xf>
    <xf numFmtId="0" fontId="56" fillId="55" borderId="32" xfId="0" applyFont="1" applyFill="1" applyBorder="1" applyAlignment="1">
      <alignment horizontal="center" vertical="center" wrapText="1"/>
    </xf>
    <xf numFmtId="0" fontId="15" fillId="0" borderId="8" xfId="0" applyFont="1" applyBorder="1" applyAlignment="1">
      <alignment vertical="center" wrapText="1"/>
    </xf>
    <xf numFmtId="0" fontId="15" fillId="37" borderId="8" xfId="0" applyFont="1" applyFill="1" applyBorder="1" applyAlignment="1">
      <alignment horizontal="left" vertical="center" wrapText="1"/>
    </xf>
    <xf numFmtId="0" fontId="15" fillId="54" borderId="8" xfId="0" applyFont="1" applyFill="1" applyBorder="1" applyAlignment="1">
      <alignment horizontal="left" vertical="center" wrapText="1"/>
    </xf>
    <xf numFmtId="0" fontId="67" fillId="3" borderId="0" xfId="0" applyFont="1" applyFill="1" applyBorder="1" applyAlignment="1">
      <alignment vertical="center"/>
    </xf>
    <xf numFmtId="168"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0" fontId="19" fillId="31" borderId="1" xfId="0" applyFont="1" applyFill="1" applyBorder="1" applyAlignment="1">
      <alignment horizontal="center" vertical="center" wrapText="1"/>
    </xf>
    <xf numFmtId="170" fontId="8" fillId="11" borderId="5" xfId="0" applyNumberFormat="1" applyFont="1" applyFill="1" applyBorder="1" applyAlignment="1">
      <alignment horizontal="center" vertical="center" wrapText="1"/>
    </xf>
    <xf numFmtId="170" fontId="8" fillId="64" borderId="5" xfId="0" applyNumberFormat="1" applyFont="1" applyFill="1" applyBorder="1" applyAlignment="1">
      <alignment horizontal="center" vertical="center" wrapText="1"/>
    </xf>
    <xf numFmtId="14" fontId="7" fillId="0" borderId="0" xfId="0" applyNumberFormat="1" applyFont="1" applyBorder="1" applyAlignment="1">
      <alignment horizontal="center" vertical="center" wrapText="1"/>
    </xf>
    <xf numFmtId="0" fontId="56" fillId="55" borderId="33" xfId="0" applyFont="1" applyFill="1" applyBorder="1" applyAlignment="1">
      <alignment horizontal="center" vertical="center" wrapText="1"/>
    </xf>
    <xf numFmtId="0" fontId="7" fillId="12" borderId="8" xfId="0" applyFont="1" applyFill="1" applyBorder="1" applyAlignment="1">
      <alignment horizontal="center" vertical="center" wrapText="1"/>
    </xf>
    <xf numFmtId="170" fontId="15" fillId="31" borderId="3" xfId="19" applyNumberFormat="1" applyFont="1" applyFill="1" applyBorder="1" applyAlignment="1">
      <alignment horizontal="center" vertical="center" wrapText="1"/>
    </xf>
    <xf numFmtId="176" fontId="20" fillId="3" borderId="0" xfId="0" applyNumberFormat="1" applyFont="1" applyFill="1" applyAlignment="1">
      <alignment horizontal="center" vertical="center"/>
    </xf>
    <xf numFmtId="0" fontId="61" fillId="0" borderId="0" xfId="0" applyFont="1" applyBorder="1" applyAlignment="1">
      <alignment horizontal="center" vertical="center"/>
    </xf>
    <xf numFmtId="168" fontId="20" fillId="3" borderId="0" xfId="0" applyNumberFormat="1" applyFont="1" applyFill="1" applyAlignment="1">
      <alignment horizontal="center" vertical="center"/>
    </xf>
    <xf numFmtId="168" fontId="20" fillId="3" borderId="0" xfId="0" applyNumberFormat="1" applyFont="1" applyFill="1" applyAlignment="1">
      <alignment horizontal="center" vertical="center"/>
    </xf>
    <xf numFmtId="0" fontId="9" fillId="31" borderId="1" xfId="0" applyFont="1" applyFill="1" applyBorder="1" applyAlignment="1">
      <alignment horizontal="center" vertical="center"/>
    </xf>
    <xf numFmtId="173" fontId="15" fillId="16" borderId="5" xfId="19" applyNumberFormat="1" applyFont="1" applyFill="1" applyBorder="1" applyAlignment="1">
      <alignment horizontal="center" vertical="center" wrapText="1"/>
    </xf>
    <xf numFmtId="14" fontId="57" fillId="3" borderId="0" xfId="0" applyNumberFormat="1" applyFont="1" applyFill="1" applyBorder="1" applyAlignment="1">
      <alignment horizontal="center" vertical="center" wrapText="1"/>
    </xf>
    <xf numFmtId="0" fontId="55" fillId="57" borderId="61" xfId="0" applyFont="1" applyFill="1" applyBorder="1" applyAlignment="1">
      <alignment horizontal="center" vertical="center" wrapText="1"/>
    </xf>
    <xf numFmtId="0" fontId="15" fillId="37" borderId="3" xfId="0" applyFont="1" applyFill="1" applyBorder="1" applyAlignment="1">
      <alignment horizontal="left" vertical="center" wrapText="1"/>
    </xf>
    <xf numFmtId="16" fontId="15" fillId="0" borderId="8" xfId="0" applyNumberFormat="1" applyFont="1" applyBorder="1" applyAlignment="1">
      <alignment horizontal="left" vertical="center" wrapText="1"/>
    </xf>
    <xf numFmtId="0" fontId="15" fillId="0" borderId="8" xfId="0" applyFont="1" applyFill="1" applyBorder="1" applyAlignment="1">
      <alignment vertical="center" wrapText="1"/>
    </xf>
    <xf numFmtId="0" fontId="7" fillId="12" borderId="3" xfId="0" applyFont="1" applyFill="1" applyBorder="1" applyAlignment="1">
      <alignment horizontal="center" vertical="center" wrapText="1"/>
    </xf>
    <xf numFmtId="173" fontId="15" fillId="33" borderId="5" xfId="19" applyNumberFormat="1" applyFont="1" applyFill="1" applyBorder="1" applyAlignment="1">
      <alignment horizontal="center" vertical="center" wrapText="1"/>
    </xf>
    <xf numFmtId="14" fontId="7" fillId="21" borderId="3" xfId="0" applyNumberFormat="1" applyFont="1" applyFill="1" applyBorder="1" applyAlignment="1">
      <alignment horizontal="center" vertical="center" wrapText="1"/>
    </xf>
    <xf numFmtId="0" fontId="7" fillId="63" borderId="3" xfId="0" applyFont="1" applyFill="1" applyBorder="1" applyAlignment="1">
      <alignment horizontal="left" vertical="center" wrapText="1"/>
    </xf>
    <xf numFmtId="0" fontId="7" fillId="63" borderId="3" xfId="0" quotePrefix="1" applyFont="1" applyFill="1" applyBorder="1" applyAlignment="1">
      <alignment horizontal="left" vertical="center" wrapText="1"/>
    </xf>
    <xf numFmtId="14" fontId="57" fillId="66" borderId="44" xfId="0" applyNumberFormat="1" applyFont="1" applyFill="1" applyBorder="1" applyAlignment="1">
      <alignment horizontal="center" vertical="center"/>
    </xf>
    <xf numFmtId="0" fontId="15" fillId="63" borderId="3" xfId="0" applyFont="1" applyFill="1" applyBorder="1" applyAlignment="1">
      <alignment horizontal="left" vertical="center" wrapText="1"/>
    </xf>
    <xf numFmtId="168" fontId="20" fillId="3" borderId="0" xfId="0" applyNumberFormat="1" applyFont="1" applyFill="1" applyAlignment="1">
      <alignment horizontal="center" vertical="center"/>
    </xf>
    <xf numFmtId="0" fontId="68" fillId="0" borderId="3" xfId="0" applyFont="1" applyBorder="1" applyAlignment="1">
      <alignment horizontal="center" vertical="center"/>
    </xf>
    <xf numFmtId="0" fontId="15" fillId="0" borderId="42" xfId="0" applyFont="1" applyFill="1" applyBorder="1" applyAlignment="1">
      <alignment horizontal="center" vertical="center" wrapText="1"/>
    </xf>
    <xf numFmtId="0" fontId="15" fillId="0" borderId="3" xfId="0" quotePrefix="1" applyFont="1" applyFill="1" applyBorder="1" applyAlignment="1">
      <alignment horizontal="left" vertical="center" wrapText="1"/>
    </xf>
    <xf numFmtId="0" fontId="15" fillId="0" borderId="5" xfId="0" applyFont="1" applyBorder="1" applyAlignment="1">
      <alignment horizontal="left" vertical="center" wrapText="1"/>
    </xf>
    <xf numFmtId="9" fontId="15" fillId="0" borderId="8" xfId="16" applyFont="1" applyBorder="1" applyAlignment="1">
      <alignment horizontal="left" vertical="center" wrapText="1"/>
    </xf>
    <xf numFmtId="0" fontId="15" fillId="0" borderId="5" xfId="0" applyFont="1" applyFill="1" applyBorder="1" applyAlignment="1">
      <alignment horizontal="left" vertical="center" wrapText="1"/>
    </xf>
    <xf numFmtId="0" fontId="15" fillId="0" borderId="5" xfId="0" quotePrefix="1" applyFont="1" applyFill="1" applyBorder="1" applyAlignment="1">
      <alignment horizontal="left" vertical="center" wrapText="1"/>
    </xf>
    <xf numFmtId="0" fontId="15" fillId="32" borderId="5" xfId="0" applyFont="1" applyFill="1" applyBorder="1" applyAlignment="1">
      <alignment horizontal="left" vertical="center" wrapText="1"/>
    </xf>
    <xf numFmtId="9" fontId="15" fillId="0" borderId="3" xfId="16" applyFont="1" applyBorder="1" applyAlignment="1">
      <alignment horizontal="left" vertical="center" wrapText="1"/>
    </xf>
    <xf numFmtId="0" fontId="15" fillId="0" borderId="5" xfId="0" quotePrefix="1" applyFont="1" applyBorder="1" applyAlignment="1">
      <alignment horizontal="left" vertical="center" wrapText="1"/>
    </xf>
    <xf numFmtId="0" fontId="15" fillId="49" borderId="5" xfId="0" applyFont="1" applyFill="1" applyBorder="1" applyAlignment="1">
      <alignment horizontal="left" vertical="center" wrapText="1"/>
    </xf>
    <xf numFmtId="170" fontId="15" fillId="10" borderId="39" xfId="19" applyNumberFormat="1" applyFont="1" applyFill="1" applyBorder="1" applyAlignment="1">
      <alignment horizontal="center" vertical="center" wrapText="1"/>
    </xf>
    <xf numFmtId="14" fontId="57" fillId="0" borderId="44" xfId="0" applyNumberFormat="1" applyFont="1" applyFill="1" applyBorder="1" applyAlignment="1">
      <alignment horizontal="center" vertical="center"/>
    </xf>
    <xf numFmtId="14" fontId="57" fillId="13" borderId="44" xfId="0" applyNumberFormat="1" applyFont="1" applyFill="1" applyBorder="1" applyAlignment="1">
      <alignment horizontal="center" vertical="center"/>
    </xf>
    <xf numFmtId="14" fontId="57" fillId="47" borderId="32" xfId="0" applyNumberFormat="1" applyFont="1" applyFill="1" applyBorder="1" applyAlignment="1">
      <alignment horizontal="center" vertical="center"/>
    </xf>
    <xf numFmtId="0" fontId="15" fillId="0" borderId="3" xfId="0" applyFont="1" applyBorder="1" applyAlignment="1">
      <alignment vertical="center" wrapText="1"/>
    </xf>
    <xf numFmtId="173" fontId="15" fillId="62" borderId="5" xfId="19" applyNumberFormat="1" applyFont="1" applyFill="1" applyBorder="1" applyAlignment="1">
      <alignment horizontal="center" vertical="center" wrapText="1"/>
    </xf>
    <xf numFmtId="173" fontId="15" fillId="5" borderId="5" xfId="19" applyNumberFormat="1" applyFont="1" applyFill="1" applyBorder="1" applyAlignment="1">
      <alignment horizontal="center" vertical="center" wrapText="1"/>
    </xf>
    <xf numFmtId="0" fontId="15" fillId="0" borderId="5" xfId="0" applyFont="1" applyBorder="1" applyAlignment="1">
      <alignment vertical="center" wrapText="1"/>
    </xf>
    <xf numFmtId="14" fontId="56" fillId="46" borderId="33" xfId="0" applyNumberFormat="1" applyFont="1" applyFill="1" applyBorder="1" applyAlignment="1">
      <alignment horizontal="center" vertical="center" wrapText="1"/>
    </xf>
    <xf numFmtId="0" fontId="34" fillId="9" borderId="0" xfId="0" applyFont="1" applyFill="1" applyAlignment="1">
      <alignment horizontal="center" vertical="center"/>
    </xf>
    <xf numFmtId="168" fontId="32"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27" fillId="21" borderId="12" xfId="0" applyFont="1" applyFill="1" applyBorder="1" applyAlignment="1">
      <alignment horizontal="center" vertical="center"/>
    </xf>
    <xf numFmtId="168" fontId="31" fillId="5" borderId="17" xfId="0" applyNumberFormat="1" applyFont="1" applyFill="1" applyBorder="1" applyAlignment="1">
      <alignment horizontal="center" vertical="center"/>
    </xf>
    <xf numFmtId="0" fontId="31" fillId="5" borderId="1" xfId="0" applyFont="1" applyFill="1" applyBorder="1" applyAlignment="1">
      <alignment horizontal="center" vertical="center"/>
    </xf>
    <xf numFmtId="0" fontId="31" fillId="5" borderId="17" xfId="0" applyFont="1" applyFill="1" applyBorder="1" applyAlignment="1">
      <alignment horizontal="center" vertical="center"/>
    </xf>
    <xf numFmtId="168" fontId="31" fillId="5" borderId="1" xfId="0" applyNumberFormat="1" applyFont="1" applyFill="1" applyBorder="1" applyAlignment="1">
      <alignment horizontal="center" vertical="center"/>
    </xf>
    <xf numFmtId="168" fontId="31" fillId="12" borderId="1" xfId="0" applyNumberFormat="1" applyFont="1" applyFill="1" applyBorder="1" applyAlignment="1">
      <alignment horizontal="center" vertical="center"/>
    </xf>
    <xf numFmtId="0" fontId="31" fillId="12" borderId="1" xfId="0" applyFont="1" applyFill="1" applyBorder="1" applyAlignment="1">
      <alignment horizontal="center" vertical="center"/>
    </xf>
    <xf numFmtId="0" fontId="30" fillId="9" borderId="20" xfId="0" applyFont="1" applyFill="1" applyBorder="1" applyAlignment="1">
      <alignment horizontal="center" vertical="center" wrapText="1"/>
    </xf>
    <xf numFmtId="0" fontId="30" fillId="9" borderId="9" xfId="0" applyFont="1" applyFill="1" applyBorder="1" applyAlignment="1">
      <alignment horizontal="center" vertical="center" wrapText="1"/>
    </xf>
    <xf numFmtId="0" fontId="30" fillId="9" borderId="13" xfId="0" applyFont="1" applyFill="1" applyBorder="1" applyAlignment="1">
      <alignment horizontal="center" vertical="center" wrapText="1"/>
    </xf>
    <xf numFmtId="0" fontId="30" fillId="9" borderId="11" xfId="0" applyFont="1" applyFill="1" applyBorder="1" applyAlignment="1">
      <alignment horizontal="center" vertical="center" wrapText="1"/>
    </xf>
    <xf numFmtId="0" fontId="30" fillId="9" borderId="14" xfId="0" applyFont="1" applyFill="1" applyBorder="1" applyAlignment="1">
      <alignment horizontal="center" vertical="center" wrapText="1"/>
    </xf>
    <xf numFmtId="0" fontId="39" fillId="21" borderId="0" xfId="0" applyFont="1" applyFill="1" applyAlignment="1">
      <alignment horizontal="center" vertical="center"/>
    </xf>
    <xf numFmtId="0" fontId="25" fillId="29" borderId="16" xfId="0" applyFont="1" applyFill="1" applyBorder="1" applyAlignment="1">
      <alignment horizontal="center" vertical="center"/>
    </xf>
    <xf numFmtId="0" fontId="25" fillId="29" borderId="30" xfId="0" applyFont="1" applyFill="1" applyBorder="1" applyAlignment="1">
      <alignment horizontal="center" vertical="center"/>
    </xf>
    <xf numFmtId="0" fontId="25" fillId="29" borderId="17" xfId="0" applyFont="1" applyFill="1" applyBorder="1" applyAlignment="1">
      <alignment horizontal="center" vertical="center"/>
    </xf>
    <xf numFmtId="0" fontId="25" fillId="19" borderId="1" xfId="0" applyFont="1" applyFill="1" applyBorder="1" applyAlignment="1">
      <alignment horizontal="center" vertical="center"/>
    </xf>
    <xf numFmtId="0" fontId="25" fillId="38" borderId="1" xfId="0" applyFont="1" applyFill="1" applyBorder="1" applyAlignment="1">
      <alignment horizontal="center" vertical="center"/>
    </xf>
    <xf numFmtId="168" fontId="31" fillId="5" borderId="24" xfId="0" applyNumberFormat="1" applyFont="1" applyFill="1" applyBorder="1" applyAlignment="1">
      <alignment horizontal="center" vertical="center"/>
    </xf>
    <xf numFmtId="168" fontId="31" fillId="5" borderId="25" xfId="0" applyNumberFormat="1" applyFont="1" applyFill="1" applyBorder="1" applyAlignment="1">
      <alignment horizontal="center" vertical="center"/>
    </xf>
    <xf numFmtId="168" fontId="31" fillId="5" borderId="27" xfId="0" applyNumberFormat="1" applyFont="1" applyFill="1" applyBorder="1" applyAlignment="1">
      <alignment horizontal="center" vertical="center"/>
    </xf>
    <xf numFmtId="168" fontId="31" fillId="5" borderId="13" xfId="0" applyNumberFormat="1" applyFont="1" applyFill="1" applyBorder="1" applyAlignment="1">
      <alignment horizontal="center" vertical="center"/>
    </xf>
    <xf numFmtId="168" fontId="31" fillId="5" borderId="11" xfId="0" applyNumberFormat="1" applyFont="1" applyFill="1" applyBorder="1" applyAlignment="1">
      <alignment horizontal="center" vertical="center"/>
    </xf>
    <xf numFmtId="168" fontId="31" fillId="5" borderId="14" xfId="0" applyNumberFormat="1" applyFont="1" applyFill="1" applyBorder="1" applyAlignment="1">
      <alignment horizontal="center" vertical="center"/>
    </xf>
    <xf numFmtId="168" fontId="20" fillId="3" borderId="0" xfId="0" applyNumberFormat="1" applyFont="1" applyFill="1" applyAlignment="1">
      <alignment horizontal="center" vertical="center"/>
    </xf>
    <xf numFmtId="168" fontId="20" fillId="3" borderId="11" xfId="0" applyNumberFormat="1" applyFont="1" applyFill="1" applyBorder="1" applyAlignment="1">
      <alignment horizontal="center" vertical="center"/>
    </xf>
    <xf numFmtId="168" fontId="51" fillId="33" borderId="28" xfId="0" applyNumberFormat="1" applyFont="1" applyFill="1" applyBorder="1" applyAlignment="1">
      <alignment horizontal="center" vertical="center"/>
    </xf>
    <xf numFmtId="168" fontId="51" fillId="33" borderId="2" xfId="0" applyNumberFormat="1" applyFont="1" applyFill="1" applyBorder="1" applyAlignment="1">
      <alignment horizontal="center" vertical="center"/>
    </xf>
    <xf numFmtId="168" fontId="51" fillId="33" borderId="29" xfId="0" applyNumberFormat="1" applyFont="1" applyFill="1" applyBorder="1" applyAlignment="1">
      <alignment horizontal="center" vertical="center"/>
    </xf>
    <xf numFmtId="187" fontId="62" fillId="59" borderId="14" xfId="0" applyNumberFormat="1" applyFont="1" applyFill="1" applyBorder="1" applyAlignment="1">
      <alignment horizontal="center" vertical="center" wrapText="1"/>
    </xf>
    <xf numFmtId="187" fontId="62" fillId="59" borderId="9" xfId="0" applyNumberFormat="1" applyFont="1" applyFill="1" applyBorder="1" applyAlignment="1">
      <alignment horizontal="center" vertical="center" wrapText="1"/>
    </xf>
    <xf numFmtId="168" fontId="19" fillId="24" borderId="16" xfId="0" applyNumberFormat="1" applyFont="1" applyFill="1" applyBorder="1" applyAlignment="1">
      <alignment horizontal="center" vertical="center"/>
    </xf>
    <xf numFmtId="168" fontId="19" fillId="24" borderId="25" xfId="0" applyNumberFormat="1" applyFont="1" applyFill="1" applyBorder="1" applyAlignment="1">
      <alignment horizontal="center" vertical="center"/>
    </xf>
    <xf numFmtId="168" fontId="19" fillId="24" borderId="27" xfId="0" applyNumberFormat="1" applyFont="1" applyFill="1" applyBorder="1" applyAlignment="1">
      <alignment horizontal="center" vertical="center"/>
    </xf>
    <xf numFmtId="168" fontId="27" fillId="61" borderId="16" xfId="0" applyNumberFormat="1" applyFont="1" applyFill="1" applyBorder="1" applyAlignment="1">
      <alignment horizontal="center" vertical="center"/>
    </xf>
    <xf numFmtId="168" fontId="27" fillId="61" borderId="30" xfId="0" applyNumberFormat="1" applyFont="1" applyFill="1" applyBorder="1" applyAlignment="1">
      <alignment horizontal="center" vertical="center"/>
    </xf>
    <xf numFmtId="168" fontId="27" fillId="61" borderId="17" xfId="0" applyNumberFormat="1" applyFont="1" applyFill="1" applyBorder="1" applyAlignment="1">
      <alignment horizontal="center" vertical="center"/>
    </xf>
    <xf numFmtId="14" fontId="7" fillId="0" borderId="47" xfId="0" applyNumberFormat="1" applyFont="1" applyBorder="1" applyAlignment="1">
      <alignment horizontal="center" vertical="center" wrapText="1"/>
    </xf>
    <xf numFmtId="14" fontId="7" fillId="0" borderId="41" xfId="0" applyNumberFormat="1" applyFont="1" applyBorder="1" applyAlignment="1">
      <alignment horizontal="center" vertical="center" wrapText="1"/>
    </xf>
    <xf numFmtId="14" fontId="7" fillId="0" borderId="48" xfId="0" applyNumberFormat="1" applyFont="1" applyBorder="1" applyAlignment="1">
      <alignment horizontal="center" vertical="center" wrapText="1"/>
    </xf>
    <xf numFmtId="0" fontId="0" fillId="0" borderId="43" xfId="0" applyBorder="1" applyAlignment="1">
      <alignment horizontal="center"/>
    </xf>
    <xf numFmtId="0" fontId="40" fillId="21" borderId="0" xfId="0" applyFont="1" applyFill="1" applyAlignment="1">
      <alignment horizontal="center" vertical="center"/>
    </xf>
    <xf numFmtId="0" fontId="27" fillId="25" borderId="0" xfId="0" applyFont="1" applyFill="1" applyAlignment="1">
      <alignment horizontal="center" vertical="center"/>
    </xf>
    <xf numFmtId="0" fontId="38" fillId="27" borderId="0" xfId="0" applyFont="1" applyFill="1" applyAlignment="1">
      <alignment horizontal="center" vertical="center"/>
    </xf>
  </cellXfs>
  <cellStyles count="24">
    <cellStyle name="Comma 2" xfId="13" xr:uid="{818C195D-F921-4FE9-8592-49F0582889C2}"/>
    <cellStyle name="Currency 2" xfId="14" xr:uid="{DE68A760-9049-45E3-97B1-E5D708D123EE}"/>
    <cellStyle name="Currency 2 2" xfId="18" xr:uid="{4E00D4F4-2C8D-4CC7-B612-2361F6748136}"/>
    <cellStyle name="Euro" xfId="3" xr:uid="{00000000-0005-0000-0000-000000000000}"/>
    <cellStyle name="Moeda" xfId="1" builtinId="4"/>
    <cellStyle name="Moeda 2" xfId="9" xr:uid="{37D2BB19-82B2-4F33-8358-8512ED0A7C56}"/>
    <cellStyle name="Moeda 2 2" xfId="19" xr:uid="{3EB1418A-C8FB-42AF-8504-B6DA90A01943}"/>
    <cellStyle name="Moeda 3" xfId="17" xr:uid="{9CCE05A9-3611-4863-BC81-DF77DFCEFA77}"/>
    <cellStyle name="Normal" xfId="0" builtinId="0"/>
    <cellStyle name="Normal 2" xfId="2" xr:uid="{00000000-0005-0000-0000-000003000000}"/>
    <cellStyle name="Normal 2 2" xfId="6" xr:uid="{00000000-0005-0000-0000-000004000000}"/>
    <cellStyle name="Normal 3" xfId="4" xr:uid="{00000000-0005-0000-0000-000005000000}"/>
    <cellStyle name="Normal 4" xfId="7" xr:uid="{00000000-0005-0000-0000-000006000000}"/>
    <cellStyle name="Normal 5" xfId="20" xr:uid="{9FCC27E9-18B9-4C41-9A38-74B37B5FC02E}"/>
    <cellStyle name="Normal 6" xfId="23" xr:uid="{2986473D-079E-4AE3-A80E-E2643BAA5B8C}"/>
    <cellStyle name="Normale_Action Plan" xfId="5" xr:uid="{00000000-0005-0000-0000-000007000000}"/>
    <cellStyle name="Porcentagem" xfId="16" builtinId="5"/>
    <cellStyle name="Porcentagem 2" xfId="11" xr:uid="{52FC47BF-3F94-46C9-A59B-7B2CF00C5E14}"/>
    <cellStyle name="Porcentagem 3" xfId="10" xr:uid="{EA932527-E6B7-46DF-A9AF-20D3274A7A02}"/>
    <cellStyle name="Porcentagem 4" xfId="22" xr:uid="{4264F7C9-7A78-462A-90E7-21921FD680CE}"/>
    <cellStyle name="Vírgula" xfId="15" builtinId="3"/>
    <cellStyle name="Vírgula 2" xfId="8" xr:uid="{00000000-0005-0000-0000-00000A000000}"/>
    <cellStyle name="Vírgula 3" xfId="12" xr:uid="{3E54445D-6209-4B7A-AA24-56CDF0EF8063}"/>
    <cellStyle name="Vírgula 4" xfId="21" xr:uid="{AF3FA8DD-6562-45EC-A502-C56FA0FF882A}"/>
  </cellStyles>
  <dxfs count="4056">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color auto="1"/>
      </font>
      <fill>
        <patternFill>
          <bgColor rgb="FF00B050"/>
        </patternFill>
      </fill>
    </dxf>
    <dxf>
      <font>
        <b/>
        <i val="0"/>
        <color auto="1"/>
      </font>
      <fill>
        <patternFill>
          <bgColor rgb="FF00B05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color auto="1"/>
      </font>
      <fill>
        <patternFill>
          <bgColor rgb="FF00B05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0" tint="-0.14996795556505021"/>
        </patternFill>
      </fill>
    </dxf>
    <dxf>
      <font>
        <b val="0"/>
        <i val="0"/>
      </font>
      <fill>
        <patternFill>
          <bgColor theme="0" tint="-0.14996795556505021"/>
        </patternFill>
      </fill>
    </dxf>
    <dxf>
      <fill>
        <patternFill>
          <bgColor theme="0" tint="-0.14996795556505021"/>
        </patternFill>
      </fill>
    </dxf>
    <dxf>
      <font>
        <b val="0"/>
        <i val="0"/>
      </font>
      <fill>
        <patternFill>
          <bgColor theme="0" tint="-0.14996795556505021"/>
        </patternFill>
      </fill>
    </dxf>
    <dxf>
      <fill>
        <patternFill>
          <bgColor theme="0" tint="-0.14996795556505021"/>
        </patternFill>
      </fill>
    </dxf>
    <dxf>
      <font>
        <b val="0"/>
        <i val="0"/>
      </font>
      <fill>
        <patternFill>
          <bgColor theme="0" tint="-0.14996795556505021"/>
        </patternFill>
      </fill>
    </dxf>
    <dxf>
      <fill>
        <patternFill>
          <bgColor theme="0" tint="-0.14996795556505021"/>
        </patternFill>
      </fill>
    </dxf>
    <dxf>
      <font>
        <b val="0"/>
        <i val="0"/>
      </font>
      <fill>
        <patternFill>
          <bgColor theme="0" tint="-0.14996795556505021"/>
        </patternFill>
      </fill>
    </dxf>
    <dxf>
      <fill>
        <patternFill>
          <bgColor theme="0" tint="-0.14996795556505021"/>
        </patternFill>
      </fill>
    </dxf>
    <dxf>
      <font>
        <b val="0"/>
        <i val="0"/>
      </font>
      <fill>
        <patternFill>
          <bgColor theme="0" tint="-0.14996795556505021"/>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FF00"/>
        </patternFill>
      </fill>
    </dxf>
    <dxf>
      <fill>
        <patternFill>
          <bgColor rgb="FF00CC66"/>
        </patternFill>
      </fill>
    </dxf>
    <dxf>
      <fill>
        <patternFill>
          <bgColor theme="4"/>
        </patternFill>
      </fill>
    </dxf>
    <dxf>
      <font>
        <color auto="1"/>
      </font>
      <fill>
        <patternFill>
          <bgColor rgb="FF00B050"/>
        </patternFill>
      </fill>
    </dxf>
    <dxf>
      <font>
        <color auto="1"/>
      </font>
      <fill>
        <patternFill>
          <bgColor rgb="FF00B050"/>
        </patternFill>
      </fill>
    </dxf>
    <dxf>
      <font>
        <color auto="1"/>
      </font>
      <fill>
        <patternFill>
          <bgColor rgb="FF00B050"/>
        </patternFill>
      </fill>
    </dxf>
    <dxf>
      <font>
        <color auto="1"/>
      </font>
      <fill>
        <patternFill>
          <bgColor rgb="FF00B050"/>
        </patternFill>
      </fill>
    </dxf>
    <dxf>
      <font>
        <color auto="1"/>
      </font>
      <fill>
        <patternFill>
          <bgColor rgb="FF00B050"/>
        </patternFill>
      </fill>
    </dxf>
    <dxf>
      <font>
        <color auto="1"/>
      </font>
      <fill>
        <patternFill>
          <bgColor rgb="FF00B05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auto="1"/>
      </font>
      <fill>
        <patternFill>
          <bgColor rgb="FF00B05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0" tint="-0.14996795556505021"/>
        </patternFill>
      </fill>
    </dxf>
    <dxf>
      <font>
        <b val="0"/>
        <i val="0"/>
      </font>
      <fill>
        <patternFill>
          <bgColor theme="0" tint="-0.14996795556505021"/>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ont>
        <color theme="0"/>
      </font>
      <fill>
        <patternFill>
          <bgColor rgb="FF002060"/>
        </patternFill>
      </fill>
    </dxf>
    <dxf>
      <font>
        <color auto="1"/>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bgColor theme="9"/>
        </patternFill>
      </fill>
    </dxf>
    <dxf>
      <fill>
        <patternFill>
          <bgColor rgb="FFFFFF00"/>
        </patternFill>
      </fill>
    </dxf>
    <dxf>
      <fill>
        <patternFill>
          <bgColor rgb="FF00CC66"/>
        </patternFill>
      </fill>
    </dxf>
    <dxf>
      <fill>
        <patternFill>
          <bgColor theme="4"/>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theme="9" tint="0.39994506668294322"/>
        </patternFill>
      </fill>
    </dxf>
    <dxf>
      <font>
        <b/>
        <i val="0"/>
      </font>
      <fill>
        <patternFill>
          <bgColor theme="8" tint="0.39994506668294322"/>
        </patternFill>
      </fill>
    </dxf>
    <dxf>
      <font>
        <b/>
        <i val="0"/>
      </font>
      <fill>
        <patternFill>
          <bgColor theme="7"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00B0F0"/>
        </patternFill>
      </fill>
    </dxf>
    <dxf>
      <font>
        <b/>
        <i val="0"/>
      </font>
      <fill>
        <patternFill>
          <bgColor theme="2" tint="-0.499984740745262"/>
        </patternFill>
      </fill>
    </dxf>
    <dxf>
      <font>
        <b/>
        <i val="0"/>
        <color theme="0"/>
      </font>
      <fill>
        <patternFill>
          <bgColor theme="1" tint="0.24994659260841701"/>
        </patternFill>
      </fill>
    </dxf>
    <dxf>
      <font>
        <b/>
        <i val="0"/>
      </font>
      <fill>
        <patternFill>
          <bgColor theme="0" tint="-0.24994659260841701"/>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theme="6" tint="0.59996337778862885"/>
        </patternFill>
      </fill>
    </dxf>
    <dxf>
      <fill>
        <patternFill>
          <bgColor rgb="FFFF0000"/>
        </patternFill>
      </fill>
    </dxf>
    <dxf>
      <fill>
        <patternFill>
          <bgColor rgb="FFFFFF00"/>
        </patternFill>
      </fill>
    </dxf>
    <dxf>
      <fill>
        <patternFill>
          <bgColor theme="4"/>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00CC66"/>
        </patternFill>
      </fill>
    </dxf>
    <dxf>
      <fill>
        <patternFill>
          <bgColor rgb="FF0070C0"/>
        </patternFill>
      </fill>
    </dxf>
    <dxf>
      <fill>
        <patternFill>
          <bgColor rgb="FFFFFF00"/>
        </patternFill>
      </fill>
    </dxf>
    <dxf>
      <font>
        <color theme="0"/>
      </font>
      <fill>
        <patternFill>
          <bgColor theme="0"/>
        </patternFill>
      </fill>
    </dxf>
    <dxf>
      <font>
        <color theme="0"/>
      </font>
      <fill>
        <patternFill>
          <bgColor rgb="FFC00000"/>
        </patternFill>
      </fill>
    </dxf>
    <dxf>
      <font>
        <b/>
        <i val="0"/>
        <color theme="1"/>
      </font>
      <fill>
        <patternFill>
          <bgColor rgb="FF00B050"/>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theme="4"/>
        </patternFill>
      </fill>
    </dxf>
    <dxf>
      <font>
        <color theme="0"/>
      </font>
      <fill>
        <patternFill>
          <bgColor rgb="FFC00000"/>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color theme="1"/>
      </font>
      <fill>
        <patternFill>
          <bgColor theme="9" tint="0.39994506668294322"/>
        </patternFill>
      </fill>
    </dxf>
    <dxf>
      <font>
        <color theme="0"/>
      </font>
      <fill>
        <patternFill>
          <bgColor theme="0"/>
        </patternFill>
      </fill>
    </dxf>
    <dxf>
      <font>
        <color theme="0"/>
      </font>
      <fill>
        <patternFill>
          <bgColor rgb="FFC00000"/>
        </patternFill>
      </fill>
    </dxf>
    <dxf>
      <font>
        <b/>
        <i val="0"/>
        <color theme="1"/>
      </font>
      <fill>
        <patternFill>
          <bgColor rgb="FF00B05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
      <fill>
        <patternFill>
          <bgColor theme="9"/>
        </patternFill>
      </fill>
    </dxf>
    <dxf>
      <fill>
        <patternFill>
          <bgColor rgb="FFFFFF00"/>
        </patternFill>
      </fill>
    </dxf>
    <dxf>
      <fill>
        <patternFill>
          <bgColor rgb="FF00CC66"/>
        </patternFill>
      </fill>
    </dxf>
    <dxf>
      <fill>
        <patternFill>
          <bgColor theme="4"/>
        </patternFill>
      </fill>
    </dxf>
    <dxf>
      <fill>
        <patternFill>
          <bgColor theme="9"/>
        </patternFill>
      </fill>
    </dxf>
    <dxf>
      <fill>
        <patternFill>
          <bgColor rgb="FFFF0000"/>
        </patternFill>
      </fill>
    </dxf>
    <dxf>
      <fill>
        <patternFill>
          <bgColor rgb="FF00CC66"/>
        </patternFill>
      </fill>
    </dxf>
    <dxf>
      <fill>
        <patternFill>
          <bgColor rgb="FF0070C0"/>
        </patternFill>
      </fill>
    </dxf>
    <dxf>
      <fill>
        <patternFill>
          <bgColor rgb="FFFFFF00"/>
        </patternFill>
      </fill>
    </dxf>
    <dxf>
      <fill>
        <patternFill>
          <bgColor theme="0"/>
        </patternFill>
      </fill>
    </dxf>
    <dxf>
      <fill>
        <patternFill>
          <bgColor rgb="FF92D050"/>
        </patternFill>
      </fill>
    </dxf>
    <dxf>
      <fill>
        <patternFill>
          <bgColor rgb="FFFFFF00"/>
        </patternFill>
      </fill>
    </dxf>
    <dxf>
      <fill>
        <patternFill>
          <bgColor rgb="FFFF0000"/>
        </patternFill>
      </fill>
    </dxf>
    <dxf>
      <font>
        <b/>
        <i val="0"/>
      </font>
      <fill>
        <patternFill>
          <bgColor rgb="FF00CC66"/>
        </patternFill>
      </fill>
    </dxf>
    <dxf>
      <font>
        <b/>
        <i val="0"/>
      </font>
      <fill>
        <patternFill>
          <bgColor rgb="FFFFFF00"/>
        </patternFill>
      </fill>
    </dxf>
    <dxf>
      <font>
        <b/>
        <i val="0"/>
        <color theme="0"/>
      </font>
      <fill>
        <patternFill>
          <bgColor rgb="FF002060"/>
        </patternFill>
      </fill>
    </dxf>
    <dxf>
      <font>
        <b/>
        <i val="0"/>
        <color theme="0"/>
      </font>
      <fill>
        <patternFill>
          <bgColor rgb="FFFF0000"/>
        </patternFill>
      </fill>
    </dxf>
  </dxfs>
  <tableStyles count="0" defaultTableStyle="TableStyleMedium2" defaultPivotStyle="PivotStyleLight16"/>
  <colors>
    <mruColors>
      <color rgb="FFFFFF99"/>
      <color rgb="FF48F711"/>
      <color rgb="FFFFFFCC"/>
      <color rgb="FFFF5D9F"/>
      <color rgb="FF00CC66"/>
      <color rgb="FFFF0066"/>
      <color rgb="FF00CC00"/>
      <color rgb="FFA9FB8F"/>
      <color rgb="FFFFFF00"/>
      <color rgb="FFA4F8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39</xdr:col>
      <xdr:colOff>56462</xdr:colOff>
      <xdr:row>0</xdr:row>
      <xdr:rowOff>143833</xdr:rowOff>
    </xdr:from>
    <xdr:to>
      <xdr:col>39</xdr:col>
      <xdr:colOff>1210235</xdr:colOff>
      <xdr:row>1</xdr:row>
      <xdr:rowOff>181429</xdr:rowOff>
    </xdr:to>
    <xdr:sp macro="[0]!LIMPAR_PAST_TEMP" textlink="">
      <xdr:nvSpPr>
        <xdr:cNvPr id="4" name="Retângulo 3">
          <a:extLst>
            <a:ext uri="{FF2B5EF4-FFF2-40B4-BE49-F238E27FC236}">
              <a16:creationId xmlns:a16="http://schemas.microsoft.com/office/drawing/2014/main" id="{5C2BA9E8-6DCF-4D8C-A373-C693867313FB}"/>
            </a:ext>
          </a:extLst>
        </xdr:cNvPr>
        <xdr:cNvSpPr/>
      </xdr:nvSpPr>
      <xdr:spPr>
        <a:xfrm>
          <a:off x="9218605" y="143833"/>
          <a:ext cx="1153773" cy="423132"/>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1600" b="1"/>
            <a:t>UPDATE</a:t>
          </a:r>
          <a:endParaRPr lang="en-US" sz="1100" b="1"/>
        </a:p>
      </xdr:txBody>
    </xdr:sp>
    <xdr:clientData/>
  </xdr:twoCellAnchor>
  <xdr:twoCellAnchor>
    <xdr:from>
      <xdr:col>39</xdr:col>
      <xdr:colOff>45357</xdr:colOff>
      <xdr:row>1</xdr:row>
      <xdr:rowOff>272143</xdr:rowOff>
    </xdr:from>
    <xdr:to>
      <xdr:col>39</xdr:col>
      <xdr:colOff>2847975</xdr:colOff>
      <xdr:row>2</xdr:row>
      <xdr:rowOff>317500</xdr:rowOff>
    </xdr:to>
    <xdr:sp macro="[0]!EXTRAI_BASE_BASES" textlink="">
      <xdr:nvSpPr>
        <xdr:cNvPr id="2" name="Retângulo 1">
          <a:extLst>
            <a:ext uri="{FF2B5EF4-FFF2-40B4-BE49-F238E27FC236}">
              <a16:creationId xmlns:a16="http://schemas.microsoft.com/office/drawing/2014/main" id="{D31AFB7D-CD85-4077-8A46-5EF940D8AC0E}"/>
            </a:ext>
          </a:extLst>
        </xdr:cNvPr>
        <xdr:cNvSpPr/>
      </xdr:nvSpPr>
      <xdr:spPr>
        <a:xfrm>
          <a:off x="9207500" y="657679"/>
          <a:ext cx="2802618" cy="408214"/>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600" b="1" baseline="0"/>
            <a:t>SECONDARY SPREADSHEETS</a:t>
          </a:r>
          <a:endParaRPr lang="en-US" sz="1100" b="1"/>
        </a:p>
      </xdr:txBody>
    </xdr:sp>
    <xdr:clientData/>
  </xdr:twoCellAnchor>
  <xdr:twoCellAnchor>
    <xdr:from>
      <xdr:col>39</xdr:col>
      <xdr:colOff>1335819</xdr:colOff>
      <xdr:row>0</xdr:row>
      <xdr:rowOff>143832</xdr:rowOff>
    </xdr:from>
    <xdr:to>
      <xdr:col>39</xdr:col>
      <xdr:colOff>2836441</xdr:colOff>
      <xdr:row>1</xdr:row>
      <xdr:rowOff>186288</xdr:rowOff>
    </xdr:to>
    <xdr:sp macro="[0]!STATUS_SAP_LCP" textlink="">
      <xdr:nvSpPr>
        <xdr:cNvPr id="3" name="Retângulo 2">
          <a:extLst>
            <a:ext uri="{FF2B5EF4-FFF2-40B4-BE49-F238E27FC236}">
              <a16:creationId xmlns:a16="http://schemas.microsoft.com/office/drawing/2014/main" id="{5BCA0691-A477-4336-86D3-9399F10411C3}"/>
            </a:ext>
          </a:extLst>
        </xdr:cNvPr>
        <xdr:cNvSpPr/>
      </xdr:nvSpPr>
      <xdr:spPr>
        <a:xfrm>
          <a:off x="10497962" y="143832"/>
          <a:ext cx="1500622" cy="427992"/>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b="1"/>
            <a:t>SAP STATUS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968203</xdr:colOff>
      <xdr:row>13</xdr:row>
      <xdr:rowOff>27213</xdr:rowOff>
    </xdr:from>
    <xdr:to>
      <xdr:col>20</xdr:col>
      <xdr:colOff>488074</xdr:colOff>
      <xdr:row>18</xdr:row>
      <xdr:rowOff>89066</xdr:rowOff>
    </xdr:to>
    <xdr:pic>
      <xdr:nvPicPr>
        <xdr:cNvPr id="2" name="Imagem 1">
          <a:extLst>
            <a:ext uri="{FF2B5EF4-FFF2-40B4-BE49-F238E27FC236}">
              <a16:creationId xmlns:a16="http://schemas.microsoft.com/office/drawing/2014/main" id="{A4F1DB1F-7DA7-4053-A21D-64A6DEAC26EE}"/>
            </a:ext>
          </a:extLst>
        </xdr:cNvPr>
        <xdr:cNvPicPr>
          <a:picLocks noChangeAspect="1"/>
        </xdr:cNvPicPr>
      </xdr:nvPicPr>
      <xdr:blipFill>
        <a:blip xmlns:r="http://schemas.openxmlformats.org/officeDocument/2006/relationships" r:embed="rId1"/>
        <a:stretch>
          <a:fillRect/>
        </a:stretch>
      </xdr:blipFill>
      <xdr:spPr>
        <a:xfrm>
          <a:off x="18875203" y="4237263"/>
          <a:ext cx="2548821" cy="1633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968203</xdr:colOff>
      <xdr:row>14</xdr:row>
      <xdr:rowOff>27213</xdr:rowOff>
    </xdr:from>
    <xdr:to>
      <xdr:col>20</xdr:col>
      <xdr:colOff>488074</xdr:colOff>
      <xdr:row>19</xdr:row>
      <xdr:rowOff>89066</xdr:rowOff>
    </xdr:to>
    <xdr:pic>
      <xdr:nvPicPr>
        <xdr:cNvPr id="2" name="Imagem 1">
          <a:extLst>
            <a:ext uri="{FF2B5EF4-FFF2-40B4-BE49-F238E27FC236}">
              <a16:creationId xmlns:a16="http://schemas.microsoft.com/office/drawing/2014/main" id="{521E07A2-AFA3-9562-6C88-E6F949D44FBE}"/>
            </a:ext>
          </a:extLst>
        </xdr:cNvPr>
        <xdr:cNvPicPr>
          <a:picLocks noChangeAspect="1"/>
        </xdr:cNvPicPr>
      </xdr:nvPicPr>
      <xdr:blipFill>
        <a:blip xmlns:r="http://schemas.openxmlformats.org/officeDocument/2006/relationships" r:embed="rId1"/>
        <a:stretch>
          <a:fillRect/>
        </a:stretch>
      </xdr:blipFill>
      <xdr:spPr>
        <a:xfrm>
          <a:off x="18902417" y="4245427"/>
          <a:ext cx="2540657" cy="16266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622300</xdr:colOff>
      <xdr:row>5</xdr:row>
      <xdr:rowOff>12700</xdr:rowOff>
    </xdr:from>
    <xdr:to>
      <xdr:col>1</xdr:col>
      <xdr:colOff>635000</xdr:colOff>
      <xdr:row>19</xdr:row>
      <xdr:rowOff>82177</xdr:rowOff>
    </xdr:to>
    <xdr:cxnSp macro="">
      <xdr:nvCxnSpPr>
        <xdr:cNvPr id="3" name="Conector reto 2">
          <a:extLst>
            <a:ext uri="{FF2B5EF4-FFF2-40B4-BE49-F238E27FC236}">
              <a16:creationId xmlns:a16="http://schemas.microsoft.com/office/drawing/2014/main" id="{5A218B3A-F340-4402-8DC0-68435763E008}"/>
            </a:ext>
          </a:extLst>
        </xdr:cNvPr>
        <xdr:cNvCxnSpPr/>
      </xdr:nvCxnSpPr>
      <xdr:spPr>
        <a:xfrm>
          <a:off x="1234888" y="1110876"/>
          <a:ext cx="12700" cy="27962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619125</xdr:colOff>
      <xdr:row>7</xdr:row>
      <xdr:rowOff>85725</xdr:rowOff>
    </xdr:from>
    <xdr:to>
      <xdr:col>3</xdr:col>
      <xdr:colOff>0</xdr:colOff>
      <xdr:row>7</xdr:row>
      <xdr:rowOff>85725</xdr:rowOff>
    </xdr:to>
    <xdr:cxnSp macro="">
      <xdr:nvCxnSpPr>
        <xdr:cNvPr id="5" name="Conector de Seta Reta 4">
          <a:extLst>
            <a:ext uri="{FF2B5EF4-FFF2-40B4-BE49-F238E27FC236}">
              <a16:creationId xmlns:a16="http://schemas.microsoft.com/office/drawing/2014/main" id="{F01B1D1C-A73C-48F9-BAF3-0B2EF90E222A}"/>
            </a:ext>
          </a:extLst>
        </xdr:cNvPr>
        <xdr:cNvCxnSpPr/>
      </xdr:nvCxnSpPr>
      <xdr:spPr>
        <a:xfrm>
          <a:off x="1228725" y="1619250"/>
          <a:ext cx="1485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609600</xdr:colOff>
      <xdr:row>10</xdr:row>
      <xdr:rowOff>104775</xdr:rowOff>
    </xdr:from>
    <xdr:to>
      <xdr:col>2</xdr:col>
      <xdr:colOff>819150</xdr:colOff>
      <xdr:row>10</xdr:row>
      <xdr:rowOff>104775</xdr:rowOff>
    </xdr:to>
    <xdr:cxnSp macro="">
      <xdr:nvCxnSpPr>
        <xdr:cNvPr id="6" name="Conector de Seta Reta 5">
          <a:extLst>
            <a:ext uri="{FF2B5EF4-FFF2-40B4-BE49-F238E27FC236}">
              <a16:creationId xmlns:a16="http://schemas.microsoft.com/office/drawing/2014/main" id="{8714C9C0-929B-44D0-9634-B4F87190C58B}"/>
            </a:ext>
          </a:extLst>
        </xdr:cNvPr>
        <xdr:cNvCxnSpPr/>
      </xdr:nvCxnSpPr>
      <xdr:spPr>
        <a:xfrm>
          <a:off x="1219200" y="2209800"/>
          <a:ext cx="1485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619125</xdr:colOff>
      <xdr:row>13</xdr:row>
      <xdr:rowOff>95250</xdr:rowOff>
    </xdr:from>
    <xdr:to>
      <xdr:col>3</xdr:col>
      <xdr:colOff>0</xdr:colOff>
      <xdr:row>13</xdr:row>
      <xdr:rowOff>95250</xdr:rowOff>
    </xdr:to>
    <xdr:cxnSp macro="">
      <xdr:nvCxnSpPr>
        <xdr:cNvPr id="7" name="Conector de Seta Reta 6">
          <a:extLst>
            <a:ext uri="{FF2B5EF4-FFF2-40B4-BE49-F238E27FC236}">
              <a16:creationId xmlns:a16="http://schemas.microsoft.com/office/drawing/2014/main" id="{9E5DD854-B445-4DF7-A691-CBE92B9AF655}"/>
            </a:ext>
          </a:extLst>
        </xdr:cNvPr>
        <xdr:cNvCxnSpPr/>
      </xdr:nvCxnSpPr>
      <xdr:spPr>
        <a:xfrm>
          <a:off x="1228725" y="2771775"/>
          <a:ext cx="1485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619125</xdr:colOff>
      <xdr:row>16</xdr:row>
      <xdr:rowOff>95250</xdr:rowOff>
    </xdr:from>
    <xdr:to>
      <xdr:col>3</xdr:col>
      <xdr:colOff>0</xdr:colOff>
      <xdr:row>16</xdr:row>
      <xdr:rowOff>95250</xdr:rowOff>
    </xdr:to>
    <xdr:cxnSp macro="">
      <xdr:nvCxnSpPr>
        <xdr:cNvPr id="8" name="Conector de Seta Reta 7">
          <a:extLst>
            <a:ext uri="{FF2B5EF4-FFF2-40B4-BE49-F238E27FC236}">
              <a16:creationId xmlns:a16="http://schemas.microsoft.com/office/drawing/2014/main" id="{567322DF-DCF5-4D71-9DB1-78465B70399A}"/>
            </a:ext>
          </a:extLst>
        </xdr:cNvPr>
        <xdr:cNvCxnSpPr/>
      </xdr:nvCxnSpPr>
      <xdr:spPr>
        <a:xfrm>
          <a:off x="1228725" y="3343275"/>
          <a:ext cx="1485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628650</xdr:colOff>
      <xdr:row>19</xdr:row>
      <xdr:rowOff>95250</xdr:rowOff>
    </xdr:from>
    <xdr:to>
      <xdr:col>3</xdr:col>
      <xdr:colOff>9525</xdr:colOff>
      <xdr:row>19</xdr:row>
      <xdr:rowOff>95250</xdr:rowOff>
    </xdr:to>
    <xdr:cxnSp macro="">
      <xdr:nvCxnSpPr>
        <xdr:cNvPr id="9" name="Conector de Seta Reta 8">
          <a:extLst>
            <a:ext uri="{FF2B5EF4-FFF2-40B4-BE49-F238E27FC236}">
              <a16:creationId xmlns:a16="http://schemas.microsoft.com/office/drawing/2014/main" id="{67452EC4-D313-4DCA-AA5A-F26923D4655C}"/>
            </a:ext>
          </a:extLst>
        </xdr:cNvPr>
        <xdr:cNvCxnSpPr/>
      </xdr:nvCxnSpPr>
      <xdr:spPr>
        <a:xfrm>
          <a:off x="1238250" y="3914775"/>
          <a:ext cx="1485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xdr:colOff>
      <xdr:row>7</xdr:row>
      <xdr:rowOff>91108</xdr:rowOff>
    </xdr:from>
    <xdr:to>
      <xdr:col>5</xdr:col>
      <xdr:colOff>0</xdr:colOff>
      <xdr:row>7</xdr:row>
      <xdr:rowOff>91109</xdr:rowOff>
    </xdr:to>
    <xdr:cxnSp macro="">
      <xdr:nvCxnSpPr>
        <xdr:cNvPr id="14" name="Conector de Seta Reta 13">
          <a:extLst>
            <a:ext uri="{FF2B5EF4-FFF2-40B4-BE49-F238E27FC236}">
              <a16:creationId xmlns:a16="http://schemas.microsoft.com/office/drawing/2014/main" id="{1B4BF479-96D8-4C13-BC83-A5D313ECFFAC}"/>
            </a:ext>
          </a:extLst>
        </xdr:cNvPr>
        <xdr:cNvCxnSpPr/>
      </xdr:nvCxnSpPr>
      <xdr:spPr>
        <a:xfrm flipV="1">
          <a:off x="3660914" y="1623391"/>
          <a:ext cx="745434"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978647</xdr:colOff>
      <xdr:row>10</xdr:row>
      <xdr:rowOff>115958</xdr:rowOff>
    </xdr:from>
    <xdr:to>
      <xdr:col>4</xdr:col>
      <xdr:colOff>737151</xdr:colOff>
      <xdr:row>10</xdr:row>
      <xdr:rowOff>119529</xdr:rowOff>
    </xdr:to>
    <xdr:cxnSp macro="">
      <xdr:nvCxnSpPr>
        <xdr:cNvPr id="16" name="Conector de Seta Reta 15">
          <a:extLst>
            <a:ext uri="{FF2B5EF4-FFF2-40B4-BE49-F238E27FC236}">
              <a16:creationId xmlns:a16="http://schemas.microsoft.com/office/drawing/2014/main" id="{F4788254-220B-4284-B2C0-C0ACC8900280}"/>
            </a:ext>
          </a:extLst>
        </xdr:cNvPr>
        <xdr:cNvCxnSpPr/>
      </xdr:nvCxnSpPr>
      <xdr:spPr>
        <a:xfrm flipV="1">
          <a:off x="3795059" y="2118076"/>
          <a:ext cx="752092" cy="35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8283</xdr:colOff>
      <xdr:row>13</xdr:row>
      <xdr:rowOff>107674</xdr:rowOff>
    </xdr:from>
    <xdr:to>
      <xdr:col>5</xdr:col>
      <xdr:colOff>8282</xdr:colOff>
      <xdr:row>13</xdr:row>
      <xdr:rowOff>107675</xdr:rowOff>
    </xdr:to>
    <xdr:cxnSp macro="">
      <xdr:nvCxnSpPr>
        <xdr:cNvPr id="17" name="Conector de Seta Reta 16">
          <a:extLst>
            <a:ext uri="{FF2B5EF4-FFF2-40B4-BE49-F238E27FC236}">
              <a16:creationId xmlns:a16="http://schemas.microsoft.com/office/drawing/2014/main" id="{75F0D8EC-B85A-4C1C-B18C-3DB6EA140018}"/>
            </a:ext>
          </a:extLst>
        </xdr:cNvPr>
        <xdr:cNvCxnSpPr/>
      </xdr:nvCxnSpPr>
      <xdr:spPr>
        <a:xfrm flipV="1">
          <a:off x="3669196" y="2782957"/>
          <a:ext cx="745434"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16</xdr:row>
      <xdr:rowOff>107674</xdr:rowOff>
    </xdr:from>
    <xdr:to>
      <xdr:col>4</xdr:col>
      <xdr:colOff>745434</xdr:colOff>
      <xdr:row>16</xdr:row>
      <xdr:rowOff>107675</xdr:rowOff>
    </xdr:to>
    <xdr:cxnSp macro="">
      <xdr:nvCxnSpPr>
        <xdr:cNvPr id="18" name="Conector de Seta Reta 17">
          <a:extLst>
            <a:ext uri="{FF2B5EF4-FFF2-40B4-BE49-F238E27FC236}">
              <a16:creationId xmlns:a16="http://schemas.microsoft.com/office/drawing/2014/main" id="{49C2C165-3EF5-4026-9CA4-86A40BF79209}"/>
            </a:ext>
          </a:extLst>
        </xdr:cNvPr>
        <xdr:cNvCxnSpPr/>
      </xdr:nvCxnSpPr>
      <xdr:spPr>
        <a:xfrm flipV="1">
          <a:off x="3660913" y="3354457"/>
          <a:ext cx="745434"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8283</xdr:colOff>
      <xdr:row>19</xdr:row>
      <xdr:rowOff>107674</xdr:rowOff>
    </xdr:from>
    <xdr:to>
      <xdr:col>5</xdr:col>
      <xdr:colOff>8282</xdr:colOff>
      <xdr:row>19</xdr:row>
      <xdr:rowOff>107675</xdr:rowOff>
    </xdr:to>
    <xdr:cxnSp macro="">
      <xdr:nvCxnSpPr>
        <xdr:cNvPr id="19" name="Conector de Seta Reta 18">
          <a:extLst>
            <a:ext uri="{FF2B5EF4-FFF2-40B4-BE49-F238E27FC236}">
              <a16:creationId xmlns:a16="http://schemas.microsoft.com/office/drawing/2014/main" id="{66077EFD-3902-4012-A045-C3CC140B464B}"/>
            </a:ext>
          </a:extLst>
        </xdr:cNvPr>
        <xdr:cNvCxnSpPr/>
      </xdr:nvCxnSpPr>
      <xdr:spPr>
        <a:xfrm flipV="1">
          <a:off x="3669196" y="3925957"/>
          <a:ext cx="745434"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oodyearcorp-my.sharepoint.com/DOCUME~1/a397778/LOCALS~1/Temp/notes6030C8/2011%20Fayetteville%20Safety%20Ergo%20Fir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goodyearcorp-my.sharepoint.com/DOCUME~1/a397778/LOCALS~1/Temp/notes6030C8/2011%20Consumer%20Environmental%20capital%20-%20Fayetteville.xls" TargetMode="External"/></Relationships>
</file>

<file path=xl/externalLinks/_rels/externalLink3.xml.rels><?xml version="1.0" encoding="UTF-8" standalone="yes"?>
<Relationships xmlns="http://schemas.openxmlformats.org/package/2006/relationships"><Relationship Id="rId2" Type="http://schemas.microsoft.com/office/2019/04/relationships/externalLinkLongPath" Target="https://goodyearcorp-my.sharepoint.com/ETECH/G_ETECH/Eng.New%20Tec/01)_Gest&#227;o_Projetos/05)_Budget%20Management/8)_Dashboard/CAPEX%20AOP%202020/2020/Vers&#227;o%20Fev_20/Capital%20Planning%20Summary%20-%20LA%20-%202020-2024_V5_Official_Brazil.xlsm?1BC1B954" TargetMode="External"/><Relationship Id="rId1" Type="http://schemas.openxmlformats.org/officeDocument/2006/relationships/externalLinkPath" Target="file:///\\1BC1B954\Capital%20Planning%20Summary%20-%20LA%20-%202020-2024_V5_Official_Brazil.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goodyearcorp-my.sharepoint.com/LAT/01%20-%20Capital/Capex/2020-2024/V5/Capital%20Planning%20Summary%20-%20LA%20-%202020-2024_V5_Official_.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goodyearcorp-my.sharepoint.com/ETECH/G_ETECH/Eng.New%20Tec/01)_Gest&#227;o_Projetos/05)_Budget%20Management/1)_Capital/03)_2021/Fechamentos/9+3/LA%20Consolidated%20CAPEX%209+3%20BRA%20-%20PREVIA%20-%20Rev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goodyearcorp-my.sharepoint.com/ETECH/G_ETECH/Eng.New%20Tec/01)_Gest&#227;o_Projetos/05)_Budget%20Management/1)_Capital/03)_2021/Fechamentos/9+3/LA%20Consolidated%20CAPEX%209+3%20BRA%20-%20CLO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s>
    <sheetDataSet>
      <sheetData sheetId="0">
        <row r="4">
          <cell r="B4" t="str">
            <v>Allied</v>
          </cell>
          <cell r="C4" t="str">
            <v>Asheboro</v>
          </cell>
          <cell r="D4" t="str">
            <v>Curing</v>
          </cell>
          <cell r="E4" t="str">
            <v>CTI/MSR</v>
          </cell>
        </row>
        <row r="5">
          <cell r="B5" t="str">
            <v>Commercial</v>
          </cell>
          <cell r="C5" t="str">
            <v>Buffalo</v>
          </cell>
          <cell r="D5" t="str">
            <v>Finishing</v>
          </cell>
          <cell r="E5" t="str">
            <v>Ergonomics</v>
          </cell>
        </row>
        <row r="6">
          <cell r="B6" t="str">
            <v>Consumer</v>
          </cell>
          <cell r="C6" t="str">
            <v>Danville</v>
          </cell>
          <cell r="D6" t="str">
            <v>Mixing</v>
          </cell>
          <cell r="E6" t="str">
            <v>FM Global</v>
          </cell>
        </row>
        <row r="7">
          <cell r="B7" t="str">
            <v>GDTNA</v>
          </cell>
          <cell r="C7" t="str">
            <v>Fayetteville</v>
          </cell>
          <cell r="D7" t="str">
            <v>Other</v>
          </cell>
          <cell r="E7" t="str">
            <v>Government</v>
          </cell>
        </row>
        <row r="8">
          <cell r="C8" t="str">
            <v>Gadsden</v>
          </cell>
          <cell r="D8" t="str">
            <v>Preparation</v>
          </cell>
          <cell r="E8" t="str">
            <v>Injury Reduction</v>
          </cell>
        </row>
        <row r="9">
          <cell r="C9" t="str">
            <v>Kingman</v>
          </cell>
          <cell r="D9" t="str">
            <v>Tire Building</v>
          </cell>
          <cell r="E9" t="str">
            <v>MER</v>
          </cell>
        </row>
        <row r="10">
          <cell r="C10" t="str">
            <v>Lawton</v>
          </cell>
          <cell r="E10" t="str">
            <v>Solvent Reduction</v>
          </cell>
        </row>
        <row r="11">
          <cell r="C11" t="str">
            <v>Medicine Hat</v>
          </cell>
          <cell r="E11" t="str">
            <v>Waste Disposal</v>
          </cell>
        </row>
        <row r="12">
          <cell r="C12" t="str">
            <v>Napanee</v>
          </cell>
        </row>
        <row r="13">
          <cell r="C13" t="str">
            <v>Radford</v>
          </cell>
        </row>
        <row r="14">
          <cell r="C14" t="str">
            <v>Social Circle</v>
          </cell>
        </row>
        <row r="15">
          <cell r="C15" t="str">
            <v>Spartanburg</v>
          </cell>
        </row>
        <row r="16">
          <cell r="C16" t="str">
            <v>Statesville</v>
          </cell>
        </row>
        <row r="17">
          <cell r="C17" t="str">
            <v>Stockbridge</v>
          </cell>
        </row>
        <row r="18">
          <cell r="C18" t="str">
            <v>Tech Center</v>
          </cell>
        </row>
        <row r="19">
          <cell r="C19" t="str">
            <v>Topeka</v>
          </cell>
        </row>
        <row r="20">
          <cell r="C20" t="str">
            <v>Tyler</v>
          </cell>
        </row>
        <row r="21">
          <cell r="C21" t="str">
            <v>Union City</v>
          </cell>
        </row>
        <row r="22">
          <cell r="C22" t="str">
            <v>Valleyfield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VIRONMENTAL"/>
      <sheetName val="LIST"/>
    </sheetNames>
    <sheetDataSet>
      <sheetData sheetId="0" refreshError="1"/>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ital Project Plan"/>
      <sheetName val="Categories"/>
      <sheetName val="By Plant"/>
      <sheetName val="By Month"/>
      <sheetName val="By PBU"/>
      <sheetName val="Category Definitions"/>
      <sheetName val="IM Program for AP0"/>
      <sheetName val="Menu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ital Project Plan"/>
      <sheetName val="Categories"/>
      <sheetName val="By Plant"/>
      <sheetName val="By Month"/>
      <sheetName val="By PBU"/>
      <sheetName val="Category Definitions"/>
      <sheetName val="IM Program for AP0"/>
      <sheetName val="MenuData"/>
    </sheetNames>
    <sheetDataSet>
      <sheetData sheetId="0"/>
      <sheetData sheetId="1"/>
      <sheetData sheetId="2"/>
      <sheetData sheetId="3"/>
      <sheetData sheetId="4"/>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s"/>
      <sheetName val="Cap Int Est"/>
      <sheetName val="Planilha3"/>
      <sheetName val="Database"/>
      <sheetName val="Reports"/>
      <sheetName val="Comparison"/>
      <sheetName val="Comparison (2)"/>
      <sheetName val="Dinamics"/>
      <sheetName val="LA 8+4'21"/>
      <sheetName val="Graph "/>
      <sheetName val="Sheet1"/>
    </sheetNames>
    <sheetDataSet>
      <sheetData sheetId="0" refreshError="1"/>
      <sheetData sheetId="1" refreshError="1"/>
      <sheetData sheetId="2" refreshError="1"/>
      <sheetData sheetId="3">
        <row r="126">
          <cell r="B126" t="str">
            <v>ICP-200043</v>
          </cell>
          <cell r="C126" t="str">
            <v>AMERICANA (2) VMI MAXX</v>
          </cell>
          <cell r="D126" t="str">
            <v>Capability</v>
          </cell>
          <cell r="E126" t="str">
            <v>N</v>
          </cell>
          <cell r="F126" t="str">
            <v>LA</v>
          </cell>
          <cell r="H126" t="str">
            <v>Consumer Radial</v>
          </cell>
          <cell r="I126" t="str">
            <v>Tire Assembly</v>
          </cell>
          <cell r="J126" t="str">
            <v>AME</v>
          </cell>
          <cell r="S126">
            <v>104.54456</v>
          </cell>
          <cell r="T126">
            <v>181.03426000000002</v>
          </cell>
          <cell r="U126">
            <v>2102.7985000000003</v>
          </cell>
          <cell r="V126">
            <v>6.3028500000000012</v>
          </cell>
          <cell r="W126">
            <v>6.3028500000000012</v>
          </cell>
          <cell r="X126">
            <v>39.369999999999997</v>
          </cell>
          <cell r="Y126">
            <v>8539.2071599999999</v>
          </cell>
          <cell r="AD126">
            <v>-4587</v>
          </cell>
        </row>
        <row r="127">
          <cell r="B127" t="str">
            <v>ICP-200046</v>
          </cell>
          <cell r="C127" t="str">
            <v>COLOMBIA CURING PRESSES/FINAL FINISH</v>
          </cell>
          <cell r="D127" t="str">
            <v>Quality - Improvement</v>
          </cell>
          <cell r="E127" t="str">
            <v>N</v>
          </cell>
          <cell r="F127" t="str">
            <v>LA</v>
          </cell>
          <cell r="H127" t="str">
            <v>Commercial Radial</v>
          </cell>
          <cell r="I127" t="str">
            <v>Final Finish</v>
          </cell>
          <cell r="J127" t="str">
            <v>COL</v>
          </cell>
          <cell r="S127">
            <v>29.470839999999995</v>
          </cell>
          <cell r="T127">
            <v>83.965550000000007</v>
          </cell>
          <cell r="U127">
            <v>3.7468499999999949</v>
          </cell>
          <cell r="V127">
            <v>1.7841600000000002</v>
          </cell>
          <cell r="W127">
            <v>1.7841600000000002</v>
          </cell>
          <cell r="X127">
            <v>206.41920000000002</v>
          </cell>
          <cell r="Y127">
            <v>1401.21633</v>
          </cell>
        </row>
        <row r="128">
          <cell r="B128" t="str">
            <v>ICP-210002</v>
          </cell>
          <cell r="C128" t="str">
            <v>Americana Mixer BB#07</v>
          </cell>
          <cell r="D128" t="str">
            <v>Facilities Sustaining</v>
          </cell>
          <cell r="E128" t="str">
            <v>N</v>
          </cell>
          <cell r="F128" t="str">
            <v>LA</v>
          </cell>
          <cell r="H128" t="str">
            <v>MIXED</v>
          </cell>
          <cell r="I128" t="str">
            <v>MIXING</v>
          </cell>
          <cell r="J128" t="str">
            <v>AME</v>
          </cell>
          <cell r="T128">
            <v>771.17036000000007</v>
          </cell>
          <cell r="U128">
            <v>0</v>
          </cell>
          <cell r="AD128">
            <v>0</v>
          </cell>
        </row>
        <row r="129">
          <cell r="B129" t="str">
            <v>ICP-210003</v>
          </cell>
          <cell r="C129" t="str">
            <v>PER GENERATOR PORTABLE NITROGEN PLANT</v>
          </cell>
          <cell r="D129" t="str">
            <v>Quality - Improvement</v>
          </cell>
          <cell r="E129" t="str">
            <v>N</v>
          </cell>
          <cell r="F129" t="str">
            <v>LA</v>
          </cell>
          <cell r="H129" t="str">
            <v>Mixed</v>
          </cell>
          <cell r="I129" t="str">
            <v>ENGINEERING</v>
          </cell>
          <cell r="J129" t="str">
            <v>PER</v>
          </cell>
          <cell r="T129">
            <v>0</v>
          </cell>
          <cell r="U129">
            <v>0</v>
          </cell>
        </row>
        <row r="130">
          <cell r="B130" t="str">
            <v>ICP-XXXXX</v>
          </cell>
          <cell r="C130" t="str">
            <v>AME - Pigment Room</v>
          </cell>
          <cell r="D130" t="str">
            <v>Capability</v>
          </cell>
          <cell r="E130" t="str">
            <v>N</v>
          </cell>
          <cell r="F130" t="str">
            <v>LA</v>
          </cell>
          <cell r="H130" t="str">
            <v>MIXED</v>
          </cell>
          <cell r="I130" t="str">
            <v>COMPONENT PREP OTHER</v>
          </cell>
          <cell r="J130" t="str">
            <v>AME</v>
          </cell>
          <cell r="T130">
            <v>0</v>
          </cell>
          <cell r="U130">
            <v>2000</v>
          </cell>
          <cell r="AD130">
            <v>-2000</v>
          </cell>
        </row>
        <row r="131">
          <cell r="B131" t="str">
            <v>ICP-210008</v>
          </cell>
          <cell r="C131" t="str">
            <v>PER FVM #4 (EX GADSDEN)</v>
          </cell>
          <cell r="D131" t="str">
            <v>Facilities Sustaining</v>
          </cell>
          <cell r="E131" t="str">
            <v>N</v>
          </cell>
          <cell r="F131" t="str">
            <v>LA</v>
          </cell>
          <cell r="H131" t="str">
            <v>MIXED</v>
          </cell>
          <cell r="I131" t="str">
            <v>Final Finish</v>
          </cell>
          <cell r="J131" t="str">
            <v>PER</v>
          </cell>
          <cell r="T131">
            <v>82.162080000000003</v>
          </cell>
          <cell r="U131">
            <v>0</v>
          </cell>
          <cell r="X131">
            <v>0</v>
          </cell>
          <cell r="Y131">
            <v>16.91</v>
          </cell>
        </row>
        <row r="132">
          <cell r="B132" t="str">
            <v>ICP-210011</v>
          </cell>
          <cell r="C132" t="str">
            <v>AME Mill Drive #3 Upgrade</v>
          </cell>
          <cell r="D132" t="str">
            <v>Facilities Sustaining</v>
          </cell>
          <cell r="E132" t="str">
            <v>N</v>
          </cell>
          <cell r="F132" t="str">
            <v>LA</v>
          </cell>
          <cell r="H132" t="str">
            <v>MIXED</v>
          </cell>
          <cell r="I132" t="str">
            <v>COMPONENT PREP OTHER</v>
          </cell>
          <cell r="J132" t="str">
            <v>AME</v>
          </cell>
          <cell r="T132">
            <v>1.45035</v>
          </cell>
          <cell r="U132">
            <v>-1.5</v>
          </cell>
          <cell r="AD132">
            <v>0</v>
          </cell>
        </row>
        <row r="133">
          <cell r="B133" t="str">
            <v>ICP-210016</v>
          </cell>
          <cell r="C133" t="str">
            <v>AME FVM TGIS Upgrade</v>
          </cell>
          <cell r="D133" t="str">
            <v>Facilities Sustaining</v>
          </cell>
          <cell r="E133" t="str">
            <v>N</v>
          </cell>
          <cell r="F133" t="str">
            <v>LA</v>
          </cell>
          <cell r="H133" t="str">
            <v>CONSUMER RADIAL</v>
          </cell>
          <cell r="I133" t="str">
            <v>FINAL FINISH</v>
          </cell>
          <cell r="J133" t="str">
            <v>AME</v>
          </cell>
          <cell r="T133">
            <v>43.52225</v>
          </cell>
          <cell r="U133">
            <v>-43.4925</v>
          </cell>
          <cell r="X133">
            <v>0</v>
          </cell>
          <cell r="Y133">
            <v>22.807500000000001</v>
          </cell>
          <cell r="AD133">
            <v>0</v>
          </cell>
        </row>
        <row r="134">
          <cell r="B134" t="str">
            <v>ICP-210019</v>
          </cell>
          <cell r="C134" t="str">
            <v>COL New TCU Wire Calender</v>
          </cell>
          <cell r="D134" t="str">
            <v>Facilities Sustaining</v>
          </cell>
          <cell r="E134" t="str">
            <v>N</v>
          </cell>
          <cell r="F134" t="str">
            <v>LA</v>
          </cell>
          <cell r="H134" t="str">
            <v>Commercial Radial</v>
          </cell>
          <cell r="I134" t="str">
            <v>Component Prep Other</v>
          </cell>
          <cell r="J134" t="str">
            <v>COL</v>
          </cell>
          <cell r="T134">
            <v>0.92894999999999994</v>
          </cell>
          <cell r="U134">
            <v>0</v>
          </cell>
          <cell r="X134">
            <v>0</v>
          </cell>
          <cell r="Y134">
            <v>230</v>
          </cell>
        </row>
        <row r="135">
          <cell r="B135" t="str">
            <v>ICP-210031</v>
          </cell>
          <cell r="C135" t="str">
            <v>AME Creel Room Transfer Gadsden</v>
          </cell>
          <cell r="D135" t="str">
            <v>Productivity</v>
          </cell>
          <cell r="E135" t="str">
            <v>N</v>
          </cell>
          <cell r="F135" t="str">
            <v>LA</v>
          </cell>
          <cell r="H135" t="str">
            <v>CONSUMER RADIAL</v>
          </cell>
          <cell r="I135" t="str">
            <v>COMPONENT PREP OTHER</v>
          </cell>
          <cell r="J135" t="str">
            <v>AME</v>
          </cell>
          <cell r="T135">
            <v>0</v>
          </cell>
          <cell r="U135">
            <v>0</v>
          </cell>
          <cell r="AD135">
            <v>0</v>
          </cell>
        </row>
        <row r="136">
          <cell r="B136" t="str">
            <v>ICP-210036</v>
          </cell>
          <cell r="C136" t="str">
            <v>AME - NEW MRT KOKUSAI MACHINE</v>
          </cell>
          <cell r="D136" t="str">
            <v>Quality - Improvement</v>
          </cell>
          <cell r="E136" t="str">
            <v>N</v>
          </cell>
          <cell r="F136" t="str">
            <v>LA</v>
          </cell>
          <cell r="H136" t="str">
            <v>OTR</v>
          </cell>
          <cell r="I136" t="str">
            <v>OTHER</v>
          </cell>
          <cell r="J136" t="str">
            <v>AME</v>
          </cell>
          <cell r="T136">
            <v>0</v>
          </cell>
          <cell r="U136">
            <v>360</v>
          </cell>
          <cell r="X136">
            <v>1231.75</v>
          </cell>
          <cell r="Y136">
            <v>0</v>
          </cell>
          <cell r="AD136">
            <v>-360</v>
          </cell>
        </row>
        <row r="137">
          <cell r="B137" t="str">
            <v>ICP-XXXXX3</v>
          </cell>
          <cell r="C137" t="str">
            <v>AME - MIXER#3 BODY REPLACEMENT (AKRON)</v>
          </cell>
          <cell r="D137" t="str">
            <v>Facilities Sustaining</v>
          </cell>
          <cell r="E137" t="str">
            <v>N</v>
          </cell>
          <cell r="F137" t="str">
            <v>LA</v>
          </cell>
          <cell r="J137" t="str">
            <v>AME</v>
          </cell>
          <cell r="T137">
            <v>0</v>
          </cell>
          <cell r="U137">
            <v>280</v>
          </cell>
          <cell r="AD137">
            <v>-280</v>
          </cell>
        </row>
        <row r="138">
          <cell r="B138" t="str">
            <v>ICP-210037</v>
          </cell>
          <cell r="C138" t="str">
            <v>AME - Vulcaweld Creel Room Press</v>
          </cell>
          <cell r="D138" t="str">
            <v>Facilities Sustaining</v>
          </cell>
          <cell r="E138" t="str">
            <v>N</v>
          </cell>
          <cell r="F138" t="str">
            <v>LA</v>
          </cell>
          <cell r="H138" t="str">
            <v>MIXED</v>
          </cell>
          <cell r="J138" t="str">
            <v>AME</v>
          </cell>
          <cell r="T138">
            <v>0</v>
          </cell>
          <cell r="U138">
            <v>0</v>
          </cell>
          <cell r="W138">
            <v>20</v>
          </cell>
          <cell r="X138">
            <v>0</v>
          </cell>
          <cell r="Y138">
            <v>14.7</v>
          </cell>
          <cell r="AD138">
            <v>0</v>
          </cell>
        </row>
        <row r="139">
          <cell r="B139" t="str">
            <v>ICP-210038</v>
          </cell>
          <cell r="C139" t="str">
            <v>AME IT Plant Network Devices</v>
          </cell>
          <cell r="D139" t="str">
            <v>IT</v>
          </cell>
          <cell r="E139" t="str">
            <v>N</v>
          </cell>
          <cell r="F139" t="str">
            <v>LA</v>
          </cell>
          <cell r="H139" t="str">
            <v>Other</v>
          </cell>
          <cell r="I139" t="str">
            <v>SAG - IT</v>
          </cell>
          <cell r="J139" t="str">
            <v>AME</v>
          </cell>
          <cell r="T139">
            <v>9.4469999999999998E-2</v>
          </cell>
          <cell r="U139">
            <v>0</v>
          </cell>
          <cell r="X139">
            <v>0</v>
          </cell>
          <cell r="Y139">
            <v>172</v>
          </cell>
        </row>
        <row r="140">
          <cell r="B140" t="str">
            <v>ICP-210032</v>
          </cell>
          <cell r="C140" t="str">
            <v>AME PNC Pneumatic Core Construct</v>
          </cell>
          <cell r="D140" t="str">
            <v>Capability</v>
          </cell>
          <cell r="E140" t="str">
            <v>N</v>
          </cell>
          <cell r="F140" t="str">
            <v>LA</v>
          </cell>
          <cell r="H140" t="str">
            <v>LA Win in OE</v>
          </cell>
          <cell r="I140" t="str">
            <v>N/A</v>
          </cell>
          <cell r="J140" t="str">
            <v>AME</v>
          </cell>
          <cell r="T140">
            <v>243.59408000000002</v>
          </cell>
          <cell r="U140">
            <v>0</v>
          </cell>
          <cell r="X140">
            <v>0</v>
          </cell>
          <cell r="Y140">
            <v>568.48421999999994</v>
          </cell>
          <cell r="AD140">
            <v>-243.00000000000011</v>
          </cell>
        </row>
        <row r="141">
          <cell r="B141" t="str">
            <v>ICP-210004</v>
          </cell>
          <cell r="C141" t="str">
            <v>AME MATTEUZZI RRM45 SMART GRINDER</v>
          </cell>
          <cell r="D141" t="str">
            <v>Quality - Improvement</v>
          </cell>
          <cell r="E141" t="str">
            <v>N</v>
          </cell>
          <cell r="F141" t="str">
            <v>LA</v>
          </cell>
          <cell r="H141" t="str">
            <v>CONSUMER RADIAL</v>
          </cell>
          <cell r="I141" t="str">
            <v>OTHER</v>
          </cell>
          <cell r="J141" t="str">
            <v>AME</v>
          </cell>
          <cell r="T141">
            <v>6.2932500000000022</v>
          </cell>
          <cell r="U141">
            <v>0</v>
          </cell>
          <cell r="X141">
            <v>0</v>
          </cell>
          <cell r="Y141">
            <v>593.12354999999991</v>
          </cell>
          <cell r="AD141">
            <v>-186.3</v>
          </cell>
        </row>
        <row r="142">
          <cell r="B142" t="str">
            <v>ICP-XXXXX2</v>
          </cell>
          <cell r="C142" t="str">
            <v>AME - (8) PCI Cavities</v>
          </cell>
          <cell r="D142" t="str">
            <v>Capability</v>
          </cell>
          <cell r="E142" t="str">
            <v>N</v>
          </cell>
          <cell r="F142" t="str">
            <v>LA</v>
          </cell>
          <cell r="H142" t="str">
            <v>CONSUMER RADIAL</v>
          </cell>
          <cell r="I142" t="str">
            <v>Curing</v>
          </cell>
          <cell r="J142" t="str">
            <v>AME</v>
          </cell>
          <cell r="T142">
            <v>0</v>
          </cell>
          <cell r="U142">
            <v>100</v>
          </cell>
          <cell r="AD142">
            <v>-100</v>
          </cell>
        </row>
        <row r="143">
          <cell r="B143" t="str">
            <v>LCP-170154</v>
          </cell>
          <cell r="C143" t="str">
            <v>BRZ - AVCB NEW WAREHOUSE-BUILDING COMMERCIAL</v>
          </cell>
          <cell r="D143" t="str">
            <v>SAG</v>
          </cell>
          <cell r="E143" t="str">
            <v>C</v>
          </cell>
          <cell r="F143" t="str">
            <v>LA</v>
          </cell>
          <cell r="G143">
            <v>0</v>
          </cell>
          <cell r="H143" t="str">
            <v>Mixed</v>
          </cell>
          <cell r="I143" t="str">
            <v>SAG - Supply Chain</v>
          </cell>
          <cell r="J143" t="str">
            <v>BRZ</v>
          </cell>
          <cell r="O143">
            <v>2866.6</v>
          </cell>
          <cell r="Q143">
            <v>2866.6</v>
          </cell>
          <cell r="R143">
            <v>2646.8693699999963</v>
          </cell>
          <cell r="S143">
            <v>2646.8693699999963</v>
          </cell>
          <cell r="T143">
            <v>0</v>
          </cell>
          <cell r="U143">
            <v>0</v>
          </cell>
          <cell r="V143">
            <v>0.7</v>
          </cell>
          <cell r="W143">
            <v>0.7</v>
          </cell>
          <cell r="Z143">
            <v>219.73063000000366</v>
          </cell>
          <cell r="AA143">
            <v>-219.73063000000366</v>
          </cell>
          <cell r="AB143">
            <v>2646.8693699999963</v>
          </cell>
          <cell r="AC143">
            <v>-219.73063000000366</v>
          </cell>
          <cell r="AD143">
            <v>0</v>
          </cell>
        </row>
        <row r="144">
          <cell r="B144" t="str">
            <v>LCP-180002</v>
          </cell>
          <cell r="C144" t="str">
            <v>FAM AVCB PHASE II EMERGENCY LIGHTINING AND ALARMS</v>
          </cell>
          <cell r="D144" t="str">
            <v>EHS</v>
          </cell>
          <cell r="E144" t="str">
            <v>C</v>
          </cell>
          <cell r="F144" t="str">
            <v>LA</v>
          </cell>
          <cell r="G144" t="str">
            <v>COMP</v>
          </cell>
          <cell r="H144" t="str">
            <v>Mixed</v>
          </cell>
          <cell r="I144" t="str">
            <v>N/A</v>
          </cell>
          <cell r="J144" t="str">
            <v>AME</v>
          </cell>
          <cell r="O144">
            <v>3243</v>
          </cell>
          <cell r="P144">
            <v>249</v>
          </cell>
          <cell r="Q144">
            <v>3492</v>
          </cell>
          <cell r="R144">
            <v>3292.9036800000044</v>
          </cell>
          <cell r="S144">
            <v>3302.6670500000046</v>
          </cell>
          <cell r="T144">
            <v>9.7633699999999983</v>
          </cell>
          <cell r="U144">
            <v>0</v>
          </cell>
          <cell r="V144">
            <v>75</v>
          </cell>
          <cell r="W144">
            <v>75</v>
          </cell>
          <cell r="Z144">
            <v>189.33294999999544</v>
          </cell>
          <cell r="AA144">
            <v>-189.33294999999544</v>
          </cell>
          <cell r="AB144">
            <v>3302.6670500000046</v>
          </cell>
          <cell r="AC144">
            <v>-189.33294999999544</v>
          </cell>
          <cell r="AD144">
            <v>0</v>
          </cell>
        </row>
        <row r="145">
          <cell r="B145" t="str">
            <v>LCP-180003</v>
          </cell>
          <cell r="C145" t="str">
            <v>GEM PROJECT EMC GRAVATAÍ</v>
          </cell>
          <cell r="D145" t="str">
            <v>SAG</v>
          </cell>
          <cell r="E145" t="str">
            <v>C</v>
          </cell>
          <cell r="F145" t="str">
            <v>LA</v>
          </cell>
          <cell r="G145">
            <v>0</v>
          </cell>
          <cell r="H145" t="str">
            <v>N/A</v>
          </cell>
          <cell r="I145" t="str">
            <v>FACILITIES/INFRASTRUCTURE</v>
          </cell>
          <cell r="J145" t="str">
            <v>MC</v>
          </cell>
          <cell r="O145">
            <v>2880</v>
          </cell>
          <cell r="P145">
            <v>887.5</v>
          </cell>
          <cell r="Q145">
            <v>3767.5</v>
          </cell>
          <cell r="R145">
            <v>3449.8341700000001</v>
          </cell>
          <cell r="S145">
            <v>3456.2623200000003</v>
          </cell>
          <cell r="T145">
            <v>6.4281499999999996</v>
          </cell>
          <cell r="U145">
            <v>0</v>
          </cell>
          <cell r="V145">
            <v>10.029610000000002</v>
          </cell>
          <cell r="W145">
            <v>10.029610000000002</v>
          </cell>
          <cell r="Z145">
            <v>311.23767999999973</v>
          </cell>
          <cell r="AA145">
            <v>-311.23767999999973</v>
          </cell>
          <cell r="AB145">
            <v>3456.2623200000003</v>
          </cell>
          <cell r="AC145">
            <v>-311.23767999999973</v>
          </cell>
          <cell r="AD145">
            <v>0</v>
          </cell>
        </row>
        <row r="146">
          <cell r="B146" t="str">
            <v>LCP-180010</v>
          </cell>
          <cell r="C146" t="str">
            <v>(3) NEW 52 HYDRAULIC CONSUMER PRESSES</v>
          </cell>
          <cell r="D146" t="str">
            <v>Capability</v>
          </cell>
          <cell r="E146" t="str">
            <v>C</v>
          </cell>
          <cell r="F146" t="str">
            <v>LA</v>
          </cell>
          <cell r="G146">
            <v>0</v>
          </cell>
          <cell r="H146" t="str">
            <v>Commercial Radial</v>
          </cell>
          <cell r="I146" t="str">
            <v>Curing</v>
          </cell>
          <cell r="J146" t="str">
            <v>AME</v>
          </cell>
          <cell r="O146">
            <v>2961.5</v>
          </cell>
          <cell r="Q146">
            <v>2961.5</v>
          </cell>
          <cell r="R146">
            <v>2419.5096100000001</v>
          </cell>
          <cell r="S146">
            <v>2474.2202499999999</v>
          </cell>
          <cell r="T146">
            <v>54.710640000000005</v>
          </cell>
          <cell r="U146">
            <v>0</v>
          </cell>
          <cell r="V146">
            <v>63.749110000000002</v>
          </cell>
          <cell r="W146">
            <v>63.749110000000002</v>
          </cell>
          <cell r="Z146">
            <v>487.27975000000015</v>
          </cell>
          <cell r="AD146">
            <v>0</v>
          </cell>
        </row>
        <row r="147">
          <cell r="B147" t="str">
            <v>LCP-180080</v>
          </cell>
          <cell r="C147" t="str">
            <v>COMMERCIAL TIRE BUILDING MACHINE</v>
          </cell>
          <cell r="D147" t="str">
            <v>Capability</v>
          </cell>
          <cell r="E147" t="str">
            <v>C</v>
          </cell>
          <cell r="F147" t="str">
            <v>LA</v>
          </cell>
          <cell r="H147" t="str">
            <v>Commercial Radial</v>
          </cell>
          <cell r="I147" t="str">
            <v>Tire Assembly</v>
          </cell>
          <cell r="J147" t="str">
            <v>AME</v>
          </cell>
          <cell r="O147">
            <v>10188.982</v>
          </cell>
          <cell r="Q147">
            <v>10188.982</v>
          </cell>
          <cell r="R147">
            <v>6223.9736700000003</v>
          </cell>
          <cell r="S147">
            <v>6255.96137</v>
          </cell>
          <cell r="T147">
            <v>31.9877</v>
          </cell>
          <cell r="U147">
            <v>0</v>
          </cell>
          <cell r="V147">
            <v>5.3449499999999999</v>
          </cell>
          <cell r="W147">
            <v>5.3449499999999999</v>
          </cell>
          <cell r="Z147">
            <v>3933.02063</v>
          </cell>
          <cell r="AD147">
            <v>0</v>
          </cell>
        </row>
        <row r="148">
          <cell r="B148" t="str">
            <v>LCP-180081</v>
          </cell>
          <cell r="C148" t="str">
            <v>GEM PROJECT SÃO CAETANO DO SUL</v>
          </cell>
          <cell r="D148" t="str">
            <v>SAG</v>
          </cell>
          <cell r="E148" t="str">
            <v>C</v>
          </cell>
          <cell r="F148" t="str">
            <v>LA</v>
          </cell>
          <cell r="H148" t="str">
            <v>N/A</v>
          </cell>
          <cell r="I148" t="str">
            <v>N/A</v>
          </cell>
          <cell r="J148" t="str">
            <v>MC</v>
          </cell>
          <cell r="O148">
            <v>5863</v>
          </cell>
          <cell r="Q148">
            <v>5863</v>
          </cell>
          <cell r="R148">
            <v>4989.9439300000004</v>
          </cell>
          <cell r="S148">
            <v>4989.1904800000002</v>
          </cell>
          <cell r="T148">
            <v>-0.75344999999999995</v>
          </cell>
          <cell r="U148">
            <v>0</v>
          </cell>
          <cell r="V148">
            <v>-0.35293000000000063</v>
          </cell>
          <cell r="W148">
            <v>-0.35293000000000063</v>
          </cell>
          <cell r="Z148">
            <v>873.80951999999979</v>
          </cell>
          <cell r="AA148">
            <v>-873.80951999999979</v>
          </cell>
          <cell r="AB148">
            <v>4989.1904800000002</v>
          </cell>
          <cell r="AC148">
            <v>-873.80951999999979</v>
          </cell>
          <cell r="AD148">
            <v>0</v>
          </cell>
        </row>
        <row r="149">
          <cell r="B149" t="str">
            <v>LCP-180095</v>
          </cell>
          <cell r="C149" t="str">
            <v>AME - METAL DETECTOR IN CALANDERS (FORD PROJECT)</v>
          </cell>
          <cell r="D149" t="str">
            <v>Quality - Improvement</v>
          </cell>
          <cell r="E149" t="str">
            <v>C</v>
          </cell>
          <cell r="F149" t="str">
            <v>LA</v>
          </cell>
          <cell r="H149" t="str">
            <v>Mixed</v>
          </cell>
          <cell r="I149" t="str">
            <v xml:space="preserve">Extruding </v>
          </cell>
          <cell r="J149" t="str">
            <v>AME</v>
          </cell>
          <cell r="O149">
            <v>247</v>
          </cell>
          <cell r="Q149">
            <v>247</v>
          </cell>
          <cell r="R149">
            <v>225.48117999999999</v>
          </cell>
          <cell r="S149">
            <v>250.0986</v>
          </cell>
          <cell r="T149">
            <v>24.617420000000006</v>
          </cell>
          <cell r="U149">
            <v>0</v>
          </cell>
          <cell r="V149">
            <v>50</v>
          </cell>
          <cell r="W149">
            <v>50</v>
          </cell>
          <cell r="Z149">
            <v>-3.0986000000000047</v>
          </cell>
          <cell r="AA149">
            <v>3.0986000000000047</v>
          </cell>
          <cell r="AB149">
            <v>250.0986</v>
          </cell>
          <cell r="AC149">
            <v>3.0986000000000047</v>
          </cell>
          <cell r="AD149">
            <v>0</v>
          </cell>
        </row>
        <row r="150">
          <cell r="B150" t="str">
            <v>LCP-180114</v>
          </cell>
          <cell r="C150" t="str">
            <v>LAMINATOR PROFILE AUTOMATION</v>
          </cell>
          <cell r="D150" t="str">
            <v>Facilities Sustaining</v>
          </cell>
          <cell r="E150" t="str">
            <v>C</v>
          </cell>
          <cell r="F150" t="str">
            <v>LA</v>
          </cell>
          <cell r="H150" t="str">
            <v>OTR</v>
          </cell>
          <cell r="I150" t="str">
            <v>N/A</v>
          </cell>
          <cell r="J150" t="str">
            <v>AME</v>
          </cell>
          <cell r="O150">
            <v>267.8</v>
          </cell>
          <cell r="Q150">
            <v>267.8</v>
          </cell>
          <cell r="R150">
            <v>110.45480000000001</v>
          </cell>
          <cell r="S150">
            <v>149.01047</v>
          </cell>
          <cell r="T150">
            <v>38.555669999999999</v>
          </cell>
          <cell r="U150">
            <v>0</v>
          </cell>
          <cell r="V150">
            <v>94.293819999999997</v>
          </cell>
          <cell r="W150">
            <v>94.293819999999997</v>
          </cell>
          <cell r="Z150">
            <v>118.78953000000001</v>
          </cell>
          <cell r="AA150">
            <v>-118.78953000000001</v>
          </cell>
          <cell r="AB150">
            <v>149.01047</v>
          </cell>
          <cell r="AC150">
            <v>-118.78953000000001</v>
          </cell>
          <cell r="AD150">
            <v>0</v>
          </cell>
        </row>
        <row r="151">
          <cell r="B151" t="str">
            <v>LCP-180117</v>
          </cell>
          <cell r="C151" t="str">
            <v>SAO - NEW ORBITREAD MACHINE</v>
          </cell>
          <cell r="D151" t="str">
            <v>SAG</v>
          </cell>
          <cell r="E151" t="str">
            <v>C</v>
          </cell>
          <cell r="F151" t="str">
            <v>LA</v>
          </cell>
          <cell r="H151" t="str">
            <v>Aviation</v>
          </cell>
          <cell r="I151" t="str">
            <v>Tire Assembly</v>
          </cell>
          <cell r="J151" t="str">
            <v>SAO</v>
          </cell>
          <cell r="O151">
            <v>387.67</v>
          </cell>
          <cell r="Q151">
            <v>387.67</v>
          </cell>
          <cell r="R151">
            <v>8.9772400000000001</v>
          </cell>
          <cell r="S151">
            <v>316.72945000000004</v>
          </cell>
          <cell r="T151">
            <v>312.45180000000005</v>
          </cell>
          <cell r="U151">
            <v>0</v>
          </cell>
          <cell r="V151">
            <v>376.7</v>
          </cell>
          <cell r="W151">
            <v>376.7</v>
          </cell>
          <cell r="Z151">
            <v>70.940549999999973</v>
          </cell>
          <cell r="AA151">
            <v>-70.940549999999973</v>
          </cell>
          <cell r="AB151">
            <v>316.72945000000004</v>
          </cell>
          <cell r="AC151">
            <v>-70.940549999999973</v>
          </cell>
          <cell r="AD151">
            <v>0</v>
          </cell>
        </row>
        <row r="152">
          <cell r="B152" t="str">
            <v>LCP-180137</v>
          </cell>
          <cell r="C152" t="str">
            <v>(10) VDF PANEL INSTALLATION</v>
          </cell>
          <cell r="D152" t="str">
            <v>Energy Conservation</v>
          </cell>
          <cell r="E152" t="str">
            <v>C</v>
          </cell>
          <cell r="F152" t="str">
            <v>LA</v>
          </cell>
          <cell r="H152" t="str">
            <v>Mixed</v>
          </cell>
          <cell r="I152" t="str">
            <v>N/A</v>
          </cell>
          <cell r="J152" t="str">
            <v>AME</v>
          </cell>
          <cell r="O152">
            <v>213</v>
          </cell>
          <cell r="Q152">
            <v>213</v>
          </cell>
          <cell r="R152">
            <v>160.65058000000002</v>
          </cell>
          <cell r="S152">
            <v>160.98027000000002</v>
          </cell>
          <cell r="T152">
            <v>0.32969000000000004</v>
          </cell>
          <cell r="U152">
            <v>0</v>
          </cell>
          <cell r="V152">
            <v>0.36386000000000007</v>
          </cell>
          <cell r="W152">
            <v>0.36386000000000007</v>
          </cell>
          <cell r="Z152">
            <v>52.019729999999981</v>
          </cell>
          <cell r="AA152">
            <v>-52.019729999999981</v>
          </cell>
          <cell r="AB152">
            <v>160.98027000000002</v>
          </cell>
          <cell r="AC152">
            <v>-52.019729999999981</v>
          </cell>
          <cell r="AD152">
            <v>0</v>
          </cell>
        </row>
        <row r="153">
          <cell r="B153" t="str">
            <v>LCP-180139</v>
          </cell>
          <cell r="C153" t="str">
            <v>POWER HOUSE STEAM TURBINE</v>
          </cell>
          <cell r="D153" t="str">
            <v>Energy Conservation</v>
          </cell>
          <cell r="E153" t="str">
            <v>C</v>
          </cell>
          <cell r="F153" t="str">
            <v>LA</v>
          </cell>
          <cell r="H153" t="str">
            <v>Mixed</v>
          </cell>
          <cell r="I153" t="str">
            <v>N/A</v>
          </cell>
          <cell r="J153" t="str">
            <v>AME</v>
          </cell>
          <cell r="O153">
            <v>1264.865</v>
          </cell>
          <cell r="P153">
            <v>62</v>
          </cell>
          <cell r="Q153">
            <v>1326.865</v>
          </cell>
          <cell r="R153">
            <v>1255.4557199999999</v>
          </cell>
          <cell r="S153">
            <v>1256.7585099999999</v>
          </cell>
          <cell r="T153">
            <v>1.3027899999999999</v>
          </cell>
          <cell r="U153">
            <v>0</v>
          </cell>
          <cell r="V153">
            <v>8.8639599999999987</v>
          </cell>
          <cell r="W153">
            <v>8.8639599999999987</v>
          </cell>
          <cell r="Z153">
            <v>70.106490000000122</v>
          </cell>
          <cell r="AA153">
            <v>-70.106490000000122</v>
          </cell>
          <cell r="AB153">
            <v>1256.7585099999999</v>
          </cell>
          <cell r="AC153">
            <v>-70.106490000000122</v>
          </cell>
          <cell r="AD153">
            <v>0</v>
          </cell>
        </row>
        <row r="154">
          <cell r="B154" t="str">
            <v>LCP-180149</v>
          </cell>
          <cell r="C154" t="str">
            <v>EXHAUST SYSTEM - LINES A/B &amp; G/H CONSUMER PRESSES</v>
          </cell>
          <cell r="D154" t="str">
            <v>EHS</v>
          </cell>
          <cell r="E154" t="str">
            <v>C</v>
          </cell>
          <cell r="F154" t="str">
            <v>LA</v>
          </cell>
          <cell r="G154" t="str">
            <v>HYG</v>
          </cell>
          <cell r="H154" t="str">
            <v>CONSUMER RADIAL</v>
          </cell>
          <cell r="I154" t="str">
            <v>N/A</v>
          </cell>
          <cell r="J154" t="str">
            <v>AME</v>
          </cell>
          <cell r="O154">
            <v>438.67599999999999</v>
          </cell>
          <cell r="Q154">
            <v>438.67599999999999</v>
          </cell>
          <cell r="R154">
            <v>226.38204999999999</v>
          </cell>
          <cell r="S154">
            <v>267.15053</v>
          </cell>
          <cell r="T154">
            <v>40.768479999999997</v>
          </cell>
          <cell r="U154">
            <v>0</v>
          </cell>
          <cell r="V154">
            <v>54.182309999999994</v>
          </cell>
          <cell r="W154">
            <v>54.182309999999994</v>
          </cell>
          <cell r="Z154">
            <v>171.52546999999998</v>
          </cell>
          <cell r="AA154">
            <v>-171.52546999999998</v>
          </cell>
          <cell r="AB154">
            <v>267.15053</v>
          </cell>
          <cell r="AC154">
            <v>-171.52546999999998</v>
          </cell>
          <cell r="AD154">
            <v>0</v>
          </cell>
        </row>
        <row r="155">
          <cell r="B155" t="str">
            <v>LCP-180150</v>
          </cell>
          <cell r="C155" t="str">
            <v>SAO - SHEROGRAPHY UPGRADE (OBSEOLESCENCE AND SOFTWARE)</v>
          </cell>
          <cell r="D155" t="str">
            <v>SAG</v>
          </cell>
          <cell r="E155" t="str">
            <v>C</v>
          </cell>
          <cell r="F155" t="str">
            <v>LA</v>
          </cell>
          <cell r="H155" t="str">
            <v>Aviation</v>
          </cell>
          <cell r="I155" t="str">
            <v>Other</v>
          </cell>
          <cell r="J155" t="str">
            <v>SAO</v>
          </cell>
          <cell r="O155">
            <v>77.8</v>
          </cell>
          <cell r="Q155">
            <v>77.8</v>
          </cell>
          <cell r="R155">
            <v>41.670199999999994</v>
          </cell>
          <cell r="S155">
            <v>41.670199999999994</v>
          </cell>
          <cell r="T155">
            <v>0</v>
          </cell>
          <cell r="U155">
            <v>0</v>
          </cell>
          <cell r="V155">
            <v>9.9</v>
          </cell>
          <cell r="W155">
            <v>9.9</v>
          </cell>
          <cell r="Z155">
            <v>36.129800000000003</v>
          </cell>
          <cell r="AA155">
            <v>-36.129800000000003</v>
          </cell>
          <cell r="AB155">
            <v>41.670199999999994</v>
          </cell>
          <cell r="AC155">
            <v>-36.129800000000003</v>
          </cell>
          <cell r="AD155">
            <v>0</v>
          </cell>
        </row>
        <row r="156">
          <cell r="B156" t="str">
            <v>LCP-180174</v>
          </cell>
          <cell r="C156" t="str">
            <v>METAL DETECTOR IN EXTRUDERS</v>
          </cell>
          <cell r="D156" t="str">
            <v>Quality - Improvement</v>
          </cell>
          <cell r="E156" t="str">
            <v>C</v>
          </cell>
          <cell r="F156" t="str">
            <v>LA</v>
          </cell>
          <cell r="H156" t="str">
            <v>MIXED</v>
          </cell>
          <cell r="I156" t="str">
            <v>COMPONENT PREP OTHER</v>
          </cell>
          <cell r="J156" t="str">
            <v>AME</v>
          </cell>
          <cell r="O156">
            <v>284.57</v>
          </cell>
          <cell r="P156">
            <v>105.654</v>
          </cell>
          <cell r="Q156">
            <v>390.22399999999999</v>
          </cell>
          <cell r="R156">
            <v>68.774510000000006</v>
          </cell>
          <cell r="S156">
            <v>116.18638000000001</v>
          </cell>
          <cell r="T156">
            <v>47.41187</v>
          </cell>
          <cell r="U156">
            <v>0</v>
          </cell>
          <cell r="V156">
            <v>26.905099999999997</v>
          </cell>
          <cell r="W156">
            <v>26.905099999999997</v>
          </cell>
          <cell r="Z156">
            <v>274.03761999999995</v>
          </cell>
          <cell r="AA156">
            <v>-274.03761999999995</v>
          </cell>
          <cell r="AB156">
            <v>116.18638000000001</v>
          </cell>
          <cell r="AC156">
            <v>-274.03761999999995</v>
          </cell>
          <cell r="AD156">
            <v>0</v>
          </cell>
        </row>
        <row r="157">
          <cell r="B157" t="str">
            <v>LCP-180178</v>
          </cell>
          <cell r="C157" t="str">
            <v>WIND UP LET OFF NGTTS#5 &amp; #8</v>
          </cell>
          <cell r="D157" t="str">
            <v>EHS</v>
          </cell>
          <cell r="E157" t="str">
            <v>C</v>
          </cell>
          <cell r="F157" t="str">
            <v>LA</v>
          </cell>
          <cell r="G157" t="str">
            <v>MSR</v>
          </cell>
          <cell r="H157" t="str">
            <v>COMMERCIAL RADIAL</v>
          </cell>
          <cell r="I157" t="str">
            <v>Tire Assembly</v>
          </cell>
          <cell r="J157" t="str">
            <v>AME</v>
          </cell>
          <cell r="O157">
            <v>242.75</v>
          </cell>
          <cell r="Q157">
            <v>242.75</v>
          </cell>
          <cell r="R157">
            <v>195.34764000000001</v>
          </cell>
          <cell r="S157">
            <v>198.16334000000001</v>
          </cell>
          <cell r="T157">
            <v>2.815700000000001</v>
          </cell>
          <cell r="U157">
            <v>0</v>
          </cell>
          <cell r="V157">
            <v>3.4014400000000009</v>
          </cell>
          <cell r="W157">
            <v>3.4014400000000009</v>
          </cell>
          <cell r="Z157">
            <v>44.586659999999995</v>
          </cell>
          <cell r="AA157">
            <v>-44.586659999999995</v>
          </cell>
          <cell r="AB157">
            <v>198.16334000000001</v>
          </cell>
          <cell r="AC157">
            <v>-44.586659999999995</v>
          </cell>
          <cell r="AD157">
            <v>0</v>
          </cell>
        </row>
        <row r="158">
          <cell r="B158" t="str">
            <v>LCP-180179</v>
          </cell>
          <cell r="C158" t="str">
            <v>UPG DRIVES &amp; CONTROLS – CAL3R</v>
          </cell>
          <cell r="D158" t="str">
            <v>Facilities Sustaining</v>
          </cell>
          <cell r="E158" t="str">
            <v>C</v>
          </cell>
          <cell r="F158" t="str">
            <v>LA</v>
          </cell>
          <cell r="H158" t="str">
            <v>CONSUMER RADIAL</v>
          </cell>
          <cell r="I158" t="str">
            <v>COMPONENT PREP OTHER</v>
          </cell>
          <cell r="J158" t="str">
            <v>AME</v>
          </cell>
          <cell r="O158">
            <v>783.3</v>
          </cell>
          <cell r="Q158">
            <v>783.3</v>
          </cell>
          <cell r="R158">
            <v>633.40698999999995</v>
          </cell>
          <cell r="S158">
            <v>646.43928999999991</v>
          </cell>
          <cell r="T158">
            <v>13.032300000000003</v>
          </cell>
          <cell r="U158">
            <v>0</v>
          </cell>
          <cell r="V158">
            <v>13.82259</v>
          </cell>
          <cell r="W158">
            <v>13.82259</v>
          </cell>
          <cell r="Z158">
            <v>136.86071000000004</v>
          </cell>
          <cell r="AA158">
            <v>-136.86071000000004</v>
          </cell>
          <cell r="AB158">
            <v>646.43928999999991</v>
          </cell>
          <cell r="AC158">
            <v>-136.86071000000004</v>
          </cell>
          <cell r="AD158">
            <v>0</v>
          </cell>
        </row>
        <row r="159">
          <cell r="B159" t="str">
            <v>LCP-210137</v>
          </cell>
          <cell r="C159" t="str">
            <v>AME -SIDEWALK BUILDING IN FRONT OF PLANT</v>
          </cell>
          <cell r="D159" t="str">
            <v>EHS</v>
          </cell>
          <cell r="E159" t="str">
            <v>N</v>
          </cell>
          <cell r="F159" t="str">
            <v>LA</v>
          </cell>
          <cell r="G159" t="str">
            <v>ERG</v>
          </cell>
          <cell r="H159" t="str">
            <v>Other</v>
          </cell>
          <cell r="I159" t="str">
            <v>FACILITIES/INFRASTRUCTURE</v>
          </cell>
          <cell r="J159" t="str">
            <v>AME</v>
          </cell>
          <cell r="T159">
            <v>0</v>
          </cell>
          <cell r="U159">
            <v>34.6</v>
          </cell>
          <cell r="X159">
            <v>0</v>
          </cell>
          <cell r="Y159">
            <v>121.75294</v>
          </cell>
          <cell r="AD159">
            <v>23</v>
          </cell>
        </row>
        <row r="160">
          <cell r="B160" t="str">
            <v>LCP-190022</v>
          </cell>
          <cell r="C160" t="str">
            <v>PER - ANNUAL MISCELLANEOUS 2019</v>
          </cell>
          <cell r="D160" t="str">
            <v>Facilities Sustaining</v>
          </cell>
          <cell r="E160" t="str">
            <v>C</v>
          </cell>
          <cell r="F160" t="str">
            <v>LA</v>
          </cell>
          <cell r="G160">
            <v>0</v>
          </cell>
          <cell r="H160" t="str">
            <v>N/A</v>
          </cell>
          <cell r="I160" t="str">
            <v>FACILITIES/INFRASTRUCTURE</v>
          </cell>
          <cell r="J160" t="str">
            <v>PER</v>
          </cell>
          <cell r="O160">
            <v>500</v>
          </cell>
          <cell r="P160">
            <v>31</v>
          </cell>
          <cell r="Q160">
            <v>531</v>
          </cell>
          <cell r="R160">
            <v>531.07341000000008</v>
          </cell>
          <cell r="S160">
            <v>531.07341000000008</v>
          </cell>
          <cell r="T160">
            <v>0</v>
          </cell>
          <cell r="U160">
            <v>0</v>
          </cell>
          <cell r="Z160">
            <v>-7.34100000000808E-2</v>
          </cell>
          <cell r="AA160">
            <v>7.34100000000808E-2</v>
          </cell>
          <cell r="AB160">
            <v>531.07341000000008</v>
          </cell>
          <cell r="AC160">
            <v>7.34100000000808E-2</v>
          </cell>
        </row>
        <row r="161">
          <cell r="B161" t="str">
            <v>LCP-190057</v>
          </cell>
          <cell r="C161" t="str">
            <v>AME - UP GRADE EXTRUSORA Q5 ( AUTOMAX ) PHASE 2</v>
          </cell>
          <cell r="D161" t="str">
            <v>Facilities Sustaining</v>
          </cell>
          <cell r="E161" t="str">
            <v>N</v>
          </cell>
          <cell r="F161" t="str">
            <v>LA</v>
          </cell>
          <cell r="H161" t="str">
            <v>MIXED</v>
          </cell>
          <cell r="I161" t="str">
            <v>FACILITIES/INFRASTRUCTURE</v>
          </cell>
          <cell r="J161" t="str">
            <v>AME</v>
          </cell>
          <cell r="O161">
            <v>375.71899999999999</v>
          </cell>
          <cell r="Q161">
            <v>375.71899999999999</v>
          </cell>
          <cell r="R161">
            <v>125.52296000000001</v>
          </cell>
          <cell r="S161">
            <v>174.21512000000001</v>
          </cell>
          <cell r="T161">
            <v>48.692159999999994</v>
          </cell>
          <cell r="U161">
            <v>0</v>
          </cell>
          <cell r="V161">
            <v>34.883949999999999</v>
          </cell>
          <cell r="W161">
            <v>34.883949999999999</v>
          </cell>
          <cell r="Z161">
            <v>201.50387999999998</v>
          </cell>
          <cell r="AA161">
            <v>-201.50387999999998</v>
          </cell>
          <cell r="AB161">
            <v>174.21512000000001</v>
          </cell>
          <cell r="AC161">
            <v>-201.50387999999998</v>
          </cell>
          <cell r="AD161">
            <v>0</v>
          </cell>
        </row>
        <row r="162">
          <cell r="B162" t="str">
            <v>LCP-190061</v>
          </cell>
          <cell r="C162" t="str">
            <v>SECURITY IMPROVEMENT IN (8) APEX APPLIER - NGTTS</v>
          </cell>
          <cell r="D162" t="str">
            <v>EHS</v>
          </cell>
          <cell r="E162" t="str">
            <v>N</v>
          </cell>
          <cell r="F162" t="str">
            <v>LA</v>
          </cell>
          <cell r="G162" t="str">
            <v>COMP</v>
          </cell>
          <cell r="H162" t="str">
            <v>COMMERCIAL RADIAL</v>
          </cell>
          <cell r="I162" t="str">
            <v>Tire Assembly</v>
          </cell>
          <cell r="J162" t="str">
            <v>AME</v>
          </cell>
          <cell r="O162">
            <v>372.80046999999996</v>
          </cell>
          <cell r="Q162">
            <v>372.80046999999996</v>
          </cell>
          <cell r="S162">
            <v>62.600300000000004</v>
          </cell>
          <cell r="T162">
            <v>135.34699000000001</v>
          </cell>
          <cell r="U162">
            <v>9.4369999999997844E-2</v>
          </cell>
          <cell r="V162">
            <v>110.00046999999995</v>
          </cell>
          <cell r="W162">
            <v>110.00046999999995</v>
          </cell>
          <cell r="X162">
            <v>16.36965</v>
          </cell>
          <cell r="Y162">
            <v>95.184880000000007</v>
          </cell>
          <cell r="Z162">
            <v>310.20016999999996</v>
          </cell>
          <cell r="AA162">
            <v>-310.20016999999996</v>
          </cell>
          <cell r="AB162">
            <v>62.694670000000002</v>
          </cell>
          <cell r="AC162">
            <v>-310.10579999999993</v>
          </cell>
          <cell r="AD162">
            <v>0</v>
          </cell>
        </row>
        <row r="163">
          <cell r="B163" t="str">
            <v>LCP-190064</v>
          </cell>
          <cell r="C163" t="str">
            <v>COL - Payroll application replacement (SAP)</v>
          </cell>
          <cell r="D163" t="str">
            <v>SAG</v>
          </cell>
          <cell r="E163" t="str">
            <v>N</v>
          </cell>
          <cell r="F163" t="str">
            <v>LA</v>
          </cell>
          <cell r="H163" t="str">
            <v>COMMERCIAL RADIAL</v>
          </cell>
          <cell r="I163" t="str">
            <v>SAG - Other</v>
          </cell>
          <cell r="J163" t="str">
            <v>COL</v>
          </cell>
          <cell r="O163">
            <v>160.221</v>
          </cell>
          <cell r="Q163">
            <v>160.221</v>
          </cell>
          <cell r="R163">
            <v>87.411829999999995</v>
          </cell>
          <cell r="S163">
            <v>92.85472</v>
          </cell>
          <cell r="T163">
            <v>5.4428900000000002</v>
          </cell>
          <cell r="U163">
            <v>0</v>
          </cell>
          <cell r="Z163">
            <v>67.366280000000003</v>
          </cell>
          <cell r="AA163">
            <v>-67.366280000000003</v>
          </cell>
          <cell r="AB163">
            <v>92.85472</v>
          </cell>
          <cell r="AC163">
            <v>-67.366280000000003</v>
          </cell>
        </row>
        <row r="164">
          <cell r="B164" t="str">
            <v>LCP-190076</v>
          </cell>
          <cell r="C164" t="str">
            <v>AME - ASSURANCE SUCCESSOR</v>
          </cell>
          <cell r="D164" t="str">
            <v>Molds</v>
          </cell>
          <cell r="E164" t="str">
            <v>N</v>
          </cell>
          <cell r="F164" t="str">
            <v>LA</v>
          </cell>
          <cell r="H164" t="str">
            <v>Consumer Radial</v>
          </cell>
          <cell r="I164" t="str">
            <v>Curing</v>
          </cell>
          <cell r="J164" t="str">
            <v>AME</v>
          </cell>
          <cell r="O164">
            <v>2800</v>
          </cell>
          <cell r="Q164">
            <v>2800</v>
          </cell>
          <cell r="R164">
            <v>884.52637000000004</v>
          </cell>
          <cell r="S164">
            <v>884.54640000000006</v>
          </cell>
          <cell r="T164">
            <v>2.0030000000000003E-2</v>
          </cell>
          <cell r="U164">
            <v>0</v>
          </cell>
          <cell r="Z164">
            <v>1915.4535999999998</v>
          </cell>
          <cell r="AA164">
            <v>-1915.4535999999998</v>
          </cell>
          <cell r="AB164">
            <v>884.54640000000006</v>
          </cell>
          <cell r="AC164">
            <v>-1915.4535999999998</v>
          </cell>
        </row>
        <row r="165">
          <cell r="B165" t="str">
            <v>LCP-190078</v>
          </cell>
          <cell r="C165" t="str">
            <v>REPLACEMENT OF ROLLS CAL3R</v>
          </cell>
          <cell r="D165" t="str">
            <v>Facilities Sustaining</v>
          </cell>
          <cell r="E165" t="str">
            <v>N</v>
          </cell>
          <cell r="F165" t="str">
            <v>LA</v>
          </cell>
          <cell r="H165" t="str">
            <v>CONSUMER RADIAL</v>
          </cell>
          <cell r="I165" t="str">
            <v>COMPONENT PREP OTHER</v>
          </cell>
          <cell r="J165" t="str">
            <v>AME</v>
          </cell>
          <cell r="O165">
            <v>1478.5</v>
          </cell>
          <cell r="P165">
            <v>197.13</v>
          </cell>
          <cell r="Q165">
            <v>1675.63</v>
          </cell>
          <cell r="R165">
            <v>382.68155000000002</v>
          </cell>
          <cell r="S165">
            <v>382.68155000000002</v>
          </cell>
          <cell r="T165">
            <v>-1.7347234759768071E-18</v>
          </cell>
          <cell r="U165">
            <v>0</v>
          </cell>
          <cell r="Z165">
            <v>1292.9484500000001</v>
          </cell>
          <cell r="AA165">
            <v>-1292.9484500000001</v>
          </cell>
          <cell r="AB165">
            <v>382.68155000000002</v>
          </cell>
          <cell r="AC165">
            <v>-1292.9484500000001</v>
          </cell>
          <cell r="AD165">
            <v>0</v>
          </cell>
        </row>
        <row r="166">
          <cell r="B166" t="str">
            <v>LCP-190089</v>
          </cell>
          <cell r="C166" t="str">
            <v>AME - X-ray B upgrade</v>
          </cell>
          <cell r="D166" t="str">
            <v>Facilities Sustaining</v>
          </cell>
          <cell r="E166" t="str">
            <v>N</v>
          </cell>
          <cell r="F166" t="str">
            <v>LA</v>
          </cell>
          <cell r="H166" t="str">
            <v>COMMERCIAL RADIAL</v>
          </cell>
          <cell r="I166" t="str">
            <v>FACILITIES/INFRASTRUCTURE</v>
          </cell>
          <cell r="J166" t="str">
            <v>AME</v>
          </cell>
          <cell r="O166">
            <v>385.7</v>
          </cell>
          <cell r="Q166">
            <v>385.7</v>
          </cell>
          <cell r="R166">
            <v>0</v>
          </cell>
          <cell r="S166">
            <v>-26.880879999999994</v>
          </cell>
          <cell r="T166">
            <v>-26.880879999999994</v>
          </cell>
          <cell r="U166">
            <v>0</v>
          </cell>
          <cell r="V166">
            <v>-28.070629999999998</v>
          </cell>
          <cell r="W166">
            <v>-28.070629999999998</v>
          </cell>
          <cell r="Z166">
            <v>412.58087999999998</v>
          </cell>
          <cell r="AA166">
            <v>-412.58087999999998</v>
          </cell>
          <cell r="AB166">
            <v>-26.880879999999994</v>
          </cell>
          <cell r="AC166">
            <v>-412.58087999999998</v>
          </cell>
          <cell r="AD166">
            <v>0</v>
          </cell>
        </row>
        <row r="167">
          <cell r="B167" t="str">
            <v>LCP-190095</v>
          </cell>
          <cell r="C167" t="str">
            <v>PER - PAY ROLL UPGRADE</v>
          </cell>
          <cell r="D167" t="str">
            <v>Facilities Sustaining</v>
          </cell>
          <cell r="E167" t="str">
            <v>N</v>
          </cell>
          <cell r="F167" t="str">
            <v>LA</v>
          </cell>
          <cell r="H167" t="str">
            <v>N/A</v>
          </cell>
          <cell r="I167" t="str">
            <v>N/A</v>
          </cell>
          <cell r="J167" t="str">
            <v>PER</v>
          </cell>
          <cell r="O167">
            <v>99.3</v>
          </cell>
          <cell r="Q167">
            <v>99.3</v>
          </cell>
          <cell r="S167">
            <v>0</v>
          </cell>
          <cell r="T167">
            <v>0</v>
          </cell>
          <cell r="U167">
            <v>4.4000000000000004</v>
          </cell>
          <cell r="V167">
            <v>80</v>
          </cell>
          <cell r="W167">
            <v>80</v>
          </cell>
          <cell r="X167">
            <v>0</v>
          </cell>
          <cell r="Y167">
            <v>33.136600000000001</v>
          </cell>
          <cell r="Z167">
            <v>99.3</v>
          </cell>
          <cell r="AA167">
            <v>-99.3</v>
          </cell>
          <cell r="AB167">
            <v>4.4000000000000004</v>
          </cell>
          <cell r="AC167">
            <v>-94.899999999999991</v>
          </cell>
          <cell r="AD167">
            <v>80</v>
          </cell>
        </row>
        <row r="168">
          <cell r="B168" t="str">
            <v>LCP-190107</v>
          </cell>
          <cell r="C168" t="str">
            <v>CAP-(44) COMPLETE NEW MOLDS FOR WRANGLER</v>
          </cell>
          <cell r="D168" t="str">
            <v>Molds</v>
          </cell>
          <cell r="E168" t="str">
            <v>N</v>
          </cell>
          <cell r="F168" t="str">
            <v>LA</v>
          </cell>
          <cell r="H168" t="str">
            <v>CONSUMER RADIAL</v>
          </cell>
          <cell r="I168" t="str">
            <v>CURING</v>
          </cell>
          <cell r="J168" t="str">
            <v>AME</v>
          </cell>
          <cell r="O168">
            <v>2700</v>
          </cell>
          <cell r="Q168">
            <v>2700</v>
          </cell>
          <cell r="S168">
            <v>349.44198999999998</v>
          </cell>
          <cell r="T168">
            <v>349.44198999999998</v>
          </cell>
          <cell r="U168">
            <v>0</v>
          </cell>
          <cell r="V168">
            <v>583.28226999999993</v>
          </cell>
          <cell r="W168">
            <v>583.28226999999993</v>
          </cell>
          <cell r="Z168">
            <v>2350.5580100000002</v>
          </cell>
          <cell r="AA168">
            <v>-2350.5580100000002</v>
          </cell>
          <cell r="AB168">
            <v>349.44198999999998</v>
          </cell>
          <cell r="AC168">
            <v>-2350.5580100000002</v>
          </cell>
          <cell r="AD168">
            <v>292.5</v>
          </cell>
        </row>
        <row r="169">
          <cell r="B169" t="str">
            <v>LCP-190110</v>
          </cell>
          <cell r="C169" t="str">
            <v>COL - Shipment dock replacement</v>
          </cell>
          <cell r="D169" t="str">
            <v>SAG</v>
          </cell>
          <cell r="E169" t="str">
            <v>N</v>
          </cell>
          <cell r="F169" t="str">
            <v>LA</v>
          </cell>
          <cell r="H169" t="str">
            <v>N/A</v>
          </cell>
          <cell r="I169" t="str">
            <v>SAG - Supply Chain</v>
          </cell>
          <cell r="J169" t="str">
            <v>COL</v>
          </cell>
          <cell r="O169">
            <v>236.625</v>
          </cell>
          <cell r="Q169">
            <v>236.625</v>
          </cell>
          <cell r="R169">
            <v>191.71001999999999</v>
          </cell>
          <cell r="S169">
            <v>234.46592999999999</v>
          </cell>
          <cell r="T169">
            <v>42.755909999999993</v>
          </cell>
          <cell r="U169">
            <v>0</v>
          </cell>
          <cell r="V169">
            <v>41.155979999999992</v>
          </cell>
          <cell r="W169">
            <v>41.155979999999992</v>
          </cell>
          <cell r="Z169">
            <v>2.159070000000014</v>
          </cell>
          <cell r="AA169">
            <v>-2.159070000000014</v>
          </cell>
          <cell r="AB169">
            <v>234.46592999999999</v>
          </cell>
          <cell r="AC169">
            <v>-2.159070000000014</v>
          </cell>
        </row>
        <row r="170">
          <cell r="B170" t="str">
            <v>LCP-190117</v>
          </cell>
          <cell r="C170" t="str">
            <v>CAP-X-RAY GREEN POINT MARKER</v>
          </cell>
          <cell r="D170" t="str">
            <v>Quality - Improvement</v>
          </cell>
          <cell r="E170" t="str">
            <v>N</v>
          </cell>
          <cell r="F170" t="str">
            <v>LA</v>
          </cell>
          <cell r="H170" t="str">
            <v>COMMERCIAL RADIAL</v>
          </cell>
          <cell r="I170" t="str">
            <v>FINAL FINISH</v>
          </cell>
          <cell r="J170" t="str">
            <v>AME</v>
          </cell>
          <cell r="O170">
            <v>67.5</v>
          </cell>
          <cell r="Q170">
            <v>67.5</v>
          </cell>
          <cell r="R170">
            <v>23.122389999999999</v>
          </cell>
          <cell r="S170">
            <v>27.78295</v>
          </cell>
          <cell r="T170">
            <v>4.6605600000000003</v>
          </cell>
          <cell r="U170">
            <v>0</v>
          </cell>
          <cell r="V170">
            <v>9.7674900000000004</v>
          </cell>
          <cell r="W170">
            <v>9.7674900000000004</v>
          </cell>
          <cell r="Z170">
            <v>39.71705</v>
          </cell>
          <cell r="AA170">
            <v>-39.71705</v>
          </cell>
          <cell r="AB170">
            <v>27.78295</v>
          </cell>
          <cell r="AC170">
            <v>-39.71705</v>
          </cell>
          <cell r="AD170">
            <v>0</v>
          </cell>
        </row>
        <row r="171">
          <cell r="B171" t="str">
            <v>LCP-190123</v>
          </cell>
          <cell r="C171" t="str">
            <v>CAP-G316 PRODUCTION MOLD TRANSFER - AMER</v>
          </cell>
          <cell r="D171" t="str">
            <v>Molds</v>
          </cell>
          <cell r="E171" t="str">
            <v>N</v>
          </cell>
          <cell r="F171" t="str">
            <v>LA</v>
          </cell>
          <cell r="H171" t="str">
            <v>COMMERCIAL RADIAL</v>
          </cell>
          <cell r="I171" t="str">
            <v>CURING</v>
          </cell>
          <cell r="J171" t="str">
            <v>AME</v>
          </cell>
          <cell r="O171">
            <v>112.7</v>
          </cell>
          <cell r="Q171">
            <v>112.7</v>
          </cell>
          <cell r="R171">
            <v>42.732599999999998</v>
          </cell>
          <cell r="S171">
            <v>42.732599999999998</v>
          </cell>
          <cell r="T171">
            <v>0</v>
          </cell>
          <cell r="U171">
            <v>0</v>
          </cell>
          <cell r="Z171">
            <v>69.967399999999998</v>
          </cell>
          <cell r="AA171">
            <v>-69.967399999999998</v>
          </cell>
          <cell r="AB171">
            <v>42.732599999999998</v>
          </cell>
          <cell r="AC171">
            <v>-69.967399999999998</v>
          </cell>
        </row>
        <row r="172">
          <cell r="B172" t="str">
            <v>LCP-190126</v>
          </cell>
          <cell r="C172" t="str">
            <v>PER - UPGRADE FOR OVERLAY CUTTER (Cameron replacement)</v>
          </cell>
          <cell r="D172" t="str">
            <v>Quality - Cost Savings</v>
          </cell>
          <cell r="E172" t="str">
            <v>N</v>
          </cell>
          <cell r="F172" t="str">
            <v>LA</v>
          </cell>
          <cell r="H172" t="str">
            <v>Consumer Radial</v>
          </cell>
          <cell r="I172" t="str">
            <v>Component Prep Other</v>
          </cell>
          <cell r="J172" t="str">
            <v>PER</v>
          </cell>
          <cell r="O172">
            <v>150</v>
          </cell>
          <cell r="Q172">
            <v>150</v>
          </cell>
          <cell r="R172">
            <v>81.72972</v>
          </cell>
          <cell r="S172">
            <v>96.049809999999994</v>
          </cell>
          <cell r="T172">
            <v>14.320089999999999</v>
          </cell>
          <cell r="U172">
            <v>4.2000000000000011</v>
          </cell>
          <cell r="V172">
            <v>18.399999999999999</v>
          </cell>
          <cell r="W172">
            <v>18.399999999999999</v>
          </cell>
          <cell r="X172">
            <v>0</v>
          </cell>
          <cell r="Y172">
            <v>3.9774400000000001</v>
          </cell>
          <cell r="Z172">
            <v>53.950190000000006</v>
          </cell>
          <cell r="AA172">
            <v>-53.950190000000006</v>
          </cell>
          <cell r="AB172">
            <v>100.24981</v>
          </cell>
          <cell r="AC172">
            <v>-49.750190000000003</v>
          </cell>
        </row>
        <row r="173">
          <cell r="B173" t="str">
            <v>LCP-190130</v>
          </cell>
          <cell r="C173" t="str">
            <v>PER - PHASE 4 INCREASE SUV</v>
          </cell>
          <cell r="D173" t="str">
            <v>Capability</v>
          </cell>
          <cell r="E173" t="str">
            <v>N</v>
          </cell>
          <cell r="F173" t="str">
            <v>LA</v>
          </cell>
          <cell r="G173">
            <v>0</v>
          </cell>
          <cell r="H173" t="str">
            <v>Consumer Radial</v>
          </cell>
          <cell r="I173" t="str">
            <v>Tire Assembly</v>
          </cell>
          <cell r="J173" t="str">
            <v>PER</v>
          </cell>
          <cell r="O173">
            <v>1365.4</v>
          </cell>
          <cell r="Q173">
            <v>1365.4</v>
          </cell>
          <cell r="R173">
            <v>194.92041999999998</v>
          </cell>
          <cell r="S173">
            <v>589.1243599999998</v>
          </cell>
          <cell r="T173">
            <v>503.21079999999984</v>
          </cell>
          <cell r="U173">
            <v>-9.0999999997620762E-4</v>
          </cell>
          <cell r="V173">
            <v>490.03255999999999</v>
          </cell>
          <cell r="W173">
            <v>490.03255999999999</v>
          </cell>
          <cell r="X173">
            <v>50</v>
          </cell>
          <cell r="Y173">
            <v>3.99</v>
          </cell>
          <cell r="Z173">
            <v>776.27564000000029</v>
          </cell>
          <cell r="AA173">
            <v>-776.27564000000029</v>
          </cell>
          <cell r="AB173">
            <v>589.12344999999982</v>
          </cell>
          <cell r="AC173">
            <v>-776.27655000000027</v>
          </cell>
          <cell r="AD173">
            <v>490</v>
          </cell>
        </row>
        <row r="174">
          <cell r="B174" t="str">
            <v>LCP-190132</v>
          </cell>
          <cell r="C174" t="str">
            <v>VEHICLE DYNAMICS AREA (VDA) REPAVING</v>
          </cell>
          <cell r="D174" t="str">
            <v>SAG</v>
          </cell>
          <cell r="E174" t="str">
            <v>N</v>
          </cell>
          <cell r="F174" t="str">
            <v>LA</v>
          </cell>
          <cell r="G174">
            <v>0</v>
          </cell>
          <cell r="H174" t="str">
            <v>N/A</v>
          </cell>
          <cell r="I174" t="str">
            <v>SAG - GPG*LA</v>
          </cell>
          <cell r="J174" t="str">
            <v>BRZ</v>
          </cell>
          <cell r="O174">
            <v>844.22315000000003</v>
          </cell>
          <cell r="Q174">
            <v>844.22315000000003</v>
          </cell>
          <cell r="R174">
            <v>23.084180000000003</v>
          </cell>
          <cell r="S174">
            <v>38.045050000000003</v>
          </cell>
          <cell r="T174">
            <v>18.663270000000001</v>
          </cell>
          <cell r="U174">
            <v>0</v>
          </cell>
          <cell r="V174">
            <v>14.6</v>
          </cell>
          <cell r="W174">
            <v>14.6</v>
          </cell>
          <cell r="Z174">
            <v>806.17810000000009</v>
          </cell>
          <cell r="AA174">
            <v>-806.17810000000009</v>
          </cell>
          <cell r="AB174">
            <v>38.045050000000003</v>
          </cell>
          <cell r="AC174">
            <v>-806.17810000000009</v>
          </cell>
          <cell r="AD174">
            <v>0</v>
          </cell>
        </row>
        <row r="175">
          <cell r="B175" t="str">
            <v>LCP-190135</v>
          </cell>
          <cell r="C175" t="str">
            <v>PER - MIXER #2 GEARBOX REPLACEMENT</v>
          </cell>
          <cell r="D175" t="str">
            <v>Facilities Sustaining</v>
          </cell>
          <cell r="E175" t="str">
            <v>N</v>
          </cell>
          <cell r="F175" t="str">
            <v>LA</v>
          </cell>
          <cell r="H175" t="str">
            <v>N/A</v>
          </cell>
          <cell r="I175" t="str">
            <v>Facilities/Infrastructure</v>
          </cell>
          <cell r="J175" t="str">
            <v>PER</v>
          </cell>
          <cell r="O175">
            <v>344</v>
          </cell>
          <cell r="Q175">
            <v>344</v>
          </cell>
          <cell r="R175">
            <v>235.01086000000001</v>
          </cell>
          <cell r="S175">
            <v>235.01086000000001</v>
          </cell>
          <cell r="T175">
            <v>8.5467999999999993</v>
          </cell>
          <cell r="U175">
            <v>24</v>
          </cell>
          <cell r="V175">
            <v>24</v>
          </cell>
          <cell r="W175">
            <v>24</v>
          </cell>
          <cell r="X175">
            <v>0</v>
          </cell>
          <cell r="Y175">
            <v>20.15624</v>
          </cell>
          <cell r="Z175">
            <v>108.98913999999999</v>
          </cell>
          <cell r="AA175">
            <v>-108.98913999999999</v>
          </cell>
          <cell r="AB175">
            <v>259.01085999999998</v>
          </cell>
          <cell r="AC175">
            <v>-84.98914000000002</v>
          </cell>
          <cell r="AD175">
            <v>48</v>
          </cell>
        </row>
        <row r="176">
          <cell r="B176" t="str">
            <v>LCP-190140</v>
          </cell>
          <cell r="C176" t="str">
            <v>UPGRADE RING 18" CUV IN MC ANCHIETA</v>
          </cell>
          <cell r="D176" t="str">
            <v>SAG</v>
          </cell>
          <cell r="E176" t="str">
            <v>N</v>
          </cell>
          <cell r="F176" t="str">
            <v>LA</v>
          </cell>
          <cell r="H176" t="str">
            <v>Mixed</v>
          </cell>
          <cell r="I176" t="str">
            <v>N/A</v>
          </cell>
          <cell r="J176" t="str">
            <v>MC</v>
          </cell>
          <cell r="O176">
            <v>427.82044000000002</v>
          </cell>
          <cell r="Q176">
            <v>427.82044000000002</v>
          </cell>
          <cell r="R176">
            <v>0</v>
          </cell>
          <cell r="S176">
            <v>2.9714299999999993</v>
          </cell>
          <cell r="T176">
            <v>2.9714299999999993</v>
          </cell>
          <cell r="U176">
            <v>0</v>
          </cell>
          <cell r="V176">
            <v>2.9873499999999993</v>
          </cell>
          <cell r="W176">
            <v>2.9873499999999993</v>
          </cell>
          <cell r="Z176">
            <v>424.84901000000002</v>
          </cell>
          <cell r="AA176">
            <v>-424.84901000000002</v>
          </cell>
          <cell r="AB176">
            <v>2.9714299999999993</v>
          </cell>
          <cell r="AC176">
            <v>-424.84901000000002</v>
          </cell>
          <cell r="AD176">
            <v>0</v>
          </cell>
        </row>
        <row r="177">
          <cell r="B177" t="str">
            <v>LCP-190142</v>
          </cell>
          <cell r="C177" t="str">
            <v>NEW OIL LINE SYDININI</v>
          </cell>
          <cell r="D177" t="str">
            <v>Quality - Improvement</v>
          </cell>
          <cell r="E177" t="str">
            <v>N</v>
          </cell>
          <cell r="F177" t="str">
            <v>LA</v>
          </cell>
          <cell r="H177" t="str">
            <v>MIXED</v>
          </cell>
          <cell r="I177" t="str">
            <v>MIXING</v>
          </cell>
          <cell r="J177" t="str">
            <v>AME</v>
          </cell>
          <cell r="O177">
            <v>616.40979000000004</v>
          </cell>
          <cell r="Q177">
            <v>616.40979000000004</v>
          </cell>
          <cell r="R177">
            <v>78.383870000000002</v>
          </cell>
          <cell r="S177">
            <v>187.85696000000002</v>
          </cell>
          <cell r="T177">
            <v>128.47309000000001</v>
          </cell>
          <cell r="U177">
            <v>0</v>
          </cell>
          <cell r="V177">
            <v>108.0915</v>
          </cell>
          <cell r="W177">
            <v>108.0915</v>
          </cell>
          <cell r="Z177">
            <v>428.55283000000003</v>
          </cell>
          <cell r="AA177">
            <v>-428.55283000000003</v>
          </cell>
          <cell r="AB177">
            <v>187.85696000000002</v>
          </cell>
          <cell r="AC177">
            <v>-428.55283000000003</v>
          </cell>
          <cell r="AD177">
            <v>0</v>
          </cell>
        </row>
        <row r="178">
          <cell r="B178" t="str">
            <v>LCP-190144</v>
          </cell>
          <cell r="C178" t="str">
            <v>WIRE CALENDER EDGE TRIMMING DEVICE</v>
          </cell>
          <cell r="D178" t="str">
            <v>Quality - Improvement</v>
          </cell>
          <cell r="E178" t="str">
            <v>N</v>
          </cell>
          <cell r="F178" t="str">
            <v>LA</v>
          </cell>
          <cell r="H178" t="str">
            <v>CONSUMER RADIAL</v>
          </cell>
          <cell r="I178" t="str">
            <v>COMPONENT PREP OTHER</v>
          </cell>
          <cell r="J178" t="str">
            <v>AME</v>
          </cell>
          <cell r="O178">
            <v>90.5</v>
          </cell>
          <cell r="Q178">
            <v>90.5</v>
          </cell>
          <cell r="R178">
            <v>1.56802</v>
          </cell>
          <cell r="S178">
            <v>0</v>
          </cell>
          <cell r="T178">
            <v>-1.56802</v>
          </cell>
          <cell r="U178">
            <v>0</v>
          </cell>
          <cell r="V178">
            <v>-1.56802</v>
          </cell>
          <cell r="W178">
            <v>-1.56802</v>
          </cell>
          <cell r="Z178">
            <v>90.5</v>
          </cell>
          <cell r="AA178">
            <v>-90.5</v>
          </cell>
          <cell r="AB178">
            <v>0</v>
          </cell>
          <cell r="AC178">
            <v>-90.5</v>
          </cell>
          <cell r="AD178">
            <v>0</v>
          </cell>
        </row>
        <row r="179">
          <cell r="B179" t="str">
            <v>LCP-190148</v>
          </cell>
          <cell r="C179" t="str">
            <v>Kelly Armorsteel Line extension</v>
          </cell>
          <cell r="D179" t="str">
            <v>Molds</v>
          </cell>
          <cell r="E179" t="str">
            <v>N</v>
          </cell>
          <cell r="F179" t="str">
            <v>LA</v>
          </cell>
          <cell r="H179" t="str">
            <v>Commercial Radial</v>
          </cell>
          <cell r="I179" t="str">
            <v>Curing</v>
          </cell>
          <cell r="J179" t="str">
            <v>AME</v>
          </cell>
          <cell r="O179">
            <v>760</v>
          </cell>
          <cell r="Q179">
            <v>760</v>
          </cell>
          <cell r="R179">
            <v>48.507850000000019</v>
          </cell>
          <cell r="S179">
            <v>49.529470000000018</v>
          </cell>
          <cell r="T179">
            <v>1.02162</v>
          </cell>
          <cell r="U179">
            <v>0</v>
          </cell>
          <cell r="Z179">
            <v>710.47052999999994</v>
          </cell>
          <cell r="AA179">
            <v>-710.47052999999994</v>
          </cell>
          <cell r="AB179">
            <v>49.529470000000018</v>
          </cell>
          <cell r="AC179">
            <v>-710.47052999999994</v>
          </cell>
        </row>
        <row r="180">
          <cell r="B180" t="str">
            <v>LCP-190150</v>
          </cell>
          <cell r="C180" t="str">
            <v>B1 - UPGRADE PC-ETMS BALANCE AND FVM MACHINE</v>
          </cell>
          <cell r="D180" t="str">
            <v>Facilities Sustaining</v>
          </cell>
          <cell r="E180" t="str">
            <v>N</v>
          </cell>
          <cell r="F180" t="str">
            <v>LA</v>
          </cell>
          <cell r="H180" t="str">
            <v>CONSUMER RADIAL</v>
          </cell>
          <cell r="I180" t="str">
            <v>Tire Assembly</v>
          </cell>
          <cell r="J180" t="str">
            <v>AME</v>
          </cell>
          <cell r="O180">
            <v>304</v>
          </cell>
          <cell r="Q180">
            <v>304</v>
          </cell>
          <cell r="R180">
            <v>200.25262000000001</v>
          </cell>
          <cell r="S180">
            <v>228.78542000000002</v>
          </cell>
          <cell r="T180">
            <v>34.42745</v>
          </cell>
          <cell r="U180">
            <v>10.413139999999999</v>
          </cell>
          <cell r="V180">
            <v>45</v>
          </cell>
          <cell r="W180">
            <v>45</v>
          </cell>
          <cell r="X180">
            <v>0</v>
          </cell>
          <cell r="Y180">
            <v>24.492239999999999</v>
          </cell>
          <cell r="Z180">
            <v>75.214579999999984</v>
          </cell>
          <cell r="AA180">
            <v>-75.214579999999984</v>
          </cell>
          <cell r="AB180">
            <v>239.19856000000001</v>
          </cell>
          <cell r="AC180">
            <v>-64.801439999999985</v>
          </cell>
          <cell r="AD180">
            <v>0</v>
          </cell>
        </row>
        <row r="181">
          <cell r="B181" t="str">
            <v>LCP-190153</v>
          </cell>
          <cell r="C181" t="str">
            <v>CHI - DOR NAZAR</v>
          </cell>
          <cell r="D181" t="str">
            <v>SAG</v>
          </cell>
          <cell r="E181" t="str">
            <v>N</v>
          </cell>
          <cell r="F181" t="str">
            <v>LA</v>
          </cell>
          <cell r="H181" t="str">
            <v>N/A</v>
          </cell>
          <cell r="I181" t="str">
            <v>SAG - Other</v>
          </cell>
          <cell r="J181" t="str">
            <v>CHI</v>
          </cell>
          <cell r="O181">
            <v>114.4</v>
          </cell>
          <cell r="Q181">
            <v>114.4</v>
          </cell>
          <cell r="S181">
            <v>0</v>
          </cell>
          <cell r="T181">
            <v>0</v>
          </cell>
          <cell r="U181">
            <v>0</v>
          </cell>
          <cell r="X181">
            <v>0</v>
          </cell>
          <cell r="Y181">
            <v>9.869959999999999</v>
          </cell>
          <cell r="Z181">
            <v>114.4</v>
          </cell>
          <cell r="AA181">
            <v>-114.4</v>
          </cell>
          <cell r="AB181">
            <v>0</v>
          </cell>
          <cell r="AC181">
            <v>-114.4</v>
          </cell>
        </row>
        <row r="182">
          <cell r="B182" t="str">
            <v>LCP-190159</v>
          </cell>
          <cell r="C182" t="str">
            <v>(02) TRANSFER ORING NGTTS &amp; MONO CUTTER IN ANGLE</v>
          </cell>
          <cell r="D182" t="str">
            <v>Quality - Improvement</v>
          </cell>
          <cell r="E182" t="str">
            <v>N</v>
          </cell>
          <cell r="F182" t="str">
            <v>LA</v>
          </cell>
          <cell r="H182" t="str">
            <v>COMMERCIAL RADIAL</v>
          </cell>
          <cell r="I182" t="str">
            <v>COMPONENT PREP OTHER</v>
          </cell>
          <cell r="J182" t="str">
            <v>AME</v>
          </cell>
          <cell r="O182">
            <v>298.96199999999999</v>
          </cell>
          <cell r="Q182">
            <v>298.96199999999999</v>
          </cell>
          <cell r="R182">
            <v>0</v>
          </cell>
          <cell r="S182">
            <v>-0.33455000000000007</v>
          </cell>
          <cell r="T182">
            <v>-0.33455000000000007</v>
          </cell>
          <cell r="U182">
            <v>0</v>
          </cell>
          <cell r="V182">
            <v>9.1654499999999999</v>
          </cell>
          <cell r="W182">
            <v>9.1654499999999999</v>
          </cell>
          <cell r="Z182">
            <v>299.29654999999997</v>
          </cell>
          <cell r="AA182">
            <v>-299.29654999999997</v>
          </cell>
          <cell r="AB182">
            <v>-0.33455000000000007</v>
          </cell>
          <cell r="AC182">
            <v>-299.29654999999997</v>
          </cell>
          <cell r="AD182">
            <v>0</v>
          </cell>
        </row>
        <row r="183">
          <cell r="B183" t="str">
            <v>LCP-190164</v>
          </cell>
          <cell r="C183" t="str">
            <v>PER - TBM R4 CONTROLS UPGRADE</v>
          </cell>
          <cell r="D183" t="str">
            <v>Facilities Sustaining</v>
          </cell>
          <cell r="E183" t="str">
            <v>N</v>
          </cell>
          <cell r="F183" t="str">
            <v>LA</v>
          </cell>
          <cell r="H183" t="str">
            <v>Consumer Radial</v>
          </cell>
          <cell r="I183" t="str">
            <v>Tire Assembly</v>
          </cell>
          <cell r="J183" t="str">
            <v>PER</v>
          </cell>
          <cell r="O183">
            <v>83.5</v>
          </cell>
          <cell r="Q183">
            <v>83.5</v>
          </cell>
          <cell r="R183">
            <v>82.945729999999998</v>
          </cell>
          <cell r="S183">
            <v>82.945729999999998</v>
          </cell>
          <cell r="T183">
            <v>0</v>
          </cell>
          <cell r="U183">
            <v>0</v>
          </cell>
          <cell r="Z183">
            <v>0.55427000000000248</v>
          </cell>
          <cell r="AA183">
            <v>-0.55427000000000248</v>
          </cell>
          <cell r="AB183">
            <v>82.945729999999998</v>
          </cell>
          <cell r="AC183">
            <v>-0.55427000000000248</v>
          </cell>
        </row>
        <row r="184">
          <cell r="B184" t="str">
            <v>LCP-190165</v>
          </cell>
          <cell r="C184" t="str">
            <v>PER - (4) HYDRAULIC TO ELECTROMECHANIC BEAD HOLDER SYSTEMS ON TBM's</v>
          </cell>
          <cell r="D184" t="str">
            <v>Facilities Sustaining</v>
          </cell>
          <cell r="E184" t="str">
            <v>N</v>
          </cell>
          <cell r="F184" t="str">
            <v>LA</v>
          </cell>
          <cell r="H184" t="str">
            <v>Consumer Radial</v>
          </cell>
          <cell r="I184" t="str">
            <v>Tire Assembly</v>
          </cell>
          <cell r="J184" t="str">
            <v>PER</v>
          </cell>
          <cell r="O184">
            <v>244</v>
          </cell>
          <cell r="Q184">
            <v>244</v>
          </cell>
          <cell r="R184">
            <v>176.29637</v>
          </cell>
          <cell r="S184">
            <v>176.39147</v>
          </cell>
          <cell r="T184">
            <v>9.5100000000000004E-2</v>
          </cell>
          <cell r="U184">
            <v>0.12615999999999999</v>
          </cell>
          <cell r="V184">
            <v>8.6</v>
          </cell>
          <cell r="W184">
            <v>8.6</v>
          </cell>
          <cell r="Z184">
            <v>67.608530000000002</v>
          </cell>
          <cell r="AA184">
            <v>-67.608530000000002</v>
          </cell>
          <cell r="AB184">
            <v>176.51763</v>
          </cell>
          <cell r="AC184">
            <v>-67.482370000000003</v>
          </cell>
          <cell r="AD184">
            <v>8.6</v>
          </cell>
        </row>
        <row r="185">
          <cell r="B185" t="str">
            <v>LCP-190185</v>
          </cell>
          <cell r="C185" t="str">
            <v>PER - VICOSIMETER</v>
          </cell>
          <cell r="D185" t="str">
            <v>Quality - Improvement</v>
          </cell>
          <cell r="E185" t="str">
            <v>N</v>
          </cell>
          <cell r="F185" t="str">
            <v>LA</v>
          </cell>
          <cell r="H185" t="str">
            <v>N/A</v>
          </cell>
          <cell r="I185" t="str">
            <v>COMPONENT PREP OTHER</v>
          </cell>
          <cell r="J185" t="str">
            <v>PER</v>
          </cell>
          <cell r="O185">
            <v>60</v>
          </cell>
          <cell r="Q185">
            <v>60</v>
          </cell>
          <cell r="R185">
            <v>59.931670000000004</v>
          </cell>
          <cell r="S185">
            <v>59.931670000000004</v>
          </cell>
          <cell r="T185">
            <v>0</v>
          </cell>
          <cell r="U185">
            <v>0</v>
          </cell>
          <cell r="X185">
            <v>0</v>
          </cell>
          <cell r="Y185">
            <v>0.26939999999999997</v>
          </cell>
          <cell r="Z185">
            <v>6.8329999999996005E-2</v>
          </cell>
          <cell r="AA185">
            <v>-6.8329999999996005E-2</v>
          </cell>
          <cell r="AB185">
            <v>59.931670000000004</v>
          </cell>
          <cell r="AC185">
            <v>-6.8329999999996005E-2</v>
          </cell>
        </row>
        <row r="186">
          <cell r="B186" t="str">
            <v>LCP-190186</v>
          </cell>
          <cell r="C186" t="str">
            <v>CORSAIR Project</v>
          </cell>
          <cell r="D186" t="str">
            <v>SAG</v>
          </cell>
          <cell r="E186" t="str">
            <v>N</v>
          </cell>
          <cell r="F186" t="str">
            <v>LA</v>
          </cell>
          <cell r="H186" t="str">
            <v>AVIATION</v>
          </cell>
          <cell r="I186" t="str">
            <v>SAG - Other</v>
          </cell>
          <cell r="J186" t="str">
            <v>SAO</v>
          </cell>
          <cell r="O186">
            <v>1490</v>
          </cell>
          <cell r="Q186">
            <v>1490</v>
          </cell>
          <cell r="R186">
            <v>50.368539999999996</v>
          </cell>
          <cell r="S186">
            <v>110.55856</v>
          </cell>
          <cell r="T186">
            <v>60.190020000000004</v>
          </cell>
          <cell r="U186">
            <v>0</v>
          </cell>
          <cell r="V186">
            <v>96.589320000000001</v>
          </cell>
          <cell r="W186">
            <v>96.589320000000001</v>
          </cell>
          <cell r="Z186">
            <v>1379.4414400000001</v>
          </cell>
          <cell r="AA186">
            <v>-1379.4414400000001</v>
          </cell>
          <cell r="AB186">
            <v>110.55856</v>
          </cell>
          <cell r="AC186">
            <v>-1379.4414400000001</v>
          </cell>
          <cell r="AD186">
            <v>0</v>
          </cell>
        </row>
        <row r="187">
          <cell r="B187" t="str">
            <v>LCP-190192</v>
          </cell>
          <cell r="C187" t="str">
            <v>PER - ASSURANCE SUCCESSOR</v>
          </cell>
          <cell r="D187" t="str">
            <v>Molds</v>
          </cell>
          <cell r="E187" t="str">
            <v>N</v>
          </cell>
          <cell r="F187" t="str">
            <v>LA</v>
          </cell>
          <cell r="H187" t="str">
            <v>CONSUMER RADIAL</v>
          </cell>
          <cell r="I187" t="str">
            <v>Curing</v>
          </cell>
          <cell r="J187" t="str">
            <v>PER</v>
          </cell>
          <cell r="O187">
            <v>1080</v>
          </cell>
          <cell r="Q187">
            <v>1080</v>
          </cell>
          <cell r="R187">
            <v>210.38191000000003</v>
          </cell>
          <cell r="S187">
            <v>235.08524000000003</v>
          </cell>
          <cell r="T187">
            <v>24.703330000000001</v>
          </cell>
          <cell r="U187">
            <v>0</v>
          </cell>
          <cell r="V187">
            <v>10.29425</v>
          </cell>
          <cell r="W187">
            <v>10.29425</v>
          </cell>
          <cell r="X187">
            <v>29.181999999999999</v>
          </cell>
          <cell r="Y187">
            <v>1.07</v>
          </cell>
          <cell r="Z187">
            <v>844.91476</v>
          </cell>
          <cell r="AA187">
            <v>-844.91476</v>
          </cell>
          <cell r="AB187">
            <v>235.08524000000003</v>
          </cell>
          <cell r="AC187">
            <v>-844.91476</v>
          </cell>
        </row>
        <row r="188">
          <cell r="B188" t="str">
            <v>LCP-190194</v>
          </cell>
          <cell r="C188" t="str">
            <v>AME - 3 molds 205/45R18 Eagle Touring</v>
          </cell>
          <cell r="D188" t="str">
            <v>Molds</v>
          </cell>
          <cell r="E188" t="str">
            <v>N</v>
          </cell>
          <cell r="F188" t="str">
            <v>LA</v>
          </cell>
          <cell r="H188" t="str">
            <v>CONSUMER RADIAL</v>
          </cell>
          <cell r="I188" t="str">
            <v>CURING</v>
          </cell>
          <cell r="J188" t="str">
            <v>AME</v>
          </cell>
          <cell r="O188">
            <v>135</v>
          </cell>
          <cell r="Q188">
            <v>135</v>
          </cell>
          <cell r="R188">
            <v>0</v>
          </cell>
          <cell r="S188">
            <v>0</v>
          </cell>
          <cell r="T188">
            <v>0</v>
          </cell>
          <cell r="U188">
            <v>0</v>
          </cell>
          <cell r="Z188">
            <v>135</v>
          </cell>
          <cell r="AA188">
            <v>-135</v>
          </cell>
          <cell r="AB188">
            <v>0</v>
          </cell>
          <cell r="AC188">
            <v>-135</v>
          </cell>
        </row>
        <row r="189">
          <cell r="B189" t="str">
            <v>LCP-190195</v>
          </cell>
          <cell r="C189" t="str">
            <v>AME- 205/55R16 &amp;amp; 265/70R16 Kelly Edg</v>
          </cell>
          <cell r="D189" t="str">
            <v>Molds</v>
          </cell>
          <cell r="E189" t="str">
            <v>N</v>
          </cell>
          <cell r="F189" t="str">
            <v>LA</v>
          </cell>
          <cell r="H189" t="str">
            <v>CONSUMER RADIAL</v>
          </cell>
          <cell r="I189" t="str">
            <v>CURING</v>
          </cell>
          <cell r="J189" t="str">
            <v>AME</v>
          </cell>
          <cell r="O189">
            <v>164.45</v>
          </cell>
          <cell r="Q189">
            <v>164.45</v>
          </cell>
          <cell r="R189">
            <v>57.056089999999998</v>
          </cell>
          <cell r="S189">
            <v>57.056089999999998</v>
          </cell>
          <cell r="T189">
            <v>0</v>
          </cell>
          <cell r="U189">
            <v>0</v>
          </cell>
          <cell r="Z189">
            <v>107.39390999999999</v>
          </cell>
          <cell r="AA189">
            <v>-107.39390999999999</v>
          </cell>
          <cell r="AB189">
            <v>57.056089999999998</v>
          </cell>
          <cell r="AC189">
            <v>-107.39390999999999</v>
          </cell>
        </row>
        <row r="190">
          <cell r="B190" t="str">
            <v>LCP-190197</v>
          </cell>
          <cell r="C190" t="str">
            <v>PER - COMPOUNDS RACKS FOR PREP COMP AREA</v>
          </cell>
          <cell r="D190" t="str">
            <v>Facilities Sustaining</v>
          </cell>
          <cell r="E190" t="str">
            <v>N</v>
          </cell>
          <cell r="F190" t="str">
            <v>LA</v>
          </cell>
          <cell r="H190" t="str">
            <v>N/A</v>
          </cell>
          <cell r="I190" t="str">
            <v>COMPONENT PREP OTHER</v>
          </cell>
          <cell r="J190" t="str">
            <v>PER</v>
          </cell>
          <cell r="O190">
            <v>88</v>
          </cell>
          <cell r="Q190">
            <v>88</v>
          </cell>
          <cell r="R190">
            <v>87.779029999999992</v>
          </cell>
          <cell r="S190">
            <v>87.779029999999992</v>
          </cell>
          <cell r="T190">
            <v>0</v>
          </cell>
          <cell r="U190">
            <v>0</v>
          </cell>
          <cell r="Z190">
            <v>0.22097000000000833</v>
          </cell>
          <cell r="AA190">
            <v>-0.22097000000000833</v>
          </cell>
          <cell r="AB190">
            <v>87.779029999999992</v>
          </cell>
          <cell r="AC190">
            <v>-0.22097000000000833</v>
          </cell>
        </row>
        <row r="191">
          <cell r="B191" t="str">
            <v>LCP-190199</v>
          </cell>
          <cell r="C191" t="str">
            <v>MOBILE DOCK LEVELER FOR NEW WAREHOUSE</v>
          </cell>
          <cell r="D191" t="str">
            <v>SAG</v>
          </cell>
          <cell r="E191" t="str">
            <v>N</v>
          </cell>
          <cell r="F191" t="str">
            <v>LA</v>
          </cell>
          <cell r="H191" t="str">
            <v>COMMERCIAL RADIAL</v>
          </cell>
          <cell r="I191" t="str">
            <v>SAG - Supply Chain</v>
          </cell>
          <cell r="J191" t="str">
            <v>BRZ</v>
          </cell>
          <cell r="O191">
            <v>46.003</v>
          </cell>
          <cell r="Q191">
            <v>46.003</v>
          </cell>
          <cell r="R191">
            <v>26.297199999999997</v>
          </cell>
          <cell r="S191">
            <v>31.250259999999997</v>
          </cell>
          <cell r="T191">
            <v>4.9530600000000007</v>
          </cell>
          <cell r="U191">
            <v>0</v>
          </cell>
          <cell r="V191">
            <v>5.0495900000000002</v>
          </cell>
          <cell r="W191">
            <v>5.0495900000000002</v>
          </cell>
          <cell r="Z191">
            <v>14.752740000000003</v>
          </cell>
          <cell r="AA191">
            <v>-14.752740000000003</v>
          </cell>
          <cell r="AB191">
            <v>31.250259999999997</v>
          </cell>
          <cell r="AC191">
            <v>-14.752740000000003</v>
          </cell>
          <cell r="AD191">
            <v>0</v>
          </cell>
        </row>
        <row r="192">
          <cell r="B192" t="str">
            <v>LCP-190200</v>
          </cell>
          <cell r="C192" t="str">
            <v>PER - Blue Rack for Tire Warehouse</v>
          </cell>
          <cell r="D192" t="str">
            <v>SAG</v>
          </cell>
          <cell r="E192" t="str">
            <v>N</v>
          </cell>
          <cell r="F192" t="str">
            <v>LA</v>
          </cell>
          <cell r="H192" t="str">
            <v>N/A</v>
          </cell>
          <cell r="I192" t="str">
            <v>SAG - Supply Chain</v>
          </cell>
          <cell r="J192" t="str">
            <v>PER</v>
          </cell>
          <cell r="O192">
            <v>87</v>
          </cell>
          <cell r="Q192">
            <v>87</v>
          </cell>
          <cell r="R192">
            <v>28.070149999999998</v>
          </cell>
          <cell r="S192">
            <v>28.070149999999998</v>
          </cell>
          <cell r="T192">
            <v>0</v>
          </cell>
          <cell r="U192">
            <v>0</v>
          </cell>
          <cell r="Z192">
            <v>58.929850000000002</v>
          </cell>
          <cell r="AA192">
            <v>-58.929850000000002</v>
          </cell>
          <cell r="AB192">
            <v>28.070149999999998</v>
          </cell>
          <cell r="AC192">
            <v>-58.929850000000002</v>
          </cell>
        </row>
        <row r="193">
          <cell r="B193" t="str">
            <v>LCP-190202</v>
          </cell>
          <cell r="C193" t="str">
            <v>MIXER#6 BODY REPLACEMENT</v>
          </cell>
          <cell r="D193" t="str">
            <v>Facilities Sustaining</v>
          </cell>
          <cell r="E193" t="str">
            <v>N</v>
          </cell>
          <cell r="F193" t="str">
            <v>LA</v>
          </cell>
          <cell r="H193" t="str">
            <v>MIXED</v>
          </cell>
          <cell r="I193" t="str">
            <v>MIXING</v>
          </cell>
          <cell r="J193" t="str">
            <v>AME</v>
          </cell>
          <cell r="O193">
            <v>1431.34</v>
          </cell>
          <cell r="Q193">
            <v>1431.34</v>
          </cell>
          <cell r="S193">
            <v>343.79884999999979</v>
          </cell>
          <cell r="T193">
            <v>452.45187999999973</v>
          </cell>
          <cell r="U193">
            <v>1.521759999999972</v>
          </cell>
          <cell r="V193">
            <v>456.93375999999984</v>
          </cell>
          <cell r="W193">
            <v>456.93375999999984</v>
          </cell>
          <cell r="X193">
            <v>0</v>
          </cell>
          <cell r="Y193">
            <v>21.203589999999998</v>
          </cell>
          <cell r="Z193">
            <v>1087.54115</v>
          </cell>
          <cell r="AA193">
            <v>-1087.54115</v>
          </cell>
          <cell r="AB193">
            <v>345.32060999999976</v>
          </cell>
          <cell r="AC193">
            <v>-1086.0193900000002</v>
          </cell>
          <cell r="AD193">
            <v>0</v>
          </cell>
        </row>
        <row r="194">
          <cell r="B194" t="str">
            <v>LCP-190203</v>
          </cell>
          <cell r="C194" t="str">
            <v>SAFETY SYSTEM  RIVER PUMP AREA</v>
          </cell>
          <cell r="D194" t="str">
            <v>EHS</v>
          </cell>
          <cell r="E194" t="str">
            <v>N</v>
          </cell>
          <cell r="F194" t="str">
            <v>LA</v>
          </cell>
          <cell r="G194" t="str">
            <v>ENV</v>
          </cell>
          <cell r="H194" t="str">
            <v>Mixed</v>
          </cell>
          <cell r="I194" t="str">
            <v>ENGINEERING</v>
          </cell>
          <cell r="J194" t="str">
            <v>AME</v>
          </cell>
          <cell r="O194">
            <v>72.099999999999994</v>
          </cell>
          <cell r="Q194">
            <v>72.099999999999994</v>
          </cell>
          <cell r="R194">
            <v>29.671409999999995</v>
          </cell>
          <cell r="S194">
            <v>30.210879999999996</v>
          </cell>
          <cell r="T194">
            <v>0.53947000000000001</v>
          </cell>
          <cell r="U194">
            <v>0</v>
          </cell>
          <cell r="V194">
            <v>0.53947000000000001</v>
          </cell>
          <cell r="W194">
            <v>0.53947000000000001</v>
          </cell>
          <cell r="Z194">
            <v>41.889119999999998</v>
          </cell>
          <cell r="AA194">
            <v>-41.889119999999998</v>
          </cell>
          <cell r="AB194">
            <v>30.210879999999996</v>
          </cell>
          <cell r="AC194">
            <v>-41.889119999999998</v>
          </cell>
          <cell r="AD194">
            <v>0</v>
          </cell>
        </row>
        <row r="195">
          <cell r="B195" t="str">
            <v>LCP-190204</v>
          </cell>
          <cell r="C195" t="str">
            <v>INFLATION TESTING MACHINE</v>
          </cell>
          <cell r="D195" t="str">
            <v>Quality - Improvement</v>
          </cell>
          <cell r="E195" t="str">
            <v>N</v>
          </cell>
          <cell r="F195" t="str">
            <v>LA</v>
          </cell>
          <cell r="H195" t="str">
            <v>CONSUMER RADIAL</v>
          </cell>
          <cell r="I195" t="str">
            <v>TIRE ASSEMBLY</v>
          </cell>
          <cell r="J195" t="str">
            <v>AME</v>
          </cell>
          <cell r="O195">
            <v>131.6</v>
          </cell>
          <cell r="Q195">
            <v>131.6</v>
          </cell>
          <cell r="S195">
            <v>20.68638</v>
          </cell>
          <cell r="T195">
            <v>30.76388</v>
          </cell>
          <cell r="U195">
            <v>0</v>
          </cell>
          <cell r="V195">
            <v>24.49933</v>
          </cell>
          <cell r="W195">
            <v>24.49933</v>
          </cell>
          <cell r="X195">
            <v>0</v>
          </cell>
          <cell r="Y195">
            <v>0.18177000000000001</v>
          </cell>
          <cell r="Z195">
            <v>110.91361999999999</v>
          </cell>
          <cell r="AA195">
            <v>-110.91361999999999</v>
          </cell>
          <cell r="AB195">
            <v>20.68638</v>
          </cell>
          <cell r="AC195">
            <v>-110.91361999999999</v>
          </cell>
          <cell r="AD195">
            <v>0</v>
          </cell>
        </row>
        <row r="196">
          <cell r="B196" t="str">
            <v>LCP-190208</v>
          </cell>
          <cell r="C196" t="str">
            <v>AME- (1) BALANCE MACHINE MARKER (DOWN SIDE)</v>
          </cell>
          <cell r="D196" t="str">
            <v>Quality - Improvement</v>
          </cell>
          <cell r="E196" t="str">
            <v>N</v>
          </cell>
          <cell r="F196" t="str">
            <v>LA</v>
          </cell>
          <cell r="H196" t="str">
            <v>CONSUMER RADIAL</v>
          </cell>
          <cell r="I196" t="str">
            <v>FINAL FINISH</v>
          </cell>
          <cell r="J196" t="str">
            <v>AME</v>
          </cell>
          <cell r="O196">
            <v>560.5</v>
          </cell>
          <cell r="Q196">
            <v>560.5</v>
          </cell>
          <cell r="S196">
            <v>63.584839999999986</v>
          </cell>
          <cell r="T196">
            <v>70.152139999999989</v>
          </cell>
          <cell r="U196">
            <v>0</v>
          </cell>
          <cell r="V196">
            <v>29.232530000000001</v>
          </cell>
          <cell r="W196">
            <v>29.232530000000001</v>
          </cell>
          <cell r="X196">
            <v>0</v>
          </cell>
          <cell r="Y196">
            <v>0.21647999999999998</v>
          </cell>
          <cell r="Z196">
            <v>496.91516000000001</v>
          </cell>
          <cell r="AA196">
            <v>-496.91516000000001</v>
          </cell>
          <cell r="AB196">
            <v>63.584839999999986</v>
          </cell>
          <cell r="AC196">
            <v>-496.91516000000001</v>
          </cell>
          <cell r="AD196">
            <v>0</v>
          </cell>
        </row>
        <row r="197">
          <cell r="B197" t="str">
            <v>LCP-190209</v>
          </cell>
          <cell r="C197" t="str">
            <v>CAP-Racks Acquisition to Store Tire</v>
          </cell>
          <cell r="D197" t="str">
            <v>SAG</v>
          </cell>
          <cell r="E197" t="str">
            <v>N</v>
          </cell>
          <cell r="F197" t="str">
            <v>LA</v>
          </cell>
          <cell r="H197" t="str">
            <v>Consumer Radial</v>
          </cell>
          <cell r="I197" t="str">
            <v>SAG - Supply Chain</v>
          </cell>
          <cell r="J197" t="str">
            <v>CHI</v>
          </cell>
          <cell r="O197">
            <v>297</v>
          </cell>
          <cell r="Q197">
            <v>297</v>
          </cell>
          <cell r="R197">
            <v>0</v>
          </cell>
          <cell r="S197">
            <v>0</v>
          </cell>
          <cell r="T197">
            <v>0</v>
          </cell>
          <cell r="U197">
            <v>0</v>
          </cell>
          <cell r="Z197">
            <v>297</v>
          </cell>
          <cell r="AA197">
            <v>-297</v>
          </cell>
          <cell r="AB197">
            <v>0</v>
          </cell>
          <cell r="AC197">
            <v>-297</v>
          </cell>
        </row>
        <row r="198">
          <cell r="B198" t="str">
            <v>LCP-190213</v>
          </cell>
          <cell r="C198" t="str">
            <v>ALPHA SHEAR LETOFF TREATMENT</v>
          </cell>
          <cell r="D198" t="str">
            <v>Productivity</v>
          </cell>
          <cell r="E198" t="str">
            <v>N</v>
          </cell>
          <cell r="F198" t="str">
            <v>LA</v>
          </cell>
          <cell r="H198" t="str">
            <v>COMMERCIAL RADIAL</v>
          </cell>
          <cell r="I198" t="str">
            <v>FACILITIES/INFRASTRUCTURE</v>
          </cell>
          <cell r="J198" t="str">
            <v>AME</v>
          </cell>
          <cell r="O198">
            <v>126.47499999999999</v>
          </cell>
          <cell r="Q198">
            <v>126.47499999999999</v>
          </cell>
          <cell r="R198">
            <v>0</v>
          </cell>
          <cell r="S198">
            <v>26.274090000000001</v>
          </cell>
          <cell r="T198">
            <v>26.912100000000002</v>
          </cell>
          <cell r="U198">
            <v>1</v>
          </cell>
          <cell r="V198">
            <v>32.894840000000002</v>
          </cell>
          <cell r="W198">
            <v>32.894840000000002</v>
          </cell>
          <cell r="X198">
            <v>0</v>
          </cell>
          <cell r="Y198">
            <v>8.8583700000000007</v>
          </cell>
          <cell r="Z198">
            <v>100.20090999999999</v>
          </cell>
          <cell r="AA198">
            <v>-100.20090999999999</v>
          </cell>
          <cell r="AB198">
            <v>27.274090000000001</v>
          </cell>
          <cell r="AC198">
            <v>-99.200909999999993</v>
          </cell>
          <cell r="AD198">
            <v>0</v>
          </cell>
        </row>
        <row r="199">
          <cell r="B199" t="str">
            <v>LCP-200009</v>
          </cell>
          <cell r="C199" t="str">
            <v>AME-REPL &amp; UPG OF ROLLS IN CAL4R2</v>
          </cell>
          <cell r="D199" t="str">
            <v>Facilities Sustaining</v>
          </cell>
          <cell r="E199" t="str">
            <v>N</v>
          </cell>
          <cell r="F199" t="str">
            <v>LA</v>
          </cell>
          <cell r="H199" t="str">
            <v>CONSUMER RADIAL</v>
          </cell>
          <cell r="I199" t="str">
            <v>COMPONENT PREP OTHER</v>
          </cell>
          <cell r="J199" t="str">
            <v>AME</v>
          </cell>
          <cell r="O199">
            <v>864.93799999999999</v>
          </cell>
          <cell r="Q199">
            <v>864.93799999999999</v>
          </cell>
          <cell r="R199">
            <v>53.241159999999994</v>
          </cell>
          <cell r="S199">
            <v>157.20918999999998</v>
          </cell>
          <cell r="T199">
            <v>126.88839999999999</v>
          </cell>
          <cell r="U199">
            <v>-5.5</v>
          </cell>
          <cell r="V199">
            <v>261</v>
          </cell>
          <cell r="W199">
            <v>261</v>
          </cell>
          <cell r="X199">
            <v>0</v>
          </cell>
          <cell r="Y199">
            <v>15.21477</v>
          </cell>
          <cell r="Z199">
            <v>707.72881000000007</v>
          </cell>
          <cell r="AA199">
            <v>-707.72881000000007</v>
          </cell>
          <cell r="AB199">
            <v>151.70918999999998</v>
          </cell>
          <cell r="AC199">
            <v>-713.22881000000007</v>
          </cell>
          <cell r="AD199">
            <v>35</v>
          </cell>
        </row>
        <row r="200">
          <cell r="B200" t="str">
            <v>LCP-190229</v>
          </cell>
          <cell r="C200" t="str">
            <v>UPGRADE TYLOR SYSTEM IN MRT CURING PRESSES</v>
          </cell>
          <cell r="D200" t="str">
            <v>Facilities Sustaining</v>
          </cell>
          <cell r="E200" t="str">
            <v>N</v>
          </cell>
          <cell r="F200" t="str">
            <v>LA</v>
          </cell>
          <cell r="H200" t="str">
            <v>COMMERCIAL RADIAL</v>
          </cell>
          <cell r="I200" t="str">
            <v>FACILITIES/INFRASTRUCTURE</v>
          </cell>
          <cell r="J200" t="str">
            <v>AME</v>
          </cell>
          <cell r="O200">
            <v>120</v>
          </cell>
          <cell r="Q200">
            <v>120</v>
          </cell>
          <cell r="S200">
            <v>3.8177699999999999</v>
          </cell>
          <cell r="T200">
            <v>3.8177699999999999</v>
          </cell>
          <cell r="U200">
            <v>0</v>
          </cell>
          <cell r="V200">
            <v>6</v>
          </cell>
          <cell r="W200">
            <v>6</v>
          </cell>
          <cell r="Z200">
            <v>116.18223</v>
          </cell>
          <cell r="AA200">
            <v>-116.18223</v>
          </cell>
          <cell r="AB200">
            <v>3.8177699999999999</v>
          </cell>
          <cell r="AC200">
            <v>-116.18223</v>
          </cell>
          <cell r="AD200">
            <v>0</v>
          </cell>
        </row>
        <row r="201">
          <cell r="B201" t="str">
            <v>LCP-190231</v>
          </cell>
          <cell r="C201" t="str">
            <v>HOTFORMER UPGRADE LINNER AND SCREW</v>
          </cell>
          <cell r="D201" t="str">
            <v>Facilities Sustaining</v>
          </cell>
          <cell r="E201" t="str">
            <v>N</v>
          </cell>
          <cell r="F201" t="str">
            <v>LA</v>
          </cell>
          <cell r="H201" t="str">
            <v>MIXED</v>
          </cell>
          <cell r="I201" t="str">
            <v>FACILITIES/INFRASTRUCTURE</v>
          </cell>
          <cell r="J201" t="str">
            <v>AME</v>
          </cell>
          <cell r="O201">
            <v>225</v>
          </cell>
          <cell r="Q201">
            <v>225</v>
          </cell>
          <cell r="R201">
            <v>150.19739999999999</v>
          </cell>
          <cell r="S201">
            <v>150.19739999999999</v>
          </cell>
          <cell r="T201">
            <v>0</v>
          </cell>
          <cell r="U201">
            <v>0</v>
          </cell>
          <cell r="V201">
            <v>18</v>
          </cell>
          <cell r="W201">
            <v>18</v>
          </cell>
          <cell r="Z201">
            <v>74.802600000000012</v>
          </cell>
          <cell r="AA201">
            <v>-74.802600000000012</v>
          </cell>
          <cell r="AB201">
            <v>150.19739999999999</v>
          </cell>
          <cell r="AC201">
            <v>-74.802600000000012</v>
          </cell>
          <cell r="AD201">
            <v>0</v>
          </cell>
        </row>
        <row r="202">
          <cell r="B202" t="str">
            <v>LCP-190252</v>
          </cell>
          <cell r="C202" t="str">
            <v xml:space="preserve">COL - GUM CALENDER (4) ROLLS REPLACEMENT </v>
          </cell>
          <cell r="D202" t="str">
            <v>Facilities Sustaining</v>
          </cell>
          <cell r="E202" t="str">
            <v>N</v>
          </cell>
          <cell r="F202" t="str">
            <v>LA</v>
          </cell>
          <cell r="H202" t="str">
            <v>Commercial Radial</v>
          </cell>
          <cell r="I202" t="str">
            <v>Component Prep Other</v>
          </cell>
          <cell r="J202" t="str">
            <v>COL</v>
          </cell>
          <cell r="O202">
            <v>140.596</v>
          </cell>
          <cell r="Q202">
            <v>140.596</v>
          </cell>
          <cell r="R202">
            <v>101.59381</v>
          </cell>
          <cell r="S202">
            <v>101.59381</v>
          </cell>
          <cell r="T202">
            <v>0</v>
          </cell>
          <cell r="U202">
            <v>0</v>
          </cell>
          <cell r="Z202">
            <v>39.002189999999999</v>
          </cell>
          <cell r="AA202">
            <v>-39.002189999999999</v>
          </cell>
          <cell r="AB202">
            <v>101.59381</v>
          </cell>
          <cell r="AC202">
            <v>-39.002189999999999</v>
          </cell>
        </row>
        <row r="203">
          <cell r="B203" t="str">
            <v>LCP-200001</v>
          </cell>
          <cell r="C203" t="str">
            <v>AME-REPL &amp; UPG OF ROLLS IN CAL3R</v>
          </cell>
          <cell r="D203" t="str">
            <v>Facilities Sustaining</v>
          </cell>
          <cell r="E203" t="str">
            <v>N</v>
          </cell>
          <cell r="F203" t="str">
            <v>LA</v>
          </cell>
          <cell r="H203" t="str">
            <v>CONSUMER RADIAL</v>
          </cell>
          <cell r="I203" t="str">
            <v>COMPONENT PREP OTHER</v>
          </cell>
          <cell r="J203" t="str">
            <v>AME</v>
          </cell>
          <cell r="O203">
            <v>1208.9570000000001</v>
          </cell>
          <cell r="Q203">
            <v>1208.9570000000001</v>
          </cell>
          <cell r="R203">
            <v>0</v>
          </cell>
          <cell r="S203">
            <v>787.40364000000022</v>
          </cell>
          <cell r="T203">
            <v>787.35342000000026</v>
          </cell>
          <cell r="U203">
            <v>20</v>
          </cell>
          <cell r="V203">
            <v>814.2</v>
          </cell>
          <cell r="W203">
            <v>814.2</v>
          </cell>
          <cell r="X203">
            <v>0</v>
          </cell>
          <cell r="Y203">
            <v>31.256220000000003</v>
          </cell>
          <cell r="Z203">
            <v>421.55335999999988</v>
          </cell>
          <cell r="AA203">
            <v>-421.55335999999988</v>
          </cell>
          <cell r="AB203">
            <v>807.40364000000022</v>
          </cell>
          <cell r="AC203">
            <v>-401.55335999999988</v>
          </cell>
          <cell r="AD203">
            <v>0</v>
          </cell>
        </row>
        <row r="204">
          <cell r="B204" t="str">
            <v>LCP-200007</v>
          </cell>
          <cell r="C204" t="str">
            <v>AME - Additional Direction&amp;apos;s Molds</v>
          </cell>
          <cell r="D204" t="str">
            <v>Molds</v>
          </cell>
          <cell r="E204" t="str">
            <v>N</v>
          </cell>
          <cell r="F204" t="str">
            <v>LA</v>
          </cell>
          <cell r="H204" t="str">
            <v>CONSUMER RADIAL</v>
          </cell>
          <cell r="I204" t="str">
            <v>CURING</v>
          </cell>
          <cell r="J204" t="str">
            <v>AME</v>
          </cell>
          <cell r="O204">
            <v>169.7</v>
          </cell>
          <cell r="Q204">
            <v>169.7</v>
          </cell>
          <cell r="R204">
            <v>10.023640000000015</v>
          </cell>
          <cell r="S204">
            <v>10.023640000000015</v>
          </cell>
          <cell r="T204">
            <v>0</v>
          </cell>
          <cell r="U204">
            <v>0</v>
          </cell>
          <cell r="Z204">
            <v>159.67635999999999</v>
          </cell>
          <cell r="AA204">
            <v>-159.67635999999999</v>
          </cell>
          <cell r="AB204">
            <v>10.023640000000015</v>
          </cell>
          <cell r="AC204">
            <v>-159.67635999999999</v>
          </cell>
        </row>
        <row r="205">
          <cell r="B205" t="str">
            <v>LCP-200008</v>
          </cell>
          <cell r="C205" t="str">
            <v>AME-REPL &amp; UPG OF ROLLS IN CAL4R1</v>
          </cell>
          <cell r="D205" t="str">
            <v>Facilities Sustaining</v>
          </cell>
          <cell r="E205" t="str">
            <v>N</v>
          </cell>
          <cell r="F205" t="str">
            <v>LA</v>
          </cell>
          <cell r="H205" t="str">
            <v>CONSUMER RADIAL</v>
          </cell>
          <cell r="I205" t="str">
            <v>COMPONENT PREP OTHER</v>
          </cell>
          <cell r="J205" t="str">
            <v>AME</v>
          </cell>
          <cell r="O205">
            <v>955.78200000000004</v>
          </cell>
          <cell r="Q205">
            <v>955.78200000000004</v>
          </cell>
          <cell r="R205">
            <v>2.1484299999999976</v>
          </cell>
          <cell r="S205">
            <v>32.605260000000001</v>
          </cell>
          <cell r="T205">
            <v>32.015540000000009</v>
          </cell>
          <cell r="U205">
            <v>35.000000000000007</v>
          </cell>
          <cell r="V205">
            <v>199.04179999999999</v>
          </cell>
          <cell r="W205">
            <v>199.04179999999999</v>
          </cell>
          <cell r="X205">
            <v>110.50160000000001</v>
          </cell>
          <cell r="Y205">
            <v>0</v>
          </cell>
          <cell r="Z205">
            <v>923.17674</v>
          </cell>
          <cell r="AA205">
            <v>-923.17674</v>
          </cell>
          <cell r="AB205">
            <v>67.605260000000015</v>
          </cell>
          <cell r="AC205">
            <v>-888.17674</v>
          </cell>
          <cell r="AD205">
            <v>0</v>
          </cell>
        </row>
        <row r="206">
          <cell r="B206" t="str">
            <v>LCP-210149</v>
          </cell>
          <cell r="C206" t="str">
            <v>AME - CURING VACUUM SYSTEM UPGRADE</v>
          </cell>
          <cell r="D206" t="str">
            <v>Facilities Sustaining</v>
          </cell>
          <cell r="E206" t="str">
            <v>N</v>
          </cell>
          <cell r="F206" t="str">
            <v>LA</v>
          </cell>
          <cell r="H206" t="str">
            <v>N/A</v>
          </cell>
          <cell r="I206" t="str">
            <v>OTHER</v>
          </cell>
          <cell r="J206" t="str">
            <v>AME</v>
          </cell>
          <cell r="T206">
            <v>2.1044699999999996</v>
          </cell>
          <cell r="U206">
            <v>60.729880000000001</v>
          </cell>
          <cell r="X206">
            <v>0</v>
          </cell>
          <cell r="Y206">
            <v>79.04222</v>
          </cell>
          <cell r="AD206">
            <v>40</v>
          </cell>
        </row>
        <row r="207">
          <cell r="B207" t="str">
            <v>LCP-210132</v>
          </cell>
          <cell r="C207" t="str">
            <v>AME - STEEL TRANSFERS BAND NGTTS</v>
          </cell>
          <cell r="D207" t="str">
            <v>Facilities Sustaining</v>
          </cell>
          <cell r="E207" t="str">
            <v>N</v>
          </cell>
          <cell r="F207" t="str">
            <v>LA</v>
          </cell>
          <cell r="H207" t="str">
            <v>N/A</v>
          </cell>
          <cell r="I207" t="str">
            <v>OTHER</v>
          </cell>
          <cell r="J207" t="str">
            <v>AME</v>
          </cell>
          <cell r="T207">
            <v>0</v>
          </cell>
          <cell r="U207">
            <v>115</v>
          </cell>
          <cell r="X207">
            <v>109.33982</v>
          </cell>
          <cell r="Y207">
            <v>1.1191199999999999</v>
          </cell>
          <cell r="AD207">
            <v>53</v>
          </cell>
        </row>
        <row r="208">
          <cell r="B208" t="str">
            <v>LCP-200012</v>
          </cell>
          <cell r="C208" t="str">
            <v>WRANGLER SUV SUCCESSOR</v>
          </cell>
          <cell r="D208" t="str">
            <v>Molds</v>
          </cell>
          <cell r="E208" t="str">
            <v>N</v>
          </cell>
          <cell r="F208" t="str">
            <v>LA</v>
          </cell>
          <cell r="H208" t="str">
            <v>Consumer Radial</v>
          </cell>
          <cell r="I208" t="str">
            <v>Curing</v>
          </cell>
          <cell r="J208" t="str">
            <v>PER</v>
          </cell>
          <cell r="O208">
            <v>720</v>
          </cell>
          <cell r="Q208">
            <v>720</v>
          </cell>
          <cell r="R208">
            <v>0</v>
          </cell>
          <cell r="S208">
            <v>26.204669999999858</v>
          </cell>
          <cell r="T208">
            <v>26.204669999999858</v>
          </cell>
          <cell r="U208">
            <v>0</v>
          </cell>
          <cell r="V208">
            <v>78.374759999999966</v>
          </cell>
          <cell r="W208">
            <v>78.374759999999966</v>
          </cell>
          <cell r="X208">
            <v>39.31</v>
          </cell>
          <cell r="Y208">
            <v>0</v>
          </cell>
          <cell r="Z208">
            <v>693.79533000000015</v>
          </cell>
          <cell r="AA208">
            <v>-693.79533000000015</v>
          </cell>
          <cell r="AB208">
            <v>26.204669999999858</v>
          </cell>
          <cell r="AC208">
            <v>-693.79533000000015</v>
          </cell>
          <cell r="AD208">
            <v>70.850999999999999</v>
          </cell>
        </row>
        <row r="209">
          <cell r="B209" t="str">
            <v>LCP-200014</v>
          </cell>
          <cell r="C209" t="str">
            <v>PER - CALENDER #1 TOP ROLL</v>
          </cell>
          <cell r="D209" t="str">
            <v>Facilities Sustaining</v>
          </cell>
          <cell r="E209" t="str">
            <v>N</v>
          </cell>
          <cell r="F209" t="str">
            <v>LA</v>
          </cell>
          <cell r="H209" t="str">
            <v>Consumer Radial</v>
          </cell>
          <cell r="I209" t="str">
            <v>Facilities/Infrastructure</v>
          </cell>
          <cell r="J209" t="str">
            <v>PER</v>
          </cell>
          <cell r="O209">
            <v>52.5</v>
          </cell>
          <cell r="Q209">
            <v>52.5</v>
          </cell>
          <cell r="S209">
            <v>53.30574</v>
          </cell>
          <cell r="T209">
            <v>53.30574</v>
          </cell>
          <cell r="U209">
            <v>0</v>
          </cell>
          <cell r="V209">
            <v>52.741599999999998</v>
          </cell>
          <cell r="W209">
            <v>52.741599999999998</v>
          </cell>
          <cell r="Z209">
            <v>-0.80574000000000012</v>
          </cell>
          <cell r="AA209">
            <v>0.80574000000000012</v>
          </cell>
          <cell r="AB209">
            <v>53.30574</v>
          </cell>
          <cell r="AC209">
            <v>0.80574000000000012</v>
          </cell>
        </row>
        <row r="210">
          <cell r="B210" t="str">
            <v>LCP-200016</v>
          </cell>
          <cell r="C210" t="str">
            <v>AME- LT275/65R18 Wr. Duratrac - Transfer</v>
          </cell>
          <cell r="D210" t="str">
            <v>Molds</v>
          </cell>
          <cell r="E210" t="str">
            <v>N</v>
          </cell>
          <cell r="F210" t="str">
            <v>LA</v>
          </cell>
          <cell r="H210" t="str">
            <v>Consumer Radial</v>
          </cell>
          <cell r="I210" t="str">
            <v>CURING</v>
          </cell>
          <cell r="J210" t="str">
            <v>AME</v>
          </cell>
          <cell r="O210">
            <v>4</v>
          </cell>
          <cell r="Q210">
            <v>4</v>
          </cell>
          <cell r="R210">
            <v>0</v>
          </cell>
          <cell r="S210">
            <v>0</v>
          </cell>
          <cell r="T210">
            <v>0</v>
          </cell>
          <cell r="U210">
            <v>0</v>
          </cell>
          <cell r="Z210">
            <v>4</v>
          </cell>
          <cell r="AA210">
            <v>-4</v>
          </cell>
          <cell r="AB210">
            <v>0</v>
          </cell>
          <cell r="AC210">
            <v>-4</v>
          </cell>
        </row>
        <row r="211">
          <cell r="B211" t="str">
            <v>LCP-200017</v>
          </cell>
          <cell r="C211" t="str">
            <v>PER - CLEANING MOLDS OVEN</v>
          </cell>
          <cell r="D211" t="str">
            <v>Quality - Improvement</v>
          </cell>
          <cell r="E211" t="str">
            <v>N</v>
          </cell>
          <cell r="F211" t="str">
            <v>LA</v>
          </cell>
          <cell r="H211" t="str">
            <v>Consumer Radial</v>
          </cell>
          <cell r="I211" t="str">
            <v>Curing</v>
          </cell>
          <cell r="J211" t="str">
            <v>PER</v>
          </cell>
          <cell r="O211">
            <v>115</v>
          </cell>
          <cell r="Q211">
            <v>115</v>
          </cell>
          <cell r="S211">
            <v>1.3735899999999999</v>
          </cell>
          <cell r="T211">
            <v>1.3735899999999999</v>
          </cell>
          <cell r="U211">
            <v>0</v>
          </cell>
          <cell r="X211">
            <v>0</v>
          </cell>
          <cell r="Y211">
            <v>0.25739999999999996</v>
          </cell>
          <cell r="Z211">
            <v>113.62641000000001</v>
          </cell>
          <cell r="AA211">
            <v>-113.62641000000001</v>
          </cell>
          <cell r="AB211">
            <v>1.3735899999999999</v>
          </cell>
          <cell r="AC211">
            <v>-113.62641000000001</v>
          </cell>
        </row>
        <row r="212">
          <cell r="B212" t="str">
            <v>LCP-200018</v>
          </cell>
          <cell r="C212" t="str">
            <v>VW Tarek Argentina R18</v>
          </cell>
          <cell r="D212" t="str">
            <v>Molds</v>
          </cell>
          <cell r="E212" t="str">
            <v>N</v>
          </cell>
          <cell r="F212" t="str">
            <v>LA</v>
          </cell>
          <cell r="H212" t="str">
            <v>Consumer Radial</v>
          </cell>
          <cell r="I212" t="str">
            <v>Curing</v>
          </cell>
          <cell r="J212" t="str">
            <v>AME</v>
          </cell>
          <cell r="O212">
            <v>340</v>
          </cell>
          <cell r="Q212">
            <v>340</v>
          </cell>
          <cell r="S212">
            <v>204.23382999999995</v>
          </cell>
          <cell r="T212">
            <v>204.23382999999995</v>
          </cell>
          <cell r="U212">
            <v>0</v>
          </cell>
          <cell r="V212">
            <v>174.07524000000001</v>
          </cell>
          <cell r="W212">
            <v>174.07524000000001</v>
          </cell>
          <cell r="Z212">
            <v>135.76617000000005</v>
          </cell>
          <cell r="AA212">
            <v>-135.76617000000005</v>
          </cell>
          <cell r="AB212">
            <v>204.23382999999995</v>
          </cell>
          <cell r="AC212">
            <v>-135.76617000000005</v>
          </cell>
          <cell r="AD212">
            <v>108.82499999999999</v>
          </cell>
        </row>
        <row r="213">
          <cell r="B213" t="str">
            <v>LCP-200019</v>
          </cell>
          <cell r="C213" t="str">
            <v>VW Tarek Argentina R19</v>
          </cell>
          <cell r="D213" t="str">
            <v>Molds</v>
          </cell>
          <cell r="E213" t="str">
            <v>N</v>
          </cell>
          <cell r="F213" t="str">
            <v>LA</v>
          </cell>
          <cell r="H213" t="str">
            <v>Consumer Radial</v>
          </cell>
          <cell r="I213" t="str">
            <v>Curing</v>
          </cell>
          <cell r="J213" t="str">
            <v>AME</v>
          </cell>
          <cell r="O213">
            <v>68</v>
          </cell>
          <cell r="Q213">
            <v>68</v>
          </cell>
          <cell r="S213">
            <v>51.269149999999996</v>
          </cell>
          <cell r="T213">
            <v>51.269149999999996</v>
          </cell>
          <cell r="U213">
            <v>0</v>
          </cell>
          <cell r="V213">
            <v>38.030450000000002</v>
          </cell>
          <cell r="W213">
            <v>38.030450000000002</v>
          </cell>
          <cell r="Z213">
            <v>16.730850000000004</v>
          </cell>
          <cell r="AA213">
            <v>-16.730850000000004</v>
          </cell>
          <cell r="AB213">
            <v>51.269149999999996</v>
          </cell>
          <cell r="AC213">
            <v>-16.730850000000004</v>
          </cell>
          <cell r="AD213">
            <v>37.700000000000003</v>
          </cell>
        </row>
        <row r="214">
          <cell r="B214" t="str">
            <v>LCP-200020</v>
          </cell>
          <cell r="C214" t="str">
            <v>KMAX D - Lwer UT , mold replacement</v>
          </cell>
          <cell r="D214" t="str">
            <v>Molds</v>
          </cell>
          <cell r="E214" t="str">
            <v>N</v>
          </cell>
          <cell r="F214" t="str">
            <v>LA</v>
          </cell>
          <cell r="H214" t="str">
            <v>Retread</v>
          </cell>
          <cell r="I214" t="str">
            <v>Curing</v>
          </cell>
          <cell r="J214" t="str">
            <v>RET</v>
          </cell>
          <cell r="O214">
            <v>105</v>
          </cell>
          <cell r="Q214">
            <v>105</v>
          </cell>
          <cell r="R214">
            <v>0</v>
          </cell>
          <cell r="S214">
            <v>0</v>
          </cell>
          <cell r="T214">
            <v>0</v>
          </cell>
          <cell r="U214">
            <v>0</v>
          </cell>
          <cell r="Z214">
            <v>105</v>
          </cell>
          <cell r="AA214">
            <v>-105</v>
          </cell>
          <cell r="AB214">
            <v>0</v>
          </cell>
          <cell r="AC214">
            <v>-105</v>
          </cell>
        </row>
        <row r="215">
          <cell r="B215" t="str">
            <v>LCP-200021</v>
          </cell>
          <cell r="C215" t="str">
            <v>Direction Transfer to Peru</v>
          </cell>
          <cell r="D215" t="str">
            <v>Molds</v>
          </cell>
          <cell r="E215" t="str">
            <v>N</v>
          </cell>
          <cell r="F215" t="str">
            <v>LA</v>
          </cell>
          <cell r="H215" t="str">
            <v>Consumer Radial</v>
          </cell>
          <cell r="I215" t="str">
            <v>Curing</v>
          </cell>
          <cell r="J215" t="str">
            <v>PER</v>
          </cell>
          <cell r="O215">
            <v>140</v>
          </cell>
          <cell r="Q215">
            <v>140</v>
          </cell>
          <cell r="R215">
            <v>0</v>
          </cell>
          <cell r="S215">
            <v>4.4838299999999993</v>
          </cell>
          <cell r="T215">
            <v>4.4838299999999993</v>
          </cell>
          <cell r="U215">
            <v>0</v>
          </cell>
          <cell r="V215">
            <v>2.7883100000000001</v>
          </cell>
          <cell r="W215">
            <v>2.7883100000000001</v>
          </cell>
          <cell r="X215">
            <v>1.54</v>
          </cell>
          <cell r="Y215">
            <v>0</v>
          </cell>
          <cell r="Z215">
            <v>135.51616999999999</v>
          </cell>
          <cell r="AA215">
            <v>-135.51616999999999</v>
          </cell>
          <cell r="AB215">
            <v>4.4838299999999993</v>
          </cell>
          <cell r="AC215">
            <v>-135.51616999999999</v>
          </cell>
        </row>
        <row r="216">
          <cell r="B216" t="str">
            <v>LCP-200023</v>
          </cell>
          <cell r="C216" t="str">
            <v>UPGRADE KOKUSAI #01</v>
          </cell>
          <cell r="D216" t="str">
            <v>Facilities Sustaining</v>
          </cell>
          <cell r="E216" t="str">
            <v>N</v>
          </cell>
          <cell r="F216" t="str">
            <v>LA</v>
          </cell>
          <cell r="H216" t="str">
            <v>Commercial Radial</v>
          </cell>
          <cell r="I216" t="str">
            <v>Final Finish</v>
          </cell>
          <cell r="J216" t="str">
            <v>AME</v>
          </cell>
          <cell r="O216">
            <v>386.005</v>
          </cell>
          <cell r="Q216">
            <v>386.005</v>
          </cell>
          <cell r="S216">
            <v>68.737850000000009</v>
          </cell>
          <cell r="T216">
            <v>116.46867</v>
          </cell>
          <cell r="U216">
            <v>80.115949999999998</v>
          </cell>
          <cell r="V216">
            <v>86</v>
          </cell>
          <cell r="W216">
            <v>86</v>
          </cell>
          <cell r="X216">
            <v>0</v>
          </cell>
          <cell r="Y216">
            <v>54.426600000000001</v>
          </cell>
          <cell r="Z216">
            <v>317.26715000000002</v>
          </cell>
          <cell r="AA216">
            <v>-317.26715000000002</v>
          </cell>
          <cell r="AB216">
            <v>148.85380000000001</v>
          </cell>
          <cell r="AC216">
            <v>-237.15119999999999</v>
          </cell>
          <cell r="AD216">
            <v>0</v>
          </cell>
        </row>
        <row r="217">
          <cell r="B217" t="str">
            <v>LCP-200026</v>
          </cell>
          <cell r="C217" t="str">
            <v>AME-MISCELANEOUS QUARTELY 2020</v>
          </cell>
          <cell r="D217" t="str">
            <v>Facilities Sustaining</v>
          </cell>
          <cell r="E217" t="str">
            <v>N</v>
          </cell>
          <cell r="F217" t="str">
            <v>LA</v>
          </cell>
          <cell r="H217" t="str">
            <v>Mixed</v>
          </cell>
          <cell r="I217" t="str">
            <v>Other</v>
          </cell>
          <cell r="J217" t="str">
            <v>AME</v>
          </cell>
          <cell r="O217">
            <v>1000</v>
          </cell>
          <cell r="Q217">
            <v>1000</v>
          </cell>
          <cell r="R217">
            <v>0</v>
          </cell>
          <cell r="S217">
            <v>29.465679999999999</v>
          </cell>
          <cell r="T217">
            <v>29.465679999999999</v>
          </cell>
          <cell r="U217">
            <v>0</v>
          </cell>
          <cell r="V217">
            <v>37.937039999999996</v>
          </cell>
          <cell r="W217">
            <v>37.937039999999996</v>
          </cell>
          <cell r="Z217">
            <v>970.53431999999998</v>
          </cell>
          <cell r="AA217">
            <v>-970.53431999999998</v>
          </cell>
          <cell r="AB217">
            <v>29.465679999999999</v>
          </cell>
          <cell r="AC217">
            <v>-970.53431999999998</v>
          </cell>
          <cell r="AD217">
            <v>0</v>
          </cell>
        </row>
        <row r="218">
          <cell r="B218" t="str">
            <v>LCP-200028</v>
          </cell>
          <cell r="C218" t="str">
            <v>REPLACEMENT OF RING IN KOKUSAI</v>
          </cell>
          <cell r="D218" t="str">
            <v>Facilities Sustaining</v>
          </cell>
          <cell r="E218" t="str">
            <v>N</v>
          </cell>
          <cell r="F218" t="str">
            <v>LA</v>
          </cell>
          <cell r="H218" t="str">
            <v>Commercial Radial</v>
          </cell>
          <cell r="I218" t="str">
            <v>Final Finish</v>
          </cell>
          <cell r="J218" t="str">
            <v>AME</v>
          </cell>
          <cell r="O218">
            <v>299.66759999999999</v>
          </cell>
          <cell r="Q218">
            <v>299.66759999999999</v>
          </cell>
          <cell r="S218">
            <v>-0.55757000000000001</v>
          </cell>
          <cell r="T218">
            <v>-0.55757000000000001</v>
          </cell>
          <cell r="U218">
            <v>0</v>
          </cell>
          <cell r="V218">
            <v>-0.55757000000000001</v>
          </cell>
          <cell r="W218">
            <v>-0.55757000000000001</v>
          </cell>
          <cell r="Z218">
            <v>300.22516999999999</v>
          </cell>
          <cell r="AA218">
            <v>-300.22516999999999</v>
          </cell>
          <cell r="AB218">
            <v>-0.55757000000000001</v>
          </cell>
          <cell r="AC218">
            <v>-300.22516999999999</v>
          </cell>
          <cell r="AD218">
            <v>0</v>
          </cell>
        </row>
        <row r="219">
          <cell r="B219" t="str">
            <v>LCP-200031</v>
          </cell>
          <cell r="C219" t="str">
            <v>MEX- Converyors</v>
          </cell>
          <cell r="D219" t="str">
            <v>SAG</v>
          </cell>
          <cell r="E219" t="str">
            <v>N</v>
          </cell>
          <cell r="F219" t="str">
            <v>LA</v>
          </cell>
          <cell r="H219" t="str">
            <v>N/A</v>
          </cell>
          <cell r="I219" t="str">
            <v>SAG - Supply Chain</v>
          </cell>
          <cell r="J219" t="str">
            <v>MEX</v>
          </cell>
          <cell r="O219">
            <v>112</v>
          </cell>
          <cell r="Q219">
            <v>112</v>
          </cell>
          <cell r="S219">
            <v>9.1301799999999744</v>
          </cell>
          <cell r="T219">
            <v>10.768629999999975</v>
          </cell>
          <cell r="U219">
            <v>1.6151099999999996</v>
          </cell>
          <cell r="V219">
            <v>-4.85806</v>
          </cell>
          <cell r="W219">
            <v>-4.85806</v>
          </cell>
          <cell r="Z219">
            <v>102.86982000000003</v>
          </cell>
          <cell r="AA219">
            <v>-102.86982000000003</v>
          </cell>
          <cell r="AB219">
            <v>10.745289999999974</v>
          </cell>
          <cell r="AC219">
            <v>-101.25471000000003</v>
          </cell>
        </row>
        <row r="220">
          <cell r="B220" t="str">
            <v>LCP-200032</v>
          </cell>
          <cell r="C220" t="str">
            <v>AME - 4 molds 175/70R13 Edge Touring</v>
          </cell>
          <cell r="D220" t="str">
            <v>Molds</v>
          </cell>
          <cell r="E220" t="str">
            <v>N</v>
          </cell>
          <cell r="F220" t="str">
            <v>LA</v>
          </cell>
          <cell r="H220" t="str">
            <v>Consumer Radial</v>
          </cell>
          <cell r="I220" t="str">
            <v>Curing</v>
          </cell>
          <cell r="J220" t="str">
            <v>AME</v>
          </cell>
          <cell r="O220">
            <v>81.75</v>
          </cell>
          <cell r="Q220">
            <v>81.75</v>
          </cell>
          <cell r="R220">
            <v>0</v>
          </cell>
          <cell r="S220">
            <v>0</v>
          </cell>
          <cell r="T220">
            <v>0</v>
          </cell>
          <cell r="U220">
            <v>0</v>
          </cell>
          <cell r="Z220">
            <v>81.75</v>
          </cell>
          <cell r="AA220">
            <v>-81.75</v>
          </cell>
          <cell r="AB220">
            <v>0</v>
          </cell>
          <cell r="AC220">
            <v>-81.75</v>
          </cell>
        </row>
        <row r="221">
          <cell r="B221" t="str">
            <v>LCP-200033</v>
          </cell>
          <cell r="C221" t="str">
            <v>CHI - Look &amp; Feel POS Identification Ecuador 2020</v>
          </cell>
          <cell r="D221" t="str">
            <v>SAG</v>
          </cell>
          <cell r="E221" t="str">
            <v>N</v>
          </cell>
          <cell r="F221" t="str">
            <v>LA</v>
          </cell>
          <cell r="H221" t="str">
            <v>N/A</v>
          </cell>
          <cell r="I221" t="str">
            <v>SAG - Sales &amp; Marketing</v>
          </cell>
          <cell r="J221" t="str">
            <v>CHI</v>
          </cell>
          <cell r="O221">
            <v>84</v>
          </cell>
          <cell r="Q221">
            <v>84</v>
          </cell>
          <cell r="S221">
            <v>0</v>
          </cell>
          <cell r="T221">
            <v>0</v>
          </cell>
          <cell r="U221">
            <v>0</v>
          </cell>
          <cell r="Z221">
            <v>84</v>
          </cell>
          <cell r="AA221">
            <v>-84</v>
          </cell>
          <cell r="AB221">
            <v>0</v>
          </cell>
          <cell r="AC221">
            <v>-84</v>
          </cell>
        </row>
        <row r="222">
          <cell r="B222" t="str">
            <v>LCP-200036</v>
          </cell>
          <cell r="C222" t="str">
            <v>PER - Look &amp; Feel POS Identification Peru</v>
          </cell>
          <cell r="D222" t="str">
            <v>SAG</v>
          </cell>
          <cell r="E222" t="str">
            <v>N</v>
          </cell>
          <cell r="F222" t="str">
            <v>LA</v>
          </cell>
          <cell r="H222" t="str">
            <v>Mixed</v>
          </cell>
          <cell r="I222" t="str">
            <v>SAG - Sales &amp; Marketing</v>
          </cell>
          <cell r="J222" t="str">
            <v>PER</v>
          </cell>
          <cell r="O222">
            <v>250</v>
          </cell>
          <cell r="Q222">
            <v>250</v>
          </cell>
          <cell r="S222">
            <v>0</v>
          </cell>
          <cell r="T222">
            <v>0</v>
          </cell>
          <cell r="U222">
            <v>0</v>
          </cell>
          <cell r="Z222">
            <v>250</v>
          </cell>
          <cell r="AA222">
            <v>-250</v>
          </cell>
          <cell r="AB222">
            <v>0</v>
          </cell>
          <cell r="AC222">
            <v>-250</v>
          </cell>
        </row>
        <row r="223">
          <cell r="B223" t="str">
            <v>LCP-200042</v>
          </cell>
          <cell r="C223" t="str">
            <v>AME- EQUIPMENTS TO CONSUMER TIRES</v>
          </cell>
          <cell r="D223" t="str">
            <v>Molds</v>
          </cell>
          <cell r="E223" t="str">
            <v>N</v>
          </cell>
          <cell r="F223" t="str">
            <v>LA</v>
          </cell>
          <cell r="H223" t="str">
            <v>CONSUMER RADIAL</v>
          </cell>
          <cell r="I223" t="str">
            <v>Curing</v>
          </cell>
          <cell r="J223" t="str">
            <v>AME</v>
          </cell>
          <cell r="O223">
            <v>102</v>
          </cell>
          <cell r="Q223">
            <v>102</v>
          </cell>
          <cell r="S223">
            <v>64.294229999999999</v>
          </cell>
          <cell r="T223">
            <v>84.42179999999999</v>
          </cell>
          <cell r="U223">
            <v>0</v>
          </cell>
          <cell r="V223">
            <v>83.293139999999994</v>
          </cell>
          <cell r="W223">
            <v>83.293139999999994</v>
          </cell>
          <cell r="Z223">
            <v>37.705770000000001</v>
          </cell>
          <cell r="AA223">
            <v>-37.705770000000001</v>
          </cell>
          <cell r="AB223">
            <v>64.294229999999999</v>
          </cell>
          <cell r="AC223">
            <v>-37.705770000000001</v>
          </cell>
          <cell r="AD223">
            <v>102</v>
          </cell>
        </row>
        <row r="224">
          <cell r="B224" t="str">
            <v>LCP-200046</v>
          </cell>
          <cell r="C224" t="str">
            <v>CHI - Look &amp; Feel POS Identification Chile 2020</v>
          </cell>
          <cell r="D224" t="str">
            <v>SAG</v>
          </cell>
          <cell r="E224" t="str">
            <v>N</v>
          </cell>
          <cell r="F224" t="str">
            <v>LA</v>
          </cell>
          <cell r="H224" t="str">
            <v>N/A</v>
          </cell>
          <cell r="I224" t="str">
            <v>SAG - Sales &amp; Marketing</v>
          </cell>
          <cell r="J224" t="str">
            <v>CHI</v>
          </cell>
          <cell r="O224">
            <v>101</v>
          </cell>
          <cell r="P224">
            <v>122</v>
          </cell>
          <cell r="Q224">
            <v>223</v>
          </cell>
          <cell r="S224">
            <v>0.8591899999999999</v>
          </cell>
          <cell r="T224">
            <v>0.8591899999999999</v>
          </cell>
          <cell r="U224">
            <v>0</v>
          </cell>
          <cell r="X224">
            <v>0</v>
          </cell>
          <cell r="Y224">
            <v>30.478009999999998</v>
          </cell>
        </row>
        <row r="225">
          <cell r="B225" t="str">
            <v>LCP-210010</v>
          </cell>
          <cell r="C225" t="str">
            <v>REPLACEMENT OF THE PRIMARY GEARBOX MIXER#06</v>
          </cell>
          <cell r="D225" t="str">
            <v>Facilities Sustaining</v>
          </cell>
          <cell r="E225" t="str">
            <v>N</v>
          </cell>
          <cell r="F225" t="str">
            <v>LA</v>
          </cell>
          <cell r="H225" t="str">
            <v>Mixed</v>
          </cell>
          <cell r="I225" t="str">
            <v>MIXING</v>
          </cell>
          <cell r="J225" t="str">
            <v>AME</v>
          </cell>
          <cell r="T225">
            <v>2.2459699999999998</v>
          </cell>
          <cell r="U225">
            <v>100</v>
          </cell>
          <cell r="X225">
            <v>0</v>
          </cell>
          <cell r="Y225">
            <v>125.67686</v>
          </cell>
          <cell r="AD225">
            <v>56.638200000000005</v>
          </cell>
        </row>
        <row r="226">
          <cell r="B226" t="str">
            <v>LCP-200058</v>
          </cell>
          <cell r="C226" t="str">
            <v>29.5-29 SMO</v>
          </cell>
          <cell r="D226" t="str">
            <v>Molds</v>
          </cell>
          <cell r="E226" t="str">
            <v>N</v>
          </cell>
          <cell r="F226" t="str">
            <v>LA</v>
          </cell>
          <cell r="H226" t="str">
            <v>OTR</v>
          </cell>
          <cell r="I226" t="str">
            <v>Curing</v>
          </cell>
          <cell r="J226" t="str">
            <v>AME</v>
          </cell>
          <cell r="O226">
            <v>300</v>
          </cell>
          <cell r="Q226">
            <v>300</v>
          </cell>
          <cell r="S226">
            <v>39.921510000000005</v>
          </cell>
          <cell r="T226">
            <v>39.921510000000005</v>
          </cell>
          <cell r="U226">
            <v>0</v>
          </cell>
          <cell r="V226">
            <v>21.448710000000005</v>
          </cell>
          <cell r="W226">
            <v>21.448710000000005</v>
          </cell>
          <cell r="Z226">
            <v>260.07848999999999</v>
          </cell>
          <cell r="AA226">
            <v>-260.07848999999999</v>
          </cell>
          <cell r="AB226">
            <v>39.921510000000005</v>
          </cell>
          <cell r="AC226">
            <v>-260.07848999999999</v>
          </cell>
          <cell r="AD226">
            <v>24.324999999999999</v>
          </cell>
        </row>
        <row r="227">
          <cell r="B227" t="str">
            <v>LCP-200061</v>
          </cell>
          <cell r="C227" t="str">
            <v>COL - MISCELLAEOUS SUSTAINING</v>
          </cell>
          <cell r="D227" t="str">
            <v>Facilities Sustaining</v>
          </cell>
          <cell r="E227" t="str">
            <v>N</v>
          </cell>
          <cell r="F227" t="str">
            <v>LA</v>
          </cell>
          <cell r="H227" t="str">
            <v>Commercial Radial</v>
          </cell>
          <cell r="I227" t="str">
            <v>Facilities/Infrastructure</v>
          </cell>
          <cell r="J227" t="str">
            <v>COL</v>
          </cell>
          <cell r="O227">
            <v>400</v>
          </cell>
          <cell r="Q227">
            <v>400</v>
          </cell>
          <cell r="R227">
            <v>0</v>
          </cell>
          <cell r="S227">
            <v>29.429079999999999</v>
          </cell>
          <cell r="T227">
            <v>29.429079999999999</v>
          </cell>
          <cell r="U227">
            <v>0</v>
          </cell>
          <cell r="V227">
            <v>14.396669999999999</v>
          </cell>
          <cell r="W227">
            <v>14.396669999999999</v>
          </cell>
          <cell r="Z227">
            <v>370.57092</v>
          </cell>
          <cell r="AA227">
            <v>-370.57092</v>
          </cell>
          <cell r="AB227">
            <v>29.429079999999999</v>
          </cell>
          <cell r="AC227">
            <v>-370.57092</v>
          </cell>
        </row>
        <row r="228">
          <cell r="B228" t="str">
            <v>LCP-200062</v>
          </cell>
          <cell r="C228" t="str">
            <v xml:space="preserve">COL- Quad Extruder screw 150 mm  replacement  </v>
          </cell>
          <cell r="D228" t="str">
            <v>Facilities Sustaining</v>
          </cell>
          <cell r="E228" t="str">
            <v>N</v>
          </cell>
          <cell r="F228" t="str">
            <v>LA</v>
          </cell>
          <cell r="H228" t="str">
            <v>Commercial Radial</v>
          </cell>
          <cell r="I228" t="str">
            <v>COMPONENT PREP OTHER</v>
          </cell>
          <cell r="J228" t="str">
            <v>COL</v>
          </cell>
          <cell r="S228">
            <v>0</v>
          </cell>
          <cell r="T228">
            <v>0</v>
          </cell>
          <cell r="U228">
            <v>0</v>
          </cell>
        </row>
        <row r="229">
          <cell r="B229" t="str">
            <v>LCP-200064</v>
          </cell>
          <cell r="C229" t="str">
            <v>VEHICLE GIC CAM - GUATEMALA</v>
          </cell>
          <cell r="D229" t="str">
            <v>SAG</v>
          </cell>
          <cell r="E229" t="str">
            <v>N</v>
          </cell>
          <cell r="F229" t="str">
            <v>LA</v>
          </cell>
          <cell r="H229" t="str">
            <v>N/A</v>
          </cell>
          <cell r="I229" t="str">
            <v>SAG - Other</v>
          </cell>
          <cell r="J229" t="str">
            <v>GIC</v>
          </cell>
          <cell r="O229">
            <v>6</v>
          </cell>
          <cell r="Q229">
            <v>6</v>
          </cell>
          <cell r="S229">
            <v>0</v>
          </cell>
          <cell r="T229">
            <v>0</v>
          </cell>
          <cell r="U229">
            <v>0</v>
          </cell>
          <cell r="Z229">
            <v>6</v>
          </cell>
          <cell r="AA229">
            <v>-6</v>
          </cell>
          <cell r="AB229">
            <v>0</v>
          </cell>
          <cell r="AC229">
            <v>-6</v>
          </cell>
        </row>
        <row r="230">
          <cell r="B230" t="str">
            <v>LCP-200070</v>
          </cell>
          <cell r="C230" t="str">
            <v>COL-AUTOMATIC DEFECT RECOGNITION SOFTWAR</v>
          </cell>
          <cell r="D230" t="str">
            <v>Quality - Improvement</v>
          </cell>
          <cell r="E230" t="str">
            <v>N</v>
          </cell>
          <cell r="F230" t="str">
            <v>LA</v>
          </cell>
          <cell r="H230" t="str">
            <v>Commercial Radial</v>
          </cell>
          <cell r="I230" t="str">
            <v>TIRE ASSEMBLY</v>
          </cell>
          <cell r="J230" t="str">
            <v>COL</v>
          </cell>
          <cell r="O230">
            <v>148.03700000000001</v>
          </cell>
          <cell r="Q230">
            <v>148.03700000000001</v>
          </cell>
          <cell r="S230">
            <v>98.827049999999986</v>
          </cell>
          <cell r="T230">
            <v>104.26880999999999</v>
          </cell>
          <cell r="U230">
            <v>0</v>
          </cell>
          <cell r="V230">
            <v>158.37970999999999</v>
          </cell>
          <cell r="W230">
            <v>158.37970999999999</v>
          </cell>
          <cell r="X230">
            <v>0</v>
          </cell>
          <cell r="Y230">
            <v>4.1999999999999996E-4</v>
          </cell>
          <cell r="Z230">
            <v>49.209950000000021</v>
          </cell>
          <cell r="AA230">
            <v>-49.209950000000021</v>
          </cell>
          <cell r="AB230">
            <v>98.827049999999986</v>
          </cell>
          <cell r="AC230">
            <v>-49.209950000000021</v>
          </cell>
        </row>
        <row r="231">
          <cell r="B231" t="str">
            <v>LCP-200076</v>
          </cell>
          <cell r="C231" t="str">
            <v>HOTFORMER UPG LINNER AND SCREW STATIONS #04</v>
          </cell>
          <cell r="D231" t="str">
            <v>Facilities Sustaining</v>
          </cell>
          <cell r="E231" t="str">
            <v>N</v>
          </cell>
          <cell r="F231" t="str">
            <v>LA</v>
          </cell>
          <cell r="H231" t="str">
            <v>N/A</v>
          </cell>
          <cell r="I231" t="str">
            <v>COMPONENT PREP OTHER</v>
          </cell>
          <cell r="J231" t="str">
            <v>AME</v>
          </cell>
          <cell r="Q231">
            <v>144.029</v>
          </cell>
          <cell r="S231">
            <v>0</v>
          </cell>
          <cell r="T231">
            <v>0</v>
          </cell>
          <cell r="U231">
            <v>0</v>
          </cell>
          <cell r="V231">
            <v>64.375</v>
          </cell>
          <cell r="W231">
            <v>64.375</v>
          </cell>
          <cell r="AD231">
            <v>0</v>
          </cell>
        </row>
        <row r="232">
          <cell r="B232" t="str">
            <v>LCP-200077</v>
          </cell>
          <cell r="C232" t="str">
            <v>AME - Bijinic Tank</v>
          </cell>
          <cell r="D232" t="str">
            <v>Quality - Improvement</v>
          </cell>
          <cell r="E232" t="str">
            <v>N</v>
          </cell>
          <cell r="F232" t="str">
            <v>LA</v>
          </cell>
          <cell r="H232" t="str">
            <v>CONSUMER RADIAL</v>
          </cell>
          <cell r="I232" t="str">
            <v>Mixing</v>
          </cell>
          <cell r="J232" t="str">
            <v>AME</v>
          </cell>
          <cell r="Q232">
            <v>213.85</v>
          </cell>
          <cell r="S232">
            <v>67.475760000000008</v>
          </cell>
          <cell r="T232">
            <v>67.311960000000013</v>
          </cell>
          <cell r="U232">
            <v>0</v>
          </cell>
          <cell r="V232">
            <v>63.783950000000004</v>
          </cell>
          <cell r="W232">
            <v>63.783950000000004</v>
          </cell>
          <cell r="X232">
            <v>0</v>
          </cell>
          <cell r="Y232">
            <v>4.8676599999999999</v>
          </cell>
          <cell r="AD232">
            <v>0</v>
          </cell>
        </row>
        <row r="233">
          <cell r="B233" t="str">
            <v>LCP-200087</v>
          </cell>
          <cell r="C233" t="str">
            <v>PER-New VSAN environment and BackUp Sol</v>
          </cell>
          <cell r="D233" t="str">
            <v>IT</v>
          </cell>
          <cell r="E233" t="str">
            <v>N</v>
          </cell>
          <cell r="F233" t="str">
            <v>LA</v>
          </cell>
          <cell r="H233" t="str">
            <v>N/A</v>
          </cell>
          <cell r="I233" t="str">
            <v>SAG - IT</v>
          </cell>
          <cell r="J233" t="str">
            <v>PER</v>
          </cell>
          <cell r="O233">
            <v>145</v>
          </cell>
          <cell r="Q233">
            <v>145</v>
          </cell>
          <cell r="S233">
            <v>0</v>
          </cell>
          <cell r="T233">
            <v>0</v>
          </cell>
          <cell r="U233">
            <v>0</v>
          </cell>
          <cell r="Z233">
            <v>145</v>
          </cell>
          <cell r="AA233">
            <v>-145</v>
          </cell>
          <cell r="AB233">
            <v>0</v>
          </cell>
          <cell r="AC233">
            <v>-145</v>
          </cell>
        </row>
        <row r="234">
          <cell r="B234" t="str">
            <v>LCP-200090</v>
          </cell>
          <cell r="C234" t="str">
            <v>PER - CAPA EXTRUDER GEARBOX REPLACEMENT</v>
          </cell>
          <cell r="D234" t="str">
            <v>Facilities Sustaining</v>
          </cell>
          <cell r="E234" t="str">
            <v>N</v>
          </cell>
          <cell r="F234" t="str">
            <v>LA</v>
          </cell>
          <cell r="H234" t="str">
            <v>Consumer Radial</v>
          </cell>
          <cell r="I234" t="str">
            <v>Mixing</v>
          </cell>
          <cell r="J234" t="str">
            <v>PER</v>
          </cell>
          <cell r="Q234">
            <v>225</v>
          </cell>
          <cell r="S234">
            <v>18.706880000000002</v>
          </cell>
          <cell r="T234">
            <v>140.72446000000002</v>
          </cell>
          <cell r="U234">
            <v>135.0675</v>
          </cell>
          <cell r="V234">
            <v>158.9</v>
          </cell>
          <cell r="W234">
            <v>158.9</v>
          </cell>
          <cell r="X234">
            <v>13.5</v>
          </cell>
          <cell r="Y234">
            <v>0</v>
          </cell>
        </row>
        <row r="235">
          <cell r="B235" t="str">
            <v>LCP-200092</v>
          </cell>
          <cell r="C235" t="str">
            <v>AME-METAL DETECTOR IN CAL 4R2</v>
          </cell>
          <cell r="D235" t="str">
            <v>Quality - Improvement</v>
          </cell>
          <cell r="E235" t="str">
            <v>N</v>
          </cell>
          <cell r="F235" t="str">
            <v>LA</v>
          </cell>
          <cell r="H235" t="str">
            <v>CONSUMER RADIAL</v>
          </cell>
          <cell r="I235" t="str">
            <v>Component Prep</v>
          </cell>
          <cell r="J235" t="str">
            <v>AME</v>
          </cell>
          <cell r="Q235">
            <v>245</v>
          </cell>
          <cell r="S235">
            <v>41.832540000000002</v>
          </cell>
          <cell r="T235">
            <v>41.832540000000002</v>
          </cell>
          <cell r="U235">
            <v>2.3999999999999986</v>
          </cell>
          <cell r="V235">
            <v>170.14825000000002</v>
          </cell>
          <cell r="W235">
            <v>170.14825000000002</v>
          </cell>
          <cell r="X235">
            <v>7.7003999999999992</v>
          </cell>
          <cell r="Y235">
            <v>14.644170000000001</v>
          </cell>
          <cell r="AD235">
            <v>0</v>
          </cell>
        </row>
        <row r="236">
          <cell r="B236" t="str">
            <v>LCP-200093</v>
          </cell>
          <cell r="C236" t="str">
            <v>PER - 2020 MISCELLANEOUS ANNUAL BUDGET PHASE 2</v>
          </cell>
          <cell r="D236" t="str">
            <v>Facilities Sustaining</v>
          </cell>
          <cell r="E236" t="str">
            <v>N</v>
          </cell>
          <cell r="F236" t="str">
            <v>LA</v>
          </cell>
          <cell r="H236" t="str">
            <v>N/A</v>
          </cell>
          <cell r="I236" t="str">
            <v>Other</v>
          </cell>
          <cell r="J236" t="str">
            <v>PER</v>
          </cell>
          <cell r="Q236">
            <v>225</v>
          </cell>
          <cell r="S236">
            <v>29.40459000000001</v>
          </cell>
          <cell r="T236">
            <v>30.500170000000008</v>
          </cell>
          <cell r="U236">
            <v>42.5</v>
          </cell>
          <cell r="V236">
            <v>27.098480000000002</v>
          </cell>
          <cell r="W236">
            <v>27.098480000000002</v>
          </cell>
        </row>
        <row r="237">
          <cell r="B237" t="str">
            <v>LCP-200097</v>
          </cell>
          <cell r="C237" t="str">
            <v>4 Molds - 295/80R22.5 KMAX-D (TR+SW)</v>
          </cell>
          <cell r="D237" t="str">
            <v>Molds</v>
          </cell>
          <cell r="E237" t="str">
            <v>N</v>
          </cell>
          <cell r="F237" t="str">
            <v>LA</v>
          </cell>
          <cell r="H237" t="str">
            <v>COMMERCIAL RADIAL</v>
          </cell>
          <cell r="I237" t="str">
            <v>Curing</v>
          </cell>
          <cell r="J237" t="str">
            <v>AME</v>
          </cell>
          <cell r="Q237">
            <v>59.5</v>
          </cell>
          <cell r="S237">
            <v>0.73930999999999991</v>
          </cell>
          <cell r="T237">
            <v>0.73930999999999991</v>
          </cell>
          <cell r="U237">
            <v>0</v>
          </cell>
          <cell r="V237">
            <v>-9.572E-2</v>
          </cell>
          <cell r="W237">
            <v>-9.572E-2</v>
          </cell>
        </row>
        <row r="238">
          <cell r="B238" t="str">
            <v>LCP-200100</v>
          </cell>
          <cell r="C238" t="str">
            <v>BRA-AMERICANA IT NETWORK DEVICES REFRESH BY LIFECYCLE (PHASE 2/4)</v>
          </cell>
          <cell r="D238" t="str">
            <v>IT</v>
          </cell>
          <cell r="E238" t="str">
            <v>N</v>
          </cell>
          <cell r="F238" t="str">
            <v>LA</v>
          </cell>
          <cell r="H238" t="str">
            <v>N/A</v>
          </cell>
          <cell r="I238" t="str">
            <v>SAG - IT</v>
          </cell>
          <cell r="J238" t="str">
            <v>BRZ</v>
          </cell>
          <cell r="Q238">
            <v>147</v>
          </cell>
          <cell r="S238">
            <v>0</v>
          </cell>
          <cell r="T238">
            <v>0</v>
          </cell>
          <cell r="U238">
            <v>0</v>
          </cell>
        </row>
        <row r="239">
          <cell r="B239" t="str">
            <v>LCP-200101</v>
          </cell>
          <cell r="C239" t="str">
            <v>BRA-BRIGADEIRO OFFICE IT NETWORK  AND APPLICATION SERVERS LIFECYCLE  (PHASE 1/3)</v>
          </cell>
          <cell r="D239" t="str">
            <v>IT</v>
          </cell>
          <cell r="E239" t="str">
            <v>N</v>
          </cell>
          <cell r="F239" t="str">
            <v>LA</v>
          </cell>
          <cell r="H239" t="str">
            <v>Mixed</v>
          </cell>
          <cell r="I239" t="str">
            <v>SAG - IT</v>
          </cell>
          <cell r="J239" t="str">
            <v>BRZ</v>
          </cell>
          <cell r="Q239">
            <v>100.05</v>
          </cell>
          <cell r="S239">
            <v>0</v>
          </cell>
          <cell r="T239">
            <v>0</v>
          </cell>
          <cell r="U239">
            <v>0</v>
          </cell>
        </row>
        <row r="240">
          <cell r="B240" t="str">
            <v>LCP-200102</v>
          </cell>
          <cell r="C240" t="str">
            <v>BRA-LOGISTICS CENTER NETWORK REFRESH (PHASE 1/2)</v>
          </cell>
          <cell r="D240" t="str">
            <v>IT</v>
          </cell>
          <cell r="E240" t="str">
            <v>N</v>
          </cell>
          <cell r="F240" t="str">
            <v>LA</v>
          </cell>
          <cell r="H240" t="str">
            <v>Mixed</v>
          </cell>
          <cell r="I240" t="str">
            <v>SAG - IT</v>
          </cell>
          <cell r="J240" t="str">
            <v>BRZ</v>
          </cell>
          <cell r="Q240">
            <v>26.6</v>
          </cell>
          <cell r="S240">
            <v>0</v>
          </cell>
          <cell r="T240">
            <v>0</v>
          </cell>
          <cell r="U240">
            <v>0</v>
          </cell>
        </row>
        <row r="241">
          <cell r="B241" t="str">
            <v>LCP-200103</v>
          </cell>
          <cell r="C241" t="str">
            <v xml:space="preserve">BRA-STA BARBARA COMPUTER ROOM REFRESH BY LIFECYCLE </v>
          </cell>
          <cell r="D241" t="str">
            <v>IT</v>
          </cell>
          <cell r="E241" t="str">
            <v>N</v>
          </cell>
          <cell r="F241" t="str">
            <v>LA</v>
          </cell>
          <cell r="H241" t="str">
            <v>RETREAD</v>
          </cell>
          <cell r="I241" t="str">
            <v>SAG - IT</v>
          </cell>
          <cell r="J241" t="str">
            <v>BRZ</v>
          </cell>
          <cell r="Q241">
            <v>25</v>
          </cell>
          <cell r="S241">
            <v>0</v>
          </cell>
          <cell r="T241">
            <v>0</v>
          </cell>
          <cell r="U241">
            <v>0</v>
          </cell>
        </row>
        <row r="242">
          <cell r="B242" t="str">
            <v>LCP-200104</v>
          </cell>
          <cell r="C242" t="str">
            <v>BRA-STA BARBARA MANUFACTURINT IT NETWORK  AND APPLICATION SERVERS LIFECYCLE (PHASE 2/2)</v>
          </cell>
          <cell r="D242" t="str">
            <v>IT</v>
          </cell>
          <cell r="E242" t="str">
            <v>N</v>
          </cell>
          <cell r="F242" t="str">
            <v>LA</v>
          </cell>
          <cell r="H242" t="str">
            <v>RETREAD</v>
          </cell>
          <cell r="I242" t="str">
            <v>SAG - IT</v>
          </cell>
          <cell r="J242" t="str">
            <v>BRZ</v>
          </cell>
          <cell r="Q242">
            <v>60.05</v>
          </cell>
          <cell r="S242">
            <v>0</v>
          </cell>
          <cell r="T242">
            <v>0</v>
          </cell>
          <cell r="U242">
            <v>0</v>
          </cell>
        </row>
        <row r="243">
          <cell r="B243" t="str">
            <v>LCP-200108</v>
          </cell>
          <cell r="C243" t="str">
            <v>ARG - TRUCK TIRE BEAD CUTTER</v>
          </cell>
          <cell r="D243" t="str">
            <v>SAG</v>
          </cell>
          <cell r="E243" t="str">
            <v>N</v>
          </cell>
          <cell r="F243" t="str">
            <v>LA</v>
          </cell>
          <cell r="H243" t="str">
            <v>Commercial Radial</v>
          </cell>
          <cell r="I243" t="str">
            <v>SAG - Other</v>
          </cell>
          <cell r="J243" t="str">
            <v>ARG</v>
          </cell>
          <cell r="Q243">
            <v>22.2</v>
          </cell>
          <cell r="S243">
            <v>12.027470000000001</v>
          </cell>
          <cell r="T243">
            <v>12.027470000000001</v>
          </cell>
          <cell r="U243">
            <v>0</v>
          </cell>
          <cell r="V243">
            <v>11</v>
          </cell>
          <cell r="W243">
            <v>11</v>
          </cell>
        </row>
        <row r="244">
          <cell r="B244" t="str">
            <v>LCP-200109</v>
          </cell>
          <cell r="C244" t="str">
            <v>COL -  Lighting Electric cable replacement</v>
          </cell>
          <cell r="D244" t="str">
            <v>Facilities Sustaining</v>
          </cell>
          <cell r="E244" t="str">
            <v>N</v>
          </cell>
          <cell r="F244" t="str">
            <v>LA</v>
          </cell>
          <cell r="H244" t="str">
            <v>Commercial Radial</v>
          </cell>
          <cell r="I244" t="str">
            <v>Facilities/Infrastructure</v>
          </cell>
          <cell r="J244" t="str">
            <v>COL</v>
          </cell>
          <cell r="Q244">
            <v>89.593999999999994</v>
          </cell>
          <cell r="S244">
            <v>12.85102</v>
          </cell>
          <cell r="T244">
            <v>12.85102</v>
          </cell>
          <cell r="U244">
            <v>0</v>
          </cell>
          <cell r="V244">
            <v>16.04946</v>
          </cell>
          <cell r="W244">
            <v>16.04946</v>
          </cell>
        </row>
        <row r="245">
          <cell r="B245" t="str">
            <v>LCP-200111</v>
          </cell>
          <cell r="C245" t="str">
            <v>COL - Mixer #2 CMS Upgrade</v>
          </cell>
          <cell r="D245" t="str">
            <v>Facilities Sustaining</v>
          </cell>
          <cell r="E245" t="str">
            <v>N</v>
          </cell>
          <cell r="F245" t="str">
            <v>LA</v>
          </cell>
          <cell r="H245" t="str">
            <v>Commercial Radial</v>
          </cell>
          <cell r="I245" t="str">
            <v>Mixing</v>
          </cell>
          <cell r="J245" t="str">
            <v>COL</v>
          </cell>
          <cell r="Q245">
            <v>749.01900000000001</v>
          </cell>
          <cell r="S245">
            <v>667.14533999999969</v>
          </cell>
          <cell r="T245">
            <v>697.68502999999976</v>
          </cell>
          <cell r="U245">
            <v>0</v>
          </cell>
          <cell r="V245">
            <v>708.72530000000006</v>
          </cell>
          <cell r="W245">
            <v>708.72530000000006</v>
          </cell>
          <cell r="X245">
            <v>0</v>
          </cell>
          <cell r="Y245">
            <v>6.1815600000000002</v>
          </cell>
        </row>
        <row r="246">
          <cell r="B246" t="str">
            <v>LCP-200112</v>
          </cell>
          <cell r="C246" t="str">
            <v>COL - Mixer #1 new TCU</v>
          </cell>
          <cell r="D246" t="str">
            <v>Facilities Sustaining</v>
          </cell>
          <cell r="E246" t="str">
            <v>N</v>
          </cell>
          <cell r="F246" t="str">
            <v>LA</v>
          </cell>
          <cell r="H246" t="str">
            <v>Commercial Radial</v>
          </cell>
          <cell r="I246" t="str">
            <v>Mixing</v>
          </cell>
          <cell r="J246" t="str">
            <v>COL</v>
          </cell>
          <cell r="Q246">
            <v>111.209</v>
          </cell>
          <cell r="S246">
            <v>61.616529999999997</v>
          </cell>
          <cell r="T246">
            <v>61.616529999999997</v>
          </cell>
          <cell r="U246">
            <v>0</v>
          </cell>
          <cell r="V246">
            <v>100.80595</v>
          </cell>
          <cell r="W246">
            <v>100.80595</v>
          </cell>
        </row>
        <row r="247">
          <cell r="B247" t="str">
            <v>LCP-200113</v>
          </cell>
          <cell r="C247" t="str">
            <v>COL - Look &amp; Feel POS Identification Colombia</v>
          </cell>
          <cell r="D247" t="str">
            <v>SAG</v>
          </cell>
          <cell r="E247" t="str">
            <v>N</v>
          </cell>
          <cell r="F247" t="str">
            <v>LA</v>
          </cell>
          <cell r="H247" t="str">
            <v>Mixed</v>
          </cell>
          <cell r="I247" t="str">
            <v>SAG - Sales &amp; Marketing</v>
          </cell>
          <cell r="J247" t="str">
            <v>COL</v>
          </cell>
          <cell r="Q247">
            <v>150</v>
          </cell>
          <cell r="S247">
            <v>7.1989499999999991</v>
          </cell>
          <cell r="T247">
            <v>7.1989499999999991</v>
          </cell>
          <cell r="U247">
            <v>0</v>
          </cell>
          <cell r="V247">
            <v>33.488239999999998</v>
          </cell>
          <cell r="W247">
            <v>33.488239999999998</v>
          </cell>
        </row>
        <row r="248">
          <cell r="B248" t="str">
            <v>LCP-200114</v>
          </cell>
          <cell r="C248" t="str">
            <v>COL - ERGO GREEN TIRE LOADER SYSTEMS IN PRESSES</v>
          </cell>
          <cell r="D248" t="str">
            <v>EHS</v>
          </cell>
          <cell r="E248" t="str">
            <v>N</v>
          </cell>
          <cell r="F248" t="str">
            <v>LA</v>
          </cell>
          <cell r="G248" t="str">
            <v>ERG</v>
          </cell>
          <cell r="H248" t="str">
            <v>Commercial Radial</v>
          </cell>
          <cell r="I248" t="str">
            <v>Curing</v>
          </cell>
          <cell r="J248" t="str">
            <v>COL</v>
          </cell>
          <cell r="Q248">
            <v>110.303</v>
          </cell>
          <cell r="S248">
            <v>16.356960000000001</v>
          </cell>
          <cell r="T248">
            <v>21.879049999999999</v>
          </cell>
          <cell r="U248">
            <v>0</v>
          </cell>
          <cell r="V248">
            <v>25</v>
          </cell>
          <cell r="W248">
            <v>25</v>
          </cell>
        </row>
        <row r="249">
          <cell r="B249" t="str">
            <v>LCP-200115</v>
          </cell>
          <cell r="C249" t="str">
            <v>AME - BT DRUM WYKO UPGRADE</v>
          </cell>
          <cell r="D249" t="str">
            <v>Facilities Sustaining</v>
          </cell>
          <cell r="E249" t="str">
            <v>N</v>
          </cell>
          <cell r="F249" t="str">
            <v>LA</v>
          </cell>
          <cell r="H249" t="str">
            <v>Commercial Radial</v>
          </cell>
          <cell r="I249" t="str">
            <v>TIRE ASSEMBLY</v>
          </cell>
          <cell r="J249" t="str">
            <v>AME</v>
          </cell>
          <cell r="Q249">
            <v>99.994</v>
          </cell>
          <cell r="S249">
            <v>1.0724</v>
          </cell>
          <cell r="T249">
            <v>1.0724</v>
          </cell>
          <cell r="U249">
            <v>0</v>
          </cell>
          <cell r="V249">
            <v>1.0629599999999999</v>
          </cell>
          <cell r="W249">
            <v>1.0629599999999999</v>
          </cell>
          <cell r="AD249">
            <v>0</v>
          </cell>
        </row>
        <row r="250">
          <cell r="B250" t="str">
            <v>LCP-200116</v>
          </cell>
          <cell r="C250" t="str">
            <v>SBO - UPGRADE PLC AUTOMAX EXTRUDER</v>
          </cell>
          <cell r="D250" t="str">
            <v>Facilities Sustaining</v>
          </cell>
          <cell r="E250" t="str">
            <v>N</v>
          </cell>
          <cell r="F250" t="str">
            <v>LA</v>
          </cell>
          <cell r="H250" t="str">
            <v>Other</v>
          </cell>
          <cell r="I250" t="str">
            <v>COMPONENT PREP OTHER</v>
          </cell>
          <cell r="J250" t="str">
            <v>RET</v>
          </cell>
          <cell r="Q250">
            <v>4</v>
          </cell>
          <cell r="S250">
            <v>330.18847</v>
          </cell>
          <cell r="T250">
            <v>384.08826000000005</v>
          </cell>
          <cell r="U250">
            <v>10.381889999999999</v>
          </cell>
          <cell r="V250">
            <v>473.62520999999998</v>
          </cell>
          <cell r="W250">
            <v>473.62520999999998</v>
          </cell>
          <cell r="X250">
            <v>0</v>
          </cell>
          <cell r="Y250">
            <v>28.590269999999997</v>
          </cell>
          <cell r="AD250">
            <v>0</v>
          </cell>
        </row>
        <row r="251">
          <cell r="B251" t="str">
            <v>LCP-200117</v>
          </cell>
          <cell r="C251" t="str">
            <v>REWIND STATIONS MRT  BUILD MACHINES</v>
          </cell>
          <cell r="D251" t="str">
            <v>Facilities Sustaining</v>
          </cell>
          <cell r="E251" t="str">
            <v>N</v>
          </cell>
          <cell r="F251" t="str">
            <v>LA</v>
          </cell>
          <cell r="H251" t="str">
            <v>Commercial Radial</v>
          </cell>
          <cell r="I251" t="str">
            <v>TIRE ASSEMBLY</v>
          </cell>
          <cell r="J251" t="str">
            <v>AME</v>
          </cell>
          <cell r="Q251">
            <v>99.512</v>
          </cell>
          <cell r="S251">
            <v>0.25570999999999999</v>
          </cell>
          <cell r="T251">
            <v>1.25346</v>
          </cell>
          <cell r="U251">
            <v>105.97427</v>
          </cell>
          <cell r="V251">
            <v>99.512</v>
          </cell>
          <cell r="W251">
            <v>99.512</v>
          </cell>
          <cell r="X251">
            <v>3.8664000000000001</v>
          </cell>
          <cell r="Y251">
            <v>7.0000000000000007E-5</v>
          </cell>
          <cell r="AD251">
            <v>0</v>
          </cell>
        </row>
        <row r="252">
          <cell r="B252" t="str">
            <v>LCP-200119</v>
          </cell>
          <cell r="C252" t="str">
            <v>REPL MAIN GEARBOX 6” &amp; 10” MRT EXTRUDER</v>
          </cell>
          <cell r="D252" t="str">
            <v>Facilities Sustaining</v>
          </cell>
          <cell r="E252" t="str">
            <v>N</v>
          </cell>
          <cell r="F252" t="str">
            <v>LA</v>
          </cell>
          <cell r="H252" t="str">
            <v>Other</v>
          </cell>
          <cell r="I252" t="str">
            <v>COMPONENT PREP OTHER</v>
          </cell>
          <cell r="J252" t="str">
            <v>AME</v>
          </cell>
          <cell r="Q252">
            <v>309.29599999999999</v>
          </cell>
          <cell r="S252">
            <v>34.550109999999997</v>
          </cell>
          <cell r="T252">
            <v>34.550109999999997</v>
          </cell>
          <cell r="U252">
            <v>7.0388200000000012</v>
          </cell>
          <cell r="V252">
            <v>45.178789999999999</v>
          </cell>
          <cell r="W252">
            <v>45.178789999999999</v>
          </cell>
          <cell r="X252">
            <v>3.8318000000000003</v>
          </cell>
          <cell r="Y252">
            <v>3.3566100000000003</v>
          </cell>
          <cell r="AD252">
            <v>0</v>
          </cell>
        </row>
        <row r="253">
          <cell r="B253" t="str">
            <v>LCP-200121</v>
          </cell>
          <cell r="C253" t="str">
            <v xml:space="preserve">AME - PRODUCTIVITY MRT </v>
          </cell>
          <cell r="D253" t="str">
            <v>Productivity</v>
          </cell>
          <cell r="E253" t="str">
            <v>N</v>
          </cell>
          <cell r="F253" t="str">
            <v>LA</v>
          </cell>
          <cell r="H253" t="str">
            <v>Commercial Radial</v>
          </cell>
          <cell r="I253" t="str">
            <v>TIRE ASSEMBLY</v>
          </cell>
          <cell r="J253" t="str">
            <v>AME</v>
          </cell>
          <cell r="Q253">
            <v>98.66037</v>
          </cell>
          <cell r="S253">
            <v>0.42429999999999995</v>
          </cell>
          <cell r="T253">
            <v>0.42429999999999995</v>
          </cell>
          <cell r="U253">
            <v>0</v>
          </cell>
          <cell r="V253">
            <v>0.42429999999999995</v>
          </cell>
          <cell r="W253">
            <v>0.42429999999999995</v>
          </cell>
          <cell r="AD253">
            <v>0</v>
          </cell>
        </row>
        <row r="254">
          <cell r="B254" t="str">
            <v>LCP-200122</v>
          </cell>
          <cell r="C254" t="str">
            <v>PER-New UPS System and electric power transformer</v>
          </cell>
          <cell r="D254" t="str">
            <v>IT</v>
          </cell>
          <cell r="E254" t="str">
            <v>N</v>
          </cell>
          <cell r="F254" t="str">
            <v>LA</v>
          </cell>
          <cell r="H254" t="str">
            <v>N/A</v>
          </cell>
          <cell r="I254" t="str">
            <v>SAG - IT</v>
          </cell>
          <cell r="J254" t="str">
            <v>PER</v>
          </cell>
          <cell r="Q254">
            <v>42</v>
          </cell>
          <cell r="S254">
            <v>4.2497299999999996</v>
          </cell>
          <cell r="T254">
            <v>5.6488899999999997</v>
          </cell>
          <cell r="U254">
            <v>0</v>
          </cell>
          <cell r="V254">
            <v>3.82213</v>
          </cell>
          <cell r="W254">
            <v>3.82213</v>
          </cell>
          <cell r="X254">
            <v>0</v>
          </cell>
          <cell r="Y254">
            <v>0.85250000000000004</v>
          </cell>
        </row>
        <row r="255">
          <cell r="B255" t="str">
            <v>LCP-200123</v>
          </cell>
          <cell r="C255" t="str">
            <v>PER - UPGRADE PERU FVMs PC&amp;laptops</v>
          </cell>
          <cell r="D255" t="str">
            <v>Facilities Sustaining</v>
          </cell>
          <cell r="E255" t="str">
            <v>N</v>
          </cell>
          <cell r="F255" t="str">
            <v>LA</v>
          </cell>
          <cell r="H255" t="str">
            <v>Consumer Radial</v>
          </cell>
          <cell r="I255" t="str">
            <v>Final Finish</v>
          </cell>
          <cell r="J255" t="str">
            <v>PER</v>
          </cell>
          <cell r="Q255">
            <v>86</v>
          </cell>
          <cell r="S255">
            <v>55.37012</v>
          </cell>
          <cell r="T255">
            <v>56.411609999999996</v>
          </cell>
          <cell r="U255">
            <v>24.900000000000006</v>
          </cell>
          <cell r="V255">
            <v>52.506590000000003</v>
          </cell>
          <cell r="W255">
            <v>52.506590000000003</v>
          </cell>
          <cell r="X255">
            <v>0</v>
          </cell>
          <cell r="Y255">
            <v>0.75567999999999991</v>
          </cell>
          <cell r="AD255">
            <v>8</v>
          </cell>
        </row>
        <row r="256">
          <cell r="B256" t="str">
            <v>LCP-200124</v>
          </cell>
          <cell r="C256" t="str">
            <v>AME - BAMBURIES BATCH-OFF CRANES</v>
          </cell>
          <cell r="D256" t="str">
            <v>EHS</v>
          </cell>
          <cell r="E256" t="str">
            <v>N</v>
          </cell>
          <cell r="F256" t="str">
            <v>LA</v>
          </cell>
          <cell r="G256" t="str">
            <v>COMP</v>
          </cell>
          <cell r="H256" t="str">
            <v>MIXED</v>
          </cell>
          <cell r="I256" t="str">
            <v>COMPONENT PREP OTHER</v>
          </cell>
          <cell r="J256" t="str">
            <v>AME</v>
          </cell>
          <cell r="Q256">
            <v>63.145000000000003</v>
          </cell>
          <cell r="S256">
            <v>9.2854599999999987</v>
          </cell>
          <cell r="T256">
            <v>9.2854599999999987</v>
          </cell>
          <cell r="U256">
            <v>0</v>
          </cell>
          <cell r="V256">
            <v>7.8740199999999998</v>
          </cell>
          <cell r="W256">
            <v>7.8740199999999998</v>
          </cell>
          <cell r="AD256">
            <v>0</v>
          </cell>
        </row>
        <row r="257">
          <cell r="B257" t="str">
            <v>LCP-200125</v>
          </cell>
          <cell r="C257" t="str">
            <v>UPGRADE MICROPOISE BALANCE MACHINE ANCHIETA</v>
          </cell>
          <cell r="D257" t="str">
            <v>SAG</v>
          </cell>
          <cell r="E257" t="str">
            <v>N</v>
          </cell>
          <cell r="F257" t="str">
            <v>LA</v>
          </cell>
          <cell r="H257" t="str">
            <v>Other</v>
          </cell>
          <cell r="I257" t="str">
            <v>Other</v>
          </cell>
          <cell r="J257" t="str">
            <v>MC</v>
          </cell>
          <cell r="Q257">
            <v>234.983</v>
          </cell>
          <cell r="S257">
            <v>154.53612000000001</v>
          </cell>
          <cell r="T257">
            <v>155.51115000000001</v>
          </cell>
          <cell r="U257">
            <v>0</v>
          </cell>
          <cell r="V257">
            <v>89.973389999999995</v>
          </cell>
          <cell r="W257">
            <v>89.973389999999995</v>
          </cell>
          <cell r="AD257">
            <v>0</v>
          </cell>
        </row>
        <row r="258">
          <cell r="B258" t="str">
            <v>LCP-200126</v>
          </cell>
          <cell r="C258" t="str">
            <v xml:space="preserve">UPGRADE DRIVE VTW MICRIPOISE BALANCE MACHINE - GRAVATAI </v>
          </cell>
          <cell r="D258" t="str">
            <v>SAG</v>
          </cell>
          <cell r="E258" t="str">
            <v>N</v>
          </cell>
          <cell r="F258" t="str">
            <v>LA</v>
          </cell>
          <cell r="H258" t="str">
            <v>Other</v>
          </cell>
          <cell r="I258" t="str">
            <v>Other</v>
          </cell>
          <cell r="J258" t="str">
            <v>MC</v>
          </cell>
          <cell r="Q258">
            <v>361.22300000000001</v>
          </cell>
          <cell r="S258">
            <v>286.86747000000003</v>
          </cell>
          <cell r="T258">
            <v>287.84170999999998</v>
          </cell>
          <cell r="U258">
            <v>0</v>
          </cell>
          <cell r="V258">
            <v>160</v>
          </cell>
          <cell r="W258">
            <v>160</v>
          </cell>
          <cell r="X258">
            <v>0</v>
          </cell>
          <cell r="Y258">
            <v>8.0744399999999992</v>
          </cell>
          <cell r="AD258">
            <v>0</v>
          </cell>
        </row>
        <row r="259">
          <cell r="B259" t="str">
            <v>LCP-200129</v>
          </cell>
          <cell r="C259" t="str">
            <v>AME - SAFETY UPGRADE BEADWINDER #03</v>
          </cell>
          <cell r="D259" t="str">
            <v>EHS</v>
          </cell>
          <cell r="E259" t="str">
            <v>N</v>
          </cell>
          <cell r="F259" t="str">
            <v>LA</v>
          </cell>
          <cell r="G259" t="str">
            <v>COMP</v>
          </cell>
          <cell r="H259" t="str">
            <v>Other</v>
          </cell>
          <cell r="I259" t="str">
            <v>COMPONENT PREP OTHER</v>
          </cell>
          <cell r="J259" t="str">
            <v>AME</v>
          </cell>
          <cell r="Q259">
            <v>53.960999999999999</v>
          </cell>
          <cell r="S259">
            <v>5.492700000000001</v>
          </cell>
          <cell r="T259">
            <v>5.492700000000001</v>
          </cell>
          <cell r="U259">
            <v>0</v>
          </cell>
          <cell r="V259">
            <v>2.2372400000000003</v>
          </cell>
          <cell r="W259">
            <v>2.2372400000000003</v>
          </cell>
          <cell r="AD259">
            <v>0</v>
          </cell>
        </row>
        <row r="260">
          <cell r="B260" t="str">
            <v>LCP-210204</v>
          </cell>
          <cell r="C260" t="str">
            <v>AME - NEW MIXER SLURRY - PLITVIC</v>
          </cell>
          <cell r="D260" t="str">
            <v>Quality - Improvement</v>
          </cell>
          <cell r="E260" t="str">
            <v>N</v>
          </cell>
          <cell r="F260" t="str">
            <v>LA</v>
          </cell>
          <cell r="J260" t="str">
            <v>AME</v>
          </cell>
          <cell r="T260">
            <v>0</v>
          </cell>
          <cell r="U260">
            <v>0</v>
          </cell>
          <cell r="AD260">
            <v>73.534999999999997</v>
          </cell>
        </row>
        <row r="261">
          <cell r="B261" t="str">
            <v>LCP-200131</v>
          </cell>
          <cell r="C261" t="str">
            <v>AME - UPGRADE GENERAL PANEL CURING PRESSES MRT</v>
          </cell>
          <cell r="D261" t="str">
            <v>Productivity</v>
          </cell>
          <cell r="E261" t="str">
            <v>N</v>
          </cell>
          <cell r="F261" t="str">
            <v>LA</v>
          </cell>
          <cell r="H261" t="str">
            <v>Commercial Radial</v>
          </cell>
          <cell r="I261" t="str">
            <v>Curing</v>
          </cell>
          <cell r="J261" t="str">
            <v>AME</v>
          </cell>
          <cell r="Q261">
            <v>420.88981999999999</v>
          </cell>
          <cell r="S261">
            <v>95.412089999999964</v>
          </cell>
          <cell r="T261">
            <v>100.80012999999997</v>
          </cell>
          <cell r="U261">
            <v>70.912559999999985</v>
          </cell>
          <cell r="V261">
            <v>274.27812</v>
          </cell>
          <cell r="W261">
            <v>274.27812</v>
          </cell>
          <cell r="X261">
            <v>0</v>
          </cell>
          <cell r="Y261">
            <v>96.112669999999994</v>
          </cell>
          <cell r="AD261">
            <v>0</v>
          </cell>
        </row>
        <row r="262">
          <cell r="B262" t="str">
            <v>LCP-200133</v>
          </cell>
          <cell r="C262" t="str">
            <v>PER - FVM 4 (EX GADSDEN)</v>
          </cell>
          <cell r="D262" t="str">
            <v>Facilities Sustaining</v>
          </cell>
          <cell r="E262" t="str">
            <v>N</v>
          </cell>
          <cell r="F262" t="str">
            <v>LA</v>
          </cell>
          <cell r="H262" t="str">
            <v>Consumer Radial</v>
          </cell>
          <cell r="I262" t="str">
            <v>Final Finish</v>
          </cell>
          <cell r="J262" t="str">
            <v>PER</v>
          </cell>
          <cell r="Q262">
            <v>234.02500000000001</v>
          </cell>
          <cell r="S262">
            <v>55.622230000000002</v>
          </cell>
          <cell r="T262">
            <v>78.873290000000011</v>
          </cell>
          <cell r="U262">
            <v>14.071200000000005</v>
          </cell>
          <cell r="V262">
            <v>144.02420999999998</v>
          </cell>
          <cell r="W262">
            <v>144.02420999999998</v>
          </cell>
          <cell r="X262">
            <v>52.561500000000002</v>
          </cell>
          <cell r="Y262">
            <v>23.616309999999999</v>
          </cell>
          <cell r="AD262">
            <v>144</v>
          </cell>
        </row>
        <row r="263">
          <cell r="B263" t="str">
            <v>LCP-200136</v>
          </cell>
          <cell r="C263" t="str">
            <v>Colombia Plant Storm Recovery</v>
          </cell>
          <cell r="D263" t="str">
            <v>Facilities Sustaining</v>
          </cell>
          <cell r="E263" t="str">
            <v>N</v>
          </cell>
          <cell r="F263" t="str">
            <v>LA</v>
          </cell>
          <cell r="H263" t="str">
            <v>COMMERCIAL RADIAL</v>
          </cell>
          <cell r="I263" t="str">
            <v>FACILITIES/INFRASTRUCTURE</v>
          </cell>
          <cell r="J263" t="str">
            <v>COL</v>
          </cell>
          <cell r="Q263">
            <v>1000</v>
          </cell>
          <cell r="S263">
            <v>0</v>
          </cell>
          <cell r="T263">
            <v>0</v>
          </cell>
          <cell r="U263">
            <v>0</v>
          </cell>
        </row>
        <row r="264">
          <cell r="B264" t="str">
            <v>LCP-200137</v>
          </cell>
          <cell r="C264" t="str">
            <v>UPGRADE XLE#7 AIR COMPRESSOR</v>
          </cell>
          <cell r="D264" t="str">
            <v>Facilities Sustaining</v>
          </cell>
          <cell r="E264" t="str">
            <v>N</v>
          </cell>
          <cell r="F264" t="str">
            <v>LA</v>
          </cell>
          <cell r="H264" t="str">
            <v>Other</v>
          </cell>
          <cell r="I264" t="str">
            <v>Other</v>
          </cell>
          <cell r="J264" t="str">
            <v>AME</v>
          </cell>
          <cell r="Q264">
            <v>59.8</v>
          </cell>
          <cell r="S264">
            <v>10.406239999999997</v>
          </cell>
          <cell r="T264">
            <v>10.406239999999997</v>
          </cell>
          <cell r="U264">
            <v>0</v>
          </cell>
          <cell r="V264">
            <v>10.9</v>
          </cell>
          <cell r="W264">
            <v>10.9</v>
          </cell>
          <cell r="AD264">
            <v>0</v>
          </cell>
        </row>
        <row r="265">
          <cell r="B265" t="str">
            <v>LCP-200138</v>
          </cell>
          <cell r="C265" t="str">
            <v>PER - PEMS (ENERGY METERS SYSTEM)</v>
          </cell>
          <cell r="D265" t="str">
            <v>Energy Conservation</v>
          </cell>
          <cell r="E265" t="str">
            <v>N</v>
          </cell>
          <cell r="F265" t="str">
            <v>LA</v>
          </cell>
          <cell r="H265" t="str">
            <v>Consumer Radial</v>
          </cell>
          <cell r="I265" t="str">
            <v>Facilities/Infrastructure</v>
          </cell>
          <cell r="J265" t="str">
            <v>PER</v>
          </cell>
          <cell r="Q265">
            <v>76.325000000000003</v>
          </cell>
          <cell r="S265">
            <v>28.742610000000003</v>
          </cell>
          <cell r="T265">
            <v>28.742610000000003</v>
          </cell>
          <cell r="U265">
            <v>0</v>
          </cell>
          <cell r="V265">
            <v>28.491760000000003</v>
          </cell>
          <cell r="W265">
            <v>28.491760000000003</v>
          </cell>
        </row>
        <row r="266">
          <cell r="B266" t="str">
            <v>LCP-200139</v>
          </cell>
          <cell r="C266" t="str">
            <v>PER - ADDITIONAL RTS AT DIE SHOP</v>
          </cell>
          <cell r="D266" t="str">
            <v>Quality - Improvement</v>
          </cell>
          <cell r="E266" t="str">
            <v>N</v>
          </cell>
          <cell r="F266" t="str">
            <v>LA</v>
          </cell>
          <cell r="H266" t="str">
            <v>Consumer Radial</v>
          </cell>
          <cell r="I266" t="str">
            <v xml:space="preserve">Extruding </v>
          </cell>
          <cell r="J266" t="str">
            <v>PER</v>
          </cell>
          <cell r="Q266">
            <v>104.5</v>
          </cell>
          <cell r="S266">
            <v>3.0941499999999782</v>
          </cell>
          <cell r="T266">
            <v>3.0941499999999782</v>
          </cell>
          <cell r="U266">
            <v>0</v>
          </cell>
          <cell r="V266">
            <v>1.3798299999999784</v>
          </cell>
          <cell r="W266">
            <v>1.3798299999999784</v>
          </cell>
        </row>
        <row r="267">
          <cell r="B267" t="str">
            <v>LCP-200140</v>
          </cell>
          <cell r="C267" t="str">
            <v>PER - COOLING SYSTEM FOR BATCHOFF CHAIN</v>
          </cell>
          <cell r="D267" t="str">
            <v>Quality - Improvement</v>
          </cell>
          <cell r="E267" t="str">
            <v>N</v>
          </cell>
          <cell r="F267" t="str">
            <v>LA</v>
          </cell>
          <cell r="H267" t="str">
            <v>Consumer Radial</v>
          </cell>
          <cell r="I267" t="str">
            <v>Mixing</v>
          </cell>
          <cell r="J267" t="str">
            <v>PER</v>
          </cell>
          <cell r="Q267">
            <v>75</v>
          </cell>
          <cell r="S267">
            <v>36.439010000000003</v>
          </cell>
          <cell r="T267">
            <v>53.762560000000008</v>
          </cell>
          <cell r="U267">
            <v>10.987870000000001</v>
          </cell>
          <cell r="V267">
            <v>67.348089999999999</v>
          </cell>
          <cell r="W267">
            <v>67.348089999999999</v>
          </cell>
          <cell r="X267">
            <v>0</v>
          </cell>
          <cell r="Y267">
            <v>12.808</v>
          </cell>
        </row>
        <row r="268">
          <cell r="B268" t="str">
            <v>LCP-200141</v>
          </cell>
          <cell r="C268" t="str">
            <v>AME- 72 molds transf. from Fayt. to Amer</v>
          </cell>
          <cell r="D268" t="str">
            <v>Molds NA</v>
          </cell>
          <cell r="E268" t="str">
            <v>N</v>
          </cell>
          <cell r="F268" t="str">
            <v>LA</v>
          </cell>
          <cell r="H268" t="str">
            <v>Consumer Radial</v>
          </cell>
          <cell r="I268" t="str">
            <v>CURING</v>
          </cell>
          <cell r="J268" t="str">
            <v>AME Molds NA</v>
          </cell>
          <cell r="Q268">
            <v>590.79999999999995</v>
          </cell>
          <cell r="S268">
            <v>252.27194</v>
          </cell>
          <cell r="T268">
            <v>254.38611</v>
          </cell>
          <cell r="U268">
            <v>0</v>
          </cell>
          <cell r="V268">
            <v>216.42839000000001</v>
          </cell>
          <cell r="W268">
            <v>216.42839000000001</v>
          </cell>
          <cell r="AD268">
            <v>400</v>
          </cell>
        </row>
        <row r="269">
          <cell r="B269" t="str">
            <v>LCP-200142</v>
          </cell>
          <cell r="C269" t="str">
            <v>BARCODE SYSTEM IN SEQUENCING AREA ANCHIETA</v>
          </cell>
          <cell r="D269" t="str">
            <v>SAG</v>
          </cell>
          <cell r="E269" t="str">
            <v>N</v>
          </cell>
          <cell r="F269" t="str">
            <v>LA</v>
          </cell>
          <cell r="H269" t="str">
            <v>Other</v>
          </cell>
          <cell r="I269" t="str">
            <v>Other</v>
          </cell>
          <cell r="J269" t="str">
            <v>MC</v>
          </cell>
          <cell r="Q269">
            <v>44.95</v>
          </cell>
          <cell r="S269">
            <v>1.9303300000000003</v>
          </cell>
          <cell r="T269">
            <v>1.9303300000000003</v>
          </cell>
          <cell r="U269">
            <v>0</v>
          </cell>
          <cell r="V269">
            <v>1.0839000000000001</v>
          </cell>
          <cell r="W269">
            <v>1.0839000000000001</v>
          </cell>
          <cell r="X269">
            <v>0</v>
          </cell>
          <cell r="Y269">
            <v>2.351E-2</v>
          </cell>
          <cell r="AD269">
            <v>0</v>
          </cell>
        </row>
        <row r="270">
          <cell r="B270" t="str">
            <v>LCP-200145</v>
          </cell>
          <cell r="C270" t="str">
            <v>AUTOMATIC LOADING WIND UP – GUM CALENDER #2</v>
          </cell>
          <cell r="D270" t="str">
            <v>Productivity</v>
          </cell>
          <cell r="E270" t="str">
            <v>N</v>
          </cell>
          <cell r="F270" t="str">
            <v>LA</v>
          </cell>
          <cell r="H270" t="str">
            <v>Other</v>
          </cell>
          <cell r="I270" t="str">
            <v>Other</v>
          </cell>
          <cell r="J270" t="str">
            <v>AME</v>
          </cell>
          <cell r="Q270">
            <v>71.727000000000004</v>
          </cell>
          <cell r="S270">
            <v>27.988940000000007</v>
          </cell>
          <cell r="T270">
            <v>27.988940000000007</v>
          </cell>
          <cell r="U270">
            <v>0</v>
          </cell>
          <cell r="V270">
            <v>20.26003</v>
          </cell>
          <cell r="W270">
            <v>20.26003</v>
          </cell>
          <cell r="AD270">
            <v>0</v>
          </cell>
        </row>
        <row r="271">
          <cell r="B271" t="str">
            <v>LCP-200146</v>
          </cell>
          <cell r="C271" t="str">
            <v>Molds for Transit V363 (OE)</v>
          </cell>
          <cell r="D271" t="str">
            <v>Molds</v>
          </cell>
          <cell r="E271" t="str">
            <v>N</v>
          </cell>
          <cell r="F271" t="str">
            <v>LA</v>
          </cell>
          <cell r="H271" t="str">
            <v>Consumer Radial</v>
          </cell>
          <cell r="I271" t="str">
            <v>CURING</v>
          </cell>
          <cell r="J271" t="str">
            <v>AME</v>
          </cell>
          <cell r="Q271">
            <v>240</v>
          </cell>
          <cell r="S271">
            <v>138.94022000000004</v>
          </cell>
          <cell r="T271">
            <v>138.47726000000003</v>
          </cell>
          <cell r="U271">
            <v>50</v>
          </cell>
          <cell r="V271">
            <v>136</v>
          </cell>
          <cell r="W271">
            <v>136</v>
          </cell>
          <cell r="X271">
            <v>0</v>
          </cell>
          <cell r="Y271">
            <v>51.977699999999999</v>
          </cell>
        </row>
        <row r="272">
          <cell r="B272" t="str">
            <v>LCP-200148</v>
          </cell>
          <cell r="C272" t="str">
            <v>STB- G159/G159HS and G167 Export to NA</v>
          </cell>
          <cell r="D272" t="str">
            <v>Molds</v>
          </cell>
          <cell r="E272" t="str">
            <v>N</v>
          </cell>
          <cell r="F272" t="str">
            <v>LA</v>
          </cell>
          <cell r="H272" t="str">
            <v>Commercial Radial</v>
          </cell>
          <cell r="I272" t="str">
            <v>CURING</v>
          </cell>
          <cell r="J272" t="str">
            <v>RET</v>
          </cell>
          <cell r="Q272">
            <v>81.5</v>
          </cell>
          <cell r="S272">
            <v>41.393450000000001</v>
          </cell>
          <cell r="T272">
            <v>55.806300000000007</v>
          </cell>
          <cell r="U272">
            <v>0</v>
          </cell>
          <cell r="V272">
            <v>42.507829629629626</v>
          </cell>
          <cell r="W272">
            <v>42.507829629629626</v>
          </cell>
          <cell r="X272">
            <v>0</v>
          </cell>
          <cell r="Y272">
            <v>2.78193</v>
          </cell>
          <cell r="AD272">
            <v>55</v>
          </cell>
        </row>
        <row r="273">
          <cell r="B273" t="str">
            <v>LCP-200149</v>
          </cell>
          <cell r="C273" t="str">
            <v xml:space="preserve">MASTER PLAN SECURITY AMERICANA PLANT </v>
          </cell>
          <cell r="D273" t="str">
            <v>EHS</v>
          </cell>
          <cell r="E273" t="str">
            <v>N</v>
          </cell>
          <cell r="F273" t="str">
            <v>LA</v>
          </cell>
          <cell r="G273" t="str">
            <v>COMP</v>
          </cell>
          <cell r="H273" t="str">
            <v>MIXED</v>
          </cell>
          <cell r="I273" t="str">
            <v>OTHER</v>
          </cell>
          <cell r="J273" t="str">
            <v>AME</v>
          </cell>
          <cell r="Q273">
            <v>356.63299999999998</v>
          </cell>
          <cell r="S273">
            <v>70.752269999999996</v>
          </cell>
          <cell r="T273">
            <v>79.23429999999999</v>
          </cell>
          <cell r="U273">
            <v>10.700000000000003</v>
          </cell>
          <cell r="V273">
            <v>96.782550000000001</v>
          </cell>
          <cell r="W273">
            <v>96.782550000000001</v>
          </cell>
          <cell r="X273">
            <v>15.617419999999997</v>
          </cell>
          <cell r="Y273">
            <v>4.7271100000000006</v>
          </cell>
          <cell r="AD273">
            <v>0</v>
          </cell>
        </row>
        <row r="274">
          <cell r="B274" t="str">
            <v>LCP-200150</v>
          </cell>
          <cell r="C274" t="str">
            <v>PER - Legal Requirements Compliance</v>
          </cell>
          <cell r="D274" t="str">
            <v>EHS</v>
          </cell>
          <cell r="E274" t="str">
            <v>N</v>
          </cell>
          <cell r="F274" t="str">
            <v>LA</v>
          </cell>
          <cell r="G274" t="str">
            <v>COMP</v>
          </cell>
          <cell r="H274" t="str">
            <v>Consumer Radial</v>
          </cell>
          <cell r="I274" t="str">
            <v>OTHER</v>
          </cell>
          <cell r="J274" t="str">
            <v>PER</v>
          </cell>
          <cell r="Q274">
            <v>65</v>
          </cell>
          <cell r="S274">
            <v>-0.25907000000000124</v>
          </cell>
          <cell r="T274">
            <v>-0.25907000000000124</v>
          </cell>
          <cell r="U274">
            <v>0</v>
          </cell>
          <cell r="V274">
            <v>9.5479999999998455E-2</v>
          </cell>
          <cell r="W274">
            <v>9.5479999999998455E-2</v>
          </cell>
        </row>
        <row r="275">
          <cell r="B275" t="str">
            <v>LCP-200155</v>
          </cell>
          <cell r="C275" t="str">
            <v>AME- FCA 363 (195/60R16 Eagle Touring)</v>
          </cell>
          <cell r="D275" t="str">
            <v>Molds</v>
          </cell>
          <cell r="E275" t="str">
            <v>N</v>
          </cell>
          <cell r="F275" t="str">
            <v>LA</v>
          </cell>
          <cell r="H275" t="str">
            <v>Consumer Radial</v>
          </cell>
          <cell r="I275" t="str">
            <v>CURING</v>
          </cell>
          <cell r="J275" t="str">
            <v>AME</v>
          </cell>
          <cell r="Q275">
            <v>200</v>
          </cell>
          <cell r="S275">
            <v>4.8192099999999991</v>
          </cell>
          <cell r="T275">
            <v>179.49074000000002</v>
          </cell>
          <cell r="U275">
            <v>0.17319000000000528</v>
          </cell>
          <cell r="V275">
            <v>136</v>
          </cell>
          <cell r="W275">
            <v>136</v>
          </cell>
        </row>
        <row r="276">
          <cell r="B276" t="str">
            <v>LCP-200156</v>
          </cell>
          <cell r="C276" t="str">
            <v>AME- 295/80R22.5 KMAX RSA</v>
          </cell>
          <cell r="D276" t="str">
            <v>Molds</v>
          </cell>
          <cell r="E276" t="str">
            <v>N</v>
          </cell>
          <cell r="F276" t="str">
            <v>LA</v>
          </cell>
          <cell r="H276" t="str">
            <v>Commercial Radial</v>
          </cell>
          <cell r="I276" t="str">
            <v>CURING</v>
          </cell>
          <cell r="J276" t="str">
            <v>AME</v>
          </cell>
          <cell r="Q276">
            <v>174.5</v>
          </cell>
          <cell r="S276">
            <v>40.02366</v>
          </cell>
          <cell r="T276">
            <v>142.68323000000001</v>
          </cell>
          <cell r="U276">
            <v>1.7868599999999901</v>
          </cell>
          <cell r="V276">
            <v>140.25</v>
          </cell>
          <cell r="W276">
            <v>140.25</v>
          </cell>
          <cell r="X276">
            <v>0</v>
          </cell>
          <cell r="Y276">
            <v>9.5440000000000005</v>
          </cell>
          <cell r="AD276">
            <v>155</v>
          </cell>
        </row>
        <row r="277">
          <cell r="B277" t="str">
            <v>LCP-200157</v>
          </cell>
          <cell r="C277" t="str">
            <v>Two additional molds 295/75R22.5 Maratho</v>
          </cell>
          <cell r="D277" t="str">
            <v>Molds</v>
          </cell>
          <cell r="E277" t="str">
            <v>N</v>
          </cell>
          <cell r="F277" t="str">
            <v>LA</v>
          </cell>
          <cell r="H277" t="str">
            <v>Commercial Radial</v>
          </cell>
          <cell r="I277" t="str">
            <v>Curing</v>
          </cell>
          <cell r="J277" t="str">
            <v>COL</v>
          </cell>
          <cell r="Q277">
            <v>133.03800000000001</v>
          </cell>
          <cell r="S277">
            <v>85.554939999999988</v>
          </cell>
          <cell r="T277">
            <v>85.554939999999988</v>
          </cell>
          <cell r="U277">
            <v>0</v>
          </cell>
          <cell r="V277">
            <v>20</v>
          </cell>
          <cell r="W277">
            <v>20</v>
          </cell>
        </row>
        <row r="278">
          <cell r="B278" t="str">
            <v>LCP-200159</v>
          </cell>
          <cell r="C278" t="str">
            <v>COMFORT LANES REPAVING</v>
          </cell>
          <cell r="D278" t="str">
            <v>SAG</v>
          </cell>
          <cell r="E278" t="str">
            <v>N</v>
          </cell>
          <cell r="F278" t="str">
            <v>LA</v>
          </cell>
          <cell r="H278" t="str">
            <v>N/A</v>
          </cell>
          <cell r="I278" t="str">
            <v>SAG - GPG*LA</v>
          </cell>
          <cell r="J278" t="str">
            <v>BRZ</v>
          </cell>
          <cell r="S278">
            <v>97.741419999999977</v>
          </cell>
          <cell r="T278">
            <v>97.741419999999977</v>
          </cell>
          <cell r="U278">
            <v>0</v>
          </cell>
          <cell r="V278">
            <v>94.835999999999999</v>
          </cell>
          <cell r="W278">
            <v>94.835999999999999</v>
          </cell>
          <cell r="AD278">
            <v>0</v>
          </cell>
        </row>
        <row r="279">
          <cell r="B279" t="str">
            <v>LCP-200161</v>
          </cell>
          <cell r="C279" t="str">
            <v xml:space="preserve">PER - Water softner </v>
          </cell>
          <cell r="D279" t="str">
            <v>Facilities Sustaining</v>
          </cell>
          <cell r="E279" t="str">
            <v>N</v>
          </cell>
          <cell r="F279" t="str">
            <v>LA</v>
          </cell>
          <cell r="H279" t="str">
            <v>Mixed</v>
          </cell>
          <cell r="I279" t="str">
            <v>ENGINEERING</v>
          </cell>
          <cell r="J279" t="str">
            <v>PER</v>
          </cell>
          <cell r="Q279">
            <v>52.5</v>
          </cell>
          <cell r="S279">
            <v>0</v>
          </cell>
          <cell r="T279">
            <v>0</v>
          </cell>
          <cell r="U279">
            <v>0</v>
          </cell>
        </row>
        <row r="280">
          <cell r="B280" t="str">
            <v>LCP-200162</v>
          </cell>
          <cell r="C280" t="str">
            <v>PER - Eletric Drying oven</v>
          </cell>
          <cell r="D280" t="str">
            <v>Facilities Sustaining</v>
          </cell>
          <cell r="E280" t="str">
            <v>N</v>
          </cell>
          <cell r="F280" t="str">
            <v>LA</v>
          </cell>
          <cell r="H280" t="str">
            <v>Mixed</v>
          </cell>
          <cell r="I280" t="str">
            <v>ENGINEERING</v>
          </cell>
          <cell r="J280" t="str">
            <v>PER</v>
          </cell>
          <cell r="Q280">
            <v>70.5</v>
          </cell>
          <cell r="S280">
            <v>34.467569999999995</v>
          </cell>
          <cell r="T280">
            <v>34.467569999999995</v>
          </cell>
          <cell r="U280">
            <v>0</v>
          </cell>
          <cell r="V280">
            <v>34.325209999999998</v>
          </cell>
          <cell r="W280">
            <v>34.325209999999998</v>
          </cell>
          <cell r="X280">
            <v>0</v>
          </cell>
          <cell r="Y280">
            <v>0.37983000000000006</v>
          </cell>
        </row>
        <row r="281">
          <cell r="B281" t="str">
            <v>LCP-200163</v>
          </cell>
          <cell r="C281" t="str">
            <v>PER - New tooling for PDM inspections</v>
          </cell>
          <cell r="D281" t="str">
            <v>Facilities Sustaining</v>
          </cell>
          <cell r="E281" t="str">
            <v>N</v>
          </cell>
          <cell r="F281" t="str">
            <v>LA</v>
          </cell>
          <cell r="H281" t="str">
            <v>Mixed</v>
          </cell>
          <cell r="I281" t="str">
            <v>ENGINEERING</v>
          </cell>
          <cell r="J281" t="str">
            <v>PER</v>
          </cell>
          <cell r="Q281">
            <v>57.7</v>
          </cell>
          <cell r="S281">
            <v>29.955860000000008</v>
          </cell>
          <cell r="T281">
            <v>29.955860000000008</v>
          </cell>
          <cell r="U281">
            <v>0</v>
          </cell>
          <cell r="V281">
            <v>29.935360000000006</v>
          </cell>
          <cell r="W281">
            <v>29.935360000000006</v>
          </cell>
        </row>
        <row r="282">
          <cell r="B282" t="str">
            <v>LCP-200165</v>
          </cell>
          <cell r="C282" t="str">
            <v>Molds for Hyundai SU2B (OE)</v>
          </cell>
          <cell r="D282" t="str">
            <v>Molds</v>
          </cell>
          <cell r="E282" t="str">
            <v>N</v>
          </cell>
          <cell r="F282" t="str">
            <v>LA</v>
          </cell>
          <cell r="H282" t="str">
            <v>Consumer Radial</v>
          </cell>
          <cell r="I282" t="str">
            <v>Curing</v>
          </cell>
          <cell r="J282" t="str">
            <v>AME</v>
          </cell>
          <cell r="Q282">
            <v>630</v>
          </cell>
          <cell r="S282">
            <v>16.106320000000004</v>
          </cell>
          <cell r="T282">
            <v>605.54128000000014</v>
          </cell>
          <cell r="U282">
            <v>0</v>
          </cell>
          <cell r="V282">
            <v>798</v>
          </cell>
          <cell r="W282">
            <v>798</v>
          </cell>
        </row>
        <row r="283">
          <cell r="B283" t="str">
            <v>LCP-200166</v>
          </cell>
          <cell r="C283" t="str">
            <v>Automatic Buffing Machine</v>
          </cell>
          <cell r="D283" t="str">
            <v>SAG</v>
          </cell>
          <cell r="E283" t="str">
            <v>N</v>
          </cell>
          <cell r="F283" t="str">
            <v>LA</v>
          </cell>
          <cell r="H283" t="str">
            <v>N/A</v>
          </cell>
          <cell r="I283" t="str">
            <v>SAG - Other</v>
          </cell>
          <cell r="J283" t="str">
            <v>ARG</v>
          </cell>
          <cell r="Q283">
            <v>125</v>
          </cell>
          <cell r="S283">
            <v>59.438830000000003</v>
          </cell>
          <cell r="T283">
            <v>59.438830000000003</v>
          </cell>
          <cell r="U283">
            <v>0</v>
          </cell>
          <cell r="V283">
            <v>62.066780000000001</v>
          </cell>
          <cell r="W283">
            <v>62.066780000000001</v>
          </cell>
        </row>
        <row r="284">
          <cell r="B284" t="str">
            <v>LCP-200168</v>
          </cell>
          <cell r="C284" t="str">
            <v>COL - MRT Tire building machines obsolete control elimination (Phase 2)</v>
          </cell>
          <cell r="D284" t="str">
            <v>Facilities Sustaining</v>
          </cell>
          <cell r="E284" t="str">
            <v>C</v>
          </cell>
          <cell r="F284" t="str">
            <v>LA</v>
          </cell>
          <cell r="H284" t="str">
            <v>COMMERCIAL RADIAL</v>
          </cell>
          <cell r="I284" t="str">
            <v>COMPONENT PREP OTHER</v>
          </cell>
          <cell r="J284" t="str">
            <v>COL</v>
          </cell>
          <cell r="Q284">
            <v>390.86500000000001</v>
          </cell>
          <cell r="S284">
            <v>124.31667999999999</v>
          </cell>
          <cell r="T284">
            <v>168.00009</v>
          </cell>
          <cell r="U284">
            <v>57.510980000000018</v>
          </cell>
          <cell r="V284">
            <v>300</v>
          </cell>
          <cell r="W284">
            <v>300</v>
          </cell>
          <cell r="X284">
            <v>7.0679999999999996</v>
          </cell>
          <cell r="Y284">
            <v>41.344580000000001</v>
          </cell>
        </row>
        <row r="285">
          <cell r="B285" t="str">
            <v>LCP-200169</v>
          </cell>
          <cell r="C285" t="str">
            <v>ENGINEERING CONTRACTOR’S SHOP STANDARDIZATION</v>
          </cell>
          <cell r="D285" t="str">
            <v>EHS</v>
          </cell>
          <cell r="E285" t="str">
            <v>N</v>
          </cell>
          <cell r="F285" t="str">
            <v>LA</v>
          </cell>
          <cell r="G285" t="str">
            <v>COMP</v>
          </cell>
          <cell r="H285" t="str">
            <v>N/A</v>
          </cell>
          <cell r="I285" t="str">
            <v>Other</v>
          </cell>
          <cell r="J285" t="str">
            <v>AME</v>
          </cell>
          <cell r="S285">
            <v>7.4173099999999996</v>
          </cell>
          <cell r="T285">
            <v>45.815610000000007</v>
          </cell>
          <cell r="U285">
            <v>106.7</v>
          </cell>
          <cell r="V285">
            <v>172.2</v>
          </cell>
          <cell r="W285">
            <v>172.2</v>
          </cell>
          <cell r="X285">
            <v>10.6326</v>
          </cell>
          <cell r="Y285">
            <v>122.60767</v>
          </cell>
          <cell r="AD285">
            <v>0</v>
          </cell>
        </row>
        <row r="286">
          <cell r="B286" t="str">
            <v>LCP-200170</v>
          </cell>
          <cell r="C286" t="str">
            <v>AME - UPGRADE DRIVE + MOTOR AC MILL MIXER#3</v>
          </cell>
          <cell r="D286" t="str">
            <v>Facilities Sustaining</v>
          </cell>
          <cell r="E286" t="str">
            <v>N</v>
          </cell>
          <cell r="F286" t="str">
            <v>LA</v>
          </cell>
          <cell r="H286" t="str">
            <v>MIXED</v>
          </cell>
          <cell r="I286" t="str">
            <v>Mixing</v>
          </cell>
          <cell r="J286" t="str">
            <v>AME</v>
          </cell>
          <cell r="S286">
            <v>21.10305</v>
          </cell>
          <cell r="T286">
            <v>54.715620000000001</v>
          </cell>
          <cell r="U286">
            <v>232.90000000000003</v>
          </cell>
          <cell r="V286">
            <v>300</v>
          </cell>
          <cell r="W286">
            <v>300</v>
          </cell>
          <cell r="X286">
            <v>0</v>
          </cell>
          <cell r="Y286">
            <v>209.46408000000002</v>
          </cell>
          <cell r="AD286">
            <v>0</v>
          </cell>
        </row>
        <row r="287">
          <cell r="B287" t="str">
            <v>LCP-200171</v>
          </cell>
          <cell r="C287" t="str">
            <v>EAGLE SPORT 2</v>
          </cell>
          <cell r="D287" t="str">
            <v>Molds</v>
          </cell>
          <cell r="E287" t="str">
            <v>N</v>
          </cell>
          <cell r="F287" t="str">
            <v>LA</v>
          </cell>
          <cell r="H287" t="str">
            <v>Consumer Radial</v>
          </cell>
          <cell r="I287" t="str">
            <v>Curing</v>
          </cell>
          <cell r="J287" t="str">
            <v>AME</v>
          </cell>
          <cell r="S287">
            <v>119.32167999999999</v>
          </cell>
          <cell r="T287">
            <v>618.03512000000023</v>
          </cell>
          <cell r="U287">
            <v>190.60894999999994</v>
          </cell>
          <cell r="V287">
            <v>1068</v>
          </cell>
          <cell r="W287">
            <v>1068</v>
          </cell>
          <cell r="X287">
            <v>0</v>
          </cell>
          <cell r="Y287">
            <v>261.39128999999997</v>
          </cell>
        </row>
        <row r="288">
          <cell r="B288" t="str">
            <v>LCP-200172</v>
          </cell>
          <cell r="C288" t="str">
            <v>PER - BARCODE STAGE 01 AT FINAL FINISH</v>
          </cell>
          <cell r="D288" t="str">
            <v>Quality - Improvement</v>
          </cell>
          <cell r="E288" t="str">
            <v>N</v>
          </cell>
          <cell r="F288" t="str">
            <v>LA</v>
          </cell>
          <cell r="H288" t="str">
            <v>Consumer Radial</v>
          </cell>
          <cell r="I288" t="str">
            <v>Final Finish</v>
          </cell>
          <cell r="J288" t="str">
            <v>PER</v>
          </cell>
          <cell r="Q288">
            <v>318</v>
          </cell>
          <cell r="S288">
            <v>26.813890000000001</v>
          </cell>
          <cell r="T288">
            <v>49.181229999999999</v>
          </cell>
          <cell r="U288">
            <v>57.599999999999994</v>
          </cell>
          <cell r="V288">
            <v>125.93503999999999</v>
          </cell>
          <cell r="W288">
            <v>125.93503999999999</v>
          </cell>
          <cell r="X288">
            <v>26.027999999999999</v>
          </cell>
          <cell r="Y288">
            <v>0.44964999999999999</v>
          </cell>
          <cell r="AD288">
            <v>180</v>
          </cell>
        </row>
        <row r="289">
          <cell r="B289" t="str">
            <v>LCP-200173</v>
          </cell>
          <cell r="C289" t="str">
            <v>PER - Barcode scanner</v>
          </cell>
          <cell r="D289" t="str">
            <v>SAG</v>
          </cell>
          <cell r="E289" t="str">
            <v>N</v>
          </cell>
          <cell r="F289" t="str">
            <v>LA</v>
          </cell>
          <cell r="H289" t="str">
            <v>N/A</v>
          </cell>
          <cell r="I289" t="str">
            <v>SAG - Supply Chain</v>
          </cell>
          <cell r="J289" t="str">
            <v>PER</v>
          </cell>
          <cell r="Q289">
            <v>115</v>
          </cell>
          <cell r="S289">
            <v>36.526899999999998</v>
          </cell>
          <cell r="T289">
            <v>38.829509999999999</v>
          </cell>
          <cell r="U289">
            <v>64.5</v>
          </cell>
          <cell r="V289">
            <v>50</v>
          </cell>
          <cell r="W289">
            <v>50</v>
          </cell>
          <cell r="X289">
            <v>0</v>
          </cell>
          <cell r="Y289">
            <v>23.349599999999999</v>
          </cell>
          <cell r="AD289">
            <v>89</v>
          </cell>
        </row>
        <row r="290">
          <cell r="B290" t="str">
            <v>LCP-200174</v>
          </cell>
          <cell r="C290" t="str">
            <v>Molds for PSA Smart Car 195/65R15 (OE)</v>
          </cell>
          <cell r="D290" t="str">
            <v>Molds</v>
          </cell>
          <cell r="E290" t="str">
            <v>N</v>
          </cell>
          <cell r="F290" t="str">
            <v>LA</v>
          </cell>
          <cell r="H290" t="str">
            <v>CONSUMER RADIAL</v>
          </cell>
          <cell r="I290" t="str">
            <v>CURING</v>
          </cell>
          <cell r="J290" t="str">
            <v>AME</v>
          </cell>
          <cell r="Q290">
            <v>68</v>
          </cell>
          <cell r="S290">
            <v>0</v>
          </cell>
          <cell r="T290">
            <v>0</v>
          </cell>
          <cell r="U290">
            <v>0</v>
          </cell>
          <cell r="V290">
            <v>68</v>
          </cell>
          <cell r="W290">
            <v>68</v>
          </cell>
        </row>
        <row r="291">
          <cell r="B291" t="str">
            <v>LCP-200175</v>
          </cell>
          <cell r="C291" t="str">
            <v>RETROFIT–BLUE RACKS FOR CONSUMER TIRES</v>
          </cell>
          <cell r="D291" t="str">
            <v>SAG</v>
          </cell>
          <cell r="E291" t="str">
            <v>N</v>
          </cell>
          <cell r="F291" t="str">
            <v>LA</v>
          </cell>
          <cell r="H291" t="str">
            <v>CONSUMER RADIAL</v>
          </cell>
          <cell r="I291" t="str">
            <v>SAG - Supply Chain</v>
          </cell>
          <cell r="J291" t="str">
            <v>BRZ</v>
          </cell>
          <cell r="S291">
            <v>185.78165999999987</v>
          </cell>
          <cell r="T291">
            <v>571.69055000000003</v>
          </cell>
          <cell r="U291">
            <v>0</v>
          </cell>
          <cell r="V291">
            <v>266.52999999999997</v>
          </cell>
          <cell r="W291">
            <v>266.52999999999997</v>
          </cell>
          <cell r="AD291">
            <v>0</v>
          </cell>
        </row>
        <row r="292">
          <cell r="B292" t="str">
            <v>LCP-200177</v>
          </cell>
          <cell r="C292" t="str">
            <v>NEW POWER GENERATOR</v>
          </cell>
          <cell r="D292" t="str">
            <v>SAG</v>
          </cell>
          <cell r="E292" t="str">
            <v>N</v>
          </cell>
          <cell r="F292" t="str">
            <v>LA</v>
          </cell>
          <cell r="H292" t="str">
            <v>MIXED</v>
          </cell>
          <cell r="I292" t="str">
            <v>Other</v>
          </cell>
          <cell r="J292" t="str">
            <v>MC</v>
          </cell>
          <cell r="Q292">
            <v>107.81399999999999</v>
          </cell>
          <cell r="S292">
            <v>49.774949999999997</v>
          </cell>
          <cell r="T292">
            <v>49.774949999999997</v>
          </cell>
          <cell r="U292">
            <v>0</v>
          </cell>
          <cell r="V292">
            <v>70</v>
          </cell>
          <cell r="W292">
            <v>70</v>
          </cell>
          <cell r="AD292">
            <v>0</v>
          </cell>
        </row>
        <row r="293">
          <cell r="B293" t="str">
            <v>LCP-200178</v>
          </cell>
          <cell r="C293" t="str">
            <v>AME- 26 Molds Workhorse RT for Americana</v>
          </cell>
          <cell r="D293" t="str">
            <v>Molds NA</v>
          </cell>
          <cell r="E293" t="str">
            <v>N</v>
          </cell>
          <cell r="F293" t="str">
            <v>LA</v>
          </cell>
          <cell r="H293" t="str">
            <v>Consumer Radial</v>
          </cell>
          <cell r="I293" t="str">
            <v>CURING</v>
          </cell>
          <cell r="J293" t="str">
            <v>AME Molds NA</v>
          </cell>
          <cell r="T293">
            <v>806.10360999999943</v>
          </cell>
          <cell r="U293">
            <v>332.42499999999995</v>
          </cell>
          <cell r="X293">
            <v>0</v>
          </cell>
          <cell r="Y293">
            <v>411.08111000000002</v>
          </cell>
        </row>
        <row r="294">
          <cell r="B294" t="str">
            <v>LCP-200179</v>
          </cell>
          <cell r="C294" t="str">
            <v>PER - SOL &amp; RIM 17 (EX Americana Nesting)</v>
          </cell>
          <cell r="D294" t="str">
            <v>Facilities Sustaining</v>
          </cell>
          <cell r="E294" t="str">
            <v>N</v>
          </cell>
          <cell r="F294" t="str">
            <v>LA</v>
          </cell>
          <cell r="H294" t="str">
            <v>Consumer Radial</v>
          </cell>
          <cell r="I294" t="str">
            <v>TIRE ASSEMBLY</v>
          </cell>
          <cell r="J294" t="str">
            <v>PER</v>
          </cell>
          <cell r="Q294">
            <v>972.1</v>
          </cell>
          <cell r="S294">
            <v>372.5967500000001</v>
          </cell>
          <cell r="T294">
            <v>395.20038000000005</v>
          </cell>
          <cell r="U294">
            <v>144.65239000000003</v>
          </cell>
          <cell r="V294">
            <v>894.96447000000012</v>
          </cell>
          <cell r="W294">
            <v>894.96447000000012</v>
          </cell>
          <cell r="X294">
            <v>9.2134499999999999</v>
          </cell>
          <cell r="Y294">
            <v>55.628399999999992</v>
          </cell>
          <cell r="AD294">
            <v>895</v>
          </cell>
        </row>
        <row r="295">
          <cell r="B295" t="str">
            <v>LCP-200180</v>
          </cell>
          <cell r="C295" t="str">
            <v>PER - VIRTUAL DMS FOR RADIAL CURING</v>
          </cell>
          <cell r="D295" t="str">
            <v>Facilities Sustaining</v>
          </cell>
          <cell r="E295" t="str">
            <v>N</v>
          </cell>
          <cell r="F295" t="str">
            <v>LA</v>
          </cell>
          <cell r="H295" t="str">
            <v>Consumer Radial</v>
          </cell>
          <cell r="I295" t="str">
            <v>Curing</v>
          </cell>
          <cell r="J295" t="str">
            <v>PER</v>
          </cell>
          <cell r="Q295">
            <v>70</v>
          </cell>
          <cell r="S295">
            <v>1.2880000000000001E-2</v>
          </cell>
          <cell r="T295">
            <v>1.2880000000000001E-2</v>
          </cell>
          <cell r="U295">
            <v>1.324E-2</v>
          </cell>
        </row>
        <row r="296">
          <cell r="B296" t="str">
            <v>LCP-200182</v>
          </cell>
          <cell r="C296" t="str">
            <v>COL- Curing presses/final finish improve</v>
          </cell>
          <cell r="D296" t="str">
            <v>Quality - Improvement</v>
          </cell>
          <cell r="E296" t="str">
            <v>N</v>
          </cell>
          <cell r="F296" t="str">
            <v>LA</v>
          </cell>
          <cell r="H296" t="str">
            <v>Commercial Radial</v>
          </cell>
          <cell r="I296" t="str">
            <v>Final Finish</v>
          </cell>
          <cell r="J296" t="str">
            <v>COL</v>
          </cell>
          <cell r="Q296">
            <v>7039.7960000000003</v>
          </cell>
          <cell r="S296">
            <v>490.36205000000007</v>
          </cell>
          <cell r="T296">
            <v>705.59483999999998</v>
          </cell>
          <cell r="U296">
            <v>1710.1279499999998</v>
          </cell>
          <cell r="V296">
            <v>2638.5359899999999</v>
          </cell>
          <cell r="W296">
            <v>2638.5359899999999</v>
          </cell>
          <cell r="X296">
            <v>12.65279</v>
          </cell>
          <cell r="Y296">
            <v>103.19059999999996</v>
          </cell>
          <cell r="AD296">
            <v>1100</v>
          </cell>
        </row>
        <row r="297">
          <cell r="B297" t="str">
            <v>LCP-200183</v>
          </cell>
          <cell r="C297" t="str">
            <v>ARG - Office Remodelation</v>
          </cell>
          <cell r="D297" t="str">
            <v>SAG</v>
          </cell>
          <cell r="E297" t="str">
            <v>N</v>
          </cell>
          <cell r="F297" t="str">
            <v>LA</v>
          </cell>
          <cell r="H297" t="str">
            <v>N/A</v>
          </cell>
          <cell r="I297" t="str">
            <v>SAG - Other</v>
          </cell>
          <cell r="J297" t="str">
            <v>ARG</v>
          </cell>
          <cell r="Q297">
            <v>33.917000000000002</v>
          </cell>
          <cell r="S297">
            <v>25.218160000000005</v>
          </cell>
          <cell r="T297">
            <v>25.218160000000005</v>
          </cell>
          <cell r="U297">
            <v>0</v>
          </cell>
          <cell r="V297">
            <v>34.492940000000004</v>
          </cell>
          <cell r="W297">
            <v>34.492940000000004</v>
          </cell>
          <cell r="X297">
            <v>0</v>
          </cell>
          <cell r="Y297">
            <v>2.97424</v>
          </cell>
        </row>
        <row r="298">
          <cell r="B298" t="str">
            <v>LCP-210121</v>
          </cell>
          <cell r="C298" t="str">
            <v>AME – WULO – CONSUMMER BUILDING - STEP 2 - NT22</v>
          </cell>
          <cell r="D298" t="str">
            <v>EHS</v>
          </cell>
          <cell r="E298" t="str">
            <v>N</v>
          </cell>
          <cell r="F298" t="str">
            <v>LA</v>
          </cell>
          <cell r="G298" t="str">
            <v>MSR</v>
          </cell>
          <cell r="H298" t="str">
            <v>N/A</v>
          </cell>
          <cell r="I298" t="str">
            <v>OTHER</v>
          </cell>
          <cell r="J298" t="str">
            <v>AME</v>
          </cell>
          <cell r="T298">
            <v>14.741239999999999</v>
          </cell>
          <cell r="U298">
            <v>7.6165399999999988</v>
          </cell>
          <cell r="X298">
            <v>0</v>
          </cell>
          <cell r="Y298">
            <v>51.295790000000011</v>
          </cell>
          <cell r="AD298">
            <v>80</v>
          </cell>
        </row>
        <row r="299">
          <cell r="B299" t="str">
            <v>LCP-210000</v>
          </cell>
          <cell r="C299" t="str">
            <v xml:space="preserve">WRANGLER WORKHORSE AT </v>
          </cell>
          <cell r="D299" t="str">
            <v>Molds</v>
          </cell>
          <cell r="E299" t="str">
            <v>N</v>
          </cell>
          <cell r="F299" t="str">
            <v>LA</v>
          </cell>
          <cell r="H299" t="str">
            <v>Consumer Radial</v>
          </cell>
          <cell r="I299" t="str">
            <v>Curing</v>
          </cell>
          <cell r="J299" t="str">
            <v>PER</v>
          </cell>
          <cell r="Q299">
            <v>259</v>
          </cell>
          <cell r="S299">
            <v>0.23358000000000001</v>
          </cell>
          <cell r="T299">
            <v>40.565570000000001</v>
          </cell>
          <cell r="U299">
            <v>279.87051000000008</v>
          </cell>
          <cell r="V299">
            <v>259</v>
          </cell>
          <cell r="W299">
            <v>259</v>
          </cell>
          <cell r="X299">
            <v>6.3120000000000003</v>
          </cell>
          <cell r="Y299">
            <v>301.15402</v>
          </cell>
          <cell r="AD299">
            <v>18.600000000000001</v>
          </cell>
        </row>
        <row r="300">
          <cell r="B300" t="str">
            <v>LCP-210001</v>
          </cell>
          <cell r="C300" t="str">
            <v>UrbanMax 235/75R17.5 Line extension</v>
          </cell>
          <cell r="D300" t="str">
            <v>Molds</v>
          </cell>
          <cell r="E300" t="str">
            <v>N</v>
          </cell>
          <cell r="F300" t="str">
            <v>LA</v>
          </cell>
          <cell r="H300" t="str">
            <v>Commercial Radial</v>
          </cell>
          <cell r="I300" t="str">
            <v>Curing</v>
          </cell>
          <cell r="J300" t="str">
            <v>AME</v>
          </cell>
          <cell r="Q300">
            <v>157.5</v>
          </cell>
          <cell r="S300">
            <v>19.812570000000004</v>
          </cell>
          <cell r="T300">
            <v>104.32294000000002</v>
          </cell>
          <cell r="U300">
            <v>43.366849999999999</v>
          </cell>
          <cell r="V300">
            <v>136.55000000000001</v>
          </cell>
          <cell r="W300">
            <v>136.55000000000001</v>
          </cell>
          <cell r="X300">
            <v>0</v>
          </cell>
          <cell r="Y300">
            <v>79.677630000000008</v>
          </cell>
        </row>
        <row r="301">
          <cell r="B301" t="str">
            <v>LCP-210002</v>
          </cell>
          <cell r="C301" t="str">
            <v xml:space="preserve">WRANGLER WORKHORSE AT </v>
          </cell>
          <cell r="D301" t="str">
            <v>Molds</v>
          </cell>
          <cell r="E301" t="str">
            <v>N</v>
          </cell>
          <cell r="F301" t="str">
            <v>LA</v>
          </cell>
          <cell r="H301" t="str">
            <v>Consumer Radial</v>
          </cell>
          <cell r="I301" t="str">
            <v>Curing</v>
          </cell>
          <cell r="J301" t="str">
            <v>AME</v>
          </cell>
          <cell r="Q301">
            <v>1144</v>
          </cell>
          <cell r="S301">
            <v>9.0367600000000028</v>
          </cell>
          <cell r="T301">
            <v>133.25166000000002</v>
          </cell>
          <cell r="U301">
            <v>984.43841999999984</v>
          </cell>
          <cell r="V301">
            <v>1144</v>
          </cell>
          <cell r="W301">
            <v>1144</v>
          </cell>
          <cell r="X301">
            <v>0</v>
          </cell>
          <cell r="Y301">
            <v>1209.6335799999995</v>
          </cell>
          <cell r="AD301">
            <v>189.6</v>
          </cell>
        </row>
        <row r="302">
          <cell r="B302" t="str">
            <v>LCP-210003</v>
          </cell>
          <cell r="C302" t="str">
            <v>215/75R17.5 Endurance RSA</v>
          </cell>
          <cell r="D302" t="str">
            <v>Molds</v>
          </cell>
          <cell r="E302" t="str">
            <v>N</v>
          </cell>
          <cell r="F302" t="str">
            <v>LA</v>
          </cell>
          <cell r="H302" t="str">
            <v>Commercial Radial</v>
          </cell>
          <cell r="I302" t="str">
            <v>Curing</v>
          </cell>
          <cell r="J302" t="str">
            <v>COL</v>
          </cell>
          <cell r="Q302">
            <v>112</v>
          </cell>
          <cell r="S302">
            <v>0</v>
          </cell>
          <cell r="T302">
            <v>47.015610000000009</v>
          </cell>
          <cell r="U302">
            <v>0.73789999999999623</v>
          </cell>
          <cell r="V302">
            <v>112</v>
          </cell>
          <cell r="W302">
            <v>112</v>
          </cell>
          <cell r="X302">
            <v>0</v>
          </cell>
          <cell r="Y302">
            <v>32.714570000000002</v>
          </cell>
        </row>
        <row r="303">
          <cell r="B303" t="str">
            <v>LCP-210004</v>
          </cell>
          <cell r="C303" t="str">
            <v>PER - Look &amp; Feel POS Identification Peru</v>
          </cell>
          <cell r="D303" t="str">
            <v>SAG</v>
          </cell>
          <cell r="E303" t="str">
            <v>N</v>
          </cell>
          <cell r="F303" t="str">
            <v>LA</v>
          </cell>
          <cell r="H303" t="str">
            <v>Mixed</v>
          </cell>
          <cell r="I303" t="str">
            <v>SAG - Sales &amp; Marketing</v>
          </cell>
          <cell r="J303" t="str">
            <v>PER</v>
          </cell>
          <cell r="Q303">
            <v>250</v>
          </cell>
          <cell r="S303">
            <v>107.26773999999999</v>
          </cell>
          <cell r="T303">
            <v>168.88118</v>
          </cell>
          <cell r="U303">
            <v>53.217000000000013</v>
          </cell>
          <cell r="V303">
            <v>250</v>
          </cell>
          <cell r="W303">
            <v>250</v>
          </cell>
          <cell r="X303">
            <v>0</v>
          </cell>
          <cell r="Y303">
            <v>80.749649999999988</v>
          </cell>
        </row>
        <row r="304">
          <cell r="B304" t="str">
            <v>LCP-210006</v>
          </cell>
          <cell r="C304" t="str">
            <v>COL - 2021 MISCELLANEOUS ANNUAL BUDGET</v>
          </cell>
          <cell r="D304" t="str">
            <v>Facilities Sustaining</v>
          </cell>
          <cell r="E304" t="str">
            <v>N</v>
          </cell>
          <cell r="F304" t="str">
            <v>LA</v>
          </cell>
          <cell r="H304" t="str">
            <v>COMMERCIAL RADIAL</v>
          </cell>
          <cell r="I304" t="str">
            <v>FACILITIES/INFRASTRUCTURE</v>
          </cell>
          <cell r="J304" t="str">
            <v>COL</v>
          </cell>
          <cell r="S304">
            <v>58.396729999999991</v>
          </cell>
          <cell r="T304">
            <v>156.20658000000003</v>
          </cell>
          <cell r="U304">
            <v>266.50586999999996</v>
          </cell>
          <cell r="V304">
            <v>450</v>
          </cell>
          <cell r="W304">
            <v>450</v>
          </cell>
          <cell r="X304">
            <v>4.1136999999999997</v>
          </cell>
          <cell r="Y304">
            <v>226.59253000000007</v>
          </cell>
        </row>
        <row r="305">
          <cell r="B305" t="str">
            <v>LCP-210007</v>
          </cell>
          <cell r="C305" t="str">
            <v>AME - 2021 MISCELLANEOUS ANNUAL BUDGET</v>
          </cell>
          <cell r="D305" t="str">
            <v>Facilities Sustaining</v>
          </cell>
          <cell r="E305" t="str">
            <v>N</v>
          </cell>
          <cell r="F305" t="str">
            <v>LA</v>
          </cell>
          <cell r="H305" t="str">
            <v>MIXED</v>
          </cell>
          <cell r="I305" t="str">
            <v>Other</v>
          </cell>
          <cell r="J305" t="str">
            <v>AME</v>
          </cell>
          <cell r="S305">
            <v>127.85485000000006</v>
          </cell>
          <cell r="T305">
            <v>232.11990000000006</v>
          </cell>
          <cell r="U305">
            <v>516.28018083333336</v>
          </cell>
          <cell r="V305">
            <v>800.0454545454545</v>
          </cell>
          <cell r="W305">
            <v>800.0454545454545</v>
          </cell>
          <cell r="X305">
            <v>73.874780000000001</v>
          </cell>
          <cell r="Y305">
            <v>410.55628000000007</v>
          </cell>
          <cell r="AD305">
            <v>0</v>
          </cell>
        </row>
        <row r="306">
          <cell r="B306" t="str">
            <v>LCP-210008</v>
          </cell>
          <cell r="C306" t="str">
            <v>COL- Plant roof  sheet metal improvement</v>
          </cell>
          <cell r="D306" t="str">
            <v>Facilities Sustaining</v>
          </cell>
          <cell r="E306" t="str">
            <v>N</v>
          </cell>
          <cell r="F306" t="str">
            <v>LA</v>
          </cell>
          <cell r="H306" t="str">
            <v>Commercial Radial</v>
          </cell>
          <cell r="I306" t="str">
            <v>Facilities/Infrastructure</v>
          </cell>
          <cell r="J306" t="str">
            <v>COL</v>
          </cell>
          <cell r="S306">
            <v>0</v>
          </cell>
          <cell r="T306">
            <v>0</v>
          </cell>
          <cell r="U306">
            <v>100</v>
          </cell>
          <cell r="V306">
            <v>100</v>
          </cell>
          <cell r="W306">
            <v>100</v>
          </cell>
          <cell r="X306">
            <v>48.600999999999999</v>
          </cell>
          <cell r="Y306">
            <v>1.4795</v>
          </cell>
        </row>
        <row r="307">
          <cell r="B307" t="str">
            <v>LCP-210138</v>
          </cell>
          <cell r="C307" t="str">
            <v>AME - NEW RAINWATER CONTAINMENT SYSTEM</v>
          </cell>
          <cell r="D307" t="str">
            <v>EHS</v>
          </cell>
          <cell r="E307" t="str">
            <v>N</v>
          </cell>
          <cell r="F307" t="str">
            <v>LA</v>
          </cell>
          <cell r="G307" t="str">
            <v>ENV</v>
          </cell>
          <cell r="H307" t="str">
            <v>Other</v>
          </cell>
          <cell r="I307" t="str">
            <v>OTHER</v>
          </cell>
          <cell r="J307" t="str">
            <v>AME</v>
          </cell>
          <cell r="T307">
            <v>0</v>
          </cell>
          <cell r="U307">
            <v>90</v>
          </cell>
          <cell r="X307">
            <v>164.20319000000001</v>
          </cell>
          <cell r="Y307">
            <v>0</v>
          </cell>
          <cell r="AD307">
            <v>85.000000000000014</v>
          </cell>
        </row>
        <row r="308">
          <cell r="B308" t="str">
            <v>LCP-210011</v>
          </cell>
          <cell r="C308" t="str">
            <v>WASTEWATER TANK IMPROVEMENT</v>
          </cell>
          <cell r="D308" t="str">
            <v>EHS</v>
          </cell>
          <cell r="E308" t="str">
            <v>N</v>
          </cell>
          <cell r="F308" t="str">
            <v>LA</v>
          </cell>
          <cell r="G308" t="str">
            <v>ENV</v>
          </cell>
          <cell r="H308" t="str">
            <v>N/A</v>
          </cell>
          <cell r="I308" t="str">
            <v>Other</v>
          </cell>
          <cell r="J308" t="str">
            <v>AME</v>
          </cell>
          <cell r="T308">
            <v>85.094279999999998</v>
          </cell>
          <cell r="U308">
            <v>24.099999999999994</v>
          </cell>
          <cell r="V308">
            <v>130.1</v>
          </cell>
          <cell r="W308">
            <v>130.1</v>
          </cell>
          <cell r="X308">
            <v>5.7048000000000005</v>
          </cell>
          <cell r="Y308">
            <v>38.906399999999991</v>
          </cell>
          <cell r="AD308">
            <v>0</v>
          </cell>
        </row>
        <row r="309">
          <cell r="B309" t="str">
            <v>LCP-210013</v>
          </cell>
          <cell r="C309" t="str">
            <v>AME- Additional molds to Americana</v>
          </cell>
          <cell r="D309" t="str">
            <v>Molds</v>
          </cell>
          <cell r="E309" t="str">
            <v>N</v>
          </cell>
          <cell r="F309" t="str">
            <v>LA</v>
          </cell>
          <cell r="G309">
            <v>0</v>
          </cell>
          <cell r="H309" t="str">
            <v>CONSUMER RADIAL</v>
          </cell>
          <cell r="I309" t="str">
            <v>Curing</v>
          </cell>
          <cell r="J309" t="str">
            <v>AME</v>
          </cell>
          <cell r="S309">
            <v>3.6897599999999993</v>
          </cell>
          <cell r="T309">
            <v>216.88569999999999</v>
          </cell>
          <cell r="U309">
            <v>12.699999999999989</v>
          </cell>
          <cell r="V309">
            <v>285</v>
          </cell>
          <cell r="W309">
            <v>285</v>
          </cell>
          <cell r="X309">
            <v>0</v>
          </cell>
          <cell r="Y309">
            <v>50.792000000000002</v>
          </cell>
        </row>
        <row r="310">
          <cell r="B310" t="str">
            <v>LCP-210014</v>
          </cell>
          <cell r="C310" t="str">
            <v>UPGRADE OF DRIVES BEADWINDER#03</v>
          </cell>
          <cell r="D310" t="str">
            <v>Facilities Sustaining</v>
          </cell>
          <cell r="E310" t="str">
            <v>N</v>
          </cell>
          <cell r="F310" t="str">
            <v>LA</v>
          </cell>
          <cell r="H310" t="str">
            <v>CONSUMER RADIAL</v>
          </cell>
          <cell r="I310" t="str">
            <v>COMPONENT PREP OTHER</v>
          </cell>
          <cell r="J310" t="str">
            <v>AME</v>
          </cell>
          <cell r="T310">
            <v>11.50849</v>
          </cell>
          <cell r="U310">
            <v>47.284269999999999</v>
          </cell>
          <cell r="X310">
            <v>0</v>
          </cell>
          <cell r="Y310">
            <v>80.857399999999998</v>
          </cell>
          <cell r="AD310">
            <v>0</v>
          </cell>
        </row>
        <row r="311">
          <cell r="B311" t="str">
            <v>LCP-210016</v>
          </cell>
          <cell r="C311" t="str">
            <v>IMPROVEMENT CLIMATIZATION IN THE TBM'S</v>
          </cell>
          <cell r="D311" t="str">
            <v>Quality - Improvement</v>
          </cell>
          <cell r="E311" t="str">
            <v>N</v>
          </cell>
          <cell r="F311" t="str">
            <v>LA</v>
          </cell>
          <cell r="H311" t="str">
            <v>Commercial Radial</v>
          </cell>
          <cell r="I311" t="str">
            <v>TIRE ASSEMBLY</v>
          </cell>
          <cell r="J311" t="str">
            <v>AME</v>
          </cell>
          <cell r="T311">
            <v>14.29861</v>
          </cell>
          <cell r="U311">
            <v>14.647219999999997</v>
          </cell>
          <cell r="X311">
            <v>0</v>
          </cell>
          <cell r="Y311">
            <v>39.958949999999994</v>
          </cell>
          <cell r="AD311">
            <v>0</v>
          </cell>
        </row>
        <row r="312">
          <cell r="B312" t="str">
            <v>LCP-210134</v>
          </cell>
          <cell r="C312" t="str">
            <v>AME – INTERNAL LIGHTING ADEQUACY</v>
          </cell>
          <cell r="D312" t="str">
            <v>EHS</v>
          </cell>
          <cell r="E312" t="str">
            <v>N</v>
          </cell>
          <cell r="F312" t="str">
            <v>LA</v>
          </cell>
          <cell r="G312" t="str">
            <v>COMP</v>
          </cell>
          <cell r="H312" t="str">
            <v>Other</v>
          </cell>
          <cell r="I312" t="str">
            <v>OTHER</v>
          </cell>
          <cell r="J312" t="str">
            <v>AME</v>
          </cell>
          <cell r="T312">
            <v>0</v>
          </cell>
          <cell r="U312">
            <v>75.520219999999995</v>
          </cell>
          <cell r="X312">
            <v>99.921890000000019</v>
          </cell>
          <cell r="Y312">
            <v>0</v>
          </cell>
          <cell r="AD312">
            <v>86.000000000000014</v>
          </cell>
        </row>
        <row r="313">
          <cell r="B313" t="str">
            <v>LCP-210045</v>
          </cell>
          <cell r="C313" t="str">
            <v>CREEL ROOM TRANSFER FROM GADSTEN PLANT</v>
          </cell>
          <cell r="D313" t="str">
            <v>Productivity</v>
          </cell>
          <cell r="E313" t="str">
            <v>N</v>
          </cell>
          <cell r="F313" t="str">
            <v>LA</v>
          </cell>
          <cell r="H313" t="str">
            <v>CONSUMER RADIAL</v>
          </cell>
          <cell r="I313" t="str">
            <v>COMPONENT PREP OTHER</v>
          </cell>
          <cell r="J313" t="str">
            <v>AME</v>
          </cell>
          <cell r="T313">
            <v>0</v>
          </cell>
          <cell r="U313">
            <v>96</v>
          </cell>
          <cell r="X313">
            <v>0</v>
          </cell>
          <cell r="Y313">
            <v>11.290569999999999</v>
          </cell>
          <cell r="AD313">
            <v>89</v>
          </cell>
        </row>
        <row r="314">
          <cell r="B314" t="str">
            <v>LCP-210022</v>
          </cell>
          <cell r="C314" t="str">
            <v>PROJECT RUNNER</v>
          </cell>
          <cell r="D314" t="str">
            <v>SAG</v>
          </cell>
          <cell r="E314" t="str">
            <v>N</v>
          </cell>
          <cell r="F314" t="str">
            <v>LA</v>
          </cell>
          <cell r="H314" t="str">
            <v>Mixed</v>
          </cell>
          <cell r="I314" t="str">
            <v>SAG - Other</v>
          </cell>
          <cell r="J314" t="str">
            <v>BRZ</v>
          </cell>
          <cell r="S314">
            <v>292.84548000000001</v>
          </cell>
          <cell r="T314">
            <v>550.67319999999995</v>
          </cell>
          <cell r="U314">
            <v>68</v>
          </cell>
          <cell r="V314">
            <v>772.5</v>
          </cell>
          <cell r="W314">
            <v>772.5</v>
          </cell>
          <cell r="X314">
            <v>83.13103000000001</v>
          </cell>
          <cell r="Y314">
            <v>28.48413</v>
          </cell>
          <cell r="AD314">
            <v>0</v>
          </cell>
        </row>
        <row r="315">
          <cell r="B315" t="str">
            <v>LCP-210025</v>
          </cell>
          <cell r="C315" t="str">
            <v>UPG AKROSCAN SYSTEM FOR LINES FVM (CAMERAS PRETAS)</v>
          </cell>
          <cell r="D315" t="str">
            <v>Facilities Sustaining</v>
          </cell>
          <cell r="E315" t="str">
            <v>N</v>
          </cell>
          <cell r="F315" t="str">
            <v>LA</v>
          </cell>
          <cell r="H315" t="str">
            <v>CONSUMER RADIAL</v>
          </cell>
          <cell r="I315" t="str">
            <v>Tire Assembly</v>
          </cell>
          <cell r="J315" t="str">
            <v>AME</v>
          </cell>
          <cell r="T315">
            <v>1.45123</v>
          </cell>
          <cell r="U315">
            <v>407.61162000000002</v>
          </cell>
          <cell r="X315">
            <v>0</v>
          </cell>
          <cell r="Y315">
            <v>20.46378</v>
          </cell>
          <cell r="AD315">
            <v>0</v>
          </cell>
        </row>
        <row r="316">
          <cell r="B316" t="str">
            <v>LCP-210026</v>
          </cell>
          <cell r="C316" t="str">
            <v>Molds for Tcross and Polo Rota 2030 (OE)</v>
          </cell>
          <cell r="D316" t="str">
            <v>Molds</v>
          </cell>
          <cell r="E316" t="str">
            <v>N</v>
          </cell>
          <cell r="F316" t="str">
            <v>LA</v>
          </cell>
          <cell r="H316" t="str">
            <v>Consumer Radial</v>
          </cell>
          <cell r="I316" t="str">
            <v>Curing</v>
          </cell>
          <cell r="J316" t="str">
            <v>AME</v>
          </cell>
          <cell r="Q316">
            <v>544</v>
          </cell>
          <cell r="S316">
            <v>0</v>
          </cell>
          <cell r="T316">
            <v>0</v>
          </cell>
          <cell r="U316">
            <v>547.5</v>
          </cell>
          <cell r="V316">
            <v>544</v>
          </cell>
          <cell r="W316">
            <v>544</v>
          </cell>
          <cell r="X316">
            <v>0</v>
          </cell>
          <cell r="Y316">
            <v>448.19906000000003</v>
          </cell>
        </row>
        <row r="317">
          <cell r="B317" t="str">
            <v>LCP-210027</v>
          </cell>
          <cell r="C317" t="str">
            <v>COL -  PROPERTY SECURITY IMPROVEMENT</v>
          </cell>
          <cell r="D317" t="str">
            <v>Facilities Sustaining</v>
          </cell>
          <cell r="E317" t="str">
            <v>N</v>
          </cell>
          <cell r="F317" t="str">
            <v>LA</v>
          </cell>
          <cell r="H317" t="str">
            <v>Commercial Radial</v>
          </cell>
          <cell r="I317" t="str">
            <v>Facilities/Infrastructure</v>
          </cell>
          <cell r="J317" t="str">
            <v>COL</v>
          </cell>
          <cell r="S317">
            <v>21.520869999999999</v>
          </cell>
          <cell r="T317">
            <v>57.745940000000004</v>
          </cell>
          <cell r="U317">
            <v>32</v>
          </cell>
          <cell r="V317">
            <v>100</v>
          </cell>
          <cell r="W317">
            <v>100</v>
          </cell>
          <cell r="X317">
            <v>0</v>
          </cell>
          <cell r="Y317">
            <v>6.7144000000000004</v>
          </cell>
        </row>
        <row r="318">
          <cell r="B318" t="str">
            <v>LCP-210028</v>
          </cell>
          <cell r="C318" t="str">
            <v>COL-Wire Calander extruder screw 250mm replace</v>
          </cell>
          <cell r="D318" t="str">
            <v>Facilities Sustaining</v>
          </cell>
          <cell r="E318" t="str">
            <v>N</v>
          </cell>
          <cell r="F318" t="str">
            <v>LA</v>
          </cell>
          <cell r="H318" t="str">
            <v>Commercial Radial</v>
          </cell>
          <cell r="I318" t="str">
            <v xml:space="preserve">Extruding </v>
          </cell>
          <cell r="J318" t="str">
            <v>COL</v>
          </cell>
          <cell r="S318">
            <v>0</v>
          </cell>
          <cell r="T318">
            <v>0</v>
          </cell>
          <cell r="U318">
            <v>50</v>
          </cell>
          <cell r="V318">
            <v>50</v>
          </cell>
          <cell r="W318">
            <v>50</v>
          </cell>
        </row>
        <row r="319">
          <cell r="B319" t="str">
            <v>LCP-210029</v>
          </cell>
          <cell r="C319" t="str">
            <v>LCP-210029 PER-DBMs SERVOSATR S700 DRIVES UPGRADE</v>
          </cell>
          <cell r="D319" t="str">
            <v>Facilities Sustaining</v>
          </cell>
          <cell r="E319" t="str">
            <v>N</v>
          </cell>
          <cell r="F319" t="str">
            <v>LA</v>
          </cell>
          <cell r="H319" t="str">
            <v>MIXED</v>
          </cell>
          <cell r="I319" t="str">
            <v>Final Finish</v>
          </cell>
          <cell r="J319" t="str">
            <v>PER</v>
          </cell>
          <cell r="T319">
            <v>43.475609999999996</v>
          </cell>
          <cell r="U319">
            <v>0</v>
          </cell>
          <cell r="X319">
            <v>2.8</v>
          </cell>
          <cell r="Y319">
            <v>0</v>
          </cell>
        </row>
        <row r="320">
          <cell r="B320" t="str">
            <v>LCP-210030</v>
          </cell>
          <cell r="C320" t="str">
            <v>CHI - Look &amp; Feel POS Identification Ecuador 2021</v>
          </cell>
          <cell r="D320" t="str">
            <v>SAG</v>
          </cell>
          <cell r="E320" t="str">
            <v>N</v>
          </cell>
          <cell r="F320" t="str">
            <v>LA</v>
          </cell>
          <cell r="H320" t="str">
            <v>CONSUMER RADIAL</v>
          </cell>
          <cell r="I320" t="str">
            <v>SAG - Sales &amp; Marketing</v>
          </cell>
          <cell r="J320" t="str">
            <v>CHI</v>
          </cell>
          <cell r="S320">
            <v>38.61</v>
          </cell>
          <cell r="T320">
            <v>54.508200000000002</v>
          </cell>
          <cell r="U320">
            <v>42.31</v>
          </cell>
          <cell r="V320">
            <v>84</v>
          </cell>
          <cell r="W320">
            <v>84</v>
          </cell>
        </row>
        <row r="321">
          <cell r="B321" t="str">
            <v>LCP-210031</v>
          </cell>
          <cell r="C321" t="str">
            <v>PER - 150 PSI NEW COMPRESSOR</v>
          </cell>
          <cell r="D321" t="str">
            <v>Facilities Sustaining</v>
          </cell>
          <cell r="E321" t="str">
            <v>N</v>
          </cell>
          <cell r="F321" t="str">
            <v>LA</v>
          </cell>
          <cell r="H321" t="str">
            <v>Mixed</v>
          </cell>
          <cell r="I321" t="str">
            <v>ENGINEERING</v>
          </cell>
          <cell r="J321" t="str">
            <v>PER</v>
          </cell>
          <cell r="T321">
            <v>131.01820000000001</v>
          </cell>
          <cell r="U321">
            <v>9.2390199999999822</v>
          </cell>
          <cell r="X321">
            <v>0</v>
          </cell>
          <cell r="Y321">
            <v>8.3666499999999999</v>
          </cell>
        </row>
        <row r="322">
          <cell r="B322" t="str">
            <v>LCP-210032</v>
          </cell>
          <cell r="C322" t="str">
            <v>PER - 2021 MISCELLANEOUS ANNUAL BUDGET</v>
          </cell>
          <cell r="D322" t="str">
            <v>Facilities Sustaining</v>
          </cell>
          <cell r="E322" t="str">
            <v>N</v>
          </cell>
          <cell r="F322" t="str">
            <v>LA</v>
          </cell>
          <cell r="H322" t="str">
            <v>MIXED</v>
          </cell>
          <cell r="I322" t="str">
            <v>Other</v>
          </cell>
          <cell r="J322" t="str">
            <v>PER</v>
          </cell>
          <cell r="S322">
            <v>157.59748999999999</v>
          </cell>
          <cell r="T322">
            <v>250.08355</v>
          </cell>
          <cell r="U322">
            <v>72.793960000000027</v>
          </cell>
          <cell r="V322">
            <v>400</v>
          </cell>
          <cell r="W322">
            <v>400</v>
          </cell>
          <cell r="X322">
            <v>43.197240000000001</v>
          </cell>
          <cell r="Y322">
            <v>66.411209999999983</v>
          </cell>
        </row>
        <row r="323">
          <cell r="B323" t="str">
            <v>LCP-210034</v>
          </cell>
          <cell r="C323" t="str">
            <v>CHI - Look &amp; Feel POS Identification Bolivia 2021</v>
          </cell>
          <cell r="D323" t="str">
            <v>SAG</v>
          </cell>
          <cell r="E323" t="str">
            <v>N</v>
          </cell>
          <cell r="F323" t="str">
            <v>LA</v>
          </cell>
          <cell r="H323" t="str">
            <v>CONSUMER RADIAL</v>
          </cell>
          <cell r="I323" t="str">
            <v>SAG - Sales &amp; Marketing</v>
          </cell>
          <cell r="J323" t="str">
            <v>CHI</v>
          </cell>
          <cell r="S323">
            <v>0</v>
          </cell>
          <cell r="T323">
            <v>0</v>
          </cell>
          <cell r="U323">
            <v>0</v>
          </cell>
          <cell r="V323">
            <v>37</v>
          </cell>
          <cell r="W323">
            <v>37</v>
          </cell>
        </row>
        <row r="324">
          <cell r="B324" t="str">
            <v>LCP-210035</v>
          </cell>
          <cell r="C324" t="str">
            <v>CHI - Look &amp; Feel POS Identification Chile 2021</v>
          </cell>
          <cell r="D324" t="str">
            <v>SAG</v>
          </cell>
          <cell r="E324" t="str">
            <v>N</v>
          </cell>
          <cell r="F324" t="str">
            <v>LA</v>
          </cell>
          <cell r="H324" t="str">
            <v>CONSUMER RADIAL</v>
          </cell>
          <cell r="I324" t="str">
            <v>SAG - Sales &amp; Marketing</v>
          </cell>
          <cell r="J324" t="str">
            <v>CHI</v>
          </cell>
          <cell r="S324">
            <v>88.080780000000004</v>
          </cell>
          <cell r="T324">
            <v>152.54676000000001</v>
          </cell>
          <cell r="U324">
            <v>110.19999999999999</v>
          </cell>
          <cell r="V324">
            <v>220</v>
          </cell>
          <cell r="W324">
            <v>220</v>
          </cell>
        </row>
        <row r="325">
          <cell r="B325" t="str">
            <v>LCP-210036</v>
          </cell>
          <cell r="C325" t="str">
            <v>PER - Generator Portable Nitrogen Plant</v>
          </cell>
          <cell r="D325" t="str">
            <v>Quality - Improvement</v>
          </cell>
          <cell r="E325" t="str">
            <v>N</v>
          </cell>
          <cell r="F325" t="str">
            <v>LA</v>
          </cell>
          <cell r="H325" t="str">
            <v>Mixed</v>
          </cell>
          <cell r="I325" t="str">
            <v>ENGINEERING</v>
          </cell>
          <cell r="J325" t="str">
            <v>PER</v>
          </cell>
          <cell r="O325">
            <v>450</v>
          </cell>
          <cell r="P325">
            <v>175</v>
          </cell>
          <cell r="Q325">
            <v>625</v>
          </cell>
          <cell r="T325">
            <v>628.10801000000004</v>
          </cell>
          <cell r="U325">
            <v>11.431479999999965</v>
          </cell>
          <cell r="X325">
            <v>6.3449600000000004</v>
          </cell>
          <cell r="Y325">
            <v>35.393610000000002</v>
          </cell>
        </row>
        <row r="326">
          <cell r="B326" t="str">
            <v>LCP-210037</v>
          </cell>
          <cell r="C326" t="str">
            <v>BRAZIL CONTINGENCY BILLING SYSTEM</v>
          </cell>
          <cell r="D326" t="str">
            <v>IT</v>
          </cell>
          <cell r="E326" t="str">
            <v>N</v>
          </cell>
          <cell r="F326" t="str">
            <v>LA</v>
          </cell>
          <cell r="H326" t="str">
            <v>N/A</v>
          </cell>
          <cell r="I326" t="str">
            <v>SAG - IT</v>
          </cell>
          <cell r="J326" t="str">
            <v>BRZ</v>
          </cell>
          <cell r="S326">
            <v>29.861369999999997</v>
          </cell>
          <cell r="T326">
            <v>42.617889999999996</v>
          </cell>
          <cell r="U326">
            <v>0</v>
          </cell>
          <cell r="V326">
            <v>50</v>
          </cell>
          <cell r="W326">
            <v>50</v>
          </cell>
        </row>
        <row r="327">
          <cell r="B327" t="str">
            <v>LCP-210038</v>
          </cell>
          <cell r="C327" t="str">
            <v>UPPER CONVEYORS UPGRADE – CURING B1</v>
          </cell>
          <cell r="D327" t="str">
            <v>EHS</v>
          </cell>
          <cell r="E327" t="str">
            <v>N</v>
          </cell>
          <cell r="F327" t="str">
            <v>LA</v>
          </cell>
          <cell r="G327" t="str">
            <v>MSR</v>
          </cell>
          <cell r="H327" t="str">
            <v>Other</v>
          </cell>
          <cell r="I327" t="str">
            <v>CURING</v>
          </cell>
          <cell r="J327" t="str">
            <v>AME</v>
          </cell>
          <cell r="T327">
            <v>54.643919999999994</v>
          </cell>
          <cell r="U327">
            <v>116.3</v>
          </cell>
          <cell r="X327">
            <v>0</v>
          </cell>
          <cell r="Y327">
            <v>18.576520000000002</v>
          </cell>
          <cell r="AD327">
            <v>0</v>
          </cell>
        </row>
        <row r="328">
          <cell r="B328" t="str">
            <v>LCP-210039</v>
          </cell>
          <cell r="C328" t="str">
            <v>FCA Mobi</v>
          </cell>
          <cell r="D328" t="str">
            <v>Molds</v>
          </cell>
          <cell r="E328" t="str">
            <v>N</v>
          </cell>
          <cell r="F328" t="str">
            <v>LA</v>
          </cell>
          <cell r="H328" t="str">
            <v>Consumer Radial</v>
          </cell>
          <cell r="I328" t="str">
            <v>Curing</v>
          </cell>
          <cell r="J328" t="str">
            <v>AME</v>
          </cell>
          <cell r="S328">
            <v>0</v>
          </cell>
          <cell r="T328">
            <v>0</v>
          </cell>
          <cell r="U328">
            <v>27.04</v>
          </cell>
          <cell r="V328">
            <v>228</v>
          </cell>
          <cell r="W328">
            <v>228</v>
          </cell>
          <cell r="X328">
            <v>0</v>
          </cell>
          <cell r="Y328">
            <v>156.75575999999998</v>
          </cell>
        </row>
        <row r="329">
          <cell r="B329" t="str">
            <v>LCP-210040</v>
          </cell>
          <cell r="C329" t="str">
            <v>FSB - 2021 MISCELLANEOUS ANNUAL BUDGET</v>
          </cell>
          <cell r="D329" t="str">
            <v>Facilities Sustaining</v>
          </cell>
          <cell r="E329" t="str">
            <v>N</v>
          </cell>
          <cell r="F329" t="str">
            <v>LA</v>
          </cell>
          <cell r="H329" t="str">
            <v>Other</v>
          </cell>
          <cell r="I329" t="str">
            <v>Other</v>
          </cell>
          <cell r="J329" t="str">
            <v>RET</v>
          </cell>
          <cell r="S329">
            <v>0</v>
          </cell>
          <cell r="T329">
            <v>13.399560000000001</v>
          </cell>
          <cell r="U329">
            <v>77.5</v>
          </cell>
          <cell r="V329">
            <v>67</v>
          </cell>
          <cell r="W329">
            <v>67</v>
          </cell>
          <cell r="X329">
            <v>14.4</v>
          </cell>
          <cell r="Y329">
            <v>58.391160000000006</v>
          </cell>
          <cell r="AD329">
            <v>0</v>
          </cell>
        </row>
        <row r="330">
          <cell r="B330" t="str">
            <v>LCP-210042</v>
          </cell>
          <cell r="C330" t="str">
            <v>COL - BT Drum</v>
          </cell>
          <cell r="D330" t="str">
            <v>Facilities Sustaining</v>
          </cell>
          <cell r="E330" t="str">
            <v>N</v>
          </cell>
          <cell r="F330" t="str">
            <v>LA</v>
          </cell>
          <cell r="H330" t="str">
            <v>COMMERCIAL RADIAL</v>
          </cell>
          <cell r="I330" t="str">
            <v>FACILITIES/INFRASTRUCTURE</v>
          </cell>
          <cell r="J330" t="str">
            <v>COL</v>
          </cell>
          <cell r="S330">
            <v>0</v>
          </cell>
          <cell r="T330">
            <v>0</v>
          </cell>
          <cell r="U330">
            <v>0</v>
          </cell>
          <cell r="V330">
            <v>150</v>
          </cell>
          <cell r="W330">
            <v>150</v>
          </cell>
          <cell r="X330">
            <v>0</v>
          </cell>
          <cell r="Y330">
            <v>95.611999999999995</v>
          </cell>
        </row>
        <row r="331">
          <cell r="B331" t="str">
            <v>LCP-210043</v>
          </cell>
          <cell r="C331" t="str">
            <v>COL - CURING MONITORING PANEL UPGRADE IN HEADER</v>
          </cell>
          <cell r="D331" t="str">
            <v>Facilities Sustaining</v>
          </cell>
          <cell r="E331" t="str">
            <v>N</v>
          </cell>
          <cell r="F331" t="str">
            <v>LA</v>
          </cell>
          <cell r="H331" t="str">
            <v>Commercial Radial</v>
          </cell>
          <cell r="I331" t="str">
            <v>Curing</v>
          </cell>
          <cell r="J331" t="str">
            <v>COL</v>
          </cell>
          <cell r="S331">
            <v>28.311490000000003</v>
          </cell>
          <cell r="T331">
            <v>83.937309999999997</v>
          </cell>
          <cell r="U331">
            <v>2.3132700000000028</v>
          </cell>
          <cell r="V331">
            <v>100</v>
          </cell>
          <cell r="W331">
            <v>100</v>
          </cell>
          <cell r="X331">
            <v>0</v>
          </cell>
          <cell r="Y331">
            <v>5.2022700000000004</v>
          </cell>
        </row>
        <row r="332">
          <cell r="B332" t="str">
            <v>LCP-190020</v>
          </cell>
          <cell r="C332" t="str">
            <v>AME - ROBOT FOR BEAD WINDER</v>
          </cell>
          <cell r="D332" t="str">
            <v>Productivity</v>
          </cell>
          <cell r="E332" t="str">
            <v>N</v>
          </cell>
          <cell r="F332" t="str">
            <v>LA</v>
          </cell>
          <cell r="H332" t="str">
            <v>Mixed</v>
          </cell>
          <cell r="I332" t="str">
            <v>Other</v>
          </cell>
          <cell r="J332" t="str">
            <v>AME</v>
          </cell>
          <cell r="O332">
            <v>90</v>
          </cell>
          <cell r="Q332">
            <v>90</v>
          </cell>
          <cell r="R332">
            <v>49.075190000000006</v>
          </cell>
          <cell r="S332">
            <v>91.345690000000005</v>
          </cell>
          <cell r="T332">
            <v>50.493780000000001</v>
          </cell>
          <cell r="U332">
            <v>59.314419999999998</v>
          </cell>
          <cell r="V332">
            <v>138.62703999999999</v>
          </cell>
          <cell r="W332">
            <v>138.62703999999999</v>
          </cell>
          <cell r="X332">
            <v>1.9018699999999999</v>
          </cell>
          <cell r="Y332">
            <v>169.07485999999997</v>
          </cell>
          <cell r="Z332">
            <v>-1.3456900000000047</v>
          </cell>
          <cell r="AA332">
            <v>1.3456900000000047</v>
          </cell>
          <cell r="AB332">
            <v>150.66011</v>
          </cell>
          <cell r="AC332">
            <v>60.660110000000003</v>
          </cell>
          <cell r="AD332">
            <v>100.00000000000001</v>
          </cell>
        </row>
        <row r="333">
          <cell r="B333" t="str">
            <v>LCP-210046</v>
          </cell>
          <cell r="C333" t="str">
            <v>COL - Look &amp; Feel POS Identification Colombia</v>
          </cell>
          <cell r="D333" t="str">
            <v>SAG</v>
          </cell>
          <cell r="E333" t="str">
            <v>N</v>
          </cell>
          <cell r="F333" t="str">
            <v>LA</v>
          </cell>
          <cell r="H333" t="str">
            <v>Commercial Radial</v>
          </cell>
          <cell r="I333" t="str">
            <v>SAG - Sales &amp; Marketing</v>
          </cell>
          <cell r="J333" t="str">
            <v>COL</v>
          </cell>
          <cell r="S333">
            <v>4.8634799999999991</v>
          </cell>
          <cell r="T333">
            <v>58.236789999999999</v>
          </cell>
          <cell r="U333">
            <v>113.99999999999999</v>
          </cell>
          <cell r="V333">
            <v>250</v>
          </cell>
          <cell r="W333">
            <v>250</v>
          </cell>
          <cell r="X333">
            <v>0</v>
          </cell>
          <cell r="Y333">
            <v>163.24732999999998</v>
          </cell>
        </row>
        <row r="334">
          <cell r="B334" t="str">
            <v>LCP-210047</v>
          </cell>
          <cell r="C334" t="str">
            <v>PER- SUBSTITUTE END-OF-LIFE NETWORK UCE SWITCHES IN PERU</v>
          </cell>
          <cell r="D334" t="str">
            <v>IT</v>
          </cell>
          <cell r="E334" t="str">
            <v>N</v>
          </cell>
          <cell r="F334" t="str">
            <v>LA</v>
          </cell>
          <cell r="H334" t="str">
            <v>N/A</v>
          </cell>
          <cell r="I334" t="str">
            <v>SAG - IT</v>
          </cell>
          <cell r="J334" t="str">
            <v>PER</v>
          </cell>
          <cell r="T334">
            <v>0</v>
          </cell>
          <cell r="U334">
            <v>160</v>
          </cell>
          <cell r="V334">
            <v>190</v>
          </cell>
          <cell r="W334">
            <v>190</v>
          </cell>
          <cell r="X334">
            <v>0</v>
          </cell>
          <cell r="Y334">
            <v>154.97115999999997</v>
          </cell>
        </row>
        <row r="335">
          <cell r="B335" t="str">
            <v>LCP-210048</v>
          </cell>
          <cell r="C335" t="str">
            <v>COL - New TCU 4 rolls 100 GPM for Wire Calander</v>
          </cell>
          <cell r="D335" t="str">
            <v>Capability</v>
          </cell>
          <cell r="E335" t="str">
            <v>N</v>
          </cell>
          <cell r="F335" t="str">
            <v>LA</v>
          </cell>
          <cell r="H335" t="str">
            <v>Commercial Radial</v>
          </cell>
          <cell r="I335" t="str">
            <v>Component Prep Other</v>
          </cell>
          <cell r="J335" t="str">
            <v>COL</v>
          </cell>
          <cell r="S335">
            <v>0.49865000000000004</v>
          </cell>
          <cell r="T335">
            <v>0.59054000000000006</v>
          </cell>
          <cell r="U335">
            <v>363.49</v>
          </cell>
          <cell r="V335">
            <v>150</v>
          </cell>
          <cell r="W335">
            <v>150</v>
          </cell>
        </row>
        <row r="336">
          <cell r="B336" t="str">
            <v>LCP-210052</v>
          </cell>
          <cell r="C336" t="str">
            <v>FIRE PROTECTION SYSTEM MAIN SUBSTATION</v>
          </cell>
          <cell r="D336" t="str">
            <v>EHS</v>
          </cell>
          <cell r="E336" t="str">
            <v>N</v>
          </cell>
          <cell r="F336" t="str">
            <v>LA</v>
          </cell>
          <cell r="G336" t="str">
            <v>FIRE</v>
          </cell>
          <cell r="H336" t="str">
            <v>Other</v>
          </cell>
          <cell r="I336" t="str">
            <v>OTHER</v>
          </cell>
          <cell r="J336" t="str">
            <v>AME</v>
          </cell>
          <cell r="T336">
            <v>0</v>
          </cell>
          <cell r="U336">
            <v>75</v>
          </cell>
          <cell r="X336">
            <v>1.33E-3</v>
          </cell>
          <cell r="Y336">
            <v>0</v>
          </cell>
          <cell r="AD336">
            <v>0</v>
          </cell>
        </row>
        <row r="337">
          <cell r="B337" t="str">
            <v>LCP-210055</v>
          </cell>
          <cell r="C337" t="str">
            <v>AME – WULO CONSUMMER BUILDING - STEP 1 - NT20</v>
          </cell>
          <cell r="D337" t="str">
            <v>EHS</v>
          </cell>
          <cell r="E337" t="str">
            <v>N</v>
          </cell>
          <cell r="F337" t="str">
            <v>LA</v>
          </cell>
          <cell r="G337" t="str">
            <v>MSR</v>
          </cell>
          <cell r="H337" t="str">
            <v>N/A</v>
          </cell>
          <cell r="I337" t="str">
            <v>OTHER</v>
          </cell>
          <cell r="J337" t="str">
            <v>AME</v>
          </cell>
          <cell r="T337">
            <v>24.489800000000002</v>
          </cell>
          <cell r="U337">
            <v>64.971180000000004</v>
          </cell>
          <cell r="X337">
            <v>0</v>
          </cell>
          <cell r="Y337">
            <v>31.069789999999998</v>
          </cell>
          <cell r="AD337">
            <v>0</v>
          </cell>
        </row>
        <row r="338">
          <cell r="B338" t="str">
            <v>LCP-210065</v>
          </cell>
          <cell r="C338" t="str">
            <v>COL-CALI IT NETWORK DEVICES REFRESH BY LIFECYCLE (PHASE 2/3)</v>
          </cell>
          <cell r="D338" t="str">
            <v>IT</v>
          </cell>
          <cell r="E338" t="str">
            <v>N</v>
          </cell>
          <cell r="F338" t="str">
            <v>LA</v>
          </cell>
          <cell r="H338" t="str">
            <v>Commercial Radial</v>
          </cell>
          <cell r="I338" t="str">
            <v>SAG - IT</v>
          </cell>
          <cell r="J338" t="str">
            <v>COL</v>
          </cell>
          <cell r="S338">
            <v>0</v>
          </cell>
          <cell r="T338">
            <v>32.358900000000006</v>
          </cell>
          <cell r="U338">
            <v>21.405009999999997</v>
          </cell>
          <cell r="V338">
            <v>343</v>
          </cell>
          <cell r="W338">
            <v>343</v>
          </cell>
          <cell r="X338">
            <v>0</v>
          </cell>
          <cell r="Y338">
            <v>197.92726000000002</v>
          </cell>
        </row>
        <row r="339">
          <cell r="B339" t="str">
            <v>LCP-210068</v>
          </cell>
          <cell r="C339" t="str">
            <v>PER - PERU DBM #3 (ex Gadsden)</v>
          </cell>
          <cell r="D339" t="str">
            <v>Facilities Sustaining</v>
          </cell>
          <cell r="E339" t="str">
            <v>N</v>
          </cell>
          <cell r="F339" t="str">
            <v>LA</v>
          </cell>
          <cell r="H339" t="str">
            <v>Mixed</v>
          </cell>
          <cell r="I339" t="str">
            <v>Final Finish</v>
          </cell>
          <cell r="J339" t="str">
            <v>PER</v>
          </cell>
          <cell r="T339">
            <v>0</v>
          </cell>
          <cell r="U339">
            <v>198</v>
          </cell>
        </row>
        <row r="340">
          <cell r="B340" t="str">
            <v>LCP-210069</v>
          </cell>
          <cell r="C340" t="str">
            <v>PER EHS-100-02-00001 - Windup Letoff due to audity</v>
          </cell>
          <cell r="D340" t="str">
            <v>EHS</v>
          </cell>
          <cell r="E340" t="str">
            <v>N</v>
          </cell>
          <cell r="F340" t="str">
            <v>LA</v>
          </cell>
          <cell r="G340" t="str">
            <v>MSR</v>
          </cell>
          <cell r="J340" t="str">
            <v>PER</v>
          </cell>
          <cell r="T340">
            <v>0</v>
          </cell>
          <cell r="U340">
            <v>47</v>
          </cell>
          <cell r="V340">
            <v>75</v>
          </cell>
          <cell r="W340">
            <v>75</v>
          </cell>
          <cell r="X340">
            <v>17</v>
          </cell>
          <cell r="Y340">
            <v>0</v>
          </cell>
        </row>
        <row r="341">
          <cell r="B341" t="str">
            <v>LCP-210073</v>
          </cell>
          <cell r="C341" t="str">
            <v xml:space="preserve">	PER - 2 ELECTROMECHANIC BEAD HOLDER SYST</v>
          </cell>
          <cell r="D341" t="str">
            <v>EHS</v>
          </cell>
          <cell r="E341" t="str">
            <v>N</v>
          </cell>
          <cell r="F341" t="str">
            <v>LA</v>
          </cell>
          <cell r="G341" t="str">
            <v>FIRE</v>
          </cell>
          <cell r="H341" t="str">
            <v>MIXED</v>
          </cell>
          <cell r="I341" t="str">
            <v>Facilities/Infrastructure</v>
          </cell>
          <cell r="J341" t="str">
            <v>PER</v>
          </cell>
          <cell r="S341">
            <v>44.961720000000007</v>
          </cell>
          <cell r="T341">
            <v>91.952780000000018</v>
          </cell>
          <cell r="U341">
            <v>49.579820000000012</v>
          </cell>
          <cell r="V341">
            <v>150</v>
          </cell>
          <cell r="W341">
            <v>150</v>
          </cell>
          <cell r="X341">
            <v>4</v>
          </cell>
          <cell r="Y341">
            <v>32.563810000000004</v>
          </cell>
        </row>
        <row r="342">
          <cell r="B342" t="str">
            <v>LCP-210077</v>
          </cell>
          <cell r="C342" t="str">
            <v>AERO - VENTILATION AND EXHAUSTING SYSTEM</v>
          </cell>
          <cell r="D342" t="str">
            <v>Facilities Sustaining</v>
          </cell>
          <cell r="E342" t="str">
            <v>N</v>
          </cell>
          <cell r="F342" t="str">
            <v>LA</v>
          </cell>
          <cell r="H342" t="str">
            <v>AVIATION</v>
          </cell>
          <cell r="I342" t="str">
            <v>Other</v>
          </cell>
          <cell r="J342" t="str">
            <v>SAO</v>
          </cell>
          <cell r="S342">
            <v>0</v>
          </cell>
          <cell r="T342">
            <v>0</v>
          </cell>
          <cell r="U342">
            <v>39</v>
          </cell>
          <cell r="V342">
            <v>80</v>
          </cell>
          <cell r="W342">
            <v>80</v>
          </cell>
          <cell r="X342">
            <v>0</v>
          </cell>
          <cell r="Y342">
            <v>51.261890000000001</v>
          </cell>
          <cell r="AD342">
            <v>0</v>
          </cell>
        </row>
        <row r="343">
          <cell r="B343" t="str">
            <v>LCP-210131</v>
          </cell>
          <cell r="C343" t="str">
            <v>AME - WOMEN'S RESTROOM</v>
          </cell>
          <cell r="D343" t="str">
            <v>EHS</v>
          </cell>
          <cell r="E343" t="str">
            <v>N</v>
          </cell>
          <cell r="F343" t="str">
            <v>LA</v>
          </cell>
          <cell r="G343" t="str">
            <v>COMP</v>
          </cell>
          <cell r="H343" t="str">
            <v>Other</v>
          </cell>
          <cell r="I343" t="str">
            <v>Other</v>
          </cell>
          <cell r="J343" t="str">
            <v>AME</v>
          </cell>
          <cell r="T343">
            <v>0</v>
          </cell>
          <cell r="U343">
            <v>150</v>
          </cell>
          <cell r="X343">
            <v>251.12100000000001</v>
          </cell>
          <cell r="Y343">
            <v>0</v>
          </cell>
          <cell r="AD343">
            <v>105.00000000000001</v>
          </cell>
        </row>
        <row r="344">
          <cell r="B344" t="str">
            <v>LCP-210081</v>
          </cell>
          <cell r="C344" t="str">
            <v>Retread Plant &amp;amp; Truck Service</v>
          </cell>
          <cell r="D344" t="str">
            <v>SAG</v>
          </cell>
          <cell r="E344" t="str">
            <v>N</v>
          </cell>
          <cell r="F344" t="str">
            <v>LA</v>
          </cell>
          <cell r="I344" t="str">
            <v>SAG - Sales &amp; Marketing</v>
          </cell>
          <cell r="J344" t="str">
            <v>ARG</v>
          </cell>
          <cell r="T344">
            <v>38.297310000000003</v>
          </cell>
          <cell r="U344">
            <v>0</v>
          </cell>
          <cell r="X344">
            <v>0</v>
          </cell>
          <cell r="Y344">
            <v>95.895820000000001</v>
          </cell>
          <cell r="AD344">
            <v>75</v>
          </cell>
        </row>
        <row r="345">
          <cell r="B345" t="str">
            <v xml:space="preserve">LCP-210082	</v>
          </cell>
          <cell r="C345" t="str">
            <v>AME- 4 Additional molds to attend FCA-OE</v>
          </cell>
          <cell r="D345" t="str">
            <v>Molds</v>
          </cell>
          <cell r="E345" t="str">
            <v>N</v>
          </cell>
          <cell r="F345" t="str">
            <v>LA</v>
          </cell>
          <cell r="H345" t="str">
            <v>Consumer Radial</v>
          </cell>
          <cell r="I345" t="str">
            <v>CURING</v>
          </cell>
          <cell r="J345" t="str">
            <v>AME</v>
          </cell>
          <cell r="T345">
            <v>0</v>
          </cell>
          <cell r="U345">
            <v>25.274999999999999</v>
          </cell>
        </row>
        <row r="346">
          <cell r="B346" t="str">
            <v>LCP-210118</v>
          </cell>
          <cell r="C346" t="str">
            <v>COOLING SYSTEM UPGRADE MIXER#02–PHASE I</v>
          </cell>
          <cell r="D346" t="str">
            <v>Quality - Improvement</v>
          </cell>
          <cell r="E346" t="str">
            <v>N</v>
          </cell>
          <cell r="F346" t="str">
            <v>LA</v>
          </cell>
          <cell r="H346" t="str">
            <v>MIXED</v>
          </cell>
          <cell r="I346" t="str">
            <v>MIXING</v>
          </cell>
          <cell r="J346" t="str">
            <v>AME</v>
          </cell>
          <cell r="T346">
            <v>0</v>
          </cell>
          <cell r="U346">
            <v>60</v>
          </cell>
          <cell r="V346">
            <v>20</v>
          </cell>
          <cell r="W346">
            <v>20</v>
          </cell>
          <cell r="X346">
            <v>133</v>
          </cell>
          <cell r="Y346">
            <v>0</v>
          </cell>
          <cell r="AD346">
            <v>123.5</v>
          </cell>
        </row>
        <row r="347">
          <cell r="B347" t="str">
            <v>LCP-210120</v>
          </cell>
          <cell r="C347" t="str">
            <v>AME - COOLING SYSTEM UPGRADE MIXER#03</v>
          </cell>
          <cell r="D347" t="str">
            <v>Quality - Improvement</v>
          </cell>
          <cell r="E347" t="str">
            <v>N</v>
          </cell>
          <cell r="F347" t="str">
            <v>LA</v>
          </cell>
          <cell r="H347" t="str">
            <v>MIXED</v>
          </cell>
          <cell r="I347" t="str">
            <v>MIXING</v>
          </cell>
          <cell r="J347" t="str">
            <v>AME</v>
          </cell>
          <cell r="T347">
            <v>0</v>
          </cell>
          <cell r="U347">
            <v>60</v>
          </cell>
          <cell r="V347">
            <v>150</v>
          </cell>
          <cell r="W347">
            <v>150</v>
          </cell>
          <cell r="X347">
            <v>133</v>
          </cell>
          <cell r="Y347">
            <v>0</v>
          </cell>
          <cell r="AD347">
            <v>124</v>
          </cell>
        </row>
        <row r="348">
          <cell r="B348" t="str">
            <v>LCP-210085</v>
          </cell>
          <cell r="C348" t="str">
            <v>CAL4R2 - UPG OF THE BELT STEEL SYSTEM</v>
          </cell>
          <cell r="D348" t="str">
            <v>Facilities Sustaining</v>
          </cell>
          <cell r="E348" t="str">
            <v>N</v>
          </cell>
          <cell r="F348" t="str">
            <v>LA</v>
          </cell>
          <cell r="H348" t="str">
            <v>Other</v>
          </cell>
          <cell r="I348" t="str">
            <v>OTHER</v>
          </cell>
          <cell r="J348" t="str">
            <v>AME</v>
          </cell>
          <cell r="T348">
            <v>0</v>
          </cell>
          <cell r="U348">
            <v>122</v>
          </cell>
          <cell r="X348">
            <v>0</v>
          </cell>
          <cell r="Y348">
            <v>109.69225999999999</v>
          </cell>
          <cell r="AD348">
            <v>0</v>
          </cell>
        </row>
        <row r="349">
          <cell r="B349" t="str">
            <v>LCP-210084</v>
          </cell>
          <cell r="C349" t="str">
            <v>AME - UPG BARREL AND SCREWS</v>
          </cell>
          <cell r="D349" t="str">
            <v>Facilities Sustaining</v>
          </cell>
          <cell r="E349" t="str">
            <v>N</v>
          </cell>
          <cell r="F349" t="str">
            <v>LA</v>
          </cell>
          <cell r="H349" t="str">
            <v>Other</v>
          </cell>
          <cell r="I349" t="str">
            <v>OTHER</v>
          </cell>
          <cell r="J349" t="str">
            <v>AME</v>
          </cell>
          <cell r="T349">
            <v>210.67781000000002</v>
          </cell>
          <cell r="U349">
            <v>0</v>
          </cell>
          <cell r="X349">
            <v>0</v>
          </cell>
          <cell r="Y349">
            <v>31.934370000000001</v>
          </cell>
          <cell r="AD349">
            <v>135.59899999999999</v>
          </cell>
        </row>
        <row r="350">
          <cell r="B350" t="str">
            <v>LCP-210087</v>
          </cell>
          <cell r="C350" t="str">
            <v>STB- 215mm G167 -(1/2)VENTILESS MOLD</v>
          </cell>
          <cell r="D350" t="str">
            <v>Molds</v>
          </cell>
          <cell r="E350" t="str">
            <v>N</v>
          </cell>
          <cell r="F350" t="str">
            <v>LA</v>
          </cell>
          <cell r="H350" t="str">
            <v>COMMERCIAL RADIAL</v>
          </cell>
          <cell r="I350" t="str">
            <v>Curing</v>
          </cell>
          <cell r="J350" t="str">
            <v>RET</v>
          </cell>
          <cell r="T350">
            <v>7.9871199999999991</v>
          </cell>
          <cell r="U350">
            <v>0</v>
          </cell>
        </row>
        <row r="351">
          <cell r="B351" t="str">
            <v>LCP-210089</v>
          </cell>
          <cell r="C351" t="str">
            <v>PER - MOTOR MIXER #2 (1000 HP)</v>
          </cell>
          <cell r="D351" t="str">
            <v>Facilities Sustaining</v>
          </cell>
          <cell r="E351" t="str">
            <v>N</v>
          </cell>
          <cell r="F351" t="str">
            <v>LA</v>
          </cell>
          <cell r="H351" t="str">
            <v>Consumer Radial</v>
          </cell>
          <cell r="I351" t="str">
            <v>Mixing</v>
          </cell>
          <cell r="J351" t="str">
            <v>PER</v>
          </cell>
          <cell r="S351">
            <v>0</v>
          </cell>
          <cell r="T351">
            <v>2.0732999999999997</v>
          </cell>
          <cell r="U351">
            <v>348</v>
          </cell>
          <cell r="V351">
            <v>350</v>
          </cell>
          <cell r="W351">
            <v>350</v>
          </cell>
          <cell r="X351">
            <v>247</v>
          </cell>
          <cell r="Y351">
            <v>0</v>
          </cell>
        </row>
        <row r="352">
          <cell r="B352" t="str">
            <v>LCP-210090</v>
          </cell>
          <cell r="C352" t="str">
            <v>PER- FIBERS FROM COMPUTER ROOM TO PLANT MACHINES  LIFECYCLE</v>
          </cell>
          <cell r="D352" t="str">
            <v>IT</v>
          </cell>
          <cell r="E352" t="str">
            <v>N</v>
          </cell>
          <cell r="F352" t="str">
            <v>LA</v>
          </cell>
          <cell r="H352" t="str">
            <v>N/A</v>
          </cell>
          <cell r="I352" t="str">
            <v>SAG - IT</v>
          </cell>
          <cell r="J352" t="str">
            <v>PER</v>
          </cell>
          <cell r="T352">
            <v>0</v>
          </cell>
          <cell r="U352">
            <v>30</v>
          </cell>
          <cell r="V352">
            <v>160</v>
          </cell>
          <cell r="W352">
            <v>160</v>
          </cell>
          <cell r="X352">
            <v>54.3</v>
          </cell>
          <cell r="Y352">
            <v>69.559889999999996</v>
          </cell>
          <cell r="AD352">
            <v>70</v>
          </cell>
        </row>
        <row r="353">
          <cell r="B353" t="str">
            <v>LCP-210092</v>
          </cell>
          <cell r="C353" t="str">
            <v>RET - UPG PLC AND PRESS TEMP CONTROL</v>
          </cell>
          <cell r="D353" t="str">
            <v>Facilities Sustaining</v>
          </cell>
          <cell r="E353" t="str">
            <v>N</v>
          </cell>
          <cell r="F353" t="str">
            <v>LA</v>
          </cell>
          <cell r="H353" t="str">
            <v>AVIATION</v>
          </cell>
          <cell r="I353" t="str">
            <v>Other</v>
          </cell>
          <cell r="J353" t="str">
            <v>SAO</v>
          </cell>
          <cell r="S353">
            <v>0</v>
          </cell>
          <cell r="T353">
            <v>29.99119</v>
          </cell>
          <cell r="U353">
            <v>49.5</v>
          </cell>
          <cell r="V353">
            <v>50</v>
          </cell>
          <cell r="W353">
            <v>50</v>
          </cell>
          <cell r="X353">
            <v>0</v>
          </cell>
          <cell r="Y353">
            <v>64.247780000000006</v>
          </cell>
          <cell r="AD353">
            <v>0</v>
          </cell>
        </row>
        <row r="354">
          <cell r="B354" t="str">
            <v>LCP-210093</v>
          </cell>
          <cell r="C354" t="str">
            <v>PER - Flexibility replacement</v>
          </cell>
          <cell r="D354" t="str">
            <v>Molds</v>
          </cell>
          <cell r="E354" t="str">
            <v>N</v>
          </cell>
          <cell r="F354" t="str">
            <v>LA</v>
          </cell>
          <cell r="H354" t="str">
            <v>Consumer Radial</v>
          </cell>
          <cell r="I354" t="str">
            <v>Curing</v>
          </cell>
          <cell r="J354" t="str">
            <v>PER</v>
          </cell>
          <cell r="S354">
            <v>0</v>
          </cell>
          <cell r="T354">
            <v>0</v>
          </cell>
          <cell r="U354">
            <v>0</v>
          </cell>
          <cell r="V354">
            <v>100</v>
          </cell>
          <cell r="W354">
            <v>100</v>
          </cell>
        </row>
        <row r="355">
          <cell r="B355" t="str">
            <v>LCP-XXXXX7</v>
          </cell>
          <cell r="C355" t="str">
            <v>CAL4R#1 WIND-UP UPGRADE</v>
          </cell>
          <cell r="D355" t="str">
            <v>Capability</v>
          </cell>
          <cell r="E355" t="str">
            <v>N</v>
          </cell>
          <cell r="F355" t="str">
            <v>LA</v>
          </cell>
          <cell r="H355" t="str">
            <v>COMMERCIAL RADIAL</v>
          </cell>
          <cell r="I355" t="str">
            <v>OTHER</v>
          </cell>
          <cell r="J355" t="str">
            <v>AME</v>
          </cell>
          <cell r="T355">
            <v>0</v>
          </cell>
          <cell r="U355">
            <v>0</v>
          </cell>
          <cell r="V355">
            <v>102.81099999999998</v>
          </cell>
          <cell r="W355">
            <v>102.81099999999998</v>
          </cell>
        </row>
        <row r="356">
          <cell r="B356" t="str">
            <v>LCP-210099</v>
          </cell>
          <cell r="C356" t="str">
            <v>KMAX Successor Steer and Drive - 295 &amp; 275R22.5 (70% req'd molds in 2021)</v>
          </cell>
          <cell r="D356" t="str">
            <v>Molds</v>
          </cell>
          <cell r="E356" t="str">
            <v>N</v>
          </cell>
          <cell r="F356" t="str">
            <v>LA</v>
          </cell>
          <cell r="H356" t="str">
            <v>Commercial Radial</v>
          </cell>
          <cell r="I356" t="str">
            <v>Curing</v>
          </cell>
          <cell r="J356" t="str">
            <v>AME</v>
          </cell>
          <cell r="S356">
            <v>0</v>
          </cell>
          <cell r="T356">
            <v>0</v>
          </cell>
          <cell r="U356">
            <v>1280</v>
          </cell>
          <cell r="V356">
            <v>2900</v>
          </cell>
          <cell r="W356">
            <v>2900</v>
          </cell>
          <cell r="X356">
            <v>0</v>
          </cell>
          <cell r="Y356">
            <v>1288.3729499999999</v>
          </cell>
          <cell r="AD356">
            <v>2000</v>
          </cell>
        </row>
        <row r="357">
          <cell r="B357" t="str">
            <v>LCP-210100</v>
          </cell>
          <cell r="C357" t="str">
            <v>FSB - FM GLOBAL ADEQUANCY</v>
          </cell>
          <cell r="D357" t="str">
            <v>EHS</v>
          </cell>
          <cell r="E357" t="str">
            <v>N</v>
          </cell>
          <cell r="F357" t="str">
            <v>LA</v>
          </cell>
          <cell r="G357" t="str">
            <v>FIRE</v>
          </cell>
          <cell r="H357" t="str">
            <v>Retread</v>
          </cell>
          <cell r="I357" t="str">
            <v>Other</v>
          </cell>
          <cell r="J357" t="str">
            <v>RET</v>
          </cell>
          <cell r="S357">
            <v>0</v>
          </cell>
          <cell r="T357">
            <v>0</v>
          </cell>
          <cell r="U357">
            <v>60.6</v>
          </cell>
          <cell r="V357">
            <v>30</v>
          </cell>
          <cell r="W357">
            <v>30</v>
          </cell>
          <cell r="X357">
            <v>0</v>
          </cell>
          <cell r="Y357">
            <v>44.150730000000003</v>
          </cell>
          <cell r="AD357">
            <v>0</v>
          </cell>
        </row>
        <row r="358">
          <cell r="B358" t="str">
            <v>LCP-210101</v>
          </cell>
          <cell r="C358" t="str">
            <v>RET - BATHROOM ADEQUANCY NR24</v>
          </cell>
          <cell r="D358" t="str">
            <v>EHS</v>
          </cell>
          <cell r="E358" t="str">
            <v>N</v>
          </cell>
          <cell r="F358" t="str">
            <v>LA</v>
          </cell>
          <cell r="G358" t="str">
            <v>COMP</v>
          </cell>
          <cell r="H358" t="str">
            <v>AVIATION</v>
          </cell>
          <cell r="I358" t="str">
            <v>CURING</v>
          </cell>
          <cell r="J358" t="str">
            <v>SAO</v>
          </cell>
          <cell r="S358">
            <v>0</v>
          </cell>
          <cell r="T358">
            <v>0</v>
          </cell>
          <cell r="U358">
            <v>68</v>
          </cell>
          <cell r="X358">
            <v>0</v>
          </cell>
          <cell r="Y358">
            <v>2.0477099999999999</v>
          </cell>
          <cell r="AD358">
            <v>0</v>
          </cell>
        </row>
        <row r="359">
          <cell r="B359" t="str">
            <v>LCP-210102</v>
          </cell>
          <cell r="C359" t="str">
            <v>NR12 ADEQUANCY AERO RETREAD MACHINES</v>
          </cell>
          <cell r="D359" t="str">
            <v>Facilities Sustaining</v>
          </cell>
          <cell r="E359" t="str">
            <v>N</v>
          </cell>
          <cell r="F359" t="str">
            <v>LA</v>
          </cell>
          <cell r="H359" t="str">
            <v>Retread</v>
          </cell>
          <cell r="I359" t="str">
            <v>Other</v>
          </cell>
          <cell r="J359" t="str">
            <v>RET</v>
          </cell>
          <cell r="S359">
            <v>0</v>
          </cell>
          <cell r="T359">
            <v>0</v>
          </cell>
          <cell r="U359">
            <v>70.599999999999994</v>
          </cell>
          <cell r="V359">
            <v>60</v>
          </cell>
          <cell r="W359">
            <v>60</v>
          </cell>
          <cell r="X359">
            <v>62.5383</v>
          </cell>
          <cell r="Y359">
            <v>0</v>
          </cell>
          <cell r="AD359">
            <v>0</v>
          </cell>
        </row>
        <row r="360">
          <cell r="B360" t="str">
            <v>LCP-210177</v>
          </cell>
          <cell r="C360" t="str">
            <v>AME - UPG EXTRUDER HEAD 8X3 EXTRUDER</v>
          </cell>
          <cell r="D360" t="str">
            <v>Facilities Sustaining</v>
          </cell>
          <cell r="E360" t="str">
            <v>N</v>
          </cell>
          <cell r="F360" t="str">
            <v>LA</v>
          </cell>
          <cell r="H360" t="str">
            <v>Consumer Radial</v>
          </cell>
          <cell r="I360" t="str">
            <v>CURING</v>
          </cell>
          <cell r="J360" t="str">
            <v>AME</v>
          </cell>
          <cell r="T360">
            <v>0</v>
          </cell>
          <cell r="U360">
            <v>0</v>
          </cell>
          <cell r="AD360">
            <v>182.99999999999991</v>
          </cell>
        </row>
        <row r="361">
          <cell r="B361" t="str">
            <v>LCP-210105</v>
          </cell>
          <cell r="C361" t="str">
            <v>Consumer AME Directional Successor (132 New Molds)</v>
          </cell>
          <cell r="D361" t="str">
            <v>Molds</v>
          </cell>
          <cell r="E361" t="str">
            <v>N</v>
          </cell>
          <cell r="F361" t="str">
            <v>LA</v>
          </cell>
          <cell r="H361" t="str">
            <v>Consumer Radial</v>
          </cell>
          <cell r="I361" t="str">
            <v>CURING</v>
          </cell>
          <cell r="J361" t="str">
            <v>AME</v>
          </cell>
          <cell r="Q361">
            <v>5600</v>
          </cell>
          <cell r="T361">
            <v>0</v>
          </cell>
          <cell r="U361">
            <v>3145</v>
          </cell>
          <cell r="X361">
            <v>242.73545000000001</v>
          </cell>
          <cell r="Y361">
            <v>3885.52</v>
          </cell>
        </row>
        <row r="362">
          <cell r="B362" t="str">
            <v>LCP-210106</v>
          </cell>
          <cell r="C362" t="str">
            <v>AME - CENTAC#17 100 PSI AIR COMPRESSOR</v>
          </cell>
          <cell r="D362" t="str">
            <v>Facilities Sustaining</v>
          </cell>
          <cell r="E362" t="str">
            <v>N</v>
          </cell>
          <cell r="F362" t="str">
            <v>LA</v>
          </cell>
          <cell r="H362" t="str">
            <v>COMMERCIAL RADIAL</v>
          </cell>
          <cell r="I362" t="str">
            <v>ENGINEERING</v>
          </cell>
          <cell r="J362" t="str">
            <v>AME</v>
          </cell>
          <cell r="T362">
            <v>0</v>
          </cell>
          <cell r="U362">
            <v>30</v>
          </cell>
          <cell r="X362">
            <v>9.6419999999999995</v>
          </cell>
          <cell r="Y362">
            <v>70.523880000000005</v>
          </cell>
          <cell r="AD362">
            <v>0</v>
          </cell>
        </row>
        <row r="363">
          <cell r="B363" t="str">
            <v>LCP-210107</v>
          </cell>
          <cell r="C363" t="str">
            <v>UPGRADE COOLING SYSTEM BB#4</v>
          </cell>
          <cell r="D363" t="str">
            <v>Quality - Improvement</v>
          </cell>
          <cell r="E363" t="str">
            <v>N</v>
          </cell>
          <cell r="F363" t="str">
            <v>LA</v>
          </cell>
          <cell r="H363" t="str">
            <v>MIXED</v>
          </cell>
          <cell r="I363" t="str">
            <v>MIXING</v>
          </cell>
          <cell r="J363" t="str">
            <v>AME</v>
          </cell>
          <cell r="T363">
            <v>0</v>
          </cell>
          <cell r="U363">
            <v>60</v>
          </cell>
          <cell r="V363">
            <v>70</v>
          </cell>
          <cell r="W363">
            <v>70</v>
          </cell>
          <cell r="X363">
            <v>0</v>
          </cell>
          <cell r="Y363">
            <v>30.13571</v>
          </cell>
          <cell r="AD363">
            <v>187.59999999999997</v>
          </cell>
        </row>
        <row r="364">
          <cell r="B364" t="str">
            <v>LCP-210108</v>
          </cell>
          <cell r="C364" t="str">
            <v>COL - Additional NPTs</v>
          </cell>
          <cell r="D364" t="str">
            <v>Productivity</v>
          </cell>
          <cell r="E364" t="str">
            <v>N</v>
          </cell>
          <cell r="F364" t="str">
            <v>LA</v>
          </cell>
          <cell r="H364" t="str">
            <v>Commercial Radial</v>
          </cell>
          <cell r="J364" t="str">
            <v>COL</v>
          </cell>
          <cell r="T364">
            <v>0</v>
          </cell>
          <cell r="U364">
            <v>140</v>
          </cell>
          <cell r="X364">
            <v>0</v>
          </cell>
          <cell r="Y364">
            <v>144.0634</v>
          </cell>
        </row>
        <row r="365">
          <cell r="B365" t="str">
            <v>LCP-210109</v>
          </cell>
          <cell r="C365" t="str">
            <v>COL - Warehouse floor repalacement</v>
          </cell>
          <cell r="D365" t="str">
            <v>SAG</v>
          </cell>
          <cell r="E365" t="str">
            <v>N</v>
          </cell>
          <cell r="F365" t="str">
            <v>LA</v>
          </cell>
          <cell r="H365" t="str">
            <v>Commercial Radial</v>
          </cell>
          <cell r="I365" t="str">
            <v>SAG - Supply Chain</v>
          </cell>
          <cell r="J365" t="str">
            <v>COL</v>
          </cell>
          <cell r="S365">
            <v>0</v>
          </cell>
          <cell r="T365">
            <v>30.075189999999999</v>
          </cell>
          <cell r="U365">
            <v>0</v>
          </cell>
          <cell r="V365">
            <v>40</v>
          </cell>
          <cell r="W365">
            <v>40</v>
          </cell>
        </row>
        <row r="366">
          <cell r="B366" t="str">
            <v>LCP-210110</v>
          </cell>
          <cell r="C366" t="str">
            <v>MC - 2021 MISCELLANEOUS ANNUAL BUDGET</v>
          </cell>
          <cell r="D366" t="str">
            <v>Facilities Sustaining</v>
          </cell>
          <cell r="E366" t="str">
            <v>N</v>
          </cell>
          <cell r="F366" t="str">
            <v>LA</v>
          </cell>
          <cell r="H366" t="str">
            <v>Other</v>
          </cell>
          <cell r="I366" t="str">
            <v>Other</v>
          </cell>
          <cell r="J366" t="str">
            <v>MC</v>
          </cell>
          <cell r="S366">
            <v>0</v>
          </cell>
          <cell r="T366">
            <v>0</v>
          </cell>
          <cell r="U366">
            <v>57</v>
          </cell>
          <cell r="V366">
            <v>70</v>
          </cell>
          <cell r="W366">
            <v>70</v>
          </cell>
          <cell r="X366">
            <v>41.368229999999997</v>
          </cell>
          <cell r="Y366">
            <v>27.798819999999999</v>
          </cell>
          <cell r="AD366">
            <v>0</v>
          </cell>
        </row>
        <row r="367">
          <cell r="B367" t="str">
            <v>LCP-210112</v>
          </cell>
          <cell r="C367" t="str">
            <v>BRA-AMERICANA NEARLINE STORAGE</v>
          </cell>
          <cell r="D367" t="str">
            <v>IT</v>
          </cell>
          <cell r="E367" t="str">
            <v>N</v>
          </cell>
          <cell r="F367" t="str">
            <v>LA</v>
          </cell>
          <cell r="H367" t="str">
            <v>N/A</v>
          </cell>
          <cell r="I367" t="str">
            <v>SAG - IT</v>
          </cell>
          <cell r="J367" t="str">
            <v>BRZ</v>
          </cell>
          <cell r="T367">
            <v>42.49481999999999</v>
          </cell>
          <cell r="U367">
            <v>0</v>
          </cell>
          <cell r="X367">
            <v>0</v>
          </cell>
          <cell r="Y367">
            <v>8.4000000000000003E-4</v>
          </cell>
        </row>
        <row r="368">
          <cell r="B368" t="str">
            <v>LCP-210113</v>
          </cell>
          <cell r="C368" t="str">
            <v xml:space="preserve">BRA - AMERICANA DATACENTER BACKUP </v>
          </cell>
          <cell r="D368" t="str">
            <v>IT</v>
          </cell>
          <cell r="E368" t="str">
            <v>N</v>
          </cell>
          <cell r="F368" t="str">
            <v>LA</v>
          </cell>
          <cell r="H368" t="str">
            <v>Mixed</v>
          </cell>
          <cell r="I368" t="str">
            <v>SAG - IT</v>
          </cell>
          <cell r="J368" t="str">
            <v>BRZ</v>
          </cell>
          <cell r="S368">
            <v>0</v>
          </cell>
          <cell r="T368">
            <v>144.09618000000003</v>
          </cell>
          <cell r="U368">
            <v>0</v>
          </cell>
          <cell r="V368">
            <v>130</v>
          </cell>
          <cell r="W368">
            <v>130</v>
          </cell>
        </row>
        <row r="369">
          <cell r="B369" t="str">
            <v>LCP-210114</v>
          </cell>
          <cell r="C369" t="str">
            <v>AME -COMPLEXITY AND CONCURRENCY INCREASE</v>
          </cell>
          <cell r="D369" t="str">
            <v>Capability</v>
          </cell>
          <cell r="E369" t="str">
            <v>N</v>
          </cell>
          <cell r="F369" t="str">
            <v>LA</v>
          </cell>
          <cell r="H369" t="str">
            <v>Commercial Radial</v>
          </cell>
          <cell r="I369" t="str">
            <v>OTHER</v>
          </cell>
          <cell r="J369" t="str">
            <v>AME</v>
          </cell>
          <cell r="T369">
            <v>10.95839</v>
          </cell>
          <cell r="U369">
            <v>194.91936000000001</v>
          </cell>
          <cell r="X369">
            <v>0</v>
          </cell>
          <cell r="Y369">
            <v>160.91014999999999</v>
          </cell>
          <cell r="AD369">
            <v>0</v>
          </cell>
        </row>
        <row r="370">
          <cell r="B370" t="str">
            <v>LCP-210115</v>
          </cell>
          <cell r="C370" t="str">
            <v>PER - NEW DOCUMENT STORE</v>
          </cell>
          <cell r="D370" t="str">
            <v>SAG</v>
          </cell>
          <cell r="E370" t="str">
            <v>N</v>
          </cell>
          <cell r="F370" t="str">
            <v>LA</v>
          </cell>
          <cell r="J370" t="str">
            <v>PER</v>
          </cell>
          <cell r="T370">
            <v>26.10022</v>
          </cell>
          <cell r="U370">
            <v>5.996850000000002</v>
          </cell>
          <cell r="X370">
            <v>0</v>
          </cell>
          <cell r="Y370">
            <v>17.959160000000001</v>
          </cell>
        </row>
        <row r="371">
          <cell r="B371" t="str">
            <v>LCP-210116</v>
          </cell>
          <cell r="C371" t="str">
            <v>K-MAX Molds transfer from Colombia to Brazil</v>
          </cell>
          <cell r="D371" t="str">
            <v>Molds</v>
          </cell>
          <cell r="E371" t="str">
            <v>N</v>
          </cell>
          <cell r="F371" t="str">
            <v>LA</v>
          </cell>
          <cell r="H371" t="str">
            <v>COMMERCIAL RADIAL</v>
          </cell>
          <cell r="I371" t="str">
            <v>CURING</v>
          </cell>
          <cell r="J371" t="str">
            <v>AME</v>
          </cell>
          <cell r="T371">
            <v>0</v>
          </cell>
          <cell r="U371">
            <v>19</v>
          </cell>
        </row>
        <row r="372">
          <cell r="B372" t="str">
            <v>LCP-210117</v>
          </cell>
          <cell r="C372" t="str">
            <v>(10) Molds G316 transfer from AME to COL</v>
          </cell>
          <cell r="D372" t="str">
            <v>Molds</v>
          </cell>
          <cell r="E372" t="str">
            <v>N</v>
          </cell>
          <cell r="F372" t="str">
            <v>LA</v>
          </cell>
          <cell r="H372" t="str">
            <v>COMMERCIAL RADIAL</v>
          </cell>
          <cell r="I372" t="str">
            <v>Curing</v>
          </cell>
          <cell r="J372" t="str">
            <v>COL</v>
          </cell>
          <cell r="T372">
            <v>25.637509999999999</v>
          </cell>
          <cell r="U372">
            <v>18.915380000000006</v>
          </cell>
          <cell r="X372">
            <v>0</v>
          </cell>
          <cell r="Y372">
            <v>32.592530000000004</v>
          </cell>
        </row>
        <row r="373">
          <cell r="B373" t="str">
            <v>LCP-210018</v>
          </cell>
          <cell r="C373" t="str">
            <v>REPLACEMENT OF BOTTOM COOLING TANK D#4</v>
          </cell>
          <cell r="D373" t="str">
            <v>Facilities Sustaining</v>
          </cell>
          <cell r="E373" t="str">
            <v>N</v>
          </cell>
          <cell r="F373" t="str">
            <v>LA</v>
          </cell>
          <cell r="H373" t="str">
            <v>Mixed</v>
          </cell>
          <cell r="I373" t="str">
            <v>COMPONENT PREP OTHER</v>
          </cell>
          <cell r="J373" t="str">
            <v>AME</v>
          </cell>
          <cell r="T373">
            <v>0</v>
          </cell>
          <cell r="U373">
            <v>184</v>
          </cell>
          <cell r="X373">
            <v>284.54978000000006</v>
          </cell>
          <cell r="Y373">
            <v>0</v>
          </cell>
          <cell r="AD373">
            <v>223.21802000000011</v>
          </cell>
        </row>
        <row r="374">
          <cell r="B374" t="str">
            <v>LCP-210119</v>
          </cell>
          <cell r="C374" t="str">
            <v>COL EHS-100-02-00001 - Windup Letoff due to audity</v>
          </cell>
          <cell r="D374" t="str">
            <v>EHS</v>
          </cell>
          <cell r="E374" t="str">
            <v>N</v>
          </cell>
          <cell r="F374" t="str">
            <v>LA</v>
          </cell>
          <cell r="G374" t="str">
            <v>MSR</v>
          </cell>
          <cell r="J374" t="str">
            <v>COL</v>
          </cell>
          <cell r="S374">
            <v>0</v>
          </cell>
          <cell r="T374">
            <v>0</v>
          </cell>
          <cell r="U374">
            <v>55</v>
          </cell>
          <cell r="V374">
            <v>75</v>
          </cell>
          <cell r="W374">
            <v>75</v>
          </cell>
          <cell r="X374">
            <v>0</v>
          </cell>
          <cell r="Y374">
            <v>33.858150000000002</v>
          </cell>
        </row>
        <row r="375">
          <cell r="B375" t="str">
            <v>LCP-210098</v>
          </cell>
          <cell r="C375" t="str">
            <v>AME - UPG WIND-UP EXTRUDER 8x8 SW</v>
          </cell>
          <cell r="D375" t="str">
            <v>Capability</v>
          </cell>
          <cell r="E375" t="str">
            <v>N</v>
          </cell>
          <cell r="F375" t="str">
            <v>LA</v>
          </cell>
          <cell r="H375" t="str">
            <v>MIXED</v>
          </cell>
          <cell r="I375" t="str">
            <v>MIXING</v>
          </cell>
          <cell r="J375" t="str">
            <v>AME</v>
          </cell>
          <cell r="T375">
            <v>0</v>
          </cell>
          <cell r="U375">
            <v>50</v>
          </cell>
          <cell r="V375">
            <v>180</v>
          </cell>
          <cell r="W375">
            <v>180</v>
          </cell>
          <cell r="X375">
            <v>52.232169999999996</v>
          </cell>
          <cell r="Y375">
            <v>0</v>
          </cell>
          <cell r="AD375">
            <v>237</v>
          </cell>
        </row>
        <row r="376">
          <cell r="B376" t="str">
            <v>LCP-210190</v>
          </cell>
          <cell r="C376" t="str">
            <v>AME - (2) NEW AIR DRYER POWER HOUSE</v>
          </cell>
          <cell r="D376" t="str">
            <v>Facilities Sustaining</v>
          </cell>
          <cell r="E376" t="str">
            <v>N</v>
          </cell>
          <cell r="F376" t="str">
            <v>LA</v>
          </cell>
          <cell r="H376" t="str">
            <v>MIXED</v>
          </cell>
          <cell r="I376" t="str">
            <v>FACILITIES/INFRASTRUCTURE</v>
          </cell>
          <cell r="J376" t="str">
            <v>AME</v>
          </cell>
          <cell r="T376">
            <v>0</v>
          </cell>
          <cell r="U376">
            <v>45</v>
          </cell>
          <cell r="AD376">
            <v>244</v>
          </cell>
        </row>
        <row r="377">
          <cell r="B377" t="str">
            <v>LCP-210122</v>
          </cell>
          <cell r="C377" t="str">
            <v>PER - 2021 MISCELLANEOUS ANNUAL BUDGET PHASE 2</v>
          </cell>
          <cell r="D377" t="str">
            <v>Facilities Sustaining</v>
          </cell>
          <cell r="E377" t="str">
            <v>N</v>
          </cell>
          <cell r="F377" t="str">
            <v>LA</v>
          </cell>
          <cell r="H377" t="str">
            <v>Consumer Radial</v>
          </cell>
          <cell r="I377" t="str">
            <v>Other</v>
          </cell>
          <cell r="J377" t="str">
            <v>PER</v>
          </cell>
          <cell r="T377">
            <v>82.177999999999997</v>
          </cell>
          <cell r="U377">
            <v>187.4203</v>
          </cell>
          <cell r="X377">
            <v>49.2545</v>
          </cell>
          <cell r="Y377">
            <v>81.782359999999997</v>
          </cell>
        </row>
        <row r="378">
          <cell r="B378" t="str">
            <v>LCP-210123</v>
          </cell>
          <cell r="C378" t="str">
            <v>AME - REPLACEMENT X-RAY SET TUBE (A &amp; C)</v>
          </cell>
          <cell r="D378" t="str">
            <v>Facilities Sustaining</v>
          </cell>
          <cell r="E378" t="str">
            <v>N</v>
          </cell>
          <cell r="F378" t="str">
            <v>LA</v>
          </cell>
          <cell r="H378" t="str">
            <v>Commercial Radial</v>
          </cell>
          <cell r="I378" t="str">
            <v>Final Finish</v>
          </cell>
          <cell r="J378" t="str">
            <v>AME</v>
          </cell>
          <cell r="T378">
            <v>73.343699999999984</v>
          </cell>
          <cell r="U378">
            <v>64.943380000000019</v>
          </cell>
          <cell r="AD378">
            <v>0</v>
          </cell>
        </row>
        <row r="379">
          <cell r="B379" t="str">
            <v>LCP-210128</v>
          </cell>
          <cell r="C379" t="str">
            <v>PER - Rehometer (Ex - Gadsden)</v>
          </cell>
          <cell r="D379" t="str">
            <v>Facilities Sustaining</v>
          </cell>
          <cell r="E379" t="str">
            <v>N</v>
          </cell>
          <cell r="F379" t="str">
            <v>LA</v>
          </cell>
          <cell r="H379" t="str">
            <v>Consumer Radial</v>
          </cell>
          <cell r="I379" t="str">
            <v>Other</v>
          </cell>
          <cell r="J379" t="str">
            <v>PER</v>
          </cell>
          <cell r="T379">
            <v>0</v>
          </cell>
          <cell r="U379">
            <v>10</v>
          </cell>
        </row>
        <row r="380">
          <cell r="B380" t="str">
            <v>LCP-210129</v>
          </cell>
          <cell r="C380" t="str">
            <v>BRA-AMERICANA IT NETWORK DEVICES REFRESH BY LIFECYCLE (PHASE 2/4)</v>
          </cell>
          <cell r="D380" t="str">
            <v>IT</v>
          </cell>
          <cell r="E380" t="str">
            <v>N</v>
          </cell>
          <cell r="F380" t="str">
            <v>LA</v>
          </cell>
          <cell r="H380" t="str">
            <v>MIXED</v>
          </cell>
          <cell r="I380" t="str">
            <v>SAG - IT</v>
          </cell>
          <cell r="J380" t="str">
            <v>BRZ</v>
          </cell>
          <cell r="S380">
            <v>0</v>
          </cell>
          <cell r="T380">
            <v>0</v>
          </cell>
          <cell r="U380">
            <v>850</v>
          </cell>
          <cell r="V380">
            <v>500</v>
          </cell>
          <cell r="W380">
            <v>500</v>
          </cell>
          <cell r="X380">
            <v>0</v>
          </cell>
          <cell r="Y380">
            <v>492.55703000000005</v>
          </cell>
        </row>
        <row r="381">
          <cell r="B381" t="str">
            <v>LCP-210130</v>
          </cell>
          <cell r="C381" t="str">
            <v>AME- NAPANE TO AMERICANA MOLD TRAN</v>
          </cell>
          <cell r="D381" t="str">
            <v>Molds</v>
          </cell>
          <cell r="E381" t="str">
            <v>N</v>
          </cell>
          <cell r="F381" t="str">
            <v>LA</v>
          </cell>
          <cell r="H381" t="str">
            <v>CONSUMER RADIAL</v>
          </cell>
          <cell r="I381" t="str">
            <v>CURING</v>
          </cell>
          <cell r="J381" t="str">
            <v>AME</v>
          </cell>
          <cell r="T381">
            <v>14.476539999999998</v>
          </cell>
          <cell r="U381">
            <v>0</v>
          </cell>
          <cell r="X381">
            <v>110.56407999999999</v>
          </cell>
          <cell r="Y381">
            <v>29.814419999999998</v>
          </cell>
        </row>
        <row r="382">
          <cell r="B382" t="str">
            <v>LCP-210148</v>
          </cell>
          <cell r="C382" t="str">
            <v>AME - NR12 - TEXTIL CALENDER 3R</v>
          </cell>
          <cell r="D382" t="str">
            <v>EHS</v>
          </cell>
          <cell r="E382" t="str">
            <v>N</v>
          </cell>
          <cell r="F382" t="str">
            <v>LA</v>
          </cell>
          <cell r="G382" t="str">
            <v>ERG</v>
          </cell>
          <cell r="H382" t="str">
            <v>Commercial Radial</v>
          </cell>
          <cell r="I382" t="str">
            <v>COMPONENT PREP OTHER</v>
          </cell>
          <cell r="J382" t="str">
            <v>AME</v>
          </cell>
          <cell r="T382">
            <v>7.30938</v>
          </cell>
          <cell r="U382">
            <v>91.753309999999999</v>
          </cell>
          <cell r="X382">
            <v>154.54400000000001</v>
          </cell>
          <cell r="Y382">
            <v>51.688289999999988</v>
          </cell>
          <cell r="AD382">
            <v>250</v>
          </cell>
        </row>
        <row r="383">
          <cell r="B383" t="str">
            <v>LCP-210103</v>
          </cell>
          <cell r="C383" t="str">
            <v xml:space="preserve">AME - RESTAURANT’S KITCHEN ADEQUACY </v>
          </cell>
          <cell r="D383" t="str">
            <v>EHS</v>
          </cell>
          <cell r="E383" t="str">
            <v>N</v>
          </cell>
          <cell r="F383" t="str">
            <v>LA</v>
          </cell>
          <cell r="G383" t="str">
            <v>HYG</v>
          </cell>
          <cell r="H383" t="str">
            <v>Other</v>
          </cell>
          <cell r="I383" t="str">
            <v>Other</v>
          </cell>
          <cell r="J383" t="str">
            <v>AME</v>
          </cell>
          <cell r="T383">
            <v>0</v>
          </cell>
          <cell r="U383">
            <v>75</v>
          </cell>
          <cell r="AD383">
            <v>270.93000000000006</v>
          </cell>
        </row>
        <row r="384">
          <cell r="B384" t="str">
            <v>LCP-210133</v>
          </cell>
          <cell r="C384" t="str">
            <v>AME - MILLS ADEQUACY PROJECT FAM</v>
          </cell>
          <cell r="D384" t="str">
            <v>EHS</v>
          </cell>
          <cell r="E384" t="str">
            <v>N</v>
          </cell>
          <cell r="F384" t="str">
            <v>LA</v>
          </cell>
          <cell r="G384" t="str">
            <v>MSR</v>
          </cell>
          <cell r="H384" t="str">
            <v>Commercial Radial</v>
          </cell>
          <cell r="I384" t="str">
            <v>OTHER</v>
          </cell>
          <cell r="J384" t="str">
            <v>AME</v>
          </cell>
          <cell r="T384">
            <v>0</v>
          </cell>
          <cell r="U384">
            <v>73.2</v>
          </cell>
          <cell r="X384">
            <v>0</v>
          </cell>
          <cell r="Y384">
            <v>49.472509999999993</v>
          </cell>
          <cell r="AD384">
            <v>0</v>
          </cell>
        </row>
        <row r="385">
          <cell r="B385" t="str">
            <v>LCP-200053</v>
          </cell>
          <cell r="C385" t="str">
            <v>MIXER#7 BODY REPLACEMENT</v>
          </cell>
          <cell r="D385" t="str">
            <v>Facilities Sustaining</v>
          </cell>
          <cell r="E385" t="str">
            <v>N</v>
          </cell>
          <cell r="F385" t="str">
            <v>LA</v>
          </cell>
          <cell r="H385" t="str">
            <v>MIXED</v>
          </cell>
          <cell r="I385" t="str">
            <v>MIXING</v>
          </cell>
          <cell r="J385" t="str">
            <v>AME</v>
          </cell>
          <cell r="Q385">
            <v>1340.787</v>
          </cell>
          <cell r="S385">
            <v>0</v>
          </cell>
          <cell r="T385">
            <v>938.72769000000017</v>
          </cell>
          <cell r="U385">
            <v>181.20107000000007</v>
          </cell>
          <cell r="V385">
            <v>1340</v>
          </cell>
          <cell r="W385">
            <v>1340</v>
          </cell>
          <cell r="X385">
            <v>42.330919999999992</v>
          </cell>
          <cell r="Y385">
            <v>248.18957000000017</v>
          </cell>
          <cell r="AD385">
            <v>286</v>
          </cell>
        </row>
        <row r="386">
          <cell r="B386" t="str">
            <v>LCP-210135</v>
          </cell>
          <cell r="C386" t="str">
            <v>MC - FALSE TRUCK TIRES SYSTEM RETROFIT</v>
          </cell>
          <cell r="D386" t="str">
            <v>Productivity</v>
          </cell>
          <cell r="E386" t="str">
            <v>N</v>
          </cell>
          <cell r="F386" t="str">
            <v>LA</v>
          </cell>
          <cell r="H386" t="str">
            <v>Other</v>
          </cell>
          <cell r="I386" t="str">
            <v>OTHER</v>
          </cell>
          <cell r="J386" t="str">
            <v>MC</v>
          </cell>
          <cell r="T386">
            <v>0</v>
          </cell>
          <cell r="U386">
            <v>239</v>
          </cell>
          <cell r="X386">
            <v>0</v>
          </cell>
          <cell r="Y386">
            <v>215.5001</v>
          </cell>
          <cell r="AD386">
            <v>0</v>
          </cell>
        </row>
        <row r="387">
          <cell r="B387" t="str">
            <v>LCP-200130</v>
          </cell>
          <cell r="C387" t="str">
            <v>AME - UPGRADE PLC PRESSES MRT (12 PRESSES)</v>
          </cell>
          <cell r="D387" t="str">
            <v>Productivity</v>
          </cell>
          <cell r="E387" t="str">
            <v>N</v>
          </cell>
          <cell r="F387" t="str">
            <v>LA</v>
          </cell>
          <cell r="H387" t="str">
            <v>Commercial Radial</v>
          </cell>
          <cell r="I387" t="str">
            <v>Curing</v>
          </cell>
          <cell r="J387" t="str">
            <v>AME</v>
          </cell>
          <cell r="Q387">
            <v>977.98963000000003</v>
          </cell>
          <cell r="S387">
            <v>87.528360000000006</v>
          </cell>
          <cell r="T387">
            <v>128.48611000000002</v>
          </cell>
          <cell r="U387">
            <v>37.401769999999999</v>
          </cell>
          <cell r="V387">
            <v>416.00808999999998</v>
          </cell>
          <cell r="W387">
            <v>416.00808999999998</v>
          </cell>
          <cell r="X387">
            <v>12.655279999999999</v>
          </cell>
          <cell r="Y387">
            <v>357.81869</v>
          </cell>
          <cell r="AD387">
            <v>314</v>
          </cell>
        </row>
        <row r="388">
          <cell r="B388" t="str">
            <v>LCP-200011</v>
          </cell>
          <cell r="C388" t="str">
            <v>PCI IN (6) ROGERS MECHANICAL PRESSES</v>
          </cell>
          <cell r="D388" t="str">
            <v>Capability</v>
          </cell>
          <cell r="E388" t="str">
            <v>N</v>
          </cell>
          <cell r="F388" t="str">
            <v>LA</v>
          </cell>
          <cell r="H388" t="str">
            <v>CONSUMER RADIAL</v>
          </cell>
          <cell r="I388" t="str">
            <v>CURING</v>
          </cell>
          <cell r="J388" t="str">
            <v>AME</v>
          </cell>
          <cell r="O388">
            <v>774.09900000000005</v>
          </cell>
          <cell r="Q388">
            <v>774.09900000000005</v>
          </cell>
          <cell r="S388">
            <v>28.27366</v>
          </cell>
          <cell r="T388">
            <v>48.866260000000004</v>
          </cell>
          <cell r="U388">
            <v>592.22407999999996</v>
          </cell>
          <cell r="V388">
            <v>773</v>
          </cell>
          <cell r="W388">
            <v>773</v>
          </cell>
          <cell r="X388">
            <v>9.3890200000000004</v>
          </cell>
          <cell r="Y388">
            <v>669.91372000000001</v>
          </cell>
          <cell r="Z388">
            <v>745.8253400000001</v>
          </cell>
          <cell r="AA388">
            <v>-745.8253400000001</v>
          </cell>
          <cell r="AB388">
            <v>620.49773999999991</v>
          </cell>
          <cell r="AC388">
            <v>-153.60126000000014</v>
          </cell>
          <cell r="AD388">
            <v>364.8</v>
          </cell>
        </row>
        <row r="389">
          <cell r="B389" t="str">
            <v>LCP-210140</v>
          </cell>
          <cell r="C389" t="str">
            <v>AME - CAL 3R COOLING IMPROVEMENT</v>
          </cell>
          <cell r="D389" t="str">
            <v>Productivity</v>
          </cell>
          <cell r="E389" t="str">
            <v>N</v>
          </cell>
          <cell r="F389" t="str">
            <v>LA</v>
          </cell>
          <cell r="H389" t="str">
            <v>Commercial Radial</v>
          </cell>
          <cell r="I389" t="str">
            <v>OTHER</v>
          </cell>
          <cell r="J389" t="str">
            <v>AME</v>
          </cell>
          <cell r="T389">
            <v>0</v>
          </cell>
          <cell r="U389">
            <v>132</v>
          </cell>
          <cell r="X389">
            <v>94.177000000000021</v>
          </cell>
          <cell r="Y389">
            <v>3.1548099999999999</v>
          </cell>
          <cell r="AD389">
            <v>0</v>
          </cell>
        </row>
        <row r="390">
          <cell r="B390" t="str">
            <v>LCP-210141</v>
          </cell>
          <cell r="C390" t="str">
            <v>COL-MOLDS KMAX SEVERE</v>
          </cell>
          <cell r="D390" t="str">
            <v>Molds</v>
          </cell>
          <cell r="E390" t="str">
            <v>N</v>
          </cell>
          <cell r="F390" t="str">
            <v>LA</v>
          </cell>
          <cell r="H390" t="str">
            <v>COMMERCIAL RADIAL</v>
          </cell>
          <cell r="I390" t="str">
            <v>Curing</v>
          </cell>
          <cell r="J390" t="str">
            <v>COL</v>
          </cell>
          <cell r="T390">
            <v>0</v>
          </cell>
          <cell r="U390">
            <v>66.599999999999994</v>
          </cell>
          <cell r="X390">
            <v>20.253</v>
          </cell>
          <cell r="Y390">
            <v>0</v>
          </cell>
        </row>
        <row r="391">
          <cell r="B391" t="str">
            <v>LCP-210146</v>
          </cell>
          <cell r="C391" t="str">
            <v>AME - NR12 - WIRE CALENDER  - BRZ MANDATORY</v>
          </cell>
          <cell r="D391" t="str">
            <v>EHS</v>
          </cell>
          <cell r="E391" t="str">
            <v>N</v>
          </cell>
          <cell r="F391" t="str">
            <v>LA</v>
          </cell>
          <cell r="G391" t="str">
            <v>COMP</v>
          </cell>
          <cell r="H391" t="str">
            <v>Consumer Radial</v>
          </cell>
          <cell r="I391" t="str">
            <v>COMPONENT PREP OTHER</v>
          </cell>
          <cell r="J391" t="str">
            <v>AME</v>
          </cell>
          <cell r="T391">
            <v>10.152059999999999</v>
          </cell>
          <cell r="U391">
            <v>190.55975000000001</v>
          </cell>
          <cell r="X391">
            <v>112.0444</v>
          </cell>
          <cell r="Y391">
            <v>60.503919999999994</v>
          </cell>
          <cell r="AD391">
            <v>373.60000000000008</v>
          </cell>
        </row>
        <row r="392">
          <cell r="B392" t="str">
            <v>LCP-XXXY10</v>
          </cell>
          <cell r="C392" t="str">
            <v>D#4 WIND-UP UPGRADE</v>
          </cell>
          <cell r="D392" t="str">
            <v>Capability</v>
          </cell>
          <cell r="E392" t="str">
            <v>N</v>
          </cell>
          <cell r="F392" t="str">
            <v>LA</v>
          </cell>
          <cell r="H392" t="str">
            <v>MIXED</v>
          </cell>
          <cell r="I392" t="str">
            <v>MIXING</v>
          </cell>
          <cell r="J392" t="str">
            <v>AME</v>
          </cell>
          <cell r="T392">
            <v>0</v>
          </cell>
          <cell r="U392">
            <v>0</v>
          </cell>
          <cell r="V392">
            <v>162</v>
          </cell>
          <cell r="W392">
            <v>162</v>
          </cell>
        </row>
        <row r="393">
          <cell r="B393" t="str">
            <v>LCP-210020</v>
          </cell>
          <cell r="C393" t="str">
            <v>NEW AIR COMPRESSOR - 100 PSI</v>
          </cell>
          <cell r="D393" t="str">
            <v>Facilities Sustaining</v>
          </cell>
          <cell r="E393" t="str">
            <v>N</v>
          </cell>
          <cell r="F393" t="str">
            <v>LA</v>
          </cell>
          <cell r="H393" t="str">
            <v>Other</v>
          </cell>
          <cell r="I393" t="str">
            <v>FACILITIES/INFRASTRUCTURE</v>
          </cell>
          <cell r="J393" t="str">
            <v>AME</v>
          </cell>
          <cell r="T393">
            <v>1.3944300000000001</v>
          </cell>
          <cell r="U393">
            <v>233.7</v>
          </cell>
          <cell r="X393">
            <v>98.276890000000009</v>
          </cell>
          <cell r="Y393">
            <v>293.73689999999999</v>
          </cell>
          <cell r="AD393">
            <v>459.79999999999995</v>
          </cell>
        </row>
        <row r="394">
          <cell r="B394" t="str">
            <v>LCP-210180</v>
          </cell>
          <cell r="C394" t="str">
            <v>AME -  UPGRADE PLC MRT PRESSES (11 Presses)</v>
          </cell>
          <cell r="D394" t="str">
            <v>Capability</v>
          </cell>
          <cell r="E394" t="str">
            <v>N</v>
          </cell>
          <cell r="F394" t="str">
            <v>LA</v>
          </cell>
          <cell r="H394" t="str">
            <v>Consumer Radial</v>
          </cell>
          <cell r="I394" t="str">
            <v>CURING</v>
          </cell>
          <cell r="J394" t="str">
            <v>AME</v>
          </cell>
          <cell r="T394">
            <v>0</v>
          </cell>
          <cell r="U394">
            <v>410</v>
          </cell>
          <cell r="AD394">
            <v>500.00000000000006</v>
          </cell>
        </row>
        <row r="395">
          <cell r="B395" t="str">
            <v>LCP-210150</v>
          </cell>
          <cell r="C395" t="str">
            <v xml:space="preserve">COL - Hoist system for wire calander creel room  </v>
          </cell>
          <cell r="D395" t="str">
            <v>EHS</v>
          </cell>
          <cell r="E395" t="str">
            <v>N</v>
          </cell>
          <cell r="F395" t="str">
            <v>LA</v>
          </cell>
          <cell r="G395" t="str">
            <v>ERG</v>
          </cell>
          <cell r="H395" t="str">
            <v>Commercial Radial</v>
          </cell>
          <cell r="I395" t="str">
            <v>Component Prep Other</v>
          </cell>
          <cell r="J395" t="str">
            <v>COL</v>
          </cell>
          <cell r="S395">
            <v>0</v>
          </cell>
          <cell r="T395">
            <v>0</v>
          </cell>
          <cell r="U395">
            <v>100</v>
          </cell>
          <cell r="V395">
            <v>100</v>
          </cell>
          <cell r="W395">
            <v>100</v>
          </cell>
          <cell r="X395">
            <v>0</v>
          </cell>
          <cell r="Y395">
            <v>39.845109999999998</v>
          </cell>
        </row>
        <row r="396">
          <cell r="B396" t="str">
            <v>LCP-210152</v>
          </cell>
          <cell r="C396" t="str">
            <v>PER - 24 MOLDS FOR DIRECTION 2</v>
          </cell>
          <cell r="D396" t="str">
            <v>Molds</v>
          </cell>
          <cell r="E396" t="str">
            <v>N</v>
          </cell>
          <cell r="F396" t="str">
            <v>LA</v>
          </cell>
          <cell r="H396" t="str">
            <v>Consumer Radial</v>
          </cell>
          <cell r="I396" t="str">
            <v>CURING</v>
          </cell>
          <cell r="J396" t="str">
            <v>PER</v>
          </cell>
          <cell r="Q396">
            <v>939</v>
          </cell>
          <cell r="T396">
            <v>0</v>
          </cell>
          <cell r="U396">
            <v>552</v>
          </cell>
          <cell r="X396">
            <v>0</v>
          </cell>
          <cell r="Y396">
            <v>636.83749000000012</v>
          </cell>
        </row>
        <row r="397">
          <cell r="B397" t="str">
            <v>LCP-210153</v>
          </cell>
          <cell r="C397" t="str">
            <v>PER - REPLACE TENSIOMETER</v>
          </cell>
          <cell r="D397" t="str">
            <v>Quality - Improvement</v>
          </cell>
          <cell r="E397" t="str">
            <v>N</v>
          </cell>
          <cell r="F397" t="str">
            <v>LA</v>
          </cell>
          <cell r="H397" t="str">
            <v>Consumer Radial</v>
          </cell>
          <cell r="I397" t="str">
            <v>COMPONENT PREP OTHER</v>
          </cell>
          <cell r="J397" t="str">
            <v>PER</v>
          </cell>
          <cell r="T397">
            <v>0</v>
          </cell>
          <cell r="U397">
            <v>60</v>
          </cell>
          <cell r="X397">
            <v>1E-3</v>
          </cell>
          <cell r="Y397">
            <v>43.456480000000006</v>
          </cell>
        </row>
        <row r="398">
          <cell r="B398" t="str">
            <v>LCP-210154</v>
          </cell>
          <cell r="C398" t="str">
            <v>PER - CHANGE COMBUSTION SYSTEM BOILER 1</v>
          </cell>
          <cell r="D398" t="str">
            <v>Facilities Sustaining</v>
          </cell>
          <cell r="E398" t="str">
            <v>N</v>
          </cell>
          <cell r="F398" t="str">
            <v>LA</v>
          </cell>
          <cell r="H398" t="str">
            <v>MIXED</v>
          </cell>
          <cell r="I398" t="str">
            <v>ENGINEERING</v>
          </cell>
          <cell r="J398" t="str">
            <v>PER</v>
          </cell>
          <cell r="T398">
            <v>0</v>
          </cell>
          <cell r="U398">
            <v>50</v>
          </cell>
        </row>
        <row r="399">
          <cell r="B399" t="str">
            <v>LCP-210164</v>
          </cell>
          <cell r="C399" t="str">
            <v>AME- 4 complete molds for PSA F3M</v>
          </cell>
          <cell r="D399" t="str">
            <v>Molds</v>
          </cell>
          <cell r="E399" t="str">
            <v>N</v>
          </cell>
          <cell r="F399" t="str">
            <v>LA</v>
          </cell>
          <cell r="H399" t="str">
            <v>Consumer Radial</v>
          </cell>
          <cell r="I399" t="str">
            <v>Molds</v>
          </cell>
          <cell r="J399" t="str">
            <v>AME</v>
          </cell>
          <cell r="T399">
            <v>0</v>
          </cell>
          <cell r="U399">
            <v>0</v>
          </cell>
          <cell r="AD399">
            <v>136</v>
          </cell>
        </row>
        <row r="400">
          <cell r="B400" t="str">
            <v>LCP-210170</v>
          </cell>
          <cell r="C400" t="str">
            <v>COL - Quad Extruders (2) Screw Replacement</v>
          </cell>
          <cell r="D400" t="str">
            <v>Facilities Sustaining</v>
          </cell>
          <cell r="E400" t="str">
            <v>N</v>
          </cell>
          <cell r="F400" t="str">
            <v>LA</v>
          </cell>
          <cell r="H400" t="str">
            <v>COMMERCIAL RADIAL</v>
          </cell>
          <cell r="I400" t="str">
            <v>COMPONENT PREP OTHER</v>
          </cell>
          <cell r="J400" t="str">
            <v>COL</v>
          </cell>
          <cell r="T400">
            <v>0</v>
          </cell>
          <cell r="U400">
            <v>126</v>
          </cell>
        </row>
        <row r="401">
          <cell r="B401" t="str">
            <v>LCP-210172</v>
          </cell>
          <cell r="C401" t="str">
            <v>MEX - Fleet control software-only hardware</v>
          </cell>
          <cell r="D401" t="str">
            <v>SAG</v>
          </cell>
          <cell r="E401" t="str">
            <v>N</v>
          </cell>
          <cell r="F401" t="str">
            <v>LA</v>
          </cell>
          <cell r="H401" t="str">
            <v>Commercial Radial</v>
          </cell>
          <cell r="I401" t="str">
            <v>SAG - Sales &amp; Marketing</v>
          </cell>
          <cell r="J401" t="str">
            <v>MEX</v>
          </cell>
          <cell r="S401">
            <v>0</v>
          </cell>
          <cell r="T401">
            <v>0</v>
          </cell>
          <cell r="U401">
            <v>50</v>
          </cell>
          <cell r="V401">
            <v>50</v>
          </cell>
          <cell r="W401">
            <v>50</v>
          </cell>
        </row>
        <row r="402">
          <cell r="B402" t="str">
            <v>LCP-210175</v>
          </cell>
          <cell r="C402" t="str">
            <v>AME- PSA P21 Rota 2030 195/55R16 EGP</v>
          </cell>
          <cell r="D402" t="str">
            <v>Molds</v>
          </cell>
          <cell r="E402" t="str">
            <v>N</v>
          </cell>
          <cell r="F402" t="str">
            <v>LA</v>
          </cell>
          <cell r="H402" t="str">
            <v>CONSUMER RADIAL</v>
          </cell>
          <cell r="I402" t="str">
            <v>CURING</v>
          </cell>
          <cell r="J402" t="str">
            <v>AME</v>
          </cell>
          <cell r="T402">
            <v>0</v>
          </cell>
          <cell r="U402">
            <v>0</v>
          </cell>
          <cell r="AD402">
            <v>136</v>
          </cell>
        </row>
        <row r="403">
          <cell r="B403" t="str">
            <v>LCP-210147</v>
          </cell>
          <cell r="C403" t="str">
            <v>AME - (EHS/CTI) - NT CONSUMMER BUILDING ENHANCEMENT</v>
          </cell>
          <cell r="D403" t="str">
            <v>EHS</v>
          </cell>
          <cell r="E403" t="str">
            <v>N</v>
          </cell>
          <cell r="F403" t="str">
            <v>LA</v>
          </cell>
          <cell r="G403" t="str">
            <v>COMP</v>
          </cell>
          <cell r="H403" t="str">
            <v>Consumer Radial</v>
          </cell>
          <cell r="I403" t="str">
            <v>TIRE ASSEMBLY</v>
          </cell>
          <cell r="J403" t="str">
            <v>AME</v>
          </cell>
          <cell r="T403">
            <v>27.31935</v>
          </cell>
          <cell r="U403">
            <v>209.98443000000003</v>
          </cell>
          <cell r="X403">
            <v>231.816</v>
          </cell>
          <cell r="Y403">
            <v>191.05109000000002</v>
          </cell>
          <cell r="AD403">
            <v>639.70000000000005</v>
          </cell>
        </row>
        <row r="404">
          <cell r="B404" t="str">
            <v>LCP-210178</v>
          </cell>
          <cell r="C404" t="str">
            <v xml:space="preserve">AME- PSA P21 Rota 2030 18565R15 Eagle T. </v>
          </cell>
          <cell r="D404" t="str">
            <v>Molds</v>
          </cell>
          <cell r="E404" t="str">
            <v>N</v>
          </cell>
          <cell r="F404" t="str">
            <v>LA</v>
          </cell>
          <cell r="H404" t="str">
            <v>CONSUMER RADIAL</v>
          </cell>
          <cell r="I404" t="str">
            <v>CURING</v>
          </cell>
          <cell r="J404" t="str">
            <v>AME</v>
          </cell>
          <cell r="T404">
            <v>0</v>
          </cell>
          <cell r="U404">
            <v>25</v>
          </cell>
        </row>
        <row r="405">
          <cell r="B405" t="str">
            <v>LCP-210196</v>
          </cell>
          <cell r="C405" t="str">
            <v>AME - (8) PCI Cavities</v>
          </cell>
          <cell r="D405" t="str">
            <v>Capability</v>
          </cell>
          <cell r="E405" t="str">
            <v>N</v>
          </cell>
          <cell r="F405" t="str">
            <v>LA</v>
          </cell>
          <cell r="H405" t="str">
            <v>CONSUMER RADIAL</v>
          </cell>
          <cell r="I405" t="str">
            <v>CURING</v>
          </cell>
          <cell r="J405" t="str">
            <v>AME</v>
          </cell>
          <cell r="T405">
            <v>0</v>
          </cell>
          <cell r="U405">
            <v>0</v>
          </cell>
          <cell r="AD405">
            <v>715</v>
          </cell>
        </row>
        <row r="406">
          <cell r="B406" t="str">
            <v>LCP-210181</v>
          </cell>
          <cell r="C406" t="str">
            <v>PER - 2021 MISCELLANEOUS ANNUAL BUDGET PHASE 3</v>
          </cell>
          <cell r="D406" t="str">
            <v>Facilities Sustaining</v>
          </cell>
          <cell r="E406" t="str">
            <v>N</v>
          </cell>
          <cell r="F406" t="str">
            <v>LA</v>
          </cell>
          <cell r="H406" t="str">
            <v>CONSUMER RADIAL</v>
          </cell>
          <cell r="I406" t="str">
            <v>Other</v>
          </cell>
          <cell r="J406" t="str">
            <v>PER</v>
          </cell>
          <cell r="T406">
            <v>0</v>
          </cell>
          <cell r="U406">
            <v>180</v>
          </cell>
        </row>
        <row r="407">
          <cell r="B407" t="str">
            <v>LCP-210182</v>
          </cell>
          <cell r="C407" t="str">
            <v>PER-UPGRADE CCM FABRIC CALENDER</v>
          </cell>
          <cell r="D407" t="str">
            <v>Facilities Sustaining</v>
          </cell>
          <cell r="E407" t="str">
            <v>N</v>
          </cell>
          <cell r="F407" t="str">
            <v>LA</v>
          </cell>
          <cell r="H407" t="str">
            <v>CONSUMER RADIAL</v>
          </cell>
          <cell r="I407" t="str">
            <v>Other</v>
          </cell>
          <cell r="J407" t="str">
            <v>PER</v>
          </cell>
          <cell r="T407">
            <v>0</v>
          </cell>
          <cell r="U407">
            <v>80</v>
          </cell>
        </row>
        <row r="408">
          <cell r="B408" t="str">
            <v>LCP-210183</v>
          </cell>
          <cell r="C408" t="str">
            <v>PER-REPLACE 250 HP MOTOR DRIVE GUM CAL</v>
          </cell>
          <cell r="D408" t="str">
            <v>Facilities Sustaining</v>
          </cell>
          <cell r="E408" t="str">
            <v>N</v>
          </cell>
          <cell r="F408" t="str">
            <v>LA</v>
          </cell>
          <cell r="H408" t="str">
            <v>CONSUMER RADIAL</v>
          </cell>
          <cell r="I408" t="str">
            <v>Other</v>
          </cell>
          <cell r="J408" t="str">
            <v>PER</v>
          </cell>
          <cell r="T408">
            <v>0</v>
          </cell>
          <cell r="U408">
            <v>65</v>
          </cell>
        </row>
        <row r="409">
          <cell r="B409" t="str">
            <v>LCP-210184</v>
          </cell>
          <cell r="C409" t="str">
            <v>PER-UPGRADE RESILIOMETER 1 DRIVE MOTOR</v>
          </cell>
          <cell r="D409" t="str">
            <v>Facilities Sustaining</v>
          </cell>
          <cell r="E409" t="str">
            <v>N</v>
          </cell>
          <cell r="F409" t="str">
            <v>LA</v>
          </cell>
          <cell r="H409" t="str">
            <v>CONSUMER RADIAL</v>
          </cell>
          <cell r="I409" t="str">
            <v>Other</v>
          </cell>
          <cell r="J409" t="str">
            <v>PER</v>
          </cell>
          <cell r="T409">
            <v>0</v>
          </cell>
          <cell r="U409">
            <v>75</v>
          </cell>
        </row>
        <row r="410">
          <cell r="B410" t="str">
            <v>LCP-210185</v>
          </cell>
          <cell r="C410" t="str">
            <v>PER-REDUCTION OF COMPLEXITY IN TWO PRESSES</v>
          </cell>
          <cell r="D410" t="str">
            <v>Facilities Sustaining</v>
          </cell>
          <cell r="E410" t="str">
            <v>N</v>
          </cell>
          <cell r="F410" t="str">
            <v>LA</v>
          </cell>
          <cell r="H410" t="str">
            <v>CONSUMER RADIAL</v>
          </cell>
          <cell r="I410" t="str">
            <v>Other</v>
          </cell>
          <cell r="J410" t="str">
            <v>PER</v>
          </cell>
          <cell r="T410">
            <v>0</v>
          </cell>
          <cell r="U410">
            <v>60</v>
          </cell>
        </row>
        <row r="411">
          <cell r="B411" t="str">
            <v>LCP-210187</v>
          </cell>
          <cell r="C411" t="str">
            <v>ARG - Laptops Acquisition</v>
          </cell>
          <cell r="D411" t="str">
            <v>IT</v>
          </cell>
          <cell r="E411" t="str">
            <v>N</v>
          </cell>
          <cell r="F411" t="str">
            <v>LA</v>
          </cell>
          <cell r="H411" t="str">
            <v>Other</v>
          </cell>
          <cell r="I411" t="str">
            <v>SAG - IT</v>
          </cell>
          <cell r="J411" t="str">
            <v>ARG</v>
          </cell>
          <cell r="T411">
            <v>0</v>
          </cell>
          <cell r="U411">
            <v>99</v>
          </cell>
          <cell r="X411">
            <v>0</v>
          </cell>
          <cell r="Y411">
            <v>83.911670000000001</v>
          </cell>
        </row>
        <row r="412">
          <cell r="B412" t="str">
            <v>LCP-210188</v>
          </cell>
          <cell r="C412" t="str">
            <v>AME - OTR BUILDING DRUM 25"</v>
          </cell>
          <cell r="D412" t="str">
            <v>Molds</v>
          </cell>
          <cell r="E412" t="str">
            <v>N</v>
          </cell>
          <cell r="F412" t="str">
            <v>LA</v>
          </cell>
          <cell r="H412" t="str">
            <v>Commercial Radial</v>
          </cell>
          <cell r="I412" t="str">
            <v>CURING</v>
          </cell>
          <cell r="J412" t="str">
            <v>AME</v>
          </cell>
          <cell r="T412">
            <v>0</v>
          </cell>
          <cell r="U412">
            <v>100</v>
          </cell>
          <cell r="X412">
            <v>96.584999999999994</v>
          </cell>
          <cell r="Y412">
            <v>0</v>
          </cell>
        </row>
        <row r="413">
          <cell r="B413" t="str">
            <v>LCP-210189</v>
          </cell>
          <cell r="C413" t="str">
            <v>CTVM - VBOX EQUIPMENT</v>
          </cell>
          <cell r="D413" t="str">
            <v>Facilities Sustaining</v>
          </cell>
          <cell r="E413" t="str">
            <v>N</v>
          </cell>
          <cell r="F413" t="str">
            <v>LA</v>
          </cell>
          <cell r="H413" t="str">
            <v>OTR</v>
          </cell>
          <cell r="I413" t="str">
            <v>SAG - Other</v>
          </cell>
          <cell r="J413" t="str">
            <v>AME</v>
          </cell>
          <cell r="T413">
            <v>0</v>
          </cell>
          <cell r="U413">
            <v>32</v>
          </cell>
          <cell r="AD413">
            <v>0</v>
          </cell>
        </row>
        <row r="414">
          <cell r="B414" t="str">
            <v>LCP-210191</v>
          </cell>
          <cell r="C414" t="str">
            <v>COL-MOLDS KMAX XTREME</v>
          </cell>
          <cell r="D414" t="str">
            <v>Molds</v>
          </cell>
          <cell r="E414" t="str">
            <v>N</v>
          </cell>
          <cell r="F414" t="str">
            <v>LA</v>
          </cell>
          <cell r="H414" t="str">
            <v>COMMERCIAL RADIAL</v>
          </cell>
          <cell r="I414" t="str">
            <v>Curing</v>
          </cell>
          <cell r="J414" t="str">
            <v>COL</v>
          </cell>
          <cell r="T414">
            <v>0</v>
          </cell>
          <cell r="U414">
            <v>10</v>
          </cell>
          <cell r="AD414">
            <v>57</v>
          </cell>
        </row>
        <row r="415">
          <cell r="B415" t="str">
            <v>LCP-210192</v>
          </cell>
          <cell r="C415" t="str">
            <v>PER - (5) UPGRADE TBM's HYDRAULIC / PNEUMATIC SYSTEMS</v>
          </cell>
          <cell r="D415" t="str">
            <v>Facilities Sustaining</v>
          </cell>
          <cell r="E415" t="str">
            <v>N</v>
          </cell>
          <cell r="F415" t="str">
            <v>LA</v>
          </cell>
          <cell r="H415" t="str">
            <v>Consumer Radial</v>
          </cell>
          <cell r="I415" t="str">
            <v>Other</v>
          </cell>
          <cell r="J415" t="str">
            <v>PER</v>
          </cell>
          <cell r="T415">
            <v>0</v>
          </cell>
          <cell r="U415">
            <v>250</v>
          </cell>
          <cell r="AD415">
            <v>200</v>
          </cell>
        </row>
        <row r="416">
          <cell r="B416" t="str">
            <v>LCP-210193</v>
          </cell>
          <cell r="C416" t="str">
            <v>PER - SUB STATION 1 TRANSFORMER REPLACEMENT 1 2.3kV -0.44 Kv / 2000 KVA</v>
          </cell>
          <cell r="D416" t="str">
            <v>Facilities Sustaining</v>
          </cell>
          <cell r="E416" t="str">
            <v>N</v>
          </cell>
          <cell r="F416" t="str">
            <v>LA</v>
          </cell>
          <cell r="H416" t="str">
            <v>Mixed</v>
          </cell>
          <cell r="I416" t="str">
            <v>Other</v>
          </cell>
          <cell r="J416" t="str">
            <v>PER</v>
          </cell>
          <cell r="T416">
            <v>0</v>
          </cell>
          <cell r="U416">
            <v>30</v>
          </cell>
          <cell r="AD416">
            <v>50</v>
          </cell>
        </row>
        <row r="417">
          <cell r="B417" t="str">
            <v>LCP-210194</v>
          </cell>
          <cell r="C417" t="str">
            <v>PER - UPGRADE SUBSTATION 2</v>
          </cell>
          <cell r="D417" t="str">
            <v>Facilities Sustaining</v>
          </cell>
          <cell r="E417" t="str">
            <v>N</v>
          </cell>
          <cell r="F417" t="str">
            <v>LA</v>
          </cell>
          <cell r="H417" t="str">
            <v>Mixed</v>
          </cell>
          <cell r="I417" t="str">
            <v>Other</v>
          </cell>
          <cell r="J417" t="str">
            <v>PER</v>
          </cell>
          <cell r="T417">
            <v>0</v>
          </cell>
          <cell r="U417">
            <v>150</v>
          </cell>
          <cell r="AD417">
            <v>200</v>
          </cell>
        </row>
        <row r="418">
          <cell r="B418" t="str">
            <v>LCP-210195</v>
          </cell>
          <cell r="C418" t="str">
            <v>AME - ADDITIONAL PRODUCTION MOLDS (TO ATTEND 6+6)</v>
          </cell>
          <cell r="D418" t="str">
            <v>MOLDS</v>
          </cell>
          <cell r="E418" t="str">
            <v>N</v>
          </cell>
          <cell r="F418" t="str">
            <v>LA</v>
          </cell>
          <cell r="J418" t="str">
            <v>AME</v>
          </cell>
          <cell r="T418">
            <v>0</v>
          </cell>
          <cell r="U418">
            <v>266.25</v>
          </cell>
        </row>
        <row r="419">
          <cell r="B419" t="str">
            <v>LCP-190215</v>
          </cell>
          <cell r="C419" t="str">
            <v>CONTOUR CORRECTION MACHINE</v>
          </cell>
          <cell r="D419" t="str">
            <v>Quality - Improvement</v>
          </cell>
          <cell r="E419" t="str">
            <v>N</v>
          </cell>
          <cell r="F419" t="str">
            <v>LA</v>
          </cell>
          <cell r="H419" t="str">
            <v>CONSUMER RADIAL</v>
          </cell>
          <cell r="I419" t="str">
            <v>OTHER</v>
          </cell>
          <cell r="J419" t="str">
            <v>AME</v>
          </cell>
          <cell r="O419">
            <v>1244.5036</v>
          </cell>
          <cell r="Q419">
            <v>1244.5036</v>
          </cell>
          <cell r="S419">
            <v>0.98018000000000005</v>
          </cell>
          <cell r="T419">
            <v>9.8801800000000011</v>
          </cell>
          <cell r="U419">
            <v>136</v>
          </cell>
          <cell r="V419">
            <v>1244</v>
          </cell>
          <cell r="W419">
            <v>1244</v>
          </cell>
          <cell r="X419">
            <v>71.554779999999994</v>
          </cell>
          <cell r="Y419">
            <v>68.212740000000011</v>
          </cell>
          <cell r="Z419">
            <v>1243.52342</v>
          </cell>
          <cell r="AA419">
            <v>-1243.52342</v>
          </cell>
          <cell r="AB419">
            <v>136.98017999999999</v>
          </cell>
          <cell r="AC419">
            <v>-1107.52342</v>
          </cell>
          <cell r="AD419">
            <v>1087.8</v>
          </cell>
        </row>
        <row r="420">
          <cell r="B420" t="str">
            <v>LCP-210078</v>
          </cell>
          <cell r="C420" t="str">
            <v>PNC - PNEUMATIC CORE CONSTRUCTION</v>
          </cell>
          <cell r="D420" t="str">
            <v>Capability</v>
          </cell>
          <cell r="E420" t="str">
            <v>N</v>
          </cell>
          <cell r="F420" t="str">
            <v>LA</v>
          </cell>
          <cell r="H420" t="str">
            <v>LA Win in OE</v>
          </cell>
          <cell r="I420" t="str">
            <v>N/A</v>
          </cell>
          <cell r="J420" t="str">
            <v>AME</v>
          </cell>
          <cell r="S420">
            <v>0</v>
          </cell>
          <cell r="T420">
            <v>0</v>
          </cell>
          <cell r="U420">
            <v>150</v>
          </cell>
          <cell r="V420">
            <v>999.7</v>
          </cell>
          <cell r="W420">
            <v>999.7</v>
          </cell>
          <cell r="X420">
            <v>684</v>
          </cell>
          <cell r="Y420">
            <v>0</v>
          </cell>
          <cell r="AD420">
            <v>1207.7249400000001</v>
          </cell>
        </row>
        <row r="421">
          <cell r="B421" t="str">
            <v>LCP-210200</v>
          </cell>
          <cell r="C421" t="str">
            <v>AME - MIXER#3 BODY REPLACEMENT</v>
          </cell>
          <cell r="D421" t="str">
            <v>Facilities Sustaining</v>
          </cell>
          <cell r="E421" t="str">
            <v>N</v>
          </cell>
          <cell r="F421" t="str">
            <v>LA</v>
          </cell>
          <cell r="J421" t="str">
            <v>AME</v>
          </cell>
          <cell r="AD421">
            <v>1300</v>
          </cell>
        </row>
        <row r="422">
          <cell r="B422" t="str">
            <v>LCP-210086</v>
          </cell>
          <cell r="C422" t="str">
            <v>AME - NEW MRT KOKUSAI MACHINE</v>
          </cell>
          <cell r="D422" t="str">
            <v>Capability</v>
          </cell>
          <cell r="E422" t="str">
            <v>N</v>
          </cell>
          <cell r="F422" t="str">
            <v>LA</v>
          </cell>
          <cell r="H422" t="str">
            <v>COMMERCIAL RADIAL</v>
          </cell>
          <cell r="I422" t="str">
            <v>FINAL FINISH</v>
          </cell>
          <cell r="J422" t="str">
            <v>AME</v>
          </cell>
          <cell r="T422">
            <v>0</v>
          </cell>
          <cell r="U422">
            <v>90</v>
          </cell>
          <cell r="AD422">
            <v>2674</v>
          </cell>
        </row>
        <row r="423">
          <cell r="B423" t="str">
            <v>LCP-210083</v>
          </cell>
          <cell r="C423" t="str">
            <v xml:space="preserve">RET - FLAT PRECURED EXPANSION </v>
          </cell>
          <cell r="D423" t="str">
            <v>Growth</v>
          </cell>
          <cell r="E423" t="str">
            <v>N</v>
          </cell>
          <cell r="F423" t="str">
            <v>LA</v>
          </cell>
          <cell r="H423" t="str">
            <v>RETREAD</v>
          </cell>
          <cell r="I423" t="str">
            <v>CURING</v>
          </cell>
          <cell r="J423" t="str">
            <v>RET</v>
          </cell>
          <cell r="T423">
            <v>23.769369999999999</v>
          </cell>
          <cell r="U423">
            <v>1888</v>
          </cell>
          <cell r="W423">
            <v>1000</v>
          </cell>
          <cell r="X423">
            <v>3518.3222299999998</v>
          </cell>
          <cell r="Y423">
            <v>206.25109</v>
          </cell>
          <cell r="AD423">
            <v>3314</v>
          </cell>
        </row>
        <row r="424">
          <cell r="B424" t="str">
            <v>LCP-XXXY12</v>
          </cell>
          <cell r="C424" t="str">
            <v>AME - COGEN OVERHAUL</v>
          </cell>
          <cell r="D424" t="str">
            <v>Facilities Sustaining</v>
          </cell>
          <cell r="E424" t="str">
            <v>N</v>
          </cell>
          <cell r="F424" t="str">
            <v>LA</v>
          </cell>
          <cell r="J424" t="str">
            <v>AME</v>
          </cell>
          <cell r="T424">
            <v>0</v>
          </cell>
          <cell r="U424">
            <v>800</v>
          </cell>
          <cell r="AD424">
            <v>4435</v>
          </cell>
        </row>
        <row r="425">
          <cell r="B425" t="str">
            <v>LCP-XXXXX4</v>
          </cell>
          <cell r="C425" t="str">
            <v>AME - Pigment Room</v>
          </cell>
          <cell r="D425" t="str">
            <v>Capability</v>
          </cell>
          <cell r="E425" t="str">
            <v>N</v>
          </cell>
          <cell r="F425" t="str">
            <v>LA</v>
          </cell>
          <cell r="H425" t="str">
            <v>MIXED</v>
          </cell>
          <cell r="I425" t="str">
            <v>COMPONENT PREP OTHER</v>
          </cell>
          <cell r="J425" t="str">
            <v>AME</v>
          </cell>
          <cell r="T425">
            <v>0</v>
          </cell>
          <cell r="U425">
            <v>0</v>
          </cell>
          <cell r="AD425">
            <v>10000</v>
          </cell>
        </row>
        <row r="426">
          <cell r="B426" t="str">
            <v>LCP-200185</v>
          </cell>
          <cell r="C426" t="str">
            <v>(VMI) AMERICANA CONSUMER HMC TIRE BUILDING</v>
          </cell>
          <cell r="D426" t="str">
            <v>Capability</v>
          </cell>
          <cell r="E426" t="str">
            <v>N</v>
          </cell>
          <cell r="F426" t="str">
            <v>LA</v>
          </cell>
          <cell r="H426" t="str">
            <v>Consumer Radial</v>
          </cell>
          <cell r="I426" t="str">
            <v>Tire Assembly</v>
          </cell>
          <cell r="J426" t="str">
            <v>AME</v>
          </cell>
          <cell r="Q426">
            <v>14300</v>
          </cell>
          <cell r="S426">
            <v>1.5407200000000003</v>
          </cell>
          <cell r="T426">
            <v>25.660879999999999</v>
          </cell>
          <cell r="U426">
            <v>1125.19535</v>
          </cell>
          <cell r="V426">
            <v>4816</v>
          </cell>
          <cell r="W426">
            <v>4816</v>
          </cell>
          <cell r="X426">
            <v>1833.52071</v>
          </cell>
          <cell r="Y426">
            <v>810.19320999999991</v>
          </cell>
          <cell r="AD426">
            <v>15338</v>
          </cell>
        </row>
        <row r="427">
          <cell r="B427" t="str">
            <v>x1</v>
          </cell>
          <cell r="C427" t="str">
            <v>AME - EQUIPMENT IN TRANSIT</v>
          </cell>
          <cell r="D427" t="str">
            <v>Facilities Sustaining</v>
          </cell>
          <cell r="E427" t="str">
            <v>N</v>
          </cell>
          <cell r="F427" t="str">
            <v>LA</v>
          </cell>
          <cell r="G427">
            <v>0</v>
          </cell>
          <cell r="H427" t="str">
            <v>Mixed</v>
          </cell>
          <cell r="I427">
            <v>0</v>
          </cell>
          <cell r="J427" t="str">
            <v>AME</v>
          </cell>
          <cell r="S427">
            <v>1301.705564530482</v>
          </cell>
          <cell r="T427">
            <v>361.70556453048198</v>
          </cell>
          <cell r="U427">
            <v>-361.7</v>
          </cell>
          <cell r="AD427">
            <v>0</v>
          </cell>
        </row>
        <row r="428">
          <cell r="C428" t="str">
            <v>Interplant</v>
          </cell>
          <cell r="D428" t="str">
            <v>Capitalized Interes</v>
          </cell>
          <cell r="E428" t="str">
            <v>N</v>
          </cell>
          <cell r="F428" t="str">
            <v>LA</v>
          </cell>
          <cell r="G428">
            <v>0</v>
          </cell>
          <cell r="H428" t="str">
            <v>N/A</v>
          </cell>
          <cell r="I428" t="str">
            <v>N/A</v>
          </cell>
          <cell r="J428" t="str">
            <v>LA OTHER</v>
          </cell>
          <cell r="S428">
            <v>1222.6471040479996</v>
          </cell>
          <cell r="T428">
            <v>1920.5299240480003</v>
          </cell>
          <cell r="U428">
            <v>-848.5</v>
          </cell>
          <cell r="V428">
            <v>367.18319975843502</v>
          </cell>
          <cell r="W428">
            <v>367.18319975843502</v>
          </cell>
        </row>
        <row r="429">
          <cell r="C429" t="str">
            <v>PER - REGIONAL ADJUSTMENT</v>
          </cell>
          <cell r="D429" t="str">
            <v>Facilities Sustaining</v>
          </cell>
          <cell r="E429" t="str">
            <v>N</v>
          </cell>
          <cell r="F429" t="str">
            <v>LA</v>
          </cell>
          <cell r="G429">
            <v>0</v>
          </cell>
          <cell r="H429" t="str">
            <v>N/A</v>
          </cell>
          <cell r="I429">
            <v>0</v>
          </cell>
          <cell r="J429" t="str">
            <v>PER</v>
          </cell>
          <cell r="S429">
            <v>302.89204000000029</v>
          </cell>
          <cell r="T429">
            <v>306.31555000000048</v>
          </cell>
          <cell r="U429">
            <v>0</v>
          </cell>
          <cell r="V429">
            <v>-44.895929999999993</v>
          </cell>
          <cell r="W429">
            <v>-44.895929999999993</v>
          </cell>
        </row>
        <row r="430">
          <cell r="C430" t="str">
            <v>COL - QUAD Extruder New Skiver</v>
          </cell>
          <cell r="D430" t="str">
            <v>Facilities Sustaining</v>
          </cell>
          <cell r="E430" t="str">
            <v>N</v>
          </cell>
          <cell r="F430" t="str">
            <v>LA</v>
          </cell>
          <cell r="H430" t="str">
            <v>COMMERCIAL RADIAL</v>
          </cell>
          <cell r="I430" t="str">
            <v xml:space="preserve">EXTRUDING </v>
          </cell>
          <cell r="J430" t="str">
            <v>COL</v>
          </cell>
          <cell r="T430">
            <v>0</v>
          </cell>
          <cell r="U430">
            <v>40</v>
          </cell>
          <cell r="AD430">
            <v>200</v>
          </cell>
        </row>
        <row r="431">
          <cell r="C431" t="str">
            <v>AME - CAPITALIZED INTEREST</v>
          </cell>
          <cell r="D431" t="str">
            <v>Capitalized Interes</v>
          </cell>
          <cell r="E431" t="str">
            <v>N</v>
          </cell>
          <cell r="F431" t="str">
            <v>LA</v>
          </cell>
          <cell r="H431" t="str">
            <v>Mixed</v>
          </cell>
          <cell r="I431" t="str">
            <v>N/A</v>
          </cell>
          <cell r="J431" t="str">
            <v>LA OTHER</v>
          </cell>
          <cell r="S431">
            <v>3.8281761168749959</v>
          </cell>
          <cell r="T431">
            <v>3.9311761168749961</v>
          </cell>
          <cell r="U431">
            <v>3.6160000000000001</v>
          </cell>
          <cell r="V431">
            <v>6.7485501648749979</v>
          </cell>
          <cell r="W431">
            <v>6.7485501648749979</v>
          </cell>
        </row>
        <row r="432">
          <cell r="C432" t="str">
            <v>SLP - REGIONAL ADJUSTMENT</v>
          </cell>
          <cell r="D432" t="str">
            <v>Facilities Sustaining</v>
          </cell>
          <cell r="E432" t="str">
            <v>N</v>
          </cell>
          <cell r="F432" t="str">
            <v>LA</v>
          </cell>
          <cell r="G432">
            <v>0</v>
          </cell>
          <cell r="H432" t="str">
            <v>N/A</v>
          </cell>
          <cell r="I432">
            <v>0</v>
          </cell>
          <cell r="J432" t="str">
            <v>San Luis Potosi</v>
          </cell>
          <cell r="P432">
            <v>0</v>
          </cell>
          <cell r="S432">
            <v>4.1665899999992746</v>
          </cell>
          <cell r="T432">
            <v>6.0385799999994987</v>
          </cell>
          <cell r="U432">
            <v>0</v>
          </cell>
          <cell r="V432">
            <v>479</v>
          </cell>
          <cell r="W432">
            <v>504.8</v>
          </cell>
          <cell r="AA432">
            <v>4.1665899999992746</v>
          </cell>
        </row>
        <row r="433">
          <cell r="C433" t="str">
            <v>ARG - REGIONAL ADJUSTMENT</v>
          </cell>
          <cell r="D433" t="str">
            <v>SAG</v>
          </cell>
          <cell r="E433" t="str">
            <v>N</v>
          </cell>
          <cell r="F433" t="str">
            <v>LA</v>
          </cell>
          <cell r="G433">
            <v>0</v>
          </cell>
          <cell r="H433" t="str">
            <v>N/A</v>
          </cell>
          <cell r="I433">
            <v>0</v>
          </cell>
          <cell r="J433" t="str">
            <v>ARG</v>
          </cell>
          <cell r="P433">
            <v>0</v>
          </cell>
          <cell r="S433">
            <v>-0.35695000000002963</v>
          </cell>
          <cell r="T433">
            <v>4.4871999999999623</v>
          </cell>
          <cell r="U433">
            <v>0</v>
          </cell>
          <cell r="V433">
            <v>26.726399999999995</v>
          </cell>
          <cell r="W433">
            <v>26.726399999999995</v>
          </cell>
          <cell r="AA433">
            <v>0</v>
          </cell>
        </row>
        <row r="434">
          <cell r="C434" t="str">
            <v>COL - CAPITALIZED INTEREST</v>
          </cell>
          <cell r="D434" t="str">
            <v>Capitalized Interes</v>
          </cell>
          <cell r="E434" t="str">
            <v>N</v>
          </cell>
          <cell r="F434" t="str">
            <v>LA</v>
          </cell>
          <cell r="G434">
            <v>0</v>
          </cell>
          <cell r="H434" t="str">
            <v>Commercial Radial</v>
          </cell>
          <cell r="I434" t="str">
            <v>Other</v>
          </cell>
          <cell r="J434" t="str">
            <v>LA OTHER</v>
          </cell>
          <cell r="R434">
            <v>1.125</v>
          </cell>
          <cell r="S434">
            <v>1.214</v>
          </cell>
          <cell r="T434">
            <v>0.63300000000000001</v>
          </cell>
          <cell r="U434">
            <v>1.7120000000000002</v>
          </cell>
          <cell r="V434">
            <v>2.5990000000000002</v>
          </cell>
          <cell r="W434">
            <v>2.5990000000000002</v>
          </cell>
        </row>
        <row r="435">
          <cell r="C435" t="str">
            <v>AME - MOLDS IN TRANSIT CONSUMER</v>
          </cell>
          <cell r="D435" t="str">
            <v>Molds</v>
          </cell>
          <cell r="E435" t="str">
            <v>N</v>
          </cell>
          <cell r="F435" t="str">
            <v>LA</v>
          </cell>
          <cell r="H435" t="str">
            <v>Consumer Radial</v>
          </cell>
          <cell r="I435" t="str">
            <v>Curing</v>
          </cell>
          <cell r="J435" t="str">
            <v>AME</v>
          </cell>
          <cell r="S435">
            <v>567.81830077630093</v>
          </cell>
          <cell r="T435">
            <v>1.8300776300918642E-2</v>
          </cell>
          <cell r="U435">
            <v>0</v>
          </cell>
          <cell r="V435">
            <v>-300</v>
          </cell>
          <cell r="W435">
            <v>-300</v>
          </cell>
        </row>
        <row r="436">
          <cell r="C436" t="str">
            <v>AME - MOLDS IN TRANSIT COMMERCIAL</v>
          </cell>
          <cell r="D436" t="str">
            <v>Molds</v>
          </cell>
          <cell r="E436" t="str">
            <v>N</v>
          </cell>
          <cell r="F436" t="str">
            <v>LA</v>
          </cell>
          <cell r="H436" t="str">
            <v>COMMERCIAL RADIAL</v>
          </cell>
          <cell r="I436" t="str">
            <v>Curing</v>
          </cell>
          <cell r="J436" t="str">
            <v>AME</v>
          </cell>
          <cell r="T436">
            <v>8.1000000000000227</v>
          </cell>
          <cell r="U436">
            <v>-8.1</v>
          </cell>
        </row>
        <row r="437">
          <cell r="C437" t="str">
            <v>AME - Flexibility Replacement</v>
          </cell>
          <cell r="D437" t="str">
            <v>Molds</v>
          </cell>
          <cell r="E437" t="str">
            <v>N</v>
          </cell>
          <cell r="F437" t="str">
            <v>LA</v>
          </cell>
          <cell r="H437" t="str">
            <v>Consumer Radial</v>
          </cell>
          <cell r="I437" t="str">
            <v>Curing</v>
          </cell>
          <cell r="J437" t="str">
            <v>AME</v>
          </cell>
          <cell r="S437">
            <v>0</v>
          </cell>
          <cell r="T437">
            <v>0</v>
          </cell>
          <cell r="U437">
            <v>0</v>
          </cell>
          <cell r="V437">
            <v>178</v>
          </cell>
          <cell r="W437">
            <v>178</v>
          </cell>
        </row>
        <row r="438">
          <cell r="C438" t="str">
            <v>AME - Various - OE</v>
          </cell>
          <cell r="D438" t="str">
            <v>Molds</v>
          </cell>
          <cell r="E438" t="str">
            <v>N</v>
          </cell>
          <cell r="F438" t="str">
            <v>LA</v>
          </cell>
          <cell r="H438" t="str">
            <v>Consumer Radial</v>
          </cell>
          <cell r="I438" t="str">
            <v>Curing</v>
          </cell>
          <cell r="J438" t="str">
            <v>AME</v>
          </cell>
          <cell r="S438">
            <v>0</v>
          </cell>
          <cell r="T438">
            <v>0</v>
          </cell>
          <cell r="U438">
            <v>0</v>
          </cell>
          <cell r="V438">
            <v>261.85000000000002</v>
          </cell>
          <cell r="W438">
            <v>261.85000000000002</v>
          </cell>
        </row>
        <row r="439">
          <cell r="C439" t="str">
            <v>FuelMax LHS Gen 2 Production Support molds</v>
          </cell>
          <cell r="D439" t="str">
            <v>Molds</v>
          </cell>
          <cell r="E439" t="str">
            <v>N</v>
          </cell>
          <cell r="F439" t="str">
            <v>LA</v>
          </cell>
          <cell r="H439" t="str">
            <v>Commercial Radial</v>
          </cell>
          <cell r="I439" t="str">
            <v>Curing</v>
          </cell>
          <cell r="J439" t="str">
            <v>AME</v>
          </cell>
          <cell r="S439">
            <v>0</v>
          </cell>
          <cell r="T439">
            <v>0</v>
          </cell>
          <cell r="U439">
            <v>0</v>
          </cell>
          <cell r="V439">
            <v>120</v>
          </cell>
          <cell r="W439">
            <v>120</v>
          </cell>
        </row>
        <row r="440">
          <cell r="C440" t="str">
            <v>ARG-BUENOS AIRES COMPUTER ROOM REFRESH BY LIFECYCLE</v>
          </cell>
          <cell r="D440" t="str">
            <v>IT</v>
          </cell>
          <cell r="E440" t="str">
            <v>N</v>
          </cell>
          <cell r="F440" t="str">
            <v>LA</v>
          </cell>
          <cell r="H440" t="str">
            <v>Other</v>
          </cell>
          <cell r="I440" t="str">
            <v>SAG - IT</v>
          </cell>
          <cell r="J440" t="str">
            <v>ARG</v>
          </cell>
          <cell r="S440">
            <v>0</v>
          </cell>
          <cell r="T440">
            <v>0</v>
          </cell>
          <cell r="U440">
            <v>0</v>
          </cell>
          <cell r="V440">
            <v>15</v>
          </cell>
          <cell r="W440">
            <v>15</v>
          </cell>
        </row>
        <row r="441">
          <cell r="C441" t="str">
            <v>Supply Chain WH automaton of processes</v>
          </cell>
          <cell r="D441" t="str">
            <v>SAG</v>
          </cell>
          <cell r="E441" t="str">
            <v>N</v>
          </cell>
          <cell r="F441" t="str">
            <v>LA</v>
          </cell>
          <cell r="H441" t="str">
            <v>N/A</v>
          </cell>
          <cell r="I441" t="str">
            <v>SAG - Supply Chain</v>
          </cell>
          <cell r="J441" t="str">
            <v>ARG</v>
          </cell>
          <cell r="S441">
            <v>0</v>
          </cell>
          <cell r="T441">
            <v>0</v>
          </cell>
          <cell r="U441">
            <v>0</v>
          </cell>
          <cell r="V441">
            <v>15</v>
          </cell>
          <cell r="W441">
            <v>15</v>
          </cell>
        </row>
        <row r="442">
          <cell r="C442" t="str">
            <v>Blue Racks Acquisition</v>
          </cell>
          <cell r="D442" t="str">
            <v>SAG</v>
          </cell>
          <cell r="E442" t="str">
            <v>N</v>
          </cell>
          <cell r="F442" t="str">
            <v>LA</v>
          </cell>
          <cell r="H442" t="str">
            <v>Consumer Radial</v>
          </cell>
          <cell r="I442" t="str">
            <v>SAG - Supply Chain</v>
          </cell>
          <cell r="J442" t="str">
            <v>ARG</v>
          </cell>
          <cell r="S442">
            <v>0</v>
          </cell>
          <cell r="T442">
            <v>0</v>
          </cell>
          <cell r="U442">
            <v>0</v>
          </cell>
          <cell r="V442">
            <v>90</v>
          </cell>
          <cell r="W442">
            <v>90</v>
          </cell>
        </row>
        <row r="443">
          <cell r="C443" t="str">
            <v>BRAZIL LEGAL REQUIREMENTS</v>
          </cell>
          <cell r="D443" t="str">
            <v>IT</v>
          </cell>
          <cell r="E443" t="str">
            <v>N</v>
          </cell>
          <cell r="F443" t="str">
            <v>LA</v>
          </cell>
          <cell r="H443" t="str">
            <v>Other</v>
          </cell>
          <cell r="I443" t="str">
            <v>SAG - IT</v>
          </cell>
          <cell r="J443" t="str">
            <v>BRZ</v>
          </cell>
          <cell r="S443">
            <v>0</v>
          </cell>
          <cell r="T443">
            <v>0</v>
          </cell>
          <cell r="U443">
            <v>0</v>
          </cell>
          <cell r="V443">
            <v>152</v>
          </cell>
          <cell r="W443">
            <v>152</v>
          </cell>
        </row>
        <row r="444">
          <cell r="C444" t="str">
            <v>BRAZIL MAX SERVICES</v>
          </cell>
          <cell r="D444" t="str">
            <v>IT</v>
          </cell>
          <cell r="E444" t="str">
            <v>N</v>
          </cell>
          <cell r="F444" t="str">
            <v>LA</v>
          </cell>
          <cell r="H444" t="str">
            <v>Other</v>
          </cell>
          <cell r="I444" t="str">
            <v>SAG - IT</v>
          </cell>
          <cell r="J444" t="str">
            <v>BRZ</v>
          </cell>
          <cell r="T444">
            <v>0</v>
          </cell>
          <cell r="U444">
            <v>0</v>
          </cell>
        </row>
        <row r="445">
          <cell r="C445" t="str">
            <v>BRA - AMERICANA IT NETWORK FIBER TO MAIN GATE/POWER HOUSE AND ADJACENCIES</v>
          </cell>
          <cell r="D445" t="str">
            <v>IT</v>
          </cell>
          <cell r="E445" t="str">
            <v>N</v>
          </cell>
          <cell r="F445" t="str">
            <v>LA</v>
          </cell>
          <cell r="H445" t="str">
            <v>N/A</v>
          </cell>
          <cell r="I445" t="str">
            <v>SAG - IT</v>
          </cell>
          <cell r="J445" t="str">
            <v>BRZ</v>
          </cell>
          <cell r="T445">
            <v>0</v>
          </cell>
          <cell r="U445">
            <v>0</v>
          </cell>
          <cell r="V445">
            <v>150</v>
          </cell>
          <cell r="W445">
            <v>150</v>
          </cell>
        </row>
        <row r="446">
          <cell r="C446" t="str">
            <v>CHI - Scale</v>
          </cell>
          <cell r="D446" t="str">
            <v>SAG</v>
          </cell>
          <cell r="E446" t="str">
            <v>N</v>
          </cell>
          <cell r="F446" t="str">
            <v>LA</v>
          </cell>
          <cell r="H446" t="str">
            <v>CONSUMER RADIAL</v>
          </cell>
          <cell r="I446" t="str">
            <v>SAG - Sales &amp; Marketing</v>
          </cell>
          <cell r="J446" t="str">
            <v>CHI</v>
          </cell>
          <cell r="S446">
            <v>0</v>
          </cell>
          <cell r="T446">
            <v>0</v>
          </cell>
          <cell r="U446">
            <v>0</v>
          </cell>
          <cell r="V446">
            <v>15.58333333333333</v>
          </cell>
          <cell r="W446">
            <v>15.58333333333333</v>
          </cell>
        </row>
        <row r="447">
          <cell r="C447" t="str">
            <v>CHI - Ecuador office equipment</v>
          </cell>
          <cell r="D447" t="str">
            <v>SAG</v>
          </cell>
          <cell r="E447" t="str">
            <v>N</v>
          </cell>
          <cell r="F447" t="str">
            <v>LA</v>
          </cell>
          <cell r="H447" t="str">
            <v>CONSUMER RADIAL</v>
          </cell>
          <cell r="I447" t="str">
            <v>SAG - Sales &amp; Marketing</v>
          </cell>
          <cell r="J447" t="str">
            <v>CHI</v>
          </cell>
          <cell r="S447">
            <v>0</v>
          </cell>
          <cell r="T447">
            <v>0</v>
          </cell>
          <cell r="U447">
            <v>0</v>
          </cell>
          <cell r="V447">
            <v>9.625</v>
          </cell>
          <cell r="W447">
            <v>9.625</v>
          </cell>
        </row>
        <row r="448">
          <cell r="C448" t="str">
            <v>CHI - REGIONAL ADJUSTMENT</v>
          </cell>
          <cell r="D448" t="str">
            <v>SAG</v>
          </cell>
          <cell r="E448" t="str">
            <v>N</v>
          </cell>
          <cell r="F448" t="str">
            <v>LA</v>
          </cell>
          <cell r="G448">
            <v>0</v>
          </cell>
          <cell r="H448" t="str">
            <v>N/A</v>
          </cell>
          <cell r="I448">
            <v>0</v>
          </cell>
          <cell r="J448" t="str">
            <v>CHI</v>
          </cell>
          <cell r="S448">
            <v>0</v>
          </cell>
          <cell r="T448">
            <v>0</v>
          </cell>
          <cell r="U448">
            <v>0</v>
          </cell>
        </row>
        <row r="449">
          <cell r="C449" t="str">
            <v>COL - Upgrade single extuder 8" (4.5 Extruder ExGadsden)</v>
          </cell>
          <cell r="D449" t="str">
            <v>Capability</v>
          </cell>
          <cell r="E449" t="str">
            <v>N</v>
          </cell>
          <cell r="F449" t="str">
            <v>LA</v>
          </cell>
          <cell r="H449" t="str">
            <v>Commercial Radial</v>
          </cell>
          <cell r="I449" t="str">
            <v xml:space="preserve">Extruding </v>
          </cell>
          <cell r="J449" t="str">
            <v>COL</v>
          </cell>
          <cell r="S449">
            <v>0</v>
          </cell>
          <cell r="T449">
            <v>0</v>
          </cell>
          <cell r="U449">
            <v>0</v>
          </cell>
          <cell r="V449">
            <v>200</v>
          </cell>
          <cell r="W449">
            <v>200</v>
          </cell>
        </row>
        <row r="450">
          <cell r="C450" t="str">
            <v>COL - HEALTH-EXHAUST &amp; VENTILATION SYSTEMS IN BB2</v>
          </cell>
          <cell r="D450" t="str">
            <v>EHS</v>
          </cell>
          <cell r="E450" t="str">
            <v>N</v>
          </cell>
          <cell r="F450" t="str">
            <v>LA</v>
          </cell>
          <cell r="G450" t="str">
            <v>HYG</v>
          </cell>
          <cell r="H450" t="str">
            <v>Commercial Radial</v>
          </cell>
          <cell r="I450" t="str">
            <v>Mixing</v>
          </cell>
          <cell r="J450" t="str">
            <v>COL</v>
          </cell>
          <cell r="S450">
            <v>0</v>
          </cell>
          <cell r="T450">
            <v>0</v>
          </cell>
          <cell r="U450">
            <v>0</v>
          </cell>
          <cell r="V450">
            <v>50</v>
          </cell>
          <cell r="W450">
            <v>50</v>
          </cell>
        </row>
        <row r="451">
          <cell r="C451" t="str">
            <v>COL - LOCKERS MODERNIZATION (INCLUDE NEW BATHROOM IN PRESSES)</v>
          </cell>
          <cell r="D451" t="str">
            <v>EHS</v>
          </cell>
          <cell r="E451" t="str">
            <v>N</v>
          </cell>
          <cell r="F451" t="str">
            <v>LA</v>
          </cell>
          <cell r="G451" t="str">
            <v>HYG</v>
          </cell>
          <cell r="H451" t="str">
            <v>Commercial Radial</v>
          </cell>
          <cell r="I451" t="str">
            <v>Facilities/Infrastructure</v>
          </cell>
          <cell r="J451" t="str">
            <v>COL</v>
          </cell>
          <cell r="S451">
            <v>0</v>
          </cell>
          <cell r="T451">
            <v>0</v>
          </cell>
          <cell r="U451">
            <v>0</v>
          </cell>
          <cell r="V451">
            <v>60</v>
          </cell>
          <cell r="W451">
            <v>60</v>
          </cell>
        </row>
        <row r="452">
          <cell r="C452" t="str">
            <v>COL - MRT Expansion</v>
          </cell>
          <cell r="D452" t="str">
            <v>Growth</v>
          </cell>
          <cell r="E452" t="str">
            <v>N</v>
          </cell>
          <cell r="F452" t="str">
            <v>LA</v>
          </cell>
          <cell r="H452" t="str">
            <v>COMMERCIAL RADIAL</v>
          </cell>
          <cell r="I452" t="str">
            <v>OTHER</v>
          </cell>
          <cell r="J452" t="str">
            <v>COL</v>
          </cell>
          <cell r="T452">
            <v>0</v>
          </cell>
          <cell r="U452">
            <v>0</v>
          </cell>
        </row>
        <row r="453">
          <cell r="C453" t="str">
            <v xml:space="preserve">COL - SAMPLE MIX/AUTO WW </v>
          </cell>
          <cell r="D453" t="str">
            <v>Productivity</v>
          </cell>
          <cell r="E453" t="str">
            <v>N</v>
          </cell>
          <cell r="F453" t="str">
            <v>LA</v>
          </cell>
          <cell r="H453" t="str">
            <v>Commercial Radial</v>
          </cell>
          <cell r="I453" t="str">
            <v>N/A</v>
          </cell>
          <cell r="J453" t="str">
            <v>COL</v>
          </cell>
          <cell r="S453">
            <v>0</v>
          </cell>
          <cell r="T453">
            <v>0</v>
          </cell>
          <cell r="U453">
            <v>0</v>
          </cell>
          <cell r="V453">
            <v>150</v>
          </cell>
          <cell r="W453">
            <v>150</v>
          </cell>
        </row>
        <row r="454">
          <cell r="C454" t="str">
            <v>COL - Dual wind up a let off for Alpha shear</v>
          </cell>
          <cell r="D454" t="str">
            <v>Productivity</v>
          </cell>
          <cell r="E454" t="str">
            <v>N</v>
          </cell>
          <cell r="F454" t="str">
            <v>LA</v>
          </cell>
          <cell r="H454" t="str">
            <v>Commercial Radial</v>
          </cell>
          <cell r="I454" t="str">
            <v>Component Prep Other</v>
          </cell>
          <cell r="J454" t="str">
            <v>COL</v>
          </cell>
          <cell r="S454">
            <v>0</v>
          </cell>
          <cell r="T454">
            <v>0</v>
          </cell>
          <cell r="U454">
            <v>0</v>
          </cell>
          <cell r="V454">
            <v>150</v>
          </cell>
          <cell r="W454">
            <v>150</v>
          </cell>
        </row>
        <row r="455">
          <cell r="C455" t="str">
            <v>COL - ROLAND OPEN SPLICE DETECTOR - MRT PLY CUTTERS</v>
          </cell>
          <cell r="D455" t="str">
            <v>Quality - Improvement</v>
          </cell>
          <cell r="E455" t="str">
            <v>N</v>
          </cell>
          <cell r="F455" t="str">
            <v>LA</v>
          </cell>
          <cell r="H455" t="str">
            <v>Commercial Radial</v>
          </cell>
          <cell r="I455" t="str">
            <v>Component Prep Other</v>
          </cell>
          <cell r="J455" t="str">
            <v>COL</v>
          </cell>
          <cell r="S455">
            <v>0</v>
          </cell>
          <cell r="T455">
            <v>0</v>
          </cell>
          <cell r="U455">
            <v>0</v>
          </cell>
          <cell r="V455">
            <v>70</v>
          </cell>
          <cell r="W455">
            <v>70</v>
          </cell>
        </row>
        <row r="456">
          <cell r="C456" t="str">
            <v>COL - AUTOMATIC GAUGE CONTROL FOR WIRE CALANDER</v>
          </cell>
          <cell r="D456" t="str">
            <v>Quality - Improvement</v>
          </cell>
          <cell r="E456" t="str">
            <v>N</v>
          </cell>
          <cell r="F456" t="str">
            <v>LA</v>
          </cell>
          <cell r="H456" t="str">
            <v>Commercial Radial</v>
          </cell>
          <cell r="I456" t="str">
            <v>Component Prep Other</v>
          </cell>
          <cell r="J456" t="str">
            <v>COL</v>
          </cell>
          <cell r="S456">
            <v>0</v>
          </cell>
          <cell r="T456">
            <v>0</v>
          </cell>
          <cell r="U456">
            <v>0</v>
          </cell>
          <cell r="V456">
            <v>50</v>
          </cell>
          <cell r="W456">
            <v>50</v>
          </cell>
        </row>
        <row r="457">
          <cell r="C457" t="str">
            <v>GM - 3 Vehicles for sales</v>
          </cell>
          <cell r="D457" t="str">
            <v>SAG</v>
          </cell>
          <cell r="E457" t="str">
            <v>N</v>
          </cell>
          <cell r="F457" t="str">
            <v>LA</v>
          </cell>
          <cell r="G457">
            <v>0</v>
          </cell>
          <cell r="H457" t="str">
            <v>Other</v>
          </cell>
          <cell r="I457" t="str">
            <v>SAG - Other</v>
          </cell>
          <cell r="J457" t="str">
            <v>GIC</v>
          </cell>
          <cell r="T457">
            <v>0</v>
          </cell>
          <cell r="U457">
            <v>0</v>
          </cell>
        </row>
        <row r="458">
          <cell r="C458" t="str">
            <v>GM - New Office</v>
          </cell>
          <cell r="D458" t="str">
            <v>SAG</v>
          </cell>
          <cell r="E458" t="str">
            <v>N</v>
          </cell>
          <cell r="F458" t="str">
            <v>LA</v>
          </cell>
          <cell r="G458">
            <v>0</v>
          </cell>
          <cell r="H458" t="str">
            <v>Other</v>
          </cell>
          <cell r="I458" t="str">
            <v>SAG - Other</v>
          </cell>
          <cell r="J458" t="str">
            <v>GIC</v>
          </cell>
          <cell r="T458">
            <v>0</v>
          </cell>
          <cell r="U458">
            <v>0</v>
          </cell>
        </row>
        <row r="459">
          <cell r="C459" t="str">
            <v>Guatemala office PCs &amp; equipment</v>
          </cell>
          <cell r="D459" t="str">
            <v>SAG</v>
          </cell>
          <cell r="E459" t="str">
            <v>N</v>
          </cell>
          <cell r="F459" t="str">
            <v>LA</v>
          </cell>
          <cell r="H459" t="str">
            <v>Other</v>
          </cell>
          <cell r="I459" t="str">
            <v>SAG - Other</v>
          </cell>
          <cell r="J459" t="str">
            <v>GIC</v>
          </cell>
          <cell r="S459">
            <v>0</v>
          </cell>
          <cell r="T459">
            <v>0</v>
          </cell>
          <cell r="U459">
            <v>0</v>
          </cell>
          <cell r="V459">
            <v>29.969999999999992</v>
          </cell>
          <cell r="W459">
            <v>29.969999999999992</v>
          </cell>
        </row>
        <row r="460">
          <cell r="C460" t="str">
            <v>Guatemala office connectivity</v>
          </cell>
          <cell r="D460" t="str">
            <v>SAG</v>
          </cell>
          <cell r="E460" t="str">
            <v>N</v>
          </cell>
          <cell r="F460" t="str">
            <v>LA</v>
          </cell>
          <cell r="H460" t="str">
            <v>Other</v>
          </cell>
          <cell r="I460" t="str">
            <v>SAG - Other</v>
          </cell>
          <cell r="J460" t="str">
            <v>GIC</v>
          </cell>
          <cell r="S460">
            <v>0</v>
          </cell>
          <cell r="T460">
            <v>0</v>
          </cell>
          <cell r="U460">
            <v>0</v>
          </cell>
          <cell r="V460">
            <v>19.999999999999996</v>
          </cell>
          <cell r="W460">
            <v>19.999999999999996</v>
          </cell>
        </row>
        <row r="461">
          <cell r="C461" t="str">
            <v>GIC - REGIONAL ADJUSTMENT</v>
          </cell>
          <cell r="D461" t="str">
            <v>SAG</v>
          </cell>
          <cell r="E461" t="str">
            <v>N</v>
          </cell>
          <cell r="F461" t="str">
            <v>LA</v>
          </cell>
          <cell r="G461">
            <v>0</v>
          </cell>
          <cell r="H461" t="str">
            <v>N/A</v>
          </cell>
          <cell r="I461">
            <v>0</v>
          </cell>
          <cell r="J461" t="str">
            <v>GIC</v>
          </cell>
          <cell r="S461">
            <v>0</v>
          </cell>
          <cell r="T461">
            <v>0</v>
          </cell>
          <cell r="U461">
            <v>0</v>
          </cell>
        </row>
        <row r="462">
          <cell r="C462" t="str">
            <v>PER - CAPITALIZED INTEREST</v>
          </cell>
          <cell r="D462" t="str">
            <v>Capitalized Interes</v>
          </cell>
          <cell r="E462" t="str">
            <v>N</v>
          </cell>
          <cell r="F462" t="str">
            <v>LA</v>
          </cell>
          <cell r="G462">
            <v>0</v>
          </cell>
          <cell r="H462" t="str">
            <v>N/A</v>
          </cell>
          <cell r="I462">
            <v>0</v>
          </cell>
          <cell r="J462" t="str">
            <v>LA OTHER</v>
          </cell>
          <cell r="S462">
            <v>0</v>
          </cell>
          <cell r="T462">
            <v>0</v>
          </cell>
          <cell r="U462">
            <v>0</v>
          </cell>
        </row>
        <row r="463">
          <cell r="C463" t="str">
            <v>MEX-STAFE/TULTITLAN OFFICE IT NETWORK  AND APPLICATION SERVERS LIFECYCLE (PHASE 2/2)</v>
          </cell>
          <cell r="D463" t="str">
            <v>IT</v>
          </cell>
          <cell r="E463" t="str">
            <v>N</v>
          </cell>
          <cell r="F463" t="str">
            <v>LA</v>
          </cell>
          <cell r="H463" t="str">
            <v>Other</v>
          </cell>
          <cell r="I463" t="str">
            <v>SAG - IT</v>
          </cell>
          <cell r="J463" t="str">
            <v>MEX</v>
          </cell>
          <cell r="S463">
            <v>0</v>
          </cell>
          <cell r="T463">
            <v>0</v>
          </cell>
          <cell r="U463">
            <v>0</v>
          </cell>
          <cell r="V463">
            <v>67</v>
          </cell>
          <cell r="W463">
            <v>67</v>
          </cell>
        </row>
        <row r="464">
          <cell r="C464" t="str">
            <v>MEX- Racks</v>
          </cell>
          <cell r="D464" t="str">
            <v>SAG</v>
          </cell>
          <cell r="E464" t="str">
            <v>N</v>
          </cell>
          <cell r="F464" t="str">
            <v>LA</v>
          </cell>
          <cell r="H464" t="str">
            <v>MIXED</v>
          </cell>
          <cell r="I464" t="str">
            <v>SAG - Supply Chain</v>
          </cell>
          <cell r="J464" t="str">
            <v>MEX</v>
          </cell>
          <cell r="S464">
            <v>0</v>
          </cell>
          <cell r="T464">
            <v>0</v>
          </cell>
          <cell r="U464">
            <v>0</v>
          </cell>
          <cell r="V464">
            <v>50</v>
          </cell>
          <cell r="W464">
            <v>50</v>
          </cell>
        </row>
        <row r="465">
          <cell r="C465" t="str">
            <v>MEX - Emergency Power Plant</v>
          </cell>
          <cell r="D465" t="str">
            <v>SAG</v>
          </cell>
          <cell r="E465" t="str">
            <v>N</v>
          </cell>
          <cell r="F465" t="str">
            <v>LA</v>
          </cell>
          <cell r="H465" t="str">
            <v>N/A</v>
          </cell>
          <cell r="I465" t="str">
            <v>SAG - Supply Chain</v>
          </cell>
          <cell r="J465" t="str">
            <v>MEX</v>
          </cell>
          <cell r="S465">
            <v>0</v>
          </cell>
          <cell r="T465">
            <v>0</v>
          </cell>
          <cell r="U465">
            <v>0</v>
          </cell>
        </row>
        <row r="466">
          <cell r="C466" t="str">
            <v xml:space="preserve">MEX - RFID / Barcoding </v>
          </cell>
          <cell r="D466" t="str">
            <v>SAG</v>
          </cell>
          <cell r="E466" t="str">
            <v>N</v>
          </cell>
          <cell r="F466" t="str">
            <v>LA</v>
          </cell>
          <cell r="H466" t="str">
            <v>N/A</v>
          </cell>
          <cell r="I466" t="str">
            <v>SAG - Supply Chain</v>
          </cell>
          <cell r="J466" t="str">
            <v>MEX</v>
          </cell>
          <cell r="S466">
            <v>0</v>
          </cell>
          <cell r="T466">
            <v>0</v>
          </cell>
          <cell r="U466">
            <v>0</v>
          </cell>
        </row>
        <row r="467">
          <cell r="C467" t="str">
            <v>PER - (3) NEW HYDRAULIC PRESSES 52" + UPGRADE STEELASTIC</v>
          </cell>
          <cell r="D467" t="str">
            <v>Growth</v>
          </cell>
          <cell r="E467" t="str">
            <v>N</v>
          </cell>
          <cell r="F467" t="str">
            <v>LA</v>
          </cell>
          <cell r="H467" t="str">
            <v>COMMERCIAL RADIAL</v>
          </cell>
          <cell r="I467" t="str">
            <v>CURING</v>
          </cell>
          <cell r="J467" t="str">
            <v>PER</v>
          </cell>
          <cell r="T467">
            <v>0</v>
          </cell>
          <cell r="U467">
            <v>0</v>
          </cell>
          <cell r="AD467">
            <v>1749</v>
          </cell>
        </row>
        <row r="468">
          <cell r="C468" t="str">
            <v>Blue Racks acquisition</v>
          </cell>
          <cell r="D468" t="str">
            <v>SAG</v>
          </cell>
          <cell r="E468" t="str">
            <v>N</v>
          </cell>
          <cell r="F468" t="str">
            <v>LA</v>
          </cell>
          <cell r="H468" t="str">
            <v>MIXED</v>
          </cell>
          <cell r="I468" t="str">
            <v>SAG - Supply Chain</v>
          </cell>
          <cell r="J468" t="str">
            <v>PER</v>
          </cell>
          <cell r="S468">
            <v>0</v>
          </cell>
          <cell r="T468">
            <v>0</v>
          </cell>
          <cell r="U468">
            <v>0</v>
          </cell>
          <cell r="V468">
            <v>50</v>
          </cell>
          <cell r="W468">
            <v>50</v>
          </cell>
        </row>
        <row r="469">
          <cell r="C469" t="str">
            <v>ADJUSTMENT FOR PRESENTATION (Pigment Room)</v>
          </cell>
          <cell r="D469" t="str">
            <v>Capability</v>
          </cell>
          <cell r="E469" t="str">
            <v>N</v>
          </cell>
          <cell r="F469" t="str">
            <v>LA</v>
          </cell>
          <cell r="H469" t="str">
            <v>Consumer Radial</v>
          </cell>
          <cell r="J469" t="str">
            <v>REG</v>
          </cell>
          <cell r="T469">
            <v>0</v>
          </cell>
          <cell r="U469">
            <v>0</v>
          </cell>
        </row>
        <row r="470">
          <cell r="C470" t="str">
            <v>ADJUSTMENT FOR PRESENTATION (Aztec 1 &amp; NPT additional)</v>
          </cell>
          <cell r="D470" t="str">
            <v>Capability</v>
          </cell>
          <cell r="E470" t="str">
            <v>N</v>
          </cell>
          <cell r="F470" t="str">
            <v>LA</v>
          </cell>
          <cell r="H470" t="str">
            <v>Consumer Radial</v>
          </cell>
          <cell r="J470" t="str">
            <v>REG</v>
          </cell>
          <cell r="T470">
            <v>0</v>
          </cell>
          <cell r="U470">
            <v>0</v>
          </cell>
        </row>
        <row r="471">
          <cell r="C471" t="str">
            <v>ADJUSTMENT FOR PRESENTATION (MRT Expansion)</v>
          </cell>
          <cell r="D471" t="str">
            <v>Growth</v>
          </cell>
          <cell r="E471" t="str">
            <v>N</v>
          </cell>
          <cell r="F471" t="str">
            <v>LA</v>
          </cell>
          <cell r="H471" t="str">
            <v>COMMERCIAL RADIAL</v>
          </cell>
          <cell r="J471" t="str">
            <v>REG</v>
          </cell>
          <cell r="T471">
            <v>0</v>
          </cell>
          <cell r="U471">
            <v>0</v>
          </cell>
        </row>
        <row r="472">
          <cell r="C472" t="str">
            <v>ADJUSTMENT FOR PRESENTATION</v>
          </cell>
          <cell r="D472" t="str">
            <v>IT</v>
          </cell>
          <cell r="E472" t="str">
            <v>N</v>
          </cell>
          <cell r="F472" t="str">
            <v>LA</v>
          </cell>
          <cell r="H472" t="str">
            <v>MIXED</v>
          </cell>
          <cell r="J472" t="str">
            <v>REG</v>
          </cell>
          <cell r="T472">
            <v>0</v>
          </cell>
          <cell r="U472">
            <v>0</v>
          </cell>
        </row>
        <row r="473">
          <cell r="C473" t="str">
            <v>REG - Adjustment Molds</v>
          </cell>
          <cell r="D473" t="str">
            <v>Molds</v>
          </cell>
          <cell r="E473" t="str">
            <v>N</v>
          </cell>
          <cell r="F473" t="str">
            <v>LA</v>
          </cell>
          <cell r="H473" t="str">
            <v>Commercial Radial</v>
          </cell>
          <cell r="I473" t="str">
            <v>Curing</v>
          </cell>
          <cell r="J473" t="str">
            <v>REG</v>
          </cell>
          <cell r="S473">
            <v>0</v>
          </cell>
          <cell r="T473">
            <v>0</v>
          </cell>
          <cell r="U473">
            <v>0</v>
          </cell>
        </row>
        <row r="474">
          <cell r="C474" t="str">
            <v>Mold flexibility</v>
          </cell>
          <cell r="D474" t="str">
            <v>Molds</v>
          </cell>
          <cell r="E474" t="str">
            <v>N</v>
          </cell>
          <cell r="F474" t="str">
            <v>LA</v>
          </cell>
          <cell r="H474" t="str">
            <v>Consumer Radial</v>
          </cell>
          <cell r="I474" t="str">
            <v>Curing</v>
          </cell>
          <cell r="J474" t="str">
            <v>REG</v>
          </cell>
          <cell r="S474">
            <v>0</v>
          </cell>
          <cell r="T474">
            <v>0</v>
          </cell>
          <cell r="U474">
            <v>0</v>
          </cell>
        </row>
        <row r="475">
          <cell r="C475" t="str">
            <v>REG - Adjustment Molds</v>
          </cell>
          <cell r="D475" t="str">
            <v>Molds</v>
          </cell>
          <cell r="E475" t="str">
            <v>N</v>
          </cell>
          <cell r="F475" t="str">
            <v>LA</v>
          </cell>
          <cell r="H475" t="str">
            <v>Consumer Radial</v>
          </cell>
          <cell r="I475" t="str">
            <v>Curing</v>
          </cell>
          <cell r="J475" t="str">
            <v>REG</v>
          </cell>
          <cell r="S475">
            <v>0</v>
          </cell>
          <cell r="T475">
            <v>0</v>
          </cell>
          <cell r="U475">
            <v>0</v>
          </cell>
        </row>
        <row r="476">
          <cell r="C476" t="str">
            <v>ADJUSTMENT FOR PRESENTATION (PER Directional)</v>
          </cell>
          <cell r="D476" t="str">
            <v>Molds</v>
          </cell>
          <cell r="E476" t="str">
            <v>N</v>
          </cell>
          <cell r="F476" t="str">
            <v>LA</v>
          </cell>
          <cell r="H476" t="str">
            <v>Consumer Radial</v>
          </cell>
          <cell r="J476" t="str">
            <v>REG</v>
          </cell>
          <cell r="T476">
            <v>0</v>
          </cell>
          <cell r="U476">
            <v>0</v>
          </cell>
        </row>
        <row r="477">
          <cell r="C477" t="str">
            <v>ADJUSTMENT FOR PRESENTATION (AME Direectional)</v>
          </cell>
          <cell r="D477" t="str">
            <v>Molds</v>
          </cell>
          <cell r="E477" t="str">
            <v>N</v>
          </cell>
          <cell r="F477" t="str">
            <v>LA</v>
          </cell>
          <cell r="H477" t="str">
            <v>Consumer Radial</v>
          </cell>
          <cell r="J477" t="str">
            <v>REG</v>
          </cell>
          <cell r="T477">
            <v>0</v>
          </cell>
          <cell r="U477">
            <v>0</v>
          </cell>
        </row>
        <row r="478">
          <cell r="C478" t="str">
            <v>ADJUSTMENT FOR PRESENTATION</v>
          </cell>
          <cell r="D478" t="str">
            <v>Molds NA</v>
          </cell>
          <cell r="E478" t="str">
            <v>N</v>
          </cell>
          <cell r="F478" t="str">
            <v>LA</v>
          </cell>
          <cell r="H478" t="str">
            <v>Consumer Radial</v>
          </cell>
          <cell r="J478" t="str">
            <v>REG</v>
          </cell>
          <cell r="T478">
            <v>0</v>
          </cell>
          <cell r="U478">
            <v>0</v>
          </cell>
        </row>
        <row r="479">
          <cell r="C479" t="str">
            <v>ADJUSTMENT FOR PRESENTATION</v>
          </cell>
          <cell r="D479" t="str">
            <v>Quality - Improvement</v>
          </cell>
          <cell r="E479" t="str">
            <v>N</v>
          </cell>
          <cell r="F479" t="str">
            <v>LA</v>
          </cell>
          <cell r="H479" t="str">
            <v>Consumer Radial</v>
          </cell>
          <cell r="J479" t="str">
            <v>REG</v>
          </cell>
          <cell r="T479">
            <v>0</v>
          </cell>
          <cell r="U479">
            <v>0</v>
          </cell>
        </row>
        <row r="480">
          <cell r="C480" t="str">
            <v>eCommerce Capabilities</v>
          </cell>
          <cell r="D480" t="str">
            <v>SAG</v>
          </cell>
          <cell r="E480" t="str">
            <v>N</v>
          </cell>
          <cell r="F480" t="str">
            <v>LA</v>
          </cell>
          <cell r="H480" t="str">
            <v>N/A</v>
          </cell>
          <cell r="I480" t="str">
            <v>SAG - Sales &amp; Marketing</v>
          </cell>
          <cell r="J480" t="str">
            <v>REG</v>
          </cell>
          <cell r="S480">
            <v>0</v>
          </cell>
          <cell r="T480">
            <v>0</v>
          </cell>
          <cell r="U480">
            <v>0</v>
          </cell>
          <cell r="AD480">
            <v>100</v>
          </cell>
        </row>
        <row r="481">
          <cell r="C481" t="str">
            <v>City Service Successor</v>
          </cell>
          <cell r="D481" t="str">
            <v>Molds</v>
          </cell>
          <cell r="E481" t="str">
            <v>N</v>
          </cell>
          <cell r="F481" t="str">
            <v>LA</v>
          </cell>
          <cell r="H481" t="str">
            <v>Retread</v>
          </cell>
          <cell r="I481" t="str">
            <v>Curing</v>
          </cell>
          <cell r="J481" t="str">
            <v>RET</v>
          </cell>
          <cell r="S481">
            <v>0</v>
          </cell>
          <cell r="T481">
            <v>0</v>
          </cell>
          <cell r="U481">
            <v>0</v>
          </cell>
          <cell r="V481">
            <v>104</v>
          </cell>
          <cell r="W481">
            <v>104</v>
          </cell>
        </row>
        <row r="482">
          <cell r="C482" t="str">
            <v>SLP AZTECA 1</v>
          </cell>
          <cell r="D482" t="str">
            <v>Capability</v>
          </cell>
          <cell r="E482" t="str">
            <v>N</v>
          </cell>
          <cell r="F482" t="str">
            <v>LA</v>
          </cell>
          <cell r="H482" t="str">
            <v>Consumer Radial</v>
          </cell>
          <cell r="I482" t="str">
            <v>FINAL FINISH</v>
          </cell>
          <cell r="J482" t="str">
            <v>San Luis Potosi</v>
          </cell>
          <cell r="T482">
            <v>0</v>
          </cell>
          <cell r="U482">
            <v>0</v>
          </cell>
        </row>
        <row r="483">
          <cell r="C483" t="str">
            <v>SLP - WSW (50 mold position)</v>
          </cell>
          <cell r="D483" t="str">
            <v>Capability</v>
          </cell>
          <cell r="E483" t="str">
            <v>N</v>
          </cell>
          <cell r="F483" t="str">
            <v>LA</v>
          </cell>
          <cell r="H483" t="str">
            <v>Consumer Radial</v>
          </cell>
          <cell r="I483" t="str">
            <v>CURING</v>
          </cell>
          <cell r="J483" t="str">
            <v>San Luis Potosi</v>
          </cell>
          <cell r="T483">
            <v>0</v>
          </cell>
          <cell r="U483">
            <v>0</v>
          </cell>
        </row>
        <row r="484">
          <cell r="C484" t="str">
            <v>Additional Oil Tank # 8 (Blinic)</v>
          </cell>
          <cell r="D484" t="str">
            <v>Capability</v>
          </cell>
          <cell r="E484" t="str">
            <v>N</v>
          </cell>
          <cell r="F484" t="str">
            <v>LA</v>
          </cell>
          <cell r="H484" t="str">
            <v>Consumer Radial</v>
          </cell>
          <cell r="I484" t="str">
            <v>Mixing</v>
          </cell>
          <cell r="J484" t="str">
            <v>San Luis Potosi</v>
          </cell>
          <cell r="S484">
            <v>0</v>
          </cell>
          <cell r="T484">
            <v>0</v>
          </cell>
          <cell r="U484">
            <v>0</v>
          </cell>
        </row>
        <row r="485">
          <cell r="C485" t="str">
            <v>SLP - Solar Panels Parking area</v>
          </cell>
          <cell r="D485" t="str">
            <v>Energy Conservation</v>
          </cell>
          <cell r="E485" t="str">
            <v>N</v>
          </cell>
          <cell r="F485" t="str">
            <v>LA</v>
          </cell>
          <cell r="H485" t="str">
            <v>Consumer Radial</v>
          </cell>
          <cell r="I485" t="str">
            <v>FACILITIES/INFRASTRUCTURE</v>
          </cell>
          <cell r="J485" t="str">
            <v>San Luis Potosi</v>
          </cell>
          <cell r="T485">
            <v>0</v>
          </cell>
          <cell r="U485">
            <v>0</v>
          </cell>
        </row>
        <row r="486">
          <cell r="C486" t="str">
            <v>MEX-SLP - Tread Extruder 6" screw Replace - Mid</v>
          </cell>
          <cell r="D486" t="str">
            <v>Facilities Sustaining</v>
          </cell>
          <cell r="E486" t="str">
            <v>N</v>
          </cell>
          <cell r="F486" t="str">
            <v>LA</v>
          </cell>
          <cell r="H486" t="str">
            <v>Consumer Radial</v>
          </cell>
          <cell r="I486" t="str">
            <v>N/A</v>
          </cell>
          <cell r="J486" t="str">
            <v>San Luis Potosi</v>
          </cell>
          <cell r="S486">
            <v>0</v>
          </cell>
          <cell r="T486">
            <v>0</v>
          </cell>
          <cell r="U486">
            <v>0</v>
          </cell>
          <cell r="V486">
            <v>59.583333333333321</v>
          </cell>
          <cell r="W486">
            <v>59.583333333333321</v>
          </cell>
        </row>
        <row r="487">
          <cell r="C487" t="str">
            <v>MEX-SLP - Tread Extruder 6" screw Replace - Bottom</v>
          </cell>
          <cell r="D487" t="str">
            <v>Facilities Sustaining</v>
          </cell>
          <cell r="E487" t="str">
            <v>N</v>
          </cell>
          <cell r="F487" t="str">
            <v>LA</v>
          </cell>
          <cell r="H487" t="str">
            <v>Consumer Radial</v>
          </cell>
          <cell r="I487" t="str">
            <v>N/A</v>
          </cell>
          <cell r="J487" t="str">
            <v>San Luis Potosi</v>
          </cell>
          <cell r="S487">
            <v>0</v>
          </cell>
          <cell r="T487">
            <v>0</v>
          </cell>
          <cell r="U487">
            <v>0</v>
          </cell>
          <cell r="V487">
            <v>59.583333333333321</v>
          </cell>
          <cell r="W487">
            <v>59.583333333333321</v>
          </cell>
        </row>
        <row r="488">
          <cell r="C488" t="str">
            <v>MEX-SLP - Apexer #1 Extruder 3 1/2" screew Replacement</v>
          </cell>
          <cell r="D488" t="str">
            <v>Facilities Sustaining</v>
          </cell>
          <cell r="E488" t="str">
            <v>N</v>
          </cell>
          <cell r="F488" t="str">
            <v>LA</v>
          </cell>
          <cell r="H488" t="str">
            <v>Consumer Radial</v>
          </cell>
          <cell r="I488" t="str">
            <v>N/A</v>
          </cell>
          <cell r="J488" t="str">
            <v>San Luis Potosi</v>
          </cell>
          <cell r="S488">
            <v>0</v>
          </cell>
          <cell r="T488">
            <v>0</v>
          </cell>
          <cell r="U488">
            <v>0</v>
          </cell>
          <cell r="V488">
            <v>50.416666666666671</v>
          </cell>
          <cell r="W488">
            <v>50.416666666666671</v>
          </cell>
        </row>
        <row r="489">
          <cell r="C489" t="str">
            <v>SLP - AS400 upgrade</v>
          </cell>
          <cell r="D489" t="str">
            <v>IT</v>
          </cell>
          <cell r="E489" t="str">
            <v>N</v>
          </cell>
          <cell r="F489" t="str">
            <v>LA</v>
          </cell>
          <cell r="H489" t="str">
            <v>Consumer Radial</v>
          </cell>
          <cell r="I489" t="str">
            <v>SAG - IT</v>
          </cell>
          <cell r="J489" t="str">
            <v>San Luis Potosi</v>
          </cell>
          <cell r="T489">
            <v>0</v>
          </cell>
          <cell r="U489">
            <v>0</v>
          </cell>
        </row>
        <row r="490">
          <cell r="C490" t="str">
            <v>SLP-SLP IT NETWORK DEVICES REFRESH BY LIFECYCLE (PHASE 2/5)</v>
          </cell>
          <cell r="D490" t="str">
            <v>IT</v>
          </cell>
          <cell r="E490" t="str">
            <v>N</v>
          </cell>
          <cell r="F490" t="str">
            <v>LA</v>
          </cell>
          <cell r="H490" t="str">
            <v>N/A</v>
          </cell>
          <cell r="I490" t="str">
            <v>SAG - IT</v>
          </cell>
          <cell r="J490" t="str">
            <v>San Luis Potosi</v>
          </cell>
          <cell r="S490">
            <v>0</v>
          </cell>
          <cell r="T490">
            <v>0</v>
          </cell>
          <cell r="U490">
            <v>0</v>
          </cell>
          <cell r="V490">
            <v>199.18</v>
          </cell>
          <cell r="W490">
            <v>199.18</v>
          </cell>
        </row>
        <row r="491">
          <cell r="C491" t="str">
            <v>SLP-SLP MANUFACTURING APPLICATIONS SERVERS UPDATE REFRESH (PHASE 1/2)</v>
          </cell>
          <cell r="D491" t="str">
            <v>IT</v>
          </cell>
          <cell r="E491" t="str">
            <v>N</v>
          </cell>
          <cell r="F491" t="str">
            <v>LA</v>
          </cell>
          <cell r="H491" t="str">
            <v>N/A</v>
          </cell>
          <cell r="I491" t="str">
            <v>SAG - IT</v>
          </cell>
          <cell r="J491" t="str">
            <v>San Luis Potosi</v>
          </cell>
          <cell r="T491">
            <v>0</v>
          </cell>
          <cell r="U491">
            <v>0</v>
          </cell>
          <cell r="V491">
            <v>60</v>
          </cell>
          <cell r="W491">
            <v>60</v>
          </cell>
        </row>
        <row r="492">
          <cell r="C492" t="str">
            <v>SLP-SLP IT NETWORK DEVICES REFRESH BY LIFECYCLE (PHASE 1/5)</v>
          </cell>
          <cell r="D492" t="str">
            <v>IT</v>
          </cell>
          <cell r="E492" t="str">
            <v>N</v>
          </cell>
          <cell r="F492" t="str">
            <v>LA</v>
          </cell>
          <cell r="H492" t="str">
            <v>N/A</v>
          </cell>
          <cell r="I492" t="str">
            <v>SAG - IT</v>
          </cell>
          <cell r="J492" t="str">
            <v>San Luis Potosi</v>
          </cell>
          <cell r="S492">
            <v>0</v>
          </cell>
          <cell r="T492">
            <v>0</v>
          </cell>
          <cell r="U492">
            <v>0</v>
          </cell>
          <cell r="V492">
            <v>30</v>
          </cell>
          <cell r="W492">
            <v>30</v>
          </cell>
        </row>
        <row r="493">
          <cell r="C493" t="str">
            <v>SLP-SLP COMPUTER ROOM REFRESH BY LIFECYCLE</v>
          </cell>
          <cell r="D493" t="str">
            <v>IT</v>
          </cell>
          <cell r="E493" t="str">
            <v>N</v>
          </cell>
          <cell r="F493" t="str">
            <v>LA</v>
          </cell>
          <cell r="H493" t="str">
            <v>N/A</v>
          </cell>
          <cell r="I493" t="str">
            <v>SAG - IT</v>
          </cell>
          <cell r="J493" t="str">
            <v>San Luis Potosi</v>
          </cell>
          <cell r="S493">
            <v>0</v>
          </cell>
          <cell r="T493">
            <v>0</v>
          </cell>
          <cell r="U493">
            <v>0</v>
          </cell>
          <cell r="V493">
            <v>100</v>
          </cell>
          <cell r="W493">
            <v>100</v>
          </cell>
        </row>
        <row r="494">
          <cell r="C494" t="str">
            <v>SLP - Flexibility OE</v>
          </cell>
          <cell r="D494" t="str">
            <v>Molds</v>
          </cell>
          <cell r="E494" t="str">
            <v>N</v>
          </cell>
          <cell r="F494" t="str">
            <v>LA</v>
          </cell>
          <cell r="H494" t="str">
            <v>Consumer Radial</v>
          </cell>
          <cell r="I494" t="str">
            <v>Curing</v>
          </cell>
          <cell r="J494" t="str">
            <v>San Luis Potosi</v>
          </cell>
          <cell r="S494">
            <v>0</v>
          </cell>
          <cell r="T494">
            <v>0</v>
          </cell>
          <cell r="U494">
            <v>0</v>
          </cell>
        </row>
        <row r="495">
          <cell r="C495" t="str">
            <v>Auto sampling for Mixer # 3</v>
          </cell>
          <cell r="D495" t="str">
            <v>Quality - Cost Savings</v>
          </cell>
          <cell r="E495" t="str">
            <v>N</v>
          </cell>
          <cell r="F495" t="str">
            <v>LA</v>
          </cell>
          <cell r="H495" t="str">
            <v>Consumer Radial</v>
          </cell>
          <cell r="I495" t="str">
            <v>Mixing</v>
          </cell>
          <cell r="J495" t="str">
            <v>San Luis Potosi</v>
          </cell>
          <cell r="S495">
            <v>0</v>
          </cell>
          <cell r="T495">
            <v>0</v>
          </cell>
          <cell r="U495">
            <v>0</v>
          </cell>
          <cell r="V495">
            <v>110</v>
          </cell>
          <cell r="W495">
            <v>110</v>
          </cell>
        </row>
        <row r="496">
          <cell r="C496" t="str">
            <v>SLP - White sidewall cutter for recovery</v>
          </cell>
          <cell r="D496" t="str">
            <v>Quality - Cost Savings</v>
          </cell>
          <cell r="E496" t="str">
            <v>N</v>
          </cell>
          <cell r="F496" t="str">
            <v>LA</v>
          </cell>
          <cell r="H496" t="str">
            <v>Consumer Radial</v>
          </cell>
          <cell r="I496" t="str">
            <v>Component prep</v>
          </cell>
          <cell r="J496" t="str">
            <v>San Luis Potosi</v>
          </cell>
          <cell r="S496">
            <v>0</v>
          </cell>
          <cell r="T496">
            <v>0</v>
          </cell>
          <cell r="U496">
            <v>0</v>
          </cell>
          <cell r="V496">
            <v>120</v>
          </cell>
          <cell r="W496">
            <v>120</v>
          </cell>
        </row>
        <row r="497">
          <cell r="C497" t="str">
            <v>Win in OE - Ford Ranger EQ - SLP?</v>
          </cell>
          <cell r="D497" t="str">
            <v>Quality - Improvement</v>
          </cell>
          <cell r="E497" t="str">
            <v>N</v>
          </cell>
          <cell r="F497" t="str">
            <v>LA</v>
          </cell>
          <cell r="H497" t="str">
            <v>LA Win in OE</v>
          </cell>
          <cell r="I497" t="str">
            <v>Curing</v>
          </cell>
          <cell r="J497" t="str">
            <v>San Luis Potosi</v>
          </cell>
          <cell r="S497">
            <v>0</v>
          </cell>
          <cell r="T497">
            <v>0</v>
          </cell>
          <cell r="U497">
            <v>0</v>
          </cell>
          <cell r="V497">
            <v>137.5</v>
          </cell>
          <cell r="W497">
            <v>137.5</v>
          </cell>
        </row>
        <row r="498">
          <cell r="C498" t="str">
            <v>Vision system for three Ply machines</v>
          </cell>
          <cell r="D498" t="str">
            <v>Quality - Improvement</v>
          </cell>
          <cell r="E498" t="str">
            <v>N</v>
          </cell>
          <cell r="F498" t="str">
            <v>LA</v>
          </cell>
          <cell r="H498" t="str">
            <v>Consumer Radial</v>
          </cell>
          <cell r="I498" t="str">
            <v>Component Prep Other</v>
          </cell>
          <cell r="J498" t="str">
            <v>San Luis Potosi</v>
          </cell>
          <cell r="S498">
            <v>0</v>
          </cell>
          <cell r="T498">
            <v>0</v>
          </cell>
          <cell r="U498">
            <v>0</v>
          </cell>
          <cell r="V498">
            <v>128.33333333333334</v>
          </cell>
          <cell r="W498">
            <v>128.33333333333334</v>
          </cell>
        </row>
        <row r="499">
          <cell r="T499">
            <v>0</v>
          </cell>
          <cell r="U499">
            <v>0</v>
          </cell>
        </row>
        <row r="500">
          <cell r="T500">
            <v>0</v>
          </cell>
          <cell r="U500">
            <v>0</v>
          </cell>
        </row>
        <row r="501">
          <cell r="T501">
            <v>0</v>
          </cell>
          <cell r="U501">
            <v>0</v>
          </cell>
        </row>
        <row r="502">
          <cell r="T502">
            <v>0</v>
          </cell>
          <cell r="U502">
            <v>0</v>
          </cell>
        </row>
        <row r="503">
          <cell r="T503">
            <v>0</v>
          </cell>
          <cell r="U503">
            <v>0</v>
          </cell>
        </row>
        <row r="504">
          <cell r="T504">
            <v>0</v>
          </cell>
          <cell r="U504">
            <v>0</v>
          </cell>
        </row>
        <row r="505">
          <cell r="T505">
            <v>0</v>
          </cell>
          <cell r="U505">
            <v>0</v>
          </cell>
        </row>
        <row r="506">
          <cell r="T506">
            <v>0</v>
          </cell>
          <cell r="U506">
            <v>0</v>
          </cell>
        </row>
        <row r="507">
          <cell r="T507">
            <v>0</v>
          </cell>
          <cell r="U507">
            <v>0</v>
          </cell>
        </row>
        <row r="508">
          <cell r="T508">
            <v>0</v>
          </cell>
          <cell r="U508">
            <v>0</v>
          </cell>
        </row>
        <row r="509">
          <cell r="T509">
            <v>0</v>
          </cell>
          <cell r="U509">
            <v>0</v>
          </cell>
        </row>
        <row r="510">
          <cell r="T510">
            <v>0</v>
          </cell>
          <cell r="U510">
            <v>0</v>
          </cell>
        </row>
        <row r="511">
          <cell r="T511">
            <v>0</v>
          </cell>
          <cell r="U511">
            <v>0</v>
          </cell>
        </row>
        <row r="512">
          <cell r="T512">
            <v>0</v>
          </cell>
          <cell r="U512">
            <v>0</v>
          </cell>
        </row>
        <row r="513">
          <cell r="T513">
            <v>0</v>
          </cell>
          <cell r="U513">
            <v>0</v>
          </cell>
        </row>
        <row r="514">
          <cell r="C514" t="str">
            <v>MEX - REGIONAL ADJUSTMENT</v>
          </cell>
          <cell r="D514" t="str">
            <v>SAG</v>
          </cell>
          <cell r="E514" t="str">
            <v>N</v>
          </cell>
          <cell r="F514" t="str">
            <v>LA</v>
          </cell>
          <cell r="G514">
            <v>0</v>
          </cell>
          <cell r="H514" t="str">
            <v>N/A</v>
          </cell>
          <cell r="I514">
            <v>0</v>
          </cell>
          <cell r="J514" t="str">
            <v>MEX</v>
          </cell>
          <cell r="S514">
            <v>-0.21475999999978379</v>
          </cell>
          <cell r="T514">
            <v>-1.8532099999997838</v>
          </cell>
          <cell r="U514">
            <v>0</v>
          </cell>
          <cell r="V514">
            <v>-6.3510000000007061E-2</v>
          </cell>
          <cell r="W514">
            <v>-6.3510000000007061E-2</v>
          </cell>
        </row>
        <row r="515">
          <cell r="B515" t="str">
            <v>x2</v>
          </cell>
          <cell r="C515" t="str">
            <v>AME - REGIONAL ADJUSTMENT</v>
          </cell>
          <cell r="D515" t="str">
            <v>Facilities Sustaining</v>
          </cell>
          <cell r="E515" t="str">
            <v>N</v>
          </cell>
          <cell r="F515" t="str">
            <v>LA</v>
          </cell>
          <cell r="G515">
            <v>0</v>
          </cell>
          <cell r="H515" t="str">
            <v>Mixed</v>
          </cell>
          <cell r="I515">
            <v>0</v>
          </cell>
          <cell r="J515" t="str">
            <v>AME</v>
          </cell>
          <cell r="S515">
            <v>-257.29108450936906</v>
          </cell>
          <cell r="T515">
            <v>-1003.5149145093706</v>
          </cell>
          <cell r="U515">
            <v>257.29999999999995</v>
          </cell>
          <cell r="V515">
            <v>162.76861000000011</v>
          </cell>
          <cell r="W515">
            <v>142.76861</v>
          </cell>
          <cell r="AD515">
            <v>0</v>
          </cell>
        </row>
        <row r="516">
          <cell r="C516" t="str">
            <v>ADEQUAÇÃO NR 12 - E1/E2 &amp; LRF</v>
          </cell>
          <cell r="D516" t="str">
            <v>EHS</v>
          </cell>
          <cell r="E516" t="str">
            <v>N</v>
          </cell>
          <cell r="F516" t="str">
            <v>LA</v>
          </cell>
          <cell r="G516" t="str">
            <v>COMP</v>
          </cell>
          <cell r="H516" t="str">
            <v>OTR</v>
          </cell>
          <cell r="I516" t="str">
            <v>OTHER</v>
          </cell>
          <cell r="J516" t="str">
            <v>AME</v>
          </cell>
          <cell r="T516">
            <v>0</v>
          </cell>
          <cell r="U516">
            <v>0</v>
          </cell>
        </row>
        <row r="517">
          <cell r="C517" t="str">
            <v>COL - REGIONAL ADJUSTMENT</v>
          </cell>
          <cell r="D517" t="str">
            <v>Facilities Sustaining</v>
          </cell>
          <cell r="E517" t="str">
            <v>N</v>
          </cell>
          <cell r="F517" t="str">
            <v>LA</v>
          </cell>
          <cell r="G517">
            <v>0</v>
          </cell>
          <cell r="H517" t="str">
            <v>N/A</v>
          </cell>
          <cell r="I517">
            <v>0</v>
          </cell>
          <cell r="J517" t="str">
            <v>COL</v>
          </cell>
          <cell r="S517">
            <v>-80.838419999999644</v>
          </cell>
          <cell r="T517">
            <v>57.532850000000479</v>
          </cell>
          <cell r="U517">
            <v>-108.886</v>
          </cell>
          <cell r="V517">
            <v>-634.28649999999993</v>
          </cell>
          <cell r="W517">
            <v>-634.28649999999993</v>
          </cell>
        </row>
        <row r="518">
          <cell r="C518" t="str">
            <v>GNV vs GLP EMPILHADEIRAS</v>
          </cell>
          <cell r="D518" t="str">
            <v>Facilities Sustaining</v>
          </cell>
          <cell r="E518" t="str">
            <v>N</v>
          </cell>
          <cell r="F518" t="str">
            <v>LA</v>
          </cell>
          <cell r="H518" t="str">
            <v>Other</v>
          </cell>
          <cell r="I518" t="str">
            <v>FACILITIES/INFRASTRUCTURE</v>
          </cell>
          <cell r="J518" t="str">
            <v>AME</v>
          </cell>
          <cell r="T518">
            <v>0</v>
          </cell>
          <cell r="U518">
            <v>0</v>
          </cell>
        </row>
        <row r="519">
          <cell r="C519" t="str">
            <v>PICKER ROLL 8X8</v>
          </cell>
          <cell r="D519" t="str">
            <v>Quality - Improvement</v>
          </cell>
          <cell r="E519" t="str">
            <v>N</v>
          </cell>
          <cell r="F519" t="str">
            <v>LA</v>
          </cell>
          <cell r="H519" t="str">
            <v>MIXED</v>
          </cell>
          <cell r="I519" t="str">
            <v>MIXING</v>
          </cell>
          <cell r="J519" t="str">
            <v>AME</v>
          </cell>
          <cell r="T519">
            <v>0</v>
          </cell>
          <cell r="U519">
            <v>0</v>
          </cell>
          <cell r="V519">
            <v>67.339494534502975</v>
          </cell>
          <cell r="W519">
            <v>67.339494534502975</v>
          </cell>
        </row>
        <row r="520">
          <cell r="C520" t="str">
            <v>RET - Additional Curing &amp; Buffer</v>
          </cell>
          <cell r="D520" t="str">
            <v>Capability</v>
          </cell>
          <cell r="E520" t="str">
            <v>N</v>
          </cell>
          <cell r="F520" t="str">
            <v>LA</v>
          </cell>
          <cell r="H520" t="str">
            <v>RETREAD</v>
          </cell>
          <cell r="I520" t="str">
            <v>Other</v>
          </cell>
          <cell r="J520" t="str">
            <v>RET</v>
          </cell>
          <cell r="S520">
            <v>0</v>
          </cell>
          <cell r="T520">
            <v>0</v>
          </cell>
          <cell r="U520">
            <v>0</v>
          </cell>
          <cell r="V520">
            <v>400</v>
          </cell>
          <cell r="W520">
            <v>400</v>
          </cell>
        </row>
        <row r="521">
          <cell r="C521" t="str">
            <v>AER - SIO MH50 Press</v>
          </cell>
          <cell r="D521" t="str">
            <v>Capability</v>
          </cell>
          <cell r="E521" t="str">
            <v>N</v>
          </cell>
          <cell r="F521" t="str">
            <v>LA</v>
          </cell>
          <cell r="H521" t="str">
            <v>AVIATION</v>
          </cell>
          <cell r="I521" t="str">
            <v>Other</v>
          </cell>
          <cell r="J521" t="str">
            <v>SAO</v>
          </cell>
          <cell r="S521">
            <v>0</v>
          </cell>
          <cell r="T521">
            <v>0</v>
          </cell>
          <cell r="U521">
            <v>0</v>
          </cell>
          <cell r="V521">
            <v>133.5</v>
          </cell>
          <cell r="W521">
            <v>133.5</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s"/>
      <sheetName val="Cap Int Est"/>
      <sheetName val="Planilha3"/>
      <sheetName val="Database"/>
      <sheetName val="Reports"/>
      <sheetName val="Comparison"/>
      <sheetName val="Comparison (2)"/>
      <sheetName val="Dinamics"/>
      <sheetName val="LA 8+4'21"/>
      <sheetName val="Graph "/>
      <sheetName val="Sheet1"/>
    </sheetNames>
    <sheetDataSet>
      <sheetData sheetId="0"/>
      <sheetData sheetId="1"/>
      <sheetData sheetId="2"/>
      <sheetData sheetId="3">
        <row r="143">
          <cell r="B143" t="str">
            <v>LCP-200185</v>
          </cell>
          <cell r="C143" t="str">
            <v>(VMI) AMERICANA CONSUMER HMC TIRE BUILDING</v>
          </cell>
          <cell r="D143" t="str">
            <v>Capability</v>
          </cell>
          <cell r="E143" t="str">
            <v>N</v>
          </cell>
          <cell r="F143" t="str">
            <v>LA</v>
          </cell>
          <cell r="H143" t="str">
            <v>Consumer Radial</v>
          </cell>
          <cell r="I143" t="str">
            <v>Tire Assembly</v>
          </cell>
          <cell r="J143" t="str">
            <v>AME</v>
          </cell>
          <cell r="Q143">
            <v>14300</v>
          </cell>
          <cell r="S143">
            <v>1.5407200000000003</v>
          </cell>
          <cell r="T143">
            <v>25.660879999999999</v>
          </cell>
          <cell r="U143">
            <v>1125.17911</v>
          </cell>
          <cell r="V143">
            <v>4816</v>
          </cell>
          <cell r="W143">
            <v>4816</v>
          </cell>
          <cell r="X143">
            <v>1833.52071</v>
          </cell>
          <cell r="Y143">
            <v>810.19320999999991</v>
          </cell>
          <cell r="AD143">
            <v>10000</v>
          </cell>
        </row>
        <row r="144">
          <cell r="B144" t="str">
            <v>LCP-XXXXX4</v>
          </cell>
          <cell r="C144" t="str">
            <v>AME - Pigment Room</v>
          </cell>
          <cell r="D144" t="str">
            <v>Capability</v>
          </cell>
          <cell r="E144" t="str">
            <v>N</v>
          </cell>
          <cell r="F144" t="str">
            <v>LA</v>
          </cell>
          <cell r="H144" t="str">
            <v>MIXED</v>
          </cell>
          <cell r="I144" t="str">
            <v>COMPONENT PREP OTHER</v>
          </cell>
          <cell r="J144" t="str">
            <v>AME</v>
          </cell>
          <cell r="T144">
            <v>0</v>
          </cell>
          <cell r="U144">
            <v>0</v>
          </cell>
          <cell r="AD144">
            <v>9000</v>
          </cell>
        </row>
        <row r="145">
          <cell r="B145" t="str">
            <v>LCP-XXXY12</v>
          </cell>
          <cell r="C145" t="str">
            <v>AME - COGEN OVERHAUL</v>
          </cell>
          <cell r="D145" t="str">
            <v>Facilities Sustaining</v>
          </cell>
          <cell r="E145" t="str">
            <v>N</v>
          </cell>
          <cell r="F145" t="str">
            <v>LA</v>
          </cell>
          <cell r="J145" t="str">
            <v>AME</v>
          </cell>
          <cell r="T145">
            <v>0</v>
          </cell>
          <cell r="U145">
            <v>800</v>
          </cell>
          <cell r="AD145">
            <v>4435</v>
          </cell>
        </row>
        <row r="146">
          <cell r="B146" t="str">
            <v>LCP-210083</v>
          </cell>
          <cell r="C146" t="str">
            <v xml:space="preserve">RET - FLAT PRECURED EXPANSION </v>
          </cell>
          <cell r="D146" t="str">
            <v>Growth</v>
          </cell>
          <cell r="E146" t="str">
            <v>N</v>
          </cell>
          <cell r="F146" t="str">
            <v>LA</v>
          </cell>
          <cell r="H146" t="str">
            <v>RETREAD</v>
          </cell>
          <cell r="I146" t="str">
            <v>CURING</v>
          </cell>
          <cell r="J146" t="str">
            <v>RET</v>
          </cell>
          <cell r="T146">
            <v>23.769369999999999</v>
          </cell>
          <cell r="U146">
            <v>1974.0534600000001</v>
          </cell>
          <cell r="W146">
            <v>1000</v>
          </cell>
          <cell r="X146">
            <v>3518.3222299999998</v>
          </cell>
          <cell r="Y146">
            <v>206.25109</v>
          </cell>
          <cell r="AD146">
            <v>3314</v>
          </cell>
        </row>
        <row r="147">
          <cell r="B147" t="str">
            <v>LCP-210086</v>
          </cell>
          <cell r="C147" t="str">
            <v>AME - NEW MRT KOKUSAI MACHINE</v>
          </cell>
          <cell r="D147" t="str">
            <v>Capability</v>
          </cell>
          <cell r="E147" t="str">
            <v>N</v>
          </cell>
          <cell r="F147" t="str">
            <v>LA</v>
          </cell>
          <cell r="H147" t="str">
            <v>COMMERCIAL RADIAL</v>
          </cell>
          <cell r="I147" t="str">
            <v>FINAL FINISH</v>
          </cell>
          <cell r="J147" t="str">
            <v>AME</v>
          </cell>
          <cell r="T147">
            <v>0</v>
          </cell>
          <cell r="U147">
            <v>0</v>
          </cell>
          <cell r="AD147">
            <v>2764</v>
          </cell>
        </row>
        <row r="148">
          <cell r="B148" t="str">
            <v>LCP-210200</v>
          </cell>
          <cell r="C148" t="str">
            <v>AME - MIXER#3 BODY REPLACEMENT</v>
          </cell>
          <cell r="D148" t="str">
            <v>Facilities Sustaining</v>
          </cell>
          <cell r="E148" t="str">
            <v>N</v>
          </cell>
          <cell r="F148" t="str">
            <v>LA</v>
          </cell>
          <cell r="J148" t="str">
            <v>AME</v>
          </cell>
          <cell r="AD148">
            <v>1300</v>
          </cell>
        </row>
        <row r="149">
          <cell r="B149" t="str">
            <v>LCP-210078</v>
          </cell>
          <cell r="C149" t="str">
            <v>PNC - PNEUMATIC CORE CONSTRUCTION</v>
          </cell>
          <cell r="D149" t="str">
            <v>Capability</v>
          </cell>
          <cell r="E149" t="str">
            <v>N</v>
          </cell>
          <cell r="F149" t="str">
            <v>LA</v>
          </cell>
          <cell r="H149" t="str">
            <v>LA Win in OE</v>
          </cell>
          <cell r="I149" t="str">
            <v>N/A</v>
          </cell>
          <cell r="J149" t="str">
            <v>AME</v>
          </cell>
          <cell r="S149">
            <v>0</v>
          </cell>
          <cell r="T149">
            <v>0</v>
          </cell>
          <cell r="U149">
            <v>150.19999999999999</v>
          </cell>
          <cell r="V149">
            <v>999.7</v>
          </cell>
          <cell r="W149">
            <v>999.7</v>
          </cell>
          <cell r="X149">
            <v>684</v>
          </cell>
          <cell r="Y149">
            <v>0</v>
          </cell>
          <cell r="AD149">
            <v>1207.7249400000001</v>
          </cell>
        </row>
        <row r="150">
          <cell r="B150" t="str">
            <v>LCP-190215</v>
          </cell>
          <cell r="C150" t="str">
            <v>CONTOUR CORRECTION MACHINE</v>
          </cell>
          <cell r="D150" t="str">
            <v>Quality - Improvement</v>
          </cell>
          <cell r="E150" t="str">
            <v>N</v>
          </cell>
          <cell r="F150" t="str">
            <v>LA</v>
          </cell>
          <cell r="H150" t="str">
            <v>CONSUMER RADIAL</v>
          </cell>
          <cell r="I150" t="str">
            <v>OTHER</v>
          </cell>
          <cell r="J150" t="str">
            <v>AME</v>
          </cell>
          <cell r="O150">
            <v>1244.5036</v>
          </cell>
          <cell r="Q150">
            <v>1244.5036</v>
          </cell>
          <cell r="S150">
            <v>0.98018000000000005</v>
          </cell>
          <cell r="T150">
            <v>9.8801800000000011</v>
          </cell>
          <cell r="U150">
            <v>141</v>
          </cell>
          <cell r="V150">
            <v>1244</v>
          </cell>
          <cell r="W150">
            <v>1244</v>
          </cell>
          <cell r="X150">
            <v>71.554779999999994</v>
          </cell>
          <cell r="Y150">
            <v>68.212740000000011</v>
          </cell>
          <cell r="Z150">
            <v>1243.52342</v>
          </cell>
          <cell r="AA150">
            <v>-1243.52342</v>
          </cell>
          <cell r="AB150">
            <v>141.98017999999999</v>
          </cell>
          <cell r="AC150">
            <v>-1102.52342</v>
          </cell>
          <cell r="AD150">
            <v>1087.8</v>
          </cell>
        </row>
        <row r="151">
          <cell r="B151" t="str">
            <v>LCP-210196</v>
          </cell>
          <cell r="C151" t="str">
            <v>AME - (8) PCI Cavities</v>
          </cell>
          <cell r="D151" t="str">
            <v>Capability</v>
          </cell>
          <cell r="E151" t="str">
            <v>N</v>
          </cell>
          <cell r="F151" t="str">
            <v>LA</v>
          </cell>
          <cell r="H151" t="str">
            <v>CONSUMER RADIAL</v>
          </cell>
          <cell r="I151" t="str">
            <v>CURING</v>
          </cell>
          <cell r="J151" t="str">
            <v>AME</v>
          </cell>
          <cell r="T151">
            <v>0</v>
          </cell>
          <cell r="U151">
            <v>0</v>
          </cell>
          <cell r="AD151">
            <v>715</v>
          </cell>
        </row>
        <row r="152">
          <cell r="B152" t="str">
            <v>LCP-210147</v>
          </cell>
          <cell r="C152" t="str">
            <v>AME - (EHS/CTI) - NT CONSUMMER BUILDING ENHANCEMENT</v>
          </cell>
          <cell r="D152" t="str">
            <v>EHS</v>
          </cell>
          <cell r="E152" t="str">
            <v>N</v>
          </cell>
          <cell r="F152" t="str">
            <v>LA</v>
          </cell>
          <cell r="G152" t="str">
            <v>COMP</v>
          </cell>
          <cell r="H152" t="str">
            <v>Consumer Radial</v>
          </cell>
          <cell r="I152" t="str">
            <v>TIRE ASSEMBLY</v>
          </cell>
          <cell r="J152" t="str">
            <v>AME</v>
          </cell>
          <cell r="T152">
            <v>27.31935</v>
          </cell>
          <cell r="U152">
            <v>207.04907000000003</v>
          </cell>
          <cell r="X152">
            <v>231.816</v>
          </cell>
          <cell r="Y152">
            <v>191.05109000000002</v>
          </cell>
          <cell r="AD152">
            <v>639.70000000000005</v>
          </cell>
        </row>
        <row r="153">
          <cell r="B153" t="str">
            <v>LCP-210180</v>
          </cell>
          <cell r="C153" t="str">
            <v>AME -  UPGRADE PLC MRT PRESSES (11 Presses)</v>
          </cell>
          <cell r="D153" t="str">
            <v>Capability</v>
          </cell>
          <cell r="E153" t="str">
            <v>N</v>
          </cell>
          <cell r="F153" t="str">
            <v>LA</v>
          </cell>
          <cell r="H153" t="str">
            <v>Consumer Radial</v>
          </cell>
          <cell r="I153" t="str">
            <v>CURING</v>
          </cell>
          <cell r="J153" t="str">
            <v>AME</v>
          </cell>
          <cell r="T153">
            <v>0</v>
          </cell>
          <cell r="U153">
            <v>410</v>
          </cell>
          <cell r="AD153">
            <v>500.00000000000006</v>
          </cell>
        </row>
        <row r="154">
          <cell r="B154" t="str">
            <v>LCP-XXXY10</v>
          </cell>
          <cell r="C154" t="str">
            <v>D#4 WIND-UP UPGRADE</v>
          </cell>
          <cell r="D154" t="str">
            <v>Capability</v>
          </cell>
          <cell r="E154" t="str">
            <v>N</v>
          </cell>
          <cell r="F154" t="str">
            <v>LA</v>
          </cell>
          <cell r="H154" t="str">
            <v>MIXED</v>
          </cell>
          <cell r="I154" t="str">
            <v>MIXING</v>
          </cell>
          <cell r="J154" t="str">
            <v>AME</v>
          </cell>
          <cell r="T154">
            <v>0</v>
          </cell>
          <cell r="U154">
            <v>0</v>
          </cell>
          <cell r="V154">
            <v>162</v>
          </cell>
          <cell r="W154">
            <v>162</v>
          </cell>
        </row>
        <row r="155">
          <cell r="B155" t="str">
            <v>LCP-210146</v>
          </cell>
          <cell r="C155" t="str">
            <v>AME - NR12 - WIRE CALENDER  - BRZ MANDATORY</v>
          </cell>
          <cell r="D155" t="str">
            <v>EHS</v>
          </cell>
          <cell r="E155" t="str">
            <v>N</v>
          </cell>
          <cell r="F155" t="str">
            <v>LA</v>
          </cell>
          <cell r="G155" t="str">
            <v>COMP</v>
          </cell>
          <cell r="H155" t="str">
            <v>Consumer Radial</v>
          </cell>
          <cell r="I155" t="str">
            <v>COMPONENT PREP OTHER</v>
          </cell>
          <cell r="J155" t="str">
            <v>AME</v>
          </cell>
          <cell r="T155">
            <v>10.152059999999999</v>
          </cell>
          <cell r="U155">
            <v>188.63129999999998</v>
          </cell>
          <cell r="X155">
            <v>112.0444</v>
          </cell>
          <cell r="Y155">
            <v>60.503919999999994</v>
          </cell>
          <cell r="AD155">
            <v>373.60000000000008</v>
          </cell>
        </row>
        <row r="156">
          <cell r="B156" t="str">
            <v>LCP-210020</v>
          </cell>
          <cell r="C156" t="str">
            <v>NEW AIR COMPRESSOR - 100 PSI</v>
          </cell>
          <cell r="D156" t="str">
            <v>Facilities Sustaining</v>
          </cell>
          <cell r="E156" t="str">
            <v>N</v>
          </cell>
          <cell r="F156" t="str">
            <v>LA</v>
          </cell>
          <cell r="H156" t="str">
            <v>Other</v>
          </cell>
          <cell r="I156" t="str">
            <v>FACILITIES/INFRASTRUCTURE</v>
          </cell>
          <cell r="J156" t="str">
            <v>AME</v>
          </cell>
          <cell r="T156">
            <v>1.3944300000000001</v>
          </cell>
          <cell r="U156">
            <v>326.92719</v>
          </cell>
          <cell r="X156">
            <v>98.276890000000009</v>
          </cell>
          <cell r="Y156">
            <v>293.73689999999999</v>
          </cell>
          <cell r="AD156">
            <v>369.79999999999995</v>
          </cell>
        </row>
        <row r="157">
          <cell r="B157" t="str">
            <v>LCP-200011</v>
          </cell>
          <cell r="C157" t="str">
            <v>PCI IN (6) ROGERS MECHANICAL PRESSES</v>
          </cell>
          <cell r="D157" t="str">
            <v>Capability</v>
          </cell>
          <cell r="E157" t="str">
            <v>N</v>
          </cell>
          <cell r="F157" t="str">
            <v>LA</v>
          </cell>
          <cell r="H157" t="str">
            <v>CONSUMER RADIAL</v>
          </cell>
          <cell r="I157" t="str">
            <v>CURING</v>
          </cell>
          <cell r="J157" t="str">
            <v>AME</v>
          </cell>
          <cell r="O157">
            <v>774.09900000000005</v>
          </cell>
          <cell r="Q157">
            <v>774.09900000000005</v>
          </cell>
          <cell r="S157">
            <v>28.27366</v>
          </cell>
          <cell r="T157">
            <v>48.866260000000004</v>
          </cell>
          <cell r="U157">
            <v>590.25483999999994</v>
          </cell>
          <cell r="V157">
            <v>773</v>
          </cell>
          <cell r="W157">
            <v>773</v>
          </cell>
          <cell r="X157">
            <v>9.3890200000000004</v>
          </cell>
          <cell r="Y157">
            <v>669.91372000000001</v>
          </cell>
          <cell r="Z157">
            <v>745.8253400000001</v>
          </cell>
          <cell r="AA157">
            <v>-745.8253400000001</v>
          </cell>
          <cell r="AB157">
            <v>618.52849999999989</v>
          </cell>
          <cell r="AC157">
            <v>-155.57050000000015</v>
          </cell>
          <cell r="AD157">
            <v>364.8</v>
          </cell>
        </row>
        <row r="158">
          <cell r="B158" t="str">
            <v>LCP-200130</v>
          </cell>
          <cell r="C158" t="str">
            <v>AME - UPGRADE PLC PRESSES MRT (12 PRESSES)</v>
          </cell>
          <cell r="D158" t="str">
            <v>Productivity</v>
          </cell>
          <cell r="E158" t="str">
            <v>N</v>
          </cell>
          <cell r="F158" t="str">
            <v>LA</v>
          </cell>
          <cell r="H158" t="str">
            <v>Commercial Radial</v>
          </cell>
          <cell r="I158" t="str">
            <v>Curing</v>
          </cell>
          <cell r="J158" t="str">
            <v>AME</v>
          </cell>
          <cell r="Q158">
            <v>977.98963000000003</v>
          </cell>
          <cell r="S158">
            <v>87.528360000000006</v>
          </cell>
          <cell r="T158">
            <v>128.48611000000002</v>
          </cell>
          <cell r="U158">
            <v>67.740250000000003</v>
          </cell>
          <cell r="V158">
            <v>416.00808999999998</v>
          </cell>
          <cell r="W158">
            <v>416.00808999999998</v>
          </cell>
          <cell r="X158">
            <v>12.655279999999999</v>
          </cell>
          <cell r="Y158">
            <v>357.81869</v>
          </cell>
          <cell r="AD158">
            <v>314</v>
          </cell>
        </row>
        <row r="159">
          <cell r="B159" t="str">
            <v>LCP-200053</v>
          </cell>
          <cell r="C159" t="str">
            <v>MIXER#7 BODY REPLACEMENT</v>
          </cell>
          <cell r="D159" t="str">
            <v>Facilities Sustaining</v>
          </cell>
          <cell r="E159" t="str">
            <v>N</v>
          </cell>
          <cell r="F159" t="str">
            <v>LA</v>
          </cell>
          <cell r="H159" t="str">
            <v>MIXED</v>
          </cell>
          <cell r="I159" t="str">
            <v>MIXING</v>
          </cell>
          <cell r="J159" t="str">
            <v>AME</v>
          </cell>
          <cell r="Q159">
            <v>1340.787</v>
          </cell>
          <cell r="S159">
            <v>0</v>
          </cell>
          <cell r="T159">
            <v>938.72769000000017</v>
          </cell>
          <cell r="U159">
            <v>264.23136999999997</v>
          </cell>
          <cell r="V159">
            <v>1340</v>
          </cell>
          <cell r="W159">
            <v>1340</v>
          </cell>
          <cell r="X159">
            <v>42.330919999999992</v>
          </cell>
          <cell r="Y159">
            <v>248.18957000000017</v>
          </cell>
          <cell r="AD159">
            <v>286</v>
          </cell>
        </row>
        <row r="160">
          <cell r="B160" t="str">
            <v>LCP-190022</v>
          </cell>
          <cell r="C160" t="str">
            <v>PER - ANNUAL MISCELLANEOUS 2019</v>
          </cell>
          <cell r="D160" t="str">
            <v>Facilities Sustaining</v>
          </cell>
          <cell r="E160" t="str">
            <v>C</v>
          </cell>
          <cell r="F160" t="str">
            <v>LA</v>
          </cell>
          <cell r="G160">
            <v>0</v>
          </cell>
          <cell r="H160" t="str">
            <v>N/A</v>
          </cell>
          <cell r="I160" t="str">
            <v>FACILITIES/INFRASTRUCTURE</v>
          </cell>
          <cell r="J160" t="str">
            <v>PER</v>
          </cell>
          <cell r="O160">
            <v>500</v>
          </cell>
          <cell r="P160">
            <v>31</v>
          </cell>
          <cell r="Q160">
            <v>531</v>
          </cell>
          <cell r="R160">
            <v>531.07341000000008</v>
          </cell>
          <cell r="S160">
            <v>531.07341000000008</v>
          </cell>
          <cell r="T160">
            <v>0</v>
          </cell>
          <cell r="U160">
            <v>0</v>
          </cell>
          <cell r="Z160">
            <v>-7.34100000000808E-2</v>
          </cell>
          <cell r="AA160">
            <v>7.34100000000808E-2</v>
          </cell>
          <cell r="AB160">
            <v>531.07341000000008</v>
          </cell>
          <cell r="AC160">
            <v>7.34100000000808E-2</v>
          </cell>
        </row>
        <row r="161">
          <cell r="B161" t="str">
            <v>LCP-210103</v>
          </cell>
          <cell r="C161" t="str">
            <v xml:space="preserve">AME - RESTAURANT’S KITCHEN ADEQUACY </v>
          </cell>
          <cell r="D161" t="str">
            <v>EHS</v>
          </cell>
          <cell r="E161" t="str">
            <v>N</v>
          </cell>
          <cell r="F161" t="str">
            <v>LA</v>
          </cell>
          <cell r="G161" t="str">
            <v>HYG</v>
          </cell>
          <cell r="H161" t="str">
            <v>Other</v>
          </cell>
          <cell r="I161" t="str">
            <v>Other</v>
          </cell>
          <cell r="J161" t="str">
            <v>AME</v>
          </cell>
          <cell r="T161">
            <v>0</v>
          </cell>
          <cell r="U161">
            <v>75</v>
          </cell>
          <cell r="AD161">
            <v>270.93000000000006</v>
          </cell>
        </row>
        <row r="162">
          <cell r="B162" t="str">
            <v>LCP-210148</v>
          </cell>
          <cell r="C162" t="str">
            <v>AME - NR12 - TEXTIL CALENDER 3R</v>
          </cell>
          <cell r="D162" t="str">
            <v>EHS</v>
          </cell>
          <cell r="E162" t="str">
            <v>N</v>
          </cell>
          <cell r="F162" t="str">
            <v>LA</v>
          </cell>
          <cell r="G162" t="str">
            <v>ERG</v>
          </cell>
          <cell r="H162" t="str">
            <v>Commercial Radial</v>
          </cell>
          <cell r="I162" t="str">
            <v>COMPONENT PREP OTHER</v>
          </cell>
          <cell r="J162" t="str">
            <v>AME</v>
          </cell>
          <cell r="T162">
            <v>7.30938</v>
          </cell>
          <cell r="U162">
            <v>91.19426</v>
          </cell>
          <cell r="X162">
            <v>154.54400000000001</v>
          </cell>
          <cell r="Y162">
            <v>51.688289999999988</v>
          </cell>
          <cell r="AD162">
            <v>250</v>
          </cell>
        </row>
        <row r="163">
          <cell r="B163" t="str">
            <v>LCP-190064</v>
          </cell>
          <cell r="C163" t="str">
            <v>COL - Payroll application replacement (SAP)</v>
          </cell>
          <cell r="D163" t="str">
            <v>SAG</v>
          </cell>
          <cell r="E163" t="str">
            <v>N</v>
          </cell>
          <cell r="F163" t="str">
            <v>LA</v>
          </cell>
          <cell r="H163" t="str">
            <v>COMMERCIAL RADIAL</v>
          </cell>
          <cell r="I163" t="str">
            <v>SAG - Other</v>
          </cell>
          <cell r="J163" t="str">
            <v>COL</v>
          </cell>
          <cell r="O163">
            <v>160.221</v>
          </cell>
          <cell r="Q163">
            <v>160.221</v>
          </cell>
          <cell r="R163">
            <v>87.411829999999995</v>
          </cell>
          <cell r="S163">
            <v>92.85472</v>
          </cell>
          <cell r="T163">
            <v>5.4428900000000002</v>
          </cell>
          <cell r="U163">
            <v>0</v>
          </cell>
          <cell r="Z163">
            <v>67.366280000000003</v>
          </cell>
          <cell r="AA163">
            <v>-67.366280000000003</v>
          </cell>
          <cell r="AB163">
            <v>92.85472</v>
          </cell>
          <cell r="AC163">
            <v>-67.366280000000003</v>
          </cell>
        </row>
        <row r="164">
          <cell r="B164" t="str">
            <v>LCP-190076</v>
          </cell>
          <cell r="C164" t="str">
            <v>AME - ASSURANCE SUCCESSOR</v>
          </cell>
          <cell r="D164" t="str">
            <v>Molds</v>
          </cell>
          <cell r="E164" t="str">
            <v>N</v>
          </cell>
          <cell r="F164" t="str">
            <v>LA</v>
          </cell>
          <cell r="H164" t="str">
            <v>Consumer Radial</v>
          </cell>
          <cell r="I164" t="str">
            <v>Curing</v>
          </cell>
          <cell r="J164" t="str">
            <v>AME</v>
          </cell>
          <cell r="O164">
            <v>2800</v>
          </cell>
          <cell r="Q164">
            <v>2800</v>
          </cell>
          <cell r="R164">
            <v>884.52637000000004</v>
          </cell>
          <cell r="S164">
            <v>884.54640000000006</v>
          </cell>
          <cell r="T164">
            <v>2.0030000000000003E-2</v>
          </cell>
          <cell r="U164">
            <v>0</v>
          </cell>
          <cell r="Z164">
            <v>1915.4535999999998</v>
          </cell>
          <cell r="AA164">
            <v>-1915.4535999999998</v>
          </cell>
          <cell r="AB164">
            <v>884.54640000000006</v>
          </cell>
          <cell r="AC164">
            <v>-1915.4535999999998</v>
          </cell>
        </row>
        <row r="165">
          <cell r="B165" t="str">
            <v>LCP-210190</v>
          </cell>
          <cell r="C165" t="str">
            <v>AME - (2) NEW AIR DRYER POWER HOUSE</v>
          </cell>
          <cell r="D165" t="str">
            <v>Facilities Sustaining</v>
          </cell>
          <cell r="E165" t="str">
            <v>N</v>
          </cell>
          <cell r="F165" t="str">
            <v>LA</v>
          </cell>
          <cell r="H165" t="str">
            <v>MIXED</v>
          </cell>
          <cell r="I165" t="str">
            <v>FACILITIES/INFRASTRUCTURE</v>
          </cell>
          <cell r="J165" t="str">
            <v>AME</v>
          </cell>
          <cell r="T165">
            <v>0</v>
          </cell>
          <cell r="U165">
            <v>45</v>
          </cell>
          <cell r="AD165">
            <v>244</v>
          </cell>
        </row>
        <row r="166">
          <cell r="B166" t="str">
            <v>LCP-210098</v>
          </cell>
          <cell r="C166" t="str">
            <v>AME - UPG WIND-UP EXTRUDER 8x8 SW</v>
          </cell>
          <cell r="D166" t="str">
            <v>Capability</v>
          </cell>
          <cell r="E166" t="str">
            <v>N</v>
          </cell>
          <cell r="F166" t="str">
            <v>LA</v>
          </cell>
          <cell r="H166" t="str">
            <v>MIXED</v>
          </cell>
          <cell r="I166" t="str">
            <v>MIXING</v>
          </cell>
          <cell r="J166" t="str">
            <v>AME</v>
          </cell>
          <cell r="T166">
            <v>0</v>
          </cell>
          <cell r="U166">
            <v>50</v>
          </cell>
          <cell r="V166">
            <v>180</v>
          </cell>
          <cell r="W166">
            <v>180</v>
          </cell>
          <cell r="X166">
            <v>52.232169999999996</v>
          </cell>
          <cell r="Y166">
            <v>0</v>
          </cell>
          <cell r="AD166">
            <v>237</v>
          </cell>
        </row>
        <row r="167">
          <cell r="B167" t="str">
            <v>LCP-190095</v>
          </cell>
          <cell r="C167" t="str">
            <v>PER - PAY ROLL UPGRADE</v>
          </cell>
          <cell r="D167" t="str">
            <v>Facilities Sustaining</v>
          </cell>
          <cell r="E167" t="str">
            <v>N</v>
          </cell>
          <cell r="F167" t="str">
            <v>LA</v>
          </cell>
          <cell r="H167" t="str">
            <v>N/A</v>
          </cell>
          <cell r="I167" t="str">
            <v>N/A</v>
          </cell>
          <cell r="J167" t="str">
            <v>PER</v>
          </cell>
          <cell r="O167">
            <v>99.3</v>
          </cell>
          <cell r="Q167">
            <v>99.3</v>
          </cell>
          <cell r="S167">
            <v>0</v>
          </cell>
          <cell r="T167">
            <v>0</v>
          </cell>
          <cell r="U167">
            <v>4.4000000000000004</v>
          </cell>
          <cell r="V167">
            <v>80</v>
          </cell>
          <cell r="W167">
            <v>80</v>
          </cell>
          <cell r="X167">
            <v>0</v>
          </cell>
          <cell r="Y167">
            <v>33.136600000000001</v>
          </cell>
          <cell r="Z167">
            <v>99.3</v>
          </cell>
          <cell r="AA167">
            <v>-99.3</v>
          </cell>
          <cell r="AB167">
            <v>4.4000000000000004</v>
          </cell>
          <cell r="AC167">
            <v>-94.899999999999991</v>
          </cell>
          <cell r="AD167">
            <v>80</v>
          </cell>
        </row>
        <row r="168">
          <cell r="B168" t="str">
            <v>LCP-190107</v>
          </cell>
          <cell r="C168" t="str">
            <v>CAP-(44) COMPLETE NEW MOLDS FOR WRANGLER</v>
          </cell>
          <cell r="D168" t="str">
            <v>Molds</v>
          </cell>
          <cell r="E168" t="str">
            <v>N</v>
          </cell>
          <cell r="F168" t="str">
            <v>LA</v>
          </cell>
          <cell r="H168" t="str">
            <v>CONSUMER RADIAL</v>
          </cell>
          <cell r="I168" t="str">
            <v>CURING</v>
          </cell>
          <cell r="J168" t="str">
            <v>AME</v>
          </cell>
          <cell r="O168">
            <v>2700</v>
          </cell>
          <cell r="Q168">
            <v>2700</v>
          </cell>
          <cell r="S168">
            <v>349.44198999999998</v>
          </cell>
          <cell r="T168">
            <v>349.44198999999998</v>
          </cell>
          <cell r="U168">
            <v>0</v>
          </cell>
          <cell r="V168">
            <v>583.28226999999993</v>
          </cell>
          <cell r="W168">
            <v>583.28226999999993</v>
          </cell>
          <cell r="Z168">
            <v>2350.5580100000002</v>
          </cell>
          <cell r="AA168">
            <v>-2350.5580100000002</v>
          </cell>
          <cell r="AB168">
            <v>349.44198999999998</v>
          </cell>
          <cell r="AC168">
            <v>-2350.5580100000002</v>
          </cell>
          <cell r="AD168">
            <v>292.5</v>
          </cell>
        </row>
        <row r="169">
          <cell r="B169" t="str">
            <v>LCP-190110</v>
          </cell>
          <cell r="C169" t="str">
            <v>COL - Shipment dock replacement</v>
          </cell>
          <cell r="D169" t="str">
            <v>SAG</v>
          </cell>
          <cell r="E169" t="str">
            <v>N</v>
          </cell>
          <cell r="F169" t="str">
            <v>LA</v>
          </cell>
          <cell r="H169" t="str">
            <v>N/A</v>
          </cell>
          <cell r="I169" t="str">
            <v>SAG - Supply Chain</v>
          </cell>
          <cell r="J169" t="str">
            <v>COL</v>
          </cell>
          <cell r="O169">
            <v>236.625</v>
          </cell>
          <cell r="Q169">
            <v>236.625</v>
          </cell>
          <cell r="R169">
            <v>191.71001999999999</v>
          </cell>
          <cell r="S169">
            <v>234.46592999999999</v>
          </cell>
          <cell r="T169">
            <v>42.755909999999993</v>
          </cell>
          <cell r="U169">
            <v>0</v>
          </cell>
          <cell r="V169">
            <v>41.155979999999992</v>
          </cell>
          <cell r="W169">
            <v>41.155979999999992</v>
          </cell>
          <cell r="Z169">
            <v>2.159070000000014</v>
          </cell>
          <cell r="AA169">
            <v>-2.159070000000014</v>
          </cell>
          <cell r="AB169">
            <v>234.46592999999999</v>
          </cell>
          <cell r="AC169">
            <v>-2.159070000000014</v>
          </cell>
        </row>
        <row r="170">
          <cell r="B170" t="str">
            <v>LCP-210018</v>
          </cell>
          <cell r="C170" t="str">
            <v>REPLACEMENT OF BOTTOM COOLING TANK D#4</v>
          </cell>
          <cell r="D170" t="str">
            <v>Facilities Sustaining</v>
          </cell>
          <cell r="E170" t="str">
            <v>N</v>
          </cell>
          <cell r="F170" t="str">
            <v>LA</v>
          </cell>
          <cell r="H170" t="str">
            <v>Mixed</v>
          </cell>
          <cell r="I170" t="str">
            <v>COMPONENT PREP OTHER</v>
          </cell>
          <cell r="J170" t="str">
            <v>AME</v>
          </cell>
          <cell r="T170">
            <v>0</v>
          </cell>
          <cell r="U170">
            <v>200</v>
          </cell>
          <cell r="X170">
            <v>284.54978000000006</v>
          </cell>
          <cell r="Y170">
            <v>0</v>
          </cell>
          <cell r="AD170">
            <v>223.21802000000011</v>
          </cell>
        </row>
        <row r="171">
          <cell r="B171" t="str">
            <v>LCP-190123</v>
          </cell>
          <cell r="C171" t="str">
            <v>CAP-G316 PRODUCTION MOLD TRANSFER - AMER</v>
          </cell>
          <cell r="D171" t="str">
            <v>Molds</v>
          </cell>
          <cell r="E171" t="str">
            <v>N</v>
          </cell>
          <cell r="F171" t="str">
            <v>LA</v>
          </cell>
          <cell r="H171" t="str">
            <v>COMMERCIAL RADIAL</v>
          </cell>
          <cell r="I171" t="str">
            <v>CURING</v>
          </cell>
          <cell r="J171" t="str">
            <v>AME</v>
          </cell>
          <cell r="O171">
            <v>112.7</v>
          </cell>
          <cell r="Q171">
            <v>112.7</v>
          </cell>
          <cell r="R171">
            <v>42.732599999999998</v>
          </cell>
          <cell r="S171">
            <v>42.732599999999998</v>
          </cell>
          <cell r="T171">
            <v>0</v>
          </cell>
          <cell r="U171">
            <v>0</v>
          </cell>
          <cell r="Z171">
            <v>69.967399999999998</v>
          </cell>
          <cell r="AA171">
            <v>-69.967399999999998</v>
          </cell>
          <cell r="AB171">
            <v>42.732599999999998</v>
          </cell>
          <cell r="AC171">
            <v>-69.967399999999998</v>
          </cell>
        </row>
        <row r="172">
          <cell r="B172" t="str">
            <v>LCP-190126</v>
          </cell>
          <cell r="C172" t="str">
            <v>PER - UPGRADE FOR OVERLAY CUTTER (Cameron replacement)</v>
          </cell>
          <cell r="D172" t="str">
            <v>Quality - Cost Savings</v>
          </cell>
          <cell r="E172" t="str">
            <v>N</v>
          </cell>
          <cell r="F172" t="str">
            <v>LA</v>
          </cell>
          <cell r="H172" t="str">
            <v>Consumer Radial</v>
          </cell>
          <cell r="I172" t="str">
            <v>Component Prep Other</v>
          </cell>
          <cell r="J172" t="str">
            <v>PER</v>
          </cell>
          <cell r="O172">
            <v>150</v>
          </cell>
          <cell r="Q172">
            <v>150</v>
          </cell>
          <cell r="R172">
            <v>81.72972</v>
          </cell>
          <cell r="S172">
            <v>96.049809999999994</v>
          </cell>
          <cell r="T172">
            <v>14.320089999999999</v>
          </cell>
          <cell r="U172">
            <v>4.2000000000000011</v>
          </cell>
          <cell r="V172">
            <v>18.399999999999999</v>
          </cell>
          <cell r="W172">
            <v>18.399999999999999</v>
          </cell>
          <cell r="X172">
            <v>0</v>
          </cell>
          <cell r="Y172">
            <v>3.9774400000000001</v>
          </cell>
          <cell r="Z172">
            <v>53.950190000000006</v>
          </cell>
          <cell r="AA172">
            <v>-53.950190000000006</v>
          </cell>
          <cell r="AB172">
            <v>100.24981</v>
          </cell>
          <cell r="AC172">
            <v>-49.750190000000003</v>
          </cell>
        </row>
        <row r="173">
          <cell r="B173" t="str">
            <v>LCP-190130</v>
          </cell>
          <cell r="C173" t="str">
            <v>PER - PHASE 4 INCREASE SUV</v>
          </cell>
          <cell r="D173" t="str">
            <v>Capability</v>
          </cell>
          <cell r="E173" t="str">
            <v>N</v>
          </cell>
          <cell r="F173" t="str">
            <v>LA</v>
          </cell>
          <cell r="G173">
            <v>0</v>
          </cell>
          <cell r="H173" t="str">
            <v>Consumer Radial</v>
          </cell>
          <cell r="I173" t="str">
            <v>Tire Assembly</v>
          </cell>
          <cell r="J173" t="str">
            <v>PER</v>
          </cell>
          <cell r="O173">
            <v>1365.4</v>
          </cell>
          <cell r="Q173">
            <v>1365.4</v>
          </cell>
          <cell r="R173">
            <v>194.92041999999998</v>
          </cell>
          <cell r="S173">
            <v>589.1243599999998</v>
          </cell>
          <cell r="T173">
            <v>503.21079999999984</v>
          </cell>
          <cell r="U173">
            <v>-9.0999999997620762E-4</v>
          </cell>
          <cell r="V173">
            <v>490.03255999999999</v>
          </cell>
          <cell r="W173">
            <v>490.03255999999999</v>
          </cell>
          <cell r="X173">
            <v>50</v>
          </cell>
          <cell r="Y173">
            <v>3.99</v>
          </cell>
          <cell r="Z173">
            <v>776.27564000000029</v>
          </cell>
          <cell r="AA173">
            <v>-776.27564000000029</v>
          </cell>
          <cell r="AB173">
            <v>589.12344999999982</v>
          </cell>
          <cell r="AC173">
            <v>-776.27655000000027</v>
          </cell>
          <cell r="AD173">
            <v>490</v>
          </cell>
        </row>
        <row r="174">
          <cell r="B174" t="str">
            <v>LCP-210107</v>
          </cell>
          <cell r="C174" t="str">
            <v>UPGRADE COOLING SYSTEM BB#4</v>
          </cell>
          <cell r="D174" t="str">
            <v>Quality - Improvement</v>
          </cell>
          <cell r="E174" t="str">
            <v>N</v>
          </cell>
          <cell r="F174" t="str">
            <v>LA</v>
          </cell>
          <cell r="H174" t="str">
            <v>MIXED</v>
          </cell>
          <cell r="I174" t="str">
            <v>MIXING</v>
          </cell>
          <cell r="J174" t="str">
            <v>AME</v>
          </cell>
          <cell r="T174">
            <v>0</v>
          </cell>
          <cell r="U174">
            <v>60</v>
          </cell>
          <cell r="V174">
            <v>70</v>
          </cell>
          <cell r="W174">
            <v>70</v>
          </cell>
          <cell r="X174">
            <v>0</v>
          </cell>
          <cell r="Y174">
            <v>30.13571</v>
          </cell>
          <cell r="AD174">
            <v>187.59999999999997</v>
          </cell>
        </row>
        <row r="175">
          <cell r="B175" t="str">
            <v>LCP-190135</v>
          </cell>
          <cell r="C175" t="str">
            <v>PER - MIXER #2 GEARBOX REPLACEMENT</v>
          </cell>
          <cell r="D175" t="str">
            <v>Facilities Sustaining</v>
          </cell>
          <cell r="E175" t="str">
            <v>N</v>
          </cell>
          <cell r="F175" t="str">
            <v>LA</v>
          </cell>
          <cell r="H175" t="str">
            <v>N/A</v>
          </cell>
          <cell r="I175" t="str">
            <v>Facilities/Infrastructure</v>
          </cell>
          <cell r="J175" t="str">
            <v>PER</v>
          </cell>
          <cell r="O175">
            <v>344</v>
          </cell>
          <cell r="Q175">
            <v>344</v>
          </cell>
          <cell r="R175">
            <v>235.01086000000001</v>
          </cell>
          <cell r="S175">
            <v>235.01086000000001</v>
          </cell>
          <cell r="T175">
            <v>8.5467999999999993</v>
          </cell>
          <cell r="U175">
            <v>24</v>
          </cell>
          <cell r="V175">
            <v>24</v>
          </cell>
          <cell r="W175">
            <v>24</v>
          </cell>
          <cell r="X175">
            <v>0</v>
          </cell>
          <cell r="Y175">
            <v>20.15624</v>
          </cell>
          <cell r="Z175">
            <v>108.98913999999999</v>
          </cell>
          <cell r="AA175">
            <v>-108.98913999999999</v>
          </cell>
          <cell r="AB175">
            <v>259.01085999999998</v>
          </cell>
          <cell r="AC175">
            <v>-84.98914000000002</v>
          </cell>
          <cell r="AD175">
            <v>48</v>
          </cell>
        </row>
        <row r="176">
          <cell r="B176" t="str">
            <v>LCP-210177</v>
          </cell>
          <cell r="C176" t="str">
            <v>AME - UPG EXTRUDER HEAD 8X3 EXTRUDER</v>
          </cell>
          <cell r="D176" t="str">
            <v>Facilities Sustaining</v>
          </cell>
          <cell r="E176" t="str">
            <v>N</v>
          </cell>
          <cell r="F176" t="str">
            <v>LA</v>
          </cell>
          <cell r="H176" t="str">
            <v>Consumer Radial</v>
          </cell>
          <cell r="I176" t="str">
            <v>CURING</v>
          </cell>
          <cell r="J176" t="str">
            <v>AME</v>
          </cell>
          <cell r="T176">
            <v>0</v>
          </cell>
          <cell r="U176">
            <v>0</v>
          </cell>
          <cell r="AD176">
            <v>182.99999999999991</v>
          </cell>
        </row>
        <row r="177">
          <cell r="B177" t="str">
            <v>LCP-XXXXX7</v>
          </cell>
          <cell r="C177" t="str">
            <v>CAL4R#1 WIND-UP UPGRADE</v>
          </cell>
          <cell r="D177" t="str">
            <v>Capability</v>
          </cell>
          <cell r="E177" t="str">
            <v>N</v>
          </cell>
          <cell r="F177" t="str">
            <v>LA</v>
          </cell>
          <cell r="H177" t="str">
            <v>COMMERCIAL RADIAL</v>
          </cell>
          <cell r="I177" t="str">
            <v>OTHER</v>
          </cell>
          <cell r="J177" t="str">
            <v>AME</v>
          </cell>
          <cell r="T177">
            <v>0</v>
          </cell>
          <cell r="U177">
            <v>0</v>
          </cell>
          <cell r="V177">
            <v>102.81099999999998</v>
          </cell>
          <cell r="W177">
            <v>102.81099999999998</v>
          </cell>
        </row>
        <row r="178">
          <cell r="B178" t="str">
            <v>LCP-210084</v>
          </cell>
          <cell r="C178" t="str">
            <v>AME - UPG BARREL AND SCREWS</v>
          </cell>
          <cell r="D178" t="str">
            <v>Facilities Sustaining</v>
          </cell>
          <cell r="E178" t="str">
            <v>N</v>
          </cell>
          <cell r="F178" t="str">
            <v>LA</v>
          </cell>
          <cell r="H178" t="str">
            <v>Other</v>
          </cell>
          <cell r="I178" t="str">
            <v>OTHER</v>
          </cell>
          <cell r="J178" t="str">
            <v>AME</v>
          </cell>
          <cell r="T178">
            <v>210.67781000000002</v>
          </cell>
          <cell r="U178">
            <v>0</v>
          </cell>
          <cell r="X178">
            <v>0</v>
          </cell>
          <cell r="Y178">
            <v>31.934370000000001</v>
          </cell>
          <cell r="AD178">
            <v>135.59899999999999</v>
          </cell>
        </row>
        <row r="179">
          <cell r="B179" t="str">
            <v>LCP-190148</v>
          </cell>
          <cell r="C179" t="str">
            <v>Kelly Armorsteel Line extension</v>
          </cell>
          <cell r="D179" t="str">
            <v>Molds</v>
          </cell>
          <cell r="E179" t="str">
            <v>N</v>
          </cell>
          <cell r="F179" t="str">
            <v>LA</v>
          </cell>
          <cell r="H179" t="str">
            <v>Commercial Radial</v>
          </cell>
          <cell r="I179" t="str">
            <v>Curing</v>
          </cell>
          <cell r="J179" t="str">
            <v>AME</v>
          </cell>
          <cell r="O179">
            <v>760</v>
          </cell>
          <cell r="Q179">
            <v>760</v>
          </cell>
          <cell r="R179">
            <v>48.507850000000019</v>
          </cell>
          <cell r="S179">
            <v>49.529470000000018</v>
          </cell>
          <cell r="T179">
            <v>1.02162</v>
          </cell>
          <cell r="U179">
            <v>0</v>
          </cell>
          <cell r="Z179">
            <v>710.47052999999994</v>
          </cell>
          <cell r="AA179">
            <v>-710.47052999999994</v>
          </cell>
          <cell r="AB179">
            <v>49.529470000000018</v>
          </cell>
          <cell r="AC179">
            <v>-710.47052999999994</v>
          </cell>
        </row>
        <row r="180">
          <cell r="B180" t="str">
            <v>LCP-210120</v>
          </cell>
          <cell r="C180" t="str">
            <v>AME - COOLING SYSTEM UPGRADE MIXER#03</v>
          </cell>
          <cell r="D180" t="str">
            <v>Quality - Improvement</v>
          </cell>
          <cell r="E180" t="str">
            <v>N</v>
          </cell>
          <cell r="F180" t="str">
            <v>LA</v>
          </cell>
          <cell r="H180" t="str">
            <v>MIXED</v>
          </cell>
          <cell r="I180" t="str">
            <v>MIXING</v>
          </cell>
          <cell r="J180" t="str">
            <v>AME</v>
          </cell>
          <cell r="T180">
            <v>0</v>
          </cell>
          <cell r="U180">
            <v>60</v>
          </cell>
          <cell r="V180">
            <v>150</v>
          </cell>
          <cell r="W180">
            <v>150</v>
          </cell>
          <cell r="X180">
            <v>133</v>
          </cell>
          <cell r="Y180">
            <v>0</v>
          </cell>
          <cell r="AD180">
            <v>124</v>
          </cell>
        </row>
        <row r="181">
          <cell r="B181" t="str">
            <v>LCP-190153</v>
          </cell>
          <cell r="C181" t="str">
            <v>CHI - DOR NAZAR</v>
          </cell>
          <cell r="D181" t="str">
            <v>SAG</v>
          </cell>
          <cell r="E181" t="str">
            <v>N</v>
          </cell>
          <cell r="F181" t="str">
            <v>LA</v>
          </cell>
          <cell r="H181" t="str">
            <v>N/A</v>
          </cell>
          <cell r="I181" t="str">
            <v>SAG - Other</v>
          </cell>
          <cell r="J181" t="str">
            <v>CHI</v>
          </cell>
          <cell r="O181">
            <v>114.4</v>
          </cell>
          <cell r="Q181">
            <v>114.4</v>
          </cell>
          <cell r="S181">
            <v>0</v>
          </cell>
          <cell r="T181">
            <v>0</v>
          </cell>
          <cell r="U181">
            <v>0</v>
          </cell>
          <cell r="X181">
            <v>0</v>
          </cell>
          <cell r="Y181">
            <v>9.869959999999999</v>
          </cell>
          <cell r="Z181">
            <v>114.4</v>
          </cell>
          <cell r="AA181">
            <v>-114.4</v>
          </cell>
          <cell r="AB181">
            <v>0</v>
          </cell>
          <cell r="AC181">
            <v>-114.4</v>
          </cell>
        </row>
        <row r="182">
          <cell r="B182" t="str">
            <v>LCP-210118</v>
          </cell>
          <cell r="C182" t="str">
            <v>COOLING SYSTEM UPGRADE MIXER#02–PHASE I</v>
          </cell>
          <cell r="D182" t="str">
            <v>Quality - Improvement</v>
          </cell>
          <cell r="E182" t="str">
            <v>N</v>
          </cell>
          <cell r="F182" t="str">
            <v>LA</v>
          </cell>
          <cell r="H182" t="str">
            <v>MIXED</v>
          </cell>
          <cell r="I182" t="str">
            <v>MIXING</v>
          </cell>
          <cell r="J182" t="str">
            <v>AME</v>
          </cell>
          <cell r="T182">
            <v>0</v>
          </cell>
          <cell r="U182">
            <v>60</v>
          </cell>
          <cell r="V182">
            <v>20</v>
          </cell>
          <cell r="W182">
            <v>20</v>
          </cell>
          <cell r="X182">
            <v>133</v>
          </cell>
          <cell r="Y182">
            <v>0</v>
          </cell>
          <cell r="AD182">
            <v>123.5</v>
          </cell>
        </row>
        <row r="183">
          <cell r="B183" t="str">
            <v>LCP-190164</v>
          </cell>
          <cell r="C183" t="str">
            <v>PER - TBM R4 CONTROLS UPGRADE</v>
          </cell>
          <cell r="D183" t="str">
            <v>Facilities Sustaining</v>
          </cell>
          <cell r="E183" t="str">
            <v>N</v>
          </cell>
          <cell r="F183" t="str">
            <v>LA</v>
          </cell>
          <cell r="H183" t="str">
            <v>Consumer Radial</v>
          </cell>
          <cell r="I183" t="str">
            <v>Tire Assembly</v>
          </cell>
          <cell r="J183" t="str">
            <v>PER</v>
          </cell>
          <cell r="O183">
            <v>83.5</v>
          </cell>
          <cell r="Q183">
            <v>83.5</v>
          </cell>
          <cell r="R183">
            <v>82.945729999999998</v>
          </cell>
          <cell r="S183">
            <v>82.945729999999998</v>
          </cell>
          <cell r="T183">
            <v>0</v>
          </cell>
          <cell r="U183">
            <v>0</v>
          </cell>
          <cell r="Z183">
            <v>0.55427000000000248</v>
          </cell>
          <cell r="AA183">
            <v>-0.55427000000000248</v>
          </cell>
          <cell r="AB183">
            <v>82.945729999999998</v>
          </cell>
          <cell r="AC183">
            <v>-0.55427000000000248</v>
          </cell>
        </row>
        <row r="184">
          <cell r="B184" t="str">
            <v>LCP-190165</v>
          </cell>
          <cell r="C184" t="str">
            <v>PER - (4) HYDRAULIC TO ELECTROMECHANIC BEAD HOLDER SYSTEMS ON TBM's</v>
          </cell>
          <cell r="D184" t="str">
            <v>Facilities Sustaining</v>
          </cell>
          <cell r="E184" t="str">
            <v>N</v>
          </cell>
          <cell r="F184" t="str">
            <v>LA</v>
          </cell>
          <cell r="H184" t="str">
            <v>Consumer Radial</v>
          </cell>
          <cell r="I184" t="str">
            <v>Tire Assembly</v>
          </cell>
          <cell r="J184" t="str">
            <v>PER</v>
          </cell>
          <cell r="O184">
            <v>244</v>
          </cell>
          <cell r="Q184">
            <v>244</v>
          </cell>
          <cell r="R184">
            <v>176.29637</v>
          </cell>
          <cell r="S184">
            <v>176.39147</v>
          </cell>
          <cell r="T184">
            <v>9.5100000000000004E-2</v>
          </cell>
          <cell r="U184">
            <v>0.12615999999999999</v>
          </cell>
          <cell r="V184">
            <v>8.6</v>
          </cell>
          <cell r="W184">
            <v>8.6</v>
          </cell>
          <cell r="Z184">
            <v>67.608530000000002</v>
          </cell>
          <cell r="AA184">
            <v>-67.608530000000002</v>
          </cell>
          <cell r="AB184">
            <v>176.51763</v>
          </cell>
          <cell r="AC184">
            <v>-67.482370000000003</v>
          </cell>
          <cell r="AD184">
            <v>8.6</v>
          </cell>
        </row>
        <row r="185">
          <cell r="B185" t="str">
            <v>LCP-190185</v>
          </cell>
          <cell r="C185" t="str">
            <v>PER - VICOSIMETER</v>
          </cell>
          <cell r="D185" t="str">
            <v>Quality - Improvement</v>
          </cell>
          <cell r="E185" t="str">
            <v>N</v>
          </cell>
          <cell r="F185" t="str">
            <v>LA</v>
          </cell>
          <cell r="H185" t="str">
            <v>N/A</v>
          </cell>
          <cell r="I185" t="str">
            <v>COMPONENT PREP OTHER</v>
          </cell>
          <cell r="J185" t="str">
            <v>PER</v>
          </cell>
          <cell r="O185">
            <v>60</v>
          </cell>
          <cell r="Q185">
            <v>60</v>
          </cell>
          <cell r="R185">
            <v>59.931670000000004</v>
          </cell>
          <cell r="S185">
            <v>59.931670000000004</v>
          </cell>
          <cell r="T185">
            <v>0</v>
          </cell>
          <cell r="U185">
            <v>0</v>
          </cell>
          <cell r="X185">
            <v>0</v>
          </cell>
          <cell r="Y185">
            <v>0.26939999999999997</v>
          </cell>
          <cell r="Z185">
            <v>6.8329999999996005E-2</v>
          </cell>
          <cell r="AA185">
            <v>-6.8329999999996005E-2</v>
          </cell>
          <cell r="AB185">
            <v>59.931670000000004</v>
          </cell>
          <cell r="AC185">
            <v>-6.8329999999996005E-2</v>
          </cell>
        </row>
        <row r="186">
          <cell r="B186" t="str">
            <v>LCP-210131</v>
          </cell>
          <cell r="C186" t="str">
            <v>AME - WOMEN'S RESTROOM</v>
          </cell>
          <cell r="D186" t="str">
            <v>EHS</v>
          </cell>
          <cell r="E186" t="str">
            <v>N</v>
          </cell>
          <cell r="F186" t="str">
            <v>LA</v>
          </cell>
          <cell r="G186" t="str">
            <v>COMP</v>
          </cell>
          <cell r="H186" t="str">
            <v>Other</v>
          </cell>
          <cell r="I186" t="str">
            <v>Other</v>
          </cell>
          <cell r="J186" t="str">
            <v>AME</v>
          </cell>
          <cell r="T186">
            <v>0</v>
          </cell>
          <cell r="U186">
            <v>150</v>
          </cell>
          <cell r="X186">
            <v>251.12100000000001</v>
          </cell>
          <cell r="Y186">
            <v>0</v>
          </cell>
          <cell r="AD186">
            <v>105.00000000000001</v>
          </cell>
        </row>
        <row r="187">
          <cell r="B187" t="str">
            <v>LCP-190192</v>
          </cell>
          <cell r="C187" t="str">
            <v>PER - ASSURANCE SUCCESSOR</v>
          </cell>
          <cell r="D187" t="str">
            <v>Molds</v>
          </cell>
          <cell r="E187" t="str">
            <v>N</v>
          </cell>
          <cell r="F187" t="str">
            <v>LA</v>
          </cell>
          <cell r="H187" t="str">
            <v>CONSUMER RADIAL</v>
          </cell>
          <cell r="I187" t="str">
            <v>Curing</v>
          </cell>
          <cell r="J187" t="str">
            <v>PER</v>
          </cell>
          <cell r="O187">
            <v>1080</v>
          </cell>
          <cell r="Q187">
            <v>1080</v>
          </cell>
          <cell r="R187">
            <v>210.38191000000003</v>
          </cell>
          <cell r="S187">
            <v>235.08524000000003</v>
          </cell>
          <cell r="T187">
            <v>24.703330000000001</v>
          </cell>
          <cell r="U187">
            <v>0</v>
          </cell>
          <cell r="V187">
            <v>10.29425</v>
          </cell>
          <cell r="W187">
            <v>10.29425</v>
          </cell>
          <cell r="X187">
            <v>29.181999999999999</v>
          </cell>
          <cell r="Y187">
            <v>1.07</v>
          </cell>
          <cell r="Z187">
            <v>844.91476</v>
          </cell>
          <cell r="AA187">
            <v>-844.91476</v>
          </cell>
          <cell r="AB187">
            <v>235.08524000000003</v>
          </cell>
          <cell r="AC187">
            <v>-844.91476</v>
          </cell>
        </row>
        <row r="188">
          <cell r="B188" t="str">
            <v>LCP-190194</v>
          </cell>
          <cell r="C188" t="str">
            <v>AME - 3 molds 205/45R18 Eagle Touring</v>
          </cell>
          <cell r="D188" t="str">
            <v>Molds</v>
          </cell>
          <cell r="E188" t="str">
            <v>N</v>
          </cell>
          <cell r="F188" t="str">
            <v>LA</v>
          </cell>
          <cell r="H188" t="str">
            <v>CONSUMER RADIAL</v>
          </cell>
          <cell r="I188" t="str">
            <v>CURING</v>
          </cell>
          <cell r="J188" t="str">
            <v>AME</v>
          </cell>
          <cell r="O188">
            <v>135</v>
          </cell>
          <cell r="Q188">
            <v>135</v>
          </cell>
          <cell r="R188">
            <v>0</v>
          </cell>
          <cell r="S188">
            <v>0</v>
          </cell>
          <cell r="T188">
            <v>0</v>
          </cell>
          <cell r="U188">
            <v>0</v>
          </cell>
          <cell r="Z188">
            <v>135</v>
          </cell>
          <cell r="AA188">
            <v>-135</v>
          </cell>
          <cell r="AB188">
            <v>0</v>
          </cell>
          <cell r="AC188">
            <v>-135</v>
          </cell>
        </row>
        <row r="189">
          <cell r="B189" t="str">
            <v>LCP-190195</v>
          </cell>
          <cell r="C189" t="str">
            <v>AME- 205/55R16 &amp;amp; 265/70R16 Kelly Edg</v>
          </cell>
          <cell r="D189" t="str">
            <v>Molds</v>
          </cell>
          <cell r="E189" t="str">
            <v>N</v>
          </cell>
          <cell r="F189" t="str">
            <v>LA</v>
          </cell>
          <cell r="H189" t="str">
            <v>CONSUMER RADIAL</v>
          </cell>
          <cell r="I189" t="str">
            <v>CURING</v>
          </cell>
          <cell r="J189" t="str">
            <v>AME</v>
          </cell>
          <cell r="O189">
            <v>164.45</v>
          </cell>
          <cell r="Q189">
            <v>164.45</v>
          </cell>
          <cell r="R189">
            <v>57.056089999999998</v>
          </cell>
          <cell r="S189">
            <v>57.056089999999998</v>
          </cell>
          <cell r="T189">
            <v>0</v>
          </cell>
          <cell r="U189">
            <v>0</v>
          </cell>
          <cell r="Z189">
            <v>107.39390999999999</v>
          </cell>
          <cell r="AA189">
            <v>-107.39390999999999</v>
          </cell>
          <cell r="AB189">
            <v>57.056089999999998</v>
          </cell>
          <cell r="AC189">
            <v>-107.39390999999999</v>
          </cell>
        </row>
        <row r="190">
          <cell r="B190" t="str">
            <v>LCP-190197</v>
          </cell>
          <cell r="C190" t="str">
            <v>PER - COMPOUNDS RACKS FOR PREP COMP AREA</v>
          </cell>
          <cell r="D190" t="str">
            <v>Facilities Sustaining</v>
          </cell>
          <cell r="E190" t="str">
            <v>N</v>
          </cell>
          <cell r="F190" t="str">
            <v>LA</v>
          </cell>
          <cell r="H190" t="str">
            <v>N/A</v>
          </cell>
          <cell r="I190" t="str">
            <v>COMPONENT PREP OTHER</v>
          </cell>
          <cell r="J190" t="str">
            <v>PER</v>
          </cell>
          <cell r="O190">
            <v>88</v>
          </cell>
          <cell r="Q190">
            <v>88</v>
          </cell>
          <cell r="R190">
            <v>87.779029999999992</v>
          </cell>
          <cell r="S190">
            <v>87.779029999999992</v>
          </cell>
          <cell r="T190">
            <v>0</v>
          </cell>
          <cell r="U190">
            <v>0</v>
          </cell>
          <cell r="Z190">
            <v>0.22097000000000833</v>
          </cell>
          <cell r="AA190">
            <v>-0.22097000000000833</v>
          </cell>
          <cell r="AB190">
            <v>87.779029999999992</v>
          </cell>
          <cell r="AC190">
            <v>-0.22097000000000833</v>
          </cell>
        </row>
        <row r="191">
          <cell r="B191" t="str">
            <v>LCP-190020</v>
          </cell>
          <cell r="C191" t="str">
            <v>AME - ROBOT FOR BEAD WINDER</v>
          </cell>
          <cell r="D191" t="str">
            <v>Productivity</v>
          </cell>
          <cell r="E191" t="str">
            <v>N</v>
          </cell>
          <cell r="F191" t="str">
            <v>LA</v>
          </cell>
          <cell r="H191" t="str">
            <v>Mixed</v>
          </cell>
          <cell r="I191" t="str">
            <v>Other</v>
          </cell>
          <cell r="J191" t="str">
            <v>AME</v>
          </cell>
          <cell r="O191">
            <v>90</v>
          </cell>
          <cell r="Q191">
            <v>90</v>
          </cell>
          <cell r="R191">
            <v>49.075190000000006</v>
          </cell>
          <cell r="S191">
            <v>91.345690000000005</v>
          </cell>
          <cell r="T191">
            <v>50.493780000000001</v>
          </cell>
          <cell r="U191">
            <v>70.295789999999997</v>
          </cell>
          <cell r="V191">
            <v>138.62703999999999</v>
          </cell>
          <cell r="W191">
            <v>138.62703999999999</v>
          </cell>
          <cell r="X191">
            <v>1.9018699999999999</v>
          </cell>
          <cell r="Y191">
            <v>169.07485999999997</v>
          </cell>
          <cell r="Z191">
            <v>-1.3456900000000047</v>
          </cell>
          <cell r="AA191">
            <v>1.3456900000000047</v>
          </cell>
          <cell r="AB191">
            <v>161.64148</v>
          </cell>
          <cell r="AC191">
            <v>71.641480000000001</v>
          </cell>
          <cell r="AD191">
            <v>100.00000000000001</v>
          </cell>
        </row>
        <row r="192">
          <cell r="B192" t="str">
            <v>LCP-190200</v>
          </cell>
          <cell r="C192" t="str">
            <v>PER - Blue Rack for Tire Warehouse</v>
          </cell>
          <cell r="D192" t="str">
            <v>SAG</v>
          </cell>
          <cell r="E192" t="str">
            <v>N</v>
          </cell>
          <cell r="F192" t="str">
            <v>LA</v>
          </cell>
          <cell r="H192" t="str">
            <v>N/A</v>
          </cell>
          <cell r="I192" t="str">
            <v>SAG - Supply Chain</v>
          </cell>
          <cell r="J192" t="str">
            <v>PER</v>
          </cell>
          <cell r="O192">
            <v>87</v>
          </cell>
          <cell r="Q192">
            <v>87</v>
          </cell>
          <cell r="R192">
            <v>28.070149999999998</v>
          </cell>
          <cell r="S192">
            <v>28.070149999999998</v>
          </cell>
          <cell r="T192">
            <v>0</v>
          </cell>
          <cell r="U192">
            <v>0</v>
          </cell>
          <cell r="Z192">
            <v>58.929850000000002</v>
          </cell>
          <cell r="AA192">
            <v>-58.929850000000002</v>
          </cell>
          <cell r="AB192">
            <v>28.070149999999998</v>
          </cell>
          <cell r="AC192">
            <v>-58.929850000000002</v>
          </cell>
        </row>
        <row r="193">
          <cell r="B193" t="str">
            <v>LCP-210045</v>
          </cell>
          <cell r="C193" t="str">
            <v>CREEL ROOM TRANSFER FROM GADSTEN PLANT</v>
          </cell>
          <cell r="D193" t="str">
            <v>Productivity</v>
          </cell>
          <cell r="E193" t="str">
            <v>N</v>
          </cell>
          <cell r="F193" t="str">
            <v>LA</v>
          </cell>
          <cell r="H193" t="str">
            <v>CONSUMER RADIAL</v>
          </cell>
          <cell r="I193" t="str">
            <v>COMPONENT PREP OTHER</v>
          </cell>
          <cell r="J193" t="str">
            <v>AME</v>
          </cell>
          <cell r="T193">
            <v>0</v>
          </cell>
          <cell r="U193">
            <v>96</v>
          </cell>
          <cell r="X193">
            <v>0</v>
          </cell>
          <cell r="Y193">
            <v>11.290569999999999</v>
          </cell>
          <cell r="AD193">
            <v>89</v>
          </cell>
        </row>
        <row r="194">
          <cell r="B194" t="str">
            <v>LCP-210134</v>
          </cell>
          <cell r="C194" t="str">
            <v>AME – INTERNAL LIGHTING ADEQUACY</v>
          </cell>
          <cell r="D194" t="str">
            <v>EHS</v>
          </cell>
          <cell r="E194" t="str">
            <v>N</v>
          </cell>
          <cell r="F194" t="str">
            <v>LA</v>
          </cell>
          <cell r="G194" t="str">
            <v>COMP</v>
          </cell>
          <cell r="H194" t="str">
            <v>Other</v>
          </cell>
          <cell r="I194" t="str">
            <v>OTHER</v>
          </cell>
          <cell r="J194" t="str">
            <v>AME</v>
          </cell>
          <cell r="T194">
            <v>0</v>
          </cell>
          <cell r="U194">
            <v>79.953180000000003</v>
          </cell>
          <cell r="X194">
            <v>99.921890000000019</v>
          </cell>
          <cell r="Y194">
            <v>0</v>
          </cell>
          <cell r="AD194">
            <v>86.000000000000014</v>
          </cell>
        </row>
        <row r="195">
          <cell r="B195" t="str">
            <v>LCP-210138</v>
          </cell>
          <cell r="C195" t="str">
            <v>AME - NEW RAINWATER CONTAINMENT SYSTEM</v>
          </cell>
          <cell r="D195" t="str">
            <v>EHS</v>
          </cell>
          <cell r="E195" t="str">
            <v>N</v>
          </cell>
          <cell r="F195" t="str">
            <v>LA</v>
          </cell>
          <cell r="G195" t="str">
            <v>ENV</v>
          </cell>
          <cell r="H195" t="str">
            <v>Other</v>
          </cell>
          <cell r="I195" t="str">
            <v>OTHER</v>
          </cell>
          <cell r="J195" t="str">
            <v>AME</v>
          </cell>
          <cell r="T195">
            <v>0</v>
          </cell>
          <cell r="U195">
            <v>90</v>
          </cell>
          <cell r="X195">
            <v>164.20319000000001</v>
          </cell>
          <cell r="Y195">
            <v>0</v>
          </cell>
          <cell r="AD195">
            <v>85.000000000000014</v>
          </cell>
        </row>
        <row r="196">
          <cell r="B196" t="str">
            <v>LCP-210121</v>
          </cell>
          <cell r="C196" t="str">
            <v>AME – WULO – CONSUMMER BUILDING - STEP 2 - NT22</v>
          </cell>
          <cell r="D196" t="str">
            <v>EHS</v>
          </cell>
          <cell r="E196" t="str">
            <v>N</v>
          </cell>
          <cell r="F196" t="str">
            <v>LA</v>
          </cell>
          <cell r="G196" t="str">
            <v>MSR</v>
          </cell>
          <cell r="H196" t="str">
            <v>N/A</v>
          </cell>
          <cell r="I196" t="str">
            <v>OTHER</v>
          </cell>
          <cell r="J196" t="str">
            <v>AME</v>
          </cell>
          <cell r="T196">
            <v>14.741239999999999</v>
          </cell>
          <cell r="U196">
            <v>7.5675599999999985</v>
          </cell>
          <cell r="X196">
            <v>0</v>
          </cell>
          <cell r="Y196">
            <v>51.295790000000011</v>
          </cell>
          <cell r="AD196">
            <v>80</v>
          </cell>
        </row>
        <row r="197">
          <cell r="B197" t="str">
            <v>LCP-190209</v>
          </cell>
          <cell r="C197" t="str">
            <v>CAP-Racks Acquisition to Store Tire</v>
          </cell>
          <cell r="D197" t="str">
            <v>SAG</v>
          </cell>
          <cell r="E197" t="str">
            <v>N</v>
          </cell>
          <cell r="F197" t="str">
            <v>LA</v>
          </cell>
          <cell r="H197" t="str">
            <v>Consumer Radial</v>
          </cell>
          <cell r="I197" t="str">
            <v>SAG - Supply Chain</v>
          </cell>
          <cell r="J197" t="str">
            <v>CHI</v>
          </cell>
          <cell r="O197">
            <v>297</v>
          </cell>
          <cell r="Q197">
            <v>297</v>
          </cell>
          <cell r="R197">
            <v>0</v>
          </cell>
          <cell r="S197">
            <v>0</v>
          </cell>
          <cell r="T197">
            <v>0</v>
          </cell>
          <cell r="U197">
            <v>0</v>
          </cell>
          <cell r="Z197">
            <v>297</v>
          </cell>
          <cell r="AA197">
            <v>-297</v>
          </cell>
          <cell r="AB197">
            <v>0</v>
          </cell>
          <cell r="AC197">
            <v>-297</v>
          </cell>
        </row>
        <row r="198">
          <cell r="B198" t="str">
            <v>LCP-210204</v>
          </cell>
          <cell r="C198" t="str">
            <v>AME - NEW MIXER SLURRY - PLITVIC</v>
          </cell>
          <cell r="D198" t="str">
            <v>Quality - Improvement</v>
          </cell>
          <cell r="E198" t="str">
            <v>N</v>
          </cell>
          <cell r="F198" t="str">
            <v>LA</v>
          </cell>
          <cell r="J198" t="str">
            <v>AME</v>
          </cell>
          <cell r="T198">
            <v>0</v>
          </cell>
          <cell r="U198">
            <v>85</v>
          </cell>
          <cell r="AD198">
            <v>73.534999999999997</v>
          </cell>
        </row>
        <row r="199">
          <cell r="B199" t="str">
            <v>LCP-210010</v>
          </cell>
          <cell r="C199" t="str">
            <v>REPLACEMENT OF THE PRIMARY GEARBOX MIXER#06</v>
          </cell>
          <cell r="D199" t="str">
            <v>Facilities Sustaining</v>
          </cell>
          <cell r="E199" t="str">
            <v>N</v>
          </cell>
          <cell r="F199" t="str">
            <v>LA</v>
          </cell>
          <cell r="H199" t="str">
            <v>Mixed</v>
          </cell>
          <cell r="I199" t="str">
            <v>MIXING</v>
          </cell>
          <cell r="J199" t="str">
            <v>AME</v>
          </cell>
          <cell r="T199">
            <v>2.2459699999999998</v>
          </cell>
          <cell r="U199">
            <v>102.09961</v>
          </cell>
          <cell r="X199">
            <v>0</v>
          </cell>
          <cell r="Y199">
            <v>125.67686</v>
          </cell>
          <cell r="AD199">
            <v>56.638200000000005</v>
          </cell>
        </row>
        <row r="200">
          <cell r="B200" t="str">
            <v>LCP-210132</v>
          </cell>
          <cell r="C200" t="str">
            <v>AME - STEEL TRANSFERS BAND NGTTS</v>
          </cell>
          <cell r="D200" t="str">
            <v>Facilities Sustaining</v>
          </cell>
          <cell r="E200" t="str">
            <v>N</v>
          </cell>
          <cell r="F200" t="str">
            <v>LA</v>
          </cell>
          <cell r="H200" t="str">
            <v>N/A</v>
          </cell>
          <cell r="I200" t="str">
            <v>OTHER</v>
          </cell>
          <cell r="J200" t="str">
            <v>AME</v>
          </cell>
          <cell r="T200">
            <v>0</v>
          </cell>
          <cell r="U200">
            <v>115.82579</v>
          </cell>
          <cell r="X200">
            <v>109.33982</v>
          </cell>
          <cell r="Y200">
            <v>1.1191199999999999</v>
          </cell>
          <cell r="AD200">
            <v>53</v>
          </cell>
        </row>
        <row r="201">
          <cell r="B201" t="str">
            <v>LCP-210149</v>
          </cell>
          <cell r="C201" t="str">
            <v>AME - CURING VACUUM SYSTEM UPGRADE</v>
          </cell>
          <cell r="D201" t="str">
            <v>Facilities Sustaining</v>
          </cell>
          <cell r="E201" t="str">
            <v>N</v>
          </cell>
          <cell r="F201" t="str">
            <v>LA</v>
          </cell>
          <cell r="H201" t="str">
            <v>N/A</v>
          </cell>
          <cell r="I201" t="str">
            <v>OTHER</v>
          </cell>
          <cell r="J201" t="str">
            <v>AME</v>
          </cell>
          <cell r="T201">
            <v>2.1044699999999996</v>
          </cell>
          <cell r="U201">
            <v>62.923350000000006</v>
          </cell>
          <cell r="X201">
            <v>0</v>
          </cell>
          <cell r="Y201">
            <v>79.04222</v>
          </cell>
          <cell r="AD201">
            <v>40</v>
          </cell>
        </row>
        <row r="202">
          <cell r="B202" t="str">
            <v>LCP-190252</v>
          </cell>
          <cell r="C202" t="str">
            <v xml:space="preserve">COL - GUM CALENDER (4) ROLLS REPLACEMENT </v>
          </cell>
          <cell r="D202" t="str">
            <v>Facilities Sustaining</v>
          </cell>
          <cell r="E202" t="str">
            <v>N</v>
          </cell>
          <cell r="F202" t="str">
            <v>LA</v>
          </cell>
          <cell r="H202" t="str">
            <v>Commercial Radial</v>
          </cell>
          <cell r="I202" t="str">
            <v>Component Prep Other</v>
          </cell>
          <cell r="J202" t="str">
            <v>COL</v>
          </cell>
          <cell r="O202">
            <v>140.596</v>
          </cell>
          <cell r="Q202">
            <v>140.596</v>
          </cell>
          <cell r="R202">
            <v>101.59381</v>
          </cell>
          <cell r="S202">
            <v>101.59381</v>
          </cell>
          <cell r="T202">
            <v>0</v>
          </cell>
          <cell r="U202">
            <v>0</v>
          </cell>
          <cell r="Z202">
            <v>39.002189999999999</v>
          </cell>
          <cell r="AA202">
            <v>-39.002189999999999</v>
          </cell>
          <cell r="AB202">
            <v>101.59381</v>
          </cell>
          <cell r="AC202">
            <v>-39.002189999999999</v>
          </cell>
        </row>
        <row r="203">
          <cell r="B203" t="str">
            <v>LCP-200009</v>
          </cell>
          <cell r="C203" t="str">
            <v>AME-REPL &amp; UPG OF ROLLS IN CAL4R2</v>
          </cell>
          <cell r="D203" t="str">
            <v>Facilities Sustaining</v>
          </cell>
          <cell r="E203" t="str">
            <v>N</v>
          </cell>
          <cell r="F203" t="str">
            <v>LA</v>
          </cell>
          <cell r="H203" t="str">
            <v>CONSUMER RADIAL</v>
          </cell>
          <cell r="I203" t="str">
            <v>COMPONENT PREP OTHER</v>
          </cell>
          <cell r="J203" t="str">
            <v>AME</v>
          </cell>
          <cell r="O203">
            <v>864.93799999999999</v>
          </cell>
          <cell r="Q203">
            <v>864.93799999999999</v>
          </cell>
          <cell r="R203">
            <v>53.241159999999994</v>
          </cell>
          <cell r="S203">
            <v>157.20918999999998</v>
          </cell>
          <cell r="T203">
            <v>126.88839999999999</v>
          </cell>
          <cell r="U203">
            <v>-3.3285899999999913</v>
          </cell>
          <cell r="V203">
            <v>261</v>
          </cell>
          <cell r="W203">
            <v>261</v>
          </cell>
          <cell r="X203">
            <v>0</v>
          </cell>
          <cell r="Y203">
            <v>15.21477</v>
          </cell>
          <cell r="Z203">
            <v>707.72881000000007</v>
          </cell>
          <cell r="AA203">
            <v>-707.72881000000007</v>
          </cell>
          <cell r="AB203">
            <v>153.88059999999999</v>
          </cell>
          <cell r="AC203">
            <v>-711.05740000000003</v>
          </cell>
          <cell r="AD203">
            <v>35</v>
          </cell>
        </row>
        <row r="204">
          <cell r="B204" t="str">
            <v>LCP-200007</v>
          </cell>
          <cell r="C204" t="str">
            <v>AME - Additional Direction&amp;apos;s Molds</v>
          </cell>
          <cell r="D204" t="str">
            <v>Molds</v>
          </cell>
          <cell r="E204" t="str">
            <v>N</v>
          </cell>
          <cell r="F204" t="str">
            <v>LA</v>
          </cell>
          <cell r="H204" t="str">
            <v>CONSUMER RADIAL</v>
          </cell>
          <cell r="I204" t="str">
            <v>CURING</v>
          </cell>
          <cell r="J204" t="str">
            <v>AME</v>
          </cell>
          <cell r="O204">
            <v>169.7</v>
          </cell>
          <cell r="Q204">
            <v>169.7</v>
          </cell>
          <cell r="R204">
            <v>10.023640000000015</v>
          </cell>
          <cell r="S204">
            <v>10.023640000000015</v>
          </cell>
          <cell r="T204">
            <v>0</v>
          </cell>
          <cell r="U204">
            <v>0</v>
          </cell>
          <cell r="Z204">
            <v>159.67635999999999</v>
          </cell>
          <cell r="AA204">
            <v>-159.67635999999999</v>
          </cell>
          <cell r="AB204">
            <v>10.023640000000015</v>
          </cell>
          <cell r="AC204">
            <v>-159.67635999999999</v>
          </cell>
        </row>
        <row r="205">
          <cell r="B205" t="str">
            <v>LCP-210137</v>
          </cell>
          <cell r="C205" t="str">
            <v>AME -SIDEWALK BUILDING IN FRONT OF PLANT</v>
          </cell>
          <cell r="D205" t="str">
            <v>EHS</v>
          </cell>
          <cell r="E205" t="str">
            <v>N</v>
          </cell>
          <cell r="F205" t="str">
            <v>LA</v>
          </cell>
          <cell r="G205" t="str">
            <v>ERG</v>
          </cell>
          <cell r="H205" t="str">
            <v>Other</v>
          </cell>
          <cell r="I205" t="str">
            <v>FACILITIES/INFRASTRUCTURE</v>
          </cell>
          <cell r="J205" t="str">
            <v>AME</v>
          </cell>
          <cell r="T205">
            <v>0</v>
          </cell>
          <cell r="U205">
            <v>90.060270000000003</v>
          </cell>
          <cell r="X205">
            <v>0</v>
          </cell>
          <cell r="Y205">
            <v>121.75294</v>
          </cell>
          <cell r="AD205">
            <v>23</v>
          </cell>
        </row>
        <row r="206">
          <cell r="B206" t="str">
            <v>LCP-170154</v>
          </cell>
          <cell r="C206" t="str">
            <v>BRZ - AVCB NEW WAREHOUSE-BUILDING COMMERCIAL</v>
          </cell>
          <cell r="D206" t="str">
            <v>SAG</v>
          </cell>
          <cell r="E206" t="str">
            <v>C</v>
          </cell>
          <cell r="F206" t="str">
            <v>LA</v>
          </cell>
          <cell r="G206">
            <v>0</v>
          </cell>
          <cell r="H206" t="str">
            <v>Mixed</v>
          </cell>
          <cell r="I206" t="str">
            <v>SAG - Supply Chain</v>
          </cell>
          <cell r="J206" t="str">
            <v>BRZ</v>
          </cell>
          <cell r="O206">
            <v>2866.6</v>
          </cell>
          <cell r="Q206">
            <v>2866.6</v>
          </cell>
          <cell r="R206">
            <v>2646.8693699999963</v>
          </cell>
          <cell r="S206">
            <v>2646.8693699999963</v>
          </cell>
          <cell r="T206">
            <v>0</v>
          </cell>
          <cell r="U206">
            <v>0</v>
          </cell>
          <cell r="V206">
            <v>0.7</v>
          </cell>
          <cell r="W206">
            <v>0.7</v>
          </cell>
          <cell r="Z206">
            <v>219.73063000000366</v>
          </cell>
          <cell r="AA206">
            <v>-219.73063000000366</v>
          </cell>
          <cell r="AB206">
            <v>2646.8693699999963</v>
          </cell>
          <cell r="AC206">
            <v>-219.73063000000366</v>
          </cell>
          <cell r="AD206">
            <v>0</v>
          </cell>
        </row>
        <row r="207">
          <cell r="B207" t="str">
            <v>LCP-180002</v>
          </cell>
          <cell r="C207" t="str">
            <v>FAM AVCB PHASE II EMERGENCY LIGHTINING AND ALARMS</v>
          </cell>
          <cell r="D207" t="str">
            <v>EHS</v>
          </cell>
          <cell r="E207" t="str">
            <v>C</v>
          </cell>
          <cell r="F207" t="str">
            <v>LA</v>
          </cell>
          <cell r="G207" t="str">
            <v>COMP</v>
          </cell>
          <cell r="H207" t="str">
            <v>Mixed</v>
          </cell>
          <cell r="I207" t="str">
            <v>N/A</v>
          </cell>
          <cell r="J207" t="str">
            <v>AME</v>
          </cell>
          <cell r="O207">
            <v>3243</v>
          </cell>
          <cell r="P207">
            <v>249</v>
          </cell>
          <cell r="Q207">
            <v>3492</v>
          </cell>
          <cell r="R207">
            <v>3292.9036800000044</v>
          </cell>
          <cell r="S207">
            <v>3302.6670500000046</v>
          </cell>
          <cell r="T207">
            <v>9.7633699999999983</v>
          </cell>
          <cell r="U207">
            <v>0</v>
          </cell>
          <cell r="V207">
            <v>75</v>
          </cell>
          <cell r="W207">
            <v>75</v>
          </cell>
          <cell r="Z207">
            <v>189.33294999999544</v>
          </cell>
          <cell r="AA207">
            <v>-189.33294999999544</v>
          </cell>
          <cell r="AB207">
            <v>3302.6670500000046</v>
          </cell>
          <cell r="AC207">
            <v>-189.33294999999544</v>
          </cell>
          <cell r="AD207">
            <v>0</v>
          </cell>
        </row>
        <row r="208">
          <cell r="B208" t="str">
            <v>LCP-200012</v>
          </cell>
          <cell r="C208" t="str">
            <v>WRANGLER SUV SUCCESSOR</v>
          </cell>
          <cell r="D208" t="str">
            <v>Molds</v>
          </cell>
          <cell r="E208" t="str">
            <v>N</v>
          </cell>
          <cell r="F208" t="str">
            <v>LA</v>
          </cell>
          <cell r="H208" t="str">
            <v>Consumer Radial</v>
          </cell>
          <cell r="I208" t="str">
            <v>Curing</v>
          </cell>
          <cell r="J208" t="str">
            <v>PER</v>
          </cell>
          <cell r="O208">
            <v>720</v>
          </cell>
          <cell r="Q208">
            <v>720</v>
          </cell>
          <cell r="R208">
            <v>0</v>
          </cell>
          <cell r="S208">
            <v>26.204669999999858</v>
          </cell>
          <cell r="T208">
            <v>26.204669999999858</v>
          </cell>
          <cell r="U208">
            <v>0</v>
          </cell>
          <cell r="V208">
            <v>78.374759999999966</v>
          </cell>
          <cell r="W208">
            <v>78.374759999999966</v>
          </cell>
          <cell r="X208">
            <v>39.31</v>
          </cell>
          <cell r="Y208">
            <v>0</v>
          </cell>
          <cell r="Z208">
            <v>693.79533000000015</v>
          </cell>
          <cell r="AA208">
            <v>-693.79533000000015</v>
          </cell>
          <cell r="AB208">
            <v>26.204669999999858</v>
          </cell>
          <cell r="AC208">
            <v>-693.79533000000015</v>
          </cell>
          <cell r="AD208">
            <v>70.850999999999999</v>
          </cell>
        </row>
        <row r="209">
          <cell r="B209" t="str">
            <v>LCP-200014</v>
          </cell>
          <cell r="C209" t="str">
            <v>PER - CALENDER #1 TOP ROLL</v>
          </cell>
          <cell r="D209" t="str">
            <v>Facilities Sustaining</v>
          </cell>
          <cell r="E209" t="str">
            <v>N</v>
          </cell>
          <cell r="F209" t="str">
            <v>LA</v>
          </cell>
          <cell r="H209" t="str">
            <v>Consumer Radial</v>
          </cell>
          <cell r="I209" t="str">
            <v>Facilities/Infrastructure</v>
          </cell>
          <cell r="J209" t="str">
            <v>PER</v>
          </cell>
          <cell r="O209">
            <v>52.5</v>
          </cell>
          <cell r="Q209">
            <v>52.5</v>
          </cell>
          <cell r="S209">
            <v>53.30574</v>
          </cell>
          <cell r="T209">
            <v>53.30574</v>
          </cell>
          <cell r="U209">
            <v>0</v>
          </cell>
          <cell r="V209">
            <v>52.741599999999998</v>
          </cell>
          <cell r="W209">
            <v>52.741599999999998</v>
          </cell>
          <cell r="Z209">
            <v>-0.80574000000000012</v>
          </cell>
          <cell r="AA209">
            <v>0.80574000000000012</v>
          </cell>
          <cell r="AB209">
            <v>53.30574</v>
          </cell>
          <cell r="AC209">
            <v>0.80574000000000012</v>
          </cell>
        </row>
        <row r="210">
          <cell r="B210" t="str">
            <v>LCP-200016</v>
          </cell>
          <cell r="C210" t="str">
            <v>AME- LT275/65R18 Wr. Duratrac - Transfer</v>
          </cell>
          <cell r="D210" t="str">
            <v>Molds</v>
          </cell>
          <cell r="E210" t="str">
            <v>N</v>
          </cell>
          <cell r="F210" t="str">
            <v>LA</v>
          </cell>
          <cell r="H210" t="str">
            <v>Consumer Radial</v>
          </cell>
          <cell r="I210" t="str">
            <v>CURING</v>
          </cell>
          <cell r="J210" t="str">
            <v>AME</v>
          </cell>
          <cell r="O210">
            <v>4</v>
          </cell>
          <cell r="Q210">
            <v>4</v>
          </cell>
          <cell r="R210">
            <v>0</v>
          </cell>
          <cell r="S210">
            <v>0</v>
          </cell>
          <cell r="T210">
            <v>0</v>
          </cell>
          <cell r="U210">
            <v>0</v>
          </cell>
          <cell r="Z210">
            <v>4</v>
          </cell>
          <cell r="AA210">
            <v>-4</v>
          </cell>
          <cell r="AB210">
            <v>0</v>
          </cell>
          <cell r="AC210">
            <v>-4</v>
          </cell>
        </row>
        <row r="211">
          <cell r="B211" t="str">
            <v>LCP-200017</v>
          </cell>
          <cell r="C211" t="str">
            <v>PER - CLEANING MOLDS OVEN</v>
          </cell>
          <cell r="D211" t="str">
            <v>Quality - Improvement</v>
          </cell>
          <cell r="E211" t="str">
            <v>N</v>
          </cell>
          <cell r="F211" t="str">
            <v>LA</v>
          </cell>
          <cell r="H211" t="str">
            <v>Consumer Radial</v>
          </cell>
          <cell r="I211" t="str">
            <v>Curing</v>
          </cell>
          <cell r="J211" t="str">
            <v>PER</v>
          </cell>
          <cell r="O211">
            <v>115</v>
          </cell>
          <cell r="Q211">
            <v>115</v>
          </cell>
          <cell r="S211">
            <v>1.3735899999999999</v>
          </cell>
          <cell r="T211">
            <v>1.3735899999999999</v>
          </cell>
          <cell r="U211">
            <v>0</v>
          </cell>
          <cell r="X211">
            <v>0</v>
          </cell>
          <cell r="Y211">
            <v>0.25739999999999996</v>
          </cell>
          <cell r="Z211">
            <v>113.62641000000001</v>
          </cell>
          <cell r="AA211">
            <v>-113.62641000000001</v>
          </cell>
          <cell r="AB211">
            <v>1.3735899999999999</v>
          </cell>
          <cell r="AC211">
            <v>-113.62641000000001</v>
          </cell>
        </row>
        <row r="212">
          <cell r="B212" t="str">
            <v>LCP-200018</v>
          </cell>
          <cell r="C212" t="str">
            <v>VW Tarek Argentina R18</v>
          </cell>
          <cell r="D212" t="str">
            <v>Molds</v>
          </cell>
          <cell r="E212" t="str">
            <v>N</v>
          </cell>
          <cell r="F212" t="str">
            <v>LA</v>
          </cell>
          <cell r="H212" t="str">
            <v>Consumer Radial</v>
          </cell>
          <cell r="I212" t="str">
            <v>Curing</v>
          </cell>
          <cell r="J212" t="str">
            <v>AME</v>
          </cell>
          <cell r="O212">
            <v>340</v>
          </cell>
          <cell r="Q212">
            <v>340</v>
          </cell>
          <cell r="S212">
            <v>204.23382999999995</v>
          </cell>
          <cell r="T212">
            <v>204.23382999999995</v>
          </cell>
          <cell r="U212">
            <v>0</v>
          </cell>
          <cell r="V212">
            <v>174.07524000000001</v>
          </cell>
          <cell r="W212">
            <v>174.07524000000001</v>
          </cell>
          <cell r="Z212">
            <v>135.76617000000005</v>
          </cell>
          <cell r="AA212">
            <v>-135.76617000000005</v>
          </cell>
          <cell r="AB212">
            <v>204.23382999999995</v>
          </cell>
          <cell r="AC212">
            <v>-135.76617000000005</v>
          </cell>
          <cell r="AD212">
            <v>108.82499999999999</v>
          </cell>
        </row>
        <row r="213">
          <cell r="B213" t="str">
            <v>LCP-200019</v>
          </cell>
          <cell r="C213" t="str">
            <v>VW Tarek Argentina R19</v>
          </cell>
          <cell r="D213" t="str">
            <v>Molds</v>
          </cell>
          <cell r="E213" t="str">
            <v>N</v>
          </cell>
          <cell r="F213" t="str">
            <v>LA</v>
          </cell>
          <cell r="H213" t="str">
            <v>Consumer Radial</v>
          </cell>
          <cell r="I213" t="str">
            <v>Curing</v>
          </cell>
          <cell r="J213" t="str">
            <v>AME</v>
          </cell>
          <cell r="O213">
            <v>68</v>
          </cell>
          <cell r="Q213">
            <v>68</v>
          </cell>
          <cell r="S213">
            <v>51.269149999999996</v>
          </cell>
          <cell r="T213">
            <v>51.269149999999996</v>
          </cell>
          <cell r="U213">
            <v>0</v>
          </cell>
          <cell r="V213">
            <v>38.030450000000002</v>
          </cell>
          <cell r="W213">
            <v>38.030450000000002</v>
          </cell>
          <cell r="Z213">
            <v>16.730850000000004</v>
          </cell>
          <cell r="AA213">
            <v>-16.730850000000004</v>
          </cell>
          <cell r="AB213">
            <v>51.269149999999996</v>
          </cell>
          <cell r="AC213">
            <v>-16.730850000000004</v>
          </cell>
          <cell r="AD213">
            <v>37.700000000000003</v>
          </cell>
        </row>
        <row r="214">
          <cell r="B214" t="str">
            <v>LCP-200020</v>
          </cell>
          <cell r="C214" t="str">
            <v>KMAX D - Lwer UT , mold replacement</v>
          </cell>
          <cell r="D214" t="str">
            <v>Molds</v>
          </cell>
          <cell r="E214" t="str">
            <v>N</v>
          </cell>
          <cell r="F214" t="str">
            <v>LA</v>
          </cell>
          <cell r="H214" t="str">
            <v>Retread</v>
          </cell>
          <cell r="I214" t="str">
            <v>Curing</v>
          </cell>
          <cell r="J214" t="str">
            <v>RET</v>
          </cell>
          <cell r="O214">
            <v>105</v>
          </cell>
          <cell r="Q214">
            <v>105</v>
          </cell>
          <cell r="R214">
            <v>0</v>
          </cell>
          <cell r="S214">
            <v>0</v>
          </cell>
          <cell r="T214">
            <v>0</v>
          </cell>
          <cell r="U214">
            <v>0</v>
          </cell>
          <cell r="Z214">
            <v>105</v>
          </cell>
          <cell r="AA214">
            <v>-105</v>
          </cell>
          <cell r="AB214">
            <v>0</v>
          </cell>
          <cell r="AC214">
            <v>-105</v>
          </cell>
        </row>
        <row r="215">
          <cell r="B215" t="str">
            <v>LCP-200021</v>
          </cell>
          <cell r="C215" t="str">
            <v>Direction Transfer to Peru</v>
          </cell>
          <cell r="D215" t="str">
            <v>Molds</v>
          </cell>
          <cell r="E215" t="str">
            <v>N</v>
          </cell>
          <cell r="F215" t="str">
            <v>LA</v>
          </cell>
          <cell r="H215" t="str">
            <v>Consumer Radial</v>
          </cell>
          <cell r="I215" t="str">
            <v>Curing</v>
          </cell>
          <cell r="J215" t="str">
            <v>PER</v>
          </cell>
          <cell r="O215">
            <v>140</v>
          </cell>
          <cell r="Q215">
            <v>140</v>
          </cell>
          <cell r="R215">
            <v>0</v>
          </cell>
          <cell r="S215">
            <v>4.4838299999999993</v>
          </cell>
          <cell r="T215">
            <v>4.4838299999999993</v>
          </cell>
          <cell r="U215">
            <v>0</v>
          </cell>
          <cell r="V215">
            <v>2.7883100000000001</v>
          </cell>
          <cell r="W215">
            <v>2.7883100000000001</v>
          </cell>
          <cell r="X215">
            <v>1.54</v>
          </cell>
          <cell r="Y215">
            <v>0</v>
          </cell>
          <cell r="Z215">
            <v>135.51616999999999</v>
          </cell>
          <cell r="AA215">
            <v>-135.51616999999999</v>
          </cell>
          <cell r="AB215">
            <v>4.4838299999999993</v>
          </cell>
          <cell r="AC215">
            <v>-135.51616999999999</v>
          </cell>
        </row>
        <row r="216">
          <cell r="B216" t="str">
            <v>LCP-180003</v>
          </cell>
          <cell r="C216" t="str">
            <v>GEM PROJECT EMC GRAVATAÍ</v>
          </cell>
          <cell r="D216" t="str">
            <v>SAG</v>
          </cell>
          <cell r="E216" t="str">
            <v>C</v>
          </cell>
          <cell r="F216" t="str">
            <v>LA</v>
          </cell>
          <cell r="G216">
            <v>0</v>
          </cell>
          <cell r="H216" t="str">
            <v>N/A</v>
          </cell>
          <cell r="I216" t="str">
            <v>FACILITIES/INFRASTRUCTURE</v>
          </cell>
          <cell r="J216" t="str">
            <v>MC</v>
          </cell>
          <cell r="O216">
            <v>2880</v>
          </cell>
          <cell r="P216">
            <v>887.5</v>
          </cell>
          <cell r="Q216">
            <v>3767.5</v>
          </cell>
          <cell r="R216">
            <v>3449.8341700000001</v>
          </cell>
          <cell r="S216">
            <v>3456.2623200000003</v>
          </cell>
          <cell r="T216">
            <v>6.4281499999999996</v>
          </cell>
          <cell r="U216">
            <v>0</v>
          </cell>
          <cell r="V216">
            <v>10.029610000000002</v>
          </cell>
          <cell r="W216">
            <v>10.029610000000002</v>
          </cell>
          <cell r="Z216">
            <v>311.23767999999973</v>
          </cell>
          <cell r="AA216">
            <v>-311.23767999999973</v>
          </cell>
          <cell r="AB216">
            <v>3456.2623200000003</v>
          </cell>
          <cell r="AC216">
            <v>-311.23767999999973</v>
          </cell>
          <cell r="AD216">
            <v>0</v>
          </cell>
        </row>
        <row r="217">
          <cell r="B217" t="str">
            <v>LCP-180010</v>
          </cell>
          <cell r="C217" t="str">
            <v>(3) NEW 52 HYDRAULIC CONSUMER PRESSES</v>
          </cell>
          <cell r="D217" t="str">
            <v>Capability</v>
          </cell>
          <cell r="E217" t="str">
            <v>C</v>
          </cell>
          <cell r="F217" t="str">
            <v>LA</v>
          </cell>
          <cell r="G217">
            <v>0</v>
          </cell>
          <cell r="H217" t="str">
            <v>Commercial Radial</v>
          </cell>
          <cell r="I217" t="str">
            <v>Curing</v>
          </cell>
          <cell r="J217" t="str">
            <v>AME</v>
          </cell>
          <cell r="O217">
            <v>2961.5</v>
          </cell>
          <cell r="Q217">
            <v>2961.5</v>
          </cell>
          <cell r="R217">
            <v>2419.5096100000001</v>
          </cell>
          <cell r="S217">
            <v>2474.2202499999999</v>
          </cell>
          <cell r="T217">
            <v>54.710640000000005</v>
          </cell>
          <cell r="U217">
            <v>0</v>
          </cell>
          <cell r="V217">
            <v>63.749110000000002</v>
          </cell>
          <cell r="W217">
            <v>63.749110000000002</v>
          </cell>
          <cell r="Z217">
            <v>487.27975000000015</v>
          </cell>
          <cell r="AD217">
            <v>0</v>
          </cell>
        </row>
        <row r="218">
          <cell r="B218" t="str">
            <v>LCP-180080</v>
          </cell>
          <cell r="C218" t="str">
            <v>COMMERCIAL TIRE BUILDING MACHINE</v>
          </cell>
          <cell r="D218" t="str">
            <v>Capability</v>
          </cell>
          <cell r="E218" t="str">
            <v>C</v>
          </cell>
          <cell r="F218" t="str">
            <v>LA</v>
          </cell>
          <cell r="H218" t="str">
            <v>Commercial Radial</v>
          </cell>
          <cell r="I218" t="str">
            <v>Tire Assembly</v>
          </cell>
          <cell r="J218" t="str">
            <v>AME</v>
          </cell>
          <cell r="O218">
            <v>10188.982</v>
          </cell>
          <cell r="Q218">
            <v>10188.982</v>
          </cell>
          <cell r="R218">
            <v>6223.9736700000003</v>
          </cell>
          <cell r="S218">
            <v>6255.96137</v>
          </cell>
          <cell r="T218">
            <v>31.9877</v>
          </cell>
          <cell r="U218">
            <v>0</v>
          </cell>
          <cell r="V218">
            <v>5.3449499999999999</v>
          </cell>
          <cell r="W218">
            <v>5.3449499999999999</v>
          </cell>
          <cell r="Z218">
            <v>3933.02063</v>
          </cell>
          <cell r="AD218">
            <v>0</v>
          </cell>
        </row>
        <row r="219">
          <cell r="B219" t="str">
            <v>LCP-200031</v>
          </cell>
          <cell r="C219" t="str">
            <v>MEX- Converyors</v>
          </cell>
          <cell r="D219" t="str">
            <v>SAG</v>
          </cell>
          <cell r="E219" t="str">
            <v>N</v>
          </cell>
          <cell r="F219" t="str">
            <v>LA</v>
          </cell>
          <cell r="H219" t="str">
            <v>N/A</v>
          </cell>
          <cell r="I219" t="str">
            <v>SAG - Supply Chain</v>
          </cell>
          <cell r="J219" t="str">
            <v>MEX</v>
          </cell>
          <cell r="O219">
            <v>112</v>
          </cell>
          <cell r="Q219">
            <v>112</v>
          </cell>
          <cell r="S219">
            <v>9.1301799999999744</v>
          </cell>
          <cell r="T219">
            <v>10.768629999999975</v>
          </cell>
          <cell r="U219">
            <v>1.6151099999999996</v>
          </cell>
          <cell r="V219">
            <v>-4.85806</v>
          </cell>
          <cell r="W219">
            <v>-4.85806</v>
          </cell>
          <cell r="Z219">
            <v>102.86982000000003</v>
          </cell>
          <cell r="AA219">
            <v>-102.86982000000003</v>
          </cell>
          <cell r="AB219">
            <v>10.745289999999974</v>
          </cell>
          <cell r="AC219">
            <v>-101.25471000000003</v>
          </cell>
        </row>
        <row r="220">
          <cell r="B220" t="str">
            <v>LCP-200032</v>
          </cell>
          <cell r="C220" t="str">
            <v>AME - 4 molds 175/70R13 Edge Touring</v>
          </cell>
          <cell r="D220" t="str">
            <v>Molds</v>
          </cell>
          <cell r="E220" t="str">
            <v>N</v>
          </cell>
          <cell r="F220" t="str">
            <v>LA</v>
          </cell>
          <cell r="H220" t="str">
            <v>Consumer Radial</v>
          </cell>
          <cell r="I220" t="str">
            <v>Curing</v>
          </cell>
          <cell r="J220" t="str">
            <v>AME</v>
          </cell>
          <cell r="O220">
            <v>81.75</v>
          </cell>
          <cell r="Q220">
            <v>81.75</v>
          </cell>
          <cell r="R220">
            <v>0</v>
          </cell>
          <cell r="S220">
            <v>0</v>
          </cell>
          <cell r="T220">
            <v>0</v>
          </cell>
          <cell r="U220">
            <v>0</v>
          </cell>
          <cell r="Z220">
            <v>81.75</v>
          </cell>
          <cell r="AA220">
            <v>-81.75</v>
          </cell>
          <cell r="AB220">
            <v>0</v>
          </cell>
          <cell r="AC220">
            <v>-81.75</v>
          </cell>
        </row>
        <row r="221">
          <cell r="B221" t="str">
            <v>LCP-200033</v>
          </cell>
          <cell r="C221" t="str">
            <v>CHI - Look &amp; Feel POS Identification Ecuador 2020</v>
          </cell>
          <cell r="D221" t="str">
            <v>SAG</v>
          </cell>
          <cell r="E221" t="str">
            <v>N</v>
          </cell>
          <cell r="F221" t="str">
            <v>LA</v>
          </cell>
          <cell r="H221" t="str">
            <v>N/A</v>
          </cell>
          <cell r="I221" t="str">
            <v>SAG - Sales &amp; Marketing</v>
          </cell>
          <cell r="J221" t="str">
            <v>CHI</v>
          </cell>
          <cell r="O221">
            <v>84</v>
          </cell>
          <cell r="Q221">
            <v>84</v>
          </cell>
          <cell r="S221">
            <v>0</v>
          </cell>
          <cell r="T221">
            <v>0</v>
          </cell>
          <cell r="U221">
            <v>0</v>
          </cell>
          <cell r="Z221">
            <v>84</v>
          </cell>
          <cell r="AA221">
            <v>-84</v>
          </cell>
          <cell r="AB221">
            <v>0</v>
          </cell>
          <cell r="AC221">
            <v>-84</v>
          </cell>
        </row>
        <row r="222">
          <cell r="B222" t="str">
            <v>LCP-200036</v>
          </cell>
          <cell r="C222" t="str">
            <v>PER - Look &amp; Feel POS Identification Peru</v>
          </cell>
          <cell r="D222" t="str">
            <v>SAG</v>
          </cell>
          <cell r="E222" t="str">
            <v>N</v>
          </cell>
          <cell r="F222" t="str">
            <v>LA</v>
          </cell>
          <cell r="H222" t="str">
            <v>Mixed</v>
          </cell>
          <cell r="I222" t="str">
            <v>SAG - Sales &amp; Marketing</v>
          </cell>
          <cell r="J222" t="str">
            <v>PER</v>
          </cell>
          <cell r="O222">
            <v>250</v>
          </cell>
          <cell r="Q222">
            <v>250</v>
          </cell>
          <cell r="S222">
            <v>0</v>
          </cell>
          <cell r="T222">
            <v>0</v>
          </cell>
          <cell r="U222">
            <v>0</v>
          </cell>
          <cell r="Z222">
            <v>250</v>
          </cell>
          <cell r="AA222">
            <v>-250</v>
          </cell>
          <cell r="AB222">
            <v>0</v>
          </cell>
          <cell r="AC222">
            <v>-250</v>
          </cell>
        </row>
        <row r="223">
          <cell r="B223" t="str">
            <v>LCP-200042</v>
          </cell>
          <cell r="C223" t="str">
            <v>AME- EQUIPMENTS TO CONSUMER TIRES</v>
          </cell>
          <cell r="D223" t="str">
            <v>Molds</v>
          </cell>
          <cell r="E223" t="str">
            <v>N</v>
          </cell>
          <cell r="F223" t="str">
            <v>LA</v>
          </cell>
          <cell r="H223" t="str">
            <v>CONSUMER RADIAL</v>
          </cell>
          <cell r="I223" t="str">
            <v>Curing</v>
          </cell>
          <cell r="J223" t="str">
            <v>AME</v>
          </cell>
          <cell r="O223">
            <v>102</v>
          </cell>
          <cell r="Q223">
            <v>102</v>
          </cell>
          <cell r="S223">
            <v>64.294229999999999</v>
          </cell>
          <cell r="T223">
            <v>84.42179999999999</v>
          </cell>
          <cell r="U223">
            <v>0</v>
          </cell>
          <cell r="V223">
            <v>83.293139999999994</v>
          </cell>
          <cell r="W223">
            <v>83.293139999999994</v>
          </cell>
          <cell r="Z223">
            <v>37.705770000000001</v>
          </cell>
          <cell r="AA223">
            <v>-37.705770000000001</v>
          </cell>
          <cell r="AB223">
            <v>64.294229999999999</v>
          </cell>
          <cell r="AC223">
            <v>-37.705770000000001</v>
          </cell>
          <cell r="AD223">
            <v>102</v>
          </cell>
        </row>
        <row r="224">
          <cell r="B224" t="str">
            <v>LCP-200046</v>
          </cell>
          <cell r="C224" t="str">
            <v>CHI - Look &amp; Feel POS Identification Chile 2020</v>
          </cell>
          <cell r="D224" t="str">
            <v>SAG</v>
          </cell>
          <cell r="E224" t="str">
            <v>N</v>
          </cell>
          <cell r="F224" t="str">
            <v>LA</v>
          </cell>
          <cell r="H224" t="str">
            <v>N/A</v>
          </cell>
          <cell r="I224" t="str">
            <v>SAG - Sales &amp; Marketing</v>
          </cell>
          <cell r="J224" t="str">
            <v>CHI</v>
          </cell>
          <cell r="O224">
            <v>101</v>
          </cell>
          <cell r="P224">
            <v>122</v>
          </cell>
          <cell r="Q224">
            <v>223</v>
          </cell>
          <cell r="S224">
            <v>0.8591899999999999</v>
          </cell>
          <cell r="T224">
            <v>0.8591899999999999</v>
          </cell>
          <cell r="U224">
            <v>0</v>
          </cell>
          <cell r="X224">
            <v>0</v>
          </cell>
          <cell r="Y224">
            <v>30.478009999999998</v>
          </cell>
        </row>
        <row r="225">
          <cell r="B225" t="str">
            <v>LCP-180081</v>
          </cell>
          <cell r="C225" t="str">
            <v>GEM PROJECT SÃO CAETANO DO SUL</v>
          </cell>
          <cell r="D225" t="str">
            <v>SAG</v>
          </cell>
          <cell r="E225" t="str">
            <v>C</v>
          </cell>
          <cell r="F225" t="str">
            <v>LA</v>
          </cell>
          <cell r="H225" t="str">
            <v>N/A</v>
          </cell>
          <cell r="I225" t="str">
            <v>N/A</v>
          </cell>
          <cell r="J225" t="str">
            <v>MC</v>
          </cell>
          <cell r="O225">
            <v>5863</v>
          </cell>
          <cell r="Q225">
            <v>5863</v>
          </cell>
          <cell r="R225">
            <v>4989.9439300000004</v>
          </cell>
          <cell r="S225">
            <v>4989.1904800000002</v>
          </cell>
          <cell r="T225">
            <v>-0.75344999999999995</v>
          </cell>
          <cell r="U225">
            <v>0</v>
          </cell>
          <cell r="V225">
            <v>-0.35293000000000063</v>
          </cell>
          <cell r="W225">
            <v>-0.35293000000000063</v>
          </cell>
          <cell r="Z225">
            <v>873.80951999999979</v>
          </cell>
          <cell r="AA225">
            <v>-873.80951999999979</v>
          </cell>
          <cell r="AB225">
            <v>4989.1904800000002</v>
          </cell>
          <cell r="AC225">
            <v>-873.80951999999979</v>
          </cell>
          <cell r="AD225">
            <v>0</v>
          </cell>
        </row>
        <row r="226">
          <cell r="B226" t="str">
            <v>LCP-200058</v>
          </cell>
          <cell r="C226" t="str">
            <v>29.5-29 SMO</v>
          </cell>
          <cell r="D226" t="str">
            <v>Molds</v>
          </cell>
          <cell r="E226" t="str">
            <v>N</v>
          </cell>
          <cell r="F226" t="str">
            <v>LA</v>
          </cell>
          <cell r="H226" t="str">
            <v>OTR</v>
          </cell>
          <cell r="I226" t="str">
            <v>Curing</v>
          </cell>
          <cell r="J226" t="str">
            <v>AME</v>
          </cell>
          <cell r="O226">
            <v>300</v>
          </cell>
          <cell r="Q226">
            <v>300</v>
          </cell>
          <cell r="S226">
            <v>39.921510000000005</v>
          </cell>
          <cell r="T226">
            <v>39.921510000000005</v>
          </cell>
          <cell r="U226">
            <v>2.8578600000000023</v>
          </cell>
          <cell r="V226">
            <v>21.448710000000005</v>
          </cell>
          <cell r="W226">
            <v>21.448710000000005</v>
          </cell>
          <cell r="Z226">
            <v>260.07848999999999</v>
          </cell>
          <cell r="AA226">
            <v>-260.07848999999999</v>
          </cell>
          <cell r="AB226">
            <v>42.779370000000007</v>
          </cell>
          <cell r="AC226">
            <v>-257.22062999999997</v>
          </cell>
          <cell r="AD226">
            <v>24.324999999999999</v>
          </cell>
        </row>
        <row r="227">
          <cell r="B227" t="str">
            <v>LCP-200061</v>
          </cell>
          <cell r="C227" t="str">
            <v>COL - MISCELLAEOUS SUSTAINING</v>
          </cell>
          <cell r="D227" t="str">
            <v>Facilities Sustaining</v>
          </cell>
          <cell r="E227" t="str">
            <v>N</v>
          </cell>
          <cell r="F227" t="str">
            <v>LA</v>
          </cell>
          <cell r="H227" t="str">
            <v>Commercial Radial</v>
          </cell>
          <cell r="I227" t="str">
            <v>Facilities/Infrastructure</v>
          </cell>
          <cell r="J227" t="str">
            <v>COL</v>
          </cell>
          <cell r="O227">
            <v>400</v>
          </cell>
          <cell r="Q227">
            <v>400</v>
          </cell>
          <cell r="R227">
            <v>0</v>
          </cell>
          <cell r="S227">
            <v>29.429079999999999</v>
          </cell>
          <cell r="T227">
            <v>29.429079999999999</v>
          </cell>
          <cell r="U227">
            <v>0</v>
          </cell>
          <cell r="V227">
            <v>14.396669999999999</v>
          </cell>
          <cell r="W227">
            <v>14.396669999999999</v>
          </cell>
          <cell r="Z227">
            <v>370.57092</v>
          </cell>
          <cell r="AA227">
            <v>-370.57092</v>
          </cell>
          <cell r="AB227">
            <v>29.429079999999999</v>
          </cell>
          <cell r="AC227">
            <v>-370.57092</v>
          </cell>
        </row>
        <row r="228">
          <cell r="B228" t="str">
            <v>LCP-200062</v>
          </cell>
          <cell r="C228" t="str">
            <v xml:space="preserve">COL- Quad Extruder screw 150 mm  replacement  </v>
          </cell>
          <cell r="D228" t="str">
            <v>Facilities Sustaining</v>
          </cell>
          <cell r="E228" t="str">
            <v>N</v>
          </cell>
          <cell r="F228" t="str">
            <v>LA</v>
          </cell>
          <cell r="H228" t="str">
            <v>Commercial Radial</v>
          </cell>
          <cell r="I228" t="str">
            <v>COMPONENT PREP OTHER</v>
          </cell>
          <cell r="J228" t="str">
            <v>COL</v>
          </cell>
          <cell r="S228">
            <v>0</v>
          </cell>
          <cell r="T228">
            <v>0</v>
          </cell>
          <cell r="U228">
            <v>0</v>
          </cell>
        </row>
        <row r="229">
          <cell r="B229" t="str">
            <v>LCP-200064</v>
          </cell>
          <cell r="C229" t="str">
            <v>VEHICLE GIC CAM - GUATEMALA</v>
          </cell>
          <cell r="D229" t="str">
            <v>SAG</v>
          </cell>
          <cell r="E229" t="str">
            <v>N</v>
          </cell>
          <cell r="F229" t="str">
            <v>LA</v>
          </cell>
          <cell r="H229" t="str">
            <v>N/A</v>
          </cell>
          <cell r="I229" t="str">
            <v>SAG - Other</v>
          </cell>
          <cell r="J229" t="str">
            <v>GIC</v>
          </cell>
          <cell r="O229">
            <v>6</v>
          </cell>
          <cell r="Q229">
            <v>6</v>
          </cell>
          <cell r="S229">
            <v>0</v>
          </cell>
          <cell r="T229">
            <v>0</v>
          </cell>
          <cell r="U229">
            <v>0</v>
          </cell>
          <cell r="Z229">
            <v>6</v>
          </cell>
          <cell r="AA229">
            <v>-6</v>
          </cell>
          <cell r="AB229">
            <v>0</v>
          </cell>
          <cell r="AC229">
            <v>-6</v>
          </cell>
        </row>
        <row r="230">
          <cell r="B230" t="str">
            <v>LCP-200070</v>
          </cell>
          <cell r="C230" t="str">
            <v>COL-AUTOMATIC DEFECT RECOGNITION SOFTWAR</v>
          </cell>
          <cell r="D230" t="str">
            <v>Quality - Improvement</v>
          </cell>
          <cell r="E230" t="str">
            <v>N</v>
          </cell>
          <cell r="F230" t="str">
            <v>LA</v>
          </cell>
          <cell r="H230" t="str">
            <v>Commercial Radial</v>
          </cell>
          <cell r="I230" t="str">
            <v>TIRE ASSEMBLY</v>
          </cell>
          <cell r="J230" t="str">
            <v>COL</v>
          </cell>
          <cell r="O230">
            <v>148.03700000000001</v>
          </cell>
          <cell r="Q230">
            <v>148.03700000000001</v>
          </cell>
          <cell r="S230">
            <v>98.827049999999986</v>
          </cell>
          <cell r="T230">
            <v>104.26880999999999</v>
          </cell>
          <cell r="U230">
            <v>0</v>
          </cell>
          <cell r="V230">
            <v>158.37970999999999</v>
          </cell>
          <cell r="W230">
            <v>158.37970999999999</v>
          </cell>
          <cell r="X230">
            <v>0</v>
          </cell>
          <cell r="Y230">
            <v>4.1999999999999996E-4</v>
          </cell>
          <cell r="Z230">
            <v>49.209950000000021</v>
          </cell>
          <cell r="AA230">
            <v>-49.209950000000021</v>
          </cell>
          <cell r="AB230">
            <v>98.827049999999986</v>
          </cell>
          <cell r="AC230">
            <v>-49.209950000000021</v>
          </cell>
        </row>
        <row r="231">
          <cell r="B231" t="str">
            <v>LCP-180095</v>
          </cell>
          <cell r="C231" t="str">
            <v>AME - METAL DETECTOR IN CALANDERS (FORD PROJECT)</v>
          </cell>
          <cell r="D231" t="str">
            <v>Quality - Improvement</v>
          </cell>
          <cell r="E231" t="str">
            <v>C</v>
          </cell>
          <cell r="F231" t="str">
            <v>LA</v>
          </cell>
          <cell r="H231" t="str">
            <v>Mixed</v>
          </cell>
          <cell r="I231" t="str">
            <v xml:space="preserve">Extruding </v>
          </cell>
          <cell r="J231" t="str">
            <v>AME</v>
          </cell>
          <cell r="O231">
            <v>247</v>
          </cell>
          <cell r="Q231">
            <v>247</v>
          </cell>
          <cell r="R231">
            <v>225.48117999999999</v>
          </cell>
          <cell r="S231">
            <v>250.0986</v>
          </cell>
          <cell r="T231">
            <v>24.617420000000006</v>
          </cell>
          <cell r="U231">
            <v>0</v>
          </cell>
          <cell r="V231">
            <v>50</v>
          </cell>
          <cell r="W231">
            <v>50</v>
          </cell>
          <cell r="Z231">
            <v>-3.0986000000000047</v>
          </cell>
          <cell r="AA231">
            <v>3.0986000000000047</v>
          </cell>
          <cell r="AB231">
            <v>250.0986</v>
          </cell>
          <cell r="AC231">
            <v>3.0986000000000047</v>
          </cell>
          <cell r="AD231">
            <v>0</v>
          </cell>
        </row>
        <row r="232">
          <cell r="B232" t="str">
            <v>LCP-180114</v>
          </cell>
          <cell r="C232" t="str">
            <v>LAMINATOR PROFILE AUTOMATION</v>
          </cell>
          <cell r="D232" t="str">
            <v>Facilities Sustaining</v>
          </cell>
          <cell r="E232" t="str">
            <v>C</v>
          </cell>
          <cell r="F232" t="str">
            <v>LA</v>
          </cell>
          <cell r="H232" t="str">
            <v>OTR</v>
          </cell>
          <cell r="I232" t="str">
            <v>N/A</v>
          </cell>
          <cell r="J232" t="str">
            <v>AME</v>
          </cell>
          <cell r="O232">
            <v>267.8</v>
          </cell>
          <cell r="Q232">
            <v>267.8</v>
          </cell>
          <cell r="R232">
            <v>110.45480000000001</v>
          </cell>
          <cell r="S232">
            <v>149.01047</v>
          </cell>
          <cell r="T232">
            <v>38.555669999999999</v>
          </cell>
          <cell r="U232">
            <v>0</v>
          </cell>
          <cell r="V232">
            <v>94.293819999999997</v>
          </cell>
          <cell r="W232">
            <v>94.293819999999997</v>
          </cell>
          <cell r="Z232">
            <v>118.78953000000001</v>
          </cell>
          <cell r="AA232">
            <v>-118.78953000000001</v>
          </cell>
          <cell r="AB232">
            <v>149.01047</v>
          </cell>
          <cell r="AC232">
            <v>-118.78953000000001</v>
          </cell>
          <cell r="AD232">
            <v>0</v>
          </cell>
        </row>
        <row r="233">
          <cell r="B233" t="str">
            <v>LCP-200087</v>
          </cell>
          <cell r="C233" t="str">
            <v>PER-New VSAN environment and BackUp Sol</v>
          </cell>
          <cell r="D233" t="str">
            <v>IT</v>
          </cell>
          <cell r="E233" t="str">
            <v>N</v>
          </cell>
          <cell r="F233" t="str">
            <v>LA</v>
          </cell>
          <cell r="H233" t="str">
            <v>N/A</v>
          </cell>
          <cell r="I233" t="str">
            <v>SAG - IT</v>
          </cell>
          <cell r="J233" t="str">
            <v>PER</v>
          </cell>
          <cell r="O233">
            <v>145</v>
          </cell>
          <cell r="Q233">
            <v>145</v>
          </cell>
          <cell r="S233">
            <v>0</v>
          </cell>
          <cell r="T233">
            <v>0</v>
          </cell>
          <cell r="U233">
            <v>0</v>
          </cell>
          <cell r="Z233">
            <v>145</v>
          </cell>
          <cell r="AA233">
            <v>-145</v>
          </cell>
          <cell r="AB233">
            <v>0</v>
          </cell>
          <cell r="AC233">
            <v>-145</v>
          </cell>
        </row>
        <row r="234">
          <cell r="B234" t="str">
            <v>LCP-200090</v>
          </cell>
          <cell r="C234" t="str">
            <v>PER - CAPA EXTRUDER GEARBOX REPLACEMENT</v>
          </cell>
          <cell r="D234" t="str">
            <v>Facilities Sustaining</v>
          </cell>
          <cell r="E234" t="str">
            <v>N</v>
          </cell>
          <cell r="F234" t="str">
            <v>LA</v>
          </cell>
          <cell r="H234" t="str">
            <v>Consumer Radial</v>
          </cell>
          <cell r="I234" t="str">
            <v>Mixing</v>
          </cell>
          <cell r="J234" t="str">
            <v>PER</v>
          </cell>
          <cell r="Q234">
            <v>225</v>
          </cell>
          <cell r="S234">
            <v>18.706880000000002</v>
          </cell>
          <cell r="T234">
            <v>140.72446000000002</v>
          </cell>
          <cell r="U234">
            <v>135.0675</v>
          </cell>
          <cell r="V234">
            <v>158.9</v>
          </cell>
          <cell r="W234">
            <v>158.9</v>
          </cell>
          <cell r="X234">
            <v>13.5</v>
          </cell>
          <cell r="Y234">
            <v>0</v>
          </cell>
        </row>
        <row r="235">
          <cell r="B235" t="str">
            <v>LCP-180117</v>
          </cell>
          <cell r="C235" t="str">
            <v>SAO - NEW ORBITREAD MACHINE</v>
          </cell>
          <cell r="D235" t="str">
            <v>SAG</v>
          </cell>
          <cell r="E235" t="str">
            <v>C</v>
          </cell>
          <cell r="F235" t="str">
            <v>LA</v>
          </cell>
          <cell r="H235" t="str">
            <v>Aviation</v>
          </cell>
          <cell r="I235" t="str">
            <v>Tire Assembly</v>
          </cell>
          <cell r="J235" t="str">
            <v>SAO</v>
          </cell>
          <cell r="O235">
            <v>387.67</v>
          </cell>
          <cell r="Q235">
            <v>387.67</v>
          </cell>
          <cell r="R235">
            <v>8.9772400000000001</v>
          </cell>
          <cell r="S235">
            <v>316.72945000000004</v>
          </cell>
          <cell r="T235">
            <v>312.45180000000005</v>
          </cell>
          <cell r="U235">
            <v>0</v>
          </cell>
          <cell r="V235">
            <v>376.7</v>
          </cell>
          <cell r="W235">
            <v>376.7</v>
          </cell>
          <cell r="Z235">
            <v>70.940549999999973</v>
          </cell>
          <cell r="AA235">
            <v>-70.940549999999973</v>
          </cell>
          <cell r="AB235">
            <v>316.72945000000004</v>
          </cell>
          <cell r="AC235">
            <v>-70.940549999999973</v>
          </cell>
          <cell r="AD235">
            <v>0</v>
          </cell>
        </row>
        <row r="236">
          <cell r="B236" t="str">
            <v>LCP-200093</v>
          </cell>
          <cell r="C236" t="str">
            <v>PER - 2020 MISCELLANEOUS ANNUAL BUDGET PHASE 2</v>
          </cell>
          <cell r="D236" t="str">
            <v>Facilities Sustaining</v>
          </cell>
          <cell r="E236" t="str">
            <v>N</v>
          </cell>
          <cell r="F236" t="str">
            <v>LA</v>
          </cell>
          <cell r="H236" t="str">
            <v>N/A</v>
          </cell>
          <cell r="I236" t="str">
            <v>Other</v>
          </cell>
          <cell r="J236" t="str">
            <v>PER</v>
          </cell>
          <cell r="Q236">
            <v>225</v>
          </cell>
          <cell r="S236">
            <v>29.40459000000001</v>
          </cell>
          <cell r="T236">
            <v>30.500170000000008</v>
          </cell>
          <cell r="U236">
            <v>42.5</v>
          </cell>
          <cell r="V236">
            <v>27.098480000000002</v>
          </cell>
          <cell r="W236">
            <v>27.098480000000002</v>
          </cell>
        </row>
        <row r="237">
          <cell r="B237" t="str">
            <v>LCP-200097</v>
          </cell>
          <cell r="C237" t="str">
            <v>4 Molds - 295/80R22.5 KMAX-D (TR+SW)</v>
          </cell>
          <cell r="D237" t="str">
            <v>Molds</v>
          </cell>
          <cell r="E237" t="str">
            <v>N</v>
          </cell>
          <cell r="F237" t="str">
            <v>LA</v>
          </cell>
          <cell r="H237" t="str">
            <v>COMMERCIAL RADIAL</v>
          </cell>
          <cell r="I237" t="str">
            <v>Curing</v>
          </cell>
          <cell r="J237" t="str">
            <v>AME</v>
          </cell>
          <cell r="Q237">
            <v>59.5</v>
          </cell>
          <cell r="S237">
            <v>0.73930999999999991</v>
          </cell>
          <cell r="T237">
            <v>0.73930999999999991</v>
          </cell>
          <cell r="U237">
            <v>0</v>
          </cell>
          <cell r="V237">
            <v>-9.572E-2</v>
          </cell>
          <cell r="W237">
            <v>-9.572E-2</v>
          </cell>
        </row>
        <row r="238">
          <cell r="B238" t="str">
            <v>LCP-200100</v>
          </cell>
          <cell r="C238" t="str">
            <v>BRA-AMERICANA IT NETWORK DEVICES REFRESH BY LIFECYCLE (PHASE 2/4)</v>
          </cell>
          <cell r="D238" t="str">
            <v>IT</v>
          </cell>
          <cell r="E238" t="str">
            <v>N</v>
          </cell>
          <cell r="F238" t="str">
            <v>LA</v>
          </cell>
          <cell r="H238" t="str">
            <v>N/A</v>
          </cell>
          <cell r="I238" t="str">
            <v>SAG - IT</v>
          </cell>
          <cell r="J238" t="str">
            <v>BRZ</v>
          </cell>
          <cell r="Q238">
            <v>147</v>
          </cell>
          <cell r="S238">
            <v>0</v>
          </cell>
          <cell r="T238">
            <v>0</v>
          </cell>
          <cell r="U238">
            <v>0</v>
          </cell>
        </row>
        <row r="239">
          <cell r="B239" t="str">
            <v>LCP-200101</v>
          </cell>
          <cell r="C239" t="str">
            <v>BRA-BRIGADEIRO OFFICE IT NETWORK  AND APPLICATION SERVERS LIFECYCLE  (PHASE 1/3)</v>
          </cell>
          <cell r="D239" t="str">
            <v>IT</v>
          </cell>
          <cell r="E239" t="str">
            <v>N</v>
          </cell>
          <cell r="F239" t="str">
            <v>LA</v>
          </cell>
          <cell r="H239" t="str">
            <v>Mixed</v>
          </cell>
          <cell r="I239" t="str">
            <v>SAG - IT</v>
          </cell>
          <cell r="J239" t="str">
            <v>BRZ</v>
          </cell>
          <cell r="Q239">
            <v>100.05</v>
          </cell>
          <cell r="S239">
            <v>0</v>
          </cell>
          <cell r="T239">
            <v>0</v>
          </cell>
          <cell r="U239">
            <v>0</v>
          </cell>
        </row>
        <row r="240">
          <cell r="B240" t="str">
            <v>LCP-200102</v>
          </cell>
          <cell r="C240" t="str">
            <v>BRA-LOGISTICS CENTER NETWORK REFRESH (PHASE 1/2)</v>
          </cell>
          <cell r="D240" t="str">
            <v>IT</v>
          </cell>
          <cell r="E240" t="str">
            <v>N</v>
          </cell>
          <cell r="F240" t="str">
            <v>LA</v>
          </cell>
          <cell r="H240" t="str">
            <v>Mixed</v>
          </cell>
          <cell r="I240" t="str">
            <v>SAG - IT</v>
          </cell>
          <cell r="J240" t="str">
            <v>BRZ</v>
          </cell>
          <cell r="Q240">
            <v>26.6</v>
          </cell>
          <cell r="S240">
            <v>0</v>
          </cell>
          <cell r="T240">
            <v>0</v>
          </cell>
          <cell r="U240">
            <v>0</v>
          </cell>
        </row>
        <row r="241">
          <cell r="B241" t="str">
            <v>LCP-200103</v>
          </cell>
          <cell r="C241" t="str">
            <v xml:space="preserve">BRA-STA BARBARA COMPUTER ROOM REFRESH BY LIFECYCLE </v>
          </cell>
          <cell r="D241" t="str">
            <v>IT</v>
          </cell>
          <cell r="E241" t="str">
            <v>N</v>
          </cell>
          <cell r="F241" t="str">
            <v>LA</v>
          </cell>
          <cell r="H241" t="str">
            <v>RETREAD</v>
          </cell>
          <cell r="I241" t="str">
            <v>SAG - IT</v>
          </cell>
          <cell r="J241" t="str">
            <v>BRZ</v>
          </cell>
          <cell r="Q241">
            <v>25</v>
          </cell>
          <cell r="S241">
            <v>0</v>
          </cell>
          <cell r="T241">
            <v>0</v>
          </cell>
          <cell r="U241">
            <v>0</v>
          </cell>
        </row>
        <row r="242">
          <cell r="B242" t="str">
            <v>LCP-200104</v>
          </cell>
          <cell r="C242" t="str">
            <v>BRA-STA BARBARA MANUFACTURINT IT NETWORK  AND APPLICATION SERVERS LIFECYCLE (PHASE 2/2)</v>
          </cell>
          <cell r="D242" t="str">
            <v>IT</v>
          </cell>
          <cell r="E242" t="str">
            <v>N</v>
          </cell>
          <cell r="F242" t="str">
            <v>LA</v>
          </cell>
          <cell r="H242" t="str">
            <v>RETREAD</v>
          </cell>
          <cell r="I242" t="str">
            <v>SAG - IT</v>
          </cell>
          <cell r="J242" t="str">
            <v>BRZ</v>
          </cell>
          <cell r="Q242">
            <v>60.05</v>
          </cell>
          <cell r="S242">
            <v>0</v>
          </cell>
          <cell r="T242">
            <v>0</v>
          </cell>
          <cell r="U242">
            <v>0</v>
          </cell>
        </row>
        <row r="243">
          <cell r="B243" t="str">
            <v>LCP-200108</v>
          </cell>
          <cell r="C243" t="str">
            <v>ARG - TRUCK TIRE BEAD CUTTER</v>
          </cell>
          <cell r="D243" t="str">
            <v>SAG</v>
          </cell>
          <cell r="E243" t="str">
            <v>N</v>
          </cell>
          <cell r="F243" t="str">
            <v>LA</v>
          </cell>
          <cell r="H243" t="str">
            <v>Commercial Radial</v>
          </cell>
          <cell r="I243" t="str">
            <v>SAG - Other</v>
          </cell>
          <cell r="J243" t="str">
            <v>ARG</v>
          </cell>
          <cell r="Q243">
            <v>22.2</v>
          </cell>
          <cell r="S243">
            <v>12.027470000000001</v>
          </cell>
          <cell r="T243">
            <v>12.027470000000001</v>
          </cell>
          <cell r="U243">
            <v>0</v>
          </cell>
          <cell r="V243">
            <v>11</v>
          </cell>
          <cell r="W243">
            <v>11</v>
          </cell>
        </row>
        <row r="244">
          <cell r="B244" t="str">
            <v>LCP-200109</v>
          </cell>
          <cell r="C244" t="str">
            <v>COL -  Lighting Electric cable replacement</v>
          </cell>
          <cell r="D244" t="str">
            <v>Facilities Sustaining</v>
          </cell>
          <cell r="E244" t="str">
            <v>N</v>
          </cell>
          <cell r="F244" t="str">
            <v>LA</v>
          </cell>
          <cell r="H244" t="str">
            <v>Commercial Radial</v>
          </cell>
          <cell r="I244" t="str">
            <v>Facilities/Infrastructure</v>
          </cell>
          <cell r="J244" t="str">
            <v>COL</v>
          </cell>
          <cell r="Q244">
            <v>89.593999999999994</v>
          </cell>
          <cell r="S244">
            <v>12.85102</v>
          </cell>
          <cell r="T244">
            <v>12.85102</v>
          </cell>
          <cell r="U244">
            <v>0</v>
          </cell>
          <cell r="V244">
            <v>16.04946</v>
          </cell>
          <cell r="W244">
            <v>16.04946</v>
          </cell>
        </row>
        <row r="245">
          <cell r="B245" t="str">
            <v>LCP-200111</v>
          </cell>
          <cell r="C245" t="str">
            <v>COL - Mixer #2 CMS Upgrade</v>
          </cell>
          <cell r="D245" t="str">
            <v>Facilities Sustaining</v>
          </cell>
          <cell r="E245" t="str">
            <v>N</v>
          </cell>
          <cell r="F245" t="str">
            <v>LA</v>
          </cell>
          <cell r="H245" t="str">
            <v>Commercial Radial</v>
          </cell>
          <cell r="I245" t="str">
            <v>Mixing</v>
          </cell>
          <cell r="J245" t="str">
            <v>COL</v>
          </cell>
          <cell r="Q245">
            <v>749.01900000000001</v>
          </cell>
          <cell r="S245">
            <v>667.14533999999969</v>
          </cell>
          <cell r="T245">
            <v>697.68502999999976</v>
          </cell>
          <cell r="U245">
            <v>0</v>
          </cell>
          <cell r="V245">
            <v>708.72530000000006</v>
          </cell>
          <cell r="W245">
            <v>708.72530000000006</v>
          </cell>
          <cell r="X245">
            <v>0</v>
          </cell>
          <cell r="Y245">
            <v>6.1815600000000002</v>
          </cell>
        </row>
        <row r="246">
          <cell r="B246" t="str">
            <v>LCP-200112</v>
          </cell>
          <cell r="C246" t="str">
            <v>COL - Mixer #1 new TCU</v>
          </cell>
          <cell r="D246" t="str">
            <v>Facilities Sustaining</v>
          </cell>
          <cell r="E246" t="str">
            <v>N</v>
          </cell>
          <cell r="F246" t="str">
            <v>LA</v>
          </cell>
          <cell r="H246" t="str">
            <v>Commercial Radial</v>
          </cell>
          <cell r="I246" t="str">
            <v>Mixing</v>
          </cell>
          <cell r="J246" t="str">
            <v>COL</v>
          </cell>
          <cell r="Q246">
            <v>111.209</v>
          </cell>
          <cell r="S246">
            <v>61.616529999999997</v>
          </cell>
          <cell r="T246">
            <v>61.616529999999997</v>
          </cell>
          <cell r="U246">
            <v>0</v>
          </cell>
          <cell r="V246">
            <v>100.80595</v>
          </cell>
          <cell r="W246">
            <v>100.80595</v>
          </cell>
        </row>
        <row r="247">
          <cell r="B247" t="str">
            <v>LCP-200113</v>
          </cell>
          <cell r="C247" t="str">
            <v>COL - Look &amp; Feel POS Identification Colombia</v>
          </cell>
          <cell r="D247" t="str">
            <v>SAG</v>
          </cell>
          <cell r="E247" t="str">
            <v>N</v>
          </cell>
          <cell r="F247" t="str">
            <v>LA</v>
          </cell>
          <cell r="H247" t="str">
            <v>Mixed</v>
          </cell>
          <cell r="I247" t="str">
            <v>SAG - Sales &amp; Marketing</v>
          </cell>
          <cell r="J247" t="str">
            <v>COL</v>
          </cell>
          <cell r="Q247">
            <v>150</v>
          </cell>
          <cell r="S247">
            <v>7.1989499999999991</v>
          </cell>
          <cell r="T247">
            <v>7.1989499999999991</v>
          </cell>
          <cell r="U247">
            <v>0</v>
          </cell>
          <cell r="V247">
            <v>33.488239999999998</v>
          </cell>
          <cell r="W247">
            <v>33.488239999999998</v>
          </cell>
        </row>
        <row r="248">
          <cell r="B248" t="str">
            <v>LCP-200114</v>
          </cell>
          <cell r="C248" t="str">
            <v>COL - ERGO GREEN TIRE LOADER SYSTEMS IN PRESSES</v>
          </cell>
          <cell r="D248" t="str">
            <v>EHS</v>
          </cell>
          <cell r="E248" t="str">
            <v>N</v>
          </cell>
          <cell r="F248" t="str">
            <v>LA</v>
          </cell>
          <cell r="G248" t="str">
            <v>ERG</v>
          </cell>
          <cell r="H248" t="str">
            <v>Commercial Radial</v>
          </cell>
          <cell r="I248" t="str">
            <v>Curing</v>
          </cell>
          <cell r="J248" t="str">
            <v>COL</v>
          </cell>
          <cell r="Q248">
            <v>110.303</v>
          </cell>
          <cell r="S248">
            <v>16.356960000000001</v>
          </cell>
          <cell r="T248">
            <v>21.879049999999999</v>
          </cell>
          <cell r="U248">
            <v>0</v>
          </cell>
          <cell r="V248">
            <v>25</v>
          </cell>
          <cell r="W248">
            <v>25</v>
          </cell>
        </row>
        <row r="249">
          <cell r="B249" t="str">
            <v>LCP-180137</v>
          </cell>
          <cell r="C249" t="str">
            <v>(10) VDF PANEL INSTALLATION</v>
          </cell>
          <cell r="D249" t="str">
            <v>Energy Conservation</v>
          </cell>
          <cell r="E249" t="str">
            <v>C</v>
          </cell>
          <cell r="F249" t="str">
            <v>LA</v>
          </cell>
          <cell r="H249" t="str">
            <v>Mixed</v>
          </cell>
          <cell r="I249" t="str">
            <v>N/A</v>
          </cell>
          <cell r="J249" t="str">
            <v>AME</v>
          </cell>
          <cell r="O249">
            <v>213</v>
          </cell>
          <cell r="Q249">
            <v>213</v>
          </cell>
          <cell r="R249">
            <v>160.65058000000002</v>
          </cell>
          <cell r="S249">
            <v>160.98027000000002</v>
          </cell>
          <cell r="T249">
            <v>0.32969000000000004</v>
          </cell>
          <cell r="U249">
            <v>0</v>
          </cell>
          <cell r="V249">
            <v>0.36386000000000007</v>
          </cell>
          <cell r="W249">
            <v>0.36386000000000007</v>
          </cell>
          <cell r="Z249">
            <v>52.019729999999981</v>
          </cell>
          <cell r="AA249">
            <v>-52.019729999999981</v>
          </cell>
          <cell r="AB249">
            <v>160.98027000000002</v>
          </cell>
          <cell r="AC249">
            <v>-52.019729999999981</v>
          </cell>
          <cell r="AD249">
            <v>0</v>
          </cell>
        </row>
        <row r="250">
          <cell r="B250" t="str">
            <v>LCP-180139</v>
          </cell>
          <cell r="C250" t="str">
            <v>POWER HOUSE STEAM TURBINE</v>
          </cell>
          <cell r="D250" t="str">
            <v>Energy Conservation</v>
          </cell>
          <cell r="E250" t="str">
            <v>C</v>
          </cell>
          <cell r="F250" t="str">
            <v>LA</v>
          </cell>
          <cell r="H250" t="str">
            <v>Mixed</v>
          </cell>
          <cell r="I250" t="str">
            <v>N/A</v>
          </cell>
          <cell r="J250" t="str">
            <v>AME</v>
          </cell>
          <cell r="O250">
            <v>1264.865</v>
          </cell>
          <cell r="P250">
            <v>62</v>
          </cell>
          <cell r="Q250">
            <v>1326.865</v>
          </cell>
          <cell r="R250">
            <v>1255.4557199999999</v>
          </cell>
          <cell r="S250">
            <v>1256.7585099999999</v>
          </cell>
          <cell r="T250">
            <v>1.3027899999999999</v>
          </cell>
          <cell r="U250">
            <v>0</v>
          </cell>
          <cell r="V250">
            <v>8.8639599999999987</v>
          </cell>
          <cell r="W250">
            <v>8.8639599999999987</v>
          </cell>
          <cell r="Z250">
            <v>70.106490000000122</v>
          </cell>
          <cell r="AA250">
            <v>-70.106490000000122</v>
          </cell>
          <cell r="AB250">
            <v>1256.7585099999999</v>
          </cell>
          <cell r="AC250">
            <v>-70.106490000000122</v>
          </cell>
          <cell r="AD250">
            <v>0</v>
          </cell>
        </row>
        <row r="251">
          <cell r="B251" t="str">
            <v>LCP-180149</v>
          </cell>
          <cell r="C251" t="str">
            <v>EXHAUST SYSTEM - LINES A/B &amp; G/H CONSUMER PRESSES</v>
          </cell>
          <cell r="D251" t="str">
            <v>EHS</v>
          </cell>
          <cell r="E251" t="str">
            <v>C</v>
          </cell>
          <cell r="F251" t="str">
            <v>LA</v>
          </cell>
          <cell r="G251" t="str">
            <v>HYG</v>
          </cell>
          <cell r="H251" t="str">
            <v>CONSUMER RADIAL</v>
          </cell>
          <cell r="I251" t="str">
            <v>N/A</v>
          </cell>
          <cell r="J251" t="str">
            <v>AME</v>
          </cell>
          <cell r="O251">
            <v>438.67599999999999</v>
          </cell>
          <cell r="Q251">
            <v>438.67599999999999</v>
          </cell>
          <cell r="R251">
            <v>226.38204999999999</v>
          </cell>
          <cell r="S251">
            <v>267.15053</v>
          </cell>
          <cell r="T251">
            <v>40.768479999999997</v>
          </cell>
          <cell r="U251">
            <v>0</v>
          </cell>
          <cell r="V251">
            <v>54.182309999999994</v>
          </cell>
          <cell r="W251">
            <v>54.182309999999994</v>
          </cell>
          <cell r="Z251">
            <v>171.52546999999998</v>
          </cell>
          <cell r="AA251">
            <v>-171.52546999999998</v>
          </cell>
          <cell r="AB251">
            <v>267.15053</v>
          </cell>
          <cell r="AC251">
            <v>-171.52546999999998</v>
          </cell>
          <cell r="AD251">
            <v>0</v>
          </cell>
        </row>
        <row r="252">
          <cell r="B252" t="str">
            <v>LCP-180150</v>
          </cell>
          <cell r="C252" t="str">
            <v>SAO - SHEROGRAPHY UPGRADE (OBSEOLESCENCE AND SOFTWARE)</v>
          </cell>
          <cell r="D252" t="str">
            <v>SAG</v>
          </cell>
          <cell r="E252" t="str">
            <v>C</v>
          </cell>
          <cell r="F252" t="str">
            <v>LA</v>
          </cell>
          <cell r="H252" t="str">
            <v>Aviation</v>
          </cell>
          <cell r="I252" t="str">
            <v>Other</v>
          </cell>
          <cell r="J252" t="str">
            <v>SAO</v>
          </cell>
          <cell r="O252">
            <v>77.8</v>
          </cell>
          <cell r="Q252">
            <v>77.8</v>
          </cell>
          <cell r="R252">
            <v>41.670199999999994</v>
          </cell>
          <cell r="S252">
            <v>41.670199999999994</v>
          </cell>
          <cell r="T252">
            <v>0</v>
          </cell>
          <cell r="U252">
            <v>0</v>
          </cell>
          <cell r="V252">
            <v>9.9</v>
          </cell>
          <cell r="W252">
            <v>9.9</v>
          </cell>
          <cell r="Z252">
            <v>36.129800000000003</v>
          </cell>
          <cell r="AA252">
            <v>-36.129800000000003</v>
          </cell>
          <cell r="AB252">
            <v>41.670199999999994</v>
          </cell>
          <cell r="AC252">
            <v>-36.129800000000003</v>
          </cell>
          <cell r="AD252">
            <v>0</v>
          </cell>
        </row>
        <row r="253">
          <cell r="B253" t="str">
            <v>LCP-180174</v>
          </cell>
          <cell r="C253" t="str">
            <v>METAL DETECTOR IN EXTRUDERS</v>
          </cell>
          <cell r="D253" t="str">
            <v>Quality - Improvement</v>
          </cell>
          <cell r="E253" t="str">
            <v>C</v>
          </cell>
          <cell r="F253" t="str">
            <v>LA</v>
          </cell>
          <cell r="H253" t="str">
            <v>MIXED</v>
          </cell>
          <cell r="I253" t="str">
            <v>COMPONENT PREP OTHER</v>
          </cell>
          <cell r="J253" t="str">
            <v>AME</v>
          </cell>
          <cell r="O253">
            <v>284.57</v>
          </cell>
          <cell r="P253">
            <v>105.654</v>
          </cell>
          <cell r="Q253">
            <v>390.22399999999999</v>
          </cell>
          <cell r="R253">
            <v>68.774510000000006</v>
          </cell>
          <cell r="S253">
            <v>116.18638000000001</v>
          </cell>
          <cell r="T253">
            <v>47.41187</v>
          </cell>
          <cell r="U253">
            <v>0</v>
          </cell>
          <cell r="V253">
            <v>26.905099999999997</v>
          </cell>
          <cell r="W253">
            <v>26.905099999999997</v>
          </cell>
          <cell r="Z253">
            <v>274.03761999999995</v>
          </cell>
          <cell r="AA253">
            <v>-274.03761999999995</v>
          </cell>
          <cell r="AB253">
            <v>116.18638000000001</v>
          </cell>
          <cell r="AC253">
            <v>-274.03761999999995</v>
          </cell>
          <cell r="AD253">
            <v>0</v>
          </cell>
        </row>
        <row r="254">
          <cell r="B254" t="str">
            <v>LCP-200122</v>
          </cell>
          <cell r="C254" t="str">
            <v>PER-New UPS System and electric power transformer</v>
          </cell>
          <cell r="D254" t="str">
            <v>IT</v>
          </cell>
          <cell r="E254" t="str">
            <v>N</v>
          </cell>
          <cell r="F254" t="str">
            <v>LA</v>
          </cell>
          <cell r="H254" t="str">
            <v>N/A</v>
          </cell>
          <cell r="I254" t="str">
            <v>SAG - IT</v>
          </cell>
          <cell r="J254" t="str">
            <v>PER</v>
          </cell>
          <cell r="Q254">
            <v>42</v>
          </cell>
          <cell r="S254">
            <v>4.2497299999999996</v>
          </cell>
          <cell r="T254">
            <v>5.6488899999999997</v>
          </cell>
          <cell r="U254">
            <v>0</v>
          </cell>
          <cell r="V254">
            <v>3.82213</v>
          </cell>
          <cell r="W254">
            <v>3.82213</v>
          </cell>
          <cell r="X254">
            <v>0</v>
          </cell>
          <cell r="Y254">
            <v>0.85250000000000004</v>
          </cell>
        </row>
        <row r="255">
          <cell r="B255" t="str">
            <v>LCP-200123</v>
          </cell>
          <cell r="C255" t="str">
            <v>PER - UPGRADE PERU FVMs PC&amp;laptops</v>
          </cell>
          <cell r="D255" t="str">
            <v>Facilities Sustaining</v>
          </cell>
          <cell r="E255" t="str">
            <v>N</v>
          </cell>
          <cell r="F255" t="str">
            <v>LA</v>
          </cell>
          <cell r="H255" t="str">
            <v>Consumer Radial</v>
          </cell>
          <cell r="I255" t="str">
            <v>Final Finish</v>
          </cell>
          <cell r="J255" t="str">
            <v>PER</v>
          </cell>
          <cell r="Q255">
            <v>86</v>
          </cell>
          <cell r="S255">
            <v>55.37012</v>
          </cell>
          <cell r="T255">
            <v>56.411609999999996</v>
          </cell>
          <cell r="U255">
            <v>24.900000000000006</v>
          </cell>
          <cell r="V255">
            <v>52.506590000000003</v>
          </cell>
          <cell r="W255">
            <v>52.506590000000003</v>
          </cell>
          <cell r="X255">
            <v>0</v>
          </cell>
          <cell r="Y255">
            <v>0.75567999999999991</v>
          </cell>
          <cell r="AD255">
            <v>8</v>
          </cell>
        </row>
        <row r="256">
          <cell r="B256" t="str">
            <v>LCP-180178</v>
          </cell>
          <cell r="C256" t="str">
            <v>WIND UP LET OFF NGTTS#5 &amp; #8</v>
          </cell>
          <cell r="D256" t="str">
            <v>EHS</v>
          </cell>
          <cell r="E256" t="str">
            <v>C</v>
          </cell>
          <cell r="F256" t="str">
            <v>LA</v>
          </cell>
          <cell r="G256" t="str">
            <v>MSR</v>
          </cell>
          <cell r="H256" t="str">
            <v>COMMERCIAL RADIAL</v>
          </cell>
          <cell r="I256" t="str">
            <v>Tire Assembly</v>
          </cell>
          <cell r="J256" t="str">
            <v>AME</v>
          </cell>
          <cell r="O256">
            <v>242.75</v>
          </cell>
          <cell r="Q256">
            <v>242.75</v>
          </cell>
          <cell r="R256">
            <v>195.34764000000001</v>
          </cell>
          <cell r="S256">
            <v>198.16334000000001</v>
          </cell>
          <cell r="T256">
            <v>2.815700000000001</v>
          </cell>
          <cell r="U256">
            <v>0</v>
          </cell>
          <cell r="V256">
            <v>3.4014400000000009</v>
          </cell>
          <cell r="W256">
            <v>3.4014400000000009</v>
          </cell>
          <cell r="Z256">
            <v>44.586659999999995</v>
          </cell>
          <cell r="AA256">
            <v>-44.586659999999995</v>
          </cell>
          <cell r="AB256">
            <v>198.16334000000001</v>
          </cell>
          <cell r="AC256">
            <v>-44.586659999999995</v>
          </cell>
          <cell r="AD256">
            <v>0</v>
          </cell>
        </row>
        <row r="257">
          <cell r="B257" t="str">
            <v>LCP-180179</v>
          </cell>
          <cell r="C257" t="str">
            <v>UPG DRIVES &amp; CONTROLS – CAL3R</v>
          </cell>
          <cell r="D257" t="str">
            <v>Facilities Sustaining</v>
          </cell>
          <cell r="E257" t="str">
            <v>C</v>
          </cell>
          <cell r="F257" t="str">
            <v>LA</v>
          </cell>
          <cell r="H257" t="str">
            <v>CONSUMER RADIAL</v>
          </cell>
          <cell r="I257" t="str">
            <v>COMPONENT PREP OTHER</v>
          </cell>
          <cell r="J257" t="str">
            <v>AME</v>
          </cell>
          <cell r="O257">
            <v>783.3</v>
          </cell>
          <cell r="Q257">
            <v>783.3</v>
          </cell>
          <cell r="R257">
            <v>633.40698999999995</v>
          </cell>
          <cell r="S257">
            <v>646.43928999999991</v>
          </cell>
          <cell r="T257">
            <v>13.032300000000003</v>
          </cell>
          <cell r="U257">
            <v>0</v>
          </cell>
          <cell r="V257">
            <v>13.82259</v>
          </cell>
          <cell r="W257">
            <v>13.82259</v>
          </cell>
          <cell r="Z257">
            <v>136.86071000000004</v>
          </cell>
          <cell r="AA257">
            <v>-136.86071000000004</v>
          </cell>
          <cell r="AB257">
            <v>646.43928999999991</v>
          </cell>
          <cell r="AC257">
            <v>-136.86071000000004</v>
          </cell>
          <cell r="AD257">
            <v>0</v>
          </cell>
        </row>
        <row r="258">
          <cell r="B258" t="str">
            <v>LCP-190057</v>
          </cell>
          <cell r="C258" t="str">
            <v>AME - UP GRADE EXTRUSORA Q5 ( AUTOMAX ) PHASE 2</v>
          </cell>
          <cell r="D258" t="str">
            <v>Facilities Sustaining</v>
          </cell>
          <cell r="E258" t="str">
            <v>N</v>
          </cell>
          <cell r="F258" t="str">
            <v>LA</v>
          </cell>
          <cell r="H258" t="str">
            <v>MIXED</v>
          </cell>
          <cell r="I258" t="str">
            <v>FACILITIES/INFRASTRUCTURE</v>
          </cell>
          <cell r="J258" t="str">
            <v>AME</v>
          </cell>
          <cell r="O258">
            <v>375.71899999999999</v>
          </cell>
          <cell r="Q258">
            <v>375.71899999999999</v>
          </cell>
          <cell r="R258">
            <v>125.52296000000001</v>
          </cell>
          <cell r="S258">
            <v>174.21512000000001</v>
          </cell>
          <cell r="T258">
            <v>48.692159999999994</v>
          </cell>
          <cell r="U258">
            <v>0</v>
          </cell>
          <cell r="V258">
            <v>34.883949999999999</v>
          </cell>
          <cell r="W258">
            <v>34.883949999999999</v>
          </cell>
          <cell r="Z258">
            <v>201.50387999999998</v>
          </cell>
          <cell r="AA258">
            <v>-201.50387999999998</v>
          </cell>
          <cell r="AB258">
            <v>174.21512000000001</v>
          </cell>
          <cell r="AC258">
            <v>-201.50387999999998</v>
          </cell>
          <cell r="AD258">
            <v>0</v>
          </cell>
        </row>
        <row r="259">
          <cell r="B259" t="str">
            <v>LCP-190061</v>
          </cell>
          <cell r="C259" t="str">
            <v>SECURITY IMPROVEMENT IN (8) APEX APPLIER - NGTTS</v>
          </cell>
          <cell r="D259" t="str">
            <v>EHS</v>
          </cell>
          <cell r="E259" t="str">
            <v>N</v>
          </cell>
          <cell r="F259" t="str">
            <v>LA</v>
          </cell>
          <cell r="G259" t="str">
            <v>COMP</v>
          </cell>
          <cell r="H259" t="str">
            <v>COMMERCIAL RADIAL</v>
          </cell>
          <cell r="I259" t="str">
            <v>Tire Assembly</v>
          </cell>
          <cell r="J259" t="str">
            <v>AME</v>
          </cell>
          <cell r="O259">
            <v>372.80046999999996</v>
          </cell>
          <cell r="Q259">
            <v>372.80046999999996</v>
          </cell>
          <cell r="S259">
            <v>62.600300000000004</v>
          </cell>
          <cell r="T259">
            <v>135.34699000000001</v>
          </cell>
          <cell r="U259">
            <v>42.844449999999995</v>
          </cell>
          <cell r="V259">
            <v>110.00046999999995</v>
          </cell>
          <cell r="W259">
            <v>110.00046999999995</v>
          </cell>
          <cell r="X259">
            <v>16.36965</v>
          </cell>
          <cell r="Y259">
            <v>95.184880000000007</v>
          </cell>
          <cell r="Z259">
            <v>310.20016999999996</v>
          </cell>
          <cell r="AA259">
            <v>-310.20016999999996</v>
          </cell>
          <cell r="AB259">
            <v>105.44475</v>
          </cell>
          <cell r="AC259">
            <v>-267.35571999999996</v>
          </cell>
          <cell r="AD259">
            <v>0</v>
          </cell>
        </row>
        <row r="260">
          <cell r="B260" t="str">
            <v>LCP-190078</v>
          </cell>
          <cell r="C260" t="str">
            <v>REPLACEMENT OF ROLLS CAL3R</v>
          </cell>
          <cell r="D260" t="str">
            <v>Facilities Sustaining</v>
          </cell>
          <cell r="E260" t="str">
            <v>N</v>
          </cell>
          <cell r="F260" t="str">
            <v>LA</v>
          </cell>
          <cell r="H260" t="str">
            <v>CONSUMER RADIAL</v>
          </cell>
          <cell r="I260" t="str">
            <v>COMPONENT PREP OTHER</v>
          </cell>
          <cell r="J260" t="str">
            <v>AME</v>
          </cell>
          <cell r="O260">
            <v>1478.5</v>
          </cell>
          <cell r="P260">
            <v>197.13</v>
          </cell>
          <cell r="Q260">
            <v>1675.63</v>
          </cell>
          <cell r="R260">
            <v>382.68155000000002</v>
          </cell>
          <cell r="S260">
            <v>382.68155000000002</v>
          </cell>
          <cell r="T260">
            <v>-1.7347234759768071E-18</v>
          </cell>
          <cell r="U260">
            <v>0</v>
          </cell>
          <cell r="Z260">
            <v>1292.9484500000001</v>
          </cell>
          <cell r="AA260">
            <v>-1292.9484500000001</v>
          </cell>
          <cell r="AB260">
            <v>382.68155000000002</v>
          </cell>
          <cell r="AC260">
            <v>-1292.9484500000001</v>
          </cell>
          <cell r="AD260">
            <v>0</v>
          </cell>
        </row>
        <row r="261">
          <cell r="B261" t="str">
            <v>LCP-190089</v>
          </cell>
          <cell r="C261" t="str">
            <v>AME - X-ray B upgrade</v>
          </cell>
          <cell r="D261" t="str">
            <v>Facilities Sustaining</v>
          </cell>
          <cell r="E261" t="str">
            <v>N</v>
          </cell>
          <cell r="F261" t="str">
            <v>LA</v>
          </cell>
          <cell r="H261" t="str">
            <v>COMMERCIAL RADIAL</v>
          </cell>
          <cell r="I261" t="str">
            <v>FACILITIES/INFRASTRUCTURE</v>
          </cell>
          <cell r="J261" t="str">
            <v>AME</v>
          </cell>
          <cell r="O261">
            <v>385.7</v>
          </cell>
          <cell r="Q261">
            <v>385.7</v>
          </cell>
          <cell r="R261">
            <v>0</v>
          </cell>
          <cell r="S261">
            <v>-26.880879999999994</v>
          </cell>
          <cell r="T261">
            <v>-26.880879999999994</v>
          </cell>
          <cell r="U261">
            <v>0</v>
          </cell>
          <cell r="V261">
            <v>-28.070629999999998</v>
          </cell>
          <cell r="W261">
            <v>-28.070629999999998</v>
          </cell>
          <cell r="Z261">
            <v>412.58087999999998</v>
          </cell>
          <cell r="AA261">
            <v>-412.58087999999998</v>
          </cell>
          <cell r="AB261">
            <v>-26.880879999999994</v>
          </cell>
          <cell r="AC261">
            <v>-412.58087999999998</v>
          </cell>
          <cell r="AD261">
            <v>0</v>
          </cell>
        </row>
        <row r="262">
          <cell r="B262" t="str">
            <v>LCP-200133</v>
          </cell>
          <cell r="C262" t="str">
            <v>PER - FVM 4 (EX GADSDEN)</v>
          </cell>
          <cell r="D262" t="str">
            <v>Facilities Sustaining</v>
          </cell>
          <cell r="E262" t="str">
            <v>N</v>
          </cell>
          <cell r="F262" t="str">
            <v>LA</v>
          </cell>
          <cell r="H262" t="str">
            <v>Consumer Radial</v>
          </cell>
          <cell r="I262" t="str">
            <v>Final Finish</v>
          </cell>
          <cell r="J262" t="str">
            <v>PER</v>
          </cell>
          <cell r="Q262">
            <v>234.02500000000001</v>
          </cell>
          <cell r="S262">
            <v>55.622230000000002</v>
          </cell>
          <cell r="T262">
            <v>78.873290000000011</v>
          </cell>
          <cell r="U262">
            <v>14.071200000000005</v>
          </cell>
          <cell r="V262">
            <v>144.02420999999998</v>
          </cell>
          <cell r="W262">
            <v>144.02420999999998</v>
          </cell>
          <cell r="X262">
            <v>52.561500000000002</v>
          </cell>
          <cell r="Y262">
            <v>23.616309999999999</v>
          </cell>
          <cell r="AD262">
            <v>144</v>
          </cell>
        </row>
        <row r="263">
          <cell r="B263" t="str">
            <v>LCP-200136</v>
          </cell>
          <cell r="C263" t="str">
            <v>Colombia Plant Storm Recovery</v>
          </cell>
          <cell r="D263" t="str">
            <v>Facilities Sustaining</v>
          </cell>
          <cell r="E263" t="str">
            <v>N</v>
          </cell>
          <cell r="F263" t="str">
            <v>LA</v>
          </cell>
          <cell r="H263" t="str">
            <v>COMMERCIAL RADIAL</v>
          </cell>
          <cell r="I263" t="str">
            <v>FACILITIES/INFRASTRUCTURE</v>
          </cell>
          <cell r="J263" t="str">
            <v>COL</v>
          </cell>
          <cell r="Q263">
            <v>1000</v>
          </cell>
          <cell r="S263">
            <v>0</v>
          </cell>
          <cell r="T263">
            <v>0</v>
          </cell>
          <cell r="U263">
            <v>0</v>
          </cell>
        </row>
        <row r="264">
          <cell r="B264" t="str">
            <v>LCP-190117</v>
          </cell>
          <cell r="C264" t="str">
            <v>CAP-X-RAY GREEN POINT MARKER</v>
          </cell>
          <cell r="D264" t="str">
            <v>Quality - Improvement</v>
          </cell>
          <cell r="E264" t="str">
            <v>N</v>
          </cell>
          <cell r="F264" t="str">
            <v>LA</v>
          </cell>
          <cell r="H264" t="str">
            <v>COMMERCIAL RADIAL</v>
          </cell>
          <cell r="I264" t="str">
            <v>FINAL FINISH</v>
          </cell>
          <cell r="J264" t="str">
            <v>AME</v>
          </cell>
          <cell r="O264">
            <v>67.5</v>
          </cell>
          <cell r="Q264">
            <v>67.5</v>
          </cell>
          <cell r="R264">
            <v>23.122389999999999</v>
          </cell>
          <cell r="S264">
            <v>27.78295</v>
          </cell>
          <cell r="T264">
            <v>4.6605600000000003</v>
          </cell>
          <cell r="U264">
            <v>0</v>
          </cell>
          <cell r="V264">
            <v>9.7674900000000004</v>
          </cell>
          <cell r="W264">
            <v>9.7674900000000004</v>
          </cell>
          <cell r="Z264">
            <v>39.71705</v>
          </cell>
          <cell r="AA264">
            <v>-39.71705</v>
          </cell>
          <cell r="AB264">
            <v>27.78295</v>
          </cell>
          <cell r="AC264">
            <v>-39.71705</v>
          </cell>
          <cell r="AD264">
            <v>0</v>
          </cell>
        </row>
        <row r="265">
          <cell r="B265" t="str">
            <v>LCP-200138</v>
          </cell>
          <cell r="C265" t="str">
            <v>PER - PEMS (ENERGY METERS SYSTEM)</v>
          </cell>
          <cell r="D265" t="str">
            <v>Energy Conservation</v>
          </cell>
          <cell r="E265" t="str">
            <v>N</v>
          </cell>
          <cell r="F265" t="str">
            <v>LA</v>
          </cell>
          <cell r="H265" t="str">
            <v>Consumer Radial</v>
          </cell>
          <cell r="I265" t="str">
            <v>Facilities/Infrastructure</v>
          </cell>
          <cell r="J265" t="str">
            <v>PER</v>
          </cell>
          <cell r="Q265">
            <v>76.325000000000003</v>
          </cell>
          <cell r="S265">
            <v>28.742610000000003</v>
          </cell>
          <cell r="T265">
            <v>28.742610000000003</v>
          </cell>
          <cell r="U265">
            <v>0</v>
          </cell>
          <cell r="V265">
            <v>28.491760000000003</v>
          </cell>
          <cell r="W265">
            <v>28.491760000000003</v>
          </cell>
        </row>
        <row r="266">
          <cell r="B266" t="str">
            <v>LCP-200139</v>
          </cell>
          <cell r="C266" t="str">
            <v>PER - ADDITIONAL RTS AT DIE SHOP</v>
          </cell>
          <cell r="D266" t="str">
            <v>Quality - Improvement</v>
          </cell>
          <cell r="E266" t="str">
            <v>N</v>
          </cell>
          <cell r="F266" t="str">
            <v>LA</v>
          </cell>
          <cell r="H266" t="str">
            <v>Consumer Radial</v>
          </cell>
          <cell r="I266" t="str">
            <v xml:space="preserve">Extruding </v>
          </cell>
          <cell r="J266" t="str">
            <v>PER</v>
          </cell>
          <cell r="Q266">
            <v>104.5</v>
          </cell>
          <cell r="S266">
            <v>3.0941499999999782</v>
          </cell>
          <cell r="T266">
            <v>3.0941499999999782</v>
          </cell>
          <cell r="U266">
            <v>0</v>
          </cell>
          <cell r="V266">
            <v>1.3798299999999784</v>
          </cell>
          <cell r="W266">
            <v>1.3798299999999784</v>
          </cell>
        </row>
        <row r="267">
          <cell r="B267" t="str">
            <v>LCP-200140</v>
          </cell>
          <cell r="C267" t="str">
            <v>PER - COOLING SYSTEM FOR BATCHOFF CHAIN</v>
          </cell>
          <cell r="D267" t="str">
            <v>Quality - Improvement</v>
          </cell>
          <cell r="E267" t="str">
            <v>N</v>
          </cell>
          <cell r="F267" t="str">
            <v>LA</v>
          </cell>
          <cell r="H267" t="str">
            <v>Consumer Radial</v>
          </cell>
          <cell r="I267" t="str">
            <v>Mixing</v>
          </cell>
          <cell r="J267" t="str">
            <v>PER</v>
          </cell>
          <cell r="Q267">
            <v>75</v>
          </cell>
          <cell r="S267">
            <v>36.439010000000003</v>
          </cell>
          <cell r="T267">
            <v>53.762560000000008</v>
          </cell>
          <cell r="U267">
            <v>10.987870000000001</v>
          </cell>
          <cell r="V267">
            <v>67.348089999999999</v>
          </cell>
          <cell r="W267">
            <v>67.348089999999999</v>
          </cell>
          <cell r="X267">
            <v>0</v>
          </cell>
          <cell r="Y267">
            <v>12.808</v>
          </cell>
        </row>
        <row r="268">
          <cell r="B268" t="str">
            <v>LCP-200141</v>
          </cell>
          <cell r="C268" t="str">
            <v>AME- 72 molds transf. from Fayt. to Amer</v>
          </cell>
          <cell r="D268" t="str">
            <v>Molds NA</v>
          </cell>
          <cell r="E268" t="str">
            <v>N</v>
          </cell>
          <cell r="F268" t="str">
            <v>LA</v>
          </cell>
          <cell r="H268" t="str">
            <v>Consumer Radial</v>
          </cell>
          <cell r="I268" t="str">
            <v>CURING</v>
          </cell>
          <cell r="J268" t="str">
            <v>AME Molds NA</v>
          </cell>
          <cell r="Q268">
            <v>590.79999999999995</v>
          </cell>
          <cell r="S268">
            <v>252.27194</v>
          </cell>
          <cell r="T268">
            <v>254.38611</v>
          </cell>
          <cell r="U268">
            <v>0</v>
          </cell>
          <cell r="V268">
            <v>216.42839000000001</v>
          </cell>
          <cell r="W268">
            <v>216.42839000000001</v>
          </cell>
          <cell r="AD268">
            <v>400</v>
          </cell>
        </row>
        <row r="269">
          <cell r="B269" t="str">
            <v>LCP-190132</v>
          </cell>
          <cell r="C269" t="str">
            <v>VEHICLE DYNAMICS AREA (VDA) REPAVING</v>
          </cell>
          <cell r="D269" t="str">
            <v>SAG</v>
          </cell>
          <cell r="E269" t="str">
            <v>N</v>
          </cell>
          <cell r="F269" t="str">
            <v>LA</v>
          </cell>
          <cell r="G269">
            <v>0</v>
          </cell>
          <cell r="H269" t="str">
            <v>N/A</v>
          </cell>
          <cell r="I269" t="str">
            <v>SAG - GPG*LA</v>
          </cell>
          <cell r="J269" t="str">
            <v>BRZ</v>
          </cell>
          <cell r="O269">
            <v>844.22315000000003</v>
          </cell>
          <cell r="Q269">
            <v>844.22315000000003</v>
          </cell>
          <cell r="R269">
            <v>23.084180000000003</v>
          </cell>
          <cell r="S269">
            <v>38.045050000000003</v>
          </cell>
          <cell r="T269">
            <v>18.663270000000001</v>
          </cell>
          <cell r="U269">
            <v>0</v>
          </cell>
          <cell r="V269">
            <v>14.6</v>
          </cell>
          <cell r="W269">
            <v>14.6</v>
          </cell>
          <cell r="Z269">
            <v>806.17810000000009</v>
          </cell>
          <cell r="AA269">
            <v>-806.17810000000009</v>
          </cell>
          <cell r="AB269">
            <v>38.045050000000003</v>
          </cell>
          <cell r="AC269">
            <v>-806.17810000000009</v>
          </cell>
          <cell r="AD269">
            <v>0</v>
          </cell>
        </row>
        <row r="270">
          <cell r="B270" t="str">
            <v>LCP-190140</v>
          </cell>
          <cell r="C270" t="str">
            <v>UPGRADE RING 18" CUV IN MC ANCHIETA</v>
          </cell>
          <cell r="D270" t="str">
            <v>SAG</v>
          </cell>
          <cell r="E270" t="str">
            <v>N</v>
          </cell>
          <cell r="F270" t="str">
            <v>LA</v>
          </cell>
          <cell r="H270" t="str">
            <v>Mixed</v>
          </cell>
          <cell r="I270" t="str">
            <v>N/A</v>
          </cell>
          <cell r="J270" t="str">
            <v>MC</v>
          </cell>
          <cell r="O270">
            <v>427.82044000000002</v>
          </cell>
          <cell r="Q270">
            <v>427.82044000000002</v>
          </cell>
          <cell r="R270">
            <v>0</v>
          </cell>
          <cell r="S270">
            <v>2.9714299999999993</v>
          </cell>
          <cell r="T270">
            <v>2.9714299999999993</v>
          </cell>
          <cell r="U270">
            <v>0</v>
          </cell>
          <cell r="V270">
            <v>2.9873499999999993</v>
          </cell>
          <cell r="W270">
            <v>2.9873499999999993</v>
          </cell>
          <cell r="Z270">
            <v>424.84901000000002</v>
          </cell>
          <cell r="AA270">
            <v>-424.84901000000002</v>
          </cell>
          <cell r="AB270">
            <v>2.9714299999999993</v>
          </cell>
          <cell r="AC270">
            <v>-424.84901000000002</v>
          </cell>
          <cell r="AD270">
            <v>0</v>
          </cell>
        </row>
        <row r="271">
          <cell r="B271" t="str">
            <v>LCP-200146</v>
          </cell>
          <cell r="C271" t="str">
            <v>Molds for Transit V363 (OE)</v>
          </cell>
          <cell r="D271" t="str">
            <v>Molds</v>
          </cell>
          <cell r="E271" t="str">
            <v>N</v>
          </cell>
          <cell r="F271" t="str">
            <v>LA</v>
          </cell>
          <cell r="H271" t="str">
            <v>Consumer Radial</v>
          </cell>
          <cell r="I271" t="str">
            <v>CURING</v>
          </cell>
          <cell r="J271" t="str">
            <v>AME</v>
          </cell>
          <cell r="Q271">
            <v>240</v>
          </cell>
          <cell r="S271">
            <v>138.94022000000004</v>
          </cell>
          <cell r="T271">
            <v>138.47726000000003</v>
          </cell>
          <cell r="U271">
            <v>49.199369999999988</v>
          </cell>
          <cell r="V271">
            <v>136</v>
          </cell>
          <cell r="W271">
            <v>136</v>
          </cell>
          <cell r="X271">
            <v>0</v>
          </cell>
          <cell r="Y271">
            <v>51.977699999999999</v>
          </cell>
        </row>
        <row r="272">
          <cell r="B272" t="str">
            <v>LCP-200148</v>
          </cell>
          <cell r="C272" t="str">
            <v>STB- G159/G159HS and G167 Export to NA</v>
          </cell>
          <cell r="D272" t="str">
            <v>Molds</v>
          </cell>
          <cell r="E272" t="str">
            <v>N</v>
          </cell>
          <cell r="F272" t="str">
            <v>LA</v>
          </cell>
          <cell r="H272" t="str">
            <v>Commercial Radial</v>
          </cell>
          <cell r="I272" t="str">
            <v>CURING</v>
          </cell>
          <cell r="J272" t="str">
            <v>RET</v>
          </cell>
          <cell r="Q272">
            <v>81.5</v>
          </cell>
          <cell r="S272">
            <v>41.393450000000001</v>
          </cell>
          <cell r="T272">
            <v>55.806300000000007</v>
          </cell>
          <cell r="U272">
            <v>0</v>
          </cell>
          <cell r="V272">
            <v>42.507829629629626</v>
          </cell>
          <cell r="W272">
            <v>42.507829629629626</v>
          </cell>
          <cell r="X272">
            <v>0</v>
          </cell>
          <cell r="Y272">
            <v>2.78193</v>
          </cell>
          <cell r="AD272">
            <v>55</v>
          </cell>
        </row>
        <row r="273">
          <cell r="B273" t="str">
            <v>LCP-190142</v>
          </cell>
          <cell r="C273" t="str">
            <v>NEW OIL LINE SYDININI</v>
          </cell>
          <cell r="D273" t="str">
            <v>Quality - Improvement</v>
          </cell>
          <cell r="E273" t="str">
            <v>N</v>
          </cell>
          <cell r="F273" t="str">
            <v>LA</v>
          </cell>
          <cell r="H273" t="str">
            <v>MIXED</v>
          </cell>
          <cell r="I273" t="str">
            <v>MIXING</v>
          </cell>
          <cell r="J273" t="str">
            <v>AME</v>
          </cell>
          <cell r="O273">
            <v>616.40979000000004</v>
          </cell>
          <cell r="Q273">
            <v>616.40979000000004</v>
          </cell>
          <cell r="R273">
            <v>78.383870000000002</v>
          </cell>
          <cell r="S273">
            <v>187.85696000000002</v>
          </cell>
          <cell r="T273">
            <v>128.47309000000001</v>
          </cell>
          <cell r="U273">
            <v>0</v>
          </cell>
          <cell r="V273">
            <v>108.0915</v>
          </cell>
          <cell r="W273">
            <v>108.0915</v>
          </cell>
          <cell r="Z273">
            <v>428.55283000000003</v>
          </cell>
          <cell r="AA273">
            <v>-428.55283000000003</v>
          </cell>
          <cell r="AB273">
            <v>187.85696000000002</v>
          </cell>
          <cell r="AC273">
            <v>-428.55283000000003</v>
          </cell>
          <cell r="AD273">
            <v>0</v>
          </cell>
        </row>
        <row r="274">
          <cell r="B274" t="str">
            <v>LCP-200150</v>
          </cell>
          <cell r="C274" t="str">
            <v>PER - Legal Requirements Compliance</v>
          </cell>
          <cell r="D274" t="str">
            <v>EHS</v>
          </cell>
          <cell r="E274" t="str">
            <v>N</v>
          </cell>
          <cell r="F274" t="str">
            <v>LA</v>
          </cell>
          <cell r="G274" t="str">
            <v>COMP</v>
          </cell>
          <cell r="H274" t="str">
            <v>Consumer Radial</v>
          </cell>
          <cell r="I274" t="str">
            <v>OTHER</v>
          </cell>
          <cell r="J274" t="str">
            <v>PER</v>
          </cell>
          <cell r="Q274">
            <v>65</v>
          </cell>
          <cell r="S274">
            <v>-0.25907000000000124</v>
          </cell>
          <cell r="T274">
            <v>-0.25907000000000124</v>
          </cell>
          <cell r="U274">
            <v>0</v>
          </cell>
          <cell r="V274">
            <v>9.5479999999998455E-2</v>
          </cell>
          <cell r="W274">
            <v>9.5479999999998455E-2</v>
          </cell>
        </row>
        <row r="275">
          <cell r="B275" t="str">
            <v>LCP-200155</v>
          </cell>
          <cell r="C275" t="str">
            <v>AME- FCA 363 (195/60R16 Eagle Touring)</v>
          </cell>
          <cell r="D275" t="str">
            <v>Molds</v>
          </cell>
          <cell r="E275" t="str">
            <v>N</v>
          </cell>
          <cell r="F275" t="str">
            <v>LA</v>
          </cell>
          <cell r="H275" t="str">
            <v>Consumer Radial</v>
          </cell>
          <cell r="I275" t="str">
            <v>CURING</v>
          </cell>
          <cell r="J275" t="str">
            <v>AME</v>
          </cell>
          <cell r="Q275">
            <v>200</v>
          </cell>
          <cell r="S275">
            <v>4.8192099999999991</v>
          </cell>
          <cell r="T275">
            <v>179.49074000000002</v>
          </cell>
          <cell r="U275">
            <v>0.97907000000000721</v>
          </cell>
          <cell r="V275">
            <v>136</v>
          </cell>
          <cell r="W275">
            <v>136</v>
          </cell>
        </row>
        <row r="276">
          <cell r="B276" t="str">
            <v>LCP-200156</v>
          </cell>
          <cell r="C276" t="str">
            <v>AME- 295/80R22.5 KMAX RSA</v>
          </cell>
          <cell r="D276" t="str">
            <v>Molds</v>
          </cell>
          <cell r="E276" t="str">
            <v>N</v>
          </cell>
          <cell r="F276" t="str">
            <v>LA</v>
          </cell>
          <cell r="H276" t="str">
            <v>Commercial Radial</v>
          </cell>
          <cell r="I276" t="str">
            <v>CURING</v>
          </cell>
          <cell r="J276" t="str">
            <v>AME</v>
          </cell>
          <cell r="Q276">
            <v>174.5</v>
          </cell>
          <cell r="S276">
            <v>40.02366</v>
          </cell>
          <cell r="T276">
            <v>142.68323000000001</v>
          </cell>
          <cell r="U276">
            <v>-6.1540000000007922E-2</v>
          </cell>
          <cell r="V276">
            <v>140.25</v>
          </cell>
          <cell r="W276">
            <v>140.25</v>
          </cell>
          <cell r="X276">
            <v>0</v>
          </cell>
          <cell r="Y276">
            <v>9.5440000000000005</v>
          </cell>
          <cell r="AD276">
            <v>155</v>
          </cell>
        </row>
        <row r="277">
          <cell r="B277" t="str">
            <v>LCP-200157</v>
          </cell>
          <cell r="C277" t="str">
            <v>Two additional molds 295/75R22.5 Maratho</v>
          </cell>
          <cell r="D277" t="str">
            <v>Molds</v>
          </cell>
          <cell r="E277" t="str">
            <v>N</v>
          </cell>
          <cell r="F277" t="str">
            <v>LA</v>
          </cell>
          <cell r="H277" t="str">
            <v>Commercial Radial</v>
          </cell>
          <cell r="I277" t="str">
            <v>Curing</v>
          </cell>
          <cell r="J277" t="str">
            <v>COL</v>
          </cell>
          <cell r="Q277">
            <v>133.03800000000001</v>
          </cell>
          <cell r="S277">
            <v>85.554939999999988</v>
          </cell>
          <cell r="T277">
            <v>85.554939999999988</v>
          </cell>
          <cell r="U277">
            <v>0</v>
          </cell>
          <cell r="V277">
            <v>20</v>
          </cell>
          <cell r="W277">
            <v>20</v>
          </cell>
        </row>
        <row r="278">
          <cell r="B278" t="str">
            <v>LCP-190144</v>
          </cell>
          <cell r="C278" t="str">
            <v>WIRE CALENDER EDGE TRIMMING DEVICE</v>
          </cell>
          <cell r="D278" t="str">
            <v>Quality - Improvement</v>
          </cell>
          <cell r="E278" t="str">
            <v>N</v>
          </cell>
          <cell r="F278" t="str">
            <v>LA</v>
          </cell>
          <cell r="H278" t="str">
            <v>CONSUMER RADIAL</v>
          </cell>
          <cell r="I278" t="str">
            <v>COMPONENT PREP OTHER</v>
          </cell>
          <cell r="J278" t="str">
            <v>AME</v>
          </cell>
          <cell r="O278">
            <v>90.5</v>
          </cell>
          <cell r="Q278">
            <v>90.5</v>
          </cell>
          <cell r="R278">
            <v>1.56802</v>
          </cell>
          <cell r="S278">
            <v>0</v>
          </cell>
          <cell r="T278">
            <v>-1.56802</v>
          </cell>
          <cell r="U278">
            <v>0</v>
          </cell>
          <cell r="V278">
            <v>-1.56802</v>
          </cell>
          <cell r="W278">
            <v>-1.56802</v>
          </cell>
          <cell r="Z278">
            <v>90.5</v>
          </cell>
          <cell r="AA278">
            <v>-90.5</v>
          </cell>
          <cell r="AB278">
            <v>0</v>
          </cell>
          <cell r="AC278">
            <v>-90.5</v>
          </cell>
          <cell r="AD278">
            <v>0</v>
          </cell>
        </row>
        <row r="279">
          <cell r="B279" t="str">
            <v>LCP-200161</v>
          </cell>
          <cell r="C279" t="str">
            <v xml:space="preserve">PER - Water softner </v>
          </cell>
          <cell r="D279" t="str">
            <v>Facilities Sustaining</v>
          </cell>
          <cell r="E279" t="str">
            <v>N</v>
          </cell>
          <cell r="F279" t="str">
            <v>LA</v>
          </cell>
          <cell r="H279" t="str">
            <v>Mixed</v>
          </cell>
          <cell r="I279" t="str">
            <v>ENGINEERING</v>
          </cell>
          <cell r="J279" t="str">
            <v>PER</v>
          </cell>
          <cell r="Q279">
            <v>52.5</v>
          </cell>
          <cell r="S279">
            <v>0</v>
          </cell>
          <cell r="T279">
            <v>0</v>
          </cell>
          <cell r="U279">
            <v>0</v>
          </cell>
        </row>
        <row r="280">
          <cell r="B280" t="str">
            <v>LCP-200162</v>
          </cell>
          <cell r="C280" t="str">
            <v>PER - Eletric Drying oven</v>
          </cell>
          <cell r="D280" t="str">
            <v>Facilities Sustaining</v>
          </cell>
          <cell r="E280" t="str">
            <v>N</v>
          </cell>
          <cell r="F280" t="str">
            <v>LA</v>
          </cell>
          <cell r="H280" t="str">
            <v>Mixed</v>
          </cell>
          <cell r="I280" t="str">
            <v>ENGINEERING</v>
          </cell>
          <cell r="J280" t="str">
            <v>PER</v>
          </cell>
          <cell r="Q280">
            <v>70.5</v>
          </cell>
          <cell r="S280">
            <v>34.467569999999995</v>
          </cell>
          <cell r="T280">
            <v>34.467569999999995</v>
          </cell>
          <cell r="U280">
            <v>0</v>
          </cell>
          <cell r="V280">
            <v>34.325209999999998</v>
          </cell>
          <cell r="W280">
            <v>34.325209999999998</v>
          </cell>
          <cell r="X280">
            <v>0</v>
          </cell>
          <cell r="Y280">
            <v>0.37983000000000006</v>
          </cell>
        </row>
        <row r="281">
          <cell r="B281" t="str">
            <v>LCP-200163</v>
          </cell>
          <cell r="C281" t="str">
            <v>PER - New tooling for PDM inspections</v>
          </cell>
          <cell r="D281" t="str">
            <v>Facilities Sustaining</v>
          </cell>
          <cell r="E281" t="str">
            <v>N</v>
          </cell>
          <cell r="F281" t="str">
            <v>LA</v>
          </cell>
          <cell r="H281" t="str">
            <v>Mixed</v>
          </cell>
          <cell r="I281" t="str">
            <v>ENGINEERING</v>
          </cell>
          <cell r="J281" t="str">
            <v>PER</v>
          </cell>
          <cell r="Q281">
            <v>57.7</v>
          </cell>
          <cell r="S281">
            <v>29.955860000000008</v>
          </cell>
          <cell r="T281">
            <v>29.955860000000008</v>
          </cell>
          <cell r="U281">
            <v>0</v>
          </cell>
          <cell r="V281">
            <v>29.935360000000006</v>
          </cell>
          <cell r="W281">
            <v>29.935360000000006</v>
          </cell>
        </row>
        <row r="282">
          <cell r="B282" t="str">
            <v>LCP-200165</v>
          </cell>
          <cell r="C282" t="str">
            <v>Molds for Hyundai SU2B (OE)</v>
          </cell>
          <cell r="D282" t="str">
            <v>Molds</v>
          </cell>
          <cell r="E282" t="str">
            <v>N</v>
          </cell>
          <cell r="F282" t="str">
            <v>LA</v>
          </cell>
          <cell r="H282" t="str">
            <v>Consumer Radial</v>
          </cell>
          <cell r="I282" t="str">
            <v>Curing</v>
          </cell>
          <cell r="J282" t="str">
            <v>AME</v>
          </cell>
          <cell r="Q282">
            <v>630</v>
          </cell>
          <cell r="S282">
            <v>16.106320000000004</v>
          </cell>
          <cell r="T282">
            <v>605.54128000000014</v>
          </cell>
          <cell r="U282">
            <v>-0.46736999999995987</v>
          </cell>
          <cell r="V282">
            <v>798</v>
          </cell>
          <cell r="W282">
            <v>798</v>
          </cell>
        </row>
        <row r="283">
          <cell r="B283" t="str">
            <v>LCP-200166</v>
          </cell>
          <cell r="C283" t="str">
            <v>Automatic Buffing Machine</v>
          </cell>
          <cell r="D283" t="str">
            <v>SAG</v>
          </cell>
          <cell r="E283" t="str">
            <v>N</v>
          </cell>
          <cell r="F283" t="str">
            <v>LA</v>
          </cell>
          <cell r="H283" t="str">
            <v>N/A</v>
          </cell>
          <cell r="I283" t="str">
            <v>SAG - Other</v>
          </cell>
          <cell r="J283" t="str">
            <v>ARG</v>
          </cell>
          <cell r="Q283">
            <v>125</v>
          </cell>
          <cell r="S283">
            <v>59.438830000000003</v>
          </cell>
          <cell r="T283">
            <v>59.438830000000003</v>
          </cell>
          <cell r="U283">
            <v>0</v>
          </cell>
          <cell r="V283">
            <v>62.066780000000001</v>
          </cell>
          <cell r="W283">
            <v>62.066780000000001</v>
          </cell>
        </row>
        <row r="284">
          <cell r="B284" t="str">
            <v>LCP-200168</v>
          </cell>
          <cell r="C284" t="str">
            <v>COL - MRT Tire building machines obsolete control elimination (Phase 2)</v>
          </cell>
          <cell r="D284" t="str">
            <v>Facilities Sustaining</v>
          </cell>
          <cell r="E284" t="str">
            <v>C</v>
          </cell>
          <cell r="F284" t="str">
            <v>LA</v>
          </cell>
          <cell r="H284" t="str">
            <v>COMMERCIAL RADIAL</v>
          </cell>
          <cell r="I284" t="str">
            <v>COMPONENT PREP OTHER</v>
          </cell>
          <cell r="J284" t="str">
            <v>COL</v>
          </cell>
          <cell r="Q284">
            <v>390.86500000000001</v>
          </cell>
          <cell r="S284">
            <v>124.31667999999999</v>
          </cell>
          <cell r="T284">
            <v>168.00009</v>
          </cell>
          <cell r="U284">
            <v>57.510980000000018</v>
          </cell>
          <cell r="V284">
            <v>300</v>
          </cell>
          <cell r="W284">
            <v>300</v>
          </cell>
          <cell r="X284">
            <v>7.0679999999999996</v>
          </cell>
          <cell r="Y284">
            <v>41.344580000000001</v>
          </cell>
        </row>
        <row r="285">
          <cell r="B285" t="str">
            <v>LCP-190150</v>
          </cell>
          <cell r="C285" t="str">
            <v>B1 - UPGRADE PC-ETMS BALANCE AND FVM MACHINE</v>
          </cell>
          <cell r="D285" t="str">
            <v>Facilities Sustaining</v>
          </cell>
          <cell r="E285" t="str">
            <v>N</v>
          </cell>
          <cell r="F285" t="str">
            <v>LA</v>
          </cell>
          <cell r="H285" t="str">
            <v>CONSUMER RADIAL</v>
          </cell>
          <cell r="I285" t="str">
            <v>Tire Assembly</v>
          </cell>
          <cell r="J285" t="str">
            <v>AME</v>
          </cell>
          <cell r="O285">
            <v>304</v>
          </cell>
          <cell r="Q285">
            <v>304</v>
          </cell>
          <cell r="R285">
            <v>200.25262000000001</v>
          </cell>
          <cell r="S285">
            <v>228.78542000000002</v>
          </cell>
          <cell r="T285">
            <v>34.42745</v>
          </cell>
          <cell r="U285">
            <v>10.413139999999999</v>
          </cell>
          <cell r="V285">
            <v>45</v>
          </cell>
          <cell r="W285">
            <v>45</v>
          </cell>
          <cell r="X285">
            <v>0</v>
          </cell>
          <cell r="Y285">
            <v>24.492239999999999</v>
          </cell>
          <cell r="Z285">
            <v>75.214579999999984</v>
          </cell>
          <cell r="AA285">
            <v>-75.214579999999984</v>
          </cell>
          <cell r="AB285">
            <v>239.19856000000001</v>
          </cell>
          <cell r="AC285">
            <v>-64.801439999999985</v>
          </cell>
          <cell r="AD285">
            <v>0</v>
          </cell>
        </row>
        <row r="286">
          <cell r="B286" t="str">
            <v>LCP-190159</v>
          </cell>
          <cell r="C286" t="str">
            <v>(02) TRANSFER ORING NGTTS &amp; MONO CUTTER IN ANGLE</v>
          </cell>
          <cell r="D286" t="str">
            <v>Quality - Improvement</v>
          </cell>
          <cell r="E286" t="str">
            <v>N</v>
          </cell>
          <cell r="F286" t="str">
            <v>LA</v>
          </cell>
          <cell r="H286" t="str">
            <v>COMMERCIAL RADIAL</v>
          </cell>
          <cell r="I286" t="str">
            <v>COMPONENT PREP OTHER</v>
          </cell>
          <cell r="J286" t="str">
            <v>AME</v>
          </cell>
          <cell r="O286">
            <v>298.96199999999999</v>
          </cell>
          <cell r="Q286">
            <v>298.96199999999999</v>
          </cell>
          <cell r="R286">
            <v>0</v>
          </cell>
          <cell r="S286">
            <v>-0.33455000000000007</v>
          </cell>
          <cell r="T286">
            <v>-0.33455000000000007</v>
          </cell>
          <cell r="U286">
            <v>0</v>
          </cell>
          <cell r="V286">
            <v>9.1654499999999999</v>
          </cell>
          <cell r="W286">
            <v>9.1654499999999999</v>
          </cell>
          <cell r="Z286">
            <v>299.29654999999997</v>
          </cell>
          <cell r="AA286">
            <v>-299.29654999999997</v>
          </cell>
          <cell r="AB286">
            <v>-0.33455000000000007</v>
          </cell>
          <cell r="AC286">
            <v>-299.29654999999997</v>
          </cell>
          <cell r="AD286">
            <v>0</v>
          </cell>
        </row>
        <row r="287">
          <cell r="B287" t="str">
            <v>LCP-200171</v>
          </cell>
          <cell r="C287" t="str">
            <v>EAGLE SPORT 2</v>
          </cell>
          <cell r="D287" t="str">
            <v>Molds</v>
          </cell>
          <cell r="E287" t="str">
            <v>N</v>
          </cell>
          <cell r="F287" t="str">
            <v>LA</v>
          </cell>
          <cell r="H287" t="str">
            <v>Consumer Radial</v>
          </cell>
          <cell r="I287" t="str">
            <v>Curing</v>
          </cell>
          <cell r="J287" t="str">
            <v>AME</v>
          </cell>
          <cell r="S287">
            <v>119.32167999999999</v>
          </cell>
          <cell r="T287">
            <v>618.03512000000023</v>
          </cell>
          <cell r="U287">
            <v>380.52816999999993</v>
          </cell>
          <cell r="V287">
            <v>1068</v>
          </cell>
          <cell r="W287">
            <v>1068</v>
          </cell>
          <cell r="X287">
            <v>0</v>
          </cell>
          <cell r="Y287">
            <v>261.39128999999997</v>
          </cell>
        </row>
        <row r="288">
          <cell r="B288" t="str">
            <v>LCP-200172</v>
          </cell>
          <cell r="C288" t="str">
            <v>PER - BARCODE STAGE 01 AT FINAL FINISH</v>
          </cell>
          <cell r="D288" t="str">
            <v>Quality - Improvement</v>
          </cell>
          <cell r="E288" t="str">
            <v>N</v>
          </cell>
          <cell r="F288" t="str">
            <v>LA</v>
          </cell>
          <cell r="H288" t="str">
            <v>Consumer Radial</v>
          </cell>
          <cell r="I288" t="str">
            <v>Final Finish</v>
          </cell>
          <cell r="J288" t="str">
            <v>PER</v>
          </cell>
          <cell r="Q288">
            <v>318</v>
          </cell>
          <cell r="S288">
            <v>26.813890000000001</v>
          </cell>
          <cell r="T288">
            <v>49.181229999999999</v>
          </cell>
          <cell r="U288">
            <v>57.599999999999994</v>
          </cell>
          <cell r="V288">
            <v>125.93503999999999</v>
          </cell>
          <cell r="W288">
            <v>125.93503999999999</v>
          </cell>
          <cell r="X288">
            <v>26.027999999999999</v>
          </cell>
          <cell r="Y288">
            <v>0.44964999999999999</v>
          </cell>
          <cell r="AD288">
            <v>180</v>
          </cell>
        </row>
        <row r="289">
          <cell r="B289" t="str">
            <v>LCP-200173</v>
          </cell>
          <cell r="C289" t="str">
            <v>PER - Barcode scanner</v>
          </cell>
          <cell r="D289" t="str">
            <v>SAG</v>
          </cell>
          <cell r="E289" t="str">
            <v>N</v>
          </cell>
          <cell r="F289" t="str">
            <v>LA</v>
          </cell>
          <cell r="H289" t="str">
            <v>N/A</v>
          </cell>
          <cell r="I289" t="str">
            <v>SAG - Supply Chain</v>
          </cell>
          <cell r="J289" t="str">
            <v>PER</v>
          </cell>
          <cell r="Q289">
            <v>115</v>
          </cell>
          <cell r="S289">
            <v>36.526899999999998</v>
          </cell>
          <cell r="T289">
            <v>38.829509999999999</v>
          </cell>
          <cell r="U289">
            <v>64.5</v>
          </cell>
          <cell r="V289">
            <v>50</v>
          </cell>
          <cell r="W289">
            <v>50</v>
          </cell>
          <cell r="X289">
            <v>0</v>
          </cell>
          <cell r="Y289">
            <v>23.349599999999999</v>
          </cell>
          <cell r="AD289">
            <v>89</v>
          </cell>
        </row>
        <row r="290">
          <cell r="B290" t="str">
            <v>LCP-200174</v>
          </cell>
          <cell r="C290" t="str">
            <v>Molds for PSA Smart Car 195/65R15 (OE)</v>
          </cell>
          <cell r="D290" t="str">
            <v>Molds</v>
          </cell>
          <cell r="E290" t="str">
            <v>N</v>
          </cell>
          <cell r="F290" t="str">
            <v>LA</v>
          </cell>
          <cell r="H290" t="str">
            <v>CONSUMER RADIAL</v>
          </cell>
          <cell r="I290" t="str">
            <v>CURING</v>
          </cell>
          <cell r="J290" t="str">
            <v>AME</v>
          </cell>
          <cell r="Q290">
            <v>68</v>
          </cell>
          <cell r="S290">
            <v>0</v>
          </cell>
          <cell r="T290">
            <v>0</v>
          </cell>
          <cell r="U290">
            <v>0</v>
          </cell>
          <cell r="V290">
            <v>68</v>
          </cell>
          <cell r="W290">
            <v>68</v>
          </cell>
        </row>
        <row r="291">
          <cell r="B291" t="str">
            <v>LCP-190186</v>
          </cell>
          <cell r="C291" t="str">
            <v>CORSAIR Project</v>
          </cell>
          <cell r="D291" t="str">
            <v>SAG</v>
          </cell>
          <cell r="E291" t="str">
            <v>N</v>
          </cell>
          <cell r="F291" t="str">
            <v>LA</v>
          </cell>
          <cell r="H291" t="str">
            <v>AVIATION</v>
          </cell>
          <cell r="I291" t="str">
            <v>SAG - Other</v>
          </cell>
          <cell r="J291" t="str">
            <v>SAO</v>
          </cell>
          <cell r="O291">
            <v>1490</v>
          </cell>
          <cell r="Q291">
            <v>1490</v>
          </cell>
          <cell r="R291">
            <v>50.368539999999996</v>
          </cell>
          <cell r="S291">
            <v>110.55856</v>
          </cell>
          <cell r="T291">
            <v>60.190020000000004</v>
          </cell>
          <cell r="U291">
            <v>0</v>
          </cell>
          <cell r="V291">
            <v>96.589320000000001</v>
          </cell>
          <cell r="W291">
            <v>96.589320000000001</v>
          </cell>
          <cell r="Z291">
            <v>1379.4414400000001</v>
          </cell>
          <cell r="AA291">
            <v>-1379.4414400000001</v>
          </cell>
          <cell r="AB291">
            <v>110.55856</v>
          </cell>
          <cell r="AC291">
            <v>-1379.4414400000001</v>
          </cell>
          <cell r="AD291">
            <v>0</v>
          </cell>
        </row>
        <row r="292">
          <cell r="B292" t="str">
            <v>LCP-190199</v>
          </cell>
          <cell r="C292" t="str">
            <v>MOBILE DOCK LEVELER FOR NEW WAREHOUSE</v>
          </cell>
          <cell r="D292" t="str">
            <v>SAG</v>
          </cell>
          <cell r="E292" t="str">
            <v>N</v>
          </cell>
          <cell r="F292" t="str">
            <v>LA</v>
          </cell>
          <cell r="H292" t="str">
            <v>COMMERCIAL RADIAL</v>
          </cell>
          <cell r="I292" t="str">
            <v>SAG - Supply Chain</v>
          </cell>
          <cell r="J292" t="str">
            <v>BRZ</v>
          </cell>
          <cell r="O292">
            <v>46.003</v>
          </cell>
          <cell r="Q292">
            <v>46.003</v>
          </cell>
          <cell r="R292">
            <v>26.297199999999997</v>
          </cell>
          <cell r="S292">
            <v>31.250259999999997</v>
          </cell>
          <cell r="T292">
            <v>4.9530600000000007</v>
          </cell>
          <cell r="U292">
            <v>0</v>
          </cell>
          <cell r="V292">
            <v>5.0495900000000002</v>
          </cell>
          <cell r="W292">
            <v>5.0495900000000002</v>
          </cell>
          <cell r="Z292">
            <v>14.752740000000003</v>
          </cell>
          <cell r="AA292">
            <v>-14.752740000000003</v>
          </cell>
          <cell r="AB292">
            <v>31.250259999999997</v>
          </cell>
          <cell r="AC292">
            <v>-14.752740000000003</v>
          </cell>
          <cell r="AD292">
            <v>0</v>
          </cell>
        </row>
        <row r="293">
          <cell r="B293" t="str">
            <v>LCP-200178</v>
          </cell>
          <cell r="C293" t="str">
            <v>AME- 26 Molds Workhorse RT for Americana</v>
          </cell>
          <cell r="D293" t="str">
            <v>Molds NA</v>
          </cell>
          <cell r="E293" t="str">
            <v>N</v>
          </cell>
          <cell r="F293" t="str">
            <v>LA</v>
          </cell>
          <cell r="H293" t="str">
            <v>Consumer Radial</v>
          </cell>
          <cell r="I293" t="str">
            <v>CURING</v>
          </cell>
          <cell r="J293" t="str">
            <v>AME Molds NA</v>
          </cell>
          <cell r="T293">
            <v>806.10360999999943</v>
          </cell>
          <cell r="U293">
            <v>333.5180600000001</v>
          </cell>
          <cell r="X293">
            <v>0</v>
          </cell>
          <cell r="Y293">
            <v>411.08111000000002</v>
          </cell>
        </row>
        <row r="294">
          <cell r="B294" t="str">
            <v>LCP-200179</v>
          </cell>
          <cell r="C294" t="str">
            <v>PER - SOL &amp; RIM 17 (EX Americana Nesting)</v>
          </cell>
          <cell r="D294" t="str">
            <v>Facilities Sustaining</v>
          </cell>
          <cell r="E294" t="str">
            <v>N</v>
          </cell>
          <cell r="F294" t="str">
            <v>LA</v>
          </cell>
          <cell r="H294" t="str">
            <v>Consumer Radial</v>
          </cell>
          <cell r="I294" t="str">
            <v>TIRE ASSEMBLY</v>
          </cell>
          <cell r="J294" t="str">
            <v>PER</v>
          </cell>
          <cell r="Q294">
            <v>972.1</v>
          </cell>
          <cell r="S294">
            <v>372.5967500000001</v>
          </cell>
          <cell r="T294">
            <v>395.20038000000005</v>
          </cell>
          <cell r="U294">
            <v>144.65239000000003</v>
          </cell>
          <cell r="V294">
            <v>894.96447000000012</v>
          </cell>
          <cell r="W294">
            <v>894.96447000000012</v>
          </cell>
          <cell r="X294">
            <v>9.2134499999999999</v>
          </cell>
          <cell r="Y294">
            <v>55.628399999999992</v>
          </cell>
          <cell r="AD294">
            <v>895</v>
          </cell>
        </row>
        <row r="295">
          <cell r="B295" t="str">
            <v>LCP-200180</v>
          </cell>
          <cell r="C295" t="str">
            <v>PER - VIRTUAL DMS FOR RADIAL CURING</v>
          </cell>
          <cell r="D295" t="str">
            <v>Facilities Sustaining</v>
          </cell>
          <cell r="E295" t="str">
            <v>N</v>
          </cell>
          <cell r="F295" t="str">
            <v>LA</v>
          </cell>
          <cell r="H295" t="str">
            <v>Consumer Radial</v>
          </cell>
          <cell r="I295" t="str">
            <v>Curing</v>
          </cell>
          <cell r="J295" t="str">
            <v>PER</v>
          </cell>
          <cell r="Q295">
            <v>70</v>
          </cell>
          <cell r="S295">
            <v>1.2880000000000001E-2</v>
          </cell>
          <cell r="T295">
            <v>1.2880000000000001E-2</v>
          </cell>
          <cell r="U295">
            <v>1.324E-2</v>
          </cell>
        </row>
        <row r="296">
          <cell r="B296" t="str">
            <v>LCP-200182</v>
          </cell>
          <cell r="C296" t="str">
            <v>COL- Curing presses/final finish improve</v>
          </cell>
          <cell r="D296" t="str">
            <v>Quality - Improvement</v>
          </cell>
          <cell r="E296" t="str">
            <v>N</v>
          </cell>
          <cell r="F296" t="str">
            <v>LA</v>
          </cell>
          <cell r="H296" t="str">
            <v>Commercial Radial</v>
          </cell>
          <cell r="I296" t="str">
            <v>Final Finish</v>
          </cell>
          <cell r="J296" t="str">
            <v>COL</v>
          </cell>
          <cell r="Q296">
            <v>7039.7960000000003</v>
          </cell>
          <cell r="S296">
            <v>490.36205000000007</v>
          </cell>
          <cell r="T296">
            <v>705.59483999999998</v>
          </cell>
          <cell r="U296">
            <v>1710.1279499999998</v>
          </cell>
          <cell r="V296">
            <v>2638.5359899999999</v>
          </cell>
          <cell r="W296">
            <v>2638.5359899999999</v>
          </cell>
          <cell r="X296">
            <v>12.65279</v>
          </cell>
          <cell r="Y296">
            <v>103.19059999999996</v>
          </cell>
          <cell r="AD296">
            <v>1100</v>
          </cell>
        </row>
        <row r="297">
          <cell r="B297" t="str">
            <v>LCP-200183</v>
          </cell>
          <cell r="C297" t="str">
            <v>ARG - Office Remodelation</v>
          </cell>
          <cell r="D297" t="str">
            <v>SAG</v>
          </cell>
          <cell r="E297" t="str">
            <v>N</v>
          </cell>
          <cell r="F297" t="str">
            <v>LA</v>
          </cell>
          <cell r="H297" t="str">
            <v>N/A</v>
          </cell>
          <cell r="I297" t="str">
            <v>SAG - Other</v>
          </cell>
          <cell r="J297" t="str">
            <v>ARG</v>
          </cell>
          <cell r="Q297">
            <v>33.917000000000002</v>
          </cell>
          <cell r="S297">
            <v>25.218160000000005</v>
          </cell>
          <cell r="T297">
            <v>25.218160000000005</v>
          </cell>
          <cell r="U297">
            <v>0</v>
          </cell>
          <cell r="V297">
            <v>34.492940000000004</v>
          </cell>
          <cell r="W297">
            <v>34.492940000000004</v>
          </cell>
          <cell r="X297">
            <v>0</v>
          </cell>
          <cell r="Y297">
            <v>2.97424</v>
          </cell>
        </row>
        <row r="298">
          <cell r="B298" t="str">
            <v>LCP-190202</v>
          </cell>
          <cell r="C298" t="str">
            <v>MIXER#6 BODY REPLACEMENT</v>
          </cell>
          <cell r="D298" t="str">
            <v>Facilities Sustaining</v>
          </cell>
          <cell r="E298" t="str">
            <v>N</v>
          </cell>
          <cell r="F298" t="str">
            <v>LA</v>
          </cell>
          <cell r="H298" t="str">
            <v>MIXED</v>
          </cell>
          <cell r="I298" t="str">
            <v>MIXING</v>
          </cell>
          <cell r="J298" t="str">
            <v>AME</v>
          </cell>
          <cell r="O298">
            <v>1431.34</v>
          </cell>
          <cell r="Q298">
            <v>1431.34</v>
          </cell>
          <cell r="S298">
            <v>343.79884999999979</v>
          </cell>
          <cell r="T298">
            <v>452.45187999999973</v>
          </cell>
          <cell r="U298">
            <v>16.082839999999976</v>
          </cell>
          <cell r="V298">
            <v>456.93375999999984</v>
          </cell>
          <cell r="W298">
            <v>456.93375999999984</v>
          </cell>
          <cell r="X298">
            <v>0</v>
          </cell>
          <cell r="Y298">
            <v>21.203589999999998</v>
          </cell>
          <cell r="Z298">
            <v>1087.54115</v>
          </cell>
          <cell r="AA298">
            <v>-1087.54115</v>
          </cell>
          <cell r="AB298">
            <v>359.88168999999976</v>
          </cell>
          <cell r="AC298">
            <v>-1071.4583100000002</v>
          </cell>
          <cell r="AD298">
            <v>0</v>
          </cell>
        </row>
        <row r="299">
          <cell r="B299" t="str">
            <v>LCP-210000</v>
          </cell>
          <cell r="C299" t="str">
            <v xml:space="preserve">WRANGLER WORKHORSE AT </v>
          </cell>
          <cell r="D299" t="str">
            <v>Molds</v>
          </cell>
          <cell r="E299" t="str">
            <v>N</v>
          </cell>
          <cell r="F299" t="str">
            <v>LA</v>
          </cell>
          <cell r="H299" t="str">
            <v>Consumer Radial</v>
          </cell>
          <cell r="I299" t="str">
            <v>Curing</v>
          </cell>
          <cell r="J299" t="str">
            <v>PER</v>
          </cell>
          <cell r="Q299">
            <v>259</v>
          </cell>
          <cell r="S299">
            <v>0.23358000000000001</v>
          </cell>
          <cell r="T299">
            <v>40.565570000000001</v>
          </cell>
          <cell r="U299">
            <v>279.87051000000008</v>
          </cell>
          <cell r="V299">
            <v>259</v>
          </cell>
          <cell r="W299">
            <v>259</v>
          </cell>
          <cell r="X299">
            <v>6.3120000000000003</v>
          </cell>
          <cell r="Y299">
            <v>301.15402</v>
          </cell>
          <cell r="AD299">
            <v>18.600000000000001</v>
          </cell>
        </row>
        <row r="300">
          <cell r="B300" t="str">
            <v>LCP-210001</v>
          </cell>
          <cell r="C300" t="str">
            <v>UrbanMax 235/75R17.5 Line extension</v>
          </cell>
          <cell r="D300" t="str">
            <v>Molds</v>
          </cell>
          <cell r="E300" t="str">
            <v>N</v>
          </cell>
          <cell r="F300" t="str">
            <v>LA</v>
          </cell>
          <cell r="H300" t="str">
            <v>Commercial Radial</v>
          </cell>
          <cell r="I300" t="str">
            <v>Curing</v>
          </cell>
          <cell r="J300" t="str">
            <v>AME</v>
          </cell>
          <cell r="Q300">
            <v>157.5</v>
          </cell>
          <cell r="S300">
            <v>19.812570000000004</v>
          </cell>
          <cell r="T300">
            <v>104.32294000000002</v>
          </cell>
          <cell r="U300">
            <v>43.820000000000022</v>
          </cell>
          <cell r="V300">
            <v>136.55000000000001</v>
          </cell>
          <cell r="W300">
            <v>136.55000000000001</v>
          </cell>
          <cell r="X300">
            <v>0</v>
          </cell>
          <cell r="Y300">
            <v>79.677630000000008</v>
          </cell>
        </row>
        <row r="301">
          <cell r="B301" t="str">
            <v>LCP-210002</v>
          </cell>
          <cell r="C301" t="str">
            <v xml:space="preserve">WRANGLER WORKHORSE AT </v>
          </cell>
          <cell r="D301" t="str">
            <v>Molds</v>
          </cell>
          <cell r="E301" t="str">
            <v>N</v>
          </cell>
          <cell r="F301" t="str">
            <v>LA</v>
          </cell>
          <cell r="H301" t="str">
            <v>Consumer Radial</v>
          </cell>
          <cell r="I301" t="str">
            <v>Curing</v>
          </cell>
          <cell r="J301" t="str">
            <v>AME</v>
          </cell>
          <cell r="Q301">
            <v>1144</v>
          </cell>
          <cell r="S301">
            <v>9.0367600000000028</v>
          </cell>
          <cell r="T301">
            <v>133.25166000000002</v>
          </cell>
          <cell r="U301">
            <v>1158.5362099999998</v>
          </cell>
          <cell r="V301">
            <v>1144</v>
          </cell>
          <cell r="W301">
            <v>1144</v>
          </cell>
          <cell r="X301">
            <v>0</v>
          </cell>
          <cell r="Y301">
            <v>1209.6335799999995</v>
          </cell>
          <cell r="AD301">
            <v>189.6</v>
          </cell>
        </row>
        <row r="302">
          <cell r="B302" t="str">
            <v>LCP-210003</v>
          </cell>
          <cell r="C302" t="str">
            <v>215/75R17.5 Endurance RSA</v>
          </cell>
          <cell r="D302" t="str">
            <v>Molds</v>
          </cell>
          <cell r="E302" t="str">
            <v>N</v>
          </cell>
          <cell r="F302" t="str">
            <v>LA</v>
          </cell>
          <cell r="H302" t="str">
            <v>Commercial Radial</v>
          </cell>
          <cell r="I302" t="str">
            <v>Curing</v>
          </cell>
          <cell r="J302" t="str">
            <v>COL</v>
          </cell>
          <cell r="Q302">
            <v>112</v>
          </cell>
          <cell r="S302">
            <v>0</v>
          </cell>
          <cell r="T302">
            <v>47.015610000000009</v>
          </cell>
          <cell r="U302">
            <v>0.73789999999999623</v>
          </cell>
          <cell r="V302">
            <v>112</v>
          </cell>
          <cell r="W302">
            <v>112</v>
          </cell>
          <cell r="X302">
            <v>0</v>
          </cell>
          <cell r="Y302">
            <v>32.714570000000002</v>
          </cell>
        </row>
        <row r="303">
          <cell r="B303" t="str">
            <v>LCP-210004</v>
          </cell>
          <cell r="C303" t="str">
            <v>PER - Look &amp; Feel POS Identification Peru</v>
          </cell>
          <cell r="D303" t="str">
            <v>SAG</v>
          </cell>
          <cell r="E303" t="str">
            <v>N</v>
          </cell>
          <cell r="F303" t="str">
            <v>LA</v>
          </cell>
          <cell r="H303" t="str">
            <v>Mixed</v>
          </cell>
          <cell r="I303" t="str">
            <v>SAG - Sales &amp; Marketing</v>
          </cell>
          <cell r="J303" t="str">
            <v>PER</v>
          </cell>
          <cell r="Q303">
            <v>250</v>
          </cell>
          <cell r="S303">
            <v>107.26773999999999</v>
          </cell>
          <cell r="T303">
            <v>168.88118</v>
          </cell>
          <cell r="U303">
            <v>53.217000000000013</v>
          </cell>
          <cell r="V303">
            <v>250</v>
          </cell>
          <cell r="W303">
            <v>250</v>
          </cell>
          <cell r="X303">
            <v>0</v>
          </cell>
          <cell r="Y303">
            <v>80.749649999999988</v>
          </cell>
        </row>
        <row r="304">
          <cell r="B304" t="str">
            <v>LCP-210006</v>
          </cell>
          <cell r="C304" t="str">
            <v>COL - 2021 MISCELLANEOUS ANNUAL BUDGET</v>
          </cell>
          <cell r="D304" t="str">
            <v>Facilities Sustaining</v>
          </cell>
          <cell r="E304" t="str">
            <v>N</v>
          </cell>
          <cell r="F304" t="str">
            <v>LA</v>
          </cell>
          <cell r="H304" t="str">
            <v>COMMERCIAL RADIAL</v>
          </cell>
          <cell r="I304" t="str">
            <v>FACILITIES/INFRASTRUCTURE</v>
          </cell>
          <cell r="J304" t="str">
            <v>COL</v>
          </cell>
          <cell r="S304">
            <v>58.396729999999991</v>
          </cell>
          <cell r="T304">
            <v>156.20658000000003</v>
          </cell>
          <cell r="U304">
            <v>266.50586999999996</v>
          </cell>
          <cell r="V304">
            <v>450</v>
          </cell>
          <cell r="W304">
            <v>450</v>
          </cell>
          <cell r="X304">
            <v>4.1136999999999997</v>
          </cell>
          <cell r="Y304">
            <v>226.59253000000007</v>
          </cell>
        </row>
        <row r="305">
          <cell r="B305" t="str">
            <v>LCP-190203</v>
          </cell>
          <cell r="C305" t="str">
            <v>SAFETY SYSTEM  RIVER PUMP AREA</v>
          </cell>
          <cell r="D305" t="str">
            <v>EHS</v>
          </cell>
          <cell r="E305" t="str">
            <v>N</v>
          </cell>
          <cell r="F305" t="str">
            <v>LA</v>
          </cell>
          <cell r="G305" t="str">
            <v>ENV</v>
          </cell>
          <cell r="H305" t="str">
            <v>Mixed</v>
          </cell>
          <cell r="I305" t="str">
            <v>ENGINEERING</v>
          </cell>
          <cell r="J305" t="str">
            <v>AME</v>
          </cell>
          <cell r="O305">
            <v>72.099999999999994</v>
          </cell>
          <cell r="Q305">
            <v>72.099999999999994</v>
          </cell>
          <cell r="R305">
            <v>29.671409999999995</v>
          </cell>
          <cell r="S305">
            <v>30.210879999999996</v>
          </cell>
          <cell r="T305">
            <v>0.53947000000000001</v>
          </cell>
          <cell r="U305">
            <v>0</v>
          </cell>
          <cell r="V305">
            <v>0.53947000000000001</v>
          </cell>
          <cell r="W305">
            <v>0.53947000000000001</v>
          </cell>
          <cell r="Z305">
            <v>41.889119999999998</v>
          </cell>
          <cell r="AA305">
            <v>-41.889119999999998</v>
          </cell>
          <cell r="AB305">
            <v>30.210879999999996</v>
          </cell>
          <cell r="AC305">
            <v>-41.889119999999998</v>
          </cell>
          <cell r="AD305">
            <v>0</v>
          </cell>
        </row>
        <row r="306">
          <cell r="B306" t="str">
            <v>LCP-210008</v>
          </cell>
          <cell r="C306" t="str">
            <v>COL- Plant roof  sheet metal improvement</v>
          </cell>
          <cell r="D306" t="str">
            <v>Facilities Sustaining</v>
          </cell>
          <cell r="E306" t="str">
            <v>N</v>
          </cell>
          <cell r="F306" t="str">
            <v>LA</v>
          </cell>
          <cell r="H306" t="str">
            <v>Commercial Radial</v>
          </cell>
          <cell r="I306" t="str">
            <v>Facilities/Infrastructure</v>
          </cell>
          <cell r="J306" t="str">
            <v>COL</v>
          </cell>
          <cell r="S306">
            <v>0</v>
          </cell>
          <cell r="T306">
            <v>0</v>
          </cell>
          <cell r="U306">
            <v>100</v>
          </cell>
          <cell r="V306">
            <v>100</v>
          </cell>
          <cell r="W306">
            <v>100</v>
          </cell>
          <cell r="X306">
            <v>48.600999999999999</v>
          </cell>
          <cell r="Y306">
            <v>1.4795</v>
          </cell>
        </row>
        <row r="307">
          <cell r="B307" t="str">
            <v>LCP-190204</v>
          </cell>
          <cell r="C307" t="str">
            <v>INFLATION TESTING MACHINE</v>
          </cell>
          <cell r="D307" t="str">
            <v>Quality - Improvement</v>
          </cell>
          <cell r="E307" t="str">
            <v>N</v>
          </cell>
          <cell r="F307" t="str">
            <v>LA</v>
          </cell>
          <cell r="H307" t="str">
            <v>CONSUMER RADIAL</v>
          </cell>
          <cell r="I307" t="str">
            <v>TIRE ASSEMBLY</v>
          </cell>
          <cell r="J307" t="str">
            <v>AME</v>
          </cell>
          <cell r="O307">
            <v>131.6</v>
          </cell>
          <cell r="Q307">
            <v>131.6</v>
          </cell>
          <cell r="S307">
            <v>20.68638</v>
          </cell>
          <cell r="T307">
            <v>30.76388</v>
          </cell>
          <cell r="U307">
            <v>-9.6759999999999735E-2</v>
          </cell>
          <cell r="V307">
            <v>24.49933</v>
          </cell>
          <cell r="W307">
            <v>24.49933</v>
          </cell>
          <cell r="X307">
            <v>0</v>
          </cell>
          <cell r="Y307">
            <v>0.18177000000000001</v>
          </cell>
          <cell r="Z307">
            <v>110.91361999999999</v>
          </cell>
          <cell r="AA307">
            <v>-110.91361999999999</v>
          </cell>
          <cell r="AB307">
            <v>20.58962</v>
          </cell>
          <cell r="AC307">
            <v>-111.01038</v>
          </cell>
          <cell r="AD307">
            <v>0</v>
          </cell>
        </row>
        <row r="308">
          <cell r="B308" t="str">
            <v>LCP-190208</v>
          </cell>
          <cell r="C308" t="str">
            <v>AME- (1) BALANCE MACHINE MARKER (DOWN SIDE)</v>
          </cell>
          <cell r="D308" t="str">
            <v>Quality - Improvement</v>
          </cell>
          <cell r="E308" t="str">
            <v>N</v>
          </cell>
          <cell r="F308" t="str">
            <v>LA</v>
          </cell>
          <cell r="H308" t="str">
            <v>CONSUMER RADIAL</v>
          </cell>
          <cell r="I308" t="str">
            <v>FINAL FINISH</v>
          </cell>
          <cell r="J308" t="str">
            <v>AME</v>
          </cell>
          <cell r="O308">
            <v>560.5</v>
          </cell>
          <cell r="Q308">
            <v>560.5</v>
          </cell>
          <cell r="S308">
            <v>63.584839999999986</v>
          </cell>
          <cell r="T308">
            <v>70.152139999999989</v>
          </cell>
          <cell r="U308">
            <v>0</v>
          </cell>
          <cell r="V308">
            <v>29.232530000000001</v>
          </cell>
          <cell r="W308">
            <v>29.232530000000001</v>
          </cell>
          <cell r="X308">
            <v>0</v>
          </cell>
          <cell r="Y308">
            <v>0.21647999999999998</v>
          </cell>
          <cell r="Z308">
            <v>496.91516000000001</v>
          </cell>
          <cell r="AA308">
            <v>-496.91516000000001</v>
          </cell>
          <cell r="AB308">
            <v>63.584839999999986</v>
          </cell>
          <cell r="AC308">
            <v>-496.91516000000001</v>
          </cell>
          <cell r="AD308">
            <v>0</v>
          </cell>
        </row>
        <row r="309">
          <cell r="B309" t="str">
            <v>LCP-210013</v>
          </cell>
          <cell r="C309" t="str">
            <v>AME- Additional molds to Americana</v>
          </cell>
          <cell r="D309" t="str">
            <v>Molds</v>
          </cell>
          <cell r="E309" t="str">
            <v>N</v>
          </cell>
          <cell r="F309" t="str">
            <v>LA</v>
          </cell>
          <cell r="G309">
            <v>0</v>
          </cell>
          <cell r="H309" t="str">
            <v>CONSUMER RADIAL</v>
          </cell>
          <cell r="I309" t="str">
            <v>Curing</v>
          </cell>
          <cell r="J309" t="str">
            <v>AME</v>
          </cell>
          <cell r="S309">
            <v>3.6897599999999993</v>
          </cell>
          <cell r="T309">
            <v>216.88569999999999</v>
          </cell>
          <cell r="U309">
            <v>43.795819999999992</v>
          </cell>
          <cell r="V309">
            <v>285</v>
          </cell>
          <cell r="W309">
            <v>285</v>
          </cell>
          <cell r="X309">
            <v>0</v>
          </cell>
          <cell r="Y309">
            <v>50.792000000000002</v>
          </cell>
        </row>
        <row r="310">
          <cell r="B310" t="str">
            <v>LCP-190213</v>
          </cell>
          <cell r="C310" t="str">
            <v>ALPHA SHEAR LETOFF TREATMENT</v>
          </cell>
          <cell r="D310" t="str">
            <v>Productivity</v>
          </cell>
          <cell r="E310" t="str">
            <v>N</v>
          </cell>
          <cell r="F310" t="str">
            <v>LA</v>
          </cell>
          <cell r="H310" t="str">
            <v>COMMERCIAL RADIAL</v>
          </cell>
          <cell r="I310" t="str">
            <v>FACILITIES/INFRASTRUCTURE</v>
          </cell>
          <cell r="J310" t="str">
            <v>AME</v>
          </cell>
          <cell r="O310">
            <v>126.47499999999999</v>
          </cell>
          <cell r="Q310">
            <v>126.47499999999999</v>
          </cell>
          <cell r="R310">
            <v>0</v>
          </cell>
          <cell r="S310">
            <v>26.274090000000001</v>
          </cell>
          <cell r="T310">
            <v>26.912100000000002</v>
          </cell>
          <cell r="U310">
            <v>7.8303599999999989</v>
          </cell>
          <cell r="V310">
            <v>32.894840000000002</v>
          </cell>
          <cell r="W310">
            <v>32.894840000000002</v>
          </cell>
          <cell r="X310">
            <v>0</v>
          </cell>
          <cell r="Y310">
            <v>8.8583700000000007</v>
          </cell>
          <cell r="Z310">
            <v>100.20090999999999</v>
          </cell>
          <cell r="AA310">
            <v>-100.20090999999999</v>
          </cell>
          <cell r="AB310">
            <v>34.10445</v>
          </cell>
          <cell r="AC310">
            <v>-92.370549999999994</v>
          </cell>
          <cell r="AD310">
            <v>0</v>
          </cell>
        </row>
        <row r="311">
          <cell r="B311" t="str">
            <v>LCP-190229</v>
          </cell>
          <cell r="C311" t="str">
            <v>UPGRADE TYLOR SYSTEM IN MRT CURING PRESSES</v>
          </cell>
          <cell r="D311" t="str">
            <v>Facilities Sustaining</v>
          </cell>
          <cell r="E311" t="str">
            <v>N</v>
          </cell>
          <cell r="F311" t="str">
            <v>LA</v>
          </cell>
          <cell r="H311" t="str">
            <v>COMMERCIAL RADIAL</v>
          </cell>
          <cell r="I311" t="str">
            <v>FACILITIES/INFRASTRUCTURE</v>
          </cell>
          <cell r="J311" t="str">
            <v>AME</v>
          </cell>
          <cell r="O311">
            <v>120</v>
          </cell>
          <cell r="Q311">
            <v>120</v>
          </cell>
          <cell r="S311">
            <v>3.8177699999999999</v>
          </cell>
          <cell r="T311">
            <v>3.8177699999999999</v>
          </cell>
          <cell r="U311">
            <v>0</v>
          </cell>
          <cell r="V311">
            <v>6</v>
          </cell>
          <cell r="W311">
            <v>6</v>
          </cell>
          <cell r="Z311">
            <v>116.18223</v>
          </cell>
          <cell r="AA311">
            <v>-116.18223</v>
          </cell>
          <cell r="AB311">
            <v>3.8177699999999999</v>
          </cell>
          <cell r="AC311">
            <v>-116.18223</v>
          </cell>
          <cell r="AD311">
            <v>0</v>
          </cell>
        </row>
        <row r="312">
          <cell r="B312" t="str">
            <v>LCP-190231</v>
          </cell>
          <cell r="C312" t="str">
            <v>HOTFORMER UPGRADE LINNER AND SCREW</v>
          </cell>
          <cell r="D312" t="str">
            <v>Facilities Sustaining</v>
          </cell>
          <cell r="E312" t="str">
            <v>N</v>
          </cell>
          <cell r="F312" t="str">
            <v>LA</v>
          </cell>
          <cell r="H312" t="str">
            <v>MIXED</v>
          </cell>
          <cell r="I312" t="str">
            <v>FACILITIES/INFRASTRUCTURE</v>
          </cell>
          <cell r="J312" t="str">
            <v>AME</v>
          </cell>
          <cell r="O312">
            <v>225</v>
          </cell>
          <cell r="Q312">
            <v>225</v>
          </cell>
          <cell r="R312">
            <v>150.19739999999999</v>
          </cell>
          <cell r="S312">
            <v>150.19739999999999</v>
          </cell>
          <cell r="T312">
            <v>0</v>
          </cell>
          <cell r="U312">
            <v>0</v>
          </cell>
          <cell r="V312">
            <v>18</v>
          </cell>
          <cell r="W312">
            <v>18</v>
          </cell>
          <cell r="Z312">
            <v>74.802600000000012</v>
          </cell>
          <cell r="AA312">
            <v>-74.802600000000012</v>
          </cell>
          <cell r="AB312">
            <v>150.19739999999999</v>
          </cell>
          <cell r="AC312">
            <v>-74.802600000000012</v>
          </cell>
          <cell r="AD312">
            <v>0</v>
          </cell>
        </row>
        <row r="313">
          <cell r="B313" t="str">
            <v>LCP-200001</v>
          </cell>
          <cell r="C313" t="str">
            <v>AME-REPL &amp; UPG OF ROLLS IN CAL3R</v>
          </cell>
          <cell r="D313" t="str">
            <v>Facilities Sustaining</v>
          </cell>
          <cell r="E313" t="str">
            <v>N</v>
          </cell>
          <cell r="F313" t="str">
            <v>LA</v>
          </cell>
          <cell r="H313" t="str">
            <v>CONSUMER RADIAL</v>
          </cell>
          <cell r="I313" t="str">
            <v>COMPONENT PREP OTHER</v>
          </cell>
          <cell r="J313" t="str">
            <v>AME</v>
          </cell>
          <cell r="O313">
            <v>1208.9570000000001</v>
          </cell>
          <cell r="Q313">
            <v>1208.9570000000001</v>
          </cell>
          <cell r="R313">
            <v>0</v>
          </cell>
          <cell r="S313">
            <v>787.40364000000022</v>
          </cell>
          <cell r="T313">
            <v>787.35342000000026</v>
          </cell>
          <cell r="U313">
            <v>20.400160000000028</v>
          </cell>
          <cell r="V313">
            <v>814.2</v>
          </cell>
          <cell r="W313">
            <v>814.2</v>
          </cell>
          <cell r="X313">
            <v>0</v>
          </cell>
          <cell r="Y313">
            <v>31.256220000000003</v>
          </cell>
          <cell r="Z313">
            <v>421.55335999999988</v>
          </cell>
          <cell r="AA313">
            <v>-421.55335999999988</v>
          </cell>
          <cell r="AB313">
            <v>807.80380000000025</v>
          </cell>
          <cell r="AC313">
            <v>-401.15319999999986</v>
          </cell>
          <cell r="AD313">
            <v>0</v>
          </cell>
        </row>
        <row r="314">
          <cell r="B314" t="str">
            <v>LCP-200008</v>
          </cell>
          <cell r="C314" t="str">
            <v>AME-REPL &amp; UPG OF ROLLS IN CAL4R1</v>
          </cell>
          <cell r="D314" t="str">
            <v>Facilities Sustaining</v>
          </cell>
          <cell r="E314" t="str">
            <v>N</v>
          </cell>
          <cell r="F314" t="str">
            <v>LA</v>
          </cell>
          <cell r="H314" t="str">
            <v>CONSUMER RADIAL</v>
          </cell>
          <cell r="I314" t="str">
            <v>COMPONENT PREP OTHER</v>
          </cell>
          <cell r="J314" t="str">
            <v>AME</v>
          </cell>
          <cell r="O314">
            <v>955.78200000000004</v>
          </cell>
          <cell r="Q314">
            <v>955.78200000000004</v>
          </cell>
          <cell r="R314">
            <v>2.1484299999999976</v>
          </cell>
          <cell r="S314">
            <v>32.605260000000001</v>
          </cell>
          <cell r="T314">
            <v>32.015540000000009</v>
          </cell>
          <cell r="U314">
            <v>35.000000000000007</v>
          </cell>
          <cell r="V314">
            <v>199.04179999999999</v>
          </cell>
          <cell r="W314">
            <v>199.04179999999999</v>
          </cell>
          <cell r="X314">
            <v>110.50160000000001</v>
          </cell>
          <cell r="Y314">
            <v>0</v>
          </cell>
          <cell r="Z314">
            <v>923.17674</v>
          </cell>
          <cell r="AA314">
            <v>-923.17674</v>
          </cell>
          <cell r="AB314">
            <v>67.605260000000015</v>
          </cell>
          <cell r="AC314">
            <v>-888.17674</v>
          </cell>
          <cell r="AD314">
            <v>0</v>
          </cell>
        </row>
        <row r="315">
          <cell r="B315" t="str">
            <v>LCP-200023</v>
          </cell>
          <cell r="C315" t="str">
            <v>UPGRADE KOKUSAI #01</v>
          </cell>
          <cell r="D315" t="str">
            <v>Facilities Sustaining</v>
          </cell>
          <cell r="E315" t="str">
            <v>N</v>
          </cell>
          <cell r="F315" t="str">
            <v>LA</v>
          </cell>
          <cell r="H315" t="str">
            <v>Commercial Radial</v>
          </cell>
          <cell r="I315" t="str">
            <v>Final Finish</v>
          </cell>
          <cell r="J315" t="str">
            <v>AME</v>
          </cell>
          <cell r="O315">
            <v>386.005</v>
          </cell>
          <cell r="Q315">
            <v>386.005</v>
          </cell>
          <cell r="S315">
            <v>68.737850000000009</v>
          </cell>
          <cell r="T315">
            <v>116.46867</v>
          </cell>
          <cell r="U315">
            <v>80.224310000000003</v>
          </cell>
          <cell r="V315">
            <v>86</v>
          </cell>
          <cell r="W315">
            <v>86</v>
          </cell>
          <cell r="X315">
            <v>0</v>
          </cell>
          <cell r="Y315">
            <v>54.426600000000001</v>
          </cell>
          <cell r="Z315">
            <v>317.26715000000002</v>
          </cell>
          <cell r="AA315">
            <v>-317.26715000000002</v>
          </cell>
          <cell r="AB315">
            <v>148.96216000000001</v>
          </cell>
          <cell r="AC315">
            <v>-237.04283999999998</v>
          </cell>
          <cell r="AD315">
            <v>0</v>
          </cell>
        </row>
        <row r="316">
          <cell r="B316" t="str">
            <v>LCP-210026</v>
          </cell>
          <cell r="C316" t="str">
            <v>Molds for Tcross and Polo Rota 2030 (OE)</v>
          </cell>
          <cell r="D316" t="str">
            <v>Molds</v>
          </cell>
          <cell r="E316" t="str">
            <v>N</v>
          </cell>
          <cell r="F316" t="str">
            <v>LA</v>
          </cell>
          <cell r="H316" t="str">
            <v>Consumer Radial</v>
          </cell>
          <cell r="I316" t="str">
            <v>Curing</v>
          </cell>
          <cell r="J316" t="str">
            <v>AME</v>
          </cell>
          <cell r="Q316">
            <v>544</v>
          </cell>
          <cell r="S316">
            <v>0</v>
          </cell>
          <cell r="T316">
            <v>0</v>
          </cell>
          <cell r="U316">
            <v>547.5</v>
          </cell>
          <cell r="V316">
            <v>544</v>
          </cell>
          <cell r="W316">
            <v>544</v>
          </cell>
          <cell r="X316">
            <v>0</v>
          </cell>
          <cell r="Y316">
            <v>448.19906000000003</v>
          </cell>
        </row>
        <row r="317">
          <cell r="B317" t="str">
            <v>LCP-210027</v>
          </cell>
          <cell r="C317" t="str">
            <v>COL -  PROPERTY SECURITY IMPROVEMENT</v>
          </cell>
          <cell r="D317" t="str">
            <v>Facilities Sustaining</v>
          </cell>
          <cell r="E317" t="str">
            <v>N</v>
          </cell>
          <cell r="F317" t="str">
            <v>LA</v>
          </cell>
          <cell r="H317" t="str">
            <v>Commercial Radial</v>
          </cell>
          <cell r="I317" t="str">
            <v>Facilities/Infrastructure</v>
          </cell>
          <cell r="J317" t="str">
            <v>COL</v>
          </cell>
          <cell r="S317">
            <v>21.520869999999999</v>
          </cell>
          <cell r="T317">
            <v>57.745940000000004</v>
          </cell>
          <cell r="U317">
            <v>32</v>
          </cell>
          <cell r="V317">
            <v>100</v>
          </cell>
          <cell r="W317">
            <v>100</v>
          </cell>
          <cell r="X317">
            <v>0</v>
          </cell>
          <cell r="Y317">
            <v>6.7144000000000004</v>
          </cell>
        </row>
        <row r="318">
          <cell r="B318" t="str">
            <v>LCP-210028</v>
          </cell>
          <cell r="C318" t="str">
            <v>COL-Wire Calander extruder screw 250mm replace</v>
          </cell>
          <cell r="D318" t="str">
            <v>Facilities Sustaining</v>
          </cell>
          <cell r="E318" t="str">
            <v>N</v>
          </cell>
          <cell r="F318" t="str">
            <v>LA</v>
          </cell>
          <cell r="H318" t="str">
            <v>Commercial Radial</v>
          </cell>
          <cell r="I318" t="str">
            <v xml:space="preserve">Extruding </v>
          </cell>
          <cell r="J318" t="str">
            <v>COL</v>
          </cell>
          <cell r="S318">
            <v>0</v>
          </cell>
          <cell r="T318">
            <v>0</v>
          </cell>
          <cell r="U318">
            <v>50</v>
          </cell>
          <cell r="V318">
            <v>50</v>
          </cell>
          <cell r="W318">
            <v>50</v>
          </cell>
        </row>
        <row r="319">
          <cell r="B319" t="str">
            <v>LCP-210029</v>
          </cell>
          <cell r="C319" t="str">
            <v>LCP-210029 PER-DBMs SERVOSATR S700 DRIVES UPGRADE</v>
          </cell>
          <cell r="D319" t="str">
            <v>Facilities Sustaining</v>
          </cell>
          <cell r="E319" t="str">
            <v>N</v>
          </cell>
          <cell r="F319" t="str">
            <v>LA</v>
          </cell>
          <cell r="H319" t="str">
            <v>MIXED</v>
          </cell>
          <cell r="I319" t="str">
            <v>Final Finish</v>
          </cell>
          <cell r="J319" t="str">
            <v>PER</v>
          </cell>
          <cell r="T319">
            <v>43.475609999999996</v>
          </cell>
          <cell r="U319">
            <v>0</v>
          </cell>
          <cell r="X319">
            <v>2.8</v>
          </cell>
          <cell r="Y319">
            <v>0</v>
          </cell>
        </row>
        <row r="320">
          <cell r="B320" t="str">
            <v>LCP-210030</v>
          </cell>
          <cell r="C320" t="str">
            <v>CHI - Look &amp; Feel POS Identification Ecuador 2021</v>
          </cell>
          <cell r="D320" t="str">
            <v>SAG</v>
          </cell>
          <cell r="E320" t="str">
            <v>N</v>
          </cell>
          <cell r="F320" t="str">
            <v>LA</v>
          </cell>
          <cell r="H320" t="str">
            <v>CONSUMER RADIAL</v>
          </cell>
          <cell r="I320" t="str">
            <v>SAG - Sales &amp; Marketing</v>
          </cell>
          <cell r="J320" t="str">
            <v>CHI</v>
          </cell>
          <cell r="S320">
            <v>38.61</v>
          </cell>
          <cell r="T320">
            <v>54.508200000000002</v>
          </cell>
          <cell r="U320">
            <v>42.31</v>
          </cell>
          <cell r="V320">
            <v>84</v>
          </cell>
          <cell r="W320">
            <v>84</v>
          </cell>
        </row>
        <row r="321">
          <cell r="B321" t="str">
            <v>LCP-210031</v>
          </cell>
          <cell r="C321" t="str">
            <v>PER - 150 PSI NEW COMPRESSOR</v>
          </cell>
          <cell r="D321" t="str">
            <v>Facilities Sustaining</v>
          </cell>
          <cell r="E321" t="str">
            <v>N</v>
          </cell>
          <cell r="F321" t="str">
            <v>LA</v>
          </cell>
          <cell r="H321" t="str">
            <v>Mixed</v>
          </cell>
          <cell r="I321" t="str">
            <v>ENGINEERING</v>
          </cell>
          <cell r="J321" t="str">
            <v>PER</v>
          </cell>
          <cell r="T321">
            <v>131.01820000000001</v>
          </cell>
          <cell r="U321">
            <v>9.2390199999999822</v>
          </cell>
          <cell r="X321">
            <v>0</v>
          </cell>
          <cell r="Y321">
            <v>8.3666499999999999</v>
          </cell>
        </row>
        <row r="322">
          <cell r="B322" t="str">
            <v>LCP-210032</v>
          </cell>
          <cell r="C322" t="str">
            <v>PER - 2021 MISCELLANEOUS ANNUAL BUDGET</v>
          </cell>
          <cell r="D322" t="str">
            <v>Facilities Sustaining</v>
          </cell>
          <cell r="E322" t="str">
            <v>N</v>
          </cell>
          <cell r="F322" t="str">
            <v>LA</v>
          </cell>
          <cell r="H322" t="str">
            <v>MIXED</v>
          </cell>
          <cell r="I322" t="str">
            <v>Other</v>
          </cell>
          <cell r="J322" t="str">
            <v>PER</v>
          </cell>
          <cell r="S322">
            <v>157.59748999999999</v>
          </cell>
          <cell r="T322">
            <v>250.08355</v>
          </cell>
          <cell r="U322">
            <v>72.793960000000027</v>
          </cell>
          <cell r="V322">
            <v>400</v>
          </cell>
          <cell r="W322">
            <v>400</v>
          </cell>
          <cell r="X322">
            <v>43.197240000000001</v>
          </cell>
          <cell r="Y322">
            <v>66.411209999999983</v>
          </cell>
        </row>
        <row r="323">
          <cell r="B323" t="str">
            <v>LCP-210034</v>
          </cell>
          <cell r="C323" t="str">
            <v>CHI - Look &amp; Feel POS Identification Bolivia 2021</v>
          </cell>
          <cell r="D323" t="str">
            <v>SAG</v>
          </cell>
          <cell r="E323" t="str">
            <v>N</v>
          </cell>
          <cell r="F323" t="str">
            <v>LA</v>
          </cell>
          <cell r="H323" t="str">
            <v>CONSUMER RADIAL</v>
          </cell>
          <cell r="I323" t="str">
            <v>SAG - Sales &amp; Marketing</v>
          </cell>
          <cell r="J323" t="str">
            <v>CHI</v>
          </cell>
          <cell r="S323">
            <v>0</v>
          </cell>
          <cell r="T323">
            <v>0</v>
          </cell>
          <cell r="U323">
            <v>0</v>
          </cell>
          <cell r="V323">
            <v>37</v>
          </cell>
          <cell r="W323">
            <v>37</v>
          </cell>
        </row>
        <row r="324">
          <cell r="B324" t="str">
            <v>LCP-210035</v>
          </cell>
          <cell r="C324" t="str">
            <v>CHI - Look &amp; Feel POS Identification Chile 2021</v>
          </cell>
          <cell r="D324" t="str">
            <v>SAG</v>
          </cell>
          <cell r="E324" t="str">
            <v>N</v>
          </cell>
          <cell r="F324" t="str">
            <v>LA</v>
          </cell>
          <cell r="H324" t="str">
            <v>CONSUMER RADIAL</v>
          </cell>
          <cell r="I324" t="str">
            <v>SAG - Sales &amp; Marketing</v>
          </cell>
          <cell r="J324" t="str">
            <v>CHI</v>
          </cell>
          <cell r="S324">
            <v>88.080780000000004</v>
          </cell>
          <cell r="T324">
            <v>152.54676000000001</v>
          </cell>
          <cell r="U324">
            <v>110.19999999999999</v>
          </cell>
          <cell r="V324">
            <v>220</v>
          </cell>
          <cell r="W324">
            <v>220</v>
          </cell>
        </row>
        <row r="325">
          <cell r="B325" t="str">
            <v>LCP-210036</v>
          </cell>
          <cell r="C325" t="str">
            <v>PER - Generator Portable Nitrogen Plant</v>
          </cell>
          <cell r="D325" t="str">
            <v>Quality - Improvement</v>
          </cell>
          <cell r="E325" t="str">
            <v>N</v>
          </cell>
          <cell r="F325" t="str">
            <v>LA</v>
          </cell>
          <cell r="H325" t="str">
            <v>Mixed</v>
          </cell>
          <cell r="I325" t="str">
            <v>ENGINEERING</v>
          </cell>
          <cell r="J325" t="str">
            <v>PER</v>
          </cell>
          <cell r="O325">
            <v>450</v>
          </cell>
          <cell r="P325">
            <v>175</v>
          </cell>
          <cell r="Q325">
            <v>625</v>
          </cell>
          <cell r="T325">
            <v>628.10801000000004</v>
          </cell>
          <cell r="U325">
            <v>11.431479999999965</v>
          </cell>
          <cell r="X325">
            <v>6.3449600000000004</v>
          </cell>
          <cell r="Y325">
            <v>35.393610000000002</v>
          </cell>
        </row>
        <row r="326">
          <cell r="B326" t="str">
            <v>LCP-210037</v>
          </cell>
          <cell r="C326" t="str">
            <v>BRAZIL CONTINGENCY BILLING SYSTEM</v>
          </cell>
          <cell r="D326" t="str">
            <v>IT</v>
          </cell>
          <cell r="E326" t="str">
            <v>N</v>
          </cell>
          <cell r="F326" t="str">
            <v>LA</v>
          </cell>
          <cell r="H326" t="str">
            <v>N/A</v>
          </cell>
          <cell r="I326" t="str">
            <v>SAG - IT</v>
          </cell>
          <cell r="J326" t="str">
            <v>BRZ</v>
          </cell>
          <cell r="S326">
            <v>29.861369999999997</v>
          </cell>
          <cell r="T326">
            <v>42.617889999999996</v>
          </cell>
          <cell r="U326">
            <v>0</v>
          </cell>
          <cell r="V326">
            <v>50</v>
          </cell>
          <cell r="W326">
            <v>50</v>
          </cell>
        </row>
        <row r="327">
          <cell r="B327" t="str">
            <v>LCP-200026</v>
          </cell>
          <cell r="C327" t="str">
            <v>AME-MISCELANEOUS QUARTELY 2020</v>
          </cell>
          <cell r="D327" t="str">
            <v>Facilities Sustaining</v>
          </cell>
          <cell r="E327" t="str">
            <v>N</v>
          </cell>
          <cell r="F327" t="str">
            <v>LA</v>
          </cell>
          <cell r="H327" t="str">
            <v>Mixed</v>
          </cell>
          <cell r="I327" t="str">
            <v>Other</v>
          </cell>
          <cell r="J327" t="str">
            <v>AME</v>
          </cell>
          <cell r="O327">
            <v>1000</v>
          </cell>
          <cell r="Q327">
            <v>1000</v>
          </cell>
          <cell r="R327">
            <v>0</v>
          </cell>
          <cell r="S327">
            <v>29.465679999999999</v>
          </cell>
          <cell r="T327">
            <v>29.465679999999999</v>
          </cell>
          <cell r="U327">
            <v>0</v>
          </cell>
          <cell r="V327">
            <v>37.937039999999996</v>
          </cell>
          <cell r="W327">
            <v>37.937039999999996</v>
          </cell>
          <cell r="Z327">
            <v>970.53431999999998</v>
          </cell>
          <cell r="AA327">
            <v>-970.53431999999998</v>
          </cell>
          <cell r="AB327">
            <v>29.465679999999999</v>
          </cell>
          <cell r="AC327">
            <v>-970.53431999999998</v>
          </cell>
          <cell r="AD327">
            <v>0</v>
          </cell>
        </row>
        <row r="328">
          <cell r="B328" t="str">
            <v>LCP-210039</v>
          </cell>
          <cell r="C328" t="str">
            <v>FCA Mobi</v>
          </cell>
          <cell r="D328" t="str">
            <v>Molds</v>
          </cell>
          <cell r="E328" t="str">
            <v>N</v>
          </cell>
          <cell r="F328" t="str">
            <v>LA</v>
          </cell>
          <cell r="H328" t="str">
            <v>Consumer Radial</v>
          </cell>
          <cell r="I328" t="str">
            <v>Curing</v>
          </cell>
          <cell r="J328" t="str">
            <v>AME</v>
          </cell>
          <cell r="S328">
            <v>0</v>
          </cell>
          <cell r="T328">
            <v>0</v>
          </cell>
          <cell r="U328">
            <v>27.04</v>
          </cell>
          <cell r="V328">
            <v>228</v>
          </cell>
          <cell r="W328">
            <v>228</v>
          </cell>
          <cell r="X328">
            <v>0</v>
          </cell>
          <cell r="Y328">
            <v>156.75575999999998</v>
          </cell>
        </row>
        <row r="329">
          <cell r="B329" t="str">
            <v>LCP-200028</v>
          </cell>
          <cell r="C329" t="str">
            <v>REPLACEMENT OF RING IN KOKUSAI</v>
          </cell>
          <cell r="D329" t="str">
            <v>Facilities Sustaining</v>
          </cell>
          <cell r="E329" t="str">
            <v>N</v>
          </cell>
          <cell r="F329" t="str">
            <v>LA</v>
          </cell>
          <cell r="H329" t="str">
            <v>Commercial Radial</v>
          </cell>
          <cell r="I329" t="str">
            <v>Final Finish</v>
          </cell>
          <cell r="J329" t="str">
            <v>AME</v>
          </cell>
          <cell r="O329">
            <v>299.66759999999999</v>
          </cell>
          <cell r="Q329">
            <v>299.66759999999999</v>
          </cell>
          <cell r="S329">
            <v>-0.55757000000000001</v>
          </cell>
          <cell r="T329">
            <v>-0.55757000000000001</v>
          </cell>
          <cell r="U329">
            <v>0</v>
          </cell>
          <cell r="V329">
            <v>-0.55757000000000001</v>
          </cell>
          <cell r="W329">
            <v>-0.55757000000000001</v>
          </cell>
          <cell r="Z329">
            <v>300.22516999999999</v>
          </cell>
          <cell r="AA329">
            <v>-300.22516999999999</v>
          </cell>
          <cell r="AB329">
            <v>-0.55757000000000001</v>
          </cell>
          <cell r="AC329">
            <v>-300.22516999999999</v>
          </cell>
          <cell r="AD329">
            <v>0</v>
          </cell>
        </row>
        <row r="330">
          <cell r="B330" t="str">
            <v>LCP-210042</v>
          </cell>
          <cell r="C330" t="str">
            <v>COL - BT Drum</v>
          </cell>
          <cell r="D330" t="str">
            <v>Facilities Sustaining</v>
          </cell>
          <cell r="E330" t="str">
            <v>N</v>
          </cell>
          <cell r="F330" t="str">
            <v>LA</v>
          </cell>
          <cell r="H330" t="str">
            <v>COMMERCIAL RADIAL</v>
          </cell>
          <cell r="I330" t="str">
            <v>FACILITIES/INFRASTRUCTURE</v>
          </cell>
          <cell r="J330" t="str">
            <v>COL</v>
          </cell>
          <cell r="S330">
            <v>0</v>
          </cell>
          <cell r="T330">
            <v>0</v>
          </cell>
          <cell r="U330">
            <v>0</v>
          </cell>
          <cell r="V330">
            <v>150</v>
          </cell>
          <cell r="W330">
            <v>150</v>
          </cell>
          <cell r="X330">
            <v>0</v>
          </cell>
          <cell r="Y330">
            <v>95.611999999999995</v>
          </cell>
        </row>
        <row r="331">
          <cell r="B331" t="str">
            <v>LCP-210043</v>
          </cell>
          <cell r="C331" t="str">
            <v>COL - CURING MONITORING PANEL UPGRADE IN HEADER</v>
          </cell>
          <cell r="D331" t="str">
            <v>Facilities Sustaining</v>
          </cell>
          <cell r="E331" t="str">
            <v>N</v>
          </cell>
          <cell r="F331" t="str">
            <v>LA</v>
          </cell>
          <cell r="H331" t="str">
            <v>Commercial Radial</v>
          </cell>
          <cell r="I331" t="str">
            <v>Curing</v>
          </cell>
          <cell r="J331" t="str">
            <v>COL</v>
          </cell>
          <cell r="S331">
            <v>28.311490000000003</v>
          </cell>
          <cell r="T331">
            <v>83.937309999999997</v>
          </cell>
          <cell r="U331">
            <v>2.3132700000000028</v>
          </cell>
          <cell r="V331">
            <v>100</v>
          </cell>
          <cell r="W331">
            <v>100</v>
          </cell>
          <cell r="X331">
            <v>0</v>
          </cell>
          <cell r="Y331">
            <v>5.2022700000000004</v>
          </cell>
        </row>
        <row r="332">
          <cell r="B332" t="str">
            <v>LCP-200076</v>
          </cell>
          <cell r="C332" t="str">
            <v>HOTFORMER UPG LINNER AND SCREW STATIONS #04</v>
          </cell>
          <cell r="D332" t="str">
            <v>Facilities Sustaining</v>
          </cell>
          <cell r="E332" t="str">
            <v>N</v>
          </cell>
          <cell r="F332" t="str">
            <v>LA</v>
          </cell>
          <cell r="H332" t="str">
            <v>N/A</v>
          </cell>
          <cell r="I332" t="str">
            <v>COMPONENT PREP OTHER</v>
          </cell>
          <cell r="J332" t="str">
            <v>AME</v>
          </cell>
          <cell r="Q332">
            <v>144.029</v>
          </cell>
          <cell r="S332">
            <v>0</v>
          </cell>
          <cell r="T332">
            <v>0</v>
          </cell>
          <cell r="U332">
            <v>68.632509999999996</v>
          </cell>
          <cell r="V332">
            <v>64.375</v>
          </cell>
          <cell r="W332">
            <v>64.375</v>
          </cell>
          <cell r="AD332">
            <v>0</v>
          </cell>
        </row>
        <row r="333">
          <cell r="B333" t="str">
            <v>LCP-210046</v>
          </cell>
          <cell r="C333" t="str">
            <v>COL - Look &amp; Feel POS Identification Colombia</v>
          </cell>
          <cell r="D333" t="str">
            <v>SAG</v>
          </cell>
          <cell r="E333" t="str">
            <v>N</v>
          </cell>
          <cell r="F333" t="str">
            <v>LA</v>
          </cell>
          <cell r="H333" t="str">
            <v>Commercial Radial</v>
          </cell>
          <cell r="I333" t="str">
            <v>SAG - Sales &amp; Marketing</v>
          </cell>
          <cell r="J333" t="str">
            <v>COL</v>
          </cell>
          <cell r="S333">
            <v>4.8634799999999991</v>
          </cell>
          <cell r="T333">
            <v>58.236789999999999</v>
          </cell>
          <cell r="U333">
            <v>113.99999999999999</v>
          </cell>
          <cell r="V333">
            <v>250</v>
          </cell>
          <cell r="W333">
            <v>250</v>
          </cell>
          <cell r="X333">
            <v>0</v>
          </cell>
          <cell r="Y333">
            <v>163.24732999999998</v>
          </cell>
        </row>
        <row r="334">
          <cell r="B334" t="str">
            <v>LCP-210047</v>
          </cell>
          <cell r="C334" t="str">
            <v>PER- SUBSTITUTE END-OF-LIFE NETWORK UCE SWITCHES IN PERU</v>
          </cell>
          <cell r="D334" t="str">
            <v>IT</v>
          </cell>
          <cell r="E334" t="str">
            <v>N</v>
          </cell>
          <cell r="F334" t="str">
            <v>LA</v>
          </cell>
          <cell r="H334" t="str">
            <v>N/A</v>
          </cell>
          <cell r="I334" t="str">
            <v>SAG - IT</v>
          </cell>
          <cell r="J334" t="str">
            <v>PER</v>
          </cell>
          <cell r="T334">
            <v>0</v>
          </cell>
          <cell r="U334">
            <v>160</v>
          </cell>
          <cell r="V334">
            <v>190</v>
          </cell>
          <cell r="W334">
            <v>190</v>
          </cell>
          <cell r="X334">
            <v>0</v>
          </cell>
          <cell r="Y334">
            <v>154.97115999999997</v>
          </cell>
        </row>
        <row r="335">
          <cell r="B335" t="str">
            <v>LCP-210048</v>
          </cell>
          <cell r="C335" t="str">
            <v>COL - New TCU 4 rolls 100 GPM for Wire Calander</v>
          </cell>
          <cell r="D335" t="str">
            <v>Capability</v>
          </cell>
          <cell r="E335" t="str">
            <v>N</v>
          </cell>
          <cell r="F335" t="str">
            <v>LA</v>
          </cell>
          <cell r="H335" t="str">
            <v>Commercial Radial</v>
          </cell>
          <cell r="I335" t="str">
            <v>Component Prep Other</v>
          </cell>
          <cell r="J335" t="str">
            <v>COL</v>
          </cell>
          <cell r="S335">
            <v>0.49865000000000004</v>
          </cell>
          <cell r="T335">
            <v>0.59054000000000006</v>
          </cell>
          <cell r="U335">
            <v>363.49</v>
          </cell>
          <cell r="V335">
            <v>150</v>
          </cell>
          <cell r="W335">
            <v>150</v>
          </cell>
        </row>
        <row r="336">
          <cell r="B336" t="str">
            <v>LCP-200077</v>
          </cell>
          <cell r="C336" t="str">
            <v>AME - Bijinic Tank</v>
          </cell>
          <cell r="D336" t="str">
            <v>Quality - Improvement</v>
          </cell>
          <cell r="E336" t="str">
            <v>N</v>
          </cell>
          <cell r="F336" t="str">
            <v>LA</v>
          </cell>
          <cell r="H336" t="str">
            <v>CONSUMER RADIAL</v>
          </cell>
          <cell r="I336" t="str">
            <v>Mixing</v>
          </cell>
          <cell r="J336" t="str">
            <v>AME</v>
          </cell>
          <cell r="Q336">
            <v>213.85</v>
          </cell>
          <cell r="S336">
            <v>67.475760000000008</v>
          </cell>
          <cell r="T336">
            <v>67.311960000000013</v>
          </cell>
          <cell r="U336">
            <v>3.6412700000000058</v>
          </cell>
          <cell r="V336">
            <v>63.783950000000004</v>
          </cell>
          <cell r="W336">
            <v>63.783950000000004</v>
          </cell>
          <cell r="X336">
            <v>0</v>
          </cell>
          <cell r="Y336">
            <v>4.8676599999999999</v>
          </cell>
          <cell r="AD336">
            <v>0</v>
          </cell>
        </row>
        <row r="337">
          <cell r="B337" t="str">
            <v>LCP-200092</v>
          </cell>
          <cell r="C337" t="str">
            <v>AME-METAL DETECTOR IN CAL 4R2</v>
          </cell>
          <cell r="D337" t="str">
            <v>Quality - Improvement</v>
          </cell>
          <cell r="E337" t="str">
            <v>N</v>
          </cell>
          <cell r="F337" t="str">
            <v>LA</v>
          </cell>
          <cell r="H337" t="str">
            <v>CONSUMER RADIAL</v>
          </cell>
          <cell r="I337" t="str">
            <v>Component Prep</v>
          </cell>
          <cell r="J337" t="str">
            <v>AME</v>
          </cell>
          <cell r="Q337">
            <v>245</v>
          </cell>
          <cell r="S337">
            <v>41.832540000000002</v>
          </cell>
          <cell r="T337">
            <v>41.832540000000002</v>
          </cell>
          <cell r="U337">
            <v>10.639310000000002</v>
          </cell>
          <cell r="V337">
            <v>170.14825000000002</v>
          </cell>
          <cell r="W337">
            <v>170.14825000000002</v>
          </cell>
          <cell r="X337">
            <v>7.7003999999999992</v>
          </cell>
          <cell r="Y337">
            <v>14.644170000000001</v>
          </cell>
          <cell r="AD337">
            <v>0</v>
          </cell>
        </row>
        <row r="338">
          <cell r="B338" t="str">
            <v>LCP-210065</v>
          </cell>
          <cell r="C338" t="str">
            <v>COL-CALI IT NETWORK DEVICES REFRESH BY LIFECYCLE (PHASE 2/3)</v>
          </cell>
          <cell r="D338" t="str">
            <v>IT</v>
          </cell>
          <cell r="E338" t="str">
            <v>N</v>
          </cell>
          <cell r="F338" t="str">
            <v>LA</v>
          </cell>
          <cell r="H338" t="str">
            <v>Commercial Radial</v>
          </cell>
          <cell r="I338" t="str">
            <v>SAG - IT</v>
          </cell>
          <cell r="J338" t="str">
            <v>COL</v>
          </cell>
          <cell r="S338">
            <v>0</v>
          </cell>
          <cell r="T338">
            <v>32.358900000000006</v>
          </cell>
          <cell r="U338">
            <v>21.405009999999997</v>
          </cell>
          <cell r="V338">
            <v>343</v>
          </cell>
          <cell r="W338">
            <v>343</v>
          </cell>
          <cell r="X338">
            <v>0</v>
          </cell>
          <cell r="Y338">
            <v>197.92726000000002</v>
          </cell>
        </row>
        <row r="339">
          <cell r="B339" t="str">
            <v>LCP-210068</v>
          </cell>
          <cell r="C339" t="str">
            <v>PER - PERU DBM #3 (ex Gadsden)</v>
          </cell>
          <cell r="D339" t="str">
            <v>Facilities Sustaining</v>
          </cell>
          <cell r="E339" t="str">
            <v>N</v>
          </cell>
          <cell r="F339" t="str">
            <v>LA</v>
          </cell>
          <cell r="H339" t="str">
            <v>Mixed</v>
          </cell>
          <cell r="I339" t="str">
            <v>Final Finish</v>
          </cell>
          <cell r="J339" t="str">
            <v>PER</v>
          </cell>
          <cell r="T339">
            <v>0</v>
          </cell>
          <cell r="U339">
            <v>198</v>
          </cell>
        </row>
        <row r="340">
          <cell r="B340" t="str">
            <v>LCP-210069</v>
          </cell>
          <cell r="C340" t="str">
            <v>PER EHS-100-02-00001 - Windup Letoff due to audity</v>
          </cell>
          <cell r="D340" t="str">
            <v>EHS</v>
          </cell>
          <cell r="E340" t="str">
            <v>N</v>
          </cell>
          <cell r="F340" t="str">
            <v>LA</v>
          </cell>
          <cell r="G340" t="str">
            <v>MSR</v>
          </cell>
          <cell r="J340" t="str">
            <v>PER</v>
          </cell>
          <cell r="T340">
            <v>0</v>
          </cell>
          <cell r="U340">
            <v>47</v>
          </cell>
          <cell r="V340">
            <v>75</v>
          </cell>
          <cell r="W340">
            <v>75</v>
          </cell>
          <cell r="X340">
            <v>17</v>
          </cell>
          <cell r="Y340">
            <v>0</v>
          </cell>
        </row>
        <row r="341">
          <cell r="B341" t="str">
            <v>LCP-210073</v>
          </cell>
          <cell r="C341" t="str">
            <v xml:space="preserve">	PER - 2 ELECTROMECHANIC BEAD HOLDER SYST</v>
          </cell>
          <cell r="D341" t="str">
            <v>EHS</v>
          </cell>
          <cell r="E341" t="str">
            <v>N</v>
          </cell>
          <cell r="F341" t="str">
            <v>LA</v>
          </cell>
          <cell r="G341" t="str">
            <v>FIRE</v>
          </cell>
          <cell r="H341" t="str">
            <v>MIXED</v>
          </cell>
          <cell r="I341" t="str">
            <v>Facilities/Infrastructure</v>
          </cell>
          <cell r="J341" t="str">
            <v>PER</v>
          </cell>
          <cell r="S341">
            <v>44.961720000000007</v>
          </cell>
          <cell r="T341">
            <v>91.952780000000018</v>
          </cell>
          <cell r="U341">
            <v>49.579820000000012</v>
          </cell>
          <cell r="V341">
            <v>150</v>
          </cell>
          <cell r="W341">
            <v>150</v>
          </cell>
          <cell r="X341">
            <v>4</v>
          </cell>
          <cell r="Y341">
            <v>32.563810000000004</v>
          </cell>
        </row>
        <row r="342">
          <cell r="B342" t="str">
            <v>LCP-200115</v>
          </cell>
          <cell r="C342" t="str">
            <v>AME - BT DRUM WYKO UPGRADE</v>
          </cell>
          <cell r="D342" t="str">
            <v>Facilities Sustaining</v>
          </cell>
          <cell r="E342" t="str">
            <v>N</v>
          </cell>
          <cell r="F342" t="str">
            <v>LA</v>
          </cell>
          <cell r="H342" t="str">
            <v>Commercial Radial</v>
          </cell>
          <cell r="I342" t="str">
            <v>TIRE ASSEMBLY</v>
          </cell>
          <cell r="J342" t="str">
            <v>AME</v>
          </cell>
          <cell r="Q342">
            <v>99.994</v>
          </cell>
          <cell r="S342">
            <v>1.0724</v>
          </cell>
          <cell r="T342">
            <v>1.0724</v>
          </cell>
          <cell r="U342">
            <v>0</v>
          </cell>
          <cell r="V342">
            <v>1.0629599999999999</v>
          </cell>
          <cell r="W342">
            <v>1.0629599999999999</v>
          </cell>
          <cell r="AD342">
            <v>0</v>
          </cell>
        </row>
        <row r="343">
          <cell r="B343" t="str">
            <v>LCP-200116</v>
          </cell>
          <cell r="C343" t="str">
            <v>SBO - UPGRADE PLC AUTOMAX EXTRUDER</v>
          </cell>
          <cell r="D343" t="str">
            <v>Facilities Sustaining</v>
          </cell>
          <cell r="E343" t="str">
            <v>N</v>
          </cell>
          <cell r="F343" t="str">
            <v>LA</v>
          </cell>
          <cell r="H343" t="str">
            <v>Other</v>
          </cell>
          <cell r="I343" t="str">
            <v>COMPONENT PREP OTHER</v>
          </cell>
          <cell r="J343" t="str">
            <v>RET</v>
          </cell>
          <cell r="Q343">
            <v>4</v>
          </cell>
          <cell r="S343">
            <v>330.18847</v>
          </cell>
          <cell r="T343">
            <v>384.08826000000005</v>
          </cell>
          <cell r="U343">
            <v>33.153700000000015</v>
          </cell>
          <cell r="V343">
            <v>473.62520999999998</v>
          </cell>
          <cell r="W343">
            <v>473.62520999999998</v>
          </cell>
          <cell r="X343">
            <v>0</v>
          </cell>
          <cell r="Y343">
            <v>28.590269999999997</v>
          </cell>
          <cell r="AD343">
            <v>0</v>
          </cell>
        </row>
        <row r="344">
          <cell r="B344" t="str">
            <v>LCP-210081</v>
          </cell>
          <cell r="C344" t="str">
            <v>Retread Plant &amp;amp; Truck Service</v>
          </cell>
          <cell r="D344" t="str">
            <v>SAG</v>
          </cell>
          <cell r="E344" t="str">
            <v>N</v>
          </cell>
          <cell r="F344" t="str">
            <v>LA</v>
          </cell>
          <cell r="I344" t="str">
            <v>SAG - Sales &amp; Marketing</v>
          </cell>
          <cell r="J344" t="str">
            <v>ARG</v>
          </cell>
          <cell r="T344">
            <v>38.297310000000003</v>
          </cell>
          <cell r="U344">
            <v>0</v>
          </cell>
          <cell r="X344">
            <v>0</v>
          </cell>
          <cell r="Y344">
            <v>95.895820000000001</v>
          </cell>
          <cell r="AD344">
            <v>75</v>
          </cell>
        </row>
        <row r="345">
          <cell r="B345" t="str">
            <v xml:space="preserve">LCP-210082	</v>
          </cell>
          <cell r="C345" t="str">
            <v>AME- 4 Additional molds to attend FCA-OE</v>
          </cell>
          <cell r="D345" t="str">
            <v>Molds</v>
          </cell>
          <cell r="E345" t="str">
            <v>N</v>
          </cell>
          <cell r="F345" t="str">
            <v>LA</v>
          </cell>
          <cell r="H345" t="str">
            <v>Consumer Radial</v>
          </cell>
          <cell r="I345" t="str">
            <v>CURING</v>
          </cell>
          <cell r="J345" t="str">
            <v>AME</v>
          </cell>
          <cell r="T345">
            <v>0</v>
          </cell>
          <cell r="U345">
            <v>25.274999999999999</v>
          </cell>
        </row>
        <row r="346">
          <cell r="B346" t="str">
            <v>LCP-200117</v>
          </cell>
          <cell r="C346" t="str">
            <v>REWIND STATIONS MRT  BUILD MACHINES</v>
          </cell>
          <cell r="D346" t="str">
            <v>Facilities Sustaining</v>
          </cell>
          <cell r="E346" t="str">
            <v>N</v>
          </cell>
          <cell r="F346" t="str">
            <v>LA</v>
          </cell>
          <cell r="H346" t="str">
            <v>Commercial Radial</v>
          </cell>
          <cell r="I346" t="str">
            <v>TIRE ASSEMBLY</v>
          </cell>
          <cell r="J346" t="str">
            <v>AME</v>
          </cell>
          <cell r="Q346">
            <v>99.512</v>
          </cell>
          <cell r="S346">
            <v>0.25570999999999999</v>
          </cell>
          <cell r="T346">
            <v>1.25346</v>
          </cell>
          <cell r="U346">
            <v>108.42956</v>
          </cell>
          <cell r="V346">
            <v>99.512</v>
          </cell>
          <cell r="W346">
            <v>99.512</v>
          </cell>
          <cell r="X346">
            <v>3.8664000000000001</v>
          </cell>
          <cell r="Y346">
            <v>7.0000000000000007E-5</v>
          </cell>
          <cell r="AD346">
            <v>0</v>
          </cell>
        </row>
        <row r="347">
          <cell r="B347" t="str">
            <v>LCP-200119</v>
          </cell>
          <cell r="C347" t="str">
            <v>REPL MAIN GEARBOX 6” &amp; 10” MRT EXTRUDER</v>
          </cell>
          <cell r="D347" t="str">
            <v>Facilities Sustaining</v>
          </cell>
          <cell r="E347" t="str">
            <v>N</v>
          </cell>
          <cell r="F347" t="str">
            <v>LA</v>
          </cell>
          <cell r="H347" t="str">
            <v>Other</v>
          </cell>
          <cell r="I347" t="str">
            <v>COMPONENT PREP OTHER</v>
          </cell>
          <cell r="J347" t="str">
            <v>AME</v>
          </cell>
          <cell r="Q347">
            <v>309.29599999999999</v>
          </cell>
          <cell r="S347">
            <v>34.550109999999997</v>
          </cell>
          <cell r="T347">
            <v>34.550109999999997</v>
          </cell>
          <cell r="U347">
            <v>6.2634399999999957</v>
          </cell>
          <cell r="V347">
            <v>45.178789999999999</v>
          </cell>
          <cell r="W347">
            <v>45.178789999999999</v>
          </cell>
          <cell r="X347">
            <v>3.8318000000000003</v>
          </cell>
          <cell r="Y347">
            <v>3.3566100000000003</v>
          </cell>
          <cell r="AD347">
            <v>0</v>
          </cell>
        </row>
        <row r="348">
          <cell r="B348" t="str">
            <v>LCP-200121</v>
          </cell>
          <cell r="C348" t="str">
            <v xml:space="preserve">AME - PRODUCTIVITY MRT </v>
          </cell>
          <cell r="D348" t="str">
            <v>Productivity</v>
          </cell>
          <cell r="E348" t="str">
            <v>N</v>
          </cell>
          <cell r="F348" t="str">
            <v>LA</v>
          </cell>
          <cell r="H348" t="str">
            <v>Commercial Radial</v>
          </cell>
          <cell r="I348" t="str">
            <v>TIRE ASSEMBLY</v>
          </cell>
          <cell r="J348" t="str">
            <v>AME</v>
          </cell>
          <cell r="Q348">
            <v>98.66037</v>
          </cell>
          <cell r="S348">
            <v>0.42429999999999995</v>
          </cell>
          <cell r="T348">
            <v>0.42429999999999995</v>
          </cell>
          <cell r="U348">
            <v>0</v>
          </cell>
          <cell r="V348">
            <v>0.42429999999999995</v>
          </cell>
          <cell r="W348">
            <v>0.42429999999999995</v>
          </cell>
          <cell r="AD348">
            <v>0</v>
          </cell>
        </row>
        <row r="349">
          <cell r="B349" t="str">
            <v>LCP-200124</v>
          </cell>
          <cell r="C349" t="str">
            <v>AME - BAMBURIES BATCH-OFF CRANES</v>
          </cell>
          <cell r="D349" t="str">
            <v>EHS</v>
          </cell>
          <cell r="E349" t="str">
            <v>N</v>
          </cell>
          <cell r="F349" t="str">
            <v>LA</v>
          </cell>
          <cell r="G349" t="str">
            <v>COMP</v>
          </cell>
          <cell r="H349" t="str">
            <v>MIXED</v>
          </cell>
          <cell r="I349" t="str">
            <v>COMPONENT PREP OTHER</v>
          </cell>
          <cell r="J349" t="str">
            <v>AME</v>
          </cell>
          <cell r="Q349">
            <v>63.145000000000003</v>
          </cell>
          <cell r="S349">
            <v>9.2854599999999987</v>
          </cell>
          <cell r="T349">
            <v>9.2854599999999987</v>
          </cell>
          <cell r="U349">
            <v>0</v>
          </cell>
          <cell r="V349">
            <v>7.8740199999999998</v>
          </cell>
          <cell r="W349">
            <v>7.8740199999999998</v>
          </cell>
          <cell r="AD349">
            <v>0</v>
          </cell>
        </row>
        <row r="350">
          <cell r="B350" t="str">
            <v>LCP-210087</v>
          </cell>
          <cell r="C350" t="str">
            <v>STB- 215mm G167 -(1/2)VENTILESS MOLD</v>
          </cell>
          <cell r="D350" t="str">
            <v>Molds</v>
          </cell>
          <cell r="E350" t="str">
            <v>N</v>
          </cell>
          <cell r="F350" t="str">
            <v>LA</v>
          </cell>
          <cell r="H350" t="str">
            <v>COMMERCIAL RADIAL</v>
          </cell>
          <cell r="I350" t="str">
            <v>Curing</v>
          </cell>
          <cell r="J350" t="str">
            <v>RET</v>
          </cell>
          <cell r="T350">
            <v>7.9871199999999991</v>
          </cell>
          <cell r="U350">
            <v>0</v>
          </cell>
        </row>
        <row r="351">
          <cell r="B351" t="str">
            <v>LCP-210089</v>
          </cell>
          <cell r="C351" t="str">
            <v>PER - MOTOR MIXER #2 (1000 HP)</v>
          </cell>
          <cell r="D351" t="str">
            <v>Facilities Sustaining</v>
          </cell>
          <cell r="E351" t="str">
            <v>N</v>
          </cell>
          <cell r="F351" t="str">
            <v>LA</v>
          </cell>
          <cell r="H351" t="str">
            <v>Consumer Radial</v>
          </cell>
          <cell r="I351" t="str">
            <v>Mixing</v>
          </cell>
          <cell r="J351" t="str">
            <v>PER</v>
          </cell>
          <cell r="S351">
            <v>0</v>
          </cell>
          <cell r="T351">
            <v>2.0732999999999997</v>
          </cell>
          <cell r="U351">
            <v>348</v>
          </cell>
          <cell r="V351">
            <v>350</v>
          </cell>
          <cell r="W351">
            <v>350</v>
          </cell>
          <cell r="X351">
            <v>247</v>
          </cell>
          <cell r="Y351">
            <v>0</v>
          </cell>
        </row>
        <row r="352">
          <cell r="B352" t="str">
            <v>LCP-210090</v>
          </cell>
          <cell r="C352" t="str">
            <v>PER- FIBERS FROM COMPUTER ROOM TO PLANT MACHINES  LIFECYCLE</v>
          </cell>
          <cell r="D352" t="str">
            <v>IT</v>
          </cell>
          <cell r="E352" t="str">
            <v>N</v>
          </cell>
          <cell r="F352" t="str">
            <v>LA</v>
          </cell>
          <cell r="H352" t="str">
            <v>N/A</v>
          </cell>
          <cell r="I352" t="str">
            <v>SAG - IT</v>
          </cell>
          <cell r="J352" t="str">
            <v>PER</v>
          </cell>
          <cell r="T352">
            <v>0</v>
          </cell>
          <cell r="U352">
            <v>30</v>
          </cell>
          <cell r="V352">
            <v>160</v>
          </cell>
          <cell r="W352">
            <v>160</v>
          </cell>
          <cell r="X352">
            <v>54.3</v>
          </cell>
          <cell r="Y352">
            <v>69.559889999999996</v>
          </cell>
          <cell r="AD352">
            <v>70</v>
          </cell>
        </row>
        <row r="353">
          <cell r="B353" t="str">
            <v>LCP-200125</v>
          </cell>
          <cell r="C353" t="str">
            <v>UPGRADE MICROPOISE BALANCE MACHINE ANCHIETA</v>
          </cell>
          <cell r="D353" t="str">
            <v>SAG</v>
          </cell>
          <cell r="E353" t="str">
            <v>N</v>
          </cell>
          <cell r="F353" t="str">
            <v>LA</v>
          </cell>
          <cell r="H353" t="str">
            <v>Other</v>
          </cell>
          <cell r="I353" t="str">
            <v>Other</v>
          </cell>
          <cell r="J353" t="str">
            <v>MC</v>
          </cell>
          <cell r="Q353">
            <v>234.983</v>
          </cell>
          <cell r="S353">
            <v>154.53612000000001</v>
          </cell>
          <cell r="T353">
            <v>155.51115000000001</v>
          </cell>
          <cell r="U353">
            <v>0</v>
          </cell>
          <cell r="V353">
            <v>89.973389999999995</v>
          </cell>
          <cell r="W353">
            <v>89.973389999999995</v>
          </cell>
          <cell r="AD353">
            <v>0</v>
          </cell>
        </row>
        <row r="354">
          <cell r="B354" t="str">
            <v>LCP-210093</v>
          </cell>
          <cell r="C354" t="str">
            <v>PER - Flexibility replacement</v>
          </cell>
          <cell r="D354" t="str">
            <v>Molds</v>
          </cell>
          <cell r="E354" t="str">
            <v>N</v>
          </cell>
          <cell r="F354" t="str">
            <v>LA</v>
          </cell>
          <cell r="H354" t="str">
            <v>Consumer Radial</v>
          </cell>
          <cell r="I354" t="str">
            <v>Curing</v>
          </cell>
          <cell r="J354" t="str">
            <v>PER</v>
          </cell>
          <cell r="S354">
            <v>0</v>
          </cell>
          <cell r="T354">
            <v>0</v>
          </cell>
          <cell r="U354">
            <v>0</v>
          </cell>
          <cell r="V354">
            <v>100</v>
          </cell>
          <cell r="W354">
            <v>100</v>
          </cell>
        </row>
        <row r="355">
          <cell r="B355" t="str">
            <v>LCP-200126</v>
          </cell>
          <cell r="C355" t="str">
            <v xml:space="preserve">UPGRADE DRIVE VTW MICRIPOISE BALANCE MACHINE - GRAVATAI </v>
          </cell>
          <cell r="D355" t="str">
            <v>SAG</v>
          </cell>
          <cell r="E355" t="str">
            <v>N</v>
          </cell>
          <cell r="F355" t="str">
            <v>LA</v>
          </cell>
          <cell r="H355" t="str">
            <v>Other</v>
          </cell>
          <cell r="I355" t="str">
            <v>Other</v>
          </cell>
          <cell r="J355" t="str">
            <v>MC</v>
          </cell>
          <cell r="Q355">
            <v>361.22300000000001</v>
          </cell>
          <cell r="S355">
            <v>286.86747000000003</v>
          </cell>
          <cell r="T355">
            <v>287.84170999999998</v>
          </cell>
          <cell r="U355">
            <v>7.444059999999979</v>
          </cell>
          <cell r="V355">
            <v>160</v>
          </cell>
          <cell r="W355">
            <v>160</v>
          </cell>
          <cell r="X355">
            <v>0</v>
          </cell>
          <cell r="Y355">
            <v>8.0744399999999992</v>
          </cell>
          <cell r="AD355">
            <v>0</v>
          </cell>
        </row>
        <row r="356">
          <cell r="B356" t="str">
            <v>LCP-210099</v>
          </cell>
          <cell r="C356" t="str">
            <v>KMAX Successor Steer and Drive - 295 &amp; 275R22.5 (70% req'd molds in 2021)</v>
          </cell>
          <cell r="D356" t="str">
            <v>Molds</v>
          </cell>
          <cell r="E356" t="str">
            <v>N</v>
          </cell>
          <cell r="F356" t="str">
            <v>LA</v>
          </cell>
          <cell r="H356" t="str">
            <v>Commercial Radial</v>
          </cell>
          <cell r="I356" t="str">
            <v>Curing</v>
          </cell>
          <cell r="J356" t="str">
            <v>AME</v>
          </cell>
          <cell r="S356">
            <v>0</v>
          </cell>
          <cell r="T356">
            <v>0</v>
          </cell>
          <cell r="U356">
            <v>1280</v>
          </cell>
          <cell r="V356">
            <v>2900</v>
          </cell>
          <cell r="W356">
            <v>2900</v>
          </cell>
          <cell r="X356">
            <v>0</v>
          </cell>
          <cell r="Y356">
            <v>1288.3729499999999</v>
          </cell>
          <cell r="AD356">
            <v>2000</v>
          </cell>
        </row>
        <row r="357">
          <cell r="B357" t="str">
            <v>LCP-200129</v>
          </cell>
          <cell r="C357" t="str">
            <v>AME - SAFETY UPGRADE BEADWINDER #03</v>
          </cell>
          <cell r="D357" t="str">
            <v>EHS</v>
          </cell>
          <cell r="E357" t="str">
            <v>N</v>
          </cell>
          <cell r="F357" t="str">
            <v>LA</v>
          </cell>
          <cell r="G357" t="str">
            <v>COMP</v>
          </cell>
          <cell r="H357" t="str">
            <v>Other</v>
          </cell>
          <cell r="I357" t="str">
            <v>COMPONENT PREP OTHER</v>
          </cell>
          <cell r="J357" t="str">
            <v>AME</v>
          </cell>
          <cell r="Q357">
            <v>53.960999999999999</v>
          </cell>
          <cell r="S357">
            <v>5.492700000000001</v>
          </cell>
          <cell r="T357">
            <v>5.492700000000001</v>
          </cell>
          <cell r="U357">
            <v>0</v>
          </cell>
          <cell r="V357">
            <v>2.2372400000000003</v>
          </cell>
          <cell r="W357">
            <v>2.2372400000000003</v>
          </cell>
          <cell r="AD357">
            <v>0</v>
          </cell>
        </row>
        <row r="358">
          <cell r="B358" t="str">
            <v>LCP-200131</v>
          </cell>
          <cell r="C358" t="str">
            <v>AME - UPGRADE GENERAL PANEL CURING PRESSES MRT</v>
          </cell>
          <cell r="D358" t="str">
            <v>Productivity</v>
          </cell>
          <cell r="E358" t="str">
            <v>N</v>
          </cell>
          <cell r="F358" t="str">
            <v>LA</v>
          </cell>
          <cell r="H358" t="str">
            <v>Commercial Radial</v>
          </cell>
          <cell r="I358" t="str">
            <v>Curing</v>
          </cell>
          <cell r="J358" t="str">
            <v>AME</v>
          </cell>
          <cell r="Q358">
            <v>420.88981999999999</v>
          </cell>
          <cell r="S358">
            <v>95.412089999999964</v>
          </cell>
          <cell r="T358">
            <v>100.80012999999997</v>
          </cell>
          <cell r="U358">
            <v>70.963329999999985</v>
          </cell>
          <cell r="V358">
            <v>274.27812</v>
          </cell>
          <cell r="W358">
            <v>274.27812</v>
          </cell>
          <cell r="X358">
            <v>0</v>
          </cell>
          <cell r="Y358">
            <v>96.112669999999994</v>
          </cell>
          <cell r="AD358">
            <v>0</v>
          </cell>
        </row>
        <row r="359">
          <cell r="B359" t="str">
            <v>LCP-200137</v>
          </cell>
          <cell r="C359" t="str">
            <v>UPGRADE XLE#7 AIR COMPRESSOR</v>
          </cell>
          <cell r="D359" t="str">
            <v>Facilities Sustaining</v>
          </cell>
          <cell r="E359" t="str">
            <v>N</v>
          </cell>
          <cell r="F359" t="str">
            <v>LA</v>
          </cell>
          <cell r="H359" t="str">
            <v>Other</v>
          </cell>
          <cell r="I359" t="str">
            <v>Other</v>
          </cell>
          <cell r="J359" t="str">
            <v>AME</v>
          </cell>
          <cell r="Q359">
            <v>59.8</v>
          </cell>
          <cell r="S359">
            <v>10.406239999999997</v>
          </cell>
          <cell r="T359">
            <v>10.406239999999997</v>
          </cell>
          <cell r="U359">
            <v>0</v>
          </cell>
          <cell r="V359">
            <v>10.9</v>
          </cell>
          <cell r="W359">
            <v>10.9</v>
          </cell>
          <cell r="AD359">
            <v>0</v>
          </cell>
        </row>
        <row r="360">
          <cell r="B360" t="str">
            <v>LCP-200142</v>
          </cell>
          <cell r="C360" t="str">
            <v>BARCODE SYSTEM IN SEQUENCING AREA ANCHIETA</v>
          </cell>
          <cell r="D360" t="str">
            <v>SAG</v>
          </cell>
          <cell r="E360" t="str">
            <v>N</v>
          </cell>
          <cell r="F360" t="str">
            <v>LA</v>
          </cell>
          <cell r="H360" t="str">
            <v>Other</v>
          </cell>
          <cell r="I360" t="str">
            <v>Other</v>
          </cell>
          <cell r="J360" t="str">
            <v>MC</v>
          </cell>
          <cell r="Q360">
            <v>44.95</v>
          </cell>
          <cell r="S360">
            <v>1.9303300000000003</v>
          </cell>
          <cell r="T360">
            <v>1.9303300000000003</v>
          </cell>
          <cell r="U360">
            <v>0</v>
          </cell>
          <cell r="V360">
            <v>1.0839000000000001</v>
          </cell>
          <cell r="W360">
            <v>1.0839000000000001</v>
          </cell>
          <cell r="X360">
            <v>0</v>
          </cell>
          <cell r="Y360">
            <v>2.351E-2</v>
          </cell>
          <cell r="AD360">
            <v>0</v>
          </cell>
        </row>
        <row r="361">
          <cell r="B361" t="str">
            <v>LCP-210105</v>
          </cell>
          <cell r="C361" t="str">
            <v>Consumer AME Directional Successor (132 New Molds)</v>
          </cell>
          <cell r="D361" t="str">
            <v>Molds</v>
          </cell>
          <cell r="E361" t="str">
            <v>N</v>
          </cell>
          <cell r="F361" t="str">
            <v>LA</v>
          </cell>
          <cell r="H361" t="str">
            <v>Consumer Radial</v>
          </cell>
          <cell r="I361" t="str">
            <v>CURING</v>
          </cell>
          <cell r="J361" t="str">
            <v>AME</v>
          </cell>
          <cell r="Q361">
            <v>5600</v>
          </cell>
          <cell r="T361">
            <v>0</v>
          </cell>
          <cell r="U361">
            <v>3145</v>
          </cell>
          <cell r="X361">
            <v>242.73545000000001</v>
          </cell>
          <cell r="Y361">
            <v>3885.52</v>
          </cell>
        </row>
        <row r="362">
          <cell r="B362" t="str">
            <v>LCP-200145</v>
          </cell>
          <cell r="C362" t="str">
            <v>AUTOMATIC LOADING WIND UP – GUM CALENDER #2</v>
          </cell>
          <cell r="D362" t="str">
            <v>Productivity</v>
          </cell>
          <cell r="E362" t="str">
            <v>N</v>
          </cell>
          <cell r="F362" t="str">
            <v>LA</v>
          </cell>
          <cell r="H362" t="str">
            <v>Other</v>
          </cell>
          <cell r="I362" t="str">
            <v>Other</v>
          </cell>
          <cell r="J362" t="str">
            <v>AME</v>
          </cell>
          <cell r="Q362">
            <v>71.727000000000004</v>
          </cell>
          <cell r="S362">
            <v>27.988940000000007</v>
          </cell>
          <cell r="T362">
            <v>27.988940000000007</v>
          </cell>
          <cell r="U362">
            <v>0</v>
          </cell>
          <cell r="V362">
            <v>20.26003</v>
          </cell>
          <cell r="W362">
            <v>20.26003</v>
          </cell>
          <cell r="AD362">
            <v>0</v>
          </cell>
        </row>
        <row r="363">
          <cell r="B363" t="str">
            <v>LCP-200149</v>
          </cell>
          <cell r="C363" t="str">
            <v xml:space="preserve">MASTER PLAN SECURITY AMERICANA PLANT </v>
          </cell>
          <cell r="D363" t="str">
            <v>EHS</v>
          </cell>
          <cell r="E363" t="str">
            <v>N</v>
          </cell>
          <cell r="F363" t="str">
            <v>LA</v>
          </cell>
          <cell r="G363" t="str">
            <v>COMP</v>
          </cell>
          <cell r="H363" t="str">
            <v>MIXED</v>
          </cell>
          <cell r="I363" t="str">
            <v>OTHER</v>
          </cell>
          <cell r="J363" t="str">
            <v>AME</v>
          </cell>
          <cell r="Q363">
            <v>356.63299999999998</v>
          </cell>
          <cell r="S363">
            <v>70.752269999999996</v>
          </cell>
          <cell r="T363">
            <v>79.23429999999999</v>
          </cell>
          <cell r="U363">
            <v>12.456280000000007</v>
          </cell>
          <cell r="V363">
            <v>96.782550000000001</v>
          </cell>
          <cell r="W363">
            <v>96.782550000000001</v>
          </cell>
          <cell r="X363">
            <v>15.617419999999997</v>
          </cell>
          <cell r="Y363">
            <v>4.7271100000000006</v>
          </cell>
          <cell r="AD363">
            <v>0</v>
          </cell>
        </row>
        <row r="364">
          <cell r="B364" t="str">
            <v>LCP-210108</v>
          </cell>
          <cell r="C364" t="str">
            <v>COL - Additional NPTs</v>
          </cell>
          <cell r="D364" t="str">
            <v>Productivity</v>
          </cell>
          <cell r="E364" t="str">
            <v>N</v>
          </cell>
          <cell r="F364" t="str">
            <v>LA</v>
          </cell>
          <cell r="H364" t="str">
            <v>Commercial Radial</v>
          </cell>
          <cell r="J364" t="str">
            <v>COL</v>
          </cell>
          <cell r="T364">
            <v>0</v>
          </cell>
          <cell r="U364">
            <v>140</v>
          </cell>
          <cell r="X364">
            <v>0</v>
          </cell>
          <cell r="Y364">
            <v>144.0634</v>
          </cell>
        </row>
        <row r="365">
          <cell r="B365" t="str">
            <v>LCP-210109</v>
          </cell>
          <cell r="C365" t="str">
            <v>COL - Warehouse floor repalacement</v>
          </cell>
          <cell r="D365" t="str">
            <v>SAG</v>
          </cell>
          <cell r="E365" t="str">
            <v>N</v>
          </cell>
          <cell r="F365" t="str">
            <v>LA</v>
          </cell>
          <cell r="H365" t="str">
            <v>Commercial Radial</v>
          </cell>
          <cell r="I365" t="str">
            <v>SAG - Supply Chain</v>
          </cell>
          <cell r="J365" t="str">
            <v>COL</v>
          </cell>
          <cell r="S365">
            <v>0</v>
          </cell>
          <cell r="T365">
            <v>30.075189999999999</v>
          </cell>
          <cell r="U365">
            <v>0</v>
          </cell>
          <cell r="V365">
            <v>40</v>
          </cell>
          <cell r="W365">
            <v>40</v>
          </cell>
        </row>
        <row r="366">
          <cell r="B366" t="str">
            <v>LCP-200159</v>
          </cell>
          <cell r="C366" t="str">
            <v>COMFORT LANES REPAVING</v>
          </cell>
          <cell r="D366" t="str">
            <v>SAG</v>
          </cell>
          <cell r="E366" t="str">
            <v>N</v>
          </cell>
          <cell r="F366" t="str">
            <v>LA</v>
          </cell>
          <cell r="H366" t="str">
            <v>N/A</v>
          </cell>
          <cell r="I366" t="str">
            <v>SAG - GPG*LA</v>
          </cell>
          <cell r="J366" t="str">
            <v>BRZ</v>
          </cell>
          <cell r="S366">
            <v>97.741419999999977</v>
          </cell>
          <cell r="T366">
            <v>97.741419999999977</v>
          </cell>
          <cell r="U366">
            <v>0</v>
          </cell>
          <cell r="V366">
            <v>94.835999999999999</v>
          </cell>
          <cell r="W366">
            <v>94.835999999999999</v>
          </cell>
          <cell r="AD366">
            <v>0</v>
          </cell>
        </row>
        <row r="367">
          <cell r="B367" t="str">
            <v>LCP-210112</v>
          </cell>
          <cell r="C367" t="str">
            <v>BRA-AMERICANA NEARLINE STORAGE</v>
          </cell>
          <cell r="D367" t="str">
            <v>IT</v>
          </cell>
          <cell r="E367" t="str">
            <v>N</v>
          </cell>
          <cell r="F367" t="str">
            <v>LA</v>
          </cell>
          <cell r="H367" t="str">
            <v>N/A</v>
          </cell>
          <cell r="I367" t="str">
            <v>SAG - IT</v>
          </cell>
          <cell r="J367" t="str">
            <v>BRZ</v>
          </cell>
          <cell r="T367">
            <v>42.49481999999999</v>
          </cell>
          <cell r="U367">
            <v>0</v>
          </cell>
          <cell r="X367">
            <v>0</v>
          </cell>
          <cell r="Y367">
            <v>8.4000000000000003E-4</v>
          </cell>
        </row>
        <row r="368">
          <cell r="B368" t="str">
            <v>LCP-210113</v>
          </cell>
          <cell r="C368" t="str">
            <v xml:space="preserve">BRA - AMERICANA DATACENTER BACKUP </v>
          </cell>
          <cell r="D368" t="str">
            <v>IT</v>
          </cell>
          <cell r="E368" t="str">
            <v>N</v>
          </cell>
          <cell r="F368" t="str">
            <v>LA</v>
          </cell>
          <cell r="H368" t="str">
            <v>Mixed</v>
          </cell>
          <cell r="I368" t="str">
            <v>SAG - IT</v>
          </cell>
          <cell r="J368" t="str">
            <v>BRZ</v>
          </cell>
          <cell r="S368">
            <v>0</v>
          </cell>
          <cell r="T368">
            <v>144.09618000000003</v>
          </cell>
          <cell r="U368">
            <v>0</v>
          </cell>
          <cell r="V368">
            <v>130</v>
          </cell>
          <cell r="W368">
            <v>130</v>
          </cell>
        </row>
        <row r="369">
          <cell r="B369" t="str">
            <v>LCP-200169</v>
          </cell>
          <cell r="C369" t="str">
            <v>ENGINEERING CONTRACTOR’S SHOP STANDARDIZATION</v>
          </cell>
          <cell r="D369" t="str">
            <v>EHS</v>
          </cell>
          <cell r="E369" t="str">
            <v>N</v>
          </cell>
          <cell r="F369" t="str">
            <v>LA</v>
          </cell>
          <cell r="G369" t="str">
            <v>COMP</v>
          </cell>
          <cell r="H369" t="str">
            <v>N/A</v>
          </cell>
          <cell r="I369" t="str">
            <v>Other</v>
          </cell>
          <cell r="J369" t="str">
            <v>AME</v>
          </cell>
          <cell r="S369">
            <v>7.4173099999999996</v>
          </cell>
          <cell r="T369">
            <v>45.815610000000007</v>
          </cell>
          <cell r="U369">
            <v>125.73348000000003</v>
          </cell>
          <cell r="V369">
            <v>172.2</v>
          </cell>
          <cell r="W369">
            <v>172.2</v>
          </cell>
          <cell r="X369">
            <v>10.6326</v>
          </cell>
          <cell r="Y369">
            <v>122.60767</v>
          </cell>
          <cell r="AD369">
            <v>0</v>
          </cell>
        </row>
        <row r="370">
          <cell r="B370" t="str">
            <v>LCP-210115</v>
          </cell>
          <cell r="C370" t="str">
            <v>PER - NEW DOCUMENT STORE</v>
          </cell>
          <cell r="D370" t="str">
            <v>SAG</v>
          </cell>
          <cell r="E370" t="str">
            <v>N</v>
          </cell>
          <cell r="F370" t="str">
            <v>LA</v>
          </cell>
          <cell r="J370" t="str">
            <v>PER</v>
          </cell>
          <cell r="T370">
            <v>26.10022</v>
          </cell>
          <cell r="U370">
            <v>5.996850000000002</v>
          </cell>
          <cell r="X370">
            <v>0</v>
          </cell>
          <cell r="Y370">
            <v>17.959160000000001</v>
          </cell>
        </row>
        <row r="371">
          <cell r="B371" t="str">
            <v>LCP-210116</v>
          </cell>
          <cell r="C371" t="str">
            <v>K-MAX Molds transfer from Colombia to Brazil</v>
          </cell>
          <cell r="D371" t="str">
            <v>Molds</v>
          </cell>
          <cell r="E371" t="str">
            <v>N</v>
          </cell>
          <cell r="F371" t="str">
            <v>LA</v>
          </cell>
          <cell r="H371" t="str">
            <v>COMMERCIAL RADIAL</v>
          </cell>
          <cell r="I371" t="str">
            <v>CURING</v>
          </cell>
          <cell r="J371" t="str">
            <v>AME</v>
          </cell>
          <cell r="T371">
            <v>0</v>
          </cell>
          <cell r="U371">
            <v>19</v>
          </cell>
        </row>
        <row r="372">
          <cell r="B372" t="str">
            <v>LCP-210117</v>
          </cell>
          <cell r="C372" t="str">
            <v>(10) Molds G316 transfer from AME to COL</v>
          </cell>
          <cell r="D372" t="str">
            <v>Molds</v>
          </cell>
          <cell r="E372" t="str">
            <v>N</v>
          </cell>
          <cell r="F372" t="str">
            <v>LA</v>
          </cell>
          <cell r="H372" t="str">
            <v>COMMERCIAL RADIAL</v>
          </cell>
          <cell r="I372" t="str">
            <v>Curing</v>
          </cell>
          <cell r="J372" t="str">
            <v>COL</v>
          </cell>
          <cell r="T372">
            <v>25.637509999999999</v>
          </cell>
          <cell r="U372">
            <v>18.915380000000006</v>
          </cell>
          <cell r="X372">
            <v>0</v>
          </cell>
          <cell r="Y372">
            <v>32.592530000000004</v>
          </cell>
        </row>
        <row r="373">
          <cell r="B373" t="str">
            <v>LCP-200170</v>
          </cell>
          <cell r="C373" t="str">
            <v>AME - UPGRADE DRIVE + MOTOR AC MILL MIXER#3</v>
          </cell>
          <cell r="D373" t="str">
            <v>Facilities Sustaining</v>
          </cell>
          <cell r="E373" t="str">
            <v>N</v>
          </cell>
          <cell r="F373" t="str">
            <v>LA</v>
          </cell>
          <cell r="H373" t="str">
            <v>MIXED</v>
          </cell>
          <cell r="I373" t="str">
            <v>Mixing</v>
          </cell>
          <cell r="J373" t="str">
            <v>AME</v>
          </cell>
          <cell r="S373">
            <v>21.10305</v>
          </cell>
          <cell r="T373">
            <v>54.715620000000001</v>
          </cell>
          <cell r="U373">
            <v>238.94709</v>
          </cell>
          <cell r="V373">
            <v>300</v>
          </cell>
          <cell r="W373">
            <v>300</v>
          </cell>
          <cell r="X373">
            <v>0</v>
          </cell>
          <cell r="Y373">
            <v>209.46408000000002</v>
          </cell>
          <cell r="AD373">
            <v>0</v>
          </cell>
        </row>
        <row r="374">
          <cell r="B374" t="str">
            <v>LCP-210119</v>
          </cell>
          <cell r="C374" t="str">
            <v>COL EHS-100-02-00001 - Windup Letoff due to audity</v>
          </cell>
          <cell r="D374" t="str">
            <v>EHS</v>
          </cell>
          <cell r="E374" t="str">
            <v>N</v>
          </cell>
          <cell r="F374" t="str">
            <v>LA</v>
          </cell>
          <cell r="G374" t="str">
            <v>MSR</v>
          </cell>
          <cell r="J374" t="str">
            <v>COL</v>
          </cell>
          <cell r="S374">
            <v>0</v>
          </cell>
          <cell r="T374">
            <v>0</v>
          </cell>
          <cell r="U374">
            <v>55</v>
          </cell>
          <cell r="V374">
            <v>75</v>
          </cell>
          <cell r="W374">
            <v>75</v>
          </cell>
          <cell r="X374">
            <v>0</v>
          </cell>
          <cell r="Y374">
            <v>33.858150000000002</v>
          </cell>
        </row>
        <row r="375">
          <cell r="B375" t="str">
            <v>LCP-200175</v>
          </cell>
          <cell r="C375" t="str">
            <v>RETROFIT–BLUE RACKS FOR CONSUMER TIRES</v>
          </cell>
          <cell r="D375" t="str">
            <v>SAG</v>
          </cell>
          <cell r="E375" t="str">
            <v>N</v>
          </cell>
          <cell r="F375" t="str">
            <v>LA</v>
          </cell>
          <cell r="H375" t="str">
            <v>CONSUMER RADIAL</v>
          </cell>
          <cell r="I375" t="str">
            <v>SAG - Supply Chain</v>
          </cell>
          <cell r="J375" t="str">
            <v>BRZ</v>
          </cell>
          <cell r="S375">
            <v>185.78165999999987</v>
          </cell>
          <cell r="T375">
            <v>571.69055000000003</v>
          </cell>
          <cell r="U375">
            <v>0</v>
          </cell>
          <cell r="V375">
            <v>266.52999999999997</v>
          </cell>
          <cell r="W375">
            <v>266.52999999999997</v>
          </cell>
          <cell r="AD375">
            <v>0</v>
          </cell>
        </row>
        <row r="376">
          <cell r="B376" t="str">
            <v>LCP-200177</v>
          </cell>
          <cell r="C376" t="str">
            <v>NEW POWER GENERATOR</v>
          </cell>
          <cell r="D376" t="str">
            <v>SAG</v>
          </cell>
          <cell r="E376" t="str">
            <v>N</v>
          </cell>
          <cell r="F376" t="str">
            <v>LA</v>
          </cell>
          <cell r="H376" t="str">
            <v>MIXED</v>
          </cell>
          <cell r="I376" t="str">
            <v>Other</v>
          </cell>
          <cell r="J376" t="str">
            <v>MC</v>
          </cell>
          <cell r="Q376">
            <v>107.81399999999999</v>
          </cell>
          <cell r="S376">
            <v>49.774949999999997</v>
          </cell>
          <cell r="T376">
            <v>49.774949999999997</v>
          </cell>
          <cell r="U376">
            <v>0</v>
          </cell>
          <cell r="V376">
            <v>70</v>
          </cell>
          <cell r="W376">
            <v>70</v>
          </cell>
          <cell r="AD376">
            <v>0</v>
          </cell>
        </row>
        <row r="377">
          <cell r="B377" t="str">
            <v>LCP-210122</v>
          </cell>
          <cell r="C377" t="str">
            <v>PER - 2021 MISCELLANEOUS ANNUAL BUDGET PHASE 2</v>
          </cell>
          <cell r="D377" t="str">
            <v>Facilities Sustaining</v>
          </cell>
          <cell r="E377" t="str">
            <v>N</v>
          </cell>
          <cell r="F377" t="str">
            <v>LA</v>
          </cell>
          <cell r="H377" t="str">
            <v>Consumer Radial</v>
          </cell>
          <cell r="I377" t="str">
            <v>Other</v>
          </cell>
          <cell r="J377" t="str">
            <v>PER</v>
          </cell>
          <cell r="T377">
            <v>82.177999999999997</v>
          </cell>
          <cell r="U377">
            <v>187.4203</v>
          </cell>
          <cell r="X377">
            <v>49.2545</v>
          </cell>
          <cell r="Y377">
            <v>81.782359999999997</v>
          </cell>
        </row>
        <row r="378">
          <cell r="B378" t="str">
            <v>LCP-210007</v>
          </cell>
          <cell r="C378" t="str">
            <v>AME - 2021 MISCELLANEOUS ANNUAL BUDGET</v>
          </cell>
          <cell r="D378" t="str">
            <v>Facilities Sustaining</v>
          </cell>
          <cell r="E378" t="str">
            <v>N</v>
          </cell>
          <cell r="F378" t="str">
            <v>LA</v>
          </cell>
          <cell r="H378" t="str">
            <v>MIXED</v>
          </cell>
          <cell r="I378" t="str">
            <v>Other</v>
          </cell>
          <cell r="J378" t="str">
            <v>AME</v>
          </cell>
          <cell r="S378">
            <v>127.85485000000006</v>
          </cell>
          <cell r="T378">
            <v>232.11990000000006</v>
          </cell>
          <cell r="U378">
            <v>646.87561083333333</v>
          </cell>
          <cell r="V378">
            <v>800.0454545454545</v>
          </cell>
          <cell r="W378">
            <v>800.0454545454545</v>
          </cell>
          <cell r="X378">
            <v>73.874780000000001</v>
          </cell>
          <cell r="Y378">
            <v>410.55628000000007</v>
          </cell>
          <cell r="AD378">
            <v>0</v>
          </cell>
        </row>
        <row r="379">
          <cell r="B379" t="str">
            <v>LCP-210128</v>
          </cell>
          <cell r="C379" t="str">
            <v>PER - Rehometer (Ex - Gadsden)</v>
          </cell>
          <cell r="D379" t="str">
            <v>Facilities Sustaining</v>
          </cell>
          <cell r="E379" t="str">
            <v>N</v>
          </cell>
          <cell r="F379" t="str">
            <v>LA</v>
          </cell>
          <cell r="H379" t="str">
            <v>Consumer Radial</v>
          </cell>
          <cell r="I379" t="str">
            <v>Other</v>
          </cell>
          <cell r="J379" t="str">
            <v>PER</v>
          </cell>
          <cell r="T379">
            <v>0</v>
          </cell>
          <cell r="U379">
            <v>10</v>
          </cell>
        </row>
        <row r="380">
          <cell r="B380" t="str">
            <v>LCP-210129</v>
          </cell>
          <cell r="C380" t="str">
            <v>BRA-AMERICANA IT NETWORK DEVICES REFRESH BY LIFECYCLE (PHASE 2/4)</v>
          </cell>
          <cell r="D380" t="str">
            <v>IT</v>
          </cell>
          <cell r="E380" t="str">
            <v>N</v>
          </cell>
          <cell r="F380" t="str">
            <v>LA</v>
          </cell>
          <cell r="H380" t="str">
            <v>MIXED</v>
          </cell>
          <cell r="I380" t="str">
            <v>SAG - IT</v>
          </cell>
          <cell r="J380" t="str">
            <v>BRZ</v>
          </cell>
          <cell r="S380">
            <v>0</v>
          </cell>
          <cell r="T380">
            <v>0</v>
          </cell>
          <cell r="U380">
            <v>850</v>
          </cell>
          <cell r="V380">
            <v>500</v>
          </cell>
          <cell r="W380">
            <v>500</v>
          </cell>
          <cell r="X380">
            <v>0</v>
          </cell>
          <cell r="Y380">
            <v>492.55703000000005</v>
          </cell>
        </row>
        <row r="381">
          <cell r="B381" t="str">
            <v>LCP-210130</v>
          </cell>
          <cell r="C381" t="str">
            <v>AME- NAPANE TO AMERICANA MOLD TRAN</v>
          </cell>
          <cell r="D381" t="str">
            <v>Molds</v>
          </cell>
          <cell r="E381" t="str">
            <v>N</v>
          </cell>
          <cell r="F381" t="str">
            <v>LA</v>
          </cell>
          <cell r="H381" t="str">
            <v>CONSUMER RADIAL</v>
          </cell>
          <cell r="I381" t="str">
            <v>CURING</v>
          </cell>
          <cell r="J381" t="str">
            <v>AME</v>
          </cell>
          <cell r="T381">
            <v>14.476539999999998</v>
          </cell>
          <cell r="U381">
            <v>0</v>
          </cell>
          <cell r="X381">
            <v>110.56407999999999</v>
          </cell>
          <cell r="Y381">
            <v>29.814419999999998</v>
          </cell>
        </row>
        <row r="382">
          <cell r="B382" t="str">
            <v>LCP-210011</v>
          </cell>
          <cell r="C382" t="str">
            <v>WASTEWATER TANK IMPROVEMENT</v>
          </cell>
          <cell r="D382" t="str">
            <v>EHS</v>
          </cell>
          <cell r="E382" t="str">
            <v>N</v>
          </cell>
          <cell r="F382" t="str">
            <v>LA</v>
          </cell>
          <cell r="G382" t="str">
            <v>ENV</v>
          </cell>
          <cell r="H382" t="str">
            <v>N/A</v>
          </cell>
          <cell r="I382" t="str">
            <v>Other</v>
          </cell>
          <cell r="J382" t="str">
            <v>AME</v>
          </cell>
          <cell r="T382">
            <v>85.094279999999998</v>
          </cell>
          <cell r="U382">
            <v>44.072239999999994</v>
          </cell>
          <cell r="V382">
            <v>130.1</v>
          </cell>
          <cell r="W382">
            <v>130.1</v>
          </cell>
          <cell r="X382">
            <v>5.7048000000000005</v>
          </cell>
          <cell r="Y382">
            <v>38.906399999999991</v>
          </cell>
          <cell r="AD382">
            <v>0</v>
          </cell>
        </row>
        <row r="383">
          <cell r="B383" t="str">
            <v>LCP-210014</v>
          </cell>
          <cell r="C383" t="str">
            <v>UPGRADE OF DRIVES BEADWINDER#03</v>
          </cell>
          <cell r="D383" t="str">
            <v>Facilities Sustaining</v>
          </cell>
          <cell r="E383" t="str">
            <v>N</v>
          </cell>
          <cell r="F383" t="str">
            <v>LA</v>
          </cell>
          <cell r="H383" t="str">
            <v>CONSUMER RADIAL</v>
          </cell>
          <cell r="I383" t="str">
            <v>COMPONENT PREP OTHER</v>
          </cell>
          <cell r="J383" t="str">
            <v>AME</v>
          </cell>
          <cell r="T383">
            <v>11.50849</v>
          </cell>
          <cell r="U383">
            <v>82.755040000000008</v>
          </cell>
          <cell r="X383">
            <v>0</v>
          </cell>
          <cell r="Y383">
            <v>80.857399999999998</v>
          </cell>
          <cell r="AD383">
            <v>0</v>
          </cell>
        </row>
        <row r="384">
          <cell r="B384" t="str">
            <v>LCP-210016</v>
          </cell>
          <cell r="C384" t="str">
            <v>IMPROVEMENT CLIMATIZATION IN THE TBM'S</v>
          </cell>
          <cell r="D384" t="str">
            <v>Quality - Improvement</v>
          </cell>
          <cell r="E384" t="str">
            <v>N</v>
          </cell>
          <cell r="F384" t="str">
            <v>LA</v>
          </cell>
          <cell r="H384" t="str">
            <v>Commercial Radial</v>
          </cell>
          <cell r="I384" t="str">
            <v>TIRE ASSEMBLY</v>
          </cell>
          <cell r="J384" t="str">
            <v>AME</v>
          </cell>
          <cell r="T384">
            <v>14.29861</v>
          </cell>
          <cell r="U384">
            <v>45.210849999999994</v>
          </cell>
          <cell r="X384">
            <v>0</v>
          </cell>
          <cell r="Y384">
            <v>39.958949999999994</v>
          </cell>
          <cell r="AD384">
            <v>0</v>
          </cell>
        </row>
        <row r="385">
          <cell r="B385" t="str">
            <v>LCP-210022</v>
          </cell>
          <cell r="C385" t="str">
            <v>PROJECT RUNNER</v>
          </cell>
          <cell r="D385" t="str">
            <v>SAG</v>
          </cell>
          <cell r="E385" t="str">
            <v>N</v>
          </cell>
          <cell r="F385" t="str">
            <v>LA</v>
          </cell>
          <cell r="H385" t="str">
            <v>Mixed</v>
          </cell>
          <cell r="I385" t="str">
            <v>SAG - Other</v>
          </cell>
          <cell r="J385" t="str">
            <v>BRZ</v>
          </cell>
          <cell r="S385">
            <v>292.84548000000001</v>
          </cell>
          <cell r="T385">
            <v>550.67319999999995</v>
          </cell>
          <cell r="U385">
            <v>61.04970000000003</v>
          </cell>
          <cell r="V385">
            <v>772.5</v>
          </cell>
          <cell r="W385">
            <v>772.5</v>
          </cell>
          <cell r="X385">
            <v>83.13103000000001</v>
          </cell>
          <cell r="Y385">
            <v>28.48413</v>
          </cell>
          <cell r="AD385">
            <v>0</v>
          </cell>
        </row>
        <row r="386">
          <cell r="B386" t="str">
            <v>LCP-210025</v>
          </cell>
          <cell r="C386" t="str">
            <v>UPG AKROSCAN SYSTEM FOR LINES FVM (CAMERAS PRETAS)</v>
          </cell>
          <cell r="D386" t="str">
            <v>Facilities Sustaining</v>
          </cell>
          <cell r="E386" t="str">
            <v>N</v>
          </cell>
          <cell r="F386" t="str">
            <v>LA</v>
          </cell>
          <cell r="H386" t="str">
            <v>CONSUMER RADIAL</v>
          </cell>
          <cell r="I386" t="str">
            <v>Tire Assembly</v>
          </cell>
          <cell r="J386" t="str">
            <v>AME</v>
          </cell>
          <cell r="T386">
            <v>1.45123</v>
          </cell>
          <cell r="U386">
            <v>239.39999999999998</v>
          </cell>
          <cell r="X386">
            <v>0</v>
          </cell>
          <cell r="Y386">
            <v>20.46378</v>
          </cell>
          <cell r="AD386">
            <v>0</v>
          </cell>
        </row>
        <row r="387">
          <cell r="B387" t="str">
            <v>LCP-210038</v>
          </cell>
          <cell r="C387" t="str">
            <v>UPPER CONVEYORS UPGRADE – CURING B1</v>
          </cell>
          <cell r="D387" t="str">
            <v>EHS</v>
          </cell>
          <cell r="E387" t="str">
            <v>N</v>
          </cell>
          <cell r="F387" t="str">
            <v>LA</v>
          </cell>
          <cell r="G387" t="str">
            <v>MSR</v>
          </cell>
          <cell r="H387" t="str">
            <v>Other</v>
          </cell>
          <cell r="I387" t="str">
            <v>CURING</v>
          </cell>
          <cell r="J387" t="str">
            <v>AME</v>
          </cell>
          <cell r="T387">
            <v>54.643919999999994</v>
          </cell>
          <cell r="U387">
            <v>125.72465999999999</v>
          </cell>
          <cell r="X387">
            <v>0</v>
          </cell>
          <cell r="Y387">
            <v>18.576520000000002</v>
          </cell>
          <cell r="AD387">
            <v>0</v>
          </cell>
        </row>
        <row r="388">
          <cell r="B388" t="str">
            <v>LCP-210040</v>
          </cell>
          <cell r="C388" t="str">
            <v>FSB - 2021 MISCELLANEOUS ANNUAL BUDGET</v>
          </cell>
          <cell r="D388" t="str">
            <v>Facilities Sustaining</v>
          </cell>
          <cell r="E388" t="str">
            <v>N</v>
          </cell>
          <cell r="F388" t="str">
            <v>LA</v>
          </cell>
          <cell r="H388" t="str">
            <v>Other</v>
          </cell>
          <cell r="I388" t="str">
            <v>Other</v>
          </cell>
          <cell r="J388" t="str">
            <v>RET</v>
          </cell>
          <cell r="S388">
            <v>0</v>
          </cell>
          <cell r="T388">
            <v>13.399560000000001</v>
          </cell>
          <cell r="U388">
            <v>77.5</v>
          </cell>
          <cell r="V388">
            <v>67</v>
          </cell>
          <cell r="W388">
            <v>67</v>
          </cell>
          <cell r="X388">
            <v>14.4</v>
          </cell>
          <cell r="Y388">
            <v>58.391160000000006</v>
          </cell>
          <cell r="AD388">
            <v>0</v>
          </cell>
        </row>
        <row r="389">
          <cell r="B389" t="str">
            <v>LCP-210052</v>
          </cell>
          <cell r="C389" t="str">
            <v>FIRE PROTECTION SYSTEM MAIN SUBSTATION</v>
          </cell>
          <cell r="D389" t="str">
            <v>EHS</v>
          </cell>
          <cell r="E389" t="str">
            <v>N</v>
          </cell>
          <cell r="F389" t="str">
            <v>LA</v>
          </cell>
          <cell r="G389" t="str">
            <v>FIRE</v>
          </cell>
          <cell r="H389" t="str">
            <v>Other</v>
          </cell>
          <cell r="I389" t="str">
            <v>OTHER</v>
          </cell>
          <cell r="J389" t="str">
            <v>AME</v>
          </cell>
          <cell r="T389">
            <v>0</v>
          </cell>
          <cell r="U389">
            <v>75</v>
          </cell>
          <cell r="X389">
            <v>1.33E-3</v>
          </cell>
          <cell r="Y389">
            <v>0</v>
          </cell>
          <cell r="AD389">
            <v>0</v>
          </cell>
        </row>
        <row r="390">
          <cell r="B390" t="str">
            <v>LCP-210141</v>
          </cell>
          <cell r="C390" t="str">
            <v>COL-MOLDS KMAX SEVERE</v>
          </cell>
          <cell r="D390" t="str">
            <v>Molds</v>
          </cell>
          <cell r="E390" t="str">
            <v>N</v>
          </cell>
          <cell r="F390" t="str">
            <v>LA</v>
          </cell>
          <cell r="H390" t="str">
            <v>COMMERCIAL RADIAL</v>
          </cell>
          <cell r="I390" t="str">
            <v>Curing</v>
          </cell>
          <cell r="J390" t="str">
            <v>COL</v>
          </cell>
          <cell r="T390">
            <v>0</v>
          </cell>
          <cell r="U390">
            <v>66.599999999999994</v>
          </cell>
          <cell r="X390">
            <v>20.253</v>
          </cell>
          <cell r="Y390">
            <v>0</v>
          </cell>
        </row>
        <row r="391">
          <cell r="B391" t="str">
            <v>LCP-210055</v>
          </cell>
          <cell r="C391" t="str">
            <v>AME – WULO CONSUMMER BUILDING - STEP 1 - NT20</v>
          </cell>
          <cell r="D391" t="str">
            <v>EHS</v>
          </cell>
          <cell r="E391" t="str">
            <v>N</v>
          </cell>
          <cell r="F391" t="str">
            <v>LA</v>
          </cell>
          <cell r="G391" t="str">
            <v>MSR</v>
          </cell>
          <cell r="H391" t="str">
            <v>N/A</v>
          </cell>
          <cell r="I391" t="str">
            <v>OTHER</v>
          </cell>
          <cell r="J391" t="str">
            <v>AME</v>
          </cell>
          <cell r="T391">
            <v>24.489800000000002</v>
          </cell>
          <cell r="U391">
            <v>71.746459999999999</v>
          </cell>
          <cell r="X391">
            <v>0</v>
          </cell>
          <cell r="Y391">
            <v>31.069789999999998</v>
          </cell>
          <cell r="AD391">
            <v>0</v>
          </cell>
        </row>
        <row r="392">
          <cell r="B392" t="str">
            <v>LCP-210077</v>
          </cell>
          <cell r="C392" t="str">
            <v>AERO - VENTILATION AND EXHAUSTING SYSTEM</v>
          </cell>
          <cell r="D392" t="str">
            <v>Facilities Sustaining</v>
          </cell>
          <cell r="E392" t="str">
            <v>N</v>
          </cell>
          <cell r="F392" t="str">
            <v>LA</v>
          </cell>
          <cell r="H392" t="str">
            <v>AVIATION</v>
          </cell>
          <cell r="I392" t="str">
            <v>Other</v>
          </cell>
          <cell r="J392" t="str">
            <v>SAO</v>
          </cell>
          <cell r="S392">
            <v>0</v>
          </cell>
          <cell r="T392">
            <v>0</v>
          </cell>
          <cell r="U392">
            <v>47.030670000000001</v>
          </cell>
          <cell r="V392">
            <v>80</v>
          </cell>
          <cell r="W392">
            <v>80</v>
          </cell>
          <cell r="X392">
            <v>0</v>
          </cell>
          <cell r="Y392">
            <v>51.261890000000001</v>
          </cell>
          <cell r="AD392">
            <v>0</v>
          </cell>
        </row>
        <row r="393">
          <cell r="B393" t="str">
            <v>LCP-210085</v>
          </cell>
          <cell r="C393" t="str">
            <v>CAL4R2 - UPG OF THE BELT STEEL SYSTEM</v>
          </cell>
          <cell r="D393" t="str">
            <v>Facilities Sustaining</v>
          </cell>
          <cell r="E393" t="str">
            <v>N</v>
          </cell>
          <cell r="F393" t="str">
            <v>LA</v>
          </cell>
          <cell r="H393" t="str">
            <v>Other</v>
          </cell>
          <cell r="I393" t="str">
            <v>OTHER</v>
          </cell>
          <cell r="J393" t="str">
            <v>AME</v>
          </cell>
          <cell r="T393">
            <v>0</v>
          </cell>
          <cell r="U393">
            <v>167.80391</v>
          </cell>
          <cell r="X393">
            <v>0</v>
          </cell>
          <cell r="Y393">
            <v>109.69225999999999</v>
          </cell>
          <cell r="AD393">
            <v>0</v>
          </cell>
        </row>
        <row r="394">
          <cell r="B394" t="str">
            <v>LCP-210092</v>
          </cell>
          <cell r="C394" t="str">
            <v>RET - UPG PLC AND PRESS TEMP CONTROL</v>
          </cell>
          <cell r="D394" t="str">
            <v>Facilities Sustaining</v>
          </cell>
          <cell r="E394" t="str">
            <v>N</v>
          </cell>
          <cell r="F394" t="str">
            <v>LA</v>
          </cell>
          <cell r="H394" t="str">
            <v>AVIATION</v>
          </cell>
          <cell r="I394" t="str">
            <v>Other</v>
          </cell>
          <cell r="J394" t="str">
            <v>SAO</v>
          </cell>
          <cell r="S394">
            <v>0</v>
          </cell>
          <cell r="T394">
            <v>29.99119</v>
          </cell>
          <cell r="U394">
            <v>54.509019999999992</v>
          </cell>
          <cell r="V394">
            <v>50</v>
          </cell>
          <cell r="W394">
            <v>50</v>
          </cell>
          <cell r="X394">
            <v>0</v>
          </cell>
          <cell r="Y394">
            <v>64.247780000000006</v>
          </cell>
          <cell r="AD394">
            <v>0</v>
          </cell>
        </row>
        <row r="395">
          <cell r="B395" t="str">
            <v>LCP-210150</v>
          </cell>
          <cell r="C395" t="str">
            <v xml:space="preserve">COL - Hoist system for wire calander creel room  </v>
          </cell>
          <cell r="D395" t="str">
            <v>EHS</v>
          </cell>
          <cell r="E395" t="str">
            <v>N</v>
          </cell>
          <cell r="F395" t="str">
            <v>LA</v>
          </cell>
          <cell r="G395" t="str">
            <v>ERG</v>
          </cell>
          <cell r="H395" t="str">
            <v>Commercial Radial</v>
          </cell>
          <cell r="I395" t="str">
            <v>Component Prep Other</v>
          </cell>
          <cell r="J395" t="str">
            <v>COL</v>
          </cell>
          <cell r="S395">
            <v>0</v>
          </cell>
          <cell r="T395">
            <v>0</v>
          </cell>
          <cell r="U395">
            <v>100</v>
          </cell>
          <cell r="V395">
            <v>100</v>
          </cell>
          <cell r="W395">
            <v>100</v>
          </cell>
          <cell r="X395">
            <v>0</v>
          </cell>
          <cell r="Y395">
            <v>39.845109999999998</v>
          </cell>
        </row>
        <row r="396">
          <cell r="B396" t="str">
            <v>LCP-210152</v>
          </cell>
          <cell r="C396" t="str">
            <v>PER - 24 MOLDS FOR DIRECTION 2</v>
          </cell>
          <cell r="D396" t="str">
            <v>Molds</v>
          </cell>
          <cell r="E396" t="str">
            <v>N</v>
          </cell>
          <cell r="F396" t="str">
            <v>LA</v>
          </cell>
          <cell r="H396" t="str">
            <v>Consumer Radial</v>
          </cell>
          <cell r="I396" t="str">
            <v>CURING</v>
          </cell>
          <cell r="J396" t="str">
            <v>PER</v>
          </cell>
          <cell r="Q396">
            <v>939</v>
          </cell>
          <cell r="T396">
            <v>0</v>
          </cell>
          <cell r="U396">
            <v>552</v>
          </cell>
          <cell r="X396">
            <v>0</v>
          </cell>
          <cell r="Y396">
            <v>636.83749000000012</v>
          </cell>
        </row>
        <row r="397">
          <cell r="B397" t="str">
            <v>LCP-210153</v>
          </cell>
          <cell r="C397" t="str">
            <v>PER - REPLACE TENSIOMETER</v>
          </cell>
          <cell r="D397" t="str">
            <v>Quality - Improvement</v>
          </cell>
          <cell r="E397" t="str">
            <v>N</v>
          </cell>
          <cell r="F397" t="str">
            <v>LA</v>
          </cell>
          <cell r="H397" t="str">
            <v>Consumer Radial</v>
          </cell>
          <cell r="I397" t="str">
            <v>COMPONENT PREP OTHER</v>
          </cell>
          <cell r="J397" t="str">
            <v>PER</v>
          </cell>
          <cell r="T397">
            <v>0</v>
          </cell>
          <cell r="U397">
            <v>60</v>
          </cell>
          <cell r="X397">
            <v>1E-3</v>
          </cell>
          <cell r="Y397">
            <v>43.456480000000006</v>
          </cell>
        </row>
        <row r="398">
          <cell r="B398" t="str">
            <v>LCP-210154</v>
          </cell>
          <cell r="C398" t="str">
            <v>PER - CHANGE COMBUSTION SYSTEM BOILER 1</v>
          </cell>
          <cell r="D398" t="str">
            <v>Facilities Sustaining</v>
          </cell>
          <cell r="E398" t="str">
            <v>N</v>
          </cell>
          <cell r="F398" t="str">
            <v>LA</v>
          </cell>
          <cell r="H398" t="str">
            <v>MIXED</v>
          </cell>
          <cell r="I398" t="str">
            <v>ENGINEERING</v>
          </cell>
          <cell r="J398" t="str">
            <v>PER</v>
          </cell>
          <cell r="T398">
            <v>0</v>
          </cell>
          <cell r="U398">
            <v>50</v>
          </cell>
        </row>
        <row r="399">
          <cell r="B399" t="str">
            <v>LCP-210164</v>
          </cell>
          <cell r="C399" t="str">
            <v>AME- 4 complete molds for PSA F3M</v>
          </cell>
          <cell r="D399" t="str">
            <v>Molds</v>
          </cell>
          <cell r="E399" t="str">
            <v>N</v>
          </cell>
          <cell r="F399" t="str">
            <v>LA</v>
          </cell>
          <cell r="H399" t="str">
            <v>Consumer Radial</v>
          </cell>
          <cell r="I399" t="str">
            <v>Molds</v>
          </cell>
          <cell r="J399" t="str">
            <v>AME</v>
          </cell>
          <cell r="T399">
            <v>0</v>
          </cell>
          <cell r="U399">
            <v>0</v>
          </cell>
          <cell r="AD399">
            <v>136</v>
          </cell>
        </row>
        <row r="400">
          <cell r="B400" t="str">
            <v>LCP-210170</v>
          </cell>
          <cell r="C400" t="str">
            <v>COL - Quad Extruders (2) Screw Replacement</v>
          </cell>
          <cell r="D400" t="str">
            <v>Facilities Sustaining</v>
          </cell>
          <cell r="E400" t="str">
            <v>N</v>
          </cell>
          <cell r="F400" t="str">
            <v>LA</v>
          </cell>
          <cell r="H400" t="str">
            <v>COMMERCIAL RADIAL</v>
          </cell>
          <cell r="I400" t="str">
            <v>COMPONENT PREP OTHER</v>
          </cell>
          <cell r="J400" t="str">
            <v>COL</v>
          </cell>
          <cell r="T400">
            <v>0</v>
          </cell>
          <cell r="U400">
            <v>126</v>
          </cell>
        </row>
        <row r="401">
          <cell r="B401" t="str">
            <v>LCP-210172</v>
          </cell>
          <cell r="C401" t="str">
            <v>MEX - Fleet control software-only hardware</v>
          </cell>
          <cell r="D401" t="str">
            <v>SAG</v>
          </cell>
          <cell r="E401" t="str">
            <v>N</v>
          </cell>
          <cell r="F401" t="str">
            <v>LA</v>
          </cell>
          <cell r="H401" t="str">
            <v>Commercial Radial</v>
          </cell>
          <cell r="I401" t="str">
            <v>SAG - Sales &amp; Marketing</v>
          </cell>
          <cell r="J401" t="str">
            <v>MEX</v>
          </cell>
          <cell r="S401">
            <v>0</v>
          </cell>
          <cell r="T401">
            <v>0</v>
          </cell>
          <cell r="U401">
            <v>50</v>
          </cell>
          <cell r="V401">
            <v>50</v>
          </cell>
          <cell r="W401">
            <v>50</v>
          </cell>
        </row>
        <row r="402">
          <cell r="B402" t="str">
            <v>LCP-210175</v>
          </cell>
          <cell r="C402" t="str">
            <v>AME- PSA P21 Rota 2030 195/55R16 EGP</v>
          </cell>
          <cell r="D402" t="str">
            <v>Molds</v>
          </cell>
          <cell r="E402" t="str">
            <v>N</v>
          </cell>
          <cell r="F402" t="str">
            <v>LA</v>
          </cell>
          <cell r="H402" t="str">
            <v>CONSUMER RADIAL</v>
          </cell>
          <cell r="I402" t="str">
            <v>CURING</v>
          </cell>
          <cell r="J402" t="str">
            <v>AME</v>
          </cell>
          <cell r="T402">
            <v>0</v>
          </cell>
          <cell r="U402">
            <v>0</v>
          </cell>
          <cell r="AD402">
            <v>136</v>
          </cell>
        </row>
        <row r="403">
          <cell r="B403" t="str">
            <v>LCP-210100</v>
          </cell>
          <cell r="C403" t="str">
            <v>FSB - FM GLOBAL ADEQUANCY</v>
          </cell>
          <cell r="D403" t="str">
            <v>EHS</v>
          </cell>
          <cell r="E403" t="str">
            <v>N</v>
          </cell>
          <cell r="F403" t="str">
            <v>LA</v>
          </cell>
          <cell r="G403" t="str">
            <v>FIRE</v>
          </cell>
          <cell r="H403" t="str">
            <v>Retread</v>
          </cell>
          <cell r="I403" t="str">
            <v>Other</v>
          </cell>
          <cell r="J403" t="str">
            <v>RET</v>
          </cell>
          <cell r="S403">
            <v>0</v>
          </cell>
          <cell r="T403">
            <v>0</v>
          </cell>
          <cell r="U403">
            <v>60.6</v>
          </cell>
          <cell r="V403">
            <v>30</v>
          </cell>
          <cell r="W403">
            <v>30</v>
          </cell>
          <cell r="X403">
            <v>0</v>
          </cell>
          <cell r="Y403">
            <v>44.150730000000003</v>
          </cell>
          <cell r="AD403">
            <v>0</v>
          </cell>
        </row>
        <row r="404">
          <cell r="B404" t="str">
            <v>LCP-210178</v>
          </cell>
          <cell r="C404" t="str">
            <v xml:space="preserve">AME- PSA P21 Rota 2030 18565R15 Eagle T. </v>
          </cell>
          <cell r="D404" t="str">
            <v>Molds</v>
          </cell>
          <cell r="E404" t="str">
            <v>N</v>
          </cell>
          <cell r="F404" t="str">
            <v>LA</v>
          </cell>
          <cell r="H404" t="str">
            <v>CONSUMER RADIAL</v>
          </cell>
          <cell r="I404" t="str">
            <v>CURING</v>
          </cell>
          <cell r="J404" t="str">
            <v>AME</v>
          </cell>
          <cell r="T404">
            <v>0</v>
          </cell>
          <cell r="U404">
            <v>25</v>
          </cell>
        </row>
        <row r="405">
          <cell r="B405" t="str">
            <v>LCP-210101</v>
          </cell>
          <cell r="C405" t="str">
            <v>RET - BATHROOM ADEQUANCY NR24</v>
          </cell>
          <cell r="D405" t="str">
            <v>EHS</v>
          </cell>
          <cell r="E405" t="str">
            <v>N</v>
          </cell>
          <cell r="F405" t="str">
            <v>LA</v>
          </cell>
          <cell r="G405" t="str">
            <v>COMP</v>
          </cell>
          <cell r="H405" t="str">
            <v>AVIATION</v>
          </cell>
          <cell r="I405" t="str">
            <v>CURING</v>
          </cell>
          <cell r="J405" t="str">
            <v>SAO</v>
          </cell>
          <cell r="S405">
            <v>0</v>
          </cell>
          <cell r="T405">
            <v>0</v>
          </cell>
          <cell r="U405">
            <v>70</v>
          </cell>
          <cell r="X405">
            <v>0</v>
          </cell>
          <cell r="Y405">
            <v>2.0477099999999999</v>
          </cell>
          <cell r="AD405">
            <v>0</v>
          </cell>
        </row>
        <row r="406">
          <cell r="B406" t="str">
            <v>LCP-210181</v>
          </cell>
          <cell r="C406" t="str">
            <v>PER - 2021 MISCELLANEOUS ANNUAL BUDGET PHASE 3</v>
          </cell>
          <cell r="D406" t="str">
            <v>Facilities Sustaining</v>
          </cell>
          <cell r="E406" t="str">
            <v>N</v>
          </cell>
          <cell r="F406" t="str">
            <v>LA</v>
          </cell>
          <cell r="H406" t="str">
            <v>CONSUMER RADIAL</v>
          </cell>
          <cell r="I406" t="str">
            <v>Other</v>
          </cell>
          <cell r="J406" t="str">
            <v>PER</v>
          </cell>
          <cell r="T406">
            <v>0</v>
          </cell>
          <cell r="U406">
            <v>180</v>
          </cell>
        </row>
        <row r="407">
          <cell r="B407" t="str">
            <v>LCP-210182</v>
          </cell>
          <cell r="C407" t="str">
            <v>PER-UPGRADE CCM FABRIC CALENDER</v>
          </cell>
          <cell r="D407" t="str">
            <v>Facilities Sustaining</v>
          </cell>
          <cell r="E407" t="str">
            <v>N</v>
          </cell>
          <cell r="F407" t="str">
            <v>LA</v>
          </cell>
          <cell r="H407" t="str">
            <v>CONSUMER RADIAL</v>
          </cell>
          <cell r="I407" t="str">
            <v>Other</v>
          </cell>
          <cell r="J407" t="str">
            <v>PER</v>
          </cell>
          <cell r="T407">
            <v>0</v>
          </cell>
          <cell r="U407">
            <v>80</v>
          </cell>
        </row>
        <row r="408">
          <cell r="B408" t="str">
            <v>LCP-210183</v>
          </cell>
          <cell r="C408" t="str">
            <v>PER-REPLACE 250 HP MOTOR DRIVE GUM CAL</v>
          </cell>
          <cell r="D408" t="str">
            <v>Facilities Sustaining</v>
          </cell>
          <cell r="E408" t="str">
            <v>N</v>
          </cell>
          <cell r="F408" t="str">
            <v>LA</v>
          </cell>
          <cell r="H408" t="str">
            <v>CONSUMER RADIAL</v>
          </cell>
          <cell r="I408" t="str">
            <v>Other</v>
          </cell>
          <cell r="J408" t="str">
            <v>PER</v>
          </cell>
          <cell r="T408">
            <v>0</v>
          </cell>
          <cell r="U408">
            <v>65</v>
          </cell>
        </row>
        <row r="409">
          <cell r="B409" t="str">
            <v>LCP-210184</v>
          </cell>
          <cell r="C409" t="str">
            <v>PER-UPGRADE RESILIOMETER 1 DRIVE MOTOR</v>
          </cell>
          <cell r="D409" t="str">
            <v>Facilities Sustaining</v>
          </cell>
          <cell r="E409" t="str">
            <v>N</v>
          </cell>
          <cell r="F409" t="str">
            <v>LA</v>
          </cell>
          <cell r="H409" t="str">
            <v>CONSUMER RADIAL</v>
          </cell>
          <cell r="I409" t="str">
            <v>Other</v>
          </cell>
          <cell r="J409" t="str">
            <v>PER</v>
          </cell>
          <cell r="T409">
            <v>0</v>
          </cell>
          <cell r="U409">
            <v>75</v>
          </cell>
        </row>
        <row r="410">
          <cell r="B410" t="str">
            <v>LCP-210185</v>
          </cell>
          <cell r="C410" t="str">
            <v>PER-REDUCTION OF COMPLEXITY IN TWO PRESSES</v>
          </cell>
          <cell r="D410" t="str">
            <v>Facilities Sustaining</v>
          </cell>
          <cell r="E410" t="str">
            <v>N</v>
          </cell>
          <cell r="F410" t="str">
            <v>LA</v>
          </cell>
          <cell r="H410" t="str">
            <v>CONSUMER RADIAL</v>
          </cell>
          <cell r="I410" t="str">
            <v>Other</v>
          </cell>
          <cell r="J410" t="str">
            <v>PER</v>
          </cell>
          <cell r="T410">
            <v>0</v>
          </cell>
          <cell r="U410">
            <v>60</v>
          </cell>
        </row>
        <row r="411">
          <cell r="B411" t="str">
            <v>LCP-210187</v>
          </cell>
          <cell r="C411" t="str">
            <v>ARG - Laptops Acquisition</v>
          </cell>
          <cell r="D411" t="str">
            <v>IT</v>
          </cell>
          <cell r="E411" t="str">
            <v>N</v>
          </cell>
          <cell r="F411" t="str">
            <v>LA</v>
          </cell>
          <cell r="H411" t="str">
            <v>Other</v>
          </cell>
          <cell r="I411" t="str">
            <v>SAG - IT</v>
          </cell>
          <cell r="J411" t="str">
            <v>ARG</v>
          </cell>
          <cell r="T411">
            <v>0</v>
          </cell>
          <cell r="U411">
            <v>99</v>
          </cell>
          <cell r="X411">
            <v>0</v>
          </cell>
          <cell r="Y411">
            <v>83.911670000000001</v>
          </cell>
        </row>
        <row r="412">
          <cell r="B412" t="str">
            <v>LCP-210188</v>
          </cell>
          <cell r="C412" t="str">
            <v>AME - OTR BUILDING DRUM 25"</v>
          </cell>
          <cell r="D412" t="str">
            <v>Molds</v>
          </cell>
          <cell r="E412" t="str">
            <v>N</v>
          </cell>
          <cell r="F412" t="str">
            <v>LA</v>
          </cell>
          <cell r="H412" t="str">
            <v>Commercial Radial</v>
          </cell>
          <cell r="I412" t="str">
            <v>CURING</v>
          </cell>
          <cell r="J412" t="str">
            <v>AME</v>
          </cell>
          <cell r="T412">
            <v>0</v>
          </cell>
          <cell r="U412">
            <v>100</v>
          </cell>
          <cell r="X412">
            <v>96.584999999999994</v>
          </cell>
          <cell r="Y412">
            <v>0</v>
          </cell>
        </row>
        <row r="413">
          <cell r="B413" t="str">
            <v>LCP-210102</v>
          </cell>
          <cell r="C413" t="str">
            <v>NR12 ADEQUANCY AERO RETREAD MACHINES</v>
          </cell>
          <cell r="D413" t="str">
            <v>Facilities Sustaining</v>
          </cell>
          <cell r="E413" t="str">
            <v>N</v>
          </cell>
          <cell r="F413" t="str">
            <v>LA</v>
          </cell>
          <cell r="H413" t="str">
            <v>Retread</v>
          </cell>
          <cell r="I413" t="str">
            <v>Other</v>
          </cell>
          <cell r="J413" t="str">
            <v>RET</v>
          </cell>
          <cell r="S413">
            <v>0</v>
          </cell>
          <cell r="T413">
            <v>0</v>
          </cell>
          <cell r="U413">
            <v>70.599999999999994</v>
          </cell>
          <cell r="V413">
            <v>60</v>
          </cell>
          <cell r="W413">
            <v>60</v>
          </cell>
          <cell r="X413">
            <v>62.5383</v>
          </cell>
          <cell r="Y413">
            <v>0</v>
          </cell>
          <cell r="AD413">
            <v>0</v>
          </cell>
        </row>
        <row r="414">
          <cell r="B414" t="str">
            <v>LCP-210191</v>
          </cell>
          <cell r="C414" t="str">
            <v>COL-MOLDS KMAX XTREME</v>
          </cell>
          <cell r="D414" t="str">
            <v>Molds</v>
          </cell>
          <cell r="E414" t="str">
            <v>N</v>
          </cell>
          <cell r="F414" t="str">
            <v>LA</v>
          </cell>
          <cell r="H414" t="str">
            <v>COMMERCIAL RADIAL</v>
          </cell>
          <cell r="I414" t="str">
            <v>Curing</v>
          </cell>
          <cell r="J414" t="str">
            <v>COL</v>
          </cell>
          <cell r="T414">
            <v>0</v>
          </cell>
          <cell r="U414">
            <v>10</v>
          </cell>
          <cell r="AD414">
            <v>57</v>
          </cell>
        </row>
        <row r="415">
          <cell r="B415" t="str">
            <v>LCP-210192</v>
          </cell>
          <cell r="C415" t="str">
            <v>PER - (5) UPGRADE TBM's HYDRAULIC / PNEUMATIC SYSTEMS</v>
          </cell>
          <cell r="D415" t="str">
            <v>Facilities Sustaining</v>
          </cell>
          <cell r="E415" t="str">
            <v>N</v>
          </cell>
          <cell r="F415" t="str">
            <v>LA</v>
          </cell>
          <cell r="H415" t="str">
            <v>Consumer Radial</v>
          </cell>
          <cell r="I415" t="str">
            <v>Other</v>
          </cell>
          <cell r="J415" t="str">
            <v>PER</v>
          </cell>
          <cell r="T415">
            <v>0</v>
          </cell>
          <cell r="U415">
            <v>250</v>
          </cell>
          <cell r="AD415">
            <v>200</v>
          </cell>
        </row>
        <row r="416">
          <cell r="B416" t="str">
            <v>LCP-210193</v>
          </cell>
          <cell r="C416" t="str">
            <v>PER - SUB STATION 1 TRANSFORMER REPLACEMENT 1 2.3kV -0.44 Kv / 2000 KVA</v>
          </cell>
          <cell r="D416" t="str">
            <v>Facilities Sustaining</v>
          </cell>
          <cell r="E416" t="str">
            <v>N</v>
          </cell>
          <cell r="F416" t="str">
            <v>LA</v>
          </cell>
          <cell r="H416" t="str">
            <v>Mixed</v>
          </cell>
          <cell r="I416" t="str">
            <v>Other</v>
          </cell>
          <cell r="J416" t="str">
            <v>PER</v>
          </cell>
          <cell r="T416">
            <v>0</v>
          </cell>
          <cell r="U416">
            <v>30</v>
          </cell>
          <cell r="AD416">
            <v>50</v>
          </cell>
        </row>
        <row r="417">
          <cell r="B417" t="str">
            <v>LCP-210194</v>
          </cell>
          <cell r="C417" t="str">
            <v>PER - UPGRADE SUBSTATION 2</v>
          </cell>
          <cell r="D417" t="str">
            <v>Facilities Sustaining</v>
          </cell>
          <cell r="E417" t="str">
            <v>N</v>
          </cell>
          <cell r="F417" t="str">
            <v>LA</v>
          </cell>
          <cell r="H417" t="str">
            <v>Mixed</v>
          </cell>
          <cell r="I417" t="str">
            <v>Other</v>
          </cell>
          <cell r="J417" t="str">
            <v>PER</v>
          </cell>
          <cell r="T417">
            <v>0</v>
          </cell>
          <cell r="U417">
            <v>150</v>
          </cell>
          <cell r="AD417">
            <v>200</v>
          </cell>
        </row>
        <row r="418">
          <cell r="B418" t="str">
            <v>LCP-210195</v>
          </cell>
          <cell r="C418" t="str">
            <v>AME - ADDITIONAL PRODUCTION MOLDS (TO ATTEND 6+6)</v>
          </cell>
          <cell r="D418" t="str">
            <v>MOLDS</v>
          </cell>
          <cell r="E418" t="str">
            <v>N</v>
          </cell>
          <cell r="F418" t="str">
            <v>LA</v>
          </cell>
          <cell r="J418" t="str">
            <v>AME</v>
          </cell>
          <cell r="T418">
            <v>0</v>
          </cell>
          <cell r="U418">
            <v>266.25</v>
          </cell>
        </row>
        <row r="419">
          <cell r="B419" t="str">
            <v>LCP-210106</v>
          </cell>
          <cell r="C419" t="str">
            <v>AME - CENTAC#17 100 PSI AIR COMPRESSOR</v>
          </cell>
          <cell r="D419" t="str">
            <v>Facilities Sustaining</v>
          </cell>
          <cell r="E419" t="str">
            <v>N</v>
          </cell>
          <cell r="F419" t="str">
            <v>LA</v>
          </cell>
          <cell r="H419" t="str">
            <v>COMMERCIAL RADIAL</v>
          </cell>
          <cell r="I419" t="str">
            <v>ENGINEERING</v>
          </cell>
          <cell r="J419" t="str">
            <v>AME</v>
          </cell>
          <cell r="T419">
            <v>0</v>
          </cell>
          <cell r="U419">
            <v>88.806979999999996</v>
          </cell>
          <cell r="X419">
            <v>9.6419999999999995</v>
          </cell>
          <cell r="Y419">
            <v>70.523880000000005</v>
          </cell>
          <cell r="AD419">
            <v>0</v>
          </cell>
        </row>
        <row r="420">
          <cell r="B420" t="str">
            <v>LCP-210110</v>
          </cell>
          <cell r="C420" t="str">
            <v>MC - 2021 MISCELLANEOUS ANNUAL BUDGET</v>
          </cell>
          <cell r="D420" t="str">
            <v>Facilities Sustaining</v>
          </cell>
          <cell r="E420" t="str">
            <v>N</v>
          </cell>
          <cell r="F420" t="str">
            <v>LA</v>
          </cell>
          <cell r="H420" t="str">
            <v>Other</v>
          </cell>
          <cell r="I420" t="str">
            <v>Other</v>
          </cell>
          <cell r="J420" t="str">
            <v>MC</v>
          </cell>
          <cell r="S420">
            <v>0</v>
          </cell>
          <cell r="T420">
            <v>0</v>
          </cell>
          <cell r="U420">
            <v>72.983440000000002</v>
          </cell>
          <cell r="V420">
            <v>70</v>
          </cell>
          <cell r="W420">
            <v>70</v>
          </cell>
          <cell r="X420">
            <v>41.368229999999997</v>
          </cell>
          <cell r="Y420">
            <v>27.798819999999999</v>
          </cell>
          <cell r="AD420">
            <v>0</v>
          </cell>
        </row>
        <row r="421">
          <cell r="B421" t="str">
            <v>LCP-210114</v>
          </cell>
          <cell r="C421" t="str">
            <v>AME -COMPLEXITY AND CONCURRENCY INCREASE</v>
          </cell>
          <cell r="D421" t="str">
            <v>Capability</v>
          </cell>
          <cell r="E421" t="str">
            <v>N</v>
          </cell>
          <cell r="F421" t="str">
            <v>LA</v>
          </cell>
          <cell r="H421" t="str">
            <v>Commercial Radial</v>
          </cell>
          <cell r="I421" t="str">
            <v>OTHER</v>
          </cell>
          <cell r="J421" t="str">
            <v>AME</v>
          </cell>
          <cell r="T421">
            <v>10.95839</v>
          </cell>
          <cell r="U421">
            <v>221.44270999999998</v>
          </cell>
          <cell r="X421">
            <v>0</v>
          </cell>
          <cell r="Y421">
            <v>160.91014999999999</v>
          </cell>
          <cell r="AD421">
            <v>0</v>
          </cell>
        </row>
        <row r="422">
          <cell r="B422" t="str">
            <v>LCP-210123</v>
          </cell>
          <cell r="C422" t="str">
            <v>AME - REPLACEMENT X-RAY SET TUBE (A &amp; C)</v>
          </cell>
          <cell r="D422" t="str">
            <v>Facilities Sustaining</v>
          </cell>
          <cell r="E422" t="str">
            <v>N</v>
          </cell>
          <cell r="F422" t="str">
            <v>LA</v>
          </cell>
          <cell r="H422" t="str">
            <v>Commercial Radial</v>
          </cell>
          <cell r="I422" t="str">
            <v>Final Finish</v>
          </cell>
          <cell r="J422" t="str">
            <v>AME</v>
          </cell>
          <cell r="T422">
            <v>73.343699999999984</v>
          </cell>
          <cell r="U422">
            <v>64.986240000000009</v>
          </cell>
          <cell r="AD422">
            <v>0</v>
          </cell>
        </row>
        <row r="423">
          <cell r="B423" t="str">
            <v>LCP-210133</v>
          </cell>
          <cell r="C423" t="str">
            <v>AME - MILLS ADEQUACY PROJECT FAM</v>
          </cell>
          <cell r="D423" t="str">
            <v>EHS</v>
          </cell>
          <cell r="E423" t="str">
            <v>N</v>
          </cell>
          <cell r="F423" t="str">
            <v>LA</v>
          </cell>
          <cell r="G423" t="str">
            <v>MSR</v>
          </cell>
          <cell r="H423" t="str">
            <v>Commercial Radial</v>
          </cell>
          <cell r="I423" t="str">
            <v>OTHER</v>
          </cell>
          <cell r="J423" t="str">
            <v>AME</v>
          </cell>
          <cell r="T423">
            <v>0</v>
          </cell>
          <cell r="U423">
            <v>73.2</v>
          </cell>
          <cell r="X423">
            <v>0</v>
          </cell>
          <cell r="Y423">
            <v>49.472509999999993</v>
          </cell>
          <cell r="AD423">
            <v>0</v>
          </cell>
        </row>
        <row r="424">
          <cell r="B424" t="str">
            <v>LCP-210135</v>
          </cell>
          <cell r="C424" t="str">
            <v>MC - FALSE TRUCK TIRES SYSTEM RETROFIT</v>
          </cell>
          <cell r="D424" t="str">
            <v>Productivity</v>
          </cell>
          <cell r="E424" t="str">
            <v>N</v>
          </cell>
          <cell r="F424" t="str">
            <v>LA</v>
          </cell>
          <cell r="H424" t="str">
            <v>Other</v>
          </cell>
          <cell r="I424" t="str">
            <v>OTHER</v>
          </cell>
          <cell r="J424" t="str">
            <v>MC</v>
          </cell>
          <cell r="T424">
            <v>0</v>
          </cell>
          <cell r="U424">
            <v>248.6147</v>
          </cell>
          <cell r="X424">
            <v>0</v>
          </cell>
          <cell r="Y424">
            <v>215.5001</v>
          </cell>
          <cell r="AD424">
            <v>0</v>
          </cell>
        </row>
        <row r="425">
          <cell r="B425" t="str">
            <v>LCP-210140</v>
          </cell>
          <cell r="C425" t="str">
            <v>AME - CAL 3R COOLING IMPROVEMENT</v>
          </cell>
          <cell r="D425" t="str">
            <v>Productivity</v>
          </cell>
          <cell r="E425" t="str">
            <v>N</v>
          </cell>
          <cell r="F425" t="str">
            <v>LA</v>
          </cell>
          <cell r="H425" t="str">
            <v>Commercial Radial</v>
          </cell>
          <cell r="I425" t="str">
            <v>OTHER</v>
          </cell>
          <cell r="J425" t="str">
            <v>AME</v>
          </cell>
          <cell r="T425">
            <v>0</v>
          </cell>
          <cell r="U425">
            <v>132</v>
          </cell>
          <cell r="X425">
            <v>94.177000000000021</v>
          </cell>
          <cell r="Y425">
            <v>3.1548099999999999</v>
          </cell>
          <cell r="AD425">
            <v>0</v>
          </cell>
        </row>
        <row r="426">
          <cell r="B426" t="str">
            <v>LCP-210189</v>
          </cell>
          <cell r="C426" t="str">
            <v>CTVM - VBOX EQUIPMENT</v>
          </cell>
          <cell r="D426" t="str">
            <v>Facilities Sustaining</v>
          </cell>
          <cell r="E426" t="str">
            <v>N</v>
          </cell>
          <cell r="F426" t="str">
            <v>LA</v>
          </cell>
          <cell r="H426" t="str">
            <v>OTR</v>
          </cell>
          <cell r="I426" t="str">
            <v>SAG - Other</v>
          </cell>
          <cell r="J426" t="str">
            <v>AME</v>
          </cell>
          <cell r="T426">
            <v>0</v>
          </cell>
          <cell r="U426">
            <v>32</v>
          </cell>
          <cell r="AD426">
            <v>0</v>
          </cell>
        </row>
        <row r="427">
          <cell r="B427" t="str">
            <v>x1</v>
          </cell>
          <cell r="C427" t="str">
            <v>AME - EQUIPMENT IN TRANSIT</v>
          </cell>
          <cell r="D427" t="str">
            <v>Facilities Sustaining</v>
          </cell>
          <cell r="E427" t="str">
            <v>N</v>
          </cell>
          <cell r="F427" t="str">
            <v>LA</v>
          </cell>
          <cell r="G427">
            <v>0</v>
          </cell>
          <cell r="H427" t="str">
            <v>Mixed</v>
          </cell>
          <cell r="I427">
            <v>0</v>
          </cell>
          <cell r="J427" t="str">
            <v>AME</v>
          </cell>
          <cell r="S427">
            <v>1301.705564530482</v>
          </cell>
          <cell r="T427">
            <v>361.70556453048198</v>
          </cell>
          <cell r="U427">
            <v>0</v>
          </cell>
          <cell r="AD427">
            <v>0</v>
          </cell>
        </row>
        <row r="428">
          <cell r="C428" t="str">
            <v>Interplant</v>
          </cell>
          <cell r="D428" t="str">
            <v>Capitalized Interes</v>
          </cell>
          <cell r="E428" t="str">
            <v>N</v>
          </cell>
          <cell r="F428" t="str">
            <v>LA</v>
          </cell>
          <cell r="G428">
            <v>0</v>
          </cell>
          <cell r="H428" t="str">
            <v>N/A</v>
          </cell>
          <cell r="I428" t="str">
            <v>N/A</v>
          </cell>
          <cell r="J428" t="str">
            <v>LA OTHER</v>
          </cell>
          <cell r="S428">
            <v>1222.6471040479996</v>
          </cell>
          <cell r="T428">
            <v>1920.5299240480003</v>
          </cell>
          <cell r="U428">
            <v>-848.5</v>
          </cell>
          <cell r="V428">
            <v>367.18319975843502</v>
          </cell>
          <cell r="W428">
            <v>367.18319975843502</v>
          </cell>
        </row>
        <row r="429">
          <cell r="C429" t="str">
            <v>PER - REGIONAL ADJUSTMENT</v>
          </cell>
          <cell r="D429" t="str">
            <v>Facilities Sustaining</v>
          </cell>
          <cell r="E429" t="str">
            <v>N</v>
          </cell>
          <cell r="F429" t="str">
            <v>LA</v>
          </cell>
          <cell r="G429">
            <v>0</v>
          </cell>
          <cell r="H429" t="str">
            <v>N/A</v>
          </cell>
          <cell r="I429">
            <v>0</v>
          </cell>
          <cell r="J429" t="str">
            <v>PER</v>
          </cell>
          <cell r="S429">
            <v>302.89204000000029</v>
          </cell>
          <cell r="T429">
            <v>306.31555000000048</v>
          </cell>
          <cell r="U429">
            <v>0</v>
          </cell>
          <cell r="V429">
            <v>-44.895929999999993</v>
          </cell>
          <cell r="W429">
            <v>-44.895929999999993</v>
          </cell>
        </row>
        <row r="430">
          <cell r="C430" t="str">
            <v>COL - QUAD Extruder New Skiver</v>
          </cell>
          <cell r="D430" t="str">
            <v>Facilities Sustaining</v>
          </cell>
          <cell r="E430" t="str">
            <v>N</v>
          </cell>
          <cell r="F430" t="str">
            <v>LA</v>
          </cell>
          <cell r="H430" t="str">
            <v>COMMERCIAL RADIAL</v>
          </cell>
          <cell r="I430" t="str">
            <v xml:space="preserve">EXTRUDING </v>
          </cell>
          <cell r="J430" t="str">
            <v>COL</v>
          </cell>
          <cell r="T430">
            <v>0</v>
          </cell>
          <cell r="U430">
            <v>40</v>
          </cell>
          <cell r="AD430">
            <v>200</v>
          </cell>
        </row>
        <row r="431">
          <cell r="C431" t="str">
            <v>AME - CAPITALIZED INTEREST</v>
          </cell>
          <cell r="D431" t="str">
            <v>Capitalized Interes</v>
          </cell>
          <cell r="E431" t="str">
            <v>N</v>
          </cell>
          <cell r="F431" t="str">
            <v>LA</v>
          </cell>
          <cell r="H431" t="str">
            <v>Mixed</v>
          </cell>
          <cell r="I431" t="str">
            <v>N/A</v>
          </cell>
          <cell r="J431" t="str">
            <v>LA OTHER</v>
          </cell>
          <cell r="S431">
            <v>3.8281761168749959</v>
          </cell>
          <cell r="T431">
            <v>3.9311761168749961</v>
          </cell>
          <cell r="U431">
            <v>3.6160000000000001</v>
          </cell>
          <cell r="V431">
            <v>6.7485501648749979</v>
          </cell>
          <cell r="W431">
            <v>6.7485501648749979</v>
          </cell>
        </row>
        <row r="432">
          <cell r="C432" t="str">
            <v>SLP - REGIONAL ADJUSTMENT</v>
          </cell>
          <cell r="D432" t="str">
            <v>Facilities Sustaining</v>
          </cell>
          <cell r="E432" t="str">
            <v>N</v>
          </cell>
          <cell r="F432" t="str">
            <v>LA</v>
          </cell>
          <cell r="G432">
            <v>0</v>
          </cell>
          <cell r="H432" t="str">
            <v>N/A</v>
          </cell>
          <cell r="I432">
            <v>0</v>
          </cell>
          <cell r="J432" t="str">
            <v>San Luis Potosi</v>
          </cell>
          <cell r="P432">
            <v>0</v>
          </cell>
          <cell r="S432">
            <v>4.1665899999992746</v>
          </cell>
          <cell r="T432">
            <v>6.0385799999994987</v>
          </cell>
          <cell r="U432">
            <v>0</v>
          </cell>
          <cell r="V432">
            <v>479</v>
          </cell>
          <cell r="W432">
            <v>504.8</v>
          </cell>
          <cell r="AA432">
            <v>4.1665899999992746</v>
          </cell>
        </row>
        <row r="433">
          <cell r="C433" t="str">
            <v>ARG - REGIONAL ADJUSTMENT</v>
          </cell>
          <cell r="D433" t="str">
            <v>SAG</v>
          </cell>
          <cell r="E433" t="str">
            <v>N</v>
          </cell>
          <cell r="F433" t="str">
            <v>LA</v>
          </cell>
          <cell r="G433">
            <v>0</v>
          </cell>
          <cell r="H433" t="str">
            <v>N/A</v>
          </cell>
          <cell r="I433">
            <v>0</v>
          </cell>
          <cell r="J433" t="str">
            <v>ARG</v>
          </cell>
          <cell r="P433">
            <v>0</v>
          </cell>
          <cell r="S433">
            <v>-0.35695000000002963</v>
          </cell>
          <cell r="T433">
            <v>4.4871999999999623</v>
          </cell>
          <cell r="U433">
            <v>0</v>
          </cell>
          <cell r="V433">
            <v>26.726399999999995</v>
          </cell>
          <cell r="W433">
            <v>26.726399999999995</v>
          </cell>
          <cell r="AA433">
            <v>0</v>
          </cell>
        </row>
        <row r="434">
          <cell r="C434" t="str">
            <v>COL - CAPITALIZED INTEREST</v>
          </cell>
          <cell r="D434" t="str">
            <v>Capitalized Interes</v>
          </cell>
          <cell r="E434" t="str">
            <v>N</v>
          </cell>
          <cell r="F434" t="str">
            <v>LA</v>
          </cell>
          <cell r="G434">
            <v>0</v>
          </cell>
          <cell r="H434" t="str">
            <v>Commercial Radial</v>
          </cell>
          <cell r="I434" t="str">
            <v>Other</v>
          </cell>
          <cell r="J434" t="str">
            <v>LA OTHER</v>
          </cell>
          <cell r="R434">
            <v>1.125</v>
          </cell>
          <cell r="S434">
            <v>1.214</v>
          </cell>
          <cell r="T434">
            <v>0.63300000000000001</v>
          </cell>
          <cell r="U434">
            <v>1.7120000000000002</v>
          </cell>
          <cell r="V434">
            <v>2.5990000000000002</v>
          </cell>
          <cell r="W434">
            <v>2.5990000000000002</v>
          </cell>
        </row>
        <row r="435">
          <cell r="C435" t="str">
            <v>AME - MOLDS IN TRANSIT CONSUMER</v>
          </cell>
          <cell r="D435" t="str">
            <v>Molds</v>
          </cell>
          <cell r="E435" t="str">
            <v>N</v>
          </cell>
          <cell r="F435" t="str">
            <v>LA</v>
          </cell>
          <cell r="H435" t="str">
            <v>Consumer Radial</v>
          </cell>
          <cell r="I435" t="str">
            <v>Curing</v>
          </cell>
          <cell r="J435" t="str">
            <v>AME</v>
          </cell>
          <cell r="S435">
            <v>567.81830077630093</v>
          </cell>
          <cell r="T435">
            <v>1.8300776300918642E-2</v>
          </cell>
          <cell r="U435">
            <v>0</v>
          </cell>
          <cell r="V435">
            <v>-300</v>
          </cell>
          <cell r="W435">
            <v>-300</v>
          </cell>
        </row>
        <row r="436">
          <cell r="C436" t="str">
            <v>AME - MOLDS IN TRANSIT COMMERCIAL</v>
          </cell>
          <cell r="D436" t="str">
            <v>Molds</v>
          </cell>
          <cell r="E436" t="str">
            <v>N</v>
          </cell>
          <cell r="F436" t="str">
            <v>LA</v>
          </cell>
          <cell r="H436" t="str">
            <v>COMMERCIAL RADIAL</v>
          </cell>
          <cell r="I436" t="str">
            <v>Curing</v>
          </cell>
          <cell r="J436" t="str">
            <v>AME</v>
          </cell>
          <cell r="T436">
            <v>8.1000000000000227</v>
          </cell>
          <cell r="U436">
            <v>0</v>
          </cell>
        </row>
        <row r="437">
          <cell r="C437" t="str">
            <v>AME - Flexibility Replacement</v>
          </cell>
          <cell r="D437" t="str">
            <v>Molds</v>
          </cell>
          <cell r="E437" t="str">
            <v>N</v>
          </cell>
          <cell r="F437" t="str">
            <v>LA</v>
          </cell>
          <cell r="H437" t="str">
            <v>Consumer Radial</v>
          </cell>
          <cell r="I437" t="str">
            <v>Curing</v>
          </cell>
          <cell r="J437" t="str">
            <v>AME</v>
          </cell>
          <cell r="S437">
            <v>0</v>
          </cell>
          <cell r="T437">
            <v>0</v>
          </cell>
          <cell r="U437">
            <v>0</v>
          </cell>
          <cell r="V437">
            <v>178</v>
          </cell>
          <cell r="W437">
            <v>178</v>
          </cell>
        </row>
        <row r="438">
          <cell r="C438" t="str">
            <v>AME - Various - OE</v>
          </cell>
          <cell r="D438" t="str">
            <v>Molds</v>
          </cell>
          <cell r="E438" t="str">
            <v>N</v>
          </cell>
          <cell r="F438" t="str">
            <v>LA</v>
          </cell>
          <cell r="H438" t="str">
            <v>Consumer Radial</v>
          </cell>
          <cell r="I438" t="str">
            <v>Curing</v>
          </cell>
          <cell r="J438" t="str">
            <v>AME</v>
          </cell>
          <cell r="S438">
            <v>0</v>
          </cell>
          <cell r="T438">
            <v>0</v>
          </cell>
          <cell r="U438">
            <v>0</v>
          </cell>
          <cell r="V438">
            <v>261.85000000000002</v>
          </cell>
          <cell r="W438">
            <v>261.85000000000002</v>
          </cell>
        </row>
        <row r="439">
          <cell r="C439" t="str">
            <v>FuelMax LHS Gen 2 Production Support molds</v>
          </cell>
          <cell r="D439" t="str">
            <v>Molds</v>
          </cell>
          <cell r="E439" t="str">
            <v>N</v>
          </cell>
          <cell r="F439" t="str">
            <v>LA</v>
          </cell>
          <cell r="H439" t="str">
            <v>Commercial Radial</v>
          </cell>
          <cell r="I439" t="str">
            <v>Curing</v>
          </cell>
          <cell r="J439" t="str">
            <v>AME</v>
          </cell>
          <cell r="S439">
            <v>0</v>
          </cell>
          <cell r="T439">
            <v>0</v>
          </cell>
          <cell r="U439">
            <v>0</v>
          </cell>
          <cell r="V439">
            <v>120</v>
          </cell>
          <cell r="W439">
            <v>120</v>
          </cell>
        </row>
        <row r="440">
          <cell r="C440" t="str">
            <v>ARG-BUENOS AIRES COMPUTER ROOM REFRESH BY LIFECYCLE</v>
          </cell>
          <cell r="D440" t="str">
            <v>IT</v>
          </cell>
          <cell r="E440" t="str">
            <v>N</v>
          </cell>
          <cell r="F440" t="str">
            <v>LA</v>
          </cell>
          <cell r="H440" t="str">
            <v>Other</v>
          </cell>
          <cell r="I440" t="str">
            <v>SAG - IT</v>
          </cell>
          <cell r="J440" t="str">
            <v>ARG</v>
          </cell>
          <cell r="S440">
            <v>0</v>
          </cell>
          <cell r="T440">
            <v>0</v>
          </cell>
          <cell r="U440">
            <v>0</v>
          </cell>
          <cell r="V440">
            <v>15</v>
          </cell>
          <cell r="W440">
            <v>15</v>
          </cell>
        </row>
        <row r="441">
          <cell r="C441" t="str">
            <v>Supply Chain WH automaton of processes</v>
          </cell>
          <cell r="D441" t="str">
            <v>SAG</v>
          </cell>
          <cell r="E441" t="str">
            <v>N</v>
          </cell>
          <cell r="F441" t="str">
            <v>LA</v>
          </cell>
          <cell r="H441" t="str">
            <v>N/A</v>
          </cell>
          <cell r="I441" t="str">
            <v>SAG - Supply Chain</v>
          </cell>
          <cell r="J441" t="str">
            <v>ARG</v>
          </cell>
          <cell r="S441">
            <v>0</v>
          </cell>
          <cell r="T441">
            <v>0</v>
          </cell>
          <cell r="U441">
            <v>0</v>
          </cell>
          <cell r="V441">
            <v>15</v>
          </cell>
          <cell r="W441">
            <v>15</v>
          </cell>
        </row>
        <row r="442">
          <cell r="C442" t="str">
            <v>Blue Racks Acquisition</v>
          </cell>
          <cell r="D442" t="str">
            <v>SAG</v>
          </cell>
          <cell r="E442" t="str">
            <v>N</v>
          </cell>
          <cell r="F442" t="str">
            <v>LA</v>
          </cell>
          <cell r="H442" t="str">
            <v>Consumer Radial</v>
          </cell>
          <cell r="I442" t="str">
            <v>SAG - Supply Chain</v>
          </cell>
          <cell r="J442" t="str">
            <v>ARG</v>
          </cell>
          <cell r="S442">
            <v>0</v>
          </cell>
          <cell r="T442">
            <v>0</v>
          </cell>
          <cell r="U442">
            <v>0</v>
          </cell>
          <cell r="V442">
            <v>90</v>
          </cell>
          <cell r="W442">
            <v>90</v>
          </cell>
        </row>
        <row r="443">
          <cell r="C443" t="str">
            <v>BRAZIL LEGAL REQUIREMENTS</v>
          </cell>
          <cell r="D443" t="str">
            <v>IT</v>
          </cell>
          <cell r="E443" t="str">
            <v>N</v>
          </cell>
          <cell r="F443" t="str">
            <v>LA</v>
          </cell>
          <cell r="H443" t="str">
            <v>Other</v>
          </cell>
          <cell r="I443" t="str">
            <v>SAG - IT</v>
          </cell>
          <cell r="J443" t="str">
            <v>BRZ</v>
          </cell>
          <cell r="S443">
            <v>0</v>
          </cell>
          <cell r="T443">
            <v>0</v>
          </cell>
          <cell r="U443">
            <v>0</v>
          </cell>
          <cell r="V443">
            <v>152</v>
          </cell>
          <cell r="W443">
            <v>152</v>
          </cell>
        </row>
        <row r="444">
          <cell r="C444" t="str">
            <v>BRAZIL MAX SERVICES</v>
          </cell>
          <cell r="D444" t="str">
            <v>IT</v>
          </cell>
          <cell r="E444" t="str">
            <v>N</v>
          </cell>
          <cell r="F444" t="str">
            <v>LA</v>
          </cell>
          <cell r="H444" t="str">
            <v>Other</v>
          </cell>
          <cell r="I444" t="str">
            <v>SAG - IT</v>
          </cell>
          <cell r="J444" t="str">
            <v>BRZ</v>
          </cell>
          <cell r="T444">
            <v>0</v>
          </cell>
          <cell r="U444">
            <v>0</v>
          </cell>
        </row>
        <row r="445">
          <cell r="C445" t="str">
            <v>BRA - AMERICANA IT NETWORK FIBER TO MAIN GATE/POWER HOUSE AND ADJACENCIES</v>
          </cell>
          <cell r="D445" t="str">
            <v>IT</v>
          </cell>
          <cell r="E445" t="str">
            <v>N</v>
          </cell>
          <cell r="F445" t="str">
            <v>LA</v>
          </cell>
          <cell r="H445" t="str">
            <v>N/A</v>
          </cell>
          <cell r="I445" t="str">
            <v>SAG - IT</v>
          </cell>
          <cell r="J445" t="str">
            <v>BRZ</v>
          </cell>
          <cell r="T445">
            <v>0</v>
          </cell>
          <cell r="U445">
            <v>0</v>
          </cell>
          <cell r="V445">
            <v>150</v>
          </cell>
          <cell r="W445">
            <v>150</v>
          </cell>
        </row>
        <row r="446">
          <cell r="C446" t="str">
            <v>CHI - Scale</v>
          </cell>
          <cell r="D446" t="str">
            <v>SAG</v>
          </cell>
          <cell r="E446" t="str">
            <v>N</v>
          </cell>
          <cell r="F446" t="str">
            <v>LA</v>
          </cell>
          <cell r="H446" t="str">
            <v>CONSUMER RADIAL</v>
          </cell>
          <cell r="I446" t="str">
            <v>SAG - Sales &amp; Marketing</v>
          </cell>
          <cell r="J446" t="str">
            <v>CHI</v>
          </cell>
          <cell r="S446">
            <v>0</v>
          </cell>
          <cell r="T446">
            <v>0</v>
          </cell>
          <cell r="U446">
            <v>0</v>
          </cell>
          <cell r="V446">
            <v>15.58333333333333</v>
          </cell>
          <cell r="W446">
            <v>15.58333333333333</v>
          </cell>
        </row>
        <row r="447">
          <cell r="C447" t="str">
            <v>CHI - Ecuador office equipment</v>
          </cell>
          <cell r="D447" t="str">
            <v>SAG</v>
          </cell>
          <cell r="E447" t="str">
            <v>N</v>
          </cell>
          <cell r="F447" t="str">
            <v>LA</v>
          </cell>
          <cell r="H447" t="str">
            <v>CONSUMER RADIAL</v>
          </cell>
          <cell r="I447" t="str">
            <v>SAG - Sales &amp; Marketing</v>
          </cell>
          <cell r="J447" t="str">
            <v>CHI</v>
          </cell>
          <cell r="S447">
            <v>0</v>
          </cell>
          <cell r="T447">
            <v>0</v>
          </cell>
          <cell r="U447">
            <v>0</v>
          </cell>
          <cell r="V447">
            <v>9.625</v>
          </cell>
          <cell r="W447">
            <v>9.625</v>
          </cell>
        </row>
        <row r="448">
          <cell r="C448" t="str">
            <v>CHI - REGIONAL ADJUSTMENT</v>
          </cell>
          <cell r="D448" t="str">
            <v>SAG</v>
          </cell>
          <cell r="E448" t="str">
            <v>N</v>
          </cell>
          <cell r="F448" t="str">
            <v>LA</v>
          </cell>
          <cell r="G448">
            <v>0</v>
          </cell>
          <cell r="H448" t="str">
            <v>N/A</v>
          </cell>
          <cell r="I448">
            <v>0</v>
          </cell>
          <cell r="J448" t="str">
            <v>CHI</v>
          </cell>
          <cell r="S448">
            <v>0</v>
          </cell>
          <cell r="T448">
            <v>0</v>
          </cell>
          <cell r="U448">
            <v>0</v>
          </cell>
        </row>
        <row r="449">
          <cell r="C449" t="str">
            <v>COL - Upgrade single extuder 8" (4.5 Extruder ExGadsden)</v>
          </cell>
          <cell r="D449" t="str">
            <v>Capability</v>
          </cell>
          <cell r="E449" t="str">
            <v>N</v>
          </cell>
          <cell r="F449" t="str">
            <v>LA</v>
          </cell>
          <cell r="H449" t="str">
            <v>Commercial Radial</v>
          </cell>
          <cell r="I449" t="str">
            <v xml:space="preserve">Extruding </v>
          </cell>
          <cell r="J449" t="str">
            <v>COL</v>
          </cell>
          <cell r="S449">
            <v>0</v>
          </cell>
          <cell r="T449">
            <v>0</v>
          </cell>
          <cell r="U449">
            <v>0</v>
          </cell>
          <cell r="V449">
            <v>200</v>
          </cell>
          <cell r="W449">
            <v>200</v>
          </cell>
        </row>
        <row r="450">
          <cell r="C450" t="str">
            <v>COL - HEALTH-EXHAUST &amp; VENTILATION SYSTEMS IN BB2</v>
          </cell>
          <cell r="D450" t="str">
            <v>EHS</v>
          </cell>
          <cell r="E450" t="str">
            <v>N</v>
          </cell>
          <cell r="F450" t="str">
            <v>LA</v>
          </cell>
          <cell r="G450" t="str">
            <v>HYG</v>
          </cell>
          <cell r="H450" t="str">
            <v>Commercial Radial</v>
          </cell>
          <cell r="I450" t="str">
            <v>Mixing</v>
          </cell>
          <cell r="J450" t="str">
            <v>COL</v>
          </cell>
          <cell r="S450">
            <v>0</v>
          </cell>
          <cell r="T450">
            <v>0</v>
          </cell>
          <cell r="U450">
            <v>0</v>
          </cell>
          <cell r="V450">
            <v>50</v>
          </cell>
          <cell r="W450">
            <v>50</v>
          </cell>
        </row>
        <row r="451">
          <cell r="C451" t="str">
            <v>COL - LOCKERS MODERNIZATION (INCLUDE NEW BATHROOM IN PRESSES)</v>
          </cell>
          <cell r="D451" t="str">
            <v>EHS</v>
          </cell>
          <cell r="E451" t="str">
            <v>N</v>
          </cell>
          <cell r="F451" t="str">
            <v>LA</v>
          </cell>
          <cell r="G451" t="str">
            <v>HYG</v>
          </cell>
          <cell r="H451" t="str">
            <v>Commercial Radial</v>
          </cell>
          <cell r="I451" t="str">
            <v>Facilities/Infrastructure</v>
          </cell>
          <cell r="J451" t="str">
            <v>COL</v>
          </cell>
          <cell r="S451">
            <v>0</v>
          </cell>
          <cell r="T451">
            <v>0</v>
          </cell>
          <cell r="U451">
            <v>0</v>
          </cell>
          <cell r="V451">
            <v>60</v>
          </cell>
          <cell r="W451">
            <v>60</v>
          </cell>
        </row>
        <row r="452">
          <cell r="C452" t="str">
            <v>COL - MRT Expansion</v>
          </cell>
          <cell r="D452" t="str">
            <v>Growth</v>
          </cell>
          <cell r="E452" t="str">
            <v>N</v>
          </cell>
          <cell r="F452" t="str">
            <v>LA</v>
          </cell>
          <cell r="H452" t="str">
            <v>COMMERCIAL RADIAL</v>
          </cell>
          <cell r="I452" t="str">
            <v>OTHER</v>
          </cell>
          <cell r="J452" t="str">
            <v>COL</v>
          </cell>
          <cell r="T452">
            <v>0</v>
          </cell>
          <cell r="U452">
            <v>0</v>
          </cell>
        </row>
        <row r="453">
          <cell r="C453" t="str">
            <v xml:space="preserve">COL - SAMPLE MIX/AUTO WW </v>
          </cell>
          <cell r="D453" t="str">
            <v>Productivity</v>
          </cell>
          <cell r="E453" t="str">
            <v>N</v>
          </cell>
          <cell r="F453" t="str">
            <v>LA</v>
          </cell>
          <cell r="H453" t="str">
            <v>Commercial Radial</v>
          </cell>
          <cell r="I453" t="str">
            <v>N/A</v>
          </cell>
          <cell r="J453" t="str">
            <v>COL</v>
          </cell>
          <cell r="S453">
            <v>0</v>
          </cell>
          <cell r="T453">
            <v>0</v>
          </cell>
          <cell r="U453">
            <v>0</v>
          </cell>
          <cell r="V453">
            <v>150</v>
          </cell>
          <cell r="W453">
            <v>150</v>
          </cell>
        </row>
        <row r="454">
          <cell r="C454" t="str">
            <v>COL - Dual wind up a let off for Alpha shear</v>
          </cell>
          <cell r="D454" t="str">
            <v>Productivity</v>
          </cell>
          <cell r="E454" t="str">
            <v>N</v>
          </cell>
          <cell r="F454" t="str">
            <v>LA</v>
          </cell>
          <cell r="H454" t="str">
            <v>Commercial Radial</v>
          </cell>
          <cell r="I454" t="str">
            <v>Component Prep Other</v>
          </cell>
          <cell r="J454" t="str">
            <v>COL</v>
          </cell>
          <cell r="S454">
            <v>0</v>
          </cell>
          <cell r="T454">
            <v>0</v>
          </cell>
          <cell r="U454">
            <v>0</v>
          </cell>
          <cell r="V454">
            <v>150</v>
          </cell>
          <cell r="W454">
            <v>150</v>
          </cell>
        </row>
        <row r="455">
          <cell r="C455" t="str">
            <v>COL - ROLAND OPEN SPLICE DETECTOR - MRT PLY CUTTERS</v>
          </cell>
          <cell r="D455" t="str">
            <v>Quality - Improvement</v>
          </cell>
          <cell r="E455" t="str">
            <v>N</v>
          </cell>
          <cell r="F455" t="str">
            <v>LA</v>
          </cell>
          <cell r="H455" t="str">
            <v>Commercial Radial</v>
          </cell>
          <cell r="I455" t="str">
            <v>Component Prep Other</v>
          </cell>
          <cell r="J455" t="str">
            <v>COL</v>
          </cell>
          <cell r="S455">
            <v>0</v>
          </cell>
          <cell r="T455">
            <v>0</v>
          </cell>
          <cell r="U455">
            <v>0</v>
          </cell>
          <cell r="V455">
            <v>70</v>
          </cell>
          <cell r="W455">
            <v>70</v>
          </cell>
        </row>
        <row r="456">
          <cell r="C456" t="str">
            <v>COL - AUTOMATIC GAUGE CONTROL FOR WIRE CALANDER</v>
          </cell>
          <cell r="D456" t="str">
            <v>Quality - Improvement</v>
          </cell>
          <cell r="E456" t="str">
            <v>N</v>
          </cell>
          <cell r="F456" t="str">
            <v>LA</v>
          </cell>
          <cell r="H456" t="str">
            <v>Commercial Radial</v>
          </cell>
          <cell r="I456" t="str">
            <v>Component Prep Other</v>
          </cell>
          <cell r="J456" t="str">
            <v>COL</v>
          </cell>
          <cell r="S456">
            <v>0</v>
          </cell>
          <cell r="T456">
            <v>0</v>
          </cell>
          <cell r="U456">
            <v>0</v>
          </cell>
          <cell r="V456">
            <v>50</v>
          </cell>
          <cell r="W456">
            <v>50</v>
          </cell>
        </row>
        <row r="457">
          <cell r="C457" t="str">
            <v>GM - 3 Vehicles for sales</v>
          </cell>
          <cell r="D457" t="str">
            <v>SAG</v>
          </cell>
          <cell r="E457" t="str">
            <v>N</v>
          </cell>
          <cell r="F457" t="str">
            <v>LA</v>
          </cell>
          <cell r="G457">
            <v>0</v>
          </cell>
          <cell r="H457" t="str">
            <v>Other</v>
          </cell>
          <cell r="I457" t="str">
            <v>SAG - Other</v>
          </cell>
          <cell r="J457" t="str">
            <v>GIC</v>
          </cell>
          <cell r="T457">
            <v>0</v>
          </cell>
          <cell r="U457">
            <v>0</v>
          </cell>
        </row>
        <row r="458">
          <cell r="C458" t="str">
            <v>GM - New Office</v>
          </cell>
          <cell r="D458" t="str">
            <v>SAG</v>
          </cell>
          <cell r="E458" t="str">
            <v>N</v>
          </cell>
          <cell r="F458" t="str">
            <v>LA</v>
          </cell>
          <cell r="G458">
            <v>0</v>
          </cell>
          <cell r="H458" t="str">
            <v>Other</v>
          </cell>
          <cell r="I458" t="str">
            <v>SAG - Other</v>
          </cell>
          <cell r="J458" t="str">
            <v>GIC</v>
          </cell>
          <cell r="T458">
            <v>0</v>
          </cell>
          <cell r="U458">
            <v>0</v>
          </cell>
        </row>
        <row r="459">
          <cell r="C459" t="str">
            <v>Guatemala office PCs &amp; equipment</v>
          </cell>
          <cell r="D459" t="str">
            <v>SAG</v>
          </cell>
          <cell r="E459" t="str">
            <v>N</v>
          </cell>
          <cell r="F459" t="str">
            <v>LA</v>
          </cell>
          <cell r="H459" t="str">
            <v>Other</v>
          </cell>
          <cell r="I459" t="str">
            <v>SAG - Other</v>
          </cell>
          <cell r="J459" t="str">
            <v>GIC</v>
          </cell>
          <cell r="S459">
            <v>0</v>
          </cell>
          <cell r="T459">
            <v>0</v>
          </cell>
          <cell r="U459">
            <v>0</v>
          </cell>
          <cell r="V459">
            <v>29.969999999999992</v>
          </cell>
          <cell r="W459">
            <v>29.969999999999992</v>
          </cell>
        </row>
        <row r="460">
          <cell r="C460" t="str">
            <v>Guatemala office connectivity</v>
          </cell>
          <cell r="D460" t="str">
            <v>SAG</v>
          </cell>
          <cell r="E460" t="str">
            <v>N</v>
          </cell>
          <cell r="F460" t="str">
            <v>LA</v>
          </cell>
          <cell r="H460" t="str">
            <v>Other</v>
          </cell>
          <cell r="I460" t="str">
            <v>SAG - Other</v>
          </cell>
          <cell r="J460" t="str">
            <v>GIC</v>
          </cell>
          <cell r="S460">
            <v>0</v>
          </cell>
          <cell r="T460">
            <v>0</v>
          </cell>
          <cell r="U460">
            <v>0</v>
          </cell>
          <cell r="V460">
            <v>19.999999999999996</v>
          </cell>
          <cell r="W460">
            <v>19.999999999999996</v>
          </cell>
        </row>
        <row r="461">
          <cell r="C461" t="str">
            <v>GIC - REGIONAL ADJUSTMENT</v>
          </cell>
          <cell r="D461" t="str">
            <v>SAG</v>
          </cell>
          <cell r="E461" t="str">
            <v>N</v>
          </cell>
          <cell r="F461" t="str">
            <v>LA</v>
          </cell>
          <cell r="G461">
            <v>0</v>
          </cell>
          <cell r="H461" t="str">
            <v>N/A</v>
          </cell>
          <cell r="I461">
            <v>0</v>
          </cell>
          <cell r="J461" t="str">
            <v>GIC</v>
          </cell>
          <cell r="S461">
            <v>0</v>
          </cell>
          <cell r="T461">
            <v>0</v>
          </cell>
          <cell r="U461">
            <v>0</v>
          </cell>
        </row>
        <row r="462">
          <cell r="C462" t="str">
            <v>PER - CAPITALIZED INTEREST</v>
          </cell>
          <cell r="D462" t="str">
            <v>Capitalized Interes</v>
          </cell>
          <cell r="E462" t="str">
            <v>N</v>
          </cell>
          <cell r="F462" t="str">
            <v>LA</v>
          </cell>
          <cell r="G462">
            <v>0</v>
          </cell>
          <cell r="H462" t="str">
            <v>N/A</v>
          </cell>
          <cell r="I462">
            <v>0</v>
          </cell>
          <cell r="J462" t="str">
            <v>LA OTHER</v>
          </cell>
          <cell r="S462">
            <v>0</v>
          </cell>
          <cell r="T462">
            <v>0</v>
          </cell>
          <cell r="U462">
            <v>0</v>
          </cell>
        </row>
        <row r="463">
          <cell r="C463" t="str">
            <v>MEX-STAFE/TULTITLAN OFFICE IT NETWORK  AND APPLICATION SERVERS LIFECYCLE (PHASE 2/2)</v>
          </cell>
          <cell r="D463" t="str">
            <v>IT</v>
          </cell>
          <cell r="E463" t="str">
            <v>N</v>
          </cell>
          <cell r="F463" t="str">
            <v>LA</v>
          </cell>
          <cell r="H463" t="str">
            <v>Other</v>
          </cell>
          <cell r="I463" t="str">
            <v>SAG - IT</v>
          </cell>
          <cell r="J463" t="str">
            <v>MEX</v>
          </cell>
          <cell r="S463">
            <v>0</v>
          </cell>
          <cell r="T463">
            <v>0</v>
          </cell>
          <cell r="U463">
            <v>0</v>
          </cell>
          <cell r="V463">
            <v>67</v>
          </cell>
          <cell r="W463">
            <v>67</v>
          </cell>
        </row>
        <row r="464">
          <cell r="C464" t="str">
            <v>MEX- Racks</v>
          </cell>
          <cell r="D464" t="str">
            <v>SAG</v>
          </cell>
          <cell r="E464" t="str">
            <v>N</v>
          </cell>
          <cell r="F464" t="str">
            <v>LA</v>
          </cell>
          <cell r="H464" t="str">
            <v>MIXED</v>
          </cell>
          <cell r="I464" t="str">
            <v>SAG - Supply Chain</v>
          </cell>
          <cell r="J464" t="str">
            <v>MEX</v>
          </cell>
          <cell r="S464">
            <v>0</v>
          </cell>
          <cell r="T464">
            <v>0</v>
          </cell>
          <cell r="U464">
            <v>0</v>
          </cell>
          <cell r="V464">
            <v>50</v>
          </cell>
          <cell r="W464">
            <v>50</v>
          </cell>
        </row>
        <row r="465">
          <cell r="C465" t="str">
            <v>MEX - Emergency Power Plant</v>
          </cell>
          <cell r="D465" t="str">
            <v>SAG</v>
          </cell>
          <cell r="E465" t="str">
            <v>N</v>
          </cell>
          <cell r="F465" t="str">
            <v>LA</v>
          </cell>
          <cell r="H465" t="str">
            <v>N/A</v>
          </cell>
          <cell r="I465" t="str">
            <v>SAG - Supply Chain</v>
          </cell>
          <cell r="J465" t="str">
            <v>MEX</v>
          </cell>
          <cell r="S465">
            <v>0</v>
          </cell>
          <cell r="T465">
            <v>0</v>
          </cell>
          <cell r="U465">
            <v>0</v>
          </cell>
        </row>
        <row r="466">
          <cell r="C466" t="str">
            <v xml:space="preserve">MEX - RFID / Barcoding </v>
          </cell>
          <cell r="D466" t="str">
            <v>SAG</v>
          </cell>
          <cell r="E466" t="str">
            <v>N</v>
          </cell>
          <cell r="F466" t="str">
            <v>LA</v>
          </cell>
          <cell r="H466" t="str">
            <v>N/A</v>
          </cell>
          <cell r="I466" t="str">
            <v>SAG - Supply Chain</v>
          </cell>
          <cell r="J466" t="str">
            <v>MEX</v>
          </cell>
          <cell r="S466">
            <v>0</v>
          </cell>
          <cell r="T466">
            <v>0</v>
          </cell>
          <cell r="U466">
            <v>0</v>
          </cell>
        </row>
        <row r="467">
          <cell r="C467" t="str">
            <v>PER - (3) NEW HYDRAULIC PRESSES 52" + UPGRADE STEELASTIC</v>
          </cell>
          <cell r="D467" t="str">
            <v>Growth</v>
          </cell>
          <cell r="E467" t="str">
            <v>N</v>
          </cell>
          <cell r="F467" t="str">
            <v>LA</v>
          </cell>
          <cell r="H467" t="str">
            <v>COMMERCIAL RADIAL</v>
          </cell>
          <cell r="I467" t="str">
            <v>CURING</v>
          </cell>
          <cell r="J467" t="str">
            <v>PER</v>
          </cell>
          <cell r="T467">
            <v>0</v>
          </cell>
          <cell r="U467">
            <v>0</v>
          </cell>
          <cell r="AD467">
            <v>1749</v>
          </cell>
        </row>
        <row r="468">
          <cell r="C468" t="str">
            <v>Blue Racks acquisition</v>
          </cell>
          <cell r="D468" t="str">
            <v>SAG</v>
          </cell>
          <cell r="E468" t="str">
            <v>N</v>
          </cell>
          <cell r="F468" t="str">
            <v>LA</v>
          </cell>
          <cell r="H468" t="str">
            <v>MIXED</v>
          </cell>
          <cell r="I468" t="str">
            <v>SAG - Supply Chain</v>
          </cell>
          <cell r="J468" t="str">
            <v>PER</v>
          </cell>
          <cell r="S468">
            <v>0</v>
          </cell>
          <cell r="T468">
            <v>0</v>
          </cell>
          <cell r="U468">
            <v>0</v>
          </cell>
          <cell r="V468">
            <v>50</v>
          </cell>
          <cell r="W468">
            <v>50</v>
          </cell>
        </row>
        <row r="469">
          <cell r="C469" t="str">
            <v>ADJUSTMENT FOR PRESENTATION (Pigment Room)</v>
          </cell>
          <cell r="D469" t="str">
            <v>Capability</v>
          </cell>
          <cell r="E469" t="str">
            <v>N</v>
          </cell>
          <cell r="F469" t="str">
            <v>LA</v>
          </cell>
          <cell r="H469" t="str">
            <v>Consumer Radial</v>
          </cell>
          <cell r="J469" t="str">
            <v>REG</v>
          </cell>
          <cell r="T469">
            <v>0</v>
          </cell>
          <cell r="U469">
            <v>0</v>
          </cell>
        </row>
        <row r="470">
          <cell r="C470" t="str">
            <v>ADJUSTMENT FOR PRESENTATION (Aztec 1 &amp; NPT additional)</v>
          </cell>
          <cell r="D470" t="str">
            <v>Capability</v>
          </cell>
          <cell r="E470" t="str">
            <v>N</v>
          </cell>
          <cell r="F470" t="str">
            <v>LA</v>
          </cell>
          <cell r="H470" t="str">
            <v>Consumer Radial</v>
          </cell>
          <cell r="J470" t="str">
            <v>REG</v>
          </cell>
          <cell r="T470">
            <v>0</v>
          </cell>
          <cell r="U470">
            <v>0</v>
          </cell>
        </row>
        <row r="471">
          <cell r="C471" t="str">
            <v>ADJUSTMENT FOR PRESENTATION (MRT Expansion)</v>
          </cell>
          <cell r="D471" t="str">
            <v>Growth</v>
          </cell>
          <cell r="E471" t="str">
            <v>N</v>
          </cell>
          <cell r="F471" t="str">
            <v>LA</v>
          </cell>
          <cell r="H471" t="str">
            <v>COMMERCIAL RADIAL</v>
          </cell>
          <cell r="J471" t="str">
            <v>REG</v>
          </cell>
          <cell r="T471">
            <v>0</v>
          </cell>
          <cell r="U471">
            <v>0</v>
          </cell>
        </row>
        <row r="472">
          <cell r="C472" t="str">
            <v>ADJUSTMENT FOR PRESENTATION</v>
          </cell>
          <cell r="D472" t="str">
            <v>IT</v>
          </cell>
          <cell r="E472" t="str">
            <v>N</v>
          </cell>
          <cell r="F472" t="str">
            <v>LA</v>
          </cell>
          <cell r="H472" t="str">
            <v>MIXED</v>
          </cell>
          <cell r="J472" t="str">
            <v>REG</v>
          </cell>
          <cell r="T472">
            <v>0</v>
          </cell>
          <cell r="U472">
            <v>0</v>
          </cell>
        </row>
        <row r="473">
          <cell r="C473" t="str">
            <v>REG - Adjustment Molds</v>
          </cell>
          <cell r="D473" t="str">
            <v>Molds</v>
          </cell>
          <cell r="E473" t="str">
            <v>N</v>
          </cell>
          <cell r="F473" t="str">
            <v>LA</v>
          </cell>
          <cell r="H473" t="str">
            <v>Commercial Radial</v>
          </cell>
          <cell r="I473" t="str">
            <v>Curing</v>
          </cell>
          <cell r="J473" t="str">
            <v>REG</v>
          </cell>
          <cell r="S473">
            <v>0</v>
          </cell>
          <cell r="T473">
            <v>0</v>
          </cell>
          <cell r="U473">
            <v>0</v>
          </cell>
        </row>
        <row r="474">
          <cell r="C474" t="str">
            <v>Mold flexibility</v>
          </cell>
          <cell r="D474" t="str">
            <v>Molds</v>
          </cell>
          <cell r="E474" t="str">
            <v>N</v>
          </cell>
          <cell r="F474" t="str">
            <v>LA</v>
          </cell>
          <cell r="H474" t="str">
            <v>Consumer Radial</v>
          </cell>
          <cell r="I474" t="str">
            <v>Curing</v>
          </cell>
          <cell r="J474" t="str">
            <v>REG</v>
          </cell>
          <cell r="S474">
            <v>0</v>
          </cell>
          <cell r="T474">
            <v>0</v>
          </cell>
          <cell r="U474">
            <v>0</v>
          </cell>
        </row>
        <row r="475">
          <cell r="C475" t="str">
            <v>REG - Adjustment Molds</v>
          </cell>
          <cell r="D475" t="str">
            <v>Molds</v>
          </cell>
          <cell r="E475" t="str">
            <v>N</v>
          </cell>
          <cell r="F475" t="str">
            <v>LA</v>
          </cell>
          <cell r="H475" t="str">
            <v>Consumer Radial</v>
          </cell>
          <cell r="I475" t="str">
            <v>Curing</v>
          </cell>
          <cell r="J475" t="str">
            <v>REG</v>
          </cell>
          <cell r="S475">
            <v>0</v>
          </cell>
          <cell r="T475">
            <v>0</v>
          </cell>
          <cell r="U475">
            <v>0</v>
          </cell>
        </row>
        <row r="476">
          <cell r="C476" t="str">
            <v>ADJUSTMENT FOR PRESENTATION (PER Directional)</v>
          </cell>
          <cell r="D476" t="str">
            <v>Molds</v>
          </cell>
          <cell r="E476" t="str">
            <v>N</v>
          </cell>
          <cell r="F476" t="str">
            <v>LA</v>
          </cell>
          <cell r="H476" t="str">
            <v>Consumer Radial</v>
          </cell>
          <cell r="J476" t="str">
            <v>REG</v>
          </cell>
          <cell r="T476">
            <v>0</v>
          </cell>
          <cell r="U476">
            <v>0</v>
          </cell>
        </row>
        <row r="477">
          <cell r="C477" t="str">
            <v>ADJUSTMENT FOR PRESENTATION (AME Direectional)</v>
          </cell>
          <cell r="D477" t="str">
            <v>Molds</v>
          </cell>
          <cell r="E477" t="str">
            <v>N</v>
          </cell>
          <cell r="F477" t="str">
            <v>LA</v>
          </cell>
          <cell r="H477" t="str">
            <v>Consumer Radial</v>
          </cell>
          <cell r="J477" t="str">
            <v>REG</v>
          </cell>
          <cell r="T477">
            <v>0</v>
          </cell>
          <cell r="U477">
            <v>0</v>
          </cell>
        </row>
        <row r="478">
          <cell r="C478" t="str">
            <v>ADJUSTMENT FOR PRESENTATION</v>
          </cell>
          <cell r="D478" t="str">
            <v>Molds NA</v>
          </cell>
          <cell r="E478" t="str">
            <v>N</v>
          </cell>
          <cell r="F478" t="str">
            <v>LA</v>
          </cell>
          <cell r="H478" t="str">
            <v>Consumer Radial</v>
          </cell>
          <cell r="J478" t="str">
            <v>REG</v>
          </cell>
          <cell r="T478">
            <v>0</v>
          </cell>
          <cell r="U478">
            <v>0</v>
          </cell>
        </row>
        <row r="479">
          <cell r="C479" t="str">
            <v>ADJUSTMENT FOR PRESENTATION</v>
          </cell>
          <cell r="D479" t="str">
            <v>Quality - Improvement</v>
          </cell>
          <cell r="E479" t="str">
            <v>N</v>
          </cell>
          <cell r="F479" t="str">
            <v>LA</v>
          </cell>
          <cell r="H479" t="str">
            <v>Consumer Radial</v>
          </cell>
          <cell r="J479" t="str">
            <v>REG</v>
          </cell>
          <cell r="T479">
            <v>0</v>
          </cell>
          <cell r="U479">
            <v>0</v>
          </cell>
        </row>
        <row r="480">
          <cell r="C480" t="str">
            <v>eCommerce Capabilities</v>
          </cell>
          <cell r="D480" t="str">
            <v>SAG</v>
          </cell>
          <cell r="E480" t="str">
            <v>N</v>
          </cell>
          <cell r="F480" t="str">
            <v>LA</v>
          </cell>
          <cell r="H480" t="str">
            <v>N/A</v>
          </cell>
          <cell r="I480" t="str">
            <v>SAG - Sales &amp; Marketing</v>
          </cell>
          <cell r="J480" t="str">
            <v>REG</v>
          </cell>
          <cell r="S480">
            <v>0</v>
          </cell>
          <cell r="T480">
            <v>0</v>
          </cell>
          <cell r="U480">
            <v>0</v>
          </cell>
          <cell r="AD480">
            <v>100</v>
          </cell>
        </row>
        <row r="481">
          <cell r="C481" t="str">
            <v>City Service Successor</v>
          </cell>
          <cell r="D481" t="str">
            <v>Molds</v>
          </cell>
          <cell r="E481" t="str">
            <v>N</v>
          </cell>
          <cell r="F481" t="str">
            <v>LA</v>
          </cell>
          <cell r="H481" t="str">
            <v>Retread</v>
          </cell>
          <cell r="I481" t="str">
            <v>Curing</v>
          </cell>
          <cell r="J481" t="str">
            <v>RET</v>
          </cell>
          <cell r="S481">
            <v>0</v>
          </cell>
          <cell r="T481">
            <v>0</v>
          </cell>
          <cell r="U481">
            <v>0</v>
          </cell>
          <cell r="V481">
            <v>104</v>
          </cell>
          <cell r="W481">
            <v>104</v>
          </cell>
        </row>
        <row r="482">
          <cell r="C482" t="str">
            <v>SLP AZTECA 1</v>
          </cell>
          <cell r="D482" t="str">
            <v>Capability</v>
          </cell>
          <cell r="E482" t="str">
            <v>N</v>
          </cell>
          <cell r="F482" t="str">
            <v>LA</v>
          </cell>
          <cell r="H482" t="str">
            <v>Consumer Radial</v>
          </cell>
          <cell r="I482" t="str">
            <v>FINAL FINISH</v>
          </cell>
          <cell r="J482" t="str">
            <v>San Luis Potosi</v>
          </cell>
          <cell r="T482">
            <v>0</v>
          </cell>
          <cell r="U482">
            <v>0</v>
          </cell>
        </row>
        <row r="483">
          <cell r="C483" t="str">
            <v>SLP - WSW (50 mold position)</v>
          </cell>
          <cell r="D483" t="str">
            <v>Capability</v>
          </cell>
          <cell r="E483" t="str">
            <v>N</v>
          </cell>
          <cell r="F483" t="str">
            <v>LA</v>
          </cell>
          <cell r="H483" t="str">
            <v>Consumer Radial</v>
          </cell>
          <cell r="I483" t="str">
            <v>CURING</v>
          </cell>
          <cell r="J483" t="str">
            <v>San Luis Potosi</v>
          </cell>
          <cell r="T483">
            <v>0</v>
          </cell>
          <cell r="U483">
            <v>0</v>
          </cell>
        </row>
        <row r="484">
          <cell r="C484" t="str">
            <v>Additional Oil Tank # 8 (Blinic)</v>
          </cell>
          <cell r="D484" t="str">
            <v>Capability</v>
          </cell>
          <cell r="E484" t="str">
            <v>N</v>
          </cell>
          <cell r="F484" t="str">
            <v>LA</v>
          </cell>
          <cell r="H484" t="str">
            <v>Consumer Radial</v>
          </cell>
          <cell r="I484" t="str">
            <v>Mixing</v>
          </cell>
          <cell r="J484" t="str">
            <v>San Luis Potosi</v>
          </cell>
          <cell r="S484">
            <v>0</v>
          </cell>
          <cell r="T484">
            <v>0</v>
          </cell>
          <cell r="U484">
            <v>0</v>
          </cell>
        </row>
        <row r="485">
          <cell r="C485" t="str">
            <v>SLP - Solar Panels Parking area</v>
          </cell>
          <cell r="D485" t="str">
            <v>Energy Conservation</v>
          </cell>
          <cell r="E485" t="str">
            <v>N</v>
          </cell>
          <cell r="F485" t="str">
            <v>LA</v>
          </cell>
          <cell r="H485" t="str">
            <v>Consumer Radial</v>
          </cell>
          <cell r="I485" t="str">
            <v>FACILITIES/INFRASTRUCTURE</v>
          </cell>
          <cell r="J485" t="str">
            <v>San Luis Potosi</v>
          </cell>
          <cell r="T485">
            <v>0</v>
          </cell>
          <cell r="U485">
            <v>0</v>
          </cell>
        </row>
        <row r="486">
          <cell r="C486" t="str">
            <v>MEX-SLP - Tread Extruder 6" screw Replace - Mid</v>
          </cell>
          <cell r="D486" t="str">
            <v>Facilities Sustaining</v>
          </cell>
          <cell r="E486" t="str">
            <v>N</v>
          </cell>
          <cell r="F486" t="str">
            <v>LA</v>
          </cell>
          <cell r="H486" t="str">
            <v>Consumer Radial</v>
          </cell>
          <cell r="I486" t="str">
            <v>N/A</v>
          </cell>
          <cell r="J486" t="str">
            <v>San Luis Potosi</v>
          </cell>
          <cell r="S486">
            <v>0</v>
          </cell>
          <cell r="T486">
            <v>0</v>
          </cell>
          <cell r="U486">
            <v>0</v>
          </cell>
          <cell r="V486">
            <v>59.583333333333321</v>
          </cell>
          <cell r="W486">
            <v>59.583333333333321</v>
          </cell>
        </row>
        <row r="487">
          <cell r="C487" t="str">
            <v>MEX-SLP - Tread Extruder 6" screw Replace - Bottom</v>
          </cell>
          <cell r="D487" t="str">
            <v>Facilities Sustaining</v>
          </cell>
          <cell r="E487" t="str">
            <v>N</v>
          </cell>
          <cell r="F487" t="str">
            <v>LA</v>
          </cell>
          <cell r="H487" t="str">
            <v>Consumer Radial</v>
          </cell>
          <cell r="I487" t="str">
            <v>N/A</v>
          </cell>
          <cell r="J487" t="str">
            <v>San Luis Potosi</v>
          </cell>
          <cell r="S487">
            <v>0</v>
          </cell>
          <cell r="T487">
            <v>0</v>
          </cell>
          <cell r="U487">
            <v>0</v>
          </cell>
          <cell r="V487">
            <v>59.583333333333321</v>
          </cell>
          <cell r="W487">
            <v>59.583333333333321</v>
          </cell>
        </row>
        <row r="488">
          <cell r="C488" t="str">
            <v>MEX-SLP - Apexer #1 Extruder 3 1/2" screew Replacement</v>
          </cell>
          <cell r="D488" t="str">
            <v>Facilities Sustaining</v>
          </cell>
          <cell r="E488" t="str">
            <v>N</v>
          </cell>
          <cell r="F488" t="str">
            <v>LA</v>
          </cell>
          <cell r="H488" t="str">
            <v>Consumer Radial</v>
          </cell>
          <cell r="I488" t="str">
            <v>N/A</v>
          </cell>
          <cell r="J488" t="str">
            <v>San Luis Potosi</v>
          </cell>
          <cell r="S488">
            <v>0</v>
          </cell>
          <cell r="T488">
            <v>0</v>
          </cell>
          <cell r="U488">
            <v>0</v>
          </cell>
          <cell r="V488">
            <v>50.416666666666671</v>
          </cell>
          <cell r="W488">
            <v>50.416666666666671</v>
          </cell>
        </row>
        <row r="489">
          <cell r="C489" t="str">
            <v>SLP - AS400 upgrade</v>
          </cell>
          <cell r="D489" t="str">
            <v>IT</v>
          </cell>
          <cell r="E489" t="str">
            <v>N</v>
          </cell>
          <cell r="F489" t="str">
            <v>LA</v>
          </cell>
          <cell r="H489" t="str">
            <v>Consumer Radial</v>
          </cell>
          <cell r="I489" t="str">
            <v>SAG - IT</v>
          </cell>
          <cell r="J489" t="str">
            <v>San Luis Potosi</v>
          </cell>
          <cell r="T489">
            <v>0</v>
          </cell>
          <cell r="U489">
            <v>0</v>
          </cell>
        </row>
        <row r="490">
          <cell r="C490" t="str">
            <v>SLP-SLP IT NETWORK DEVICES REFRESH BY LIFECYCLE (PHASE 2/5)</v>
          </cell>
          <cell r="D490" t="str">
            <v>IT</v>
          </cell>
          <cell r="E490" t="str">
            <v>N</v>
          </cell>
          <cell r="F490" t="str">
            <v>LA</v>
          </cell>
          <cell r="H490" t="str">
            <v>N/A</v>
          </cell>
          <cell r="I490" t="str">
            <v>SAG - IT</v>
          </cell>
          <cell r="J490" t="str">
            <v>San Luis Potosi</v>
          </cell>
          <cell r="S490">
            <v>0</v>
          </cell>
          <cell r="T490">
            <v>0</v>
          </cell>
          <cell r="U490">
            <v>0</v>
          </cell>
          <cell r="V490">
            <v>199.18</v>
          </cell>
          <cell r="W490">
            <v>199.18</v>
          </cell>
        </row>
        <row r="491">
          <cell r="C491" t="str">
            <v>SLP-SLP MANUFACTURING APPLICATIONS SERVERS UPDATE REFRESH (PHASE 1/2)</v>
          </cell>
          <cell r="D491" t="str">
            <v>IT</v>
          </cell>
          <cell r="E491" t="str">
            <v>N</v>
          </cell>
          <cell r="F491" t="str">
            <v>LA</v>
          </cell>
          <cell r="H491" t="str">
            <v>N/A</v>
          </cell>
          <cell r="I491" t="str">
            <v>SAG - IT</v>
          </cell>
          <cell r="J491" t="str">
            <v>San Luis Potosi</v>
          </cell>
          <cell r="T491">
            <v>0</v>
          </cell>
          <cell r="U491">
            <v>0</v>
          </cell>
          <cell r="V491">
            <v>60</v>
          </cell>
          <cell r="W491">
            <v>60</v>
          </cell>
        </row>
        <row r="492">
          <cell r="C492" t="str">
            <v>SLP-SLP IT NETWORK DEVICES REFRESH BY LIFECYCLE (PHASE 1/5)</v>
          </cell>
          <cell r="D492" t="str">
            <v>IT</v>
          </cell>
          <cell r="E492" t="str">
            <v>N</v>
          </cell>
          <cell r="F492" t="str">
            <v>LA</v>
          </cell>
          <cell r="H492" t="str">
            <v>N/A</v>
          </cell>
          <cell r="I492" t="str">
            <v>SAG - IT</v>
          </cell>
          <cell r="J492" t="str">
            <v>San Luis Potosi</v>
          </cell>
          <cell r="S492">
            <v>0</v>
          </cell>
          <cell r="T492">
            <v>0</v>
          </cell>
          <cell r="U492">
            <v>0</v>
          </cell>
          <cell r="V492">
            <v>30</v>
          </cell>
          <cell r="W492">
            <v>30</v>
          </cell>
        </row>
        <row r="493">
          <cell r="C493" t="str">
            <v>SLP-SLP COMPUTER ROOM REFRESH BY LIFECYCLE</v>
          </cell>
          <cell r="D493" t="str">
            <v>IT</v>
          </cell>
          <cell r="E493" t="str">
            <v>N</v>
          </cell>
          <cell r="F493" t="str">
            <v>LA</v>
          </cell>
          <cell r="H493" t="str">
            <v>N/A</v>
          </cell>
          <cell r="I493" t="str">
            <v>SAG - IT</v>
          </cell>
          <cell r="J493" t="str">
            <v>San Luis Potosi</v>
          </cell>
          <cell r="S493">
            <v>0</v>
          </cell>
          <cell r="T493">
            <v>0</v>
          </cell>
          <cell r="U493">
            <v>0</v>
          </cell>
          <cell r="V493">
            <v>100</v>
          </cell>
          <cell r="W493">
            <v>100</v>
          </cell>
        </row>
        <row r="494">
          <cell r="C494" t="str">
            <v>SLP - Flexibility OE</v>
          </cell>
          <cell r="D494" t="str">
            <v>Molds</v>
          </cell>
          <cell r="E494" t="str">
            <v>N</v>
          </cell>
          <cell r="F494" t="str">
            <v>LA</v>
          </cell>
          <cell r="H494" t="str">
            <v>Consumer Radial</v>
          </cell>
          <cell r="I494" t="str">
            <v>Curing</v>
          </cell>
          <cell r="J494" t="str">
            <v>San Luis Potosi</v>
          </cell>
          <cell r="S494">
            <v>0</v>
          </cell>
          <cell r="T494">
            <v>0</v>
          </cell>
          <cell r="U494">
            <v>0</v>
          </cell>
        </row>
        <row r="495">
          <cell r="C495" t="str">
            <v>Auto sampling for Mixer # 3</v>
          </cell>
          <cell r="D495" t="str">
            <v>Quality - Cost Savings</v>
          </cell>
          <cell r="E495" t="str">
            <v>N</v>
          </cell>
          <cell r="F495" t="str">
            <v>LA</v>
          </cell>
          <cell r="H495" t="str">
            <v>Consumer Radial</v>
          </cell>
          <cell r="I495" t="str">
            <v>Mixing</v>
          </cell>
          <cell r="J495" t="str">
            <v>San Luis Potosi</v>
          </cell>
          <cell r="S495">
            <v>0</v>
          </cell>
          <cell r="T495">
            <v>0</v>
          </cell>
          <cell r="U495">
            <v>0</v>
          </cell>
          <cell r="V495">
            <v>110</v>
          </cell>
          <cell r="W495">
            <v>110</v>
          </cell>
        </row>
        <row r="496">
          <cell r="C496" t="str">
            <v>SLP - White sidewall cutter for recovery</v>
          </cell>
          <cell r="D496" t="str">
            <v>Quality - Cost Savings</v>
          </cell>
          <cell r="E496" t="str">
            <v>N</v>
          </cell>
          <cell r="F496" t="str">
            <v>LA</v>
          </cell>
          <cell r="H496" t="str">
            <v>Consumer Radial</v>
          </cell>
          <cell r="I496" t="str">
            <v>Component prep</v>
          </cell>
          <cell r="J496" t="str">
            <v>San Luis Potosi</v>
          </cell>
          <cell r="S496">
            <v>0</v>
          </cell>
          <cell r="T496">
            <v>0</v>
          </cell>
          <cell r="U496">
            <v>0</v>
          </cell>
          <cell r="V496">
            <v>120</v>
          </cell>
          <cell r="W496">
            <v>120</v>
          </cell>
        </row>
        <row r="497">
          <cell r="C497" t="str">
            <v>Win in OE - Ford Ranger EQ - SLP?</v>
          </cell>
          <cell r="D497" t="str">
            <v>Quality - Improvement</v>
          </cell>
          <cell r="E497" t="str">
            <v>N</v>
          </cell>
          <cell r="F497" t="str">
            <v>LA</v>
          </cell>
          <cell r="H497" t="str">
            <v>LA Win in OE</v>
          </cell>
          <cell r="I497" t="str">
            <v>Curing</v>
          </cell>
          <cell r="J497" t="str">
            <v>San Luis Potosi</v>
          </cell>
          <cell r="S497">
            <v>0</v>
          </cell>
          <cell r="T497">
            <v>0</v>
          </cell>
          <cell r="U497">
            <v>0</v>
          </cell>
          <cell r="V497">
            <v>137.5</v>
          </cell>
          <cell r="W497">
            <v>137.5</v>
          </cell>
        </row>
        <row r="498">
          <cell r="C498" t="str">
            <v>Vision system for three Ply machines</v>
          </cell>
          <cell r="D498" t="str">
            <v>Quality - Improvement</v>
          </cell>
          <cell r="E498" t="str">
            <v>N</v>
          </cell>
          <cell r="F498" t="str">
            <v>LA</v>
          </cell>
          <cell r="H498" t="str">
            <v>Consumer Radial</v>
          </cell>
          <cell r="I498" t="str">
            <v>Component Prep Other</v>
          </cell>
          <cell r="J498" t="str">
            <v>San Luis Potosi</v>
          </cell>
          <cell r="S498">
            <v>0</v>
          </cell>
          <cell r="T498">
            <v>0</v>
          </cell>
          <cell r="U498">
            <v>0</v>
          </cell>
          <cell r="V498">
            <v>128.33333333333334</v>
          </cell>
          <cell r="W498">
            <v>128.33333333333334</v>
          </cell>
        </row>
        <row r="499">
          <cell r="T499">
            <v>0</v>
          </cell>
          <cell r="U499">
            <v>0</v>
          </cell>
        </row>
        <row r="500">
          <cell r="T500">
            <v>0</v>
          </cell>
          <cell r="U500">
            <v>0</v>
          </cell>
        </row>
        <row r="501">
          <cell r="T501">
            <v>0</v>
          </cell>
          <cell r="U501">
            <v>0</v>
          </cell>
        </row>
        <row r="502">
          <cell r="T502">
            <v>0</v>
          </cell>
          <cell r="U502">
            <v>0</v>
          </cell>
        </row>
        <row r="503">
          <cell r="T503">
            <v>0</v>
          </cell>
          <cell r="U503">
            <v>0</v>
          </cell>
        </row>
        <row r="504">
          <cell r="T504">
            <v>0</v>
          </cell>
          <cell r="U504">
            <v>0</v>
          </cell>
        </row>
        <row r="505">
          <cell r="T505">
            <v>0</v>
          </cell>
          <cell r="U505">
            <v>0</v>
          </cell>
        </row>
        <row r="506">
          <cell r="T506">
            <v>0</v>
          </cell>
          <cell r="U506">
            <v>0</v>
          </cell>
        </row>
        <row r="507">
          <cell r="T507">
            <v>0</v>
          </cell>
          <cell r="U507">
            <v>0</v>
          </cell>
        </row>
        <row r="508">
          <cell r="T508">
            <v>0</v>
          </cell>
          <cell r="U508">
            <v>0</v>
          </cell>
        </row>
        <row r="509">
          <cell r="T509">
            <v>0</v>
          </cell>
          <cell r="U509">
            <v>0</v>
          </cell>
        </row>
        <row r="510">
          <cell r="T510">
            <v>0</v>
          </cell>
          <cell r="U510">
            <v>0</v>
          </cell>
        </row>
        <row r="511">
          <cell r="T511">
            <v>0</v>
          </cell>
          <cell r="U511">
            <v>0</v>
          </cell>
        </row>
        <row r="512">
          <cell r="T512">
            <v>0</v>
          </cell>
          <cell r="U512">
            <v>0</v>
          </cell>
        </row>
        <row r="513">
          <cell r="T513">
            <v>0</v>
          </cell>
          <cell r="U513">
            <v>0</v>
          </cell>
        </row>
        <row r="514">
          <cell r="C514" t="str">
            <v>MEX - REGIONAL ADJUSTMENT</v>
          </cell>
          <cell r="D514" t="str">
            <v>SAG</v>
          </cell>
          <cell r="E514" t="str">
            <v>N</v>
          </cell>
          <cell r="F514" t="str">
            <v>LA</v>
          </cell>
          <cell r="G514">
            <v>0</v>
          </cell>
          <cell r="H514" t="str">
            <v>N/A</v>
          </cell>
          <cell r="I514">
            <v>0</v>
          </cell>
          <cell r="J514" t="str">
            <v>MEX</v>
          </cell>
          <cell r="S514">
            <v>-0.21475999999978379</v>
          </cell>
          <cell r="T514">
            <v>-1.8532099999997838</v>
          </cell>
          <cell r="U514">
            <v>0</v>
          </cell>
          <cell r="V514">
            <v>-6.3510000000007061E-2</v>
          </cell>
          <cell r="W514">
            <v>-6.3510000000007061E-2</v>
          </cell>
        </row>
        <row r="515">
          <cell r="B515" t="str">
            <v>x2</v>
          </cell>
          <cell r="C515" t="str">
            <v>AME - REGIONAL ADJUSTMENT</v>
          </cell>
          <cell r="D515" t="str">
            <v>Facilities Sustaining</v>
          </cell>
          <cell r="E515" t="str">
            <v>N</v>
          </cell>
          <cell r="F515" t="str">
            <v>LA</v>
          </cell>
          <cell r="G515">
            <v>0</v>
          </cell>
          <cell r="H515" t="str">
            <v>Mixed</v>
          </cell>
          <cell r="I515">
            <v>0</v>
          </cell>
          <cell r="J515" t="str">
            <v>AME</v>
          </cell>
          <cell r="S515">
            <v>-257.29108450936906</v>
          </cell>
          <cell r="T515">
            <v>-1003.5149145093706</v>
          </cell>
          <cell r="U515">
            <v>257.29999999999995</v>
          </cell>
          <cell r="V515">
            <v>162.76861000000011</v>
          </cell>
          <cell r="W515">
            <v>142.76861</v>
          </cell>
          <cell r="AD515">
            <v>0</v>
          </cell>
        </row>
        <row r="516">
          <cell r="C516" t="str">
            <v>ADEQUAÇÃO NR 12 - E1/E2 &amp; LRF</v>
          </cell>
          <cell r="D516" t="str">
            <v>EHS</v>
          </cell>
          <cell r="E516" t="str">
            <v>N</v>
          </cell>
          <cell r="F516" t="str">
            <v>LA</v>
          </cell>
          <cell r="G516" t="str">
            <v>COMP</v>
          </cell>
          <cell r="H516" t="str">
            <v>OTR</v>
          </cell>
          <cell r="I516" t="str">
            <v>OTHER</v>
          </cell>
          <cell r="J516" t="str">
            <v>AME</v>
          </cell>
          <cell r="T516">
            <v>0</v>
          </cell>
          <cell r="U516">
            <v>0</v>
          </cell>
        </row>
        <row r="517">
          <cell r="C517" t="str">
            <v>COL - REGIONAL ADJUSTMENT</v>
          </cell>
          <cell r="D517" t="str">
            <v>Facilities Sustaining</v>
          </cell>
          <cell r="E517" t="str">
            <v>N</v>
          </cell>
          <cell r="F517" t="str">
            <v>LA</v>
          </cell>
          <cell r="G517">
            <v>0</v>
          </cell>
          <cell r="H517" t="str">
            <v>N/A</v>
          </cell>
          <cell r="I517">
            <v>0</v>
          </cell>
          <cell r="J517" t="str">
            <v>COL</v>
          </cell>
          <cell r="S517">
            <v>-80.838419999999644</v>
          </cell>
          <cell r="T517">
            <v>57.532850000000479</v>
          </cell>
          <cell r="U517">
            <v>-108.886</v>
          </cell>
          <cell r="V517">
            <v>-634.28649999999993</v>
          </cell>
          <cell r="W517">
            <v>-634.28649999999993</v>
          </cell>
        </row>
        <row r="518">
          <cell r="C518" t="str">
            <v>GNV vs GLP EMPILHADEIRAS</v>
          </cell>
          <cell r="D518" t="str">
            <v>Facilities Sustaining</v>
          </cell>
          <cell r="E518" t="str">
            <v>N</v>
          </cell>
          <cell r="F518" t="str">
            <v>LA</v>
          </cell>
          <cell r="H518" t="str">
            <v>Other</v>
          </cell>
          <cell r="I518" t="str">
            <v>FACILITIES/INFRASTRUCTURE</v>
          </cell>
          <cell r="J518" t="str">
            <v>AME</v>
          </cell>
          <cell r="T518">
            <v>0</v>
          </cell>
          <cell r="U518">
            <v>0</v>
          </cell>
        </row>
        <row r="519">
          <cell r="C519" t="str">
            <v>PICKER ROLL 8X8</v>
          </cell>
          <cell r="D519" t="str">
            <v>Quality - Improvement</v>
          </cell>
          <cell r="E519" t="str">
            <v>N</v>
          </cell>
          <cell r="F519" t="str">
            <v>LA</v>
          </cell>
          <cell r="H519" t="str">
            <v>MIXED</v>
          </cell>
          <cell r="I519" t="str">
            <v>MIXING</v>
          </cell>
          <cell r="J519" t="str">
            <v>AME</v>
          </cell>
          <cell r="T519">
            <v>0</v>
          </cell>
          <cell r="U519">
            <v>0</v>
          </cell>
          <cell r="V519">
            <v>67.339494534502975</v>
          </cell>
          <cell r="W519">
            <v>67.339494534502975</v>
          </cell>
        </row>
        <row r="520">
          <cell r="C520" t="str">
            <v>RET - Additional Curing &amp; Buffer</v>
          </cell>
          <cell r="D520" t="str">
            <v>Capability</v>
          </cell>
          <cell r="E520" t="str">
            <v>N</v>
          </cell>
          <cell r="F520" t="str">
            <v>LA</v>
          </cell>
          <cell r="H520" t="str">
            <v>RETREAD</v>
          </cell>
          <cell r="I520" t="str">
            <v>Other</v>
          </cell>
          <cell r="J520" t="str">
            <v>RET</v>
          </cell>
          <cell r="S520">
            <v>0</v>
          </cell>
          <cell r="T520">
            <v>0</v>
          </cell>
          <cell r="U520">
            <v>0</v>
          </cell>
          <cell r="V520">
            <v>400</v>
          </cell>
          <cell r="W520">
            <v>400</v>
          </cell>
        </row>
        <row r="521">
          <cell r="C521" t="str">
            <v>AER - SIO MH50 Press</v>
          </cell>
          <cell r="D521" t="str">
            <v>Capability</v>
          </cell>
          <cell r="E521" t="str">
            <v>N</v>
          </cell>
          <cell r="F521" t="str">
            <v>LA</v>
          </cell>
          <cell r="H521" t="str">
            <v>AVIATION</v>
          </cell>
          <cell r="I521" t="str">
            <v>Other</v>
          </cell>
          <cell r="J521" t="str">
            <v>SAO</v>
          </cell>
          <cell r="S521">
            <v>0</v>
          </cell>
          <cell r="T521">
            <v>0</v>
          </cell>
          <cell r="U521">
            <v>0</v>
          </cell>
          <cell r="V521">
            <v>133.5</v>
          </cell>
          <cell r="W521">
            <v>133.5</v>
          </cell>
        </row>
      </sheetData>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4745E-0A49-44D7-8783-C7109C020B62}">
  <sheetPr codeName="Planilha10"/>
  <dimension ref="B2:J139"/>
  <sheetViews>
    <sheetView showGridLines="0" topLeftCell="A34" zoomScale="80" zoomScaleNormal="80" workbookViewId="0">
      <selection activeCell="L13" sqref="L13"/>
    </sheetView>
  </sheetViews>
  <sheetFormatPr defaultColWidth="8.54296875" defaultRowHeight="14.5"/>
  <cols>
    <col min="1" max="1" width="8.54296875" style="61"/>
    <col min="2" max="2" width="16.453125" style="61" bestFit="1" customWidth="1"/>
    <col min="3" max="3" width="22.54296875" style="61" customWidth="1"/>
    <col min="4" max="4" width="16.54296875" style="61" bestFit="1" customWidth="1"/>
    <col min="5" max="5" width="61.453125" style="61" customWidth="1"/>
    <col min="6" max="6" width="14.54296875" style="61" customWidth="1"/>
    <col min="7" max="7" width="16.54296875" style="61" customWidth="1"/>
    <col min="8" max="8" width="13.54296875" style="61" bestFit="1" customWidth="1"/>
    <col min="9" max="9" width="8.54296875" style="61"/>
    <col min="10" max="10" width="11.453125" style="61" bestFit="1" customWidth="1"/>
    <col min="11" max="16384" width="8.54296875" style="61"/>
  </cols>
  <sheetData>
    <row r="2" spans="2:10" ht="26.9" customHeight="1">
      <c r="B2" s="574" t="s">
        <v>487</v>
      </c>
      <c r="C2" s="574"/>
      <c r="D2" s="574"/>
      <c r="E2" s="574"/>
      <c r="F2" s="574"/>
      <c r="G2" s="574"/>
      <c r="H2" s="574"/>
    </row>
    <row r="3" spans="2:10" ht="6.65" customHeight="1"/>
    <row r="5" spans="2:10">
      <c r="B5" s="93" t="s">
        <v>488</v>
      </c>
      <c r="C5" s="93" t="s">
        <v>489</v>
      </c>
      <c r="D5" s="93" t="s">
        <v>490</v>
      </c>
      <c r="E5" s="93" t="s">
        <v>491</v>
      </c>
      <c r="F5" s="93">
        <v>2020</v>
      </c>
      <c r="G5" s="93">
        <v>2021</v>
      </c>
      <c r="H5" s="93" t="s">
        <v>492</v>
      </c>
    </row>
    <row r="6" spans="2:10">
      <c r="B6" s="61" t="s">
        <v>493</v>
      </c>
      <c r="C6" s="61" t="s">
        <v>494</v>
      </c>
      <c r="D6" s="61" t="s">
        <v>89</v>
      </c>
      <c r="E6" s="61" t="s">
        <v>90</v>
      </c>
      <c r="F6" s="94">
        <v>378.7</v>
      </c>
      <c r="G6" s="94">
        <v>5.5678600000000529</v>
      </c>
      <c r="H6" s="95">
        <v>44256</v>
      </c>
      <c r="I6" s="94"/>
      <c r="J6" s="95"/>
    </row>
    <row r="7" spans="2:10">
      <c r="B7" s="101" t="s">
        <v>493</v>
      </c>
      <c r="C7" s="101" t="s">
        <v>494</v>
      </c>
      <c r="D7" s="101" t="s">
        <v>91</v>
      </c>
      <c r="E7" s="101" t="s">
        <v>92</v>
      </c>
      <c r="F7" s="102">
        <v>10.7</v>
      </c>
      <c r="G7" s="102">
        <v>0</v>
      </c>
      <c r="H7" s="103">
        <v>44136</v>
      </c>
      <c r="I7" s="94"/>
      <c r="J7" s="95"/>
    </row>
    <row r="8" spans="2:10">
      <c r="B8" s="101" t="s">
        <v>493</v>
      </c>
      <c r="C8" s="101" t="s">
        <v>494</v>
      </c>
      <c r="D8" s="101" t="s">
        <v>237</v>
      </c>
      <c r="E8" s="101" t="s">
        <v>238</v>
      </c>
      <c r="F8" s="102">
        <v>964.89999999999986</v>
      </c>
      <c r="G8" s="102">
        <v>50.6</v>
      </c>
      <c r="H8" s="103">
        <v>44256</v>
      </c>
      <c r="I8" s="94"/>
      <c r="J8" s="95"/>
    </row>
    <row r="9" spans="2:10">
      <c r="B9" s="104" t="s">
        <v>511</v>
      </c>
      <c r="C9" s="101" t="s">
        <v>494</v>
      </c>
      <c r="D9" s="101" t="s">
        <v>362</v>
      </c>
      <c r="E9" s="101" t="s">
        <v>322</v>
      </c>
      <c r="F9" s="102">
        <v>2.4</v>
      </c>
      <c r="G9" s="102">
        <v>0</v>
      </c>
      <c r="H9" s="103">
        <v>44166</v>
      </c>
      <c r="I9" s="94"/>
      <c r="J9" s="95"/>
    </row>
    <row r="10" spans="2:10">
      <c r="B10" s="101" t="s">
        <v>493</v>
      </c>
      <c r="C10" s="101" t="s">
        <v>494</v>
      </c>
      <c r="D10" s="101" t="s">
        <v>533</v>
      </c>
      <c r="E10" s="101" t="s">
        <v>535</v>
      </c>
      <c r="F10" s="102">
        <v>0</v>
      </c>
      <c r="G10" s="102">
        <v>492</v>
      </c>
      <c r="H10" s="103">
        <v>44440</v>
      </c>
      <c r="I10" s="94"/>
      <c r="J10" s="95"/>
    </row>
    <row r="11" spans="2:10">
      <c r="B11" s="101"/>
      <c r="C11" s="101"/>
      <c r="D11" s="101"/>
      <c r="E11" s="101"/>
      <c r="F11" s="102"/>
      <c r="G11" s="102"/>
      <c r="H11" s="103"/>
      <c r="I11" s="94"/>
      <c r="J11" s="95"/>
    </row>
    <row r="12" spans="2:10">
      <c r="B12" s="101"/>
      <c r="C12" s="101"/>
      <c r="D12" s="101"/>
      <c r="E12" s="101"/>
      <c r="F12" s="102"/>
      <c r="G12" s="102"/>
      <c r="H12" s="103"/>
      <c r="I12" s="94"/>
      <c r="J12" s="95"/>
    </row>
    <row r="13" spans="2:10">
      <c r="B13" s="106"/>
      <c r="C13" s="107"/>
      <c r="D13" s="107"/>
      <c r="E13" s="107"/>
      <c r="F13" s="108"/>
      <c r="G13" s="108"/>
      <c r="H13" s="109"/>
      <c r="I13" s="94"/>
      <c r="J13" s="95"/>
    </row>
    <row r="14" spans="2:10">
      <c r="B14" s="98"/>
      <c r="C14" s="98"/>
      <c r="D14" s="98"/>
      <c r="E14" s="99" t="s">
        <v>495</v>
      </c>
      <c r="F14" s="100">
        <f>SUM(F6:F9)</f>
        <v>1356.6999999999998</v>
      </c>
      <c r="G14" s="100">
        <f>SUM(G6:G9)</f>
        <v>56.167860000000054</v>
      </c>
      <c r="H14" s="99" t="s">
        <v>266</v>
      </c>
      <c r="I14" s="94"/>
      <c r="J14" s="95"/>
    </row>
    <row r="15" spans="2:10">
      <c r="B15" s="61" t="s">
        <v>493</v>
      </c>
      <c r="C15" s="61" t="s">
        <v>496</v>
      </c>
      <c r="D15" s="61" t="s">
        <v>139</v>
      </c>
      <c r="E15" s="61" t="s">
        <v>140</v>
      </c>
      <c r="F15" s="94">
        <v>4.9000000000000004</v>
      </c>
      <c r="G15" s="94">
        <v>0</v>
      </c>
      <c r="H15" s="95">
        <v>44166</v>
      </c>
      <c r="I15" s="94"/>
      <c r="J15" s="95"/>
    </row>
    <row r="16" spans="2:10">
      <c r="B16" s="101" t="s">
        <v>493</v>
      </c>
      <c r="C16" s="101" t="s">
        <v>496</v>
      </c>
      <c r="D16" s="101" t="s">
        <v>167</v>
      </c>
      <c r="E16" s="101" t="s">
        <v>168</v>
      </c>
      <c r="F16" s="102">
        <v>662.19999999999993</v>
      </c>
      <c r="G16" s="102">
        <v>608.9</v>
      </c>
      <c r="H16" s="103">
        <v>44287</v>
      </c>
      <c r="I16" s="94"/>
      <c r="J16" s="95"/>
    </row>
    <row r="17" spans="2:10">
      <c r="B17" s="101" t="s">
        <v>493</v>
      </c>
      <c r="C17" s="101" t="s">
        <v>496</v>
      </c>
      <c r="D17" s="101" t="s">
        <v>292</v>
      </c>
      <c r="E17" s="101" t="s">
        <v>245</v>
      </c>
      <c r="F17" s="102">
        <v>0</v>
      </c>
      <c r="G17" s="102">
        <v>804.62751999999989</v>
      </c>
      <c r="H17" s="103">
        <v>44348</v>
      </c>
      <c r="I17" s="94"/>
      <c r="J17" s="95"/>
    </row>
    <row r="18" spans="2:10">
      <c r="B18" s="101" t="s">
        <v>493</v>
      </c>
      <c r="C18" s="101" t="s">
        <v>496</v>
      </c>
      <c r="D18" s="101" t="s">
        <v>274</v>
      </c>
      <c r="E18" s="101" t="s">
        <v>275</v>
      </c>
      <c r="F18" s="102">
        <v>61.56</v>
      </c>
      <c r="G18" s="102">
        <v>0</v>
      </c>
      <c r="H18" s="103">
        <v>44136</v>
      </c>
      <c r="I18" s="94"/>
      <c r="J18" s="95"/>
    </row>
    <row r="19" spans="2:10">
      <c r="B19" s="101" t="s">
        <v>493</v>
      </c>
      <c r="C19" s="101" t="s">
        <v>496</v>
      </c>
      <c r="D19" s="101" t="s">
        <v>317</v>
      </c>
      <c r="E19" s="101" t="s">
        <v>313</v>
      </c>
      <c r="F19" s="102">
        <v>32.5</v>
      </c>
      <c r="G19" s="102">
        <v>237.89999999999998</v>
      </c>
      <c r="H19" s="103">
        <v>44256</v>
      </c>
      <c r="I19" s="94"/>
      <c r="J19" s="95"/>
    </row>
    <row r="20" spans="2:10">
      <c r="B20" s="101" t="s">
        <v>493</v>
      </c>
      <c r="C20" s="101" t="s">
        <v>496</v>
      </c>
      <c r="D20" s="101" t="s">
        <v>319</v>
      </c>
      <c r="E20" s="101" t="s">
        <v>320</v>
      </c>
      <c r="F20" s="102">
        <v>81.900000000000006</v>
      </c>
      <c r="G20" s="102">
        <v>0</v>
      </c>
      <c r="H20" s="103">
        <v>44075</v>
      </c>
      <c r="I20" s="94"/>
      <c r="J20" s="95"/>
    </row>
    <row r="21" spans="2:10">
      <c r="B21" s="101" t="s">
        <v>493</v>
      </c>
      <c r="C21" s="101" t="s">
        <v>496</v>
      </c>
      <c r="D21" s="101" t="s">
        <v>203</v>
      </c>
      <c r="E21" s="101" t="s">
        <v>202</v>
      </c>
      <c r="F21" s="102">
        <v>0</v>
      </c>
      <c r="G21" s="102">
        <v>88.931979999999996</v>
      </c>
      <c r="H21" s="103">
        <v>44256</v>
      </c>
      <c r="I21" s="94"/>
      <c r="J21" s="95"/>
    </row>
    <row r="22" spans="2:10">
      <c r="B22" s="101" t="s">
        <v>493</v>
      </c>
      <c r="C22" s="101" t="s">
        <v>496</v>
      </c>
      <c r="D22" s="101" t="s">
        <v>236</v>
      </c>
      <c r="E22" s="101" t="s">
        <v>231</v>
      </c>
      <c r="F22" s="102">
        <v>0</v>
      </c>
      <c r="G22" s="102">
        <v>132.4</v>
      </c>
      <c r="H22" s="103">
        <v>44287</v>
      </c>
      <c r="I22" s="94"/>
      <c r="J22" s="95"/>
    </row>
    <row r="23" spans="2:10">
      <c r="B23" s="101" t="s">
        <v>493</v>
      </c>
      <c r="C23" s="101" t="s">
        <v>496</v>
      </c>
      <c r="D23" s="101" t="s">
        <v>262</v>
      </c>
      <c r="E23" s="101" t="s">
        <v>243</v>
      </c>
      <c r="F23" s="102">
        <v>0</v>
      </c>
      <c r="G23" s="102">
        <v>1207.3428199999998</v>
      </c>
      <c r="H23" s="103">
        <v>44348</v>
      </c>
      <c r="I23" s="94"/>
      <c r="J23" s="95"/>
    </row>
    <row r="24" spans="2:10">
      <c r="B24" s="101" t="s">
        <v>493</v>
      </c>
      <c r="C24" s="101" t="s">
        <v>496</v>
      </c>
      <c r="D24" s="101" t="s">
        <v>291</v>
      </c>
      <c r="E24" s="101" t="s">
        <v>244</v>
      </c>
      <c r="F24" s="102">
        <v>0</v>
      </c>
      <c r="G24" s="102">
        <v>918.72072000000003</v>
      </c>
      <c r="H24" s="103">
        <v>44409</v>
      </c>
      <c r="I24" s="94"/>
      <c r="J24" s="95"/>
    </row>
    <row r="25" spans="2:10">
      <c r="B25" s="101" t="s">
        <v>493</v>
      </c>
      <c r="C25" s="101" t="s">
        <v>496</v>
      </c>
      <c r="D25" s="101" t="s">
        <v>340</v>
      </c>
      <c r="E25" s="101" t="s">
        <v>339</v>
      </c>
      <c r="F25" s="102">
        <v>0</v>
      </c>
      <c r="G25" s="102">
        <v>144.029</v>
      </c>
      <c r="H25" s="103">
        <v>44256</v>
      </c>
      <c r="I25" s="94"/>
      <c r="J25" s="95"/>
    </row>
    <row r="26" spans="2:10">
      <c r="B26" s="104" t="s">
        <v>497</v>
      </c>
      <c r="C26" s="101" t="s">
        <v>496</v>
      </c>
      <c r="D26" s="101" t="s">
        <v>356</v>
      </c>
      <c r="E26" s="101" t="s">
        <v>348</v>
      </c>
      <c r="F26" s="102">
        <v>49</v>
      </c>
      <c r="G26" s="102">
        <v>0</v>
      </c>
      <c r="H26" s="103">
        <v>44166</v>
      </c>
      <c r="I26" s="94"/>
      <c r="J26" s="95"/>
    </row>
    <row r="27" spans="2:10">
      <c r="B27" s="104" t="s">
        <v>511</v>
      </c>
      <c r="C27" s="101" t="s">
        <v>496</v>
      </c>
      <c r="D27" s="101" t="s">
        <v>515</v>
      </c>
      <c r="E27" s="101" t="s">
        <v>514</v>
      </c>
      <c r="F27" s="102">
        <f>18.7/5.4</f>
        <v>3.4629629629629628</v>
      </c>
      <c r="G27" s="102">
        <v>0</v>
      </c>
      <c r="H27" s="103">
        <v>44166</v>
      </c>
      <c r="I27" s="94"/>
      <c r="J27" s="95"/>
    </row>
    <row r="28" spans="2:10">
      <c r="B28" s="104" t="s">
        <v>511</v>
      </c>
      <c r="C28" s="101" t="s">
        <v>496</v>
      </c>
      <c r="D28" s="101" t="s">
        <v>364</v>
      </c>
      <c r="E28" s="101" t="s">
        <v>372</v>
      </c>
      <c r="F28" s="102">
        <v>2.5</v>
      </c>
      <c r="G28" s="102">
        <v>0</v>
      </c>
      <c r="H28" s="103">
        <v>44166</v>
      </c>
      <c r="I28" s="94"/>
      <c r="J28" s="95"/>
    </row>
    <row r="29" spans="2:10">
      <c r="B29" s="104" t="s">
        <v>511</v>
      </c>
      <c r="C29" s="101" t="s">
        <v>496</v>
      </c>
      <c r="D29" s="101" t="s">
        <v>365</v>
      </c>
      <c r="E29" s="101" t="s">
        <v>373</v>
      </c>
      <c r="F29" s="102">
        <v>14</v>
      </c>
      <c r="G29" s="102">
        <v>0</v>
      </c>
      <c r="H29" s="103">
        <v>44166</v>
      </c>
      <c r="I29" s="94"/>
      <c r="J29" s="95"/>
    </row>
    <row r="30" spans="2:10">
      <c r="B30" s="104"/>
      <c r="C30" s="101"/>
      <c r="D30" s="101"/>
      <c r="E30" s="101"/>
      <c r="F30" s="102"/>
      <c r="G30" s="102"/>
      <c r="H30" s="103"/>
      <c r="I30" s="94"/>
      <c r="J30" s="95"/>
    </row>
    <row r="31" spans="2:10">
      <c r="B31" s="104"/>
      <c r="C31" s="101"/>
      <c r="D31" s="101"/>
      <c r="E31" s="101"/>
      <c r="F31" s="102"/>
      <c r="G31" s="102"/>
      <c r="H31" s="103"/>
      <c r="I31" s="94"/>
      <c r="J31" s="95"/>
    </row>
    <row r="32" spans="2:10">
      <c r="B32" s="104"/>
      <c r="C32" s="101"/>
      <c r="D32" s="101"/>
      <c r="E32" s="101"/>
      <c r="F32" s="102"/>
      <c r="G32" s="102"/>
      <c r="H32" s="103"/>
      <c r="I32" s="94"/>
      <c r="J32" s="95"/>
    </row>
    <row r="33" spans="2:10">
      <c r="B33" s="96"/>
      <c r="F33" s="94"/>
      <c r="G33" s="94"/>
      <c r="H33" s="95"/>
      <c r="I33" s="94"/>
      <c r="J33" s="95"/>
    </row>
    <row r="34" spans="2:10">
      <c r="B34" s="98"/>
      <c r="C34" s="98"/>
      <c r="D34" s="98"/>
      <c r="E34" s="99" t="s">
        <v>495</v>
      </c>
      <c r="F34" s="100">
        <f>SUM(F15:F27)</f>
        <v>895.52296296296277</v>
      </c>
      <c r="G34" s="100">
        <f>SUM(G15:G27)</f>
        <v>4142.8520399999998</v>
      </c>
      <c r="H34" s="99" t="s">
        <v>266</v>
      </c>
      <c r="I34" s="94"/>
      <c r="J34" s="95"/>
    </row>
    <row r="35" spans="2:10">
      <c r="B35" s="61" t="s">
        <v>493</v>
      </c>
      <c r="C35" s="61" t="s">
        <v>498</v>
      </c>
      <c r="D35" s="61" t="s">
        <v>63</v>
      </c>
      <c r="E35" s="61" t="s">
        <v>64</v>
      </c>
      <c r="F35" s="94">
        <v>300</v>
      </c>
      <c r="G35" s="94">
        <v>0</v>
      </c>
      <c r="H35" s="95">
        <v>44166</v>
      </c>
      <c r="I35" s="94"/>
      <c r="J35" s="95"/>
    </row>
    <row r="36" spans="2:10">
      <c r="B36" s="101" t="s">
        <v>493</v>
      </c>
      <c r="C36" s="101" t="s">
        <v>498</v>
      </c>
      <c r="D36" s="101" t="s">
        <v>165</v>
      </c>
      <c r="E36" s="101" t="s">
        <v>166</v>
      </c>
      <c r="F36" s="102">
        <v>90.7</v>
      </c>
      <c r="G36" s="102">
        <v>0</v>
      </c>
      <c r="H36" s="103">
        <v>44136</v>
      </c>
      <c r="I36" s="94"/>
      <c r="J36" s="95"/>
    </row>
    <row r="37" spans="2:10">
      <c r="B37" s="101" t="s">
        <v>493</v>
      </c>
      <c r="C37" s="101" t="s">
        <v>498</v>
      </c>
      <c r="D37" s="101" t="s">
        <v>215</v>
      </c>
      <c r="E37" s="101" t="s">
        <v>214</v>
      </c>
      <c r="F37" s="102">
        <v>32</v>
      </c>
      <c r="G37" s="102">
        <v>30</v>
      </c>
      <c r="H37" s="103">
        <v>44228</v>
      </c>
      <c r="I37" s="94"/>
      <c r="J37" s="95"/>
    </row>
    <row r="38" spans="2:10">
      <c r="B38" s="101" t="s">
        <v>493</v>
      </c>
      <c r="C38" s="101" t="s">
        <v>498</v>
      </c>
      <c r="D38" s="101" t="s">
        <v>227</v>
      </c>
      <c r="E38" s="101" t="s">
        <v>250</v>
      </c>
      <c r="F38" s="102">
        <v>60</v>
      </c>
      <c r="G38" s="102">
        <v>0</v>
      </c>
      <c r="H38" s="103">
        <v>44166</v>
      </c>
      <c r="I38" s="94"/>
      <c r="J38" s="95"/>
    </row>
    <row r="39" spans="2:10">
      <c r="B39" s="101" t="s">
        <v>493</v>
      </c>
      <c r="C39" s="101" t="s">
        <v>498</v>
      </c>
      <c r="D39" s="101" t="s">
        <v>453</v>
      </c>
      <c r="E39" s="101" t="s">
        <v>377</v>
      </c>
      <c r="F39" s="102">
        <v>100</v>
      </c>
      <c r="G39" s="102">
        <v>145</v>
      </c>
      <c r="H39" s="103">
        <v>44256</v>
      </c>
      <c r="I39" s="94"/>
      <c r="J39" s="95"/>
    </row>
    <row r="40" spans="2:10">
      <c r="B40" s="101" t="s">
        <v>493</v>
      </c>
      <c r="C40" s="101" t="s">
        <v>498</v>
      </c>
      <c r="D40" s="101" t="s">
        <v>315</v>
      </c>
      <c r="E40" s="101" t="s">
        <v>314</v>
      </c>
      <c r="F40" s="102">
        <v>299.67</v>
      </c>
      <c r="G40" s="102">
        <v>0</v>
      </c>
      <c r="H40" s="103">
        <v>44166</v>
      </c>
      <c r="I40" s="94"/>
      <c r="J40" s="95"/>
    </row>
    <row r="41" spans="2:10">
      <c r="B41" s="101" t="s">
        <v>493</v>
      </c>
      <c r="C41" s="101" t="s">
        <v>498</v>
      </c>
      <c r="D41" s="101" t="s">
        <v>309</v>
      </c>
      <c r="E41" s="101" t="s">
        <v>310</v>
      </c>
      <c r="F41" s="102">
        <v>300</v>
      </c>
      <c r="G41" s="102">
        <v>86.004999999999995</v>
      </c>
      <c r="H41" s="103">
        <v>44228</v>
      </c>
      <c r="I41" s="94"/>
      <c r="J41" s="95"/>
    </row>
    <row r="42" spans="2:10">
      <c r="B42" s="101" t="s">
        <v>493</v>
      </c>
      <c r="C42" s="101" t="s">
        <v>498</v>
      </c>
      <c r="D42" s="101" t="s">
        <v>157</v>
      </c>
      <c r="E42" s="101" t="s">
        <v>158</v>
      </c>
      <c r="F42" s="102">
        <v>0</v>
      </c>
      <c r="G42" s="102">
        <v>372.80046999999996</v>
      </c>
      <c r="H42" s="103">
        <v>44348</v>
      </c>
      <c r="I42" s="94"/>
      <c r="J42" s="95"/>
    </row>
    <row r="43" spans="2:10">
      <c r="B43" s="104" t="s">
        <v>511</v>
      </c>
      <c r="C43" s="101" t="s">
        <v>498</v>
      </c>
      <c r="D43" s="101" t="s">
        <v>471</v>
      </c>
      <c r="E43" s="101" t="s">
        <v>472</v>
      </c>
      <c r="F43" s="102">
        <v>94</v>
      </c>
      <c r="G43" s="102">
        <v>0</v>
      </c>
      <c r="H43" s="103">
        <v>44166</v>
      </c>
      <c r="I43" s="94"/>
      <c r="J43" s="95"/>
    </row>
    <row r="44" spans="2:10">
      <c r="B44" s="104"/>
      <c r="C44" s="101"/>
      <c r="D44" s="101"/>
      <c r="E44" s="101"/>
      <c r="F44" s="102"/>
      <c r="G44" s="102"/>
      <c r="H44" s="103"/>
      <c r="I44" s="94"/>
      <c r="J44" s="95"/>
    </row>
    <row r="45" spans="2:10">
      <c r="B45" s="104"/>
      <c r="C45" s="101"/>
      <c r="D45" s="101"/>
      <c r="E45" s="101"/>
      <c r="F45" s="102"/>
      <c r="G45" s="102"/>
      <c r="H45" s="103"/>
      <c r="I45" s="94"/>
      <c r="J45" s="95"/>
    </row>
    <row r="46" spans="2:10">
      <c r="B46" s="96"/>
      <c r="F46" s="94"/>
      <c r="G46" s="94"/>
      <c r="H46" s="95"/>
      <c r="I46" s="94"/>
      <c r="J46" s="95"/>
    </row>
    <row r="47" spans="2:10">
      <c r="B47" s="98"/>
      <c r="C47" s="98"/>
      <c r="D47" s="98"/>
      <c r="E47" s="99" t="s">
        <v>495</v>
      </c>
      <c r="F47" s="100">
        <f>SUM(F35:F43)</f>
        <v>1276.3700000000001</v>
      </c>
      <c r="G47" s="100">
        <f>SUM(G35:G43)</f>
        <v>633.80547000000001</v>
      </c>
      <c r="H47" s="99" t="s">
        <v>266</v>
      </c>
      <c r="I47" s="94"/>
      <c r="J47" s="95"/>
    </row>
    <row r="48" spans="2:10">
      <c r="B48" s="61" t="s">
        <v>493</v>
      </c>
      <c r="C48" s="61" t="s">
        <v>499</v>
      </c>
      <c r="D48" s="61" t="s">
        <v>71</v>
      </c>
      <c r="E48" s="61" t="s">
        <v>72</v>
      </c>
      <c r="F48" s="94">
        <v>4</v>
      </c>
      <c r="G48" s="94">
        <v>0</v>
      </c>
      <c r="H48" s="95">
        <v>44075</v>
      </c>
      <c r="I48" s="94"/>
      <c r="J48" s="95"/>
    </row>
    <row r="49" spans="2:10">
      <c r="B49" s="101" t="s">
        <v>493</v>
      </c>
      <c r="C49" s="101" t="s">
        <v>499</v>
      </c>
      <c r="D49" s="101" t="s">
        <v>121</v>
      </c>
      <c r="E49" s="101" t="s">
        <v>122</v>
      </c>
      <c r="F49" s="102">
        <v>62.7</v>
      </c>
      <c r="G49" s="102">
        <v>0</v>
      </c>
      <c r="H49" s="103">
        <v>44136</v>
      </c>
      <c r="I49" s="94"/>
      <c r="J49" s="95"/>
    </row>
    <row r="50" spans="2:10">
      <c r="B50" s="101" t="s">
        <v>493</v>
      </c>
      <c r="C50" s="101" t="s">
        <v>499</v>
      </c>
      <c r="D50" s="101" t="s">
        <v>119</v>
      </c>
      <c r="E50" s="101" t="s">
        <v>120</v>
      </c>
      <c r="F50" s="102">
        <v>0</v>
      </c>
      <c r="G50" s="102">
        <v>50.7</v>
      </c>
      <c r="H50" s="103">
        <v>44256</v>
      </c>
      <c r="I50" s="94"/>
      <c r="J50" s="95"/>
    </row>
    <row r="51" spans="2:10">
      <c r="B51" s="101" t="s">
        <v>493</v>
      </c>
      <c r="C51" s="101" t="s">
        <v>499</v>
      </c>
      <c r="D51" s="101" t="s">
        <v>255</v>
      </c>
      <c r="E51" s="101" t="s">
        <v>254</v>
      </c>
      <c r="F51" s="102">
        <v>0</v>
      </c>
      <c r="G51" s="102">
        <v>23.3</v>
      </c>
      <c r="H51" s="103">
        <v>44287</v>
      </c>
      <c r="I51" s="94"/>
      <c r="J51" s="95"/>
    </row>
    <row r="52" spans="2:10">
      <c r="B52" s="104" t="s">
        <v>497</v>
      </c>
      <c r="C52" s="101" t="s">
        <v>499</v>
      </c>
      <c r="D52" s="101" t="s">
        <v>357</v>
      </c>
      <c r="E52" s="101" t="s">
        <v>349</v>
      </c>
      <c r="F52" s="102">
        <v>25</v>
      </c>
      <c r="G52" s="102">
        <v>0</v>
      </c>
      <c r="H52" s="103">
        <v>44166</v>
      </c>
      <c r="I52" s="94"/>
      <c r="J52" s="95"/>
    </row>
    <row r="53" spans="2:10">
      <c r="B53" s="104" t="s">
        <v>511</v>
      </c>
      <c r="C53" s="101" t="s">
        <v>499</v>
      </c>
      <c r="D53" s="101" t="s">
        <v>358</v>
      </c>
      <c r="E53" s="101" t="s">
        <v>359</v>
      </c>
      <c r="F53" s="102">
        <v>5</v>
      </c>
      <c r="G53" s="102">
        <v>0</v>
      </c>
      <c r="H53" s="103">
        <v>44166</v>
      </c>
      <c r="I53" s="94"/>
      <c r="J53" s="95"/>
    </row>
    <row r="54" spans="2:10">
      <c r="B54" s="104" t="s">
        <v>511</v>
      </c>
      <c r="C54" s="101" t="s">
        <v>499</v>
      </c>
      <c r="D54" s="101" t="s">
        <v>360</v>
      </c>
      <c r="E54" s="101" t="s">
        <v>369</v>
      </c>
      <c r="F54" s="102">
        <v>15</v>
      </c>
      <c r="G54" s="102">
        <v>0</v>
      </c>
      <c r="H54" s="103">
        <v>44166</v>
      </c>
      <c r="I54" s="94"/>
      <c r="J54" s="95"/>
    </row>
    <row r="55" spans="2:10">
      <c r="B55" s="104" t="s">
        <v>511</v>
      </c>
      <c r="C55" s="101" t="s">
        <v>499</v>
      </c>
      <c r="D55" s="101" t="s">
        <v>361</v>
      </c>
      <c r="E55" s="101" t="s">
        <v>370</v>
      </c>
      <c r="F55" s="102">
        <v>1.6</v>
      </c>
      <c r="G55" s="102">
        <v>0</v>
      </c>
      <c r="H55" s="103">
        <v>44166</v>
      </c>
      <c r="I55" s="94"/>
      <c r="J55" s="95"/>
    </row>
    <row r="56" spans="2:10">
      <c r="B56" s="104" t="s">
        <v>511</v>
      </c>
      <c r="C56" s="101" t="s">
        <v>499</v>
      </c>
      <c r="D56" s="101" t="s">
        <v>366</v>
      </c>
      <c r="E56" s="101" t="s">
        <v>374</v>
      </c>
      <c r="F56" s="102">
        <v>8</v>
      </c>
      <c r="G56" s="102">
        <v>0</v>
      </c>
      <c r="H56" s="103">
        <v>44166</v>
      </c>
      <c r="I56" s="94"/>
      <c r="J56" s="95"/>
    </row>
    <row r="57" spans="2:10">
      <c r="B57" s="104" t="s">
        <v>511</v>
      </c>
      <c r="C57" s="101" t="s">
        <v>499</v>
      </c>
      <c r="D57" s="101" t="s">
        <v>367</v>
      </c>
      <c r="E57" s="101" t="s">
        <v>375</v>
      </c>
      <c r="F57" s="102">
        <v>1.6</v>
      </c>
      <c r="G57" s="102">
        <v>0</v>
      </c>
      <c r="H57" s="103">
        <v>44166</v>
      </c>
      <c r="I57" s="94"/>
      <c r="J57" s="95"/>
    </row>
    <row r="58" spans="2:10">
      <c r="B58" s="104" t="s">
        <v>511</v>
      </c>
      <c r="C58" s="101" t="s">
        <v>499</v>
      </c>
      <c r="D58" s="101" t="s">
        <v>529</v>
      </c>
      <c r="E58" s="101" t="s">
        <v>528</v>
      </c>
      <c r="F58" s="102">
        <v>9.5</v>
      </c>
      <c r="G58" s="102">
        <v>0</v>
      </c>
      <c r="H58" s="103">
        <v>44166</v>
      </c>
      <c r="I58" s="94"/>
      <c r="J58" s="95"/>
    </row>
    <row r="59" spans="2:10">
      <c r="B59" s="104" t="s">
        <v>511</v>
      </c>
      <c r="C59" s="101" t="s">
        <v>499</v>
      </c>
      <c r="D59" s="101" t="s">
        <v>529</v>
      </c>
      <c r="E59" s="101" t="s">
        <v>530</v>
      </c>
      <c r="F59" s="102">
        <v>9.5</v>
      </c>
      <c r="G59" s="102">
        <v>0</v>
      </c>
      <c r="H59" s="103">
        <v>44166</v>
      </c>
      <c r="I59" s="94"/>
      <c r="J59" s="95"/>
    </row>
    <row r="60" spans="2:10">
      <c r="B60" s="104"/>
      <c r="C60" s="101"/>
      <c r="D60" s="101"/>
      <c r="E60" s="101"/>
      <c r="F60" s="102"/>
      <c r="G60" s="102"/>
      <c r="H60" s="103"/>
      <c r="I60" s="94"/>
      <c r="J60" s="95"/>
    </row>
    <row r="61" spans="2:10">
      <c r="B61" s="104"/>
      <c r="C61" s="101"/>
      <c r="D61" s="101"/>
      <c r="E61" s="101"/>
      <c r="F61" s="102"/>
      <c r="G61" s="102"/>
      <c r="H61" s="103"/>
      <c r="I61" s="94"/>
      <c r="J61" s="95"/>
    </row>
    <row r="62" spans="2:10">
      <c r="B62" s="96"/>
      <c r="F62" s="94"/>
      <c r="G62" s="94"/>
      <c r="H62" s="95"/>
      <c r="I62" s="94"/>
      <c r="J62" s="95"/>
    </row>
    <row r="63" spans="2:10">
      <c r="B63" s="98"/>
      <c r="C63" s="98"/>
      <c r="D63" s="98"/>
      <c r="E63" s="99" t="s">
        <v>495</v>
      </c>
      <c r="F63" s="100">
        <f>SUM(F48:F59)</f>
        <v>141.89999999999998</v>
      </c>
      <c r="G63" s="100">
        <f>SUM(G48:G57)</f>
        <v>74</v>
      </c>
      <c r="H63" s="99" t="s">
        <v>266</v>
      </c>
      <c r="I63" s="94"/>
      <c r="J63" s="95"/>
    </row>
    <row r="64" spans="2:10">
      <c r="B64" s="101" t="s">
        <v>493</v>
      </c>
      <c r="C64" s="101" t="s">
        <v>500</v>
      </c>
      <c r="D64" s="101" t="s">
        <v>261</v>
      </c>
      <c r="E64" s="101" t="s">
        <v>260</v>
      </c>
      <c r="F64" s="102">
        <v>17.2</v>
      </c>
      <c r="G64" s="102">
        <v>100</v>
      </c>
      <c r="H64" s="103">
        <v>44256</v>
      </c>
      <c r="I64" s="94"/>
      <c r="J64" s="95"/>
    </row>
    <row r="65" spans="2:10">
      <c r="B65" s="101" t="s">
        <v>493</v>
      </c>
      <c r="C65" s="101" t="s">
        <v>500</v>
      </c>
      <c r="D65" s="101" t="s">
        <v>173</v>
      </c>
      <c r="E65" s="101" t="s">
        <v>174</v>
      </c>
      <c r="F65" s="102">
        <v>0</v>
      </c>
      <c r="G65" s="102">
        <v>39</v>
      </c>
      <c r="H65" s="103">
        <v>43862</v>
      </c>
      <c r="I65" s="94"/>
      <c r="J65" s="95"/>
    </row>
    <row r="66" spans="2:10">
      <c r="B66" s="101" t="s">
        <v>493</v>
      </c>
      <c r="C66" s="101" t="s">
        <v>500</v>
      </c>
      <c r="D66" s="101" t="s">
        <v>269</v>
      </c>
      <c r="E66" s="101" t="s">
        <v>271</v>
      </c>
      <c r="F66" s="102">
        <v>60</v>
      </c>
      <c r="G66" s="102">
        <v>60</v>
      </c>
      <c r="H66" s="103">
        <v>44287</v>
      </c>
      <c r="I66" s="94"/>
      <c r="J66" s="95"/>
    </row>
    <row r="67" spans="2:10">
      <c r="B67" s="104" t="s">
        <v>497</v>
      </c>
      <c r="C67" s="101" t="s">
        <v>500</v>
      </c>
      <c r="D67" s="101" t="s">
        <v>337</v>
      </c>
      <c r="E67" s="101" t="s">
        <v>336</v>
      </c>
      <c r="F67" s="102">
        <v>50</v>
      </c>
      <c r="G67" s="102">
        <v>0</v>
      </c>
      <c r="H67" s="103">
        <v>44166</v>
      </c>
      <c r="I67" s="94"/>
      <c r="J67" s="95"/>
    </row>
    <row r="68" spans="2:10">
      <c r="B68" s="104" t="s">
        <v>497</v>
      </c>
      <c r="C68" s="101" t="s">
        <v>500</v>
      </c>
      <c r="D68" s="101" t="s">
        <v>350</v>
      </c>
      <c r="E68" s="101" t="s">
        <v>344</v>
      </c>
      <c r="F68" s="102">
        <v>43</v>
      </c>
      <c r="G68" s="102">
        <v>0</v>
      </c>
      <c r="H68" s="103">
        <v>44166</v>
      </c>
      <c r="I68" s="94"/>
      <c r="J68" s="95"/>
    </row>
    <row r="69" spans="2:10">
      <c r="B69" s="104" t="s">
        <v>497</v>
      </c>
      <c r="C69" s="101" t="s">
        <v>500</v>
      </c>
      <c r="D69" s="101" t="s">
        <v>352</v>
      </c>
      <c r="E69" s="101" t="s">
        <v>342</v>
      </c>
      <c r="F69" s="102">
        <v>48</v>
      </c>
      <c r="G69" s="102">
        <v>0</v>
      </c>
      <c r="H69" s="103">
        <v>44166</v>
      </c>
      <c r="I69" s="94"/>
      <c r="J69" s="95"/>
    </row>
    <row r="70" spans="2:10">
      <c r="B70" s="104" t="s">
        <v>497</v>
      </c>
      <c r="C70" s="101" t="s">
        <v>500</v>
      </c>
      <c r="D70" s="101" t="s">
        <v>338</v>
      </c>
      <c r="E70" s="101" t="s">
        <v>343</v>
      </c>
      <c r="F70" s="102">
        <v>50</v>
      </c>
      <c r="G70" s="102">
        <v>0</v>
      </c>
      <c r="H70" s="103">
        <v>44166</v>
      </c>
      <c r="I70" s="94"/>
      <c r="J70" s="95"/>
    </row>
    <row r="71" spans="2:10">
      <c r="B71" s="104" t="s">
        <v>497</v>
      </c>
      <c r="C71" s="101" t="s">
        <v>500</v>
      </c>
      <c r="D71" s="101" t="s">
        <v>355</v>
      </c>
      <c r="E71" s="101" t="s">
        <v>347</v>
      </c>
      <c r="F71" s="102">
        <v>18</v>
      </c>
      <c r="G71" s="102">
        <v>0</v>
      </c>
      <c r="H71" s="103">
        <v>44166</v>
      </c>
      <c r="I71" s="94"/>
      <c r="J71" s="95"/>
    </row>
    <row r="72" spans="2:10">
      <c r="B72" s="104" t="s">
        <v>497</v>
      </c>
      <c r="C72" s="101" t="s">
        <v>500</v>
      </c>
      <c r="D72" s="101" t="s">
        <v>505</v>
      </c>
      <c r="E72" s="101" t="s">
        <v>454</v>
      </c>
      <c r="F72" s="102">
        <v>30</v>
      </c>
      <c r="G72" s="102">
        <v>0</v>
      </c>
      <c r="H72" s="103">
        <v>44166</v>
      </c>
      <c r="I72" s="94"/>
      <c r="J72" s="95"/>
    </row>
    <row r="73" spans="2:10">
      <c r="B73" s="104" t="s">
        <v>497</v>
      </c>
      <c r="C73" s="101" t="s">
        <v>500</v>
      </c>
      <c r="D73" s="101" t="s">
        <v>351</v>
      </c>
      <c r="E73" s="101" t="s">
        <v>345</v>
      </c>
      <c r="F73" s="102">
        <v>38</v>
      </c>
      <c r="G73" s="102">
        <v>0</v>
      </c>
      <c r="H73" s="103">
        <v>44166</v>
      </c>
      <c r="I73" s="94"/>
      <c r="J73" s="95"/>
    </row>
    <row r="74" spans="2:10">
      <c r="B74" s="104" t="s">
        <v>497</v>
      </c>
      <c r="C74" s="101" t="s">
        <v>500</v>
      </c>
      <c r="D74" s="101" t="s">
        <v>353</v>
      </c>
      <c r="E74" s="101" t="s">
        <v>346</v>
      </c>
      <c r="F74" s="102">
        <v>47</v>
      </c>
      <c r="G74" s="102">
        <v>0</v>
      </c>
      <c r="H74" s="103">
        <v>44166</v>
      </c>
      <c r="I74" s="94"/>
      <c r="J74" s="95"/>
    </row>
    <row r="75" spans="2:10">
      <c r="B75" s="104" t="s">
        <v>511</v>
      </c>
      <c r="C75" s="101" t="s">
        <v>500</v>
      </c>
      <c r="D75" s="101" t="s">
        <v>323</v>
      </c>
      <c r="E75" s="101" t="s">
        <v>324</v>
      </c>
      <c r="F75" s="102">
        <v>28</v>
      </c>
      <c r="G75" s="102">
        <v>0</v>
      </c>
      <c r="H75" s="103">
        <v>44166</v>
      </c>
      <c r="I75" s="94"/>
      <c r="J75" s="95"/>
    </row>
    <row r="76" spans="2:10">
      <c r="B76" s="104" t="s">
        <v>511</v>
      </c>
      <c r="C76" s="101" t="s">
        <v>500</v>
      </c>
      <c r="D76" s="101" t="s">
        <v>363</v>
      </c>
      <c r="E76" s="101" t="s">
        <v>371</v>
      </c>
      <c r="F76" s="102">
        <v>6</v>
      </c>
      <c r="G76" s="102">
        <v>0</v>
      </c>
      <c r="H76" s="103">
        <v>44166</v>
      </c>
      <c r="I76" s="94"/>
      <c r="J76" s="95"/>
    </row>
    <row r="77" spans="2:10">
      <c r="B77" s="105" t="s">
        <v>493</v>
      </c>
      <c r="C77" s="101" t="s">
        <v>500</v>
      </c>
      <c r="D77" s="101" t="s">
        <v>531</v>
      </c>
      <c r="E77" s="101" t="s">
        <v>532</v>
      </c>
      <c r="F77" s="102">
        <v>0</v>
      </c>
      <c r="G77" s="102">
        <v>100</v>
      </c>
      <c r="H77" s="103">
        <v>44256</v>
      </c>
      <c r="I77" s="94"/>
      <c r="J77" s="95"/>
    </row>
    <row r="78" spans="2:10">
      <c r="B78" s="105" t="s">
        <v>493</v>
      </c>
      <c r="C78" s="101" t="s">
        <v>500</v>
      </c>
      <c r="D78" s="101" t="s">
        <v>536</v>
      </c>
      <c r="E78" s="101" t="s">
        <v>534</v>
      </c>
      <c r="F78" s="102">
        <v>96</v>
      </c>
      <c r="G78" s="102">
        <v>0</v>
      </c>
      <c r="H78" s="103">
        <v>44166</v>
      </c>
      <c r="I78" s="94"/>
      <c r="J78" s="95"/>
    </row>
    <row r="79" spans="2:10">
      <c r="B79" s="104"/>
      <c r="C79" s="101"/>
      <c r="D79" s="101"/>
      <c r="E79" s="101"/>
      <c r="F79" s="102"/>
      <c r="G79" s="102"/>
      <c r="H79" s="103"/>
      <c r="I79" s="94"/>
      <c r="J79" s="95"/>
    </row>
    <row r="80" spans="2:10">
      <c r="B80" s="104"/>
      <c r="C80" s="101"/>
      <c r="D80" s="101"/>
      <c r="E80" s="101"/>
      <c r="F80" s="102"/>
      <c r="G80" s="102"/>
      <c r="H80" s="103"/>
      <c r="I80" s="94"/>
      <c r="J80" s="95"/>
    </row>
    <row r="81" spans="2:10">
      <c r="B81" s="96"/>
      <c r="F81" s="94"/>
      <c r="G81" s="94"/>
      <c r="H81" s="95"/>
      <c r="I81" s="94"/>
      <c r="J81" s="95"/>
    </row>
    <row r="82" spans="2:10">
      <c r="B82" s="98"/>
      <c r="C82" s="98"/>
      <c r="D82" s="98"/>
      <c r="E82" s="99" t="s">
        <v>495</v>
      </c>
      <c r="F82" s="100">
        <f>SUM(F64:F78)</f>
        <v>531.20000000000005</v>
      </c>
      <c r="G82" s="100">
        <f>SUM(G64:G78)</f>
        <v>299</v>
      </c>
      <c r="H82" s="99" t="s">
        <v>266</v>
      </c>
      <c r="I82" s="94"/>
      <c r="J82" s="95"/>
    </row>
    <row r="83" spans="2:10">
      <c r="B83" s="61" t="s">
        <v>493</v>
      </c>
      <c r="C83" s="61" t="s">
        <v>501</v>
      </c>
      <c r="D83" s="61" t="s">
        <v>59</v>
      </c>
      <c r="E83" s="61" t="s">
        <v>60</v>
      </c>
      <c r="F83" s="94">
        <v>9.6403199999999991</v>
      </c>
      <c r="G83" s="94">
        <v>0</v>
      </c>
      <c r="H83" s="95">
        <v>44136</v>
      </c>
      <c r="I83" s="94"/>
      <c r="J83" s="95"/>
    </row>
    <row r="84" spans="2:10">
      <c r="B84" s="101" t="s">
        <v>493</v>
      </c>
      <c r="C84" s="101" t="s">
        <v>501</v>
      </c>
      <c r="D84" s="101" t="s">
        <v>79</v>
      </c>
      <c r="E84" s="101" t="s">
        <v>80</v>
      </c>
      <c r="F84" s="102">
        <v>15</v>
      </c>
      <c r="G84" s="102">
        <v>0</v>
      </c>
      <c r="H84" s="103">
        <v>44105</v>
      </c>
      <c r="I84" s="94"/>
      <c r="J84" s="95"/>
    </row>
    <row r="85" spans="2:10">
      <c r="B85" s="101" t="s">
        <v>493</v>
      </c>
      <c r="C85" s="101" t="s">
        <v>501</v>
      </c>
      <c r="D85" s="101" t="s">
        <v>115</v>
      </c>
      <c r="E85" s="101" t="s">
        <v>116</v>
      </c>
      <c r="F85" s="102">
        <v>0</v>
      </c>
      <c r="G85" s="102">
        <v>129</v>
      </c>
      <c r="H85" s="103">
        <v>44409</v>
      </c>
      <c r="I85" s="94"/>
      <c r="J85" s="95"/>
    </row>
    <row r="86" spans="2:10">
      <c r="B86" s="101" t="s">
        <v>493</v>
      </c>
      <c r="C86" s="101" t="s">
        <v>501</v>
      </c>
      <c r="D86" s="101" t="s">
        <v>129</v>
      </c>
      <c r="E86" s="101" t="s">
        <v>130</v>
      </c>
      <c r="F86" s="102">
        <v>317.39999999999998</v>
      </c>
      <c r="G86" s="102">
        <v>0</v>
      </c>
      <c r="H86" s="103">
        <v>44166</v>
      </c>
      <c r="I86" s="94"/>
      <c r="J86" s="95"/>
    </row>
    <row r="87" spans="2:10">
      <c r="B87" s="101" t="s">
        <v>493</v>
      </c>
      <c r="C87" s="101" t="s">
        <v>501</v>
      </c>
      <c r="D87" s="101" t="s">
        <v>135</v>
      </c>
      <c r="E87" s="101" t="s">
        <v>136</v>
      </c>
      <c r="F87" s="102">
        <v>5</v>
      </c>
      <c r="G87" s="102">
        <v>112.63531158217589</v>
      </c>
      <c r="H87" s="103">
        <v>44348</v>
      </c>
      <c r="I87" s="94"/>
      <c r="J87" s="95"/>
    </row>
    <row r="88" spans="2:10">
      <c r="B88" s="101" t="s">
        <v>493</v>
      </c>
      <c r="C88" s="101" t="s">
        <v>501</v>
      </c>
      <c r="D88" s="101" t="s">
        <v>77</v>
      </c>
      <c r="E88" s="101" t="s">
        <v>78</v>
      </c>
      <c r="F88" s="102">
        <v>123.4</v>
      </c>
      <c r="G88" s="102">
        <v>72</v>
      </c>
      <c r="H88" s="103">
        <v>44287</v>
      </c>
      <c r="I88" s="94"/>
      <c r="J88" s="95"/>
    </row>
    <row r="89" spans="2:10">
      <c r="B89" s="101" t="s">
        <v>493</v>
      </c>
      <c r="C89" s="101" t="s">
        <v>501</v>
      </c>
      <c r="D89" s="101" t="s">
        <v>155</v>
      </c>
      <c r="E89" s="101" t="s">
        <v>156</v>
      </c>
      <c r="F89" s="102">
        <v>4</v>
      </c>
      <c r="G89" s="102">
        <v>211.7</v>
      </c>
      <c r="H89" s="103">
        <v>44256</v>
      </c>
      <c r="I89" s="94"/>
      <c r="J89" s="95"/>
    </row>
    <row r="90" spans="2:10">
      <c r="B90" s="101" t="s">
        <v>493</v>
      </c>
      <c r="C90" s="101" t="s">
        <v>501</v>
      </c>
      <c r="D90" s="101" t="s">
        <v>201</v>
      </c>
      <c r="E90" s="101" t="s">
        <v>200</v>
      </c>
      <c r="F90" s="102">
        <v>120</v>
      </c>
      <c r="G90" s="102">
        <v>240.2</v>
      </c>
      <c r="H90" s="103">
        <v>44287</v>
      </c>
      <c r="I90" s="94"/>
      <c r="J90" s="95"/>
    </row>
    <row r="91" spans="2:10">
      <c r="B91" s="101" t="s">
        <v>493</v>
      </c>
      <c r="C91" s="101" t="s">
        <v>501</v>
      </c>
      <c r="D91" s="101" t="s">
        <v>210</v>
      </c>
      <c r="E91" s="101" t="s">
        <v>211</v>
      </c>
      <c r="F91" s="102">
        <v>19.3</v>
      </c>
      <c r="G91" s="102">
        <v>0</v>
      </c>
      <c r="H91" s="103">
        <v>44136</v>
      </c>
      <c r="I91" s="94"/>
      <c r="J91" s="95"/>
    </row>
    <row r="92" spans="2:10">
      <c r="B92" s="101" t="s">
        <v>493</v>
      </c>
      <c r="C92" s="101" t="s">
        <v>501</v>
      </c>
      <c r="D92" s="101" t="s">
        <v>252</v>
      </c>
      <c r="E92" s="101" t="s">
        <v>253</v>
      </c>
      <c r="F92" s="102">
        <v>1200</v>
      </c>
      <c r="G92" s="102">
        <v>231.3</v>
      </c>
      <c r="H92" s="103">
        <v>44287</v>
      </c>
      <c r="I92" s="94"/>
      <c r="J92" s="95"/>
    </row>
    <row r="93" spans="2:10">
      <c r="B93" s="101" t="s">
        <v>493</v>
      </c>
      <c r="C93" s="101" t="s">
        <v>501</v>
      </c>
      <c r="D93" s="101" t="s">
        <v>258</v>
      </c>
      <c r="E93" s="101" t="s">
        <v>143</v>
      </c>
      <c r="F93" s="102">
        <v>440.3</v>
      </c>
      <c r="G93" s="102">
        <v>120.2</v>
      </c>
      <c r="H93" s="103">
        <v>44256</v>
      </c>
      <c r="I93" s="94"/>
      <c r="J93" s="95"/>
    </row>
    <row r="94" spans="2:10">
      <c r="B94" s="101" t="s">
        <v>493</v>
      </c>
      <c r="C94" s="101" t="s">
        <v>501</v>
      </c>
      <c r="D94" s="101" t="s">
        <v>341</v>
      </c>
      <c r="E94" s="101" t="s">
        <v>335</v>
      </c>
      <c r="F94" s="102">
        <v>120</v>
      </c>
      <c r="G94" s="102">
        <v>73.900000000000006</v>
      </c>
      <c r="H94" s="103">
        <v>44256</v>
      </c>
      <c r="I94" s="94"/>
      <c r="J94" s="95"/>
    </row>
    <row r="95" spans="2:10">
      <c r="B95" s="101" t="s">
        <v>493</v>
      </c>
      <c r="C95" s="101" t="s">
        <v>501</v>
      </c>
      <c r="D95" s="101" t="s">
        <v>333</v>
      </c>
      <c r="E95" s="101" t="s">
        <v>332</v>
      </c>
      <c r="F95" s="102">
        <v>0</v>
      </c>
      <c r="G95" s="102">
        <v>1340</v>
      </c>
      <c r="H95" s="103">
        <v>44531</v>
      </c>
      <c r="I95" s="94"/>
      <c r="J95" s="95"/>
    </row>
    <row r="96" spans="2:10">
      <c r="B96" s="101" t="s">
        <v>493</v>
      </c>
      <c r="C96" s="101" t="s">
        <v>501</v>
      </c>
      <c r="D96" s="101" t="s">
        <v>378</v>
      </c>
      <c r="E96" s="101" t="s">
        <v>466</v>
      </c>
      <c r="F96" s="102">
        <v>50</v>
      </c>
      <c r="G96" s="102">
        <v>107.17</v>
      </c>
      <c r="H96" s="103">
        <v>44256</v>
      </c>
      <c r="I96" s="94"/>
      <c r="J96" s="95"/>
    </row>
    <row r="97" spans="2:10">
      <c r="B97" s="101" t="s">
        <v>493</v>
      </c>
      <c r="C97" s="101" t="s">
        <v>501</v>
      </c>
      <c r="D97" s="101" t="s">
        <v>378</v>
      </c>
      <c r="E97" s="101" t="s">
        <v>486</v>
      </c>
      <c r="F97" s="102">
        <v>30</v>
      </c>
      <c r="G97" s="102">
        <v>0</v>
      </c>
      <c r="H97" s="103">
        <v>44256</v>
      </c>
      <c r="I97" s="94"/>
      <c r="J97" s="95"/>
    </row>
    <row r="98" spans="2:10">
      <c r="B98" s="104" t="s">
        <v>511</v>
      </c>
      <c r="C98" s="101" t="s">
        <v>501</v>
      </c>
      <c r="D98" s="101" t="s">
        <v>469</v>
      </c>
      <c r="E98" s="101" t="s">
        <v>470</v>
      </c>
      <c r="F98" s="102">
        <v>3.7</v>
      </c>
      <c r="G98" s="102">
        <v>0</v>
      </c>
      <c r="H98" s="103">
        <v>44166</v>
      </c>
      <c r="I98" s="94"/>
      <c r="J98" s="95"/>
    </row>
    <row r="99" spans="2:10">
      <c r="B99" s="104"/>
      <c r="C99" s="101"/>
      <c r="D99" s="101"/>
      <c r="E99" s="101"/>
      <c r="F99" s="102"/>
      <c r="G99" s="102"/>
      <c r="H99" s="103"/>
      <c r="I99" s="94"/>
      <c r="J99" s="95"/>
    </row>
    <row r="100" spans="2:10">
      <c r="B100" s="104"/>
      <c r="C100" s="101"/>
      <c r="D100" s="101"/>
      <c r="E100" s="101"/>
      <c r="F100" s="102"/>
      <c r="G100" s="102"/>
      <c r="H100" s="103"/>
      <c r="I100" s="94"/>
      <c r="J100" s="95"/>
    </row>
    <row r="101" spans="2:10">
      <c r="B101" s="96"/>
      <c r="F101" s="94"/>
      <c r="G101" s="94"/>
      <c r="H101" s="95"/>
      <c r="I101" s="94"/>
      <c r="J101" s="95"/>
    </row>
    <row r="102" spans="2:10">
      <c r="B102" s="98"/>
      <c r="C102" s="98"/>
      <c r="D102" s="98"/>
      <c r="E102" s="99" t="s">
        <v>495</v>
      </c>
      <c r="F102" s="100">
        <f>SUM(F83:F97)</f>
        <v>2454.0403200000001</v>
      </c>
      <c r="G102" s="100">
        <f>SUM(G83:G97)</f>
        <v>2638.105311582176</v>
      </c>
      <c r="H102" s="99" t="s">
        <v>266</v>
      </c>
      <c r="I102" s="94"/>
      <c r="J102" s="95"/>
    </row>
    <row r="103" spans="2:10">
      <c r="B103" s="61" t="s">
        <v>493</v>
      </c>
      <c r="C103" s="61" t="s">
        <v>502</v>
      </c>
      <c r="D103" s="61" t="s">
        <v>33</v>
      </c>
      <c r="E103" s="61" t="s">
        <v>34</v>
      </c>
      <c r="F103" s="94">
        <v>42.1</v>
      </c>
      <c r="G103" s="94">
        <v>0</v>
      </c>
      <c r="H103" s="95">
        <v>44075</v>
      </c>
      <c r="I103" s="94"/>
      <c r="J103" s="95"/>
    </row>
    <row r="104" spans="2:10">
      <c r="B104" s="101" t="s">
        <v>493</v>
      </c>
      <c r="C104" s="101" t="s">
        <v>502</v>
      </c>
      <c r="D104" s="101" t="s">
        <v>45</v>
      </c>
      <c r="E104" s="101" t="s">
        <v>46</v>
      </c>
      <c r="F104" s="102">
        <v>4</v>
      </c>
      <c r="G104" s="102">
        <v>179</v>
      </c>
      <c r="H104" s="103">
        <v>44348</v>
      </c>
      <c r="I104" s="94"/>
      <c r="J104" s="95"/>
    </row>
    <row r="105" spans="2:10">
      <c r="B105" s="101" t="s">
        <v>493</v>
      </c>
      <c r="C105" s="101" t="s">
        <v>502</v>
      </c>
      <c r="D105" s="101" t="s">
        <v>137</v>
      </c>
      <c r="E105" s="101" t="s">
        <v>138</v>
      </c>
      <c r="F105" s="102">
        <v>35.1</v>
      </c>
      <c r="G105" s="102">
        <v>0</v>
      </c>
      <c r="H105" s="103">
        <v>44075</v>
      </c>
      <c r="I105" s="94"/>
      <c r="J105" s="95"/>
    </row>
    <row r="106" spans="2:10">
      <c r="B106" s="101" t="s">
        <v>493</v>
      </c>
      <c r="C106" s="101" t="s">
        <v>502</v>
      </c>
      <c r="D106" s="101" t="s">
        <v>53</v>
      </c>
      <c r="E106" s="101" t="s">
        <v>54</v>
      </c>
      <c r="F106" s="102">
        <v>20</v>
      </c>
      <c r="G106" s="102">
        <v>0</v>
      </c>
      <c r="H106" s="103">
        <v>44044</v>
      </c>
      <c r="I106" s="94"/>
      <c r="J106" s="95"/>
    </row>
    <row r="107" spans="2:10">
      <c r="B107" s="101" t="s">
        <v>493</v>
      </c>
      <c r="C107" s="101" t="s">
        <v>502</v>
      </c>
      <c r="D107" s="101" t="s">
        <v>263</v>
      </c>
      <c r="E107" s="101" t="s">
        <v>259</v>
      </c>
      <c r="F107" s="102">
        <v>0</v>
      </c>
      <c r="G107" s="102">
        <v>1244</v>
      </c>
      <c r="H107" s="103">
        <v>44531</v>
      </c>
      <c r="I107" s="94"/>
      <c r="J107" s="95"/>
    </row>
    <row r="108" spans="2:10">
      <c r="B108" s="101" t="s">
        <v>493</v>
      </c>
      <c r="C108" s="101" t="s">
        <v>502</v>
      </c>
      <c r="D108" s="101" t="s">
        <v>249</v>
      </c>
      <c r="E108" s="101" t="s">
        <v>248</v>
      </c>
      <c r="F108" s="102">
        <v>16.100000000000001</v>
      </c>
      <c r="G108" s="102">
        <v>0</v>
      </c>
      <c r="H108" s="103">
        <v>44136</v>
      </c>
      <c r="I108" s="94"/>
      <c r="J108" s="95"/>
    </row>
    <row r="109" spans="2:10">
      <c r="B109" s="101" t="s">
        <v>493</v>
      </c>
      <c r="C109" s="101" t="s">
        <v>502</v>
      </c>
      <c r="D109" s="101" t="s">
        <v>293</v>
      </c>
      <c r="E109" s="101" t="s">
        <v>290</v>
      </c>
      <c r="F109" s="102">
        <v>0</v>
      </c>
      <c r="G109" s="102">
        <v>774.09900000000005</v>
      </c>
      <c r="H109" s="103">
        <v>44287</v>
      </c>
      <c r="J109" s="95"/>
    </row>
    <row r="110" spans="2:10">
      <c r="B110" s="104" t="s">
        <v>506</v>
      </c>
      <c r="C110" s="101" t="s">
        <v>502</v>
      </c>
      <c r="D110" s="101" t="s">
        <v>378</v>
      </c>
      <c r="E110" s="101" t="s">
        <v>507</v>
      </c>
      <c r="F110" s="102">
        <v>10</v>
      </c>
      <c r="G110" s="102">
        <v>0</v>
      </c>
      <c r="H110" s="103">
        <v>44044</v>
      </c>
      <c r="I110" s="94"/>
      <c r="J110" s="95"/>
    </row>
    <row r="111" spans="2:10">
      <c r="B111" s="104" t="s">
        <v>506</v>
      </c>
      <c r="C111" s="101" t="s">
        <v>502</v>
      </c>
      <c r="D111" s="101" t="s">
        <v>378</v>
      </c>
      <c r="E111" s="101" t="s">
        <v>508</v>
      </c>
      <c r="F111" s="102">
        <v>10</v>
      </c>
      <c r="G111" s="102">
        <v>0</v>
      </c>
      <c r="H111" s="103">
        <v>44044</v>
      </c>
      <c r="I111" s="94"/>
      <c r="J111" s="95"/>
    </row>
    <row r="112" spans="2:10">
      <c r="B112" s="104" t="s">
        <v>506</v>
      </c>
      <c r="C112" s="101" t="s">
        <v>502</v>
      </c>
      <c r="D112" s="101" t="s">
        <v>378</v>
      </c>
      <c r="E112" s="101" t="s">
        <v>509</v>
      </c>
      <c r="F112" s="102">
        <v>10</v>
      </c>
      <c r="G112" s="102">
        <v>0</v>
      </c>
      <c r="H112" s="103">
        <v>44105</v>
      </c>
      <c r="I112" s="94"/>
      <c r="J112" s="95"/>
    </row>
    <row r="113" spans="2:10">
      <c r="B113" s="104" t="s">
        <v>511</v>
      </c>
      <c r="C113" s="101" t="s">
        <v>502</v>
      </c>
      <c r="D113" s="101" t="s">
        <v>329</v>
      </c>
      <c r="E113" s="101" t="s">
        <v>330</v>
      </c>
      <c r="F113" s="102">
        <v>5</v>
      </c>
      <c r="G113" s="102">
        <v>0</v>
      </c>
      <c r="H113" s="103">
        <v>44166</v>
      </c>
      <c r="I113" s="94"/>
      <c r="J113" s="95"/>
    </row>
    <row r="114" spans="2:10">
      <c r="B114" s="104" t="s">
        <v>511</v>
      </c>
      <c r="C114" s="101" t="s">
        <v>502</v>
      </c>
      <c r="D114" s="101" t="s">
        <v>513</v>
      </c>
      <c r="E114" s="101" t="s">
        <v>512</v>
      </c>
      <c r="F114" s="102">
        <f>15/5.4</f>
        <v>2.7777777777777777</v>
      </c>
      <c r="G114" s="102">
        <v>0</v>
      </c>
      <c r="H114" s="103">
        <v>44166</v>
      </c>
      <c r="I114" s="94"/>
      <c r="J114" s="95"/>
    </row>
    <row r="115" spans="2:10">
      <c r="B115" s="104"/>
      <c r="C115" s="101"/>
      <c r="D115" s="101"/>
      <c r="E115" s="101"/>
      <c r="F115" s="102"/>
      <c r="G115" s="102"/>
      <c r="H115" s="103"/>
      <c r="I115" s="94"/>
      <c r="J115" s="95"/>
    </row>
    <row r="116" spans="2:10">
      <c r="B116" s="104"/>
      <c r="C116" s="101"/>
      <c r="D116" s="101"/>
      <c r="E116" s="101"/>
      <c r="F116" s="102"/>
      <c r="G116" s="102"/>
      <c r="H116" s="103"/>
      <c r="I116" s="94"/>
      <c r="J116" s="95"/>
    </row>
    <row r="117" spans="2:10">
      <c r="B117" s="96"/>
      <c r="F117" s="94"/>
      <c r="G117" s="94"/>
      <c r="H117" s="95"/>
      <c r="I117" s="94"/>
      <c r="J117" s="95"/>
    </row>
    <row r="118" spans="2:10">
      <c r="B118" s="98"/>
      <c r="C118" s="98"/>
      <c r="D118" s="98"/>
      <c r="E118" s="99" t="s">
        <v>495</v>
      </c>
      <c r="F118" s="100">
        <f>SUM(F103:F114)</f>
        <v>155.07777777777778</v>
      </c>
      <c r="G118" s="100">
        <f>SUM(G103:G114)</f>
        <v>2197.0990000000002</v>
      </c>
      <c r="H118" s="99" t="s">
        <v>266</v>
      </c>
      <c r="I118" s="94"/>
      <c r="J118" s="95"/>
    </row>
    <row r="119" spans="2:10">
      <c r="B119" s="61" t="s">
        <v>493</v>
      </c>
      <c r="C119" s="61" t="s">
        <v>503</v>
      </c>
      <c r="D119" s="61" t="s">
        <v>47</v>
      </c>
      <c r="E119" s="61" t="s">
        <v>48</v>
      </c>
      <c r="F119" s="94">
        <v>74.099999999999994</v>
      </c>
      <c r="G119" s="94">
        <v>0</v>
      </c>
      <c r="H119" s="95">
        <v>44166</v>
      </c>
      <c r="J119" s="95"/>
    </row>
    <row r="120" spans="2:10">
      <c r="B120" s="101" t="s">
        <v>493</v>
      </c>
      <c r="C120" s="101" t="s">
        <v>503</v>
      </c>
      <c r="D120" s="101" t="s">
        <v>106</v>
      </c>
      <c r="E120" s="101" t="s">
        <v>107</v>
      </c>
      <c r="F120" s="102">
        <v>117.5</v>
      </c>
      <c r="G120" s="102">
        <v>0</v>
      </c>
      <c r="H120" s="103">
        <v>44166</v>
      </c>
      <c r="J120" s="95"/>
    </row>
    <row r="121" spans="2:10">
      <c r="B121" s="101" t="s">
        <v>493</v>
      </c>
      <c r="C121" s="101" t="s">
        <v>503</v>
      </c>
      <c r="D121" s="101" t="s">
        <v>208</v>
      </c>
      <c r="E121" s="101" t="s">
        <v>209</v>
      </c>
      <c r="F121" s="102">
        <v>88.5</v>
      </c>
      <c r="G121" s="102">
        <v>0</v>
      </c>
      <c r="H121" s="103">
        <v>44105</v>
      </c>
      <c r="I121" s="94"/>
      <c r="J121" s="95"/>
    </row>
    <row r="122" spans="2:10">
      <c r="B122" s="101" t="s">
        <v>493</v>
      </c>
      <c r="C122" s="101" t="s">
        <v>503</v>
      </c>
      <c r="D122" s="101" t="s">
        <v>206</v>
      </c>
      <c r="E122" s="101" t="s">
        <v>207</v>
      </c>
      <c r="F122" s="102">
        <v>213.5</v>
      </c>
      <c r="G122" s="102">
        <v>0</v>
      </c>
      <c r="H122" s="103">
        <v>44136</v>
      </c>
      <c r="I122" s="94"/>
      <c r="J122" s="95"/>
    </row>
    <row r="123" spans="2:10">
      <c r="B123" s="101" t="s">
        <v>493</v>
      </c>
      <c r="C123" s="101" t="s">
        <v>503</v>
      </c>
      <c r="D123" s="101" t="s">
        <v>378</v>
      </c>
      <c r="E123" s="101" t="s">
        <v>467</v>
      </c>
      <c r="F123" s="102">
        <v>40</v>
      </c>
      <c r="G123" s="102">
        <v>0</v>
      </c>
      <c r="H123" s="103">
        <v>44256</v>
      </c>
      <c r="I123" s="94"/>
      <c r="J123" s="95"/>
    </row>
    <row r="124" spans="2:10">
      <c r="B124" s="101"/>
      <c r="C124" s="101"/>
      <c r="D124" s="101"/>
      <c r="E124" s="101"/>
      <c r="F124" s="102"/>
      <c r="G124" s="102"/>
      <c r="H124" s="103"/>
      <c r="I124" s="94"/>
      <c r="J124" s="95"/>
    </row>
    <row r="125" spans="2:10">
      <c r="B125" s="101"/>
      <c r="C125" s="101"/>
      <c r="D125" s="101"/>
      <c r="E125" s="101"/>
      <c r="F125" s="102"/>
      <c r="G125" s="102"/>
      <c r="H125" s="103"/>
      <c r="I125" s="94"/>
      <c r="J125" s="95"/>
    </row>
    <row r="126" spans="2:10">
      <c r="F126" s="94"/>
      <c r="G126" s="94"/>
      <c r="H126" s="95"/>
      <c r="I126" s="94"/>
      <c r="J126" s="95"/>
    </row>
    <row r="127" spans="2:10">
      <c r="B127" s="98"/>
      <c r="C127" s="98"/>
      <c r="D127" s="98"/>
      <c r="E127" s="99" t="s">
        <v>495</v>
      </c>
      <c r="F127" s="100">
        <f>SUM(F119:F123)</f>
        <v>533.6</v>
      </c>
      <c r="G127" s="100">
        <f>SUM(G119:G123)</f>
        <v>0</v>
      </c>
      <c r="H127" s="99" t="s">
        <v>266</v>
      </c>
      <c r="I127" s="94"/>
      <c r="J127" s="95"/>
    </row>
    <row r="128" spans="2:10">
      <c r="B128" s="61" t="s">
        <v>493</v>
      </c>
      <c r="C128" s="61" t="s">
        <v>510</v>
      </c>
      <c r="D128" s="61" t="s">
        <v>127</v>
      </c>
      <c r="E128" s="61" t="s">
        <v>128</v>
      </c>
      <c r="F128" s="94">
        <v>35.5</v>
      </c>
      <c r="G128" s="94">
        <v>100.2</v>
      </c>
      <c r="H128" s="95">
        <v>44317</v>
      </c>
      <c r="I128" s="94"/>
      <c r="J128" s="95"/>
    </row>
    <row r="129" spans="2:10">
      <c r="B129" s="101" t="s">
        <v>493</v>
      </c>
      <c r="C129" s="101" t="s">
        <v>510</v>
      </c>
      <c r="D129" s="101" t="s">
        <v>169</v>
      </c>
      <c r="E129" s="101" t="s">
        <v>170</v>
      </c>
      <c r="F129" s="102">
        <v>1.3</v>
      </c>
      <c r="G129" s="102">
        <v>0</v>
      </c>
      <c r="H129" s="103">
        <v>44075</v>
      </c>
      <c r="I129" s="94"/>
      <c r="J129" s="95"/>
    </row>
    <row r="130" spans="2:10">
      <c r="B130" s="101" t="s">
        <v>493</v>
      </c>
      <c r="C130" s="101" t="s">
        <v>510</v>
      </c>
      <c r="D130" s="101" t="s">
        <v>256</v>
      </c>
      <c r="E130" s="101" t="s">
        <v>257</v>
      </c>
      <c r="F130" s="102">
        <v>85.5</v>
      </c>
      <c r="G130" s="102">
        <v>46.1</v>
      </c>
      <c r="H130" s="103">
        <v>44256</v>
      </c>
      <c r="I130" s="94"/>
      <c r="J130" s="95"/>
    </row>
    <row r="131" spans="2:10">
      <c r="B131" s="61" t="s">
        <v>493</v>
      </c>
      <c r="C131" s="61" t="s">
        <v>500</v>
      </c>
      <c r="D131" s="61" t="s">
        <v>133</v>
      </c>
      <c r="E131" s="61" t="s">
        <v>134</v>
      </c>
      <c r="F131" s="94">
        <v>33.4</v>
      </c>
      <c r="G131" s="94">
        <v>81.81388174289512</v>
      </c>
      <c r="H131" s="95">
        <v>44287</v>
      </c>
      <c r="I131" s="94"/>
      <c r="J131" s="95"/>
    </row>
    <row r="132" spans="2:10">
      <c r="B132" s="104" t="s">
        <v>511</v>
      </c>
      <c r="C132" s="101" t="s">
        <v>510</v>
      </c>
      <c r="D132" s="101" t="s">
        <v>368</v>
      </c>
      <c r="E132" s="101" t="s">
        <v>376</v>
      </c>
      <c r="F132" s="102">
        <v>1.2</v>
      </c>
      <c r="G132" s="102">
        <v>0</v>
      </c>
      <c r="H132" s="103">
        <v>44166</v>
      </c>
      <c r="I132" s="94"/>
      <c r="J132" s="95"/>
    </row>
    <row r="133" spans="2:10">
      <c r="B133" s="104" t="s">
        <v>511</v>
      </c>
      <c r="C133" s="101" t="s">
        <v>510</v>
      </c>
      <c r="D133" s="101" t="s">
        <v>325</v>
      </c>
      <c r="E133" s="101" t="s">
        <v>326</v>
      </c>
      <c r="F133" s="102">
        <v>1</v>
      </c>
      <c r="G133" s="102">
        <v>0</v>
      </c>
      <c r="H133" s="103">
        <v>44166</v>
      </c>
      <c r="I133" s="94"/>
      <c r="J133" s="95"/>
    </row>
    <row r="134" spans="2:10">
      <c r="B134" s="104" t="s">
        <v>511</v>
      </c>
      <c r="C134" s="101" t="s">
        <v>510</v>
      </c>
      <c r="D134" s="101" t="s">
        <v>327</v>
      </c>
      <c r="E134" s="101" t="s">
        <v>328</v>
      </c>
      <c r="F134" s="102">
        <v>4.3</v>
      </c>
      <c r="G134" s="102">
        <v>0</v>
      </c>
      <c r="H134" s="103">
        <v>44166</v>
      </c>
      <c r="I134" s="94"/>
      <c r="J134" s="95"/>
    </row>
    <row r="135" spans="2:10">
      <c r="B135" s="104" t="s">
        <v>497</v>
      </c>
      <c r="C135" s="101" t="s">
        <v>510</v>
      </c>
      <c r="D135" s="101" t="s">
        <v>354</v>
      </c>
      <c r="E135" s="101" t="s">
        <v>504</v>
      </c>
      <c r="F135" s="102">
        <v>48</v>
      </c>
      <c r="G135" s="102">
        <v>0</v>
      </c>
      <c r="H135" s="103">
        <v>44166</v>
      </c>
      <c r="I135" s="94"/>
      <c r="J135" s="95"/>
    </row>
    <row r="136" spans="2:10">
      <c r="B136" s="104"/>
      <c r="C136" s="101"/>
      <c r="D136" s="101"/>
      <c r="E136" s="101"/>
      <c r="F136" s="102"/>
      <c r="G136" s="102"/>
      <c r="H136" s="103"/>
      <c r="I136" s="94"/>
      <c r="J136" s="95"/>
    </row>
    <row r="137" spans="2:10">
      <c r="B137" s="104"/>
      <c r="C137" s="101"/>
      <c r="D137" s="101"/>
      <c r="E137" s="101"/>
      <c r="F137" s="102"/>
      <c r="G137" s="102"/>
      <c r="H137" s="103"/>
      <c r="I137" s="94"/>
      <c r="J137" s="95"/>
    </row>
    <row r="138" spans="2:10">
      <c r="B138" s="96"/>
      <c r="F138" s="94"/>
      <c r="G138" s="94"/>
      <c r="H138" s="95"/>
      <c r="I138" s="94"/>
      <c r="J138" s="95"/>
    </row>
    <row r="139" spans="2:10">
      <c r="B139" s="98"/>
      <c r="C139" s="98"/>
      <c r="D139" s="98"/>
      <c r="E139" s="99" t="s">
        <v>495</v>
      </c>
      <c r="F139" s="100">
        <f>SUM(F128:F134)</f>
        <v>162.19999999999999</v>
      </c>
      <c r="G139" s="100">
        <f>SUM(G128:G134)</f>
        <v>228.11388174289513</v>
      </c>
      <c r="H139" s="99" t="s">
        <v>266</v>
      </c>
      <c r="I139" s="94"/>
      <c r="J139" s="95"/>
    </row>
  </sheetData>
  <mergeCells count="1">
    <mergeCell ref="B2:H2"/>
  </mergeCells>
  <phoneticPr fontId="26" type="noConversion"/>
  <pageMargins left="4.3307086614173231" right="0" top="0.39370078740157483" bottom="0" header="0" footer="0"/>
  <pageSetup paperSize="262" scale="11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879D0-994B-48B3-9025-4994118DEC47}">
  <sheetPr codeName="Planilha12">
    <tabColor rgb="FFFFC000"/>
  </sheetPr>
  <dimension ref="B2:R23"/>
  <sheetViews>
    <sheetView showGridLines="0" workbookViewId="0">
      <selection activeCell="J14" sqref="J14:J16"/>
    </sheetView>
  </sheetViews>
  <sheetFormatPr defaultRowHeight="14.5"/>
  <cols>
    <col min="3" max="14" width="8.54296875" customWidth="1"/>
    <col min="15" max="15" width="10.54296875" bestFit="1" customWidth="1"/>
  </cols>
  <sheetData>
    <row r="2" spans="2:18" ht="32.25" customHeight="1" thickBot="1">
      <c r="C2" s="586" t="s">
        <v>567</v>
      </c>
      <c r="D2" s="587"/>
      <c r="E2" s="588"/>
      <c r="F2" s="586" t="s">
        <v>568</v>
      </c>
      <c r="G2" s="587"/>
      <c r="H2" s="588"/>
      <c r="I2" s="586" t="s">
        <v>569</v>
      </c>
      <c r="J2" s="587"/>
      <c r="K2" s="588"/>
      <c r="L2" s="586" t="s">
        <v>570</v>
      </c>
      <c r="M2" s="587"/>
      <c r="N2" s="588"/>
      <c r="O2" s="584" t="s">
        <v>571</v>
      </c>
    </row>
    <row r="3" spans="2:18" ht="16" thickBot="1">
      <c r="C3" s="89" t="s">
        <v>295</v>
      </c>
      <c r="D3" s="89" t="s">
        <v>296</v>
      </c>
      <c r="E3" s="89" t="s">
        <v>297</v>
      </c>
      <c r="F3" s="89" t="s">
        <v>298</v>
      </c>
      <c r="G3" s="89" t="s">
        <v>299</v>
      </c>
      <c r="H3" s="89" t="s">
        <v>300</v>
      </c>
      <c r="I3" s="89" t="s">
        <v>301</v>
      </c>
      <c r="J3" s="89" t="s">
        <v>302</v>
      </c>
      <c r="K3" s="89" t="s">
        <v>303</v>
      </c>
      <c r="L3" s="89" t="s">
        <v>304</v>
      </c>
      <c r="M3" s="89" t="s">
        <v>305</v>
      </c>
      <c r="N3" s="89" t="s">
        <v>306</v>
      </c>
      <c r="O3" s="585"/>
    </row>
    <row r="4" spans="2:18" ht="15.75" customHeight="1" thickBot="1">
      <c r="B4" s="577" t="s">
        <v>572</v>
      </c>
      <c r="C4" s="578">
        <v>2296.2831022281198</v>
      </c>
      <c r="D4" s="579"/>
      <c r="E4" s="579"/>
      <c r="F4" s="581">
        <v>1831.8922972494199</v>
      </c>
      <c r="G4" s="579"/>
      <c r="H4" s="579"/>
      <c r="I4" s="581">
        <v>2780.2243970070999</v>
      </c>
      <c r="J4" s="579"/>
      <c r="K4" s="579"/>
      <c r="L4" s="581">
        <v>4545.6947170070998</v>
      </c>
      <c r="M4" s="579"/>
      <c r="N4" s="579"/>
      <c r="O4" s="575">
        <f>SUM(C4:N5)</f>
        <v>11454.09451349174</v>
      </c>
    </row>
    <row r="5" spans="2:18" ht="15.75" customHeight="1" thickBot="1">
      <c r="B5" s="577"/>
      <c r="C5" s="580"/>
      <c r="D5" s="579"/>
      <c r="E5" s="579"/>
      <c r="F5" s="579"/>
      <c r="G5" s="579"/>
      <c r="H5" s="579"/>
      <c r="I5" s="579"/>
      <c r="J5" s="579"/>
      <c r="K5" s="579"/>
      <c r="L5" s="579"/>
      <c r="M5" s="579"/>
      <c r="N5" s="579"/>
      <c r="O5" s="576"/>
    </row>
    <row r="6" spans="2:18" ht="15.75" customHeight="1" thickBot="1">
      <c r="B6" s="577" t="s">
        <v>546</v>
      </c>
      <c r="C6" s="578">
        <v>2296.2831022281198</v>
      </c>
      <c r="D6" s="579"/>
      <c r="E6" s="579"/>
      <c r="F6" s="581">
        <v>1836.4851738155201</v>
      </c>
      <c r="G6" s="579"/>
      <c r="H6" s="579"/>
      <c r="I6" s="581">
        <v>2711.6013670071102</v>
      </c>
      <c r="J6" s="579"/>
      <c r="K6" s="579"/>
      <c r="L6" s="581">
        <v>6607.5947170071004</v>
      </c>
      <c r="M6" s="579"/>
      <c r="N6" s="579"/>
      <c r="O6" s="575">
        <f>SUM(C6:N7)</f>
        <v>13451.964360057849</v>
      </c>
    </row>
    <row r="7" spans="2:18" ht="15.75" customHeight="1" thickBot="1">
      <c r="B7" s="577"/>
      <c r="C7" s="580"/>
      <c r="D7" s="579"/>
      <c r="E7" s="579"/>
      <c r="F7" s="579"/>
      <c r="G7" s="579"/>
      <c r="H7" s="579"/>
      <c r="I7" s="579"/>
      <c r="J7" s="579"/>
      <c r="K7" s="579"/>
      <c r="L7" s="579"/>
      <c r="M7" s="579"/>
      <c r="N7" s="579"/>
      <c r="O7" s="576"/>
      <c r="P7" s="112"/>
    </row>
    <row r="8" spans="2:18" ht="15.75" customHeight="1" thickBot="1">
      <c r="B8" s="577" t="s">
        <v>566</v>
      </c>
      <c r="C8" s="578">
        <v>2296.2831022281198</v>
      </c>
      <c r="D8" s="579"/>
      <c r="E8" s="579"/>
      <c r="F8" s="581">
        <v>1836.4851738155201</v>
      </c>
      <c r="G8" s="579"/>
      <c r="H8" s="579"/>
      <c r="I8" s="582">
        <v>2319.0695670071</v>
      </c>
      <c r="J8" s="583"/>
      <c r="K8" s="583"/>
      <c r="L8" s="581">
        <v>6594.8412845746698</v>
      </c>
      <c r="M8" s="579"/>
      <c r="N8" s="579"/>
      <c r="O8" s="575">
        <f>SUM(C8:N9)</f>
        <v>13046.67912762541</v>
      </c>
    </row>
    <row r="9" spans="2:18" ht="15" customHeight="1" thickBot="1">
      <c r="B9" s="577"/>
      <c r="C9" s="580"/>
      <c r="D9" s="579"/>
      <c r="E9" s="579"/>
      <c r="F9" s="579"/>
      <c r="G9" s="579"/>
      <c r="H9" s="579"/>
      <c r="I9" s="583"/>
      <c r="J9" s="583"/>
      <c r="K9" s="583"/>
      <c r="L9" s="579"/>
      <c r="M9" s="579"/>
      <c r="N9" s="579"/>
      <c r="O9" s="576"/>
      <c r="P9" s="112"/>
      <c r="Q9" s="112"/>
      <c r="R9" s="112"/>
    </row>
    <row r="10" spans="2:18">
      <c r="K10" s="112">
        <f>I8-I6</f>
        <v>-392.53180000001021</v>
      </c>
      <c r="N10" s="112">
        <f>L8-L6</f>
        <v>-12.7534324324306</v>
      </c>
      <c r="P10" s="112"/>
    </row>
    <row r="12" spans="2:18">
      <c r="B12" s="114" t="s">
        <v>574</v>
      </c>
      <c r="I12" s="113" t="s">
        <v>583</v>
      </c>
    </row>
    <row r="13" spans="2:18">
      <c r="B13">
        <v>100</v>
      </c>
      <c r="C13" t="s">
        <v>575</v>
      </c>
      <c r="I13" s="114" t="s">
        <v>584</v>
      </c>
      <c r="J13" s="114">
        <v>7.2</v>
      </c>
    </row>
    <row r="14" spans="2:18">
      <c r="B14">
        <v>10</v>
      </c>
      <c r="C14" t="s">
        <v>576</v>
      </c>
      <c r="I14" t="s">
        <v>379</v>
      </c>
      <c r="J14" s="117">
        <v>-3.7</v>
      </c>
    </row>
    <row r="15" spans="2:18">
      <c r="B15">
        <v>50</v>
      </c>
      <c r="C15" t="s">
        <v>577</v>
      </c>
      <c r="I15" t="s">
        <v>585</v>
      </c>
      <c r="J15" s="117">
        <v>-2.4</v>
      </c>
    </row>
    <row r="16" spans="2:18">
      <c r="B16" s="115">
        <f>SUM(B13:B15)</f>
        <v>160</v>
      </c>
      <c r="C16" s="115" t="s">
        <v>495</v>
      </c>
      <c r="I16" s="116" t="s">
        <v>586</v>
      </c>
      <c r="J16" s="117">
        <v>-1.8</v>
      </c>
    </row>
    <row r="18" spans="2:3">
      <c r="B18" s="114" t="s">
        <v>578</v>
      </c>
    </row>
    <row r="19" spans="2:3">
      <c r="B19">
        <v>60</v>
      </c>
      <c r="C19" t="s">
        <v>579</v>
      </c>
    </row>
    <row r="20" spans="2:3">
      <c r="B20">
        <v>27</v>
      </c>
      <c r="C20" t="s">
        <v>580</v>
      </c>
    </row>
    <row r="21" spans="2:3">
      <c r="B21">
        <v>45</v>
      </c>
      <c r="C21" t="s">
        <v>581</v>
      </c>
    </row>
    <row r="22" spans="2:3">
      <c r="B22">
        <v>159</v>
      </c>
      <c r="C22" t="s">
        <v>582</v>
      </c>
    </row>
    <row r="23" spans="2:3">
      <c r="B23" s="115">
        <f>SUM(B19:B22)</f>
        <v>291</v>
      </c>
      <c r="C23" s="115" t="s">
        <v>495</v>
      </c>
    </row>
  </sheetData>
  <mergeCells count="23">
    <mergeCell ref="O2:O3"/>
    <mergeCell ref="B6:B7"/>
    <mergeCell ref="C6:E7"/>
    <mergeCell ref="F6:H7"/>
    <mergeCell ref="I6:K7"/>
    <mergeCell ref="L6:N7"/>
    <mergeCell ref="O6:O7"/>
    <mergeCell ref="C2:E2"/>
    <mergeCell ref="F2:H2"/>
    <mergeCell ref="I2:K2"/>
    <mergeCell ref="L2:N2"/>
    <mergeCell ref="O8:O9"/>
    <mergeCell ref="B4:B5"/>
    <mergeCell ref="C4:E5"/>
    <mergeCell ref="F4:H5"/>
    <mergeCell ref="I4:K5"/>
    <mergeCell ref="L4:N5"/>
    <mergeCell ref="O4:O5"/>
    <mergeCell ref="B8:B9"/>
    <mergeCell ref="I8:K9"/>
    <mergeCell ref="L8:N9"/>
    <mergeCell ref="C8:E9"/>
    <mergeCell ref="F8:H9"/>
  </mergeCells>
  <phoneticPr fontId="26" type="noConversion"/>
  <pageMargins left="0.511811024" right="0.511811024" top="0.78740157499999996" bottom="0.78740157499999996" header="0.31496062000000002" footer="0.31496062000000002"/>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2FFC5-EFD7-4CBB-A725-C288466B2BCA}">
  <sheetPr codeName="Planilha13">
    <tabColor theme="9" tint="0.79998168889431442"/>
  </sheetPr>
  <dimension ref="B2:I21"/>
  <sheetViews>
    <sheetView showGridLines="0" zoomScaleNormal="100" workbookViewId="0">
      <selection activeCell="D20" sqref="D20"/>
    </sheetView>
  </sheetViews>
  <sheetFormatPr defaultRowHeight="14.5"/>
  <cols>
    <col min="1" max="1" width="2.26953125" customWidth="1"/>
    <col min="2" max="2" width="8.26953125" style="110" customWidth="1"/>
    <col min="3" max="3" width="12.453125" style="110" customWidth="1"/>
    <col min="4" max="4" width="42.54296875" style="110" customWidth="1"/>
    <col min="5" max="5" width="21.7265625" style="110" customWidth="1"/>
    <col min="6" max="6" width="10.7265625" style="110" customWidth="1"/>
    <col min="7" max="7" width="41.54296875" style="110" bestFit="1" customWidth="1"/>
    <col min="8" max="8" width="21.1796875" customWidth="1"/>
    <col min="10" max="14" width="9.26953125" customWidth="1"/>
  </cols>
  <sheetData>
    <row r="2" spans="2:9" ht="18.5">
      <c r="B2" s="589" t="s">
        <v>618</v>
      </c>
      <c r="C2" s="589"/>
      <c r="D2" s="589"/>
      <c r="E2" s="589"/>
      <c r="F2" s="589"/>
      <c r="G2" s="589"/>
    </row>
    <row r="5" spans="2:9">
      <c r="C5" s="131" t="s">
        <v>614</v>
      </c>
      <c r="D5" s="131" t="s">
        <v>615</v>
      </c>
      <c r="E5" s="131" t="s">
        <v>616</v>
      </c>
      <c r="F5" s="131" t="s">
        <v>617</v>
      </c>
      <c r="G5" s="131" t="s">
        <v>619</v>
      </c>
    </row>
    <row r="6" spans="2:9" ht="13.5" customHeight="1">
      <c r="C6" s="110" t="s">
        <v>543</v>
      </c>
      <c r="D6" s="110" t="s">
        <v>544</v>
      </c>
      <c r="E6" s="110" t="s">
        <v>478</v>
      </c>
      <c r="F6" s="132">
        <v>159</v>
      </c>
      <c r="G6" s="126"/>
    </row>
    <row r="7" spans="2:9" ht="13.5" customHeight="1">
      <c r="C7" s="110" t="s">
        <v>309</v>
      </c>
      <c r="D7" s="110" t="s">
        <v>310</v>
      </c>
      <c r="E7" s="110" t="s">
        <v>475</v>
      </c>
      <c r="F7" s="132">
        <v>300</v>
      </c>
      <c r="G7" s="126"/>
    </row>
    <row r="8" spans="2:9" ht="13.5" customHeight="1">
      <c r="C8" s="110" t="s">
        <v>291</v>
      </c>
      <c r="D8" s="110" t="s">
        <v>244</v>
      </c>
      <c r="E8" s="110" t="s">
        <v>480</v>
      </c>
      <c r="F8" s="149" t="s">
        <v>641</v>
      </c>
      <c r="G8" s="126" t="s">
        <v>620</v>
      </c>
      <c r="H8" s="110" t="s">
        <v>637</v>
      </c>
      <c r="I8" s="148" t="s">
        <v>636</v>
      </c>
    </row>
    <row r="9" spans="2:9" ht="13.5" customHeight="1">
      <c r="C9" s="110" t="s">
        <v>292</v>
      </c>
      <c r="D9" s="110" t="s">
        <v>245</v>
      </c>
      <c r="E9" s="110" t="s">
        <v>480</v>
      </c>
      <c r="F9" s="149" t="s">
        <v>638</v>
      </c>
      <c r="G9" s="126" t="s">
        <v>620</v>
      </c>
      <c r="H9" s="110" t="s">
        <v>637</v>
      </c>
      <c r="I9" s="148" t="s">
        <v>636</v>
      </c>
    </row>
    <row r="10" spans="2:9" ht="13.5" customHeight="1">
      <c r="C10" s="110" t="s">
        <v>262</v>
      </c>
      <c r="D10" s="110" t="s">
        <v>243</v>
      </c>
      <c r="E10" s="110" t="s">
        <v>480</v>
      </c>
      <c r="F10" s="149" t="s">
        <v>639</v>
      </c>
      <c r="G10" s="126" t="s">
        <v>620</v>
      </c>
      <c r="H10" s="110" t="s">
        <v>637</v>
      </c>
      <c r="I10" s="148" t="s">
        <v>636</v>
      </c>
    </row>
    <row r="11" spans="2:9" ht="13.5" customHeight="1">
      <c r="C11" s="110" t="s">
        <v>89</v>
      </c>
      <c r="D11" s="110" t="s">
        <v>90</v>
      </c>
      <c r="E11" s="110" t="s">
        <v>476</v>
      </c>
      <c r="F11" s="132">
        <v>378</v>
      </c>
      <c r="G11" s="126"/>
    </row>
    <row r="12" spans="2:9" ht="13.5" customHeight="1">
      <c r="D12" s="110" t="s">
        <v>632</v>
      </c>
      <c r="E12" s="110" t="s">
        <v>635</v>
      </c>
      <c r="F12" s="147">
        <v>300</v>
      </c>
      <c r="G12" s="126"/>
    </row>
    <row r="13" spans="2:9" ht="13.5" customHeight="1">
      <c r="D13" s="110" t="s">
        <v>633</v>
      </c>
      <c r="E13" s="110" t="s">
        <v>634</v>
      </c>
      <c r="F13" s="147">
        <v>170</v>
      </c>
      <c r="G13" s="126"/>
    </row>
    <row r="14" spans="2:9" ht="13.5" customHeight="1">
      <c r="D14" s="110" t="s">
        <v>640</v>
      </c>
      <c r="E14" s="110" t="s">
        <v>478</v>
      </c>
      <c r="F14" s="147"/>
      <c r="G14" s="126"/>
    </row>
    <row r="15" spans="2:9" ht="13.5" customHeight="1">
      <c r="C15" s="110" t="s">
        <v>555</v>
      </c>
      <c r="D15" s="110" t="s">
        <v>565</v>
      </c>
      <c r="E15" s="110" t="s">
        <v>483</v>
      </c>
      <c r="F15" s="147">
        <v>152</v>
      </c>
      <c r="G15" s="126"/>
    </row>
    <row r="16" spans="2:9" ht="13.5" customHeight="1">
      <c r="F16" s="147"/>
      <c r="G16" s="126"/>
    </row>
    <row r="17" spans="2:7">
      <c r="B17" s="133"/>
      <c r="C17" s="133" t="s">
        <v>495</v>
      </c>
      <c r="D17" s="133"/>
      <c r="E17" s="133"/>
      <c r="F17" s="134">
        <f>SUM(F6:F16)</f>
        <v>1459</v>
      </c>
      <c r="G17" s="133"/>
    </row>
    <row r="19" spans="2:7">
      <c r="C19" s="150" t="s">
        <v>642</v>
      </c>
    </row>
    <row r="21" spans="2:7">
      <c r="F21" s="141"/>
    </row>
  </sheetData>
  <mergeCells count="1">
    <mergeCell ref="B2:G2"/>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DD65C-F34D-4871-85D6-F994CBBEDB48}">
  <sheetPr codeName="Planilha4" filterMode="1">
    <tabColor rgb="FF00B050"/>
    <pageSetUpPr fitToPage="1"/>
  </sheetPr>
  <dimension ref="A1:DS274"/>
  <sheetViews>
    <sheetView showGridLines="0" zoomScale="70" zoomScaleNormal="70" zoomScaleSheetLayoutView="25" workbookViewId="0">
      <pane xSplit="28" ySplit="5" topLeftCell="AY6" activePane="bottomRight" state="frozen"/>
      <selection pane="topRight" activeCell="AC1" sqref="AC1"/>
      <selection pane="bottomLeft" activeCell="A6" sqref="A6"/>
      <selection pane="bottomRight" activeCell="BV11" sqref="BV11"/>
    </sheetView>
  </sheetViews>
  <sheetFormatPr defaultColWidth="9.453125" defaultRowHeight="13"/>
  <cols>
    <col min="1" max="1" width="2" style="19" customWidth="1"/>
    <col min="2" max="2" width="6.7265625" style="31" customWidth="1"/>
    <col min="3" max="3" width="12.81640625" style="31" customWidth="1"/>
    <col min="4" max="5" width="14.54296875" style="31" hidden="1" customWidth="1"/>
    <col min="6" max="6" width="9.54296875" style="31" hidden="1" customWidth="1"/>
    <col min="7" max="7" width="15.54296875" style="31" hidden="1" customWidth="1"/>
    <col min="8" max="8" width="12.453125" style="31" hidden="1" customWidth="1"/>
    <col min="9" max="9" width="13.81640625" style="31" hidden="1" customWidth="1"/>
    <col min="10" max="10" width="16.54296875" style="31" hidden="1" customWidth="1"/>
    <col min="11" max="11" width="13.7265625" style="31" hidden="1" customWidth="1"/>
    <col min="12" max="13" width="13.1796875" style="31" hidden="1" customWidth="1"/>
    <col min="14" max="14" width="7.1796875" style="31" hidden="1" customWidth="1"/>
    <col min="15" max="15" width="6" style="31" hidden="1" customWidth="1"/>
    <col min="16" max="17" width="9" style="31" hidden="1" customWidth="1"/>
    <col min="18" max="18" width="7.26953125" style="31" hidden="1" customWidth="1"/>
    <col min="19" max="19" width="13.7265625" style="31" hidden="1" customWidth="1"/>
    <col min="20" max="20" width="12.81640625" style="31" hidden="1" customWidth="1"/>
    <col min="21" max="22" width="17.453125" style="31" hidden="1" customWidth="1"/>
    <col min="23" max="23" width="12" style="31" customWidth="1"/>
    <col min="24" max="24" width="17.453125" style="31" customWidth="1"/>
    <col min="25" max="25" width="47" style="31" customWidth="1"/>
    <col min="26" max="26" width="20.453125" style="31" hidden="1" customWidth="1"/>
    <col min="27" max="27" width="10.453125" style="31" customWidth="1"/>
    <col min="28" max="28" width="39.7265625" style="31" customWidth="1"/>
    <col min="29" max="29" width="16.26953125" style="31" hidden="1" customWidth="1"/>
    <col min="30" max="31" width="13.453125" style="31" hidden="1" customWidth="1"/>
    <col min="32" max="32" width="21.54296875" style="31" hidden="1" customWidth="1"/>
    <col min="33" max="33" width="17.1796875" style="31" hidden="1" customWidth="1"/>
    <col min="34" max="34" width="16.54296875" style="31" hidden="1" customWidth="1"/>
    <col min="35" max="36" width="14.453125" style="31" hidden="1" customWidth="1"/>
    <col min="37" max="42" width="31.26953125" style="31" hidden="1" customWidth="1"/>
    <col min="43" max="43" width="27.81640625" style="31" hidden="1" customWidth="1"/>
    <col min="44" max="44" width="11.26953125" style="33" hidden="1" customWidth="1"/>
    <col min="45" max="45" width="10" style="31" hidden="1" customWidth="1"/>
    <col min="46" max="46" width="15.54296875" style="31" hidden="1" customWidth="1"/>
    <col min="47" max="47" width="10" style="31" hidden="1" customWidth="1"/>
    <col min="48" max="48" width="11.54296875" style="31" hidden="1" customWidth="1"/>
    <col min="49" max="49" width="13.453125" style="31" hidden="1" customWidth="1"/>
    <col min="50" max="50" width="12.453125" style="31" hidden="1" customWidth="1"/>
    <col min="51" max="51" width="13.26953125" style="33" customWidth="1"/>
    <col min="52" max="52" width="10.26953125" style="33" hidden="1" customWidth="1"/>
    <col min="53" max="53" width="9.453125" style="31" customWidth="1"/>
    <col min="54" max="54" width="9.453125" style="31" hidden="1" customWidth="1"/>
    <col min="55" max="55" width="9.453125" style="31" customWidth="1"/>
    <col min="56" max="56" width="9.453125" style="31" hidden="1" customWidth="1"/>
    <col min="57" max="57" width="9.453125" style="31" customWidth="1"/>
    <col min="58" max="58" width="9.453125" style="31" hidden="1" customWidth="1"/>
    <col min="59" max="59" width="9.453125" style="31" customWidth="1"/>
    <col min="60" max="60" width="9.453125" style="31" hidden="1" customWidth="1"/>
    <col min="61" max="61" width="9.453125" style="31" customWidth="1"/>
    <col min="62" max="62" width="9.453125" style="31" hidden="1" customWidth="1"/>
    <col min="63" max="63" width="11.26953125" style="31" customWidth="1"/>
    <col min="64" max="64" width="9.453125" style="31" hidden="1" customWidth="1"/>
    <col min="65" max="65" width="11" style="31" customWidth="1"/>
    <col min="66" max="66" width="9.453125" style="31" hidden="1" customWidth="1"/>
    <col min="67" max="67" width="9.453125" style="31" customWidth="1"/>
    <col min="68" max="68" width="9.453125" style="31" hidden="1" customWidth="1"/>
    <col min="69" max="69" width="9.453125" style="31" customWidth="1"/>
    <col min="70" max="70" width="9.453125" style="31" hidden="1" customWidth="1"/>
    <col min="71" max="71" width="9.453125" style="31" customWidth="1"/>
    <col min="72" max="72" width="9.453125" style="31" hidden="1" customWidth="1"/>
    <col min="73" max="73" width="9.453125" style="31" customWidth="1"/>
    <col min="74" max="74" width="9.26953125" style="31" customWidth="1"/>
    <col min="75" max="76" width="9.54296875" style="31" customWidth="1"/>
    <col min="77" max="77" width="15.81640625" style="31" hidden="1" customWidth="1"/>
    <col min="78" max="79" width="9.453125" style="31" hidden="1" customWidth="1"/>
    <col min="80" max="80" width="11.453125" style="31" hidden="1" customWidth="1"/>
    <col min="81" max="81" width="10.81640625" style="31" hidden="1" customWidth="1"/>
    <col min="82" max="82" width="11.1796875" style="31" hidden="1" customWidth="1"/>
    <col min="83" max="83" width="10.7265625" style="31" hidden="1" customWidth="1"/>
    <col min="84" max="84" width="10.1796875" style="31" hidden="1" customWidth="1"/>
    <col min="85" max="85" width="11.1796875" style="31" hidden="1" customWidth="1"/>
    <col min="86" max="86" width="10.54296875" style="31" hidden="1" customWidth="1"/>
    <col min="87" max="87" width="11.1796875" style="31" hidden="1" customWidth="1"/>
    <col min="88" max="88" width="11.26953125" style="31" hidden="1" customWidth="1"/>
    <col min="89" max="89" width="14.26953125" style="31" hidden="1" customWidth="1"/>
    <col min="90" max="90" width="15.1796875" style="31" hidden="1" customWidth="1"/>
    <col min="91" max="91" width="10.54296875" style="31" hidden="1" customWidth="1"/>
    <col min="92" max="92" width="10.81640625" style="31" hidden="1" customWidth="1"/>
    <col min="93" max="93" width="11.453125" style="31" hidden="1" customWidth="1"/>
    <col min="94" max="94" width="10.81640625" style="31" hidden="1" customWidth="1"/>
    <col min="95" max="95" width="11.1796875" style="31" hidden="1" customWidth="1"/>
    <col min="96" max="96" width="10.7265625" style="31" hidden="1" customWidth="1"/>
    <col min="97" max="97" width="10.1796875" style="31" hidden="1" customWidth="1"/>
    <col min="98" max="98" width="11.1796875" style="31" hidden="1" customWidth="1"/>
    <col min="99" max="99" width="10.54296875" style="31" hidden="1" customWidth="1"/>
    <col min="100" max="100" width="11.1796875" style="31" hidden="1" customWidth="1"/>
    <col min="101" max="101" width="11.26953125" style="31" hidden="1" customWidth="1"/>
    <col min="102" max="102" width="11.1796875" style="31" hidden="1" customWidth="1"/>
    <col min="103" max="103" width="17.1796875" style="31" hidden="1" customWidth="1"/>
    <col min="104" max="104" width="11.81640625" style="31" customWidth="1"/>
    <col min="105" max="105" width="14.453125" style="31" hidden="1" customWidth="1"/>
    <col min="106" max="106" width="17.26953125" style="31" hidden="1" customWidth="1"/>
    <col min="107" max="107" width="17.54296875" style="31" hidden="1" customWidth="1"/>
    <col min="108" max="108" width="18.81640625" style="31" hidden="1" customWidth="1"/>
    <col min="109" max="109" width="14.81640625" style="31" hidden="1" customWidth="1"/>
    <col min="110" max="110" width="20" style="31" hidden="1" customWidth="1"/>
    <col min="111" max="111" width="85.26953125" style="31" hidden="1" customWidth="1"/>
    <col min="112" max="115" width="8.81640625" style="31" hidden="1" customWidth="1"/>
    <col min="116" max="117" width="13.54296875" style="124" bestFit="1" customWidth="1"/>
    <col min="118" max="118" width="13.1796875" style="124" customWidth="1"/>
    <col min="119" max="119" width="13" style="31" customWidth="1"/>
    <col min="120" max="120" width="12.453125" style="31" customWidth="1"/>
    <col min="121" max="121" width="15.26953125" style="31" customWidth="1"/>
    <col min="122" max="122" width="11" style="31" hidden="1" customWidth="1"/>
    <col min="123" max="123" width="15" style="31" hidden="1" customWidth="1"/>
    <col min="124" max="16384" width="9.453125" style="31"/>
  </cols>
  <sheetData>
    <row r="1" spans="1:123" s="17" customFormat="1" ht="31.4" customHeight="1" thickBot="1">
      <c r="C1" s="62"/>
      <c r="D1" s="62"/>
      <c r="E1" s="62"/>
      <c r="I1" s="20"/>
      <c r="AB1" s="184"/>
      <c r="AC1" s="21"/>
      <c r="AH1" s="229">
        <f>AVERAGE(AH6:AH274)</f>
        <v>0.10035263157894737</v>
      </c>
      <c r="AK1" s="21" t="e">
        <f>SUBTOTAL(9,AK6:AK274)</f>
        <v>#REF!</v>
      </c>
      <c r="AL1" s="21">
        <f>SUBTOTAL(9,AL6:AL274)</f>
        <v>0</v>
      </c>
      <c r="AM1" s="21"/>
      <c r="AN1" s="21">
        <f>SUBTOTAL(9,AN6:AN274)</f>
        <v>0</v>
      </c>
      <c r="AO1" s="21"/>
      <c r="AP1" s="21"/>
      <c r="AQ1" s="21"/>
      <c r="AR1" s="21">
        <f t="shared" ref="AR1:DC1" si="0">SUBTOTAL(9,AR6:AR274)</f>
        <v>23280.184755174199</v>
      </c>
      <c r="AS1" s="21">
        <f t="shared" si="0"/>
        <v>18424.388299999995</v>
      </c>
      <c r="AT1" s="21">
        <f t="shared" si="0"/>
        <v>12796.522420000001</v>
      </c>
      <c r="AU1" s="21">
        <f t="shared" si="0"/>
        <v>18357.713644545456</v>
      </c>
      <c r="AV1" s="21">
        <f t="shared" si="0"/>
        <v>608403.87696999975</v>
      </c>
      <c r="AW1" s="21">
        <f t="shared" si="0"/>
        <v>10697.158170000002</v>
      </c>
      <c r="AX1" s="21">
        <f t="shared" si="0"/>
        <v>619101.0351399997</v>
      </c>
      <c r="AY1" s="21">
        <f t="shared" si="0"/>
        <v>17473.939399999992</v>
      </c>
      <c r="AZ1" s="21">
        <f t="shared" si="0"/>
        <v>483.79999999999995</v>
      </c>
      <c r="BA1" s="21">
        <f t="shared" si="0"/>
        <v>374.34207999999973</v>
      </c>
      <c r="BB1" s="21">
        <f t="shared" si="0"/>
        <v>222.57326999999998</v>
      </c>
      <c r="BC1" s="21">
        <f t="shared" si="0"/>
        <v>624.08024000000012</v>
      </c>
      <c r="BD1" s="21">
        <f t="shared" si="0"/>
        <v>422.40046999999993</v>
      </c>
      <c r="BE1" s="21">
        <f t="shared" si="0"/>
        <v>425.80976000000004</v>
      </c>
      <c r="BF1" s="21">
        <f t="shared" si="0"/>
        <v>277.90998999999999</v>
      </c>
      <c r="BG1" s="21">
        <f t="shared" si="0"/>
        <v>498.83113999999995</v>
      </c>
      <c r="BH1" s="21">
        <f t="shared" si="0"/>
        <v>603.78899000000001</v>
      </c>
      <c r="BI1" s="21">
        <f t="shared" si="0"/>
        <v>1582.61995</v>
      </c>
      <c r="BJ1" s="21">
        <f t="shared" si="0"/>
        <v>568.93615</v>
      </c>
      <c r="BK1" s="21">
        <f t="shared" si="0"/>
        <v>975.84845000000007</v>
      </c>
      <c r="BL1" s="21">
        <f t="shared" si="0"/>
        <v>1604.4886333333332</v>
      </c>
      <c r="BM1" s="21">
        <f t="shared" si="0"/>
        <v>1869.9286600000003</v>
      </c>
      <c r="BN1" s="21">
        <f t="shared" si="0"/>
        <v>875.98143041666674</v>
      </c>
      <c r="BO1" s="21">
        <f t="shared" si="0"/>
        <v>950.37592000000006</v>
      </c>
      <c r="BP1" s="21">
        <f t="shared" si="0"/>
        <v>1383.8806037499999</v>
      </c>
      <c r="BQ1" s="21">
        <f t="shared" si="0"/>
        <v>1495.1307400000005</v>
      </c>
      <c r="BR1" s="21">
        <f t="shared" si="0"/>
        <v>1904.0396470833339</v>
      </c>
      <c r="BS1" s="21">
        <f t="shared" si="0"/>
        <v>2338.3660199999999</v>
      </c>
      <c r="BT1" s="21">
        <f t="shared" si="0"/>
        <v>1819.79483375</v>
      </c>
      <c r="BU1" s="21">
        <f t="shared" si="0"/>
        <v>1948.0765199999994</v>
      </c>
      <c r="BV1" s="21">
        <f t="shared" si="0"/>
        <v>4559.8308033333333</v>
      </c>
      <c r="BW1" s="21">
        <f t="shared" si="0"/>
        <v>3882.80278</v>
      </c>
      <c r="BX1" s="21">
        <f t="shared" si="0"/>
        <v>4390.529919999999</v>
      </c>
      <c r="BY1" s="21">
        <f t="shared" si="0"/>
        <v>48577.229525555544</v>
      </c>
      <c r="BZ1" s="21">
        <f t="shared" si="0"/>
        <v>515.11117000000002</v>
      </c>
      <c r="CA1" s="21">
        <f t="shared" si="0"/>
        <v>1911.6336799999999</v>
      </c>
      <c r="CB1" s="21">
        <f t="shared" si="0"/>
        <v>1300.31756</v>
      </c>
      <c r="CC1" s="21">
        <f t="shared" si="0"/>
        <v>2324.0943888888892</v>
      </c>
      <c r="CD1" s="21">
        <f t="shared" si="0"/>
        <v>3386.8130200000001</v>
      </c>
      <c r="CE1" s="21">
        <f t="shared" si="0"/>
        <v>8649.0840714285714</v>
      </c>
      <c r="CF1" s="21">
        <f t="shared" si="0"/>
        <v>1834.780238095238</v>
      </c>
      <c r="CG1" s="21">
        <f t="shared" si="0"/>
        <v>11080.202751428571</v>
      </c>
      <c r="CH1" s="21">
        <f t="shared" si="0"/>
        <v>2236.6437514285712</v>
      </c>
      <c r="CI1" s="21">
        <f t="shared" si="0"/>
        <v>3583.5117514285716</v>
      </c>
      <c r="CJ1" s="21">
        <f t="shared" si="0"/>
        <v>1546.6685714285713</v>
      </c>
      <c r="CK1" s="21">
        <f t="shared" si="0"/>
        <v>10208.368571428571</v>
      </c>
      <c r="CL1" s="21">
        <f t="shared" si="0"/>
        <v>20289.036</v>
      </c>
      <c r="CM1" s="21">
        <f t="shared" si="0"/>
        <v>1745.6659999999999</v>
      </c>
      <c r="CN1" s="21">
        <f t="shared" si="0"/>
        <v>2207.5460000000003</v>
      </c>
      <c r="CO1" s="21">
        <f t="shared" si="0"/>
        <v>1807.5459999999998</v>
      </c>
      <c r="CP1" s="21">
        <f t="shared" si="0"/>
        <v>1686.8793333333333</v>
      </c>
      <c r="CQ1" s="21">
        <f t="shared" si="0"/>
        <v>1624.9993333333332</v>
      </c>
      <c r="CR1" s="21">
        <f t="shared" si="0"/>
        <v>1624.9993333333332</v>
      </c>
      <c r="CS1" s="21">
        <f t="shared" si="0"/>
        <v>1629.0333333333333</v>
      </c>
      <c r="CT1" s="21">
        <f t="shared" si="0"/>
        <v>1629.0333333333333</v>
      </c>
      <c r="CU1" s="21">
        <f t="shared" si="0"/>
        <v>1583.3333333333333</v>
      </c>
      <c r="CV1" s="21">
        <f t="shared" si="0"/>
        <v>1583.3333333333333</v>
      </c>
      <c r="CW1" s="21">
        <f t="shared" si="0"/>
        <v>1583.3333333333333</v>
      </c>
      <c r="CX1" s="21">
        <f t="shared" si="0"/>
        <v>1583.3333333333333</v>
      </c>
      <c r="CY1" s="21">
        <f t="shared" si="0"/>
        <v>169.30088333333322</v>
      </c>
      <c r="CZ1" s="21">
        <f t="shared" si="0"/>
        <v>-507.72714000000002</v>
      </c>
      <c r="DA1" s="21">
        <f t="shared" si="0"/>
        <v>13083.409479999989</v>
      </c>
      <c r="DB1" s="21">
        <f t="shared" si="0"/>
        <v>4390.529919999999</v>
      </c>
      <c r="DC1" s="21">
        <f t="shared" si="0"/>
        <v>65058.963925555545</v>
      </c>
      <c r="DD1" s="21">
        <f>SUBTOTAL(9,DD6:DD274)</f>
        <v>55379.146283749993</v>
      </c>
      <c r="DE1" s="21">
        <f>SUBTOTAL(9,DE6:DE274)</f>
        <v>9440.8176418055555</v>
      </c>
      <c r="DF1" s="21" t="e">
        <f>SUBTOTAL(9,DF6:DF274)</f>
        <v>#REF!</v>
      </c>
      <c r="DG1" s="21"/>
      <c r="DH1" s="21">
        <f t="shared" ref="DH1:DS1" si="1">SUBTOTAL(9,DH6:DH274)</f>
        <v>1424.2320800000002</v>
      </c>
      <c r="DI1" s="21">
        <f t="shared" si="1"/>
        <v>3057.29954</v>
      </c>
      <c r="DJ1" s="21">
        <f t="shared" si="1"/>
        <v>4315.4353200000014</v>
      </c>
      <c r="DK1" s="21" t="e">
        <f t="shared" si="1"/>
        <v>#REF!</v>
      </c>
      <c r="DL1" s="21">
        <f t="shared" si="1"/>
        <v>144563.31438000005</v>
      </c>
      <c r="DM1" s="21">
        <f t="shared" si="1"/>
        <v>86993.888679999975</v>
      </c>
      <c r="DN1" s="21">
        <f t="shared" si="1"/>
        <v>18566.059880000012</v>
      </c>
      <c r="DO1" s="21">
        <f t="shared" si="1"/>
        <v>1926.5549899999999</v>
      </c>
      <c r="DP1" s="21">
        <f t="shared" si="1"/>
        <v>107486.50354999994</v>
      </c>
      <c r="DQ1" s="21">
        <f t="shared" si="1"/>
        <v>37076.810830000017</v>
      </c>
      <c r="DR1" s="21" t="e">
        <f t="shared" si="1"/>
        <v>#N/A</v>
      </c>
      <c r="DS1" s="21" t="e">
        <f t="shared" si="1"/>
        <v>#N/A</v>
      </c>
    </row>
    <row r="2" spans="1:123" s="23" customFormat="1" ht="34.5" customHeight="1" thickBot="1">
      <c r="A2" s="18"/>
      <c r="B2" s="164" t="s">
        <v>736</v>
      </c>
      <c r="C2" s="193"/>
      <c r="D2" s="25"/>
      <c r="E2" s="25"/>
      <c r="F2" s="22"/>
      <c r="G2" s="22"/>
      <c r="H2" s="22"/>
      <c r="J2" s="22"/>
      <c r="K2" s="22"/>
      <c r="L2" s="22"/>
      <c r="M2" s="22"/>
      <c r="N2" s="22"/>
      <c r="O2" s="22"/>
      <c r="P2" s="22"/>
      <c r="Q2" s="22"/>
      <c r="R2" s="194"/>
      <c r="S2" s="22"/>
      <c r="T2" s="22"/>
      <c r="U2" s="22"/>
      <c r="V2" s="22"/>
      <c r="W2" s="22"/>
      <c r="X2" s="22"/>
      <c r="Y2" s="22"/>
      <c r="Z2" s="27"/>
      <c r="AA2" s="28"/>
      <c r="AB2" s="184">
        <v>1701.3099099999999</v>
      </c>
      <c r="AC2" s="184"/>
      <c r="AD2" s="29"/>
      <c r="AE2" s="29"/>
      <c r="AF2" s="184"/>
      <c r="AG2" s="184"/>
      <c r="AH2" s="184"/>
      <c r="AI2" s="28"/>
      <c r="AJ2" s="28"/>
      <c r="AK2" s="29"/>
      <c r="AL2" s="29"/>
      <c r="AM2" s="29"/>
      <c r="AN2" s="29"/>
      <c r="AO2" s="29"/>
      <c r="AP2" s="29"/>
      <c r="AQ2" s="29"/>
      <c r="AR2" s="29"/>
      <c r="AS2" s="29"/>
      <c r="AT2" s="29"/>
      <c r="AU2" s="29"/>
      <c r="AV2" s="29"/>
      <c r="AW2" s="29"/>
      <c r="AX2" s="29"/>
      <c r="AY2" s="590">
        <v>2021</v>
      </c>
      <c r="AZ2" s="591"/>
      <c r="BA2" s="591"/>
      <c r="BB2" s="591"/>
      <c r="BC2" s="591"/>
      <c r="BD2" s="591"/>
      <c r="BE2" s="591"/>
      <c r="BF2" s="591"/>
      <c r="BG2" s="591"/>
      <c r="BH2" s="591"/>
      <c r="BI2" s="591"/>
      <c r="BJ2" s="591"/>
      <c r="BK2" s="591"/>
      <c r="BL2" s="591"/>
      <c r="BM2" s="591"/>
      <c r="BN2" s="591"/>
      <c r="BO2" s="591"/>
      <c r="BP2" s="591"/>
      <c r="BQ2" s="591"/>
      <c r="BR2" s="591"/>
      <c r="BS2" s="591"/>
      <c r="BT2" s="591"/>
      <c r="BU2" s="591"/>
      <c r="BV2" s="592"/>
      <c r="BW2" s="290"/>
      <c r="BX2" s="290"/>
      <c r="BY2" s="593">
        <v>2022</v>
      </c>
      <c r="BZ2" s="593"/>
      <c r="CA2" s="593"/>
      <c r="CB2" s="593"/>
      <c r="CC2" s="593"/>
      <c r="CD2" s="593"/>
      <c r="CE2" s="593"/>
      <c r="CF2" s="593"/>
      <c r="CG2" s="593"/>
      <c r="CH2" s="593"/>
      <c r="CI2" s="593"/>
      <c r="CJ2" s="593"/>
      <c r="CK2" s="593"/>
      <c r="CL2" s="594">
        <v>2023</v>
      </c>
      <c r="CM2" s="594"/>
      <c r="CN2" s="594"/>
      <c r="CO2" s="594"/>
      <c r="CP2" s="594"/>
      <c r="CQ2" s="594"/>
      <c r="CR2" s="594"/>
      <c r="CS2" s="594"/>
      <c r="CT2" s="594"/>
      <c r="CU2" s="594"/>
      <c r="CV2" s="594"/>
      <c r="CW2" s="594"/>
      <c r="CX2" s="594"/>
      <c r="DL2" s="118"/>
      <c r="DM2" s="118"/>
      <c r="DN2" s="118"/>
    </row>
    <row r="3" spans="1:123" s="23" customFormat="1" ht="8.15" customHeight="1" thickTop="1" thickBot="1">
      <c r="A3" s="18"/>
      <c r="B3" s="36"/>
      <c r="C3" s="36"/>
      <c r="D3" s="35"/>
      <c r="E3" s="35"/>
      <c r="F3" s="35"/>
      <c r="G3" s="35"/>
      <c r="H3" s="35"/>
      <c r="I3" s="35"/>
      <c r="J3" s="35"/>
      <c r="K3" s="59"/>
      <c r="L3" s="59"/>
      <c r="M3" s="35"/>
      <c r="N3" s="35"/>
      <c r="O3" s="35"/>
      <c r="P3" s="36"/>
      <c r="Q3" s="36"/>
      <c r="R3" s="59"/>
      <c r="S3" s="35"/>
      <c r="T3" s="35"/>
      <c r="U3" s="59"/>
      <c r="V3" s="36"/>
      <c r="W3" s="36"/>
      <c r="X3" s="36"/>
      <c r="Y3" s="36"/>
      <c r="Z3" s="27"/>
      <c r="AA3" s="28"/>
      <c r="AB3" s="28"/>
      <c r="AC3" s="28"/>
      <c r="AD3" s="53"/>
      <c r="AE3" s="53"/>
      <c r="AF3" s="36"/>
      <c r="AG3" s="36"/>
      <c r="AH3" s="36"/>
      <c r="AI3" s="28"/>
      <c r="AJ3" s="28"/>
      <c r="AK3" s="28"/>
      <c r="AL3" s="28"/>
      <c r="AM3" s="28"/>
      <c r="AN3" s="28"/>
      <c r="AO3" s="28"/>
      <c r="AP3" s="28"/>
      <c r="AQ3" s="28"/>
      <c r="AR3" s="53"/>
      <c r="AS3" s="29"/>
      <c r="AT3" s="29"/>
      <c r="AU3" s="29"/>
      <c r="AV3" s="29"/>
      <c r="AW3" s="29"/>
      <c r="AX3" s="29"/>
      <c r="AY3" s="575">
        <f>SUM(AZ3,BF3,BL3,BR3)</f>
        <v>17473.939399999996</v>
      </c>
      <c r="AZ3" s="595">
        <f>SUM(BA1,BC1,BE1)</f>
        <v>1424.23208</v>
      </c>
      <c r="BA3" s="596"/>
      <c r="BB3" s="596"/>
      <c r="BC3" s="596"/>
      <c r="BD3" s="596"/>
      <c r="BE3" s="597"/>
      <c r="BF3" s="595">
        <f>SUM(BG1,BI1,BK1)</f>
        <v>3057.29954</v>
      </c>
      <c r="BG3" s="596"/>
      <c r="BH3" s="596"/>
      <c r="BI3" s="596"/>
      <c r="BJ3" s="596"/>
      <c r="BK3" s="597"/>
      <c r="BL3" s="595">
        <f>SUM(BM1,BO1,BQ1)</f>
        <v>4315.4353200000005</v>
      </c>
      <c r="BM3" s="596"/>
      <c r="BN3" s="596"/>
      <c r="BO3" s="596"/>
      <c r="BP3" s="596"/>
      <c r="BQ3" s="596"/>
      <c r="BR3" s="595">
        <f>SUM(BS1,BU1,BX1)</f>
        <v>8676.9724599999972</v>
      </c>
      <c r="BS3" s="596"/>
      <c r="BT3" s="596"/>
      <c r="BU3" s="596"/>
      <c r="BV3" s="596"/>
      <c r="BW3" s="596"/>
      <c r="BX3" s="597"/>
      <c r="BY3" s="575">
        <f>BZ3+CC3+CF3+CI3</f>
        <v>48577.229525555551</v>
      </c>
      <c r="BZ3" s="581">
        <f>SUM(BZ1:CB1)</f>
        <v>3727.06241</v>
      </c>
      <c r="CA3" s="579"/>
      <c r="CB3" s="579"/>
      <c r="CC3" s="581">
        <f>SUM(CC1:CE1)</f>
        <v>14359.991480317462</v>
      </c>
      <c r="CD3" s="579"/>
      <c r="CE3" s="579"/>
      <c r="CF3" s="581">
        <f>SUM(CF1:CH1)</f>
        <v>15151.626740952381</v>
      </c>
      <c r="CG3" s="579"/>
      <c r="CH3" s="579"/>
      <c r="CI3" s="581">
        <f>SUM(CI1:CK1)</f>
        <v>15338.548894285714</v>
      </c>
      <c r="CJ3" s="579"/>
      <c r="CK3" s="579"/>
      <c r="CL3" s="575">
        <f>CM3+CP3+CS3+CV3</f>
        <v>20289.036</v>
      </c>
      <c r="CM3" s="581">
        <f>SUM(CM1:CO1)</f>
        <v>5760.7579999999998</v>
      </c>
      <c r="CN3" s="579"/>
      <c r="CO3" s="579"/>
      <c r="CP3" s="581">
        <f>SUM(CP1:CR1)</f>
        <v>4936.8779999999997</v>
      </c>
      <c r="CQ3" s="579"/>
      <c r="CR3" s="579"/>
      <c r="CS3" s="581">
        <f>SUM(CS1:CU1)</f>
        <v>4841.3999999999996</v>
      </c>
      <c r="CT3" s="579"/>
      <c r="CU3" s="579"/>
      <c r="CV3" s="581">
        <f>SUM(CV1:CX1)</f>
        <v>4750</v>
      </c>
      <c r="CW3" s="579"/>
      <c r="CX3" s="579"/>
      <c r="CY3" s="601">
        <f>SUBTOTAL(9,CY6:CY274)</f>
        <v>169.30088333333322</v>
      </c>
      <c r="DB3" s="601">
        <f>SUBTOTAL(9,DB6:DB274)</f>
        <v>4390.529919999999</v>
      </c>
      <c r="DC3" s="21"/>
      <c r="DD3" s="21"/>
      <c r="DE3" s="21"/>
      <c r="DF3" s="601" t="e">
        <f>SUBTOTAL(9,DF6:DF274)</f>
        <v>#REF!</v>
      </c>
      <c r="DG3" s="21"/>
      <c r="DH3" s="21"/>
      <c r="DI3" s="21"/>
      <c r="DJ3" s="21"/>
      <c r="DK3" s="21"/>
      <c r="DL3" s="601">
        <f t="shared" ref="DL3:DQ3" si="2">SUBTOTAL(9,DL6:DL274)</f>
        <v>144563.31438000005</v>
      </c>
      <c r="DM3" s="601">
        <f t="shared" si="2"/>
        <v>86993.888679999975</v>
      </c>
      <c r="DN3" s="601">
        <f t="shared" si="2"/>
        <v>18566.059880000012</v>
      </c>
      <c r="DO3" s="601">
        <f t="shared" si="2"/>
        <v>1926.5549899999999</v>
      </c>
      <c r="DP3" s="601">
        <f t="shared" si="2"/>
        <v>107486.50354999994</v>
      </c>
      <c r="DQ3" s="601">
        <f t="shared" si="2"/>
        <v>37076.810830000017</v>
      </c>
    </row>
    <row r="4" spans="1:123" s="23" customFormat="1" ht="15" customHeight="1" thickTop="1" thickBot="1">
      <c r="A4" s="18"/>
      <c r="B4" s="36"/>
      <c r="C4" s="25"/>
      <c r="D4" s="25"/>
      <c r="E4" s="25"/>
      <c r="F4" s="22"/>
      <c r="G4" s="22"/>
      <c r="H4" s="22"/>
      <c r="J4" s="22"/>
      <c r="K4" s="22"/>
      <c r="L4" s="22"/>
      <c r="M4" s="22"/>
      <c r="N4" s="22"/>
      <c r="O4" s="22"/>
      <c r="P4" s="22"/>
      <c r="Q4" s="22"/>
      <c r="S4" s="22"/>
      <c r="T4" s="22"/>
      <c r="U4" s="22"/>
      <c r="V4" s="22"/>
      <c r="W4" s="22"/>
      <c r="X4" s="22"/>
      <c r="Y4" s="22"/>
      <c r="Z4" s="27"/>
      <c r="AA4" s="28"/>
      <c r="AB4" s="28"/>
      <c r="AC4" s="28"/>
      <c r="AD4" s="191"/>
      <c r="AE4" s="191"/>
      <c r="AF4" s="24"/>
      <c r="AG4" s="24"/>
      <c r="AH4" s="24"/>
      <c r="AI4" s="28"/>
      <c r="AJ4" s="28"/>
      <c r="AK4" s="28"/>
      <c r="AL4" s="28"/>
      <c r="AM4" s="28"/>
      <c r="AN4" s="28"/>
      <c r="AO4" s="28"/>
      <c r="AP4" s="28"/>
      <c r="AQ4" s="28"/>
      <c r="AR4" s="53"/>
      <c r="AS4" s="29"/>
      <c r="AT4" s="29"/>
      <c r="AU4" s="29"/>
      <c r="AV4" s="29"/>
      <c r="AW4" s="29"/>
      <c r="AX4" s="29"/>
      <c r="AY4" s="576"/>
      <c r="AZ4" s="598"/>
      <c r="BA4" s="599"/>
      <c r="BB4" s="599"/>
      <c r="BC4" s="599"/>
      <c r="BD4" s="599"/>
      <c r="BE4" s="600"/>
      <c r="BF4" s="598"/>
      <c r="BG4" s="599"/>
      <c r="BH4" s="599"/>
      <c r="BI4" s="599"/>
      <c r="BJ4" s="599"/>
      <c r="BK4" s="600"/>
      <c r="BL4" s="598"/>
      <c r="BM4" s="599"/>
      <c r="BN4" s="599"/>
      <c r="BO4" s="599"/>
      <c r="BP4" s="599"/>
      <c r="BQ4" s="599"/>
      <c r="BR4" s="598"/>
      <c r="BS4" s="599"/>
      <c r="BT4" s="599"/>
      <c r="BU4" s="599"/>
      <c r="BV4" s="599"/>
      <c r="BW4" s="599"/>
      <c r="BX4" s="600"/>
      <c r="BY4" s="576"/>
      <c r="BZ4" s="579"/>
      <c r="CA4" s="579"/>
      <c r="CB4" s="579"/>
      <c r="CC4" s="579"/>
      <c r="CD4" s="579"/>
      <c r="CE4" s="579"/>
      <c r="CF4" s="579"/>
      <c r="CG4" s="579"/>
      <c r="CH4" s="579"/>
      <c r="CI4" s="579"/>
      <c r="CJ4" s="579"/>
      <c r="CK4" s="579"/>
      <c r="CL4" s="576"/>
      <c r="CM4" s="579"/>
      <c r="CN4" s="579"/>
      <c r="CO4" s="579"/>
      <c r="CP4" s="579"/>
      <c r="CQ4" s="579"/>
      <c r="CR4" s="579"/>
      <c r="CS4" s="579"/>
      <c r="CT4" s="579"/>
      <c r="CU4" s="579"/>
      <c r="CV4" s="579"/>
      <c r="CW4" s="579"/>
      <c r="CX4" s="579"/>
      <c r="CY4" s="602"/>
      <c r="DB4" s="602"/>
      <c r="DC4" s="289"/>
      <c r="DD4" s="289"/>
      <c r="DE4" s="289"/>
      <c r="DF4" s="602"/>
      <c r="DG4" s="21"/>
      <c r="DH4" s="21"/>
      <c r="DI4" s="21"/>
      <c r="DJ4" s="21"/>
      <c r="DK4" s="21"/>
      <c r="DL4" s="602"/>
      <c r="DM4" s="602"/>
      <c r="DN4" s="602"/>
      <c r="DO4" s="602"/>
      <c r="DP4" s="602"/>
      <c r="DQ4" s="602"/>
    </row>
    <row r="5" spans="1:123" s="30" customFormat="1" ht="71.150000000000006" customHeight="1" thickBot="1">
      <c r="A5" s="18"/>
      <c r="B5" s="1" t="s">
        <v>194</v>
      </c>
      <c r="C5" s="1" t="s">
        <v>1102</v>
      </c>
      <c r="D5" s="1" t="s">
        <v>746</v>
      </c>
      <c r="E5" s="1" t="s">
        <v>758</v>
      </c>
      <c r="F5" s="1" t="s">
        <v>461</v>
      </c>
      <c r="G5" s="1" t="s">
        <v>458</v>
      </c>
      <c r="H5" s="1" t="s">
        <v>459</v>
      </c>
      <c r="I5" s="1" t="s">
        <v>460</v>
      </c>
      <c r="J5" s="1" t="s">
        <v>721</v>
      </c>
      <c r="K5" s="1" t="s">
        <v>725</v>
      </c>
      <c r="L5" s="1" t="s">
        <v>724</v>
      </c>
      <c r="M5" s="1" t="s">
        <v>1307</v>
      </c>
      <c r="N5" s="1" t="s">
        <v>1392</v>
      </c>
      <c r="O5" s="1" t="s">
        <v>1109</v>
      </c>
      <c r="P5" s="1" t="s">
        <v>1020</v>
      </c>
      <c r="Q5" s="1" t="s">
        <v>1363</v>
      </c>
      <c r="R5" s="1" t="s">
        <v>193</v>
      </c>
      <c r="S5" s="1" t="s">
        <v>220</v>
      </c>
      <c r="T5" s="1" t="s">
        <v>949</v>
      </c>
      <c r="U5" s="1" t="s">
        <v>191</v>
      </c>
      <c r="V5" s="1" t="s">
        <v>485</v>
      </c>
      <c r="W5" s="1" t="s">
        <v>703</v>
      </c>
      <c r="X5" s="1" t="s">
        <v>464</v>
      </c>
      <c r="Y5" s="1" t="s">
        <v>3</v>
      </c>
      <c r="Z5" s="1" t="s">
        <v>190</v>
      </c>
      <c r="AA5" s="1" t="s">
        <v>455</v>
      </c>
      <c r="AB5" s="1" t="s">
        <v>457</v>
      </c>
      <c r="AC5" s="182" t="s">
        <v>714</v>
      </c>
      <c r="AD5" s="176" t="s">
        <v>715</v>
      </c>
      <c r="AE5" s="199" t="s">
        <v>1018</v>
      </c>
      <c r="AF5" s="1" t="s">
        <v>1129</v>
      </c>
      <c r="AG5" s="1" t="s">
        <v>1130</v>
      </c>
      <c r="AH5" s="1" t="s">
        <v>1131</v>
      </c>
      <c r="AI5" s="1" t="s">
        <v>1087</v>
      </c>
      <c r="AJ5" s="1" t="s">
        <v>1308</v>
      </c>
      <c r="AK5" s="175" t="s">
        <v>1181</v>
      </c>
      <c r="AL5" s="225" t="s">
        <v>1174</v>
      </c>
      <c r="AM5" s="225" t="s">
        <v>1186</v>
      </c>
      <c r="AN5" s="225" t="s">
        <v>1184</v>
      </c>
      <c r="AO5" s="225" t="s">
        <v>1182</v>
      </c>
      <c r="AP5" s="225" t="s">
        <v>1183</v>
      </c>
      <c r="AQ5" s="225" t="s">
        <v>1185</v>
      </c>
      <c r="AR5" s="55" t="s">
        <v>1084</v>
      </c>
      <c r="AS5" s="55" t="s">
        <v>1085</v>
      </c>
      <c r="AT5" s="55" t="s">
        <v>216</v>
      </c>
      <c r="AU5" s="55" t="s">
        <v>1086</v>
      </c>
      <c r="AV5" s="14" t="s">
        <v>229</v>
      </c>
      <c r="AW5" s="14" t="s">
        <v>230</v>
      </c>
      <c r="AX5" s="14" t="s">
        <v>307</v>
      </c>
      <c r="AY5" s="172" t="s">
        <v>334</v>
      </c>
      <c r="AZ5" s="167" t="s">
        <v>1064</v>
      </c>
      <c r="BA5" s="168" t="s">
        <v>726</v>
      </c>
      <c r="BB5" s="167" t="s">
        <v>1065</v>
      </c>
      <c r="BC5" s="168" t="s">
        <v>743</v>
      </c>
      <c r="BD5" s="167" t="s">
        <v>1066</v>
      </c>
      <c r="BE5" s="168" t="s">
        <v>804</v>
      </c>
      <c r="BF5" s="167" t="s">
        <v>1067</v>
      </c>
      <c r="BG5" s="168" t="s">
        <v>860</v>
      </c>
      <c r="BH5" s="167" t="s">
        <v>1068</v>
      </c>
      <c r="BI5" s="168" t="s">
        <v>1003</v>
      </c>
      <c r="BJ5" s="167" t="s">
        <v>1069</v>
      </c>
      <c r="BK5" s="168" t="s">
        <v>1056</v>
      </c>
      <c r="BL5" s="167" t="s">
        <v>1057</v>
      </c>
      <c r="BM5" s="168" t="s">
        <v>1077</v>
      </c>
      <c r="BN5" s="167" t="s">
        <v>1070</v>
      </c>
      <c r="BO5" s="168" t="s">
        <v>1105</v>
      </c>
      <c r="BP5" s="167" t="s">
        <v>1071</v>
      </c>
      <c r="BQ5" s="168" t="s">
        <v>1147</v>
      </c>
      <c r="BR5" s="167" t="s">
        <v>1072</v>
      </c>
      <c r="BS5" s="168" t="s">
        <v>1323</v>
      </c>
      <c r="BT5" s="253" t="s">
        <v>1324</v>
      </c>
      <c r="BU5" s="168" t="s">
        <v>1387</v>
      </c>
      <c r="BV5" s="167" t="s">
        <v>1388</v>
      </c>
      <c r="BW5" s="231" t="s">
        <v>1372</v>
      </c>
      <c r="BX5" s="205" t="s">
        <v>1373</v>
      </c>
      <c r="BY5" s="90" t="s">
        <v>713</v>
      </c>
      <c r="BZ5" s="91" t="s">
        <v>295</v>
      </c>
      <c r="CA5" s="91" t="s">
        <v>296</v>
      </c>
      <c r="CB5" s="91" t="s">
        <v>297</v>
      </c>
      <c r="CC5" s="91" t="s">
        <v>298</v>
      </c>
      <c r="CD5" s="91" t="s">
        <v>299</v>
      </c>
      <c r="CE5" s="91" t="s">
        <v>300</v>
      </c>
      <c r="CF5" s="91" t="s">
        <v>301</v>
      </c>
      <c r="CG5" s="91" t="s">
        <v>302</v>
      </c>
      <c r="CH5" s="91" t="s">
        <v>303</v>
      </c>
      <c r="CI5" s="91" t="s">
        <v>304</v>
      </c>
      <c r="CJ5" s="91" t="s">
        <v>305</v>
      </c>
      <c r="CK5" s="91" t="s">
        <v>306</v>
      </c>
      <c r="CL5" s="209">
        <v>2023</v>
      </c>
      <c r="CM5" s="210" t="s">
        <v>295</v>
      </c>
      <c r="CN5" s="210" t="s">
        <v>296</v>
      </c>
      <c r="CO5" s="210" t="s">
        <v>297</v>
      </c>
      <c r="CP5" s="210" t="s">
        <v>298</v>
      </c>
      <c r="CQ5" s="210" t="s">
        <v>299</v>
      </c>
      <c r="CR5" s="210" t="s">
        <v>300</v>
      </c>
      <c r="CS5" s="210" t="s">
        <v>301</v>
      </c>
      <c r="CT5" s="210" t="s">
        <v>302</v>
      </c>
      <c r="CU5" s="210" t="s">
        <v>303</v>
      </c>
      <c r="CV5" s="210" t="s">
        <v>304</v>
      </c>
      <c r="CW5" s="210" t="s">
        <v>305</v>
      </c>
      <c r="CX5" s="210" t="s">
        <v>306</v>
      </c>
      <c r="CY5" s="92" t="s">
        <v>1157</v>
      </c>
      <c r="CZ5" s="205" t="s">
        <v>1158</v>
      </c>
      <c r="DA5" s="218" t="s">
        <v>1458</v>
      </c>
      <c r="DB5" s="218" t="s">
        <v>1124</v>
      </c>
      <c r="DC5" s="218" t="s">
        <v>1336</v>
      </c>
      <c r="DD5" s="255" t="s">
        <v>1335</v>
      </c>
      <c r="DE5" s="218" t="s">
        <v>1166</v>
      </c>
      <c r="DF5" s="92" t="s">
        <v>1321</v>
      </c>
      <c r="DG5" s="92" t="s">
        <v>1122</v>
      </c>
      <c r="DH5" s="240" t="s">
        <v>644</v>
      </c>
      <c r="DI5" s="240" t="s">
        <v>645</v>
      </c>
      <c r="DJ5" s="240" t="s">
        <v>646</v>
      </c>
      <c r="DK5" s="240" t="s">
        <v>647</v>
      </c>
      <c r="DL5" s="220" t="s">
        <v>648</v>
      </c>
      <c r="DM5" s="220" t="s">
        <v>649</v>
      </c>
      <c r="DN5" s="220" t="s">
        <v>603</v>
      </c>
      <c r="DO5" s="220" t="s">
        <v>604</v>
      </c>
      <c r="DP5" s="220" t="s">
        <v>653</v>
      </c>
      <c r="DQ5" s="220" t="s">
        <v>654</v>
      </c>
      <c r="DR5" s="30" t="s">
        <v>1165</v>
      </c>
      <c r="DS5" s="30" t="s">
        <v>1166</v>
      </c>
    </row>
    <row r="6" spans="1:123" s="23" customFormat="1" ht="24" hidden="1" customHeight="1">
      <c r="A6" s="18"/>
      <c r="B6" s="2">
        <v>25</v>
      </c>
      <c r="C6" s="85" t="s">
        <v>709</v>
      </c>
      <c r="D6" s="85"/>
      <c r="E6" s="85"/>
      <c r="F6" s="3"/>
      <c r="G6" s="4"/>
      <c r="H6" s="4"/>
      <c r="I6" s="4"/>
      <c r="J6" s="15" t="str">
        <f ca="1">IF(H6="","",IF(I6&lt;&gt;"",I6-H6,EDATE(H6,18)-NOW()))</f>
        <v/>
      </c>
      <c r="K6" s="177" t="str">
        <f>IF(H6="","",H6+547)</f>
        <v/>
      </c>
      <c r="L6" s="177" t="str">
        <f>IF(H6="","",H6+730)</f>
        <v/>
      </c>
      <c r="M6" s="177"/>
      <c r="N6" s="177"/>
      <c r="O6" s="177"/>
      <c r="P6" s="177"/>
      <c r="Q6" s="177"/>
      <c r="R6" s="3" t="s">
        <v>176</v>
      </c>
      <c r="S6" s="13"/>
      <c r="T6" s="13"/>
      <c r="U6" s="5" t="s">
        <v>9</v>
      </c>
      <c r="V6" s="268"/>
      <c r="W6" s="5" t="s">
        <v>1407</v>
      </c>
      <c r="X6" s="5" t="s">
        <v>475</v>
      </c>
      <c r="Y6" s="5" t="s">
        <v>674</v>
      </c>
      <c r="Z6" s="3" t="s">
        <v>183</v>
      </c>
      <c r="AA6" s="6" t="s">
        <v>463</v>
      </c>
      <c r="AB6" s="151" t="s">
        <v>1499</v>
      </c>
      <c r="AC6" s="177"/>
      <c r="AD6" s="177"/>
      <c r="AE6" s="177" t="str">
        <f>IFERROR(EOMONTH(L6,-2),"")</f>
        <v/>
      </c>
      <c r="AF6" s="5"/>
      <c r="AG6" s="5"/>
      <c r="AH6" s="226"/>
      <c r="AI6" s="83" t="s">
        <v>702</v>
      </c>
      <c r="AJ6" s="83"/>
      <c r="AK6" s="237" t="e">
        <f>SUM(#REF!,BT6,BV6)</f>
        <v>#REF!</v>
      </c>
      <c r="AL6" s="173"/>
      <c r="AM6" s="173"/>
      <c r="AN6" s="173"/>
      <c r="AO6" s="173"/>
      <c r="AP6" s="173"/>
      <c r="AQ6" s="173"/>
      <c r="AR6" s="56"/>
      <c r="AS6" s="56">
        <v>0</v>
      </c>
      <c r="AT6" s="56">
        <v>2184.4436099999998</v>
      </c>
      <c r="AU6" s="56">
        <v>6.3028500000000012</v>
      </c>
      <c r="AV6" s="38">
        <v>14300</v>
      </c>
      <c r="AW6" s="38"/>
      <c r="AX6" s="97">
        <f>AW6+AV6</f>
        <v>14300</v>
      </c>
      <c r="AY6" s="169">
        <f t="shared" ref="AY6:AY69" si="3">BA6+BC6+BE6+BG6+BI6+BK6+BM6+BO6+BQ6+BS6+BU6+BX6</f>
        <v>1920.9260100000001</v>
      </c>
      <c r="AZ6" s="196">
        <v>0</v>
      </c>
      <c r="BA6" s="170">
        <v>6.3028500000000012</v>
      </c>
      <c r="BB6" s="170">
        <v>0</v>
      </c>
      <c r="BC6" s="170">
        <v>8.8713400000000018</v>
      </c>
      <c r="BD6" s="170">
        <v>0</v>
      </c>
      <c r="BE6" s="170">
        <v>9.777630000000002</v>
      </c>
      <c r="BF6" s="170">
        <v>0</v>
      </c>
      <c r="BG6" s="170">
        <v>16.659660000000002</v>
      </c>
      <c r="BH6" s="170">
        <v>0</v>
      </c>
      <c r="BI6" s="170">
        <v>18.063670000000002</v>
      </c>
      <c r="BJ6" s="170">
        <v>0</v>
      </c>
      <c r="BK6" s="170">
        <v>44.869409999999995</v>
      </c>
      <c r="BL6" s="196"/>
      <c r="BM6" s="170">
        <v>59.021999999999998</v>
      </c>
      <c r="BN6" s="196"/>
      <c r="BO6" s="170">
        <v>47.94166000000002</v>
      </c>
      <c r="BP6" s="196">
        <v>111.0783</v>
      </c>
      <c r="BQ6" s="170">
        <v>38.304660000000005</v>
      </c>
      <c r="BR6" s="196">
        <v>340</v>
      </c>
      <c r="BS6" s="170">
        <v>160.72946000000002</v>
      </c>
      <c r="BT6" s="196">
        <v>612.70000000000005</v>
      </c>
      <c r="BU6" s="170">
        <v>520.11966999999993</v>
      </c>
      <c r="BV6" s="234">
        <f>872+110+43+4+379+130.1+430-335.4</f>
        <v>1632.6999999999998</v>
      </c>
      <c r="BW6" s="251">
        <v>135.74869999999999</v>
      </c>
      <c r="BX6" s="234">
        <v>990.26400000000001</v>
      </c>
      <c r="BY6" s="88">
        <f t="shared" ref="BY6:BY69" si="4">SUM(BZ6:CK6)</f>
        <v>-4977.5</v>
      </c>
      <c r="BZ6" s="214"/>
      <c r="CA6" s="214">
        <f>-4745/5</f>
        <v>-949</v>
      </c>
      <c r="CB6" s="214">
        <f>-4745/5</f>
        <v>-949</v>
      </c>
      <c r="CC6" s="214">
        <f>-4745/5</f>
        <v>-949</v>
      </c>
      <c r="CD6" s="214">
        <f>-4745/5</f>
        <v>-949</v>
      </c>
      <c r="CE6" s="214">
        <f>(-4745/5)-229.7</f>
        <v>-1178.7</v>
      </c>
      <c r="CF6" s="214">
        <v>-2.8</v>
      </c>
      <c r="CG6" s="214"/>
      <c r="CH6" s="214"/>
      <c r="CI6" s="214"/>
      <c r="CJ6" s="214"/>
      <c r="CK6" s="214"/>
      <c r="CL6" s="211">
        <f>SUM(CM6:CX6)</f>
        <v>0</v>
      </c>
      <c r="CM6" s="212"/>
      <c r="CN6" s="212"/>
      <c r="CO6" s="212"/>
      <c r="CP6" s="212"/>
      <c r="CQ6" s="212"/>
      <c r="CR6" s="212"/>
      <c r="CS6" s="212"/>
      <c r="CT6" s="212"/>
      <c r="CU6" s="212"/>
      <c r="CV6" s="212"/>
      <c r="CW6" s="212"/>
      <c r="CX6" s="212"/>
      <c r="CY6" s="216">
        <f>BV6-BX6</f>
        <v>642.43599999999981</v>
      </c>
      <c r="CZ6" s="185">
        <f t="shared" ref="CZ6:CZ69" si="5">BW6-BX6</f>
        <v>-854.51530000000002</v>
      </c>
      <c r="DA6" s="217">
        <f>SUM(BA6,BC6,BE6,BG6,BI6,BK6,BM6,BO6,BQ6,BS6,BU6)</f>
        <v>930.66201000000001</v>
      </c>
      <c r="DB6" s="217">
        <f>SUM(BX6)</f>
        <v>990.26400000000001</v>
      </c>
      <c r="DC6" s="217">
        <f>SUM(AY6-BY6)</f>
        <v>6898.4260100000001</v>
      </c>
      <c r="DD6" s="256">
        <v>-2097.7576599999998</v>
      </c>
      <c r="DE6" s="217">
        <f>DC6-DD6</f>
        <v>8996.1836700000003</v>
      </c>
      <c r="DF6" s="185" t="e">
        <f>SUM(DN6:DO6)-SUM(#REF!,BV6)+BU6</f>
        <v>#REF!</v>
      </c>
      <c r="DG6" s="223"/>
      <c r="DH6" s="241">
        <f>SUM(BA6,BC6,BE6)</f>
        <v>24.951820000000005</v>
      </c>
      <c r="DI6" s="241">
        <f>SUM(BG6,BI6,BK6)</f>
        <v>79.592739999999992</v>
      </c>
      <c r="DJ6" s="241">
        <f>SUM(BM6,BO6,BQ6)</f>
        <v>145.26832000000002</v>
      </c>
      <c r="DK6" s="241" t="e">
        <f>SUM(BS6,#REF!,BV6)</f>
        <v>#REF!</v>
      </c>
      <c r="DL6" s="155"/>
      <c r="DM6" s="155"/>
      <c r="DN6" s="155">
        <v>10421.669079999994</v>
      </c>
      <c r="DO6" s="155">
        <v>0</v>
      </c>
      <c r="DP6" s="155"/>
      <c r="DQ6" s="155"/>
      <c r="DR6" s="23">
        <f>VLOOKUP(C6,[5]Database!$B$126:$AD$521,29,FALSE)</f>
        <v>-4587</v>
      </c>
      <c r="DS6" s="235">
        <f>DR6-BY6</f>
        <v>390.5</v>
      </c>
    </row>
    <row r="7" spans="1:123" s="23" customFormat="1" ht="24" customHeight="1">
      <c r="A7" s="18"/>
      <c r="B7" s="2">
        <v>203</v>
      </c>
      <c r="C7" s="85" t="s">
        <v>807</v>
      </c>
      <c r="D7" s="153" t="s">
        <v>1264</v>
      </c>
      <c r="E7" s="85"/>
      <c r="F7" s="3">
        <v>2021</v>
      </c>
      <c r="G7" s="4">
        <v>44294</v>
      </c>
      <c r="H7" s="4">
        <v>44368</v>
      </c>
      <c r="I7" s="4"/>
      <c r="J7" s="15">
        <f ca="1">IF(H7="","",IF(I7&lt;&gt;"",I7-H7,EDATE(H7,18)-NOW()))</f>
        <v>-930.40661944444582</v>
      </c>
      <c r="K7" s="177">
        <f>IF(H7="","",H7+547)</f>
        <v>44915</v>
      </c>
      <c r="L7" s="177">
        <f>IF(H7="","",H7+730)</f>
        <v>45098</v>
      </c>
      <c r="M7" s="177"/>
      <c r="N7" s="177"/>
      <c r="O7" s="177"/>
      <c r="P7" s="177"/>
      <c r="Q7" s="177"/>
      <c r="R7" s="3" t="s">
        <v>176</v>
      </c>
      <c r="S7" s="13" t="s">
        <v>222</v>
      </c>
      <c r="T7" s="48" t="s">
        <v>958</v>
      </c>
      <c r="U7" s="5" t="s">
        <v>8</v>
      </c>
      <c r="V7" s="268">
        <v>3981729</v>
      </c>
      <c r="W7" s="5" t="s">
        <v>614</v>
      </c>
      <c r="X7" s="5" t="s">
        <v>946</v>
      </c>
      <c r="Y7" s="5" t="s">
        <v>851</v>
      </c>
      <c r="Z7" s="85" t="s">
        <v>316</v>
      </c>
      <c r="AA7" s="6" t="s">
        <v>463</v>
      </c>
      <c r="AB7" s="151" t="s">
        <v>1489</v>
      </c>
      <c r="AC7" s="177">
        <v>44895</v>
      </c>
      <c r="AD7" s="177">
        <v>44742</v>
      </c>
      <c r="AE7" s="177">
        <f>IFERROR(EOMONTH(L7,-2),"")</f>
        <v>45046</v>
      </c>
      <c r="AF7" s="5"/>
      <c r="AG7" s="5"/>
      <c r="AH7" s="296"/>
      <c r="AI7" s="83" t="s">
        <v>1019</v>
      </c>
      <c r="AJ7" s="83"/>
      <c r="AK7" s="237" t="e">
        <f>SUM(#REF!,BT7,BV7)</f>
        <v>#REF!</v>
      </c>
      <c r="AL7" s="52" t="s">
        <v>1227</v>
      </c>
      <c r="AM7" s="52" t="s">
        <v>1228</v>
      </c>
      <c r="AN7" s="52" t="s">
        <v>1188</v>
      </c>
      <c r="AO7" s="52" t="s">
        <v>1229</v>
      </c>
      <c r="AP7" s="52" t="s">
        <v>1222</v>
      </c>
      <c r="AQ7" s="52" t="s">
        <v>1223</v>
      </c>
      <c r="AR7" s="56"/>
      <c r="AS7" s="56"/>
      <c r="AT7" s="56"/>
      <c r="AU7" s="56">
        <v>999.7</v>
      </c>
      <c r="AV7" s="38">
        <v>1357.7249400000001</v>
      </c>
      <c r="AW7" s="38">
        <v>25</v>
      </c>
      <c r="AX7" s="97">
        <f>AW7+AV7</f>
        <v>1382.7249400000001</v>
      </c>
      <c r="AY7" s="169">
        <f t="shared" si="3"/>
        <v>483.92601999999999</v>
      </c>
      <c r="AZ7" s="196"/>
      <c r="BA7" s="170"/>
      <c r="BB7" s="196"/>
      <c r="BC7" s="170"/>
      <c r="BD7" s="196"/>
      <c r="BE7" s="170"/>
      <c r="BF7" s="196">
        <v>0</v>
      </c>
      <c r="BG7" s="170"/>
      <c r="BH7" s="196">
        <v>0</v>
      </c>
      <c r="BI7" s="170"/>
      <c r="BJ7" s="196">
        <v>0</v>
      </c>
      <c r="BK7" s="170"/>
      <c r="BL7" s="196">
        <v>0</v>
      </c>
      <c r="BM7" s="170"/>
      <c r="BN7" s="196">
        <v>0</v>
      </c>
      <c r="BO7" s="170"/>
      <c r="BP7" s="196">
        <v>0</v>
      </c>
      <c r="BQ7" s="170"/>
      <c r="BR7" s="196">
        <v>0.2</v>
      </c>
      <c r="BS7" s="170">
        <v>0.30802999999999997</v>
      </c>
      <c r="BT7" s="196">
        <v>0</v>
      </c>
      <c r="BU7" s="170">
        <v>0.61799000000000004</v>
      </c>
      <c r="BV7" s="196">
        <f>150-0.3+60+60-0.6</f>
        <v>269.09999999999997</v>
      </c>
      <c r="BW7" s="251"/>
      <c r="BX7" s="234">
        <v>483</v>
      </c>
      <c r="BY7" s="88">
        <f t="shared" si="4"/>
        <v>873.79444000000012</v>
      </c>
      <c r="BZ7" s="258"/>
      <c r="CA7" s="258">
        <f>598.4344+149.4-60-60-198.9-15</f>
        <v>413.93439999999998</v>
      </c>
      <c r="CB7" s="258">
        <v>30</v>
      </c>
      <c r="CC7" s="258">
        <v>30</v>
      </c>
      <c r="CD7" s="258">
        <v>104.2</v>
      </c>
      <c r="CE7" s="258">
        <f>328.461/2</f>
        <v>164.23050000000001</v>
      </c>
      <c r="CF7" s="258">
        <v>18</v>
      </c>
      <c r="CG7" s="258">
        <f>123.42954/3</f>
        <v>41.143180000000001</v>
      </c>
      <c r="CH7" s="258">
        <f>123.42954/3</f>
        <v>41.143180000000001</v>
      </c>
      <c r="CI7" s="258">
        <v>31.143180000000001</v>
      </c>
      <c r="CJ7" s="258"/>
      <c r="CK7" s="258"/>
      <c r="CL7" s="211">
        <f>SUM(CM7:CX7)</f>
        <v>0</v>
      </c>
      <c r="CM7" s="212"/>
      <c r="CN7" s="212"/>
      <c r="CO7" s="212"/>
      <c r="CP7" s="212"/>
      <c r="CQ7" s="212"/>
      <c r="CR7" s="212"/>
      <c r="CS7" s="212"/>
      <c r="CT7" s="212"/>
      <c r="CU7" s="212"/>
      <c r="CV7" s="212"/>
      <c r="CW7" s="212"/>
      <c r="CX7" s="212"/>
      <c r="CY7" s="216">
        <f>BV7-BX7</f>
        <v>-213.90000000000003</v>
      </c>
      <c r="CZ7" s="185">
        <f t="shared" si="5"/>
        <v>-483</v>
      </c>
      <c r="DA7" s="217">
        <f>SUM(BA7,BC7,BE7,BG7,BI7,BK7,BM7,BO7,BQ7,BS7,BU7)</f>
        <v>0.92602000000000007</v>
      </c>
      <c r="DB7" s="217">
        <f>SUM(BX7)</f>
        <v>483</v>
      </c>
      <c r="DC7" s="217">
        <f>SUM(AY7,BY7)</f>
        <v>1357.72046</v>
      </c>
      <c r="DD7" s="256">
        <v>1357.7024700000002</v>
      </c>
      <c r="DE7" s="217">
        <f>DC7-DD7</f>
        <v>1.7989999999826978E-2</v>
      </c>
      <c r="DF7" s="185" t="e">
        <f>SUM(DN7:DO7)-SUM(#REF!,BV7)+BU7</f>
        <v>#REF!</v>
      </c>
      <c r="DG7" s="223"/>
      <c r="DH7" s="241">
        <f>SUM(BA7,BC7,BE7)</f>
        <v>0</v>
      </c>
      <c r="DI7" s="241">
        <f>SUM(BG7,BI7,BK7)</f>
        <v>0</v>
      </c>
      <c r="DJ7" s="241">
        <f>SUM(BM7,BO7,BQ7)</f>
        <v>0</v>
      </c>
      <c r="DK7" s="241" t="e">
        <f>SUM(BS7,#REF!,BV7)</f>
        <v>#REF!</v>
      </c>
      <c r="DL7" s="155">
        <v>1369.7249399999998</v>
      </c>
      <c r="DM7" s="155">
        <v>0.92601999999999995</v>
      </c>
      <c r="DN7" s="155">
        <v>529.88702000000001</v>
      </c>
      <c r="DO7" s="155">
        <v>7.1988000000000003</v>
      </c>
      <c r="DP7" s="155">
        <v>538.01184000000001</v>
      </c>
      <c r="DQ7" s="155">
        <v>831.71309999999994</v>
      </c>
      <c r="DR7" s="23">
        <f>VLOOKUP(C7,[6]Database!$B$143:$AD$521,29,FALSE)</f>
        <v>1207.7249400000001</v>
      </c>
      <c r="DS7" s="235">
        <f>BY7-DR7</f>
        <v>-333.93049999999994</v>
      </c>
    </row>
    <row r="8" spans="1:123" s="23" customFormat="1" ht="24" hidden="1" customHeight="1">
      <c r="A8" s="18"/>
      <c r="B8" s="2"/>
      <c r="C8" s="85" t="s">
        <v>1506</v>
      </c>
      <c r="D8" s="85"/>
      <c r="E8" s="85"/>
      <c r="F8" s="3"/>
      <c r="G8" s="4"/>
      <c r="H8" s="4"/>
      <c r="I8" s="4"/>
      <c r="J8" s="15"/>
      <c r="K8" s="177"/>
      <c r="L8" s="177"/>
      <c r="M8" s="177"/>
      <c r="N8" s="177"/>
      <c r="O8" s="177"/>
      <c r="P8" s="177"/>
      <c r="Q8" s="177"/>
      <c r="R8" s="3" t="s">
        <v>176</v>
      </c>
      <c r="S8" s="13"/>
      <c r="T8" s="13"/>
      <c r="U8" s="5" t="s">
        <v>8</v>
      </c>
      <c r="V8" s="268"/>
      <c r="W8" s="5" t="s">
        <v>1407</v>
      </c>
      <c r="X8" s="5" t="s">
        <v>946</v>
      </c>
      <c r="Y8" s="5" t="s">
        <v>1507</v>
      </c>
      <c r="Z8" s="3" t="s">
        <v>181</v>
      </c>
      <c r="AA8" s="6" t="s">
        <v>463</v>
      </c>
      <c r="AB8" s="151"/>
      <c r="AC8" s="177"/>
      <c r="AD8" s="177"/>
      <c r="AE8" s="177"/>
      <c r="AF8" s="5"/>
      <c r="AG8" s="5"/>
      <c r="AH8" s="226"/>
      <c r="AI8" s="83" t="s">
        <v>1337</v>
      </c>
      <c r="AJ8" s="83"/>
      <c r="AK8" s="237"/>
      <c r="AL8" s="173"/>
      <c r="AM8" s="173"/>
      <c r="AN8" s="173"/>
      <c r="AO8" s="173"/>
      <c r="AP8" s="173"/>
      <c r="AQ8" s="173"/>
      <c r="AR8" s="56"/>
      <c r="AS8" s="56"/>
      <c r="AT8" s="56"/>
      <c r="AU8" s="56"/>
      <c r="AV8" s="38"/>
      <c r="AW8" s="38"/>
      <c r="AX8" s="97"/>
      <c r="AY8" s="169">
        <f t="shared" si="3"/>
        <v>100</v>
      </c>
      <c r="AZ8" s="196"/>
      <c r="BA8" s="170"/>
      <c r="BB8" s="170"/>
      <c r="BC8" s="170"/>
      <c r="BD8" s="170"/>
      <c r="BE8" s="170"/>
      <c r="BF8" s="170"/>
      <c r="BG8" s="170"/>
      <c r="BH8" s="170"/>
      <c r="BI8" s="170"/>
      <c r="BJ8" s="170"/>
      <c r="BK8" s="170"/>
      <c r="BL8" s="196"/>
      <c r="BM8" s="170"/>
      <c r="BN8" s="196"/>
      <c r="BO8" s="170"/>
      <c r="BP8" s="196"/>
      <c r="BQ8" s="170"/>
      <c r="BR8" s="196"/>
      <c r="BS8" s="170"/>
      <c r="BT8" s="196"/>
      <c r="BU8" s="170"/>
      <c r="BV8" s="196"/>
      <c r="BW8" s="251"/>
      <c r="BX8" s="234">
        <v>100</v>
      </c>
      <c r="BY8" s="88">
        <f t="shared" si="4"/>
        <v>-100</v>
      </c>
      <c r="BZ8" s="170"/>
      <c r="CA8" s="214"/>
      <c r="CB8" s="214"/>
      <c r="CC8" s="214"/>
      <c r="CD8" s="214">
        <v>-100</v>
      </c>
      <c r="CE8" s="214"/>
      <c r="CF8" s="214"/>
      <c r="CG8" s="214"/>
      <c r="CH8" s="214"/>
      <c r="CI8" s="214"/>
      <c r="CJ8" s="214"/>
      <c r="CK8" s="214"/>
      <c r="CL8" s="211"/>
      <c r="CM8" s="212"/>
      <c r="CN8" s="212"/>
      <c r="CO8" s="212"/>
      <c r="CP8" s="212"/>
      <c r="CQ8" s="212"/>
      <c r="CR8" s="212"/>
      <c r="CS8" s="212"/>
      <c r="CT8" s="212"/>
      <c r="CU8" s="212"/>
      <c r="CV8" s="212"/>
      <c r="CW8" s="212"/>
      <c r="CX8" s="212"/>
      <c r="CY8" s="216"/>
      <c r="CZ8" s="185">
        <f t="shared" si="5"/>
        <v>-100</v>
      </c>
      <c r="DA8" s="217"/>
      <c r="DB8" s="217"/>
      <c r="DC8" s="217"/>
      <c r="DD8" s="256"/>
      <c r="DE8" s="217"/>
      <c r="DF8" s="185"/>
      <c r="DG8" s="223"/>
      <c r="DH8" s="241"/>
      <c r="DI8" s="241"/>
      <c r="DJ8" s="241"/>
      <c r="DK8" s="241"/>
      <c r="DL8" s="155"/>
      <c r="DM8" s="155"/>
      <c r="DN8" s="155">
        <v>463.55400000000003</v>
      </c>
      <c r="DO8" s="155">
        <v>463.55400000000003</v>
      </c>
      <c r="DP8" s="155"/>
      <c r="DQ8" s="155"/>
      <c r="DS8" s="235"/>
    </row>
    <row r="9" spans="1:123" s="23" customFormat="1" ht="24" customHeight="1">
      <c r="A9" s="18"/>
      <c r="B9" s="2">
        <v>188</v>
      </c>
      <c r="C9" s="85" t="s">
        <v>741</v>
      </c>
      <c r="D9" s="285" t="s">
        <v>602</v>
      </c>
      <c r="E9" s="85"/>
      <c r="F9" s="3">
        <v>2021</v>
      </c>
      <c r="G9" s="4">
        <v>44181</v>
      </c>
      <c r="H9" s="187">
        <v>44239</v>
      </c>
      <c r="I9" s="4"/>
      <c r="J9" s="15">
        <f t="shared" ref="J9:J37" ca="1" si="6">IF(H9="","",IF(I9&lt;&gt;"",I9-H9,EDATE(H9,18)-NOW()))</f>
        <v>-1061.4066194444458</v>
      </c>
      <c r="K9" s="177">
        <v>44561</v>
      </c>
      <c r="L9" s="177">
        <v>44651</v>
      </c>
      <c r="M9" s="177"/>
      <c r="N9" s="177" t="s">
        <v>609</v>
      </c>
      <c r="O9" s="250" t="s">
        <v>609</v>
      </c>
      <c r="P9" s="222" t="s">
        <v>1395</v>
      </c>
      <c r="Q9" s="222" t="s">
        <v>1393</v>
      </c>
      <c r="R9" s="3" t="s">
        <v>176</v>
      </c>
      <c r="S9" s="13" t="s">
        <v>223</v>
      </c>
      <c r="T9" s="13" t="s">
        <v>613</v>
      </c>
      <c r="U9" s="5" t="s">
        <v>8</v>
      </c>
      <c r="V9" s="268">
        <v>3635316</v>
      </c>
      <c r="W9" s="5" t="s">
        <v>614</v>
      </c>
      <c r="X9" s="5" t="s">
        <v>839</v>
      </c>
      <c r="Y9" s="5" t="s">
        <v>734</v>
      </c>
      <c r="Z9" s="3" t="s">
        <v>181</v>
      </c>
      <c r="AA9" s="6" t="s">
        <v>463</v>
      </c>
      <c r="AB9" s="151" t="s">
        <v>1470</v>
      </c>
      <c r="AC9" s="177">
        <v>44561</v>
      </c>
      <c r="AD9" s="177">
        <v>44561</v>
      </c>
      <c r="AE9" s="177">
        <v>44561</v>
      </c>
      <c r="AF9" s="5" t="s">
        <v>1133</v>
      </c>
      <c r="AG9" s="5"/>
      <c r="AH9" s="296">
        <v>9.8699999999999996E-2</v>
      </c>
      <c r="AI9" s="83"/>
      <c r="AJ9" s="83"/>
      <c r="AK9" s="237" t="e">
        <f>SUM(#REF!,BT9,BV9)</f>
        <v>#REF!</v>
      </c>
      <c r="AL9" s="52"/>
      <c r="AM9" s="52"/>
      <c r="AN9" s="52"/>
      <c r="AO9" s="52"/>
      <c r="AP9" s="52"/>
      <c r="AQ9" s="52"/>
      <c r="AR9" s="56"/>
      <c r="AS9" s="56"/>
      <c r="AT9" s="56"/>
      <c r="AU9" s="56">
        <v>800.0454545454545</v>
      </c>
      <c r="AV9" s="38">
        <v>878.96</v>
      </c>
      <c r="AW9" s="38"/>
      <c r="AX9" s="97">
        <f t="shared" ref="AX9:AX33" si="7">AW9+AV9</f>
        <v>878.96</v>
      </c>
      <c r="AY9" s="169">
        <f t="shared" si="3"/>
        <v>845.89149000000009</v>
      </c>
      <c r="AZ9" s="196"/>
      <c r="BA9" s="170"/>
      <c r="BB9" s="196">
        <v>0</v>
      </c>
      <c r="BC9" s="170"/>
      <c r="BD9" s="196">
        <v>0</v>
      </c>
      <c r="BE9" s="170">
        <v>0</v>
      </c>
      <c r="BF9" s="196">
        <v>0</v>
      </c>
      <c r="BG9" s="170">
        <v>9.2802699999999998</v>
      </c>
      <c r="BH9" s="196">
        <v>0</v>
      </c>
      <c r="BI9" s="170">
        <v>38.738540000000008</v>
      </c>
      <c r="BJ9" s="196">
        <v>0</v>
      </c>
      <c r="BK9" s="170">
        <v>79.836040000000011</v>
      </c>
      <c r="BL9" s="196">
        <v>71.36163333333333</v>
      </c>
      <c r="BM9" s="170">
        <v>57.96502000000001</v>
      </c>
      <c r="BN9" s="196">
        <v>82.854430416666659</v>
      </c>
      <c r="BO9" s="170">
        <v>46.265050000000002</v>
      </c>
      <c r="BP9" s="196">
        <v>203.96702374999998</v>
      </c>
      <c r="BQ9" s="170">
        <v>154.58381999999997</v>
      </c>
      <c r="BR9" s="196">
        <v>103.27087708333335</v>
      </c>
      <c r="BS9" s="170">
        <v>92.279730000000001</v>
      </c>
      <c r="BT9" s="196">
        <v>213.40042374999999</v>
      </c>
      <c r="BU9" s="170">
        <v>145.14102</v>
      </c>
      <c r="BV9" s="196">
        <f>258.453223333333+1.3-8+3.4</f>
        <v>255.15322333333305</v>
      </c>
      <c r="BW9" s="251">
        <v>197.07485999999997</v>
      </c>
      <c r="BX9" s="234">
        <v>221.80199999999999</v>
      </c>
      <c r="BY9" s="88">
        <f t="shared" si="4"/>
        <v>33.105999999999995</v>
      </c>
      <c r="BZ9" s="258">
        <f>22.4+10.706</f>
        <v>33.105999999999995</v>
      </c>
      <c r="CA9" s="258"/>
      <c r="CB9" s="258"/>
      <c r="CC9" s="258"/>
      <c r="CD9" s="258"/>
      <c r="CE9" s="258"/>
      <c r="CF9" s="258"/>
      <c r="CG9" s="258"/>
      <c r="CH9" s="258"/>
      <c r="CI9" s="258"/>
      <c r="CJ9" s="258"/>
      <c r="CK9" s="258"/>
      <c r="CL9" s="211">
        <f t="shared" ref="CL9:CL44" si="8">SUM(CM9:CX9)</f>
        <v>0</v>
      </c>
      <c r="CM9" s="212"/>
      <c r="CN9" s="212"/>
      <c r="CO9" s="212"/>
      <c r="CP9" s="212"/>
      <c r="CQ9" s="212"/>
      <c r="CR9" s="212"/>
      <c r="CS9" s="212"/>
      <c r="CT9" s="212"/>
      <c r="CU9" s="212"/>
      <c r="CV9" s="212"/>
      <c r="CW9" s="212"/>
      <c r="CX9" s="212"/>
      <c r="CY9" s="216">
        <f t="shared" ref="CY9:CY44" si="9">BV9-BX9</f>
        <v>33.351223333333053</v>
      </c>
      <c r="CZ9" s="185">
        <f t="shared" si="5"/>
        <v>-24.72714000000002</v>
      </c>
      <c r="DA9" s="217">
        <f t="shared" ref="DA9:DA44" si="10">SUM(BA9,BC9,BE9,BG9,BI9,BK9,BM9,BO9,BQ9,BS9,BU9)</f>
        <v>624.08949000000007</v>
      </c>
      <c r="DB9" s="217">
        <f t="shared" ref="DB9:DB44" si="11">SUM(BX9)</f>
        <v>221.80199999999999</v>
      </c>
      <c r="DC9" s="217">
        <f>SUM(AY9,BY9)</f>
        <v>878.99749000000008</v>
      </c>
      <c r="DD9" s="256">
        <v>878.86520375000009</v>
      </c>
      <c r="DE9" s="217">
        <f t="shared" ref="DE9:DE44" si="12">DC9-DD9</f>
        <v>0.13228624999999283</v>
      </c>
      <c r="DF9" s="185" t="e">
        <f>SUM(DN9:DO9)-SUM(#REF!,BV9)+BU9</f>
        <v>#REF!</v>
      </c>
      <c r="DG9" s="223"/>
      <c r="DH9" s="241">
        <f t="shared" ref="DH9:DH44" si="13">SUM(BA9,BC9,BE9)</f>
        <v>0</v>
      </c>
      <c r="DI9" s="241">
        <f t="shared" ref="DI9:DI44" si="14">SUM(BG9,BI9,BK9)</f>
        <v>127.85485000000003</v>
      </c>
      <c r="DJ9" s="241">
        <f t="shared" ref="DJ9:DJ44" si="15">SUM(BM9,BO9,BQ9)</f>
        <v>258.81389000000001</v>
      </c>
      <c r="DK9" s="241" t="e">
        <f>SUM(BS9,#REF!,BV9)</f>
        <v>#REF!</v>
      </c>
      <c r="DL9" s="155">
        <v>878.96</v>
      </c>
      <c r="DM9" s="155">
        <v>821.2056</v>
      </c>
      <c r="DN9" s="155">
        <v>53.91733</v>
      </c>
      <c r="DO9" s="155">
        <v>7.34328</v>
      </c>
      <c r="DP9" s="155">
        <v>882.46620999999993</v>
      </c>
      <c r="DQ9" s="155">
        <v>-3.5062099999999998</v>
      </c>
      <c r="DR9" s="23">
        <f>VLOOKUP(C9,[6]Database!$B$143:$AD$521,29,FALSE)</f>
        <v>0</v>
      </c>
      <c r="DS9" s="235">
        <f>BY9-DR9</f>
        <v>33.105999999999995</v>
      </c>
    </row>
    <row r="10" spans="1:123" s="23" customFormat="1" ht="24" hidden="1" customHeight="1">
      <c r="A10" s="18"/>
      <c r="B10" s="2">
        <v>1</v>
      </c>
      <c r="C10" s="85" t="s">
        <v>679</v>
      </c>
      <c r="D10" s="85"/>
      <c r="E10" s="85"/>
      <c r="F10" s="3"/>
      <c r="G10" s="4"/>
      <c r="H10" s="4"/>
      <c r="I10" s="4"/>
      <c r="J10" s="15" t="str">
        <f t="shared" ca="1" si="6"/>
        <v/>
      </c>
      <c r="K10" s="177" t="str">
        <f t="shared" ref="K10:K37" si="16">IF(H10="","",H10+547)</f>
        <v/>
      </c>
      <c r="L10" s="177" t="str">
        <f t="shared" ref="L10:L37" si="17">IF(H10="","",H10+730)</f>
        <v/>
      </c>
      <c r="M10" s="177"/>
      <c r="N10" s="177"/>
      <c r="O10" s="177"/>
      <c r="P10" s="177"/>
      <c r="Q10" s="177"/>
      <c r="R10" s="3" t="s">
        <v>176</v>
      </c>
      <c r="S10" s="13"/>
      <c r="T10" s="13"/>
      <c r="U10" s="5" t="s">
        <v>9</v>
      </c>
      <c r="V10" s="268"/>
      <c r="W10" s="5" t="s">
        <v>1407</v>
      </c>
      <c r="X10" s="5" t="s">
        <v>712</v>
      </c>
      <c r="Y10" s="5" t="s">
        <v>1408</v>
      </c>
      <c r="Z10" s="3" t="s">
        <v>181</v>
      </c>
      <c r="AA10" s="6" t="s">
        <v>218</v>
      </c>
      <c r="AB10" s="151"/>
      <c r="AC10" s="198"/>
      <c r="AD10" s="177"/>
      <c r="AE10" s="177" t="s">
        <v>6</v>
      </c>
      <c r="AF10" s="5"/>
      <c r="AG10" s="5"/>
      <c r="AH10" s="226"/>
      <c r="AI10" s="83"/>
      <c r="AJ10" s="83"/>
      <c r="AK10" s="237" t="e">
        <f>SUM(#REF!,BT10,BV10)</f>
        <v>#REF!</v>
      </c>
      <c r="AL10" s="173"/>
      <c r="AM10" s="173"/>
      <c r="AN10" s="173"/>
      <c r="AO10" s="173"/>
      <c r="AP10" s="173"/>
      <c r="AQ10" s="173"/>
      <c r="AR10" s="56"/>
      <c r="AS10" s="56">
        <v>0</v>
      </c>
      <c r="AT10" s="56">
        <v>0</v>
      </c>
      <c r="AU10" s="56"/>
      <c r="AV10" s="38"/>
      <c r="AW10" s="38"/>
      <c r="AX10" s="97">
        <f t="shared" si="7"/>
        <v>0</v>
      </c>
      <c r="AY10" s="169">
        <f t="shared" si="3"/>
        <v>0</v>
      </c>
      <c r="AZ10" s="196">
        <v>0</v>
      </c>
      <c r="BA10" s="170"/>
      <c r="BB10" s="170">
        <v>0</v>
      </c>
      <c r="BC10" s="170"/>
      <c r="BD10" s="170">
        <v>0</v>
      </c>
      <c r="BE10" s="170"/>
      <c r="BF10" s="170">
        <v>0</v>
      </c>
      <c r="BG10" s="170"/>
      <c r="BH10" s="170">
        <v>0</v>
      </c>
      <c r="BI10" s="170"/>
      <c r="BJ10" s="170">
        <v>0</v>
      </c>
      <c r="BK10" s="170"/>
      <c r="BL10" s="196"/>
      <c r="BM10" s="170"/>
      <c r="BN10" s="196"/>
      <c r="BO10" s="170"/>
      <c r="BP10" s="196"/>
      <c r="BQ10" s="170"/>
      <c r="BR10" s="196"/>
      <c r="BS10" s="170"/>
      <c r="BT10" s="196"/>
      <c r="BU10" s="170"/>
      <c r="BV10" s="196"/>
      <c r="BW10" s="251"/>
      <c r="BX10" s="254"/>
      <c r="BY10" s="88">
        <f t="shared" si="4"/>
        <v>0</v>
      </c>
      <c r="BZ10" s="214"/>
      <c r="CA10" s="214"/>
      <c r="CB10" s="214"/>
      <c r="CC10" s="214"/>
      <c r="CD10" s="214"/>
      <c r="CE10" s="214"/>
      <c r="CF10" s="214"/>
      <c r="CG10" s="214"/>
      <c r="CH10" s="214"/>
      <c r="CI10" s="214"/>
      <c r="CJ10" s="214"/>
      <c r="CK10" s="214"/>
      <c r="CL10" s="211">
        <f t="shared" si="8"/>
        <v>0</v>
      </c>
      <c r="CM10" s="212"/>
      <c r="CN10" s="212"/>
      <c r="CO10" s="212"/>
      <c r="CP10" s="212"/>
      <c r="CQ10" s="212"/>
      <c r="CR10" s="212"/>
      <c r="CS10" s="212"/>
      <c r="CT10" s="212"/>
      <c r="CU10" s="212"/>
      <c r="CV10" s="212"/>
      <c r="CW10" s="212"/>
      <c r="CX10" s="212"/>
      <c r="CY10" s="216">
        <f t="shared" si="9"/>
        <v>0</v>
      </c>
      <c r="CZ10" s="185">
        <f t="shared" si="5"/>
        <v>0</v>
      </c>
      <c r="DA10" s="217">
        <f t="shared" si="10"/>
        <v>0</v>
      </c>
      <c r="DB10" s="217">
        <f t="shared" si="11"/>
        <v>0</v>
      </c>
      <c r="DC10" s="217">
        <f t="shared" ref="DC10:DC44" si="18">SUM(AY10-BY10)</f>
        <v>0</v>
      </c>
      <c r="DD10" s="256">
        <v>0</v>
      </c>
      <c r="DE10" s="217">
        <f t="shared" si="12"/>
        <v>0</v>
      </c>
      <c r="DF10" s="185" t="e">
        <f>SUM(DN10:DO10)-SUM(#REF!,BV10)+BU10</f>
        <v>#REF!</v>
      </c>
      <c r="DG10" s="223"/>
      <c r="DH10" s="241">
        <f t="shared" si="13"/>
        <v>0</v>
      </c>
      <c r="DI10" s="241">
        <f t="shared" si="14"/>
        <v>0</v>
      </c>
      <c r="DJ10" s="241">
        <f t="shared" si="15"/>
        <v>0</v>
      </c>
      <c r="DK10" s="241" t="e">
        <f>SUM(BS10,#REF!,BV10)</f>
        <v>#REF!</v>
      </c>
      <c r="DL10" s="155"/>
      <c r="DM10" s="155"/>
      <c r="DN10" s="155"/>
      <c r="DO10" s="155"/>
      <c r="DP10" s="155"/>
      <c r="DQ10" s="155"/>
      <c r="DS10" s="235">
        <f t="shared" ref="DS10:DS44" si="19">DR10-BY10</f>
        <v>0</v>
      </c>
    </row>
    <row r="11" spans="1:123" s="23" customFormat="1" ht="24" hidden="1" customHeight="1">
      <c r="A11" s="18"/>
      <c r="B11" s="2">
        <v>2</v>
      </c>
      <c r="C11" s="85" t="s">
        <v>680</v>
      </c>
      <c r="D11" s="85"/>
      <c r="E11" s="85"/>
      <c r="F11" s="3"/>
      <c r="G11" s="4"/>
      <c r="H11" s="4"/>
      <c r="I11" s="4"/>
      <c r="J11" s="15" t="str">
        <f t="shared" ca="1" si="6"/>
        <v/>
      </c>
      <c r="K11" s="177" t="str">
        <f t="shared" si="16"/>
        <v/>
      </c>
      <c r="L11" s="177" t="str">
        <f t="shared" si="17"/>
        <v/>
      </c>
      <c r="M11" s="177"/>
      <c r="N11" s="177"/>
      <c r="O11" s="177"/>
      <c r="P11" s="177"/>
      <c r="Q11" s="177"/>
      <c r="R11" s="3" t="s">
        <v>176</v>
      </c>
      <c r="S11" s="13"/>
      <c r="T11" s="13"/>
      <c r="U11" s="5" t="s">
        <v>9</v>
      </c>
      <c r="V11" s="268"/>
      <c r="W11" s="5" t="s">
        <v>1407</v>
      </c>
      <c r="X11" s="5" t="s">
        <v>712</v>
      </c>
      <c r="Y11" s="5" t="s">
        <v>1409</v>
      </c>
      <c r="Z11" s="3" t="s">
        <v>181</v>
      </c>
      <c r="AA11" s="6" t="s">
        <v>218</v>
      </c>
      <c r="AB11" s="151"/>
      <c r="AC11" s="177"/>
      <c r="AD11" s="177"/>
      <c r="AE11" s="177" t="str">
        <f>IFERROR(EOMONTH(L11,-2),"")</f>
        <v/>
      </c>
      <c r="AF11" s="5"/>
      <c r="AG11" s="5"/>
      <c r="AH11" s="226"/>
      <c r="AI11" s="83"/>
      <c r="AJ11" s="83"/>
      <c r="AK11" s="237" t="e">
        <f>SUM(#REF!,BT11,BV11)</f>
        <v>#REF!</v>
      </c>
      <c r="AL11" s="173"/>
      <c r="AM11" s="173"/>
      <c r="AN11" s="173"/>
      <c r="AO11" s="173"/>
      <c r="AP11" s="173"/>
      <c r="AQ11" s="173"/>
      <c r="AR11" s="56"/>
      <c r="AS11" s="56">
        <v>0</v>
      </c>
      <c r="AT11" s="56">
        <v>0</v>
      </c>
      <c r="AU11" s="56">
        <v>0</v>
      </c>
      <c r="AV11" s="38"/>
      <c r="AW11" s="38"/>
      <c r="AX11" s="97">
        <f t="shared" si="7"/>
        <v>0</v>
      </c>
      <c r="AY11" s="169">
        <f t="shared" si="3"/>
        <v>0</v>
      </c>
      <c r="AZ11" s="196">
        <v>0</v>
      </c>
      <c r="BA11" s="170">
        <v>0</v>
      </c>
      <c r="BB11" s="170">
        <v>0</v>
      </c>
      <c r="BC11" s="170">
        <v>0</v>
      </c>
      <c r="BD11" s="170">
        <v>0</v>
      </c>
      <c r="BE11" s="170">
        <v>0</v>
      </c>
      <c r="BF11" s="170">
        <v>0</v>
      </c>
      <c r="BG11" s="170">
        <v>0</v>
      </c>
      <c r="BH11" s="170">
        <v>0</v>
      </c>
      <c r="BI11" s="170">
        <v>0</v>
      </c>
      <c r="BJ11" s="170">
        <v>0</v>
      </c>
      <c r="BK11" s="170">
        <v>0</v>
      </c>
      <c r="BL11" s="196"/>
      <c r="BM11" s="170">
        <v>0</v>
      </c>
      <c r="BN11" s="196"/>
      <c r="BO11" s="170">
        <v>0</v>
      </c>
      <c r="BP11" s="196"/>
      <c r="BQ11" s="170">
        <v>0</v>
      </c>
      <c r="BR11" s="196"/>
      <c r="BS11" s="170">
        <v>0</v>
      </c>
      <c r="BT11" s="196"/>
      <c r="BU11" s="170">
        <v>0</v>
      </c>
      <c r="BV11" s="196"/>
      <c r="BW11" s="251"/>
      <c r="BX11" s="254"/>
      <c r="BY11" s="88">
        <f t="shared" si="4"/>
        <v>0</v>
      </c>
      <c r="BZ11" s="214"/>
      <c r="CA11" s="214"/>
      <c r="CB11" s="214"/>
      <c r="CC11" s="214"/>
      <c r="CD11" s="214"/>
      <c r="CE11" s="214"/>
      <c r="CF11" s="214"/>
      <c r="CG11" s="214"/>
      <c r="CH11" s="214"/>
      <c r="CI11" s="214"/>
      <c r="CJ11" s="214"/>
      <c r="CK11" s="214"/>
      <c r="CL11" s="211">
        <f t="shared" si="8"/>
        <v>0</v>
      </c>
      <c r="CM11" s="212"/>
      <c r="CN11" s="212"/>
      <c r="CO11" s="212"/>
      <c r="CP11" s="212"/>
      <c r="CQ11" s="212"/>
      <c r="CR11" s="212"/>
      <c r="CS11" s="212"/>
      <c r="CT11" s="212"/>
      <c r="CU11" s="212"/>
      <c r="CV11" s="212"/>
      <c r="CW11" s="212"/>
      <c r="CX11" s="212"/>
      <c r="CY11" s="216">
        <f t="shared" si="9"/>
        <v>0</v>
      </c>
      <c r="CZ11" s="185">
        <f t="shared" si="5"/>
        <v>0</v>
      </c>
      <c r="DA11" s="217">
        <f t="shared" si="10"/>
        <v>0</v>
      </c>
      <c r="DB11" s="217">
        <f t="shared" si="11"/>
        <v>0</v>
      </c>
      <c r="DC11" s="217">
        <f t="shared" si="18"/>
        <v>0</v>
      </c>
      <c r="DD11" s="256">
        <v>0</v>
      </c>
      <c r="DE11" s="217">
        <f t="shared" si="12"/>
        <v>0</v>
      </c>
      <c r="DF11" s="185" t="e">
        <f>SUM(DN11:DO11)-SUM(#REF!,BV11)+BU11</f>
        <v>#REF!</v>
      </c>
      <c r="DG11" s="223"/>
      <c r="DH11" s="241">
        <f t="shared" si="13"/>
        <v>0</v>
      </c>
      <c r="DI11" s="241">
        <f t="shared" si="14"/>
        <v>0</v>
      </c>
      <c r="DJ11" s="241">
        <f t="shared" si="15"/>
        <v>0</v>
      </c>
      <c r="DK11" s="241" t="e">
        <f>SUM(BS11,#REF!,BV11)</f>
        <v>#REF!</v>
      </c>
      <c r="DL11" s="155"/>
      <c r="DM11" s="155"/>
      <c r="DN11" s="155"/>
      <c r="DO11" s="155"/>
      <c r="DP11" s="155"/>
      <c r="DQ11" s="155"/>
      <c r="DS11" s="235">
        <f t="shared" si="19"/>
        <v>0</v>
      </c>
    </row>
    <row r="12" spans="1:123" s="23" customFormat="1" ht="24" hidden="1" customHeight="1">
      <c r="A12" s="18"/>
      <c r="B12" s="2">
        <v>3</v>
      </c>
      <c r="C12" s="85" t="s">
        <v>681</v>
      </c>
      <c r="D12" s="85"/>
      <c r="E12" s="85"/>
      <c r="F12" s="3"/>
      <c r="G12" s="4"/>
      <c r="H12" s="4"/>
      <c r="I12" s="4"/>
      <c r="J12" s="15" t="str">
        <f t="shared" ca="1" si="6"/>
        <v/>
      </c>
      <c r="K12" s="177" t="str">
        <f t="shared" si="16"/>
        <v/>
      </c>
      <c r="L12" s="177" t="str">
        <f t="shared" si="17"/>
        <v/>
      </c>
      <c r="M12" s="177"/>
      <c r="N12" s="177"/>
      <c r="O12" s="177"/>
      <c r="P12" s="177"/>
      <c r="Q12" s="177"/>
      <c r="R12" s="3" t="s">
        <v>176</v>
      </c>
      <c r="S12" s="13"/>
      <c r="T12" s="13"/>
      <c r="U12" s="5" t="s">
        <v>9</v>
      </c>
      <c r="V12" s="268"/>
      <c r="W12" s="5" t="s">
        <v>1407</v>
      </c>
      <c r="X12" s="5" t="s">
        <v>712</v>
      </c>
      <c r="Y12" s="5" t="s">
        <v>1410</v>
      </c>
      <c r="Z12" s="3" t="s">
        <v>181</v>
      </c>
      <c r="AA12" s="6" t="s">
        <v>218</v>
      </c>
      <c r="AB12" s="151"/>
      <c r="AC12" s="177"/>
      <c r="AD12" s="177"/>
      <c r="AE12" s="177" t="str">
        <f>IFERROR(EOMONTH(L12,-2),"")</f>
        <v/>
      </c>
      <c r="AF12" s="5"/>
      <c r="AG12" s="5"/>
      <c r="AH12" s="226"/>
      <c r="AI12" s="83"/>
      <c r="AJ12" s="83"/>
      <c r="AK12" s="237" t="e">
        <f>SUM(#REF!,BT12,BV12)</f>
        <v>#REF!</v>
      </c>
      <c r="AL12" s="173"/>
      <c r="AM12" s="173"/>
      <c r="AN12" s="173"/>
      <c r="AO12" s="173"/>
      <c r="AP12" s="173"/>
      <c r="AQ12" s="173"/>
      <c r="AR12" s="56"/>
      <c r="AS12" s="56">
        <v>0</v>
      </c>
      <c r="AT12" s="56">
        <v>0</v>
      </c>
      <c r="AU12" s="56">
        <v>0</v>
      </c>
      <c r="AV12" s="38"/>
      <c r="AW12" s="38"/>
      <c r="AX12" s="97">
        <f t="shared" si="7"/>
        <v>0</v>
      </c>
      <c r="AY12" s="169">
        <f t="shared" si="3"/>
        <v>0</v>
      </c>
      <c r="AZ12" s="196">
        <v>0</v>
      </c>
      <c r="BA12" s="170">
        <v>0</v>
      </c>
      <c r="BB12" s="170">
        <v>0</v>
      </c>
      <c r="BC12" s="170">
        <v>0</v>
      </c>
      <c r="BD12" s="170">
        <v>0</v>
      </c>
      <c r="BE12" s="170">
        <v>0</v>
      </c>
      <c r="BF12" s="170">
        <v>0</v>
      </c>
      <c r="BG12" s="170">
        <v>0</v>
      </c>
      <c r="BH12" s="170">
        <v>0</v>
      </c>
      <c r="BI12" s="170">
        <v>0</v>
      </c>
      <c r="BJ12" s="170">
        <v>0</v>
      </c>
      <c r="BK12" s="170">
        <v>0</v>
      </c>
      <c r="BL12" s="196"/>
      <c r="BM12" s="170">
        <v>0</v>
      </c>
      <c r="BN12" s="196"/>
      <c r="BO12" s="170">
        <v>0</v>
      </c>
      <c r="BP12" s="196"/>
      <c r="BQ12" s="170">
        <v>0</v>
      </c>
      <c r="BR12" s="196"/>
      <c r="BS12" s="170">
        <v>0</v>
      </c>
      <c r="BT12" s="196"/>
      <c r="BU12" s="170">
        <v>0</v>
      </c>
      <c r="BV12" s="196"/>
      <c r="BW12" s="251"/>
      <c r="BX12" s="254"/>
      <c r="BY12" s="88">
        <f t="shared" si="4"/>
        <v>0</v>
      </c>
      <c r="BZ12" s="214"/>
      <c r="CA12" s="214"/>
      <c r="CB12" s="214"/>
      <c r="CC12" s="214"/>
      <c r="CD12" s="214"/>
      <c r="CE12" s="214"/>
      <c r="CF12" s="214"/>
      <c r="CG12" s="214"/>
      <c r="CH12" s="214"/>
      <c r="CI12" s="214"/>
      <c r="CJ12" s="214"/>
      <c r="CK12" s="214"/>
      <c r="CL12" s="211">
        <f t="shared" si="8"/>
        <v>0</v>
      </c>
      <c r="CM12" s="212"/>
      <c r="CN12" s="212"/>
      <c r="CO12" s="212"/>
      <c r="CP12" s="212"/>
      <c r="CQ12" s="212"/>
      <c r="CR12" s="212"/>
      <c r="CS12" s="212"/>
      <c r="CT12" s="212"/>
      <c r="CU12" s="212"/>
      <c r="CV12" s="212"/>
      <c r="CW12" s="212"/>
      <c r="CX12" s="212"/>
      <c r="CY12" s="216">
        <f t="shared" si="9"/>
        <v>0</v>
      </c>
      <c r="CZ12" s="185">
        <f t="shared" si="5"/>
        <v>0</v>
      </c>
      <c r="DA12" s="217">
        <f t="shared" si="10"/>
        <v>0</v>
      </c>
      <c r="DB12" s="217">
        <f t="shared" si="11"/>
        <v>0</v>
      </c>
      <c r="DC12" s="217">
        <f t="shared" si="18"/>
        <v>0</v>
      </c>
      <c r="DD12" s="256">
        <v>0</v>
      </c>
      <c r="DE12" s="217">
        <f t="shared" si="12"/>
        <v>0</v>
      </c>
      <c r="DF12" s="185" t="e">
        <f>SUM(DN12:DO12)-SUM(#REF!,BV12)+BU12</f>
        <v>#REF!</v>
      </c>
      <c r="DG12" s="223"/>
      <c r="DH12" s="241">
        <f t="shared" si="13"/>
        <v>0</v>
      </c>
      <c r="DI12" s="241">
        <f t="shared" si="14"/>
        <v>0</v>
      </c>
      <c r="DJ12" s="241">
        <f t="shared" si="15"/>
        <v>0</v>
      </c>
      <c r="DK12" s="241" t="e">
        <f>SUM(BS12,#REF!,BV12)</f>
        <v>#REF!</v>
      </c>
      <c r="DL12" s="155"/>
      <c r="DM12" s="155"/>
      <c r="DN12" s="155"/>
      <c r="DO12" s="155"/>
      <c r="DP12" s="155"/>
      <c r="DQ12" s="155"/>
      <c r="DS12" s="235">
        <f t="shared" si="19"/>
        <v>0</v>
      </c>
    </row>
    <row r="13" spans="1:123" s="23" customFormat="1" ht="24" hidden="1" customHeight="1">
      <c r="A13" s="18"/>
      <c r="B13" s="2">
        <v>4</v>
      </c>
      <c r="C13" s="85" t="s">
        <v>682</v>
      </c>
      <c r="D13" s="85"/>
      <c r="E13" s="85"/>
      <c r="F13" s="3"/>
      <c r="G13" s="4"/>
      <c r="H13" s="4"/>
      <c r="I13" s="4"/>
      <c r="J13" s="15" t="str">
        <f t="shared" ca="1" si="6"/>
        <v/>
      </c>
      <c r="K13" s="177" t="str">
        <f t="shared" si="16"/>
        <v/>
      </c>
      <c r="L13" s="177" t="str">
        <f t="shared" si="17"/>
        <v/>
      </c>
      <c r="M13" s="177"/>
      <c r="N13" s="177"/>
      <c r="O13" s="177"/>
      <c r="P13" s="177"/>
      <c r="Q13" s="177"/>
      <c r="R13" s="3" t="s">
        <v>176</v>
      </c>
      <c r="S13" s="13"/>
      <c r="T13" s="13"/>
      <c r="U13" s="5" t="s">
        <v>9</v>
      </c>
      <c r="V13" s="268"/>
      <c r="W13" s="5" t="s">
        <v>1407</v>
      </c>
      <c r="X13" s="5" t="s">
        <v>712</v>
      </c>
      <c r="Y13" s="5" t="s">
        <v>1411</v>
      </c>
      <c r="Z13" s="3" t="s">
        <v>181</v>
      </c>
      <c r="AA13" s="6" t="s">
        <v>218</v>
      </c>
      <c r="AB13" s="151"/>
      <c r="AC13" s="177"/>
      <c r="AD13" s="177"/>
      <c r="AE13" s="177" t="str">
        <f>IFERROR(EOMONTH(L13,-2),"")</f>
        <v/>
      </c>
      <c r="AF13" s="5"/>
      <c r="AG13" s="5"/>
      <c r="AH13" s="226"/>
      <c r="AI13" s="83"/>
      <c r="AJ13" s="83"/>
      <c r="AK13" s="237" t="e">
        <f>SUM(#REF!,BT13,BV13)</f>
        <v>#REF!</v>
      </c>
      <c r="AL13" s="173"/>
      <c r="AM13" s="173"/>
      <c r="AN13" s="173"/>
      <c r="AO13" s="173"/>
      <c r="AP13" s="173"/>
      <c r="AQ13" s="173"/>
      <c r="AR13" s="56"/>
      <c r="AS13" s="56">
        <v>0</v>
      </c>
      <c r="AT13" s="56">
        <v>0</v>
      </c>
      <c r="AU13" s="56">
        <v>0</v>
      </c>
      <c r="AV13" s="38"/>
      <c r="AW13" s="38"/>
      <c r="AX13" s="97">
        <f t="shared" si="7"/>
        <v>0</v>
      </c>
      <c r="AY13" s="169">
        <f t="shared" si="3"/>
        <v>0</v>
      </c>
      <c r="AZ13" s="196">
        <v>0</v>
      </c>
      <c r="BA13" s="170">
        <v>0</v>
      </c>
      <c r="BB13" s="170">
        <v>0</v>
      </c>
      <c r="BC13" s="170">
        <v>0</v>
      </c>
      <c r="BD13" s="170">
        <v>0</v>
      </c>
      <c r="BE13" s="170">
        <v>0</v>
      </c>
      <c r="BF13" s="170">
        <v>0</v>
      </c>
      <c r="BG13" s="170">
        <v>0</v>
      </c>
      <c r="BH13" s="170">
        <v>0</v>
      </c>
      <c r="BI13" s="170">
        <v>0</v>
      </c>
      <c r="BJ13" s="170">
        <v>0</v>
      </c>
      <c r="BK13" s="170">
        <v>0</v>
      </c>
      <c r="BL13" s="196"/>
      <c r="BM13" s="170">
        <v>0</v>
      </c>
      <c r="BN13" s="196"/>
      <c r="BO13" s="170">
        <v>0</v>
      </c>
      <c r="BP13" s="196"/>
      <c r="BQ13" s="170">
        <v>0</v>
      </c>
      <c r="BR13" s="196"/>
      <c r="BS13" s="170">
        <v>0</v>
      </c>
      <c r="BT13" s="196"/>
      <c r="BU13" s="170">
        <v>0</v>
      </c>
      <c r="BV13" s="196"/>
      <c r="BW13" s="251"/>
      <c r="BX13" s="254"/>
      <c r="BY13" s="88">
        <f t="shared" si="4"/>
        <v>0</v>
      </c>
      <c r="BZ13" s="214"/>
      <c r="CA13" s="214"/>
      <c r="CB13" s="214"/>
      <c r="CC13" s="214"/>
      <c r="CD13" s="214"/>
      <c r="CE13" s="214"/>
      <c r="CF13" s="214"/>
      <c r="CG13" s="214"/>
      <c r="CH13" s="214"/>
      <c r="CI13" s="214"/>
      <c r="CJ13" s="214"/>
      <c r="CK13" s="214"/>
      <c r="CL13" s="211">
        <f t="shared" si="8"/>
        <v>0</v>
      </c>
      <c r="CM13" s="212"/>
      <c r="CN13" s="212"/>
      <c r="CO13" s="212"/>
      <c r="CP13" s="212"/>
      <c r="CQ13" s="212"/>
      <c r="CR13" s="212"/>
      <c r="CS13" s="212"/>
      <c r="CT13" s="212"/>
      <c r="CU13" s="212"/>
      <c r="CV13" s="212"/>
      <c r="CW13" s="212"/>
      <c r="CX13" s="212"/>
      <c r="CY13" s="216">
        <f t="shared" si="9"/>
        <v>0</v>
      </c>
      <c r="CZ13" s="185">
        <f t="shared" si="5"/>
        <v>0</v>
      </c>
      <c r="DA13" s="217">
        <f t="shared" si="10"/>
        <v>0</v>
      </c>
      <c r="DB13" s="217">
        <f t="shared" si="11"/>
        <v>0</v>
      </c>
      <c r="DC13" s="217">
        <f t="shared" si="18"/>
        <v>0</v>
      </c>
      <c r="DD13" s="256">
        <v>0</v>
      </c>
      <c r="DE13" s="217">
        <f t="shared" si="12"/>
        <v>0</v>
      </c>
      <c r="DF13" s="185" t="e">
        <f>SUM(DN13:DO13)-SUM(#REF!,BV13)+BU13</f>
        <v>#REF!</v>
      </c>
      <c r="DG13" s="223"/>
      <c r="DH13" s="241">
        <f t="shared" si="13"/>
        <v>0</v>
      </c>
      <c r="DI13" s="241">
        <f t="shared" si="14"/>
        <v>0</v>
      </c>
      <c r="DJ13" s="241">
        <f t="shared" si="15"/>
        <v>0</v>
      </c>
      <c r="DK13" s="241" t="e">
        <f>SUM(BS13,#REF!,BV13)</f>
        <v>#REF!</v>
      </c>
      <c r="DL13" s="155"/>
      <c r="DM13" s="155"/>
      <c r="DN13" s="155"/>
      <c r="DO13" s="155"/>
      <c r="DP13" s="155"/>
      <c r="DQ13" s="155"/>
      <c r="DS13" s="235">
        <f t="shared" si="19"/>
        <v>0</v>
      </c>
    </row>
    <row r="14" spans="1:123" s="23" customFormat="1" ht="24" hidden="1" customHeight="1">
      <c r="A14" s="18"/>
      <c r="B14" s="2">
        <v>5</v>
      </c>
      <c r="C14" s="85" t="s">
        <v>688</v>
      </c>
      <c r="D14" s="85"/>
      <c r="E14" s="85"/>
      <c r="F14" s="3"/>
      <c r="G14" s="4"/>
      <c r="H14" s="4"/>
      <c r="I14" s="4"/>
      <c r="J14" s="15" t="str">
        <f t="shared" ca="1" si="6"/>
        <v/>
      </c>
      <c r="K14" s="177" t="str">
        <f t="shared" si="16"/>
        <v/>
      </c>
      <c r="L14" s="177" t="str">
        <f t="shared" si="17"/>
        <v/>
      </c>
      <c r="M14" s="177"/>
      <c r="N14" s="177"/>
      <c r="O14" s="177"/>
      <c r="P14" s="177"/>
      <c r="Q14" s="177"/>
      <c r="R14" s="3" t="s">
        <v>178</v>
      </c>
      <c r="S14" s="13"/>
      <c r="T14" s="13"/>
      <c r="U14" s="5" t="s">
        <v>9</v>
      </c>
      <c r="V14" s="268"/>
      <c r="W14" s="5" t="s">
        <v>1407</v>
      </c>
      <c r="X14" s="5" t="s">
        <v>712</v>
      </c>
      <c r="Y14" s="5" t="s">
        <v>1412</v>
      </c>
      <c r="Z14" s="3" t="s">
        <v>188</v>
      </c>
      <c r="AA14" s="6" t="s">
        <v>218</v>
      </c>
      <c r="AB14" s="151"/>
      <c r="AC14" s="177"/>
      <c r="AD14" s="177"/>
      <c r="AE14" s="177" t="str">
        <f>IFERROR(EOMONTH(L14,-2),"")</f>
        <v/>
      </c>
      <c r="AF14" s="5"/>
      <c r="AG14" s="5"/>
      <c r="AH14" s="226"/>
      <c r="AI14" s="83"/>
      <c r="AJ14" s="83"/>
      <c r="AK14" s="237" t="e">
        <f>SUM(#REF!,BT14,BV14)</f>
        <v>#REF!</v>
      </c>
      <c r="AL14" s="173"/>
      <c r="AM14" s="173"/>
      <c r="AN14" s="173"/>
      <c r="AO14" s="173"/>
      <c r="AP14" s="173"/>
      <c r="AQ14" s="173"/>
      <c r="AR14" s="56"/>
      <c r="AS14" s="56">
        <v>0</v>
      </c>
      <c r="AT14" s="56">
        <v>0</v>
      </c>
      <c r="AU14" s="56">
        <v>0</v>
      </c>
      <c r="AV14" s="38"/>
      <c r="AW14" s="38"/>
      <c r="AX14" s="97">
        <f t="shared" si="7"/>
        <v>0</v>
      </c>
      <c r="AY14" s="169">
        <f t="shared" si="3"/>
        <v>0</v>
      </c>
      <c r="AZ14" s="196">
        <v>0</v>
      </c>
      <c r="BA14" s="170">
        <v>0</v>
      </c>
      <c r="BB14" s="170">
        <v>0</v>
      </c>
      <c r="BC14" s="170">
        <v>0</v>
      </c>
      <c r="BD14" s="170">
        <v>0</v>
      </c>
      <c r="BE14" s="170">
        <v>0</v>
      </c>
      <c r="BF14" s="170">
        <v>0</v>
      </c>
      <c r="BG14" s="170">
        <v>0</v>
      </c>
      <c r="BH14" s="170">
        <v>0</v>
      </c>
      <c r="BI14" s="170">
        <v>0</v>
      </c>
      <c r="BJ14" s="170">
        <v>0</v>
      </c>
      <c r="BK14" s="170">
        <v>0</v>
      </c>
      <c r="BL14" s="196"/>
      <c r="BM14" s="170">
        <v>0</v>
      </c>
      <c r="BN14" s="196"/>
      <c r="BO14" s="170">
        <v>0</v>
      </c>
      <c r="BP14" s="196"/>
      <c r="BQ14" s="170">
        <v>0</v>
      </c>
      <c r="BR14" s="196"/>
      <c r="BS14" s="170">
        <v>0</v>
      </c>
      <c r="BT14" s="196"/>
      <c r="BU14" s="170">
        <v>0</v>
      </c>
      <c r="BV14" s="196"/>
      <c r="BW14" s="251"/>
      <c r="BX14" s="254"/>
      <c r="BY14" s="88">
        <f t="shared" si="4"/>
        <v>0</v>
      </c>
      <c r="BZ14" s="214"/>
      <c r="CA14" s="214"/>
      <c r="CB14" s="214"/>
      <c r="CC14" s="214"/>
      <c r="CD14" s="214"/>
      <c r="CE14" s="214"/>
      <c r="CF14" s="214"/>
      <c r="CG14" s="214"/>
      <c r="CH14" s="214"/>
      <c r="CI14" s="214"/>
      <c r="CJ14" s="214"/>
      <c r="CK14" s="214"/>
      <c r="CL14" s="211">
        <f t="shared" si="8"/>
        <v>0</v>
      </c>
      <c r="CM14" s="212"/>
      <c r="CN14" s="212"/>
      <c r="CO14" s="212"/>
      <c r="CP14" s="212"/>
      <c r="CQ14" s="212"/>
      <c r="CR14" s="212"/>
      <c r="CS14" s="212"/>
      <c r="CT14" s="212"/>
      <c r="CU14" s="212"/>
      <c r="CV14" s="212"/>
      <c r="CW14" s="212"/>
      <c r="CX14" s="212"/>
      <c r="CY14" s="216">
        <f t="shared" si="9"/>
        <v>0</v>
      </c>
      <c r="CZ14" s="185">
        <f t="shared" si="5"/>
        <v>0</v>
      </c>
      <c r="DA14" s="217">
        <f t="shared" si="10"/>
        <v>0</v>
      </c>
      <c r="DB14" s="217">
        <f t="shared" si="11"/>
        <v>0</v>
      </c>
      <c r="DC14" s="217">
        <f t="shared" si="18"/>
        <v>0</v>
      </c>
      <c r="DD14" s="256">
        <v>0</v>
      </c>
      <c r="DE14" s="217">
        <f t="shared" si="12"/>
        <v>0</v>
      </c>
      <c r="DF14" s="185" t="e">
        <f>SUM(DN14:DO14)-SUM(#REF!,BV14)+BU14</f>
        <v>#REF!</v>
      </c>
      <c r="DG14" s="223"/>
      <c r="DH14" s="241">
        <f t="shared" si="13"/>
        <v>0</v>
      </c>
      <c r="DI14" s="241">
        <f t="shared" si="14"/>
        <v>0</v>
      </c>
      <c r="DJ14" s="241">
        <f t="shared" si="15"/>
        <v>0</v>
      </c>
      <c r="DK14" s="241" t="e">
        <f>SUM(BS14,#REF!,BV14)</f>
        <v>#REF!</v>
      </c>
      <c r="DL14" s="155"/>
      <c r="DM14" s="155"/>
      <c r="DN14" s="155"/>
      <c r="DO14" s="155"/>
      <c r="DP14" s="155"/>
      <c r="DQ14" s="155"/>
      <c r="DS14" s="235">
        <f t="shared" si="19"/>
        <v>0</v>
      </c>
    </row>
    <row r="15" spans="1:123" s="23" customFormat="1" ht="24" hidden="1" customHeight="1">
      <c r="A15" s="18"/>
      <c r="B15" s="2">
        <v>6</v>
      </c>
      <c r="C15" s="85" t="s">
        <v>676</v>
      </c>
      <c r="D15" s="85"/>
      <c r="E15" s="85"/>
      <c r="F15" s="3"/>
      <c r="G15" s="4"/>
      <c r="H15" s="4"/>
      <c r="I15" s="4"/>
      <c r="J15" s="15" t="str">
        <f t="shared" ca="1" si="6"/>
        <v/>
      </c>
      <c r="K15" s="177" t="str">
        <f t="shared" si="16"/>
        <v/>
      </c>
      <c r="L15" s="177" t="str">
        <f t="shared" si="17"/>
        <v/>
      </c>
      <c r="M15" s="177"/>
      <c r="N15" s="177"/>
      <c r="O15" s="177"/>
      <c r="P15" s="177"/>
      <c r="Q15" s="177"/>
      <c r="R15" s="3" t="s">
        <v>176</v>
      </c>
      <c r="S15" s="13"/>
      <c r="T15" s="13"/>
      <c r="U15" s="5" t="s">
        <v>9</v>
      </c>
      <c r="V15" s="268"/>
      <c r="W15" s="5" t="s">
        <v>1407</v>
      </c>
      <c r="X15" s="5" t="s">
        <v>712</v>
      </c>
      <c r="Y15" s="5" t="s">
        <v>1413</v>
      </c>
      <c r="Z15" s="3" t="s">
        <v>183</v>
      </c>
      <c r="AA15" s="6" t="s">
        <v>218</v>
      </c>
      <c r="AB15" s="151"/>
      <c r="AC15" s="177"/>
      <c r="AD15" s="177"/>
      <c r="AE15" s="177" t="str">
        <f>IFERROR(EOMONTH(L15,-2),"")</f>
        <v/>
      </c>
      <c r="AF15" s="5"/>
      <c r="AG15" s="5"/>
      <c r="AH15" s="226"/>
      <c r="AI15" s="83" t="s">
        <v>53</v>
      </c>
      <c r="AJ15" s="219"/>
      <c r="AK15" s="237" t="e">
        <f>SUM(#REF!,BT15,BV15)</f>
        <v>#REF!</v>
      </c>
      <c r="AL15" s="173"/>
      <c r="AM15" s="173"/>
      <c r="AN15" s="173"/>
      <c r="AO15" s="173"/>
      <c r="AP15" s="173"/>
      <c r="AQ15" s="173"/>
      <c r="AR15" s="56"/>
      <c r="AS15" s="56">
        <v>0</v>
      </c>
      <c r="AT15" s="56">
        <v>115.64185999999999</v>
      </c>
      <c r="AU15" s="56">
        <v>0</v>
      </c>
      <c r="AV15" s="38"/>
      <c r="AW15" s="38"/>
      <c r="AX15" s="97">
        <f t="shared" si="7"/>
        <v>0</v>
      </c>
      <c r="AY15" s="169">
        <f t="shared" si="3"/>
        <v>0</v>
      </c>
      <c r="AZ15" s="196">
        <v>0</v>
      </c>
      <c r="BA15" s="170">
        <v>0</v>
      </c>
      <c r="BB15" s="170">
        <v>0</v>
      </c>
      <c r="BC15" s="170">
        <v>0</v>
      </c>
      <c r="BD15" s="170">
        <v>0</v>
      </c>
      <c r="BE15" s="170">
        <v>0</v>
      </c>
      <c r="BF15" s="170">
        <v>0</v>
      </c>
      <c r="BG15" s="170">
        <v>0</v>
      </c>
      <c r="BH15" s="170">
        <v>0</v>
      </c>
      <c r="BI15" s="170">
        <v>0</v>
      </c>
      <c r="BJ15" s="170">
        <v>0</v>
      </c>
      <c r="BK15" s="170">
        <v>0</v>
      </c>
      <c r="BL15" s="196"/>
      <c r="BM15" s="170">
        <v>0</v>
      </c>
      <c r="BN15" s="196"/>
      <c r="BO15" s="170">
        <v>0</v>
      </c>
      <c r="BP15" s="196"/>
      <c r="BQ15" s="170">
        <v>0</v>
      </c>
      <c r="BR15" s="196"/>
      <c r="BS15" s="170">
        <v>0</v>
      </c>
      <c r="BT15" s="196"/>
      <c r="BU15" s="170">
        <v>0</v>
      </c>
      <c r="BV15" s="196"/>
      <c r="BW15" s="251"/>
      <c r="BX15" s="254"/>
      <c r="BY15" s="88">
        <f t="shared" si="4"/>
        <v>0</v>
      </c>
      <c r="BZ15" s="214"/>
      <c r="CA15" s="214"/>
      <c r="CB15" s="214"/>
      <c r="CC15" s="214"/>
      <c r="CD15" s="214"/>
      <c r="CE15" s="214"/>
      <c r="CF15" s="214"/>
      <c r="CG15" s="214"/>
      <c r="CH15" s="214"/>
      <c r="CI15" s="214"/>
      <c r="CJ15" s="214"/>
      <c r="CK15" s="214"/>
      <c r="CL15" s="211">
        <f t="shared" si="8"/>
        <v>0</v>
      </c>
      <c r="CM15" s="212"/>
      <c r="CN15" s="212"/>
      <c r="CO15" s="212"/>
      <c r="CP15" s="212"/>
      <c r="CQ15" s="212"/>
      <c r="CR15" s="212"/>
      <c r="CS15" s="212"/>
      <c r="CT15" s="212"/>
      <c r="CU15" s="212"/>
      <c r="CV15" s="212"/>
      <c r="CW15" s="212"/>
      <c r="CX15" s="212"/>
      <c r="CY15" s="216">
        <f t="shared" si="9"/>
        <v>0</v>
      </c>
      <c r="CZ15" s="185">
        <f t="shared" si="5"/>
        <v>0</v>
      </c>
      <c r="DA15" s="217">
        <f t="shared" si="10"/>
        <v>0</v>
      </c>
      <c r="DB15" s="217">
        <f t="shared" si="11"/>
        <v>0</v>
      </c>
      <c r="DC15" s="217">
        <f t="shared" si="18"/>
        <v>0</v>
      </c>
      <c r="DD15" s="256">
        <v>0</v>
      </c>
      <c r="DE15" s="217">
        <f t="shared" si="12"/>
        <v>0</v>
      </c>
      <c r="DF15" s="185" t="e">
        <f>SUM(DN15:DO15)-SUM(#REF!,BV15)+BU15</f>
        <v>#REF!</v>
      </c>
      <c r="DG15" s="223"/>
      <c r="DH15" s="241">
        <f t="shared" si="13"/>
        <v>0</v>
      </c>
      <c r="DI15" s="241">
        <f t="shared" si="14"/>
        <v>0</v>
      </c>
      <c r="DJ15" s="241">
        <f t="shared" si="15"/>
        <v>0</v>
      </c>
      <c r="DK15" s="241" t="e">
        <f>SUM(BS15,#REF!,BV15)</f>
        <v>#REF!</v>
      </c>
      <c r="DL15" s="155"/>
      <c r="DM15" s="155"/>
      <c r="DN15" s="155"/>
      <c r="DO15" s="155"/>
      <c r="DP15" s="155"/>
      <c r="DQ15" s="155"/>
      <c r="DS15" s="235">
        <f t="shared" si="19"/>
        <v>0</v>
      </c>
    </row>
    <row r="16" spans="1:123" s="23" customFormat="1" ht="24" hidden="1" customHeight="1">
      <c r="A16" s="18"/>
      <c r="B16" s="2">
        <v>7</v>
      </c>
      <c r="C16" s="85" t="s">
        <v>677</v>
      </c>
      <c r="D16" s="85"/>
      <c r="E16" s="85"/>
      <c r="F16" s="3"/>
      <c r="G16" s="4"/>
      <c r="H16" s="4"/>
      <c r="I16" s="4"/>
      <c r="J16" s="15" t="str">
        <f t="shared" ca="1" si="6"/>
        <v/>
      </c>
      <c r="K16" s="177" t="str">
        <f t="shared" si="16"/>
        <v/>
      </c>
      <c r="L16" s="177" t="str">
        <f t="shared" si="17"/>
        <v/>
      </c>
      <c r="M16" s="177"/>
      <c r="N16" s="177"/>
      <c r="O16" s="177"/>
      <c r="P16" s="177"/>
      <c r="Q16" s="177"/>
      <c r="R16" s="3" t="s">
        <v>176</v>
      </c>
      <c r="S16" s="13"/>
      <c r="T16" s="13"/>
      <c r="U16" s="5" t="s">
        <v>9</v>
      </c>
      <c r="V16" s="268"/>
      <c r="W16" s="5" t="s">
        <v>1407</v>
      </c>
      <c r="X16" s="5" t="s">
        <v>712</v>
      </c>
      <c r="Y16" s="5" t="s">
        <v>1414</v>
      </c>
      <c r="Z16" s="3" t="s">
        <v>183</v>
      </c>
      <c r="AA16" s="6" t="s">
        <v>218</v>
      </c>
      <c r="AB16" s="151"/>
      <c r="AC16" s="177"/>
      <c r="AD16" s="177"/>
      <c r="AE16" s="177" t="s">
        <v>6</v>
      </c>
      <c r="AF16" s="5"/>
      <c r="AG16" s="5"/>
      <c r="AH16" s="226"/>
      <c r="AI16" s="83" t="s">
        <v>63</v>
      </c>
      <c r="AJ16" s="219"/>
      <c r="AK16" s="237" t="e">
        <f>SUM(#REF!,BT16,BV16)</f>
        <v>#REF!</v>
      </c>
      <c r="AL16" s="173"/>
      <c r="AM16" s="173"/>
      <c r="AN16" s="173"/>
      <c r="AO16" s="173"/>
      <c r="AP16" s="173"/>
      <c r="AQ16" s="173"/>
      <c r="AR16" s="56"/>
      <c r="AS16" s="56">
        <v>0</v>
      </c>
      <c r="AT16" s="56">
        <v>214.97536999999983</v>
      </c>
      <c r="AU16" s="56">
        <v>-418.03419000000002</v>
      </c>
      <c r="AV16" s="38"/>
      <c r="AW16" s="38"/>
      <c r="AX16" s="97">
        <f t="shared" si="7"/>
        <v>0</v>
      </c>
      <c r="AY16" s="169">
        <f t="shared" si="3"/>
        <v>-418.03419000000002</v>
      </c>
      <c r="AZ16" s="196">
        <v>0</v>
      </c>
      <c r="BA16" s="170">
        <v>-418.03419000000002</v>
      </c>
      <c r="BB16" s="170">
        <v>0</v>
      </c>
      <c r="BC16" s="170">
        <v>0</v>
      </c>
      <c r="BD16" s="170">
        <v>0</v>
      </c>
      <c r="BE16" s="170">
        <v>0</v>
      </c>
      <c r="BF16" s="170">
        <v>0</v>
      </c>
      <c r="BG16" s="170">
        <v>0</v>
      </c>
      <c r="BH16" s="170">
        <v>0</v>
      </c>
      <c r="BI16" s="170">
        <v>0</v>
      </c>
      <c r="BJ16" s="170">
        <v>0</v>
      </c>
      <c r="BK16" s="170">
        <v>0</v>
      </c>
      <c r="BL16" s="196"/>
      <c r="BM16" s="170">
        <v>0</v>
      </c>
      <c r="BN16" s="196"/>
      <c r="BO16" s="170">
        <v>0</v>
      </c>
      <c r="BP16" s="196"/>
      <c r="BQ16" s="170">
        <v>0</v>
      </c>
      <c r="BR16" s="196"/>
      <c r="BS16" s="170">
        <v>0</v>
      </c>
      <c r="BT16" s="196"/>
      <c r="BU16" s="170">
        <v>0</v>
      </c>
      <c r="BV16" s="196"/>
      <c r="BW16" s="251"/>
      <c r="BX16" s="254"/>
      <c r="BY16" s="88">
        <f t="shared" si="4"/>
        <v>0</v>
      </c>
      <c r="BZ16" s="214"/>
      <c r="CA16" s="214"/>
      <c r="CB16" s="214"/>
      <c r="CC16" s="214"/>
      <c r="CD16" s="214"/>
      <c r="CE16" s="214"/>
      <c r="CF16" s="214"/>
      <c r="CG16" s="214"/>
      <c r="CH16" s="214"/>
      <c r="CI16" s="214"/>
      <c r="CJ16" s="214"/>
      <c r="CK16" s="214"/>
      <c r="CL16" s="211">
        <f t="shared" si="8"/>
        <v>0</v>
      </c>
      <c r="CM16" s="212"/>
      <c r="CN16" s="212"/>
      <c r="CO16" s="212"/>
      <c r="CP16" s="212"/>
      <c r="CQ16" s="212"/>
      <c r="CR16" s="212"/>
      <c r="CS16" s="212"/>
      <c r="CT16" s="212"/>
      <c r="CU16" s="212"/>
      <c r="CV16" s="212"/>
      <c r="CW16" s="212"/>
      <c r="CX16" s="212"/>
      <c r="CY16" s="216">
        <f t="shared" si="9"/>
        <v>0</v>
      </c>
      <c r="CZ16" s="185">
        <f t="shared" si="5"/>
        <v>0</v>
      </c>
      <c r="DA16" s="217">
        <f t="shared" si="10"/>
        <v>-418.03419000000002</v>
      </c>
      <c r="DB16" s="217">
        <f t="shared" si="11"/>
        <v>0</v>
      </c>
      <c r="DC16" s="217">
        <f t="shared" si="18"/>
        <v>-418.03419000000002</v>
      </c>
      <c r="DD16" s="256">
        <v>-418.03419000000002</v>
      </c>
      <c r="DE16" s="217">
        <f t="shared" si="12"/>
        <v>0</v>
      </c>
      <c r="DF16" s="185" t="e">
        <f>SUM(DN16:DO16)-SUM(#REF!,BV16)+BU16</f>
        <v>#REF!</v>
      </c>
      <c r="DG16" s="223"/>
      <c r="DH16" s="241">
        <f t="shared" si="13"/>
        <v>-418.03419000000002</v>
      </c>
      <c r="DI16" s="241">
        <f t="shared" si="14"/>
        <v>0</v>
      </c>
      <c r="DJ16" s="241">
        <f t="shared" si="15"/>
        <v>0</v>
      </c>
      <c r="DK16" s="241" t="e">
        <f>SUM(BS16,#REF!,BV16)</f>
        <v>#REF!</v>
      </c>
      <c r="DL16" s="155"/>
      <c r="DM16" s="155"/>
      <c r="DN16" s="155"/>
      <c r="DO16" s="155"/>
      <c r="DP16" s="155"/>
      <c r="DQ16" s="155"/>
      <c r="DS16" s="235">
        <f t="shared" si="19"/>
        <v>0</v>
      </c>
    </row>
    <row r="17" spans="1:123" s="23" customFormat="1" ht="24" hidden="1" customHeight="1">
      <c r="A17" s="18"/>
      <c r="B17" s="2">
        <v>8</v>
      </c>
      <c r="C17" s="85" t="s">
        <v>683</v>
      </c>
      <c r="D17" s="85"/>
      <c r="E17" s="85"/>
      <c r="F17" s="3"/>
      <c r="G17" s="4"/>
      <c r="H17" s="4"/>
      <c r="I17" s="4"/>
      <c r="J17" s="15" t="str">
        <f t="shared" ca="1" si="6"/>
        <v/>
      </c>
      <c r="K17" s="177" t="str">
        <f t="shared" si="16"/>
        <v/>
      </c>
      <c r="L17" s="177" t="str">
        <f t="shared" si="17"/>
        <v/>
      </c>
      <c r="M17" s="177"/>
      <c r="N17" s="177"/>
      <c r="O17" s="177"/>
      <c r="P17" s="177"/>
      <c r="Q17" s="177"/>
      <c r="R17" s="3" t="s">
        <v>176</v>
      </c>
      <c r="S17" s="13"/>
      <c r="T17" s="13"/>
      <c r="U17" s="5" t="s">
        <v>9</v>
      </c>
      <c r="V17" s="268"/>
      <c r="W17" s="5" t="s">
        <v>1407</v>
      </c>
      <c r="X17" s="5" t="s">
        <v>712</v>
      </c>
      <c r="Y17" s="5" t="s">
        <v>1415</v>
      </c>
      <c r="Z17" s="3" t="s">
        <v>181</v>
      </c>
      <c r="AA17" s="6" t="s">
        <v>218</v>
      </c>
      <c r="AB17" s="151"/>
      <c r="AC17" s="177"/>
      <c r="AD17" s="177"/>
      <c r="AE17" s="177" t="s">
        <v>6</v>
      </c>
      <c r="AF17" s="5"/>
      <c r="AG17" s="5"/>
      <c r="AH17" s="226"/>
      <c r="AI17" s="83"/>
      <c r="AJ17" s="83"/>
      <c r="AK17" s="237" t="e">
        <f>SUM(#REF!,BT17,BV17)</f>
        <v>#REF!</v>
      </c>
      <c r="AL17" s="173"/>
      <c r="AM17" s="173"/>
      <c r="AN17" s="173"/>
      <c r="AO17" s="173"/>
      <c r="AP17" s="173"/>
      <c r="AQ17" s="173"/>
      <c r="AR17" s="56"/>
      <c r="AS17" s="56">
        <v>0</v>
      </c>
      <c r="AT17" s="56">
        <v>0</v>
      </c>
      <c r="AU17" s="56"/>
      <c r="AV17" s="38"/>
      <c r="AW17" s="38"/>
      <c r="AX17" s="97">
        <f t="shared" si="7"/>
        <v>0</v>
      </c>
      <c r="AY17" s="169">
        <f t="shared" si="3"/>
        <v>0</v>
      </c>
      <c r="AZ17" s="196">
        <v>0</v>
      </c>
      <c r="BA17" s="170"/>
      <c r="BB17" s="170">
        <v>0</v>
      </c>
      <c r="BC17" s="170"/>
      <c r="BD17" s="170">
        <v>0</v>
      </c>
      <c r="BE17" s="170"/>
      <c r="BF17" s="170">
        <v>0</v>
      </c>
      <c r="BG17" s="170"/>
      <c r="BH17" s="170">
        <v>0</v>
      </c>
      <c r="BI17" s="170"/>
      <c r="BJ17" s="170">
        <v>0</v>
      </c>
      <c r="BK17" s="170"/>
      <c r="BL17" s="196"/>
      <c r="BM17" s="170"/>
      <c r="BN17" s="196"/>
      <c r="BO17" s="170"/>
      <c r="BP17" s="196"/>
      <c r="BQ17" s="170"/>
      <c r="BR17" s="196"/>
      <c r="BS17" s="170"/>
      <c r="BT17" s="196"/>
      <c r="BU17" s="170"/>
      <c r="BV17" s="196"/>
      <c r="BW17" s="251"/>
      <c r="BX17" s="254"/>
      <c r="BY17" s="88">
        <f t="shared" si="4"/>
        <v>0</v>
      </c>
      <c r="BZ17" s="214"/>
      <c r="CA17" s="214"/>
      <c r="CB17" s="214"/>
      <c r="CC17" s="214"/>
      <c r="CD17" s="214"/>
      <c r="CE17" s="214"/>
      <c r="CF17" s="214"/>
      <c r="CG17" s="214"/>
      <c r="CH17" s="214"/>
      <c r="CI17" s="214"/>
      <c r="CJ17" s="214"/>
      <c r="CK17" s="214"/>
      <c r="CL17" s="211">
        <f t="shared" si="8"/>
        <v>0</v>
      </c>
      <c r="CM17" s="212"/>
      <c r="CN17" s="212"/>
      <c r="CO17" s="212"/>
      <c r="CP17" s="212"/>
      <c r="CQ17" s="212"/>
      <c r="CR17" s="212"/>
      <c r="CS17" s="212"/>
      <c r="CT17" s="212"/>
      <c r="CU17" s="212"/>
      <c r="CV17" s="212"/>
      <c r="CW17" s="212"/>
      <c r="CX17" s="212"/>
      <c r="CY17" s="216">
        <f t="shared" si="9"/>
        <v>0</v>
      </c>
      <c r="CZ17" s="185">
        <f t="shared" si="5"/>
        <v>0</v>
      </c>
      <c r="DA17" s="217">
        <f t="shared" si="10"/>
        <v>0</v>
      </c>
      <c r="DB17" s="217">
        <f t="shared" si="11"/>
        <v>0</v>
      </c>
      <c r="DC17" s="217">
        <f t="shared" si="18"/>
        <v>0</v>
      </c>
      <c r="DD17" s="256">
        <v>0</v>
      </c>
      <c r="DE17" s="217">
        <f t="shared" si="12"/>
        <v>0</v>
      </c>
      <c r="DF17" s="185" t="e">
        <f>SUM(DN17:DO17)-SUM(#REF!,BV17)+BU17</f>
        <v>#REF!</v>
      </c>
      <c r="DG17" s="223"/>
      <c r="DH17" s="241">
        <f t="shared" si="13"/>
        <v>0</v>
      </c>
      <c r="DI17" s="241">
        <f t="shared" si="14"/>
        <v>0</v>
      </c>
      <c r="DJ17" s="241">
        <f t="shared" si="15"/>
        <v>0</v>
      </c>
      <c r="DK17" s="241" t="e">
        <f>SUM(BS17,#REF!,BV17)</f>
        <v>#REF!</v>
      </c>
      <c r="DL17" s="155"/>
      <c r="DM17" s="155"/>
      <c r="DN17" s="155"/>
      <c r="DO17" s="155"/>
      <c r="DP17" s="155"/>
      <c r="DQ17" s="155"/>
      <c r="DS17" s="235">
        <f t="shared" si="19"/>
        <v>0</v>
      </c>
    </row>
    <row r="18" spans="1:123" s="23" customFormat="1" ht="24" hidden="1" customHeight="1">
      <c r="A18" s="18"/>
      <c r="B18" s="2">
        <v>9</v>
      </c>
      <c r="C18" s="85" t="s">
        <v>689</v>
      </c>
      <c r="D18" s="85"/>
      <c r="E18" s="85"/>
      <c r="F18" s="3"/>
      <c r="G18" s="4"/>
      <c r="H18" s="4"/>
      <c r="I18" s="4"/>
      <c r="J18" s="15" t="str">
        <f t="shared" ca="1" si="6"/>
        <v/>
      </c>
      <c r="K18" s="177" t="str">
        <f t="shared" si="16"/>
        <v/>
      </c>
      <c r="L18" s="177" t="str">
        <f t="shared" si="17"/>
        <v/>
      </c>
      <c r="M18" s="177"/>
      <c r="N18" s="177"/>
      <c r="O18" s="177"/>
      <c r="P18" s="177"/>
      <c r="Q18" s="177"/>
      <c r="R18" s="3" t="s">
        <v>179</v>
      </c>
      <c r="S18" s="13"/>
      <c r="T18" s="13"/>
      <c r="U18" s="5" t="s">
        <v>9</v>
      </c>
      <c r="V18" s="268"/>
      <c r="W18" s="5" t="s">
        <v>1407</v>
      </c>
      <c r="X18" s="5" t="s">
        <v>712</v>
      </c>
      <c r="Y18" s="5" t="s">
        <v>1416</v>
      </c>
      <c r="Z18" s="3" t="s">
        <v>188</v>
      </c>
      <c r="AA18" s="6" t="s">
        <v>218</v>
      </c>
      <c r="AB18" s="151"/>
      <c r="AC18" s="177"/>
      <c r="AD18" s="177"/>
      <c r="AE18" s="177" t="str">
        <f>IFERROR(EOMONTH(L18,-2),"")</f>
        <v/>
      </c>
      <c r="AF18" s="5"/>
      <c r="AG18" s="5"/>
      <c r="AH18" s="226"/>
      <c r="AI18" s="83"/>
      <c r="AJ18" s="83"/>
      <c r="AK18" s="237" t="e">
        <f>SUM(#REF!,BT18,BV18)</f>
        <v>#REF!</v>
      </c>
      <c r="AL18" s="173"/>
      <c r="AM18" s="173"/>
      <c r="AN18" s="173"/>
      <c r="AO18" s="173"/>
      <c r="AP18" s="173"/>
      <c r="AQ18" s="173"/>
      <c r="AR18" s="56"/>
      <c r="AS18" s="56">
        <v>0</v>
      </c>
      <c r="AT18" s="56">
        <v>0</v>
      </c>
      <c r="AU18" s="56">
        <v>0</v>
      </c>
      <c r="AV18" s="38"/>
      <c r="AW18" s="38"/>
      <c r="AX18" s="97">
        <f t="shared" si="7"/>
        <v>0</v>
      </c>
      <c r="AY18" s="169">
        <f t="shared" si="3"/>
        <v>0</v>
      </c>
      <c r="AZ18" s="196">
        <v>0</v>
      </c>
      <c r="BA18" s="170">
        <v>0</v>
      </c>
      <c r="BB18" s="170">
        <v>0</v>
      </c>
      <c r="BC18" s="170">
        <v>0</v>
      </c>
      <c r="BD18" s="170">
        <v>0</v>
      </c>
      <c r="BE18" s="170">
        <v>0</v>
      </c>
      <c r="BF18" s="170">
        <v>0</v>
      </c>
      <c r="BG18" s="170">
        <v>0</v>
      </c>
      <c r="BH18" s="170">
        <v>0</v>
      </c>
      <c r="BI18" s="170">
        <v>0</v>
      </c>
      <c r="BJ18" s="170">
        <v>0</v>
      </c>
      <c r="BK18" s="170">
        <v>0</v>
      </c>
      <c r="BL18" s="196"/>
      <c r="BM18" s="170">
        <v>0</v>
      </c>
      <c r="BN18" s="196"/>
      <c r="BO18" s="170">
        <v>0</v>
      </c>
      <c r="BP18" s="196"/>
      <c r="BQ18" s="170">
        <v>0</v>
      </c>
      <c r="BR18" s="196"/>
      <c r="BS18" s="170">
        <v>0</v>
      </c>
      <c r="BT18" s="196"/>
      <c r="BU18" s="170">
        <v>0</v>
      </c>
      <c r="BV18" s="196"/>
      <c r="BW18" s="251"/>
      <c r="BX18" s="254"/>
      <c r="BY18" s="88">
        <f t="shared" si="4"/>
        <v>0</v>
      </c>
      <c r="BZ18" s="214"/>
      <c r="CA18" s="214"/>
      <c r="CB18" s="214"/>
      <c r="CC18" s="214"/>
      <c r="CD18" s="214"/>
      <c r="CE18" s="214"/>
      <c r="CF18" s="214"/>
      <c r="CG18" s="214"/>
      <c r="CH18" s="214"/>
      <c r="CI18" s="214"/>
      <c r="CJ18" s="214"/>
      <c r="CK18" s="214"/>
      <c r="CL18" s="211">
        <f t="shared" si="8"/>
        <v>0</v>
      </c>
      <c r="CM18" s="212"/>
      <c r="CN18" s="212"/>
      <c r="CO18" s="212"/>
      <c r="CP18" s="212"/>
      <c r="CQ18" s="212"/>
      <c r="CR18" s="212"/>
      <c r="CS18" s="212"/>
      <c r="CT18" s="212"/>
      <c r="CU18" s="212"/>
      <c r="CV18" s="212"/>
      <c r="CW18" s="212"/>
      <c r="CX18" s="212"/>
      <c r="CY18" s="216">
        <f t="shared" si="9"/>
        <v>0</v>
      </c>
      <c r="CZ18" s="185">
        <f t="shared" si="5"/>
        <v>0</v>
      </c>
      <c r="DA18" s="217">
        <f t="shared" si="10"/>
        <v>0</v>
      </c>
      <c r="DB18" s="217">
        <f t="shared" si="11"/>
        <v>0</v>
      </c>
      <c r="DC18" s="217">
        <f t="shared" si="18"/>
        <v>0</v>
      </c>
      <c r="DD18" s="256">
        <v>0</v>
      </c>
      <c r="DE18" s="217">
        <f t="shared" si="12"/>
        <v>0</v>
      </c>
      <c r="DF18" s="185" t="e">
        <f>SUM(DN18:DO18)-SUM(#REF!,BV18)+BU18</f>
        <v>#REF!</v>
      </c>
      <c r="DG18" s="223"/>
      <c r="DH18" s="241">
        <f t="shared" si="13"/>
        <v>0</v>
      </c>
      <c r="DI18" s="241">
        <f t="shared" si="14"/>
        <v>0</v>
      </c>
      <c r="DJ18" s="241">
        <f t="shared" si="15"/>
        <v>0</v>
      </c>
      <c r="DK18" s="241" t="e">
        <f>SUM(BS18,#REF!,BV18)</f>
        <v>#REF!</v>
      </c>
      <c r="DL18" s="155"/>
      <c r="DM18" s="155"/>
      <c r="DN18" s="155"/>
      <c r="DO18" s="155"/>
      <c r="DP18" s="155"/>
      <c r="DQ18" s="155"/>
      <c r="DS18" s="235">
        <f t="shared" si="19"/>
        <v>0</v>
      </c>
    </row>
    <row r="19" spans="1:123" s="23" customFormat="1" ht="24" hidden="1" customHeight="1">
      <c r="A19" s="18"/>
      <c r="B19" s="2">
        <v>10</v>
      </c>
      <c r="C19" s="85" t="s">
        <v>678</v>
      </c>
      <c r="D19" s="85"/>
      <c r="E19" s="85"/>
      <c r="F19" s="3"/>
      <c r="G19" s="4"/>
      <c r="H19" s="4"/>
      <c r="I19" s="4"/>
      <c r="J19" s="15" t="str">
        <f t="shared" ca="1" si="6"/>
        <v/>
      </c>
      <c r="K19" s="177" t="str">
        <f t="shared" si="16"/>
        <v/>
      </c>
      <c r="L19" s="177" t="str">
        <f t="shared" si="17"/>
        <v/>
      </c>
      <c r="M19" s="177"/>
      <c r="N19" s="177"/>
      <c r="O19" s="177"/>
      <c r="P19" s="177"/>
      <c r="Q19" s="177"/>
      <c r="R19" s="3" t="s">
        <v>176</v>
      </c>
      <c r="S19" s="13"/>
      <c r="T19" s="13"/>
      <c r="U19" s="5" t="s">
        <v>9</v>
      </c>
      <c r="V19" s="268"/>
      <c r="W19" s="5" t="s">
        <v>1407</v>
      </c>
      <c r="X19" s="5" t="s">
        <v>712</v>
      </c>
      <c r="Y19" s="5" t="s">
        <v>1417</v>
      </c>
      <c r="Z19" s="3" t="s">
        <v>185</v>
      </c>
      <c r="AA19" s="6" t="s">
        <v>218</v>
      </c>
      <c r="AB19" s="151"/>
      <c r="AC19" s="177"/>
      <c r="AD19" s="177"/>
      <c r="AE19" s="177" t="s">
        <v>6</v>
      </c>
      <c r="AF19" s="5"/>
      <c r="AG19" s="5"/>
      <c r="AH19" s="226"/>
      <c r="AI19" s="83"/>
      <c r="AJ19" s="83"/>
      <c r="AK19" s="237" t="e">
        <f>SUM(#REF!,BT19,BV19)</f>
        <v>#REF!</v>
      </c>
      <c r="AL19" s="173"/>
      <c r="AM19" s="173"/>
      <c r="AN19" s="173"/>
      <c r="AO19" s="173"/>
      <c r="AP19" s="173"/>
      <c r="AQ19" s="173"/>
      <c r="AR19" s="56"/>
      <c r="AS19" s="56">
        <v>0</v>
      </c>
      <c r="AT19" s="56">
        <v>-5.5511151231257827E-17</v>
      </c>
      <c r="AU19" s="56"/>
      <c r="AV19" s="38"/>
      <c r="AW19" s="38"/>
      <c r="AX19" s="97">
        <f t="shared" si="7"/>
        <v>0</v>
      </c>
      <c r="AY19" s="169">
        <f t="shared" si="3"/>
        <v>0</v>
      </c>
      <c r="AZ19" s="196">
        <v>0</v>
      </c>
      <c r="BA19" s="170"/>
      <c r="BB19" s="170">
        <v>0</v>
      </c>
      <c r="BC19" s="170"/>
      <c r="BD19" s="170">
        <v>0</v>
      </c>
      <c r="BE19" s="170"/>
      <c r="BF19" s="170">
        <v>0</v>
      </c>
      <c r="BG19" s="170"/>
      <c r="BH19" s="170">
        <v>0</v>
      </c>
      <c r="BI19" s="170"/>
      <c r="BJ19" s="170">
        <v>0</v>
      </c>
      <c r="BK19" s="170"/>
      <c r="BL19" s="196"/>
      <c r="BM19" s="170"/>
      <c r="BN19" s="196"/>
      <c r="BO19" s="170"/>
      <c r="BP19" s="196"/>
      <c r="BQ19" s="170"/>
      <c r="BR19" s="196"/>
      <c r="BS19" s="170"/>
      <c r="BT19" s="196"/>
      <c r="BU19" s="170"/>
      <c r="BV19" s="196"/>
      <c r="BW19" s="251"/>
      <c r="BX19" s="254"/>
      <c r="BY19" s="88">
        <f t="shared" si="4"/>
        <v>0</v>
      </c>
      <c r="BZ19" s="214"/>
      <c r="CA19" s="214"/>
      <c r="CB19" s="214"/>
      <c r="CC19" s="214"/>
      <c r="CD19" s="214"/>
      <c r="CE19" s="214"/>
      <c r="CF19" s="214"/>
      <c r="CG19" s="214"/>
      <c r="CH19" s="214"/>
      <c r="CI19" s="214"/>
      <c r="CJ19" s="214"/>
      <c r="CK19" s="214"/>
      <c r="CL19" s="211">
        <f t="shared" si="8"/>
        <v>0</v>
      </c>
      <c r="CM19" s="212"/>
      <c r="CN19" s="212"/>
      <c r="CO19" s="212"/>
      <c r="CP19" s="212"/>
      <c r="CQ19" s="212"/>
      <c r="CR19" s="212"/>
      <c r="CS19" s="212"/>
      <c r="CT19" s="212"/>
      <c r="CU19" s="212"/>
      <c r="CV19" s="212"/>
      <c r="CW19" s="212"/>
      <c r="CX19" s="212"/>
      <c r="CY19" s="216">
        <f t="shared" si="9"/>
        <v>0</v>
      </c>
      <c r="CZ19" s="185">
        <f t="shared" si="5"/>
        <v>0</v>
      </c>
      <c r="DA19" s="217">
        <f t="shared" si="10"/>
        <v>0</v>
      </c>
      <c r="DB19" s="217">
        <f t="shared" si="11"/>
        <v>0</v>
      </c>
      <c r="DC19" s="217">
        <f t="shared" si="18"/>
        <v>0</v>
      </c>
      <c r="DD19" s="256">
        <v>0</v>
      </c>
      <c r="DE19" s="217">
        <f t="shared" si="12"/>
        <v>0</v>
      </c>
      <c r="DF19" s="185" t="e">
        <f>SUM(DN19:DO19)-SUM(#REF!,BV19)+BU19</f>
        <v>#REF!</v>
      </c>
      <c r="DG19" s="223"/>
      <c r="DH19" s="241">
        <f t="shared" si="13"/>
        <v>0</v>
      </c>
      <c r="DI19" s="241">
        <f t="shared" si="14"/>
        <v>0</v>
      </c>
      <c r="DJ19" s="241">
        <f t="shared" si="15"/>
        <v>0</v>
      </c>
      <c r="DK19" s="241" t="e">
        <f>SUM(BS19,#REF!,BV19)</f>
        <v>#REF!</v>
      </c>
      <c r="DL19" s="155"/>
      <c r="DM19" s="155"/>
      <c r="DN19" s="155"/>
      <c r="DO19" s="155"/>
      <c r="DP19" s="155"/>
      <c r="DQ19" s="155"/>
      <c r="DS19" s="235">
        <f t="shared" si="19"/>
        <v>0</v>
      </c>
    </row>
    <row r="20" spans="1:123" s="23" customFormat="1" ht="24" hidden="1" customHeight="1">
      <c r="A20" s="18"/>
      <c r="B20" s="2">
        <v>11</v>
      </c>
      <c r="C20" s="85" t="s">
        <v>695</v>
      </c>
      <c r="D20" s="85"/>
      <c r="E20" s="85"/>
      <c r="F20" s="3"/>
      <c r="G20" s="4"/>
      <c r="H20" s="4"/>
      <c r="I20" s="4"/>
      <c r="J20" s="15" t="str">
        <f t="shared" ca="1" si="6"/>
        <v/>
      </c>
      <c r="K20" s="177" t="str">
        <f t="shared" si="16"/>
        <v/>
      </c>
      <c r="L20" s="177" t="str">
        <f t="shared" si="17"/>
        <v/>
      </c>
      <c r="M20" s="177"/>
      <c r="N20" s="177"/>
      <c r="O20" s="177"/>
      <c r="P20" s="177"/>
      <c r="Q20" s="177"/>
      <c r="R20" s="3" t="s">
        <v>179</v>
      </c>
      <c r="S20" s="13"/>
      <c r="T20" s="13"/>
      <c r="U20" s="5" t="s">
        <v>9</v>
      </c>
      <c r="V20" s="268"/>
      <c r="W20" s="5" t="s">
        <v>1407</v>
      </c>
      <c r="X20" s="5" t="s">
        <v>712</v>
      </c>
      <c r="Y20" s="5" t="s">
        <v>1418</v>
      </c>
      <c r="Z20" s="3" t="s">
        <v>188</v>
      </c>
      <c r="AA20" s="6" t="s">
        <v>218</v>
      </c>
      <c r="AB20" s="151"/>
      <c r="AC20" s="177"/>
      <c r="AD20" s="177"/>
      <c r="AE20" s="177" t="str">
        <f>IFERROR(EOMONTH(L20,-2),"")</f>
        <v/>
      </c>
      <c r="AF20" s="5"/>
      <c r="AG20" s="5"/>
      <c r="AH20" s="226"/>
      <c r="AI20" s="83"/>
      <c r="AJ20" s="83"/>
      <c r="AK20" s="237" t="e">
        <f>SUM(#REF!,BT20,BV20)</f>
        <v>#REF!</v>
      </c>
      <c r="AL20" s="173"/>
      <c r="AM20" s="173"/>
      <c r="AN20" s="173"/>
      <c r="AO20" s="173"/>
      <c r="AP20" s="173"/>
      <c r="AQ20" s="173"/>
      <c r="AR20" s="56"/>
      <c r="AS20" s="56">
        <v>0</v>
      </c>
      <c r="AT20" s="56">
        <v>0</v>
      </c>
      <c r="AU20" s="56">
        <v>0</v>
      </c>
      <c r="AV20" s="38"/>
      <c r="AW20" s="38"/>
      <c r="AX20" s="97">
        <f t="shared" si="7"/>
        <v>0</v>
      </c>
      <c r="AY20" s="169">
        <f t="shared" si="3"/>
        <v>0</v>
      </c>
      <c r="AZ20" s="196">
        <v>0</v>
      </c>
      <c r="BA20" s="170">
        <v>0</v>
      </c>
      <c r="BB20" s="170">
        <v>0</v>
      </c>
      <c r="BC20" s="170">
        <v>0</v>
      </c>
      <c r="BD20" s="170">
        <v>0</v>
      </c>
      <c r="BE20" s="170">
        <v>0</v>
      </c>
      <c r="BF20" s="170">
        <v>0</v>
      </c>
      <c r="BG20" s="170">
        <v>0</v>
      </c>
      <c r="BH20" s="170">
        <v>0</v>
      </c>
      <c r="BI20" s="170">
        <v>0</v>
      </c>
      <c r="BJ20" s="170">
        <v>0</v>
      </c>
      <c r="BK20" s="170">
        <v>0</v>
      </c>
      <c r="BL20" s="196"/>
      <c r="BM20" s="170">
        <v>0</v>
      </c>
      <c r="BN20" s="196"/>
      <c r="BO20" s="170">
        <v>0</v>
      </c>
      <c r="BP20" s="196"/>
      <c r="BQ20" s="170">
        <v>0</v>
      </c>
      <c r="BR20" s="196"/>
      <c r="BS20" s="170">
        <v>0</v>
      </c>
      <c r="BT20" s="196"/>
      <c r="BU20" s="170">
        <v>0</v>
      </c>
      <c r="BV20" s="196"/>
      <c r="BW20" s="251"/>
      <c r="BX20" s="254"/>
      <c r="BY20" s="88">
        <f t="shared" si="4"/>
        <v>0</v>
      </c>
      <c r="BZ20" s="214"/>
      <c r="CA20" s="214"/>
      <c r="CB20" s="214"/>
      <c r="CC20" s="214"/>
      <c r="CD20" s="214"/>
      <c r="CE20" s="214"/>
      <c r="CF20" s="214"/>
      <c r="CG20" s="214"/>
      <c r="CH20" s="214"/>
      <c r="CI20" s="214"/>
      <c r="CJ20" s="214"/>
      <c r="CK20" s="214"/>
      <c r="CL20" s="211">
        <f t="shared" si="8"/>
        <v>0</v>
      </c>
      <c r="CM20" s="212"/>
      <c r="CN20" s="212"/>
      <c r="CO20" s="212"/>
      <c r="CP20" s="212"/>
      <c r="CQ20" s="212"/>
      <c r="CR20" s="212"/>
      <c r="CS20" s="212"/>
      <c r="CT20" s="212"/>
      <c r="CU20" s="212"/>
      <c r="CV20" s="212"/>
      <c r="CW20" s="212"/>
      <c r="CX20" s="212"/>
      <c r="CY20" s="216">
        <f t="shared" si="9"/>
        <v>0</v>
      </c>
      <c r="CZ20" s="185">
        <f t="shared" si="5"/>
        <v>0</v>
      </c>
      <c r="DA20" s="217">
        <f t="shared" si="10"/>
        <v>0</v>
      </c>
      <c r="DB20" s="217">
        <f t="shared" si="11"/>
        <v>0</v>
      </c>
      <c r="DC20" s="217">
        <f t="shared" si="18"/>
        <v>0</v>
      </c>
      <c r="DD20" s="256">
        <v>0</v>
      </c>
      <c r="DE20" s="217">
        <f t="shared" si="12"/>
        <v>0</v>
      </c>
      <c r="DF20" s="185" t="e">
        <f>SUM(DN20:DO20)-SUM(#REF!,BV20)+BU20</f>
        <v>#REF!</v>
      </c>
      <c r="DG20" s="223"/>
      <c r="DH20" s="241">
        <f t="shared" si="13"/>
        <v>0</v>
      </c>
      <c r="DI20" s="241">
        <f t="shared" si="14"/>
        <v>0</v>
      </c>
      <c r="DJ20" s="241">
        <f t="shared" si="15"/>
        <v>0</v>
      </c>
      <c r="DK20" s="241" t="e">
        <f>SUM(BS20,#REF!,BV20)</f>
        <v>#REF!</v>
      </c>
      <c r="DL20" s="155"/>
      <c r="DM20" s="155"/>
      <c r="DN20" s="155"/>
      <c r="DO20" s="155"/>
      <c r="DP20" s="155"/>
      <c r="DQ20" s="155"/>
      <c r="DS20" s="235">
        <f t="shared" si="19"/>
        <v>0</v>
      </c>
    </row>
    <row r="21" spans="1:123" s="23" customFormat="1" ht="24" hidden="1" customHeight="1">
      <c r="A21" s="18"/>
      <c r="B21" s="2">
        <v>12</v>
      </c>
      <c r="C21" s="85" t="s">
        <v>684</v>
      </c>
      <c r="D21" s="85"/>
      <c r="E21" s="85"/>
      <c r="F21" s="3"/>
      <c r="G21" s="4"/>
      <c r="H21" s="4"/>
      <c r="I21" s="4"/>
      <c r="J21" s="15" t="str">
        <f t="shared" ca="1" si="6"/>
        <v/>
      </c>
      <c r="K21" s="177" t="str">
        <f t="shared" si="16"/>
        <v/>
      </c>
      <c r="L21" s="177" t="str">
        <f t="shared" si="17"/>
        <v/>
      </c>
      <c r="M21" s="177"/>
      <c r="N21" s="177"/>
      <c r="O21" s="177"/>
      <c r="P21" s="177"/>
      <c r="Q21" s="177"/>
      <c r="R21" s="3" t="s">
        <v>176</v>
      </c>
      <c r="S21" s="13"/>
      <c r="T21" s="13"/>
      <c r="U21" s="5" t="s">
        <v>9</v>
      </c>
      <c r="V21" s="268"/>
      <c r="W21" s="5" t="s">
        <v>1407</v>
      </c>
      <c r="X21" s="5" t="s">
        <v>712</v>
      </c>
      <c r="Y21" s="5" t="s">
        <v>1419</v>
      </c>
      <c r="Z21" s="3" t="s">
        <v>181</v>
      </c>
      <c r="AA21" s="6" t="s">
        <v>218</v>
      </c>
      <c r="AB21" s="151"/>
      <c r="AC21" s="177"/>
      <c r="AD21" s="177"/>
      <c r="AE21" s="177" t="s">
        <v>6</v>
      </c>
      <c r="AF21" s="5"/>
      <c r="AG21" s="5"/>
      <c r="AH21" s="226"/>
      <c r="AI21" s="83"/>
      <c r="AJ21" s="83"/>
      <c r="AK21" s="237" t="e">
        <f>SUM(#REF!,BT21,BV21)</f>
        <v>#REF!</v>
      </c>
      <c r="AL21" s="173"/>
      <c r="AM21" s="173"/>
      <c r="AN21" s="173"/>
      <c r="AO21" s="173"/>
      <c r="AP21" s="173"/>
      <c r="AQ21" s="173"/>
      <c r="AR21" s="56"/>
      <c r="AS21" s="56">
        <v>0</v>
      </c>
      <c r="AT21" s="56">
        <v>0</v>
      </c>
      <c r="AU21" s="56"/>
      <c r="AV21" s="38"/>
      <c r="AW21" s="38"/>
      <c r="AX21" s="97">
        <f t="shared" si="7"/>
        <v>0</v>
      </c>
      <c r="AY21" s="169">
        <f t="shared" si="3"/>
        <v>0</v>
      </c>
      <c r="AZ21" s="196">
        <v>0</v>
      </c>
      <c r="BA21" s="170"/>
      <c r="BB21" s="170">
        <v>0</v>
      </c>
      <c r="BC21" s="170"/>
      <c r="BD21" s="170">
        <v>0</v>
      </c>
      <c r="BE21" s="170"/>
      <c r="BF21" s="170">
        <v>0</v>
      </c>
      <c r="BG21" s="170"/>
      <c r="BH21" s="170">
        <v>0</v>
      </c>
      <c r="BI21" s="170"/>
      <c r="BJ21" s="170">
        <v>0</v>
      </c>
      <c r="BK21" s="170"/>
      <c r="BL21" s="196"/>
      <c r="BM21" s="170"/>
      <c r="BN21" s="196"/>
      <c r="BO21" s="170"/>
      <c r="BP21" s="196"/>
      <c r="BQ21" s="170"/>
      <c r="BR21" s="196"/>
      <c r="BS21" s="170"/>
      <c r="BT21" s="196"/>
      <c r="BU21" s="170"/>
      <c r="BV21" s="196"/>
      <c r="BW21" s="251"/>
      <c r="BX21" s="254"/>
      <c r="BY21" s="88">
        <f t="shared" si="4"/>
        <v>0</v>
      </c>
      <c r="BZ21" s="214"/>
      <c r="CA21" s="214"/>
      <c r="CB21" s="214"/>
      <c r="CC21" s="214"/>
      <c r="CD21" s="214"/>
      <c r="CE21" s="214"/>
      <c r="CF21" s="214"/>
      <c r="CG21" s="214"/>
      <c r="CH21" s="214"/>
      <c r="CI21" s="214"/>
      <c r="CJ21" s="214"/>
      <c r="CK21" s="214"/>
      <c r="CL21" s="211">
        <f t="shared" si="8"/>
        <v>0</v>
      </c>
      <c r="CM21" s="212"/>
      <c r="CN21" s="212"/>
      <c r="CO21" s="212"/>
      <c r="CP21" s="212"/>
      <c r="CQ21" s="212"/>
      <c r="CR21" s="212"/>
      <c r="CS21" s="212"/>
      <c r="CT21" s="212"/>
      <c r="CU21" s="212"/>
      <c r="CV21" s="212"/>
      <c r="CW21" s="212"/>
      <c r="CX21" s="212"/>
      <c r="CY21" s="216">
        <f t="shared" si="9"/>
        <v>0</v>
      </c>
      <c r="CZ21" s="185">
        <f t="shared" si="5"/>
        <v>0</v>
      </c>
      <c r="DA21" s="217">
        <f t="shared" si="10"/>
        <v>0</v>
      </c>
      <c r="DB21" s="217">
        <f t="shared" si="11"/>
        <v>0</v>
      </c>
      <c r="DC21" s="217">
        <f t="shared" si="18"/>
        <v>0</v>
      </c>
      <c r="DD21" s="256">
        <v>0</v>
      </c>
      <c r="DE21" s="217">
        <f t="shared" si="12"/>
        <v>0</v>
      </c>
      <c r="DF21" s="185" t="e">
        <f>SUM(DN21:DO21)-SUM(#REF!,BV21)+BU21</f>
        <v>#REF!</v>
      </c>
      <c r="DG21" s="223"/>
      <c r="DH21" s="241">
        <f t="shared" si="13"/>
        <v>0</v>
      </c>
      <c r="DI21" s="241">
        <f t="shared" si="14"/>
        <v>0</v>
      </c>
      <c r="DJ21" s="241">
        <f t="shared" si="15"/>
        <v>0</v>
      </c>
      <c r="DK21" s="241" t="e">
        <f>SUM(BS21,#REF!,BV21)</f>
        <v>#REF!</v>
      </c>
      <c r="DL21" s="155"/>
      <c r="DM21" s="155"/>
      <c r="DN21" s="155"/>
      <c r="DO21" s="155"/>
      <c r="DP21" s="155"/>
      <c r="DQ21" s="155"/>
      <c r="DS21" s="235">
        <f t="shared" si="19"/>
        <v>0</v>
      </c>
    </row>
    <row r="22" spans="1:123" s="23" customFormat="1" ht="24" hidden="1" customHeight="1">
      <c r="A22" s="18"/>
      <c r="B22" s="2">
        <v>13</v>
      </c>
      <c r="C22" s="85" t="s">
        <v>685</v>
      </c>
      <c r="D22" s="85"/>
      <c r="E22" s="85"/>
      <c r="F22" s="3"/>
      <c r="G22" s="4"/>
      <c r="H22" s="4"/>
      <c r="I22" s="4"/>
      <c r="J22" s="15" t="str">
        <f t="shared" ca="1" si="6"/>
        <v/>
      </c>
      <c r="K22" s="177" t="str">
        <f t="shared" si="16"/>
        <v/>
      </c>
      <c r="L22" s="177" t="str">
        <f t="shared" si="17"/>
        <v/>
      </c>
      <c r="M22" s="177"/>
      <c r="N22" s="177"/>
      <c r="O22" s="177"/>
      <c r="P22" s="177"/>
      <c r="Q22" s="177"/>
      <c r="R22" s="3" t="s">
        <v>176</v>
      </c>
      <c r="S22" s="13"/>
      <c r="T22" s="13"/>
      <c r="U22" s="5" t="s">
        <v>9</v>
      </c>
      <c r="V22" s="268"/>
      <c r="W22" s="5" t="s">
        <v>1407</v>
      </c>
      <c r="X22" s="5" t="s">
        <v>712</v>
      </c>
      <c r="Y22" s="5" t="s">
        <v>1420</v>
      </c>
      <c r="Z22" s="3" t="s">
        <v>181</v>
      </c>
      <c r="AA22" s="6" t="s">
        <v>218</v>
      </c>
      <c r="AB22" s="151"/>
      <c r="AC22" s="177"/>
      <c r="AD22" s="177"/>
      <c r="AE22" s="177" t="s">
        <v>6</v>
      </c>
      <c r="AF22" s="5"/>
      <c r="AG22" s="5"/>
      <c r="AH22" s="226"/>
      <c r="AI22" s="83"/>
      <c r="AJ22" s="83"/>
      <c r="AK22" s="237" t="e">
        <f>SUM(#REF!,BT22,BV22)</f>
        <v>#REF!</v>
      </c>
      <c r="AL22" s="173"/>
      <c r="AM22" s="173"/>
      <c r="AN22" s="173"/>
      <c r="AO22" s="173"/>
      <c r="AP22" s="173"/>
      <c r="AQ22" s="173"/>
      <c r="AR22" s="56"/>
      <c r="AS22" s="56">
        <v>0</v>
      </c>
      <c r="AT22" s="56">
        <v>0</v>
      </c>
      <c r="AU22" s="56"/>
      <c r="AV22" s="38"/>
      <c r="AW22" s="38"/>
      <c r="AX22" s="97">
        <f t="shared" si="7"/>
        <v>0</v>
      </c>
      <c r="AY22" s="169">
        <f t="shared" si="3"/>
        <v>0</v>
      </c>
      <c r="AZ22" s="196">
        <v>0</v>
      </c>
      <c r="BA22" s="170"/>
      <c r="BB22" s="170">
        <v>0</v>
      </c>
      <c r="BC22" s="170"/>
      <c r="BD22" s="170">
        <v>0</v>
      </c>
      <c r="BE22" s="170"/>
      <c r="BF22" s="170">
        <v>0</v>
      </c>
      <c r="BG22" s="170"/>
      <c r="BH22" s="170">
        <v>0</v>
      </c>
      <c r="BI22" s="170"/>
      <c r="BJ22" s="170">
        <v>0</v>
      </c>
      <c r="BK22" s="170"/>
      <c r="BL22" s="196"/>
      <c r="BM22" s="170"/>
      <c r="BN22" s="196"/>
      <c r="BO22" s="170"/>
      <c r="BP22" s="196"/>
      <c r="BQ22" s="170"/>
      <c r="BR22" s="196"/>
      <c r="BS22" s="170"/>
      <c r="BT22" s="196"/>
      <c r="BU22" s="170"/>
      <c r="BV22" s="196"/>
      <c r="BW22" s="251"/>
      <c r="BX22" s="254"/>
      <c r="BY22" s="88">
        <f t="shared" si="4"/>
        <v>0</v>
      </c>
      <c r="BZ22" s="214"/>
      <c r="CA22" s="214"/>
      <c r="CB22" s="214"/>
      <c r="CC22" s="214"/>
      <c r="CD22" s="214"/>
      <c r="CE22" s="214"/>
      <c r="CF22" s="214"/>
      <c r="CG22" s="214"/>
      <c r="CH22" s="214"/>
      <c r="CI22" s="214"/>
      <c r="CJ22" s="214"/>
      <c r="CK22" s="214"/>
      <c r="CL22" s="211">
        <f t="shared" si="8"/>
        <v>0</v>
      </c>
      <c r="CM22" s="212"/>
      <c r="CN22" s="212"/>
      <c r="CO22" s="212"/>
      <c r="CP22" s="212"/>
      <c r="CQ22" s="212"/>
      <c r="CR22" s="212"/>
      <c r="CS22" s="212"/>
      <c r="CT22" s="212"/>
      <c r="CU22" s="212"/>
      <c r="CV22" s="212"/>
      <c r="CW22" s="212"/>
      <c r="CX22" s="212"/>
      <c r="CY22" s="216">
        <f t="shared" si="9"/>
        <v>0</v>
      </c>
      <c r="CZ22" s="185">
        <f t="shared" si="5"/>
        <v>0</v>
      </c>
      <c r="DA22" s="217">
        <f t="shared" si="10"/>
        <v>0</v>
      </c>
      <c r="DB22" s="217">
        <f t="shared" si="11"/>
        <v>0</v>
      </c>
      <c r="DC22" s="217">
        <f t="shared" si="18"/>
        <v>0</v>
      </c>
      <c r="DD22" s="256">
        <v>0</v>
      </c>
      <c r="DE22" s="217">
        <f t="shared" si="12"/>
        <v>0</v>
      </c>
      <c r="DF22" s="185" t="e">
        <f>SUM(DN22:DO22)-SUM(#REF!,BV22)+BU22</f>
        <v>#REF!</v>
      </c>
      <c r="DG22" s="223"/>
      <c r="DH22" s="241">
        <f t="shared" si="13"/>
        <v>0</v>
      </c>
      <c r="DI22" s="241">
        <f t="shared" si="14"/>
        <v>0</v>
      </c>
      <c r="DJ22" s="241">
        <f t="shared" si="15"/>
        <v>0</v>
      </c>
      <c r="DK22" s="241" t="e">
        <f>SUM(BS22,#REF!,BV22)</f>
        <v>#REF!</v>
      </c>
      <c r="DL22" s="155"/>
      <c r="DM22" s="155"/>
      <c r="DN22" s="155"/>
      <c r="DO22" s="155"/>
      <c r="DP22" s="155"/>
      <c r="DQ22" s="155"/>
      <c r="DS22" s="235">
        <f t="shared" si="19"/>
        <v>0</v>
      </c>
    </row>
    <row r="23" spans="1:123" s="23" customFormat="1" ht="24" hidden="1" customHeight="1">
      <c r="A23" s="18"/>
      <c r="B23" s="2">
        <v>14</v>
      </c>
      <c r="C23" s="85" t="s">
        <v>694</v>
      </c>
      <c r="D23" s="85"/>
      <c r="E23" s="85"/>
      <c r="F23" s="3"/>
      <c r="G23" s="4"/>
      <c r="H23" s="4"/>
      <c r="I23" s="4"/>
      <c r="J23" s="15" t="str">
        <f t="shared" ca="1" si="6"/>
        <v/>
      </c>
      <c r="K23" s="177" t="str">
        <f t="shared" si="16"/>
        <v/>
      </c>
      <c r="L23" s="177" t="str">
        <f t="shared" si="17"/>
        <v/>
      </c>
      <c r="M23" s="177"/>
      <c r="N23" s="177"/>
      <c r="O23" s="177"/>
      <c r="P23" s="177"/>
      <c r="Q23" s="177"/>
      <c r="R23" s="3" t="s">
        <v>176</v>
      </c>
      <c r="S23" s="13"/>
      <c r="T23" s="13"/>
      <c r="U23" s="5" t="s">
        <v>9</v>
      </c>
      <c r="V23" s="268"/>
      <c r="W23" s="5" t="s">
        <v>1407</v>
      </c>
      <c r="X23" s="5" t="s">
        <v>712</v>
      </c>
      <c r="Y23" s="5" t="s">
        <v>1421</v>
      </c>
      <c r="Z23" s="3" t="s">
        <v>699</v>
      </c>
      <c r="AA23" s="6" t="s">
        <v>218</v>
      </c>
      <c r="AB23" s="151"/>
      <c r="AC23" s="177"/>
      <c r="AD23" s="177"/>
      <c r="AE23" s="177" t="s">
        <v>6</v>
      </c>
      <c r="AF23" s="5"/>
      <c r="AG23" s="5"/>
      <c r="AH23" s="226"/>
      <c r="AI23" s="83"/>
      <c r="AJ23" s="83"/>
      <c r="AK23" s="237" t="e">
        <f>SUM(#REF!,BT23,BV23)</f>
        <v>#REF!</v>
      </c>
      <c r="AL23" s="173"/>
      <c r="AM23" s="173"/>
      <c r="AN23" s="173"/>
      <c r="AO23" s="173"/>
      <c r="AP23" s="173"/>
      <c r="AQ23" s="173"/>
      <c r="AR23" s="56"/>
      <c r="AS23" s="56">
        <v>0</v>
      </c>
      <c r="AT23" s="56">
        <v>0</v>
      </c>
      <c r="AU23" s="56"/>
      <c r="AV23" s="38"/>
      <c r="AW23" s="38"/>
      <c r="AX23" s="97">
        <f t="shared" si="7"/>
        <v>0</v>
      </c>
      <c r="AY23" s="169">
        <f t="shared" si="3"/>
        <v>0</v>
      </c>
      <c r="AZ23" s="196">
        <v>0</v>
      </c>
      <c r="BA23" s="170"/>
      <c r="BB23" s="170">
        <v>0</v>
      </c>
      <c r="BC23" s="170"/>
      <c r="BD23" s="170">
        <v>0</v>
      </c>
      <c r="BE23" s="170"/>
      <c r="BF23" s="170">
        <v>0</v>
      </c>
      <c r="BG23" s="170"/>
      <c r="BH23" s="170">
        <v>0</v>
      </c>
      <c r="BI23" s="170"/>
      <c r="BJ23" s="170">
        <v>0</v>
      </c>
      <c r="BK23" s="170"/>
      <c r="BL23" s="196"/>
      <c r="BM23" s="170"/>
      <c r="BN23" s="196"/>
      <c r="BO23" s="170"/>
      <c r="BP23" s="196"/>
      <c r="BQ23" s="170"/>
      <c r="BR23" s="196"/>
      <c r="BS23" s="170"/>
      <c r="BT23" s="196"/>
      <c r="BU23" s="170"/>
      <c r="BV23" s="196"/>
      <c r="BW23" s="251"/>
      <c r="BX23" s="254"/>
      <c r="BY23" s="88">
        <f t="shared" si="4"/>
        <v>0</v>
      </c>
      <c r="BZ23" s="214"/>
      <c r="CA23" s="214"/>
      <c r="CB23" s="214"/>
      <c r="CC23" s="214"/>
      <c r="CD23" s="214"/>
      <c r="CE23" s="214"/>
      <c r="CF23" s="214"/>
      <c r="CG23" s="214"/>
      <c r="CH23" s="214"/>
      <c r="CI23" s="214"/>
      <c r="CJ23" s="214"/>
      <c r="CK23" s="214"/>
      <c r="CL23" s="211">
        <f t="shared" si="8"/>
        <v>0</v>
      </c>
      <c r="CM23" s="212"/>
      <c r="CN23" s="212"/>
      <c r="CO23" s="212"/>
      <c r="CP23" s="212"/>
      <c r="CQ23" s="212"/>
      <c r="CR23" s="212"/>
      <c r="CS23" s="212"/>
      <c r="CT23" s="212"/>
      <c r="CU23" s="212"/>
      <c r="CV23" s="212"/>
      <c r="CW23" s="212"/>
      <c r="CX23" s="212"/>
      <c r="CY23" s="216">
        <f t="shared" si="9"/>
        <v>0</v>
      </c>
      <c r="CZ23" s="185">
        <f t="shared" si="5"/>
        <v>0</v>
      </c>
      <c r="DA23" s="217">
        <f t="shared" si="10"/>
        <v>0</v>
      </c>
      <c r="DB23" s="217">
        <f t="shared" si="11"/>
        <v>0</v>
      </c>
      <c r="DC23" s="217">
        <f t="shared" si="18"/>
        <v>0</v>
      </c>
      <c r="DD23" s="256">
        <v>0</v>
      </c>
      <c r="DE23" s="217">
        <f t="shared" si="12"/>
        <v>0</v>
      </c>
      <c r="DF23" s="185" t="e">
        <f>SUM(DN23:DO23)-SUM(#REF!,BV23)+BU23</f>
        <v>#REF!</v>
      </c>
      <c r="DG23" s="223"/>
      <c r="DH23" s="241">
        <f t="shared" si="13"/>
        <v>0</v>
      </c>
      <c r="DI23" s="241">
        <f t="shared" si="14"/>
        <v>0</v>
      </c>
      <c r="DJ23" s="241">
        <f t="shared" si="15"/>
        <v>0</v>
      </c>
      <c r="DK23" s="241" t="e">
        <f>SUM(BS23,#REF!,BV23)</f>
        <v>#REF!</v>
      </c>
      <c r="DL23" s="155"/>
      <c r="DM23" s="155"/>
      <c r="DN23" s="155"/>
      <c r="DO23" s="155"/>
      <c r="DP23" s="155"/>
      <c r="DQ23" s="155"/>
      <c r="DS23" s="235">
        <f t="shared" si="19"/>
        <v>0</v>
      </c>
    </row>
    <row r="24" spans="1:123" s="23" customFormat="1" ht="24" hidden="1" customHeight="1">
      <c r="A24" s="18"/>
      <c r="B24" s="2">
        <v>15</v>
      </c>
      <c r="C24" s="85" t="s">
        <v>686</v>
      </c>
      <c r="D24" s="85"/>
      <c r="E24" s="85"/>
      <c r="F24" s="3"/>
      <c r="G24" s="4"/>
      <c r="H24" s="4"/>
      <c r="I24" s="4"/>
      <c r="J24" s="15" t="str">
        <f t="shared" ca="1" si="6"/>
        <v/>
      </c>
      <c r="K24" s="177" t="str">
        <f t="shared" si="16"/>
        <v/>
      </c>
      <c r="L24" s="177" t="str">
        <f t="shared" si="17"/>
        <v/>
      </c>
      <c r="M24" s="177"/>
      <c r="N24" s="177"/>
      <c r="O24" s="177"/>
      <c r="P24" s="177"/>
      <c r="Q24" s="177"/>
      <c r="R24" s="3" t="s">
        <v>176</v>
      </c>
      <c r="S24" s="13"/>
      <c r="T24" s="13"/>
      <c r="U24" s="5" t="s">
        <v>9</v>
      </c>
      <c r="V24" s="268"/>
      <c r="W24" s="5" t="s">
        <v>1407</v>
      </c>
      <c r="X24" s="5" t="s">
        <v>712</v>
      </c>
      <c r="Y24" s="5" t="s">
        <v>1422</v>
      </c>
      <c r="Z24" s="3" t="s">
        <v>181</v>
      </c>
      <c r="AA24" s="6" t="s">
        <v>463</v>
      </c>
      <c r="AB24" s="284" t="s">
        <v>1520</v>
      </c>
      <c r="AC24" s="177"/>
      <c r="AD24" s="177"/>
      <c r="AE24" s="177" t="str">
        <f t="shared" ref="AE24:AE37" si="20">IFERROR(EOMONTH(L24,-2),"")</f>
        <v/>
      </c>
      <c r="AF24" s="5"/>
      <c r="AG24" s="5"/>
      <c r="AH24" s="226"/>
      <c r="AI24" s="83" t="s">
        <v>165</v>
      </c>
      <c r="AJ24" s="219"/>
      <c r="AK24" s="237" t="e">
        <f>SUM(#REF!,BT24,BV24)</f>
        <v>#REF!</v>
      </c>
      <c r="AL24" s="173"/>
      <c r="AM24" s="173"/>
      <c r="AN24" s="173"/>
      <c r="AO24" s="173"/>
      <c r="AP24" s="173"/>
      <c r="AQ24" s="173"/>
      <c r="AR24" s="56"/>
      <c r="AS24" s="56">
        <v>0</v>
      </c>
      <c r="AT24" s="56">
        <v>174.20511999999999</v>
      </c>
      <c r="AU24" s="56">
        <v>0</v>
      </c>
      <c r="AV24" s="38"/>
      <c r="AW24" s="38"/>
      <c r="AX24" s="97">
        <f t="shared" si="7"/>
        <v>0</v>
      </c>
      <c r="AY24" s="169">
        <f t="shared" si="3"/>
        <v>0</v>
      </c>
      <c r="AZ24" s="196">
        <v>0</v>
      </c>
      <c r="BA24" s="170">
        <v>0</v>
      </c>
      <c r="BB24" s="170">
        <v>0</v>
      </c>
      <c r="BC24" s="170">
        <v>0</v>
      </c>
      <c r="BD24" s="170">
        <v>0</v>
      </c>
      <c r="BE24" s="170">
        <v>0</v>
      </c>
      <c r="BF24" s="170">
        <v>0</v>
      </c>
      <c r="BG24" s="170">
        <v>0</v>
      </c>
      <c r="BH24" s="170">
        <v>0</v>
      </c>
      <c r="BI24" s="170">
        <v>0</v>
      </c>
      <c r="BJ24" s="170">
        <v>0</v>
      </c>
      <c r="BK24" s="170">
        <v>0</v>
      </c>
      <c r="BL24" s="196"/>
      <c r="BM24" s="170">
        <v>0</v>
      </c>
      <c r="BN24" s="196"/>
      <c r="BO24" s="170">
        <v>0</v>
      </c>
      <c r="BP24" s="196"/>
      <c r="BQ24" s="170">
        <v>0</v>
      </c>
      <c r="BR24" s="196"/>
      <c r="BS24" s="170">
        <v>0</v>
      </c>
      <c r="BT24" s="196"/>
      <c r="BU24" s="170">
        <v>0</v>
      </c>
      <c r="BV24" s="196"/>
      <c r="BW24" s="251"/>
      <c r="BX24" s="254"/>
      <c r="BY24" s="88">
        <f t="shared" si="4"/>
        <v>0</v>
      </c>
      <c r="BZ24" s="214"/>
      <c r="CA24" s="214"/>
      <c r="CB24" s="214"/>
      <c r="CC24" s="214"/>
      <c r="CD24" s="214"/>
      <c r="CE24" s="214"/>
      <c r="CF24" s="214"/>
      <c r="CG24" s="214"/>
      <c r="CH24" s="214"/>
      <c r="CI24" s="214"/>
      <c r="CJ24" s="214"/>
      <c r="CK24" s="214"/>
      <c r="CL24" s="211">
        <f t="shared" si="8"/>
        <v>0</v>
      </c>
      <c r="CM24" s="212"/>
      <c r="CN24" s="212"/>
      <c r="CO24" s="212"/>
      <c r="CP24" s="212"/>
      <c r="CQ24" s="212"/>
      <c r="CR24" s="212"/>
      <c r="CS24" s="212"/>
      <c r="CT24" s="212"/>
      <c r="CU24" s="212"/>
      <c r="CV24" s="212"/>
      <c r="CW24" s="212"/>
      <c r="CX24" s="212"/>
      <c r="CY24" s="216">
        <f t="shared" si="9"/>
        <v>0</v>
      </c>
      <c r="CZ24" s="185">
        <f t="shared" si="5"/>
        <v>0</v>
      </c>
      <c r="DA24" s="217">
        <f t="shared" si="10"/>
        <v>0</v>
      </c>
      <c r="DB24" s="217">
        <f t="shared" si="11"/>
        <v>0</v>
      </c>
      <c r="DC24" s="217">
        <f t="shared" si="18"/>
        <v>0</v>
      </c>
      <c r="DD24" s="256">
        <v>0</v>
      </c>
      <c r="DE24" s="217">
        <f t="shared" si="12"/>
        <v>0</v>
      </c>
      <c r="DF24" s="185" t="e">
        <f>SUM(DN24:DO24)-SUM(#REF!,BV24)+BU24</f>
        <v>#REF!</v>
      </c>
      <c r="DG24" s="223"/>
      <c r="DH24" s="241">
        <f t="shared" si="13"/>
        <v>0</v>
      </c>
      <c r="DI24" s="241">
        <f t="shared" si="14"/>
        <v>0</v>
      </c>
      <c r="DJ24" s="241">
        <f t="shared" si="15"/>
        <v>0</v>
      </c>
      <c r="DK24" s="241" t="e">
        <f>SUM(BS24,#REF!,BV24)</f>
        <v>#REF!</v>
      </c>
      <c r="DL24" s="155"/>
      <c r="DM24" s="155"/>
      <c r="DN24" s="155">
        <v>30.804950000000002</v>
      </c>
      <c r="DO24" s="155">
        <v>0</v>
      </c>
      <c r="DP24" s="155"/>
      <c r="DQ24" s="155"/>
      <c r="DS24" s="235">
        <f t="shared" si="19"/>
        <v>0</v>
      </c>
    </row>
    <row r="25" spans="1:123" s="23" customFormat="1" ht="24" hidden="1" customHeight="1">
      <c r="A25" s="18"/>
      <c r="B25" s="2">
        <v>16</v>
      </c>
      <c r="C25" s="85" t="s">
        <v>693</v>
      </c>
      <c r="D25" s="85"/>
      <c r="E25" s="85"/>
      <c r="F25" s="3"/>
      <c r="G25" s="4"/>
      <c r="H25" s="4"/>
      <c r="I25" s="4"/>
      <c r="J25" s="15" t="str">
        <f t="shared" ca="1" si="6"/>
        <v/>
      </c>
      <c r="K25" s="177" t="str">
        <f t="shared" si="16"/>
        <v/>
      </c>
      <c r="L25" s="177" t="str">
        <f t="shared" si="17"/>
        <v/>
      </c>
      <c r="M25" s="177"/>
      <c r="N25" s="177"/>
      <c r="O25" s="177"/>
      <c r="P25" s="177"/>
      <c r="Q25" s="177"/>
      <c r="R25" s="3" t="s">
        <v>180</v>
      </c>
      <c r="S25" s="13"/>
      <c r="T25" s="13"/>
      <c r="U25" s="5" t="s">
        <v>9</v>
      </c>
      <c r="V25" s="268"/>
      <c r="W25" s="5" t="s">
        <v>1407</v>
      </c>
      <c r="X25" s="5" t="s">
        <v>712</v>
      </c>
      <c r="Y25" s="5" t="s">
        <v>1423</v>
      </c>
      <c r="Z25" s="3" t="s">
        <v>188</v>
      </c>
      <c r="AA25" s="6" t="s">
        <v>218</v>
      </c>
      <c r="AB25" s="151"/>
      <c r="AC25" s="177"/>
      <c r="AD25" s="177"/>
      <c r="AE25" s="177" t="str">
        <f t="shared" si="20"/>
        <v/>
      </c>
      <c r="AF25" s="5"/>
      <c r="AG25" s="5"/>
      <c r="AH25" s="226"/>
      <c r="AI25" s="83" t="s">
        <v>237</v>
      </c>
      <c r="AJ25" s="219"/>
      <c r="AK25" s="237" t="e">
        <f>SUM(#REF!,BT25,BV25)</f>
        <v>#REF!</v>
      </c>
      <c r="AL25" s="173"/>
      <c r="AM25" s="173"/>
      <c r="AN25" s="173"/>
      <c r="AO25" s="173"/>
      <c r="AP25" s="173"/>
      <c r="AQ25" s="173"/>
      <c r="AR25" s="56"/>
      <c r="AS25" s="56">
        <v>0</v>
      </c>
      <c r="AT25" s="56">
        <v>0</v>
      </c>
      <c r="AU25" s="56">
        <v>0</v>
      </c>
      <c r="AV25" s="38"/>
      <c r="AW25" s="38"/>
      <c r="AX25" s="97">
        <f t="shared" si="7"/>
        <v>0</v>
      </c>
      <c r="AY25" s="169">
        <f t="shared" si="3"/>
        <v>0</v>
      </c>
      <c r="AZ25" s="196">
        <v>0</v>
      </c>
      <c r="BA25" s="170">
        <v>0</v>
      </c>
      <c r="BB25" s="170">
        <v>0</v>
      </c>
      <c r="BC25" s="170">
        <v>0</v>
      </c>
      <c r="BD25" s="170">
        <v>0</v>
      </c>
      <c r="BE25" s="170">
        <v>0</v>
      </c>
      <c r="BF25" s="170">
        <v>0</v>
      </c>
      <c r="BG25" s="170">
        <v>0</v>
      </c>
      <c r="BH25" s="170">
        <v>0</v>
      </c>
      <c r="BI25" s="170">
        <v>0</v>
      </c>
      <c r="BJ25" s="170">
        <v>0</v>
      </c>
      <c r="BK25" s="170">
        <v>0</v>
      </c>
      <c r="BL25" s="196"/>
      <c r="BM25" s="170">
        <v>0</v>
      </c>
      <c r="BN25" s="196"/>
      <c r="BO25" s="170">
        <v>0</v>
      </c>
      <c r="BP25" s="196"/>
      <c r="BQ25" s="170">
        <v>0</v>
      </c>
      <c r="BR25" s="196"/>
      <c r="BS25" s="170">
        <v>0</v>
      </c>
      <c r="BT25" s="196"/>
      <c r="BU25" s="170">
        <v>0</v>
      </c>
      <c r="BV25" s="196"/>
      <c r="BW25" s="251"/>
      <c r="BX25" s="254"/>
      <c r="BY25" s="88">
        <f t="shared" si="4"/>
        <v>0</v>
      </c>
      <c r="BZ25" s="214"/>
      <c r="CA25" s="214"/>
      <c r="CB25" s="214"/>
      <c r="CC25" s="214"/>
      <c r="CD25" s="214"/>
      <c r="CE25" s="214"/>
      <c r="CF25" s="214"/>
      <c r="CG25" s="214"/>
      <c r="CH25" s="214"/>
      <c r="CI25" s="214"/>
      <c r="CJ25" s="214"/>
      <c r="CK25" s="214"/>
      <c r="CL25" s="211">
        <f t="shared" si="8"/>
        <v>0</v>
      </c>
      <c r="CM25" s="212"/>
      <c r="CN25" s="212"/>
      <c r="CO25" s="212"/>
      <c r="CP25" s="212"/>
      <c r="CQ25" s="212"/>
      <c r="CR25" s="212"/>
      <c r="CS25" s="212"/>
      <c r="CT25" s="212"/>
      <c r="CU25" s="212"/>
      <c r="CV25" s="212"/>
      <c r="CW25" s="212"/>
      <c r="CX25" s="212"/>
      <c r="CY25" s="216">
        <f t="shared" si="9"/>
        <v>0</v>
      </c>
      <c r="CZ25" s="185">
        <f t="shared" si="5"/>
        <v>0</v>
      </c>
      <c r="DA25" s="217">
        <f t="shared" si="10"/>
        <v>0</v>
      </c>
      <c r="DB25" s="217">
        <f t="shared" si="11"/>
        <v>0</v>
      </c>
      <c r="DC25" s="217">
        <f t="shared" si="18"/>
        <v>0</v>
      </c>
      <c r="DD25" s="256">
        <v>0</v>
      </c>
      <c r="DE25" s="217">
        <f t="shared" si="12"/>
        <v>0</v>
      </c>
      <c r="DF25" s="185" t="e">
        <f>SUM(DN25:DO25)-SUM(#REF!,BV25)+BU25</f>
        <v>#REF!</v>
      </c>
      <c r="DG25" s="223"/>
      <c r="DH25" s="241">
        <f t="shared" si="13"/>
        <v>0</v>
      </c>
      <c r="DI25" s="241">
        <f t="shared" si="14"/>
        <v>0</v>
      </c>
      <c r="DJ25" s="241">
        <f t="shared" si="15"/>
        <v>0</v>
      </c>
      <c r="DK25" s="241" t="e">
        <f>SUM(BS25,#REF!,BV25)</f>
        <v>#REF!</v>
      </c>
      <c r="DL25" s="155"/>
      <c r="DM25" s="155"/>
      <c r="DN25" s="155"/>
      <c r="DO25" s="155"/>
      <c r="DP25" s="155"/>
      <c r="DQ25" s="155"/>
      <c r="DS25" s="235">
        <f t="shared" si="19"/>
        <v>0</v>
      </c>
    </row>
    <row r="26" spans="1:123" s="23" customFormat="1" ht="24" hidden="1" customHeight="1">
      <c r="A26" s="18"/>
      <c r="B26" s="2">
        <v>17</v>
      </c>
      <c r="C26" s="85" t="s">
        <v>687</v>
      </c>
      <c r="D26" s="85"/>
      <c r="E26" s="85"/>
      <c r="F26" s="3"/>
      <c r="G26" s="4"/>
      <c r="H26" s="4"/>
      <c r="I26" s="4"/>
      <c r="J26" s="15" t="str">
        <f t="shared" ca="1" si="6"/>
        <v/>
      </c>
      <c r="K26" s="177" t="str">
        <f t="shared" si="16"/>
        <v/>
      </c>
      <c r="L26" s="177" t="str">
        <f t="shared" si="17"/>
        <v/>
      </c>
      <c r="M26" s="177"/>
      <c r="N26" s="177"/>
      <c r="O26" s="177"/>
      <c r="P26" s="177"/>
      <c r="Q26" s="177"/>
      <c r="R26" s="3" t="s">
        <v>176</v>
      </c>
      <c r="S26" s="13"/>
      <c r="T26" s="13"/>
      <c r="U26" s="5" t="s">
        <v>9</v>
      </c>
      <c r="V26" s="268"/>
      <c r="W26" s="5" t="s">
        <v>1407</v>
      </c>
      <c r="X26" s="5" t="s">
        <v>712</v>
      </c>
      <c r="Y26" s="5" t="s">
        <v>1424</v>
      </c>
      <c r="Z26" s="3" t="s">
        <v>316</v>
      </c>
      <c r="AA26" s="6" t="s">
        <v>218</v>
      </c>
      <c r="AB26" s="151"/>
      <c r="AC26" s="177"/>
      <c r="AD26" s="177"/>
      <c r="AE26" s="177" t="str">
        <f t="shared" si="20"/>
        <v/>
      </c>
      <c r="AF26" s="5"/>
      <c r="AG26" s="5"/>
      <c r="AH26" s="226"/>
      <c r="AI26" s="83" t="s">
        <v>227</v>
      </c>
      <c r="AJ26" s="219"/>
      <c r="AK26" s="237" t="e">
        <f>SUM(#REF!,BT26,BV26)</f>
        <v>#REF!</v>
      </c>
      <c r="AL26" s="173"/>
      <c r="AM26" s="173"/>
      <c r="AN26" s="173"/>
      <c r="AO26" s="173"/>
      <c r="AP26" s="173"/>
      <c r="AQ26" s="173"/>
      <c r="AR26" s="56"/>
      <c r="AS26" s="56">
        <v>0</v>
      </c>
      <c r="AT26" s="56">
        <v>-4.6519999999993011E-2</v>
      </c>
      <c r="AU26" s="56">
        <v>0</v>
      </c>
      <c r="AV26" s="38"/>
      <c r="AW26" s="38"/>
      <c r="AX26" s="97">
        <f t="shared" si="7"/>
        <v>0</v>
      </c>
      <c r="AY26" s="169">
        <f t="shared" si="3"/>
        <v>0</v>
      </c>
      <c r="AZ26" s="196">
        <v>0</v>
      </c>
      <c r="BA26" s="170">
        <v>0</v>
      </c>
      <c r="BB26" s="170">
        <v>0</v>
      </c>
      <c r="BC26" s="170">
        <v>0</v>
      </c>
      <c r="BD26" s="170">
        <v>0</v>
      </c>
      <c r="BE26" s="170">
        <v>0</v>
      </c>
      <c r="BF26" s="170">
        <v>0</v>
      </c>
      <c r="BG26" s="170">
        <v>0</v>
      </c>
      <c r="BH26" s="170">
        <v>0</v>
      </c>
      <c r="BI26" s="170">
        <v>0</v>
      </c>
      <c r="BJ26" s="170">
        <v>0</v>
      </c>
      <c r="BK26" s="170">
        <v>0</v>
      </c>
      <c r="BL26" s="196"/>
      <c r="BM26" s="170">
        <v>0</v>
      </c>
      <c r="BN26" s="196"/>
      <c r="BO26" s="170">
        <v>0</v>
      </c>
      <c r="BP26" s="196"/>
      <c r="BQ26" s="170">
        <v>0</v>
      </c>
      <c r="BR26" s="196"/>
      <c r="BS26" s="170">
        <v>0</v>
      </c>
      <c r="BT26" s="196"/>
      <c r="BU26" s="170">
        <v>0</v>
      </c>
      <c r="BV26" s="196"/>
      <c r="BW26" s="251"/>
      <c r="BX26" s="254"/>
      <c r="BY26" s="88">
        <f t="shared" si="4"/>
        <v>0</v>
      </c>
      <c r="BZ26" s="214"/>
      <c r="CA26" s="214"/>
      <c r="CB26" s="214"/>
      <c r="CC26" s="214"/>
      <c r="CD26" s="214"/>
      <c r="CE26" s="214"/>
      <c r="CF26" s="214"/>
      <c r="CG26" s="214"/>
      <c r="CH26" s="214"/>
      <c r="CI26" s="214"/>
      <c r="CJ26" s="214"/>
      <c r="CK26" s="214"/>
      <c r="CL26" s="211">
        <f t="shared" si="8"/>
        <v>0</v>
      </c>
      <c r="CM26" s="212"/>
      <c r="CN26" s="212"/>
      <c r="CO26" s="212"/>
      <c r="CP26" s="212"/>
      <c r="CQ26" s="212"/>
      <c r="CR26" s="212"/>
      <c r="CS26" s="212"/>
      <c r="CT26" s="212"/>
      <c r="CU26" s="212"/>
      <c r="CV26" s="212"/>
      <c r="CW26" s="212"/>
      <c r="CX26" s="212"/>
      <c r="CY26" s="216">
        <f t="shared" si="9"/>
        <v>0</v>
      </c>
      <c r="CZ26" s="185">
        <f t="shared" si="5"/>
        <v>0</v>
      </c>
      <c r="DA26" s="217">
        <f t="shared" si="10"/>
        <v>0</v>
      </c>
      <c r="DB26" s="217">
        <f t="shared" si="11"/>
        <v>0</v>
      </c>
      <c r="DC26" s="217">
        <f t="shared" si="18"/>
        <v>0</v>
      </c>
      <c r="DD26" s="256">
        <v>0</v>
      </c>
      <c r="DE26" s="217">
        <f t="shared" si="12"/>
        <v>0</v>
      </c>
      <c r="DF26" s="185" t="e">
        <f>SUM(DN26:DO26)-SUM(#REF!,BV26)+BU26</f>
        <v>#REF!</v>
      </c>
      <c r="DG26" s="223"/>
      <c r="DH26" s="241">
        <f t="shared" si="13"/>
        <v>0</v>
      </c>
      <c r="DI26" s="241">
        <f t="shared" si="14"/>
        <v>0</v>
      </c>
      <c r="DJ26" s="241">
        <f t="shared" si="15"/>
        <v>0</v>
      </c>
      <c r="DK26" s="241" t="e">
        <f>SUM(BS26,#REF!,BV26)</f>
        <v>#REF!</v>
      </c>
      <c r="DL26" s="155"/>
      <c r="DM26" s="155"/>
      <c r="DN26" s="155"/>
      <c r="DO26" s="155"/>
      <c r="DP26" s="155"/>
      <c r="DQ26" s="155"/>
      <c r="DS26" s="235">
        <f t="shared" si="19"/>
        <v>0</v>
      </c>
    </row>
    <row r="27" spans="1:123" s="23" customFormat="1" ht="24" hidden="1" customHeight="1">
      <c r="A27" s="18"/>
      <c r="B27" s="2">
        <v>18</v>
      </c>
      <c r="C27" s="85" t="s">
        <v>690</v>
      </c>
      <c r="D27" s="85"/>
      <c r="E27" s="85"/>
      <c r="F27" s="3"/>
      <c r="G27" s="4"/>
      <c r="H27" s="4"/>
      <c r="I27" s="4"/>
      <c r="J27" s="15" t="str">
        <f t="shared" ca="1" si="6"/>
        <v/>
      </c>
      <c r="K27" s="177" t="str">
        <f t="shared" si="16"/>
        <v/>
      </c>
      <c r="L27" s="177" t="str">
        <f t="shared" si="17"/>
        <v/>
      </c>
      <c r="M27" s="177"/>
      <c r="N27" s="177"/>
      <c r="O27" s="177"/>
      <c r="P27" s="177"/>
      <c r="Q27" s="177"/>
      <c r="R27" s="3" t="s">
        <v>176</v>
      </c>
      <c r="S27" s="13"/>
      <c r="T27" s="13"/>
      <c r="U27" s="5" t="s">
        <v>9</v>
      </c>
      <c r="V27" s="268"/>
      <c r="W27" s="5" t="s">
        <v>1407</v>
      </c>
      <c r="X27" s="5" t="s">
        <v>478</v>
      </c>
      <c r="Y27" s="5" t="s">
        <v>1425</v>
      </c>
      <c r="Z27" s="3" t="s">
        <v>316</v>
      </c>
      <c r="AA27" s="6" t="s">
        <v>218</v>
      </c>
      <c r="AB27" s="151"/>
      <c r="AC27" s="177"/>
      <c r="AD27" s="177"/>
      <c r="AE27" s="177" t="str">
        <f t="shared" si="20"/>
        <v/>
      </c>
      <c r="AF27" s="5"/>
      <c r="AG27" s="5"/>
      <c r="AH27" s="226"/>
      <c r="AI27" s="83" t="s">
        <v>258</v>
      </c>
      <c r="AJ27" s="83"/>
      <c r="AK27" s="237" t="e">
        <f>SUM(#REF!,BT27,BV27)</f>
        <v>#REF!</v>
      </c>
      <c r="AL27" s="173"/>
      <c r="AM27" s="173"/>
      <c r="AN27" s="173"/>
      <c r="AO27" s="173"/>
      <c r="AP27" s="173"/>
      <c r="AQ27" s="173"/>
      <c r="AR27" s="56"/>
      <c r="AS27" s="56">
        <v>0</v>
      </c>
      <c r="AT27" s="56">
        <v>33.18416000000002</v>
      </c>
      <c r="AU27" s="56">
        <v>-31.679000000000002</v>
      </c>
      <c r="AV27" s="38"/>
      <c r="AW27" s="38"/>
      <c r="AX27" s="97">
        <f t="shared" si="7"/>
        <v>0</v>
      </c>
      <c r="AY27" s="169">
        <f t="shared" si="3"/>
        <v>-33.18415999999997</v>
      </c>
      <c r="AZ27" s="196">
        <v>0</v>
      </c>
      <c r="BA27" s="170">
        <v>-31.679000000000002</v>
      </c>
      <c r="BB27" s="170">
        <v>0</v>
      </c>
      <c r="BC27" s="170">
        <v>186.88516999999999</v>
      </c>
      <c r="BD27" s="170">
        <v>0</v>
      </c>
      <c r="BE27" s="170">
        <v>-216.99410999999995</v>
      </c>
      <c r="BF27" s="170">
        <v>0</v>
      </c>
      <c r="BG27" s="170">
        <v>-2.2812199999999998</v>
      </c>
      <c r="BH27" s="170">
        <v>0</v>
      </c>
      <c r="BI27" s="170">
        <v>31.944009999999999</v>
      </c>
      <c r="BJ27" s="170">
        <v>0</v>
      </c>
      <c r="BK27" s="170">
        <v>12.49502</v>
      </c>
      <c r="BL27" s="196"/>
      <c r="BM27" s="170">
        <v>-0.14102999999999999</v>
      </c>
      <c r="BN27" s="196">
        <v>-14.5</v>
      </c>
      <c r="BO27" s="170">
        <v>-13.413</v>
      </c>
      <c r="BP27" s="196"/>
      <c r="BQ27" s="170">
        <v>0</v>
      </c>
      <c r="BR27" s="196"/>
      <c r="BS27" s="170">
        <v>0</v>
      </c>
      <c r="BT27" s="196"/>
      <c r="BU27" s="170">
        <v>0</v>
      </c>
      <c r="BV27" s="196"/>
      <c r="BW27" s="251"/>
      <c r="BX27" s="254"/>
      <c r="BY27" s="88">
        <f t="shared" si="4"/>
        <v>0</v>
      </c>
      <c r="BZ27" s="214"/>
      <c r="CA27" s="214"/>
      <c r="CB27" s="214"/>
      <c r="CC27" s="214"/>
      <c r="CD27" s="214"/>
      <c r="CE27" s="214"/>
      <c r="CF27" s="214"/>
      <c r="CG27" s="214"/>
      <c r="CH27" s="214"/>
      <c r="CI27" s="214"/>
      <c r="CJ27" s="214"/>
      <c r="CK27" s="214"/>
      <c r="CL27" s="211">
        <f t="shared" si="8"/>
        <v>0</v>
      </c>
      <c r="CM27" s="212"/>
      <c r="CN27" s="212"/>
      <c r="CO27" s="212"/>
      <c r="CP27" s="212"/>
      <c r="CQ27" s="212"/>
      <c r="CR27" s="212"/>
      <c r="CS27" s="212"/>
      <c r="CT27" s="212"/>
      <c r="CU27" s="212"/>
      <c r="CV27" s="212"/>
      <c r="CW27" s="212"/>
      <c r="CX27" s="212"/>
      <c r="CY27" s="216">
        <f t="shared" si="9"/>
        <v>0</v>
      </c>
      <c r="CZ27" s="185">
        <f t="shared" si="5"/>
        <v>0</v>
      </c>
      <c r="DA27" s="217">
        <f t="shared" si="10"/>
        <v>-33.18415999999997</v>
      </c>
      <c r="DB27" s="217">
        <f t="shared" si="11"/>
        <v>0</v>
      </c>
      <c r="DC27" s="217">
        <f t="shared" si="18"/>
        <v>-33.18415999999997</v>
      </c>
      <c r="DD27" s="256">
        <v>-33.18415999999997</v>
      </c>
      <c r="DE27" s="217">
        <f t="shared" si="12"/>
        <v>0</v>
      </c>
      <c r="DF27" s="185" t="e">
        <f>SUM(DN27:DO27)-SUM(#REF!,BV27)+BU27</f>
        <v>#REF!</v>
      </c>
      <c r="DG27" s="223"/>
      <c r="DH27" s="241">
        <f t="shared" si="13"/>
        <v>-61.787939999999963</v>
      </c>
      <c r="DI27" s="241">
        <f t="shared" si="14"/>
        <v>42.157809999999998</v>
      </c>
      <c r="DJ27" s="241">
        <f t="shared" si="15"/>
        <v>-13.554030000000001</v>
      </c>
      <c r="DK27" s="241" t="e">
        <f>SUM(BS27,#REF!,BV27)</f>
        <v>#REF!</v>
      </c>
      <c r="DL27" s="155"/>
      <c r="DM27" s="155"/>
      <c r="DN27" s="155"/>
      <c r="DO27" s="155"/>
      <c r="DP27" s="155"/>
      <c r="DQ27" s="155"/>
      <c r="DS27" s="235">
        <f t="shared" si="19"/>
        <v>0</v>
      </c>
    </row>
    <row r="28" spans="1:123" s="23" customFormat="1" ht="24" hidden="1" customHeight="1">
      <c r="A28" s="18"/>
      <c r="B28" s="2">
        <v>19</v>
      </c>
      <c r="C28" s="85" t="s">
        <v>691</v>
      </c>
      <c r="D28" s="85"/>
      <c r="E28" s="85"/>
      <c r="F28" s="3"/>
      <c r="G28" s="4"/>
      <c r="H28" s="4"/>
      <c r="I28" s="4"/>
      <c r="J28" s="15" t="str">
        <f t="shared" ca="1" si="6"/>
        <v/>
      </c>
      <c r="K28" s="177" t="str">
        <f t="shared" si="16"/>
        <v/>
      </c>
      <c r="L28" s="177" t="str">
        <f t="shared" si="17"/>
        <v/>
      </c>
      <c r="M28" s="177"/>
      <c r="N28" s="177"/>
      <c r="O28" s="177"/>
      <c r="P28" s="177"/>
      <c r="Q28" s="177"/>
      <c r="R28" s="3" t="s">
        <v>176</v>
      </c>
      <c r="S28" s="13"/>
      <c r="T28" s="13"/>
      <c r="U28" s="5" t="s">
        <v>9</v>
      </c>
      <c r="V28" s="268"/>
      <c r="W28" s="5" t="s">
        <v>1407</v>
      </c>
      <c r="X28" s="5" t="s">
        <v>481</v>
      </c>
      <c r="Y28" s="5" t="s">
        <v>1426</v>
      </c>
      <c r="Z28" s="3" t="s">
        <v>316</v>
      </c>
      <c r="AA28" s="6" t="s">
        <v>218</v>
      </c>
      <c r="AB28" s="151"/>
      <c r="AC28" s="177"/>
      <c r="AD28" s="177"/>
      <c r="AE28" s="177" t="str">
        <f t="shared" si="20"/>
        <v/>
      </c>
      <c r="AF28" s="5"/>
      <c r="AG28" s="5"/>
      <c r="AH28" s="226"/>
      <c r="AI28" s="83" t="s">
        <v>256</v>
      </c>
      <c r="AJ28" s="83"/>
      <c r="AK28" s="237" t="e">
        <f>SUM(#REF!,BT28,BV28)</f>
        <v>#REF!</v>
      </c>
      <c r="AL28" s="173"/>
      <c r="AM28" s="173"/>
      <c r="AN28" s="173"/>
      <c r="AO28" s="173"/>
      <c r="AP28" s="173"/>
      <c r="AQ28" s="173"/>
      <c r="AR28" s="56"/>
      <c r="AS28" s="56">
        <v>0</v>
      </c>
      <c r="AT28" s="56">
        <v>12.011569999999992</v>
      </c>
      <c r="AU28" s="56">
        <v>-12.011569999999999</v>
      </c>
      <c r="AV28" s="38"/>
      <c r="AW28" s="38"/>
      <c r="AX28" s="97">
        <f t="shared" si="7"/>
        <v>0</v>
      </c>
      <c r="AY28" s="169">
        <f t="shared" si="3"/>
        <v>-12.011569999999999</v>
      </c>
      <c r="AZ28" s="196">
        <v>0</v>
      </c>
      <c r="BA28" s="170">
        <v>-12.011569999999999</v>
      </c>
      <c r="BB28" s="170">
        <v>0</v>
      </c>
      <c r="BC28" s="170">
        <v>0</v>
      </c>
      <c r="BD28" s="170">
        <v>0</v>
      </c>
      <c r="BE28" s="170">
        <v>0</v>
      </c>
      <c r="BF28" s="170">
        <v>0</v>
      </c>
      <c r="BG28" s="170">
        <v>0</v>
      </c>
      <c r="BH28" s="170">
        <v>0</v>
      </c>
      <c r="BI28" s="170">
        <v>0</v>
      </c>
      <c r="BJ28" s="170">
        <v>0</v>
      </c>
      <c r="BK28" s="170">
        <v>0</v>
      </c>
      <c r="BL28" s="196"/>
      <c r="BM28" s="170">
        <v>0</v>
      </c>
      <c r="BN28" s="196"/>
      <c r="BO28" s="170">
        <v>0</v>
      </c>
      <c r="BP28" s="196"/>
      <c r="BQ28" s="170">
        <v>0</v>
      </c>
      <c r="BR28" s="196"/>
      <c r="BS28" s="170">
        <v>0</v>
      </c>
      <c r="BT28" s="196"/>
      <c r="BU28" s="170">
        <v>0</v>
      </c>
      <c r="BV28" s="196"/>
      <c r="BW28" s="251"/>
      <c r="BX28" s="254"/>
      <c r="BY28" s="88">
        <f t="shared" si="4"/>
        <v>0</v>
      </c>
      <c r="BZ28" s="214"/>
      <c r="CA28" s="214"/>
      <c r="CB28" s="214"/>
      <c r="CC28" s="214"/>
      <c r="CD28" s="214"/>
      <c r="CE28" s="214"/>
      <c r="CF28" s="214"/>
      <c r="CG28" s="214"/>
      <c r="CH28" s="214"/>
      <c r="CI28" s="214"/>
      <c r="CJ28" s="214"/>
      <c r="CK28" s="214"/>
      <c r="CL28" s="211">
        <f t="shared" si="8"/>
        <v>0</v>
      </c>
      <c r="CM28" s="212"/>
      <c r="CN28" s="212"/>
      <c r="CO28" s="212"/>
      <c r="CP28" s="212"/>
      <c r="CQ28" s="212"/>
      <c r="CR28" s="212"/>
      <c r="CS28" s="212"/>
      <c r="CT28" s="212"/>
      <c r="CU28" s="212"/>
      <c r="CV28" s="212"/>
      <c r="CW28" s="212"/>
      <c r="CX28" s="212"/>
      <c r="CY28" s="216">
        <f t="shared" si="9"/>
        <v>0</v>
      </c>
      <c r="CZ28" s="185">
        <f t="shared" si="5"/>
        <v>0</v>
      </c>
      <c r="DA28" s="217">
        <f t="shared" si="10"/>
        <v>-12.011569999999999</v>
      </c>
      <c r="DB28" s="217">
        <f t="shared" si="11"/>
        <v>0</v>
      </c>
      <c r="DC28" s="217">
        <f t="shared" si="18"/>
        <v>-12.011569999999999</v>
      </c>
      <c r="DD28" s="256">
        <v>-12.011569999999999</v>
      </c>
      <c r="DE28" s="217">
        <f t="shared" si="12"/>
        <v>0</v>
      </c>
      <c r="DF28" s="185" t="e">
        <f>SUM(DN28:DO28)-SUM(#REF!,BV28)+BU28</f>
        <v>#REF!</v>
      </c>
      <c r="DG28" s="223"/>
      <c r="DH28" s="241">
        <f t="shared" si="13"/>
        <v>-12.011569999999999</v>
      </c>
      <c r="DI28" s="241">
        <f t="shared" si="14"/>
        <v>0</v>
      </c>
      <c r="DJ28" s="241">
        <f t="shared" si="15"/>
        <v>0</v>
      </c>
      <c r="DK28" s="241" t="e">
        <f>SUM(BS28,#REF!,BV28)</f>
        <v>#REF!</v>
      </c>
      <c r="DL28" s="155"/>
      <c r="DM28" s="155"/>
      <c r="DN28" s="155"/>
      <c r="DO28" s="155"/>
      <c r="DP28" s="155"/>
      <c r="DQ28" s="155"/>
      <c r="DS28" s="235">
        <f t="shared" si="19"/>
        <v>0</v>
      </c>
    </row>
    <row r="29" spans="1:123" s="23" customFormat="1" ht="24" hidden="1" customHeight="1">
      <c r="A29" s="18"/>
      <c r="B29" s="2">
        <v>20</v>
      </c>
      <c r="C29" s="85" t="s">
        <v>692</v>
      </c>
      <c r="D29" s="85"/>
      <c r="E29" s="85"/>
      <c r="F29" s="3"/>
      <c r="G29" s="4"/>
      <c r="H29" s="4"/>
      <c r="I29" s="4"/>
      <c r="J29" s="15" t="str">
        <f t="shared" ca="1" si="6"/>
        <v/>
      </c>
      <c r="K29" s="177" t="str">
        <f t="shared" si="16"/>
        <v/>
      </c>
      <c r="L29" s="177" t="str">
        <f t="shared" si="17"/>
        <v/>
      </c>
      <c r="M29" s="177"/>
      <c r="N29" s="177"/>
      <c r="O29" s="177"/>
      <c r="P29" s="177"/>
      <c r="Q29" s="177"/>
      <c r="R29" s="3" t="s">
        <v>176</v>
      </c>
      <c r="S29" s="13"/>
      <c r="T29" s="13"/>
      <c r="U29" s="5" t="s">
        <v>9</v>
      </c>
      <c r="V29" s="268"/>
      <c r="W29" s="5" t="s">
        <v>1407</v>
      </c>
      <c r="X29" s="5" t="s">
        <v>475</v>
      </c>
      <c r="Y29" s="5" t="s">
        <v>1427</v>
      </c>
      <c r="Z29" s="3" t="s">
        <v>181</v>
      </c>
      <c r="AA29" s="6" t="s">
        <v>463</v>
      </c>
      <c r="AB29" s="151" t="s">
        <v>1459</v>
      </c>
      <c r="AC29" s="177"/>
      <c r="AD29" s="177"/>
      <c r="AE29" s="177" t="str">
        <f t="shared" si="20"/>
        <v/>
      </c>
      <c r="AF29" s="5"/>
      <c r="AG29" s="5"/>
      <c r="AH29" s="226"/>
      <c r="AI29" s="83" t="s">
        <v>309</v>
      </c>
      <c r="AJ29" s="83"/>
      <c r="AK29" s="237" t="e">
        <f>SUM(#REF!,BT29,BV29)</f>
        <v>#REF!</v>
      </c>
      <c r="AL29" s="173"/>
      <c r="AM29" s="173"/>
      <c r="AN29" s="173"/>
      <c r="AO29" s="173"/>
      <c r="AP29" s="173"/>
      <c r="AQ29" s="173"/>
      <c r="AR29" s="56"/>
      <c r="AS29" s="56">
        <v>0</v>
      </c>
      <c r="AT29" s="56">
        <v>155.01553999999999</v>
      </c>
      <c r="AU29" s="56">
        <v>-154.07482000000002</v>
      </c>
      <c r="AV29" s="38"/>
      <c r="AW29" s="38"/>
      <c r="AX29" s="97">
        <f t="shared" si="7"/>
        <v>0</v>
      </c>
      <c r="AY29" s="169">
        <f t="shared" si="3"/>
        <v>-155.01554000000002</v>
      </c>
      <c r="AZ29" s="196">
        <v>0</v>
      </c>
      <c r="BA29" s="170">
        <v>-154.07482000000002</v>
      </c>
      <c r="BB29" s="170">
        <v>0</v>
      </c>
      <c r="BC29" s="170">
        <v>3.7698899999999997</v>
      </c>
      <c r="BD29" s="170">
        <v>0</v>
      </c>
      <c r="BE29" s="170">
        <v>-0.42056999999999944</v>
      </c>
      <c r="BF29" s="170">
        <v>0</v>
      </c>
      <c r="BG29" s="170">
        <v>0.10481000000000006</v>
      </c>
      <c r="BH29" s="170">
        <v>0</v>
      </c>
      <c r="BI29" s="170">
        <v>-3.2854100000000002</v>
      </c>
      <c r="BJ29" s="170">
        <v>0</v>
      </c>
      <c r="BK29" s="170">
        <v>36.562609999999999</v>
      </c>
      <c r="BL29" s="196"/>
      <c r="BM29" s="170">
        <v>-37.137740000000008</v>
      </c>
      <c r="BN29" s="196"/>
      <c r="BO29" s="170">
        <v>-0.29813999999999763</v>
      </c>
      <c r="BP29" s="196"/>
      <c r="BQ29" s="170">
        <v>-4.3289999999999988E-2</v>
      </c>
      <c r="BR29" s="196"/>
      <c r="BS29" s="170">
        <v>0.87100999999999995</v>
      </c>
      <c r="BT29" s="196"/>
      <c r="BU29" s="170">
        <v>-0.79897999999999991</v>
      </c>
      <c r="BV29" s="196"/>
      <c r="BW29" s="251">
        <v>-0.26491000000000003</v>
      </c>
      <c r="BX29" s="254">
        <v>-0.26491000000000003</v>
      </c>
      <c r="BY29" s="88">
        <f t="shared" si="4"/>
        <v>0</v>
      </c>
      <c r="BZ29" s="214"/>
      <c r="CA29" s="214"/>
      <c r="CB29" s="214"/>
      <c r="CC29" s="214"/>
      <c r="CD29" s="214"/>
      <c r="CE29" s="214"/>
      <c r="CF29" s="214"/>
      <c r="CG29" s="214"/>
      <c r="CH29" s="214"/>
      <c r="CI29" s="214"/>
      <c r="CJ29" s="214"/>
      <c r="CK29" s="214"/>
      <c r="CL29" s="211">
        <f t="shared" si="8"/>
        <v>0</v>
      </c>
      <c r="CM29" s="212"/>
      <c r="CN29" s="212"/>
      <c r="CO29" s="212"/>
      <c r="CP29" s="212"/>
      <c r="CQ29" s="212"/>
      <c r="CR29" s="212"/>
      <c r="CS29" s="212"/>
      <c r="CT29" s="212"/>
      <c r="CU29" s="212"/>
      <c r="CV29" s="212"/>
      <c r="CW29" s="212"/>
      <c r="CX29" s="212"/>
      <c r="CY29" s="216">
        <f t="shared" si="9"/>
        <v>0.26491000000000003</v>
      </c>
      <c r="CZ29" s="185">
        <f t="shared" si="5"/>
        <v>0</v>
      </c>
      <c r="DA29" s="217">
        <f t="shared" si="10"/>
        <v>-154.75063000000003</v>
      </c>
      <c r="DB29" s="217">
        <f t="shared" si="11"/>
        <v>-0.26491000000000003</v>
      </c>
      <c r="DC29" s="217">
        <f t="shared" si="18"/>
        <v>-155.01554000000002</v>
      </c>
      <c r="DD29" s="256">
        <v>-153.95165000000003</v>
      </c>
      <c r="DE29" s="217">
        <f t="shared" si="12"/>
        <v>-1.0638899999999865</v>
      </c>
      <c r="DF29" s="185" t="e">
        <f>SUM(DN29:DO29)-SUM(#REF!,BV29)+BU29</f>
        <v>#REF!</v>
      </c>
      <c r="DG29" s="223"/>
      <c r="DH29" s="241">
        <f t="shared" si="13"/>
        <v>-150.72550000000001</v>
      </c>
      <c r="DI29" s="241">
        <f t="shared" si="14"/>
        <v>33.382010000000001</v>
      </c>
      <c r="DJ29" s="241">
        <f t="shared" si="15"/>
        <v>-37.479170000000003</v>
      </c>
      <c r="DK29" s="241" t="e">
        <f>SUM(BS29,#REF!,BV29)</f>
        <v>#REF!</v>
      </c>
      <c r="DL29" s="155"/>
      <c r="DM29" s="155"/>
      <c r="DN29" s="155">
        <v>17.545000000000002</v>
      </c>
      <c r="DO29" s="155">
        <v>0</v>
      </c>
      <c r="DP29" s="155"/>
      <c r="DQ29" s="155"/>
      <c r="DS29" s="235">
        <f t="shared" si="19"/>
        <v>0</v>
      </c>
    </row>
    <row r="30" spans="1:123" s="23" customFormat="1" ht="24" hidden="1" customHeight="1">
      <c r="A30" s="18"/>
      <c r="B30" s="2">
        <v>21</v>
      </c>
      <c r="C30" s="85" t="s">
        <v>696</v>
      </c>
      <c r="D30" s="85"/>
      <c r="E30" s="85"/>
      <c r="F30" s="3"/>
      <c r="G30" s="4"/>
      <c r="H30" s="4"/>
      <c r="I30" s="4"/>
      <c r="J30" s="15" t="str">
        <f t="shared" ca="1" si="6"/>
        <v/>
      </c>
      <c r="K30" s="177" t="str">
        <f t="shared" si="16"/>
        <v/>
      </c>
      <c r="L30" s="177" t="str">
        <f t="shared" si="17"/>
        <v/>
      </c>
      <c r="M30" s="177"/>
      <c r="N30" s="177"/>
      <c r="O30" s="177"/>
      <c r="P30" s="177"/>
      <c r="Q30" s="177"/>
      <c r="R30" s="3" t="s">
        <v>176</v>
      </c>
      <c r="S30" s="13"/>
      <c r="T30" s="13"/>
      <c r="U30" s="5" t="s">
        <v>9</v>
      </c>
      <c r="V30" s="268"/>
      <c r="W30" s="5" t="s">
        <v>1407</v>
      </c>
      <c r="X30" s="5" t="s">
        <v>712</v>
      </c>
      <c r="Y30" s="5" t="s">
        <v>1428</v>
      </c>
      <c r="Z30" s="3" t="s">
        <v>181</v>
      </c>
      <c r="AA30" s="6" t="s">
        <v>218</v>
      </c>
      <c r="AB30" s="151"/>
      <c r="AC30" s="177"/>
      <c r="AD30" s="177"/>
      <c r="AE30" s="177" t="str">
        <f t="shared" si="20"/>
        <v/>
      </c>
      <c r="AF30" s="5"/>
      <c r="AG30" s="5"/>
      <c r="AH30" s="226"/>
      <c r="AI30" s="83" t="s">
        <v>531</v>
      </c>
      <c r="AJ30" s="219"/>
      <c r="AK30" s="237" t="e">
        <f>SUM(#REF!,BT30,BV30)</f>
        <v>#REF!</v>
      </c>
      <c r="AL30" s="173"/>
      <c r="AM30" s="173"/>
      <c r="AN30" s="173"/>
      <c r="AO30" s="173"/>
      <c r="AP30" s="173"/>
      <c r="AQ30" s="173"/>
      <c r="AR30" s="56"/>
      <c r="AS30" s="56">
        <v>0</v>
      </c>
      <c r="AT30" s="56">
        <v>1.3934300000000002</v>
      </c>
      <c r="AU30" s="56">
        <v>-1.3934300000000002</v>
      </c>
      <c r="AV30" s="38"/>
      <c r="AW30" s="38"/>
      <c r="AX30" s="97">
        <f t="shared" si="7"/>
        <v>0</v>
      </c>
      <c r="AY30" s="169">
        <f t="shared" si="3"/>
        <v>-1.3934300000000002</v>
      </c>
      <c r="AZ30" s="196">
        <v>0</v>
      </c>
      <c r="BA30" s="170">
        <v>-1.3934300000000002</v>
      </c>
      <c r="BB30" s="170">
        <v>0</v>
      </c>
      <c r="BC30" s="170">
        <v>0</v>
      </c>
      <c r="BD30" s="170">
        <v>0</v>
      </c>
      <c r="BE30" s="170">
        <v>0</v>
      </c>
      <c r="BF30" s="170">
        <v>0</v>
      </c>
      <c r="BG30" s="170">
        <v>0</v>
      </c>
      <c r="BH30" s="170">
        <v>0</v>
      </c>
      <c r="BI30" s="170">
        <v>0</v>
      </c>
      <c r="BJ30" s="170">
        <v>0</v>
      </c>
      <c r="BK30" s="170">
        <v>0</v>
      </c>
      <c r="BL30" s="196"/>
      <c r="BM30" s="170">
        <v>0</v>
      </c>
      <c r="BN30" s="196"/>
      <c r="BO30" s="170">
        <v>0</v>
      </c>
      <c r="BP30" s="196"/>
      <c r="BQ30" s="170">
        <v>0</v>
      </c>
      <c r="BR30" s="196"/>
      <c r="BS30" s="170">
        <v>0</v>
      </c>
      <c r="BT30" s="196"/>
      <c r="BU30" s="170">
        <v>0</v>
      </c>
      <c r="BV30" s="196"/>
      <c r="BW30" s="251"/>
      <c r="BX30" s="254"/>
      <c r="BY30" s="88">
        <f t="shared" si="4"/>
        <v>0</v>
      </c>
      <c r="BZ30" s="214"/>
      <c r="CA30" s="214"/>
      <c r="CB30" s="214"/>
      <c r="CC30" s="214"/>
      <c r="CD30" s="214"/>
      <c r="CE30" s="214"/>
      <c r="CF30" s="214"/>
      <c r="CG30" s="214"/>
      <c r="CH30" s="214"/>
      <c r="CI30" s="214"/>
      <c r="CJ30" s="214"/>
      <c r="CK30" s="214"/>
      <c r="CL30" s="211">
        <f t="shared" si="8"/>
        <v>0</v>
      </c>
      <c r="CM30" s="212"/>
      <c r="CN30" s="212"/>
      <c r="CO30" s="212"/>
      <c r="CP30" s="212"/>
      <c r="CQ30" s="212"/>
      <c r="CR30" s="212"/>
      <c r="CS30" s="212"/>
      <c r="CT30" s="212"/>
      <c r="CU30" s="212"/>
      <c r="CV30" s="212"/>
      <c r="CW30" s="212"/>
      <c r="CX30" s="212"/>
      <c r="CY30" s="216">
        <f t="shared" si="9"/>
        <v>0</v>
      </c>
      <c r="CZ30" s="185">
        <f t="shared" si="5"/>
        <v>0</v>
      </c>
      <c r="DA30" s="217">
        <f t="shared" si="10"/>
        <v>-1.3934300000000002</v>
      </c>
      <c r="DB30" s="217">
        <f t="shared" si="11"/>
        <v>0</v>
      </c>
      <c r="DC30" s="217">
        <f t="shared" si="18"/>
        <v>-1.3934300000000002</v>
      </c>
      <c r="DD30" s="256">
        <v>-1.3934300000000002</v>
      </c>
      <c r="DE30" s="217">
        <f t="shared" si="12"/>
        <v>0</v>
      </c>
      <c r="DF30" s="185" t="e">
        <f>SUM(DN30:DO30)-SUM(#REF!,BV30)+BU30</f>
        <v>#REF!</v>
      </c>
      <c r="DG30" s="223"/>
      <c r="DH30" s="241">
        <f t="shared" si="13"/>
        <v>-1.3934300000000002</v>
      </c>
      <c r="DI30" s="241">
        <f t="shared" si="14"/>
        <v>0</v>
      </c>
      <c r="DJ30" s="241">
        <f t="shared" si="15"/>
        <v>0</v>
      </c>
      <c r="DK30" s="241" t="e">
        <f>SUM(BS30,#REF!,BV30)</f>
        <v>#REF!</v>
      </c>
      <c r="DL30" s="155"/>
      <c r="DM30" s="155"/>
      <c r="DN30" s="155"/>
      <c r="DO30" s="155"/>
      <c r="DP30" s="155"/>
      <c r="DQ30" s="155"/>
      <c r="DS30" s="235">
        <f t="shared" si="19"/>
        <v>0</v>
      </c>
    </row>
    <row r="31" spans="1:123" s="23" customFormat="1" ht="24" hidden="1" customHeight="1">
      <c r="A31" s="18"/>
      <c r="B31" s="2">
        <v>22</v>
      </c>
      <c r="C31" s="85" t="s">
        <v>697</v>
      </c>
      <c r="D31" s="85"/>
      <c r="E31" s="85"/>
      <c r="F31" s="3"/>
      <c r="G31" s="4"/>
      <c r="H31" s="4"/>
      <c r="I31" s="4"/>
      <c r="J31" s="15" t="str">
        <f t="shared" ca="1" si="6"/>
        <v/>
      </c>
      <c r="K31" s="177" t="str">
        <f t="shared" si="16"/>
        <v/>
      </c>
      <c r="L31" s="177" t="str">
        <f t="shared" si="17"/>
        <v/>
      </c>
      <c r="M31" s="177"/>
      <c r="N31" s="177"/>
      <c r="O31" s="177"/>
      <c r="P31" s="177"/>
      <c r="Q31" s="177"/>
      <c r="R31" s="3" t="s">
        <v>176</v>
      </c>
      <c r="S31" s="13"/>
      <c r="T31" s="13"/>
      <c r="U31" s="5" t="s">
        <v>9</v>
      </c>
      <c r="V31" s="268"/>
      <c r="W31" s="5" t="s">
        <v>1407</v>
      </c>
      <c r="X31" s="5" t="s">
        <v>475</v>
      </c>
      <c r="Y31" s="5" t="s">
        <v>1429</v>
      </c>
      <c r="Z31" s="3" t="s">
        <v>181</v>
      </c>
      <c r="AA31" s="6" t="s">
        <v>463</v>
      </c>
      <c r="AB31" s="284" t="s">
        <v>1521</v>
      </c>
      <c r="AC31" s="177"/>
      <c r="AD31" s="177"/>
      <c r="AE31" s="177" t="str">
        <f t="shared" si="20"/>
        <v/>
      </c>
      <c r="AF31" s="5"/>
      <c r="AG31" s="5"/>
      <c r="AH31" s="226"/>
      <c r="AI31" s="83" t="s">
        <v>536</v>
      </c>
      <c r="AJ31" s="83"/>
      <c r="AK31" s="237" t="e">
        <f>SUM(#REF!,BT31,BV31)</f>
        <v>#REF!</v>
      </c>
      <c r="AL31" s="173"/>
      <c r="AM31" s="173"/>
      <c r="AN31" s="173"/>
      <c r="AO31" s="173"/>
      <c r="AP31" s="173"/>
      <c r="AQ31" s="173"/>
      <c r="AR31" s="56"/>
      <c r="AS31" s="56">
        <v>0</v>
      </c>
      <c r="AT31" s="56">
        <v>0</v>
      </c>
      <c r="AU31" s="56">
        <v>0</v>
      </c>
      <c r="AV31" s="38"/>
      <c r="AW31" s="38"/>
      <c r="AX31" s="97">
        <f t="shared" si="7"/>
        <v>0</v>
      </c>
      <c r="AY31" s="169">
        <f t="shared" si="3"/>
        <v>1.1102230246251565E-16</v>
      </c>
      <c r="AZ31" s="196">
        <v>0</v>
      </c>
      <c r="BA31" s="170">
        <v>0</v>
      </c>
      <c r="BB31" s="170">
        <v>0</v>
      </c>
      <c r="BC31" s="170">
        <v>0</v>
      </c>
      <c r="BD31" s="170">
        <v>0</v>
      </c>
      <c r="BE31" s="170">
        <v>0</v>
      </c>
      <c r="BF31" s="170">
        <v>0</v>
      </c>
      <c r="BG31" s="170">
        <v>0.17405000000000001</v>
      </c>
      <c r="BH31" s="170">
        <v>0</v>
      </c>
      <c r="BI31" s="170">
        <v>0.22938</v>
      </c>
      <c r="BJ31" s="170">
        <v>0</v>
      </c>
      <c r="BK31" s="170">
        <v>1.75898</v>
      </c>
      <c r="BL31" s="170"/>
      <c r="BM31" s="170">
        <v>-1.7349599999999998</v>
      </c>
      <c r="BN31" s="170"/>
      <c r="BO31" s="170">
        <v>-0.42745</v>
      </c>
      <c r="BP31" s="196">
        <v>73.2</v>
      </c>
      <c r="BQ31" s="260">
        <v>0</v>
      </c>
      <c r="BR31" s="196"/>
      <c r="BS31" s="260">
        <v>0</v>
      </c>
      <c r="BT31" s="196"/>
      <c r="BU31" s="170">
        <v>0</v>
      </c>
      <c r="BV31" s="196"/>
      <c r="BW31" s="251"/>
      <c r="BX31" s="254"/>
      <c r="BY31" s="88">
        <f t="shared" si="4"/>
        <v>0</v>
      </c>
      <c r="BZ31" s="214"/>
      <c r="CA31" s="214"/>
      <c r="CB31" s="214"/>
      <c r="CC31" s="214"/>
      <c r="CD31" s="214"/>
      <c r="CE31" s="214"/>
      <c r="CF31" s="214"/>
      <c r="CG31" s="214"/>
      <c r="CH31" s="214"/>
      <c r="CI31" s="214"/>
      <c r="CJ31" s="214"/>
      <c r="CK31" s="214"/>
      <c r="CL31" s="211">
        <f t="shared" si="8"/>
        <v>0</v>
      </c>
      <c r="CM31" s="212"/>
      <c r="CN31" s="212"/>
      <c r="CO31" s="212"/>
      <c r="CP31" s="212"/>
      <c r="CQ31" s="212"/>
      <c r="CR31" s="212"/>
      <c r="CS31" s="212"/>
      <c r="CT31" s="212"/>
      <c r="CU31" s="212"/>
      <c r="CV31" s="212"/>
      <c r="CW31" s="212"/>
      <c r="CX31" s="212"/>
      <c r="CY31" s="216">
        <f t="shared" si="9"/>
        <v>0</v>
      </c>
      <c r="CZ31" s="185">
        <f t="shared" si="5"/>
        <v>0</v>
      </c>
      <c r="DA31" s="217">
        <f t="shared" si="10"/>
        <v>1.1102230246251565E-16</v>
      </c>
      <c r="DB31" s="217">
        <f t="shared" si="11"/>
        <v>0</v>
      </c>
      <c r="DC31" s="217">
        <f t="shared" si="18"/>
        <v>1.1102230246251565E-16</v>
      </c>
      <c r="DD31" s="256">
        <v>1.1102230246251565E-16</v>
      </c>
      <c r="DE31" s="217">
        <f t="shared" si="12"/>
        <v>0</v>
      </c>
      <c r="DF31" s="185" t="e">
        <f>SUM(DN31:DO31)-SUM(#REF!,BV31)+BU31</f>
        <v>#REF!</v>
      </c>
      <c r="DG31" s="223"/>
      <c r="DH31" s="241">
        <f t="shared" si="13"/>
        <v>0</v>
      </c>
      <c r="DI31" s="241">
        <f t="shared" si="14"/>
        <v>2.1624099999999999</v>
      </c>
      <c r="DJ31" s="241">
        <f t="shared" si="15"/>
        <v>-2.1624099999999999</v>
      </c>
      <c r="DK31" s="241" t="e">
        <f>SUM(BS31,#REF!,BV31)</f>
        <v>#REF!</v>
      </c>
      <c r="DL31" s="155"/>
      <c r="DM31" s="155"/>
      <c r="DN31" s="155"/>
      <c r="DO31" s="155"/>
      <c r="DP31" s="155"/>
      <c r="DQ31" s="155"/>
      <c r="DS31" s="235">
        <f t="shared" si="19"/>
        <v>0</v>
      </c>
    </row>
    <row r="32" spans="1:123" s="23" customFormat="1" ht="24" hidden="1" customHeight="1">
      <c r="A32" s="18"/>
      <c r="B32" s="2">
        <v>23</v>
      </c>
      <c r="C32" s="85" t="s">
        <v>711</v>
      </c>
      <c r="D32" s="85"/>
      <c r="E32" s="85"/>
      <c r="F32" s="3"/>
      <c r="G32" s="4"/>
      <c r="H32" s="4"/>
      <c r="I32" s="4"/>
      <c r="J32" s="15" t="str">
        <f t="shared" ca="1" si="6"/>
        <v/>
      </c>
      <c r="K32" s="177" t="str">
        <f t="shared" si="16"/>
        <v/>
      </c>
      <c r="L32" s="177" t="str">
        <f t="shared" si="17"/>
        <v/>
      </c>
      <c r="M32" s="177"/>
      <c r="N32" s="177"/>
      <c r="O32" s="177"/>
      <c r="P32" s="177"/>
      <c r="Q32" s="177"/>
      <c r="R32" s="3" t="s">
        <v>176</v>
      </c>
      <c r="S32" s="13"/>
      <c r="T32" s="13"/>
      <c r="U32" s="5" t="s">
        <v>9</v>
      </c>
      <c r="V32" s="268"/>
      <c r="W32" s="5" t="s">
        <v>1407</v>
      </c>
      <c r="X32" s="5" t="s">
        <v>478</v>
      </c>
      <c r="Y32" s="5" t="s">
        <v>1430</v>
      </c>
      <c r="Z32" s="3" t="s">
        <v>181</v>
      </c>
      <c r="AA32" s="6" t="s">
        <v>195</v>
      </c>
      <c r="AB32" s="284" t="s">
        <v>1521</v>
      </c>
      <c r="AC32" s="177"/>
      <c r="AD32" s="177"/>
      <c r="AE32" s="177" t="str">
        <f t="shared" si="20"/>
        <v/>
      </c>
      <c r="AF32" s="5"/>
      <c r="AG32" s="5"/>
      <c r="AH32" s="226"/>
      <c r="AI32" s="83" t="s">
        <v>252</v>
      </c>
      <c r="AJ32" s="83"/>
      <c r="AK32" s="237" t="e">
        <f>SUM(#REF!,BT32,BV32)</f>
        <v>#REF!</v>
      </c>
      <c r="AL32" s="173"/>
      <c r="AM32" s="173"/>
      <c r="AN32" s="173"/>
      <c r="AO32" s="173"/>
      <c r="AP32" s="173"/>
      <c r="AQ32" s="173"/>
      <c r="AR32" s="56"/>
      <c r="AS32" s="56">
        <v>0</v>
      </c>
      <c r="AT32" s="56">
        <v>1.0731199999999035</v>
      </c>
      <c r="AU32" s="56">
        <v>-1.2540899999999999</v>
      </c>
      <c r="AV32" s="38"/>
      <c r="AW32" s="38"/>
      <c r="AX32" s="97">
        <f t="shared" si="7"/>
        <v>0</v>
      </c>
      <c r="AY32" s="169">
        <f t="shared" si="3"/>
        <v>-1.2540899999999999</v>
      </c>
      <c r="AZ32" s="196">
        <v>0</v>
      </c>
      <c r="BA32" s="170">
        <v>-1.2540899999999999</v>
      </c>
      <c r="BB32" s="170">
        <v>0</v>
      </c>
      <c r="BC32" s="170">
        <v>0</v>
      </c>
      <c r="BD32" s="170">
        <v>0</v>
      </c>
      <c r="BE32" s="170">
        <v>0</v>
      </c>
      <c r="BF32" s="170">
        <v>0</v>
      </c>
      <c r="BG32" s="170">
        <v>0</v>
      </c>
      <c r="BH32" s="170">
        <v>0</v>
      </c>
      <c r="BI32" s="170">
        <v>0</v>
      </c>
      <c r="BJ32" s="170">
        <v>0</v>
      </c>
      <c r="BK32" s="170">
        <v>0</v>
      </c>
      <c r="BL32" s="196"/>
      <c r="BM32" s="170">
        <v>0</v>
      </c>
      <c r="BN32" s="196"/>
      <c r="BO32" s="170">
        <v>0</v>
      </c>
      <c r="BP32" s="196"/>
      <c r="BQ32" s="170">
        <v>0</v>
      </c>
      <c r="BR32" s="196"/>
      <c r="BS32" s="170">
        <v>0</v>
      </c>
      <c r="BT32" s="196"/>
      <c r="BU32" s="170">
        <v>0</v>
      </c>
      <c r="BV32" s="196"/>
      <c r="BW32" s="251"/>
      <c r="BX32" s="254"/>
      <c r="BY32" s="88">
        <f t="shared" si="4"/>
        <v>0</v>
      </c>
      <c r="BZ32" s="214"/>
      <c r="CA32" s="214"/>
      <c r="CB32" s="214"/>
      <c r="CC32" s="214"/>
      <c r="CD32" s="214"/>
      <c r="CE32" s="214"/>
      <c r="CF32" s="214"/>
      <c r="CG32" s="214"/>
      <c r="CH32" s="214"/>
      <c r="CI32" s="214"/>
      <c r="CJ32" s="214"/>
      <c r="CK32" s="214"/>
      <c r="CL32" s="211">
        <f t="shared" si="8"/>
        <v>0</v>
      </c>
      <c r="CM32" s="212"/>
      <c r="CN32" s="212"/>
      <c r="CO32" s="212"/>
      <c r="CP32" s="212"/>
      <c r="CQ32" s="212"/>
      <c r="CR32" s="212"/>
      <c r="CS32" s="212"/>
      <c r="CT32" s="212"/>
      <c r="CU32" s="212"/>
      <c r="CV32" s="212"/>
      <c r="CW32" s="212"/>
      <c r="CX32" s="212"/>
      <c r="CY32" s="216">
        <f t="shared" si="9"/>
        <v>0</v>
      </c>
      <c r="CZ32" s="185">
        <f t="shared" si="5"/>
        <v>0</v>
      </c>
      <c r="DA32" s="217">
        <f t="shared" si="10"/>
        <v>-1.2540899999999999</v>
      </c>
      <c r="DB32" s="217">
        <f t="shared" si="11"/>
        <v>0</v>
      </c>
      <c r="DC32" s="217">
        <f t="shared" si="18"/>
        <v>-1.2540899999999999</v>
      </c>
      <c r="DD32" s="256">
        <v>-1.2540899999999999</v>
      </c>
      <c r="DE32" s="217">
        <f t="shared" si="12"/>
        <v>0</v>
      </c>
      <c r="DF32" s="185" t="e">
        <f>SUM(DN32:DO32)-SUM(#REF!,BV32)+BU32</f>
        <v>#REF!</v>
      </c>
      <c r="DG32" s="223"/>
      <c r="DH32" s="241">
        <f t="shared" si="13"/>
        <v>-1.2540899999999999</v>
      </c>
      <c r="DI32" s="241">
        <f t="shared" si="14"/>
        <v>0</v>
      </c>
      <c r="DJ32" s="241">
        <f t="shared" si="15"/>
        <v>0</v>
      </c>
      <c r="DK32" s="241" t="e">
        <f>SUM(BS32,#REF!,BV32)</f>
        <v>#REF!</v>
      </c>
      <c r="DL32" s="155"/>
      <c r="DM32" s="155"/>
      <c r="DN32" s="155"/>
      <c r="DO32" s="155"/>
      <c r="DP32" s="155"/>
      <c r="DQ32" s="155"/>
      <c r="DS32" s="235">
        <f t="shared" si="19"/>
        <v>0</v>
      </c>
    </row>
    <row r="33" spans="1:123" s="23" customFormat="1" ht="24" hidden="1" customHeight="1">
      <c r="A33" s="18"/>
      <c r="B33" s="2">
        <v>24</v>
      </c>
      <c r="C33" s="85" t="s">
        <v>698</v>
      </c>
      <c r="D33" s="85"/>
      <c r="E33" s="85"/>
      <c r="F33" s="3"/>
      <c r="G33" s="4"/>
      <c r="H33" s="4"/>
      <c r="I33" s="4"/>
      <c r="J33" s="15" t="str">
        <f t="shared" ca="1" si="6"/>
        <v/>
      </c>
      <c r="K33" s="177" t="str">
        <f t="shared" si="16"/>
        <v/>
      </c>
      <c r="L33" s="177" t="str">
        <f t="shared" si="17"/>
        <v/>
      </c>
      <c r="M33" s="177"/>
      <c r="N33" s="177"/>
      <c r="O33" s="177"/>
      <c r="P33" s="177"/>
      <c r="Q33" s="177"/>
      <c r="R33" s="3" t="s">
        <v>176</v>
      </c>
      <c r="S33" s="13"/>
      <c r="T33" s="13"/>
      <c r="U33" s="5" t="s">
        <v>9</v>
      </c>
      <c r="V33" s="268"/>
      <c r="W33" s="5" t="s">
        <v>1407</v>
      </c>
      <c r="X33" s="5" t="s">
        <v>946</v>
      </c>
      <c r="Y33" s="5" t="s">
        <v>1431</v>
      </c>
      <c r="Z33" s="3" t="s">
        <v>183</v>
      </c>
      <c r="AA33" s="6" t="s">
        <v>463</v>
      </c>
      <c r="AB33" s="151"/>
      <c r="AC33" s="177"/>
      <c r="AD33" s="177"/>
      <c r="AE33" s="177" t="str">
        <f t="shared" si="20"/>
        <v/>
      </c>
      <c r="AF33" s="5"/>
      <c r="AG33" s="5"/>
      <c r="AH33" s="226"/>
      <c r="AI33" s="83" t="s">
        <v>293</v>
      </c>
      <c r="AJ33" s="83"/>
      <c r="AK33" s="237" t="e">
        <f>SUM(#REF!,BT33,BV33)</f>
        <v>#REF!</v>
      </c>
      <c r="AL33" s="173"/>
      <c r="AM33" s="173"/>
      <c r="AN33" s="173"/>
      <c r="AO33" s="173"/>
      <c r="AP33" s="173"/>
      <c r="AQ33" s="173"/>
      <c r="AR33" s="56"/>
      <c r="AS33" s="56">
        <v>0</v>
      </c>
      <c r="AT33" s="56">
        <v>132.95400000000001</v>
      </c>
      <c r="AU33" s="56">
        <v>0</v>
      </c>
      <c r="AV33" s="38"/>
      <c r="AW33" s="38"/>
      <c r="AX33" s="97">
        <f t="shared" si="7"/>
        <v>0</v>
      </c>
      <c r="AY33" s="169">
        <f t="shared" si="3"/>
        <v>307.63879999999995</v>
      </c>
      <c r="AZ33" s="196">
        <v>0</v>
      </c>
      <c r="BA33" s="170">
        <v>0</v>
      </c>
      <c r="BB33" s="170">
        <v>0</v>
      </c>
      <c r="BC33" s="170">
        <v>0</v>
      </c>
      <c r="BD33" s="170">
        <v>0</v>
      </c>
      <c r="BE33" s="170">
        <v>0</v>
      </c>
      <c r="BF33" s="170">
        <v>0</v>
      </c>
      <c r="BG33" s="170">
        <v>0</v>
      </c>
      <c r="BH33" s="170">
        <v>0</v>
      </c>
      <c r="BI33" s="170">
        <v>0</v>
      </c>
      <c r="BJ33" s="170">
        <v>0</v>
      </c>
      <c r="BK33" s="170">
        <v>292.49879999999996</v>
      </c>
      <c r="BL33" s="196"/>
      <c r="BM33" s="170">
        <v>0.21371999999999999</v>
      </c>
      <c r="BN33" s="196"/>
      <c r="BO33" s="170">
        <v>-0.11924999999999999</v>
      </c>
      <c r="BP33" s="196"/>
      <c r="BQ33" s="170">
        <v>-9.4469999999999998E-2</v>
      </c>
      <c r="BR33" s="196"/>
      <c r="BS33" s="170">
        <v>0</v>
      </c>
      <c r="BT33" s="196"/>
      <c r="BU33" s="170">
        <v>0.37087999999999999</v>
      </c>
      <c r="BV33" s="196">
        <f>-425.5-0.3</f>
        <v>-425.8</v>
      </c>
      <c r="BW33" s="251">
        <v>14.769120000000001</v>
      </c>
      <c r="BX33" s="254">
        <v>14.769120000000001</v>
      </c>
      <c r="BY33" s="88">
        <f t="shared" si="4"/>
        <v>-440.6</v>
      </c>
      <c r="BZ33" s="214">
        <v>-440.6</v>
      </c>
      <c r="CA33" s="214"/>
      <c r="CB33" s="214"/>
      <c r="CC33" s="214"/>
      <c r="CD33" s="214"/>
      <c r="CE33" s="214"/>
      <c r="CF33" s="214"/>
      <c r="CG33" s="214"/>
      <c r="CH33" s="214"/>
      <c r="CI33" s="214"/>
      <c r="CJ33" s="214"/>
      <c r="CK33" s="214"/>
      <c r="CL33" s="211">
        <f t="shared" si="8"/>
        <v>0</v>
      </c>
      <c r="CM33" s="212"/>
      <c r="CN33" s="212"/>
      <c r="CO33" s="212"/>
      <c r="CP33" s="212"/>
      <c r="CQ33" s="212"/>
      <c r="CR33" s="212"/>
      <c r="CS33" s="212"/>
      <c r="CT33" s="212"/>
      <c r="CU33" s="212"/>
      <c r="CV33" s="212"/>
      <c r="CW33" s="212"/>
      <c r="CX33" s="212"/>
      <c r="CY33" s="216">
        <f t="shared" si="9"/>
        <v>-440.56912</v>
      </c>
      <c r="CZ33" s="185">
        <f t="shared" si="5"/>
        <v>0</v>
      </c>
      <c r="DA33" s="217">
        <f t="shared" si="10"/>
        <v>292.86967999999996</v>
      </c>
      <c r="DB33" s="217">
        <f t="shared" si="11"/>
        <v>14.769120000000001</v>
      </c>
      <c r="DC33" s="217">
        <f t="shared" si="18"/>
        <v>748.23879999999997</v>
      </c>
      <c r="DD33" s="256">
        <v>-133.00120000000004</v>
      </c>
      <c r="DE33" s="217">
        <f t="shared" si="12"/>
        <v>881.24</v>
      </c>
      <c r="DF33" s="185" t="e">
        <f>SUM(DN33:DO33)-SUM(#REF!,BV33)+BU33</f>
        <v>#REF!</v>
      </c>
      <c r="DG33" s="223"/>
      <c r="DH33" s="241">
        <f t="shared" si="13"/>
        <v>0</v>
      </c>
      <c r="DI33" s="241">
        <f t="shared" si="14"/>
        <v>292.49879999999996</v>
      </c>
      <c r="DJ33" s="241">
        <f t="shared" si="15"/>
        <v>0</v>
      </c>
      <c r="DK33" s="241" t="e">
        <f>SUM(BS33,#REF!,BV33)</f>
        <v>#REF!</v>
      </c>
      <c r="DL33" s="155"/>
      <c r="DM33" s="155"/>
      <c r="DN33" s="155">
        <v>106.36319999999999</v>
      </c>
      <c r="DO33" s="155">
        <v>0</v>
      </c>
      <c r="DP33" s="155"/>
      <c r="DQ33" s="155"/>
      <c r="DS33" s="235">
        <f t="shared" si="19"/>
        <v>440.6</v>
      </c>
    </row>
    <row r="34" spans="1:123" s="23" customFormat="1" ht="24" hidden="1" customHeight="1">
      <c r="A34" s="18"/>
      <c r="B34" s="2">
        <v>26</v>
      </c>
      <c r="C34" s="85" t="s">
        <v>1002</v>
      </c>
      <c r="D34" s="85"/>
      <c r="E34" s="85"/>
      <c r="F34" s="3"/>
      <c r="G34" s="4"/>
      <c r="H34" s="4"/>
      <c r="I34" s="4"/>
      <c r="J34" s="15" t="str">
        <f t="shared" ca="1" si="6"/>
        <v/>
      </c>
      <c r="K34" s="177" t="str">
        <f t="shared" si="16"/>
        <v/>
      </c>
      <c r="L34" s="177" t="str">
        <f t="shared" si="17"/>
        <v/>
      </c>
      <c r="M34" s="177"/>
      <c r="N34" s="177"/>
      <c r="O34" s="177"/>
      <c r="P34" s="177"/>
      <c r="Q34" s="177"/>
      <c r="R34" s="3" t="s">
        <v>176</v>
      </c>
      <c r="S34" s="13"/>
      <c r="T34" s="13"/>
      <c r="U34" s="5" t="s">
        <v>9</v>
      </c>
      <c r="V34" s="268"/>
      <c r="W34" s="5" t="s">
        <v>1407</v>
      </c>
      <c r="X34" s="5" t="s">
        <v>478</v>
      </c>
      <c r="Y34" s="5" t="s">
        <v>1432</v>
      </c>
      <c r="Z34" s="3" t="s">
        <v>181</v>
      </c>
      <c r="AA34" s="6" t="s">
        <v>463</v>
      </c>
      <c r="AB34" s="151" t="s">
        <v>1522</v>
      </c>
      <c r="AC34" s="177"/>
      <c r="AD34" s="177"/>
      <c r="AE34" s="177" t="str">
        <f t="shared" si="20"/>
        <v/>
      </c>
      <c r="AF34" s="5"/>
      <c r="AG34" s="5"/>
      <c r="AH34" s="226"/>
      <c r="AI34" s="83" t="s">
        <v>333</v>
      </c>
      <c r="AJ34" s="83"/>
      <c r="AK34" s="237" t="e">
        <f>SUM(#REF!,BT34,BV34)</f>
        <v>#REF!</v>
      </c>
      <c r="AL34" s="173"/>
      <c r="AM34" s="173"/>
      <c r="AN34" s="173"/>
      <c r="AO34" s="173"/>
      <c r="AP34" s="173"/>
      <c r="AQ34" s="173"/>
      <c r="AR34" s="56"/>
      <c r="AS34" s="56"/>
      <c r="AT34" s="56"/>
      <c r="AU34" s="56">
        <v>0</v>
      </c>
      <c r="AV34" s="38"/>
      <c r="AW34" s="38"/>
      <c r="AX34" s="97"/>
      <c r="AY34" s="169">
        <f t="shared" si="3"/>
        <v>14.162470000000166</v>
      </c>
      <c r="AZ34" s="196"/>
      <c r="BA34" s="170">
        <v>0</v>
      </c>
      <c r="BB34" s="170"/>
      <c r="BC34" s="170">
        <v>0</v>
      </c>
      <c r="BD34" s="170"/>
      <c r="BE34" s="170">
        <v>0</v>
      </c>
      <c r="BF34" s="170"/>
      <c r="BG34" s="170">
        <v>0</v>
      </c>
      <c r="BH34" s="170">
        <v>0</v>
      </c>
      <c r="BI34" s="170">
        <v>2.16845</v>
      </c>
      <c r="BJ34" s="170">
        <v>0</v>
      </c>
      <c r="BK34" s="170">
        <v>757.75022000000013</v>
      </c>
      <c r="BL34" s="196">
        <v>-772.78367000000003</v>
      </c>
      <c r="BM34" s="170">
        <v>-750.57205999999996</v>
      </c>
      <c r="BN34" s="196">
        <v>-772.8</v>
      </c>
      <c r="BO34" s="170">
        <v>-4.4004899999999996</v>
      </c>
      <c r="BP34" s="196">
        <v>-772.8</v>
      </c>
      <c r="BQ34" s="170">
        <v>-1.0651000000000002</v>
      </c>
      <c r="BR34" s="196">
        <f>-759.793-10.3</f>
        <v>-770.09299999999996</v>
      </c>
      <c r="BS34" s="170">
        <v>25.565279999999998</v>
      </c>
      <c r="BT34" s="196"/>
      <c r="BU34" s="170">
        <v>-28.285700000000002</v>
      </c>
      <c r="BV34" s="196"/>
      <c r="BW34" s="251">
        <v>13.00187</v>
      </c>
      <c r="BX34" s="254">
        <v>13.00187</v>
      </c>
      <c r="BY34" s="88">
        <f t="shared" si="4"/>
        <v>-14.2</v>
      </c>
      <c r="BZ34" s="214">
        <v>-14.2</v>
      </c>
      <c r="CA34" s="214"/>
      <c r="CB34" s="214"/>
      <c r="CC34" s="214"/>
      <c r="CD34" s="214"/>
      <c r="CE34" s="214"/>
      <c r="CF34" s="214"/>
      <c r="CG34" s="214"/>
      <c r="CH34" s="214"/>
      <c r="CI34" s="214"/>
      <c r="CJ34" s="214"/>
      <c r="CK34" s="214"/>
      <c r="CL34" s="211">
        <f t="shared" si="8"/>
        <v>0</v>
      </c>
      <c r="CM34" s="212"/>
      <c r="CN34" s="212"/>
      <c r="CO34" s="212"/>
      <c r="CP34" s="212"/>
      <c r="CQ34" s="212"/>
      <c r="CR34" s="212"/>
      <c r="CS34" s="212"/>
      <c r="CT34" s="212"/>
      <c r="CU34" s="212"/>
      <c r="CV34" s="212"/>
      <c r="CW34" s="212"/>
      <c r="CX34" s="212"/>
      <c r="CY34" s="216">
        <f t="shared" si="9"/>
        <v>-13.00187</v>
      </c>
      <c r="CZ34" s="185">
        <f t="shared" si="5"/>
        <v>0</v>
      </c>
      <c r="DA34" s="217">
        <f t="shared" si="10"/>
        <v>1.1606000000001657</v>
      </c>
      <c r="DB34" s="217">
        <f t="shared" si="11"/>
        <v>13.00187</v>
      </c>
      <c r="DC34" s="217">
        <f t="shared" si="18"/>
        <v>28.362470000000165</v>
      </c>
      <c r="DD34" s="256">
        <v>29.446300000000168</v>
      </c>
      <c r="DE34" s="217">
        <f t="shared" si="12"/>
        <v>-1.0838300000000025</v>
      </c>
      <c r="DF34" s="185" t="e">
        <f>SUM(DN34:DO34)-SUM(#REF!,BV34)+BU34</f>
        <v>#REF!</v>
      </c>
      <c r="DG34" s="223"/>
      <c r="DH34" s="241">
        <f t="shared" si="13"/>
        <v>0</v>
      </c>
      <c r="DI34" s="241">
        <f t="shared" si="14"/>
        <v>759.91867000000013</v>
      </c>
      <c r="DJ34" s="241">
        <f t="shared" si="15"/>
        <v>-756.03764999999999</v>
      </c>
      <c r="DK34" s="241" t="e">
        <f>SUM(BS34,#REF!,BV34)</f>
        <v>#REF!</v>
      </c>
      <c r="DL34" s="155"/>
      <c r="DM34" s="155"/>
      <c r="DN34" s="155"/>
      <c r="DO34" s="155"/>
      <c r="DP34" s="155"/>
      <c r="DQ34" s="155"/>
      <c r="DR34" s="23">
        <f>VLOOKUP(C34,[5]Database!$B$126:$AD$521,29,FALSE)</f>
        <v>0</v>
      </c>
      <c r="DS34" s="235">
        <f t="shared" si="19"/>
        <v>14.2</v>
      </c>
    </row>
    <row r="35" spans="1:123" s="23" customFormat="1" ht="24" hidden="1" customHeight="1">
      <c r="A35" s="18"/>
      <c r="B35" s="2">
        <v>27</v>
      </c>
      <c r="C35" s="85" t="s">
        <v>810</v>
      </c>
      <c r="D35" s="85"/>
      <c r="E35" s="85"/>
      <c r="F35" s="3"/>
      <c r="G35" s="4"/>
      <c r="H35" s="4"/>
      <c r="I35" s="4"/>
      <c r="J35" s="15" t="str">
        <f t="shared" ca="1" si="6"/>
        <v/>
      </c>
      <c r="K35" s="177" t="str">
        <f t="shared" si="16"/>
        <v/>
      </c>
      <c r="L35" s="177" t="str">
        <f t="shared" si="17"/>
        <v/>
      </c>
      <c r="M35" s="177"/>
      <c r="N35" s="177"/>
      <c r="O35" s="177"/>
      <c r="P35" s="177"/>
      <c r="Q35" s="177"/>
      <c r="R35" s="3" t="s">
        <v>176</v>
      </c>
      <c r="S35" s="13"/>
      <c r="T35" s="13"/>
      <c r="U35" s="5" t="s">
        <v>9</v>
      </c>
      <c r="V35" s="268"/>
      <c r="W35" s="5" t="s">
        <v>1407</v>
      </c>
      <c r="X35" s="5" t="s">
        <v>478</v>
      </c>
      <c r="Y35" s="5" t="s">
        <v>1433</v>
      </c>
      <c r="Z35" s="3" t="s">
        <v>316</v>
      </c>
      <c r="AA35" s="6" t="s">
        <v>463</v>
      </c>
      <c r="AB35" s="151" t="s">
        <v>1088</v>
      </c>
      <c r="AC35" s="177"/>
      <c r="AD35" s="177"/>
      <c r="AE35" s="177" t="str">
        <f t="shared" si="20"/>
        <v/>
      </c>
      <c r="AF35" s="5"/>
      <c r="AG35" s="5"/>
      <c r="AH35" s="226"/>
      <c r="AI35" s="83" t="s">
        <v>263</v>
      </c>
      <c r="AJ35" s="83"/>
      <c r="AK35" s="237" t="e">
        <f>SUM(#REF!,BT35,BV35)</f>
        <v>#REF!</v>
      </c>
      <c r="AL35" s="173"/>
      <c r="AM35" s="173"/>
      <c r="AN35" s="173"/>
      <c r="AO35" s="173"/>
      <c r="AP35" s="173"/>
      <c r="AQ35" s="173"/>
      <c r="AR35" s="56"/>
      <c r="AS35" s="56"/>
      <c r="AT35" s="56"/>
      <c r="AU35" s="56">
        <v>0</v>
      </c>
      <c r="AV35" s="38"/>
      <c r="AW35" s="38"/>
      <c r="AX35" s="97"/>
      <c r="AY35" s="169">
        <f t="shared" si="3"/>
        <v>234.46706999999998</v>
      </c>
      <c r="AZ35" s="196"/>
      <c r="BA35" s="170">
        <v>0</v>
      </c>
      <c r="BB35" s="170"/>
      <c r="BC35" s="170">
        <v>0</v>
      </c>
      <c r="BD35" s="170">
        <v>0</v>
      </c>
      <c r="BE35" s="170">
        <v>0.98028999999999999</v>
      </c>
      <c r="BF35" s="170">
        <v>0</v>
      </c>
      <c r="BG35" s="170">
        <v>3.25678</v>
      </c>
      <c r="BH35" s="170">
        <v>0</v>
      </c>
      <c r="BI35" s="170">
        <v>0.46365999999999985</v>
      </c>
      <c r="BJ35" s="170">
        <v>0</v>
      </c>
      <c r="BK35" s="170">
        <v>-0.14721000000000001</v>
      </c>
      <c r="BL35" s="196">
        <v>180</v>
      </c>
      <c r="BM35" s="170">
        <v>4.1021999999999998</v>
      </c>
      <c r="BN35" s="196"/>
      <c r="BO35" s="170">
        <v>-9.7273499999999977</v>
      </c>
      <c r="BP35" s="196">
        <v>180</v>
      </c>
      <c r="BQ35" s="170">
        <v>178.49250999999998</v>
      </c>
      <c r="BR35" s="196"/>
      <c r="BS35" s="170">
        <v>-3.3103800000000003</v>
      </c>
      <c r="BT35" s="196"/>
      <c r="BU35" s="170">
        <v>30.01857</v>
      </c>
      <c r="BV35" s="196"/>
      <c r="BW35" s="251">
        <v>30.338000000000001</v>
      </c>
      <c r="BX35" s="254">
        <v>30.338000000000001</v>
      </c>
      <c r="BY35" s="88">
        <f t="shared" si="4"/>
        <v>-234.5</v>
      </c>
      <c r="BZ35" s="214"/>
      <c r="CA35" s="214"/>
      <c r="CB35" s="214">
        <v>-234.5</v>
      </c>
      <c r="CC35" s="214"/>
      <c r="CD35" s="214">
        <v>417</v>
      </c>
      <c r="CE35" s="214"/>
      <c r="CF35" s="214">
        <v>-417</v>
      </c>
      <c r="CG35" s="214"/>
      <c r="CH35" s="214"/>
      <c r="CI35" s="214"/>
      <c r="CJ35" s="214"/>
      <c r="CK35" s="214"/>
      <c r="CL35" s="211">
        <f t="shared" si="8"/>
        <v>0</v>
      </c>
      <c r="CM35" s="212"/>
      <c r="CN35" s="212"/>
      <c r="CO35" s="212"/>
      <c r="CP35" s="212"/>
      <c r="CQ35" s="212"/>
      <c r="CR35" s="212"/>
      <c r="CS35" s="212"/>
      <c r="CT35" s="212"/>
      <c r="CU35" s="212"/>
      <c r="CV35" s="212"/>
      <c r="CW35" s="212"/>
      <c r="CX35" s="212"/>
      <c r="CY35" s="216">
        <f t="shared" si="9"/>
        <v>-30.338000000000001</v>
      </c>
      <c r="CZ35" s="185">
        <f t="shared" si="5"/>
        <v>0</v>
      </c>
      <c r="DA35" s="217">
        <f t="shared" si="10"/>
        <v>204.12906999999998</v>
      </c>
      <c r="DB35" s="217">
        <f t="shared" si="11"/>
        <v>30.338000000000001</v>
      </c>
      <c r="DC35" s="217">
        <f t="shared" si="18"/>
        <v>468.96706999999998</v>
      </c>
      <c r="DD35" s="256">
        <v>-7.189500000000038</v>
      </c>
      <c r="DE35" s="217">
        <f t="shared" si="12"/>
        <v>476.15656999999999</v>
      </c>
      <c r="DF35" s="185" t="e">
        <f>SUM(DN35:DO35)-SUM(#REF!,BV35)+BU35</f>
        <v>#REF!</v>
      </c>
      <c r="DG35" s="223"/>
      <c r="DH35" s="241">
        <f t="shared" si="13"/>
        <v>0.98028999999999999</v>
      </c>
      <c r="DI35" s="241">
        <f t="shared" si="14"/>
        <v>3.5732300000000001</v>
      </c>
      <c r="DJ35" s="241">
        <f t="shared" si="15"/>
        <v>172.86735999999999</v>
      </c>
      <c r="DK35" s="241" t="e">
        <f>SUM(BS35,#REF!,BV35)</f>
        <v>#REF!</v>
      </c>
      <c r="DL35" s="155"/>
      <c r="DM35" s="155"/>
      <c r="DN35" s="155">
        <v>417.50547999999992</v>
      </c>
      <c r="DO35" s="155">
        <v>0</v>
      </c>
      <c r="DP35" s="155"/>
      <c r="DQ35" s="155"/>
      <c r="DR35" s="23">
        <f>VLOOKUP(C35,[5]Database!$B$126:$AD$521,29,FALSE)</f>
        <v>-186.3</v>
      </c>
      <c r="DS35" s="235">
        <f t="shared" si="19"/>
        <v>48.199999999999989</v>
      </c>
    </row>
    <row r="36" spans="1:123" s="23" customFormat="1" ht="24" hidden="1" customHeight="1">
      <c r="A36" s="18"/>
      <c r="B36" s="2">
        <v>28</v>
      </c>
      <c r="C36" s="85" t="s">
        <v>847</v>
      </c>
      <c r="D36" s="85"/>
      <c r="E36" s="85"/>
      <c r="F36" s="3"/>
      <c r="G36" s="4"/>
      <c r="H36" s="4"/>
      <c r="I36" s="4"/>
      <c r="J36" s="15" t="str">
        <f t="shared" ca="1" si="6"/>
        <v/>
      </c>
      <c r="K36" s="177" t="str">
        <f t="shared" si="16"/>
        <v/>
      </c>
      <c r="L36" s="177" t="str">
        <f t="shared" si="17"/>
        <v/>
      </c>
      <c r="M36" s="177"/>
      <c r="N36" s="177"/>
      <c r="O36" s="177"/>
      <c r="P36" s="177"/>
      <c r="Q36" s="177"/>
      <c r="R36" s="3" t="s">
        <v>176</v>
      </c>
      <c r="S36" s="13"/>
      <c r="T36" s="13"/>
      <c r="U36" s="5" t="s">
        <v>8</v>
      </c>
      <c r="V36" s="268"/>
      <c r="W36" s="5" t="s">
        <v>1407</v>
      </c>
      <c r="X36" s="5" t="s">
        <v>478</v>
      </c>
      <c r="Y36" s="5" t="s">
        <v>1434</v>
      </c>
      <c r="Z36" s="3" t="s">
        <v>181</v>
      </c>
      <c r="AA36" s="6" t="s">
        <v>463</v>
      </c>
      <c r="AB36" s="151" t="s">
        <v>1522</v>
      </c>
      <c r="AC36" s="177"/>
      <c r="AD36" s="177"/>
      <c r="AE36" s="177" t="str">
        <f t="shared" si="20"/>
        <v/>
      </c>
      <c r="AF36" s="5"/>
      <c r="AG36" s="5"/>
      <c r="AH36" s="226"/>
      <c r="AI36" s="83" t="s">
        <v>655</v>
      </c>
      <c r="AJ36" s="83"/>
      <c r="AK36" s="237" t="e">
        <f>SUM(#REF!,BT36,BV36)</f>
        <v>#REF!</v>
      </c>
      <c r="AL36" s="173"/>
      <c r="AM36" s="173"/>
      <c r="AN36" s="173"/>
      <c r="AO36" s="173"/>
      <c r="AP36" s="173"/>
      <c r="AQ36" s="173"/>
      <c r="AR36" s="56"/>
      <c r="AS36" s="56"/>
      <c r="AT36" s="56"/>
      <c r="AU36" s="56">
        <v>0</v>
      </c>
      <c r="AV36" s="38"/>
      <c r="AW36" s="38"/>
      <c r="AX36" s="97"/>
      <c r="AY36" s="169">
        <f t="shared" si="3"/>
        <v>-0.16338000000000008</v>
      </c>
      <c r="AZ36" s="196"/>
      <c r="BA36" s="170">
        <v>0</v>
      </c>
      <c r="BB36" s="170"/>
      <c r="BC36" s="170">
        <v>0</v>
      </c>
      <c r="BD36" s="170"/>
      <c r="BE36" s="170">
        <v>0</v>
      </c>
      <c r="BF36" s="170">
        <v>0</v>
      </c>
      <c r="BG36" s="170">
        <v>0.18473000000000001</v>
      </c>
      <c r="BH36" s="170">
        <v>0</v>
      </c>
      <c r="BI36" s="170">
        <v>1.26562</v>
      </c>
      <c r="BJ36" s="170">
        <v>0</v>
      </c>
      <c r="BK36" s="170">
        <v>-1.6137300000000001</v>
      </c>
      <c r="BL36" s="196"/>
      <c r="BM36" s="170">
        <v>0</v>
      </c>
      <c r="BN36" s="196"/>
      <c r="BO36" s="170">
        <v>0</v>
      </c>
      <c r="BP36" s="196"/>
      <c r="BQ36" s="170">
        <v>0</v>
      </c>
      <c r="BR36" s="196"/>
      <c r="BS36" s="170">
        <v>0</v>
      </c>
      <c r="BT36" s="196"/>
      <c r="BU36" s="170">
        <v>0</v>
      </c>
      <c r="BV36" s="196"/>
      <c r="BW36" s="251"/>
      <c r="BX36" s="254"/>
      <c r="BY36" s="88">
        <f t="shared" si="4"/>
        <v>0</v>
      </c>
      <c r="BZ36" s="214"/>
      <c r="CA36" s="214"/>
      <c r="CB36" s="214"/>
      <c r="CC36" s="214"/>
      <c r="CD36" s="214"/>
      <c r="CE36" s="214"/>
      <c r="CF36" s="214"/>
      <c r="CG36" s="214"/>
      <c r="CH36" s="214"/>
      <c r="CI36" s="214"/>
      <c r="CJ36" s="214"/>
      <c r="CK36" s="214"/>
      <c r="CL36" s="211">
        <f t="shared" si="8"/>
        <v>0</v>
      </c>
      <c r="CM36" s="212"/>
      <c r="CN36" s="212"/>
      <c r="CO36" s="212"/>
      <c r="CP36" s="212"/>
      <c r="CQ36" s="212"/>
      <c r="CR36" s="212"/>
      <c r="CS36" s="212"/>
      <c r="CT36" s="212"/>
      <c r="CU36" s="212"/>
      <c r="CV36" s="212"/>
      <c r="CW36" s="212"/>
      <c r="CX36" s="212"/>
      <c r="CY36" s="216">
        <f t="shared" si="9"/>
        <v>0</v>
      </c>
      <c r="CZ36" s="185">
        <f t="shared" si="5"/>
        <v>0</v>
      </c>
      <c r="DA36" s="217">
        <f t="shared" si="10"/>
        <v>-0.16338000000000008</v>
      </c>
      <c r="DB36" s="217">
        <f t="shared" si="11"/>
        <v>0</v>
      </c>
      <c r="DC36" s="217">
        <f t="shared" si="18"/>
        <v>-0.16338000000000008</v>
      </c>
      <c r="DD36" s="256">
        <v>-0.16338000000000008</v>
      </c>
      <c r="DE36" s="217">
        <f t="shared" si="12"/>
        <v>0</v>
      </c>
      <c r="DF36" s="185" t="e">
        <f>SUM(DN36:DO36)-SUM(#REF!,BV36)+BU36</f>
        <v>#REF!</v>
      </c>
      <c r="DG36" s="223"/>
      <c r="DH36" s="241">
        <f t="shared" si="13"/>
        <v>0</v>
      </c>
      <c r="DI36" s="241">
        <f t="shared" si="14"/>
        <v>-0.16338000000000008</v>
      </c>
      <c r="DJ36" s="241">
        <f t="shared" si="15"/>
        <v>0</v>
      </c>
      <c r="DK36" s="241" t="e">
        <f>SUM(BS36,#REF!,BV36)</f>
        <v>#REF!</v>
      </c>
      <c r="DL36" s="155"/>
      <c r="DM36" s="155"/>
      <c r="DN36" s="155"/>
      <c r="DO36" s="155"/>
      <c r="DP36" s="155"/>
      <c r="DQ36" s="155"/>
      <c r="DR36" s="23">
        <f>VLOOKUP(C36,[5]Database!$B$126:$AD$521,29,FALSE)</f>
        <v>0</v>
      </c>
      <c r="DS36" s="235">
        <f t="shared" si="19"/>
        <v>0</v>
      </c>
    </row>
    <row r="37" spans="1:123" s="23" customFormat="1" ht="24" hidden="1" customHeight="1">
      <c r="A37" s="18"/>
      <c r="B37" s="2">
        <v>29</v>
      </c>
      <c r="C37" s="85" t="s">
        <v>811</v>
      </c>
      <c r="D37" s="85"/>
      <c r="E37" s="85"/>
      <c r="F37" s="3"/>
      <c r="G37" s="4"/>
      <c r="H37" s="4"/>
      <c r="I37" s="4"/>
      <c r="J37" s="15" t="str">
        <f t="shared" ca="1" si="6"/>
        <v/>
      </c>
      <c r="K37" s="177" t="str">
        <f t="shared" si="16"/>
        <v/>
      </c>
      <c r="L37" s="177" t="str">
        <f t="shared" si="17"/>
        <v/>
      </c>
      <c r="M37" s="177"/>
      <c r="N37" s="177"/>
      <c r="O37" s="177"/>
      <c r="P37" s="177"/>
      <c r="Q37" s="177"/>
      <c r="R37" s="3" t="s">
        <v>176</v>
      </c>
      <c r="S37" s="13"/>
      <c r="T37" s="13"/>
      <c r="U37" s="5" t="s">
        <v>8</v>
      </c>
      <c r="V37" s="268"/>
      <c r="W37" s="5" t="s">
        <v>1407</v>
      </c>
      <c r="X37" s="5" t="s">
        <v>946</v>
      </c>
      <c r="Y37" s="5" t="s">
        <v>1435</v>
      </c>
      <c r="Z37" s="3" t="s">
        <v>181</v>
      </c>
      <c r="AA37" s="6" t="s">
        <v>463</v>
      </c>
      <c r="AB37" s="246" t="s">
        <v>1523</v>
      </c>
      <c r="AC37" s="177"/>
      <c r="AD37" s="177"/>
      <c r="AE37" s="177" t="str">
        <f t="shared" si="20"/>
        <v/>
      </c>
      <c r="AF37" s="5"/>
      <c r="AG37" s="5"/>
      <c r="AH37" s="226"/>
      <c r="AI37" s="83" t="s">
        <v>749</v>
      </c>
      <c r="AJ37" s="83"/>
      <c r="AK37" s="237" t="e">
        <f>SUM(#REF!,BT37,BV37)</f>
        <v>#REF!</v>
      </c>
      <c r="AL37" s="173"/>
      <c r="AM37" s="173"/>
      <c r="AN37" s="173"/>
      <c r="AO37" s="173"/>
      <c r="AP37" s="173"/>
      <c r="AQ37" s="173"/>
      <c r="AR37" s="56"/>
      <c r="AS37" s="56"/>
      <c r="AT37" s="56"/>
      <c r="AU37" s="56">
        <v>0</v>
      </c>
      <c r="AV37" s="38"/>
      <c r="AW37" s="38"/>
      <c r="AX37" s="97"/>
      <c r="AY37" s="169">
        <f t="shared" si="3"/>
        <v>98.68249999999999</v>
      </c>
      <c r="AZ37" s="196"/>
      <c r="BA37" s="170">
        <v>0</v>
      </c>
      <c r="BB37" s="170"/>
      <c r="BC37" s="170">
        <v>0</v>
      </c>
      <c r="BD37" s="170"/>
      <c r="BE37" s="170">
        <v>0</v>
      </c>
      <c r="BF37" s="170">
        <v>0</v>
      </c>
      <c r="BG37" s="170">
        <v>0.39162000000000002</v>
      </c>
      <c r="BH37" s="170">
        <v>0</v>
      </c>
      <c r="BI37" s="170">
        <v>0.66803000000000001</v>
      </c>
      <c r="BJ37" s="170">
        <v>0</v>
      </c>
      <c r="BK37" s="170">
        <v>-0.58955000000000013</v>
      </c>
      <c r="BL37" s="196"/>
      <c r="BM37" s="170">
        <v>-1.5930000000000021E-2</v>
      </c>
      <c r="BN37" s="196"/>
      <c r="BO37" s="170">
        <v>41.963440000000006</v>
      </c>
      <c r="BP37" s="196">
        <v>113.38667000000001</v>
      </c>
      <c r="BQ37" s="170">
        <v>-140.03214</v>
      </c>
      <c r="BR37" s="196"/>
      <c r="BS37" s="170">
        <v>113.76855999999999</v>
      </c>
      <c r="BT37" s="196"/>
      <c r="BU37" s="170">
        <v>-15.889110000000001</v>
      </c>
      <c r="BV37" s="196"/>
      <c r="BW37" s="251">
        <v>98.417580000000001</v>
      </c>
      <c r="BX37" s="254">
        <v>98.417580000000001</v>
      </c>
      <c r="BY37" s="88">
        <f t="shared" si="4"/>
        <v>-98.417580000000001</v>
      </c>
      <c r="BZ37" s="214">
        <v>-98.417580000000001</v>
      </c>
      <c r="CA37" s="214"/>
      <c r="CB37" s="214"/>
      <c r="CC37" s="214"/>
      <c r="CD37" s="214"/>
      <c r="CE37" s="214"/>
      <c r="CF37" s="214"/>
      <c r="CG37" s="214"/>
      <c r="CH37" s="214"/>
      <c r="CI37" s="214"/>
      <c r="CJ37" s="214"/>
      <c r="CK37" s="214"/>
      <c r="CL37" s="211">
        <f t="shared" si="8"/>
        <v>0</v>
      </c>
      <c r="CM37" s="212"/>
      <c r="CN37" s="212"/>
      <c r="CO37" s="212"/>
      <c r="CP37" s="212"/>
      <c r="CQ37" s="212"/>
      <c r="CR37" s="212"/>
      <c r="CS37" s="212"/>
      <c r="CT37" s="212"/>
      <c r="CU37" s="212"/>
      <c r="CV37" s="212"/>
      <c r="CW37" s="212"/>
      <c r="CX37" s="212"/>
      <c r="CY37" s="216">
        <f t="shared" si="9"/>
        <v>-98.417580000000001</v>
      </c>
      <c r="CZ37" s="185">
        <f t="shared" si="5"/>
        <v>0</v>
      </c>
      <c r="DA37" s="217">
        <f t="shared" si="10"/>
        <v>0.26491999999999116</v>
      </c>
      <c r="DB37" s="217">
        <f t="shared" si="11"/>
        <v>98.417580000000001</v>
      </c>
      <c r="DC37" s="217">
        <f t="shared" si="18"/>
        <v>197.10007999999999</v>
      </c>
      <c r="DD37" s="256">
        <v>16.154029999999992</v>
      </c>
      <c r="DE37" s="217">
        <f t="shared" si="12"/>
        <v>180.94605000000001</v>
      </c>
      <c r="DF37" s="185" t="e">
        <f>SUM(DN37:DO37)-SUM(#REF!,BV37)+BU37</f>
        <v>#REF!</v>
      </c>
      <c r="DG37" s="223"/>
      <c r="DH37" s="241">
        <f t="shared" si="13"/>
        <v>0</v>
      </c>
      <c r="DI37" s="241">
        <f t="shared" si="14"/>
        <v>0.47009999999999985</v>
      </c>
      <c r="DJ37" s="241">
        <f t="shared" si="15"/>
        <v>-98.08462999999999</v>
      </c>
      <c r="DK37" s="241" t="e">
        <f>SUM(BS37,#REF!,BV37)</f>
        <v>#REF!</v>
      </c>
      <c r="DL37" s="155"/>
      <c r="DM37" s="155"/>
      <c r="DN37" s="155">
        <v>27.994999999999997</v>
      </c>
      <c r="DO37" s="155">
        <v>0</v>
      </c>
      <c r="DP37" s="155"/>
      <c r="DQ37" s="155"/>
      <c r="DR37" s="23">
        <f>VLOOKUP(C37,[5]Database!$B$126:$AD$521,29,FALSE)</f>
        <v>0</v>
      </c>
      <c r="DS37" s="235">
        <f t="shared" si="19"/>
        <v>98.417580000000001</v>
      </c>
    </row>
    <row r="38" spans="1:123" s="23" customFormat="1" ht="24" hidden="1" customHeight="1">
      <c r="A38" s="18"/>
      <c r="B38" s="2"/>
      <c r="C38" s="85" t="s">
        <v>1113</v>
      </c>
      <c r="D38" s="85"/>
      <c r="E38" s="85"/>
      <c r="F38" s="3"/>
      <c r="G38" s="4"/>
      <c r="H38" s="4"/>
      <c r="I38" s="4"/>
      <c r="J38" s="15"/>
      <c r="K38" s="177"/>
      <c r="L38" s="177"/>
      <c r="M38" s="177"/>
      <c r="N38" s="177"/>
      <c r="O38" s="177"/>
      <c r="P38" s="177"/>
      <c r="Q38" s="177"/>
      <c r="R38" s="3" t="s">
        <v>176</v>
      </c>
      <c r="S38" s="13"/>
      <c r="T38" s="13"/>
      <c r="U38" s="5" t="s">
        <v>8</v>
      </c>
      <c r="V38" s="268"/>
      <c r="W38" s="5" t="s">
        <v>1407</v>
      </c>
      <c r="X38" s="5" t="s">
        <v>946</v>
      </c>
      <c r="Y38" s="5" t="s">
        <v>1436</v>
      </c>
      <c r="Z38" s="3"/>
      <c r="AA38" s="6" t="s">
        <v>463</v>
      </c>
      <c r="AB38" s="151"/>
      <c r="AC38" s="177"/>
      <c r="AD38" s="177"/>
      <c r="AE38" s="177"/>
      <c r="AF38" s="5"/>
      <c r="AG38" s="5"/>
      <c r="AH38" s="226"/>
      <c r="AI38" s="83" t="s">
        <v>753</v>
      </c>
      <c r="AJ38" s="83"/>
      <c r="AK38" s="237" t="e">
        <f>SUM(#REF!,BT38,BV38)</f>
        <v>#REF!</v>
      </c>
      <c r="AL38" s="173"/>
      <c r="AM38" s="173"/>
      <c r="AN38" s="173"/>
      <c r="AO38" s="173"/>
      <c r="AP38" s="173"/>
      <c r="AQ38" s="173"/>
      <c r="AR38" s="56"/>
      <c r="AS38" s="56"/>
      <c r="AT38" s="56"/>
      <c r="AU38" s="56"/>
      <c r="AV38" s="38"/>
      <c r="AW38" s="38"/>
      <c r="AX38" s="97"/>
      <c r="AY38" s="169">
        <f t="shared" si="3"/>
        <v>3.9968028886505632E-18</v>
      </c>
      <c r="AZ38" s="196"/>
      <c r="BA38" s="170">
        <v>0</v>
      </c>
      <c r="BB38" s="170"/>
      <c r="BC38" s="170">
        <v>0</v>
      </c>
      <c r="BD38" s="170"/>
      <c r="BE38" s="170">
        <v>0</v>
      </c>
      <c r="BF38" s="170"/>
      <c r="BG38" s="170">
        <v>0</v>
      </c>
      <c r="BH38" s="170"/>
      <c r="BI38" s="170">
        <v>0</v>
      </c>
      <c r="BJ38" s="170"/>
      <c r="BK38" s="170">
        <v>3.9968028886505632E-18</v>
      </c>
      <c r="BL38" s="196"/>
      <c r="BM38" s="170">
        <v>0</v>
      </c>
      <c r="BN38" s="196"/>
      <c r="BO38" s="170">
        <v>0</v>
      </c>
      <c r="BP38" s="196"/>
      <c r="BQ38" s="170">
        <v>0</v>
      </c>
      <c r="BR38" s="196"/>
      <c r="BS38" s="170">
        <v>0</v>
      </c>
      <c r="BT38" s="196"/>
      <c r="BU38" s="170">
        <v>0</v>
      </c>
      <c r="BV38" s="196"/>
      <c r="BW38" s="251"/>
      <c r="BX38" s="254"/>
      <c r="BY38" s="88">
        <f t="shared" si="4"/>
        <v>0</v>
      </c>
      <c r="BZ38" s="214"/>
      <c r="CA38" s="214"/>
      <c r="CB38" s="214"/>
      <c r="CC38" s="214"/>
      <c r="CD38" s="214"/>
      <c r="CE38" s="214"/>
      <c r="CF38" s="214"/>
      <c r="CG38" s="214"/>
      <c r="CH38" s="214"/>
      <c r="CI38" s="214"/>
      <c r="CJ38" s="214"/>
      <c r="CK38" s="214"/>
      <c r="CL38" s="211">
        <f t="shared" si="8"/>
        <v>0</v>
      </c>
      <c r="CM38" s="212"/>
      <c r="CN38" s="212"/>
      <c r="CO38" s="212"/>
      <c r="CP38" s="212"/>
      <c r="CQ38" s="212"/>
      <c r="CR38" s="212"/>
      <c r="CS38" s="212"/>
      <c r="CT38" s="212"/>
      <c r="CU38" s="212"/>
      <c r="CV38" s="212"/>
      <c r="CW38" s="212"/>
      <c r="CX38" s="212"/>
      <c r="CY38" s="216">
        <f t="shared" si="9"/>
        <v>0</v>
      </c>
      <c r="CZ38" s="185">
        <f t="shared" si="5"/>
        <v>0</v>
      </c>
      <c r="DA38" s="217">
        <f t="shared" si="10"/>
        <v>3.9968028886505632E-18</v>
      </c>
      <c r="DB38" s="217">
        <f t="shared" si="11"/>
        <v>0</v>
      </c>
      <c r="DC38" s="217">
        <f t="shared" si="18"/>
        <v>3.9968028886505632E-18</v>
      </c>
      <c r="DD38" s="256">
        <v>3.9968028886505632E-18</v>
      </c>
      <c r="DE38" s="217">
        <f t="shared" si="12"/>
        <v>0</v>
      </c>
      <c r="DF38" s="185" t="e">
        <f>SUM(DN38:DO38)-SUM(#REF!,BV38)+BU38</f>
        <v>#REF!</v>
      </c>
      <c r="DG38" s="223"/>
      <c r="DH38" s="241">
        <f t="shared" si="13"/>
        <v>0</v>
      </c>
      <c r="DI38" s="241">
        <f t="shared" si="14"/>
        <v>3.9968028886505632E-18</v>
      </c>
      <c r="DJ38" s="241">
        <f t="shared" si="15"/>
        <v>0</v>
      </c>
      <c r="DK38" s="241" t="e">
        <f>SUM(BS38,#REF!,BV38)</f>
        <v>#REF!</v>
      </c>
      <c r="DL38" s="155"/>
      <c r="DM38" s="155"/>
      <c r="DN38" s="155"/>
      <c r="DO38" s="155"/>
      <c r="DP38" s="155"/>
      <c r="DQ38" s="155"/>
      <c r="DR38" s="23">
        <f>VLOOKUP(C38,[5]Database!$B$126:$AD$521,29,FALSE)</f>
        <v>0</v>
      </c>
      <c r="DS38" s="235">
        <f t="shared" si="19"/>
        <v>0</v>
      </c>
    </row>
    <row r="39" spans="1:123" s="23" customFormat="1" ht="24" hidden="1" customHeight="1">
      <c r="A39" s="18"/>
      <c r="B39" s="2"/>
      <c r="C39" s="85" t="s">
        <v>1019</v>
      </c>
      <c r="D39" s="85"/>
      <c r="E39" s="85"/>
      <c r="F39" s="3"/>
      <c r="G39" s="4"/>
      <c r="H39" s="4"/>
      <c r="I39" s="4"/>
      <c r="J39" s="15" t="str">
        <f ca="1">IF(H39="","",IF(I39&lt;&gt;"",I39-H39,EDATE(H39,18)-NOW()))</f>
        <v/>
      </c>
      <c r="K39" s="177" t="str">
        <f>IF(H39="","",H39+547)</f>
        <v/>
      </c>
      <c r="L39" s="177" t="str">
        <f>IF(H39="","",H39+730)</f>
        <v/>
      </c>
      <c r="M39" s="177"/>
      <c r="N39" s="177"/>
      <c r="O39" s="177"/>
      <c r="P39" s="177"/>
      <c r="Q39" s="177"/>
      <c r="R39" s="3" t="s">
        <v>176</v>
      </c>
      <c r="S39" s="13"/>
      <c r="T39" s="13"/>
      <c r="U39" s="5" t="s">
        <v>8</v>
      </c>
      <c r="V39" s="268"/>
      <c r="W39" s="5" t="s">
        <v>1407</v>
      </c>
      <c r="X39" s="5" t="s">
        <v>946</v>
      </c>
      <c r="Y39" s="5" t="s">
        <v>1437</v>
      </c>
      <c r="Z39" s="3" t="s">
        <v>316</v>
      </c>
      <c r="AA39" s="6" t="s">
        <v>463</v>
      </c>
      <c r="AB39" s="151" t="s">
        <v>1175</v>
      </c>
      <c r="AC39" s="177"/>
      <c r="AD39" s="177"/>
      <c r="AE39" s="177"/>
      <c r="AF39" s="5"/>
      <c r="AG39" s="5"/>
      <c r="AH39" s="226"/>
      <c r="AI39" s="83" t="s">
        <v>807</v>
      </c>
      <c r="AJ39" s="83"/>
      <c r="AK39" s="237" t="e">
        <f>SUM(#REF!,BT39,BV39)</f>
        <v>#REF!</v>
      </c>
      <c r="AL39" s="173"/>
      <c r="AM39" s="173"/>
      <c r="AN39" s="173"/>
      <c r="AO39" s="173"/>
      <c r="AP39" s="173"/>
      <c r="AQ39" s="173"/>
      <c r="AR39" s="56"/>
      <c r="AS39" s="56"/>
      <c r="AT39" s="56"/>
      <c r="AU39" s="56"/>
      <c r="AV39" s="38"/>
      <c r="AW39" s="38"/>
      <c r="AX39" s="97"/>
      <c r="AY39" s="169">
        <f t="shared" si="3"/>
        <v>243.59408000000002</v>
      </c>
      <c r="AZ39" s="196"/>
      <c r="BA39" s="170">
        <v>0</v>
      </c>
      <c r="BB39" s="170"/>
      <c r="BC39" s="170">
        <v>0</v>
      </c>
      <c r="BD39" s="170"/>
      <c r="BE39" s="170">
        <v>0</v>
      </c>
      <c r="BF39" s="170"/>
      <c r="BG39" s="170">
        <v>0</v>
      </c>
      <c r="BH39" s="170"/>
      <c r="BI39" s="170">
        <v>0</v>
      </c>
      <c r="BJ39" s="170">
        <v>0</v>
      </c>
      <c r="BK39" s="170">
        <v>0</v>
      </c>
      <c r="BL39" s="196"/>
      <c r="BM39" s="170">
        <v>0.21371999999999999</v>
      </c>
      <c r="BN39" s="196"/>
      <c r="BO39" s="170">
        <v>243.47483000000003</v>
      </c>
      <c r="BP39" s="196"/>
      <c r="BQ39" s="170">
        <v>-4.6249999999999999E-2</v>
      </c>
      <c r="BR39" s="196"/>
      <c r="BS39" s="170">
        <v>0.43535999999999997</v>
      </c>
      <c r="BT39" s="196"/>
      <c r="BU39" s="170">
        <v>-0.16567999999999997</v>
      </c>
      <c r="BV39" s="196"/>
      <c r="BW39" s="251">
        <v>-0.31789999999999996</v>
      </c>
      <c r="BX39" s="254">
        <v>-0.31789999999999996</v>
      </c>
      <c r="BY39" s="88">
        <f t="shared" si="4"/>
        <v>-243.59408000000013</v>
      </c>
      <c r="BZ39" s="214">
        <v>-243.59408000000002</v>
      </c>
      <c r="CA39" s="214"/>
      <c r="CB39" s="214"/>
      <c r="CC39" s="214"/>
      <c r="CD39" s="214">
        <v>568.48421999999994</v>
      </c>
      <c r="CE39" s="214">
        <v>-568.48422000000005</v>
      </c>
      <c r="CF39" s="214"/>
      <c r="CG39" s="214"/>
      <c r="CH39" s="214"/>
      <c r="CI39" s="214"/>
      <c r="CJ39" s="214"/>
      <c r="CK39" s="214"/>
      <c r="CL39" s="211">
        <f t="shared" si="8"/>
        <v>0</v>
      </c>
      <c r="CM39" s="212"/>
      <c r="CN39" s="212"/>
      <c r="CO39" s="212"/>
      <c r="CP39" s="212"/>
      <c r="CQ39" s="212"/>
      <c r="CR39" s="212"/>
      <c r="CS39" s="212"/>
      <c r="CT39" s="212"/>
      <c r="CU39" s="212"/>
      <c r="CV39" s="212"/>
      <c r="CW39" s="212"/>
      <c r="CX39" s="212"/>
      <c r="CY39" s="216">
        <f t="shared" si="9"/>
        <v>0.31789999999999996</v>
      </c>
      <c r="CZ39" s="185">
        <f t="shared" si="5"/>
        <v>0</v>
      </c>
      <c r="DA39" s="217">
        <f t="shared" si="10"/>
        <v>243.91198000000003</v>
      </c>
      <c r="DB39" s="217">
        <f t="shared" si="11"/>
        <v>-0.31789999999999996</v>
      </c>
      <c r="DC39" s="217">
        <f t="shared" si="18"/>
        <v>487.18816000000015</v>
      </c>
      <c r="DD39" s="256">
        <v>0.57765999999992346</v>
      </c>
      <c r="DE39" s="217">
        <f t="shared" si="12"/>
        <v>486.61050000000023</v>
      </c>
      <c r="DF39" s="185" t="e">
        <f>SUM(DN39:DO39)-SUM(#REF!,BV39)+BU39</f>
        <v>#REF!</v>
      </c>
      <c r="DG39" s="223"/>
      <c r="DH39" s="241">
        <f t="shared" si="13"/>
        <v>0</v>
      </c>
      <c r="DI39" s="241">
        <f t="shared" si="14"/>
        <v>0</v>
      </c>
      <c r="DJ39" s="241">
        <f t="shared" si="15"/>
        <v>243.64230000000003</v>
      </c>
      <c r="DK39" s="241" t="e">
        <f>SUM(BS39,#REF!,BV39)</f>
        <v>#REF!</v>
      </c>
      <c r="DL39" s="155"/>
      <c r="DM39" s="155"/>
      <c r="DN39" s="155">
        <v>583.50125000000003</v>
      </c>
      <c r="DO39" s="155">
        <v>0</v>
      </c>
      <c r="DP39" s="155"/>
      <c r="DQ39" s="155"/>
      <c r="DR39" s="23">
        <f>VLOOKUP(C39,[5]Database!$B$126:$AD$521,29,FALSE)</f>
        <v>-243.00000000000011</v>
      </c>
      <c r="DS39" s="235">
        <f t="shared" si="19"/>
        <v>0.59408000000001948</v>
      </c>
    </row>
    <row r="40" spans="1:123" s="23" customFormat="1" ht="24" hidden="1" customHeight="1">
      <c r="A40" s="18"/>
      <c r="B40" s="2"/>
      <c r="C40" s="85" t="s">
        <v>1095</v>
      </c>
      <c r="D40" s="85"/>
      <c r="E40" s="85"/>
      <c r="F40" s="3"/>
      <c r="G40" s="4"/>
      <c r="H40" s="4"/>
      <c r="I40" s="4"/>
      <c r="J40" s="15" t="str">
        <f ca="1">IF(H40="","",IF(I40&lt;&gt;"",I40-H40,EDATE(H40,18)-NOW()))</f>
        <v/>
      </c>
      <c r="K40" s="177" t="str">
        <f>IF(H40="","",H40+547)</f>
        <v/>
      </c>
      <c r="L40" s="177" t="str">
        <f>IF(H40="","",H40+730)</f>
        <v/>
      </c>
      <c r="M40" s="177"/>
      <c r="N40" s="177"/>
      <c r="O40" s="177"/>
      <c r="P40" s="177"/>
      <c r="Q40" s="177"/>
      <c r="R40" s="3" t="s">
        <v>176</v>
      </c>
      <c r="S40" s="13"/>
      <c r="T40" s="13"/>
      <c r="U40" s="5" t="s">
        <v>8</v>
      </c>
      <c r="V40" s="268"/>
      <c r="W40" s="5" t="s">
        <v>1407</v>
      </c>
      <c r="X40" s="5" t="s">
        <v>946</v>
      </c>
      <c r="Y40" s="5" t="s">
        <v>1076</v>
      </c>
      <c r="Z40" s="3" t="s">
        <v>316</v>
      </c>
      <c r="AA40" s="6" t="s">
        <v>463</v>
      </c>
      <c r="AB40" s="151" t="s">
        <v>1280</v>
      </c>
      <c r="AC40" s="177"/>
      <c r="AD40" s="177"/>
      <c r="AE40" s="177"/>
      <c r="AF40" s="5"/>
      <c r="AG40" s="5"/>
      <c r="AH40" s="226"/>
      <c r="AI40" s="83" t="s">
        <v>844</v>
      </c>
      <c r="AJ40" s="83"/>
      <c r="AK40" s="237" t="e">
        <f>SUM(#REF!,BT40,BV40)</f>
        <v>#REF!</v>
      </c>
      <c r="AL40" s="173"/>
      <c r="AM40" s="173"/>
      <c r="AN40" s="173"/>
      <c r="AO40" s="173"/>
      <c r="AP40" s="173"/>
      <c r="AQ40" s="173"/>
      <c r="AR40" s="56"/>
      <c r="AS40" s="56"/>
      <c r="AT40" s="56"/>
      <c r="AU40" s="56">
        <v>0</v>
      </c>
      <c r="AV40" s="38"/>
      <c r="AW40" s="38"/>
      <c r="AX40" s="97"/>
      <c r="AY40" s="169">
        <f t="shared" si="3"/>
        <v>368.41500000000008</v>
      </c>
      <c r="AZ40" s="196"/>
      <c r="BA40" s="170">
        <v>0</v>
      </c>
      <c r="BB40" s="170"/>
      <c r="BC40" s="170">
        <v>0</v>
      </c>
      <c r="BD40" s="170"/>
      <c r="BE40" s="170">
        <v>0</v>
      </c>
      <c r="BF40" s="170"/>
      <c r="BG40" s="170">
        <v>0</v>
      </c>
      <c r="BH40" s="170"/>
      <c r="BI40" s="170">
        <v>0</v>
      </c>
      <c r="BJ40" s="170"/>
      <c r="BK40" s="170">
        <v>0</v>
      </c>
      <c r="BL40" s="196"/>
      <c r="BM40" s="170">
        <v>0</v>
      </c>
      <c r="BN40" s="196"/>
      <c r="BO40" s="170">
        <v>0</v>
      </c>
      <c r="BP40" s="196"/>
      <c r="BQ40" s="170">
        <v>0.96440999999999999</v>
      </c>
      <c r="BR40" s="196"/>
      <c r="BS40" s="170">
        <v>1.74366</v>
      </c>
      <c r="BT40" s="196">
        <v>360</v>
      </c>
      <c r="BU40" s="170">
        <v>368.49364000000008</v>
      </c>
      <c r="BV40" s="196"/>
      <c r="BW40" s="251">
        <v>-2.7867100000000002</v>
      </c>
      <c r="BX40" s="254">
        <v>-2.7867100000000002</v>
      </c>
      <c r="BY40" s="88">
        <f t="shared" si="4"/>
        <v>-368.41500000000008</v>
      </c>
      <c r="BZ40" s="214"/>
      <c r="CA40" s="214"/>
      <c r="CB40" s="214"/>
      <c r="CC40" s="214"/>
      <c r="CD40" s="214"/>
      <c r="CE40" s="214">
        <v>-368.41500000000008</v>
      </c>
      <c r="CF40" s="214"/>
      <c r="CG40" s="214"/>
      <c r="CH40" s="214"/>
      <c r="CI40" s="214"/>
      <c r="CJ40" s="214"/>
      <c r="CK40" s="214"/>
      <c r="CL40" s="211">
        <f t="shared" si="8"/>
        <v>0</v>
      </c>
      <c r="CM40" s="212"/>
      <c r="CN40" s="212"/>
      <c r="CO40" s="212"/>
      <c r="CP40" s="212"/>
      <c r="CQ40" s="212"/>
      <c r="CR40" s="212"/>
      <c r="CS40" s="212"/>
      <c r="CT40" s="212"/>
      <c r="CU40" s="212"/>
      <c r="CV40" s="212"/>
      <c r="CW40" s="212"/>
      <c r="CX40" s="212"/>
      <c r="CY40" s="216">
        <f t="shared" si="9"/>
        <v>2.7867100000000002</v>
      </c>
      <c r="CZ40" s="185">
        <f t="shared" si="5"/>
        <v>0</v>
      </c>
      <c r="DA40" s="217">
        <f t="shared" si="10"/>
        <v>371.20171000000011</v>
      </c>
      <c r="DB40" s="217">
        <f t="shared" si="11"/>
        <v>-2.7867100000000002</v>
      </c>
      <c r="DC40" s="217">
        <f t="shared" si="18"/>
        <v>736.83000000000015</v>
      </c>
      <c r="DD40" s="256">
        <v>2.7080700000000206</v>
      </c>
      <c r="DE40" s="217">
        <f t="shared" si="12"/>
        <v>734.12193000000013</v>
      </c>
      <c r="DF40" s="185" t="e">
        <f>SUM(DN40:DO40)-SUM(#REF!,BV40)+BU40</f>
        <v>#REF!</v>
      </c>
      <c r="DG40" s="223"/>
      <c r="DH40" s="241">
        <f t="shared" si="13"/>
        <v>0</v>
      </c>
      <c r="DI40" s="241">
        <f t="shared" si="14"/>
        <v>0</v>
      </c>
      <c r="DJ40" s="241">
        <f t="shared" si="15"/>
        <v>0.96440999999999999</v>
      </c>
      <c r="DK40" s="241" t="e">
        <f>SUM(BS40,#REF!,BV40)</f>
        <v>#REF!</v>
      </c>
      <c r="DL40" s="155"/>
      <c r="DM40" s="155"/>
      <c r="DN40" s="155">
        <v>842.14200000000005</v>
      </c>
      <c r="DO40" s="155">
        <v>0</v>
      </c>
      <c r="DP40" s="155"/>
      <c r="DQ40" s="155"/>
      <c r="DR40" s="23">
        <f>VLOOKUP(C40,[5]Database!$B$126:$AD$521,29,FALSE)</f>
        <v>-360</v>
      </c>
      <c r="DS40" s="235">
        <f t="shared" si="19"/>
        <v>8.4150000000000773</v>
      </c>
    </row>
    <row r="41" spans="1:123" s="23" customFormat="1" ht="24" hidden="1" customHeight="1">
      <c r="A41" s="18"/>
      <c r="B41" s="2"/>
      <c r="C41" s="85" t="s">
        <v>1114</v>
      </c>
      <c r="D41" s="85"/>
      <c r="E41" s="85"/>
      <c r="F41" s="3"/>
      <c r="G41" s="4"/>
      <c r="H41" s="4"/>
      <c r="I41" s="4"/>
      <c r="J41" s="15"/>
      <c r="K41" s="177"/>
      <c r="L41" s="177"/>
      <c r="M41" s="177"/>
      <c r="N41" s="177"/>
      <c r="O41" s="177"/>
      <c r="P41" s="177"/>
      <c r="Q41" s="177"/>
      <c r="R41" s="3" t="s">
        <v>176</v>
      </c>
      <c r="S41" s="13"/>
      <c r="T41" s="13"/>
      <c r="U41" s="5" t="s">
        <v>8</v>
      </c>
      <c r="V41" s="268"/>
      <c r="W41" s="5" t="s">
        <v>1407</v>
      </c>
      <c r="X41" s="5" t="s">
        <v>474</v>
      </c>
      <c r="Y41" s="5" t="s">
        <v>1438</v>
      </c>
      <c r="Z41" s="3"/>
      <c r="AA41" s="6" t="s">
        <v>463</v>
      </c>
      <c r="AB41" s="151"/>
      <c r="AC41" s="177"/>
      <c r="AD41" s="177"/>
      <c r="AE41" s="177"/>
      <c r="AF41" s="5"/>
      <c r="AG41" s="5"/>
      <c r="AH41" s="226"/>
      <c r="AI41" s="83" t="s">
        <v>1090</v>
      </c>
      <c r="AJ41" s="83"/>
      <c r="AK41" s="237" t="e">
        <f>SUM(#REF!,BT41,BV41)</f>
        <v>#REF!</v>
      </c>
      <c r="AL41" s="173"/>
      <c r="AM41" s="173"/>
      <c r="AN41" s="173"/>
      <c r="AO41" s="173"/>
      <c r="AP41" s="173"/>
      <c r="AQ41" s="173"/>
      <c r="AR41" s="56"/>
      <c r="AS41" s="56"/>
      <c r="AT41" s="56"/>
      <c r="AU41" s="56"/>
      <c r="AV41" s="38"/>
      <c r="AW41" s="38"/>
      <c r="AX41" s="97"/>
      <c r="AY41" s="169">
        <f t="shared" si="3"/>
        <v>0</v>
      </c>
      <c r="AZ41" s="196"/>
      <c r="BA41" s="170">
        <v>0</v>
      </c>
      <c r="BB41" s="170"/>
      <c r="BC41" s="170">
        <v>0</v>
      </c>
      <c r="BD41" s="170"/>
      <c r="BE41" s="170">
        <v>0</v>
      </c>
      <c r="BF41" s="170"/>
      <c r="BG41" s="170">
        <v>0</v>
      </c>
      <c r="BH41" s="170"/>
      <c r="BI41" s="170">
        <v>0</v>
      </c>
      <c r="BJ41" s="170"/>
      <c r="BK41" s="170">
        <v>0</v>
      </c>
      <c r="BL41" s="196"/>
      <c r="BM41" s="170">
        <v>0</v>
      </c>
      <c r="BN41" s="196"/>
      <c r="BO41" s="170">
        <v>0</v>
      </c>
      <c r="BP41" s="196"/>
      <c r="BQ41" s="170">
        <v>0</v>
      </c>
      <c r="BR41" s="196"/>
      <c r="BS41" s="170">
        <v>0</v>
      </c>
      <c r="BT41" s="196"/>
      <c r="BU41" s="170">
        <v>0</v>
      </c>
      <c r="BV41" s="196"/>
      <c r="BW41" s="251"/>
      <c r="BX41" s="254"/>
      <c r="BY41" s="88">
        <f t="shared" si="4"/>
        <v>0</v>
      </c>
      <c r="BZ41" s="251"/>
      <c r="CA41" s="251"/>
      <c r="CB41" s="251"/>
      <c r="CC41" s="251"/>
      <c r="CD41" s="251"/>
      <c r="CE41" s="251"/>
      <c r="CF41" s="251"/>
      <c r="CG41" s="251"/>
      <c r="CH41" s="251"/>
      <c r="CI41" s="251"/>
      <c r="CJ41" s="251"/>
      <c r="CK41" s="251"/>
      <c r="CL41" s="211">
        <f t="shared" si="8"/>
        <v>0</v>
      </c>
      <c r="CM41" s="212"/>
      <c r="CN41" s="212"/>
      <c r="CO41" s="212"/>
      <c r="CP41" s="212"/>
      <c r="CQ41" s="212"/>
      <c r="CR41" s="212"/>
      <c r="CS41" s="212"/>
      <c r="CT41" s="212"/>
      <c r="CU41" s="212"/>
      <c r="CV41" s="212"/>
      <c r="CW41" s="212"/>
      <c r="CX41" s="212"/>
      <c r="CY41" s="216">
        <f t="shared" si="9"/>
        <v>0</v>
      </c>
      <c r="CZ41" s="185">
        <f t="shared" si="5"/>
        <v>0</v>
      </c>
      <c r="DA41" s="217">
        <f t="shared" si="10"/>
        <v>0</v>
      </c>
      <c r="DB41" s="217">
        <f t="shared" si="11"/>
        <v>0</v>
      </c>
      <c r="DC41" s="217">
        <f t="shared" si="18"/>
        <v>0</v>
      </c>
      <c r="DD41" s="256">
        <v>0</v>
      </c>
      <c r="DE41" s="217">
        <f t="shared" si="12"/>
        <v>0</v>
      </c>
      <c r="DF41" s="185" t="e">
        <f>SUM(DN41:DO41)-SUM(#REF!,BV41)+BU41</f>
        <v>#REF!</v>
      </c>
      <c r="DG41" s="223"/>
      <c r="DH41" s="241">
        <f t="shared" si="13"/>
        <v>0</v>
      </c>
      <c r="DI41" s="241">
        <f t="shared" si="14"/>
        <v>0</v>
      </c>
      <c r="DJ41" s="241">
        <f t="shared" si="15"/>
        <v>0</v>
      </c>
      <c r="DK41" s="241" t="e">
        <f>SUM(BS41,#REF!,BV41)</f>
        <v>#REF!</v>
      </c>
      <c r="DL41" s="155"/>
      <c r="DM41" s="155"/>
      <c r="DN41" s="155">
        <v>14.7</v>
      </c>
      <c r="DO41" s="155">
        <v>0</v>
      </c>
      <c r="DP41" s="155"/>
      <c r="DQ41" s="155"/>
      <c r="DR41" s="23">
        <f>VLOOKUP(C41,[5]Database!$B$126:$AD$521,29,FALSE)</f>
        <v>0</v>
      </c>
      <c r="DS41" s="235">
        <f t="shared" si="19"/>
        <v>0</v>
      </c>
    </row>
    <row r="42" spans="1:123" s="23" customFormat="1" ht="24" hidden="1" customHeight="1">
      <c r="A42" s="18"/>
      <c r="B42" s="2"/>
      <c r="C42" s="85" t="s">
        <v>1314</v>
      </c>
      <c r="D42" s="85"/>
      <c r="E42" s="85"/>
      <c r="F42" s="3"/>
      <c r="G42" s="4"/>
      <c r="H42" s="4"/>
      <c r="I42" s="4"/>
      <c r="J42" s="15"/>
      <c r="K42" s="177"/>
      <c r="L42" s="177"/>
      <c r="M42" s="177"/>
      <c r="N42" s="177"/>
      <c r="O42" s="177"/>
      <c r="P42" s="177"/>
      <c r="Q42" s="177"/>
      <c r="R42" s="3" t="s">
        <v>176</v>
      </c>
      <c r="S42" s="13"/>
      <c r="T42" s="13"/>
      <c r="U42" s="5" t="s">
        <v>8</v>
      </c>
      <c r="V42" s="268"/>
      <c r="W42" s="5" t="s">
        <v>1407</v>
      </c>
      <c r="X42" s="5" t="s">
        <v>946</v>
      </c>
      <c r="Y42" s="5" t="s">
        <v>1439</v>
      </c>
      <c r="Z42" s="3"/>
      <c r="AA42" s="6" t="s">
        <v>463</v>
      </c>
      <c r="AB42" s="151" t="s">
        <v>1332</v>
      </c>
      <c r="AC42" s="177"/>
      <c r="AD42" s="177"/>
      <c r="AE42" s="177"/>
      <c r="AF42" s="5"/>
      <c r="AG42" s="5"/>
      <c r="AH42" s="226"/>
      <c r="AI42" s="83" t="s">
        <v>1152</v>
      </c>
      <c r="AJ42" s="83"/>
      <c r="AK42" s="237" t="e">
        <f>SUM(#REF!,BT42,BV42)</f>
        <v>#REF!</v>
      </c>
      <c r="AL42" s="173"/>
      <c r="AM42" s="173"/>
      <c r="AN42" s="173"/>
      <c r="AO42" s="173"/>
      <c r="AP42" s="173"/>
      <c r="AQ42" s="173"/>
      <c r="AR42" s="56"/>
      <c r="AS42" s="56"/>
      <c r="AT42" s="56"/>
      <c r="AU42" s="56"/>
      <c r="AV42" s="38"/>
      <c r="AW42" s="38"/>
      <c r="AX42" s="97"/>
      <c r="AY42" s="169">
        <f t="shared" si="3"/>
        <v>0</v>
      </c>
      <c r="AZ42" s="196"/>
      <c r="BA42" s="170"/>
      <c r="BB42" s="170"/>
      <c r="BC42" s="170"/>
      <c r="BD42" s="170"/>
      <c r="BE42" s="170"/>
      <c r="BF42" s="170"/>
      <c r="BG42" s="170"/>
      <c r="BH42" s="170"/>
      <c r="BI42" s="170"/>
      <c r="BJ42" s="170"/>
      <c r="BK42" s="170"/>
      <c r="BL42" s="196"/>
      <c r="BM42" s="170"/>
      <c r="BN42" s="196"/>
      <c r="BO42" s="170"/>
      <c r="BP42" s="196"/>
      <c r="BQ42" s="170"/>
      <c r="BR42" s="196"/>
      <c r="BS42" s="170"/>
      <c r="BT42" s="196"/>
      <c r="BU42" s="170">
        <v>0</v>
      </c>
      <c r="BV42" s="196"/>
      <c r="BW42" s="251"/>
      <c r="BX42" s="254"/>
      <c r="BY42" s="88">
        <f t="shared" si="4"/>
        <v>0</v>
      </c>
      <c r="BZ42" s="170"/>
      <c r="CA42" s="214"/>
      <c r="CB42" s="214"/>
      <c r="CC42" s="214"/>
      <c r="CD42" s="214"/>
      <c r="CE42" s="214"/>
      <c r="CF42" s="214"/>
      <c r="CG42" s="214"/>
      <c r="CH42" s="214"/>
      <c r="CI42" s="214"/>
      <c r="CJ42" s="214"/>
      <c r="CK42" s="214"/>
      <c r="CL42" s="211">
        <f t="shared" si="8"/>
        <v>0</v>
      </c>
      <c r="CM42" s="212"/>
      <c r="CN42" s="212"/>
      <c r="CO42" s="212"/>
      <c r="CP42" s="212"/>
      <c r="CQ42" s="212"/>
      <c r="CR42" s="212"/>
      <c r="CS42" s="212"/>
      <c r="CT42" s="212"/>
      <c r="CU42" s="212"/>
      <c r="CV42" s="212"/>
      <c r="CW42" s="212"/>
      <c r="CX42" s="212"/>
      <c r="CY42" s="216">
        <f t="shared" si="9"/>
        <v>0</v>
      </c>
      <c r="CZ42" s="185">
        <f t="shared" si="5"/>
        <v>0</v>
      </c>
      <c r="DA42" s="217">
        <f t="shared" si="10"/>
        <v>0</v>
      </c>
      <c r="DB42" s="217">
        <f t="shared" si="11"/>
        <v>0</v>
      </c>
      <c r="DC42" s="217">
        <f t="shared" si="18"/>
        <v>0</v>
      </c>
      <c r="DD42" s="256">
        <v>0</v>
      </c>
      <c r="DE42" s="217">
        <f t="shared" si="12"/>
        <v>0</v>
      </c>
      <c r="DF42" s="185" t="e">
        <f>SUM(DN42:DO42)-SUM(#REF!,BV42)+BU42</f>
        <v>#REF!</v>
      </c>
      <c r="DG42" s="223"/>
      <c r="DH42" s="241">
        <f t="shared" si="13"/>
        <v>0</v>
      </c>
      <c r="DI42" s="241">
        <f t="shared" si="14"/>
        <v>0</v>
      </c>
      <c r="DJ42" s="241">
        <f t="shared" si="15"/>
        <v>0</v>
      </c>
      <c r="DK42" s="241" t="e">
        <f>SUM(BS42,#REF!,BV42)</f>
        <v>#REF!</v>
      </c>
      <c r="DL42" s="155"/>
      <c r="DM42" s="155"/>
      <c r="DN42" s="155"/>
      <c r="DO42" s="155"/>
      <c r="DP42" s="155"/>
      <c r="DQ42" s="155"/>
      <c r="DR42" s="23" t="e">
        <f>VLOOKUP(C42,[5]Database!$B$126:$AD$521,29,FALSE)</f>
        <v>#N/A</v>
      </c>
      <c r="DS42" s="235" t="e">
        <f t="shared" si="19"/>
        <v>#N/A</v>
      </c>
    </row>
    <row r="43" spans="1:123" s="23" customFormat="1" ht="24" hidden="1" customHeight="1">
      <c r="A43" s="18"/>
      <c r="B43" s="2"/>
      <c r="C43" s="85" t="s">
        <v>1160</v>
      </c>
      <c r="D43" s="85"/>
      <c r="E43" s="85"/>
      <c r="F43" s="3"/>
      <c r="G43" s="4"/>
      <c r="H43" s="4"/>
      <c r="I43" s="4"/>
      <c r="J43" s="15" t="str">
        <f ca="1">IF(H43="","",IF(I43&lt;&gt;"",I43-H43,EDATE(H43,18)-NOW()))</f>
        <v/>
      </c>
      <c r="K43" s="177" t="str">
        <f>IF(H43="","",H43+547)</f>
        <v/>
      </c>
      <c r="L43" s="177" t="str">
        <f>IF(H43="","",H43+730)</f>
        <v/>
      </c>
      <c r="M43" s="177"/>
      <c r="N43" s="177"/>
      <c r="O43" s="177"/>
      <c r="P43" s="177"/>
      <c r="Q43" s="177"/>
      <c r="R43" s="3" t="s">
        <v>176</v>
      </c>
      <c r="S43" s="13"/>
      <c r="T43" s="13"/>
      <c r="U43" s="5" t="s">
        <v>8</v>
      </c>
      <c r="V43" s="268"/>
      <c r="W43" s="5" t="s">
        <v>1407</v>
      </c>
      <c r="X43" s="5" t="s">
        <v>477</v>
      </c>
      <c r="Y43" s="5" t="s">
        <v>1440</v>
      </c>
      <c r="Z43" s="3" t="s">
        <v>186</v>
      </c>
      <c r="AA43" s="6" t="s">
        <v>733</v>
      </c>
      <c r="AB43" s="151"/>
      <c r="AC43" s="177"/>
      <c r="AD43" s="177"/>
      <c r="AE43" s="177"/>
      <c r="AF43" s="5"/>
      <c r="AG43" s="5"/>
      <c r="AH43" s="226"/>
      <c r="AI43" s="83"/>
      <c r="AJ43" s="83"/>
      <c r="AK43" s="237" t="e">
        <f>SUM(#REF!,BT43,BV43)</f>
        <v>#REF!</v>
      </c>
      <c r="AL43" s="173"/>
      <c r="AM43" s="173"/>
      <c r="AN43" s="173"/>
      <c r="AO43" s="173"/>
      <c r="AP43" s="173"/>
      <c r="AQ43" s="173"/>
      <c r="AR43" s="56"/>
      <c r="AS43" s="56"/>
      <c r="AT43" s="56"/>
      <c r="AU43" s="56">
        <v>0</v>
      </c>
      <c r="AV43" s="38"/>
      <c r="AW43" s="38"/>
      <c r="AX43" s="97"/>
      <c r="AY43" s="169">
        <f t="shared" si="3"/>
        <v>0</v>
      </c>
      <c r="AZ43" s="196"/>
      <c r="BA43" s="170"/>
      <c r="BB43" s="170"/>
      <c r="BC43" s="170"/>
      <c r="BD43" s="170"/>
      <c r="BE43" s="170"/>
      <c r="BF43" s="170"/>
      <c r="BG43" s="170"/>
      <c r="BH43" s="170"/>
      <c r="BI43" s="170"/>
      <c r="BJ43" s="170"/>
      <c r="BK43" s="170"/>
      <c r="BL43" s="196"/>
      <c r="BM43" s="170"/>
      <c r="BN43" s="196"/>
      <c r="BO43" s="170"/>
      <c r="BP43" s="196"/>
      <c r="BQ43" s="170"/>
      <c r="BR43" s="196"/>
      <c r="BS43" s="170"/>
      <c r="BT43" s="196"/>
      <c r="BU43" s="170"/>
      <c r="BV43" s="196"/>
      <c r="BW43" s="251"/>
      <c r="BX43" s="254"/>
      <c r="BY43" s="88">
        <f t="shared" si="4"/>
        <v>0</v>
      </c>
      <c r="BZ43" s="214"/>
      <c r="CA43" s="214"/>
      <c r="CB43" s="214"/>
      <c r="CC43" s="214"/>
      <c r="CD43" s="214"/>
      <c r="CE43" s="214"/>
      <c r="CF43" s="214"/>
      <c r="CG43" s="214"/>
      <c r="CH43" s="214"/>
      <c r="CI43" s="214"/>
      <c r="CJ43" s="214"/>
      <c r="CK43" s="214"/>
      <c r="CL43" s="211">
        <f t="shared" si="8"/>
        <v>0</v>
      </c>
      <c r="CM43" s="212"/>
      <c r="CN43" s="212"/>
      <c r="CO43" s="212"/>
      <c r="CP43" s="212"/>
      <c r="CQ43" s="212"/>
      <c r="CR43" s="212"/>
      <c r="CS43" s="212"/>
      <c r="CT43" s="212"/>
      <c r="CU43" s="212"/>
      <c r="CV43" s="212"/>
      <c r="CW43" s="212"/>
      <c r="CX43" s="212"/>
      <c r="CY43" s="216">
        <f t="shared" si="9"/>
        <v>0</v>
      </c>
      <c r="CZ43" s="185">
        <f t="shared" si="5"/>
        <v>0</v>
      </c>
      <c r="DA43" s="217">
        <f t="shared" si="10"/>
        <v>0</v>
      </c>
      <c r="DB43" s="217">
        <f t="shared" si="11"/>
        <v>0</v>
      </c>
      <c r="DC43" s="217">
        <f t="shared" si="18"/>
        <v>0</v>
      </c>
      <c r="DD43" s="256">
        <v>0</v>
      </c>
      <c r="DE43" s="217">
        <f t="shared" si="12"/>
        <v>0</v>
      </c>
      <c r="DF43" s="185" t="e">
        <f>SUM(DN43:DO43)-SUM(#REF!,BV43)+BU43</f>
        <v>#REF!</v>
      </c>
      <c r="DG43" s="223"/>
      <c r="DH43" s="241">
        <f t="shared" si="13"/>
        <v>0</v>
      </c>
      <c r="DI43" s="241">
        <f t="shared" si="14"/>
        <v>0</v>
      </c>
      <c r="DJ43" s="241">
        <f t="shared" si="15"/>
        <v>0</v>
      </c>
      <c r="DK43" s="241" t="e">
        <f>SUM(BS43,#REF!,BV43)</f>
        <v>#REF!</v>
      </c>
      <c r="DL43" s="155"/>
      <c r="DM43" s="155"/>
      <c r="DN43" s="155"/>
      <c r="DO43" s="155"/>
      <c r="DP43" s="155"/>
      <c r="DQ43" s="155"/>
      <c r="DR43" s="23">
        <f>VLOOKUP(C43,[5]Database!$B$126:$AD$521,29,FALSE)</f>
        <v>-2000</v>
      </c>
      <c r="DS43" s="235">
        <f t="shared" si="19"/>
        <v>-2000</v>
      </c>
    </row>
    <row r="44" spans="1:123" s="23" customFormat="1" ht="24" hidden="1" customHeight="1">
      <c r="A44" s="18"/>
      <c r="B44" s="2"/>
      <c r="C44" s="153" t="s">
        <v>1153</v>
      </c>
      <c r="D44" s="85"/>
      <c r="E44" s="85"/>
      <c r="F44" s="3"/>
      <c r="G44" s="4"/>
      <c r="H44" s="4"/>
      <c r="I44" s="4"/>
      <c r="J44" s="15"/>
      <c r="K44" s="177"/>
      <c r="L44" s="177"/>
      <c r="M44" s="177"/>
      <c r="N44" s="177"/>
      <c r="O44" s="177"/>
      <c r="P44" s="177"/>
      <c r="Q44" s="177"/>
      <c r="R44" s="3" t="s">
        <v>176</v>
      </c>
      <c r="S44" s="13"/>
      <c r="T44" s="13"/>
      <c r="U44" s="5" t="s">
        <v>8</v>
      </c>
      <c r="V44" s="268"/>
      <c r="W44" s="5" t="s">
        <v>1407</v>
      </c>
      <c r="X44" s="5" t="s">
        <v>478</v>
      </c>
      <c r="Y44" s="5" t="s">
        <v>1441</v>
      </c>
      <c r="Z44" s="3"/>
      <c r="AA44" s="6" t="s">
        <v>733</v>
      </c>
      <c r="AB44" s="151"/>
      <c r="AC44" s="177"/>
      <c r="AD44" s="177"/>
      <c r="AE44" s="177"/>
      <c r="AF44" s="5"/>
      <c r="AG44" s="5"/>
      <c r="AH44" s="226"/>
      <c r="AI44" s="83" t="s">
        <v>1155</v>
      </c>
      <c r="AJ44" s="83"/>
      <c r="AK44" s="237" t="e">
        <f>SUM(#REF!,BT44,BV44)</f>
        <v>#REF!</v>
      </c>
      <c r="AL44" s="173"/>
      <c r="AM44" s="173"/>
      <c r="AN44" s="173"/>
      <c r="AO44" s="173"/>
      <c r="AP44" s="173"/>
      <c r="AQ44" s="173"/>
      <c r="AR44" s="56"/>
      <c r="AS44" s="56"/>
      <c r="AT44" s="56"/>
      <c r="AU44" s="56"/>
      <c r="AV44" s="38"/>
      <c r="AW44" s="38"/>
      <c r="AX44" s="97"/>
      <c r="AY44" s="169">
        <f t="shared" si="3"/>
        <v>0</v>
      </c>
      <c r="AZ44" s="196"/>
      <c r="BA44" s="170"/>
      <c r="BB44" s="170"/>
      <c r="BC44" s="170"/>
      <c r="BD44" s="170"/>
      <c r="BE44" s="170"/>
      <c r="BF44" s="170"/>
      <c r="BG44" s="170"/>
      <c r="BH44" s="170"/>
      <c r="BI44" s="170"/>
      <c r="BJ44" s="170"/>
      <c r="BK44" s="170"/>
      <c r="BL44" s="196"/>
      <c r="BM44" s="170"/>
      <c r="BN44" s="196"/>
      <c r="BO44" s="170"/>
      <c r="BP44" s="196"/>
      <c r="BQ44" s="170"/>
      <c r="BR44" s="196"/>
      <c r="BS44" s="170"/>
      <c r="BT44" s="196"/>
      <c r="BU44" s="170"/>
      <c r="BV44" s="196"/>
      <c r="BW44" s="251"/>
      <c r="BX44" s="254"/>
      <c r="BY44" s="88">
        <f t="shared" si="4"/>
        <v>0</v>
      </c>
      <c r="BZ44" s="214"/>
      <c r="CA44" s="214"/>
      <c r="CB44" s="214"/>
      <c r="CC44" s="214"/>
      <c r="CD44" s="214"/>
      <c r="CE44" s="214"/>
      <c r="CF44" s="214">
        <v>280</v>
      </c>
      <c r="CG44" s="214">
        <v>-280</v>
      </c>
      <c r="CH44" s="214"/>
      <c r="CI44" s="214"/>
      <c r="CJ44" s="214"/>
      <c r="CK44" s="214"/>
      <c r="CL44" s="211">
        <f t="shared" si="8"/>
        <v>0</v>
      </c>
      <c r="CM44" s="212"/>
      <c r="CN44" s="212"/>
      <c r="CO44" s="212"/>
      <c r="CP44" s="212"/>
      <c r="CQ44" s="212"/>
      <c r="CR44" s="212"/>
      <c r="CS44" s="212"/>
      <c r="CT44" s="212"/>
      <c r="CU44" s="212"/>
      <c r="CV44" s="212"/>
      <c r="CW44" s="212"/>
      <c r="CX44" s="212"/>
      <c r="CY44" s="216">
        <f t="shared" si="9"/>
        <v>0</v>
      </c>
      <c r="CZ44" s="185">
        <f t="shared" si="5"/>
        <v>0</v>
      </c>
      <c r="DA44" s="217">
        <f t="shared" si="10"/>
        <v>0</v>
      </c>
      <c r="DB44" s="217">
        <f t="shared" si="11"/>
        <v>0</v>
      </c>
      <c r="DC44" s="217">
        <f t="shared" si="18"/>
        <v>0</v>
      </c>
      <c r="DD44" s="256">
        <v>0</v>
      </c>
      <c r="DE44" s="217">
        <f t="shared" si="12"/>
        <v>0</v>
      </c>
      <c r="DF44" s="185" t="e">
        <f>SUM(DN44:DO44)-SUM(#REF!,BV44)+BU44</f>
        <v>#REF!</v>
      </c>
      <c r="DG44" s="223"/>
      <c r="DH44" s="241">
        <f t="shared" si="13"/>
        <v>0</v>
      </c>
      <c r="DI44" s="241">
        <f t="shared" si="14"/>
        <v>0</v>
      </c>
      <c r="DJ44" s="241">
        <f t="shared" si="15"/>
        <v>0</v>
      </c>
      <c r="DK44" s="241" t="e">
        <f>SUM(BS44,#REF!,BV44)</f>
        <v>#REF!</v>
      </c>
      <c r="DL44" s="155"/>
      <c r="DM44" s="155"/>
      <c r="DN44" s="155"/>
      <c r="DO44" s="155"/>
      <c r="DP44" s="155"/>
      <c r="DQ44" s="155"/>
      <c r="DR44" s="23">
        <f>VLOOKUP(C44,[5]Database!$B$126:$AD$521,29,FALSE)</f>
        <v>-280</v>
      </c>
      <c r="DS44" s="235">
        <f t="shared" si="19"/>
        <v>-280</v>
      </c>
    </row>
    <row r="45" spans="1:123" s="23" customFormat="1" ht="24" hidden="1" customHeight="1">
      <c r="A45" s="18"/>
      <c r="B45" s="2"/>
      <c r="C45" s="85" t="s">
        <v>1504</v>
      </c>
      <c r="D45" s="85"/>
      <c r="E45" s="85"/>
      <c r="F45" s="3"/>
      <c r="G45" s="4"/>
      <c r="H45" s="4"/>
      <c r="I45" s="4"/>
      <c r="J45" s="15"/>
      <c r="K45" s="177"/>
      <c r="L45" s="177"/>
      <c r="M45" s="177"/>
      <c r="N45" s="177"/>
      <c r="O45" s="177"/>
      <c r="P45" s="177"/>
      <c r="Q45" s="177"/>
      <c r="R45" s="3" t="s">
        <v>176</v>
      </c>
      <c r="S45" s="13"/>
      <c r="T45" s="13"/>
      <c r="U45" s="5" t="s">
        <v>8</v>
      </c>
      <c r="V45" s="268"/>
      <c r="W45" s="5" t="s">
        <v>1407</v>
      </c>
      <c r="X45" s="5" t="s">
        <v>478</v>
      </c>
      <c r="Y45" s="5" t="s">
        <v>1505</v>
      </c>
      <c r="Z45" s="3" t="s">
        <v>183</v>
      </c>
      <c r="AA45" s="6" t="s">
        <v>463</v>
      </c>
      <c r="AB45" s="151"/>
      <c r="AC45" s="177"/>
      <c r="AD45" s="177"/>
      <c r="AE45" s="177"/>
      <c r="AF45" s="5"/>
      <c r="AG45" s="5"/>
      <c r="AH45" s="226"/>
      <c r="AI45" s="83" t="s">
        <v>857</v>
      </c>
      <c r="AJ45" s="83"/>
      <c r="AK45" s="237"/>
      <c r="AL45" s="173"/>
      <c r="AM45" s="173"/>
      <c r="AN45" s="173"/>
      <c r="AO45" s="173"/>
      <c r="AP45" s="173"/>
      <c r="AQ45" s="173"/>
      <c r="AR45" s="56"/>
      <c r="AS45" s="56"/>
      <c r="AT45" s="56"/>
      <c r="AU45" s="56"/>
      <c r="AV45" s="38"/>
      <c r="AW45" s="38"/>
      <c r="AX45" s="97"/>
      <c r="AY45" s="169">
        <f t="shared" si="3"/>
        <v>0</v>
      </c>
      <c r="AZ45" s="196"/>
      <c r="BA45" s="170"/>
      <c r="BB45" s="170"/>
      <c r="BC45" s="170"/>
      <c r="BD45" s="170"/>
      <c r="BE45" s="170"/>
      <c r="BF45" s="170"/>
      <c r="BG45" s="170"/>
      <c r="BH45" s="170"/>
      <c r="BI45" s="170"/>
      <c r="BJ45" s="170"/>
      <c r="BK45" s="170"/>
      <c r="BL45" s="196"/>
      <c r="BM45" s="170"/>
      <c r="BN45" s="196"/>
      <c r="BO45" s="170"/>
      <c r="BP45" s="196"/>
      <c r="BQ45" s="170"/>
      <c r="BR45" s="196"/>
      <c r="BS45" s="170"/>
      <c r="BT45" s="196"/>
      <c r="BU45" s="170">
        <v>0.42386000000000001</v>
      </c>
      <c r="BV45" s="196"/>
      <c r="BW45" s="251">
        <v>-0.42386000000000001</v>
      </c>
      <c r="BX45" s="254">
        <v>-0.42386000000000001</v>
      </c>
      <c r="BY45" s="88">
        <f t="shared" si="4"/>
        <v>0</v>
      </c>
      <c r="BZ45" s="251"/>
      <c r="CA45" s="251"/>
      <c r="CB45" s="251"/>
      <c r="CC45" s="251"/>
      <c r="CD45" s="251"/>
      <c r="CE45" s="251"/>
      <c r="CF45" s="251"/>
      <c r="CG45" s="251"/>
      <c r="CH45" s="251"/>
      <c r="CI45" s="251"/>
      <c r="CJ45" s="251"/>
      <c r="CK45" s="251"/>
      <c r="CL45" s="211"/>
      <c r="CM45" s="212"/>
      <c r="CN45" s="212"/>
      <c r="CO45" s="212"/>
      <c r="CP45" s="212"/>
      <c r="CQ45" s="212"/>
      <c r="CR45" s="212"/>
      <c r="CS45" s="212"/>
      <c r="CT45" s="212"/>
      <c r="CU45" s="212"/>
      <c r="CV45" s="212"/>
      <c r="CW45" s="212"/>
      <c r="CX45" s="212"/>
      <c r="CY45" s="216"/>
      <c r="CZ45" s="185">
        <f t="shared" si="5"/>
        <v>0</v>
      </c>
      <c r="DA45" s="217"/>
      <c r="DB45" s="217"/>
      <c r="DC45" s="217"/>
      <c r="DD45" s="256"/>
      <c r="DE45" s="217"/>
      <c r="DF45" s="185"/>
      <c r="DG45" s="223"/>
      <c r="DH45" s="241"/>
      <c r="DI45" s="241"/>
      <c r="DJ45" s="241"/>
      <c r="DK45" s="241"/>
      <c r="DL45" s="155"/>
      <c r="DM45" s="155"/>
      <c r="DN45" s="155"/>
      <c r="DO45" s="155"/>
      <c r="DP45" s="155"/>
      <c r="DQ45" s="155"/>
      <c r="DS45" s="235"/>
    </row>
    <row r="46" spans="1:123" s="23" customFormat="1" ht="24" hidden="1" customHeight="1">
      <c r="A46" s="18"/>
      <c r="B46" s="2"/>
      <c r="C46" s="85" t="s">
        <v>1502</v>
      </c>
      <c r="D46" s="85"/>
      <c r="E46" s="85"/>
      <c r="F46" s="3"/>
      <c r="G46" s="4"/>
      <c r="H46" s="4"/>
      <c r="I46" s="4"/>
      <c r="J46" s="15" t="str">
        <f t="shared" ref="J46:J109" ca="1" si="21">IF(H46="","",IF(I46&lt;&gt;"",I46-H46,EDATE(H46,18)-NOW()))</f>
        <v/>
      </c>
      <c r="K46" s="177"/>
      <c r="L46" s="177"/>
      <c r="M46" s="177"/>
      <c r="N46" s="177"/>
      <c r="O46" s="177"/>
      <c r="P46" s="177"/>
      <c r="Q46" s="177"/>
      <c r="R46" s="3" t="s">
        <v>176</v>
      </c>
      <c r="S46" s="13"/>
      <c r="T46" s="13"/>
      <c r="U46" s="5" t="s">
        <v>8</v>
      </c>
      <c r="V46" s="268"/>
      <c r="W46" s="5" t="s">
        <v>1407</v>
      </c>
      <c r="X46" s="5" t="s">
        <v>478</v>
      </c>
      <c r="Y46" s="5" t="s">
        <v>1503</v>
      </c>
      <c r="Z46" s="3"/>
      <c r="AA46" s="6" t="s">
        <v>463</v>
      </c>
      <c r="AB46" s="151"/>
      <c r="AC46" s="177"/>
      <c r="AD46" s="177"/>
      <c r="AE46" s="177"/>
      <c r="AF46" s="5"/>
      <c r="AG46" s="5"/>
      <c r="AH46" s="226"/>
      <c r="AI46" s="219"/>
      <c r="AJ46" s="219"/>
      <c r="AK46" s="237"/>
      <c r="AL46" s="173"/>
      <c r="AM46" s="173"/>
      <c r="AN46" s="173"/>
      <c r="AO46" s="173"/>
      <c r="AP46" s="173"/>
      <c r="AQ46" s="173"/>
      <c r="AR46" s="56"/>
      <c r="AS46" s="56"/>
      <c r="AT46" s="56"/>
      <c r="AU46" s="56"/>
      <c r="AV46" s="38"/>
      <c r="AW46" s="38"/>
      <c r="AX46" s="97"/>
      <c r="AY46" s="169">
        <f t="shared" si="3"/>
        <v>38.18976</v>
      </c>
      <c r="AZ46" s="196"/>
      <c r="BA46" s="170"/>
      <c r="BB46" s="170"/>
      <c r="BC46" s="170"/>
      <c r="BD46" s="170"/>
      <c r="BE46" s="170"/>
      <c r="BF46" s="170"/>
      <c r="BG46" s="170"/>
      <c r="BH46" s="170"/>
      <c r="BI46" s="170"/>
      <c r="BJ46" s="170"/>
      <c r="BK46" s="170"/>
      <c r="BL46" s="196"/>
      <c r="BM46" s="170"/>
      <c r="BN46" s="196"/>
      <c r="BO46" s="170"/>
      <c r="BP46" s="196"/>
      <c r="BQ46" s="170"/>
      <c r="BR46" s="196"/>
      <c r="BS46" s="170"/>
      <c r="BT46" s="196"/>
      <c r="BU46" s="170"/>
      <c r="BV46" s="196"/>
      <c r="BW46" s="251">
        <v>38.18976</v>
      </c>
      <c r="BX46" s="254">
        <v>38.18976</v>
      </c>
      <c r="BY46" s="88">
        <f t="shared" si="4"/>
        <v>-38.18976</v>
      </c>
      <c r="BZ46" s="214">
        <v>-38.18976</v>
      </c>
      <c r="CA46" s="214"/>
      <c r="CB46" s="214"/>
      <c r="CC46" s="214"/>
      <c r="CD46" s="214"/>
      <c r="CE46" s="214"/>
      <c r="CF46" s="214"/>
      <c r="CG46" s="214"/>
      <c r="CH46" s="214"/>
      <c r="CI46" s="214"/>
      <c r="CJ46" s="214"/>
      <c r="CK46" s="214"/>
      <c r="CL46" s="211"/>
      <c r="CM46" s="212"/>
      <c r="CN46" s="212"/>
      <c r="CO46" s="212"/>
      <c r="CP46" s="212"/>
      <c r="CQ46" s="212"/>
      <c r="CR46" s="212"/>
      <c r="CS46" s="212"/>
      <c r="CT46" s="212"/>
      <c r="CU46" s="212"/>
      <c r="CV46" s="212"/>
      <c r="CW46" s="212"/>
      <c r="CX46" s="212"/>
      <c r="CY46" s="216"/>
      <c r="CZ46" s="185">
        <f t="shared" si="5"/>
        <v>0</v>
      </c>
      <c r="DA46" s="217"/>
      <c r="DB46" s="217"/>
      <c r="DC46" s="217"/>
      <c r="DD46" s="256"/>
      <c r="DE46" s="217"/>
      <c r="DF46" s="185"/>
      <c r="DG46" s="223"/>
      <c r="DH46" s="241"/>
      <c r="DI46" s="241"/>
      <c r="DJ46" s="241"/>
      <c r="DK46" s="241"/>
      <c r="DL46" s="155"/>
      <c r="DM46" s="155"/>
      <c r="DN46" s="155">
        <v>152.75904</v>
      </c>
      <c r="DO46" s="155">
        <v>0</v>
      </c>
      <c r="DP46" s="155"/>
      <c r="DQ46" s="155"/>
      <c r="DS46" s="235"/>
    </row>
    <row r="47" spans="1:123" s="23" customFormat="1" ht="24" customHeight="1">
      <c r="A47" s="18"/>
      <c r="B47" s="2">
        <v>155</v>
      </c>
      <c r="C47" s="236" t="s">
        <v>293</v>
      </c>
      <c r="D47" s="85"/>
      <c r="E47" s="85" t="s">
        <v>1017</v>
      </c>
      <c r="F47" s="3">
        <v>2019</v>
      </c>
      <c r="G47" s="4">
        <v>43762</v>
      </c>
      <c r="H47" s="187">
        <v>43885</v>
      </c>
      <c r="I47" s="4">
        <v>44529</v>
      </c>
      <c r="J47" s="15">
        <f t="shared" ca="1" si="21"/>
        <v>644</v>
      </c>
      <c r="K47" s="177">
        <f t="shared" ref="K47:K61" si="22">IF(H47="","",H47+547)</f>
        <v>44432</v>
      </c>
      <c r="L47" s="177">
        <f t="shared" ref="L47:L61" si="23">IF(H47="","",H47+730)</f>
        <v>44615</v>
      </c>
      <c r="M47" s="249" t="s">
        <v>609</v>
      </c>
      <c r="N47" s="177" t="s">
        <v>609</v>
      </c>
      <c r="O47" s="250" t="s">
        <v>609</v>
      </c>
      <c r="P47" s="243" t="s">
        <v>1111</v>
      </c>
      <c r="Q47" s="243" t="s">
        <v>1519</v>
      </c>
      <c r="R47" s="3" t="s">
        <v>176</v>
      </c>
      <c r="S47" s="13" t="s">
        <v>224</v>
      </c>
      <c r="T47" s="13" t="s">
        <v>979</v>
      </c>
      <c r="U47" s="5" t="s">
        <v>9</v>
      </c>
      <c r="V47" s="268">
        <v>2729616</v>
      </c>
      <c r="W47" s="5" t="s">
        <v>614</v>
      </c>
      <c r="X47" s="5" t="s">
        <v>946</v>
      </c>
      <c r="Y47" s="5" t="s">
        <v>290</v>
      </c>
      <c r="Z47" s="3" t="s">
        <v>183</v>
      </c>
      <c r="AA47" s="6" t="s">
        <v>195</v>
      </c>
      <c r="AB47" s="288" t="s">
        <v>1474</v>
      </c>
      <c r="AC47" s="177" t="s">
        <v>6</v>
      </c>
      <c r="AD47" s="177">
        <v>44742</v>
      </c>
      <c r="AE47" s="177">
        <v>44681</v>
      </c>
      <c r="AF47" s="5" t="s">
        <v>1132</v>
      </c>
      <c r="AG47" s="5" t="s">
        <v>1134</v>
      </c>
      <c r="AH47" s="296"/>
      <c r="AI47" s="83" t="s">
        <v>698</v>
      </c>
      <c r="AJ47" s="83"/>
      <c r="AK47" s="237" t="e">
        <f>SUM(#REF!,BT47,BV47)</f>
        <v>#REF!</v>
      </c>
      <c r="AL47" s="52" t="s">
        <v>1219</v>
      </c>
      <c r="AM47" s="52" t="s">
        <v>1220</v>
      </c>
      <c r="AN47" s="52" t="s">
        <v>1188</v>
      </c>
      <c r="AO47" s="52" t="s">
        <v>1221</v>
      </c>
      <c r="AP47" s="52" t="s">
        <v>1222</v>
      </c>
      <c r="AQ47" s="52" t="s">
        <v>1223</v>
      </c>
      <c r="AR47" s="56">
        <v>0</v>
      </c>
      <c r="AS47" s="56">
        <v>500</v>
      </c>
      <c r="AT47" s="56">
        <v>0</v>
      </c>
      <c r="AU47" s="56">
        <v>773</v>
      </c>
      <c r="AV47" s="38">
        <v>774.09900000000005</v>
      </c>
      <c r="AW47" s="38">
        <v>12.4</v>
      </c>
      <c r="AX47" s="97">
        <f t="shared" ref="AX47:AX110" si="24">AW47+AV47</f>
        <v>786.49900000000002</v>
      </c>
      <c r="AY47" s="169">
        <f t="shared" si="3"/>
        <v>117.37044</v>
      </c>
      <c r="AZ47" s="196">
        <v>0</v>
      </c>
      <c r="BA47" s="170">
        <v>0</v>
      </c>
      <c r="BB47" s="196">
        <v>0</v>
      </c>
      <c r="BC47" s="170"/>
      <c r="BD47" s="196">
        <v>0</v>
      </c>
      <c r="BE47" s="170">
        <v>28.105370000000001</v>
      </c>
      <c r="BF47" s="196">
        <v>7</v>
      </c>
      <c r="BG47" s="170"/>
      <c r="BH47" s="196">
        <v>0</v>
      </c>
      <c r="BI47" s="170">
        <v>0.16829</v>
      </c>
      <c r="BJ47" s="196">
        <v>0</v>
      </c>
      <c r="BK47" s="170"/>
      <c r="BL47" s="196"/>
      <c r="BM47" s="170">
        <v>1.02454</v>
      </c>
      <c r="BN47" s="196">
        <v>17</v>
      </c>
      <c r="BO47" s="170">
        <v>19.568060000000003</v>
      </c>
      <c r="BP47" s="196"/>
      <c r="BQ47" s="170">
        <v>12.854840000000001</v>
      </c>
      <c r="BR47" s="196">
        <f>10-1</f>
        <v>9</v>
      </c>
      <c r="BS47" s="170">
        <v>20.114830000000001</v>
      </c>
      <c r="BT47" s="196"/>
      <c r="BU47" s="170">
        <v>15.55339</v>
      </c>
      <c r="BV47" s="234">
        <f>486-13.5-2.4</f>
        <v>470.1</v>
      </c>
      <c r="BW47" s="251">
        <v>19.981120000000004</v>
      </c>
      <c r="BX47" s="254">
        <v>19.981120000000004</v>
      </c>
      <c r="BY47" s="88">
        <f t="shared" si="4"/>
        <v>850.09999999999991</v>
      </c>
      <c r="BZ47" s="258"/>
      <c r="CA47" s="258">
        <v>372</v>
      </c>
      <c r="CB47" s="258">
        <f>182.4+60-18</f>
        <v>224.4</v>
      </c>
      <c r="CC47" s="258">
        <f>182.4+71.3</f>
        <v>253.7</v>
      </c>
      <c r="CD47" s="258"/>
      <c r="CE47" s="258"/>
      <c r="CF47" s="258"/>
      <c r="CG47" s="258"/>
      <c r="CH47" s="258"/>
      <c r="CI47" s="258"/>
      <c r="CJ47" s="258"/>
      <c r="CK47" s="258"/>
      <c r="CL47" s="211">
        <f t="shared" ref="CL47:CL59" si="25">SUM(CM47:CX47)</f>
        <v>0</v>
      </c>
      <c r="CM47" s="212"/>
      <c r="CN47" s="212"/>
      <c r="CO47" s="212"/>
      <c r="CP47" s="212"/>
      <c r="CQ47" s="212"/>
      <c r="CR47" s="212"/>
      <c r="CS47" s="212"/>
      <c r="CT47" s="212"/>
      <c r="CU47" s="212"/>
      <c r="CV47" s="212"/>
      <c r="CW47" s="212"/>
      <c r="CX47" s="212"/>
      <c r="CY47" s="216">
        <f t="shared" ref="CY47:CY110" si="26">BV47-BX47</f>
        <v>450.11887999999999</v>
      </c>
      <c r="CZ47" s="185">
        <f t="shared" si="5"/>
        <v>0</v>
      </c>
      <c r="DA47" s="217">
        <f t="shared" ref="DA47:DA110" si="27">SUM(BA47,BC47,BE47,BG47,BI47,BK47,BM47,BO47,BQ47,BS47,BU47)</f>
        <v>97.389319999999998</v>
      </c>
      <c r="DB47" s="217">
        <f t="shared" ref="DB47:DB110" si="28">SUM(BX47)</f>
        <v>19.981120000000004</v>
      </c>
      <c r="DC47" s="217">
        <f t="shared" ref="DC47:DC59" si="29">SUM(AY47,BY47)</f>
        <v>967.47043999999994</v>
      </c>
      <c r="DD47" s="256">
        <v>1003.93593</v>
      </c>
      <c r="DE47" s="217">
        <f t="shared" ref="DE47:DE59" si="30">DC47-DD47</f>
        <v>-36.465490000000045</v>
      </c>
      <c r="DF47" s="185" t="e">
        <f>SUM(DN47:DO47)-SUM(#REF!,BV47)+BU47</f>
        <v>#REF!</v>
      </c>
      <c r="DG47" s="223"/>
      <c r="DH47" s="241">
        <f t="shared" ref="DH47:DH59" si="31">SUM(BA47,BC47,BE47)</f>
        <v>28.105370000000001</v>
      </c>
      <c r="DI47" s="241">
        <f t="shared" ref="DI47:DI59" si="32">SUM(BG47,BI47,BK47)</f>
        <v>0.16829</v>
      </c>
      <c r="DJ47" s="241">
        <f t="shared" ref="DJ47:DJ59" si="33">SUM(BM47,BO47,BQ47)</f>
        <v>33.447440000000007</v>
      </c>
      <c r="DK47" s="241" t="e">
        <f>SUM(BS47,#REF!,BV47)</f>
        <v>#REF!</v>
      </c>
      <c r="DL47" s="155">
        <v>1006.05</v>
      </c>
      <c r="DM47" s="155">
        <v>117.37044</v>
      </c>
      <c r="DN47" s="155">
        <v>634.59425999999996</v>
      </c>
      <c r="DO47" s="155">
        <v>0</v>
      </c>
      <c r="DP47" s="155">
        <v>751.96469999999999</v>
      </c>
      <c r="DQ47" s="155">
        <v>254.08529999999999</v>
      </c>
      <c r="DR47" s="23">
        <f>VLOOKUP(C47,[6]Database!$B$143:$AD$521,29,FALSE)</f>
        <v>364.8</v>
      </c>
      <c r="DS47" s="235">
        <f t="shared" ref="DS47:DS59" si="34">BY47-DR47</f>
        <v>485.2999999999999</v>
      </c>
    </row>
    <row r="48" spans="1:123" s="23" customFormat="1" ht="24" customHeight="1">
      <c r="A48" s="18"/>
      <c r="B48" s="2">
        <v>204</v>
      </c>
      <c r="C48" s="85" t="s">
        <v>837</v>
      </c>
      <c r="D48" s="285" t="s">
        <v>602</v>
      </c>
      <c r="E48" s="85" t="s">
        <v>1299</v>
      </c>
      <c r="F48" s="3">
        <v>2021</v>
      </c>
      <c r="G48" s="4">
        <v>44301</v>
      </c>
      <c r="H48" s="4">
        <v>44357</v>
      </c>
      <c r="I48" s="4"/>
      <c r="J48" s="15">
        <f t="shared" ca="1" si="21"/>
        <v>-941.40661944444582</v>
      </c>
      <c r="K48" s="177">
        <f t="shared" si="22"/>
        <v>44904</v>
      </c>
      <c r="L48" s="177">
        <f t="shared" si="23"/>
        <v>45087</v>
      </c>
      <c r="M48" s="177"/>
      <c r="N48" s="177"/>
      <c r="O48" s="177"/>
      <c r="P48" s="177"/>
      <c r="Q48" s="291" t="s">
        <v>1364</v>
      </c>
      <c r="R48" s="3" t="s">
        <v>177</v>
      </c>
      <c r="S48" s="13"/>
      <c r="T48" s="13"/>
      <c r="U48" s="5" t="s">
        <v>8</v>
      </c>
      <c r="V48" s="268">
        <v>4060127</v>
      </c>
      <c r="W48" s="5" t="s">
        <v>614</v>
      </c>
      <c r="X48" s="5" t="s">
        <v>476</v>
      </c>
      <c r="Y48" s="5" t="s">
        <v>836</v>
      </c>
      <c r="Z48" s="3" t="s">
        <v>853</v>
      </c>
      <c r="AA48" s="6" t="s">
        <v>463</v>
      </c>
      <c r="AB48" s="151" t="s">
        <v>1515</v>
      </c>
      <c r="AC48" s="177">
        <v>44864</v>
      </c>
      <c r="AD48" s="177">
        <v>44926</v>
      </c>
      <c r="AE48" s="177">
        <f>IFERROR(EOMONTH(L48,-2),"")</f>
        <v>45046</v>
      </c>
      <c r="AF48" s="5"/>
      <c r="AG48" s="5"/>
      <c r="AH48" s="296"/>
      <c r="AI48" s="83"/>
      <c r="AJ48" s="83"/>
      <c r="AK48" s="237" t="e">
        <f>SUM(#REF!,BT48,BV48)</f>
        <v>#REF!</v>
      </c>
      <c r="AL48" s="52"/>
      <c r="AM48" s="52"/>
      <c r="AN48" s="52"/>
      <c r="AO48" s="52"/>
      <c r="AP48" s="52"/>
      <c r="AQ48" s="52"/>
      <c r="AR48" s="56"/>
      <c r="AS48" s="56"/>
      <c r="AT48" s="56"/>
      <c r="AU48" s="56">
        <v>0</v>
      </c>
      <c r="AV48" s="38">
        <v>5312.05</v>
      </c>
      <c r="AW48" s="38">
        <v>508</v>
      </c>
      <c r="AX48" s="97">
        <f t="shared" si="24"/>
        <v>5820.05</v>
      </c>
      <c r="AY48" s="169">
        <f t="shared" si="3"/>
        <v>2007.9309199999998</v>
      </c>
      <c r="AZ48" s="196"/>
      <c r="BA48" s="170"/>
      <c r="BB48" s="196"/>
      <c r="BC48" s="170"/>
      <c r="BD48" s="196"/>
      <c r="BE48" s="170"/>
      <c r="BF48" s="196">
        <v>0</v>
      </c>
      <c r="BG48" s="170"/>
      <c r="BH48" s="196">
        <v>0</v>
      </c>
      <c r="BI48" s="170"/>
      <c r="BJ48" s="196">
        <v>0</v>
      </c>
      <c r="BK48" s="170"/>
      <c r="BL48" s="196"/>
      <c r="BM48" s="170"/>
      <c r="BN48" s="196">
        <v>40</v>
      </c>
      <c r="BO48" s="170">
        <v>23.769369999999999</v>
      </c>
      <c r="BP48" s="196">
        <v>43</v>
      </c>
      <c r="BQ48" s="170">
        <v>81.053460000000001</v>
      </c>
      <c r="BR48" s="196">
        <v>1088</v>
      </c>
      <c r="BS48" s="170">
        <v>1170.2438299999999</v>
      </c>
      <c r="BT48" s="196">
        <f>256-144.3-2.7-45.7+0.4-36.5</f>
        <v>27.199999999999982</v>
      </c>
      <c r="BU48" s="170">
        <v>32.039969999999997</v>
      </c>
      <c r="BV48" s="196">
        <f>759.2+2.8+1.3+1+0.7</f>
        <v>765</v>
      </c>
      <c r="BW48" s="251">
        <v>700.82428999999979</v>
      </c>
      <c r="BX48" s="254">
        <v>700.82428999999979</v>
      </c>
      <c r="BY48" s="88">
        <f t="shared" si="4"/>
        <v>3306.2</v>
      </c>
      <c r="BZ48" s="258">
        <f>50+78.2</f>
        <v>128.19999999999999</v>
      </c>
      <c r="CA48" s="258">
        <f>105</f>
        <v>105</v>
      </c>
      <c r="CB48" s="258">
        <f>205+85-100-90</f>
        <v>100</v>
      </c>
      <c r="CC48" s="258">
        <f>160+85</f>
        <v>245</v>
      </c>
      <c r="CD48" s="258">
        <f>790+85</f>
        <v>875</v>
      </c>
      <c r="CE48" s="258">
        <f>40+85-4</f>
        <v>121</v>
      </c>
      <c r="CF48" s="258">
        <f>486+85</f>
        <v>571</v>
      </c>
      <c r="CG48" s="258">
        <f>796+84-8</f>
        <v>872</v>
      </c>
      <c r="CH48" s="258">
        <v>85</v>
      </c>
      <c r="CI48" s="258">
        <v>100</v>
      </c>
      <c r="CJ48" s="258">
        <f>90+14</f>
        <v>104</v>
      </c>
      <c r="CK48" s="258"/>
      <c r="CL48" s="211">
        <f t="shared" si="25"/>
        <v>0</v>
      </c>
      <c r="CM48" s="212"/>
      <c r="CN48" s="212"/>
      <c r="CO48" s="212"/>
      <c r="CP48" s="212"/>
      <c r="CQ48" s="212"/>
      <c r="CR48" s="212"/>
      <c r="CS48" s="212"/>
      <c r="CT48" s="212"/>
      <c r="CU48" s="212"/>
      <c r="CV48" s="212"/>
      <c r="CW48" s="212"/>
      <c r="CX48" s="212"/>
      <c r="CY48" s="216">
        <f t="shared" si="26"/>
        <v>64.175710000000208</v>
      </c>
      <c r="CZ48" s="185">
        <f t="shared" si="5"/>
        <v>0</v>
      </c>
      <c r="DA48" s="217">
        <f t="shared" si="27"/>
        <v>1307.10663</v>
      </c>
      <c r="DB48" s="217">
        <f t="shared" si="28"/>
        <v>700.82428999999979</v>
      </c>
      <c r="DC48" s="217">
        <f t="shared" si="29"/>
        <v>5314.1309199999996</v>
      </c>
      <c r="DD48" s="256">
        <v>5312.2666600000002</v>
      </c>
      <c r="DE48" s="217">
        <f t="shared" si="30"/>
        <v>1.8642599999993763</v>
      </c>
      <c r="DF48" s="185" t="e">
        <f>SUM(DN48:DO48)-SUM(#REF!,BV48)+BU48</f>
        <v>#REF!</v>
      </c>
      <c r="DG48" s="223"/>
      <c r="DH48" s="241">
        <f t="shared" si="31"/>
        <v>0</v>
      </c>
      <c r="DI48" s="241">
        <f t="shared" si="32"/>
        <v>0</v>
      </c>
      <c r="DJ48" s="241">
        <f t="shared" si="33"/>
        <v>104.82283</v>
      </c>
      <c r="DK48" s="241" t="e">
        <f>SUM(BS48,#REF!,BV48)</f>
        <v>#REF!</v>
      </c>
      <c r="DL48" s="155">
        <v>5312.05</v>
      </c>
      <c r="DM48" s="155">
        <v>2007.93092</v>
      </c>
      <c r="DN48" s="155">
        <v>3903.2097599999997</v>
      </c>
      <c r="DO48" s="155">
        <v>3.0809299999999999</v>
      </c>
      <c r="DP48" s="155">
        <v>5914.2216100000005</v>
      </c>
      <c r="DQ48" s="155">
        <v>-602.17160999999999</v>
      </c>
      <c r="DR48" s="23">
        <f>VLOOKUP(C48,[6]Database!$B$143:$AD$521,29,FALSE)</f>
        <v>3314</v>
      </c>
      <c r="DS48" s="235">
        <f t="shared" si="34"/>
        <v>-7.8000000000001819</v>
      </c>
    </row>
    <row r="49" spans="1:123" s="23" customFormat="1" ht="24" customHeight="1">
      <c r="A49" s="18"/>
      <c r="B49" s="2">
        <v>223</v>
      </c>
      <c r="C49" s="85" t="s">
        <v>1009</v>
      </c>
      <c r="D49" s="85">
        <v>2590</v>
      </c>
      <c r="E49" s="85"/>
      <c r="F49" s="3">
        <v>2021</v>
      </c>
      <c r="G49" s="4">
        <v>44357</v>
      </c>
      <c r="H49" s="4">
        <v>44420</v>
      </c>
      <c r="I49" s="4"/>
      <c r="J49" s="15">
        <f t="shared" ca="1" si="21"/>
        <v>-877.40661944444582</v>
      </c>
      <c r="K49" s="177">
        <f t="shared" si="22"/>
        <v>44967</v>
      </c>
      <c r="L49" s="177">
        <f t="shared" si="23"/>
        <v>45150</v>
      </c>
      <c r="M49" s="177"/>
      <c r="N49" s="177"/>
      <c r="O49" s="177"/>
      <c r="P49" s="177"/>
      <c r="Q49" s="177"/>
      <c r="R49" s="3" t="s">
        <v>176</v>
      </c>
      <c r="S49" s="13" t="s">
        <v>222</v>
      </c>
      <c r="T49" s="13" t="s">
        <v>958</v>
      </c>
      <c r="U49" s="5" t="s">
        <v>8</v>
      </c>
      <c r="V49" s="268">
        <v>4441744</v>
      </c>
      <c r="W49" s="5" t="s">
        <v>614</v>
      </c>
      <c r="X49" s="5" t="s">
        <v>481</v>
      </c>
      <c r="Y49" s="5" t="s">
        <v>1032</v>
      </c>
      <c r="Z49" s="3" t="s">
        <v>187</v>
      </c>
      <c r="AA49" s="6" t="s">
        <v>463</v>
      </c>
      <c r="AB49" s="151" t="s">
        <v>1485</v>
      </c>
      <c r="AC49" s="177">
        <v>44926</v>
      </c>
      <c r="AD49" s="177">
        <v>44773</v>
      </c>
      <c r="AE49" s="177">
        <f>IFERROR(EOMONTH(L49,-2),"")</f>
        <v>45107</v>
      </c>
      <c r="AF49" s="5"/>
      <c r="AG49" s="5"/>
      <c r="AH49" s="296"/>
      <c r="AI49" s="83"/>
      <c r="AJ49" s="83"/>
      <c r="AK49" s="237" t="e">
        <f>SUM(#REF!,BT49,BV49)</f>
        <v>#REF!</v>
      </c>
      <c r="AL49" s="52" t="s">
        <v>1191</v>
      </c>
      <c r="AM49" s="52" t="s">
        <v>1188</v>
      </c>
      <c r="AN49" s="52" t="s">
        <v>1190</v>
      </c>
      <c r="AO49" s="52" t="s">
        <v>602</v>
      </c>
      <c r="AP49" s="52" t="s">
        <v>602</v>
      </c>
      <c r="AQ49" s="52" t="s">
        <v>602</v>
      </c>
      <c r="AR49" s="56"/>
      <c r="AS49" s="56"/>
      <c r="AT49" s="56"/>
      <c r="AU49" s="56">
        <v>0</v>
      </c>
      <c r="AV49" s="38">
        <v>168</v>
      </c>
      <c r="AW49" s="38"/>
      <c r="AX49" s="97">
        <f t="shared" si="24"/>
        <v>168</v>
      </c>
      <c r="AY49" s="169">
        <f t="shared" si="3"/>
        <v>68.909859999999995</v>
      </c>
      <c r="AZ49" s="196"/>
      <c r="BA49" s="170"/>
      <c r="BB49" s="196"/>
      <c r="BC49" s="170"/>
      <c r="BD49" s="196"/>
      <c r="BE49" s="170"/>
      <c r="BF49" s="196"/>
      <c r="BG49" s="170"/>
      <c r="BH49" s="196"/>
      <c r="BI49" s="170"/>
      <c r="BJ49" s="196">
        <v>0</v>
      </c>
      <c r="BK49" s="170"/>
      <c r="BL49" s="196"/>
      <c r="BM49" s="170"/>
      <c r="BN49" s="196"/>
      <c r="BO49" s="170"/>
      <c r="BP49" s="196"/>
      <c r="BQ49" s="170">
        <v>2.2257899999999999</v>
      </c>
      <c r="BR49" s="196">
        <f>15-1.4</f>
        <v>13.6</v>
      </c>
      <c r="BS49" s="170">
        <v>11.571330000000001</v>
      </c>
      <c r="BT49" s="196">
        <f>56-0.5</f>
        <v>55.5</v>
      </c>
      <c r="BU49" s="170">
        <v>2.09131</v>
      </c>
      <c r="BV49" s="196">
        <f>45+1.5+35.5+22.9-27+3.5</f>
        <v>81.400000000000006</v>
      </c>
      <c r="BW49" s="251">
        <v>53.021429999999995</v>
      </c>
      <c r="BX49" s="254">
        <v>53.021429999999995</v>
      </c>
      <c r="BY49" s="88">
        <f t="shared" si="4"/>
        <v>99.9</v>
      </c>
      <c r="BZ49" s="258">
        <f>10-8.5+5+8.4</f>
        <v>14.9</v>
      </c>
      <c r="CA49" s="258">
        <f>10+5</f>
        <v>15</v>
      </c>
      <c r="CB49" s="258">
        <f>10+5</f>
        <v>15</v>
      </c>
      <c r="CC49" s="258">
        <f>10+5</f>
        <v>15</v>
      </c>
      <c r="CD49" s="258">
        <v>13</v>
      </c>
      <c r="CE49" s="258">
        <v>27</v>
      </c>
      <c r="CF49" s="258"/>
      <c r="CG49" s="258"/>
      <c r="CH49" s="258"/>
      <c r="CI49" s="258"/>
      <c r="CJ49" s="258"/>
      <c r="CK49" s="258"/>
      <c r="CL49" s="211">
        <f t="shared" si="25"/>
        <v>0</v>
      </c>
      <c r="CM49" s="212"/>
      <c r="CN49" s="212"/>
      <c r="CO49" s="212"/>
      <c r="CP49" s="212"/>
      <c r="CQ49" s="212"/>
      <c r="CR49" s="212"/>
      <c r="CS49" s="212"/>
      <c r="CT49" s="212"/>
      <c r="CU49" s="212"/>
      <c r="CV49" s="212"/>
      <c r="CW49" s="212"/>
      <c r="CX49" s="212"/>
      <c r="CY49" s="216">
        <f t="shared" si="26"/>
        <v>28.378570000000011</v>
      </c>
      <c r="CZ49" s="185">
        <f t="shared" si="5"/>
        <v>0</v>
      </c>
      <c r="DA49" s="217">
        <f t="shared" si="27"/>
        <v>15.888430000000001</v>
      </c>
      <c r="DB49" s="217">
        <f t="shared" si="28"/>
        <v>53.021429999999995</v>
      </c>
      <c r="DC49" s="217">
        <f t="shared" si="29"/>
        <v>168.80986000000001</v>
      </c>
      <c r="DD49" s="256">
        <v>168.79712000000001</v>
      </c>
      <c r="DE49" s="217">
        <f t="shared" si="30"/>
        <v>1.2740000000007967E-2</v>
      </c>
      <c r="DF49" s="185" t="e">
        <f>SUM(DN49:DO49)-SUM(#REF!,BV49)+BU49</f>
        <v>#REF!</v>
      </c>
      <c r="DG49" s="223" t="s">
        <v>1265</v>
      </c>
      <c r="DH49" s="241">
        <f t="shared" si="31"/>
        <v>0</v>
      </c>
      <c r="DI49" s="241">
        <f t="shared" si="32"/>
        <v>0</v>
      </c>
      <c r="DJ49" s="241">
        <f t="shared" si="33"/>
        <v>2.2257899999999999</v>
      </c>
      <c r="DK49" s="241" t="e">
        <f>SUM(BS49,#REF!,BV49)</f>
        <v>#REF!</v>
      </c>
      <c r="DL49" s="155">
        <v>168</v>
      </c>
      <c r="DM49" s="155">
        <v>69.201820000000012</v>
      </c>
      <c r="DN49" s="155">
        <v>36.700769999999999</v>
      </c>
      <c r="DO49" s="155">
        <v>49.633559999999996</v>
      </c>
      <c r="DP49" s="155">
        <v>155.53614999999999</v>
      </c>
      <c r="DQ49" s="155">
        <v>12.463850000000001</v>
      </c>
      <c r="DR49" s="23">
        <f>VLOOKUP(C49,[6]Database!$B$143:$AD$521,29,FALSE)</f>
        <v>53</v>
      </c>
      <c r="DS49" s="235">
        <f t="shared" si="34"/>
        <v>46.900000000000006</v>
      </c>
    </row>
    <row r="50" spans="1:123" s="23" customFormat="1" ht="24" customHeight="1">
      <c r="A50" s="18"/>
      <c r="B50" s="2">
        <v>138</v>
      </c>
      <c r="C50" s="236" t="s">
        <v>263</v>
      </c>
      <c r="D50" s="85"/>
      <c r="E50" s="85" t="s">
        <v>864</v>
      </c>
      <c r="F50" s="3">
        <v>2019</v>
      </c>
      <c r="G50" s="4">
        <v>43741</v>
      </c>
      <c r="H50" s="187">
        <v>43818</v>
      </c>
      <c r="I50" s="4"/>
      <c r="J50" s="15">
        <f t="shared" ca="1" si="21"/>
        <v>-1480.4066194444458</v>
      </c>
      <c r="K50" s="177">
        <f t="shared" si="22"/>
        <v>44365</v>
      </c>
      <c r="L50" s="177">
        <f t="shared" si="23"/>
        <v>44548</v>
      </c>
      <c r="M50" s="249" t="s">
        <v>609</v>
      </c>
      <c r="N50" s="177" t="s">
        <v>609</v>
      </c>
      <c r="O50" s="250" t="s">
        <v>609</v>
      </c>
      <c r="P50" s="243" t="s">
        <v>1110</v>
      </c>
      <c r="Q50" s="243" t="s">
        <v>1518</v>
      </c>
      <c r="R50" s="3" t="s">
        <v>176</v>
      </c>
      <c r="S50" s="13" t="s">
        <v>224</v>
      </c>
      <c r="T50" s="13" t="s">
        <v>965</v>
      </c>
      <c r="U50" s="5" t="s">
        <v>9</v>
      </c>
      <c r="V50" s="268">
        <v>2357324</v>
      </c>
      <c r="W50" s="5" t="s">
        <v>614</v>
      </c>
      <c r="X50" s="5" t="s">
        <v>478</v>
      </c>
      <c r="Y50" s="5" t="s">
        <v>259</v>
      </c>
      <c r="Z50" s="85" t="s">
        <v>316</v>
      </c>
      <c r="AA50" s="6" t="s">
        <v>463</v>
      </c>
      <c r="AB50" s="160" t="s">
        <v>1397</v>
      </c>
      <c r="AC50" s="177">
        <v>44864</v>
      </c>
      <c r="AD50" s="177">
        <v>44864</v>
      </c>
      <c r="AE50" s="177">
        <v>44864</v>
      </c>
      <c r="AF50" s="5"/>
      <c r="AG50" s="5"/>
      <c r="AH50" s="296"/>
      <c r="AI50" s="83" t="s">
        <v>810</v>
      </c>
      <c r="AJ50" s="83"/>
      <c r="AK50" s="237" t="e">
        <f>SUM(#REF!,BT50,BV50)</f>
        <v>#REF!</v>
      </c>
      <c r="AL50" s="166" t="s">
        <v>1237</v>
      </c>
      <c r="AM50" s="166" t="s">
        <v>1238</v>
      </c>
      <c r="AN50" s="166" t="s">
        <v>1188</v>
      </c>
      <c r="AO50" s="166" t="s">
        <v>1239</v>
      </c>
      <c r="AP50" s="269">
        <v>44540</v>
      </c>
      <c r="AQ50" s="166" t="s">
        <v>1223</v>
      </c>
      <c r="AR50" s="56">
        <v>0</v>
      </c>
      <c r="AS50" s="56">
        <v>300</v>
      </c>
      <c r="AT50" s="56">
        <v>0</v>
      </c>
      <c r="AU50" s="56">
        <v>1244</v>
      </c>
      <c r="AV50" s="38">
        <v>1244</v>
      </c>
      <c r="AW50" s="38">
        <v>0</v>
      </c>
      <c r="AX50" s="97">
        <f t="shared" si="24"/>
        <v>1244</v>
      </c>
      <c r="AY50" s="169">
        <f t="shared" si="3"/>
        <v>110.05606999999998</v>
      </c>
      <c r="AZ50" s="196">
        <v>0</v>
      </c>
      <c r="BA50" s="170">
        <v>0</v>
      </c>
      <c r="BB50" s="196">
        <v>0</v>
      </c>
      <c r="BC50" s="170"/>
      <c r="BD50" s="196">
        <v>0</v>
      </c>
      <c r="BE50" s="170">
        <v>0</v>
      </c>
      <c r="BF50" s="196">
        <v>0</v>
      </c>
      <c r="BG50" s="170"/>
      <c r="BH50" s="196">
        <v>0</v>
      </c>
      <c r="BI50" s="170"/>
      <c r="BJ50" s="196">
        <v>25</v>
      </c>
      <c r="BK50" s="170">
        <v>0.98017999999999994</v>
      </c>
      <c r="BL50" s="196">
        <v>10</v>
      </c>
      <c r="BM50" s="170">
        <v>8.9377999999999993</v>
      </c>
      <c r="BN50" s="196">
        <v>5</v>
      </c>
      <c r="BO50" s="170"/>
      <c r="BP50" s="196">
        <v>5</v>
      </c>
      <c r="BQ50" s="170"/>
      <c r="BR50" s="196">
        <v>18</v>
      </c>
      <c r="BS50" s="170">
        <v>17.31305</v>
      </c>
      <c r="BT50" s="196">
        <f>5+13.1-12.4</f>
        <v>5.7000000000000011</v>
      </c>
      <c r="BU50" s="170">
        <v>5.1972400000000007</v>
      </c>
      <c r="BV50" s="196">
        <f>118.9-34-0.5</f>
        <v>84.4</v>
      </c>
      <c r="BW50" s="251">
        <v>77.627799999999979</v>
      </c>
      <c r="BX50" s="254">
        <v>77.627799999999979</v>
      </c>
      <c r="BY50" s="88">
        <f t="shared" si="4"/>
        <v>926.8</v>
      </c>
      <c r="BZ50" s="258">
        <f>15+6.8</f>
        <v>21.8</v>
      </c>
      <c r="CA50" s="258">
        <v>70</v>
      </c>
      <c r="CB50" s="258">
        <v>10</v>
      </c>
      <c r="CC50" s="258">
        <v>10</v>
      </c>
      <c r="CD50" s="258">
        <v>750</v>
      </c>
      <c r="CE50" s="258">
        <v>50</v>
      </c>
      <c r="CF50" s="258">
        <v>5</v>
      </c>
      <c r="CG50" s="258">
        <v>5</v>
      </c>
      <c r="CH50" s="258">
        <v>5</v>
      </c>
      <c r="CI50" s="258"/>
      <c r="CJ50" s="258"/>
      <c r="CK50" s="258"/>
      <c r="CL50" s="211">
        <f t="shared" si="25"/>
        <v>0</v>
      </c>
      <c r="CM50" s="212"/>
      <c r="CN50" s="212"/>
      <c r="CO50" s="212"/>
      <c r="CP50" s="212"/>
      <c r="CQ50" s="212"/>
      <c r="CR50" s="212"/>
      <c r="CS50" s="212"/>
      <c r="CT50" s="212"/>
      <c r="CU50" s="212"/>
      <c r="CV50" s="212"/>
      <c r="CW50" s="212"/>
      <c r="CX50" s="212"/>
      <c r="CY50" s="216">
        <f t="shared" si="26"/>
        <v>6.7722000000000264</v>
      </c>
      <c r="CZ50" s="185">
        <f t="shared" si="5"/>
        <v>0</v>
      </c>
      <c r="DA50" s="217">
        <f t="shared" si="27"/>
        <v>32.428269999999998</v>
      </c>
      <c r="DB50" s="217">
        <f t="shared" si="28"/>
        <v>77.627799999999979</v>
      </c>
      <c r="DC50" s="217">
        <f t="shared" si="29"/>
        <v>1036.8560699999998</v>
      </c>
      <c r="DD50" s="256">
        <v>1238.7310299999999</v>
      </c>
      <c r="DE50" s="217">
        <f t="shared" si="30"/>
        <v>-201.8749600000001</v>
      </c>
      <c r="DF50" s="185" t="e">
        <f>SUM(DN50:DO50)-SUM(#REF!,BV50)+BU50</f>
        <v>#REF!</v>
      </c>
      <c r="DG50" s="247" t="s">
        <v>1290</v>
      </c>
      <c r="DH50" s="241">
        <f t="shared" si="31"/>
        <v>0</v>
      </c>
      <c r="DI50" s="241">
        <f t="shared" si="32"/>
        <v>0.98017999999999994</v>
      </c>
      <c r="DJ50" s="241">
        <f t="shared" si="33"/>
        <v>8.9377999999999993</v>
      </c>
      <c r="DK50" s="241" t="e">
        <f>SUM(BS50,#REF!,BV50)</f>
        <v>#REF!</v>
      </c>
      <c r="DL50" s="155">
        <v>1244.5036</v>
      </c>
      <c r="DM50" s="155">
        <v>110.26027000000001</v>
      </c>
      <c r="DN50" s="155">
        <v>91.453910000000008</v>
      </c>
      <c r="DO50" s="155">
        <v>1.4219200000000001</v>
      </c>
      <c r="DP50" s="155">
        <v>203.1361</v>
      </c>
      <c r="DQ50" s="155">
        <v>1041.3675000000001</v>
      </c>
      <c r="DR50" s="23">
        <f>VLOOKUP(C50,[6]Database!$B$143:$AD$521,29,FALSE)</f>
        <v>1087.8</v>
      </c>
      <c r="DS50" s="235">
        <f t="shared" si="34"/>
        <v>-161</v>
      </c>
    </row>
    <row r="51" spans="1:123" s="23" customFormat="1" ht="24" customHeight="1">
      <c r="A51" s="18"/>
      <c r="B51" s="2"/>
      <c r="C51" s="85" t="s">
        <v>1156</v>
      </c>
      <c r="D51" s="85">
        <v>16119</v>
      </c>
      <c r="E51" s="85"/>
      <c r="F51" s="3">
        <v>2021</v>
      </c>
      <c r="G51" s="4">
        <v>44459</v>
      </c>
      <c r="H51" s="187">
        <v>44487</v>
      </c>
      <c r="I51" s="4"/>
      <c r="J51" s="15">
        <f t="shared" ca="1" si="21"/>
        <v>-812.40661944444582</v>
      </c>
      <c r="K51" s="177">
        <f t="shared" si="22"/>
        <v>45034</v>
      </c>
      <c r="L51" s="177">
        <f t="shared" si="23"/>
        <v>45217</v>
      </c>
      <c r="M51" s="177"/>
      <c r="N51" s="177"/>
      <c r="O51" s="177"/>
      <c r="P51" s="177"/>
      <c r="Q51" s="177"/>
      <c r="R51" s="3" t="s">
        <v>176</v>
      </c>
      <c r="S51" s="13" t="s">
        <v>5</v>
      </c>
      <c r="T51" s="13" t="s">
        <v>951</v>
      </c>
      <c r="U51" s="5" t="s">
        <v>8</v>
      </c>
      <c r="V51" s="268">
        <v>4771285</v>
      </c>
      <c r="W51" s="5" t="s">
        <v>614</v>
      </c>
      <c r="X51" s="5" t="s">
        <v>478</v>
      </c>
      <c r="Y51" s="5" t="s">
        <v>1164</v>
      </c>
      <c r="Z51" s="3" t="s">
        <v>316</v>
      </c>
      <c r="AA51" s="6" t="s">
        <v>463</v>
      </c>
      <c r="AB51" s="233" t="s">
        <v>1477</v>
      </c>
      <c r="AC51" s="177">
        <v>45016</v>
      </c>
      <c r="AD51" s="177">
        <v>45077</v>
      </c>
      <c r="AE51" s="177">
        <f>IFERROR(EOMONTH(L51,-2),"")</f>
        <v>45169</v>
      </c>
      <c r="AF51" s="5"/>
      <c r="AG51" s="5"/>
      <c r="AH51" s="296"/>
      <c r="AI51" s="83"/>
      <c r="AJ51" s="83"/>
      <c r="AK51" s="237" t="e">
        <f>SUM(#REF!,BT51,BV51)</f>
        <v>#REF!</v>
      </c>
      <c r="AL51" s="52" t="s">
        <v>1240</v>
      </c>
      <c r="AM51" s="52" t="s">
        <v>1241</v>
      </c>
      <c r="AN51" s="52" t="s">
        <v>1241</v>
      </c>
      <c r="AO51" s="52" t="s">
        <v>602</v>
      </c>
      <c r="AP51" s="52" t="s">
        <v>602</v>
      </c>
      <c r="AQ51" s="52" t="s">
        <v>602</v>
      </c>
      <c r="AR51" s="56"/>
      <c r="AS51" s="56"/>
      <c r="AT51" s="56"/>
      <c r="AU51" s="56"/>
      <c r="AV51" s="38">
        <v>158.535</v>
      </c>
      <c r="AW51" s="38"/>
      <c r="AX51" s="97">
        <f t="shared" si="24"/>
        <v>158.535</v>
      </c>
      <c r="AY51" s="169">
        <f t="shared" si="3"/>
        <v>71.914140000000003</v>
      </c>
      <c r="AZ51" s="196"/>
      <c r="BA51" s="170"/>
      <c r="BB51" s="196"/>
      <c r="BC51" s="170"/>
      <c r="BD51" s="196"/>
      <c r="BE51" s="170"/>
      <c r="BF51" s="196"/>
      <c r="BG51" s="170"/>
      <c r="BH51" s="196"/>
      <c r="BI51" s="170"/>
      <c r="BJ51" s="196"/>
      <c r="BK51" s="170"/>
      <c r="BL51" s="196"/>
      <c r="BM51" s="170"/>
      <c r="BN51" s="196"/>
      <c r="BO51" s="170"/>
      <c r="BP51" s="196"/>
      <c r="BQ51" s="170"/>
      <c r="BR51" s="196"/>
      <c r="BS51" s="170"/>
      <c r="BT51" s="196"/>
      <c r="BU51" s="170">
        <v>35.788719999999998</v>
      </c>
      <c r="BV51" s="196">
        <f>47.76821-15+1.4</f>
        <v>34.168210000000002</v>
      </c>
      <c r="BW51" s="251">
        <v>36.125419999999998</v>
      </c>
      <c r="BX51" s="254">
        <v>36.125419999999998</v>
      </c>
      <c r="BY51" s="88">
        <f t="shared" si="4"/>
        <v>65.099999999999994</v>
      </c>
      <c r="BZ51" s="258">
        <f>15-4.7+2.8</f>
        <v>13.100000000000001</v>
      </c>
      <c r="CA51" s="258">
        <v>25</v>
      </c>
      <c r="CB51" s="258">
        <v>12</v>
      </c>
      <c r="CC51" s="258">
        <v>15</v>
      </c>
      <c r="CD51" s="258"/>
      <c r="CE51" s="258"/>
      <c r="CF51" s="258"/>
      <c r="CG51" s="258"/>
      <c r="CH51" s="258"/>
      <c r="CI51" s="258"/>
      <c r="CJ51" s="258"/>
      <c r="CK51" s="258"/>
      <c r="CL51" s="211">
        <f t="shared" si="25"/>
        <v>0</v>
      </c>
      <c r="CM51" s="212"/>
      <c r="CN51" s="212"/>
      <c r="CO51" s="212"/>
      <c r="CP51" s="212"/>
      <c r="CQ51" s="212"/>
      <c r="CR51" s="212"/>
      <c r="CS51" s="212"/>
      <c r="CT51" s="212"/>
      <c r="CU51" s="212"/>
      <c r="CV51" s="212"/>
      <c r="CW51" s="212"/>
      <c r="CX51" s="212"/>
      <c r="CY51" s="216">
        <f t="shared" si="26"/>
        <v>-1.9572099999999963</v>
      </c>
      <c r="CZ51" s="185">
        <f t="shared" si="5"/>
        <v>0</v>
      </c>
      <c r="DA51" s="217">
        <f t="shared" si="27"/>
        <v>35.788719999999998</v>
      </c>
      <c r="DB51" s="217">
        <f t="shared" si="28"/>
        <v>36.125419999999998</v>
      </c>
      <c r="DC51" s="217">
        <f t="shared" si="29"/>
        <v>137.01414</v>
      </c>
      <c r="DD51" s="256">
        <v>158.535</v>
      </c>
      <c r="DE51" s="217">
        <f t="shared" si="30"/>
        <v>-21.520859999999999</v>
      </c>
      <c r="DF51" s="185" t="e">
        <f>SUM(DN51:DO51)-SUM(#REF!,BV51)+BU51</f>
        <v>#REF!</v>
      </c>
      <c r="DG51" s="223"/>
      <c r="DH51" s="241">
        <f t="shared" si="31"/>
        <v>0</v>
      </c>
      <c r="DI51" s="241">
        <f t="shared" si="32"/>
        <v>0</v>
      </c>
      <c r="DJ51" s="241">
        <f t="shared" si="33"/>
        <v>0</v>
      </c>
      <c r="DK51" s="241" t="e">
        <f>SUM(BS51,#REF!,BV51)</f>
        <v>#REF!</v>
      </c>
      <c r="DL51" s="155">
        <v>158.535</v>
      </c>
      <c r="DM51" s="155">
        <v>74.678470000000004</v>
      </c>
      <c r="DN51" s="155">
        <v>48.334000000000003</v>
      </c>
      <c r="DO51" s="155">
        <v>0</v>
      </c>
      <c r="DP51" s="155">
        <v>123.01247000000001</v>
      </c>
      <c r="DQ51" s="155">
        <v>35.522529999999996</v>
      </c>
      <c r="DR51" s="23">
        <f>VLOOKUP(C51,[6]Database!$B$143:$AD$521,29,FALSE)</f>
        <v>73.534999999999997</v>
      </c>
      <c r="DS51" s="235">
        <f t="shared" si="34"/>
        <v>-8.4350000000000023</v>
      </c>
    </row>
    <row r="52" spans="1:123" s="23" customFormat="1" ht="24" customHeight="1">
      <c r="A52" s="18"/>
      <c r="B52" s="2">
        <v>226</v>
      </c>
      <c r="C52" s="85" t="s">
        <v>1007</v>
      </c>
      <c r="D52" s="285" t="s">
        <v>602</v>
      </c>
      <c r="E52" s="85"/>
      <c r="F52" s="3">
        <v>2021</v>
      </c>
      <c r="G52" s="4">
        <v>44358</v>
      </c>
      <c r="H52" s="4">
        <v>44386</v>
      </c>
      <c r="I52" s="4"/>
      <c r="J52" s="15">
        <f t="shared" ca="1" si="21"/>
        <v>-911.40661944444582</v>
      </c>
      <c r="K52" s="177">
        <f t="shared" si="22"/>
        <v>44933</v>
      </c>
      <c r="L52" s="177">
        <f t="shared" si="23"/>
        <v>45116</v>
      </c>
      <c r="M52" s="177"/>
      <c r="N52" s="177"/>
      <c r="O52" s="177"/>
      <c r="P52" s="177"/>
      <c r="Q52" s="177"/>
      <c r="R52" s="3" t="s">
        <v>179</v>
      </c>
      <c r="S52" s="13"/>
      <c r="T52" s="13"/>
      <c r="U52" s="5" t="s">
        <v>8</v>
      </c>
      <c r="V52" s="268">
        <v>4267113</v>
      </c>
      <c r="W52" s="5" t="s">
        <v>614</v>
      </c>
      <c r="X52" s="5" t="s">
        <v>481</v>
      </c>
      <c r="Y52" s="5" t="s">
        <v>1036</v>
      </c>
      <c r="Z52" s="3" t="s">
        <v>187</v>
      </c>
      <c r="AA52" s="6" t="s">
        <v>463</v>
      </c>
      <c r="AB52" s="151" t="s">
        <v>1310</v>
      </c>
      <c r="AC52" s="177">
        <v>44651</v>
      </c>
      <c r="AD52" s="177">
        <v>44651</v>
      </c>
      <c r="AE52" s="177">
        <f>IFERROR(EOMONTH(L52,-2),"")</f>
        <v>45077</v>
      </c>
      <c r="AF52" s="5"/>
      <c r="AG52" s="5"/>
      <c r="AH52" s="296"/>
      <c r="AI52" s="83"/>
      <c r="AJ52" s="83"/>
      <c r="AK52" s="237" t="e">
        <f>SUM(#REF!,BT52,BV52)</f>
        <v>#REF!</v>
      </c>
      <c r="AL52" s="52" t="s">
        <v>1197</v>
      </c>
      <c r="AM52" s="52" t="s">
        <v>1188</v>
      </c>
      <c r="AN52" s="52" t="s">
        <v>1197</v>
      </c>
      <c r="AO52" s="52" t="s">
        <v>602</v>
      </c>
      <c r="AP52" s="52" t="s">
        <v>602</v>
      </c>
      <c r="AQ52" s="52" t="s">
        <v>602</v>
      </c>
      <c r="AR52" s="56"/>
      <c r="AS52" s="56"/>
      <c r="AT52" s="56"/>
      <c r="AU52" s="56">
        <v>0</v>
      </c>
      <c r="AV52" s="38">
        <v>249.5</v>
      </c>
      <c r="AW52" s="38">
        <v>15</v>
      </c>
      <c r="AX52" s="97">
        <f t="shared" si="24"/>
        <v>264.5</v>
      </c>
      <c r="AY52" s="169">
        <f t="shared" si="3"/>
        <v>219.65498000000002</v>
      </c>
      <c r="AZ52" s="196"/>
      <c r="BA52" s="170"/>
      <c r="BB52" s="196"/>
      <c r="BC52" s="170"/>
      <c r="BD52" s="196"/>
      <c r="BE52" s="170"/>
      <c r="BF52" s="196"/>
      <c r="BG52" s="170"/>
      <c r="BH52" s="196"/>
      <c r="BI52" s="170"/>
      <c r="BJ52" s="196">
        <v>0</v>
      </c>
      <c r="BK52" s="170"/>
      <c r="BL52" s="196"/>
      <c r="BM52" s="170"/>
      <c r="BN52" s="196"/>
      <c r="BO52" s="170"/>
      <c r="BP52" s="196">
        <v>10</v>
      </c>
      <c r="BQ52" s="170">
        <v>4.2146999999999997</v>
      </c>
      <c r="BR52" s="196">
        <f>83+20-0.1</f>
        <v>102.9</v>
      </c>
      <c r="BS52" s="170">
        <v>105.12975000000002</v>
      </c>
      <c r="BT52" s="196">
        <f>93+5.5-20-0.9-1.3</f>
        <v>76.3</v>
      </c>
      <c r="BU52" s="170">
        <v>65.359920000000002</v>
      </c>
      <c r="BV52" s="196">
        <f>43-22.6+5-1.8+22.9-5.8-6.7+0.6</f>
        <v>34.6</v>
      </c>
      <c r="BW52" s="251">
        <v>44.950609999999998</v>
      </c>
      <c r="BX52" s="254">
        <v>44.950609999999998</v>
      </c>
      <c r="BY52" s="88">
        <f t="shared" si="4"/>
        <v>29.000000000000004</v>
      </c>
      <c r="BZ52" s="258">
        <f>(42.6/4)-5-3.1+2.7</f>
        <v>5.25</v>
      </c>
      <c r="CA52" s="258">
        <f>42.6/4-5</f>
        <v>5.65</v>
      </c>
      <c r="CB52" s="258">
        <f>42.6/4-5</f>
        <v>5.65</v>
      </c>
      <c r="CC52" s="258">
        <f>42.6/4</f>
        <v>10.65</v>
      </c>
      <c r="CD52" s="258">
        <v>1.8</v>
      </c>
      <c r="CE52" s="258"/>
      <c r="CF52" s="258"/>
      <c r="CG52" s="258"/>
      <c r="CH52" s="258"/>
      <c r="CI52" s="258"/>
      <c r="CJ52" s="258"/>
      <c r="CK52" s="258"/>
      <c r="CL52" s="211">
        <f t="shared" si="25"/>
        <v>0</v>
      </c>
      <c r="CM52" s="212"/>
      <c r="CN52" s="212"/>
      <c r="CO52" s="212"/>
      <c r="CP52" s="212"/>
      <c r="CQ52" s="212"/>
      <c r="CR52" s="212"/>
      <c r="CS52" s="212"/>
      <c r="CT52" s="212"/>
      <c r="CU52" s="212"/>
      <c r="CV52" s="212"/>
      <c r="CW52" s="212"/>
      <c r="CX52" s="212"/>
      <c r="CY52" s="216">
        <f t="shared" si="26"/>
        <v>-10.350609999999996</v>
      </c>
      <c r="CZ52" s="185">
        <f t="shared" si="5"/>
        <v>0</v>
      </c>
      <c r="DA52" s="217">
        <f t="shared" si="27"/>
        <v>174.70437000000001</v>
      </c>
      <c r="DB52" s="217">
        <f t="shared" si="28"/>
        <v>44.950609999999998</v>
      </c>
      <c r="DC52" s="217">
        <f t="shared" si="29"/>
        <v>248.65498000000002</v>
      </c>
      <c r="DD52" s="256">
        <v>248.64445000000001</v>
      </c>
      <c r="DE52" s="217">
        <f t="shared" si="30"/>
        <v>1.0530000000017026E-2</v>
      </c>
      <c r="DF52" s="185" t="e">
        <f>SUM(DN52:DO52)-SUM(#REF!,BV52)+BU52</f>
        <v>#REF!</v>
      </c>
      <c r="DG52" s="223" t="s">
        <v>1265</v>
      </c>
      <c r="DH52" s="241">
        <f t="shared" si="31"/>
        <v>0</v>
      </c>
      <c r="DI52" s="241">
        <f t="shared" si="32"/>
        <v>0</v>
      </c>
      <c r="DJ52" s="241">
        <f t="shared" si="33"/>
        <v>4.2146999999999997</v>
      </c>
      <c r="DK52" s="241" t="e">
        <f>SUM(BS52,#REF!,BV52)</f>
        <v>#REF!</v>
      </c>
      <c r="DL52" s="155">
        <v>249.5</v>
      </c>
      <c r="DM52" s="155">
        <v>219.65498000000002</v>
      </c>
      <c r="DN52" s="155">
        <v>13.18811</v>
      </c>
      <c r="DO52" s="155">
        <v>0</v>
      </c>
      <c r="DP52" s="155">
        <v>232.84308999999999</v>
      </c>
      <c r="DQ52" s="155">
        <v>16.65691</v>
      </c>
      <c r="DR52" s="23">
        <f>VLOOKUP(C52,[6]Database!$B$143:$AD$521,29,FALSE)</f>
        <v>0</v>
      </c>
      <c r="DS52" s="235">
        <f t="shared" si="34"/>
        <v>29.000000000000004</v>
      </c>
    </row>
    <row r="53" spans="1:123" s="23" customFormat="1" ht="24" customHeight="1">
      <c r="A53" s="18"/>
      <c r="B53" s="2">
        <v>228</v>
      </c>
      <c r="C53" s="85" t="s">
        <v>1013</v>
      </c>
      <c r="D53" s="85">
        <v>2523</v>
      </c>
      <c r="E53" s="85"/>
      <c r="F53" s="3">
        <v>2021</v>
      </c>
      <c r="G53" s="4">
        <v>44362</v>
      </c>
      <c r="H53" s="4">
        <v>44386</v>
      </c>
      <c r="I53" s="4"/>
      <c r="J53" s="15">
        <f t="shared" ca="1" si="21"/>
        <v>-911.40661944444582</v>
      </c>
      <c r="K53" s="177">
        <f t="shared" si="22"/>
        <v>44933</v>
      </c>
      <c r="L53" s="177">
        <f t="shared" si="23"/>
        <v>45116</v>
      </c>
      <c r="M53" s="177"/>
      <c r="N53" s="177"/>
      <c r="O53" s="177"/>
      <c r="P53" s="177"/>
      <c r="Q53" s="177"/>
      <c r="R53" s="3" t="s">
        <v>176</v>
      </c>
      <c r="S53" s="13" t="s">
        <v>982</v>
      </c>
      <c r="T53" s="13" t="s">
        <v>983</v>
      </c>
      <c r="U53" s="5" t="s">
        <v>8</v>
      </c>
      <c r="V53" s="268">
        <v>4305993</v>
      </c>
      <c r="W53" s="5" t="s">
        <v>614</v>
      </c>
      <c r="X53" s="5" t="s">
        <v>474</v>
      </c>
      <c r="Y53" s="5" t="s">
        <v>1029</v>
      </c>
      <c r="Z53" s="85" t="s">
        <v>186</v>
      </c>
      <c r="AA53" s="6" t="s">
        <v>463</v>
      </c>
      <c r="AB53" s="151" t="s">
        <v>1467</v>
      </c>
      <c r="AC53" s="177">
        <v>44926</v>
      </c>
      <c r="AD53" s="177">
        <v>44926</v>
      </c>
      <c r="AE53" s="177">
        <f>IFERROR(EOMONTH(L53,-2),"")</f>
        <v>45077</v>
      </c>
      <c r="AF53" s="5"/>
      <c r="AG53" s="5"/>
      <c r="AH53" s="296"/>
      <c r="AI53" s="83"/>
      <c r="AJ53" s="83" t="s">
        <v>1309</v>
      </c>
      <c r="AK53" s="237" t="e">
        <f>SUM(#REF!,BT53,BV53)</f>
        <v>#REF!</v>
      </c>
      <c r="AL53" s="52" t="s">
        <v>1257</v>
      </c>
      <c r="AM53" s="52" t="s">
        <v>1251</v>
      </c>
      <c r="AN53" s="52" t="s">
        <v>1257</v>
      </c>
      <c r="AO53" s="52" t="s">
        <v>602</v>
      </c>
      <c r="AP53" s="52" t="s">
        <v>602</v>
      </c>
      <c r="AQ53" s="52" t="s">
        <v>602</v>
      </c>
      <c r="AR53" s="56"/>
      <c r="AS53" s="56"/>
      <c r="AT53" s="56"/>
      <c r="AU53" s="56">
        <v>0</v>
      </c>
      <c r="AV53" s="38">
        <v>175.17137</v>
      </c>
      <c r="AW53" s="38">
        <v>34.272660000000002</v>
      </c>
      <c r="AX53" s="97">
        <f t="shared" si="24"/>
        <v>209.44403</v>
      </c>
      <c r="AY53" s="169">
        <f t="shared" si="3"/>
        <v>70.331990000000005</v>
      </c>
      <c r="AZ53" s="196"/>
      <c r="BA53" s="170"/>
      <c r="BB53" s="196"/>
      <c r="BC53" s="170"/>
      <c r="BD53" s="196"/>
      <c r="BE53" s="170"/>
      <c r="BF53" s="196"/>
      <c r="BG53" s="170"/>
      <c r="BH53" s="196"/>
      <c r="BI53" s="170"/>
      <c r="BJ53" s="196">
        <v>0</v>
      </c>
      <c r="BK53" s="170"/>
      <c r="BL53" s="196"/>
      <c r="BM53" s="170"/>
      <c r="BN53" s="196"/>
      <c r="BO53" s="170"/>
      <c r="BP53" s="196"/>
      <c r="BQ53" s="170"/>
      <c r="BR53" s="196"/>
      <c r="BS53" s="170"/>
      <c r="BT53" s="196">
        <v>30</v>
      </c>
      <c r="BU53" s="170">
        <v>5.4359900000000003</v>
      </c>
      <c r="BV53" s="196">
        <f>60+24.5-14.5</f>
        <v>70</v>
      </c>
      <c r="BW53" s="251">
        <v>64.896000000000001</v>
      </c>
      <c r="BX53" s="254">
        <v>64.896000000000001</v>
      </c>
      <c r="BY53" s="88">
        <f t="shared" si="4"/>
        <v>104.5888888888889</v>
      </c>
      <c r="BZ53" s="258">
        <v>2.7</v>
      </c>
      <c r="CA53" s="258">
        <v>0</v>
      </c>
      <c r="CB53" s="258">
        <f>5+2.4</f>
        <v>7.4</v>
      </c>
      <c r="CC53" s="258">
        <f>80/9</f>
        <v>8.8888888888888893</v>
      </c>
      <c r="CD53" s="258">
        <f t="shared" ref="CD53:CK53" si="35">85.6/8</f>
        <v>10.7</v>
      </c>
      <c r="CE53" s="258">
        <f t="shared" si="35"/>
        <v>10.7</v>
      </c>
      <c r="CF53" s="258">
        <f t="shared" si="35"/>
        <v>10.7</v>
      </c>
      <c r="CG53" s="258">
        <f t="shared" si="35"/>
        <v>10.7</v>
      </c>
      <c r="CH53" s="258">
        <f t="shared" si="35"/>
        <v>10.7</v>
      </c>
      <c r="CI53" s="258">
        <f t="shared" si="35"/>
        <v>10.7</v>
      </c>
      <c r="CJ53" s="258">
        <f t="shared" si="35"/>
        <v>10.7</v>
      </c>
      <c r="CK53" s="258">
        <f t="shared" si="35"/>
        <v>10.7</v>
      </c>
      <c r="CL53" s="211">
        <f t="shared" si="25"/>
        <v>0</v>
      </c>
      <c r="CM53" s="212"/>
      <c r="CN53" s="212"/>
      <c r="CO53" s="212"/>
      <c r="CP53" s="212"/>
      <c r="CQ53" s="212"/>
      <c r="CR53" s="212"/>
      <c r="CS53" s="212"/>
      <c r="CT53" s="212"/>
      <c r="CU53" s="212"/>
      <c r="CV53" s="212"/>
      <c r="CW53" s="212"/>
      <c r="CX53" s="212"/>
      <c r="CY53" s="216">
        <f t="shared" si="26"/>
        <v>5.1039999999999992</v>
      </c>
      <c r="CZ53" s="185">
        <f t="shared" si="5"/>
        <v>0</v>
      </c>
      <c r="DA53" s="217">
        <f t="shared" si="27"/>
        <v>5.4359900000000003</v>
      </c>
      <c r="DB53" s="217">
        <f t="shared" si="28"/>
        <v>64.896000000000001</v>
      </c>
      <c r="DC53" s="217">
        <f t="shared" si="29"/>
        <v>174.92087888888892</v>
      </c>
      <c r="DD53" s="256">
        <v>175</v>
      </c>
      <c r="DE53" s="217">
        <f t="shared" si="30"/>
        <v>-7.9121111111078335E-2</v>
      </c>
      <c r="DF53" s="185" t="e">
        <f>SUM(DN53:DO53)-SUM(#REF!,BV53)+BU53</f>
        <v>#REF!</v>
      </c>
      <c r="DG53" s="223"/>
      <c r="DH53" s="241">
        <f t="shared" si="31"/>
        <v>0</v>
      </c>
      <c r="DI53" s="241">
        <f t="shared" si="32"/>
        <v>0</v>
      </c>
      <c r="DJ53" s="241">
        <f t="shared" si="33"/>
        <v>0</v>
      </c>
      <c r="DK53" s="241" t="e">
        <f>SUM(BS53,#REF!,BV53)</f>
        <v>#REF!</v>
      </c>
      <c r="DL53" s="155">
        <v>175.17137</v>
      </c>
      <c r="DM53" s="155">
        <v>70.331990000000005</v>
      </c>
      <c r="DN53" s="155">
        <v>84.853570000000005</v>
      </c>
      <c r="DO53" s="155">
        <v>0.54104999999999992</v>
      </c>
      <c r="DP53" s="155">
        <v>155.72660999999999</v>
      </c>
      <c r="DQ53" s="155">
        <v>19.444759999999999</v>
      </c>
      <c r="DR53" s="23">
        <f>VLOOKUP(C53,[6]Database!$B$143:$AD$521,29,FALSE)</f>
        <v>85.000000000000014</v>
      </c>
      <c r="DS53" s="235">
        <f t="shared" si="34"/>
        <v>19.588888888888889</v>
      </c>
    </row>
    <row r="54" spans="1:123" s="23" customFormat="1" ht="24" customHeight="1">
      <c r="A54" s="18"/>
      <c r="B54" s="2">
        <v>197</v>
      </c>
      <c r="C54" s="85" t="s">
        <v>752</v>
      </c>
      <c r="D54" s="85">
        <v>1599</v>
      </c>
      <c r="E54" s="85"/>
      <c r="F54" s="3">
        <v>2021</v>
      </c>
      <c r="G54" s="4">
        <v>44237</v>
      </c>
      <c r="H54" s="4">
        <v>44286</v>
      </c>
      <c r="I54" s="4"/>
      <c r="J54" s="15">
        <f t="shared" ca="1" si="21"/>
        <v>-1012.4066194444458</v>
      </c>
      <c r="K54" s="177">
        <f t="shared" si="22"/>
        <v>44833</v>
      </c>
      <c r="L54" s="177">
        <f t="shared" si="23"/>
        <v>45016</v>
      </c>
      <c r="M54" s="177"/>
      <c r="N54" s="177"/>
      <c r="O54" s="177"/>
      <c r="P54" s="177"/>
      <c r="Q54" s="177"/>
      <c r="R54" s="3" t="s">
        <v>176</v>
      </c>
      <c r="S54" s="13" t="s">
        <v>224</v>
      </c>
      <c r="T54" s="13" t="s">
        <v>979</v>
      </c>
      <c r="U54" s="84" t="s">
        <v>8</v>
      </c>
      <c r="V54" s="268">
        <v>3781472</v>
      </c>
      <c r="W54" s="5" t="s">
        <v>614</v>
      </c>
      <c r="X54" s="5" t="s">
        <v>474</v>
      </c>
      <c r="Y54" s="5" t="s">
        <v>737</v>
      </c>
      <c r="Z54" s="85" t="s">
        <v>186</v>
      </c>
      <c r="AA54" s="6" t="s">
        <v>463</v>
      </c>
      <c r="AB54" s="161" t="s">
        <v>1473</v>
      </c>
      <c r="AC54" s="177">
        <v>44651</v>
      </c>
      <c r="AD54" s="177">
        <v>44651</v>
      </c>
      <c r="AE54" s="177">
        <f>IFERROR(EOMONTH(L54,-2),"")</f>
        <v>44957</v>
      </c>
      <c r="AF54" s="5" t="s">
        <v>1133</v>
      </c>
      <c r="AG54" s="5" t="s">
        <v>1172</v>
      </c>
      <c r="AH54" s="296">
        <v>9.8000000000000004E-2</v>
      </c>
      <c r="AI54" s="83"/>
      <c r="AJ54" s="83"/>
      <c r="AK54" s="237" t="e">
        <f>SUM(#REF!,BT54,BV54)</f>
        <v>#REF!</v>
      </c>
      <c r="AL54" s="52" t="s">
        <v>1255</v>
      </c>
      <c r="AM54" s="52" t="s">
        <v>1251</v>
      </c>
      <c r="AN54" s="52" t="s">
        <v>1256</v>
      </c>
      <c r="AO54" s="52" t="s">
        <v>602</v>
      </c>
      <c r="AP54" s="52" t="s">
        <v>602</v>
      </c>
      <c r="AQ54" s="52" t="s">
        <v>602</v>
      </c>
      <c r="AR54" s="56"/>
      <c r="AS54" s="56"/>
      <c r="AT54" s="56"/>
      <c r="AU54" s="56">
        <v>0</v>
      </c>
      <c r="AV54" s="38">
        <v>197.8596</v>
      </c>
      <c r="AW54" s="38">
        <v>15</v>
      </c>
      <c r="AX54" s="97">
        <f t="shared" si="24"/>
        <v>212.8596</v>
      </c>
      <c r="AY54" s="169">
        <f t="shared" si="3"/>
        <v>128.91768999999999</v>
      </c>
      <c r="AZ54" s="196"/>
      <c r="BA54" s="170"/>
      <c r="BB54" s="196">
        <v>0</v>
      </c>
      <c r="BC54" s="170"/>
      <c r="BD54" s="196">
        <v>0</v>
      </c>
      <c r="BE54" s="170">
        <v>0</v>
      </c>
      <c r="BF54" s="196">
        <v>0</v>
      </c>
      <c r="BG54" s="170"/>
      <c r="BH54" s="196">
        <v>0</v>
      </c>
      <c r="BI54" s="170">
        <v>3.2242700000000002</v>
      </c>
      <c r="BJ54" s="196">
        <v>3</v>
      </c>
      <c r="BK54" s="170">
        <v>3.2830700000000004</v>
      </c>
      <c r="BL54" s="196">
        <v>3</v>
      </c>
      <c r="BM54" s="170">
        <v>34.638460000000002</v>
      </c>
      <c r="BN54" s="196">
        <v>3</v>
      </c>
      <c r="BO54" s="170">
        <v>13.49812</v>
      </c>
      <c r="BP54" s="196">
        <v>2.4</v>
      </c>
      <c r="BQ54" s="170">
        <v>10.024660000000001</v>
      </c>
      <c r="BR54" s="196">
        <f>41.3-8-7-0.6</f>
        <v>25.699999999999996</v>
      </c>
      <c r="BS54" s="170">
        <v>1.2560499999999999</v>
      </c>
      <c r="BT54" s="196">
        <f>45+0.3</f>
        <v>45.3</v>
      </c>
      <c r="BU54" s="170">
        <v>26.220309999999998</v>
      </c>
      <c r="BV54" s="196">
        <f>46+35.5-4-14.2+2.2-0.6</f>
        <v>64.900000000000006</v>
      </c>
      <c r="BW54" s="251">
        <v>36.772750000000002</v>
      </c>
      <c r="BX54" s="254">
        <v>36.772750000000002</v>
      </c>
      <c r="BY54" s="88">
        <f t="shared" si="4"/>
        <v>51.3</v>
      </c>
      <c r="BZ54" s="258">
        <f>2-1.4-0.1+2.1</f>
        <v>2.6</v>
      </c>
      <c r="CA54" s="258">
        <v>2</v>
      </c>
      <c r="CB54" s="258">
        <v>2.0499999999999998</v>
      </c>
      <c r="CC54" s="258">
        <f>2.05+5</f>
        <v>7.05</v>
      </c>
      <c r="CD54" s="258">
        <f>6.05+5</f>
        <v>11.05</v>
      </c>
      <c r="CE54" s="258">
        <f>5.05+5</f>
        <v>10.050000000000001</v>
      </c>
      <c r="CF54" s="258">
        <f>2+5</f>
        <v>7</v>
      </c>
      <c r="CG54" s="258">
        <f>2+5</f>
        <v>7</v>
      </c>
      <c r="CH54" s="258">
        <v>2.5</v>
      </c>
      <c r="CI54" s="258"/>
      <c r="CJ54" s="258"/>
      <c r="CK54" s="258"/>
      <c r="CL54" s="211">
        <f t="shared" si="25"/>
        <v>0</v>
      </c>
      <c r="CM54" s="212"/>
      <c r="CN54" s="212"/>
      <c r="CO54" s="212"/>
      <c r="CP54" s="212"/>
      <c r="CQ54" s="212"/>
      <c r="CR54" s="212"/>
      <c r="CS54" s="212"/>
      <c r="CT54" s="212"/>
      <c r="CU54" s="212"/>
      <c r="CV54" s="212"/>
      <c r="CW54" s="212"/>
      <c r="CX54" s="212"/>
      <c r="CY54" s="216">
        <f t="shared" si="26"/>
        <v>28.127250000000004</v>
      </c>
      <c r="CZ54" s="185">
        <f t="shared" si="5"/>
        <v>0</v>
      </c>
      <c r="DA54" s="217">
        <f t="shared" si="27"/>
        <v>92.144940000000005</v>
      </c>
      <c r="DB54" s="217">
        <f t="shared" si="28"/>
        <v>36.772750000000002</v>
      </c>
      <c r="DC54" s="217">
        <f t="shared" si="29"/>
        <v>180.21769</v>
      </c>
      <c r="DD54" s="256">
        <v>180.42462999999998</v>
      </c>
      <c r="DE54" s="217">
        <f t="shared" si="30"/>
        <v>-0.20693999999997459</v>
      </c>
      <c r="DF54" s="185" t="e">
        <f>SUM(DN54:DO54)-SUM(#REF!,BV54)+BU54</f>
        <v>#REF!</v>
      </c>
      <c r="DG54" s="223" t="s">
        <v>1265</v>
      </c>
      <c r="DH54" s="241">
        <f t="shared" si="31"/>
        <v>0</v>
      </c>
      <c r="DI54" s="241">
        <f t="shared" si="32"/>
        <v>6.507340000000001</v>
      </c>
      <c r="DJ54" s="241">
        <f t="shared" si="33"/>
        <v>58.161240000000006</v>
      </c>
      <c r="DK54" s="241" t="e">
        <f>SUM(BS54,#REF!,BV54)</f>
        <v>#REF!</v>
      </c>
      <c r="DL54" s="155">
        <v>197.8596</v>
      </c>
      <c r="DM54" s="155">
        <v>130.72783000000001</v>
      </c>
      <c r="DN54" s="155">
        <v>42.07056</v>
      </c>
      <c r="DO54" s="155">
        <v>0</v>
      </c>
      <c r="DP54" s="155">
        <v>172.79839000000001</v>
      </c>
      <c r="DQ54" s="155">
        <v>25.061209999999999</v>
      </c>
      <c r="DR54" s="23">
        <f>VLOOKUP(C54,[6]Database!$B$143:$AD$521,29,FALSE)</f>
        <v>0</v>
      </c>
      <c r="DS54" s="235">
        <f t="shared" si="34"/>
        <v>51.3</v>
      </c>
    </row>
    <row r="55" spans="1:123" s="23" customFormat="1" ht="24" customHeight="1">
      <c r="A55" s="18"/>
      <c r="B55" s="2">
        <v>232</v>
      </c>
      <c r="C55" s="85" t="s">
        <v>1025</v>
      </c>
      <c r="D55" s="153" t="s">
        <v>1264</v>
      </c>
      <c r="E55" s="85"/>
      <c r="F55" s="3">
        <v>2021</v>
      </c>
      <c r="G55" s="4">
        <v>44368</v>
      </c>
      <c r="H55" s="4">
        <v>44383</v>
      </c>
      <c r="I55" s="4"/>
      <c r="J55" s="15">
        <f t="shared" ca="1" si="21"/>
        <v>-914.40661944444582</v>
      </c>
      <c r="K55" s="177">
        <f t="shared" si="22"/>
        <v>44930</v>
      </c>
      <c r="L55" s="177">
        <f t="shared" si="23"/>
        <v>45113</v>
      </c>
      <c r="M55" s="177"/>
      <c r="N55" s="177"/>
      <c r="O55" s="177"/>
      <c r="P55" s="177"/>
      <c r="Q55" s="177"/>
      <c r="R55" s="3" t="s">
        <v>176</v>
      </c>
      <c r="S55" s="13" t="s">
        <v>224</v>
      </c>
      <c r="T55" s="48" t="s">
        <v>957</v>
      </c>
      <c r="U55" s="5" t="s">
        <v>8</v>
      </c>
      <c r="V55" s="268">
        <v>4320565</v>
      </c>
      <c r="W55" s="5" t="s">
        <v>614</v>
      </c>
      <c r="X55" s="5" t="s">
        <v>946</v>
      </c>
      <c r="Y55" s="5" t="s">
        <v>1051</v>
      </c>
      <c r="Z55" s="3" t="s">
        <v>186</v>
      </c>
      <c r="AA55" s="6" t="s">
        <v>463</v>
      </c>
      <c r="AB55" s="151" t="s">
        <v>1461</v>
      </c>
      <c r="AC55" s="177">
        <v>44926</v>
      </c>
      <c r="AD55" s="177">
        <v>44926</v>
      </c>
      <c r="AE55" s="177">
        <v>45046</v>
      </c>
      <c r="AF55" s="5"/>
      <c r="AG55" s="5"/>
      <c r="AH55" s="296"/>
      <c r="AI55" s="83"/>
      <c r="AJ55" s="83"/>
      <c r="AK55" s="237" t="e">
        <f>SUM(#REF!,BT55,BV55)</f>
        <v>#REF!</v>
      </c>
      <c r="AL55" s="52" t="s">
        <v>1188</v>
      </c>
      <c r="AM55" s="52" t="s">
        <v>1210</v>
      </c>
      <c r="AN55" s="52" t="s">
        <v>1214</v>
      </c>
      <c r="AO55" s="52" t="s">
        <v>602</v>
      </c>
      <c r="AP55" s="52" t="s">
        <v>602</v>
      </c>
      <c r="AQ55" s="52" t="s">
        <v>602</v>
      </c>
      <c r="AR55" s="56"/>
      <c r="AS55" s="56"/>
      <c r="AT55" s="56"/>
      <c r="AU55" s="56">
        <v>0</v>
      </c>
      <c r="AV55" s="38">
        <v>879.7</v>
      </c>
      <c r="AW55" s="38">
        <v>80</v>
      </c>
      <c r="AX55" s="97">
        <f t="shared" si="24"/>
        <v>959.7</v>
      </c>
      <c r="AY55" s="169">
        <f t="shared" si="3"/>
        <v>157.81723</v>
      </c>
      <c r="AZ55" s="196"/>
      <c r="BA55" s="170"/>
      <c r="BB55" s="196"/>
      <c r="BC55" s="170"/>
      <c r="BD55" s="196"/>
      <c r="BE55" s="170"/>
      <c r="BF55" s="196"/>
      <c r="BG55" s="170"/>
      <c r="BH55" s="196"/>
      <c r="BI55" s="170"/>
      <c r="BJ55" s="196">
        <v>0</v>
      </c>
      <c r="BK55" s="170"/>
      <c r="BL55" s="196"/>
      <c r="BM55" s="170"/>
      <c r="BN55" s="196"/>
      <c r="BO55" s="170">
        <v>27.31935</v>
      </c>
      <c r="BP55" s="196">
        <v>29.759589999999999</v>
      </c>
      <c r="BQ55" s="170">
        <v>70.249070000000003</v>
      </c>
      <c r="BR55" s="196">
        <f>50-8.3-30-1.6+10</f>
        <v>20.100000000000001</v>
      </c>
      <c r="BS55" s="170">
        <v>12.986879999999999</v>
      </c>
      <c r="BT55" s="196">
        <f>75-9.6+7.7-0.6</f>
        <v>72.500000000000014</v>
      </c>
      <c r="BU55" s="170">
        <v>33.322069999999997</v>
      </c>
      <c r="BV55" s="196">
        <f>40.3+42.7-3.9+0.4</f>
        <v>79.5</v>
      </c>
      <c r="BW55" s="251">
        <v>13.939860000000001</v>
      </c>
      <c r="BX55" s="254">
        <v>13.939860000000001</v>
      </c>
      <c r="BY55" s="88">
        <f t="shared" si="4"/>
        <v>705.18000000000006</v>
      </c>
      <c r="BZ55" s="258">
        <f>20+1.9</f>
        <v>21.9</v>
      </c>
      <c r="CA55" s="258">
        <f>20+63.6</f>
        <v>83.6</v>
      </c>
      <c r="CB55" s="258">
        <v>50</v>
      </c>
      <c r="CC55" s="258">
        <v>50</v>
      </c>
      <c r="CD55" s="258">
        <f>30+16.34+32.625+7.5-15</f>
        <v>71.465000000000003</v>
      </c>
      <c r="CE55" s="258">
        <f>30+16.34+32.625+7.5</f>
        <v>86.465000000000003</v>
      </c>
      <c r="CF55" s="258">
        <f>10+32.625+7.5</f>
        <v>50.125</v>
      </c>
      <c r="CG55" s="258">
        <f>10+32.625+7.5+6.5</f>
        <v>56.625</v>
      </c>
      <c r="CH55" s="258">
        <f>10+7.5+50</f>
        <v>67.5</v>
      </c>
      <c r="CI55" s="258">
        <f>10+7.5+50</f>
        <v>67.5</v>
      </c>
      <c r="CJ55" s="258">
        <v>50</v>
      </c>
      <c r="CK55" s="258">
        <f>50</f>
        <v>50</v>
      </c>
      <c r="CL55" s="211">
        <f t="shared" si="25"/>
        <v>0</v>
      </c>
      <c r="CM55" s="212"/>
      <c r="CN55" s="212"/>
      <c r="CO55" s="212"/>
      <c r="CP55" s="212"/>
      <c r="CQ55" s="212"/>
      <c r="CR55" s="212"/>
      <c r="CS55" s="212"/>
      <c r="CT55" s="212"/>
      <c r="CU55" s="212"/>
      <c r="CV55" s="212"/>
      <c r="CW55" s="212"/>
      <c r="CX55" s="212"/>
      <c r="CY55" s="216">
        <f t="shared" si="26"/>
        <v>65.560140000000004</v>
      </c>
      <c r="CZ55" s="185">
        <f t="shared" si="5"/>
        <v>0</v>
      </c>
      <c r="DA55" s="217">
        <f t="shared" si="27"/>
        <v>143.87736999999998</v>
      </c>
      <c r="DB55" s="217">
        <f t="shared" si="28"/>
        <v>13.939860000000001</v>
      </c>
      <c r="DC55" s="217">
        <f t="shared" si="29"/>
        <v>862.99723000000006</v>
      </c>
      <c r="DD55" s="256">
        <v>874.05529999999999</v>
      </c>
      <c r="DE55" s="217">
        <f t="shared" si="30"/>
        <v>-11.05806999999993</v>
      </c>
      <c r="DF55" s="185" t="e">
        <f>SUM(DN55:DO55)-SUM(#REF!,BV55)+BU55</f>
        <v>#REF!</v>
      </c>
      <c r="DG55" s="223"/>
      <c r="DH55" s="241">
        <f t="shared" si="31"/>
        <v>0</v>
      </c>
      <c r="DI55" s="241">
        <f t="shared" si="32"/>
        <v>0</v>
      </c>
      <c r="DJ55" s="241">
        <f t="shared" si="33"/>
        <v>97.568420000000003</v>
      </c>
      <c r="DK55" s="241" t="e">
        <f>SUM(BS55,#REF!,BV55)</f>
        <v>#REF!</v>
      </c>
      <c r="DL55" s="155">
        <v>879.7</v>
      </c>
      <c r="DM55" s="155">
        <v>159.74057999999999</v>
      </c>
      <c r="DN55" s="155">
        <v>168.10024999999999</v>
      </c>
      <c r="DO55" s="155">
        <v>57.954000000000001</v>
      </c>
      <c r="DP55" s="155">
        <v>385.79482999999999</v>
      </c>
      <c r="DQ55" s="155">
        <v>493.90517</v>
      </c>
      <c r="DR55" s="23">
        <f>VLOOKUP(C55,[6]Database!$B$143:$AD$521,29,FALSE)</f>
        <v>639.70000000000005</v>
      </c>
      <c r="DS55" s="235">
        <f t="shared" si="34"/>
        <v>65.480000000000018</v>
      </c>
    </row>
    <row r="56" spans="1:123" s="23" customFormat="1" ht="24" customHeight="1">
      <c r="A56" s="18"/>
      <c r="B56" s="2">
        <v>222</v>
      </c>
      <c r="C56" s="85" t="s">
        <v>1012</v>
      </c>
      <c r="D56" s="85">
        <v>11944</v>
      </c>
      <c r="E56" s="85"/>
      <c r="F56" s="3">
        <v>2021</v>
      </c>
      <c r="G56" s="4">
        <v>44356</v>
      </c>
      <c r="H56" s="4">
        <v>44397</v>
      </c>
      <c r="I56" s="4"/>
      <c r="J56" s="15">
        <f t="shared" ca="1" si="21"/>
        <v>-900.40661944444582</v>
      </c>
      <c r="K56" s="177">
        <f t="shared" si="22"/>
        <v>44944</v>
      </c>
      <c r="L56" s="177">
        <f t="shared" si="23"/>
        <v>45127</v>
      </c>
      <c r="M56" s="177"/>
      <c r="N56" s="177"/>
      <c r="O56" s="177"/>
      <c r="P56" s="177"/>
      <c r="Q56" s="177"/>
      <c r="R56" s="3" t="s">
        <v>176</v>
      </c>
      <c r="S56" s="13" t="s">
        <v>985</v>
      </c>
      <c r="T56" s="13" t="s">
        <v>186</v>
      </c>
      <c r="U56" s="5" t="s">
        <v>8</v>
      </c>
      <c r="V56" s="268">
        <v>4280564</v>
      </c>
      <c r="W56" s="5" t="s">
        <v>614</v>
      </c>
      <c r="X56" s="5" t="s">
        <v>474</v>
      </c>
      <c r="Y56" s="5" t="s">
        <v>1034</v>
      </c>
      <c r="Z56" s="3" t="s">
        <v>186</v>
      </c>
      <c r="AA56" s="6" t="s">
        <v>463</v>
      </c>
      <c r="AB56" s="151" t="s">
        <v>1465</v>
      </c>
      <c r="AC56" s="177">
        <v>44926</v>
      </c>
      <c r="AD56" s="177">
        <v>44926</v>
      </c>
      <c r="AE56" s="177">
        <f t="shared" ref="AE56:AE66" si="36">IFERROR(EOMONTH(L56,-2),"")</f>
        <v>45077</v>
      </c>
      <c r="AF56" s="5"/>
      <c r="AG56" s="5"/>
      <c r="AH56" s="296"/>
      <c r="AI56" s="83"/>
      <c r="AJ56" s="83" t="s">
        <v>1309</v>
      </c>
      <c r="AK56" s="237" t="e">
        <f>SUM(#REF!,BT56,BV56)</f>
        <v>#REF!</v>
      </c>
      <c r="AL56" s="52" t="s">
        <v>1252</v>
      </c>
      <c r="AM56" s="52" t="s">
        <v>1251</v>
      </c>
      <c r="AN56" s="52" t="s">
        <v>1252</v>
      </c>
      <c r="AO56" s="52" t="s">
        <v>602</v>
      </c>
      <c r="AP56" s="52" t="s">
        <v>602</v>
      </c>
      <c r="AQ56" s="52" t="s">
        <v>602</v>
      </c>
      <c r="AR56" s="56"/>
      <c r="AS56" s="56"/>
      <c r="AT56" s="56"/>
      <c r="AU56" s="56">
        <v>0</v>
      </c>
      <c r="AV56" s="38">
        <v>255.45500000000001</v>
      </c>
      <c r="AW56" s="38">
        <v>12.5</v>
      </c>
      <c r="AX56" s="97">
        <f t="shared" si="24"/>
        <v>267.95500000000004</v>
      </c>
      <c r="AY56" s="169">
        <f t="shared" si="3"/>
        <v>118.99522000000006</v>
      </c>
      <c r="AZ56" s="196"/>
      <c r="BA56" s="170"/>
      <c r="BB56" s="196"/>
      <c r="BC56" s="170"/>
      <c r="BD56" s="196"/>
      <c r="BE56" s="170"/>
      <c r="BF56" s="196"/>
      <c r="BG56" s="170"/>
      <c r="BH56" s="196"/>
      <c r="BI56" s="170"/>
      <c r="BJ56" s="196">
        <v>0</v>
      </c>
      <c r="BK56" s="170"/>
      <c r="BL56" s="196"/>
      <c r="BM56" s="170"/>
      <c r="BN56" s="196"/>
      <c r="BO56" s="170"/>
      <c r="BP56" s="196"/>
      <c r="BQ56" s="170"/>
      <c r="BR56" s="196"/>
      <c r="BS56" s="170"/>
      <c r="BT56" s="196"/>
      <c r="BU56" s="170"/>
      <c r="BV56" s="196">
        <v>100</v>
      </c>
      <c r="BW56" s="251">
        <v>118.99522000000006</v>
      </c>
      <c r="BX56" s="254">
        <v>118.99522000000006</v>
      </c>
      <c r="BY56" s="88">
        <f t="shared" si="4"/>
        <v>135.99999999999989</v>
      </c>
      <c r="BZ56" s="258">
        <v>1.9</v>
      </c>
      <c r="CA56" s="258">
        <f>15-8.9</f>
        <v>6.1</v>
      </c>
      <c r="CB56" s="258">
        <v>15</v>
      </c>
      <c r="CC56" s="258">
        <v>10</v>
      </c>
      <c r="CD56" s="258">
        <v>18</v>
      </c>
      <c r="CE56" s="258">
        <v>16.428571428571399</v>
      </c>
      <c r="CF56" s="258">
        <v>16.428571428571399</v>
      </c>
      <c r="CG56" s="258">
        <v>16.428571428571399</v>
      </c>
      <c r="CH56" s="258">
        <v>16.428571428571399</v>
      </c>
      <c r="CI56" s="258">
        <v>6.4285714285714288</v>
      </c>
      <c r="CJ56" s="258">
        <v>6.4285714285714288</v>
      </c>
      <c r="CK56" s="258">
        <f>6.42857142857143</f>
        <v>6.4285714285714297</v>
      </c>
      <c r="CL56" s="211">
        <f t="shared" si="25"/>
        <v>0</v>
      </c>
      <c r="CM56" s="212"/>
      <c r="CN56" s="212"/>
      <c r="CO56" s="212"/>
      <c r="CP56" s="212"/>
      <c r="CQ56" s="212"/>
      <c r="CR56" s="212"/>
      <c r="CS56" s="212"/>
      <c r="CT56" s="212"/>
      <c r="CU56" s="212"/>
      <c r="CV56" s="212"/>
      <c r="CW56" s="212"/>
      <c r="CX56" s="212"/>
      <c r="CY56" s="216">
        <f t="shared" si="26"/>
        <v>-18.99522000000006</v>
      </c>
      <c r="CZ56" s="185">
        <f t="shared" si="5"/>
        <v>0</v>
      </c>
      <c r="DA56" s="217">
        <f t="shared" si="27"/>
        <v>0</v>
      </c>
      <c r="DB56" s="217">
        <f t="shared" si="28"/>
        <v>118.99522000000006</v>
      </c>
      <c r="DC56" s="217">
        <f t="shared" si="29"/>
        <v>254.99521999999996</v>
      </c>
      <c r="DD56" s="256">
        <v>254.99999999999986</v>
      </c>
      <c r="DE56" s="217">
        <f t="shared" si="30"/>
        <v>-4.7799999998971998E-3</v>
      </c>
      <c r="DF56" s="185" t="e">
        <f>SUM(DN56:DO56)-SUM(#REF!,BV56)+BU56</f>
        <v>#REF!</v>
      </c>
      <c r="DG56" s="223"/>
      <c r="DH56" s="241">
        <f t="shared" si="31"/>
        <v>0</v>
      </c>
      <c r="DI56" s="241">
        <f t="shared" si="32"/>
        <v>0</v>
      </c>
      <c r="DJ56" s="241">
        <f t="shared" si="33"/>
        <v>0</v>
      </c>
      <c r="DK56" s="241" t="e">
        <f>SUM(BS56,#REF!,BV56)</f>
        <v>#REF!</v>
      </c>
      <c r="DL56" s="155">
        <v>255.45500000000001</v>
      </c>
      <c r="DM56" s="155">
        <v>120.87517</v>
      </c>
      <c r="DN56" s="155">
        <v>125.69045</v>
      </c>
      <c r="DO56" s="155">
        <v>0</v>
      </c>
      <c r="DP56" s="155">
        <v>246.56562</v>
      </c>
      <c r="DQ56" s="155">
        <v>8.8893799999999992</v>
      </c>
      <c r="DR56" s="23">
        <f>VLOOKUP(C56,[6]Database!$B$143:$AD$521,29,FALSE)</f>
        <v>105.00000000000001</v>
      </c>
      <c r="DS56" s="235">
        <f t="shared" si="34"/>
        <v>30.999999999999872</v>
      </c>
    </row>
    <row r="57" spans="1:123" s="23" customFormat="1" ht="24" customHeight="1">
      <c r="A57" s="18"/>
      <c r="B57" s="2"/>
      <c r="C57" s="85" t="s">
        <v>1146</v>
      </c>
      <c r="D57" s="285" t="s">
        <v>602</v>
      </c>
      <c r="E57" s="85"/>
      <c r="F57" s="3">
        <v>2021</v>
      </c>
      <c r="G57" s="4">
        <v>44435</v>
      </c>
      <c r="H57" s="4">
        <v>44461</v>
      </c>
      <c r="I57" s="4"/>
      <c r="J57" s="15">
        <f t="shared" ca="1" si="21"/>
        <v>-839.40661944444582</v>
      </c>
      <c r="K57" s="177">
        <f t="shared" si="22"/>
        <v>45008</v>
      </c>
      <c r="L57" s="177">
        <f t="shared" si="23"/>
        <v>45191</v>
      </c>
      <c r="M57" s="177"/>
      <c r="N57" s="177"/>
      <c r="O57" s="177"/>
      <c r="P57" s="177"/>
      <c r="Q57" s="177"/>
      <c r="R57" s="3" t="s">
        <v>178</v>
      </c>
      <c r="S57" s="13"/>
      <c r="T57" s="13"/>
      <c r="U57" s="5" t="s">
        <v>8</v>
      </c>
      <c r="V57" s="268">
        <v>4723158</v>
      </c>
      <c r="W57" s="5" t="s">
        <v>614</v>
      </c>
      <c r="X57" s="5" t="s">
        <v>1142</v>
      </c>
      <c r="Y57" s="5" t="s">
        <v>1143</v>
      </c>
      <c r="Z57" s="3" t="s">
        <v>181</v>
      </c>
      <c r="AA57" s="6" t="s">
        <v>463</v>
      </c>
      <c r="AB57" s="151" t="s">
        <v>1169</v>
      </c>
      <c r="AC57" s="177">
        <v>44985</v>
      </c>
      <c r="AD57" s="177">
        <v>44530</v>
      </c>
      <c r="AE57" s="177">
        <f t="shared" si="36"/>
        <v>45138</v>
      </c>
      <c r="AF57" s="5"/>
      <c r="AG57" s="5"/>
      <c r="AH57" s="296"/>
      <c r="AI57" s="83"/>
      <c r="AJ57" s="83"/>
      <c r="AK57" s="237" t="e">
        <f>SUM(#REF!,BT57,BV57)</f>
        <v>#REF!</v>
      </c>
      <c r="AL57" s="52"/>
      <c r="AM57" s="52"/>
      <c r="AN57" s="52"/>
      <c r="AO57" s="52"/>
      <c r="AP57" s="52"/>
      <c r="AQ57" s="52"/>
      <c r="AR57" s="56"/>
      <c r="AS57" s="56"/>
      <c r="AT57" s="56"/>
      <c r="AU57" s="56"/>
      <c r="AV57" s="38">
        <v>32.863999999999997</v>
      </c>
      <c r="AW57" s="38">
        <v>2.1440000000000001</v>
      </c>
      <c r="AX57" s="97">
        <f t="shared" si="24"/>
        <v>35.007999999999996</v>
      </c>
      <c r="AY57" s="169">
        <f t="shared" si="3"/>
        <v>30.247309999999999</v>
      </c>
      <c r="AZ57" s="196"/>
      <c r="BA57" s="170"/>
      <c r="BB57" s="196"/>
      <c r="BC57" s="170"/>
      <c r="BD57" s="196"/>
      <c r="BE57" s="170"/>
      <c r="BF57" s="196"/>
      <c r="BG57" s="170"/>
      <c r="BH57" s="196"/>
      <c r="BI57" s="170"/>
      <c r="BJ57" s="196"/>
      <c r="BK57" s="170"/>
      <c r="BL57" s="196"/>
      <c r="BM57" s="170"/>
      <c r="BN57" s="196"/>
      <c r="BO57" s="170"/>
      <c r="BP57" s="196"/>
      <c r="BQ57" s="170"/>
      <c r="BR57" s="196"/>
      <c r="BS57" s="170"/>
      <c r="BT57" s="196"/>
      <c r="BU57" s="170">
        <v>30.09731</v>
      </c>
      <c r="BV57" s="196">
        <v>2</v>
      </c>
      <c r="BW57" s="251">
        <v>0.15</v>
      </c>
      <c r="BX57" s="254">
        <v>0.15</v>
      </c>
      <c r="BY57" s="88">
        <f t="shared" si="4"/>
        <v>1.9</v>
      </c>
      <c r="BZ57" s="258">
        <v>1.9</v>
      </c>
      <c r="CA57" s="258"/>
      <c r="CB57" s="258"/>
      <c r="CC57" s="258"/>
      <c r="CD57" s="258"/>
      <c r="CE57" s="258"/>
      <c r="CF57" s="258"/>
      <c r="CG57" s="258"/>
      <c r="CH57" s="258"/>
      <c r="CI57" s="258"/>
      <c r="CJ57" s="258"/>
      <c r="CK57" s="258"/>
      <c r="CL57" s="211">
        <f t="shared" si="25"/>
        <v>0</v>
      </c>
      <c r="CM57" s="212"/>
      <c r="CN57" s="212"/>
      <c r="CO57" s="212"/>
      <c r="CP57" s="212"/>
      <c r="CQ57" s="212"/>
      <c r="CR57" s="212"/>
      <c r="CS57" s="212"/>
      <c r="CT57" s="212"/>
      <c r="CU57" s="212"/>
      <c r="CV57" s="212"/>
      <c r="CW57" s="212"/>
      <c r="CX57" s="212"/>
      <c r="CY57" s="216">
        <f t="shared" si="26"/>
        <v>1.85</v>
      </c>
      <c r="CZ57" s="185">
        <f t="shared" si="5"/>
        <v>0</v>
      </c>
      <c r="DA57" s="217">
        <f t="shared" si="27"/>
        <v>30.09731</v>
      </c>
      <c r="DB57" s="217">
        <f t="shared" si="28"/>
        <v>0.15</v>
      </c>
      <c r="DC57" s="217">
        <f t="shared" si="29"/>
        <v>32.147309999999997</v>
      </c>
      <c r="DD57" s="256">
        <v>32</v>
      </c>
      <c r="DE57" s="217">
        <f t="shared" si="30"/>
        <v>0.14730999999999739</v>
      </c>
      <c r="DF57" s="185" t="e">
        <f>SUM(DN57:DO57)-SUM(#REF!,BV57)+BU57</f>
        <v>#REF!</v>
      </c>
      <c r="DG57" s="247" t="s">
        <v>1274</v>
      </c>
      <c r="DH57" s="241">
        <f t="shared" si="31"/>
        <v>0</v>
      </c>
      <c r="DI57" s="241">
        <f t="shared" si="32"/>
        <v>0</v>
      </c>
      <c r="DJ57" s="241">
        <f t="shared" si="33"/>
        <v>0</v>
      </c>
      <c r="DK57" s="241" t="e">
        <f>SUM(BS57,#REF!,BV57)</f>
        <v>#REF!</v>
      </c>
      <c r="DL57" s="155">
        <v>32.863999999999997</v>
      </c>
      <c r="DM57" s="155">
        <v>30.247310000000002</v>
      </c>
      <c r="DN57" s="155">
        <v>0</v>
      </c>
      <c r="DO57" s="155">
        <v>0</v>
      </c>
      <c r="DP57" s="155">
        <v>30.247310000000002</v>
      </c>
      <c r="DQ57" s="155">
        <v>2.6166900000000002</v>
      </c>
      <c r="DR57" s="23">
        <f>VLOOKUP(C57,[6]Database!$B$143:$AD$521,29,FALSE)</f>
        <v>0</v>
      </c>
      <c r="DS57" s="235">
        <f t="shared" si="34"/>
        <v>1.9</v>
      </c>
    </row>
    <row r="58" spans="1:123" s="23" customFormat="1" ht="24" customHeight="1">
      <c r="A58" s="18"/>
      <c r="B58" s="2">
        <v>194</v>
      </c>
      <c r="C58" s="85" t="s">
        <v>755</v>
      </c>
      <c r="D58" s="85">
        <v>567</v>
      </c>
      <c r="E58" s="85"/>
      <c r="F58" s="3">
        <v>2021</v>
      </c>
      <c r="G58" s="4">
        <v>44293</v>
      </c>
      <c r="H58" s="4">
        <v>44320</v>
      </c>
      <c r="I58" s="4"/>
      <c r="J58" s="15">
        <f t="shared" ca="1" si="21"/>
        <v>-977.40661944444582</v>
      </c>
      <c r="K58" s="177">
        <f t="shared" si="22"/>
        <v>44867</v>
      </c>
      <c r="L58" s="177">
        <f t="shared" si="23"/>
        <v>45050</v>
      </c>
      <c r="M58" s="177"/>
      <c r="N58" s="177"/>
      <c r="O58" s="177"/>
      <c r="P58" s="177"/>
      <c r="Q58" s="177"/>
      <c r="R58" s="3" t="s">
        <v>176</v>
      </c>
      <c r="S58" s="13" t="s">
        <v>982</v>
      </c>
      <c r="T58" s="48" t="s">
        <v>953</v>
      </c>
      <c r="U58" s="84" t="s">
        <v>8</v>
      </c>
      <c r="V58" s="268">
        <v>3918460</v>
      </c>
      <c r="W58" s="5" t="s">
        <v>614</v>
      </c>
      <c r="X58" s="5" t="s">
        <v>946</v>
      </c>
      <c r="Y58" s="5" t="s">
        <v>838</v>
      </c>
      <c r="Z58" s="3" t="s">
        <v>181</v>
      </c>
      <c r="AA58" s="6" t="s">
        <v>463</v>
      </c>
      <c r="AB58" s="151" t="s">
        <v>1490</v>
      </c>
      <c r="AC58" s="177">
        <v>44834</v>
      </c>
      <c r="AD58" s="177">
        <v>44681</v>
      </c>
      <c r="AE58" s="177">
        <f t="shared" si="36"/>
        <v>45016</v>
      </c>
      <c r="AF58" s="5"/>
      <c r="AG58" s="84"/>
      <c r="AH58" s="296"/>
      <c r="AI58" s="83"/>
      <c r="AJ58" s="83" t="s">
        <v>1309</v>
      </c>
      <c r="AK58" s="237" t="e">
        <f>SUM(#REF!,BT58,BV58)</f>
        <v>#REF!</v>
      </c>
      <c r="AL58" s="52" t="s">
        <v>1216</v>
      </c>
      <c r="AM58" s="52" t="s">
        <v>1217</v>
      </c>
      <c r="AN58" s="52" t="s">
        <v>1218</v>
      </c>
      <c r="AO58" s="52" t="s">
        <v>602</v>
      </c>
      <c r="AP58" s="52" t="s">
        <v>602</v>
      </c>
      <c r="AQ58" s="52" t="s">
        <v>602</v>
      </c>
      <c r="AR58" s="56"/>
      <c r="AS58" s="56"/>
      <c r="AT58" s="56"/>
      <c r="AU58" s="56">
        <v>0</v>
      </c>
      <c r="AV58" s="38">
        <v>699.8</v>
      </c>
      <c r="AW58" s="38">
        <v>64.5</v>
      </c>
      <c r="AX58" s="97">
        <f t="shared" si="24"/>
        <v>764.3</v>
      </c>
      <c r="AY58" s="169">
        <f t="shared" si="3"/>
        <v>213.60487999999995</v>
      </c>
      <c r="AZ58" s="196"/>
      <c r="BA58" s="170"/>
      <c r="BB58" s="196">
        <v>0</v>
      </c>
      <c r="BC58" s="170"/>
      <c r="BD58" s="196">
        <v>0</v>
      </c>
      <c r="BE58" s="170">
        <v>0</v>
      </c>
      <c r="BF58" s="196">
        <v>0</v>
      </c>
      <c r="BG58" s="170"/>
      <c r="BH58" s="196">
        <v>0</v>
      </c>
      <c r="BI58" s="170"/>
      <c r="BJ58" s="196">
        <v>0</v>
      </c>
      <c r="BK58" s="170"/>
      <c r="BL58" s="196">
        <v>0</v>
      </c>
      <c r="BM58" s="170"/>
      <c r="BN58" s="196">
        <v>3</v>
      </c>
      <c r="BO58" s="170">
        <v>1.3944300000000001</v>
      </c>
      <c r="BP58" s="196">
        <v>5</v>
      </c>
      <c r="BQ58" s="170">
        <v>4.4271900000000004</v>
      </c>
      <c r="BR58" s="196">
        <f>11.7-1.2</f>
        <v>10.5</v>
      </c>
      <c r="BS58" s="170">
        <v>2.0827900000000001</v>
      </c>
      <c r="BT58" s="196">
        <f>20+10.1-1.4-0.2</f>
        <v>28.500000000000004</v>
      </c>
      <c r="BU58" s="170">
        <v>75.829429999999988</v>
      </c>
      <c r="BV58" s="234">
        <f>292.8-5+0.8+1.1</f>
        <v>289.70000000000005</v>
      </c>
      <c r="BW58" s="251">
        <v>129.87103999999997</v>
      </c>
      <c r="BX58" s="234">
        <v>129.87103999999997</v>
      </c>
      <c r="BY58" s="88">
        <f t="shared" si="4"/>
        <v>484.6</v>
      </c>
      <c r="BZ58" s="258">
        <f>30+1.8</f>
        <v>31.8</v>
      </c>
      <c r="CA58" s="258">
        <f>100+158</f>
        <v>258</v>
      </c>
      <c r="CB58" s="258">
        <v>75</v>
      </c>
      <c r="CC58" s="258">
        <v>70</v>
      </c>
      <c r="CD58" s="258">
        <v>20</v>
      </c>
      <c r="CE58" s="258">
        <v>29.8</v>
      </c>
      <c r="CF58" s="258"/>
      <c r="CG58" s="258"/>
      <c r="CH58" s="258"/>
      <c r="CI58" s="258"/>
      <c r="CJ58" s="258"/>
      <c r="CK58" s="258"/>
      <c r="CL58" s="211">
        <f t="shared" si="25"/>
        <v>0</v>
      </c>
      <c r="CM58" s="212"/>
      <c r="CN58" s="212"/>
      <c r="CO58" s="212"/>
      <c r="CP58" s="212"/>
      <c r="CQ58" s="212"/>
      <c r="CR58" s="212"/>
      <c r="CS58" s="212"/>
      <c r="CT58" s="212"/>
      <c r="CU58" s="212"/>
      <c r="CV58" s="212"/>
      <c r="CW58" s="212"/>
      <c r="CX58" s="212"/>
      <c r="CY58" s="216">
        <f t="shared" si="26"/>
        <v>159.82896000000008</v>
      </c>
      <c r="CZ58" s="185">
        <f t="shared" si="5"/>
        <v>0</v>
      </c>
      <c r="DA58" s="217">
        <f t="shared" si="27"/>
        <v>83.733839999999987</v>
      </c>
      <c r="DB58" s="217">
        <f t="shared" si="28"/>
        <v>129.87103999999997</v>
      </c>
      <c r="DC58" s="217">
        <f t="shared" si="29"/>
        <v>698.20488</v>
      </c>
      <c r="DD58" s="256">
        <v>698.20441000000005</v>
      </c>
      <c r="DE58" s="217">
        <f t="shared" si="30"/>
        <v>4.6999999995023245E-4</v>
      </c>
      <c r="DF58" s="185" t="e">
        <f>SUM(DN58:DO58)-SUM(#REF!,BV58)+BU58</f>
        <v>#REF!</v>
      </c>
      <c r="DG58" s="223"/>
      <c r="DH58" s="241">
        <f t="shared" si="31"/>
        <v>0</v>
      </c>
      <c r="DI58" s="241">
        <f t="shared" si="32"/>
        <v>0</v>
      </c>
      <c r="DJ58" s="241">
        <f t="shared" si="33"/>
        <v>5.8216200000000002</v>
      </c>
      <c r="DK58" s="241" t="e">
        <f>SUM(BS58,#REF!,BV58)</f>
        <v>#REF!</v>
      </c>
      <c r="DL58" s="155">
        <v>699.8</v>
      </c>
      <c r="DM58" s="155">
        <v>166.22635</v>
      </c>
      <c r="DN58" s="155">
        <v>355.89974000000001</v>
      </c>
      <c r="DO58" s="155">
        <v>1.7909999999999999</v>
      </c>
      <c r="DP58" s="155">
        <v>523.91709000000003</v>
      </c>
      <c r="DQ58" s="155">
        <v>175.88291000000001</v>
      </c>
      <c r="DR58" s="23">
        <f>VLOOKUP(C58,[6]Database!$B$143:$AD$521,29,FALSE)</f>
        <v>369.79999999999995</v>
      </c>
      <c r="DS58" s="235">
        <f t="shared" si="34"/>
        <v>114.80000000000007</v>
      </c>
    </row>
    <row r="59" spans="1:123" s="23" customFormat="1" ht="24" customHeight="1">
      <c r="A59" s="18"/>
      <c r="B59" s="2">
        <v>229</v>
      </c>
      <c r="C59" s="85" t="s">
        <v>1014</v>
      </c>
      <c r="D59" s="85">
        <v>12955</v>
      </c>
      <c r="E59" s="85"/>
      <c r="F59" s="3">
        <v>2021</v>
      </c>
      <c r="G59" s="4">
        <v>44370</v>
      </c>
      <c r="H59" s="4">
        <v>44392</v>
      </c>
      <c r="I59" s="4"/>
      <c r="J59" s="15">
        <f t="shared" ca="1" si="21"/>
        <v>-905.40661944444582</v>
      </c>
      <c r="K59" s="177">
        <f t="shared" si="22"/>
        <v>44939</v>
      </c>
      <c r="L59" s="177">
        <f t="shared" si="23"/>
        <v>45122</v>
      </c>
      <c r="M59" s="177"/>
      <c r="N59" s="177"/>
      <c r="O59" s="177"/>
      <c r="P59" s="177"/>
      <c r="Q59" s="177"/>
      <c r="R59" s="3" t="s">
        <v>176</v>
      </c>
      <c r="S59" s="13" t="s">
        <v>222</v>
      </c>
      <c r="T59" s="13" t="s">
        <v>979</v>
      </c>
      <c r="U59" s="5" t="s">
        <v>8</v>
      </c>
      <c r="V59" s="268">
        <v>4340683</v>
      </c>
      <c r="W59" s="5" t="s">
        <v>614</v>
      </c>
      <c r="X59" s="5" t="s">
        <v>481</v>
      </c>
      <c r="Y59" s="5" t="s">
        <v>1033</v>
      </c>
      <c r="Z59" s="3" t="s">
        <v>183</v>
      </c>
      <c r="AA59" s="6" t="s">
        <v>463</v>
      </c>
      <c r="AB59" s="151" t="s">
        <v>1311</v>
      </c>
      <c r="AC59" s="177">
        <v>44926</v>
      </c>
      <c r="AD59" s="177">
        <v>44926</v>
      </c>
      <c r="AE59" s="177">
        <f t="shared" si="36"/>
        <v>45077</v>
      </c>
      <c r="AF59" s="5"/>
      <c r="AG59" s="5"/>
      <c r="AH59" s="296"/>
      <c r="AI59" s="83"/>
      <c r="AJ59" s="83"/>
      <c r="AK59" s="237" t="e">
        <f>SUM(#REF!,BT59,BV59)</f>
        <v>#REF!</v>
      </c>
      <c r="AL59" s="52" t="s">
        <v>1189</v>
      </c>
      <c r="AM59" s="52" t="s">
        <v>1188</v>
      </c>
      <c r="AN59" s="52" t="s">
        <v>6</v>
      </c>
      <c r="AO59" s="52" t="s">
        <v>602</v>
      </c>
      <c r="AP59" s="52" t="s">
        <v>602</v>
      </c>
      <c r="AQ59" s="52" t="s">
        <v>602</v>
      </c>
      <c r="AR59" s="56"/>
      <c r="AS59" s="56"/>
      <c r="AT59" s="56"/>
      <c r="AU59" s="56">
        <v>0</v>
      </c>
      <c r="AV59" s="38">
        <v>105.04</v>
      </c>
      <c r="AW59" s="38"/>
      <c r="AX59" s="97">
        <f t="shared" si="24"/>
        <v>105.04</v>
      </c>
      <c r="AY59" s="169">
        <f t="shared" si="3"/>
        <v>94.763719999999992</v>
      </c>
      <c r="AZ59" s="196"/>
      <c r="BA59" s="170"/>
      <c r="BB59" s="196"/>
      <c r="BC59" s="170"/>
      <c r="BD59" s="196"/>
      <c r="BE59" s="170"/>
      <c r="BF59" s="196"/>
      <c r="BG59" s="170"/>
      <c r="BH59" s="196"/>
      <c r="BI59" s="170"/>
      <c r="BJ59" s="196">
        <v>0</v>
      </c>
      <c r="BK59" s="170"/>
      <c r="BL59" s="196"/>
      <c r="BM59" s="170"/>
      <c r="BN59" s="196"/>
      <c r="BO59" s="170">
        <v>2.1044699999999996</v>
      </c>
      <c r="BP59" s="196">
        <v>17.96069</v>
      </c>
      <c r="BQ59" s="170">
        <v>15.023350000000001</v>
      </c>
      <c r="BR59" s="196">
        <f>15+5.3-2.4</f>
        <v>17.900000000000002</v>
      </c>
      <c r="BS59" s="170">
        <v>42.884379999999993</v>
      </c>
      <c r="BT59" s="196">
        <f>5-0.5</f>
        <v>4.5</v>
      </c>
      <c r="BU59" s="170">
        <v>25.51895</v>
      </c>
      <c r="BV59" s="196">
        <v>1</v>
      </c>
      <c r="BW59" s="251">
        <v>9.2325699999999991</v>
      </c>
      <c r="BX59" s="254">
        <v>9.2325699999999991</v>
      </c>
      <c r="BY59" s="88">
        <f t="shared" si="4"/>
        <v>10</v>
      </c>
      <c r="BZ59" s="258">
        <v>1.6</v>
      </c>
      <c r="CA59" s="258">
        <f>7-5.5-0.1</f>
        <v>1.4</v>
      </c>
      <c r="CB59" s="258"/>
      <c r="CC59" s="258">
        <v>2</v>
      </c>
      <c r="CD59" s="258">
        <v>2</v>
      </c>
      <c r="CE59" s="258">
        <v>2</v>
      </c>
      <c r="CF59" s="258">
        <v>1</v>
      </c>
      <c r="CG59" s="258"/>
      <c r="CH59" s="258"/>
      <c r="CI59" s="258"/>
      <c r="CJ59" s="258"/>
      <c r="CK59" s="258"/>
      <c r="CL59" s="211">
        <f t="shared" si="25"/>
        <v>0</v>
      </c>
      <c r="CM59" s="212"/>
      <c r="CN59" s="212"/>
      <c r="CO59" s="212"/>
      <c r="CP59" s="212"/>
      <c r="CQ59" s="212"/>
      <c r="CR59" s="212"/>
      <c r="CS59" s="212"/>
      <c r="CT59" s="212"/>
      <c r="CU59" s="212"/>
      <c r="CV59" s="212"/>
      <c r="CW59" s="212"/>
      <c r="CX59" s="212"/>
      <c r="CY59" s="216">
        <f t="shared" si="26"/>
        <v>-8.2325699999999991</v>
      </c>
      <c r="CZ59" s="185">
        <f t="shared" si="5"/>
        <v>0</v>
      </c>
      <c r="DA59" s="217">
        <f t="shared" si="27"/>
        <v>85.531149999999997</v>
      </c>
      <c r="DB59" s="217">
        <f t="shared" si="28"/>
        <v>9.2325699999999991</v>
      </c>
      <c r="DC59" s="217">
        <f t="shared" si="29"/>
        <v>104.76371999999999</v>
      </c>
      <c r="DD59" s="256">
        <v>105.01219999999999</v>
      </c>
      <c r="DE59" s="217">
        <f t="shared" si="30"/>
        <v>-0.2484800000000007</v>
      </c>
      <c r="DF59" s="185" t="e">
        <f>SUM(DN59:DO59)-SUM(#REF!,BV59)+BU59</f>
        <v>#REF!</v>
      </c>
      <c r="DG59" s="223"/>
      <c r="DH59" s="241">
        <f t="shared" si="31"/>
        <v>0</v>
      </c>
      <c r="DI59" s="241">
        <f t="shared" si="32"/>
        <v>0</v>
      </c>
      <c r="DJ59" s="241">
        <f t="shared" si="33"/>
        <v>17.12782</v>
      </c>
      <c r="DK59" s="241" t="e">
        <f>SUM(BS59,#REF!,BV59)</f>
        <v>#REF!</v>
      </c>
      <c r="DL59" s="155">
        <v>105.04</v>
      </c>
      <c r="DM59" s="155">
        <v>94.763720000000006</v>
      </c>
      <c r="DN59" s="155">
        <v>3.9345100000000004</v>
      </c>
      <c r="DO59" s="155">
        <v>0</v>
      </c>
      <c r="DP59" s="155">
        <v>98.698229999999995</v>
      </c>
      <c r="DQ59" s="155">
        <v>6.3417700000000004</v>
      </c>
      <c r="DR59" s="23">
        <f>VLOOKUP(C59,[6]Database!$B$143:$AD$521,29,FALSE)</f>
        <v>40</v>
      </c>
      <c r="DS59" s="235">
        <f t="shared" si="34"/>
        <v>-30</v>
      </c>
    </row>
    <row r="60" spans="1:123" s="23" customFormat="1" ht="24" customHeight="1">
      <c r="A60" s="18"/>
      <c r="B60" s="2"/>
      <c r="C60" s="85" t="s">
        <v>1356</v>
      </c>
      <c r="D60" s="285" t="s">
        <v>602</v>
      </c>
      <c r="E60" s="85"/>
      <c r="F60" s="3">
        <v>2021</v>
      </c>
      <c r="G60" s="4">
        <v>44480</v>
      </c>
      <c r="H60" s="4">
        <v>44522</v>
      </c>
      <c r="I60" s="4"/>
      <c r="J60" s="15">
        <f t="shared" ca="1" si="21"/>
        <v>-778.40661944444582</v>
      </c>
      <c r="K60" s="177">
        <f t="shared" si="22"/>
        <v>45069</v>
      </c>
      <c r="L60" s="177">
        <f t="shared" si="23"/>
        <v>45252</v>
      </c>
      <c r="M60" s="177"/>
      <c r="N60" s="177"/>
      <c r="O60" s="177"/>
      <c r="P60" s="177"/>
      <c r="Q60" s="177"/>
      <c r="R60" s="3" t="s">
        <v>176</v>
      </c>
      <c r="S60" s="13" t="s">
        <v>5</v>
      </c>
      <c r="T60" s="13" t="s">
        <v>952</v>
      </c>
      <c r="U60" s="5" t="s">
        <v>8</v>
      </c>
      <c r="V60" s="268">
        <v>4879190</v>
      </c>
      <c r="W60" s="5" t="s">
        <v>614</v>
      </c>
      <c r="X60" s="5" t="s">
        <v>704</v>
      </c>
      <c r="Y60" s="5" t="s">
        <v>1450</v>
      </c>
      <c r="Z60" s="3" t="s">
        <v>181</v>
      </c>
      <c r="AA60" s="6" t="s">
        <v>463</v>
      </c>
      <c r="AB60" s="151" t="s">
        <v>1493</v>
      </c>
      <c r="AC60" s="177">
        <v>45076</v>
      </c>
      <c r="AD60" s="177">
        <v>45199</v>
      </c>
      <c r="AE60" s="177">
        <f t="shared" si="36"/>
        <v>45199</v>
      </c>
      <c r="AF60" s="5"/>
      <c r="AG60" s="5"/>
      <c r="AH60" s="226"/>
      <c r="AI60" s="83"/>
      <c r="AJ60" s="83"/>
      <c r="AK60" s="237" t="e">
        <f>SUM(#REF!,BT60,BV60)</f>
        <v>#REF!</v>
      </c>
      <c r="AL60" s="52"/>
      <c r="AM60" s="52"/>
      <c r="AN60" s="52"/>
      <c r="AO60" s="52"/>
      <c r="AP60" s="52"/>
      <c r="AQ60" s="52"/>
      <c r="AR60" s="56"/>
      <c r="AS60" s="56"/>
      <c r="AT60" s="56"/>
      <c r="AU60" s="56"/>
      <c r="AV60" s="38">
        <v>56.241900000000001</v>
      </c>
      <c r="AW60" s="38"/>
      <c r="AX60" s="97">
        <f t="shared" si="24"/>
        <v>56.241900000000001</v>
      </c>
      <c r="AY60" s="169">
        <f t="shared" si="3"/>
        <v>44.159759999999984</v>
      </c>
      <c r="AZ60" s="196"/>
      <c r="BA60" s="170"/>
      <c r="BB60" s="196"/>
      <c r="BC60" s="170"/>
      <c r="BD60" s="196"/>
      <c r="BE60" s="170"/>
      <c r="BF60" s="196"/>
      <c r="BG60" s="170"/>
      <c r="BH60" s="196"/>
      <c r="BI60" s="170"/>
      <c r="BJ60" s="196"/>
      <c r="BK60" s="170"/>
      <c r="BL60" s="196"/>
      <c r="BM60" s="170"/>
      <c r="BN60" s="196"/>
      <c r="BO60" s="170"/>
      <c r="BP60" s="196"/>
      <c r="BQ60" s="170"/>
      <c r="BR60" s="196"/>
      <c r="BS60" s="170"/>
      <c r="BT60" s="196"/>
      <c r="BU60" s="170"/>
      <c r="BV60" s="196"/>
      <c r="BW60" s="251">
        <v>44.159759999999984</v>
      </c>
      <c r="BX60" s="254">
        <v>44.159759999999984</v>
      </c>
      <c r="BY60" s="88">
        <f t="shared" si="4"/>
        <v>12.0473</v>
      </c>
      <c r="BZ60" s="258">
        <v>1.3</v>
      </c>
      <c r="CA60" s="258"/>
      <c r="CB60" s="258"/>
      <c r="CC60" s="258">
        <f>18.7473-3.5-4.5</f>
        <v>10.747299999999999</v>
      </c>
      <c r="CD60" s="258"/>
      <c r="CE60" s="258"/>
      <c r="CF60" s="258"/>
      <c r="CG60" s="258"/>
      <c r="CH60" s="258"/>
      <c r="CI60" s="258"/>
      <c r="CJ60" s="258"/>
      <c r="CK60" s="258"/>
      <c r="CL60" s="211"/>
      <c r="CM60" s="212"/>
      <c r="CN60" s="212"/>
      <c r="CO60" s="212"/>
      <c r="CP60" s="212"/>
      <c r="CQ60" s="212"/>
      <c r="CR60" s="212"/>
      <c r="CS60" s="212"/>
      <c r="CT60" s="212"/>
      <c r="CU60" s="212"/>
      <c r="CV60" s="212"/>
      <c r="CW60" s="212"/>
      <c r="CX60" s="212"/>
      <c r="CY60" s="216">
        <f t="shared" si="26"/>
        <v>-44.159759999999984</v>
      </c>
      <c r="CZ60" s="185">
        <f t="shared" si="5"/>
        <v>0</v>
      </c>
      <c r="DA60" s="217">
        <f t="shared" si="27"/>
        <v>0</v>
      </c>
      <c r="DB60" s="217">
        <f t="shared" si="28"/>
        <v>44.159759999999984</v>
      </c>
      <c r="DC60" s="217"/>
      <c r="DD60" s="256"/>
      <c r="DE60" s="217"/>
      <c r="DF60" s="185"/>
      <c r="DG60" s="223"/>
      <c r="DH60" s="241"/>
      <c r="DI60" s="241"/>
      <c r="DJ60" s="241"/>
      <c r="DK60" s="241"/>
      <c r="DL60" s="155">
        <v>56.241900000000001</v>
      </c>
      <c r="DM60" s="155">
        <v>44.159759999999999</v>
      </c>
      <c r="DN60" s="155">
        <v>3.3437800000000002</v>
      </c>
      <c r="DO60" s="155">
        <v>1.4172</v>
      </c>
      <c r="DP60" s="155">
        <v>48.920739999999995</v>
      </c>
      <c r="DQ60" s="155">
        <v>7.3211599999999999</v>
      </c>
      <c r="DS60" s="235"/>
    </row>
    <row r="61" spans="1:123" s="23" customFormat="1" ht="24" customHeight="1">
      <c r="A61" s="18"/>
      <c r="B61" s="2">
        <v>193</v>
      </c>
      <c r="C61" s="85" t="s">
        <v>747</v>
      </c>
      <c r="D61" s="85">
        <v>879</v>
      </c>
      <c r="E61" s="85"/>
      <c r="F61" s="3">
        <v>2021</v>
      </c>
      <c r="G61" s="4">
        <v>44194</v>
      </c>
      <c r="H61" s="4">
        <v>44295</v>
      </c>
      <c r="I61" s="4"/>
      <c r="J61" s="15">
        <f t="shared" ca="1" si="21"/>
        <v>-1003.4066194444458</v>
      </c>
      <c r="K61" s="177">
        <f t="shared" si="22"/>
        <v>44842</v>
      </c>
      <c r="L61" s="177">
        <f t="shared" si="23"/>
        <v>45025</v>
      </c>
      <c r="M61" s="177"/>
      <c r="N61" s="177"/>
      <c r="O61" s="177"/>
      <c r="P61" s="177"/>
      <c r="Q61" s="177"/>
      <c r="R61" s="3" t="s">
        <v>176</v>
      </c>
      <c r="S61" s="13" t="s">
        <v>5</v>
      </c>
      <c r="T61" s="13" t="s">
        <v>961</v>
      </c>
      <c r="U61" s="5" t="s">
        <v>8</v>
      </c>
      <c r="V61" s="268">
        <v>3722351</v>
      </c>
      <c r="W61" s="5" t="s">
        <v>614</v>
      </c>
      <c r="X61" s="5" t="s">
        <v>478</v>
      </c>
      <c r="Y61" s="5" t="s">
        <v>728</v>
      </c>
      <c r="Z61" s="3" t="s">
        <v>181</v>
      </c>
      <c r="AA61" s="6" t="s">
        <v>463</v>
      </c>
      <c r="AB61" s="151" t="s">
        <v>1500</v>
      </c>
      <c r="AC61" s="177">
        <v>44803</v>
      </c>
      <c r="AD61" s="177">
        <v>44712</v>
      </c>
      <c r="AE61" s="177">
        <f t="shared" si="36"/>
        <v>44985</v>
      </c>
      <c r="AF61" s="5" t="s">
        <v>1133</v>
      </c>
      <c r="AG61" s="84" t="s">
        <v>1150</v>
      </c>
      <c r="AH61" s="296">
        <v>9.9000000000000005E-2</v>
      </c>
      <c r="AI61" s="83"/>
      <c r="AJ61" s="83"/>
      <c r="AK61" s="237" t="e">
        <f>SUM(#REF!,BT61,BV61)</f>
        <v>#REF!</v>
      </c>
      <c r="AL61" s="52" t="s">
        <v>1235</v>
      </c>
      <c r="AM61" s="52" t="s">
        <v>1236</v>
      </c>
      <c r="AN61" s="52" t="s">
        <v>602</v>
      </c>
      <c r="AO61" s="52" t="s">
        <v>602</v>
      </c>
      <c r="AP61" s="52" t="s">
        <v>602</v>
      </c>
      <c r="AQ61" s="52" t="s">
        <v>602</v>
      </c>
      <c r="AR61" s="56"/>
      <c r="AS61" s="56"/>
      <c r="AT61" s="56"/>
      <c r="AU61" s="56">
        <v>0</v>
      </c>
      <c r="AV61" s="38">
        <v>465116.58</v>
      </c>
      <c r="AW61" s="38">
        <v>13.207549999999999</v>
      </c>
      <c r="AX61" s="97">
        <f t="shared" si="24"/>
        <v>465129.78755000001</v>
      </c>
      <c r="AY61" s="169">
        <f t="shared" si="3"/>
        <v>312.55387000000002</v>
      </c>
      <c r="AZ61" s="196"/>
      <c r="BA61" s="170"/>
      <c r="BB61" s="196">
        <v>0</v>
      </c>
      <c r="BC61" s="170"/>
      <c r="BD61" s="196">
        <v>0</v>
      </c>
      <c r="BE61" s="170">
        <v>0</v>
      </c>
      <c r="BF61" s="196">
        <v>0</v>
      </c>
      <c r="BG61" s="170"/>
      <c r="BH61" s="196">
        <v>0</v>
      </c>
      <c r="BI61" s="170"/>
      <c r="BJ61" s="196">
        <v>0</v>
      </c>
      <c r="BK61" s="170"/>
      <c r="BL61" s="196"/>
      <c r="BM61" s="170"/>
      <c r="BN61" s="196"/>
      <c r="BO61" s="170"/>
      <c r="BP61" s="196">
        <v>16</v>
      </c>
      <c r="BQ61" s="170"/>
      <c r="BR61" s="196">
        <f>5+16</f>
        <v>21</v>
      </c>
      <c r="BS61" s="170">
        <v>28.265180000000001</v>
      </c>
      <c r="BT61" s="196">
        <f>7-1.9-0.4</f>
        <v>4.6999999999999993</v>
      </c>
      <c r="BU61" s="170"/>
      <c r="BV61" s="196">
        <f>270+13</f>
        <v>283</v>
      </c>
      <c r="BW61" s="251">
        <v>284.28869000000003</v>
      </c>
      <c r="BX61" s="254">
        <v>284.28869000000003</v>
      </c>
      <c r="BY61" s="88">
        <f t="shared" si="4"/>
        <v>150.61802000000012</v>
      </c>
      <c r="BZ61" s="258">
        <f>5-2.6+1.3</f>
        <v>3.7</v>
      </c>
      <c r="CA61" s="258">
        <v>5</v>
      </c>
      <c r="CB61" s="258">
        <v>5</v>
      </c>
      <c r="CC61" s="258">
        <f>25.1+40</f>
        <v>65.099999999999994</v>
      </c>
      <c r="CD61" s="258">
        <f>43.2180200000001+28.6+40-40</f>
        <v>71.818020000000104</v>
      </c>
      <c r="CE61" s="258"/>
      <c r="CF61" s="258"/>
      <c r="CG61" s="258"/>
      <c r="CH61" s="258"/>
      <c r="CI61" s="258"/>
      <c r="CJ61" s="258"/>
      <c r="CK61" s="258"/>
      <c r="CL61" s="211">
        <f t="shared" ref="CL61:CL92" si="37">SUM(CM61:CX61)</f>
        <v>0</v>
      </c>
      <c r="CM61" s="212"/>
      <c r="CN61" s="212"/>
      <c r="CO61" s="212"/>
      <c r="CP61" s="212"/>
      <c r="CQ61" s="212"/>
      <c r="CR61" s="212"/>
      <c r="CS61" s="212"/>
      <c r="CT61" s="212"/>
      <c r="CU61" s="212"/>
      <c r="CV61" s="212"/>
      <c r="CW61" s="212"/>
      <c r="CX61" s="212"/>
      <c r="CY61" s="216">
        <f t="shared" si="26"/>
        <v>-1.288690000000031</v>
      </c>
      <c r="CZ61" s="185">
        <f t="shared" si="5"/>
        <v>0</v>
      </c>
      <c r="DA61" s="217">
        <f t="shared" si="27"/>
        <v>28.265180000000001</v>
      </c>
      <c r="DB61" s="217">
        <f t="shared" si="28"/>
        <v>284.28869000000003</v>
      </c>
      <c r="DC61" s="217">
        <f t="shared" ref="DC61:DC92" si="38">SUM(AY61,BY61)</f>
        <v>463.17189000000013</v>
      </c>
      <c r="DD61" s="256">
        <v>423.18320000000011</v>
      </c>
      <c r="DE61" s="217">
        <f t="shared" ref="DE61:DE92" si="39">DC61-DD61</f>
        <v>39.98869000000002</v>
      </c>
      <c r="DF61" s="185" t="e">
        <f>SUM(DN61:DO61)-SUM(#REF!,BV61)+BU61</f>
        <v>#REF!</v>
      </c>
      <c r="DG61" s="223"/>
      <c r="DH61" s="241">
        <f t="shared" ref="DH61:DH92" si="40">SUM(BA61,BC61,BE61)</f>
        <v>0</v>
      </c>
      <c r="DI61" s="241">
        <f t="shared" ref="DI61:DI92" si="41">SUM(BG61,BI61,BK61)</f>
        <v>0</v>
      </c>
      <c r="DJ61" s="241">
        <f t="shared" ref="DJ61:DJ92" si="42">SUM(BM61,BO61,BQ61)</f>
        <v>0</v>
      </c>
      <c r="DK61" s="241" t="e">
        <f>SUM(BS61,#REF!,BV61)</f>
        <v>#REF!</v>
      </c>
      <c r="DL61" s="155">
        <v>465.11658</v>
      </c>
      <c r="DM61" s="155">
        <v>313.84280000000001</v>
      </c>
      <c r="DN61" s="155">
        <v>39.482769999999995</v>
      </c>
      <c r="DO61" s="155">
        <v>4.00936</v>
      </c>
      <c r="DP61" s="155">
        <v>357.33492999999999</v>
      </c>
      <c r="DQ61" s="155">
        <v>107.78165</v>
      </c>
      <c r="DR61" s="23">
        <f>VLOOKUP(C61,[6]Database!$B$143:$AD$521,29,FALSE)</f>
        <v>223.21802000000011</v>
      </c>
      <c r="DS61" s="235">
        <f t="shared" ref="DS61:DS92" si="43">BY61-DR61</f>
        <v>-72.599999999999994</v>
      </c>
    </row>
    <row r="62" spans="1:123" s="23" customFormat="1" ht="24" customHeight="1">
      <c r="A62" s="18"/>
      <c r="B62" s="2">
        <v>216</v>
      </c>
      <c r="C62" s="85" t="s">
        <v>991</v>
      </c>
      <c r="D62" s="285" t="s">
        <v>602</v>
      </c>
      <c r="E62" s="85"/>
      <c r="F62" s="3">
        <v>2021</v>
      </c>
      <c r="G62" s="4">
        <v>44334</v>
      </c>
      <c r="H62" s="4">
        <v>44344</v>
      </c>
      <c r="I62" s="4"/>
      <c r="J62" s="15">
        <f t="shared" ca="1" si="21"/>
        <v>-953.40661944444582</v>
      </c>
      <c r="K62" s="177">
        <v>44561</v>
      </c>
      <c r="L62" s="177">
        <v>44651</v>
      </c>
      <c r="M62" s="177"/>
      <c r="N62" s="177" t="s">
        <v>609</v>
      </c>
      <c r="O62" s="177"/>
      <c r="P62" s="222" t="s">
        <v>1395</v>
      </c>
      <c r="Q62" s="222" t="s">
        <v>1393</v>
      </c>
      <c r="R62" s="3" t="s">
        <v>179</v>
      </c>
      <c r="S62" s="13"/>
      <c r="T62" s="48"/>
      <c r="U62" s="5" t="s">
        <v>8</v>
      </c>
      <c r="V62" s="268">
        <v>4175016</v>
      </c>
      <c r="W62" s="5" t="s">
        <v>614</v>
      </c>
      <c r="X62" s="5" t="s">
        <v>481</v>
      </c>
      <c r="Y62" s="5" t="s">
        <v>1445</v>
      </c>
      <c r="Z62" s="3" t="s">
        <v>188</v>
      </c>
      <c r="AA62" s="6" t="s">
        <v>463</v>
      </c>
      <c r="AB62" s="151" t="s">
        <v>1479</v>
      </c>
      <c r="AC62" s="177">
        <v>44561</v>
      </c>
      <c r="AD62" s="177">
        <v>44561</v>
      </c>
      <c r="AE62" s="177">
        <f t="shared" si="36"/>
        <v>44592</v>
      </c>
      <c r="AF62" s="5" t="s">
        <v>1133</v>
      </c>
      <c r="AG62" s="5" t="s">
        <v>1488</v>
      </c>
      <c r="AH62" s="296">
        <v>9.3299999999999994E-2</v>
      </c>
      <c r="AI62" s="83"/>
      <c r="AJ62" s="83"/>
      <c r="AK62" s="237" t="e">
        <f>SUM(#REF!,BT62,BV62)</f>
        <v>#REF!</v>
      </c>
      <c r="AL62" s="52" t="s">
        <v>1193</v>
      </c>
      <c r="AM62" s="52" t="s">
        <v>1194</v>
      </c>
      <c r="AN62" s="52" t="s">
        <v>1194</v>
      </c>
      <c r="AO62" s="52" t="s">
        <v>602</v>
      </c>
      <c r="AP62" s="52" t="s">
        <v>602</v>
      </c>
      <c r="AQ62" s="52" t="s">
        <v>602</v>
      </c>
      <c r="AR62" s="56"/>
      <c r="AS62" s="56"/>
      <c r="AT62" s="56"/>
      <c r="AU62" s="221">
        <v>67</v>
      </c>
      <c r="AV62" s="38">
        <v>75</v>
      </c>
      <c r="AW62" s="38"/>
      <c r="AX62" s="97">
        <f t="shared" si="24"/>
        <v>75</v>
      </c>
      <c r="AY62" s="169">
        <f t="shared" si="3"/>
        <v>67.172110000000004</v>
      </c>
      <c r="AZ62" s="196"/>
      <c r="BA62" s="170"/>
      <c r="BB62" s="196"/>
      <c r="BC62" s="170"/>
      <c r="BD62" s="196"/>
      <c r="BE62" s="170"/>
      <c r="BF62" s="196"/>
      <c r="BG62" s="170"/>
      <c r="BH62" s="196">
        <v>0</v>
      </c>
      <c r="BI62" s="170"/>
      <c r="BJ62" s="196">
        <v>0</v>
      </c>
      <c r="BK62" s="170"/>
      <c r="BL62" s="196"/>
      <c r="BM62" s="170"/>
      <c r="BN62" s="196">
        <v>10</v>
      </c>
      <c r="BO62" s="170"/>
      <c r="BP62" s="196">
        <v>16</v>
      </c>
      <c r="BQ62" s="170">
        <v>10.683440000000001</v>
      </c>
      <c r="BR62" s="196">
        <f>24-0.4</f>
        <v>23.6</v>
      </c>
      <c r="BS62" s="170">
        <v>11.508100000000001</v>
      </c>
      <c r="BT62" s="196">
        <f>20+11.4+1.2-0.5</f>
        <v>32.1</v>
      </c>
      <c r="BU62" s="170">
        <v>22.900639999999999</v>
      </c>
      <c r="BV62" s="196">
        <f>13+4.5+1.2-10+7.7+1.7</f>
        <v>18.099999999999998</v>
      </c>
      <c r="BW62" s="251">
        <v>22.079930000000004</v>
      </c>
      <c r="BX62" s="254">
        <v>22.079930000000004</v>
      </c>
      <c r="BY62" s="88">
        <f t="shared" si="4"/>
        <v>1</v>
      </c>
      <c r="BZ62" s="258">
        <v>1</v>
      </c>
      <c r="CA62" s="258"/>
      <c r="CB62" s="258"/>
      <c r="CC62" s="258"/>
      <c r="CD62" s="258"/>
      <c r="CE62" s="258"/>
      <c r="CF62" s="258"/>
      <c r="CG62" s="258"/>
      <c r="CH62" s="258"/>
      <c r="CI62" s="258"/>
      <c r="CJ62" s="258"/>
      <c r="CK62" s="258"/>
      <c r="CL62" s="211">
        <f t="shared" si="37"/>
        <v>0</v>
      </c>
      <c r="CM62" s="212"/>
      <c r="CN62" s="212"/>
      <c r="CO62" s="212"/>
      <c r="CP62" s="212"/>
      <c r="CQ62" s="212"/>
      <c r="CR62" s="212"/>
      <c r="CS62" s="212"/>
      <c r="CT62" s="212"/>
      <c r="CU62" s="212"/>
      <c r="CV62" s="212"/>
      <c r="CW62" s="212"/>
      <c r="CX62" s="212"/>
      <c r="CY62" s="216">
        <f t="shared" si="26"/>
        <v>-3.9799300000000066</v>
      </c>
      <c r="CZ62" s="185">
        <f t="shared" si="5"/>
        <v>0</v>
      </c>
      <c r="DA62" s="217">
        <f t="shared" si="27"/>
        <v>45.092179999999999</v>
      </c>
      <c r="DB62" s="217">
        <f t="shared" si="28"/>
        <v>22.079930000000004</v>
      </c>
      <c r="DC62" s="217">
        <f t="shared" si="38"/>
        <v>68.172110000000004</v>
      </c>
      <c r="DD62" s="256">
        <v>62.991540000000001</v>
      </c>
      <c r="DE62" s="217">
        <f t="shared" si="39"/>
        <v>5.180570000000003</v>
      </c>
      <c r="DF62" s="185" t="e">
        <f>SUM(DN62:DO62)-SUM(#REF!,BV62)+BU62</f>
        <v>#REF!</v>
      </c>
      <c r="DG62" s="223" t="s">
        <v>1265</v>
      </c>
      <c r="DH62" s="241">
        <f t="shared" si="40"/>
        <v>0</v>
      </c>
      <c r="DI62" s="241">
        <f t="shared" si="41"/>
        <v>0</v>
      </c>
      <c r="DJ62" s="241">
        <f t="shared" si="42"/>
        <v>10.683440000000001</v>
      </c>
      <c r="DK62" s="241" t="e">
        <f>SUM(BS62,#REF!,BV62)</f>
        <v>#REF!</v>
      </c>
      <c r="DL62" s="155">
        <v>82</v>
      </c>
      <c r="DM62" s="155">
        <v>67.172110000000004</v>
      </c>
      <c r="DN62" s="155">
        <v>12.63987</v>
      </c>
      <c r="DO62" s="155">
        <v>0</v>
      </c>
      <c r="DP62" s="155">
        <v>79.811979999999991</v>
      </c>
      <c r="DQ62" s="155">
        <v>2.1880199999999999</v>
      </c>
      <c r="DR62" s="23">
        <f>VLOOKUP(C62,[6]Database!$B$143:$AD$521,29,FALSE)</f>
        <v>0</v>
      </c>
      <c r="DS62" s="235">
        <f t="shared" si="43"/>
        <v>1</v>
      </c>
    </row>
    <row r="63" spans="1:123" s="23" customFormat="1" ht="24" customHeight="1">
      <c r="A63" s="18"/>
      <c r="B63" s="2">
        <v>200</v>
      </c>
      <c r="C63" s="85" t="s">
        <v>754</v>
      </c>
      <c r="D63" s="153" t="s">
        <v>1264</v>
      </c>
      <c r="E63" s="85"/>
      <c r="F63" s="3">
        <v>2021</v>
      </c>
      <c r="G63" s="4">
        <v>44256</v>
      </c>
      <c r="H63" s="4">
        <v>44286</v>
      </c>
      <c r="I63" s="4"/>
      <c r="J63" s="15">
        <f t="shared" ca="1" si="21"/>
        <v>-1012.4066194444458</v>
      </c>
      <c r="K63" s="177">
        <f t="shared" ref="K63:K94" si="44">IF(H63="","",H63+547)</f>
        <v>44833</v>
      </c>
      <c r="L63" s="177">
        <f t="shared" ref="L63:L94" si="45">IF(H63="","",H63+730)</f>
        <v>45016</v>
      </c>
      <c r="M63" s="177"/>
      <c r="N63" s="177"/>
      <c r="O63" s="177"/>
      <c r="P63" s="177"/>
      <c r="Q63" s="177"/>
      <c r="R63" s="3" t="s">
        <v>176</v>
      </c>
      <c r="S63" s="13" t="s">
        <v>982</v>
      </c>
      <c r="T63" s="48" t="s">
        <v>977</v>
      </c>
      <c r="U63" s="84" t="s">
        <v>8</v>
      </c>
      <c r="V63" s="268">
        <v>3815429</v>
      </c>
      <c r="W63" s="5" t="s">
        <v>614</v>
      </c>
      <c r="X63" s="5" t="s">
        <v>474</v>
      </c>
      <c r="Y63" s="5" t="s">
        <v>799</v>
      </c>
      <c r="Z63" s="85" t="s">
        <v>186</v>
      </c>
      <c r="AA63" s="6" t="s">
        <v>463</v>
      </c>
      <c r="AB63" s="151" t="s">
        <v>1347</v>
      </c>
      <c r="AC63" s="177">
        <v>44620</v>
      </c>
      <c r="AD63" s="177">
        <v>44620</v>
      </c>
      <c r="AE63" s="177">
        <f t="shared" si="36"/>
        <v>44957</v>
      </c>
      <c r="AF63" s="5"/>
      <c r="AG63" s="5"/>
      <c r="AH63" s="296"/>
      <c r="AI63" s="83"/>
      <c r="AJ63" s="83" t="s">
        <v>1309</v>
      </c>
      <c r="AK63" s="237" t="e">
        <f>SUM(#REF!,BT63,BV63)</f>
        <v>#REF!</v>
      </c>
      <c r="AL63" s="52" t="s">
        <v>1259</v>
      </c>
      <c r="AM63" s="52" t="s">
        <v>1251</v>
      </c>
      <c r="AN63" s="52" t="s">
        <v>1188</v>
      </c>
      <c r="AO63" s="52" t="s">
        <v>602</v>
      </c>
      <c r="AP63" s="52" t="s">
        <v>602</v>
      </c>
      <c r="AQ63" s="52" t="s">
        <v>602</v>
      </c>
      <c r="AR63" s="56"/>
      <c r="AS63" s="56"/>
      <c r="AT63" s="56"/>
      <c r="AU63" s="56">
        <v>0</v>
      </c>
      <c r="AV63" s="38">
        <v>75</v>
      </c>
      <c r="AW63" s="38">
        <v>23.8</v>
      </c>
      <c r="AX63" s="97">
        <f t="shared" si="24"/>
        <v>98.8</v>
      </c>
      <c r="AY63" s="169">
        <f t="shared" si="3"/>
        <v>67.095259999999996</v>
      </c>
      <c r="AZ63" s="196"/>
      <c r="BA63" s="170"/>
      <c r="BB63" s="196">
        <v>0</v>
      </c>
      <c r="BC63" s="170"/>
      <c r="BD63" s="196">
        <v>0</v>
      </c>
      <c r="BE63" s="170">
        <v>0</v>
      </c>
      <c r="BF63" s="196">
        <v>0</v>
      </c>
      <c r="BG63" s="170"/>
      <c r="BH63" s="196">
        <v>0</v>
      </c>
      <c r="BI63" s="170"/>
      <c r="BJ63" s="196">
        <v>0</v>
      </c>
      <c r="BK63" s="170"/>
      <c r="BL63" s="196"/>
      <c r="BM63" s="170"/>
      <c r="BN63" s="196"/>
      <c r="BO63" s="170"/>
      <c r="BP63" s="196"/>
      <c r="BQ63" s="170"/>
      <c r="BR63" s="196"/>
      <c r="BS63" s="170"/>
      <c r="BT63" s="196">
        <v>50</v>
      </c>
      <c r="BU63" s="170">
        <v>42.585209999999996</v>
      </c>
      <c r="BV63" s="196">
        <f>25+7</f>
        <v>32</v>
      </c>
      <c r="BW63" s="251">
        <v>24.51005</v>
      </c>
      <c r="BX63" s="254">
        <v>24.51005</v>
      </c>
      <c r="BY63" s="88">
        <f t="shared" si="4"/>
        <v>7.5</v>
      </c>
      <c r="BZ63" s="258">
        <v>0.4</v>
      </c>
      <c r="CA63" s="258"/>
      <c r="CB63" s="258">
        <v>3</v>
      </c>
      <c r="CC63" s="258">
        <v>3</v>
      </c>
      <c r="CD63" s="258">
        <v>1.1000000000000001</v>
      </c>
      <c r="CE63" s="258"/>
      <c r="CF63" s="258"/>
      <c r="CG63" s="258"/>
      <c r="CH63" s="258"/>
      <c r="CI63" s="258"/>
      <c r="CJ63" s="258"/>
      <c r="CK63" s="258"/>
      <c r="CL63" s="211">
        <f t="shared" si="37"/>
        <v>0</v>
      </c>
      <c r="CM63" s="212"/>
      <c r="CN63" s="212"/>
      <c r="CO63" s="212"/>
      <c r="CP63" s="212"/>
      <c r="CQ63" s="212"/>
      <c r="CR63" s="212"/>
      <c r="CS63" s="212"/>
      <c r="CT63" s="212"/>
      <c r="CU63" s="212"/>
      <c r="CV63" s="212"/>
      <c r="CW63" s="212"/>
      <c r="CX63" s="212"/>
      <c r="CY63" s="216">
        <f t="shared" si="26"/>
        <v>7.4899500000000003</v>
      </c>
      <c r="CZ63" s="185">
        <f t="shared" si="5"/>
        <v>0</v>
      </c>
      <c r="DA63" s="217">
        <f t="shared" si="27"/>
        <v>42.585209999999996</v>
      </c>
      <c r="DB63" s="217">
        <f t="shared" si="28"/>
        <v>24.51005</v>
      </c>
      <c r="DC63" s="217">
        <f t="shared" si="38"/>
        <v>74.595259999999996</v>
      </c>
      <c r="DD63" s="256">
        <v>75</v>
      </c>
      <c r="DE63" s="217">
        <f t="shared" si="39"/>
        <v>-0.40474000000000387</v>
      </c>
      <c r="DF63" s="185" t="e">
        <f>SUM(DN63:DO63)-SUM(#REF!,BV63)+BU63</f>
        <v>#REF!</v>
      </c>
      <c r="DG63" s="223" t="s">
        <v>1267</v>
      </c>
      <c r="DH63" s="241">
        <f t="shared" si="40"/>
        <v>0</v>
      </c>
      <c r="DI63" s="241">
        <f t="shared" si="41"/>
        <v>0</v>
      </c>
      <c r="DJ63" s="241">
        <f t="shared" si="42"/>
        <v>0</v>
      </c>
      <c r="DK63" s="241" t="e">
        <f>SUM(BS63,#REF!,BV63)</f>
        <v>#REF!</v>
      </c>
      <c r="DL63" s="155">
        <v>75</v>
      </c>
      <c r="DM63" s="155">
        <v>67.095259999999996</v>
      </c>
      <c r="DN63" s="155">
        <v>5.0205200000000003</v>
      </c>
      <c r="DO63" s="155">
        <v>0</v>
      </c>
      <c r="DP63" s="155">
        <v>72.115780000000001</v>
      </c>
      <c r="DQ63" s="155">
        <v>2.88422</v>
      </c>
      <c r="DR63" s="23">
        <f>VLOOKUP(C63,[6]Database!$B$143:$AD$521,29,FALSE)</f>
        <v>0</v>
      </c>
      <c r="DS63" s="235">
        <f t="shared" si="43"/>
        <v>7.5</v>
      </c>
    </row>
    <row r="64" spans="1:123" s="23" customFormat="1" ht="24" customHeight="1">
      <c r="A64" s="18"/>
      <c r="B64" s="2">
        <v>175</v>
      </c>
      <c r="C64" s="85" t="s">
        <v>551</v>
      </c>
      <c r="D64" s="85"/>
      <c r="E64" s="85" t="s">
        <v>868</v>
      </c>
      <c r="F64" s="3">
        <v>2020</v>
      </c>
      <c r="G64" s="4">
        <v>44044</v>
      </c>
      <c r="H64" s="187">
        <v>44076</v>
      </c>
      <c r="I64" s="4"/>
      <c r="J64" s="15">
        <f t="shared" ca="1" si="21"/>
        <v>-1224.4066194444458</v>
      </c>
      <c r="K64" s="177">
        <f t="shared" si="44"/>
        <v>44623</v>
      </c>
      <c r="L64" s="177">
        <f t="shared" si="45"/>
        <v>44806</v>
      </c>
      <c r="M64" s="177"/>
      <c r="N64" s="177" t="s">
        <v>609</v>
      </c>
      <c r="O64" s="177"/>
      <c r="P64" s="243" t="s">
        <v>1110</v>
      </c>
      <c r="Q64" s="243" t="s">
        <v>1518</v>
      </c>
      <c r="R64" s="3" t="s">
        <v>176</v>
      </c>
      <c r="S64" s="13" t="s">
        <v>222</v>
      </c>
      <c r="T64" s="13" t="s">
        <v>979</v>
      </c>
      <c r="U64" s="5" t="s">
        <v>9</v>
      </c>
      <c r="V64" s="268">
        <v>3114541</v>
      </c>
      <c r="W64" s="5" t="s">
        <v>614</v>
      </c>
      <c r="X64" s="5" t="s">
        <v>474</v>
      </c>
      <c r="Y64" s="5" t="s">
        <v>1457</v>
      </c>
      <c r="Z64" s="3" t="s">
        <v>181</v>
      </c>
      <c r="AA64" s="6" t="s">
        <v>463</v>
      </c>
      <c r="AB64" s="161" t="s">
        <v>1396</v>
      </c>
      <c r="AC64" s="177">
        <v>44864</v>
      </c>
      <c r="AD64" s="177">
        <v>44926</v>
      </c>
      <c r="AE64" s="177">
        <f t="shared" si="36"/>
        <v>44773</v>
      </c>
      <c r="AF64" s="5" t="s">
        <v>1133</v>
      </c>
      <c r="AG64" s="5"/>
      <c r="AH64" s="296">
        <v>9.7699999999999995E-2</v>
      </c>
      <c r="AI64" s="83"/>
      <c r="AJ64" s="83"/>
      <c r="AK64" s="237" t="e">
        <f>SUM(#REF!,BT64,BV64)</f>
        <v>#REF!</v>
      </c>
      <c r="AL64" s="52" t="s">
        <v>1188</v>
      </c>
      <c r="AM64" s="52" t="s">
        <v>1188</v>
      </c>
      <c r="AN64" s="52" t="s">
        <v>1260</v>
      </c>
      <c r="AO64" s="52" t="s">
        <v>602</v>
      </c>
      <c r="AP64" s="52" t="s">
        <v>602</v>
      </c>
      <c r="AQ64" s="52" t="s">
        <v>602</v>
      </c>
      <c r="AR64" s="56"/>
      <c r="AS64" s="56">
        <v>0</v>
      </c>
      <c r="AT64" s="56">
        <v>561.91526999999996</v>
      </c>
      <c r="AU64" s="56">
        <v>416.00808999999998</v>
      </c>
      <c r="AV64" s="38">
        <v>1074.8106</v>
      </c>
      <c r="AW64" s="38">
        <v>12</v>
      </c>
      <c r="AX64" s="97">
        <f t="shared" si="24"/>
        <v>1086.8106</v>
      </c>
      <c r="AY64" s="169">
        <f t="shared" si="3"/>
        <v>289.70477000000005</v>
      </c>
      <c r="AZ64" s="196">
        <v>10</v>
      </c>
      <c r="BA64" s="170">
        <v>19.008089999999999</v>
      </c>
      <c r="BB64" s="196">
        <v>21</v>
      </c>
      <c r="BC64" s="170">
        <v>6.6780199999999992</v>
      </c>
      <c r="BD64" s="196">
        <v>0</v>
      </c>
      <c r="BE64" s="170">
        <v>5.8019699999999998</v>
      </c>
      <c r="BF64" s="196">
        <v>0</v>
      </c>
      <c r="BG64" s="170">
        <v>12.03707</v>
      </c>
      <c r="BH64" s="196">
        <v>3</v>
      </c>
      <c r="BI64" s="170">
        <v>33.824620000000003</v>
      </c>
      <c r="BJ64" s="196">
        <v>5</v>
      </c>
      <c r="BK64" s="170">
        <v>10.17859</v>
      </c>
      <c r="BL64" s="196">
        <v>4.9000000000000004</v>
      </c>
      <c r="BM64" s="170">
        <v>16.21022</v>
      </c>
      <c r="BN64" s="196">
        <v>4.9000000000000004</v>
      </c>
      <c r="BO64" s="170">
        <v>24.747530000000001</v>
      </c>
      <c r="BP64" s="196">
        <v>2</v>
      </c>
      <c r="BQ64" s="170">
        <v>30.640249999999998</v>
      </c>
      <c r="BR64" s="196">
        <f>20-10-1</f>
        <v>9</v>
      </c>
      <c r="BS64" s="170">
        <v>34.147089999999999</v>
      </c>
      <c r="BT64" s="196">
        <f>1+19.5+0.4</f>
        <v>20.9</v>
      </c>
      <c r="BU64" s="170">
        <v>28.92287</v>
      </c>
      <c r="BV64" s="196">
        <f>1.5+20-12.4+1.7+20+1.2+1.8-0.4</f>
        <v>33.4</v>
      </c>
      <c r="BW64" s="251">
        <v>67.508450000000011</v>
      </c>
      <c r="BX64" s="254">
        <v>67.508450000000011</v>
      </c>
      <c r="BY64" s="88">
        <f t="shared" si="4"/>
        <v>259.89999999999998</v>
      </c>
      <c r="BZ64" s="258">
        <v>0.4</v>
      </c>
      <c r="CA64" s="258">
        <f>24-3-2</f>
        <v>19</v>
      </c>
      <c r="CB64" s="258">
        <v>24</v>
      </c>
      <c r="CC64" s="258">
        <v>24</v>
      </c>
      <c r="CD64" s="258">
        <v>24</v>
      </c>
      <c r="CE64" s="258">
        <v>24</v>
      </c>
      <c r="CF64" s="258">
        <v>24</v>
      </c>
      <c r="CG64" s="258">
        <v>24</v>
      </c>
      <c r="CH64" s="258">
        <v>24</v>
      </c>
      <c r="CI64" s="258">
        <v>24</v>
      </c>
      <c r="CJ64" s="258">
        <v>24</v>
      </c>
      <c r="CK64" s="258">
        <f>27-2.5</f>
        <v>24.5</v>
      </c>
      <c r="CL64" s="211">
        <f t="shared" si="37"/>
        <v>0</v>
      </c>
      <c r="CM64" s="212"/>
      <c r="CN64" s="212"/>
      <c r="CO64" s="212"/>
      <c r="CP64" s="212"/>
      <c r="CQ64" s="212"/>
      <c r="CR64" s="212"/>
      <c r="CS64" s="212"/>
      <c r="CT64" s="212"/>
      <c r="CU64" s="212"/>
      <c r="CV64" s="212"/>
      <c r="CW64" s="212"/>
      <c r="CX64" s="212"/>
      <c r="CY64" s="216">
        <f t="shared" si="26"/>
        <v>-34.108450000000012</v>
      </c>
      <c r="CZ64" s="185">
        <f t="shared" si="5"/>
        <v>0</v>
      </c>
      <c r="DA64" s="217">
        <f t="shared" si="27"/>
        <v>222.19632000000001</v>
      </c>
      <c r="DB64" s="217">
        <f t="shared" si="28"/>
        <v>67.508450000000011</v>
      </c>
      <c r="DC64" s="217">
        <f t="shared" si="38"/>
        <v>549.60477000000003</v>
      </c>
      <c r="DD64" s="256">
        <v>549.67345</v>
      </c>
      <c r="DE64" s="217">
        <f t="shared" si="39"/>
        <v>-6.8679999999972097E-2</v>
      </c>
      <c r="DF64" s="185" t="e">
        <f>SUM(DN64:DO64)-SUM(#REF!,BV64)+BU64</f>
        <v>#REF!</v>
      </c>
      <c r="DG64" s="223"/>
      <c r="DH64" s="241">
        <f t="shared" si="40"/>
        <v>31.48808</v>
      </c>
      <c r="DI64" s="241">
        <f t="shared" si="41"/>
        <v>56.040280000000003</v>
      </c>
      <c r="DJ64" s="241">
        <f t="shared" si="42"/>
        <v>71.597999999999999</v>
      </c>
      <c r="DK64" s="241" t="e">
        <f>SUM(BS64,#REF!,BV64)</f>
        <v>#REF!</v>
      </c>
      <c r="DL64" s="155">
        <v>1074.8106</v>
      </c>
      <c r="DM64" s="155">
        <v>852.00625000000002</v>
      </c>
      <c r="DN64" s="155">
        <v>209.01560999999998</v>
      </c>
      <c r="DO64" s="155">
        <v>0</v>
      </c>
      <c r="DP64" s="155">
        <v>1061.0218600000001</v>
      </c>
      <c r="DQ64" s="155">
        <v>13.788740000000001</v>
      </c>
      <c r="DR64" s="23">
        <f>VLOOKUP(C64,[6]Database!$B$143:$AD$521,29,FALSE)</f>
        <v>314</v>
      </c>
      <c r="DS64" s="235">
        <f t="shared" si="43"/>
        <v>-54.100000000000023</v>
      </c>
    </row>
    <row r="65" spans="1:123" s="23" customFormat="1" ht="24" customHeight="1">
      <c r="A65" s="18"/>
      <c r="B65" s="2">
        <v>211</v>
      </c>
      <c r="C65" s="85" t="s">
        <v>942</v>
      </c>
      <c r="D65" s="285" t="s">
        <v>602</v>
      </c>
      <c r="E65" s="85"/>
      <c r="F65" s="3">
        <v>2021</v>
      </c>
      <c r="G65" s="4">
        <v>44329</v>
      </c>
      <c r="H65" s="4">
        <v>44344</v>
      </c>
      <c r="I65" s="4"/>
      <c r="J65" s="15">
        <f t="shared" ca="1" si="21"/>
        <v>-953.40661944444582</v>
      </c>
      <c r="K65" s="177">
        <f t="shared" si="44"/>
        <v>44891</v>
      </c>
      <c r="L65" s="177">
        <f t="shared" si="45"/>
        <v>45074</v>
      </c>
      <c r="M65" s="177"/>
      <c r="N65" s="177"/>
      <c r="O65" s="177"/>
      <c r="P65" s="177"/>
      <c r="Q65" s="177"/>
      <c r="R65" s="3" t="s">
        <v>177</v>
      </c>
      <c r="S65" s="13"/>
      <c r="T65" s="48"/>
      <c r="U65" s="5" t="s">
        <v>8</v>
      </c>
      <c r="V65" s="268">
        <v>4162039</v>
      </c>
      <c r="W65" s="5" t="s">
        <v>614</v>
      </c>
      <c r="X65" s="5" t="s">
        <v>476</v>
      </c>
      <c r="Y65" s="5" t="s">
        <v>941</v>
      </c>
      <c r="Z65" s="3" t="s">
        <v>186</v>
      </c>
      <c r="AA65" s="6" t="s">
        <v>463</v>
      </c>
      <c r="AB65" s="151" t="s">
        <v>1514</v>
      </c>
      <c r="AC65" s="177">
        <v>44620</v>
      </c>
      <c r="AD65" s="177">
        <v>44591</v>
      </c>
      <c r="AE65" s="177">
        <f t="shared" si="36"/>
        <v>45016</v>
      </c>
      <c r="AF65" s="5"/>
      <c r="AG65" s="5"/>
      <c r="AH65" s="296"/>
      <c r="AI65" s="83"/>
      <c r="AJ65" s="83"/>
      <c r="AK65" s="237" t="e">
        <f>SUM(#REF!,BT65,BV65)</f>
        <v>#REF!</v>
      </c>
      <c r="AL65" s="52"/>
      <c r="AM65" s="52"/>
      <c r="AN65" s="52"/>
      <c r="AO65" s="52"/>
      <c r="AP65" s="52"/>
      <c r="AQ65" s="52"/>
      <c r="AR65" s="56"/>
      <c r="AS65" s="56"/>
      <c r="AT65" s="56"/>
      <c r="AU65" s="56">
        <v>0</v>
      </c>
      <c r="AV65" s="38">
        <v>70</v>
      </c>
      <c r="AW65" s="38"/>
      <c r="AX65" s="97">
        <f t="shared" si="24"/>
        <v>70</v>
      </c>
      <c r="AY65" s="169">
        <f t="shared" si="3"/>
        <v>57.466250000000002</v>
      </c>
      <c r="AZ65" s="196"/>
      <c r="BA65" s="170"/>
      <c r="BB65" s="196"/>
      <c r="BC65" s="170"/>
      <c r="BD65" s="196"/>
      <c r="BE65" s="170"/>
      <c r="BF65" s="196"/>
      <c r="BG65" s="170"/>
      <c r="BH65" s="196">
        <v>0</v>
      </c>
      <c r="BI65" s="170"/>
      <c r="BJ65" s="196">
        <v>0</v>
      </c>
      <c r="BK65" s="170"/>
      <c r="BL65" s="196"/>
      <c r="BM65" s="170"/>
      <c r="BN65" s="196"/>
      <c r="BO65" s="170"/>
      <c r="BP65" s="196">
        <v>2</v>
      </c>
      <c r="BQ65" s="170"/>
      <c r="BR65" s="196">
        <v>2</v>
      </c>
      <c r="BS65" s="170">
        <v>1.5726199999999999</v>
      </c>
      <c r="BT65" s="196">
        <v>52.5</v>
      </c>
      <c r="BU65" s="170">
        <v>29.296970000000002</v>
      </c>
      <c r="BV65" s="196">
        <f>19+3.1</f>
        <v>22.1</v>
      </c>
      <c r="BW65" s="251">
        <v>26.596660000000004</v>
      </c>
      <c r="BX65" s="254">
        <v>26.596660000000004</v>
      </c>
      <c r="BY65" s="88">
        <f t="shared" si="4"/>
        <v>5.3000000000000007</v>
      </c>
      <c r="BZ65" s="258">
        <f>9.8-4.8+0.3</f>
        <v>5.3000000000000007</v>
      </c>
      <c r="CA65" s="258"/>
      <c r="CB65" s="258"/>
      <c r="CC65" s="258"/>
      <c r="CD65" s="258"/>
      <c r="CE65" s="258"/>
      <c r="CF65" s="258"/>
      <c r="CG65" s="258"/>
      <c r="CH65" s="258"/>
      <c r="CI65" s="258"/>
      <c r="CJ65" s="258"/>
      <c r="CK65" s="258"/>
      <c r="CL65" s="211">
        <f t="shared" si="37"/>
        <v>0</v>
      </c>
      <c r="CM65" s="212"/>
      <c r="CN65" s="212"/>
      <c r="CO65" s="212"/>
      <c r="CP65" s="212"/>
      <c r="CQ65" s="212"/>
      <c r="CR65" s="212"/>
      <c r="CS65" s="212"/>
      <c r="CT65" s="212"/>
      <c r="CU65" s="212"/>
      <c r="CV65" s="212"/>
      <c r="CW65" s="212"/>
      <c r="CX65" s="212"/>
      <c r="CY65" s="216">
        <f t="shared" si="26"/>
        <v>-4.4966600000000021</v>
      </c>
      <c r="CZ65" s="185">
        <f t="shared" si="5"/>
        <v>0</v>
      </c>
      <c r="DA65" s="217">
        <f t="shared" si="27"/>
        <v>30.869590000000002</v>
      </c>
      <c r="DB65" s="217">
        <f t="shared" si="28"/>
        <v>26.596660000000004</v>
      </c>
      <c r="DC65" s="217">
        <f t="shared" si="38"/>
        <v>62.766249999999999</v>
      </c>
      <c r="DD65" s="256">
        <v>70.072620000000001</v>
      </c>
      <c r="DE65" s="217">
        <f t="shared" si="39"/>
        <v>-7.3063700000000011</v>
      </c>
      <c r="DF65" s="185" t="e">
        <f>SUM(DN65:DO65)-SUM(#REF!,BV65)+BU65</f>
        <v>#REF!</v>
      </c>
      <c r="DG65" s="223"/>
      <c r="DH65" s="241">
        <f t="shared" si="40"/>
        <v>0</v>
      </c>
      <c r="DI65" s="241">
        <f t="shared" si="41"/>
        <v>0</v>
      </c>
      <c r="DJ65" s="241">
        <f t="shared" si="42"/>
        <v>0</v>
      </c>
      <c r="DK65" s="241" t="e">
        <f>SUM(BS65,#REF!,BV65)</f>
        <v>#REF!</v>
      </c>
      <c r="DL65" s="155">
        <v>70</v>
      </c>
      <c r="DM65" s="155">
        <v>57.466250000000002</v>
      </c>
      <c r="DN65" s="155">
        <v>4.9630000000000001</v>
      </c>
      <c r="DO65" s="155">
        <v>7.0499999999999998E-3</v>
      </c>
      <c r="DP65" s="155">
        <v>62.436300000000003</v>
      </c>
      <c r="DQ65" s="155">
        <v>7.5636999999999999</v>
      </c>
      <c r="DR65" s="23">
        <f>VLOOKUP(C65,[6]Database!$B$143:$AD$521,29,FALSE)</f>
        <v>0</v>
      </c>
      <c r="DS65" s="235">
        <f t="shared" si="43"/>
        <v>5.3000000000000007</v>
      </c>
    </row>
    <row r="66" spans="1:123" s="23" customFormat="1" ht="24" customHeight="1">
      <c r="A66" s="18"/>
      <c r="B66" s="2">
        <v>224</v>
      </c>
      <c r="C66" s="85" t="s">
        <v>1011</v>
      </c>
      <c r="D66" s="85">
        <v>3605</v>
      </c>
      <c r="E66" s="85"/>
      <c r="F66" s="3">
        <v>2021</v>
      </c>
      <c r="G66" s="4">
        <v>44357</v>
      </c>
      <c r="H66" s="4">
        <v>44386</v>
      </c>
      <c r="I66" s="4"/>
      <c r="J66" s="15">
        <f t="shared" ca="1" si="21"/>
        <v>-911.40661944444582</v>
      </c>
      <c r="K66" s="177">
        <f t="shared" si="44"/>
        <v>44933</v>
      </c>
      <c r="L66" s="177">
        <f t="shared" si="45"/>
        <v>45116</v>
      </c>
      <c r="M66" s="177"/>
      <c r="N66" s="177"/>
      <c r="O66" s="177"/>
      <c r="P66" s="177"/>
      <c r="Q66" s="177"/>
      <c r="R66" s="3" t="s">
        <v>176</v>
      </c>
      <c r="S66" s="13" t="s">
        <v>5</v>
      </c>
      <c r="T66" s="13" t="s">
        <v>961</v>
      </c>
      <c r="U66" s="5" t="s">
        <v>8</v>
      </c>
      <c r="V66" s="268">
        <v>4280835</v>
      </c>
      <c r="W66" s="5" t="s">
        <v>614</v>
      </c>
      <c r="X66" s="5" t="s">
        <v>480</v>
      </c>
      <c r="Y66" s="5" t="s">
        <v>1028</v>
      </c>
      <c r="Z66" s="85" t="s">
        <v>186</v>
      </c>
      <c r="AA66" s="6" t="s">
        <v>463</v>
      </c>
      <c r="AB66" s="294" t="s">
        <v>1463</v>
      </c>
      <c r="AC66" s="177">
        <v>44620</v>
      </c>
      <c r="AD66" s="177">
        <v>44620</v>
      </c>
      <c r="AE66" s="177">
        <f t="shared" si="36"/>
        <v>45077</v>
      </c>
      <c r="AF66" s="5"/>
      <c r="AG66" s="5"/>
      <c r="AH66" s="296"/>
      <c r="AI66" s="83"/>
      <c r="AJ66" s="83"/>
      <c r="AK66" s="237" t="e">
        <f>SUM(#REF!,BT66,BV66)</f>
        <v>#REF!</v>
      </c>
      <c r="AL66" s="52" t="s">
        <v>1203</v>
      </c>
      <c r="AM66" s="52" t="s">
        <v>1203</v>
      </c>
      <c r="AN66" s="52" t="s">
        <v>1203</v>
      </c>
      <c r="AO66" s="52" t="s">
        <v>602</v>
      </c>
      <c r="AP66" s="52" t="s">
        <v>602</v>
      </c>
      <c r="AQ66" s="52" t="s">
        <v>602</v>
      </c>
      <c r="AR66" s="56"/>
      <c r="AS66" s="56"/>
      <c r="AT66" s="56"/>
      <c r="AU66" s="56">
        <v>0</v>
      </c>
      <c r="AV66" s="38">
        <v>73.208470000000005</v>
      </c>
      <c r="AW66" s="38">
        <v>22.973980000000001</v>
      </c>
      <c r="AX66" s="97">
        <f t="shared" si="24"/>
        <v>96.182450000000003</v>
      </c>
      <c r="AY66" s="169">
        <f t="shared" si="3"/>
        <v>2.8560099999999999</v>
      </c>
      <c r="AZ66" s="196"/>
      <c r="BA66" s="170"/>
      <c r="BB66" s="196"/>
      <c r="BC66" s="170"/>
      <c r="BD66" s="196"/>
      <c r="BE66" s="170"/>
      <c r="BF66" s="196"/>
      <c r="BG66" s="170"/>
      <c r="BH66" s="196"/>
      <c r="BI66" s="170"/>
      <c r="BJ66" s="196">
        <v>0</v>
      </c>
      <c r="BK66" s="170"/>
      <c r="BL66" s="196"/>
      <c r="BM66" s="170"/>
      <c r="BN66" s="196"/>
      <c r="BO66" s="170"/>
      <c r="BP66" s="196"/>
      <c r="BQ66" s="170"/>
      <c r="BR66" s="196"/>
      <c r="BS66" s="170"/>
      <c r="BT66" s="196">
        <v>36.6</v>
      </c>
      <c r="BU66" s="170"/>
      <c r="BV66" s="234">
        <f>36.6+36.6-32</f>
        <v>41.2</v>
      </c>
      <c r="BW66" s="251">
        <v>2.8560099999999999</v>
      </c>
      <c r="BX66" s="254">
        <v>2.8560099999999999</v>
      </c>
      <c r="BY66" s="88">
        <f t="shared" si="4"/>
        <v>70.3</v>
      </c>
      <c r="BZ66" s="258"/>
      <c r="CA66" s="258">
        <f>15-3.2+0.3</f>
        <v>12.100000000000001</v>
      </c>
      <c r="CB66" s="258">
        <v>26.2</v>
      </c>
      <c r="CC66" s="258">
        <v>32</v>
      </c>
      <c r="CD66" s="258"/>
      <c r="CE66" s="258"/>
      <c r="CF66" s="258"/>
      <c r="CG66" s="258"/>
      <c r="CH66" s="258"/>
      <c r="CI66" s="258"/>
      <c r="CJ66" s="258"/>
      <c r="CK66" s="258"/>
      <c r="CL66" s="211">
        <f t="shared" si="37"/>
        <v>0</v>
      </c>
      <c r="CM66" s="212"/>
      <c r="CN66" s="212"/>
      <c r="CO66" s="212"/>
      <c r="CP66" s="212"/>
      <c r="CQ66" s="212"/>
      <c r="CR66" s="212"/>
      <c r="CS66" s="212"/>
      <c r="CT66" s="212"/>
      <c r="CU66" s="212"/>
      <c r="CV66" s="212"/>
      <c r="CW66" s="212"/>
      <c r="CX66" s="212"/>
      <c r="CY66" s="216">
        <f t="shared" si="26"/>
        <v>38.343990000000005</v>
      </c>
      <c r="CZ66" s="185">
        <f t="shared" si="5"/>
        <v>0</v>
      </c>
      <c r="DA66" s="217">
        <f t="shared" si="27"/>
        <v>0</v>
      </c>
      <c r="DB66" s="217">
        <f t="shared" si="28"/>
        <v>2.8560099999999999</v>
      </c>
      <c r="DC66" s="217">
        <f t="shared" si="38"/>
        <v>73.156009999999995</v>
      </c>
      <c r="DD66" s="256">
        <v>73.2</v>
      </c>
      <c r="DE66" s="217">
        <f t="shared" si="39"/>
        <v>-4.3990000000007967E-2</v>
      </c>
      <c r="DF66" s="185" t="e">
        <f>SUM(DN66:DO66)-SUM(#REF!,BV66)+BU66</f>
        <v>#REF!</v>
      </c>
      <c r="DG66" s="223" t="s">
        <v>1277</v>
      </c>
      <c r="DH66" s="241">
        <f t="shared" si="40"/>
        <v>0</v>
      </c>
      <c r="DI66" s="241">
        <f t="shared" si="41"/>
        <v>0</v>
      </c>
      <c r="DJ66" s="241">
        <f t="shared" si="42"/>
        <v>0</v>
      </c>
      <c r="DK66" s="241" t="e">
        <f>SUM(BS66,#REF!,BV66)</f>
        <v>#REF!</v>
      </c>
      <c r="DL66" s="155">
        <v>73.208470000000005</v>
      </c>
      <c r="DM66" s="155">
        <v>2.8560100000000004</v>
      </c>
      <c r="DN66" s="155">
        <v>47.991599999999998</v>
      </c>
      <c r="DO66" s="155">
        <v>20.9162</v>
      </c>
      <c r="DP66" s="155">
        <v>71.763809999999992</v>
      </c>
      <c r="DQ66" s="155">
        <v>1.4446600000000001</v>
      </c>
      <c r="DR66" s="23">
        <f>VLOOKUP(C66,[6]Database!$B$143:$AD$521,29,FALSE)</f>
        <v>0</v>
      </c>
      <c r="DS66" s="235">
        <f t="shared" si="43"/>
        <v>70.3</v>
      </c>
    </row>
    <row r="67" spans="1:123" s="23" customFormat="1" ht="24" customHeight="1">
      <c r="A67" s="18"/>
      <c r="B67" s="2">
        <v>97</v>
      </c>
      <c r="C67" s="236" t="s">
        <v>77</v>
      </c>
      <c r="D67" s="85"/>
      <c r="E67" s="85" t="s">
        <v>876</v>
      </c>
      <c r="F67" s="3">
        <v>2019</v>
      </c>
      <c r="G67" s="4">
        <v>43551</v>
      </c>
      <c r="H67" s="187">
        <v>43551</v>
      </c>
      <c r="I67" s="4"/>
      <c r="J67" s="15">
        <f t="shared" ca="1" si="21"/>
        <v>-1745.4066194444458</v>
      </c>
      <c r="K67" s="177">
        <f t="shared" si="44"/>
        <v>44098</v>
      </c>
      <c r="L67" s="177">
        <f t="shared" si="45"/>
        <v>44281</v>
      </c>
      <c r="M67" s="249" t="s">
        <v>609</v>
      </c>
      <c r="N67" s="177" t="s">
        <v>609</v>
      </c>
      <c r="O67" s="250" t="s">
        <v>609</v>
      </c>
      <c r="P67" s="243" t="s">
        <v>1110</v>
      </c>
      <c r="Q67" s="243" t="s">
        <v>1518</v>
      </c>
      <c r="R67" s="3" t="s">
        <v>176</v>
      </c>
      <c r="S67" s="13" t="s">
        <v>5</v>
      </c>
      <c r="T67" s="13" t="s">
        <v>952</v>
      </c>
      <c r="U67" s="5" t="s">
        <v>9</v>
      </c>
      <c r="V67" s="268">
        <v>992289</v>
      </c>
      <c r="W67" s="5" t="s">
        <v>614</v>
      </c>
      <c r="X67" s="5" t="s">
        <v>478</v>
      </c>
      <c r="Y67" s="5" t="s">
        <v>78</v>
      </c>
      <c r="Z67" s="3" t="s">
        <v>187</v>
      </c>
      <c r="AA67" s="6" t="s">
        <v>463</v>
      </c>
      <c r="AB67" s="161" t="s">
        <v>1496</v>
      </c>
      <c r="AC67" s="177">
        <v>44864</v>
      </c>
      <c r="AD67" s="177">
        <v>44864</v>
      </c>
      <c r="AE67" s="177">
        <v>44864</v>
      </c>
      <c r="AF67" s="5" t="s">
        <v>1132</v>
      </c>
      <c r="AG67" s="5"/>
      <c r="AH67" s="296"/>
      <c r="AI67" s="83"/>
      <c r="AJ67" s="83"/>
      <c r="AK67" s="237" t="e">
        <f>SUM(#REF!,BT67,BV67)</f>
        <v>#REF!</v>
      </c>
      <c r="AL67" s="166" t="s">
        <v>1242</v>
      </c>
      <c r="AM67" s="166" t="s">
        <v>1247</v>
      </c>
      <c r="AN67" s="166" t="s">
        <v>1188</v>
      </c>
      <c r="AO67" s="166" t="s">
        <v>1243</v>
      </c>
      <c r="AP67" s="166" t="s">
        <v>1244</v>
      </c>
      <c r="AQ67" s="52" t="s">
        <v>1249</v>
      </c>
      <c r="AR67" s="56">
        <v>49.085639999999998</v>
      </c>
      <c r="AS67" s="56">
        <v>354.58019999999999</v>
      </c>
      <c r="AT67" s="56">
        <v>44.27908</v>
      </c>
      <c r="AU67" s="56">
        <v>138.62703999999999</v>
      </c>
      <c r="AV67" s="38">
        <f>365.996+6</f>
        <v>371.99599999999998</v>
      </c>
      <c r="AW67" s="38">
        <f>61.05+20</f>
        <v>81.05</v>
      </c>
      <c r="AX67" s="97">
        <f t="shared" si="24"/>
        <v>453.04599999999999</v>
      </c>
      <c r="AY67" s="169">
        <f t="shared" si="3"/>
        <v>118.39652000000001</v>
      </c>
      <c r="AZ67" s="196">
        <v>5</v>
      </c>
      <c r="BA67" s="170">
        <v>3.62704</v>
      </c>
      <c r="BB67" s="196">
        <v>5</v>
      </c>
      <c r="BC67" s="170">
        <v>1.8801300000000001</v>
      </c>
      <c r="BD67" s="196">
        <v>3</v>
      </c>
      <c r="BE67" s="170">
        <v>3.6562299999999999</v>
      </c>
      <c r="BF67" s="196">
        <v>3</v>
      </c>
      <c r="BG67" s="170">
        <v>6.53355</v>
      </c>
      <c r="BH67" s="196">
        <v>4</v>
      </c>
      <c r="BI67" s="170">
        <v>17.70795</v>
      </c>
      <c r="BJ67" s="196">
        <v>6</v>
      </c>
      <c r="BK67" s="170">
        <v>8.8656000000000006</v>
      </c>
      <c r="BL67" s="196">
        <v>6</v>
      </c>
      <c r="BM67" s="170">
        <v>7.6408500000000004</v>
      </c>
      <c r="BN67" s="196"/>
      <c r="BO67" s="170">
        <v>0.58243</v>
      </c>
      <c r="BP67" s="196"/>
      <c r="BQ67" s="170">
        <v>10.995790000000001</v>
      </c>
      <c r="BR67" s="196">
        <f>8-3-0.4</f>
        <v>4.5999999999999996</v>
      </c>
      <c r="BS67" s="170">
        <v>2.4468299999999998</v>
      </c>
      <c r="BT67" s="196">
        <v>6</v>
      </c>
      <c r="BU67" s="170">
        <v>4.4878900000000002</v>
      </c>
      <c r="BV67" s="196">
        <f>51-0.3+0.2+1.6</f>
        <v>52.500000000000007</v>
      </c>
      <c r="BW67" s="251">
        <v>49.972230000000003</v>
      </c>
      <c r="BX67" s="254">
        <v>49.972230000000003</v>
      </c>
      <c r="BY67" s="88">
        <f t="shared" si="4"/>
        <v>78.099999999999994</v>
      </c>
      <c r="BZ67" s="258">
        <f>45-2.2+0.3</f>
        <v>43.099999999999994</v>
      </c>
      <c r="CA67" s="258">
        <v>10</v>
      </c>
      <c r="CB67" s="258">
        <v>10</v>
      </c>
      <c r="CC67" s="258">
        <v>15</v>
      </c>
      <c r="CD67" s="258"/>
      <c r="CE67" s="258"/>
      <c r="CF67" s="258"/>
      <c r="CG67" s="258"/>
      <c r="CH67" s="258"/>
      <c r="CI67" s="258"/>
      <c r="CJ67" s="258"/>
      <c r="CK67" s="258"/>
      <c r="CL67" s="211">
        <f t="shared" si="37"/>
        <v>0</v>
      </c>
      <c r="CM67" s="212"/>
      <c r="CN67" s="212"/>
      <c r="CO67" s="212"/>
      <c r="CP67" s="212"/>
      <c r="CQ67" s="212"/>
      <c r="CR67" s="212"/>
      <c r="CS67" s="212"/>
      <c r="CT67" s="212"/>
      <c r="CU67" s="212"/>
      <c r="CV67" s="212"/>
      <c r="CW67" s="212"/>
      <c r="CX67" s="212"/>
      <c r="CY67" s="216">
        <f t="shared" si="26"/>
        <v>2.5277700000000038</v>
      </c>
      <c r="CZ67" s="185">
        <f t="shared" si="5"/>
        <v>0</v>
      </c>
      <c r="DA67" s="217">
        <f t="shared" si="27"/>
        <v>68.424289999999999</v>
      </c>
      <c r="DB67" s="217">
        <f t="shared" si="28"/>
        <v>49.972230000000003</v>
      </c>
      <c r="DC67" s="217">
        <f t="shared" si="38"/>
        <v>196.49652</v>
      </c>
      <c r="DD67" s="256">
        <v>220.83640000000003</v>
      </c>
      <c r="DE67" s="217">
        <f t="shared" si="39"/>
        <v>-24.339880000000022</v>
      </c>
      <c r="DF67" s="185" t="e">
        <f>SUM(DN67:DO67)-SUM(#REF!,BV67)+BU67</f>
        <v>#REF!</v>
      </c>
      <c r="DG67" s="223"/>
      <c r="DH67" s="241">
        <f t="shared" si="40"/>
        <v>9.1633999999999993</v>
      </c>
      <c r="DI67" s="241">
        <f t="shared" si="41"/>
        <v>33.107100000000003</v>
      </c>
      <c r="DJ67" s="241">
        <f t="shared" si="42"/>
        <v>19.219070000000002</v>
      </c>
      <c r="DK67" s="241" t="e">
        <f>SUM(BS67,#REF!,BV67)</f>
        <v>#REF!</v>
      </c>
      <c r="DL67" s="155">
        <v>371.99599999999998</v>
      </c>
      <c r="DM67" s="155">
        <v>211.75078999999999</v>
      </c>
      <c r="DN67" s="155">
        <v>107.11242999999999</v>
      </c>
      <c r="DO67" s="155">
        <v>2.7E-4</v>
      </c>
      <c r="DP67" s="155">
        <v>318.86349000000001</v>
      </c>
      <c r="DQ67" s="155">
        <v>53.132510000000003</v>
      </c>
      <c r="DR67" s="23">
        <f>VLOOKUP(C67,[6]Database!$B$143:$AD$521,29,FALSE)</f>
        <v>100.00000000000001</v>
      </c>
      <c r="DS67" s="235">
        <f t="shared" si="43"/>
        <v>-21.90000000000002</v>
      </c>
    </row>
    <row r="68" spans="1:123" s="23" customFormat="1" ht="24" customHeight="1">
      <c r="A68" s="18"/>
      <c r="B68" s="2">
        <v>227</v>
      </c>
      <c r="C68" s="85" t="s">
        <v>1006</v>
      </c>
      <c r="D68" s="85">
        <v>16888</v>
      </c>
      <c r="E68" s="85"/>
      <c r="F68" s="3">
        <v>2021</v>
      </c>
      <c r="G68" s="4">
        <v>44361</v>
      </c>
      <c r="H68" s="4">
        <v>44386</v>
      </c>
      <c r="I68" s="4"/>
      <c r="J68" s="15">
        <f t="shared" ca="1" si="21"/>
        <v>-911.40661944444582</v>
      </c>
      <c r="K68" s="177">
        <f t="shared" si="44"/>
        <v>44933</v>
      </c>
      <c r="L68" s="177">
        <f t="shared" si="45"/>
        <v>45116</v>
      </c>
      <c r="M68" s="177"/>
      <c r="N68" s="177"/>
      <c r="O68" s="177"/>
      <c r="P68" s="177"/>
      <c r="Q68" s="177"/>
      <c r="R68" s="3" t="s">
        <v>176</v>
      </c>
      <c r="S68" s="13" t="s">
        <v>985</v>
      </c>
      <c r="T68" s="13" t="s">
        <v>186</v>
      </c>
      <c r="U68" s="5" t="s">
        <v>8</v>
      </c>
      <c r="V68" s="268">
        <v>4321792</v>
      </c>
      <c r="W68" s="5" t="s">
        <v>614</v>
      </c>
      <c r="X68" s="5" t="s">
        <v>474</v>
      </c>
      <c r="Y68" s="5" t="s">
        <v>1031</v>
      </c>
      <c r="Z68" s="3" t="s">
        <v>186</v>
      </c>
      <c r="AA68" s="6" t="s">
        <v>463</v>
      </c>
      <c r="AB68" s="151" t="s">
        <v>1350</v>
      </c>
      <c r="AC68" s="177">
        <v>44926</v>
      </c>
      <c r="AD68" s="177">
        <v>44561</v>
      </c>
      <c r="AE68" s="177">
        <f>IFERROR(EOMONTH(L68,-2),"")</f>
        <v>45077</v>
      </c>
      <c r="AF68" s="5" t="s">
        <v>1133</v>
      </c>
      <c r="AG68" s="5" t="s">
        <v>1126</v>
      </c>
      <c r="AH68" s="296">
        <v>9.9000000000000005E-2</v>
      </c>
      <c r="AI68" s="83"/>
      <c r="AJ68" s="83" t="s">
        <v>1309</v>
      </c>
      <c r="AK68" s="237" t="e">
        <f>SUM(#REF!,BT68,BV68)</f>
        <v>#REF!</v>
      </c>
      <c r="AL68" s="52" t="s">
        <v>1257</v>
      </c>
      <c r="AM68" s="52" t="s">
        <v>1188</v>
      </c>
      <c r="AN68" s="52" t="s">
        <v>1257</v>
      </c>
      <c r="AO68" s="52" t="s">
        <v>602</v>
      </c>
      <c r="AP68" s="52" t="s">
        <v>602</v>
      </c>
      <c r="AQ68" s="52" t="s">
        <v>602</v>
      </c>
      <c r="AR68" s="56"/>
      <c r="AS68" s="56"/>
      <c r="AT68" s="56"/>
      <c r="AU68" s="56">
        <v>0</v>
      </c>
      <c r="AV68" s="38">
        <v>124.16691</v>
      </c>
      <c r="AW68" s="38"/>
      <c r="AX68" s="97">
        <f t="shared" si="24"/>
        <v>124.16691</v>
      </c>
      <c r="AY68" s="169">
        <f t="shared" si="3"/>
        <v>118.18330999999999</v>
      </c>
      <c r="AZ68" s="196"/>
      <c r="BA68" s="170"/>
      <c r="BB68" s="196"/>
      <c r="BC68" s="170"/>
      <c r="BD68" s="196"/>
      <c r="BE68" s="170"/>
      <c r="BF68" s="196"/>
      <c r="BG68" s="170"/>
      <c r="BH68" s="196"/>
      <c r="BI68" s="170"/>
      <c r="BJ68" s="196">
        <v>0</v>
      </c>
      <c r="BK68" s="170"/>
      <c r="BL68" s="196"/>
      <c r="BM68" s="170"/>
      <c r="BN68" s="196"/>
      <c r="BO68" s="170"/>
      <c r="BP68" s="196">
        <v>40</v>
      </c>
      <c r="BQ68" s="170">
        <v>57.560269999999996</v>
      </c>
      <c r="BR68" s="196">
        <f>30+4.6-20-2.1</f>
        <v>12.500000000000002</v>
      </c>
      <c r="BS68" s="170">
        <v>29.637139999999999</v>
      </c>
      <c r="BT68" s="196">
        <f>45.3+3.6</f>
        <v>48.9</v>
      </c>
      <c r="BU68" s="170">
        <v>20.276130000000002</v>
      </c>
      <c r="BV68" s="196">
        <v>16</v>
      </c>
      <c r="BW68" s="251">
        <v>10.709770000000001</v>
      </c>
      <c r="BX68" s="254">
        <v>10.709770000000001</v>
      </c>
      <c r="BY68" s="88">
        <f t="shared" si="4"/>
        <v>0.3</v>
      </c>
      <c r="BZ68" s="258">
        <v>0.3</v>
      </c>
      <c r="CA68" s="258"/>
      <c r="CB68" s="258"/>
      <c r="CC68" s="258"/>
      <c r="CD68" s="258"/>
      <c r="CE68" s="258"/>
      <c r="CF68" s="258"/>
      <c r="CG68" s="258"/>
      <c r="CH68" s="258"/>
      <c r="CI68" s="258"/>
      <c r="CJ68" s="258"/>
      <c r="CK68" s="258"/>
      <c r="CL68" s="211">
        <f t="shared" si="37"/>
        <v>0</v>
      </c>
      <c r="CM68" s="212"/>
      <c r="CN68" s="212"/>
      <c r="CO68" s="212"/>
      <c r="CP68" s="212"/>
      <c r="CQ68" s="212"/>
      <c r="CR68" s="212"/>
      <c r="CS68" s="212"/>
      <c r="CT68" s="212"/>
      <c r="CU68" s="212"/>
      <c r="CV68" s="212"/>
      <c r="CW68" s="212"/>
      <c r="CX68" s="212"/>
      <c r="CY68" s="216">
        <f t="shared" si="26"/>
        <v>5.2902299999999993</v>
      </c>
      <c r="CZ68" s="185">
        <f t="shared" si="5"/>
        <v>0</v>
      </c>
      <c r="DA68" s="217">
        <f t="shared" si="27"/>
        <v>107.47353999999999</v>
      </c>
      <c r="DB68" s="217">
        <f t="shared" si="28"/>
        <v>10.709770000000001</v>
      </c>
      <c r="DC68" s="217">
        <f t="shared" si="38"/>
        <v>118.48330999999999</v>
      </c>
      <c r="DD68" s="256">
        <v>136.09741</v>
      </c>
      <c r="DE68" s="217">
        <f t="shared" si="39"/>
        <v>-17.614100000000008</v>
      </c>
      <c r="DF68" s="185" t="e">
        <f>SUM(DN68:DO68)-SUM(#REF!,BV68)+BU68</f>
        <v>#REF!</v>
      </c>
      <c r="DG68" s="223"/>
      <c r="DH68" s="241">
        <f t="shared" si="40"/>
        <v>0</v>
      </c>
      <c r="DI68" s="241">
        <f t="shared" si="41"/>
        <v>0</v>
      </c>
      <c r="DJ68" s="241">
        <f t="shared" si="42"/>
        <v>57.560269999999996</v>
      </c>
      <c r="DK68" s="241" t="e">
        <f>SUM(BS68,#REF!,BV68)</f>
        <v>#REF!</v>
      </c>
      <c r="DL68" s="155">
        <v>124.16691</v>
      </c>
      <c r="DM68" s="155">
        <v>118.18330999999999</v>
      </c>
      <c r="DN68" s="155">
        <v>0</v>
      </c>
      <c r="DO68" s="155">
        <v>0</v>
      </c>
      <c r="DP68" s="155">
        <v>118.18330999999999</v>
      </c>
      <c r="DQ68" s="155">
        <v>5.9836</v>
      </c>
      <c r="DR68" s="23">
        <f>VLOOKUP(C68,[6]Database!$B$143:$AD$521,29,FALSE)</f>
        <v>23</v>
      </c>
      <c r="DS68" s="235">
        <f t="shared" si="43"/>
        <v>-22.7</v>
      </c>
    </row>
    <row r="69" spans="1:123" s="23" customFormat="1" ht="24" customHeight="1">
      <c r="A69" s="18"/>
      <c r="B69" s="2">
        <v>235</v>
      </c>
      <c r="C69" s="85" t="s">
        <v>1026</v>
      </c>
      <c r="D69" s="85">
        <v>16273</v>
      </c>
      <c r="E69" s="85"/>
      <c r="F69" s="3">
        <v>2021</v>
      </c>
      <c r="G69" s="4">
        <v>44368</v>
      </c>
      <c r="H69" s="4">
        <v>44383</v>
      </c>
      <c r="I69" s="4"/>
      <c r="J69" s="15">
        <f t="shared" ca="1" si="21"/>
        <v>-914.40661944444582</v>
      </c>
      <c r="K69" s="177">
        <f t="shared" si="44"/>
        <v>44930</v>
      </c>
      <c r="L69" s="177">
        <f t="shared" si="45"/>
        <v>45113</v>
      </c>
      <c r="M69" s="177"/>
      <c r="N69" s="177"/>
      <c r="O69" s="177"/>
      <c r="P69" s="177"/>
      <c r="Q69" s="177"/>
      <c r="R69" s="3" t="s">
        <v>176</v>
      </c>
      <c r="S69" s="13" t="s">
        <v>5</v>
      </c>
      <c r="T69" s="48" t="s">
        <v>952</v>
      </c>
      <c r="U69" s="5" t="s">
        <v>8</v>
      </c>
      <c r="V69" s="268">
        <v>4320452</v>
      </c>
      <c r="W69" s="5" t="s">
        <v>614</v>
      </c>
      <c r="X69" s="5" t="s">
        <v>946</v>
      </c>
      <c r="Y69" s="5" t="s">
        <v>1444</v>
      </c>
      <c r="Z69" s="3" t="s">
        <v>186</v>
      </c>
      <c r="AA69" s="6" t="s">
        <v>463</v>
      </c>
      <c r="AB69" s="151" t="s">
        <v>1494</v>
      </c>
      <c r="AC69" s="177">
        <v>44926</v>
      </c>
      <c r="AD69" s="177">
        <v>44773</v>
      </c>
      <c r="AE69" s="177">
        <v>45046</v>
      </c>
      <c r="AF69" s="5"/>
      <c r="AG69" s="5"/>
      <c r="AH69" s="296"/>
      <c r="AI69" s="83"/>
      <c r="AJ69" s="83"/>
      <c r="AK69" s="237" t="e">
        <f>SUM(#REF!,BT69,BV69)</f>
        <v>#REF!</v>
      </c>
      <c r="AL69" s="52" t="s">
        <v>1188</v>
      </c>
      <c r="AM69" s="52" t="s">
        <v>1210</v>
      </c>
      <c r="AN69" s="52" t="s">
        <v>1225</v>
      </c>
      <c r="AO69" s="52" t="s">
        <v>602</v>
      </c>
      <c r="AP69" s="52" t="s">
        <v>602</v>
      </c>
      <c r="AQ69" s="52" t="s">
        <v>602</v>
      </c>
      <c r="AR69" s="56"/>
      <c r="AS69" s="56"/>
      <c r="AT69" s="56"/>
      <c r="AU69" s="56">
        <v>0</v>
      </c>
      <c r="AV69" s="38">
        <v>350.1</v>
      </c>
      <c r="AW69" s="38"/>
      <c r="AX69" s="97">
        <f t="shared" si="24"/>
        <v>350.1</v>
      </c>
      <c r="AY69" s="169">
        <f t="shared" si="3"/>
        <v>107.50660999999999</v>
      </c>
      <c r="AZ69" s="196"/>
      <c r="BA69" s="170"/>
      <c r="BB69" s="196"/>
      <c r="BC69" s="170"/>
      <c r="BD69" s="196"/>
      <c r="BE69" s="170"/>
      <c r="BF69" s="196"/>
      <c r="BG69" s="170"/>
      <c r="BH69" s="196"/>
      <c r="BI69" s="170"/>
      <c r="BJ69" s="196">
        <v>0</v>
      </c>
      <c r="BK69" s="170"/>
      <c r="BL69" s="196"/>
      <c r="BM69" s="170"/>
      <c r="BN69" s="196"/>
      <c r="BO69" s="170">
        <v>7.30938</v>
      </c>
      <c r="BP69" s="196">
        <v>6.7</v>
      </c>
      <c r="BQ69" s="170">
        <v>5.16106</v>
      </c>
      <c r="BR69" s="196">
        <f>19.8332+1.2</f>
        <v>21.033200000000001</v>
      </c>
      <c r="BS69" s="170">
        <v>11.845800000000001</v>
      </c>
      <c r="BT69" s="196">
        <f>45+9.7-0.5</f>
        <v>54.2</v>
      </c>
      <c r="BU69" s="170">
        <v>52.469009999999997</v>
      </c>
      <c r="BV69" s="196">
        <f>10+40-15-13-0.8+0.5</f>
        <v>21.7</v>
      </c>
      <c r="BW69" s="251">
        <v>30.721360000000004</v>
      </c>
      <c r="BX69" s="254">
        <v>30.721360000000004</v>
      </c>
      <c r="BY69" s="88">
        <f t="shared" si="4"/>
        <v>241</v>
      </c>
      <c r="BZ69" s="258">
        <f>20-9.3+0.3</f>
        <v>11</v>
      </c>
      <c r="CA69" s="258">
        <v>20</v>
      </c>
      <c r="CB69" s="258">
        <v>40</v>
      </c>
      <c r="CC69" s="258">
        <v>50</v>
      </c>
      <c r="CD69" s="258">
        <v>50</v>
      </c>
      <c r="CE69" s="258">
        <v>40</v>
      </c>
      <c r="CF69" s="258">
        <v>10</v>
      </c>
      <c r="CG69" s="258">
        <v>10</v>
      </c>
      <c r="CH69" s="258">
        <v>10</v>
      </c>
      <c r="CI69" s="258"/>
      <c r="CJ69" s="258"/>
      <c r="CK69" s="258"/>
      <c r="CL69" s="211">
        <f t="shared" si="37"/>
        <v>0</v>
      </c>
      <c r="CM69" s="212"/>
      <c r="CN69" s="212"/>
      <c r="CO69" s="212"/>
      <c r="CP69" s="212"/>
      <c r="CQ69" s="212"/>
      <c r="CR69" s="212"/>
      <c r="CS69" s="212"/>
      <c r="CT69" s="212"/>
      <c r="CU69" s="212"/>
      <c r="CV69" s="212"/>
      <c r="CW69" s="212"/>
      <c r="CX69" s="212"/>
      <c r="CY69" s="216">
        <f t="shared" si="26"/>
        <v>-9.0213600000000049</v>
      </c>
      <c r="CZ69" s="185">
        <f t="shared" si="5"/>
        <v>0</v>
      </c>
      <c r="DA69" s="217">
        <f t="shared" si="27"/>
        <v>76.785249999999991</v>
      </c>
      <c r="DB69" s="217">
        <f t="shared" si="28"/>
        <v>30.721360000000004</v>
      </c>
      <c r="DC69" s="217">
        <f t="shared" si="38"/>
        <v>348.50661000000002</v>
      </c>
      <c r="DD69" s="256">
        <v>348.51624000000004</v>
      </c>
      <c r="DE69" s="217">
        <f t="shared" si="39"/>
        <v>-9.6300000000155705E-3</v>
      </c>
      <c r="DF69" s="185" t="e">
        <f>SUM(DN69:DO69)-SUM(#REF!,BV69)+BU69</f>
        <v>#REF!</v>
      </c>
      <c r="DG69" s="223"/>
      <c r="DH69" s="241">
        <f t="shared" si="40"/>
        <v>0</v>
      </c>
      <c r="DI69" s="241">
        <f t="shared" si="41"/>
        <v>0</v>
      </c>
      <c r="DJ69" s="241">
        <f t="shared" si="42"/>
        <v>12.47044</v>
      </c>
      <c r="DK69" s="241" t="e">
        <f>SUM(BS69,#REF!,BV69)</f>
        <v>#REF!</v>
      </c>
      <c r="DL69" s="155">
        <v>350.1</v>
      </c>
      <c r="DM69" s="155">
        <v>107.76536999999999</v>
      </c>
      <c r="DN69" s="155">
        <v>33.780169999999998</v>
      </c>
      <c r="DO69" s="155">
        <v>13.188000000000001</v>
      </c>
      <c r="DP69" s="155">
        <v>154.73354</v>
      </c>
      <c r="DQ69" s="155">
        <v>195.36645999999999</v>
      </c>
      <c r="DR69" s="23">
        <f>VLOOKUP(C69,[6]Database!$B$143:$AD$521,29,FALSE)</f>
        <v>250</v>
      </c>
      <c r="DS69" s="235">
        <f t="shared" si="43"/>
        <v>-9</v>
      </c>
    </row>
    <row r="70" spans="1:123" s="23" customFormat="1" ht="24" customHeight="1">
      <c r="A70" s="18"/>
      <c r="B70" s="2"/>
      <c r="C70" s="85" t="s">
        <v>1159</v>
      </c>
      <c r="D70" s="153" t="s">
        <v>1264</v>
      </c>
      <c r="E70" s="85"/>
      <c r="F70" s="3">
        <v>2021</v>
      </c>
      <c r="G70" s="4">
        <v>44445</v>
      </c>
      <c r="H70" s="187">
        <v>44483</v>
      </c>
      <c r="I70" s="4"/>
      <c r="J70" s="15">
        <f t="shared" ca="1" si="21"/>
        <v>-816.40661944444582</v>
      </c>
      <c r="K70" s="177">
        <f t="shared" si="44"/>
        <v>45030</v>
      </c>
      <c r="L70" s="177">
        <f t="shared" si="45"/>
        <v>45213</v>
      </c>
      <c r="M70" s="177"/>
      <c r="N70" s="177"/>
      <c r="O70" s="177"/>
      <c r="P70" s="177"/>
      <c r="Q70" s="177"/>
      <c r="R70" s="3" t="s">
        <v>176</v>
      </c>
      <c r="S70" s="13" t="s">
        <v>982</v>
      </c>
      <c r="T70" s="13" t="s">
        <v>953</v>
      </c>
      <c r="U70" s="5" t="s">
        <v>8</v>
      </c>
      <c r="V70" s="268">
        <v>4723426</v>
      </c>
      <c r="W70" s="5" t="s">
        <v>614</v>
      </c>
      <c r="X70" s="5" t="s">
        <v>481</v>
      </c>
      <c r="Y70" s="5" t="s">
        <v>1162</v>
      </c>
      <c r="Z70" s="3" t="s">
        <v>181</v>
      </c>
      <c r="AA70" s="6" t="s">
        <v>463</v>
      </c>
      <c r="AB70" s="151" t="s">
        <v>1492</v>
      </c>
      <c r="AC70" s="177">
        <v>45016</v>
      </c>
      <c r="AD70" s="177">
        <v>45168</v>
      </c>
      <c r="AE70" s="177">
        <f>IFERROR(EOMONTH(L70,-2),"")</f>
        <v>45169</v>
      </c>
      <c r="AF70" s="5"/>
      <c r="AG70" s="5"/>
      <c r="AH70" s="296"/>
      <c r="AI70" s="83"/>
      <c r="AJ70" s="83" t="s">
        <v>1309</v>
      </c>
      <c r="AK70" s="237" t="e">
        <f>SUM(#REF!,BT70,BV70)</f>
        <v>#REF!</v>
      </c>
      <c r="AL70" s="52" t="s">
        <v>1198</v>
      </c>
      <c r="AM70" s="52" t="s">
        <v>1199</v>
      </c>
      <c r="AN70" s="52" t="s">
        <v>1200</v>
      </c>
      <c r="AO70" s="52" t="s">
        <v>602</v>
      </c>
      <c r="AP70" s="52" t="s">
        <v>602</v>
      </c>
      <c r="AQ70" s="52" t="s">
        <v>602</v>
      </c>
      <c r="AR70" s="56"/>
      <c r="AS70" s="56"/>
      <c r="AT70" s="56"/>
      <c r="AU70" s="56"/>
      <c r="AV70" s="38">
        <v>289.73243000000002</v>
      </c>
      <c r="AW70" s="38"/>
      <c r="AX70" s="97">
        <f t="shared" si="24"/>
        <v>289.73243000000002</v>
      </c>
      <c r="AY70" s="169">
        <f t="shared" ref="AY70:AY133" si="46">BA70+BC70+BE70+BG70+BI70+BK70+BM70+BO70+BQ70+BS70+BU70+BX70</f>
        <v>54.270979999999994</v>
      </c>
      <c r="AZ70" s="196"/>
      <c r="BA70" s="170"/>
      <c r="BB70" s="196"/>
      <c r="BC70" s="170"/>
      <c r="BD70" s="196"/>
      <c r="BE70" s="170"/>
      <c r="BF70" s="196"/>
      <c r="BG70" s="170"/>
      <c r="BH70" s="196"/>
      <c r="BI70" s="170"/>
      <c r="BJ70" s="196"/>
      <c r="BK70" s="170"/>
      <c r="BL70" s="196"/>
      <c r="BM70" s="170"/>
      <c r="BN70" s="196"/>
      <c r="BO70" s="170"/>
      <c r="BP70" s="196"/>
      <c r="BQ70" s="170"/>
      <c r="BR70" s="196"/>
      <c r="BS70" s="170"/>
      <c r="BT70" s="196"/>
      <c r="BU70" s="170">
        <v>1.4383699999999999</v>
      </c>
      <c r="BV70" s="196">
        <f>45-15-1.6+0.2</f>
        <v>28.599999999999998</v>
      </c>
      <c r="BW70" s="251">
        <v>52.832609999999995</v>
      </c>
      <c r="BX70" s="234">
        <v>52.832609999999995</v>
      </c>
      <c r="BY70" s="88">
        <f t="shared" ref="BY70:BY133" si="47">SUM(BZ70:CK70)</f>
        <v>234.2</v>
      </c>
      <c r="BZ70" s="258">
        <f>1+0.2</f>
        <v>1.2</v>
      </c>
      <c r="CA70" s="258">
        <v>1</v>
      </c>
      <c r="CB70" s="258">
        <f>20-15</f>
        <v>5</v>
      </c>
      <c r="CC70" s="258">
        <f>184-10</f>
        <v>174</v>
      </c>
      <c r="CD70" s="258">
        <v>20</v>
      </c>
      <c r="CE70" s="258">
        <v>15</v>
      </c>
      <c r="CF70" s="258">
        <v>18</v>
      </c>
      <c r="CG70" s="258"/>
      <c r="CH70" s="258"/>
      <c r="CI70" s="258"/>
      <c r="CJ70" s="258"/>
      <c r="CK70" s="258"/>
      <c r="CL70" s="211">
        <f t="shared" si="37"/>
        <v>0</v>
      </c>
      <c r="CM70" s="212"/>
      <c r="CN70" s="212"/>
      <c r="CO70" s="212"/>
      <c r="CP70" s="212"/>
      <c r="CQ70" s="212"/>
      <c r="CR70" s="212"/>
      <c r="CS70" s="212"/>
      <c r="CT70" s="212"/>
      <c r="CU70" s="212"/>
      <c r="CV70" s="212"/>
      <c r="CW70" s="212"/>
      <c r="CX70" s="212"/>
      <c r="CY70" s="216">
        <f t="shared" si="26"/>
        <v>-24.232609999999998</v>
      </c>
      <c r="CZ70" s="185">
        <f t="shared" ref="CZ70:CZ133" si="48">BW70-BX70</f>
        <v>0</v>
      </c>
      <c r="DA70" s="217">
        <f t="shared" si="27"/>
        <v>1.4383699999999999</v>
      </c>
      <c r="DB70" s="217">
        <f t="shared" si="28"/>
        <v>52.832609999999995</v>
      </c>
      <c r="DC70" s="217">
        <f t="shared" si="38"/>
        <v>288.47098</v>
      </c>
      <c r="DD70" s="256">
        <v>289</v>
      </c>
      <c r="DE70" s="217">
        <f t="shared" si="39"/>
        <v>-0.52902000000000271</v>
      </c>
      <c r="DF70" s="185" t="e">
        <f>SUM(DN70:DO70)-SUM(#REF!,BV70)+BU70</f>
        <v>#REF!</v>
      </c>
      <c r="DG70" s="223" t="s">
        <v>1286</v>
      </c>
      <c r="DH70" s="241">
        <f t="shared" si="40"/>
        <v>0</v>
      </c>
      <c r="DI70" s="241">
        <f t="shared" si="41"/>
        <v>0</v>
      </c>
      <c r="DJ70" s="241">
        <f t="shared" si="42"/>
        <v>0</v>
      </c>
      <c r="DK70" s="241" t="e">
        <f>SUM(BS70,#REF!,BV70)</f>
        <v>#REF!</v>
      </c>
      <c r="DL70" s="155">
        <v>289.73242999999997</v>
      </c>
      <c r="DM70" s="155">
        <v>54.43186</v>
      </c>
      <c r="DN70" s="155">
        <v>161.15389000000002</v>
      </c>
      <c r="DO70" s="155">
        <v>54.564</v>
      </c>
      <c r="DP70" s="155">
        <v>270.14974999999998</v>
      </c>
      <c r="DQ70" s="155">
        <v>19.58268</v>
      </c>
      <c r="DR70" s="23">
        <f>VLOOKUP(C70,[6]Database!$B$143:$AD$521,29,FALSE)</f>
        <v>244</v>
      </c>
      <c r="DS70" s="235">
        <f t="shared" si="43"/>
        <v>-9.8000000000000114</v>
      </c>
    </row>
    <row r="71" spans="1:123" s="23" customFormat="1" ht="24" customHeight="1">
      <c r="A71" s="18"/>
      <c r="B71" s="2">
        <v>168</v>
      </c>
      <c r="C71" s="85" t="s">
        <v>543</v>
      </c>
      <c r="D71" s="85"/>
      <c r="E71" s="85" t="s">
        <v>884</v>
      </c>
      <c r="F71" s="3">
        <v>2020</v>
      </c>
      <c r="G71" s="4">
        <v>44013</v>
      </c>
      <c r="H71" s="187">
        <v>44076</v>
      </c>
      <c r="I71" s="4"/>
      <c r="J71" s="15">
        <f t="shared" ca="1" si="21"/>
        <v>-1224.4066194444458</v>
      </c>
      <c r="K71" s="177">
        <f t="shared" si="44"/>
        <v>44623</v>
      </c>
      <c r="L71" s="177">
        <f t="shared" si="45"/>
        <v>44806</v>
      </c>
      <c r="M71" s="177"/>
      <c r="N71" s="177" t="s">
        <v>609</v>
      </c>
      <c r="O71" s="177"/>
      <c r="P71" s="222" t="s">
        <v>1394</v>
      </c>
      <c r="Q71" s="177"/>
      <c r="R71" s="3" t="s">
        <v>176</v>
      </c>
      <c r="S71" s="13" t="s">
        <v>5</v>
      </c>
      <c r="T71" s="13" t="s">
        <v>961</v>
      </c>
      <c r="U71" s="5" t="s">
        <v>9</v>
      </c>
      <c r="V71" s="268">
        <v>3112704</v>
      </c>
      <c r="W71" s="5" t="s">
        <v>614</v>
      </c>
      <c r="X71" s="5" t="s">
        <v>478</v>
      </c>
      <c r="Y71" s="5" t="s">
        <v>544</v>
      </c>
      <c r="Z71" s="3" t="s">
        <v>181</v>
      </c>
      <c r="AA71" s="6" t="s">
        <v>463</v>
      </c>
      <c r="AB71" s="151" t="s">
        <v>1511</v>
      </c>
      <c r="AC71" s="177">
        <v>44592</v>
      </c>
      <c r="AD71" s="177">
        <v>44500</v>
      </c>
      <c r="AE71" s="207">
        <f>IFERROR(EOMONTH(L71,-2),"")</f>
        <v>44773</v>
      </c>
      <c r="AF71" s="5" t="s">
        <v>1132</v>
      </c>
      <c r="AG71" s="5" t="s">
        <v>1137</v>
      </c>
      <c r="AH71" s="296"/>
      <c r="AI71" s="83"/>
      <c r="AJ71" s="83"/>
      <c r="AK71" s="237" t="e">
        <f>SUM(#REF!,BT71,BV71)</f>
        <v>#REF!</v>
      </c>
      <c r="AL71" s="166" t="s">
        <v>1188</v>
      </c>
      <c r="AM71" s="166" t="s">
        <v>1188</v>
      </c>
      <c r="AN71" s="166" t="s">
        <v>1188</v>
      </c>
      <c r="AO71" s="166" t="s">
        <v>602</v>
      </c>
      <c r="AP71" s="166" t="s">
        <v>602</v>
      </c>
      <c r="AQ71" s="166" t="s">
        <v>602</v>
      </c>
      <c r="AR71" s="56"/>
      <c r="AS71" s="56">
        <v>0</v>
      </c>
      <c r="AT71" s="56">
        <v>240.96939</v>
      </c>
      <c r="AU71" s="56">
        <v>45.178789999999999</v>
      </c>
      <c r="AV71" s="38">
        <v>309.29599999999999</v>
      </c>
      <c r="AW71" s="38">
        <v>40</v>
      </c>
      <c r="AX71" s="97">
        <f t="shared" si="24"/>
        <v>349.29599999999999</v>
      </c>
      <c r="AY71" s="169">
        <f t="shared" si="46"/>
        <v>46.504460000000002</v>
      </c>
      <c r="AZ71" s="196">
        <v>0</v>
      </c>
      <c r="BA71" s="170">
        <v>5.593490000000001</v>
      </c>
      <c r="BB71" s="196">
        <v>0</v>
      </c>
      <c r="BC71" s="170">
        <v>1.4873299999999998</v>
      </c>
      <c r="BD71" s="196">
        <v>0</v>
      </c>
      <c r="BE71" s="170">
        <v>1.91198</v>
      </c>
      <c r="BF71" s="196">
        <v>6</v>
      </c>
      <c r="BG71" s="170">
        <v>11.064690000000001</v>
      </c>
      <c r="BH71" s="196">
        <v>9</v>
      </c>
      <c r="BI71" s="170">
        <v>7.5035300000000005</v>
      </c>
      <c r="BJ71" s="196">
        <v>5</v>
      </c>
      <c r="BK71" s="170">
        <v>6.98909</v>
      </c>
      <c r="BL71" s="196">
        <v>5</v>
      </c>
      <c r="BM71" s="170"/>
      <c r="BN71" s="196">
        <v>5</v>
      </c>
      <c r="BO71" s="170"/>
      <c r="BP71" s="196">
        <v>5</v>
      </c>
      <c r="BQ71" s="170">
        <v>3.8634400000000002</v>
      </c>
      <c r="BR71" s="196">
        <f>3-0.6</f>
        <v>2.4</v>
      </c>
      <c r="BS71" s="170">
        <v>1.0342499999999999</v>
      </c>
      <c r="BT71" s="196">
        <f>2.4-1.1</f>
        <v>1.2999999999999998</v>
      </c>
      <c r="BU71" s="170">
        <v>4.68248</v>
      </c>
      <c r="BV71" s="196"/>
      <c r="BW71" s="251">
        <v>2.37418</v>
      </c>
      <c r="BX71" s="254">
        <v>2.37418</v>
      </c>
      <c r="BY71" s="88">
        <f t="shared" si="47"/>
        <v>0</v>
      </c>
      <c r="BZ71" s="258"/>
      <c r="CA71" s="258"/>
      <c r="CB71" s="258"/>
      <c r="CC71" s="258"/>
      <c r="CD71" s="258"/>
      <c r="CE71" s="258"/>
      <c r="CF71" s="258"/>
      <c r="CG71" s="258"/>
      <c r="CH71" s="258"/>
      <c r="CI71" s="258"/>
      <c r="CJ71" s="258"/>
      <c r="CK71" s="258"/>
      <c r="CL71" s="211">
        <f t="shared" si="37"/>
        <v>0</v>
      </c>
      <c r="CM71" s="212"/>
      <c r="CN71" s="212"/>
      <c r="CO71" s="212"/>
      <c r="CP71" s="212"/>
      <c r="CQ71" s="212"/>
      <c r="CR71" s="212"/>
      <c r="CS71" s="212"/>
      <c r="CT71" s="212"/>
      <c r="CU71" s="212"/>
      <c r="CV71" s="212"/>
      <c r="CW71" s="212"/>
      <c r="CX71" s="212"/>
      <c r="CY71" s="216">
        <f t="shared" si="26"/>
        <v>-2.37418</v>
      </c>
      <c r="CZ71" s="185">
        <f t="shared" si="48"/>
        <v>0</v>
      </c>
      <c r="DA71" s="217">
        <f t="shared" si="27"/>
        <v>44.130279999999999</v>
      </c>
      <c r="DB71" s="217">
        <f t="shared" si="28"/>
        <v>2.37418</v>
      </c>
      <c r="DC71" s="217">
        <f t="shared" si="38"/>
        <v>46.504460000000002</v>
      </c>
      <c r="DD71" s="256">
        <v>40.747799999999998</v>
      </c>
      <c r="DE71" s="217">
        <f t="shared" si="39"/>
        <v>5.7566600000000037</v>
      </c>
      <c r="DF71" s="185" t="e">
        <f>SUM(DN71:DO71)-SUM(#REF!,BV71)+BU71</f>
        <v>#REF!</v>
      </c>
      <c r="DG71" s="223"/>
      <c r="DH71" s="241">
        <f t="shared" si="40"/>
        <v>8.9928000000000008</v>
      </c>
      <c r="DI71" s="241">
        <f t="shared" si="41"/>
        <v>25.557310000000001</v>
      </c>
      <c r="DJ71" s="241">
        <f t="shared" si="42"/>
        <v>3.8634400000000002</v>
      </c>
      <c r="DK71" s="241" t="e">
        <f>SUM(BS71,#REF!,BV71)</f>
        <v>#REF!</v>
      </c>
      <c r="DL71" s="155">
        <v>309.29599999999999</v>
      </c>
      <c r="DM71" s="155">
        <v>287.54101000000003</v>
      </c>
      <c r="DN71" s="155">
        <v>0.82891999999999999</v>
      </c>
      <c r="DO71" s="155">
        <v>0</v>
      </c>
      <c r="DP71" s="155">
        <v>288.36993000000001</v>
      </c>
      <c r="DQ71" s="155">
        <v>20.926069999999999</v>
      </c>
      <c r="DR71" s="23">
        <f>VLOOKUP(C71,[6]Database!$B$143:$AD$521,29,FALSE)</f>
        <v>0</v>
      </c>
      <c r="DS71" s="235">
        <f t="shared" si="43"/>
        <v>0</v>
      </c>
    </row>
    <row r="72" spans="1:123" s="23" customFormat="1" ht="24" customHeight="1">
      <c r="A72" s="18"/>
      <c r="B72" s="2">
        <v>220</v>
      </c>
      <c r="C72" s="86" t="s">
        <v>994</v>
      </c>
      <c r="D72" s="85">
        <v>2270</v>
      </c>
      <c r="E72" s="85"/>
      <c r="F72" s="3">
        <v>2021</v>
      </c>
      <c r="G72" s="4">
        <v>44347</v>
      </c>
      <c r="H72" s="4">
        <v>44369</v>
      </c>
      <c r="I72" s="4"/>
      <c r="J72" s="15">
        <f t="shared" ca="1" si="21"/>
        <v>-929.40661944444582</v>
      </c>
      <c r="K72" s="177">
        <f t="shared" si="44"/>
        <v>44916</v>
      </c>
      <c r="L72" s="177">
        <f t="shared" si="45"/>
        <v>45099</v>
      </c>
      <c r="M72" s="177"/>
      <c r="N72" s="177"/>
      <c r="O72" s="177"/>
      <c r="P72" s="177"/>
      <c r="Q72" s="177"/>
      <c r="R72" s="3" t="s">
        <v>176</v>
      </c>
      <c r="S72" s="13" t="s">
        <v>224</v>
      </c>
      <c r="T72" s="48" t="s">
        <v>957</v>
      </c>
      <c r="U72" s="5" t="s">
        <v>8</v>
      </c>
      <c r="V72" s="268">
        <v>4249298</v>
      </c>
      <c r="W72" s="5" t="s">
        <v>614</v>
      </c>
      <c r="X72" s="5" t="s">
        <v>946</v>
      </c>
      <c r="Y72" s="5" t="s">
        <v>1074</v>
      </c>
      <c r="Z72" s="85" t="s">
        <v>186</v>
      </c>
      <c r="AA72" s="6" t="s">
        <v>463</v>
      </c>
      <c r="AB72" s="151" t="s">
        <v>1281</v>
      </c>
      <c r="AC72" s="177">
        <v>44895</v>
      </c>
      <c r="AD72" s="177">
        <v>44681</v>
      </c>
      <c r="AE72" s="177">
        <f>IFERROR(EOMONTH(L72,-2),"")</f>
        <v>45046</v>
      </c>
      <c r="AF72" s="5"/>
      <c r="AG72" s="5"/>
      <c r="AH72" s="296"/>
      <c r="AI72" s="83"/>
      <c r="AJ72" s="83"/>
      <c r="AK72" s="237" t="e">
        <f>SUM(#REF!,BT72,BV72)</f>
        <v>#REF!</v>
      </c>
      <c r="AL72" s="52" t="s">
        <v>1188</v>
      </c>
      <c r="AM72" s="52" t="s">
        <v>1210</v>
      </c>
      <c r="AN72" s="52" t="s">
        <v>1215</v>
      </c>
      <c r="AO72" s="52" t="s">
        <v>602</v>
      </c>
      <c r="AP72" s="52" t="s">
        <v>602</v>
      </c>
      <c r="AQ72" s="52" t="s">
        <v>602</v>
      </c>
      <c r="AR72" s="56"/>
      <c r="AS72" s="56"/>
      <c r="AT72" s="56"/>
      <c r="AU72" s="56">
        <v>0</v>
      </c>
      <c r="AV72" s="38">
        <v>103.2</v>
      </c>
      <c r="AW72" s="38">
        <v>10</v>
      </c>
      <c r="AX72" s="97">
        <f t="shared" si="24"/>
        <v>113.2</v>
      </c>
      <c r="AY72" s="169">
        <f t="shared" si="46"/>
        <v>55.596429999999998</v>
      </c>
      <c r="AZ72" s="196"/>
      <c r="BA72" s="170"/>
      <c r="BB72" s="196"/>
      <c r="BC72" s="170"/>
      <c r="BD72" s="196"/>
      <c r="BE72" s="170"/>
      <c r="BF72" s="196"/>
      <c r="BG72" s="170"/>
      <c r="BH72" s="196">
        <v>0</v>
      </c>
      <c r="BI72" s="170"/>
      <c r="BJ72" s="196">
        <v>0</v>
      </c>
      <c r="BK72" s="170"/>
      <c r="BL72" s="196"/>
      <c r="BM72" s="170">
        <v>1.7216300000000002</v>
      </c>
      <c r="BN72" s="196">
        <v>1.5</v>
      </c>
      <c r="BO72" s="170">
        <v>13.01961</v>
      </c>
      <c r="BP72" s="196">
        <v>4.3</v>
      </c>
      <c r="BQ72" s="170">
        <v>5.3675599999999992</v>
      </c>
      <c r="BR72" s="196">
        <f>13.2-9.8-1.2</f>
        <v>2.1999999999999984</v>
      </c>
      <c r="BS72" s="170">
        <v>5.8555799999999998</v>
      </c>
      <c r="BT72" s="196"/>
      <c r="BU72" s="170">
        <v>17.464659999999999</v>
      </c>
      <c r="BV72" s="196">
        <f>7+0.9</f>
        <v>7.9</v>
      </c>
      <c r="BW72" s="251">
        <v>12.167390000000001</v>
      </c>
      <c r="BX72" s="254">
        <v>12.167390000000001</v>
      </c>
      <c r="BY72" s="88">
        <f t="shared" si="47"/>
        <v>49.306519999999999</v>
      </c>
      <c r="BZ72" s="258">
        <v>1.3065200000000008</v>
      </c>
      <c r="CA72" s="258">
        <f>13-4.8</f>
        <v>8.1999999999999993</v>
      </c>
      <c r="CB72" s="258">
        <f>20-0.2</f>
        <v>19.8</v>
      </c>
      <c r="CC72" s="258">
        <v>20</v>
      </c>
      <c r="CD72" s="258"/>
      <c r="CE72" s="258"/>
      <c r="CF72" s="258"/>
      <c r="CG72" s="258"/>
      <c r="CH72" s="258"/>
      <c r="CI72" s="258"/>
      <c r="CJ72" s="258"/>
      <c r="CK72" s="258"/>
      <c r="CL72" s="211">
        <f t="shared" si="37"/>
        <v>0</v>
      </c>
      <c r="CM72" s="212"/>
      <c r="CN72" s="212"/>
      <c r="CO72" s="212"/>
      <c r="CP72" s="212"/>
      <c r="CQ72" s="212"/>
      <c r="CR72" s="212"/>
      <c r="CS72" s="212"/>
      <c r="CT72" s="212"/>
      <c r="CU72" s="212"/>
      <c r="CV72" s="212"/>
      <c r="CW72" s="212"/>
      <c r="CX72" s="212"/>
      <c r="CY72" s="216">
        <f t="shared" si="26"/>
        <v>-4.2673900000000007</v>
      </c>
      <c r="CZ72" s="185">
        <f t="shared" si="48"/>
        <v>0</v>
      </c>
      <c r="DA72" s="217">
        <f t="shared" si="27"/>
        <v>43.429040000000001</v>
      </c>
      <c r="DB72" s="217">
        <f t="shared" si="28"/>
        <v>12.167390000000001</v>
      </c>
      <c r="DC72" s="217">
        <f t="shared" si="38"/>
        <v>104.90295</v>
      </c>
      <c r="DD72" s="256">
        <v>105.76438</v>
      </c>
      <c r="DE72" s="217">
        <f t="shared" si="39"/>
        <v>-0.86142999999999859</v>
      </c>
      <c r="DF72" s="185" t="e">
        <f>SUM(DN72:DO72)-SUM(#REF!,BV72)+BU72</f>
        <v>#REF!</v>
      </c>
      <c r="DG72" s="223"/>
      <c r="DH72" s="241">
        <f t="shared" si="40"/>
        <v>0</v>
      </c>
      <c r="DI72" s="241">
        <f t="shared" si="41"/>
        <v>0</v>
      </c>
      <c r="DJ72" s="241">
        <f t="shared" si="42"/>
        <v>20.108800000000002</v>
      </c>
      <c r="DK72" s="241" t="e">
        <f>SUM(BS72,#REF!,BV72)</f>
        <v>#REF!</v>
      </c>
      <c r="DL72" s="155">
        <v>103.2</v>
      </c>
      <c r="DM72" s="155">
        <v>55.628740000000001</v>
      </c>
      <c r="DN72" s="155">
        <v>22.261009999999999</v>
      </c>
      <c r="DO72" s="155">
        <v>0</v>
      </c>
      <c r="DP72" s="155">
        <v>77.889750000000006</v>
      </c>
      <c r="DQ72" s="155">
        <v>25.31025</v>
      </c>
      <c r="DR72" s="23">
        <f>VLOOKUP(C72,[6]Database!$B$143:$AD$521,29,FALSE)</f>
        <v>80</v>
      </c>
      <c r="DS72" s="235">
        <f t="shared" si="43"/>
        <v>-30.693480000000001</v>
      </c>
    </row>
    <row r="73" spans="1:123" s="23" customFormat="1" ht="24" customHeight="1">
      <c r="A73" s="18"/>
      <c r="B73" s="2">
        <v>161</v>
      </c>
      <c r="C73" s="85" t="s">
        <v>333</v>
      </c>
      <c r="D73" s="85"/>
      <c r="E73" s="85" t="s">
        <v>861</v>
      </c>
      <c r="F73" s="3">
        <v>2020</v>
      </c>
      <c r="G73" s="4">
        <v>43868</v>
      </c>
      <c r="H73" s="187">
        <v>44091</v>
      </c>
      <c r="I73" s="4"/>
      <c r="J73" s="15">
        <f t="shared" ca="1" si="21"/>
        <v>-1209.4066194444458</v>
      </c>
      <c r="K73" s="177">
        <f t="shared" si="44"/>
        <v>44638</v>
      </c>
      <c r="L73" s="177">
        <f t="shared" si="45"/>
        <v>44821</v>
      </c>
      <c r="M73" s="177"/>
      <c r="N73" s="177" t="s">
        <v>609</v>
      </c>
      <c r="O73" s="177"/>
      <c r="P73" s="222" t="s">
        <v>1394</v>
      </c>
      <c r="Q73" s="177"/>
      <c r="R73" s="3" t="s">
        <v>176</v>
      </c>
      <c r="S73" s="13" t="s">
        <v>5</v>
      </c>
      <c r="T73" s="48" t="s">
        <v>951</v>
      </c>
      <c r="U73" s="5" t="s">
        <v>9</v>
      </c>
      <c r="V73" s="268">
        <v>2780598</v>
      </c>
      <c r="W73" s="5" t="s">
        <v>614</v>
      </c>
      <c r="X73" s="5" t="s">
        <v>478</v>
      </c>
      <c r="Y73" s="5" t="s">
        <v>332</v>
      </c>
      <c r="Z73" s="3" t="s">
        <v>181</v>
      </c>
      <c r="AA73" s="6" t="s">
        <v>463</v>
      </c>
      <c r="AB73" s="161" t="s">
        <v>1346</v>
      </c>
      <c r="AC73" s="177">
        <v>44620</v>
      </c>
      <c r="AD73" s="177">
        <v>44500</v>
      </c>
      <c r="AE73" s="177">
        <f>IFERROR(EOMONTH(L73,-2),"")</f>
        <v>44773</v>
      </c>
      <c r="AF73" s="5" t="s">
        <v>1132</v>
      </c>
      <c r="AG73" s="5" t="s">
        <v>1262</v>
      </c>
      <c r="AH73" s="296"/>
      <c r="AI73" s="83" t="s">
        <v>1002</v>
      </c>
      <c r="AJ73" s="83"/>
      <c r="AK73" s="237" t="e">
        <f>SUM(#REF!,BT73,BV73)</f>
        <v>#REF!</v>
      </c>
      <c r="AL73" s="166" t="s">
        <v>1188</v>
      </c>
      <c r="AM73" s="166" t="s">
        <v>1188</v>
      </c>
      <c r="AN73" s="166" t="s">
        <v>1188</v>
      </c>
      <c r="AO73" s="52" t="s">
        <v>602</v>
      </c>
      <c r="AP73" s="52" t="s">
        <v>602</v>
      </c>
      <c r="AQ73" s="52" t="s">
        <v>602</v>
      </c>
      <c r="AR73" s="56">
        <v>0</v>
      </c>
      <c r="AS73" s="56">
        <v>0</v>
      </c>
      <c r="AT73" s="56">
        <v>0</v>
      </c>
      <c r="AU73" s="56">
        <v>1340</v>
      </c>
      <c r="AV73" s="38">
        <v>1647.355</v>
      </c>
      <c r="AW73" s="38">
        <v>42</v>
      </c>
      <c r="AX73" s="97">
        <f t="shared" si="24"/>
        <v>1689.355</v>
      </c>
      <c r="AY73" s="169">
        <f t="shared" si="46"/>
        <v>1325.7426500000001</v>
      </c>
      <c r="AZ73" s="196">
        <v>0</v>
      </c>
      <c r="BA73" s="170">
        <v>0</v>
      </c>
      <c r="BB73" s="196">
        <v>0</v>
      </c>
      <c r="BC73" s="170"/>
      <c r="BD73" s="196">
        <v>0</v>
      </c>
      <c r="BE73" s="170">
        <v>0</v>
      </c>
      <c r="BF73" s="196">
        <v>0</v>
      </c>
      <c r="BG73" s="170"/>
      <c r="BH73" s="196">
        <v>0</v>
      </c>
      <c r="BI73" s="170"/>
      <c r="BJ73" s="196">
        <v>0</v>
      </c>
      <c r="BK73" s="170"/>
      <c r="BL73" s="196">
        <v>900</v>
      </c>
      <c r="BM73" s="170">
        <v>904.99981000000014</v>
      </c>
      <c r="BN73" s="196">
        <v>20</v>
      </c>
      <c r="BO73" s="170">
        <v>33.727879999999999</v>
      </c>
      <c r="BP73" s="196">
        <v>80.22</v>
      </c>
      <c r="BQ73" s="170">
        <v>101.03137000000002</v>
      </c>
      <c r="BR73" s="196">
        <v>113.2</v>
      </c>
      <c r="BS73" s="170">
        <v>126.47781999999999</v>
      </c>
      <c r="BT73" s="196">
        <f>50-13.3</f>
        <v>36.700000000000003</v>
      </c>
      <c r="BU73" s="170">
        <v>98.74248</v>
      </c>
      <c r="BV73" s="196"/>
      <c r="BW73" s="251">
        <v>60.763289999999984</v>
      </c>
      <c r="BX73" s="254">
        <v>60.763289999999984</v>
      </c>
      <c r="BY73" s="88">
        <f t="shared" si="47"/>
        <v>149.19999999999999</v>
      </c>
      <c r="BZ73" s="258"/>
      <c r="CA73" s="258"/>
      <c r="CB73" s="258"/>
      <c r="CC73" s="258"/>
      <c r="CD73" s="258">
        <f>130-10.8</f>
        <v>119.2</v>
      </c>
      <c r="CE73" s="258">
        <v>30</v>
      </c>
      <c r="CF73" s="258"/>
      <c r="CG73" s="258"/>
      <c r="CH73" s="258"/>
      <c r="CI73" s="258"/>
      <c r="CJ73" s="258"/>
      <c r="CK73" s="258"/>
      <c r="CL73" s="211">
        <f t="shared" si="37"/>
        <v>0</v>
      </c>
      <c r="CM73" s="212"/>
      <c r="CN73" s="212"/>
      <c r="CO73" s="212"/>
      <c r="CP73" s="212"/>
      <c r="CQ73" s="212"/>
      <c r="CR73" s="212"/>
      <c r="CS73" s="212"/>
      <c r="CT73" s="212"/>
      <c r="CU73" s="212"/>
      <c r="CV73" s="212"/>
      <c r="CW73" s="212"/>
      <c r="CX73" s="212"/>
      <c r="CY73" s="216">
        <f t="shared" si="26"/>
        <v>-60.763289999999984</v>
      </c>
      <c r="CZ73" s="185">
        <f t="shared" si="48"/>
        <v>0</v>
      </c>
      <c r="DA73" s="217">
        <f t="shared" si="27"/>
        <v>1264.9793600000003</v>
      </c>
      <c r="DB73" s="217">
        <f t="shared" si="28"/>
        <v>60.763289999999984</v>
      </c>
      <c r="DC73" s="217">
        <f t="shared" si="38"/>
        <v>1474.9426500000002</v>
      </c>
      <c r="DD73" s="256">
        <v>1488.9368800000002</v>
      </c>
      <c r="DE73" s="217">
        <f t="shared" si="39"/>
        <v>-13.994230000000016</v>
      </c>
      <c r="DF73" s="185" t="e">
        <f>SUM(DN73:DO73)-SUM(#REF!,BV73)+BU73</f>
        <v>#REF!</v>
      </c>
      <c r="DG73" s="223"/>
      <c r="DH73" s="241">
        <f t="shared" si="40"/>
        <v>0</v>
      </c>
      <c r="DI73" s="241">
        <f t="shared" si="41"/>
        <v>0</v>
      </c>
      <c r="DJ73" s="241">
        <f t="shared" si="42"/>
        <v>1039.7590600000001</v>
      </c>
      <c r="DK73" s="241" t="e">
        <f>SUM(BS73,#REF!,BV73)</f>
        <v>#REF!</v>
      </c>
      <c r="DL73" s="155">
        <v>1647.355</v>
      </c>
      <c r="DM73" s="155">
        <v>1325.75062</v>
      </c>
      <c r="DN73" s="155">
        <v>187.92833999999999</v>
      </c>
      <c r="DO73" s="155">
        <v>0</v>
      </c>
      <c r="DP73" s="155">
        <v>1513.67896</v>
      </c>
      <c r="DQ73" s="155">
        <v>133.67604</v>
      </c>
      <c r="DR73" s="23">
        <f>VLOOKUP(C73,[6]Database!$B$143:$AD$521,29,FALSE)</f>
        <v>286</v>
      </c>
      <c r="DS73" s="235">
        <f t="shared" si="43"/>
        <v>-136.80000000000001</v>
      </c>
    </row>
    <row r="74" spans="1:123" s="23" customFormat="1" ht="24" customHeight="1">
      <c r="A74" s="18"/>
      <c r="B74" s="2">
        <v>30</v>
      </c>
      <c r="C74" s="85" t="s">
        <v>12</v>
      </c>
      <c r="D74" s="85"/>
      <c r="E74" s="85"/>
      <c r="F74" s="3">
        <v>2016</v>
      </c>
      <c r="G74" s="4">
        <v>42473</v>
      </c>
      <c r="H74" s="4">
        <v>42502</v>
      </c>
      <c r="I74" s="4">
        <v>43671</v>
      </c>
      <c r="J74" s="15">
        <f t="shared" ca="1" si="21"/>
        <v>1169</v>
      </c>
      <c r="K74" s="177">
        <f t="shared" si="44"/>
        <v>43049</v>
      </c>
      <c r="L74" s="177">
        <f t="shared" si="45"/>
        <v>43232</v>
      </c>
      <c r="M74" s="177"/>
      <c r="N74" s="177"/>
      <c r="O74" s="177"/>
      <c r="P74" s="177"/>
      <c r="Q74" s="177"/>
      <c r="R74" s="3" t="s">
        <v>176</v>
      </c>
      <c r="S74" s="13" t="s">
        <v>223</v>
      </c>
      <c r="T74" s="13"/>
      <c r="U74" s="5" t="s">
        <v>9</v>
      </c>
      <c r="V74" s="268"/>
      <c r="W74" s="5" t="s">
        <v>614</v>
      </c>
      <c r="X74" s="5" t="s">
        <v>479</v>
      </c>
      <c r="Y74" s="5" t="s">
        <v>13</v>
      </c>
      <c r="Z74" s="3" t="s">
        <v>185</v>
      </c>
      <c r="AA74" s="6" t="s">
        <v>218</v>
      </c>
      <c r="AB74" s="151" t="s">
        <v>197</v>
      </c>
      <c r="AC74" s="177" t="s">
        <v>6</v>
      </c>
      <c r="AD74" s="177" t="s">
        <v>6</v>
      </c>
      <c r="AE74" s="177" t="s">
        <v>6</v>
      </c>
      <c r="AF74" s="5"/>
      <c r="AG74" s="5"/>
      <c r="AH74" s="226"/>
      <c r="AI74" s="83"/>
      <c r="AJ74" s="83"/>
      <c r="AK74" s="237" t="e">
        <f>SUM(#REF!,BT74,BV74)</f>
        <v>#REF!</v>
      </c>
      <c r="AL74" s="52"/>
      <c r="AM74" s="52"/>
      <c r="AN74" s="52"/>
      <c r="AO74" s="52"/>
      <c r="AP74" s="52"/>
      <c r="AQ74" s="52"/>
      <c r="AR74" s="56">
        <v>40.57</v>
      </c>
      <c r="AS74" s="56"/>
      <c r="AT74" s="56">
        <v>0</v>
      </c>
      <c r="AU74" s="56"/>
      <c r="AV74" s="38">
        <v>13168.052</v>
      </c>
      <c r="AW74" s="38">
        <v>28.95</v>
      </c>
      <c r="AX74" s="97">
        <f t="shared" si="24"/>
        <v>13197.002</v>
      </c>
      <c r="AY74" s="169">
        <f t="shared" si="46"/>
        <v>0</v>
      </c>
      <c r="AZ74" s="196">
        <v>0</v>
      </c>
      <c r="BA74" s="170"/>
      <c r="BB74" s="196">
        <v>0</v>
      </c>
      <c r="BC74" s="170"/>
      <c r="BD74" s="196">
        <v>0</v>
      </c>
      <c r="BE74" s="170">
        <v>0</v>
      </c>
      <c r="BF74" s="196">
        <v>0</v>
      </c>
      <c r="BG74" s="170"/>
      <c r="BH74" s="196">
        <v>0</v>
      </c>
      <c r="BI74" s="170"/>
      <c r="BJ74" s="196">
        <v>0</v>
      </c>
      <c r="BK74" s="170"/>
      <c r="BL74" s="196"/>
      <c r="BM74" s="170"/>
      <c r="BN74" s="196"/>
      <c r="BO74" s="170"/>
      <c r="BP74" s="196"/>
      <c r="BQ74" s="170"/>
      <c r="BR74" s="196"/>
      <c r="BS74" s="170"/>
      <c r="BT74" s="196"/>
      <c r="BU74" s="170"/>
      <c r="BV74" s="196"/>
      <c r="BW74" s="251"/>
      <c r="BX74" s="254"/>
      <c r="BY74" s="88">
        <f t="shared" si="47"/>
        <v>0</v>
      </c>
      <c r="BZ74" s="258"/>
      <c r="CA74" s="258"/>
      <c r="CB74" s="258"/>
      <c r="CC74" s="258"/>
      <c r="CD74" s="258"/>
      <c r="CE74" s="258"/>
      <c r="CF74" s="258"/>
      <c r="CG74" s="258"/>
      <c r="CH74" s="258"/>
      <c r="CI74" s="258"/>
      <c r="CJ74" s="258"/>
      <c r="CK74" s="258"/>
      <c r="CL74" s="211">
        <f t="shared" si="37"/>
        <v>0</v>
      </c>
      <c r="CM74" s="212"/>
      <c r="CN74" s="212"/>
      <c r="CO74" s="212"/>
      <c r="CP74" s="212"/>
      <c r="CQ74" s="212"/>
      <c r="CR74" s="212"/>
      <c r="CS74" s="212"/>
      <c r="CT74" s="212"/>
      <c r="CU74" s="212"/>
      <c r="CV74" s="212"/>
      <c r="CW74" s="212"/>
      <c r="CX74" s="212"/>
      <c r="CY74" s="216">
        <f t="shared" si="26"/>
        <v>0</v>
      </c>
      <c r="CZ74" s="185">
        <f t="shared" si="48"/>
        <v>0</v>
      </c>
      <c r="DA74" s="217">
        <f t="shared" si="27"/>
        <v>0</v>
      </c>
      <c r="DB74" s="217">
        <f t="shared" si="28"/>
        <v>0</v>
      </c>
      <c r="DC74" s="217">
        <f t="shared" si="38"/>
        <v>0</v>
      </c>
      <c r="DD74" s="256">
        <v>0</v>
      </c>
      <c r="DE74" s="217">
        <f t="shared" si="39"/>
        <v>0</v>
      </c>
      <c r="DF74" s="185" t="e">
        <f>SUM(DN74:DO74)-SUM(#REF!,BV74)+BU74</f>
        <v>#REF!</v>
      </c>
      <c r="DG74" s="223"/>
      <c r="DH74" s="241">
        <f t="shared" si="40"/>
        <v>0</v>
      </c>
      <c r="DI74" s="241">
        <f t="shared" si="41"/>
        <v>0</v>
      </c>
      <c r="DJ74" s="241">
        <f t="shared" si="42"/>
        <v>0</v>
      </c>
      <c r="DK74" s="241" t="e">
        <f>SUM(BS74,#REF!,BV74)</f>
        <v>#REF!</v>
      </c>
      <c r="DL74" s="155">
        <v>13168.052</v>
      </c>
      <c r="DM74" s="155">
        <v>13053.761689999999</v>
      </c>
      <c r="DN74" s="155">
        <v>0</v>
      </c>
      <c r="DO74" s="155">
        <v>0</v>
      </c>
      <c r="DP74" s="155">
        <v>13053.761689999999</v>
      </c>
      <c r="DQ74" s="155">
        <v>114.29030999999999</v>
      </c>
      <c r="DS74" s="235">
        <f t="shared" si="43"/>
        <v>0</v>
      </c>
    </row>
    <row r="75" spans="1:123" s="23" customFormat="1" ht="24" customHeight="1">
      <c r="A75" s="18"/>
      <c r="B75" s="2">
        <v>31</v>
      </c>
      <c r="C75" s="85" t="s">
        <v>14</v>
      </c>
      <c r="D75" s="85"/>
      <c r="E75" s="85"/>
      <c r="F75" s="3">
        <v>2016</v>
      </c>
      <c r="G75" s="4">
        <v>42552</v>
      </c>
      <c r="H75" s="4">
        <v>42552</v>
      </c>
      <c r="I75" s="4">
        <v>43727</v>
      </c>
      <c r="J75" s="15">
        <f t="shared" ca="1" si="21"/>
        <v>1175</v>
      </c>
      <c r="K75" s="177">
        <f t="shared" si="44"/>
        <v>43099</v>
      </c>
      <c r="L75" s="177">
        <f t="shared" si="45"/>
        <v>43282</v>
      </c>
      <c r="M75" s="177"/>
      <c r="N75" s="177"/>
      <c r="O75" s="177"/>
      <c r="P75" s="177"/>
      <c r="Q75" s="177"/>
      <c r="R75" s="3" t="s">
        <v>176</v>
      </c>
      <c r="S75" s="13" t="s">
        <v>224</v>
      </c>
      <c r="T75" s="13"/>
      <c r="U75" s="5" t="s">
        <v>9</v>
      </c>
      <c r="V75" s="268"/>
      <c r="W75" s="5" t="s">
        <v>614</v>
      </c>
      <c r="X75" s="5" t="s">
        <v>473</v>
      </c>
      <c r="Y75" s="5" t="s">
        <v>11</v>
      </c>
      <c r="Z75" s="3" t="s">
        <v>183</v>
      </c>
      <c r="AA75" s="6" t="s">
        <v>218</v>
      </c>
      <c r="AB75" s="151" t="s">
        <v>197</v>
      </c>
      <c r="AC75" s="177" t="s">
        <v>6</v>
      </c>
      <c r="AD75" s="177" t="s">
        <v>6</v>
      </c>
      <c r="AE75" s="177" t="s">
        <v>6</v>
      </c>
      <c r="AF75" s="5"/>
      <c r="AG75" s="5"/>
      <c r="AH75" s="226"/>
      <c r="AI75" s="83"/>
      <c r="AJ75" s="83"/>
      <c r="AK75" s="237" t="e">
        <f>SUM(#REF!,BT75,BV75)</f>
        <v>#REF!</v>
      </c>
      <c r="AL75" s="52"/>
      <c r="AM75" s="52"/>
      <c r="AN75" s="52"/>
      <c r="AO75" s="52"/>
      <c r="AP75" s="52"/>
      <c r="AQ75" s="52"/>
      <c r="AR75" s="56">
        <v>122.035467576513</v>
      </c>
      <c r="AS75" s="56"/>
      <c r="AT75" s="56">
        <v>0</v>
      </c>
      <c r="AU75" s="56"/>
      <c r="AV75" s="39">
        <v>1296.2</v>
      </c>
      <c r="AW75" s="238">
        <v>96</v>
      </c>
      <c r="AX75" s="97">
        <f t="shared" si="24"/>
        <v>1392.2</v>
      </c>
      <c r="AY75" s="169">
        <f t="shared" si="46"/>
        <v>0</v>
      </c>
      <c r="AZ75" s="196">
        <v>0</v>
      </c>
      <c r="BA75" s="170"/>
      <c r="BB75" s="196">
        <v>0</v>
      </c>
      <c r="BC75" s="170"/>
      <c r="BD75" s="196">
        <v>0</v>
      </c>
      <c r="BE75" s="170">
        <v>0</v>
      </c>
      <c r="BF75" s="196">
        <v>0</v>
      </c>
      <c r="BG75" s="170"/>
      <c r="BH75" s="196">
        <v>0</v>
      </c>
      <c r="BI75" s="170"/>
      <c r="BJ75" s="196">
        <v>0</v>
      </c>
      <c r="BK75" s="170"/>
      <c r="BL75" s="196"/>
      <c r="BM75" s="170"/>
      <c r="BN75" s="196"/>
      <c r="BO75" s="170"/>
      <c r="BP75" s="196"/>
      <c r="BQ75" s="170"/>
      <c r="BR75" s="196"/>
      <c r="BS75" s="170"/>
      <c r="BT75" s="196"/>
      <c r="BU75" s="170"/>
      <c r="BV75" s="196"/>
      <c r="BW75" s="251"/>
      <c r="BX75" s="254"/>
      <c r="BY75" s="88">
        <f t="shared" si="47"/>
        <v>0</v>
      </c>
      <c r="BZ75" s="258"/>
      <c r="CA75" s="258"/>
      <c r="CB75" s="258"/>
      <c r="CC75" s="258"/>
      <c r="CD75" s="258"/>
      <c r="CE75" s="258"/>
      <c r="CF75" s="258"/>
      <c r="CG75" s="258"/>
      <c r="CH75" s="258"/>
      <c r="CI75" s="258"/>
      <c r="CJ75" s="258"/>
      <c r="CK75" s="258"/>
      <c r="CL75" s="211">
        <f t="shared" si="37"/>
        <v>0</v>
      </c>
      <c r="CM75" s="212"/>
      <c r="CN75" s="212"/>
      <c r="CO75" s="212"/>
      <c r="CP75" s="212"/>
      <c r="CQ75" s="212"/>
      <c r="CR75" s="212"/>
      <c r="CS75" s="212"/>
      <c r="CT75" s="212"/>
      <c r="CU75" s="212"/>
      <c r="CV75" s="212"/>
      <c r="CW75" s="212"/>
      <c r="CX75" s="212"/>
      <c r="CY75" s="216">
        <f t="shared" si="26"/>
        <v>0</v>
      </c>
      <c r="CZ75" s="185">
        <f t="shared" si="48"/>
        <v>0</v>
      </c>
      <c r="DA75" s="217">
        <f t="shared" si="27"/>
        <v>0</v>
      </c>
      <c r="DB75" s="217">
        <f t="shared" si="28"/>
        <v>0</v>
      </c>
      <c r="DC75" s="217">
        <f t="shared" si="38"/>
        <v>0</v>
      </c>
      <c r="DD75" s="256">
        <v>0</v>
      </c>
      <c r="DE75" s="217">
        <f t="shared" si="39"/>
        <v>0</v>
      </c>
      <c r="DF75" s="185" t="e">
        <f>SUM(DN75:DO75)-SUM(#REF!,BV75)+BU75</f>
        <v>#REF!</v>
      </c>
      <c r="DG75" s="223"/>
      <c r="DH75" s="241">
        <f t="shared" si="40"/>
        <v>0</v>
      </c>
      <c r="DI75" s="241">
        <f t="shared" si="41"/>
        <v>0</v>
      </c>
      <c r="DJ75" s="241">
        <f t="shared" si="42"/>
        <v>0</v>
      </c>
      <c r="DK75" s="241" t="e">
        <f>SUM(BS75,#REF!,BV75)</f>
        <v>#REF!</v>
      </c>
      <c r="DL75" s="155">
        <v>1296.2</v>
      </c>
      <c r="DM75" s="155">
        <v>1267.7092399999999</v>
      </c>
      <c r="DN75" s="155">
        <v>0</v>
      </c>
      <c r="DO75" s="155">
        <v>0</v>
      </c>
      <c r="DP75" s="155">
        <v>1267.7092399999999</v>
      </c>
      <c r="DQ75" s="155">
        <v>28.490759999999998</v>
      </c>
      <c r="DS75" s="235">
        <f t="shared" si="43"/>
        <v>0</v>
      </c>
    </row>
    <row r="76" spans="1:123" s="23" customFormat="1" ht="24" customHeight="1">
      <c r="A76" s="18"/>
      <c r="B76" s="2">
        <v>32</v>
      </c>
      <c r="C76" s="85" t="s">
        <v>15</v>
      </c>
      <c r="D76" s="85"/>
      <c r="E76" s="85"/>
      <c r="F76" s="3">
        <v>2016</v>
      </c>
      <c r="G76" s="4">
        <v>42703</v>
      </c>
      <c r="H76" s="4">
        <v>42703</v>
      </c>
      <c r="I76" s="4">
        <v>43634</v>
      </c>
      <c r="J76" s="15">
        <f t="shared" ca="1" si="21"/>
        <v>931</v>
      </c>
      <c r="K76" s="177">
        <f t="shared" si="44"/>
        <v>43250</v>
      </c>
      <c r="L76" s="177">
        <f t="shared" si="45"/>
        <v>43433</v>
      </c>
      <c r="M76" s="177"/>
      <c r="N76" s="177"/>
      <c r="O76" s="177"/>
      <c r="P76" s="177"/>
      <c r="Q76" s="177"/>
      <c r="R76" s="3" t="s">
        <v>176</v>
      </c>
      <c r="S76" s="13" t="s">
        <v>222</v>
      </c>
      <c r="T76" s="13"/>
      <c r="U76" s="5" t="s">
        <v>9</v>
      </c>
      <c r="V76" s="268"/>
      <c r="W76" s="5" t="s">
        <v>614</v>
      </c>
      <c r="X76" s="5" t="s">
        <v>474</v>
      </c>
      <c r="Y76" s="5" t="s">
        <v>16</v>
      </c>
      <c r="Z76" s="3" t="s">
        <v>187</v>
      </c>
      <c r="AA76" s="6" t="s">
        <v>218</v>
      </c>
      <c r="AB76" s="151" t="s">
        <v>197</v>
      </c>
      <c r="AC76" s="177" t="s">
        <v>6</v>
      </c>
      <c r="AD76" s="177" t="s">
        <v>6</v>
      </c>
      <c r="AE76" s="177" t="s">
        <v>6</v>
      </c>
      <c r="AF76" s="5"/>
      <c r="AG76" s="5"/>
      <c r="AH76" s="226"/>
      <c r="AI76" s="83"/>
      <c r="AJ76" s="83"/>
      <c r="AK76" s="237" t="e">
        <f>SUM(#REF!,BT76,BV76)</f>
        <v>#REF!</v>
      </c>
      <c r="AL76" s="52"/>
      <c r="AM76" s="52"/>
      <c r="AN76" s="52"/>
      <c r="AO76" s="52"/>
      <c r="AP76" s="52"/>
      <c r="AQ76" s="52"/>
      <c r="AR76" s="56">
        <v>-6.8326061276296297</v>
      </c>
      <c r="AS76" s="56"/>
      <c r="AT76" s="56">
        <v>0</v>
      </c>
      <c r="AU76" s="56"/>
      <c r="AV76" s="39">
        <v>63.1</v>
      </c>
      <c r="AW76" s="38">
        <v>0</v>
      </c>
      <c r="AX76" s="97">
        <f t="shared" si="24"/>
        <v>63.1</v>
      </c>
      <c r="AY76" s="169">
        <f t="shared" si="46"/>
        <v>0</v>
      </c>
      <c r="AZ76" s="196">
        <v>0</v>
      </c>
      <c r="BA76" s="170"/>
      <c r="BB76" s="196">
        <v>0</v>
      </c>
      <c r="BC76" s="170"/>
      <c r="BD76" s="196">
        <v>0</v>
      </c>
      <c r="BE76" s="170">
        <v>0</v>
      </c>
      <c r="BF76" s="196">
        <v>0</v>
      </c>
      <c r="BG76" s="170"/>
      <c r="BH76" s="196">
        <v>0</v>
      </c>
      <c r="BI76" s="170"/>
      <c r="BJ76" s="196">
        <v>0</v>
      </c>
      <c r="BK76" s="170"/>
      <c r="BL76" s="196"/>
      <c r="BM76" s="170"/>
      <c r="BN76" s="196"/>
      <c r="BO76" s="170"/>
      <c r="BP76" s="196"/>
      <c r="BQ76" s="170"/>
      <c r="BR76" s="196"/>
      <c r="BS76" s="170"/>
      <c r="BT76" s="196"/>
      <c r="BU76" s="170"/>
      <c r="BV76" s="196"/>
      <c r="BW76" s="251"/>
      <c r="BX76" s="254"/>
      <c r="BY76" s="88">
        <f t="shared" si="47"/>
        <v>0</v>
      </c>
      <c r="BZ76" s="258"/>
      <c r="CA76" s="258"/>
      <c r="CB76" s="258"/>
      <c r="CC76" s="258"/>
      <c r="CD76" s="258"/>
      <c r="CE76" s="258"/>
      <c r="CF76" s="258"/>
      <c r="CG76" s="258"/>
      <c r="CH76" s="258"/>
      <c r="CI76" s="258"/>
      <c r="CJ76" s="258"/>
      <c r="CK76" s="258"/>
      <c r="CL76" s="211">
        <f t="shared" si="37"/>
        <v>0</v>
      </c>
      <c r="CM76" s="212"/>
      <c r="CN76" s="212"/>
      <c r="CO76" s="212"/>
      <c r="CP76" s="212"/>
      <c r="CQ76" s="212"/>
      <c r="CR76" s="212"/>
      <c r="CS76" s="212"/>
      <c r="CT76" s="212"/>
      <c r="CU76" s="212"/>
      <c r="CV76" s="212"/>
      <c r="CW76" s="212"/>
      <c r="CX76" s="212"/>
      <c r="CY76" s="216">
        <f t="shared" si="26"/>
        <v>0</v>
      </c>
      <c r="CZ76" s="185">
        <f t="shared" si="48"/>
        <v>0</v>
      </c>
      <c r="DA76" s="217">
        <f t="shared" si="27"/>
        <v>0</v>
      </c>
      <c r="DB76" s="217">
        <f t="shared" si="28"/>
        <v>0</v>
      </c>
      <c r="DC76" s="217">
        <f t="shared" si="38"/>
        <v>0</v>
      </c>
      <c r="DD76" s="256">
        <v>0</v>
      </c>
      <c r="DE76" s="217">
        <f t="shared" si="39"/>
        <v>0</v>
      </c>
      <c r="DF76" s="185" t="e">
        <f>SUM(DN76:DO76)-SUM(#REF!,BV76)+BU76</f>
        <v>#REF!</v>
      </c>
      <c r="DG76" s="223"/>
      <c r="DH76" s="241">
        <f t="shared" si="40"/>
        <v>0</v>
      </c>
      <c r="DI76" s="241">
        <f t="shared" si="41"/>
        <v>0</v>
      </c>
      <c r="DJ76" s="241">
        <f t="shared" si="42"/>
        <v>0</v>
      </c>
      <c r="DK76" s="241" t="e">
        <f>SUM(BS76,#REF!,BV76)</f>
        <v>#REF!</v>
      </c>
      <c r="DL76" s="155">
        <v>63.1</v>
      </c>
      <c r="DM76" s="155">
        <v>0</v>
      </c>
      <c r="DN76" s="155">
        <v>0</v>
      </c>
      <c r="DO76" s="155">
        <v>0</v>
      </c>
      <c r="DP76" s="155">
        <v>0</v>
      </c>
      <c r="DQ76" s="155">
        <v>63.1</v>
      </c>
      <c r="DS76" s="235">
        <f t="shared" si="43"/>
        <v>0</v>
      </c>
    </row>
    <row r="77" spans="1:123" s="23" customFormat="1" ht="24" customHeight="1">
      <c r="A77" s="18"/>
      <c r="B77" s="2">
        <v>33</v>
      </c>
      <c r="C77" s="85" t="s">
        <v>17</v>
      </c>
      <c r="D77" s="85"/>
      <c r="E77" s="85" t="s">
        <v>900</v>
      </c>
      <c r="F77" s="3">
        <v>2017</v>
      </c>
      <c r="G77" s="4">
        <v>42794</v>
      </c>
      <c r="H77" s="4">
        <v>42774</v>
      </c>
      <c r="I77" s="4">
        <v>43538</v>
      </c>
      <c r="J77" s="15">
        <f t="shared" ca="1" si="21"/>
        <v>764</v>
      </c>
      <c r="K77" s="177">
        <f t="shared" si="44"/>
        <v>43321</v>
      </c>
      <c r="L77" s="177">
        <f t="shared" si="45"/>
        <v>43504</v>
      </c>
      <c r="M77" s="177"/>
      <c r="N77" s="177"/>
      <c r="O77" s="177"/>
      <c r="P77" s="177"/>
      <c r="Q77" s="177"/>
      <c r="R77" s="3" t="s">
        <v>176</v>
      </c>
      <c r="S77" s="13" t="s">
        <v>223</v>
      </c>
      <c r="T77" s="13"/>
      <c r="U77" s="5" t="s">
        <v>9</v>
      </c>
      <c r="V77" s="268"/>
      <c r="W77" s="5" t="s">
        <v>614</v>
      </c>
      <c r="X77" s="5" t="s">
        <v>481</v>
      </c>
      <c r="Y77" s="5" t="s">
        <v>18</v>
      </c>
      <c r="Z77" s="3" t="s">
        <v>186</v>
      </c>
      <c r="AA77" s="6" t="s">
        <v>218</v>
      </c>
      <c r="AB77" s="151" t="s">
        <v>197</v>
      </c>
      <c r="AC77" s="177" t="s">
        <v>6</v>
      </c>
      <c r="AD77" s="177" t="s">
        <v>6</v>
      </c>
      <c r="AE77" s="177" t="s">
        <v>6</v>
      </c>
      <c r="AF77" s="5"/>
      <c r="AG77" s="5"/>
      <c r="AH77" s="226"/>
      <c r="AI77" s="83"/>
      <c r="AJ77" s="83"/>
      <c r="AK77" s="237" t="e">
        <f>SUM(#REF!,BT77,BV77)</f>
        <v>#REF!</v>
      </c>
      <c r="AL77" s="52"/>
      <c r="AM77" s="52"/>
      <c r="AN77" s="52"/>
      <c r="AO77" s="52"/>
      <c r="AP77" s="52"/>
      <c r="AQ77" s="52"/>
      <c r="AR77" s="56">
        <v>2.2000000000000002</v>
      </c>
      <c r="AS77" s="56"/>
      <c r="AT77" s="56">
        <v>0</v>
      </c>
      <c r="AU77" s="56"/>
      <c r="AV77" s="39">
        <v>350</v>
      </c>
      <c r="AW77" s="38">
        <v>5</v>
      </c>
      <c r="AX77" s="97">
        <f t="shared" si="24"/>
        <v>355</v>
      </c>
      <c r="AY77" s="169">
        <f t="shared" si="46"/>
        <v>0</v>
      </c>
      <c r="AZ77" s="196">
        <v>0</v>
      </c>
      <c r="BA77" s="170"/>
      <c r="BB77" s="196">
        <v>0</v>
      </c>
      <c r="BC77" s="170"/>
      <c r="BD77" s="196">
        <v>0</v>
      </c>
      <c r="BE77" s="170">
        <v>0</v>
      </c>
      <c r="BF77" s="196">
        <v>0</v>
      </c>
      <c r="BG77" s="170"/>
      <c r="BH77" s="196">
        <v>0</v>
      </c>
      <c r="BI77" s="170"/>
      <c r="BJ77" s="196">
        <v>0</v>
      </c>
      <c r="BK77" s="170"/>
      <c r="BL77" s="196"/>
      <c r="BM77" s="170"/>
      <c r="BN77" s="196"/>
      <c r="BO77" s="170"/>
      <c r="BP77" s="196"/>
      <c r="BQ77" s="170"/>
      <c r="BR77" s="196"/>
      <c r="BS77" s="170"/>
      <c r="BT77" s="196"/>
      <c r="BU77" s="170"/>
      <c r="BV77" s="196"/>
      <c r="BW77" s="251"/>
      <c r="BX77" s="254"/>
      <c r="BY77" s="88">
        <f t="shared" si="47"/>
        <v>0</v>
      </c>
      <c r="BZ77" s="258"/>
      <c r="CA77" s="258"/>
      <c r="CB77" s="258"/>
      <c r="CC77" s="258"/>
      <c r="CD77" s="258"/>
      <c r="CE77" s="258"/>
      <c r="CF77" s="258"/>
      <c r="CG77" s="258"/>
      <c r="CH77" s="258"/>
      <c r="CI77" s="258"/>
      <c r="CJ77" s="258"/>
      <c r="CK77" s="258"/>
      <c r="CL77" s="211">
        <f t="shared" si="37"/>
        <v>0</v>
      </c>
      <c r="CM77" s="212"/>
      <c r="CN77" s="212"/>
      <c r="CO77" s="212"/>
      <c r="CP77" s="212"/>
      <c r="CQ77" s="212"/>
      <c r="CR77" s="212"/>
      <c r="CS77" s="212"/>
      <c r="CT77" s="212"/>
      <c r="CU77" s="212"/>
      <c r="CV77" s="212"/>
      <c r="CW77" s="212"/>
      <c r="CX77" s="212"/>
      <c r="CY77" s="216">
        <f t="shared" si="26"/>
        <v>0</v>
      </c>
      <c r="CZ77" s="185">
        <f t="shared" si="48"/>
        <v>0</v>
      </c>
      <c r="DA77" s="217">
        <f t="shared" si="27"/>
        <v>0</v>
      </c>
      <c r="DB77" s="217">
        <f t="shared" si="28"/>
        <v>0</v>
      </c>
      <c r="DC77" s="217">
        <f t="shared" si="38"/>
        <v>0</v>
      </c>
      <c r="DD77" s="256">
        <v>0</v>
      </c>
      <c r="DE77" s="217">
        <f t="shared" si="39"/>
        <v>0</v>
      </c>
      <c r="DF77" s="185" t="e">
        <f>SUM(DN77:DO77)-SUM(#REF!,BV77)+BU77</f>
        <v>#REF!</v>
      </c>
      <c r="DG77" s="223"/>
      <c r="DH77" s="241">
        <f t="shared" si="40"/>
        <v>0</v>
      </c>
      <c r="DI77" s="241">
        <f t="shared" si="41"/>
        <v>0</v>
      </c>
      <c r="DJ77" s="241">
        <f t="shared" si="42"/>
        <v>0</v>
      </c>
      <c r="DK77" s="241" t="e">
        <f>SUM(BS77,#REF!,BV77)</f>
        <v>#REF!</v>
      </c>
      <c r="DL77" s="155">
        <v>350</v>
      </c>
      <c r="DM77" s="155">
        <v>347.07238000000001</v>
      </c>
      <c r="DN77" s="155">
        <v>0</v>
      </c>
      <c r="DO77" s="155">
        <v>0</v>
      </c>
      <c r="DP77" s="155">
        <v>347.07238000000001</v>
      </c>
      <c r="DQ77" s="155">
        <v>2.9276200000000001</v>
      </c>
      <c r="DS77" s="235">
        <f t="shared" si="43"/>
        <v>0</v>
      </c>
    </row>
    <row r="78" spans="1:123" s="23" customFormat="1" ht="24" customHeight="1">
      <c r="A78" s="18"/>
      <c r="B78" s="2">
        <v>34</v>
      </c>
      <c r="C78" s="85" t="s">
        <v>19</v>
      </c>
      <c r="D78" s="85"/>
      <c r="E78" s="85"/>
      <c r="F78" s="3">
        <v>2017</v>
      </c>
      <c r="G78" s="4">
        <v>42936</v>
      </c>
      <c r="H78" s="4">
        <v>42936</v>
      </c>
      <c r="I78" s="4">
        <v>43671</v>
      </c>
      <c r="J78" s="15">
        <f t="shared" ca="1" si="21"/>
        <v>735</v>
      </c>
      <c r="K78" s="177">
        <f t="shared" si="44"/>
        <v>43483</v>
      </c>
      <c r="L78" s="177">
        <f t="shared" si="45"/>
        <v>43666</v>
      </c>
      <c r="M78" s="177"/>
      <c r="N78" s="177"/>
      <c r="O78" s="177"/>
      <c r="P78" s="177"/>
      <c r="Q78" s="177"/>
      <c r="R78" s="3" t="s">
        <v>176</v>
      </c>
      <c r="S78" s="13" t="s">
        <v>222</v>
      </c>
      <c r="T78" s="13"/>
      <c r="U78" s="5" t="s">
        <v>9</v>
      </c>
      <c r="V78" s="268"/>
      <c r="W78" s="5" t="s">
        <v>614</v>
      </c>
      <c r="X78" s="5" t="s">
        <v>479</v>
      </c>
      <c r="Y78" s="5" t="s">
        <v>20</v>
      </c>
      <c r="Z78" s="3" t="s">
        <v>186</v>
      </c>
      <c r="AA78" s="6" t="s">
        <v>218</v>
      </c>
      <c r="AB78" s="151" t="s">
        <v>197</v>
      </c>
      <c r="AC78" s="177" t="s">
        <v>6</v>
      </c>
      <c r="AD78" s="177" t="s">
        <v>6</v>
      </c>
      <c r="AE78" s="177" t="s">
        <v>6</v>
      </c>
      <c r="AF78" s="5"/>
      <c r="AG78" s="5"/>
      <c r="AH78" s="226"/>
      <c r="AI78" s="83"/>
      <c r="AJ78" s="83"/>
      <c r="AK78" s="237" t="e">
        <f>SUM(#REF!,BT78,BV78)</f>
        <v>#REF!</v>
      </c>
      <c r="AL78" s="52"/>
      <c r="AM78" s="52"/>
      <c r="AN78" s="52"/>
      <c r="AO78" s="52"/>
      <c r="AP78" s="52"/>
      <c r="AQ78" s="52"/>
      <c r="AR78" s="56">
        <v>102.82130990852019</v>
      </c>
      <c r="AS78" s="56"/>
      <c r="AT78" s="56">
        <v>0</v>
      </c>
      <c r="AU78" s="56"/>
      <c r="AV78" s="39">
        <v>770.1</v>
      </c>
      <c r="AW78" s="38">
        <v>70</v>
      </c>
      <c r="AX78" s="97">
        <f t="shared" si="24"/>
        <v>840.1</v>
      </c>
      <c r="AY78" s="169">
        <f t="shared" si="46"/>
        <v>0</v>
      </c>
      <c r="AZ78" s="196">
        <v>0</v>
      </c>
      <c r="BA78" s="170"/>
      <c r="BB78" s="196">
        <v>0</v>
      </c>
      <c r="BC78" s="170"/>
      <c r="BD78" s="196">
        <v>0</v>
      </c>
      <c r="BE78" s="170">
        <v>0</v>
      </c>
      <c r="BF78" s="196">
        <v>0</v>
      </c>
      <c r="BG78" s="170"/>
      <c r="BH78" s="196">
        <v>0</v>
      </c>
      <c r="BI78" s="170"/>
      <c r="BJ78" s="196">
        <v>0</v>
      </c>
      <c r="BK78" s="170"/>
      <c r="BL78" s="196"/>
      <c r="BM78" s="170"/>
      <c r="BN78" s="196"/>
      <c r="BO78" s="170"/>
      <c r="BP78" s="196"/>
      <c r="BQ78" s="170"/>
      <c r="BR78" s="196"/>
      <c r="BS78" s="170"/>
      <c r="BT78" s="196"/>
      <c r="BU78" s="170"/>
      <c r="BV78" s="196"/>
      <c r="BW78" s="251"/>
      <c r="BX78" s="254"/>
      <c r="BY78" s="88">
        <f t="shared" si="47"/>
        <v>0</v>
      </c>
      <c r="BZ78" s="258"/>
      <c r="CA78" s="258"/>
      <c r="CB78" s="258"/>
      <c r="CC78" s="258"/>
      <c r="CD78" s="258"/>
      <c r="CE78" s="258"/>
      <c r="CF78" s="258"/>
      <c r="CG78" s="258"/>
      <c r="CH78" s="258"/>
      <c r="CI78" s="258"/>
      <c r="CJ78" s="258"/>
      <c r="CK78" s="258"/>
      <c r="CL78" s="211">
        <f t="shared" si="37"/>
        <v>0</v>
      </c>
      <c r="CM78" s="212"/>
      <c r="CN78" s="212"/>
      <c r="CO78" s="212"/>
      <c r="CP78" s="212"/>
      <c r="CQ78" s="212"/>
      <c r="CR78" s="212"/>
      <c r="CS78" s="212"/>
      <c r="CT78" s="212"/>
      <c r="CU78" s="212"/>
      <c r="CV78" s="212"/>
      <c r="CW78" s="212"/>
      <c r="CX78" s="212"/>
      <c r="CY78" s="216">
        <f t="shared" si="26"/>
        <v>0</v>
      </c>
      <c r="CZ78" s="185">
        <f t="shared" si="48"/>
        <v>0</v>
      </c>
      <c r="DA78" s="217">
        <f t="shared" si="27"/>
        <v>0</v>
      </c>
      <c r="DB78" s="217">
        <f t="shared" si="28"/>
        <v>0</v>
      </c>
      <c r="DC78" s="217">
        <f t="shared" si="38"/>
        <v>0</v>
      </c>
      <c r="DD78" s="256">
        <v>0</v>
      </c>
      <c r="DE78" s="217">
        <f t="shared" si="39"/>
        <v>0</v>
      </c>
      <c r="DF78" s="185" t="e">
        <f>SUM(DN78:DO78)-SUM(#REF!,BV78)+BU78</f>
        <v>#REF!</v>
      </c>
      <c r="DG78" s="223"/>
      <c r="DH78" s="241">
        <f t="shared" si="40"/>
        <v>0</v>
      </c>
      <c r="DI78" s="241">
        <f t="shared" si="41"/>
        <v>0</v>
      </c>
      <c r="DJ78" s="241">
        <f t="shared" si="42"/>
        <v>0</v>
      </c>
      <c r="DK78" s="241" t="e">
        <f>SUM(BS78,#REF!,BV78)</f>
        <v>#REF!</v>
      </c>
      <c r="DL78" s="155">
        <v>770.1</v>
      </c>
      <c r="DM78" s="155">
        <v>744.72299999999996</v>
      </c>
      <c r="DN78" s="155">
        <v>0</v>
      </c>
      <c r="DO78" s="155">
        <v>1.7999999999999998E-4</v>
      </c>
      <c r="DP78" s="155">
        <v>744.72318000000007</v>
      </c>
      <c r="DQ78" s="155">
        <v>25.376819999999999</v>
      </c>
      <c r="DS78" s="235">
        <f t="shared" si="43"/>
        <v>0</v>
      </c>
    </row>
    <row r="79" spans="1:123" s="23" customFormat="1" ht="28.5" customHeight="1">
      <c r="A79" s="18"/>
      <c r="B79" s="2">
        <v>35</v>
      </c>
      <c r="C79" s="85" t="s">
        <v>21</v>
      </c>
      <c r="D79" s="85"/>
      <c r="E79" s="85"/>
      <c r="F79" s="3">
        <v>2016</v>
      </c>
      <c r="G79" s="4">
        <v>42705</v>
      </c>
      <c r="H79" s="4">
        <v>42818</v>
      </c>
      <c r="I79" s="4">
        <v>43522</v>
      </c>
      <c r="J79" s="15">
        <f t="shared" ca="1" si="21"/>
        <v>704</v>
      </c>
      <c r="K79" s="177">
        <f t="shared" si="44"/>
        <v>43365</v>
      </c>
      <c r="L79" s="177">
        <f t="shared" si="45"/>
        <v>43548</v>
      </c>
      <c r="M79" s="177"/>
      <c r="N79" s="177"/>
      <c r="O79" s="177"/>
      <c r="P79" s="177"/>
      <c r="Q79" s="177"/>
      <c r="R79" s="3" t="s">
        <v>176</v>
      </c>
      <c r="S79" s="13" t="s">
        <v>222</v>
      </c>
      <c r="T79" s="13"/>
      <c r="U79" s="5" t="s">
        <v>9</v>
      </c>
      <c r="V79" s="268"/>
      <c r="W79" s="5" t="s">
        <v>614</v>
      </c>
      <c r="X79" s="5" t="s">
        <v>474</v>
      </c>
      <c r="Y79" s="5" t="s">
        <v>22</v>
      </c>
      <c r="Z79" s="3" t="s">
        <v>187</v>
      </c>
      <c r="AA79" s="6" t="s">
        <v>218</v>
      </c>
      <c r="AB79" s="151" t="s">
        <v>197</v>
      </c>
      <c r="AC79" s="177" t="s">
        <v>6</v>
      </c>
      <c r="AD79" s="177" t="s">
        <v>6</v>
      </c>
      <c r="AE79" s="177" t="s">
        <v>6</v>
      </c>
      <c r="AF79" s="5"/>
      <c r="AG79" s="5"/>
      <c r="AH79" s="226"/>
      <c r="AI79" s="83"/>
      <c r="AJ79" s="83"/>
      <c r="AK79" s="237" t="e">
        <f>SUM(#REF!,BT79,BV79)</f>
        <v>#REF!</v>
      </c>
      <c r="AL79" s="52"/>
      <c r="AM79" s="52"/>
      <c r="AN79" s="52"/>
      <c r="AO79" s="52"/>
      <c r="AP79" s="52"/>
      <c r="AQ79" s="52"/>
      <c r="AR79" s="56">
        <v>1.046</v>
      </c>
      <c r="AS79" s="56"/>
      <c r="AT79" s="56">
        <v>0</v>
      </c>
      <c r="AU79" s="56"/>
      <c r="AV79" s="39">
        <v>352</v>
      </c>
      <c r="AW79" s="38">
        <v>0</v>
      </c>
      <c r="AX79" s="97">
        <f t="shared" si="24"/>
        <v>352</v>
      </c>
      <c r="AY79" s="169">
        <f t="shared" si="46"/>
        <v>0</v>
      </c>
      <c r="AZ79" s="196">
        <v>0</v>
      </c>
      <c r="BA79" s="170"/>
      <c r="BB79" s="196">
        <v>0</v>
      </c>
      <c r="BC79" s="170"/>
      <c r="BD79" s="196">
        <v>0</v>
      </c>
      <c r="BE79" s="170">
        <v>0</v>
      </c>
      <c r="BF79" s="196">
        <v>0</v>
      </c>
      <c r="BG79" s="170"/>
      <c r="BH79" s="196">
        <v>0</v>
      </c>
      <c r="BI79" s="170"/>
      <c r="BJ79" s="196">
        <v>0</v>
      </c>
      <c r="BK79" s="170"/>
      <c r="BL79" s="196"/>
      <c r="BM79" s="170"/>
      <c r="BN79" s="196"/>
      <c r="BO79" s="170"/>
      <c r="BP79" s="196"/>
      <c r="BQ79" s="170"/>
      <c r="BR79" s="196"/>
      <c r="BS79" s="170"/>
      <c r="BT79" s="196"/>
      <c r="BU79" s="170"/>
      <c r="BV79" s="196"/>
      <c r="BW79" s="251"/>
      <c r="BX79" s="254"/>
      <c r="BY79" s="88">
        <f t="shared" si="47"/>
        <v>0</v>
      </c>
      <c r="BZ79" s="258"/>
      <c r="CA79" s="258"/>
      <c r="CB79" s="258"/>
      <c r="CC79" s="258"/>
      <c r="CD79" s="258"/>
      <c r="CE79" s="258"/>
      <c r="CF79" s="258"/>
      <c r="CG79" s="258"/>
      <c r="CH79" s="258"/>
      <c r="CI79" s="258"/>
      <c r="CJ79" s="258"/>
      <c r="CK79" s="258"/>
      <c r="CL79" s="211">
        <f t="shared" si="37"/>
        <v>0</v>
      </c>
      <c r="CM79" s="212"/>
      <c r="CN79" s="212"/>
      <c r="CO79" s="212"/>
      <c r="CP79" s="212"/>
      <c r="CQ79" s="212"/>
      <c r="CR79" s="212"/>
      <c r="CS79" s="212"/>
      <c r="CT79" s="212"/>
      <c r="CU79" s="212"/>
      <c r="CV79" s="212"/>
      <c r="CW79" s="212"/>
      <c r="CX79" s="212"/>
      <c r="CY79" s="216">
        <f t="shared" si="26"/>
        <v>0</v>
      </c>
      <c r="CZ79" s="185">
        <f t="shared" si="48"/>
        <v>0</v>
      </c>
      <c r="DA79" s="217">
        <f t="shared" si="27"/>
        <v>0</v>
      </c>
      <c r="DB79" s="217">
        <f t="shared" si="28"/>
        <v>0</v>
      </c>
      <c r="DC79" s="217">
        <f t="shared" si="38"/>
        <v>0</v>
      </c>
      <c r="DD79" s="256">
        <v>0</v>
      </c>
      <c r="DE79" s="217">
        <f t="shared" si="39"/>
        <v>0</v>
      </c>
      <c r="DF79" s="185" t="e">
        <f>SUM(DN79:DO79)-SUM(#REF!,BV79)+BU79</f>
        <v>#REF!</v>
      </c>
      <c r="DG79" s="223"/>
      <c r="DH79" s="241">
        <f t="shared" si="40"/>
        <v>0</v>
      </c>
      <c r="DI79" s="241">
        <f t="shared" si="41"/>
        <v>0</v>
      </c>
      <c r="DJ79" s="241">
        <f t="shared" si="42"/>
        <v>0</v>
      </c>
      <c r="DK79" s="241" t="e">
        <f>SUM(BS79,#REF!,BV79)</f>
        <v>#REF!</v>
      </c>
      <c r="DL79" s="155">
        <v>352</v>
      </c>
      <c r="DM79" s="155">
        <v>347.31648999999999</v>
      </c>
      <c r="DN79" s="155">
        <v>0</v>
      </c>
      <c r="DO79" s="155">
        <v>0</v>
      </c>
      <c r="DP79" s="155">
        <v>347.31648999999999</v>
      </c>
      <c r="DQ79" s="155">
        <v>4.6835100000000001</v>
      </c>
      <c r="DS79" s="235">
        <f t="shared" si="43"/>
        <v>0</v>
      </c>
    </row>
    <row r="80" spans="1:123" s="23" customFormat="1" ht="24" customHeight="1">
      <c r="A80" s="18"/>
      <c r="B80" s="2">
        <v>36</v>
      </c>
      <c r="C80" s="85" t="s">
        <v>23</v>
      </c>
      <c r="D80" s="85"/>
      <c r="E80" s="85"/>
      <c r="F80" s="3">
        <v>2017</v>
      </c>
      <c r="G80" s="4">
        <v>42844</v>
      </c>
      <c r="H80" s="4">
        <v>42844</v>
      </c>
      <c r="I80" s="4">
        <v>43719</v>
      </c>
      <c r="J80" s="15">
        <f t="shared" ca="1" si="21"/>
        <v>875</v>
      </c>
      <c r="K80" s="177">
        <f t="shared" si="44"/>
        <v>43391</v>
      </c>
      <c r="L80" s="177">
        <f t="shared" si="45"/>
        <v>43574</v>
      </c>
      <c r="M80" s="177"/>
      <c r="N80" s="177"/>
      <c r="O80" s="177"/>
      <c r="P80" s="177"/>
      <c r="Q80" s="177"/>
      <c r="R80" s="3" t="s">
        <v>176</v>
      </c>
      <c r="S80" s="13" t="s">
        <v>5</v>
      </c>
      <c r="T80" s="13"/>
      <c r="U80" s="5" t="s">
        <v>9</v>
      </c>
      <c r="V80" s="268"/>
      <c r="W80" s="5" t="s">
        <v>614</v>
      </c>
      <c r="X80" s="5" t="s">
        <v>475</v>
      </c>
      <c r="Y80" s="5" t="s">
        <v>24</v>
      </c>
      <c r="Z80" s="3" t="s">
        <v>181</v>
      </c>
      <c r="AA80" s="6" t="s">
        <v>218</v>
      </c>
      <c r="AB80" s="151" t="s">
        <v>197</v>
      </c>
      <c r="AC80" s="177" t="s">
        <v>6</v>
      </c>
      <c r="AD80" s="177" t="s">
        <v>6</v>
      </c>
      <c r="AE80" s="177" t="s">
        <v>6</v>
      </c>
      <c r="AF80" s="5"/>
      <c r="AG80" s="5"/>
      <c r="AH80" s="226"/>
      <c r="AI80" s="83"/>
      <c r="AJ80" s="83"/>
      <c r="AK80" s="237" t="e">
        <f>SUM(#REF!,BT80,BV80)</f>
        <v>#REF!</v>
      </c>
      <c r="AL80" s="52"/>
      <c r="AM80" s="52"/>
      <c r="AN80" s="52"/>
      <c r="AO80" s="52"/>
      <c r="AP80" s="52"/>
      <c r="AQ80" s="52"/>
      <c r="AR80" s="56">
        <v>147.10616030138567</v>
      </c>
      <c r="AS80" s="56"/>
      <c r="AT80" s="56">
        <v>0</v>
      </c>
      <c r="AU80" s="56"/>
      <c r="AV80" s="39">
        <v>1338.9</v>
      </c>
      <c r="AW80" s="38">
        <v>85</v>
      </c>
      <c r="AX80" s="97">
        <f t="shared" si="24"/>
        <v>1423.9</v>
      </c>
      <c r="AY80" s="169">
        <f t="shared" si="46"/>
        <v>0</v>
      </c>
      <c r="AZ80" s="196">
        <v>0</v>
      </c>
      <c r="BA80" s="170"/>
      <c r="BB80" s="196">
        <v>0</v>
      </c>
      <c r="BC80" s="170"/>
      <c r="BD80" s="196">
        <v>0</v>
      </c>
      <c r="BE80" s="170">
        <v>0</v>
      </c>
      <c r="BF80" s="196">
        <v>0</v>
      </c>
      <c r="BG80" s="170"/>
      <c r="BH80" s="196">
        <v>0</v>
      </c>
      <c r="BI80" s="170"/>
      <c r="BJ80" s="196">
        <v>0</v>
      </c>
      <c r="BK80" s="170"/>
      <c r="BL80" s="196"/>
      <c r="BM80" s="170"/>
      <c r="BN80" s="196"/>
      <c r="BO80" s="170"/>
      <c r="BP80" s="196"/>
      <c r="BQ80" s="170"/>
      <c r="BR80" s="196"/>
      <c r="BS80" s="170"/>
      <c r="BT80" s="196"/>
      <c r="BU80" s="170"/>
      <c r="BV80" s="196"/>
      <c r="BW80" s="251"/>
      <c r="BX80" s="254"/>
      <c r="BY80" s="88">
        <f t="shared" si="47"/>
        <v>0</v>
      </c>
      <c r="BZ80" s="258"/>
      <c r="CA80" s="258"/>
      <c r="CB80" s="258"/>
      <c r="CC80" s="258"/>
      <c r="CD80" s="258"/>
      <c r="CE80" s="258"/>
      <c r="CF80" s="258"/>
      <c r="CG80" s="258"/>
      <c r="CH80" s="258"/>
      <c r="CI80" s="258"/>
      <c r="CJ80" s="258"/>
      <c r="CK80" s="258"/>
      <c r="CL80" s="211">
        <f t="shared" si="37"/>
        <v>0</v>
      </c>
      <c r="CM80" s="212"/>
      <c r="CN80" s="212"/>
      <c r="CO80" s="212"/>
      <c r="CP80" s="212"/>
      <c r="CQ80" s="212"/>
      <c r="CR80" s="212"/>
      <c r="CS80" s="212"/>
      <c r="CT80" s="212"/>
      <c r="CU80" s="212"/>
      <c r="CV80" s="212"/>
      <c r="CW80" s="212"/>
      <c r="CX80" s="212"/>
      <c r="CY80" s="216">
        <f t="shared" si="26"/>
        <v>0</v>
      </c>
      <c r="CZ80" s="185">
        <f t="shared" si="48"/>
        <v>0</v>
      </c>
      <c r="DA80" s="217">
        <f t="shared" si="27"/>
        <v>0</v>
      </c>
      <c r="DB80" s="217">
        <f t="shared" si="28"/>
        <v>0</v>
      </c>
      <c r="DC80" s="217">
        <f t="shared" si="38"/>
        <v>0</v>
      </c>
      <c r="DD80" s="256">
        <v>0</v>
      </c>
      <c r="DE80" s="217">
        <f t="shared" si="39"/>
        <v>0</v>
      </c>
      <c r="DF80" s="185" t="e">
        <f>SUM(DN80:DO80)-SUM(#REF!,BV80)+BU80</f>
        <v>#REF!</v>
      </c>
      <c r="DG80" s="223"/>
      <c r="DH80" s="241">
        <f t="shared" si="40"/>
        <v>0</v>
      </c>
      <c r="DI80" s="241">
        <f t="shared" si="41"/>
        <v>0</v>
      </c>
      <c r="DJ80" s="241">
        <f t="shared" si="42"/>
        <v>0</v>
      </c>
      <c r="DK80" s="241" t="e">
        <f>SUM(BS80,#REF!,BV80)</f>
        <v>#REF!</v>
      </c>
      <c r="DL80" s="155">
        <v>1338.9</v>
      </c>
      <c r="DM80" s="155">
        <v>1335.95245</v>
      </c>
      <c r="DN80" s="155">
        <v>0</v>
      </c>
      <c r="DO80" s="155">
        <v>0</v>
      </c>
      <c r="DP80" s="155">
        <v>1335.95245</v>
      </c>
      <c r="DQ80" s="155">
        <v>2.9475500000000001</v>
      </c>
      <c r="DS80" s="235">
        <f t="shared" si="43"/>
        <v>0</v>
      </c>
    </row>
    <row r="81" spans="1:123" s="23" customFormat="1" ht="24" customHeight="1">
      <c r="A81" s="18"/>
      <c r="B81" s="2">
        <v>37</v>
      </c>
      <c r="C81" s="85" t="s">
        <v>25</v>
      </c>
      <c r="D81" s="85"/>
      <c r="E81" s="85"/>
      <c r="F81" s="3">
        <v>2016</v>
      </c>
      <c r="G81" s="4">
        <v>42705</v>
      </c>
      <c r="H81" s="4">
        <v>42818</v>
      </c>
      <c r="I81" s="4">
        <v>43547</v>
      </c>
      <c r="J81" s="15">
        <f t="shared" ca="1" si="21"/>
        <v>729</v>
      </c>
      <c r="K81" s="177">
        <f t="shared" si="44"/>
        <v>43365</v>
      </c>
      <c r="L81" s="177">
        <f t="shared" si="45"/>
        <v>43548</v>
      </c>
      <c r="M81" s="177"/>
      <c r="N81" s="177"/>
      <c r="O81" s="177"/>
      <c r="P81" s="177"/>
      <c r="Q81" s="177"/>
      <c r="R81" s="3" t="s">
        <v>176</v>
      </c>
      <c r="S81" s="13" t="s">
        <v>222</v>
      </c>
      <c r="T81" s="13"/>
      <c r="U81" s="5" t="s">
        <v>9</v>
      </c>
      <c r="V81" s="268"/>
      <c r="W81" s="5" t="s">
        <v>614</v>
      </c>
      <c r="X81" s="5" t="s">
        <v>475</v>
      </c>
      <c r="Y81" s="5" t="s">
        <v>26</v>
      </c>
      <c r="Z81" s="3" t="s">
        <v>186</v>
      </c>
      <c r="AA81" s="6" t="s">
        <v>218</v>
      </c>
      <c r="AB81" s="151" t="s">
        <v>197</v>
      </c>
      <c r="AC81" s="177" t="s">
        <v>6</v>
      </c>
      <c r="AD81" s="177" t="s">
        <v>6</v>
      </c>
      <c r="AE81" s="177" t="s">
        <v>6</v>
      </c>
      <c r="AF81" s="5"/>
      <c r="AG81" s="5"/>
      <c r="AH81" s="226"/>
      <c r="AI81" s="83"/>
      <c r="AJ81" s="83"/>
      <c r="AK81" s="237" t="e">
        <f>SUM(#REF!,BT81,BV81)</f>
        <v>#REF!</v>
      </c>
      <c r="AL81" s="52"/>
      <c r="AM81" s="52"/>
      <c r="AN81" s="52"/>
      <c r="AO81" s="52"/>
      <c r="AP81" s="52"/>
      <c r="AQ81" s="52"/>
      <c r="AR81" s="56">
        <v>4.6400000000000006</v>
      </c>
      <c r="AS81" s="56"/>
      <c r="AT81" s="56">
        <v>0</v>
      </c>
      <c r="AU81" s="56"/>
      <c r="AV81" s="39">
        <v>513</v>
      </c>
      <c r="AW81" s="38">
        <v>53</v>
      </c>
      <c r="AX81" s="97">
        <f t="shared" si="24"/>
        <v>566</v>
      </c>
      <c r="AY81" s="169">
        <f t="shared" si="46"/>
        <v>0</v>
      </c>
      <c r="AZ81" s="196">
        <v>0</v>
      </c>
      <c r="BA81" s="170"/>
      <c r="BB81" s="196">
        <v>0</v>
      </c>
      <c r="BC81" s="170"/>
      <c r="BD81" s="196">
        <v>0</v>
      </c>
      <c r="BE81" s="170">
        <v>0</v>
      </c>
      <c r="BF81" s="196">
        <v>0</v>
      </c>
      <c r="BG81" s="170"/>
      <c r="BH81" s="196">
        <v>0</v>
      </c>
      <c r="BI81" s="170"/>
      <c r="BJ81" s="196">
        <v>0</v>
      </c>
      <c r="BK81" s="170"/>
      <c r="BL81" s="196"/>
      <c r="BM81" s="170"/>
      <c r="BN81" s="196"/>
      <c r="BO81" s="170"/>
      <c r="BP81" s="196"/>
      <c r="BQ81" s="170"/>
      <c r="BR81" s="196"/>
      <c r="BS81" s="170"/>
      <c r="BT81" s="196"/>
      <c r="BU81" s="170"/>
      <c r="BV81" s="196"/>
      <c r="BW81" s="251"/>
      <c r="BX81" s="254"/>
      <c r="BY81" s="88">
        <f t="shared" si="47"/>
        <v>0</v>
      </c>
      <c r="BZ81" s="258"/>
      <c r="CA81" s="258"/>
      <c r="CB81" s="258"/>
      <c r="CC81" s="258"/>
      <c r="CD81" s="258"/>
      <c r="CE81" s="258"/>
      <c r="CF81" s="258"/>
      <c r="CG81" s="258"/>
      <c r="CH81" s="258"/>
      <c r="CI81" s="258"/>
      <c r="CJ81" s="258"/>
      <c r="CK81" s="258"/>
      <c r="CL81" s="211">
        <f t="shared" si="37"/>
        <v>0</v>
      </c>
      <c r="CM81" s="212"/>
      <c r="CN81" s="212"/>
      <c r="CO81" s="212"/>
      <c r="CP81" s="212"/>
      <c r="CQ81" s="212"/>
      <c r="CR81" s="212"/>
      <c r="CS81" s="212"/>
      <c r="CT81" s="212"/>
      <c r="CU81" s="212"/>
      <c r="CV81" s="212"/>
      <c r="CW81" s="212"/>
      <c r="CX81" s="212"/>
      <c r="CY81" s="216">
        <f t="shared" si="26"/>
        <v>0</v>
      </c>
      <c r="CZ81" s="185">
        <f t="shared" si="48"/>
        <v>0</v>
      </c>
      <c r="DA81" s="217">
        <f t="shared" si="27"/>
        <v>0</v>
      </c>
      <c r="DB81" s="217">
        <f t="shared" si="28"/>
        <v>0</v>
      </c>
      <c r="DC81" s="217">
        <f t="shared" si="38"/>
        <v>0</v>
      </c>
      <c r="DD81" s="256">
        <v>0</v>
      </c>
      <c r="DE81" s="217">
        <f t="shared" si="39"/>
        <v>0</v>
      </c>
      <c r="DF81" s="185" t="e">
        <f>SUM(DN81:DO81)-SUM(#REF!,BV81)+BU81</f>
        <v>#REF!</v>
      </c>
      <c r="DG81" s="223"/>
      <c r="DH81" s="241">
        <f t="shared" si="40"/>
        <v>0</v>
      </c>
      <c r="DI81" s="241">
        <f t="shared" si="41"/>
        <v>0</v>
      </c>
      <c r="DJ81" s="241">
        <f t="shared" si="42"/>
        <v>0</v>
      </c>
      <c r="DK81" s="241" t="e">
        <f>SUM(BS81,#REF!,BV81)</f>
        <v>#REF!</v>
      </c>
      <c r="DL81" s="155">
        <v>513</v>
      </c>
      <c r="DM81" s="155">
        <v>486.74603000000002</v>
      </c>
      <c r="DN81" s="155">
        <v>0</v>
      </c>
      <c r="DO81" s="155">
        <v>0</v>
      </c>
      <c r="DP81" s="155">
        <v>486.74603000000002</v>
      </c>
      <c r="DQ81" s="155">
        <v>26.253970000000002</v>
      </c>
      <c r="DS81" s="235">
        <f t="shared" si="43"/>
        <v>0</v>
      </c>
    </row>
    <row r="82" spans="1:123" s="23" customFormat="1" ht="24" customHeight="1">
      <c r="A82" s="18"/>
      <c r="B82" s="2">
        <v>38</v>
      </c>
      <c r="C82" s="85" t="s">
        <v>27</v>
      </c>
      <c r="D82" s="85"/>
      <c r="E82" s="85"/>
      <c r="F82" s="3">
        <v>2017</v>
      </c>
      <c r="G82" s="4">
        <v>42902</v>
      </c>
      <c r="H82" s="4">
        <v>42902</v>
      </c>
      <c r="I82" s="4">
        <v>43641</v>
      </c>
      <c r="J82" s="15">
        <f t="shared" ca="1" si="21"/>
        <v>739</v>
      </c>
      <c r="K82" s="177">
        <f t="shared" si="44"/>
        <v>43449</v>
      </c>
      <c r="L82" s="177">
        <f t="shared" si="45"/>
        <v>43632</v>
      </c>
      <c r="M82" s="177"/>
      <c r="N82" s="177"/>
      <c r="O82" s="177"/>
      <c r="P82" s="177"/>
      <c r="Q82" s="177"/>
      <c r="R82" s="3" t="s">
        <v>176</v>
      </c>
      <c r="S82" s="13" t="s">
        <v>223</v>
      </c>
      <c r="T82" s="13"/>
      <c r="U82" s="5" t="s">
        <v>9</v>
      </c>
      <c r="V82" s="268"/>
      <c r="W82" s="5" t="s">
        <v>614</v>
      </c>
      <c r="X82" s="5" t="s">
        <v>475</v>
      </c>
      <c r="Y82" s="5" t="s">
        <v>28</v>
      </c>
      <c r="Z82" s="3" t="s">
        <v>187</v>
      </c>
      <c r="AA82" s="6" t="s">
        <v>218</v>
      </c>
      <c r="AB82" s="151" t="s">
        <v>197</v>
      </c>
      <c r="AC82" s="177" t="s">
        <v>6</v>
      </c>
      <c r="AD82" s="177" t="s">
        <v>6</v>
      </c>
      <c r="AE82" s="177" t="s">
        <v>6</v>
      </c>
      <c r="AF82" s="5"/>
      <c r="AG82" s="5"/>
      <c r="AH82" s="226"/>
      <c r="AI82" s="83"/>
      <c r="AJ82" s="83"/>
      <c r="AK82" s="237" t="e">
        <f>SUM(#REF!,BT82,BV82)</f>
        <v>#REF!</v>
      </c>
      <c r="AL82" s="52"/>
      <c r="AM82" s="52"/>
      <c r="AN82" s="52"/>
      <c r="AO82" s="52"/>
      <c r="AP82" s="52"/>
      <c r="AQ82" s="52"/>
      <c r="AR82" s="56">
        <v>0</v>
      </c>
      <c r="AS82" s="56"/>
      <c r="AT82" s="56">
        <v>0</v>
      </c>
      <c r="AU82" s="56"/>
      <c r="AV82" s="39">
        <v>987.73</v>
      </c>
      <c r="AW82" s="38">
        <v>38</v>
      </c>
      <c r="AX82" s="97">
        <f t="shared" si="24"/>
        <v>1025.73</v>
      </c>
      <c r="AY82" s="169">
        <f t="shared" si="46"/>
        <v>0</v>
      </c>
      <c r="AZ82" s="196">
        <v>0</v>
      </c>
      <c r="BA82" s="170"/>
      <c r="BB82" s="196">
        <v>0</v>
      </c>
      <c r="BC82" s="170"/>
      <c r="BD82" s="196">
        <v>0</v>
      </c>
      <c r="BE82" s="170">
        <v>0</v>
      </c>
      <c r="BF82" s="196">
        <v>0</v>
      </c>
      <c r="BG82" s="170"/>
      <c r="BH82" s="196">
        <v>0</v>
      </c>
      <c r="BI82" s="170"/>
      <c r="BJ82" s="196">
        <v>0</v>
      </c>
      <c r="BK82" s="170"/>
      <c r="BL82" s="196"/>
      <c r="BM82" s="170"/>
      <c r="BN82" s="196"/>
      <c r="BO82" s="170"/>
      <c r="BP82" s="196"/>
      <c r="BQ82" s="170"/>
      <c r="BR82" s="196"/>
      <c r="BS82" s="170"/>
      <c r="BT82" s="196"/>
      <c r="BU82" s="170"/>
      <c r="BV82" s="196"/>
      <c r="BW82" s="251"/>
      <c r="BX82" s="254"/>
      <c r="BY82" s="88">
        <f t="shared" si="47"/>
        <v>0</v>
      </c>
      <c r="BZ82" s="258"/>
      <c r="CA82" s="258"/>
      <c r="CB82" s="258"/>
      <c r="CC82" s="258"/>
      <c r="CD82" s="258"/>
      <c r="CE82" s="258"/>
      <c r="CF82" s="258"/>
      <c r="CG82" s="258"/>
      <c r="CH82" s="258"/>
      <c r="CI82" s="258"/>
      <c r="CJ82" s="258"/>
      <c r="CK82" s="258"/>
      <c r="CL82" s="211">
        <f t="shared" si="37"/>
        <v>0</v>
      </c>
      <c r="CM82" s="212"/>
      <c r="CN82" s="212"/>
      <c r="CO82" s="212"/>
      <c r="CP82" s="212"/>
      <c r="CQ82" s="212"/>
      <c r="CR82" s="212"/>
      <c r="CS82" s="212"/>
      <c r="CT82" s="212"/>
      <c r="CU82" s="212"/>
      <c r="CV82" s="212"/>
      <c r="CW82" s="212"/>
      <c r="CX82" s="212"/>
      <c r="CY82" s="216">
        <f t="shared" si="26"/>
        <v>0</v>
      </c>
      <c r="CZ82" s="185">
        <f t="shared" si="48"/>
        <v>0</v>
      </c>
      <c r="DA82" s="217">
        <f t="shared" si="27"/>
        <v>0</v>
      </c>
      <c r="DB82" s="217">
        <f t="shared" si="28"/>
        <v>0</v>
      </c>
      <c r="DC82" s="217">
        <f t="shared" si="38"/>
        <v>0</v>
      </c>
      <c r="DD82" s="256">
        <v>0</v>
      </c>
      <c r="DE82" s="217">
        <f t="shared" si="39"/>
        <v>0</v>
      </c>
      <c r="DF82" s="185" t="e">
        <f>SUM(DN82:DO82)-SUM(#REF!,BV82)+BU82</f>
        <v>#REF!</v>
      </c>
      <c r="DG82" s="223"/>
      <c r="DH82" s="241">
        <f t="shared" si="40"/>
        <v>0</v>
      </c>
      <c r="DI82" s="241">
        <f t="shared" si="41"/>
        <v>0</v>
      </c>
      <c r="DJ82" s="241">
        <f t="shared" si="42"/>
        <v>0</v>
      </c>
      <c r="DK82" s="241" t="e">
        <f>SUM(BS82,#REF!,BV82)</f>
        <v>#REF!</v>
      </c>
      <c r="DL82" s="155">
        <v>987.73099999999999</v>
      </c>
      <c r="DM82" s="155">
        <v>801.61338999999998</v>
      </c>
      <c r="DN82" s="155">
        <v>0</v>
      </c>
      <c r="DO82" s="155">
        <v>0</v>
      </c>
      <c r="DP82" s="155">
        <v>801.61338999999998</v>
      </c>
      <c r="DQ82" s="155">
        <v>186.11760999999998</v>
      </c>
      <c r="DS82" s="235">
        <f t="shared" si="43"/>
        <v>0</v>
      </c>
    </row>
    <row r="83" spans="1:123" s="23" customFormat="1" ht="24" customHeight="1">
      <c r="A83" s="18"/>
      <c r="B83" s="2">
        <v>39</v>
      </c>
      <c r="C83" s="85" t="s">
        <v>29</v>
      </c>
      <c r="D83" s="85"/>
      <c r="E83" s="85"/>
      <c r="F83" s="3">
        <v>2017</v>
      </c>
      <c r="G83" s="4">
        <v>42909</v>
      </c>
      <c r="H83" s="4">
        <v>42909</v>
      </c>
      <c r="I83" s="4">
        <v>43676</v>
      </c>
      <c r="J83" s="15">
        <f t="shared" ca="1" si="21"/>
        <v>767</v>
      </c>
      <c r="K83" s="177">
        <f t="shared" si="44"/>
        <v>43456</v>
      </c>
      <c r="L83" s="177">
        <f t="shared" si="45"/>
        <v>43639</v>
      </c>
      <c r="M83" s="177"/>
      <c r="N83" s="177"/>
      <c r="O83" s="177"/>
      <c r="P83" s="177"/>
      <c r="Q83" s="177"/>
      <c r="R83" s="3" t="s">
        <v>176</v>
      </c>
      <c r="S83" s="13" t="s">
        <v>5</v>
      </c>
      <c r="T83" s="13"/>
      <c r="U83" s="5" t="s">
        <v>9</v>
      </c>
      <c r="V83" s="268"/>
      <c r="W83" s="5" t="s">
        <v>614</v>
      </c>
      <c r="X83" s="5" t="s">
        <v>475</v>
      </c>
      <c r="Y83" s="5" t="s">
        <v>30</v>
      </c>
      <c r="Z83" s="85" t="s">
        <v>316</v>
      </c>
      <c r="AA83" s="6" t="s">
        <v>218</v>
      </c>
      <c r="AB83" s="151" t="s">
        <v>197</v>
      </c>
      <c r="AC83" s="177" t="s">
        <v>6</v>
      </c>
      <c r="AD83" s="177" t="s">
        <v>6</v>
      </c>
      <c r="AE83" s="177" t="s">
        <v>6</v>
      </c>
      <c r="AF83" s="5"/>
      <c r="AG83" s="5"/>
      <c r="AH83" s="226"/>
      <c r="AI83" s="83"/>
      <c r="AJ83" s="83"/>
      <c r="AK83" s="237" t="e">
        <f>SUM(#REF!,BT83,BV83)</f>
        <v>#REF!</v>
      </c>
      <c r="AL83" s="52"/>
      <c r="AM83" s="52"/>
      <c r="AN83" s="52"/>
      <c r="AO83" s="52"/>
      <c r="AP83" s="52"/>
      <c r="AQ83" s="52"/>
      <c r="AR83" s="56">
        <v>117.94380895425567</v>
      </c>
      <c r="AS83" s="56"/>
      <c r="AT83" s="56">
        <v>0</v>
      </c>
      <c r="AU83" s="56"/>
      <c r="AV83" s="39">
        <v>713.3</v>
      </c>
      <c r="AW83" s="38">
        <v>23</v>
      </c>
      <c r="AX83" s="97">
        <f t="shared" si="24"/>
        <v>736.3</v>
      </c>
      <c r="AY83" s="169">
        <f t="shared" si="46"/>
        <v>0</v>
      </c>
      <c r="AZ83" s="196">
        <v>0</v>
      </c>
      <c r="BA83" s="170"/>
      <c r="BB83" s="196">
        <v>0</v>
      </c>
      <c r="BC83" s="170"/>
      <c r="BD83" s="196">
        <v>0</v>
      </c>
      <c r="BE83" s="170">
        <v>0</v>
      </c>
      <c r="BF83" s="196">
        <v>0</v>
      </c>
      <c r="BG83" s="170"/>
      <c r="BH83" s="196">
        <v>0</v>
      </c>
      <c r="BI83" s="170"/>
      <c r="BJ83" s="196">
        <v>0</v>
      </c>
      <c r="BK83" s="170"/>
      <c r="BL83" s="196"/>
      <c r="BM83" s="170"/>
      <c r="BN83" s="196"/>
      <c r="BO83" s="170"/>
      <c r="BP83" s="196"/>
      <c r="BQ83" s="170"/>
      <c r="BR83" s="196"/>
      <c r="BS83" s="170"/>
      <c r="BT83" s="196"/>
      <c r="BU83" s="170"/>
      <c r="BV83" s="196"/>
      <c r="BW83" s="251"/>
      <c r="BX83" s="254"/>
      <c r="BY83" s="88">
        <f t="shared" si="47"/>
        <v>0</v>
      </c>
      <c r="BZ83" s="258"/>
      <c r="CA83" s="258"/>
      <c r="CB83" s="258"/>
      <c r="CC83" s="258"/>
      <c r="CD83" s="258"/>
      <c r="CE83" s="258"/>
      <c r="CF83" s="258"/>
      <c r="CG83" s="258"/>
      <c r="CH83" s="258"/>
      <c r="CI83" s="258"/>
      <c r="CJ83" s="258"/>
      <c r="CK83" s="258"/>
      <c r="CL83" s="211">
        <f t="shared" si="37"/>
        <v>0</v>
      </c>
      <c r="CM83" s="212"/>
      <c r="CN83" s="212"/>
      <c r="CO83" s="212"/>
      <c r="CP83" s="212"/>
      <c r="CQ83" s="212"/>
      <c r="CR83" s="212"/>
      <c r="CS83" s="212"/>
      <c r="CT83" s="212"/>
      <c r="CU83" s="212"/>
      <c r="CV83" s="212"/>
      <c r="CW83" s="212"/>
      <c r="CX83" s="212"/>
      <c r="CY83" s="216">
        <f t="shared" si="26"/>
        <v>0</v>
      </c>
      <c r="CZ83" s="185">
        <f t="shared" si="48"/>
        <v>0</v>
      </c>
      <c r="DA83" s="217">
        <f t="shared" si="27"/>
        <v>0</v>
      </c>
      <c r="DB83" s="217">
        <f t="shared" si="28"/>
        <v>0</v>
      </c>
      <c r="DC83" s="217">
        <f t="shared" si="38"/>
        <v>0</v>
      </c>
      <c r="DD83" s="256">
        <v>0</v>
      </c>
      <c r="DE83" s="217">
        <f t="shared" si="39"/>
        <v>0</v>
      </c>
      <c r="DF83" s="185" t="e">
        <f>SUM(DN83:DO83)-SUM(#REF!,BV83)+BU83</f>
        <v>#REF!</v>
      </c>
      <c r="DG83" s="223"/>
      <c r="DH83" s="241">
        <f t="shared" si="40"/>
        <v>0</v>
      </c>
      <c r="DI83" s="241">
        <f t="shared" si="41"/>
        <v>0</v>
      </c>
      <c r="DJ83" s="241">
        <f t="shared" si="42"/>
        <v>0</v>
      </c>
      <c r="DK83" s="241" t="e">
        <f>SUM(BS83,#REF!,BV83)</f>
        <v>#REF!</v>
      </c>
      <c r="DL83" s="155">
        <v>713.3</v>
      </c>
      <c r="DM83" s="155">
        <v>659.17750000000001</v>
      </c>
      <c r="DN83" s="155">
        <v>0</v>
      </c>
      <c r="DO83" s="155">
        <v>0</v>
      </c>
      <c r="DP83" s="155">
        <v>659.17750000000001</v>
      </c>
      <c r="DQ83" s="155">
        <v>54.122500000000002</v>
      </c>
      <c r="DS83" s="235">
        <f t="shared" si="43"/>
        <v>0</v>
      </c>
    </row>
    <row r="84" spans="1:123" s="23" customFormat="1" ht="24" customHeight="1">
      <c r="A84" s="18"/>
      <c r="B84" s="2">
        <v>40</v>
      </c>
      <c r="C84" s="85" t="s">
        <v>31</v>
      </c>
      <c r="D84" s="85"/>
      <c r="E84" s="85" t="s">
        <v>901</v>
      </c>
      <c r="F84" s="3">
        <v>2017</v>
      </c>
      <c r="G84" s="4">
        <v>42860</v>
      </c>
      <c r="H84" s="4">
        <v>42860</v>
      </c>
      <c r="I84" s="4">
        <v>43752</v>
      </c>
      <c r="J84" s="15">
        <f t="shared" ca="1" si="21"/>
        <v>892</v>
      </c>
      <c r="K84" s="177">
        <f t="shared" si="44"/>
        <v>43407</v>
      </c>
      <c r="L84" s="177">
        <f t="shared" si="45"/>
        <v>43590</v>
      </c>
      <c r="M84" s="177"/>
      <c r="N84" s="177"/>
      <c r="O84" s="177"/>
      <c r="P84" s="177"/>
      <c r="Q84" s="177"/>
      <c r="R84" s="3" t="s">
        <v>177</v>
      </c>
      <c r="S84" s="13" t="s">
        <v>223</v>
      </c>
      <c r="T84" s="13"/>
      <c r="U84" s="5" t="s">
        <v>9</v>
      </c>
      <c r="V84" s="268"/>
      <c r="W84" s="5" t="s">
        <v>614</v>
      </c>
      <c r="X84" s="5" t="s">
        <v>476</v>
      </c>
      <c r="Y84" s="5" t="s">
        <v>32</v>
      </c>
      <c r="Z84" s="3" t="s">
        <v>181</v>
      </c>
      <c r="AA84" s="6" t="s">
        <v>218</v>
      </c>
      <c r="AB84" s="151" t="s">
        <v>197</v>
      </c>
      <c r="AC84" s="177" t="s">
        <v>6</v>
      </c>
      <c r="AD84" s="177" t="s">
        <v>6</v>
      </c>
      <c r="AE84" s="177" t="s">
        <v>6</v>
      </c>
      <c r="AF84" s="5"/>
      <c r="AG84" s="5"/>
      <c r="AH84" s="226"/>
      <c r="AI84" s="83"/>
      <c r="AJ84" s="83"/>
      <c r="AK84" s="237" t="e">
        <f>SUM(#REF!,BT84,BV84)</f>
        <v>#REF!</v>
      </c>
      <c r="AL84" s="52"/>
      <c r="AM84" s="52"/>
      <c r="AN84" s="52"/>
      <c r="AO84" s="52"/>
      <c r="AP84" s="52"/>
      <c r="AQ84" s="52"/>
      <c r="AR84" s="56">
        <v>37.529719621779648</v>
      </c>
      <c r="AS84" s="56">
        <v>0</v>
      </c>
      <c r="AT84" s="56">
        <v>1.10694</v>
      </c>
      <c r="AU84" s="56"/>
      <c r="AV84" s="39">
        <v>248</v>
      </c>
      <c r="AW84" s="38">
        <v>95</v>
      </c>
      <c r="AX84" s="97">
        <f t="shared" si="24"/>
        <v>343</v>
      </c>
      <c r="AY84" s="169">
        <f t="shared" si="46"/>
        <v>0</v>
      </c>
      <c r="AZ84" s="196">
        <v>0</v>
      </c>
      <c r="BA84" s="170"/>
      <c r="BB84" s="196">
        <v>0</v>
      </c>
      <c r="BC84" s="170"/>
      <c r="BD84" s="196">
        <v>0</v>
      </c>
      <c r="BE84" s="170">
        <v>0</v>
      </c>
      <c r="BF84" s="196">
        <v>0</v>
      </c>
      <c r="BG84" s="170"/>
      <c r="BH84" s="196">
        <v>0</v>
      </c>
      <c r="BI84" s="170"/>
      <c r="BJ84" s="196">
        <v>0</v>
      </c>
      <c r="BK84" s="170"/>
      <c r="BL84" s="196"/>
      <c r="BM84" s="170"/>
      <c r="BN84" s="196"/>
      <c r="BO84" s="170"/>
      <c r="BP84" s="196"/>
      <c r="BQ84" s="170"/>
      <c r="BR84" s="196"/>
      <c r="BS84" s="170"/>
      <c r="BT84" s="196"/>
      <c r="BU84" s="170"/>
      <c r="BV84" s="196"/>
      <c r="BW84" s="251"/>
      <c r="BX84" s="254"/>
      <c r="BY84" s="88">
        <f t="shared" si="47"/>
        <v>0</v>
      </c>
      <c r="BZ84" s="214"/>
      <c r="CA84" s="214"/>
      <c r="CB84" s="214"/>
      <c r="CC84" s="214"/>
      <c r="CD84" s="214"/>
      <c r="CE84" s="214"/>
      <c r="CF84" s="214"/>
      <c r="CG84" s="214"/>
      <c r="CH84" s="214"/>
      <c r="CI84" s="214"/>
      <c r="CJ84" s="214"/>
      <c r="CK84" s="214"/>
      <c r="CL84" s="211">
        <f t="shared" si="37"/>
        <v>0</v>
      </c>
      <c r="CM84" s="212"/>
      <c r="CN84" s="212"/>
      <c r="CO84" s="212"/>
      <c r="CP84" s="212"/>
      <c r="CQ84" s="212"/>
      <c r="CR84" s="212"/>
      <c r="CS84" s="212"/>
      <c r="CT84" s="212"/>
      <c r="CU84" s="212"/>
      <c r="CV84" s="212"/>
      <c r="CW84" s="212"/>
      <c r="CX84" s="212"/>
      <c r="CY84" s="216">
        <f t="shared" si="26"/>
        <v>0</v>
      </c>
      <c r="CZ84" s="185">
        <f t="shared" si="48"/>
        <v>0</v>
      </c>
      <c r="DA84" s="217">
        <f t="shared" si="27"/>
        <v>0</v>
      </c>
      <c r="DB84" s="217">
        <f t="shared" si="28"/>
        <v>0</v>
      </c>
      <c r="DC84" s="217">
        <f t="shared" si="38"/>
        <v>0</v>
      </c>
      <c r="DD84" s="256">
        <v>0</v>
      </c>
      <c r="DE84" s="217">
        <f t="shared" si="39"/>
        <v>0</v>
      </c>
      <c r="DF84" s="185" t="e">
        <f>SUM(DN84:DO84)-SUM(#REF!,BV84)+BU84</f>
        <v>#REF!</v>
      </c>
      <c r="DG84" s="223"/>
      <c r="DH84" s="241">
        <f t="shared" si="40"/>
        <v>0</v>
      </c>
      <c r="DI84" s="241">
        <f t="shared" si="41"/>
        <v>0</v>
      </c>
      <c r="DJ84" s="241">
        <f t="shared" si="42"/>
        <v>0</v>
      </c>
      <c r="DK84" s="241" t="e">
        <f>SUM(BS84,#REF!,BV84)</f>
        <v>#REF!</v>
      </c>
      <c r="DL84" s="155">
        <v>248</v>
      </c>
      <c r="DM84" s="155">
        <v>203.21110000000002</v>
      </c>
      <c r="DN84" s="155">
        <v>0</v>
      </c>
      <c r="DO84" s="155">
        <v>0</v>
      </c>
      <c r="DP84" s="155">
        <v>203.21110000000002</v>
      </c>
      <c r="DQ84" s="155">
        <v>44.788899999999998</v>
      </c>
      <c r="DS84" s="235">
        <f t="shared" si="43"/>
        <v>0</v>
      </c>
    </row>
    <row r="85" spans="1:123" s="23" customFormat="1" ht="24" customHeight="1">
      <c r="A85" s="19"/>
      <c r="B85" s="2">
        <v>41</v>
      </c>
      <c r="C85" s="85" t="s">
        <v>33</v>
      </c>
      <c r="D85" s="85"/>
      <c r="E85" s="85"/>
      <c r="F85" s="3">
        <v>2017</v>
      </c>
      <c r="G85" s="4">
        <v>42893</v>
      </c>
      <c r="H85" s="4">
        <v>43087</v>
      </c>
      <c r="I85" s="4">
        <v>44068</v>
      </c>
      <c r="J85" s="15">
        <f t="shared" ca="1" si="21"/>
        <v>981</v>
      </c>
      <c r="K85" s="177">
        <f t="shared" si="44"/>
        <v>43634</v>
      </c>
      <c r="L85" s="177">
        <f t="shared" si="45"/>
        <v>43817</v>
      </c>
      <c r="M85" s="177"/>
      <c r="N85" s="177"/>
      <c r="O85" s="177"/>
      <c r="P85" s="177"/>
      <c r="Q85" s="177"/>
      <c r="R85" s="3" t="s">
        <v>178</v>
      </c>
      <c r="S85" s="13" t="s">
        <v>222</v>
      </c>
      <c r="T85" s="13"/>
      <c r="U85" s="5" t="s">
        <v>9</v>
      </c>
      <c r="V85" s="268"/>
      <c r="W85" s="5" t="s">
        <v>614</v>
      </c>
      <c r="X85" s="5" t="s">
        <v>483</v>
      </c>
      <c r="Y85" s="5" t="s">
        <v>34</v>
      </c>
      <c r="Z85" s="3" t="s">
        <v>188</v>
      </c>
      <c r="AA85" s="6" t="s">
        <v>218</v>
      </c>
      <c r="AB85" s="151" t="s">
        <v>197</v>
      </c>
      <c r="AC85" s="177" t="s">
        <v>6</v>
      </c>
      <c r="AD85" s="177" t="s">
        <v>6</v>
      </c>
      <c r="AE85" s="177" t="s">
        <v>6</v>
      </c>
      <c r="AF85" s="5" t="s">
        <v>1132</v>
      </c>
      <c r="AG85" s="5"/>
      <c r="AH85" s="226"/>
      <c r="AI85" s="83"/>
      <c r="AJ85" s="83"/>
      <c r="AK85" s="237" t="e">
        <f>SUM(#REF!,BT85,BV85)</f>
        <v>#REF!</v>
      </c>
      <c r="AL85" s="166"/>
      <c r="AM85" s="166"/>
      <c r="AN85" s="166"/>
      <c r="AO85" s="166"/>
      <c r="AP85" s="166"/>
      <c r="AQ85" s="166"/>
      <c r="AR85" s="56">
        <v>1070.1851485216268</v>
      </c>
      <c r="AS85" s="56">
        <v>211.95524</v>
      </c>
      <c r="AT85" s="56">
        <v>134.14262000000002</v>
      </c>
      <c r="AU85" s="56">
        <v>0.7</v>
      </c>
      <c r="AV85" s="39">
        <v>2866.6</v>
      </c>
      <c r="AW85" s="38">
        <v>119</v>
      </c>
      <c r="AX85" s="97">
        <f t="shared" si="24"/>
        <v>2985.6</v>
      </c>
      <c r="AY85" s="169">
        <f t="shared" si="46"/>
        <v>0</v>
      </c>
      <c r="AZ85" s="196">
        <v>0</v>
      </c>
      <c r="BA85" s="170">
        <v>0</v>
      </c>
      <c r="BB85" s="196">
        <v>0</v>
      </c>
      <c r="BC85" s="170"/>
      <c r="BD85" s="196">
        <v>0</v>
      </c>
      <c r="BE85" s="170">
        <v>0</v>
      </c>
      <c r="BF85" s="196">
        <v>0</v>
      </c>
      <c r="BG85" s="170"/>
      <c r="BH85" s="196">
        <v>0</v>
      </c>
      <c r="BI85" s="170"/>
      <c r="BJ85" s="196">
        <v>0</v>
      </c>
      <c r="BK85" s="170"/>
      <c r="BL85" s="196"/>
      <c r="BM85" s="170"/>
      <c r="BN85" s="196"/>
      <c r="BO85" s="170"/>
      <c r="BP85" s="196"/>
      <c r="BQ85" s="170"/>
      <c r="BR85" s="196"/>
      <c r="BS85" s="170"/>
      <c r="BT85" s="196"/>
      <c r="BU85" s="170"/>
      <c r="BV85" s="196"/>
      <c r="BW85" s="251"/>
      <c r="BX85" s="254"/>
      <c r="BY85" s="88">
        <f t="shared" si="47"/>
        <v>0</v>
      </c>
      <c r="BZ85" s="214"/>
      <c r="CA85" s="214"/>
      <c r="CB85" s="214"/>
      <c r="CC85" s="214"/>
      <c r="CD85" s="214"/>
      <c r="CE85" s="214"/>
      <c r="CF85" s="214"/>
      <c r="CG85" s="214"/>
      <c r="CH85" s="214"/>
      <c r="CI85" s="214"/>
      <c r="CJ85" s="214"/>
      <c r="CK85" s="214"/>
      <c r="CL85" s="211">
        <f t="shared" si="37"/>
        <v>0</v>
      </c>
      <c r="CM85" s="212"/>
      <c r="CN85" s="212"/>
      <c r="CO85" s="212"/>
      <c r="CP85" s="212"/>
      <c r="CQ85" s="212"/>
      <c r="CR85" s="212"/>
      <c r="CS85" s="212"/>
      <c r="CT85" s="212"/>
      <c r="CU85" s="212"/>
      <c r="CV85" s="212"/>
      <c r="CW85" s="212"/>
      <c r="CX85" s="212"/>
      <c r="CY85" s="216">
        <f t="shared" si="26"/>
        <v>0</v>
      </c>
      <c r="CZ85" s="185">
        <f t="shared" si="48"/>
        <v>0</v>
      </c>
      <c r="DA85" s="217">
        <f t="shared" si="27"/>
        <v>0</v>
      </c>
      <c r="DB85" s="217">
        <f t="shared" si="28"/>
        <v>0</v>
      </c>
      <c r="DC85" s="217">
        <f t="shared" si="38"/>
        <v>0</v>
      </c>
      <c r="DD85" s="256">
        <v>0</v>
      </c>
      <c r="DE85" s="217">
        <f t="shared" si="39"/>
        <v>0</v>
      </c>
      <c r="DF85" s="185" t="e">
        <f>SUM(DN85:DO85)-SUM(#REF!,BV85)+BU85</f>
        <v>#REF!</v>
      </c>
      <c r="DG85" s="223"/>
      <c r="DH85" s="241">
        <f t="shared" si="40"/>
        <v>0</v>
      </c>
      <c r="DI85" s="241">
        <f t="shared" si="41"/>
        <v>0</v>
      </c>
      <c r="DJ85" s="241">
        <f t="shared" si="42"/>
        <v>0</v>
      </c>
      <c r="DK85" s="241" t="e">
        <f>SUM(BS85,#REF!,BV85)</f>
        <v>#REF!</v>
      </c>
      <c r="DL85" s="155">
        <v>2866.6</v>
      </c>
      <c r="DM85" s="155">
        <v>2781.0119900000004</v>
      </c>
      <c r="DN85" s="155">
        <v>0</v>
      </c>
      <c r="DO85" s="155">
        <v>0</v>
      </c>
      <c r="DP85" s="155">
        <v>2781.0119900000004</v>
      </c>
      <c r="DQ85" s="155">
        <v>85.588009999999997</v>
      </c>
      <c r="DR85" s="23">
        <f>VLOOKUP(C85,[6]Database!$B$143:$AD$521,29,FALSE)</f>
        <v>0</v>
      </c>
      <c r="DS85" s="235">
        <f t="shared" si="43"/>
        <v>0</v>
      </c>
    </row>
    <row r="86" spans="1:123" s="23" customFormat="1" ht="24" customHeight="1">
      <c r="A86" s="18"/>
      <c r="B86" s="2">
        <v>42</v>
      </c>
      <c r="C86" s="85" t="s">
        <v>35</v>
      </c>
      <c r="D86" s="85"/>
      <c r="E86" s="85"/>
      <c r="F86" s="3">
        <v>2017</v>
      </c>
      <c r="G86" s="4">
        <v>42964</v>
      </c>
      <c r="H86" s="4">
        <v>42964</v>
      </c>
      <c r="I86" s="4">
        <v>43560</v>
      </c>
      <c r="J86" s="15">
        <f t="shared" ca="1" si="21"/>
        <v>596</v>
      </c>
      <c r="K86" s="177">
        <f t="shared" si="44"/>
        <v>43511</v>
      </c>
      <c r="L86" s="177">
        <f t="shared" si="45"/>
        <v>43694</v>
      </c>
      <c r="M86" s="177"/>
      <c r="N86" s="177"/>
      <c r="O86" s="177"/>
      <c r="P86" s="177"/>
      <c r="Q86" s="177"/>
      <c r="R86" s="3" t="s">
        <v>176</v>
      </c>
      <c r="S86" s="13" t="s">
        <v>224</v>
      </c>
      <c r="T86" s="13"/>
      <c r="U86" s="5" t="s">
        <v>9</v>
      </c>
      <c r="V86" s="268"/>
      <c r="W86" s="5" t="s">
        <v>614</v>
      </c>
      <c r="X86" s="5" t="s">
        <v>481</v>
      </c>
      <c r="Y86" s="5" t="s">
        <v>36</v>
      </c>
      <c r="Z86" s="3" t="s">
        <v>187</v>
      </c>
      <c r="AA86" s="6" t="s">
        <v>218</v>
      </c>
      <c r="AB86" s="151" t="s">
        <v>197</v>
      </c>
      <c r="AC86" s="177" t="s">
        <v>6</v>
      </c>
      <c r="AD86" s="177" t="s">
        <v>6</v>
      </c>
      <c r="AE86" s="177" t="s">
        <v>6</v>
      </c>
      <c r="AF86" s="5"/>
      <c r="AG86" s="5"/>
      <c r="AH86" s="226"/>
      <c r="AI86" s="83"/>
      <c r="AJ86" s="83"/>
      <c r="AK86" s="237" t="e">
        <f>SUM(#REF!,BT86,BV86)</f>
        <v>#REF!</v>
      </c>
      <c r="AL86" s="166"/>
      <c r="AM86" s="166"/>
      <c r="AN86" s="166"/>
      <c r="AO86" s="166"/>
      <c r="AP86" s="166"/>
      <c r="AQ86" s="166"/>
      <c r="AR86" s="56">
        <v>35.333172788543564</v>
      </c>
      <c r="AS86" s="56">
        <v>0</v>
      </c>
      <c r="AT86" s="56">
        <v>0</v>
      </c>
      <c r="AU86" s="56"/>
      <c r="AV86" s="38">
        <v>355.02</v>
      </c>
      <c r="AW86" s="38">
        <v>45</v>
      </c>
      <c r="AX86" s="97">
        <f t="shared" si="24"/>
        <v>400.02</v>
      </c>
      <c r="AY86" s="169">
        <f t="shared" si="46"/>
        <v>0</v>
      </c>
      <c r="AZ86" s="196">
        <v>0</v>
      </c>
      <c r="BA86" s="170"/>
      <c r="BB86" s="196">
        <v>0</v>
      </c>
      <c r="BC86" s="170"/>
      <c r="BD86" s="196">
        <v>0</v>
      </c>
      <c r="BE86" s="170">
        <v>0</v>
      </c>
      <c r="BF86" s="196">
        <v>0</v>
      </c>
      <c r="BG86" s="170"/>
      <c r="BH86" s="196">
        <v>0</v>
      </c>
      <c r="BI86" s="170"/>
      <c r="BJ86" s="196">
        <v>0</v>
      </c>
      <c r="BK86" s="170"/>
      <c r="BL86" s="196"/>
      <c r="BM86" s="170"/>
      <c r="BN86" s="196"/>
      <c r="BO86" s="170"/>
      <c r="BP86" s="196"/>
      <c r="BQ86" s="170"/>
      <c r="BR86" s="196"/>
      <c r="BS86" s="170"/>
      <c r="BT86" s="196"/>
      <c r="BU86" s="170"/>
      <c r="BV86" s="196"/>
      <c r="BW86" s="251"/>
      <c r="BX86" s="254"/>
      <c r="BY86" s="88">
        <f t="shared" si="47"/>
        <v>0</v>
      </c>
      <c r="BZ86" s="258"/>
      <c r="CA86" s="258"/>
      <c r="CB86" s="258"/>
      <c r="CC86" s="258"/>
      <c r="CD86" s="258"/>
      <c r="CE86" s="258"/>
      <c r="CF86" s="258"/>
      <c r="CG86" s="258"/>
      <c r="CH86" s="258"/>
      <c r="CI86" s="258"/>
      <c r="CJ86" s="258"/>
      <c r="CK86" s="258"/>
      <c r="CL86" s="211">
        <f t="shared" si="37"/>
        <v>0</v>
      </c>
      <c r="CM86" s="212"/>
      <c r="CN86" s="212"/>
      <c r="CO86" s="212"/>
      <c r="CP86" s="212"/>
      <c r="CQ86" s="212"/>
      <c r="CR86" s="212"/>
      <c r="CS86" s="212"/>
      <c r="CT86" s="212"/>
      <c r="CU86" s="212"/>
      <c r="CV86" s="212"/>
      <c r="CW86" s="212"/>
      <c r="CX86" s="212"/>
      <c r="CY86" s="216">
        <f t="shared" si="26"/>
        <v>0</v>
      </c>
      <c r="CZ86" s="185">
        <f t="shared" si="48"/>
        <v>0</v>
      </c>
      <c r="DA86" s="217">
        <f t="shared" si="27"/>
        <v>0</v>
      </c>
      <c r="DB86" s="217">
        <f t="shared" si="28"/>
        <v>0</v>
      </c>
      <c r="DC86" s="217">
        <f t="shared" si="38"/>
        <v>0</v>
      </c>
      <c r="DD86" s="256">
        <v>0</v>
      </c>
      <c r="DE86" s="217">
        <f t="shared" si="39"/>
        <v>0</v>
      </c>
      <c r="DF86" s="185" t="e">
        <f>SUM(DN86:DO86)-SUM(#REF!,BV86)+BU86</f>
        <v>#REF!</v>
      </c>
      <c r="DG86" s="223"/>
      <c r="DH86" s="241">
        <f t="shared" si="40"/>
        <v>0</v>
      </c>
      <c r="DI86" s="241">
        <f t="shared" si="41"/>
        <v>0</v>
      </c>
      <c r="DJ86" s="241">
        <f t="shared" si="42"/>
        <v>0</v>
      </c>
      <c r="DK86" s="241" t="e">
        <f>SUM(BS86,#REF!,BV86)</f>
        <v>#REF!</v>
      </c>
      <c r="DL86" s="155">
        <v>355.017</v>
      </c>
      <c r="DM86" s="155">
        <v>341.41795999999999</v>
      </c>
      <c r="DN86" s="155">
        <v>0</v>
      </c>
      <c r="DO86" s="155">
        <v>0</v>
      </c>
      <c r="DP86" s="155">
        <v>341.41795999999999</v>
      </c>
      <c r="DQ86" s="155">
        <v>13.59904</v>
      </c>
      <c r="DS86" s="235">
        <f t="shared" si="43"/>
        <v>0</v>
      </c>
    </row>
    <row r="87" spans="1:123" s="23" customFormat="1" ht="24" customHeight="1">
      <c r="A87" s="18"/>
      <c r="B87" s="2">
        <v>43</v>
      </c>
      <c r="C87" s="85" t="s">
        <v>37</v>
      </c>
      <c r="D87" s="85"/>
      <c r="E87" s="85"/>
      <c r="F87" s="3">
        <v>2017</v>
      </c>
      <c r="G87" s="4">
        <v>42915</v>
      </c>
      <c r="H87" s="4">
        <v>42943</v>
      </c>
      <c r="I87" s="4">
        <v>43525</v>
      </c>
      <c r="J87" s="15">
        <f t="shared" ca="1" si="21"/>
        <v>582</v>
      </c>
      <c r="K87" s="177">
        <f t="shared" si="44"/>
        <v>43490</v>
      </c>
      <c r="L87" s="177">
        <f t="shared" si="45"/>
        <v>43673</v>
      </c>
      <c r="M87" s="177"/>
      <c r="N87" s="177"/>
      <c r="O87" s="177"/>
      <c r="P87" s="177"/>
      <c r="Q87" s="177"/>
      <c r="R87" s="3" t="s">
        <v>178</v>
      </c>
      <c r="S87" s="13" t="s">
        <v>223</v>
      </c>
      <c r="T87" s="13"/>
      <c r="U87" s="5" t="s">
        <v>9</v>
      </c>
      <c r="V87" s="268"/>
      <c r="W87" s="5" t="s">
        <v>614</v>
      </c>
      <c r="X87" s="5" t="s">
        <v>481</v>
      </c>
      <c r="Y87" s="5" t="s">
        <v>38</v>
      </c>
      <c r="Z87" s="3" t="s">
        <v>188</v>
      </c>
      <c r="AA87" s="6" t="s">
        <v>218</v>
      </c>
      <c r="AB87" s="151" t="s">
        <v>197</v>
      </c>
      <c r="AC87" s="177" t="s">
        <v>6</v>
      </c>
      <c r="AD87" s="177" t="s">
        <v>6</v>
      </c>
      <c r="AE87" s="177" t="s">
        <v>6</v>
      </c>
      <c r="AF87" s="5"/>
      <c r="AG87" s="5"/>
      <c r="AH87" s="226"/>
      <c r="AI87" s="83"/>
      <c r="AJ87" s="83"/>
      <c r="AK87" s="237" t="e">
        <f>SUM(#REF!,BT87,BV87)</f>
        <v>#REF!</v>
      </c>
      <c r="AL87" s="52"/>
      <c r="AM87" s="52"/>
      <c r="AN87" s="52"/>
      <c r="AO87" s="52"/>
      <c r="AP87" s="52"/>
      <c r="AQ87" s="52"/>
      <c r="AR87" s="56">
        <v>32.226922696860782</v>
      </c>
      <c r="AS87" s="56">
        <v>0</v>
      </c>
      <c r="AT87" s="56">
        <v>0</v>
      </c>
      <c r="AU87" s="56"/>
      <c r="AV87" s="38">
        <v>464.6</v>
      </c>
      <c r="AW87" s="38">
        <v>3.2</v>
      </c>
      <c r="AX87" s="97">
        <f t="shared" si="24"/>
        <v>467.8</v>
      </c>
      <c r="AY87" s="169">
        <f t="shared" si="46"/>
        <v>0</v>
      </c>
      <c r="AZ87" s="196">
        <v>0</v>
      </c>
      <c r="BA87" s="170"/>
      <c r="BB87" s="196">
        <v>0</v>
      </c>
      <c r="BC87" s="170"/>
      <c r="BD87" s="196">
        <v>0</v>
      </c>
      <c r="BE87" s="170">
        <v>0</v>
      </c>
      <c r="BF87" s="196">
        <v>0</v>
      </c>
      <c r="BG87" s="170"/>
      <c r="BH87" s="196">
        <v>0</v>
      </c>
      <c r="BI87" s="170"/>
      <c r="BJ87" s="196">
        <v>0</v>
      </c>
      <c r="BK87" s="170"/>
      <c r="BL87" s="196"/>
      <c r="BM87" s="170"/>
      <c r="BN87" s="196"/>
      <c r="BO87" s="170"/>
      <c r="BP87" s="196"/>
      <c r="BQ87" s="170"/>
      <c r="BR87" s="196"/>
      <c r="BS87" s="170"/>
      <c r="BT87" s="196"/>
      <c r="BU87" s="170"/>
      <c r="BV87" s="196"/>
      <c r="BW87" s="251"/>
      <c r="BX87" s="254"/>
      <c r="BY87" s="88">
        <f t="shared" si="47"/>
        <v>0</v>
      </c>
      <c r="BZ87" s="214"/>
      <c r="CA87" s="214"/>
      <c r="CB87" s="214"/>
      <c r="CC87" s="214"/>
      <c r="CD87" s="214"/>
      <c r="CE87" s="214"/>
      <c r="CF87" s="214"/>
      <c r="CG87" s="214"/>
      <c r="CH87" s="214"/>
      <c r="CI87" s="214"/>
      <c r="CJ87" s="214"/>
      <c r="CK87" s="214"/>
      <c r="CL87" s="211">
        <f t="shared" si="37"/>
        <v>0</v>
      </c>
      <c r="CM87" s="212"/>
      <c r="CN87" s="212"/>
      <c r="CO87" s="212"/>
      <c r="CP87" s="212"/>
      <c r="CQ87" s="212"/>
      <c r="CR87" s="212"/>
      <c r="CS87" s="212"/>
      <c r="CT87" s="212"/>
      <c r="CU87" s="212"/>
      <c r="CV87" s="212"/>
      <c r="CW87" s="212"/>
      <c r="CX87" s="212"/>
      <c r="CY87" s="216">
        <f t="shared" si="26"/>
        <v>0</v>
      </c>
      <c r="CZ87" s="185">
        <f t="shared" si="48"/>
        <v>0</v>
      </c>
      <c r="DA87" s="217">
        <f t="shared" si="27"/>
        <v>0</v>
      </c>
      <c r="DB87" s="217">
        <f t="shared" si="28"/>
        <v>0</v>
      </c>
      <c r="DC87" s="217">
        <f t="shared" si="38"/>
        <v>0</v>
      </c>
      <c r="DD87" s="256">
        <v>0</v>
      </c>
      <c r="DE87" s="217">
        <f t="shared" si="39"/>
        <v>0</v>
      </c>
      <c r="DF87" s="185" t="e">
        <f>SUM(DN87:DO87)-SUM(#REF!,BV87)+BU87</f>
        <v>#REF!</v>
      </c>
      <c r="DG87" s="223"/>
      <c r="DH87" s="241">
        <f t="shared" si="40"/>
        <v>0</v>
      </c>
      <c r="DI87" s="241">
        <f t="shared" si="41"/>
        <v>0</v>
      </c>
      <c r="DJ87" s="241">
        <f t="shared" si="42"/>
        <v>0</v>
      </c>
      <c r="DK87" s="241" t="e">
        <f>SUM(BS87,#REF!,BV87)</f>
        <v>#REF!</v>
      </c>
      <c r="DL87" s="155">
        <v>464.6</v>
      </c>
      <c r="DM87" s="155">
        <v>450.6737</v>
      </c>
      <c r="DN87" s="155">
        <v>0</v>
      </c>
      <c r="DO87" s="155">
        <v>0</v>
      </c>
      <c r="DP87" s="155">
        <v>450.6737</v>
      </c>
      <c r="DQ87" s="155">
        <v>13.926299999999999</v>
      </c>
      <c r="DS87" s="235">
        <f t="shared" si="43"/>
        <v>0</v>
      </c>
    </row>
    <row r="88" spans="1:123" s="23" customFormat="1" ht="24" customHeight="1">
      <c r="A88" s="18"/>
      <c r="B88" s="2">
        <v>44</v>
      </c>
      <c r="C88" s="85" t="s">
        <v>39</v>
      </c>
      <c r="D88" s="85"/>
      <c r="E88" s="85"/>
      <c r="F88" s="3">
        <v>2017</v>
      </c>
      <c r="G88" s="4">
        <v>42943</v>
      </c>
      <c r="H88" s="4">
        <v>42943</v>
      </c>
      <c r="I88" s="4">
        <v>43500</v>
      </c>
      <c r="J88" s="15">
        <f t="shared" ca="1" si="21"/>
        <v>557</v>
      </c>
      <c r="K88" s="177">
        <f t="shared" si="44"/>
        <v>43490</v>
      </c>
      <c r="L88" s="177">
        <f t="shared" si="45"/>
        <v>43673</v>
      </c>
      <c r="M88" s="177"/>
      <c r="N88" s="177"/>
      <c r="O88" s="177"/>
      <c r="P88" s="177"/>
      <c r="Q88" s="177"/>
      <c r="R88" s="3" t="s">
        <v>176</v>
      </c>
      <c r="S88" s="13" t="s">
        <v>224</v>
      </c>
      <c r="T88" s="13"/>
      <c r="U88" s="5" t="s">
        <v>9</v>
      </c>
      <c r="V88" s="268"/>
      <c r="W88" s="5" t="s">
        <v>614</v>
      </c>
      <c r="X88" s="5" t="s">
        <v>481</v>
      </c>
      <c r="Y88" s="5" t="s">
        <v>40</v>
      </c>
      <c r="Z88" s="3" t="s">
        <v>187</v>
      </c>
      <c r="AA88" s="6" t="s">
        <v>218</v>
      </c>
      <c r="AB88" s="151" t="s">
        <v>197</v>
      </c>
      <c r="AC88" s="177" t="s">
        <v>6</v>
      </c>
      <c r="AD88" s="177" t="s">
        <v>6</v>
      </c>
      <c r="AE88" s="177" t="s">
        <v>6</v>
      </c>
      <c r="AF88" s="5"/>
      <c r="AG88" s="5"/>
      <c r="AH88" s="226"/>
      <c r="AI88" s="83"/>
      <c r="AJ88" s="83"/>
      <c r="AK88" s="237" t="e">
        <f>SUM(#REF!,BT88,BV88)</f>
        <v>#REF!</v>
      </c>
      <c r="AL88" s="52"/>
      <c r="AM88" s="52"/>
      <c r="AN88" s="52"/>
      <c r="AO88" s="52"/>
      <c r="AP88" s="52"/>
      <c r="AQ88" s="52"/>
      <c r="AR88" s="56">
        <v>0.16700000000000001</v>
      </c>
      <c r="AS88" s="56"/>
      <c r="AT88" s="56">
        <v>0</v>
      </c>
      <c r="AU88" s="56"/>
      <c r="AV88" s="38">
        <v>198</v>
      </c>
      <c r="AW88" s="38">
        <v>0</v>
      </c>
      <c r="AX88" s="97">
        <f t="shared" si="24"/>
        <v>198</v>
      </c>
      <c r="AY88" s="169">
        <f t="shared" si="46"/>
        <v>0</v>
      </c>
      <c r="AZ88" s="196">
        <v>0</v>
      </c>
      <c r="BA88" s="170"/>
      <c r="BB88" s="196">
        <v>0</v>
      </c>
      <c r="BC88" s="170"/>
      <c r="BD88" s="196">
        <v>0</v>
      </c>
      <c r="BE88" s="170">
        <v>0</v>
      </c>
      <c r="BF88" s="196">
        <v>0</v>
      </c>
      <c r="BG88" s="170"/>
      <c r="BH88" s="196">
        <v>0</v>
      </c>
      <c r="BI88" s="170"/>
      <c r="BJ88" s="196">
        <v>0</v>
      </c>
      <c r="BK88" s="170"/>
      <c r="BL88" s="196"/>
      <c r="BM88" s="170"/>
      <c r="BN88" s="196"/>
      <c r="BO88" s="170"/>
      <c r="BP88" s="196"/>
      <c r="BQ88" s="170"/>
      <c r="BR88" s="196"/>
      <c r="BS88" s="170"/>
      <c r="BT88" s="196"/>
      <c r="BU88" s="170"/>
      <c r="BV88" s="196"/>
      <c r="BW88" s="251"/>
      <c r="BX88" s="254"/>
      <c r="BY88" s="88">
        <f t="shared" si="47"/>
        <v>0</v>
      </c>
      <c r="BZ88" s="258"/>
      <c r="CA88" s="258"/>
      <c r="CB88" s="258"/>
      <c r="CC88" s="258"/>
      <c r="CD88" s="258"/>
      <c r="CE88" s="258"/>
      <c r="CF88" s="258"/>
      <c r="CG88" s="258"/>
      <c r="CH88" s="258"/>
      <c r="CI88" s="258"/>
      <c r="CJ88" s="258"/>
      <c r="CK88" s="258"/>
      <c r="CL88" s="211">
        <f t="shared" si="37"/>
        <v>0</v>
      </c>
      <c r="CM88" s="212"/>
      <c r="CN88" s="212"/>
      <c r="CO88" s="212"/>
      <c r="CP88" s="212"/>
      <c r="CQ88" s="212"/>
      <c r="CR88" s="212"/>
      <c r="CS88" s="212"/>
      <c r="CT88" s="212"/>
      <c r="CU88" s="212"/>
      <c r="CV88" s="212"/>
      <c r="CW88" s="212"/>
      <c r="CX88" s="212"/>
      <c r="CY88" s="216">
        <f t="shared" si="26"/>
        <v>0</v>
      </c>
      <c r="CZ88" s="185">
        <f t="shared" si="48"/>
        <v>0</v>
      </c>
      <c r="DA88" s="217">
        <f t="shared" si="27"/>
        <v>0</v>
      </c>
      <c r="DB88" s="217">
        <f t="shared" si="28"/>
        <v>0</v>
      </c>
      <c r="DC88" s="217">
        <f t="shared" si="38"/>
        <v>0</v>
      </c>
      <c r="DD88" s="256">
        <v>0</v>
      </c>
      <c r="DE88" s="217">
        <f t="shared" si="39"/>
        <v>0</v>
      </c>
      <c r="DF88" s="185" t="e">
        <f>SUM(DN88:DO88)-SUM(#REF!,BV88)+BU88</f>
        <v>#REF!</v>
      </c>
      <c r="DG88" s="223"/>
      <c r="DH88" s="241">
        <f t="shared" si="40"/>
        <v>0</v>
      </c>
      <c r="DI88" s="241">
        <f t="shared" si="41"/>
        <v>0</v>
      </c>
      <c r="DJ88" s="241">
        <f t="shared" si="42"/>
        <v>0</v>
      </c>
      <c r="DK88" s="241" t="e">
        <f>SUM(BS88,#REF!,BV88)</f>
        <v>#REF!</v>
      </c>
      <c r="DL88" s="155">
        <v>198</v>
      </c>
      <c r="DM88" s="155">
        <v>196.42189000000002</v>
      </c>
      <c r="DN88" s="155">
        <v>0</v>
      </c>
      <c r="DO88" s="155">
        <v>0</v>
      </c>
      <c r="DP88" s="155">
        <v>196.42189000000002</v>
      </c>
      <c r="DQ88" s="155">
        <v>1.5781099999999999</v>
      </c>
      <c r="DS88" s="235">
        <f t="shared" si="43"/>
        <v>0</v>
      </c>
    </row>
    <row r="89" spans="1:123" s="23" customFormat="1" ht="24" customHeight="1">
      <c r="A89" s="18"/>
      <c r="B89" s="2">
        <v>45</v>
      </c>
      <c r="C89" s="85" t="s">
        <v>41</v>
      </c>
      <c r="D89" s="85"/>
      <c r="E89" s="85"/>
      <c r="F89" s="3">
        <v>2017</v>
      </c>
      <c r="G89" s="4">
        <v>42979</v>
      </c>
      <c r="H89" s="4">
        <v>42979</v>
      </c>
      <c r="I89" s="4">
        <v>43517</v>
      </c>
      <c r="J89" s="15">
        <f t="shared" ca="1" si="21"/>
        <v>538</v>
      </c>
      <c r="K89" s="177">
        <f t="shared" si="44"/>
        <v>43526</v>
      </c>
      <c r="L89" s="177">
        <f t="shared" si="45"/>
        <v>43709</v>
      </c>
      <c r="M89" s="177"/>
      <c r="N89" s="177"/>
      <c r="O89" s="177"/>
      <c r="P89" s="177"/>
      <c r="Q89" s="177"/>
      <c r="R89" s="3" t="s">
        <v>179</v>
      </c>
      <c r="S89" s="13"/>
      <c r="T89" s="13"/>
      <c r="U89" s="5" t="s">
        <v>9</v>
      </c>
      <c r="V89" s="268"/>
      <c r="W89" s="5" t="s">
        <v>614</v>
      </c>
      <c r="X89" s="5" t="s">
        <v>476</v>
      </c>
      <c r="Y89" s="5" t="s">
        <v>42</v>
      </c>
      <c r="Z89" s="3" t="s">
        <v>181</v>
      </c>
      <c r="AA89" s="6" t="s">
        <v>218</v>
      </c>
      <c r="AB89" s="151" t="s">
        <v>197</v>
      </c>
      <c r="AC89" s="177" t="s">
        <v>6</v>
      </c>
      <c r="AD89" s="177" t="s">
        <v>6</v>
      </c>
      <c r="AE89" s="177" t="s">
        <v>6</v>
      </c>
      <c r="AF89" s="5"/>
      <c r="AG89" s="5"/>
      <c r="AH89" s="226"/>
      <c r="AI89" s="83"/>
      <c r="AJ89" s="83"/>
      <c r="AK89" s="237" t="e">
        <f>SUM(#REF!,BT89,BV89)</f>
        <v>#REF!</v>
      </c>
      <c r="AL89" s="52"/>
      <c r="AM89" s="52"/>
      <c r="AN89" s="52"/>
      <c r="AO89" s="52"/>
      <c r="AP89" s="52"/>
      <c r="AQ89" s="52"/>
      <c r="AR89" s="56">
        <v>-2.6</v>
      </c>
      <c r="AS89" s="56"/>
      <c r="AT89" s="56">
        <v>0</v>
      </c>
      <c r="AU89" s="56"/>
      <c r="AV89" s="38">
        <v>234</v>
      </c>
      <c r="AW89" s="38">
        <v>0</v>
      </c>
      <c r="AX89" s="97">
        <f t="shared" si="24"/>
        <v>234</v>
      </c>
      <c r="AY89" s="169">
        <f t="shared" si="46"/>
        <v>0</v>
      </c>
      <c r="AZ89" s="196">
        <v>0</v>
      </c>
      <c r="BA89" s="170"/>
      <c r="BB89" s="196">
        <v>0</v>
      </c>
      <c r="BC89" s="170"/>
      <c r="BD89" s="196">
        <v>0</v>
      </c>
      <c r="BE89" s="170">
        <v>0</v>
      </c>
      <c r="BF89" s="196">
        <v>0</v>
      </c>
      <c r="BG89" s="170"/>
      <c r="BH89" s="196">
        <v>0</v>
      </c>
      <c r="BI89" s="170"/>
      <c r="BJ89" s="196">
        <v>0</v>
      </c>
      <c r="BK89" s="170"/>
      <c r="BL89" s="196"/>
      <c r="BM89" s="170"/>
      <c r="BN89" s="196"/>
      <c r="BO89" s="170"/>
      <c r="BP89" s="196"/>
      <c r="BQ89" s="170"/>
      <c r="BR89" s="196"/>
      <c r="BS89" s="170"/>
      <c r="BT89" s="196"/>
      <c r="BU89" s="170"/>
      <c r="BV89" s="196"/>
      <c r="BW89" s="251"/>
      <c r="BX89" s="254"/>
      <c r="BY89" s="88">
        <f t="shared" si="47"/>
        <v>0</v>
      </c>
      <c r="BZ89" s="214"/>
      <c r="CA89" s="214"/>
      <c r="CB89" s="214"/>
      <c r="CC89" s="214"/>
      <c r="CD89" s="214"/>
      <c r="CE89" s="214"/>
      <c r="CF89" s="214"/>
      <c r="CG89" s="214"/>
      <c r="CH89" s="214"/>
      <c r="CI89" s="214"/>
      <c r="CJ89" s="214"/>
      <c r="CK89" s="214"/>
      <c r="CL89" s="211">
        <f t="shared" si="37"/>
        <v>0</v>
      </c>
      <c r="CM89" s="212"/>
      <c r="CN89" s="212"/>
      <c r="CO89" s="212"/>
      <c r="CP89" s="212"/>
      <c r="CQ89" s="212"/>
      <c r="CR89" s="212"/>
      <c r="CS89" s="212"/>
      <c r="CT89" s="212"/>
      <c r="CU89" s="212"/>
      <c r="CV89" s="212"/>
      <c r="CW89" s="212"/>
      <c r="CX89" s="212"/>
      <c r="CY89" s="216">
        <f t="shared" si="26"/>
        <v>0</v>
      </c>
      <c r="CZ89" s="185">
        <f t="shared" si="48"/>
        <v>0</v>
      </c>
      <c r="DA89" s="217">
        <f t="shared" si="27"/>
        <v>0</v>
      </c>
      <c r="DB89" s="217">
        <f t="shared" si="28"/>
        <v>0</v>
      </c>
      <c r="DC89" s="217">
        <f t="shared" si="38"/>
        <v>0</v>
      </c>
      <c r="DD89" s="256">
        <v>0</v>
      </c>
      <c r="DE89" s="217">
        <f t="shared" si="39"/>
        <v>0</v>
      </c>
      <c r="DF89" s="185" t="e">
        <f>SUM(DN89:DO89)-SUM(#REF!,BV89)+BU89</f>
        <v>#REF!</v>
      </c>
      <c r="DG89" s="223"/>
      <c r="DH89" s="241">
        <f t="shared" si="40"/>
        <v>0</v>
      </c>
      <c r="DI89" s="241">
        <f t="shared" si="41"/>
        <v>0</v>
      </c>
      <c r="DJ89" s="241">
        <f t="shared" si="42"/>
        <v>0</v>
      </c>
      <c r="DK89" s="241" t="e">
        <f>SUM(BS89,#REF!,BV89)</f>
        <v>#REF!</v>
      </c>
      <c r="DL89" s="155">
        <v>234</v>
      </c>
      <c r="DM89" s="155">
        <v>217.42175</v>
      </c>
      <c r="DN89" s="155">
        <v>0</v>
      </c>
      <c r="DO89" s="155">
        <v>0</v>
      </c>
      <c r="DP89" s="155">
        <v>217.42175</v>
      </c>
      <c r="DQ89" s="155">
        <v>16.578250000000001</v>
      </c>
      <c r="DS89" s="235">
        <f t="shared" si="43"/>
        <v>0</v>
      </c>
    </row>
    <row r="90" spans="1:123" s="23" customFormat="1" ht="24" customHeight="1">
      <c r="A90" s="18"/>
      <c r="B90" s="2">
        <v>46</v>
      </c>
      <c r="C90" s="85" t="s">
        <v>43</v>
      </c>
      <c r="D90" s="85"/>
      <c r="E90" s="85"/>
      <c r="F90" s="3">
        <v>2017</v>
      </c>
      <c r="G90" s="4">
        <v>43027</v>
      </c>
      <c r="H90" s="4">
        <v>43027</v>
      </c>
      <c r="I90" s="4">
        <v>43588</v>
      </c>
      <c r="J90" s="15">
        <f t="shared" ca="1" si="21"/>
        <v>561</v>
      </c>
      <c r="K90" s="177">
        <f t="shared" si="44"/>
        <v>43574</v>
      </c>
      <c r="L90" s="177">
        <f t="shared" si="45"/>
        <v>43757</v>
      </c>
      <c r="M90" s="177"/>
      <c r="N90" s="177"/>
      <c r="O90" s="177"/>
      <c r="P90" s="177"/>
      <c r="Q90" s="177"/>
      <c r="R90" s="3" t="s">
        <v>180</v>
      </c>
      <c r="S90" s="13" t="s">
        <v>223</v>
      </c>
      <c r="T90" s="13"/>
      <c r="U90" s="5" t="s">
        <v>9</v>
      </c>
      <c r="V90" s="268"/>
      <c r="W90" s="5" t="s">
        <v>614</v>
      </c>
      <c r="X90" s="5" t="s">
        <v>476</v>
      </c>
      <c r="Y90" s="5" t="s">
        <v>44</v>
      </c>
      <c r="Z90" s="3" t="s">
        <v>186</v>
      </c>
      <c r="AA90" s="6" t="s">
        <v>218</v>
      </c>
      <c r="AB90" s="151" t="s">
        <v>197</v>
      </c>
      <c r="AC90" s="177" t="s">
        <v>6</v>
      </c>
      <c r="AD90" s="177" t="s">
        <v>6</v>
      </c>
      <c r="AE90" s="177" t="s">
        <v>6</v>
      </c>
      <c r="AF90" s="5"/>
      <c r="AG90" s="5"/>
      <c r="AH90" s="226"/>
      <c r="AI90" s="83"/>
      <c r="AJ90" s="83"/>
      <c r="AK90" s="237" t="e">
        <f>SUM(#REF!,BT90,BV90)</f>
        <v>#REF!</v>
      </c>
      <c r="AL90" s="52"/>
      <c r="AM90" s="52"/>
      <c r="AN90" s="52"/>
      <c r="AO90" s="52"/>
      <c r="AP90" s="52"/>
      <c r="AQ90" s="52"/>
      <c r="AR90" s="56">
        <v>0</v>
      </c>
      <c r="AS90" s="56"/>
      <c r="AT90" s="56">
        <v>0</v>
      </c>
      <c r="AU90" s="56"/>
      <c r="AV90" s="38">
        <v>68</v>
      </c>
      <c r="AW90" s="38">
        <v>0</v>
      </c>
      <c r="AX90" s="97">
        <f t="shared" si="24"/>
        <v>68</v>
      </c>
      <c r="AY90" s="169">
        <f t="shared" si="46"/>
        <v>0</v>
      </c>
      <c r="AZ90" s="196">
        <v>0</v>
      </c>
      <c r="BA90" s="170"/>
      <c r="BB90" s="196">
        <v>0</v>
      </c>
      <c r="BC90" s="170"/>
      <c r="BD90" s="196">
        <v>0</v>
      </c>
      <c r="BE90" s="170">
        <v>0</v>
      </c>
      <c r="BF90" s="196">
        <v>0</v>
      </c>
      <c r="BG90" s="170"/>
      <c r="BH90" s="196">
        <v>0</v>
      </c>
      <c r="BI90" s="170"/>
      <c r="BJ90" s="196">
        <v>0</v>
      </c>
      <c r="BK90" s="170"/>
      <c r="BL90" s="196"/>
      <c r="BM90" s="170"/>
      <c r="BN90" s="196"/>
      <c r="BO90" s="170"/>
      <c r="BP90" s="196"/>
      <c r="BQ90" s="170"/>
      <c r="BR90" s="196"/>
      <c r="BS90" s="170"/>
      <c r="BT90" s="196"/>
      <c r="BU90" s="170"/>
      <c r="BV90" s="196"/>
      <c r="BW90" s="251"/>
      <c r="BX90" s="254"/>
      <c r="BY90" s="88">
        <f t="shared" si="47"/>
        <v>0</v>
      </c>
      <c r="BZ90" s="214"/>
      <c r="CA90" s="214"/>
      <c r="CB90" s="214"/>
      <c r="CC90" s="214"/>
      <c r="CD90" s="214"/>
      <c r="CE90" s="214"/>
      <c r="CF90" s="214"/>
      <c r="CG90" s="214"/>
      <c r="CH90" s="214"/>
      <c r="CI90" s="214"/>
      <c r="CJ90" s="214"/>
      <c r="CK90" s="214"/>
      <c r="CL90" s="211">
        <f t="shared" si="37"/>
        <v>0</v>
      </c>
      <c r="CM90" s="212"/>
      <c r="CN90" s="212"/>
      <c r="CO90" s="212"/>
      <c r="CP90" s="212"/>
      <c r="CQ90" s="212"/>
      <c r="CR90" s="212"/>
      <c r="CS90" s="212"/>
      <c r="CT90" s="212"/>
      <c r="CU90" s="212"/>
      <c r="CV90" s="212"/>
      <c r="CW90" s="212"/>
      <c r="CX90" s="212"/>
      <c r="CY90" s="216">
        <f t="shared" si="26"/>
        <v>0</v>
      </c>
      <c r="CZ90" s="185">
        <f t="shared" si="48"/>
        <v>0</v>
      </c>
      <c r="DA90" s="217">
        <f t="shared" si="27"/>
        <v>0</v>
      </c>
      <c r="DB90" s="217">
        <f t="shared" si="28"/>
        <v>0</v>
      </c>
      <c r="DC90" s="217">
        <f t="shared" si="38"/>
        <v>0</v>
      </c>
      <c r="DD90" s="256">
        <v>0</v>
      </c>
      <c r="DE90" s="217">
        <f t="shared" si="39"/>
        <v>0</v>
      </c>
      <c r="DF90" s="185" t="e">
        <f>SUM(DN90:DO90)-SUM(#REF!,BV90)+BU90</f>
        <v>#REF!</v>
      </c>
      <c r="DG90" s="223"/>
      <c r="DH90" s="241">
        <f t="shared" si="40"/>
        <v>0</v>
      </c>
      <c r="DI90" s="241">
        <f t="shared" si="41"/>
        <v>0</v>
      </c>
      <c r="DJ90" s="241">
        <f t="shared" si="42"/>
        <v>0</v>
      </c>
      <c r="DK90" s="241" t="e">
        <f>SUM(BS90,#REF!,BV90)</f>
        <v>#REF!</v>
      </c>
      <c r="DL90" s="155">
        <v>68</v>
      </c>
      <c r="DM90" s="155">
        <v>62.697220000000002</v>
      </c>
      <c r="DN90" s="155">
        <v>0</v>
      </c>
      <c r="DO90" s="155">
        <v>0</v>
      </c>
      <c r="DP90" s="155">
        <v>62.697220000000002</v>
      </c>
      <c r="DQ90" s="155">
        <v>5.3027799999999994</v>
      </c>
      <c r="DS90" s="235">
        <f t="shared" si="43"/>
        <v>0</v>
      </c>
    </row>
    <row r="91" spans="1:123" s="23" customFormat="1" ht="24" customHeight="1">
      <c r="A91" s="18"/>
      <c r="B91" s="2">
        <v>47</v>
      </c>
      <c r="C91" s="85" t="s">
        <v>45</v>
      </c>
      <c r="D91" s="85"/>
      <c r="E91" s="85" t="s">
        <v>892</v>
      </c>
      <c r="F91" s="3">
        <v>2018</v>
      </c>
      <c r="G91" s="4">
        <v>43186</v>
      </c>
      <c r="H91" s="4">
        <v>43186</v>
      </c>
      <c r="I91" s="4">
        <v>44251</v>
      </c>
      <c r="J91" s="15">
        <f t="shared" ca="1" si="21"/>
        <v>1065</v>
      </c>
      <c r="K91" s="177">
        <f t="shared" si="44"/>
        <v>43733</v>
      </c>
      <c r="L91" s="177">
        <f t="shared" si="45"/>
        <v>43916</v>
      </c>
      <c r="M91" s="177"/>
      <c r="N91" s="177"/>
      <c r="O91" s="177"/>
      <c r="P91" s="177"/>
      <c r="Q91" s="177"/>
      <c r="R91" s="3" t="s">
        <v>176</v>
      </c>
      <c r="S91" s="13" t="s">
        <v>223</v>
      </c>
      <c r="T91" s="48" t="s">
        <v>186</v>
      </c>
      <c r="U91" s="5" t="s">
        <v>9</v>
      </c>
      <c r="V91" s="268">
        <v>1450024</v>
      </c>
      <c r="W91" s="5" t="s">
        <v>614</v>
      </c>
      <c r="X91" s="5" t="s">
        <v>483</v>
      </c>
      <c r="Y91" s="5" t="s">
        <v>46</v>
      </c>
      <c r="Z91" s="85" t="s">
        <v>186</v>
      </c>
      <c r="AA91" s="6" t="s">
        <v>218</v>
      </c>
      <c r="AB91" s="151" t="s">
        <v>197</v>
      </c>
      <c r="AC91" s="177" t="s">
        <v>6</v>
      </c>
      <c r="AD91" s="177" t="s">
        <v>6</v>
      </c>
      <c r="AE91" s="177" t="s">
        <v>6</v>
      </c>
      <c r="AF91" s="5"/>
      <c r="AG91" s="5"/>
      <c r="AH91" s="226"/>
      <c r="AI91" s="83"/>
      <c r="AJ91" s="83"/>
      <c r="AK91" s="237" t="e">
        <f>SUM(#REF!,BT91,BV91)</f>
        <v>#REF!</v>
      </c>
      <c r="AL91" s="166"/>
      <c r="AM91" s="166"/>
      <c r="AN91" s="166"/>
      <c r="AO91" s="166"/>
      <c r="AP91" s="166"/>
      <c r="AQ91" s="166"/>
      <c r="AR91" s="56">
        <v>1618.2744330234984</v>
      </c>
      <c r="AS91" s="56">
        <v>190</v>
      </c>
      <c r="AT91" s="56">
        <v>26.127699999999994</v>
      </c>
      <c r="AU91" s="56">
        <v>75</v>
      </c>
      <c r="AV91" s="38">
        <v>3492</v>
      </c>
      <c r="AW91" s="38">
        <v>160.4</v>
      </c>
      <c r="AX91" s="97">
        <f t="shared" si="24"/>
        <v>3652.4</v>
      </c>
      <c r="AY91" s="169">
        <f t="shared" si="46"/>
        <v>9.7633700000000001</v>
      </c>
      <c r="AZ91" s="196">
        <v>0</v>
      </c>
      <c r="BA91" s="170">
        <v>0</v>
      </c>
      <c r="BB91" s="196">
        <v>0</v>
      </c>
      <c r="BC91" s="170">
        <v>9.7633700000000001</v>
      </c>
      <c r="BD91" s="196">
        <v>0</v>
      </c>
      <c r="BE91" s="170">
        <v>0</v>
      </c>
      <c r="BF91" s="196">
        <v>0</v>
      </c>
      <c r="BG91" s="170"/>
      <c r="BH91" s="196">
        <v>0</v>
      </c>
      <c r="BI91" s="170"/>
      <c r="BJ91" s="196">
        <v>0</v>
      </c>
      <c r="BK91" s="170"/>
      <c r="BL91" s="196"/>
      <c r="BM91" s="170"/>
      <c r="BN91" s="196"/>
      <c r="BO91" s="170"/>
      <c r="BP91" s="196"/>
      <c r="BQ91" s="170"/>
      <c r="BR91" s="196"/>
      <c r="BS91" s="170"/>
      <c r="BT91" s="196"/>
      <c r="BU91" s="170"/>
      <c r="BV91" s="196"/>
      <c r="BW91" s="251"/>
      <c r="BX91" s="254"/>
      <c r="BY91" s="88">
        <f t="shared" si="47"/>
        <v>0</v>
      </c>
      <c r="BZ91" s="258"/>
      <c r="CA91" s="258"/>
      <c r="CB91" s="258"/>
      <c r="CC91" s="258"/>
      <c r="CD91" s="258"/>
      <c r="CE91" s="258"/>
      <c r="CF91" s="258"/>
      <c r="CG91" s="258"/>
      <c r="CH91" s="258"/>
      <c r="CI91" s="258"/>
      <c r="CJ91" s="258"/>
      <c r="CK91" s="258"/>
      <c r="CL91" s="211">
        <f t="shared" si="37"/>
        <v>0</v>
      </c>
      <c r="CM91" s="212"/>
      <c r="CN91" s="212"/>
      <c r="CO91" s="212"/>
      <c r="CP91" s="212"/>
      <c r="CQ91" s="212"/>
      <c r="CR91" s="212"/>
      <c r="CS91" s="212"/>
      <c r="CT91" s="212"/>
      <c r="CU91" s="212"/>
      <c r="CV91" s="212"/>
      <c r="CW91" s="212"/>
      <c r="CX91" s="212"/>
      <c r="CY91" s="216">
        <f t="shared" si="26"/>
        <v>0</v>
      </c>
      <c r="CZ91" s="185">
        <f t="shared" si="48"/>
        <v>0</v>
      </c>
      <c r="DA91" s="217">
        <f t="shared" si="27"/>
        <v>9.7633700000000001</v>
      </c>
      <c r="DB91" s="217">
        <f t="shared" si="28"/>
        <v>0</v>
      </c>
      <c r="DC91" s="217">
        <f t="shared" si="38"/>
        <v>9.7633700000000001</v>
      </c>
      <c r="DD91" s="256">
        <v>9.7633700000000001</v>
      </c>
      <c r="DE91" s="217">
        <f t="shared" si="39"/>
        <v>0</v>
      </c>
      <c r="DF91" s="185" t="e">
        <f>SUM(DN91:DO91)-SUM(#REF!,BV91)+BU91</f>
        <v>#REF!</v>
      </c>
      <c r="DG91" s="223"/>
      <c r="DH91" s="241">
        <f t="shared" si="40"/>
        <v>9.7633700000000001</v>
      </c>
      <c r="DI91" s="241">
        <f t="shared" si="41"/>
        <v>0</v>
      </c>
      <c r="DJ91" s="241">
        <f t="shared" si="42"/>
        <v>0</v>
      </c>
      <c r="DK91" s="241" t="e">
        <f>SUM(BS91,#REF!,BV91)</f>
        <v>#REF!</v>
      </c>
      <c r="DL91" s="155">
        <v>3492</v>
      </c>
      <c r="DM91" s="155">
        <v>3328.79475</v>
      </c>
      <c r="DN91" s="155">
        <v>0</v>
      </c>
      <c r="DO91" s="155">
        <v>0</v>
      </c>
      <c r="DP91" s="155">
        <v>3328.79475</v>
      </c>
      <c r="DQ91" s="155">
        <v>163.20525000000001</v>
      </c>
      <c r="DR91" s="23">
        <f>VLOOKUP(C91,[6]Database!$B$143:$AD$521,29,FALSE)</f>
        <v>0</v>
      </c>
      <c r="DS91" s="235">
        <f t="shared" si="43"/>
        <v>0</v>
      </c>
    </row>
    <row r="92" spans="1:123" s="23" customFormat="1" ht="24" customHeight="1">
      <c r="A92" s="18"/>
      <c r="B92" s="2">
        <v>48</v>
      </c>
      <c r="C92" s="85" t="s">
        <v>47</v>
      </c>
      <c r="D92" s="85"/>
      <c r="E92" s="85"/>
      <c r="F92" s="3">
        <v>2017</v>
      </c>
      <c r="G92" s="4">
        <v>43090</v>
      </c>
      <c r="H92" s="4">
        <v>43090</v>
      </c>
      <c r="I92" s="4">
        <v>44193</v>
      </c>
      <c r="J92" s="15">
        <f t="shared" ca="1" si="21"/>
        <v>1103</v>
      </c>
      <c r="K92" s="177">
        <f t="shared" si="44"/>
        <v>43637</v>
      </c>
      <c r="L92" s="177">
        <f t="shared" si="45"/>
        <v>43820</v>
      </c>
      <c r="M92" s="177"/>
      <c r="N92" s="177"/>
      <c r="O92" s="177"/>
      <c r="P92" s="177"/>
      <c r="Q92" s="177"/>
      <c r="R92" s="3" t="s">
        <v>179</v>
      </c>
      <c r="S92" s="13"/>
      <c r="T92" s="13"/>
      <c r="U92" s="5" t="s">
        <v>9</v>
      </c>
      <c r="V92" s="268">
        <v>1486809</v>
      </c>
      <c r="W92" s="5" t="s">
        <v>614</v>
      </c>
      <c r="X92" s="5" t="s">
        <v>483</v>
      </c>
      <c r="Y92" s="5" t="s">
        <v>48</v>
      </c>
      <c r="Z92" s="3" t="s">
        <v>188</v>
      </c>
      <c r="AA92" s="6" t="s">
        <v>218</v>
      </c>
      <c r="AB92" s="151" t="s">
        <v>197</v>
      </c>
      <c r="AC92" s="177" t="s">
        <v>6</v>
      </c>
      <c r="AD92" s="177" t="s">
        <v>6</v>
      </c>
      <c r="AE92" s="177" t="s">
        <v>6</v>
      </c>
      <c r="AF92" s="5"/>
      <c r="AG92" s="5"/>
      <c r="AH92" s="226"/>
      <c r="AI92" s="83"/>
      <c r="AJ92" s="83"/>
      <c r="AK92" s="237" t="e">
        <f>SUM(#REF!,BT92,BV92)</f>
        <v>#REF!</v>
      </c>
      <c r="AL92" s="166"/>
      <c r="AM92" s="166"/>
      <c r="AN92" s="166"/>
      <c r="AO92" s="166"/>
      <c r="AP92" s="166"/>
      <c r="AQ92" s="166"/>
      <c r="AR92" s="56">
        <v>840.84277365410708</v>
      </c>
      <c r="AS92" s="56">
        <v>150</v>
      </c>
      <c r="AT92" s="56">
        <v>154.31023999999999</v>
      </c>
      <c r="AU92" s="56">
        <v>10.029610000000002</v>
      </c>
      <c r="AV92" s="38">
        <v>3767.5</v>
      </c>
      <c r="AW92" s="38">
        <v>250</v>
      </c>
      <c r="AX92" s="97">
        <f t="shared" si="24"/>
        <v>4017.5</v>
      </c>
      <c r="AY92" s="169">
        <f t="shared" si="46"/>
        <v>6.4281500000000014</v>
      </c>
      <c r="AZ92" s="196">
        <v>0</v>
      </c>
      <c r="BA92" s="170">
        <v>-6.9703899999999992</v>
      </c>
      <c r="BB92" s="196">
        <v>7</v>
      </c>
      <c r="BC92" s="170">
        <v>13.398540000000001</v>
      </c>
      <c r="BD92" s="196">
        <v>0</v>
      </c>
      <c r="BE92" s="170">
        <v>0</v>
      </c>
      <c r="BF92" s="196">
        <v>0</v>
      </c>
      <c r="BG92" s="170"/>
      <c r="BH92" s="196">
        <v>0</v>
      </c>
      <c r="BI92" s="170"/>
      <c r="BJ92" s="196">
        <v>0</v>
      </c>
      <c r="BK92" s="170"/>
      <c r="BL92" s="196"/>
      <c r="BM92" s="170"/>
      <c r="BN92" s="196"/>
      <c r="BO92" s="170"/>
      <c r="BP92" s="196"/>
      <c r="BQ92" s="170"/>
      <c r="BR92" s="196"/>
      <c r="BS92" s="170"/>
      <c r="BT92" s="196"/>
      <c r="BU92" s="170"/>
      <c r="BV92" s="196"/>
      <c r="BW92" s="251"/>
      <c r="BX92" s="254"/>
      <c r="BY92" s="88">
        <f t="shared" si="47"/>
        <v>0</v>
      </c>
      <c r="BZ92" s="214"/>
      <c r="CA92" s="214"/>
      <c r="CB92" s="214"/>
      <c r="CC92" s="214"/>
      <c r="CD92" s="214"/>
      <c r="CE92" s="214"/>
      <c r="CF92" s="214"/>
      <c r="CG92" s="214"/>
      <c r="CH92" s="214"/>
      <c r="CI92" s="214"/>
      <c r="CJ92" s="214"/>
      <c r="CK92" s="214"/>
      <c r="CL92" s="211">
        <f t="shared" si="37"/>
        <v>0</v>
      </c>
      <c r="CM92" s="212"/>
      <c r="CN92" s="212"/>
      <c r="CO92" s="212"/>
      <c r="CP92" s="212"/>
      <c r="CQ92" s="212"/>
      <c r="CR92" s="212"/>
      <c r="CS92" s="212"/>
      <c r="CT92" s="212"/>
      <c r="CU92" s="212"/>
      <c r="CV92" s="212"/>
      <c r="CW92" s="212"/>
      <c r="CX92" s="212"/>
      <c r="CY92" s="216">
        <f t="shared" si="26"/>
        <v>0</v>
      </c>
      <c r="CZ92" s="185">
        <f t="shared" si="48"/>
        <v>0</v>
      </c>
      <c r="DA92" s="217">
        <f t="shared" si="27"/>
        <v>6.4281500000000014</v>
      </c>
      <c r="DB92" s="217">
        <f t="shared" si="28"/>
        <v>0</v>
      </c>
      <c r="DC92" s="217">
        <f t="shared" si="38"/>
        <v>6.4281500000000014</v>
      </c>
      <c r="DD92" s="256">
        <v>6.4281500000000014</v>
      </c>
      <c r="DE92" s="217">
        <f t="shared" si="39"/>
        <v>0</v>
      </c>
      <c r="DF92" s="185" t="e">
        <f>SUM(DN92:DO92)-SUM(#REF!,BV92)+BU92</f>
        <v>#REF!</v>
      </c>
      <c r="DG92" s="223"/>
      <c r="DH92" s="241">
        <f t="shared" si="40"/>
        <v>6.4281500000000014</v>
      </c>
      <c r="DI92" s="241">
        <f t="shared" si="41"/>
        <v>0</v>
      </c>
      <c r="DJ92" s="241">
        <f t="shared" si="42"/>
        <v>0</v>
      </c>
      <c r="DK92" s="241" t="e">
        <f>SUM(BS92,#REF!,BV92)</f>
        <v>#REF!</v>
      </c>
      <c r="DL92" s="155">
        <v>3767.5</v>
      </c>
      <c r="DM92" s="155">
        <v>3610.5725600000001</v>
      </c>
      <c r="DN92" s="155">
        <v>0</v>
      </c>
      <c r="DO92" s="155">
        <v>0</v>
      </c>
      <c r="DP92" s="155">
        <v>3610.5725600000001</v>
      </c>
      <c r="DQ92" s="155">
        <v>156.92743999999999</v>
      </c>
      <c r="DR92" s="23">
        <f>VLOOKUP(C92,[6]Database!$B$143:$AD$521,29,FALSE)</f>
        <v>0</v>
      </c>
      <c r="DS92" s="235">
        <f t="shared" si="43"/>
        <v>0</v>
      </c>
    </row>
    <row r="93" spans="1:123" s="23" customFormat="1" ht="24" customHeight="1">
      <c r="A93" s="18"/>
      <c r="B93" s="2">
        <v>49</v>
      </c>
      <c r="C93" s="85" t="s">
        <v>49</v>
      </c>
      <c r="D93" s="85"/>
      <c r="E93" s="85"/>
      <c r="F93" s="3">
        <v>2018</v>
      </c>
      <c r="G93" s="4">
        <v>43137</v>
      </c>
      <c r="H93" s="4">
        <v>43137</v>
      </c>
      <c r="I93" s="4">
        <v>43697</v>
      </c>
      <c r="J93" s="15">
        <f t="shared" ca="1" si="21"/>
        <v>560</v>
      </c>
      <c r="K93" s="177">
        <f t="shared" si="44"/>
        <v>43684</v>
      </c>
      <c r="L93" s="177">
        <f t="shared" si="45"/>
        <v>43867</v>
      </c>
      <c r="M93" s="177"/>
      <c r="N93" s="177"/>
      <c r="O93" s="177"/>
      <c r="P93" s="177"/>
      <c r="Q93" s="177"/>
      <c r="R93" s="3" t="s">
        <v>176</v>
      </c>
      <c r="S93" s="13" t="s">
        <v>222</v>
      </c>
      <c r="T93" s="13"/>
      <c r="U93" s="5" t="s">
        <v>9</v>
      </c>
      <c r="V93" s="268"/>
      <c r="W93" s="5" t="s">
        <v>614</v>
      </c>
      <c r="X93" s="5" t="s">
        <v>475</v>
      </c>
      <c r="Y93" s="5" t="s">
        <v>50</v>
      </c>
      <c r="Z93" s="3" t="s">
        <v>187</v>
      </c>
      <c r="AA93" s="6" t="s">
        <v>218</v>
      </c>
      <c r="AB93" s="151" t="s">
        <v>197</v>
      </c>
      <c r="AC93" s="177" t="s">
        <v>6</v>
      </c>
      <c r="AD93" s="177" t="s">
        <v>6</v>
      </c>
      <c r="AE93" s="177" t="s">
        <v>6</v>
      </c>
      <c r="AF93" s="5"/>
      <c r="AG93" s="5"/>
      <c r="AH93" s="226"/>
      <c r="AI93" s="83"/>
      <c r="AJ93" s="83"/>
      <c r="AK93" s="237" t="e">
        <f>SUM(#REF!,BT93,BV93)</f>
        <v>#REF!</v>
      </c>
      <c r="AL93" s="52"/>
      <c r="AM93" s="52"/>
      <c r="AN93" s="52"/>
      <c r="AO93" s="52"/>
      <c r="AP93" s="52"/>
      <c r="AQ93" s="52"/>
      <c r="AR93" s="56">
        <v>216.93427830589269</v>
      </c>
      <c r="AS93" s="56"/>
      <c r="AT93" s="56">
        <v>0</v>
      </c>
      <c r="AU93" s="56"/>
      <c r="AV93" s="38">
        <v>499.89</v>
      </c>
      <c r="AW93" s="38">
        <v>68</v>
      </c>
      <c r="AX93" s="97">
        <f t="shared" si="24"/>
        <v>567.89</v>
      </c>
      <c r="AY93" s="169">
        <f t="shared" si="46"/>
        <v>0</v>
      </c>
      <c r="AZ93" s="196">
        <v>0</v>
      </c>
      <c r="BA93" s="170"/>
      <c r="BB93" s="196">
        <v>0</v>
      </c>
      <c r="BC93" s="170"/>
      <c r="BD93" s="196">
        <v>0</v>
      </c>
      <c r="BE93" s="170">
        <v>0</v>
      </c>
      <c r="BF93" s="196">
        <v>0</v>
      </c>
      <c r="BG93" s="170"/>
      <c r="BH93" s="196">
        <v>0</v>
      </c>
      <c r="BI93" s="170"/>
      <c r="BJ93" s="196">
        <v>0</v>
      </c>
      <c r="BK93" s="170"/>
      <c r="BL93" s="196"/>
      <c r="BM93" s="170"/>
      <c r="BN93" s="196"/>
      <c r="BO93" s="170"/>
      <c r="BP93" s="196"/>
      <c r="BQ93" s="170"/>
      <c r="BR93" s="196"/>
      <c r="BS93" s="170"/>
      <c r="BT93" s="196"/>
      <c r="BU93" s="170"/>
      <c r="BV93" s="196"/>
      <c r="BW93" s="251"/>
      <c r="BX93" s="254"/>
      <c r="BY93" s="88">
        <f t="shared" si="47"/>
        <v>0</v>
      </c>
      <c r="BZ93" s="258"/>
      <c r="CA93" s="258"/>
      <c r="CB93" s="258"/>
      <c r="CC93" s="258"/>
      <c r="CD93" s="258"/>
      <c r="CE93" s="258"/>
      <c r="CF93" s="258"/>
      <c r="CG93" s="258"/>
      <c r="CH93" s="258"/>
      <c r="CI93" s="258"/>
      <c r="CJ93" s="258"/>
      <c r="CK93" s="258"/>
      <c r="CL93" s="211">
        <f t="shared" ref="CL93:CL124" si="49">SUM(CM93:CX93)</f>
        <v>0</v>
      </c>
      <c r="CM93" s="212"/>
      <c r="CN93" s="212"/>
      <c r="CO93" s="212"/>
      <c r="CP93" s="212"/>
      <c r="CQ93" s="212"/>
      <c r="CR93" s="212"/>
      <c r="CS93" s="212"/>
      <c r="CT93" s="212"/>
      <c r="CU93" s="212"/>
      <c r="CV93" s="212"/>
      <c r="CW93" s="212"/>
      <c r="CX93" s="212"/>
      <c r="CY93" s="216">
        <f t="shared" si="26"/>
        <v>0</v>
      </c>
      <c r="CZ93" s="185">
        <f t="shared" si="48"/>
        <v>0</v>
      </c>
      <c r="DA93" s="217">
        <f t="shared" si="27"/>
        <v>0</v>
      </c>
      <c r="DB93" s="217">
        <f t="shared" si="28"/>
        <v>0</v>
      </c>
      <c r="DC93" s="217">
        <f t="shared" ref="DC93:DC124" si="50">SUM(AY93,BY93)</f>
        <v>0</v>
      </c>
      <c r="DD93" s="256">
        <v>0</v>
      </c>
      <c r="DE93" s="217">
        <f t="shared" ref="DE93:DE124" si="51">DC93-DD93</f>
        <v>0</v>
      </c>
      <c r="DF93" s="185" t="e">
        <f>SUM(DN93:DO93)-SUM(#REF!,BV93)+BU93</f>
        <v>#REF!</v>
      </c>
      <c r="DG93" s="223"/>
      <c r="DH93" s="241">
        <f t="shared" ref="DH93:DH124" si="52">SUM(BA93,BC93,BE93)</f>
        <v>0</v>
      </c>
      <c r="DI93" s="241">
        <f t="shared" ref="DI93:DI124" si="53">SUM(BG93,BI93,BK93)</f>
        <v>0</v>
      </c>
      <c r="DJ93" s="241">
        <f t="shared" ref="DJ93:DJ124" si="54">SUM(BM93,BO93,BQ93)</f>
        <v>0</v>
      </c>
      <c r="DK93" s="241" t="e">
        <f>SUM(BS93,#REF!,BV93)</f>
        <v>#REF!</v>
      </c>
      <c r="DL93" s="155">
        <v>499.89</v>
      </c>
      <c r="DM93" s="155">
        <v>469.43390000000005</v>
      </c>
      <c r="DN93" s="155">
        <v>0</v>
      </c>
      <c r="DO93" s="155">
        <v>0</v>
      </c>
      <c r="DP93" s="155">
        <v>469.43390000000005</v>
      </c>
      <c r="DQ93" s="155">
        <v>30.456099999999999</v>
      </c>
      <c r="DS93" s="235">
        <f t="shared" ref="DS93:DS124" si="55">BY93-DR93</f>
        <v>0</v>
      </c>
    </row>
    <row r="94" spans="1:123" s="23" customFormat="1" ht="24" customHeight="1">
      <c r="A94" s="18"/>
      <c r="B94" s="2">
        <v>50</v>
      </c>
      <c r="C94" s="85" t="s">
        <v>51</v>
      </c>
      <c r="D94" s="85"/>
      <c r="E94" s="85" t="s">
        <v>902</v>
      </c>
      <c r="F94" s="3">
        <v>2018</v>
      </c>
      <c r="G94" s="4">
        <v>43115</v>
      </c>
      <c r="H94" s="4">
        <v>43115</v>
      </c>
      <c r="I94" s="4">
        <v>43719</v>
      </c>
      <c r="J94" s="15">
        <f t="shared" ca="1" si="21"/>
        <v>604</v>
      </c>
      <c r="K94" s="177">
        <f t="shared" si="44"/>
        <v>43662</v>
      </c>
      <c r="L94" s="177">
        <f t="shared" si="45"/>
        <v>43845</v>
      </c>
      <c r="M94" s="177"/>
      <c r="N94" s="177"/>
      <c r="O94" s="177"/>
      <c r="P94" s="177"/>
      <c r="Q94" s="177"/>
      <c r="R94" s="3" t="s">
        <v>176</v>
      </c>
      <c r="S94" s="13" t="s">
        <v>222</v>
      </c>
      <c r="T94" s="13"/>
      <c r="U94" s="5" t="s">
        <v>9</v>
      </c>
      <c r="V94" s="268"/>
      <c r="W94" s="5" t="s">
        <v>614</v>
      </c>
      <c r="X94" s="5" t="s">
        <v>474</v>
      </c>
      <c r="Y94" s="5" t="s">
        <v>52</v>
      </c>
      <c r="Z94" s="3" t="s">
        <v>186</v>
      </c>
      <c r="AA94" s="6" t="s">
        <v>218</v>
      </c>
      <c r="AB94" s="151" t="s">
        <v>197</v>
      </c>
      <c r="AC94" s="177" t="s">
        <v>6</v>
      </c>
      <c r="AD94" s="177" t="s">
        <v>6</v>
      </c>
      <c r="AE94" s="177" t="s">
        <v>6</v>
      </c>
      <c r="AF94" s="5"/>
      <c r="AG94" s="5"/>
      <c r="AH94" s="226"/>
      <c r="AI94" s="83"/>
      <c r="AJ94" s="83"/>
      <c r="AK94" s="237" t="e">
        <f>SUM(#REF!,BT94,BV94)</f>
        <v>#REF!</v>
      </c>
      <c r="AL94" s="52"/>
      <c r="AM94" s="52"/>
      <c r="AN94" s="52"/>
      <c r="AO94" s="52"/>
      <c r="AP94" s="52"/>
      <c r="AQ94" s="52"/>
      <c r="AR94" s="56">
        <v>29.02616680231727</v>
      </c>
      <c r="AS94" s="56"/>
      <c r="AT94" s="56">
        <v>0</v>
      </c>
      <c r="AU94" s="56"/>
      <c r="AV94" s="38">
        <v>206.3</v>
      </c>
      <c r="AW94" s="38">
        <v>22.5</v>
      </c>
      <c r="AX94" s="97">
        <f t="shared" si="24"/>
        <v>228.8</v>
      </c>
      <c r="AY94" s="169">
        <f t="shared" si="46"/>
        <v>0</v>
      </c>
      <c r="AZ94" s="196">
        <v>0</v>
      </c>
      <c r="BA94" s="170"/>
      <c r="BB94" s="196">
        <v>0</v>
      </c>
      <c r="BC94" s="170"/>
      <c r="BD94" s="196">
        <v>0</v>
      </c>
      <c r="BE94" s="170">
        <v>0</v>
      </c>
      <c r="BF94" s="196">
        <v>0</v>
      </c>
      <c r="BG94" s="170"/>
      <c r="BH94" s="196">
        <v>0</v>
      </c>
      <c r="BI94" s="170"/>
      <c r="BJ94" s="196">
        <v>0</v>
      </c>
      <c r="BK94" s="170"/>
      <c r="BL94" s="196"/>
      <c r="BM94" s="170"/>
      <c r="BN94" s="196"/>
      <c r="BO94" s="170"/>
      <c r="BP94" s="196"/>
      <c r="BQ94" s="170"/>
      <c r="BR94" s="196"/>
      <c r="BS94" s="170"/>
      <c r="BT94" s="196"/>
      <c r="BU94" s="170"/>
      <c r="BV94" s="196"/>
      <c r="BW94" s="251"/>
      <c r="BX94" s="254"/>
      <c r="BY94" s="88">
        <f t="shared" si="47"/>
        <v>0</v>
      </c>
      <c r="BZ94" s="258"/>
      <c r="CA94" s="258"/>
      <c r="CB94" s="258"/>
      <c r="CC94" s="258"/>
      <c r="CD94" s="258"/>
      <c r="CE94" s="258"/>
      <c r="CF94" s="258"/>
      <c r="CG94" s="258"/>
      <c r="CH94" s="258"/>
      <c r="CI94" s="258"/>
      <c r="CJ94" s="258"/>
      <c r="CK94" s="258"/>
      <c r="CL94" s="211">
        <f t="shared" si="49"/>
        <v>0</v>
      </c>
      <c r="CM94" s="212"/>
      <c r="CN94" s="212"/>
      <c r="CO94" s="212"/>
      <c r="CP94" s="212"/>
      <c r="CQ94" s="212"/>
      <c r="CR94" s="212"/>
      <c r="CS94" s="212"/>
      <c r="CT94" s="212"/>
      <c r="CU94" s="212"/>
      <c r="CV94" s="212"/>
      <c r="CW94" s="212"/>
      <c r="CX94" s="212"/>
      <c r="CY94" s="216">
        <f t="shared" si="26"/>
        <v>0</v>
      </c>
      <c r="CZ94" s="185">
        <f t="shared" si="48"/>
        <v>0</v>
      </c>
      <c r="DA94" s="217">
        <f t="shared" si="27"/>
        <v>0</v>
      </c>
      <c r="DB94" s="217">
        <f t="shared" si="28"/>
        <v>0</v>
      </c>
      <c r="DC94" s="217">
        <f t="shared" si="50"/>
        <v>0</v>
      </c>
      <c r="DD94" s="256">
        <v>0</v>
      </c>
      <c r="DE94" s="217">
        <f t="shared" si="51"/>
        <v>0</v>
      </c>
      <c r="DF94" s="185" t="e">
        <f>SUM(DN94:DO94)-SUM(#REF!,BV94)+BU94</f>
        <v>#REF!</v>
      </c>
      <c r="DG94" s="223"/>
      <c r="DH94" s="241">
        <f t="shared" si="52"/>
        <v>0</v>
      </c>
      <c r="DI94" s="241">
        <f t="shared" si="53"/>
        <v>0</v>
      </c>
      <c r="DJ94" s="241">
        <f t="shared" si="54"/>
        <v>0</v>
      </c>
      <c r="DK94" s="241" t="e">
        <f>SUM(BS94,#REF!,BV94)</f>
        <v>#REF!</v>
      </c>
      <c r="DL94" s="155">
        <v>206.3</v>
      </c>
      <c r="DM94" s="155">
        <v>205.14036999999999</v>
      </c>
      <c r="DN94" s="155">
        <v>0</v>
      </c>
      <c r="DO94" s="155">
        <v>0</v>
      </c>
      <c r="DP94" s="155">
        <v>205.14036999999999</v>
      </c>
      <c r="DQ94" s="155">
        <v>1.1596300000000002</v>
      </c>
      <c r="DS94" s="235">
        <f t="shared" si="55"/>
        <v>0</v>
      </c>
    </row>
    <row r="95" spans="1:123" s="23" customFormat="1" ht="24" customHeight="1">
      <c r="A95" s="18"/>
      <c r="B95" s="2">
        <v>51</v>
      </c>
      <c r="C95" s="85" t="s">
        <v>53</v>
      </c>
      <c r="D95" s="85"/>
      <c r="E95" s="85"/>
      <c r="F95" s="3">
        <v>2018</v>
      </c>
      <c r="G95" s="4">
        <v>43185</v>
      </c>
      <c r="H95" s="4">
        <v>43185</v>
      </c>
      <c r="I95" s="4">
        <v>44201</v>
      </c>
      <c r="J95" s="15">
        <f t="shared" ca="1" si="21"/>
        <v>1016</v>
      </c>
      <c r="K95" s="177">
        <f t="shared" ref="K95:K126" si="56">IF(H95="","",H95+547)</f>
        <v>43732</v>
      </c>
      <c r="L95" s="177">
        <f t="shared" ref="L95:L126" si="57">IF(H95="","",H95+730)</f>
        <v>43915</v>
      </c>
      <c r="M95" s="177"/>
      <c r="N95" s="177"/>
      <c r="O95" s="177"/>
      <c r="P95" s="177"/>
      <c r="Q95" s="177"/>
      <c r="R95" s="3" t="s">
        <v>176</v>
      </c>
      <c r="S95" s="13" t="s">
        <v>224</v>
      </c>
      <c r="T95" s="13" t="s">
        <v>979</v>
      </c>
      <c r="U95" s="5" t="s">
        <v>9</v>
      </c>
      <c r="V95" s="268"/>
      <c r="W95" s="5" t="s">
        <v>614</v>
      </c>
      <c r="X95" s="5" t="s">
        <v>481</v>
      </c>
      <c r="Y95" s="5" t="s">
        <v>54</v>
      </c>
      <c r="Z95" s="3" t="s">
        <v>183</v>
      </c>
      <c r="AA95" s="6" t="s">
        <v>218</v>
      </c>
      <c r="AB95" s="151" t="s">
        <v>197</v>
      </c>
      <c r="AC95" s="177" t="s">
        <v>6</v>
      </c>
      <c r="AD95" s="177" t="s">
        <v>6</v>
      </c>
      <c r="AE95" s="177" t="s">
        <v>6</v>
      </c>
      <c r="AF95" s="5"/>
      <c r="AG95" s="5"/>
      <c r="AH95" s="226"/>
      <c r="AI95" s="83" t="s">
        <v>676</v>
      </c>
      <c r="AJ95" s="83"/>
      <c r="AK95" s="237" t="e">
        <f>SUM(#REF!,BT95,BV95)</f>
        <v>#REF!</v>
      </c>
      <c r="AL95" s="166"/>
      <c r="AM95" s="166"/>
      <c r="AN95" s="166"/>
      <c r="AO95" s="166"/>
      <c r="AP95" s="166"/>
      <c r="AQ95" s="166"/>
      <c r="AR95" s="56">
        <v>2023.9338151428246</v>
      </c>
      <c r="AS95" s="56">
        <v>39.430790000000002</v>
      </c>
      <c r="AT95" s="56">
        <v>260.41636000000005</v>
      </c>
      <c r="AU95" s="56">
        <v>63.749110000000002</v>
      </c>
      <c r="AV95" s="38">
        <v>2961.5</v>
      </c>
      <c r="AW95" s="38">
        <v>245</v>
      </c>
      <c r="AX95" s="97">
        <f t="shared" si="24"/>
        <v>3206.5</v>
      </c>
      <c r="AY95" s="169">
        <f t="shared" si="46"/>
        <v>54.710639999999998</v>
      </c>
      <c r="AZ95" s="196">
        <v>15</v>
      </c>
      <c r="BA95" s="170">
        <v>14.057490000000001</v>
      </c>
      <c r="BB95" s="196">
        <v>8.8916199999999996</v>
      </c>
      <c r="BC95" s="170">
        <v>40.653149999999997</v>
      </c>
      <c r="BD95" s="196">
        <v>0</v>
      </c>
      <c r="BE95" s="170">
        <v>0</v>
      </c>
      <c r="BF95" s="196">
        <v>0</v>
      </c>
      <c r="BG95" s="170"/>
      <c r="BH95" s="196">
        <v>0</v>
      </c>
      <c r="BI95" s="170"/>
      <c r="BJ95" s="196">
        <v>0</v>
      </c>
      <c r="BK95" s="170"/>
      <c r="BL95" s="196"/>
      <c r="BM95" s="170"/>
      <c r="BN95" s="196"/>
      <c r="BO95" s="170"/>
      <c r="BP95" s="196"/>
      <c r="BQ95" s="170"/>
      <c r="BR95" s="196"/>
      <c r="BS95" s="170"/>
      <c r="BT95" s="196"/>
      <c r="BU95" s="170"/>
      <c r="BV95" s="196"/>
      <c r="BW95" s="251"/>
      <c r="BX95" s="254"/>
      <c r="BY95" s="88">
        <f t="shared" si="47"/>
        <v>0</v>
      </c>
      <c r="BZ95" s="258"/>
      <c r="CA95" s="258"/>
      <c r="CB95" s="258"/>
      <c r="CC95" s="258"/>
      <c r="CD95" s="258"/>
      <c r="CE95" s="258"/>
      <c r="CF95" s="258"/>
      <c r="CG95" s="258"/>
      <c r="CH95" s="258"/>
      <c r="CI95" s="258"/>
      <c r="CJ95" s="258"/>
      <c r="CK95" s="258"/>
      <c r="CL95" s="211">
        <f t="shared" si="49"/>
        <v>0</v>
      </c>
      <c r="CM95" s="212"/>
      <c r="CN95" s="212"/>
      <c r="CO95" s="212"/>
      <c r="CP95" s="212"/>
      <c r="CQ95" s="212"/>
      <c r="CR95" s="212"/>
      <c r="CS95" s="212"/>
      <c r="CT95" s="212"/>
      <c r="CU95" s="212"/>
      <c r="CV95" s="212"/>
      <c r="CW95" s="212"/>
      <c r="CX95" s="212"/>
      <c r="CY95" s="216">
        <f t="shared" si="26"/>
        <v>0</v>
      </c>
      <c r="CZ95" s="185">
        <f t="shared" si="48"/>
        <v>0</v>
      </c>
      <c r="DA95" s="217">
        <f t="shared" si="27"/>
        <v>54.710639999999998</v>
      </c>
      <c r="DB95" s="217">
        <f t="shared" si="28"/>
        <v>0</v>
      </c>
      <c r="DC95" s="217">
        <f t="shared" si="50"/>
        <v>54.710639999999998</v>
      </c>
      <c r="DD95" s="256">
        <v>54.710639999999998</v>
      </c>
      <c r="DE95" s="217">
        <f t="shared" si="51"/>
        <v>0</v>
      </c>
      <c r="DF95" s="185" t="e">
        <f>SUM(DN95:DO95)-SUM(#REF!,BV95)+BU95</f>
        <v>#REF!</v>
      </c>
      <c r="DG95" s="223"/>
      <c r="DH95" s="241">
        <f t="shared" si="52"/>
        <v>54.710639999999998</v>
      </c>
      <c r="DI95" s="241">
        <f t="shared" si="53"/>
        <v>0</v>
      </c>
      <c r="DJ95" s="241">
        <f t="shared" si="54"/>
        <v>0</v>
      </c>
      <c r="DK95" s="241" t="e">
        <f>SUM(BS95,#REF!,BV95)</f>
        <v>#REF!</v>
      </c>
      <c r="DL95" s="155">
        <v>2961.5</v>
      </c>
      <c r="DM95" s="155">
        <v>2734.63661</v>
      </c>
      <c r="DN95" s="155">
        <v>0</v>
      </c>
      <c r="DO95" s="155">
        <v>0</v>
      </c>
      <c r="DP95" s="155">
        <v>2734.63661</v>
      </c>
      <c r="DQ95" s="155">
        <v>226.86339000000001</v>
      </c>
      <c r="DR95" s="23">
        <f>VLOOKUP(C95,[6]Database!$B$143:$AD$521,29,FALSE)</f>
        <v>0</v>
      </c>
      <c r="DS95" s="235">
        <f t="shared" si="55"/>
        <v>0</v>
      </c>
    </row>
    <row r="96" spans="1:123" s="23" customFormat="1" ht="24" customHeight="1">
      <c r="A96" s="18"/>
      <c r="B96" s="2">
        <v>52</v>
      </c>
      <c r="C96" s="85" t="s">
        <v>55</v>
      </c>
      <c r="D96" s="85"/>
      <c r="E96" s="85"/>
      <c r="F96" s="3">
        <v>2017</v>
      </c>
      <c r="G96" s="4">
        <v>43083</v>
      </c>
      <c r="H96" s="4">
        <v>43084</v>
      </c>
      <c r="I96" s="4">
        <v>43084</v>
      </c>
      <c r="J96" s="15">
        <f t="shared" ca="1" si="21"/>
        <v>0</v>
      </c>
      <c r="K96" s="177">
        <f t="shared" si="56"/>
        <v>43631</v>
      </c>
      <c r="L96" s="177">
        <f t="shared" si="57"/>
        <v>43814</v>
      </c>
      <c r="M96" s="177"/>
      <c r="N96" s="177"/>
      <c r="O96" s="177"/>
      <c r="P96" s="177"/>
      <c r="Q96" s="177"/>
      <c r="R96" s="3" t="s">
        <v>176</v>
      </c>
      <c r="S96" s="13" t="s">
        <v>222</v>
      </c>
      <c r="T96" s="13"/>
      <c r="U96" s="5" t="s">
        <v>9</v>
      </c>
      <c r="V96" s="268"/>
      <c r="W96" s="5" t="s">
        <v>614</v>
      </c>
      <c r="X96" s="5" t="s">
        <v>475</v>
      </c>
      <c r="Y96" s="5" t="s">
        <v>56</v>
      </c>
      <c r="Z96" s="3" t="s">
        <v>186</v>
      </c>
      <c r="AA96" s="6" t="s">
        <v>218</v>
      </c>
      <c r="AB96" s="162" t="s">
        <v>196</v>
      </c>
      <c r="AC96" s="177" t="s">
        <v>6</v>
      </c>
      <c r="AD96" s="177" t="s">
        <v>6</v>
      </c>
      <c r="AE96" s="177" t="s">
        <v>6</v>
      </c>
      <c r="AF96" s="5"/>
      <c r="AG96" s="5"/>
      <c r="AH96" s="226"/>
      <c r="AI96" s="83"/>
      <c r="AJ96" s="83"/>
      <c r="AK96" s="237" t="e">
        <f>SUM(#REF!,BT96,BV96)</f>
        <v>#REF!</v>
      </c>
      <c r="AL96" s="52"/>
      <c r="AM96" s="52"/>
      <c r="AN96" s="52"/>
      <c r="AO96" s="52"/>
      <c r="AP96" s="52"/>
      <c r="AQ96" s="52"/>
      <c r="AR96" s="56">
        <v>0</v>
      </c>
      <c r="AS96" s="56"/>
      <c r="AT96" s="56">
        <v>0</v>
      </c>
      <c r="AU96" s="56"/>
      <c r="AV96" s="38">
        <v>0</v>
      </c>
      <c r="AW96" s="38">
        <v>0</v>
      </c>
      <c r="AX96" s="97">
        <f t="shared" si="24"/>
        <v>0</v>
      </c>
      <c r="AY96" s="169">
        <f t="shared" si="46"/>
        <v>0</v>
      </c>
      <c r="AZ96" s="196">
        <v>0</v>
      </c>
      <c r="BA96" s="170"/>
      <c r="BB96" s="196">
        <v>0</v>
      </c>
      <c r="BC96" s="170"/>
      <c r="BD96" s="196">
        <v>0</v>
      </c>
      <c r="BE96" s="170">
        <v>0</v>
      </c>
      <c r="BF96" s="196">
        <v>0</v>
      </c>
      <c r="BG96" s="170"/>
      <c r="BH96" s="196">
        <v>0</v>
      </c>
      <c r="BI96" s="170"/>
      <c r="BJ96" s="196">
        <v>0</v>
      </c>
      <c r="BK96" s="170"/>
      <c r="BL96" s="196"/>
      <c r="BM96" s="170"/>
      <c r="BN96" s="196"/>
      <c r="BO96" s="170"/>
      <c r="BP96" s="196"/>
      <c r="BQ96" s="170"/>
      <c r="BR96" s="196"/>
      <c r="BS96" s="170"/>
      <c r="BT96" s="196"/>
      <c r="BU96" s="170"/>
      <c r="BV96" s="196"/>
      <c r="BW96" s="251"/>
      <c r="BX96" s="254"/>
      <c r="BY96" s="88">
        <f t="shared" si="47"/>
        <v>0</v>
      </c>
      <c r="BZ96" s="258"/>
      <c r="CA96" s="258"/>
      <c r="CB96" s="258"/>
      <c r="CC96" s="258"/>
      <c r="CD96" s="258"/>
      <c r="CE96" s="258"/>
      <c r="CF96" s="258"/>
      <c r="CG96" s="258"/>
      <c r="CH96" s="258"/>
      <c r="CI96" s="258"/>
      <c r="CJ96" s="258"/>
      <c r="CK96" s="258"/>
      <c r="CL96" s="211">
        <f t="shared" si="49"/>
        <v>0</v>
      </c>
      <c r="CM96" s="212"/>
      <c r="CN96" s="212"/>
      <c r="CO96" s="212"/>
      <c r="CP96" s="212"/>
      <c r="CQ96" s="212"/>
      <c r="CR96" s="212"/>
      <c r="CS96" s="212"/>
      <c r="CT96" s="212"/>
      <c r="CU96" s="212"/>
      <c r="CV96" s="212"/>
      <c r="CW96" s="212"/>
      <c r="CX96" s="212"/>
      <c r="CY96" s="216">
        <f t="shared" si="26"/>
        <v>0</v>
      </c>
      <c r="CZ96" s="185">
        <f t="shared" si="48"/>
        <v>0</v>
      </c>
      <c r="DA96" s="217">
        <f t="shared" si="27"/>
        <v>0</v>
      </c>
      <c r="DB96" s="217">
        <f t="shared" si="28"/>
        <v>0</v>
      </c>
      <c r="DC96" s="217">
        <f t="shared" si="50"/>
        <v>0</v>
      </c>
      <c r="DD96" s="256">
        <v>0</v>
      </c>
      <c r="DE96" s="217">
        <f t="shared" si="51"/>
        <v>0</v>
      </c>
      <c r="DF96" s="185" t="e">
        <f>SUM(DN96:DO96)-SUM(#REF!,BV96)+BU96</f>
        <v>#REF!</v>
      </c>
      <c r="DG96" s="223"/>
      <c r="DH96" s="241">
        <f t="shared" si="52"/>
        <v>0</v>
      </c>
      <c r="DI96" s="241">
        <f t="shared" si="53"/>
        <v>0</v>
      </c>
      <c r="DJ96" s="241">
        <f t="shared" si="54"/>
        <v>0</v>
      </c>
      <c r="DK96" s="241" t="e">
        <f>SUM(BS96,#REF!,BV96)</f>
        <v>#REF!</v>
      </c>
      <c r="DL96" s="155">
        <v>0</v>
      </c>
      <c r="DM96" s="155">
        <v>0</v>
      </c>
      <c r="DN96" s="155">
        <v>0</v>
      </c>
      <c r="DO96" s="155">
        <v>0</v>
      </c>
      <c r="DP96" s="155">
        <v>0</v>
      </c>
      <c r="DQ96" s="155">
        <v>0</v>
      </c>
      <c r="DS96" s="235">
        <f t="shared" si="55"/>
        <v>0</v>
      </c>
    </row>
    <row r="97" spans="1:123" s="23" customFormat="1" ht="24" customHeight="1">
      <c r="A97" s="18"/>
      <c r="B97" s="2">
        <v>53</v>
      </c>
      <c r="C97" s="85" t="s">
        <v>57</v>
      </c>
      <c r="D97" s="85"/>
      <c r="E97" s="85" t="s">
        <v>903</v>
      </c>
      <c r="F97" s="3">
        <v>2018</v>
      </c>
      <c r="G97" s="4">
        <v>43180</v>
      </c>
      <c r="H97" s="4">
        <v>43180</v>
      </c>
      <c r="I97" s="4">
        <v>43775</v>
      </c>
      <c r="J97" s="15">
        <f t="shared" ca="1" si="21"/>
        <v>595</v>
      </c>
      <c r="K97" s="177">
        <f t="shared" si="56"/>
        <v>43727</v>
      </c>
      <c r="L97" s="177">
        <f t="shared" si="57"/>
        <v>43910</v>
      </c>
      <c r="M97" s="177"/>
      <c r="N97" s="177"/>
      <c r="O97" s="177"/>
      <c r="P97" s="177"/>
      <c r="Q97" s="177"/>
      <c r="R97" s="3" t="s">
        <v>176</v>
      </c>
      <c r="S97" s="13" t="s">
        <v>5</v>
      </c>
      <c r="T97" s="13"/>
      <c r="U97" s="5" t="s">
        <v>9</v>
      </c>
      <c r="V97" s="268"/>
      <c r="W97" s="5" t="s">
        <v>614</v>
      </c>
      <c r="X97" s="5" t="s">
        <v>478</v>
      </c>
      <c r="Y97" s="5" t="s">
        <v>58</v>
      </c>
      <c r="Z97" s="3" t="s">
        <v>181</v>
      </c>
      <c r="AA97" s="6" t="s">
        <v>218</v>
      </c>
      <c r="AB97" s="151" t="s">
        <v>197</v>
      </c>
      <c r="AC97" s="177" t="s">
        <v>6</v>
      </c>
      <c r="AD97" s="177" t="s">
        <v>6</v>
      </c>
      <c r="AE97" s="177" t="s">
        <v>6</v>
      </c>
      <c r="AF97" s="5"/>
      <c r="AG97" s="5"/>
      <c r="AH97" s="226"/>
      <c r="AI97" s="83"/>
      <c r="AJ97" s="83"/>
      <c r="AK97" s="237" t="e">
        <f>SUM(#REF!,BT97,BV97)</f>
        <v>#REF!</v>
      </c>
      <c r="AL97" s="52"/>
      <c r="AM97" s="52"/>
      <c r="AN97" s="52"/>
      <c r="AO97" s="52"/>
      <c r="AP97" s="52"/>
      <c r="AQ97" s="52"/>
      <c r="AR97" s="56">
        <v>377.77976762665605</v>
      </c>
      <c r="AS97" s="56">
        <v>0</v>
      </c>
      <c r="AT97" s="56">
        <v>7.0725299999999995</v>
      </c>
      <c r="AU97" s="56"/>
      <c r="AV97" s="38">
        <v>1426.22</v>
      </c>
      <c r="AW97" s="38">
        <v>55.55</v>
      </c>
      <c r="AX97" s="97">
        <f t="shared" si="24"/>
        <v>1481.77</v>
      </c>
      <c r="AY97" s="169">
        <f t="shared" si="46"/>
        <v>0</v>
      </c>
      <c r="AZ97" s="196">
        <v>0</v>
      </c>
      <c r="BA97" s="170"/>
      <c r="BB97" s="196">
        <v>0</v>
      </c>
      <c r="BC97" s="170"/>
      <c r="BD97" s="196">
        <v>0</v>
      </c>
      <c r="BE97" s="170">
        <v>0</v>
      </c>
      <c r="BF97" s="196">
        <v>0</v>
      </c>
      <c r="BG97" s="170"/>
      <c r="BH97" s="196">
        <v>0</v>
      </c>
      <c r="BI97" s="170"/>
      <c r="BJ97" s="196">
        <v>0</v>
      </c>
      <c r="BK97" s="170"/>
      <c r="BL97" s="196"/>
      <c r="BM97" s="170"/>
      <c r="BN97" s="196"/>
      <c r="BO97" s="170"/>
      <c r="BP97" s="196"/>
      <c r="BQ97" s="170"/>
      <c r="BR97" s="196"/>
      <c r="BS97" s="170"/>
      <c r="BT97" s="196"/>
      <c r="BU97" s="170"/>
      <c r="BV97" s="196"/>
      <c r="BW97" s="251"/>
      <c r="BX97" s="254"/>
      <c r="BY97" s="88">
        <f t="shared" si="47"/>
        <v>0</v>
      </c>
      <c r="BZ97" s="258"/>
      <c r="CA97" s="258"/>
      <c r="CB97" s="258"/>
      <c r="CC97" s="258"/>
      <c r="CD97" s="258"/>
      <c r="CE97" s="258"/>
      <c r="CF97" s="258"/>
      <c r="CG97" s="258"/>
      <c r="CH97" s="258"/>
      <c r="CI97" s="258"/>
      <c r="CJ97" s="258"/>
      <c r="CK97" s="258"/>
      <c r="CL97" s="211">
        <f t="shared" si="49"/>
        <v>0</v>
      </c>
      <c r="CM97" s="212"/>
      <c r="CN97" s="212"/>
      <c r="CO97" s="212"/>
      <c r="CP97" s="212"/>
      <c r="CQ97" s="212"/>
      <c r="CR97" s="212"/>
      <c r="CS97" s="212"/>
      <c r="CT97" s="212"/>
      <c r="CU97" s="212"/>
      <c r="CV97" s="212"/>
      <c r="CW97" s="212"/>
      <c r="CX97" s="212"/>
      <c r="CY97" s="216">
        <f t="shared" si="26"/>
        <v>0</v>
      </c>
      <c r="CZ97" s="185">
        <f t="shared" si="48"/>
        <v>0</v>
      </c>
      <c r="DA97" s="217">
        <f t="shared" si="27"/>
        <v>0</v>
      </c>
      <c r="DB97" s="217">
        <f t="shared" si="28"/>
        <v>0</v>
      </c>
      <c r="DC97" s="217">
        <f t="shared" si="50"/>
        <v>0</v>
      </c>
      <c r="DD97" s="256">
        <v>0</v>
      </c>
      <c r="DE97" s="217">
        <f t="shared" si="51"/>
        <v>0</v>
      </c>
      <c r="DF97" s="185" t="e">
        <f>SUM(DN97:DO97)-SUM(#REF!,BV97)+BU97</f>
        <v>#REF!</v>
      </c>
      <c r="DG97" s="223"/>
      <c r="DH97" s="241">
        <f t="shared" si="52"/>
        <v>0</v>
      </c>
      <c r="DI97" s="241">
        <f t="shared" si="53"/>
        <v>0</v>
      </c>
      <c r="DJ97" s="241">
        <f t="shared" si="54"/>
        <v>0</v>
      </c>
      <c r="DK97" s="241" t="e">
        <f>SUM(BS97,#REF!,BV97)</f>
        <v>#REF!</v>
      </c>
      <c r="DL97" s="155">
        <v>1426.2149999999999</v>
      </c>
      <c r="DM97" s="155">
        <v>1422.4791299999999</v>
      </c>
      <c r="DN97" s="155">
        <v>0</v>
      </c>
      <c r="DO97" s="155">
        <v>0</v>
      </c>
      <c r="DP97" s="155">
        <v>1422.4791299999999</v>
      </c>
      <c r="DQ97" s="155">
        <v>3.7358699999999998</v>
      </c>
      <c r="DS97" s="235">
        <f t="shared" si="55"/>
        <v>0</v>
      </c>
    </row>
    <row r="98" spans="1:123" s="23" customFormat="1" ht="24" customHeight="1">
      <c r="A98" s="18"/>
      <c r="B98" s="2">
        <v>54</v>
      </c>
      <c r="C98" s="85" t="s">
        <v>59</v>
      </c>
      <c r="D98" s="85"/>
      <c r="E98" s="85" t="s">
        <v>904</v>
      </c>
      <c r="F98" s="3">
        <v>2018</v>
      </c>
      <c r="G98" s="4">
        <v>43139</v>
      </c>
      <c r="H98" s="4">
        <v>43139</v>
      </c>
      <c r="I98" s="4">
        <v>44193</v>
      </c>
      <c r="J98" s="15">
        <f t="shared" ca="1" si="21"/>
        <v>1054</v>
      </c>
      <c r="K98" s="177">
        <f t="shared" si="56"/>
        <v>43686</v>
      </c>
      <c r="L98" s="177">
        <f t="shared" si="57"/>
        <v>43869</v>
      </c>
      <c r="M98" s="177"/>
      <c r="N98" s="177"/>
      <c r="O98" s="177"/>
      <c r="P98" s="177"/>
      <c r="Q98" s="177"/>
      <c r="R98" s="3" t="s">
        <v>176</v>
      </c>
      <c r="S98" s="13" t="s">
        <v>5</v>
      </c>
      <c r="T98" s="13"/>
      <c r="U98" s="5" t="s">
        <v>9</v>
      </c>
      <c r="V98" s="268"/>
      <c r="W98" s="5" t="s">
        <v>614</v>
      </c>
      <c r="X98" s="5" t="s">
        <v>478</v>
      </c>
      <c r="Y98" s="5" t="s">
        <v>60</v>
      </c>
      <c r="Z98" s="3" t="s">
        <v>187</v>
      </c>
      <c r="AA98" s="6" t="s">
        <v>218</v>
      </c>
      <c r="AB98" s="151" t="s">
        <v>197</v>
      </c>
      <c r="AC98" s="177" t="s">
        <v>6</v>
      </c>
      <c r="AD98" s="177" t="s">
        <v>6</v>
      </c>
      <c r="AE98" s="177" t="s">
        <v>6</v>
      </c>
      <c r="AF98" s="5"/>
      <c r="AG98" s="5"/>
      <c r="AH98" s="226"/>
      <c r="AI98" s="83"/>
      <c r="AJ98" s="83"/>
      <c r="AK98" s="237" t="e">
        <f>SUM(#REF!,BT98,BV98)</f>
        <v>#REF!</v>
      </c>
      <c r="AL98" s="166"/>
      <c r="AM98" s="166"/>
      <c r="AN98" s="166"/>
      <c r="AO98" s="166"/>
      <c r="AP98" s="166"/>
      <c r="AQ98" s="166"/>
      <c r="AR98" s="56">
        <v>65.352544928269793</v>
      </c>
      <c r="AS98" s="56">
        <v>46.4</v>
      </c>
      <c r="AT98" s="56">
        <v>0.59936</v>
      </c>
      <c r="AU98" s="56"/>
      <c r="AV98" s="38">
        <v>271</v>
      </c>
      <c r="AW98" s="38">
        <v>10</v>
      </c>
      <c r="AX98" s="97">
        <f t="shared" si="24"/>
        <v>281</v>
      </c>
      <c r="AY98" s="169">
        <f t="shared" si="46"/>
        <v>0</v>
      </c>
      <c r="AZ98" s="196">
        <v>0</v>
      </c>
      <c r="BA98" s="170"/>
      <c r="BB98" s="196">
        <v>0</v>
      </c>
      <c r="BC98" s="170"/>
      <c r="BD98" s="196">
        <v>0</v>
      </c>
      <c r="BE98" s="170">
        <v>0</v>
      </c>
      <c r="BF98" s="196">
        <v>0</v>
      </c>
      <c r="BG98" s="170"/>
      <c r="BH98" s="196">
        <v>0</v>
      </c>
      <c r="BI98" s="170"/>
      <c r="BJ98" s="196">
        <v>0</v>
      </c>
      <c r="BK98" s="170"/>
      <c r="BL98" s="196"/>
      <c r="BM98" s="170"/>
      <c r="BN98" s="196"/>
      <c r="BO98" s="170"/>
      <c r="BP98" s="196"/>
      <c r="BQ98" s="170"/>
      <c r="BR98" s="196"/>
      <c r="BS98" s="170"/>
      <c r="BT98" s="196"/>
      <c r="BU98" s="170"/>
      <c r="BV98" s="196"/>
      <c r="BW98" s="251"/>
      <c r="BX98" s="254"/>
      <c r="BY98" s="88">
        <f t="shared" si="47"/>
        <v>0</v>
      </c>
      <c r="BZ98" s="258"/>
      <c r="CA98" s="258"/>
      <c r="CB98" s="258"/>
      <c r="CC98" s="258"/>
      <c r="CD98" s="258"/>
      <c r="CE98" s="258"/>
      <c r="CF98" s="258"/>
      <c r="CG98" s="258"/>
      <c r="CH98" s="258"/>
      <c r="CI98" s="258"/>
      <c r="CJ98" s="258"/>
      <c r="CK98" s="258"/>
      <c r="CL98" s="211">
        <f t="shared" si="49"/>
        <v>0</v>
      </c>
      <c r="CM98" s="212"/>
      <c r="CN98" s="212"/>
      <c r="CO98" s="212"/>
      <c r="CP98" s="212"/>
      <c r="CQ98" s="212"/>
      <c r="CR98" s="212"/>
      <c r="CS98" s="212"/>
      <c r="CT98" s="212"/>
      <c r="CU98" s="212"/>
      <c r="CV98" s="212"/>
      <c r="CW98" s="212"/>
      <c r="CX98" s="212"/>
      <c r="CY98" s="216">
        <f t="shared" si="26"/>
        <v>0</v>
      </c>
      <c r="CZ98" s="185">
        <f t="shared" si="48"/>
        <v>0</v>
      </c>
      <c r="DA98" s="217">
        <f t="shared" si="27"/>
        <v>0</v>
      </c>
      <c r="DB98" s="217">
        <f t="shared" si="28"/>
        <v>0</v>
      </c>
      <c r="DC98" s="217">
        <f t="shared" si="50"/>
        <v>0</v>
      </c>
      <c r="DD98" s="256">
        <v>0</v>
      </c>
      <c r="DE98" s="217">
        <f t="shared" si="51"/>
        <v>0</v>
      </c>
      <c r="DF98" s="185" t="e">
        <f>SUM(DN98:DO98)-SUM(#REF!,BV98)+BU98</f>
        <v>#REF!</v>
      </c>
      <c r="DG98" s="223"/>
      <c r="DH98" s="241">
        <f t="shared" si="52"/>
        <v>0</v>
      </c>
      <c r="DI98" s="241">
        <f t="shared" si="53"/>
        <v>0</v>
      </c>
      <c r="DJ98" s="241">
        <f t="shared" si="54"/>
        <v>0</v>
      </c>
      <c r="DK98" s="241" t="e">
        <f>SUM(BS98,#REF!,BV98)</f>
        <v>#REF!</v>
      </c>
      <c r="DL98" s="155">
        <v>271</v>
      </c>
      <c r="DM98" s="155">
        <v>225.2098</v>
      </c>
      <c r="DN98" s="155">
        <v>0</v>
      </c>
      <c r="DO98" s="155">
        <v>0</v>
      </c>
      <c r="DP98" s="155">
        <v>225.2098</v>
      </c>
      <c r="DQ98" s="155">
        <v>45.790199999999999</v>
      </c>
      <c r="DS98" s="235">
        <f t="shared" si="55"/>
        <v>0</v>
      </c>
    </row>
    <row r="99" spans="1:123" s="23" customFormat="1" ht="24" customHeight="1">
      <c r="A99" s="18">
        <v>0</v>
      </c>
      <c r="B99" s="2">
        <v>55</v>
      </c>
      <c r="C99" s="85" t="s">
        <v>61</v>
      </c>
      <c r="D99" s="85"/>
      <c r="E99" s="85" t="s">
        <v>905</v>
      </c>
      <c r="F99" s="3">
        <v>2018</v>
      </c>
      <c r="G99" s="4">
        <v>43174</v>
      </c>
      <c r="H99" s="4">
        <v>43174</v>
      </c>
      <c r="I99" s="4">
        <v>43861</v>
      </c>
      <c r="J99" s="15">
        <f t="shared" ca="1" si="21"/>
        <v>687</v>
      </c>
      <c r="K99" s="177">
        <f t="shared" si="56"/>
        <v>43721</v>
      </c>
      <c r="L99" s="177">
        <f t="shared" si="57"/>
        <v>43904</v>
      </c>
      <c r="M99" s="177"/>
      <c r="N99" s="177"/>
      <c r="O99" s="177"/>
      <c r="P99" s="177"/>
      <c r="Q99" s="177"/>
      <c r="R99" s="3" t="s">
        <v>176</v>
      </c>
      <c r="S99" s="13" t="s">
        <v>5</v>
      </c>
      <c r="T99" s="13"/>
      <c r="U99" s="5" t="s">
        <v>9</v>
      </c>
      <c r="V99" s="268"/>
      <c r="W99" s="5" t="s">
        <v>614</v>
      </c>
      <c r="X99" s="5" t="s">
        <v>478</v>
      </c>
      <c r="Y99" s="5" t="s">
        <v>62</v>
      </c>
      <c r="Z99" s="3" t="s">
        <v>181</v>
      </c>
      <c r="AA99" s="6" t="s">
        <v>218</v>
      </c>
      <c r="AB99" s="151" t="s">
        <v>197</v>
      </c>
      <c r="AC99" s="177" t="s">
        <v>6</v>
      </c>
      <c r="AD99" s="177" t="s">
        <v>6</v>
      </c>
      <c r="AE99" s="177" t="s">
        <v>6</v>
      </c>
      <c r="AF99" s="5"/>
      <c r="AG99" s="5"/>
      <c r="AH99" s="226"/>
      <c r="AI99" s="83"/>
      <c r="AJ99" s="83"/>
      <c r="AK99" s="237" t="e">
        <f>SUM(#REF!,BT99,BV99)</f>
        <v>#REF!</v>
      </c>
      <c r="AL99" s="52"/>
      <c r="AM99" s="52"/>
      <c r="AN99" s="52"/>
      <c r="AO99" s="52"/>
      <c r="AP99" s="52"/>
      <c r="AQ99" s="52"/>
      <c r="AR99" s="56">
        <v>71.77911440249683</v>
      </c>
      <c r="AS99" s="56">
        <v>39.591320000000003</v>
      </c>
      <c r="AT99" s="56">
        <v>9.1708499999999997</v>
      </c>
      <c r="AU99" s="56"/>
      <c r="AV99" s="38">
        <v>454</v>
      </c>
      <c r="AW99" s="38">
        <v>5</v>
      </c>
      <c r="AX99" s="97">
        <f t="shared" si="24"/>
        <v>459</v>
      </c>
      <c r="AY99" s="169">
        <f t="shared" si="46"/>
        <v>0</v>
      </c>
      <c r="AZ99" s="196">
        <v>0</v>
      </c>
      <c r="BA99" s="170"/>
      <c r="BB99" s="196">
        <v>0</v>
      </c>
      <c r="BC99" s="170"/>
      <c r="BD99" s="196">
        <v>0</v>
      </c>
      <c r="BE99" s="170">
        <v>0</v>
      </c>
      <c r="BF99" s="196">
        <v>0</v>
      </c>
      <c r="BG99" s="170"/>
      <c r="BH99" s="196">
        <v>0</v>
      </c>
      <c r="BI99" s="170"/>
      <c r="BJ99" s="196">
        <v>0</v>
      </c>
      <c r="BK99" s="170"/>
      <c r="BL99" s="196"/>
      <c r="BM99" s="170"/>
      <c r="BN99" s="196"/>
      <c r="BO99" s="170"/>
      <c r="BP99" s="196"/>
      <c r="BQ99" s="170"/>
      <c r="BR99" s="196"/>
      <c r="BS99" s="170"/>
      <c r="BT99" s="196"/>
      <c r="BU99" s="170"/>
      <c r="BV99" s="196"/>
      <c r="BW99" s="251"/>
      <c r="BX99" s="254"/>
      <c r="BY99" s="88">
        <f t="shared" si="47"/>
        <v>0</v>
      </c>
      <c r="BZ99" s="258"/>
      <c r="CA99" s="258"/>
      <c r="CB99" s="258"/>
      <c r="CC99" s="258"/>
      <c r="CD99" s="258"/>
      <c r="CE99" s="258"/>
      <c r="CF99" s="258"/>
      <c r="CG99" s="258"/>
      <c r="CH99" s="258"/>
      <c r="CI99" s="258"/>
      <c r="CJ99" s="258"/>
      <c r="CK99" s="258"/>
      <c r="CL99" s="211">
        <f t="shared" si="49"/>
        <v>0</v>
      </c>
      <c r="CM99" s="212"/>
      <c r="CN99" s="212"/>
      <c r="CO99" s="212"/>
      <c r="CP99" s="212"/>
      <c r="CQ99" s="212"/>
      <c r="CR99" s="212"/>
      <c r="CS99" s="212"/>
      <c r="CT99" s="212"/>
      <c r="CU99" s="212"/>
      <c r="CV99" s="212"/>
      <c r="CW99" s="212"/>
      <c r="CX99" s="212"/>
      <c r="CY99" s="216">
        <f t="shared" si="26"/>
        <v>0</v>
      </c>
      <c r="CZ99" s="185">
        <f t="shared" si="48"/>
        <v>0</v>
      </c>
      <c r="DA99" s="217">
        <f t="shared" si="27"/>
        <v>0</v>
      </c>
      <c r="DB99" s="217">
        <f t="shared" si="28"/>
        <v>0</v>
      </c>
      <c r="DC99" s="217">
        <f t="shared" si="50"/>
        <v>0</v>
      </c>
      <c r="DD99" s="256">
        <v>0</v>
      </c>
      <c r="DE99" s="217">
        <f t="shared" si="51"/>
        <v>0</v>
      </c>
      <c r="DF99" s="185" t="e">
        <f>SUM(DN99:DO99)-SUM(#REF!,BV99)+BU99</f>
        <v>#REF!</v>
      </c>
      <c r="DG99" s="223"/>
      <c r="DH99" s="241">
        <f t="shared" si="52"/>
        <v>0</v>
      </c>
      <c r="DI99" s="241">
        <f t="shared" si="53"/>
        <v>0</v>
      </c>
      <c r="DJ99" s="241">
        <f t="shared" si="54"/>
        <v>0</v>
      </c>
      <c r="DK99" s="241" t="e">
        <f>SUM(BS99,#REF!,BV99)</f>
        <v>#REF!</v>
      </c>
      <c r="DL99" s="155">
        <v>454</v>
      </c>
      <c r="DM99" s="155">
        <v>424.08559000000002</v>
      </c>
      <c r="DN99" s="155">
        <v>0</v>
      </c>
      <c r="DO99" s="155">
        <v>0</v>
      </c>
      <c r="DP99" s="155">
        <v>424.08559000000002</v>
      </c>
      <c r="DQ99" s="155">
        <v>29.91441</v>
      </c>
      <c r="DS99" s="235">
        <f t="shared" si="55"/>
        <v>0</v>
      </c>
    </row>
    <row r="100" spans="1:123" s="23" customFormat="1" ht="24" customHeight="1">
      <c r="A100" s="18"/>
      <c r="B100" s="2">
        <v>56</v>
      </c>
      <c r="C100" s="85" t="s">
        <v>108</v>
      </c>
      <c r="D100" s="85"/>
      <c r="E100" s="85"/>
      <c r="F100" s="3">
        <v>2018</v>
      </c>
      <c r="G100" s="4">
        <v>43241</v>
      </c>
      <c r="H100" s="4">
        <v>43241</v>
      </c>
      <c r="I100" s="4">
        <v>43671</v>
      </c>
      <c r="J100" s="15">
        <f t="shared" ca="1" si="21"/>
        <v>430</v>
      </c>
      <c r="K100" s="177">
        <f t="shared" si="56"/>
        <v>43788</v>
      </c>
      <c r="L100" s="177">
        <f t="shared" si="57"/>
        <v>43971</v>
      </c>
      <c r="M100" s="177"/>
      <c r="N100" s="177"/>
      <c r="O100" s="177"/>
      <c r="P100" s="177"/>
      <c r="Q100" s="177"/>
      <c r="R100" s="3" t="s">
        <v>176</v>
      </c>
      <c r="S100" s="13" t="s">
        <v>224</v>
      </c>
      <c r="T100" s="13"/>
      <c r="U100" s="5" t="s">
        <v>9</v>
      </c>
      <c r="V100" s="268"/>
      <c r="W100" s="5" t="s">
        <v>614</v>
      </c>
      <c r="X100" s="5" t="s">
        <v>481</v>
      </c>
      <c r="Y100" s="5" t="s">
        <v>109</v>
      </c>
      <c r="Z100" s="3" t="s">
        <v>187</v>
      </c>
      <c r="AA100" s="6" t="s">
        <v>218</v>
      </c>
      <c r="AB100" s="151" t="s">
        <v>197</v>
      </c>
      <c r="AC100" s="177" t="s">
        <v>6</v>
      </c>
      <c r="AD100" s="177" t="s">
        <v>6</v>
      </c>
      <c r="AE100" s="177" t="s">
        <v>6</v>
      </c>
      <c r="AF100" s="5"/>
      <c r="AG100" s="5"/>
      <c r="AH100" s="226"/>
      <c r="AI100" s="83"/>
      <c r="AJ100" s="83"/>
      <c r="AK100" s="237" t="e">
        <f>SUM(#REF!,BT100,BV100)</f>
        <v>#REF!</v>
      </c>
      <c r="AL100" s="52"/>
      <c r="AM100" s="52"/>
      <c r="AN100" s="52"/>
      <c r="AO100" s="52"/>
      <c r="AP100" s="52"/>
      <c r="AQ100" s="52"/>
      <c r="AR100" s="56">
        <v>35.516774734354165</v>
      </c>
      <c r="AS100" s="56">
        <v>0</v>
      </c>
      <c r="AT100" s="56">
        <v>0.31917000000000001</v>
      </c>
      <c r="AU100" s="56"/>
      <c r="AV100" s="38">
        <v>160</v>
      </c>
      <c r="AW100" s="38">
        <v>15</v>
      </c>
      <c r="AX100" s="97">
        <f t="shared" si="24"/>
        <v>175</v>
      </c>
      <c r="AY100" s="169">
        <f t="shared" si="46"/>
        <v>0</v>
      </c>
      <c r="AZ100" s="196">
        <v>0</v>
      </c>
      <c r="BA100" s="170"/>
      <c r="BB100" s="196">
        <v>0</v>
      </c>
      <c r="BC100" s="170"/>
      <c r="BD100" s="196">
        <v>0</v>
      </c>
      <c r="BE100" s="170">
        <v>0</v>
      </c>
      <c r="BF100" s="196">
        <v>0</v>
      </c>
      <c r="BG100" s="170"/>
      <c r="BH100" s="196">
        <v>0</v>
      </c>
      <c r="BI100" s="170"/>
      <c r="BJ100" s="196">
        <v>0</v>
      </c>
      <c r="BK100" s="170"/>
      <c r="BL100" s="196"/>
      <c r="BM100" s="170"/>
      <c r="BN100" s="196"/>
      <c r="BO100" s="170"/>
      <c r="BP100" s="196"/>
      <c r="BQ100" s="170"/>
      <c r="BR100" s="196"/>
      <c r="BS100" s="170"/>
      <c r="BT100" s="196"/>
      <c r="BU100" s="170"/>
      <c r="BV100" s="196"/>
      <c r="BW100" s="251"/>
      <c r="BX100" s="254"/>
      <c r="BY100" s="88">
        <f t="shared" si="47"/>
        <v>0</v>
      </c>
      <c r="BZ100" s="258"/>
      <c r="CA100" s="258"/>
      <c r="CB100" s="258"/>
      <c r="CC100" s="258"/>
      <c r="CD100" s="258"/>
      <c r="CE100" s="258"/>
      <c r="CF100" s="258"/>
      <c r="CG100" s="258"/>
      <c r="CH100" s="258"/>
      <c r="CI100" s="258"/>
      <c r="CJ100" s="258"/>
      <c r="CK100" s="258"/>
      <c r="CL100" s="211">
        <f t="shared" si="49"/>
        <v>0</v>
      </c>
      <c r="CM100" s="212"/>
      <c r="CN100" s="212"/>
      <c r="CO100" s="212"/>
      <c r="CP100" s="212"/>
      <c r="CQ100" s="212"/>
      <c r="CR100" s="212"/>
      <c r="CS100" s="212"/>
      <c r="CT100" s="212"/>
      <c r="CU100" s="212"/>
      <c r="CV100" s="212"/>
      <c r="CW100" s="212"/>
      <c r="CX100" s="212"/>
      <c r="CY100" s="216">
        <f t="shared" si="26"/>
        <v>0</v>
      </c>
      <c r="CZ100" s="185">
        <f t="shared" si="48"/>
        <v>0</v>
      </c>
      <c r="DA100" s="217">
        <f t="shared" si="27"/>
        <v>0</v>
      </c>
      <c r="DB100" s="217">
        <f t="shared" si="28"/>
        <v>0</v>
      </c>
      <c r="DC100" s="217">
        <f t="shared" si="50"/>
        <v>0</v>
      </c>
      <c r="DD100" s="256">
        <v>0</v>
      </c>
      <c r="DE100" s="217">
        <f t="shared" si="51"/>
        <v>0</v>
      </c>
      <c r="DF100" s="185" t="e">
        <f>SUM(DN100:DO100)-SUM(#REF!,BV100)+BU100</f>
        <v>#REF!</v>
      </c>
      <c r="DG100" s="223"/>
      <c r="DH100" s="241">
        <f t="shared" si="52"/>
        <v>0</v>
      </c>
      <c r="DI100" s="241">
        <f t="shared" si="53"/>
        <v>0</v>
      </c>
      <c r="DJ100" s="241">
        <f t="shared" si="54"/>
        <v>0</v>
      </c>
      <c r="DK100" s="241" t="e">
        <f>SUM(BS100,#REF!,BV100)</f>
        <v>#REF!</v>
      </c>
      <c r="DL100" s="155">
        <v>160</v>
      </c>
      <c r="DM100" s="155">
        <v>156.63091</v>
      </c>
      <c r="DN100" s="155">
        <v>0</v>
      </c>
      <c r="DO100" s="155">
        <v>0</v>
      </c>
      <c r="DP100" s="155">
        <v>156.63091</v>
      </c>
      <c r="DQ100" s="155">
        <v>3.3690900000000004</v>
      </c>
      <c r="DS100" s="235">
        <f t="shared" si="55"/>
        <v>0</v>
      </c>
    </row>
    <row r="101" spans="1:123" s="23" customFormat="1" ht="24" customHeight="1">
      <c r="A101" s="18"/>
      <c r="B101" s="2">
        <v>57</v>
      </c>
      <c r="C101" s="85" t="s">
        <v>73</v>
      </c>
      <c r="D101" s="85"/>
      <c r="E101" s="85"/>
      <c r="F101" s="3">
        <v>2018</v>
      </c>
      <c r="G101" s="4">
        <v>43174</v>
      </c>
      <c r="H101" s="4">
        <v>43174</v>
      </c>
      <c r="I101" s="4">
        <v>43588</v>
      </c>
      <c r="J101" s="15">
        <f t="shared" ca="1" si="21"/>
        <v>414</v>
      </c>
      <c r="K101" s="177">
        <f t="shared" si="56"/>
        <v>43721</v>
      </c>
      <c r="L101" s="177">
        <f t="shared" si="57"/>
        <v>43904</v>
      </c>
      <c r="M101" s="177"/>
      <c r="N101" s="177"/>
      <c r="O101" s="177"/>
      <c r="P101" s="177"/>
      <c r="Q101" s="177"/>
      <c r="R101" s="3" t="s">
        <v>176</v>
      </c>
      <c r="S101" s="13" t="s">
        <v>223</v>
      </c>
      <c r="T101" s="13"/>
      <c r="U101" s="5" t="s">
        <v>9</v>
      </c>
      <c r="V101" s="268"/>
      <c r="W101" s="5" t="s">
        <v>614</v>
      </c>
      <c r="X101" s="5" t="s">
        <v>539</v>
      </c>
      <c r="Y101" s="5" t="s">
        <v>74</v>
      </c>
      <c r="Z101" s="3" t="s">
        <v>181</v>
      </c>
      <c r="AA101" s="6" t="s">
        <v>218</v>
      </c>
      <c r="AB101" s="151" t="s">
        <v>197</v>
      </c>
      <c r="AC101" s="177" t="s">
        <v>6</v>
      </c>
      <c r="AD101" s="177" t="s">
        <v>6</v>
      </c>
      <c r="AE101" s="177" t="s">
        <v>6</v>
      </c>
      <c r="AF101" s="5"/>
      <c r="AG101" s="5"/>
      <c r="AH101" s="226"/>
      <c r="AI101" s="83"/>
      <c r="AJ101" s="83"/>
      <c r="AK101" s="237" t="e">
        <f>SUM(#REF!,BT101,BV101)</f>
        <v>#REF!</v>
      </c>
      <c r="AL101" s="52"/>
      <c r="AM101" s="52"/>
      <c r="AN101" s="52"/>
      <c r="AO101" s="52"/>
      <c r="AP101" s="52"/>
      <c r="AQ101" s="52"/>
      <c r="AR101" s="56">
        <v>9.8458202427928718</v>
      </c>
      <c r="AS101" s="56"/>
      <c r="AT101" s="56">
        <v>0</v>
      </c>
      <c r="AU101" s="56"/>
      <c r="AV101" s="38">
        <v>1212</v>
      </c>
      <c r="AW101" s="38">
        <v>0</v>
      </c>
      <c r="AX101" s="97">
        <f t="shared" si="24"/>
        <v>1212</v>
      </c>
      <c r="AY101" s="169">
        <f t="shared" si="46"/>
        <v>0</v>
      </c>
      <c r="AZ101" s="196">
        <v>0</v>
      </c>
      <c r="BA101" s="170"/>
      <c r="BB101" s="196">
        <v>0</v>
      </c>
      <c r="BC101" s="170"/>
      <c r="BD101" s="196">
        <v>0</v>
      </c>
      <c r="BE101" s="170">
        <v>0</v>
      </c>
      <c r="BF101" s="196">
        <v>0</v>
      </c>
      <c r="BG101" s="170"/>
      <c r="BH101" s="196">
        <v>0</v>
      </c>
      <c r="BI101" s="170"/>
      <c r="BJ101" s="196">
        <v>0</v>
      </c>
      <c r="BK101" s="170"/>
      <c r="BL101" s="196"/>
      <c r="BM101" s="170"/>
      <c r="BN101" s="196"/>
      <c r="BO101" s="170"/>
      <c r="BP101" s="196"/>
      <c r="BQ101" s="170"/>
      <c r="BR101" s="196"/>
      <c r="BS101" s="170"/>
      <c r="BT101" s="196"/>
      <c r="BU101" s="170"/>
      <c r="BV101" s="196"/>
      <c r="BW101" s="251"/>
      <c r="BX101" s="254"/>
      <c r="BY101" s="88">
        <f t="shared" si="47"/>
        <v>0</v>
      </c>
      <c r="BZ101" s="258"/>
      <c r="CA101" s="258"/>
      <c r="CB101" s="258"/>
      <c r="CC101" s="258"/>
      <c r="CD101" s="258"/>
      <c r="CE101" s="258"/>
      <c r="CF101" s="258"/>
      <c r="CG101" s="258"/>
      <c r="CH101" s="258"/>
      <c r="CI101" s="258"/>
      <c r="CJ101" s="258"/>
      <c r="CK101" s="258"/>
      <c r="CL101" s="211">
        <f t="shared" si="49"/>
        <v>0</v>
      </c>
      <c r="CM101" s="212"/>
      <c r="CN101" s="212"/>
      <c r="CO101" s="212"/>
      <c r="CP101" s="212"/>
      <c r="CQ101" s="212"/>
      <c r="CR101" s="212"/>
      <c r="CS101" s="212"/>
      <c r="CT101" s="212"/>
      <c r="CU101" s="212"/>
      <c r="CV101" s="212"/>
      <c r="CW101" s="212"/>
      <c r="CX101" s="212"/>
      <c r="CY101" s="216">
        <f t="shared" si="26"/>
        <v>0</v>
      </c>
      <c r="CZ101" s="185">
        <f t="shared" si="48"/>
        <v>0</v>
      </c>
      <c r="DA101" s="217">
        <f t="shared" si="27"/>
        <v>0</v>
      </c>
      <c r="DB101" s="217">
        <f t="shared" si="28"/>
        <v>0</v>
      </c>
      <c r="DC101" s="217">
        <f t="shared" si="50"/>
        <v>0</v>
      </c>
      <c r="DD101" s="256">
        <v>0</v>
      </c>
      <c r="DE101" s="217">
        <f t="shared" si="51"/>
        <v>0</v>
      </c>
      <c r="DF101" s="185" t="e">
        <f>SUM(DN101:DO101)-SUM(#REF!,BV101)+BU101</f>
        <v>#REF!</v>
      </c>
      <c r="DG101" s="223"/>
      <c r="DH101" s="241">
        <f t="shared" si="52"/>
        <v>0</v>
      </c>
      <c r="DI101" s="241">
        <f t="shared" si="53"/>
        <v>0</v>
      </c>
      <c r="DJ101" s="241">
        <f t="shared" si="54"/>
        <v>0</v>
      </c>
      <c r="DK101" s="241" t="e">
        <f>SUM(BS101,#REF!,BV101)</f>
        <v>#REF!</v>
      </c>
      <c r="DL101" s="155">
        <v>1212</v>
      </c>
      <c r="DM101" s="155">
        <v>1152.578</v>
      </c>
      <c r="DN101" s="155">
        <v>0</v>
      </c>
      <c r="DO101" s="155">
        <v>0</v>
      </c>
      <c r="DP101" s="155">
        <v>1152.578</v>
      </c>
      <c r="DQ101" s="155">
        <v>59.421999999999997</v>
      </c>
      <c r="DS101" s="235">
        <f t="shared" si="55"/>
        <v>0</v>
      </c>
    </row>
    <row r="102" spans="1:123" s="23" customFormat="1" ht="24" customHeight="1">
      <c r="A102" s="18"/>
      <c r="B102" s="2">
        <v>58</v>
      </c>
      <c r="C102" s="85" t="s">
        <v>69</v>
      </c>
      <c r="D102" s="85"/>
      <c r="E102" s="85"/>
      <c r="F102" s="3">
        <v>2018</v>
      </c>
      <c r="G102" s="4">
        <v>43277</v>
      </c>
      <c r="H102" s="4">
        <v>43277</v>
      </c>
      <c r="I102" s="4">
        <v>43777</v>
      </c>
      <c r="J102" s="15">
        <f t="shared" ca="1" si="21"/>
        <v>500</v>
      </c>
      <c r="K102" s="177">
        <f t="shared" si="56"/>
        <v>43824</v>
      </c>
      <c r="L102" s="177">
        <f t="shared" si="57"/>
        <v>44007</v>
      </c>
      <c r="M102" s="177"/>
      <c r="N102" s="177"/>
      <c r="O102" s="177"/>
      <c r="P102" s="177"/>
      <c r="Q102" s="177"/>
      <c r="R102" s="3" t="s">
        <v>176</v>
      </c>
      <c r="S102" s="13" t="s">
        <v>5</v>
      </c>
      <c r="T102" s="13"/>
      <c r="U102" s="5" t="s">
        <v>9</v>
      </c>
      <c r="V102" s="268"/>
      <c r="W102" s="5" t="s">
        <v>614</v>
      </c>
      <c r="X102" s="5" t="s">
        <v>479</v>
      </c>
      <c r="Y102" s="5" t="s">
        <v>70</v>
      </c>
      <c r="Z102" s="3" t="s">
        <v>185</v>
      </c>
      <c r="AA102" s="6" t="s">
        <v>218</v>
      </c>
      <c r="AB102" s="151" t="s">
        <v>197</v>
      </c>
      <c r="AC102" s="177" t="s">
        <v>6</v>
      </c>
      <c r="AD102" s="177" t="s">
        <v>6</v>
      </c>
      <c r="AE102" s="177" t="s">
        <v>6</v>
      </c>
      <c r="AF102" s="5"/>
      <c r="AG102" s="5"/>
      <c r="AH102" s="226"/>
      <c r="AI102" s="83"/>
      <c r="AJ102" s="83"/>
      <c r="AK102" s="237" t="e">
        <f>SUM(#REF!,BT102,BV102)</f>
        <v>#REF!</v>
      </c>
      <c r="AL102" s="52"/>
      <c r="AM102" s="52"/>
      <c r="AN102" s="52"/>
      <c r="AO102" s="52"/>
      <c r="AP102" s="52"/>
      <c r="AQ102" s="52"/>
      <c r="AR102" s="56">
        <v>56.425967044372896</v>
      </c>
      <c r="AS102" s="56"/>
      <c r="AT102" s="56">
        <v>0</v>
      </c>
      <c r="AU102" s="56"/>
      <c r="AV102" s="38">
        <v>206.35</v>
      </c>
      <c r="AW102" s="38">
        <v>10</v>
      </c>
      <c r="AX102" s="97">
        <f t="shared" si="24"/>
        <v>216.35</v>
      </c>
      <c r="AY102" s="169">
        <f t="shared" si="46"/>
        <v>0</v>
      </c>
      <c r="AZ102" s="196">
        <v>0</v>
      </c>
      <c r="BA102" s="170"/>
      <c r="BB102" s="196">
        <v>0</v>
      </c>
      <c r="BC102" s="170"/>
      <c r="BD102" s="196">
        <v>0</v>
      </c>
      <c r="BE102" s="170">
        <v>0</v>
      </c>
      <c r="BF102" s="196">
        <v>0</v>
      </c>
      <c r="BG102" s="170"/>
      <c r="BH102" s="196">
        <v>0</v>
      </c>
      <c r="BI102" s="170"/>
      <c r="BJ102" s="196">
        <v>0</v>
      </c>
      <c r="BK102" s="170"/>
      <c r="BL102" s="196"/>
      <c r="BM102" s="170"/>
      <c r="BN102" s="196"/>
      <c r="BO102" s="170"/>
      <c r="BP102" s="196"/>
      <c r="BQ102" s="170"/>
      <c r="BR102" s="196"/>
      <c r="BS102" s="170"/>
      <c r="BT102" s="196"/>
      <c r="BU102" s="170"/>
      <c r="BV102" s="196"/>
      <c r="BW102" s="251"/>
      <c r="BX102" s="254"/>
      <c r="BY102" s="88">
        <f t="shared" si="47"/>
        <v>0</v>
      </c>
      <c r="BZ102" s="258"/>
      <c r="CA102" s="258"/>
      <c r="CB102" s="258"/>
      <c r="CC102" s="258"/>
      <c r="CD102" s="258"/>
      <c r="CE102" s="258"/>
      <c r="CF102" s="258"/>
      <c r="CG102" s="258"/>
      <c r="CH102" s="258"/>
      <c r="CI102" s="258"/>
      <c r="CJ102" s="258"/>
      <c r="CK102" s="258"/>
      <c r="CL102" s="211">
        <f t="shared" si="49"/>
        <v>0</v>
      </c>
      <c r="CM102" s="212"/>
      <c r="CN102" s="212"/>
      <c r="CO102" s="212"/>
      <c r="CP102" s="212"/>
      <c r="CQ102" s="212"/>
      <c r="CR102" s="212"/>
      <c r="CS102" s="212"/>
      <c r="CT102" s="212"/>
      <c r="CU102" s="212"/>
      <c r="CV102" s="212"/>
      <c r="CW102" s="212"/>
      <c r="CX102" s="212"/>
      <c r="CY102" s="216">
        <f t="shared" si="26"/>
        <v>0</v>
      </c>
      <c r="CZ102" s="185">
        <f t="shared" si="48"/>
        <v>0</v>
      </c>
      <c r="DA102" s="217">
        <f t="shared" si="27"/>
        <v>0</v>
      </c>
      <c r="DB102" s="217">
        <f t="shared" si="28"/>
        <v>0</v>
      </c>
      <c r="DC102" s="217">
        <f t="shared" si="50"/>
        <v>0</v>
      </c>
      <c r="DD102" s="256">
        <v>0</v>
      </c>
      <c r="DE102" s="217">
        <f t="shared" si="51"/>
        <v>0</v>
      </c>
      <c r="DF102" s="185" t="e">
        <f>SUM(DN102:DO102)-SUM(#REF!,BV102)+BU102</f>
        <v>#REF!</v>
      </c>
      <c r="DG102" s="223"/>
      <c r="DH102" s="241">
        <f t="shared" si="52"/>
        <v>0</v>
      </c>
      <c r="DI102" s="241">
        <f t="shared" si="53"/>
        <v>0</v>
      </c>
      <c r="DJ102" s="241">
        <f t="shared" si="54"/>
        <v>0</v>
      </c>
      <c r="DK102" s="241" t="e">
        <f>SUM(BS102,#REF!,BV102)</f>
        <v>#REF!</v>
      </c>
      <c r="DL102" s="155">
        <v>206.35</v>
      </c>
      <c r="DM102" s="155">
        <v>206.34142</v>
      </c>
      <c r="DN102" s="155">
        <v>0</v>
      </c>
      <c r="DO102" s="155">
        <v>0</v>
      </c>
      <c r="DP102" s="155">
        <v>206.34142</v>
      </c>
      <c r="DQ102" s="155">
        <v>8.5800000000000008E-3</v>
      </c>
      <c r="DS102" s="235">
        <f t="shared" si="55"/>
        <v>0</v>
      </c>
    </row>
    <row r="103" spans="1:123" s="23" customFormat="1" ht="24" customHeight="1">
      <c r="A103" s="18"/>
      <c r="B103" s="2">
        <v>59</v>
      </c>
      <c r="C103" s="85" t="s">
        <v>75</v>
      </c>
      <c r="D103" s="85"/>
      <c r="E103" s="85" t="s">
        <v>906</v>
      </c>
      <c r="F103" s="3">
        <v>2018</v>
      </c>
      <c r="G103" s="4">
        <v>43223</v>
      </c>
      <c r="H103" s="4">
        <v>43223</v>
      </c>
      <c r="I103" s="4">
        <v>43775</v>
      </c>
      <c r="J103" s="15">
        <f t="shared" ca="1" si="21"/>
        <v>552</v>
      </c>
      <c r="K103" s="177">
        <f t="shared" si="56"/>
        <v>43770</v>
      </c>
      <c r="L103" s="177">
        <f t="shared" si="57"/>
        <v>43953</v>
      </c>
      <c r="M103" s="177"/>
      <c r="N103" s="177"/>
      <c r="O103" s="177"/>
      <c r="P103" s="177"/>
      <c r="Q103" s="177"/>
      <c r="R103" s="3" t="s">
        <v>176</v>
      </c>
      <c r="S103" s="13" t="s">
        <v>5</v>
      </c>
      <c r="T103" s="13"/>
      <c r="U103" s="5" t="s">
        <v>9</v>
      </c>
      <c r="V103" s="268"/>
      <c r="W103" s="5" t="s">
        <v>614</v>
      </c>
      <c r="X103" s="5" t="s">
        <v>478</v>
      </c>
      <c r="Y103" s="5" t="s">
        <v>76</v>
      </c>
      <c r="Z103" s="3" t="s">
        <v>181</v>
      </c>
      <c r="AA103" s="6" t="s">
        <v>218</v>
      </c>
      <c r="AB103" s="151" t="s">
        <v>197</v>
      </c>
      <c r="AC103" s="177" t="s">
        <v>6</v>
      </c>
      <c r="AD103" s="177" t="s">
        <v>6</v>
      </c>
      <c r="AE103" s="177" t="s">
        <v>6</v>
      </c>
      <c r="AF103" s="5"/>
      <c r="AG103" s="5"/>
      <c r="AH103" s="226"/>
      <c r="AI103" s="83"/>
      <c r="AJ103" s="83"/>
      <c r="AK103" s="237" t="e">
        <f>SUM(#REF!,BT103,BV103)</f>
        <v>#REF!</v>
      </c>
      <c r="AL103" s="52"/>
      <c r="AM103" s="52"/>
      <c r="AN103" s="52"/>
      <c r="AO103" s="52"/>
      <c r="AP103" s="52"/>
      <c r="AQ103" s="52"/>
      <c r="AR103" s="56">
        <v>30.990005630733656</v>
      </c>
      <c r="AS103" s="56"/>
      <c r="AT103" s="56">
        <v>0</v>
      </c>
      <c r="AU103" s="56"/>
      <c r="AV103" s="38">
        <v>187.1</v>
      </c>
      <c r="AW103" s="38">
        <v>15.3</v>
      </c>
      <c r="AX103" s="97">
        <f t="shared" si="24"/>
        <v>202.4</v>
      </c>
      <c r="AY103" s="169">
        <f t="shared" si="46"/>
        <v>0</v>
      </c>
      <c r="AZ103" s="196">
        <v>0</v>
      </c>
      <c r="BA103" s="170"/>
      <c r="BB103" s="196">
        <v>0</v>
      </c>
      <c r="BC103" s="170"/>
      <c r="BD103" s="196">
        <v>0</v>
      </c>
      <c r="BE103" s="170">
        <v>0</v>
      </c>
      <c r="BF103" s="196">
        <v>0</v>
      </c>
      <c r="BG103" s="170"/>
      <c r="BH103" s="196">
        <v>0</v>
      </c>
      <c r="BI103" s="170"/>
      <c r="BJ103" s="196">
        <v>0</v>
      </c>
      <c r="BK103" s="170"/>
      <c r="BL103" s="196"/>
      <c r="BM103" s="170"/>
      <c r="BN103" s="196"/>
      <c r="BO103" s="170"/>
      <c r="BP103" s="196"/>
      <c r="BQ103" s="170"/>
      <c r="BR103" s="196"/>
      <c r="BS103" s="170"/>
      <c r="BT103" s="196"/>
      <c r="BU103" s="170"/>
      <c r="BV103" s="196"/>
      <c r="BW103" s="251"/>
      <c r="BX103" s="254"/>
      <c r="BY103" s="88">
        <f t="shared" si="47"/>
        <v>0</v>
      </c>
      <c r="BZ103" s="258"/>
      <c r="CA103" s="258"/>
      <c r="CB103" s="258"/>
      <c r="CC103" s="258"/>
      <c r="CD103" s="258"/>
      <c r="CE103" s="258"/>
      <c r="CF103" s="258"/>
      <c r="CG103" s="258"/>
      <c r="CH103" s="258"/>
      <c r="CI103" s="258"/>
      <c r="CJ103" s="258"/>
      <c r="CK103" s="258"/>
      <c r="CL103" s="211">
        <f t="shared" si="49"/>
        <v>0</v>
      </c>
      <c r="CM103" s="212"/>
      <c r="CN103" s="212"/>
      <c r="CO103" s="212"/>
      <c r="CP103" s="212"/>
      <c r="CQ103" s="212"/>
      <c r="CR103" s="212"/>
      <c r="CS103" s="212"/>
      <c r="CT103" s="212"/>
      <c r="CU103" s="212"/>
      <c r="CV103" s="212"/>
      <c r="CW103" s="212"/>
      <c r="CX103" s="212"/>
      <c r="CY103" s="216">
        <f t="shared" si="26"/>
        <v>0</v>
      </c>
      <c r="CZ103" s="185">
        <f t="shared" si="48"/>
        <v>0</v>
      </c>
      <c r="DA103" s="217">
        <f t="shared" si="27"/>
        <v>0</v>
      </c>
      <c r="DB103" s="217">
        <f t="shared" si="28"/>
        <v>0</v>
      </c>
      <c r="DC103" s="217">
        <f t="shared" si="50"/>
        <v>0</v>
      </c>
      <c r="DD103" s="256">
        <v>0</v>
      </c>
      <c r="DE103" s="217">
        <f t="shared" si="51"/>
        <v>0</v>
      </c>
      <c r="DF103" s="185" t="e">
        <f>SUM(DN103:DO103)-SUM(#REF!,BV103)+BU103</f>
        <v>#REF!</v>
      </c>
      <c r="DG103" s="223"/>
      <c r="DH103" s="241">
        <f t="shared" si="52"/>
        <v>0</v>
      </c>
      <c r="DI103" s="241">
        <f t="shared" si="53"/>
        <v>0</v>
      </c>
      <c r="DJ103" s="241">
        <f t="shared" si="54"/>
        <v>0</v>
      </c>
      <c r="DK103" s="241" t="e">
        <f>SUM(BS103,#REF!,BV103)</f>
        <v>#REF!</v>
      </c>
      <c r="DL103" s="155">
        <v>187.1</v>
      </c>
      <c r="DM103" s="155">
        <v>179.23054999999999</v>
      </c>
      <c r="DN103" s="155">
        <v>0</v>
      </c>
      <c r="DO103" s="155">
        <v>0</v>
      </c>
      <c r="DP103" s="155">
        <v>179.23054999999999</v>
      </c>
      <c r="DQ103" s="155">
        <v>7.8694499999999996</v>
      </c>
      <c r="DS103" s="235">
        <f t="shared" si="55"/>
        <v>0</v>
      </c>
    </row>
    <row r="104" spans="1:123" s="23" customFormat="1" ht="24" customHeight="1">
      <c r="A104" s="18"/>
      <c r="B104" s="2">
        <v>60</v>
      </c>
      <c r="C104" s="85" t="s">
        <v>81</v>
      </c>
      <c r="D104" s="85"/>
      <c r="E104" s="85"/>
      <c r="F104" s="3">
        <v>2018</v>
      </c>
      <c r="G104" s="4">
        <v>43146</v>
      </c>
      <c r="H104" s="4">
        <v>43209</v>
      </c>
      <c r="I104" s="4">
        <v>43587</v>
      </c>
      <c r="J104" s="15">
        <f t="shared" ca="1" si="21"/>
        <v>378</v>
      </c>
      <c r="K104" s="177">
        <f t="shared" si="56"/>
        <v>43756</v>
      </c>
      <c r="L104" s="177">
        <f t="shared" si="57"/>
        <v>43939</v>
      </c>
      <c r="M104" s="177"/>
      <c r="N104" s="177"/>
      <c r="O104" s="177"/>
      <c r="P104" s="177"/>
      <c r="Q104" s="177"/>
      <c r="R104" s="3" t="s">
        <v>178</v>
      </c>
      <c r="S104" s="13" t="s">
        <v>223</v>
      </c>
      <c r="T104" s="13"/>
      <c r="U104" s="5" t="s">
        <v>9</v>
      </c>
      <c r="V104" s="268"/>
      <c r="W104" s="5" t="s">
        <v>614</v>
      </c>
      <c r="X104" s="5" t="s">
        <v>481</v>
      </c>
      <c r="Y104" s="5" t="s">
        <v>82</v>
      </c>
      <c r="Z104" s="3" t="s">
        <v>188</v>
      </c>
      <c r="AA104" s="6" t="s">
        <v>218</v>
      </c>
      <c r="AB104" s="151" t="s">
        <v>197</v>
      </c>
      <c r="AC104" s="177" t="s">
        <v>6</v>
      </c>
      <c r="AD104" s="177" t="s">
        <v>6</v>
      </c>
      <c r="AE104" s="177" t="s">
        <v>6</v>
      </c>
      <c r="AF104" s="5"/>
      <c r="AG104" s="5"/>
      <c r="AH104" s="226"/>
      <c r="AI104" s="83"/>
      <c r="AJ104" s="83"/>
      <c r="AK104" s="237" t="e">
        <f>SUM(#REF!,BT104,BV104)</f>
        <v>#REF!</v>
      </c>
      <c r="AL104" s="52"/>
      <c r="AM104" s="52"/>
      <c r="AN104" s="52"/>
      <c r="AO104" s="52"/>
      <c r="AP104" s="52"/>
      <c r="AQ104" s="52"/>
      <c r="AR104" s="56">
        <v>15.969999999999999</v>
      </c>
      <c r="AS104" s="56"/>
      <c r="AT104" s="56">
        <v>0</v>
      </c>
      <c r="AU104" s="56"/>
      <c r="AV104" s="38">
        <v>112.1</v>
      </c>
      <c r="AW104" s="38">
        <v>5.3</v>
      </c>
      <c r="AX104" s="97">
        <f t="shared" si="24"/>
        <v>117.39999999999999</v>
      </c>
      <c r="AY104" s="169">
        <f t="shared" si="46"/>
        <v>0</v>
      </c>
      <c r="AZ104" s="196">
        <v>0</v>
      </c>
      <c r="BA104" s="170"/>
      <c r="BB104" s="196">
        <v>0</v>
      </c>
      <c r="BC104" s="170"/>
      <c r="BD104" s="196">
        <v>0</v>
      </c>
      <c r="BE104" s="170">
        <v>0</v>
      </c>
      <c r="BF104" s="196">
        <v>0</v>
      </c>
      <c r="BG104" s="170"/>
      <c r="BH104" s="196">
        <v>0</v>
      </c>
      <c r="BI104" s="170"/>
      <c r="BJ104" s="196">
        <v>0</v>
      </c>
      <c r="BK104" s="170"/>
      <c r="BL104" s="196"/>
      <c r="BM104" s="170"/>
      <c r="BN104" s="196"/>
      <c r="BO104" s="170"/>
      <c r="BP104" s="196"/>
      <c r="BQ104" s="170"/>
      <c r="BR104" s="196"/>
      <c r="BS104" s="170"/>
      <c r="BT104" s="196"/>
      <c r="BU104" s="170"/>
      <c r="BV104" s="196"/>
      <c r="BW104" s="251"/>
      <c r="BX104" s="254"/>
      <c r="BY104" s="88">
        <f t="shared" si="47"/>
        <v>0</v>
      </c>
      <c r="BZ104" s="214"/>
      <c r="CA104" s="214"/>
      <c r="CB104" s="214"/>
      <c r="CC104" s="214"/>
      <c r="CD104" s="214"/>
      <c r="CE104" s="214"/>
      <c r="CF104" s="214"/>
      <c r="CG104" s="214"/>
      <c r="CH104" s="214"/>
      <c r="CI104" s="214"/>
      <c r="CJ104" s="214"/>
      <c r="CK104" s="214"/>
      <c r="CL104" s="211">
        <f t="shared" si="49"/>
        <v>0</v>
      </c>
      <c r="CM104" s="212"/>
      <c r="CN104" s="212"/>
      <c r="CO104" s="212"/>
      <c r="CP104" s="212"/>
      <c r="CQ104" s="212"/>
      <c r="CR104" s="212"/>
      <c r="CS104" s="212"/>
      <c r="CT104" s="212"/>
      <c r="CU104" s="212"/>
      <c r="CV104" s="212"/>
      <c r="CW104" s="212"/>
      <c r="CX104" s="212"/>
      <c r="CY104" s="216">
        <f t="shared" si="26"/>
        <v>0</v>
      </c>
      <c r="CZ104" s="185">
        <f t="shared" si="48"/>
        <v>0</v>
      </c>
      <c r="DA104" s="217">
        <f t="shared" si="27"/>
        <v>0</v>
      </c>
      <c r="DB104" s="217">
        <f t="shared" si="28"/>
        <v>0</v>
      </c>
      <c r="DC104" s="217">
        <f t="shared" si="50"/>
        <v>0</v>
      </c>
      <c r="DD104" s="256">
        <v>0</v>
      </c>
      <c r="DE104" s="217">
        <f t="shared" si="51"/>
        <v>0</v>
      </c>
      <c r="DF104" s="185" t="e">
        <f>SUM(DN104:DO104)-SUM(#REF!,BV104)+BU104</f>
        <v>#REF!</v>
      </c>
      <c r="DG104" s="223"/>
      <c r="DH104" s="241">
        <f t="shared" si="52"/>
        <v>0</v>
      </c>
      <c r="DI104" s="241">
        <f t="shared" si="53"/>
        <v>0</v>
      </c>
      <c r="DJ104" s="241">
        <f t="shared" si="54"/>
        <v>0</v>
      </c>
      <c r="DK104" s="241" t="e">
        <f>SUM(BS104,#REF!,BV104)</f>
        <v>#REF!</v>
      </c>
      <c r="DL104" s="155">
        <v>112.1</v>
      </c>
      <c r="DM104" s="155">
        <v>101.47055999999999</v>
      </c>
      <c r="DN104" s="155">
        <v>0</v>
      </c>
      <c r="DO104" s="155">
        <v>0</v>
      </c>
      <c r="DP104" s="155">
        <v>101.47055999999999</v>
      </c>
      <c r="DQ104" s="155">
        <v>10.629440000000001</v>
      </c>
      <c r="DS104" s="235">
        <f t="shared" si="55"/>
        <v>0</v>
      </c>
    </row>
    <row r="105" spans="1:123" s="23" customFormat="1" ht="24" customHeight="1">
      <c r="A105" s="18"/>
      <c r="B105" s="2">
        <v>61</v>
      </c>
      <c r="C105" s="85" t="s">
        <v>65</v>
      </c>
      <c r="D105" s="85"/>
      <c r="E105" s="85" t="s">
        <v>907</v>
      </c>
      <c r="F105" s="3">
        <v>2018</v>
      </c>
      <c r="G105" s="4">
        <v>43238</v>
      </c>
      <c r="H105" s="4">
        <v>43238</v>
      </c>
      <c r="I105" s="4">
        <v>43712</v>
      </c>
      <c r="J105" s="15">
        <f t="shared" ca="1" si="21"/>
        <v>474</v>
      </c>
      <c r="K105" s="177">
        <f t="shared" si="56"/>
        <v>43785</v>
      </c>
      <c r="L105" s="177">
        <f t="shared" si="57"/>
        <v>43968</v>
      </c>
      <c r="M105" s="177"/>
      <c r="N105" s="177"/>
      <c r="O105" s="177"/>
      <c r="P105" s="177"/>
      <c r="Q105" s="177"/>
      <c r="R105" s="3" t="s">
        <v>176</v>
      </c>
      <c r="S105" s="13" t="s">
        <v>5</v>
      </c>
      <c r="T105" s="13"/>
      <c r="U105" s="5" t="s">
        <v>9</v>
      </c>
      <c r="V105" s="268"/>
      <c r="W105" s="5" t="s">
        <v>614</v>
      </c>
      <c r="X105" s="5" t="s">
        <v>480</v>
      </c>
      <c r="Y105" s="5" t="s">
        <v>66</v>
      </c>
      <c r="Z105" s="3" t="s">
        <v>186</v>
      </c>
      <c r="AA105" s="6" t="s">
        <v>218</v>
      </c>
      <c r="AB105" s="151" t="s">
        <v>197</v>
      </c>
      <c r="AC105" s="177" t="s">
        <v>6</v>
      </c>
      <c r="AD105" s="177" t="s">
        <v>6</v>
      </c>
      <c r="AE105" s="177" t="s">
        <v>6</v>
      </c>
      <c r="AF105" s="5"/>
      <c r="AG105" s="5"/>
      <c r="AH105" s="226"/>
      <c r="AI105" s="83"/>
      <c r="AJ105" s="83"/>
      <c r="AK105" s="237" t="e">
        <f>SUM(#REF!,BT105,BV105)</f>
        <v>#REF!</v>
      </c>
      <c r="AL105" s="52"/>
      <c r="AM105" s="52"/>
      <c r="AN105" s="52"/>
      <c r="AO105" s="52"/>
      <c r="AP105" s="52"/>
      <c r="AQ105" s="52"/>
      <c r="AR105" s="56">
        <v>6.6329747048568874</v>
      </c>
      <c r="AS105" s="56"/>
      <c r="AT105" s="56">
        <v>0</v>
      </c>
      <c r="AU105" s="56"/>
      <c r="AV105" s="38">
        <v>68.5</v>
      </c>
      <c r="AW105" s="38">
        <v>9.8000000000000007</v>
      </c>
      <c r="AX105" s="97">
        <f t="shared" si="24"/>
        <v>78.3</v>
      </c>
      <c r="AY105" s="169">
        <f t="shared" si="46"/>
        <v>0</v>
      </c>
      <c r="AZ105" s="196">
        <v>0</v>
      </c>
      <c r="BA105" s="170"/>
      <c r="BB105" s="196">
        <v>0</v>
      </c>
      <c r="BC105" s="170"/>
      <c r="BD105" s="196">
        <v>0</v>
      </c>
      <c r="BE105" s="170">
        <v>0</v>
      </c>
      <c r="BF105" s="196">
        <v>0</v>
      </c>
      <c r="BG105" s="170"/>
      <c r="BH105" s="196">
        <v>0</v>
      </c>
      <c r="BI105" s="170"/>
      <c r="BJ105" s="196">
        <v>0</v>
      </c>
      <c r="BK105" s="170"/>
      <c r="BL105" s="196"/>
      <c r="BM105" s="170"/>
      <c r="BN105" s="196"/>
      <c r="BO105" s="170"/>
      <c r="BP105" s="196"/>
      <c r="BQ105" s="170"/>
      <c r="BR105" s="196"/>
      <c r="BS105" s="170"/>
      <c r="BT105" s="196"/>
      <c r="BU105" s="170"/>
      <c r="BV105" s="196"/>
      <c r="BW105" s="251"/>
      <c r="BX105" s="254"/>
      <c r="BY105" s="88">
        <f t="shared" si="47"/>
        <v>0</v>
      </c>
      <c r="BZ105" s="258"/>
      <c r="CA105" s="258"/>
      <c r="CB105" s="258"/>
      <c r="CC105" s="258"/>
      <c r="CD105" s="258"/>
      <c r="CE105" s="258"/>
      <c r="CF105" s="258"/>
      <c r="CG105" s="258"/>
      <c r="CH105" s="258"/>
      <c r="CI105" s="258"/>
      <c r="CJ105" s="258"/>
      <c r="CK105" s="258"/>
      <c r="CL105" s="211">
        <f t="shared" si="49"/>
        <v>0</v>
      </c>
      <c r="CM105" s="212"/>
      <c r="CN105" s="212"/>
      <c r="CO105" s="212"/>
      <c r="CP105" s="212"/>
      <c r="CQ105" s="212"/>
      <c r="CR105" s="212"/>
      <c r="CS105" s="212"/>
      <c r="CT105" s="212"/>
      <c r="CU105" s="212"/>
      <c r="CV105" s="212"/>
      <c r="CW105" s="212"/>
      <c r="CX105" s="212"/>
      <c r="CY105" s="216">
        <f t="shared" si="26"/>
        <v>0</v>
      </c>
      <c r="CZ105" s="185">
        <f t="shared" si="48"/>
        <v>0</v>
      </c>
      <c r="DA105" s="217">
        <f t="shared" si="27"/>
        <v>0</v>
      </c>
      <c r="DB105" s="217">
        <f t="shared" si="28"/>
        <v>0</v>
      </c>
      <c r="DC105" s="217">
        <f t="shared" si="50"/>
        <v>0</v>
      </c>
      <c r="DD105" s="256">
        <v>0</v>
      </c>
      <c r="DE105" s="217">
        <f t="shared" si="51"/>
        <v>0</v>
      </c>
      <c r="DF105" s="185" t="e">
        <f>SUM(DN105:DO105)-SUM(#REF!,BV105)+BU105</f>
        <v>#REF!</v>
      </c>
      <c r="DG105" s="223"/>
      <c r="DH105" s="241">
        <f t="shared" si="52"/>
        <v>0</v>
      </c>
      <c r="DI105" s="241">
        <f t="shared" si="53"/>
        <v>0</v>
      </c>
      <c r="DJ105" s="241">
        <f t="shared" si="54"/>
        <v>0</v>
      </c>
      <c r="DK105" s="241" t="e">
        <f>SUM(BS105,#REF!,BV105)</f>
        <v>#REF!</v>
      </c>
      <c r="DL105" s="155">
        <v>68.5</v>
      </c>
      <c r="DM105" s="155">
        <v>65.735699999999994</v>
      </c>
      <c r="DN105" s="155">
        <v>0</v>
      </c>
      <c r="DO105" s="155">
        <v>0</v>
      </c>
      <c r="DP105" s="155">
        <v>65.735699999999994</v>
      </c>
      <c r="DQ105" s="155">
        <v>2.7643</v>
      </c>
      <c r="DS105" s="235">
        <f t="shared" si="55"/>
        <v>0</v>
      </c>
    </row>
    <row r="106" spans="1:123" s="23" customFormat="1" ht="24" customHeight="1">
      <c r="A106" s="18"/>
      <c r="B106" s="2">
        <v>62</v>
      </c>
      <c r="C106" s="85" t="s">
        <v>102</v>
      </c>
      <c r="D106" s="85"/>
      <c r="E106" s="85" t="s">
        <v>908</v>
      </c>
      <c r="F106" s="3">
        <v>2018</v>
      </c>
      <c r="G106" s="4">
        <v>43391</v>
      </c>
      <c r="H106" s="4">
        <v>43391</v>
      </c>
      <c r="I106" s="4">
        <v>43735</v>
      </c>
      <c r="J106" s="15">
        <f t="shared" ca="1" si="21"/>
        <v>344</v>
      </c>
      <c r="K106" s="177">
        <f t="shared" si="56"/>
        <v>43938</v>
      </c>
      <c r="L106" s="177">
        <f t="shared" si="57"/>
        <v>44121</v>
      </c>
      <c r="M106" s="177"/>
      <c r="N106" s="177"/>
      <c r="O106" s="177"/>
      <c r="P106" s="177"/>
      <c r="Q106" s="177"/>
      <c r="R106" s="3" t="s">
        <v>178</v>
      </c>
      <c r="S106" s="13" t="s">
        <v>223</v>
      </c>
      <c r="T106" s="13"/>
      <c r="U106" s="5" t="s">
        <v>9</v>
      </c>
      <c r="V106" s="268"/>
      <c r="W106" s="5" t="s">
        <v>614</v>
      </c>
      <c r="X106" s="5" t="s">
        <v>480</v>
      </c>
      <c r="Y106" s="5" t="s">
        <v>103</v>
      </c>
      <c r="Z106" s="3" t="s">
        <v>188</v>
      </c>
      <c r="AA106" s="6" t="s">
        <v>218</v>
      </c>
      <c r="AB106" s="151" t="s">
        <v>197</v>
      </c>
      <c r="AC106" s="177" t="s">
        <v>6</v>
      </c>
      <c r="AD106" s="177" t="s">
        <v>6</v>
      </c>
      <c r="AE106" s="177" t="s">
        <v>6</v>
      </c>
      <c r="AF106" s="5"/>
      <c r="AG106" s="5"/>
      <c r="AH106" s="226"/>
      <c r="AI106" s="83"/>
      <c r="AJ106" s="83"/>
      <c r="AK106" s="237" t="e">
        <f>SUM(#REF!,BT106,BV106)</f>
        <v>#REF!</v>
      </c>
      <c r="AL106" s="52"/>
      <c r="AM106" s="52"/>
      <c r="AN106" s="52"/>
      <c r="AO106" s="52"/>
      <c r="AP106" s="52"/>
      <c r="AQ106" s="52"/>
      <c r="AR106" s="56">
        <v>29.452737101063164</v>
      </c>
      <c r="AS106" s="56"/>
      <c r="AT106" s="56">
        <v>0</v>
      </c>
      <c r="AU106" s="56"/>
      <c r="AV106" s="38">
        <v>56.65</v>
      </c>
      <c r="AW106" s="38">
        <v>0</v>
      </c>
      <c r="AX106" s="97">
        <f t="shared" si="24"/>
        <v>56.65</v>
      </c>
      <c r="AY106" s="169">
        <f t="shared" si="46"/>
        <v>0</v>
      </c>
      <c r="AZ106" s="196">
        <v>0</v>
      </c>
      <c r="BA106" s="170"/>
      <c r="BB106" s="196">
        <v>0</v>
      </c>
      <c r="BC106" s="170"/>
      <c r="BD106" s="196">
        <v>0</v>
      </c>
      <c r="BE106" s="170">
        <v>0</v>
      </c>
      <c r="BF106" s="196">
        <v>0</v>
      </c>
      <c r="BG106" s="170"/>
      <c r="BH106" s="196">
        <v>0</v>
      </c>
      <c r="BI106" s="170"/>
      <c r="BJ106" s="196">
        <v>0</v>
      </c>
      <c r="BK106" s="170"/>
      <c r="BL106" s="196"/>
      <c r="BM106" s="170"/>
      <c r="BN106" s="196"/>
      <c r="BO106" s="170"/>
      <c r="BP106" s="196"/>
      <c r="BQ106" s="170"/>
      <c r="BR106" s="196"/>
      <c r="BS106" s="170"/>
      <c r="BT106" s="196"/>
      <c r="BU106" s="170"/>
      <c r="BV106" s="196"/>
      <c r="BW106" s="251"/>
      <c r="BX106" s="254"/>
      <c r="BY106" s="88">
        <f t="shared" si="47"/>
        <v>0</v>
      </c>
      <c r="BZ106" s="212"/>
      <c r="CA106" s="212"/>
      <c r="CB106" s="212"/>
      <c r="CC106" s="212"/>
      <c r="CD106" s="212"/>
      <c r="CE106" s="212"/>
      <c r="CF106" s="212"/>
      <c r="CG106" s="212"/>
      <c r="CH106" s="212"/>
      <c r="CI106" s="212"/>
      <c r="CJ106" s="212"/>
      <c r="CK106" s="212"/>
      <c r="CL106" s="211">
        <f t="shared" si="49"/>
        <v>0</v>
      </c>
      <c r="CM106" s="212"/>
      <c r="CN106" s="212"/>
      <c r="CO106" s="212"/>
      <c r="CP106" s="212"/>
      <c r="CQ106" s="212"/>
      <c r="CR106" s="212"/>
      <c r="CS106" s="212"/>
      <c r="CT106" s="212"/>
      <c r="CU106" s="212"/>
      <c r="CV106" s="212"/>
      <c r="CW106" s="212"/>
      <c r="CX106" s="212"/>
      <c r="CY106" s="216">
        <f t="shared" si="26"/>
        <v>0</v>
      </c>
      <c r="CZ106" s="185">
        <f t="shared" si="48"/>
        <v>0</v>
      </c>
      <c r="DA106" s="217">
        <f t="shared" si="27"/>
        <v>0</v>
      </c>
      <c r="DB106" s="217">
        <f t="shared" si="28"/>
        <v>0</v>
      </c>
      <c r="DC106" s="217">
        <f t="shared" si="50"/>
        <v>0</v>
      </c>
      <c r="DD106" s="256">
        <v>0</v>
      </c>
      <c r="DE106" s="217">
        <f t="shared" si="51"/>
        <v>0</v>
      </c>
      <c r="DF106" s="185" t="e">
        <f>SUM(DN106:DO106)-SUM(#REF!,BV106)+BU106</f>
        <v>#REF!</v>
      </c>
      <c r="DG106" s="223"/>
      <c r="DH106" s="241">
        <f t="shared" si="52"/>
        <v>0</v>
      </c>
      <c r="DI106" s="241">
        <f t="shared" si="53"/>
        <v>0</v>
      </c>
      <c r="DJ106" s="241">
        <f t="shared" si="54"/>
        <v>0</v>
      </c>
      <c r="DK106" s="241" t="e">
        <f>SUM(BS106,#REF!,BV106)</f>
        <v>#REF!</v>
      </c>
      <c r="DL106" s="155">
        <v>56.65</v>
      </c>
      <c r="DM106" s="155">
        <v>55.890910000000005</v>
      </c>
      <c r="DN106" s="155">
        <v>0</v>
      </c>
      <c r="DO106" s="155">
        <v>0</v>
      </c>
      <c r="DP106" s="155">
        <v>55.890910000000005</v>
      </c>
      <c r="DQ106" s="155">
        <v>0.75909000000000004</v>
      </c>
      <c r="DS106" s="235">
        <f t="shared" si="55"/>
        <v>0</v>
      </c>
    </row>
    <row r="107" spans="1:123" s="23" customFormat="1" ht="24" customHeight="1">
      <c r="A107" s="18"/>
      <c r="B107" s="2">
        <v>63</v>
      </c>
      <c r="C107" s="85" t="s">
        <v>63</v>
      </c>
      <c r="D107" s="85"/>
      <c r="E107" s="85"/>
      <c r="F107" s="3">
        <v>2018</v>
      </c>
      <c r="G107" s="4">
        <v>43218</v>
      </c>
      <c r="H107" s="4">
        <v>43411</v>
      </c>
      <c r="I107" s="4">
        <v>44194</v>
      </c>
      <c r="J107" s="15">
        <f t="shared" ca="1" si="21"/>
        <v>783</v>
      </c>
      <c r="K107" s="177">
        <f t="shared" si="56"/>
        <v>43958</v>
      </c>
      <c r="L107" s="177">
        <f t="shared" si="57"/>
        <v>44141</v>
      </c>
      <c r="M107" s="177"/>
      <c r="N107" s="177"/>
      <c r="O107" s="177"/>
      <c r="P107" s="177"/>
      <c r="Q107" s="177"/>
      <c r="R107" s="3" t="s">
        <v>176</v>
      </c>
      <c r="S107" s="13" t="s">
        <v>222</v>
      </c>
      <c r="T107" s="48" t="s">
        <v>958</v>
      </c>
      <c r="U107" s="5" t="s">
        <v>9</v>
      </c>
      <c r="V107" s="268"/>
      <c r="W107" s="5" t="s">
        <v>614</v>
      </c>
      <c r="X107" s="5" t="s">
        <v>475</v>
      </c>
      <c r="Y107" s="5" t="s">
        <v>64</v>
      </c>
      <c r="Z107" s="3" t="s">
        <v>183</v>
      </c>
      <c r="AA107" s="6" t="s">
        <v>218</v>
      </c>
      <c r="AB107" s="151" t="s">
        <v>197</v>
      </c>
      <c r="AC107" s="177" t="s">
        <v>6</v>
      </c>
      <c r="AD107" s="177" t="s">
        <v>6</v>
      </c>
      <c r="AE107" s="177" t="s">
        <v>6</v>
      </c>
      <c r="AF107" s="5"/>
      <c r="AG107" s="5"/>
      <c r="AH107" s="226"/>
      <c r="AI107" s="83" t="s">
        <v>677</v>
      </c>
      <c r="AJ107" s="83"/>
      <c r="AK107" s="237" t="e">
        <f>SUM(#REF!,BT107,BV107)</f>
        <v>#REF!</v>
      </c>
      <c r="AL107" s="166"/>
      <c r="AM107" s="166"/>
      <c r="AN107" s="166"/>
      <c r="AO107" s="166"/>
      <c r="AP107" s="166"/>
      <c r="AQ107" s="166"/>
      <c r="AR107" s="56">
        <v>6188.7674221895677</v>
      </c>
      <c r="AS107" s="56">
        <v>403</v>
      </c>
      <c r="AT107" s="56">
        <v>671.83029999999997</v>
      </c>
      <c r="AU107" s="56">
        <v>5.3449499999999999</v>
      </c>
      <c r="AV107" s="38">
        <v>10188.98</v>
      </c>
      <c r="AW107" s="38">
        <v>1640.69</v>
      </c>
      <c r="AX107" s="97">
        <f t="shared" si="24"/>
        <v>11829.67</v>
      </c>
      <c r="AY107" s="169">
        <f t="shared" si="46"/>
        <v>31.987700000000004</v>
      </c>
      <c r="AZ107" s="196">
        <v>0</v>
      </c>
      <c r="BA107" s="170">
        <v>0.34494999999999992</v>
      </c>
      <c r="BB107" s="196">
        <v>5</v>
      </c>
      <c r="BC107" s="170">
        <v>31.642750000000003</v>
      </c>
      <c r="BD107" s="196">
        <v>0</v>
      </c>
      <c r="BE107" s="170">
        <v>0</v>
      </c>
      <c r="BF107" s="196">
        <v>0</v>
      </c>
      <c r="BG107" s="170"/>
      <c r="BH107" s="196">
        <v>0</v>
      </c>
      <c r="BI107" s="170"/>
      <c r="BJ107" s="196">
        <v>0</v>
      </c>
      <c r="BK107" s="170"/>
      <c r="BL107" s="196"/>
      <c r="BM107" s="170"/>
      <c r="BN107" s="196"/>
      <c r="BO107" s="170"/>
      <c r="BP107" s="196"/>
      <c r="BQ107" s="170"/>
      <c r="BR107" s="196"/>
      <c r="BS107" s="170"/>
      <c r="BT107" s="196"/>
      <c r="BU107" s="170"/>
      <c r="BV107" s="196"/>
      <c r="BW107" s="251"/>
      <c r="BX107" s="254"/>
      <c r="BY107" s="88">
        <f t="shared" si="47"/>
        <v>0</v>
      </c>
      <c r="BZ107" s="258"/>
      <c r="CA107" s="258"/>
      <c r="CB107" s="258"/>
      <c r="CC107" s="258"/>
      <c r="CD107" s="258"/>
      <c r="CE107" s="258"/>
      <c r="CF107" s="258"/>
      <c r="CG107" s="258"/>
      <c r="CH107" s="258"/>
      <c r="CI107" s="258"/>
      <c r="CJ107" s="258"/>
      <c r="CK107" s="258"/>
      <c r="CL107" s="211">
        <f t="shared" si="49"/>
        <v>0</v>
      </c>
      <c r="CM107" s="212"/>
      <c r="CN107" s="212"/>
      <c r="CO107" s="212"/>
      <c r="CP107" s="212"/>
      <c r="CQ107" s="212"/>
      <c r="CR107" s="212"/>
      <c r="CS107" s="212"/>
      <c r="CT107" s="212"/>
      <c r="CU107" s="212"/>
      <c r="CV107" s="212"/>
      <c r="CW107" s="212"/>
      <c r="CX107" s="212"/>
      <c r="CY107" s="216">
        <f t="shared" si="26"/>
        <v>0</v>
      </c>
      <c r="CZ107" s="185">
        <f t="shared" si="48"/>
        <v>0</v>
      </c>
      <c r="DA107" s="217">
        <f t="shared" si="27"/>
        <v>31.987700000000004</v>
      </c>
      <c r="DB107" s="217">
        <f t="shared" si="28"/>
        <v>0</v>
      </c>
      <c r="DC107" s="217">
        <f t="shared" si="50"/>
        <v>31.987700000000004</v>
      </c>
      <c r="DD107" s="256">
        <v>31.987700000000004</v>
      </c>
      <c r="DE107" s="217">
        <f t="shared" si="51"/>
        <v>0</v>
      </c>
      <c r="DF107" s="185" t="e">
        <f>SUM(DN107:DO107)-SUM(#REF!,BV107)+BU107</f>
        <v>#REF!</v>
      </c>
      <c r="DG107" s="223"/>
      <c r="DH107" s="241">
        <f t="shared" si="52"/>
        <v>31.987700000000004</v>
      </c>
      <c r="DI107" s="241">
        <f t="shared" si="53"/>
        <v>0</v>
      </c>
      <c r="DJ107" s="241">
        <f t="shared" si="54"/>
        <v>0</v>
      </c>
      <c r="DK107" s="241" t="e">
        <f>SUM(BS107,#REF!,BV107)</f>
        <v>#REF!</v>
      </c>
      <c r="DL107" s="155">
        <v>10218.982</v>
      </c>
      <c r="DM107" s="155">
        <v>6927.7916699999996</v>
      </c>
      <c r="DN107" s="155">
        <v>0</v>
      </c>
      <c r="DO107" s="155">
        <v>0</v>
      </c>
      <c r="DP107" s="155">
        <v>6927.7916699999996</v>
      </c>
      <c r="DQ107" s="155">
        <v>3291.1903299999999</v>
      </c>
      <c r="DR107" s="23">
        <f>VLOOKUP(C107,[6]Database!$B$143:$AD$521,29,FALSE)</f>
        <v>0</v>
      </c>
      <c r="DS107" s="235">
        <f t="shared" si="55"/>
        <v>0</v>
      </c>
    </row>
    <row r="108" spans="1:123" s="23" customFormat="1" ht="24" customHeight="1">
      <c r="A108" s="18"/>
      <c r="B108" s="2">
        <v>64</v>
      </c>
      <c r="C108" s="85" t="s">
        <v>106</v>
      </c>
      <c r="D108" s="85"/>
      <c r="E108" s="85" t="s">
        <v>995</v>
      </c>
      <c r="F108" s="3">
        <v>2018</v>
      </c>
      <c r="G108" s="4">
        <v>43181</v>
      </c>
      <c r="H108" s="4">
        <v>43329</v>
      </c>
      <c r="I108" s="4">
        <v>44194</v>
      </c>
      <c r="J108" s="15">
        <f t="shared" ca="1" si="21"/>
        <v>865</v>
      </c>
      <c r="K108" s="177">
        <f t="shared" si="56"/>
        <v>43876</v>
      </c>
      <c r="L108" s="177">
        <f t="shared" si="57"/>
        <v>44059</v>
      </c>
      <c r="M108" s="177"/>
      <c r="N108" s="177"/>
      <c r="O108" s="177"/>
      <c r="P108" s="177"/>
      <c r="Q108" s="177"/>
      <c r="R108" s="3" t="s">
        <v>179</v>
      </c>
      <c r="S108" s="13"/>
      <c r="T108" s="13"/>
      <c r="U108" s="5" t="s">
        <v>9</v>
      </c>
      <c r="V108" s="268">
        <v>1784196</v>
      </c>
      <c r="W108" s="5" t="s">
        <v>614</v>
      </c>
      <c r="X108" s="5" t="s">
        <v>483</v>
      </c>
      <c r="Y108" s="5" t="s">
        <v>107</v>
      </c>
      <c r="Z108" s="3" t="s">
        <v>188</v>
      </c>
      <c r="AA108" s="6" t="s">
        <v>218</v>
      </c>
      <c r="AB108" s="151" t="s">
        <v>197</v>
      </c>
      <c r="AC108" s="177" t="s">
        <v>6</v>
      </c>
      <c r="AD108" s="177" t="s">
        <v>6</v>
      </c>
      <c r="AE108" s="177" t="s">
        <v>6</v>
      </c>
      <c r="AF108" s="5" t="s">
        <v>1132</v>
      </c>
      <c r="AG108" s="5"/>
      <c r="AH108" s="226"/>
      <c r="AI108" s="83"/>
      <c r="AJ108" s="83"/>
      <c r="AK108" s="237" t="e">
        <f>SUM(#REF!,BT108,BV108)</f>
        <v>#REF!</v>
      </c>
      <c r="AL108" s="166"/>
      <c r="AM108" s="166"/>
      <c r="AN108" s="166"/>
      <c r="AO108" s="166"/>
      <c r="AP108" s="166"/>
      <c r="AQ108" s="166"/>
      <c r="AR108" s="56">
        <v>2414.5148795100281</v>
      </c>
      <c r="AS108" s="56">
        <v>150</v>
      </c>
      <c r="AT108" s="56">
        <v>104.82816999999999</v>
      </c>
      <c r="AU108" s="56">
        <v>-0.35293000000000063</v>
      </c>
      <c r="AV108" s="38">
        <v>5863</v>
      </c>
      <c r="AW108" s="38">
        <v>194.6</v>
      </c>
      <c r="AX108" s="97">
        <f t="shared" si="24"/>
        <v>6057.6</v>
      </c>
      <c r="AY108" s="169">
        <f t="shared" si="46"/>
        <v>-0.75345000000000084</v>
      </c>
      <c r="AZ108" s="196">
        <v>0</v>
      </c>
      <c r="BA108" s="170">
        <v>-5.3529300000000006</v>
      </c>
      <c r="BB108" s="196">
        <v>5</v>
      </c>
      <c r="BC108" s="170">
        <v>4.5994799999999998</v>
      </c>
      <c r="BD108" s="196">
        <v>0</v>
      </c>
      <c r="BE108" s="170">
        <v>0</v>
      </c>
      <c r="BF108" s="196">
        <v>0</v>
      </c>
      <c r="BG108" s="170"/>
      <c r="BH108" s="196">
        <v>0</v>
      </c>
      <c r="BI108" s="170"/>
      <c r="BJ108" s="196">
        <v>0</v>
      </c>
      <c r="BK108" s="170"/>
      <c r="BL108" s="196"/>
      <c r="BM108" s="170"/>
      <c r="BN108" s="196"/>
      <c r="BO108" s="170"/>
      <c r="BP108" s="196"/>
      <c r="BQ108" s="170"/>
      <c r="BR108" s="196"/>
      <c r="BS108" s="170"/>
      <c r="BT108" s="196"/>
      <c r="BU108" s="170"/>
      <c r="BV108" s="196"/>
      <c r="BW108" s="251"/>
      <c r="BX108" s="254"/>
      <c r="BY108" s="88">
        <f t="shared" si="47"/>
        <v>0</v>
      </c>
      <c r="BZ108" s="214"/>
      <c r="CA108" s="214"/>
      <c r="CB108" s="214"/>
      <c r="CC108" s="214"/>
      <c r="CD108" s="214"/>
      <c r="CE108" s="214"/>
      <c r="CF108" s="214"/>
      <c r="CG108" s="214"/>
      <c r="CH108" s="214"/>
      <c r="CI108" s="214"/>
      <c r="CJ108" s="214"/>
      <c r="CK108" s="214"/>
      <c r="CL108" s="211">
        <f t="shared" si="49"/>
        <v>0</v>
      </c>
      <c r="CM108" s="212"/>
      <c r="CN108" s="212"/>
      <c r="CO108" s="212"/>
      <c r="CP108" s="212"/>
      <c r="CQ108" s="212"/>
      <c r="CR108" s="212"/>
      <c r="CS108" s="212"/>
      <c r="CT108" s="212"/>
      <c r="CU108" s="212"/>
      <c r="CV108" s="212"/>
      <c r="CW108" s="212"/>
      <c r="CX108" s="212"/>
      <c r="CY108" s="216">
        <f t="shared" si="26"/>
        <v>0</v>
      </c>
      <c r="CZ108" s="185">
        <f t="shared" si="48"/>
        <v>0</v>
      </c>
      <c r="DA108" s="217">
        <f t="shared" si="27"/>
        <v>-0.75345000000000084</v>
      </c>
      <c r="DB108" s="217">
        <f t="shared" si="28"/>
        <v>0</v>
      </c>
      <c r="DC108" s="217">
        <f t="shared" si="50"/>
        <v>-0.75345000000000084</v>
      </c>
      <c r="DD108" s="256">
        <v>-0.75345000000000084</v>
      </c>
      <c r="DE108" s="217">
        <f t="shared" si="51"/>
        <v>0</v>
      </c>
      <c r="DF108" s="185" t="e">
        <f>SUM(DN108:DO108)-SUM(#REF!,BV108)+BU108</f>
        <v>#REF!</v>
      </c>
      <c r="DG108" s="223"/>
      <c r="DH108" s="241">
        <f t="shared" si="52"/>
        <v>-0.75345000000000084</v>
      </c>
      <c r="DI108" s="241">
        <f t="shared" si="53"/>
        <v>0</v>
      </c>
      <c r="DJ108" s="241">
        <f t="shared" si="54"/>
        <v>0</v>
      </c>
      <c r="DK108" s="241" t="e">
        <f>SUM(BS108,#REF!,BV108)</f>
        <v>#REF!</v>
      </c>
      <c r="DL108" s="155">
        <v>5863</v>
      </c>
      <c r="DM108" s="155">
        <v>5094.01865</v>
      </c>
      <c r="DN108" s="155">
        <v>0</v>
      </c>
      <c r="DO108" s="155">
        <v>0</v>
      </c>
      <c r="DP108" s="155">
        <v>5094.01865</v>
      </c>
      <c r="DQ108" s="155">
        <v>768.98135000000002</v>
      </c>
      <c r="DR108" s="23">
        <f>VLOOKUP(C108,[6]Database!$B$143:$AD$521,29,FALSE)</f>
        <v>0</v>
      </c>
      <c r="DS108" s="235">
        <f t="shared" si="55"/>
        <v>0</v>
      </c>
    </row>
    <row r="109" spans="1:123" s="23" customFormat="1" ht="24" customHeight="1">
      <c r="A109" s="18"/>
      <c r="B109" s="2">
        <v>65</v>
      </c>
      <c r="C109" s="85" t="s">
        <v>104</v>
      </c>
      <c r="D109" s="85"/>
      <c r="E109" s="85" t="s">
        <v>909</v>
      </c>
      <c r="F109" s="3">
        <v>2018</v>
      </c>
      <c r="G109" s="4">
        <v>43199</v>
      </c>
      <c r="H109" s="4">
        <v>43199</v>
      </c>
      <c r="I109" s="4">
        <v>43549</v>
      </c>
      <c r="J109" s="15">
        <f t="shared" ca="1" si="21"/>
        <v>350</v>
      </c>
      <c r="K109" s="177">
        <f t="shared" si="56"/>
        <v>43746</v>
      </c>
      <c r="L109" s="177">
        <f t="shared" si="57"/>
        <v>43929</v>
      </c>
      <c r="M109" s="177"/>
      <c r="N109" s="177"/>
      <c r="O109" s="177"/>
      <c r="P109" s="177"/>
      <c r="Q109" s="177"/>
      <c r="R109" s="3" t="s">
        <v>176</v>
      </c>
      <c r="S109" s="13" t="s">
        <v>223</v>
      </c>
      <c r="T109" s="13"/>
      <c r="U109" s="5" t="s">
        <v>9</v>
      </c>
      <c r="V109" s="268"/>
      <c r="W109" s="5" t="s">
        <v>614</v>
      </c>
      <c r="X109" s="5" t="s">
        <v>480</v>
      </c>
      <c r="Y109" s="5" t="s">
        <v>105</v>
      </c>
      <c r="Z109" s="85" t="s">
        <v>316</v>
      </c>
      <c r="AA109" s="6" t="s">
        <v>218</v>
      </c>
      <c r="AB109" s="151" t="s">
        <v>197</v>
      </c>
      <c r="AC109" s="177" t="s">
        <v>6</v>
      </c>
      <c r="AD109" s="177" t="s">
        <v>6</v>
      </c>
      <c r="AE109" s="177" t="s">
        <v>6</v>
      </c>
      <c r="AF109" s="5"/>
      <c r="AG109" s="5"/>
      <c r="AH109" s="226"/>
      <c r="AI109" s="83"/>
      <c r="AJ109" s="83"/>
      <c r="AK109" s="237" t="e">
        <f>SUM(#REF!,BT109,BV109)</f>
        <v>#REF!</v>
      </c>
      <c r="AL109" s="52"/>
      <c r="AM109" s="52"/>
      <c r="AN109" s="52"/>
      <c r="AO109" s="52"/>
      <c r="AP109" s="52"/>
      <c r="AQ109" s="52"/>
      <c r="AR109" s="56">
        <v>1.2499999999999998</v>
      </c>
      <c r="AS109" s="56"/>
      <c r="AT109" s="56">
        <v>0</v>
      </c>
      <c r="AU109" s="56"/>
      <c r="AV109" s="38">
        <v>211.8</v>
      </c>
      <c r="AW109" s="38">
        <v>0</v>
      </c>
      <c r="AX109" s="97">
        <f t="shared" si="24"/>
        <v>211.8</v>
      </c>
      <c r="AY109" s="169">
        <f t="shared" si="46"/>
        <v>0</v>
      </c>
      <c r="AZ109" s="196">
        <v>0</v>
      </c>
      <c r="BA109" s="170"/>
      <c r="BB109" s="196">
        <v>0</v>
      </c>
      <c r="BC109" s="170"/>
      <c r="BD109" s="196">
        <v>0</v>
      </c>
      <c r="BE109" s="170">
        <v>0</v>
      </c>
      <c r="BF109" s="196">
        <v>0</v>
      </c>
      <c r="BG109" s="170"/>
      <c r="BH109" s="196">
        <v>0</v>
      </c>
      <c r="BI109" s="170"/>
      <c r="BJ109" s="196">
        <v>0</v>
      </c>
      <c r="BK109" s="170"/>
      <c r="BL109" s="196"/>
      <c r="BM109" s="170"/>
      <c r="BN109" s="196"/>
      <c r="BO109" s="170"/>
      <c r="BP109" s="196"/>
      <c r="BQ109" s="170"/>
      <c r="BR109" s="196"/>
      <c r="BS109" s="170"/>
      <c r="BT109" s="196"/>
      <c r="BU109" s="170"/>
      <c r="BV109" s="196"/>
      <c r="BW109" s="251"/>
      <c r="BX109" s="254"/>
      <c r="BY109" s="88">
        <f t="shared" si="47"/>
        <v>0</v>
      </c>
      <c r="BZ109" s="258"/>
      <c r="CA109" s="258"/>
      <c r="CB109" s="258"/>
      <c r="CC109" s="258"/>
      <c r="CD109" s="258"/>
      <c r="CE109" s="258"/>
      <c r="CF109" s="258"/>
      <c r="CG109" s="258"/>
      <c r="CH109" s="258"/>
      <c r="CI109" s="258"/>
      <c r="CJ109" s="258"/>
      <c r="CK109" s="258"/>
      <c r="CL109" s="211">
        <f t="shared" si="49"/>
        <v>0</v>
      </c>
      <c r="CM109" s="212"/>
      <c r="CN109" s="212"/>
      <c r="CO109" s="212"/>
      <c r="CP109" s="212"/>
      <c r="CQ109" s="212"/>
      <c r="CR109" s="212"/>
      <c r="CS109" s="212"/>
      <c r="CT109" s="212"/>
      <c r="CU109" s="212"/>
      <c r="CV109" s="212"/>
      <c r="CW109" s="212"/>
      <c r="CX109" s="212"/>
      <c r="CY109" s="216">
        <f t="shared" si="26"/>
        <v>0</v>
      </c>
      <c r="CZ109" s="185">
        <f t="shared" si="48"/>
        <v>0</v>
      </c>
      <c r="DA109" s="217">
        <f t="shared" si="27"/>
        <v>0</v>
      </c>
      <c r="DB109" s="217">
        <f t="shared" si="28"/>
        <v>0</v>
      </c>
      <c r="DC109" s="217">
        <f t="shared" si="50"/>
        <v>0</v>
      </c>
      <c r="DD109" s="256">
        <v>0</v>
      </c>
      <c r="DE109" s="217">
        <f t="shared" si="51"/>
        <v>0</v>
      </c>
      <c r="DF109" s="185" t="e">
        <f>SUM(DN109:DO109)-SUM(#REF!,BV109)+BU109</f>
        <v>#REF!</v>
      </c>
      <c r="DG109" s="223"/>
      <c r="DH109" s="241">
        <f t="shared" si="52"/>
        <v>0</v>
      </c>
      <c r="DI109" s="241">
        <f t="shared" si="53"/>
        <v>0</v>
      </c>
      <c r="DJ109" s="241">
        <f t="shared" si="54"/>
        <v>0</v>
      </c>
      <c r="DK109" s="241" t="e">
        <f>SUM(BS109,#REF!,BV109)</f>
        <v>#REF!</v>
      </c>
      <c r="DL109" s="155">
        <v>211.8</v>
      </c>
      <c r="DM109" s="155">
        <v>186.17610000000002</v>
      </c>
      <c r="DN109" s="155">
        <v>0</v>
      </c>
      <c r="DO109" s="155">
        <v>0</v>
      </c>
      <c r="DP109" s="155">
        <v>186.17610000000002</v>
      </c>
      <c r="DQ109" s="155">
        <v>25.623900000000003</v>
      </c>
      <c r="DS109" s="235">
        <f t="shared" si="55"/>
        <v>0</v>
      </c>
    </row>
    <row r="110" spans="1:123" s="23" customFormat="1" ht="24" customHeight="1">
      <c r="A110" s="18"/>
      <c r="B110" s="2">
        <v>66</v>
      </c>
      <c r="C110" s="85" t="s">
        <v>110</v>
      </c>
      <c r="D110" s="85"/>
      <c r="E110" s="85" t="s">
        <v>910</v>
      </c>
      <c r="F110" s="3">
        <v>2018</v>
      </c>
      <c r="G110" s="4">
        <v>43257</v>
      </c>
      <c r="H110" s="4">
        <v>43257</v>
      </c>
      <c r="I110" s="4">
        <v>43671</v>
      </c>
      <c r="J110" s="15">
        <f t="shared" ref="J110:J173" ca="1" si="58">IF(H110="","",IF(I110&lt;&gt;"",I110-H110,EDATE(H110,18)-NOW()))</f>
        <v>414</v>
      </c>
      <c r="K110" s="177">
        <f t="shared" si="56"/>
        <v>43804</v>
      </c>
      <c r="L110" s="177">
        <f t="shared" si="57"/>
        <v>43987</v>
      </c>
      <c r="M110" s="177"/>
      <c r="N110" s="177"/>
      <c r="O110" s="177"/>
      <c r="P110" s="177"/>
      <c r="Q110" s="177"/>
      <c r="R110" s="3" t="s">
        <v>176</v>
      </c>
      <c r="S110" s="13" t="s">
        <v>222</v>
      </c>
      <c r="T110" s="13"/>
      <c r="U110" s="5" t="s">
        <v>9</v>
      </c>
      <c r="V110" s="268"/>
      <c r="W110" s="5" t="s">
        <v>614</v>
      </c>
      <c r="X110" s="5" t="s">
        <v>478</v>
      </c>
      <c r="Y110" s="5" t="s">
        <v>111</v>
      </c>
      <c r="Z110" s="3" t="s">
        <v>189</v>
      </c>
      <c r="AA110" s="6" t="s">
        <v>218</v>
      </c>
      <c r="AB110" s="151" t="s">
        <v>197</v>
      </c>
      <c r="AC110" s="177" t="s">
        <v>6</v>
      </c>
      <c r="AD110" s="177" t="s">
        <v>6</v>
      </c>
      <c r="AE110" s="177" t="s">
        <v>6</v>
      </c>
      <c r="AF110" s="5"/>
      <c r="AG110" s="5"/>
      <c r="AH110" s="226"/>
      <c r="AI110" s="83"/>
      <c r="AJ110" s="83"/>
      <c r="AK110" s="237" t="e">
        <f>SUM(#REF!,BT110,BV110)</f>
        <v>#REF!</v>
      </c>
      <c r="AL110" s="52"/>
      <c r="AM110" s="52"/>
      <c r="AN110" s="52"/>
      <c r="AO110" s="52"/>
      <c r="AP110" s="52"/>
      <c r="AQ110" s="52"/>
      <c r="AR110" s="56">
        <v>36.744589999999995</v>
      </c>
      <c r="AS110" s="56"/>
      <c r="AT110" s="56">
        <v>0</v>
      </c>
      <c r="AU110" s="56"/>
      <c r="AV110" s="38">
        <v>114.11</v>
      </c>
      <c r="AW110" s="38">
        <v>0</v>
      </c>
      <c r="AX110" s="97">
        <f t="shared" si="24"/>
        <v>114.11</v>
      </c>
      <c r="AY110" s="169">
        <f t="shared" si="46"/>
        <v>0</v>
      </c>
      <c r="AZ110" s="196">
        <v>0</v>
      </c>
      <c r="BA110" s="170"/>
      <c r="BB110" s="196">
        <v>0</v>
      </c>
      <c r="BC110" s="170"/>
      <c r="BD110" s="196">
        <v>0</v>
      </c>
      <c r="BE110" s="170">
        <v>0</v>
      </c>
      <c r="BF110" s="196">
        <v>0</v>
      </c>
      <c r="BG110" s="170"/>
      <c r="BH110" s="196">
        <v>0</v>
      </c>
      <c r="BI110" s="170"/>
      <c r="BJ110" s="196">
        <v>0</v>
      </c>
      <c r="BK110" s="170"/>
      <c r="BL110" s="196"/>
      <c r="BM110" s="170"/>
      <c r="BN110" s="196"/>
      <c r="BO110" s="170"/>
      <c r="BP110" s="196"/>
      <c r="BQ110" s="170"/>
      <c r="BR110" s="196"/>
      <c r="BS110" s="170"/>
      <c r="BT110" s="196"/>
      <c r="BU110" s="170"/>
      <c r="BV110" s="196"/>
      <c r="BW110" s="251"/>
      <c r="BX110" s="254"/>
      <c r="BY110" s="88">
        <f t="shared" si="47"/>
        <v>0</v>
      </c>
      <c r="BZ110" s="258"/>
      <c r="CA110" s="258"/>
      <c r="CB110" s="258"/>
      <c r="CC110" s="258"/>
      <c r="CD110" s="258"/>
      <c r="CE110" s="258"/>
      <c r="CF110" s="258"/>
      <c r="CG110" s="258"/>
      <c r="CH110" s="258"/>
      <c r="CI110" s="258"/>
      <c r="CJ110" s="258"/>
      <c r="CK110" s="258"/>
      <c r="CL110" s="211">
        <f t="shared" si="49"/>
        <v>0</v>
      </c>
      <c r="CM110" s="212"/>
      <c r="CN110" s="212"/>
      <c r="CO110" s="212"/>
      <c r="CP110" s="212"/>
      <c r="CQ110" s="212"/>
      <c r="CR110" s="212"/>
      <c r="CS110" s="212"/>
      <c r="CT110" s="212"/>
      <c r="CU110" s="212"/>
      <c r="CV110" s="212"/>
      <c r="CW110" s="212"/>
      <c r="CX110" s="212"/>
      <c r="CY110" s="216">
        <f t="shared" si="26"/>
        <v>0</v>
      </c>
      <c r="CZ110" s="185">
        <f t="shared" si="48"/>
        <v>0</v>
      </c>
      <c r="DA110" s="217">
        <f t="shared" si="27"/>
        <v>0</v>
      </c>
      <c r="DB110" s="217">
        <f t="shared" si="28"/>
        <v>0</v>
      </c>
      <c r="DC110" s="217">
        <f t="shared" si="50"/>
        <v>0</v>
      </c>
      <c r="DD110" s="256">
        <v>0</v>
      </c>
      <c r="DE110" s="217">
        <f t="shared" si="51"/>
        <v>0</v>
      </c>
      <c r="DF110" s="185" t="e">
        <f>SUM(DN110:DO110)-SUM(#REF!,BV110)+BU110</f>
        <v>#REF!</v>
      </c>
      <c r="DG110" s="223"/>
      <c r="DH110" s="241">
        <f t="shared" si="52"/>
        <v>0</v>
      </c>
      <c r="DI110" s="241">
        <f t="shared" si="53"/>
        <v>0</v>
      </c>
      <c r="DJ110" s="241">
        <f t="shared" si="54"/>
        <v>0</v>
      </c>
      <c r="DK110" s="241" t="e">
        <f>SUM(BS110,#REF!,BV110)</f>
        <v>#REF!</v>
      </c>
      <c r="DL110" s="155">
        <v>114.114</v>
      </c>
      <c r="DM110" s="155">
        <v>95.81644</v>
      </c>
      <c r="DN110" s="155">
        <v>0</v>
      </c>
      <c r="DO110" s="155">
        <v>0</v>
      </c>
      <c r="DP110" s="155">
        <v>95.81644</v>
      </c>
      <c r="DQ110" s="155">
        <v>18.297560000000001</v>
      </c>
      <c r="DS110" s="235">
        <f t="shared" si="55"/>
        <v>0</v>
      </c>
    </row>
    <row r="111" spans="1:123" s="23" customFormat="1" ht="24" customHeight="1">
      <c r="A111" s="18"/>
      <c r="B111" s="2">
        <v>67</v>
      </c>
      <c r="C111" s="85" t="s">
        <v>95</v>
      </c>
      <c r="D111" s="85"/>
      <c r="E111" s="85" t="s">
        <v>911</v>
      </c>
      <c r="F111" s="3">
        <v>2018</v>
      </c>
      <c r="G111" s="4">
        <v>43390</v>
      </c>
      <c r="H111" s="4">
        <v>43390</v>
      </c>
      <c r="I111" s="4">
        <v>43703</v>
      </c>
      <c r="J111" s="15">
        <f t="shared" ca="1" si="58"/>
        <v>313</v>
      </c>
      <c r="K111" s="177">
        <f t="shared" si="56"/>
        <v>43937</v>
      </c>
      <c r="L111" s="177">
        <f t="shared" si="57"/>
        <v>44120</v>
      </c>
      <c r="M111" s="177"/>
      <c r="N111" s="177"/>
      <c r="O111" s="177"/>
      <c r="P111" s="177"/>
      <c r="Q111" s="177"/>
      <c r="R111" s="3" t="s">
        <v>177</v>
      </c>
      <c r="S111" s="13" t="s">
        <v>223</v>
      </c>
      <c r="T111" s="13"/>
      <c r="U111" s="5" t="s">
        <v>9</v>
      </c>
      <c r="V111" s="268"/>
      <c r="W111" s="5" t="s">
        <v>614</v>
      </c>
      <c r="X111" s="5" t="s">
        <v>476</v>
      </c>
      <c r="Y111" s="5" t="s">
        <v>96</v>
      </c>
      <c r="Z111" s="3" t="s">
        <v>181</v>
      </c>
      <c r="AA111" s="6" t="s">
        <v>218</v>
      </c>
      <c r="AB111" s="151" t="s">
        <v>197</v>
      </c>
      <c r="AC111" s="177" t="s">
        <v>6</v>
      </c>
      <c r="AD111" s="177" t="s">
        <v>6</v>
      </c>
      <c r="AE111" s="177" t="s">
        <v>6</v>
      </c>
      <c r="AF111" s="5"/>
      <c r="AG111" s="5"/>
      <c r="AH111" s="226"/>
      <c r="AI111" s="83"/>
      <c r="AJ111" s="83"/>
      <c r="AK111" s="237" t="e">
        <f>SUM(#REF!,BT111,BV111)</f>
        <v>#REF!</v>
      </c>
      <c r="AL111" s="52"/>
      <c r="AM111" s="52"/>
      <c r="AN111" s="52"/>
      <c r="AO111" s="52"/>
      <c r="AP111" s="52"/>
      <c r="AQ111" s="52"/>
      <c r="AR111" s="56">
        <v>80.38149614993543</v>
      </c>
      <c r="AS111" s="56">
        <v>0</v>
      </c>
      <c r="AT111" s="56">
        <v>1.49E-3</v>
      </c>
      <c r="AU111" s="56"/>
      <c r="AV111" s="38">
        <v>211.9</v>
      </c>
      <c r="AW111" s="38">
        <v>12.96</v>
      </c>
      <c r="AX111" s="97">
        <f t="shared" ref="AX111:AX174" si="59">AW111+AV111</f>
        <v>224.86</v>
      </c>
      <c r="AY111" s="169">
        <f t="shared" si="46"/>
        <v>0</v>
      </c>
      <c r="AZ111" s="196">
        <v>0</v>
      </c>
      <c r="BA111" s="170"/>
      <c r="BB111" s="196">
        <v>0</v>
      </c>
      <c r="BC111" s="170"/>
      <c r="BD111" s="196">
        <v>0</v>
      </c>
      <c r="BE111" s="170">
        <v>0</v>
      </c>
      <c r="BF111" s="196">
        <v>0</v>
      </c>
      <c r="BG111" s="170"/>
      <c r="BH111" s="196">
        <v>0</v>
      </c>
      <c r="BI111" s="170"/>
      <c r="BJ111" s="196">
        <v>0</v>
      </c>
      <c r="BK111" s="170"/>
      <c r="BL111" s="196"/>
      <c r="BM111" s="170"/>
      <c r="BN111" s="196"/>
      <c r="BO111" s="170"/>
      <c r="BP111" s="196"/>
      <c r="BQ111" s="170"/>
      <c r="BR111" s="196"/>
      <c r="BS111" s="170"/>
      <c r="BT111" s="196"/>
      <c r="BU111" s="170"/>
      <c r="BV111" s="196"/>
      <c r="BW111" s="251"/>
      <c r="BX111" s="254"/>
      <c r="BY111" s="88">
        <f t="shared" si="47"/>
        <v>0</v>
      </c>
      <c r="BZ111" s="214"/>
      <c r="CA111" s="214"/>
      <c r="CB111" s="214"/>
      <c r="CC111" s="214"/>
      <c r="CD111" s="214"/>
      <c r="CE111" s="214"/>
      <c r="CF111" s="214"/>
      <c r="CG111" s="214"/>
      <c r="CH111" s="214"/>
      <c r="CI111" s="214"/>
      <c r="CJ111" s="214"/>
      <c r="CK111" s="214"/>
      <c r="CL111" s="211">
        <f t="shared" si="49"/>
        <v>0</v>
      </c>
      <c r="CM111" s="212"/>
      <c r="CN111" s="212"/>
      <c r="CO111" s="212"/>
      <c r="CP111" s="212"/>
      <c r="CQ111" s="212"/>
      <c r="CR111" s="212"/>
      <c r="CS111" s="212"/>
      <c r="CT111" s="212"/>
      <c r="CU111" s="212"/>
      <c r="CV111" s="212"/>
      <c r="CW111" s="212"/>
      <c r="CX111" s="212"/>
      <c r="CY111" s="216">
        <f t="shared" ref="CY111:CY174" si="60">BV111-BX111</f>
        <v>0</v>
      </c>
      <c r="CZ111" s="185">
        <f t="shared" si="48"/>
        <v>0</v>
      </c>
      <c r="DA111" s="217">
        <f t="shared" ref="DA111:DA174" si="61">SUM(BA111,BC111,BE111,BG111,BI111,BK111,BM111,BO111,BQ111,BS111,BU111)</f>
        <v>0</v>
      </c>
      <c r="DB111" s="217">
        <f t="shared" ref="DB111:DB174" si="62">SUM(BX111)</f>
        <v>0</v>
      </c>
      <c r="DC111" s="217">
        <f t="shared" si="50"/>
        <v>0</v>
      </c>
      <c r="DD111" s="256">
        <v>0</v>
      </c>
      <c r="DE111" s="217">
        <f t="shared" si="51"/>
        <v>0</v>
      </c>
      <c r="DF111" s="185" t="e">
        <f>SUM(DN111:DO111)-SUM(#REF!,BV111)+BU111</f>
        <v>#REF!</v>
      </c>
      <c r="DG111" s="223"/>
      <c r="DH111" s="241">
        <f t="shared" si="52"/>
        <v>0</v>
      </c>
      <c r="DI111" s="241">
        <f t="shared" si="53"/>
        <v>0</v>
      </c>
      <c r="DJ111" s="241">
        <f t="shared" si="54"/>
        <v>0</v>
      </c>
      <c r="DK111" s="241" t="e">
        <f>SUM(BS111,#REF!,BV111)</f>
        <v>#REF!</v>
      </c>
      <c r="DL111" s="155">
        <v>211.9</v>
      </c>
      <c r="DM111" s="155">
        <v>203.58141000000001</v>
      </c>
      <c r="DN111" s="155">
        <v>0</v>
      </c>
      <c r="DO111" s="155">
        <v>0</v>
      </c>
      <c r="DP111" s="155">
        <v>203.58141000000001</v>
      </c>
      <c r="DQ111" s="155">
        <v>8.3185900000000004</v>
      </c>
      <c r="DS111" s="235">
        <f t="shared" si="55"/>
        <v>0</v>
      </c>
    </row>
    <row r="112" spans="1:123" s="23" customFormat="1" ht="24" customHeight="1">
      <c r="A112" s="18"/>
      <c r="B112" s="2">
        <v>68</v>
      </c>
      <c r="C112" s="85" t="s">
        <v>79</v>
      </c>
      <c r="D112" s="85"/>
      <c r="E112" s="85" t="s">
        <v>890</v>
      </c>
      <c r="F112" s="3">
        <v>2018</v>
      </c>
      <c r="G112" s="4">
        <v>43277</v>
      </c>
      <c r="H112" s="187">
        <v>43277</v>
      </c>
      <c r="I112" s="4">
        <v>44375</v>
      </c>
      <c r="J112" s="15">
        <f t="shared" ca="1" si="58"/>
        <v>1098</v>
      </c>
      <c r="K112" s="177">
        <f t="shared" si="56"/>
        <v>43824</v>
      </c>
      <c r="L112" s="177">
        <f t="shared" si="57"/>
        <v>44007</v>
      </c>
      <c r="M112" s="177"/>
      <c r="N112" s="177"/>
      <c r="O112" s="177"/>
      <c r="P112" s="177"/>
      <c r="Q112" s="177"/>
      <c r="R112" s="3" t="s">
        <v>176</v>
      </c>
      <c r="S112" s="13" t="s">
        <v>5</v>
      </c>
      <c r="T112" s="13" t="s">
        <v>952</v>
      </c>
      <c r="U112" s="5" t="s">
        <v>9</v>
      </c>
      <c r="V112" s="268"/>
      <c r="W112" s="5" t="s">
        <v>614</v>
      </c>
      <c r="X112" s="5" t="s">
        <v>478</v>
      </c>
      <c r="Y112" s="5" t="s">
        <v>80</v>
      </c>
      <c r="Z112" s="85" t="s">
        <v>316</v>
      </c>
      <c r="AA112" s="6" t="s">
        <v>218</v>
      </c>
      <c r="AB112" s="151" t="s">
        <v>197</v>
      </c>
      <c r="AC112" s="177" t="s">
        <v>6</v>
      </c>
      <c r="AD112" s="177" t="s">
        <v>6</v>
      </c>
      <c r="AE112" s="177" t="s">
        <v>6</v>
      </c>
      <c r="AF112" s="5" t="s">
        <v>1132</v>
      </c>
      <c r="AG112" s="5"/>
      <c r="AH112" s="227"/>
      <c r="AI112" s="83"/>
      <c r="AJ112" s="83"/>
      <c r="AK112" s="237" t="e">
        <f>SUM(#REF!,BT112,BV112)</f>
        <v>#REF!</v>
      </c>
      <c r="AL112" s="166"/>
      <c r="AM112" s="166"/>
      <c r="AN112" s="166"/>
      <c r="AO112" s="166"/>
      <c r="AP112" s="166"/>
      <c r="AQ112" s="166"/>
      <c r="AR112" s="56">
        <v>71.908068172110077</v>
      </c>
      <c r="AS112" s="56">
        <v>19.5</v>
      </c>
      <c r="AT112" s="56">
        <v>9.8375799999999991</v>
      </c>
      <c r="AU112" s="56">
        <v>50</v>
      </c>
      <c r="AV112" s="38">
        <f>247+49</f>
        <v>296</v>
      </c>
      <c r="AW112" s="38">
        <v>5</v>
      </c>
      <c r="AX112" s="97">
        <f t="shared" si="59"/>
        <v>301</v>
      </c>
      <c r="AY112" s="169">
        <f t="shared" si="46"/>
        <v>24.617419999999999</v>
      </c>
      <c r="AZ112" s="196">
        <v>15</v>
      </c>
      <c r="BA112" s="170">
        <v>0</v>
      </c>
      <c r="BB112" s="196">
        <v>15</v>
      </c>
      <c r="BC112" s="170">
        <v>8.2248000000000001</v>
      </c>
      <c r="BD112" s="196">
        <v>1.5</v>
      </c>
      <c r="BE112" s="170">
        <v>2.92218</v>
      </c>
      <c r="BF112" s="196">
        <v>3.5</v>
      </c>
      <c r="BG112" s="170">
        <v>0.92998999999999998</v>
      </c>
      <c r="BH112" s="196">
        <v>5.5</v>
      </c>
      <c r="BI112" s="170">
        <v>5.4010200000000008</v>
      </c>
      <c r="BJ112" s="196">
        <v>7</v>
      </c>
      <c r="BK112" s="170">
        <v>7.1394299999999999</v>
      </c>
      <c r="BL112" s="196"/>
      <c r="BM112" s="170"/>
      <c r="BN112" s="196"/>
      <c r="BO112" s="170"/>
      <c r="BP112" s="196"/>
      <c r="BQ112" s="170"/>
      <c r="BR112" s="196"/>
      <c r="BS112" s="170"/>
      <c r="BT112" s="196"/>
      <c r="BU112" s="170"/>
      <c r="BV112" s="196"/>
      <c r="BW112" s="251"/>
      <c r="BX112" s="254"/>
      <c r="BY112" s="88">
        <f t="shared" si="47"/>
        <v>0</v>
      </c>
      <c r="BZ112" s="258"/>
      <c r="CA112" s="258"/>
      <c r="CB112" s="258"/>
      <c r="CC112" s="258"/>
      <c r="CD112" s="258"/>
      <c r="CE112" s="258"/>
      <c r="CF112" s="258"/>
      <c r="CG112" s="258"/>
      <c r="CH112" s="258"/>
      <c r="CI112" s="258"/>
      <c r="CJ112" s="258"/>
      <c r="CK112" s="258"/>
      <c r="CL112" s="211">
        <f t="shared" si="49"/>
        <v>0</v>
      </c>
      <c r="CM112" s="212"/>
      <c r="CN112" s="212"/>
      <c r="CO112" s="212"/>
      <c r="CP112" s="212"/>
      <c r="CQ112" s="212"/>
      <c r="CR112" s="212"/>
      <c r="CS112" s="212"/>
      <c r="CT112" s="212"/>
      <c r="CU112" s="212"/>
      <c r="CV112" s="212"/>
      <c r="CW112" s="212"/>
      <c r="CX112" s="212"/>
      <c r="CY112" s="216">
        <f t="shared" si="60"/>
        <v>0</v>
      </c>
      <c r="CZ112" s="185">
        <f t="shared" si="48"/>
        <v>0</v>
      </c>
      <c r="DA112" s="217">
        <f t="shared" si="61"/>
        <v>24.617419999999999</v>
      </c>
      <c r="DB112" s="217">
        <f t="shared" si="62"/>
        <v>0</v>
      </c>
      <c r="DC112" s="217">
        <f t="shared" si="50"/>
        <v>24.617419999999999</v>
      </c>
      <c r="DD112" s="256">
        <v>24.617419999999999</v>
      </c>
      <c r="DE112" s="217">
        <f t="shared" si="51"/>
        <v>0</v>
      </c>
      <c r="DF112" s="185" t="e">
        <f>SUM(DN112:DO112)-SUM(#REF!,BV112)+BU112</f>
        <v>#REF!</v>
      </c>
      <c r="DG112" s="223"/>
      <c r="DH112" s="241">
        <f t="shared" si="52"/>
        <v>11.146979999999999</v>
      </c>
      <c r="DI112" s="241">
        <f t="shared" si="53"/>
        <v>13.47044</v>
      </c>
      <c r="DJ112" s="241">
        <f t="shared" si="54"/>
        <v>0</v>
      </c>
      <c r="DK112" s="241" t="e">
        <f>SUM(BS112,#REF!,BV112)</f>
        <v>#REF!</v>
      </c>
      <c r="DL112" s="155">
        <v>296</v>
      </c>
      <c r="DM112" s="155">
        <v>259.93617999999998</v>
      </c>
      <c r="DN112" s="155">
        <v>0</v>
      </c>
      <c r="DO112" s="155">
        <v>0</v>
      </c>
      <c r="DP112" s="155">
        <v>259.93617999999998</v>
      </c>
      <c r="DQ112" s="155">
        <v>36.06382</v>
      </c>
      <c r="DR112" s="23">
        <f>VLOOKUP(C112,[6]Database!$B$143:$AD$521,29,FALSE)</f>
        <v>0</v>
      </c>
      <c r="DS112" s="235">
        <f t="shared" si="55"/>
        <v>0</v>
      </c>
    </row>
    <row r="113" spans="1:123" s="23" customFormat="1" ht="24" customHeight="1">
      <c r="A113" s="18"/>
      <c r="B113" s="2">
        <v>69</v>
      </c>
      <c r="C113" s="85" t="s">
        <v>112</v>
      </c>
      <c r="D113" s="85"/>
      <c r="E113" s="85" t="s">
        <v>912</v>
      </c>
      <c r="F113" s="3">
        <v>2018</v>
      </c>
      <c r="G113" s="4">
        <v>43251</v>
      </c>
      <c r="H113" s="4">
        <v>43251</v>
      </c>
      <c r="I113" s="4">
        <v>43887</v>
      </c>
      <c r="J113" s="15">
        <f t="shared" ca="1" si="58"/>
        <v>636</v>
      </c>
      <c r="K113" s="177">
        <f t="shared" si="56"/>
        <v>43798</v>
      </c>
      <c r="L113" s="177">
        <f t="shared" si="57"/>
        <v>43981</v>
      </c>
      <c r="M113" s="177"/>
      <c r="N113" s="177"/>
      <c r="O113" s="177"/>
      <c r="P113" s="177"/>
      <c r="Q113" s="177"/>
      <c r="R113" s="3" t="s">
        <v>176</v>
      </c>
      <c r="S113" s="13" t="s">
        <v>5</v>
      </c>
      <c r="T113" s="13"/>
      <c r="U113" s="5" t="s">
        <v>9</v>
      </c>
      <c r="V113" s="268"/>
      <c r="W113" s="5" t="s">
        <v>614</v>
      </c>
      <c r="X113" s="5" t="s">
        <v>478</v>
      </c>
      <c r="Y113" s="5" t="s">
        <v>113</v>
      </c>
      <c r="Z113" s="3" t="s">
        <v>181</v>
      </c>
      <c r="AA113" s="6" t="s">
        <v>218</v>
      </c>
      <c r="AB113" s="151" t="s">
        <v>197</v>
      </c>
      <c r="AC113" s="177" t="s">
        <v>6</v>
      </c>
      <c r="AD113" s="177" t="s">
        <v>6</v>
      </c>
      <c r="AE113" s="177" t="s">
        <v>6</v>
      </c>
      <c r="AF113" s="5"/>
      <c r="AG113" s="5"/>
      <c r="AH113" s="227"/>
      <c r="AI113" s="83"/>
      <c r="AJ113" s="83"/>
      <c r="AK113" s="237" t="e">
        <f>SUM(#REF!,BT113,BV113)</f>
        <v>#REF!</v>
      </c>
      <c r="AL113" s="52"/>
      <c r="AM113" s="52"/>
      <c r="AN113" s="52"/>
      <c r="AO113" s="52"/>
      <c r="AP113" s="52"/>
      <c r="AQ113" s="52"/>
      <c r="AR113" s="56">
        <v>41.285357932312024</v>
      </c>
      <c r="AS113" s="56">
        <v>25.246929999999999</v>
      </c>
      <c r="AT113" s="56">
        <v>19.769860000000001</v>
      </c>
      <c r="AU113" s="56"/>
      <c r="AV113" s="38">
        <v>275.95999999999998</v>
      </c>
      <c r="AW113" s="38">
        <v>7</v>
      </c>
      <c r="AX113" s="97">
        <f t="shared" si="59"/>
        <v>282.95999999999998</v>
      </c>
      <c r="AY113" s="169">
        <f t="shared" si="46"/>
        <v>0</v>
      </c>
      <c r="AZ113" s="196">
        <v>0</v>
      </c>
      <c r="BA113" s="170"/>
      <c r="BB113" s="196">
        <v>0</v>
      </c>
      <c r="BC113" s="170"/>
      <c r="BD113" s="196">
        <v>0</v>
      </c>
      <c r="BE113" s="170">
        <v>0</v>
      </c>
      <c r="BF113" s="196">
        <v>0</v>
      </c>
      <c r="BG113" s="170"/>
      <c r="BH113" s="196">
        <v>0</v>
      </c>
      <c r="BI113" s="170"/>
      <c r="BJ113" s="196">
        <v>0</v>
      </c>
      <c r="BK113" s="170"/>
      <c r="BL113" s="196"/>
      <c r="BM113" s="170"/>
      <c r="BN113" s="196"/>
      <c r="BO113" s="170"/>
      <c r="BP113" s="196"/>
      <c r="BQ113" s="170"/>
      <c r="BR113" s="196"/>
      <c r="BS113" s="170"/>
      <c r="BT113" s="196"/>
      <c r="BU113" s="170"/>
      <c r="BV113" s="196"/>
      <c r="BW113" s="251"/>
      <c r="BX113" s="254"/>
      <c r="BY113" s="88">
        <f t="shared" si="47"/>
        <v>0</v>
      </c>
      <c r="BZ113" s="258"/>
      <c r="CA113" s="258"/>
      <c r="CB113" s="258"/>
      <c r="CC113" s="258"/>
      <c r="CD113" s="258"/>
      <c r="CE113" s="258"/>
      <c r="CF113" s="258"/>
      <c r="CG113" s="258"/>
      <c r="CH113" s="258"/>
      <c r="CI113" s="258"/>
      <c r="CJ113" s="258"/>
      <c r="CK113" s="258"/>
      <c r="CL113" s="211">
        <f t="shared" si="49"/>
        <v>0</v>
      </c>
      <c r="CM113" s="212"/>
      <c r="CN113" s="212"/>
      <c r="CO113" s="212"/>
      <c r="CP113" s="212"/>
      <c r="CQ113" s="212"/>
      <c r="CR113" s="212"/>
      <c r="CS113" s="212"/>
      <c r="CT113" s="212"/>
      <c r="CU113" s="212"/>
      <c r="CV113" s="212"/>
      <c r="CW113" s="212"/>
      <c r="CX113" s="212"/>
      <c r="CY113" s="216">
        <f t="shared" si="60"/>
        <v>0</v>
      </c>
      <c r="CZ113" s="185">
        <f t="shared" si="48"/>
        <v>0</v>
      </c>
      <c r="DA113" s="217">
        <f t="shared" si="61"/>
        <v>0</v>
      </c>
      <c r="DB113" s="217">
        <f t="shared" si="62"/>
        <v>0</v>
      </c>
      <c r="DC113" s="217">
        <f t="shared" si="50"/>
        <v>0</v>
      </c>
      <c r="DD113" s="256">
        <v>0</v>
      </c>
      <c r="DE113" s="217">
        <f t="shared" si="51"/>
        <v>0</v>
      </c>
      <c r="DF113" s="185" t="e">
        <f>SUM(DN113:DO113)-SUM(#REF!,BV113)+BU113</f>
        <v>#REF!</v>
      </c>
      <c r="DG113" s="223"/>
      <c r="DH113" s="241">
        <f t="shared" si="52"/>
        <v>0</v>
      </c>
      <c r="DI113" s="241">
        <f t="shared" si="53"/>
        <v>0</v>
      </c>
      <c r="DJ113" s="241">
        <f t="shared" si="54"/>
        <v>0</v>
      </c>
      <c r="DK113" s="241" t="e">
        <f>SUM(BS113,#REF!,BV113)</f>
        <v>#REF!</v>
      </c>
      <c r="DL113" s="155">
        <v>275.95600000000002</v>
      </c>
      <c r="DM113" s="155">
        <v>255.62375</v>
      </c>
      <c r="DN113" s="155">
        <v>0</v>
      </c>
      <c r="DO113" s="155">
        <v>0</v>
      </c>
      <c r="DP113" s="155">
        <v>255.62375</v>
      </c>
      <c r="DQ113" s="155">
        <v>20.332249999999998</v>
      </c>
      <c r="DS113" s="235">
        <f t="shared" si="55"/>
        <v>0</v>
      </c>
    </row>
    <row r="114" spans="1:123" s="23" customFormat="1" ht="24" customHeight="1">
      <c r="A114" s="18"/>
      <c r="B114" s="2">
        <v>70</v>
      </c>
      <c r="C114" s="85" t="s">
        <v>97</v>
      </c>
      <c r="D114" s="85"/>
      <c r="E114" s="85"/>
      <c r="F114" s="3">
        <v>2018</v>
      </c>
      <c r="G114" s="4">
        <v>43300</v>
      </c>
      <c r="H114" s="4">
        <v>43300</v>
      </c>
      <c r="I114" s="4">
        <v>43588</v>
      </c>
      <c r="J114" s="15">
        <f t="shared" ca="1" si="58"/>
        <v>288</v>
      </c>
      <c r="K114" s="177">
        <f t="shared" si="56"/>
        <v>43847</v>
      </c>
      <c r="L114" s="177">
        <f t="shared" si="57"/>
        <v>44030</v>
      </c>
      <c r="M114" s="177"/>
      <c r="N114" s="177"/>
      <c r="O114" s="177"/>
      <c r="P114" s="183"/>
      <c r="Q114" s="177"/>
      <c r="R114" s="3" t="s">
        <v>177</v>
      </c>
      <c r="S114" s="13" t="s">
        <v>223</v>
      </c>
      <c r="T114" s="13"/>
      <c r="U114" s="5" t="s">
        <v>9</v>
      </c>
      <c r="V114" s="268"/>
      <c r="W114" s="5" t="s">
        <v>614</v>
      </c>
      <c r="X114" s="5" t="s">
        <v>476</v>
      </c>
      <c r="Y114" s="5" t="s">
        <v>98</v>
      </c>
      <c r="Z114" s="3" t="s">
        <v>181</v>
      </c>
      <c r="AA114" s="6" t="s">
        <v>218</v>
      </c>
      <c r="AB114" s="151" t="s">
        <v>197</v>
      </c>
      <c r="AC114" s="177" t="s">
        <v>6</v>
      </c>
      <c r="AD114" s="177" t="s">
        <v>6</v>
      </c>
      <c r="AE114" s="177" t="s">
        <v>6</v>
      </c>
      <c r="AF114" s="5"/>
      <c r="AG114" s="5"/>
      <c r="AH114" s="227"/>
      <c r="AI114" s="83"/>
      <c r="AJ114" s="83"/>
      <c r="AK114" s="237" t="e">
        <f>SUM(#REF!,BT114,BV114)</f>
        <v>#REF!</v>
      </c>
      <c r="AL114" s="52"/>
      <c r="AM114" s="52"/>
      <c r="AN114" s="52"/>
      <c r="AO114" s="52"/>
      <c r="AP114" s="52"/>
      <c r="AQ114" s="52"/>
      <c r="AR114" s="56">
        <v>-1.3</v>
      </c>
      <c r="AS114" s="56"/>
      <c r="AT114" s="56">
        <v>0</v>
      </c>
      <c r="AU114" s="56"/>
      <c r="AV114" s="38">
        <v>75</v>
      </c>
      <c r="AW114" s="38">
        <v>0</v>
      </c>
      <c r="AX114" s="97">
        <f t="shared" si="59"/>
        <v>75</v>
      </c>
      <c r="AY114" s="169">
        <f t="shared" si="46"/>
        <v>0</v>
      </c>
      <c r="AZ114" s="196">
        <v>0</v>
      </c>
      <c r="BA114" s="170"/>
      <c r="BB114" s="196">
        <v>0</v>
      </c>
      <c r="BC114" s="170"/>
      <c r="BD114" s="196">
        <v>0</v>
      </c>
      <c r="BE114" s="170">
        <v>0</v>
      </c>
      <c r="BF114" s="196">
        <v>0</v>
      </c>
      <c r="BG114" s="170"/>
      <c r="BH114" s="196">
        <v>0</v>
      </c>
      <c r="BI114" s="170"/>
      <c r="BJ114" s="196">
        <v>0</v>
      </c>
      <c r="BK114" s="170"/>
      <c r="BL114" s="196"/>
      <c r="BM114" s="170"/>
      <c r="BN114" s="196"/>
      <c r="BO114" s="170"/>
      <c r="BP114" s="196"/>
      <c r="BQ114" s="170"/>
      <c r="BR114" s="196"/>
      <c r="BS114" s="170"/>
      <c r="BT114" s="196"/>
      <c r="BU114" s="170"/>
      <c r="BV114" s="196"/>
      <c r="BW114" s="251"/>
      <c r="BX114" s="254"/>
      <c r="BY114" s="88">
        <f t="shared" si="47"/>
        <v>0</v>
      </c>
      <c r="BZ114" s="214"/>
      <c r="CA114" s="214"/>
      <c r="CB114" s="214"/>
      <c r="CC114" s="214"/>
      <c r="CD114" s="214"/>
      <c r="CE114" s="214"/>
      <c r="CF114" s="214"/>
      <c r="CG114" s="214"/>
      <c r="CH114" s="214"/>
      <c r="CI114" s="214"/>
      <c r="CJ114" s="214"/>
      <c r="CK114" s="214"/>
      <c r="CL114" s="211">
        <f t="shared" si="49"/>
        <v>0</v>
      </c>
      <c r="CM114" s="212"/>
      <c r="CN114" s="212"/>
      <c r="CO114" s="212"/>
      <c r="CP114" s="212"/>
      <c r="CQ114" s="212"/>
      <c r="CR114" s="212"/>
      <c r="CS114" s="212"/>
      <c r="CT114" s="212"/>
      <c r="CU114" s="212"/>
      <c r="CV114" s="212"/>
      <c r="CW114" s="212"/>
      <c r="CX114" s="212"/>
      <c r="CY114" s="216">
        <f t="shared" si="60"/>
        <v>0</v>
      </c>
      <c r="CZ114" s="185">
        <f t="shared" si="48"/>
        <v>0</v>
      </c>
      <c r="DA114" s="217">
        <f t="shared" si="61"/>
        <v>0</v>
      </c>
      <c r="DB114" s="217">
        <f t="shared" si="62"/>
        <v>0</v>
      </c>
      <c r="DC114" s="217">
        <f t="shared" si="50"/>
        <v>0</v>
      </c>
      <c r="DD114" s="256">
        <v>0</v>
      </c>
      <c r="DE114" s="217">
        <f t="shared" si="51"/>
        <v>0</v>
      </c>
      <c r="DF114" s="185" t="e">
        <f>SUM(DN114:DO114)-SUM(#REF!,BV114)+BU114</f>
        <v>#REF!</v>
      </c>
      <c r="DG114" s="223"/>
      <c r="DH114" s="241">
        <f t="shared" si="52"/>
        <v>0</v>
      </c>
      <c r="DI114" s="241">
        <f t="shared" si="53"/>
        <v>0</v>
      </c>
      <c r="DJ114" s="241">
        <f t="shared" si="54"/>
        <v>0</v>
      </c>
      <c r="DK114" s="241" t="e">
        <f>SUM(BS114,#REF!,BV114)</f>
        <v>#REF!</v>
      </c>
      <c r="DL114" s="155">
        <v>75</v>
      </c>
      <c r="DM114" s="155">
        <v>66.357460000000003</v>
      </c>
      <c r="DN114" s="155">
        <v>0</v>
      </c>
      <c r="DO114" s="155">
        <v>0</v>
      </c>
      <c r="DP114" s="155">
        <v>66.357460000000003</v>
      </c>
      <c r="DQ114" s="155">
        <v>8.6425400000000003</v>
      </c>
      <c r="DS114" s="235">
        <f t="shared" si="55"/>
        <v>0</v>
      </c>
    </row>
    <row r="115" spans="1:123" s="23" customFormat="1" ht="24" customHeight="1">
      <c r="A115" s="18"/>
      <c r="B115" s="2">
        <v>71</v>
      </c>
      <c r="C115" s="85" t="s">
        <v>67</v>
      </c>
      <c r="D115" s="85"/>
      <c r="E115" s="85"/>
      <c r="F115" s="3">
        <v>2018</v>
      </c>
      <c r="G115" s="4">
        <v>43238</v>
      </c>
      <c r="H115" s="4">
        <v>43238</v>
      </c>
      <c r="I115" s="4">
        <v>43871</v>
      </c>
      <c r="J115" s="15">
        <f t="shared" ca="1" si="58"/>
        <v>633</v>
      </c>
      <c r="K115" s="177">
        <f t="shared" si="56"/>
        <v>43785</v>
      </c>
      <c r="L115" s="177">
        <f t="shared" si="57"/>
        <v>43968</v>
      </c>
      <c r="M115" s="177"/>
      <c r="N115" s="177"/>
      <c r="O115" s="177"/>
      <c r="P115" s="177"/>
      <c r="Q115" s="177"/>
      <c r="R115" s="3" t="s">
        <v>176</v>
      </c>
      <c r="S115" s="13" t="s">
        <v>224</v>
      </c>
      <c r="T115" s="13"/>
      <c r="U115" s="5" t="s">
        <v>9</v>
      </c>
      <c r="V115" s="268"/>
      <c r="W115" s="5" t="s">
        <v>614</v>
      </c>
      <c r="X115" s="5" t="s">
        <v>481</v>
      </c>
      <c r="Y115" s="5" t="s">
        <v>68</v>
      </c>
      <c r="Z115" s="3" t="s">
        <v>185</v>
      </c>
      <c r="AA115" s="6" t="s">
        <v>218</v>
      </c>
      <c r="AB115" s="151" t="s">
        <v>197</v>
      </c>
      <c r="AC115" s="177" t="s">
        <v>6</v>
      </c>
      <c r="AD115" s="177" t="s">
        <v>6</v>
      </c>
      <c r="AE115" s="177" t="s">
        <v>6</v>
      </c>
      <c r="AF115" s="5"/>
      <c r="AG115" s="5"/>
      <c r="AH115" s="227"/>
      <c r="AI115" s="83"/>
      <c r="AJ115" s="83"/>
      <c r="AK115" s="237" t="e">
        <f>SUM(#REF!,BT115,BV115)</f>
        <v>#REF!</v>
      </c>
      <c r="AL115" s="52"/>
      <c r="AM115" s="52"/>
      <c r="AN115" s="52"/>
      <c r="AO115" s="52"/>
      <c r="AP115" s="52"/>
      <c r="AQ115" s="52"/>
      <c r="AR115" s="56">
        <v>100.7238212826081</v>
      </c>
      <c r="AS115" s="56"/>
      <c r="AT115" s="56">
        <v>0</v>
      </c>
      <c r="AU115" s="56"/>
      <c r="AV115" s="38">
        <v>116.58</v>
      </c>
      <c r="AW115" s="38">
        <v>3</v>
      </c>
      <c r="AX115" s="97">
        <f t="shared" si="59"/>
        <v>119.58</v>
      </c>
      <c r="AY115" s="169">
        <f t="shared" si="46"/>
        <v>0</v>
      </c>
      <c r="AZ115" s="196">
        <v>0</v>
      </c>
      <c r="BA115" s="170"/>
      <c r="BB115" s="196">
        <v>0</v>
      </c>
      <c r="BC115" s="170"/>
      <c r="BD115" s="196">
        <v>0</v>
      </c>
      <c r="BE115" s="170">
        <v>0</v>
      </c>
      <c r="BF115" s="196">
        <v>0</v>
      </c>
      <c r="BG115" s="170"/>
      <c r="BH115" s="196">
        <v>0</v>
      </c>
      <c r="BI115" s="170"/>
      <c r="BJ115" s="196">
        <v>0</v>
      </c>
      <c r="BK115" s="170"/>
      <c r="BL115" s="196"/>
      <c r="BM115" s="170"/>
      <c r="BN115" s="196"/>
      <c r="BO115" s="170"/>
      <c r="BP115" s="196"/>
      <c r="BQ115" s="170"/>
      <c r="BR115" s="196"/>
      <c r="BS115" s="170"/>
      <c r="BT115" s="196"/>
      <c r="BU115" s="170"/>
      <c r="BV115" s="196"/>
      <c r="BW115" s="251"/>
      <c r="BX115" s="254"/>
      <c r="BY115" s="88">
        <f t="shared" si="47"/>
        <v>0</v>
      </c>
      <c r="BZ115" s="258"/>
      <c r="CA115" s="258"/>
      <c r="CB115" s="258"/>
      <c r="CC115" s="258"/>
      <c r="CD115" s="258"/>
      <c r="CE115" s="258"/>
      <c r="CF115" s="258"/>
      <c r="CG115" s="258"/>
      <c r="CH115" s="258"/>
      <c r="CI115" s="258"/>
      <c r="CJ115" s="258"/>
      <c r="CK115" s="258"/>
      <c r="CL115" s="211">
        <f t="shared" si="49"/>
        <v>0</v>
      </c>
      <c r="CM115" s="212"/>
      <c r="CN115" s="212"/>
      <c r="CO115" s="212"/>
      <c r="CP115" s="212"/>
      <c r="CQ115" s="212"/>
      <c r="CR115" s="212"/>
      <c r="CS115" s="212"/>
      <c r="CT115" s="212"/>
      <c r="CU115" s="212"/>
      <c r="CV115" s="212"/>
      <c r="CW115" s="212"/>
      <c r="CX115" s="212"/>
      <c r="CY115" s="216">
        <f t="shared" si="60"/>
        <v>0</v>
      </c>
      <c r="CZ115" s="185">
        <f t="shared" si="48"/>
        <v>0</v>
      </c>
      <c r="DA115" s="217">
        <f t="shared" si="61"/>
        <v>0</v>
      </c>
      <c r="DB115" s="217">
        <f t="shared" si="62"/>
        <v>0</v>
      </c>
      <c r="DC115" s="217">
        <f t="shared" si="50"/>
        <v>0</v>
      </c>
      <c r="DD115" s="256">
        <v>0</v>
      </c>
      <c r="DE115" s="217">
        <f t="shared" si="51"/>
        <v>0</v>
      </c>
      <c r="DF115" s="185" t="e">
        <f>SUM(DN115:DO115)-SUM(#REF!,BV115)+BU115</f>
        <v>#REF!</v>
      </c>
      <c r="DG115" s="223"/>
      <c r="DH115" s="241">
        <f t="shared" si="52"/>
        <v>0</v>
      </c>
      <c r="DI115" s="241">
        <f t="shared" si="53"/>
        <v>0</v>
      </c>
      <c r="DJ115" s="241">
        <f t="shared" si="54"/>
        <v>0</v>
      </c>
      <c r="DK115" s="241" t="e">
        <f>SUM(BS115,#REF!,BV115)</f>
        <v>#REF!</v>
      </c>
      <c r="DL115" s="155">
        <v>116.58</v>
      </c>
      <c r="DM115" s="155">
        <v>103.48542999999999</v>
      </c>
      <c r="DN115" s="155">
        <v>0</v>
      </c>
      <c r="DO115" s="155">
        <v>0</v>
      </c>
      <c r="DP115" s="155">
        <v>103.48542999999999</v>
      </c>
      <c r="DQ115" s="155">
        <v>13.094569999999999</v>
      </c>
      <c r="DS115" s="235">
        <f t="shared" si="55"/>
        <v>0</v>
      </c>
    </row>
    <row r="116" spans="1:123" s="23" customFormat="1" ht="24" customHeight="1">
      <c r="A116" s="18"/>
      <c r="B116" s="2">
        <v>72</v>
      </c>
      <c r="C116" s="85" t="s">
        <v>93</v>
      </c>
      <c r="D116" s="85"/>
      <c r="E116" s="85" t="s">
        <v>913</v>
      </c>
      <c r="F116" s="3">
        <v>2018</v>
      </c>
      <c r="G116" s="4">
        <v>43293</v>
      </c>
      <c r="H116" s="4">
        <v>43293</v>
      </c>
      <c r="I116" s="4">
        <v>43777</v>
      </c>
      <c r="J116" s="15">
        <f t="shared" ca="1" si="58"/>
        <v>484</v>
      </c>
      <c r="K116" s="177">
        <f t="shared" si="56"/>
        <v>43840</v>
      </c>
      <c r="L116" s="177">
        <f t="shared" si="57"/>
        <v>44023</v>
      </c>
      <c r="M116" s="177"/>
      <c r="N116" s="177"/>
      <c r="O116" s="177"/>
      <c r="P116" s="177"/>
      <c r="Q116" s="177"/>
      <c r="R116" s="3" t="s">
        <v>177</v>
      </c>
      <c r="S116" s="13" t="s">
        <v>223</v>
      </c>
      <c r="T116" s="13"/>
      <c r="U116" s="5" t="s">
        <v>9</v>
      </c>
      <c r="V116" s="268"/>
      <c r="W116" s="5" t="s">
        <v>614</v>
      </c>
      <c r="X116" s="5" t="s">
        <v>476</v>
      </c>
      <c r="Y116" s="5" t="s">
        <v>94</v>
      </c>
      <c r="Z116" s="3" t="s">
        <v>186</v>
      </c>
      <c r="AA116" s="6" t="s">
        <v>218</v>
      </c>
      <c r="AB116" s="151" t="s">
        <v>197</v>
      </c>
      <c r="AC116" s="177" t="s">
        <v>6</v>
      </c>
      <c r="AD116" s="177" t="s">
        <v>6</v>
      </c>
      <c r="AE116" s="177" t="s">
        <v>6</v>
      </c>
      <c r="AF116" s="5"/>
      <c r="AG116" s="5"/>
      <c r="AH116" s="227"/>
      <c r="AI116" s="83"/>
      <c r="AJ116" s="83"/>
      <c r="AK116" s="237" t="e">
        <f>SUM(#REF!,BT116,BV116)</f>
        <v>#REF!</v>
      </c>
      <c r="AL116" s="166"/>
      <c r="AM116" s="166"/>
      <c r="AN116" s="166"/>
      <c r="AO116" s="166"/>
      <c r="AP116" s="166"/>
      <c r="AQ116" s="166"/>
      <c r="AR116" s="56">
        <v>27.903765605009657</v>
      </c>
      <c r="AS116" s="56">
        <v>0</v>
      </c>
      <c r="AT116" s="56">
        <v>0</v>
      </c>
      <c r="AU116" s="56"/>
      <c r="AV116" s="38">
        <v>99.1</v>
      </c>
      <c r="AW116" s="38">
        <v>3.4</v>
      </c>
      <c r="AX116" s="97">
        <f t="shared" si="59"/>
        <v>102.5</v>
      </c>
      <c r="AY116" s="169">
        <f t="shared" si="46"/>
        <v>0</v>
      </c>
      <c r="AZ116" s="196">
        <v>0</v>
      </c>
      <c r="BA116" s="170"/>
      <c r="BB116" s="196">
        <v>0</v>
      </c>
      <c r="BC116" s="170"/>
      <c r="BD116" s="196">
        <v>0</v>
      </c>
      <c r="BE116" s="170">
        <v>0</v>
      </c>
      <c r="BF116" s="196">
        <v>0</v>
      </c>
      <c r="BG116" s="170"/>
      <c r="BH116" s="196">
        <v>0</v>
      </c>
      <c r="BI116" s="170"/>
      <c r="BJ116" s="196">
        <v>0</v>
      </c>
      <c r="BK116" s="170"/>
      <c r="BL116" s="196"/>
      <c r="BM116" s="170"/>
      <c r="BN116" s="196"/>
      <c r="BO116" s="170"/>
      <c r="BP116" s="196"/>
      <c r="BQ116" s="170"/>
      <c r="BR116" s="196"/>
      <c r="BS116" s="170"/>
      <c r="BT116" s="196"/>
      <c r="BU116" s="170"/>
      <c r="BV116" s="196"/>
      <c r="BW116" s="251"/>
      <c r="BX116" s="254"/>
      <c r="BY116" s="88">
        <f t="shared" si="47"/>
        <v>0</v>
      </c>
      <c r="BZ116" s="214"/>
      <c r="CA116" s="214"/>
      <c r="CB116" s="214"/>
      <c r="CC116" s="214"/>
      <c r="CD116" s="214"/>
      <c r="CE116" s="214"/>
      <c r="CF116" s="214"/>
      <c r="CG116" s="214"/>
      <c r="CH116" s="214"/>
      <c r="CI116" s="214"/>
      <c r="CJ116" s="214"/>
      <c r="CK116" s="214"/>
      <c r="CL116" s="211">
        <f t="shared" si="49"/>
        <v>0</v>
      </c>
      <c r="CM116" s="212"/>
      <c r="CN116" s="212"/>
      <c r="CO116" s="212"/>
      <c r="CP116" s="212"/>
      <c r="CQ116" s="212"/>
      <c r="CR116" s="212"/>
      <c r="CS116" s="212"/>
      <c r="CT116" s="212"/>
      <c r="CU116" s="212"/>
      <c r="CV116" s="212"/>
      <c r="CW116" s="212"/>
      <c r="CX116" s="212"/>
      <c r="CY116" s="216">
        <f t="shared" si="60"/>
        <v>0</v>
      </c>
      <c r="CZ116" s="185">
        <f t="shared" si="48"/>
        <v>0</v>
      </c>
      <c r="DA116" s="217">
        <f t="shared" si="61"/>
        <v>0</v>
      </c>
      <c r="DB116" s="217">
        <f t="shared" si="62"/>
        <v>0</v>
      </c>
      <c r="DC116" s="217">
        <f t="shared" si="50"/>
        <v>0</v>
      </c>
      <c r="DD116" s="256">
        <v>0</v>
      </c>
      <c r="DE116" s="217">
        <f t="shared" si="51"/>
        <v>0</v>
      </c>
      <c r="DF116" s="185" t="e">
        <f>SUM(DN116:DO116)-SUM(#REF!,BV116)+BU116</f>
        <v>#REF!</v>
      </c>
      <c r="DG116" s="223"/>
      <c r="DH116" s="241">
        <f t="shared" si="52"/>
        <v>0</v>
      </c>
      <c r="DI116" s="241">
        <f t="shared" si="53"/>
        <v>0</v>
      </c>
      <c r="DJ116" s="241">
        <f t="shared" si="54"/>
        <v>0</v>
      </c>
      <c r="DK116" s="241" t="e">
        <f>SUM(BS116,#REF!,BV116)</f>
        <v>#REF!</v>
      </c>
      <c r="DL116" s="155">
        <v>99.1</v>
      </c>
      <c r="DM116" s="155">
        <v>91.053139999999999</v>
      </c>
      <c r="DN116" s="155">
        <v>0</v>
      </c>
      <c r="DO116" s="155">
        <v>0</v>
      </c>
      <c r="DP116" s="155">
        <v>91.053139999999999</v>
      </c>
      <c r="DQ116" s="155">
        <v>8.0468599999999988</v>
      </c>
      <c r="DS116" s="235">
        <f t="shared" si="55"/>
        <v>0</v>
      </c>
    </row>
    <row r="117" spans="1:123" s="23" customFormat="1" ht="24" customHeight="1">
      <c r="A117" s="18"/>
      <c r="B117" s="2">
        <v>73</v>
      </c>
      <c r="C117" s="85" t="s">
        <v>100</v>
      </c>
      <c r="D117" s="85"/>
      <c r="E117" s="85" t="s">
        <v>914</v>
      </c>
      <c r="F117" s="3">
        <v>2018</v>
      </c>
      <c r="G117" s="4">
        <v>43214</v>
      </c>
      <c r="H117" s="4">
        <v>43398</v>
      </c>
      <c r="I117" s="4">
        <v>43710</v>
      </c>
      <c r="J117" s="15">
        <f t="shared" ca="1" si="58"/>
        <v>312</v>
      </c>
      <c r="K117" s="177">
        <f t="shared" si="56"/>
        <v>43945</v>
      </c>
      <c r="L117" s="177">
        <f t="shared" si="57"/>
        <v>44128</v>
      </c>
      <c r="M117" s="177"/>
      <c r="N117" s="177"/>
      <c r="O117" s="177"/>
      <c r="P117" s="177"/>
      <c r="Q117" s="177"/>
      <c r="R117" s="3" t="s">
        <v>178</v>
      </c>
      <c r="S117" s="13" t="s">
        <v>223</v>
      </c>
      <c r="T117" s="13"/>
      <c r="U117" s="5" t="s">
        <v>9</v>
      </c>
      <c r="V117" s="268"/>
      <c r="W117" s="5" t="s">
        <v>614</v>
      </c>
      <c r="X117" s="5" t="s">
        <v>480</v>
      </c>
      <c r="Y117" s="5" t="s">
        <v>101</v>
      </c>
      <c r="Z117" s="3" t="s">
        <v>188</v>
      </c>
      <c r="AA117" s="6" t="s">
        <v>218</v>
      </c>
      <c r="AB117" s="151" t="s">
        <v>197</v>
      </c>
      <c r="AC117" s="177" t="s">
        <v>6</v>
      </c>
      <c r="AD117" s="177" t="s">
        <v>6</v>
      </c>
      <c r="AE117" s="177" t="s">
        <v>6</v>
      </c>
      <c r="AF117" s="5"/>
      <c r="AG117" s="5"/>
      <c r="AH117" s="227"/>
      <c r="AI117" s="83"/>
      <c r="AJ117" s="83"/>
      <c r="AK117" s="237" t="e">
        <f>SUM(#REF!,BT117,BV117)</f>
        <v>#REF!</v>
      </c>
      <c r="AL117" s="52"/>
      <c r="AM117" s="52"/>
      <c r="AN117" s="52"/>
      <c r="AO117" s="52"/>
      <c r="AP117" s="52"/>
      <c r="AQ117" s="52"/>
      <c r="AR117" s="56">
        <v>69.169354645568532</v>
      </c>
      <c r="AS117" s="56"/>
      <c r="AT117" s="56">
        <v>0</v>
      </c>
      <c r="AU117" s="56"/>
      <c r="AV117" s="38">
        <v>111.75</v>
      </c>
      <c r="AW117" s="38">
        <v>0</v>
      </c>
      <c r="AX117" s="97">
        <f t="shared" si="59"/>
        <v>111.75</v>
      </c>
      <c r="AY117" s="169">
        <f t="shared" si="46"/>
        <v>0</v>
      </c>
      <c r="AZ117" s="196">
        <v>0</v>
      </c>
      <c r="BA117" s="170"/>
      <c r="BB117" s="196">
        <v>0</v>
      </c>
      <c r="BC117" s="170"/>
      <c r="BD117" s="196">
        <v>0</v>
      </c>
      <c r="BE117" s="170">
        <v>0</v>
      </c>
      <c r="BF117" s="196">
        <v>0</v>
      </c>
      <c r="BG117" s="170"/>
      <c r="BH117" s="196">
        <v>0</v>
      </c>
      <c r="BI117" s="170"/>
      <c r="BJ117" s="196">
        <v>0</v>
      </c>
      <c r="BK117" s="170"/>
      <c r="BL117" s="196"/>
      <c r="BM117" s="170"/>
      <c r="BN117" s="196"/>
      <c r="BO117" s="170"/>
      <c r="BP117" s="196"/>
      <c r="BQ117" s="170"/>
      <c r="BR117" s="196"/>
      <c r="BS117" s="170"/>
      <c r="BT117" s="196"/>
      <c r="BU117" s="170"/>
      <c r="BV117" s="196"/>
      <c r="BW117" s="251"/>
      <c r="BX117" s="254"/>
      <c r="BY117" s="88">
        <f t="shared" si="47"/>
        <v>0</v>
      </c>
      <c r="BZ117" s="212"/>
      <c r="CA117" s="212"/>
      <c r="CB117" s="212"/>
      <c r="CC117" s="212"/>
      <c r="CD117" s="212"/>
      <c r="CE117" s="212"/>
      <c r="CF117" s="212"/>
      <c r="CG117" s="212"/>
      <c r="CH117" s="212"/>
      <c r="CI117" s="212"/>
      <c r="CJ117" s="212"/>
      <c r="CK117" s="212"/>
      <c r="CL117" s="211">
        <f t="shared" si="49"/>
        <v>0</v>
      </c>
      <c r="CM117" s="212"/>
      <c r="CN117" s="212"/>
      <c r="CO117" s="212"/>
      <c r="CP117" s="212"/>
      <c r="CQ117" s="212"/>
      <c r="CR117" s="212"/>
      <c r="CS117" s="212"/>
      <c r="CT117" s="212"/>
      <c r="CU117" s="212"/>
      <c r="CV117" s="212"/>
      <c r="CW117" s="212"/>
      <c r="CX117" s="212"/>
      <c r="CY117" s="216">
        <f t="shared" si="60"/>
        <v>0</v>
      </c>
      <c r="CZ117" s="185">
        <f t="shared" si="48"/>
        <v>0</v>
      </c>
      <c r="DA117" s="217">
        <f t="shared" si="61"/>
        <v>0</v>
      </c>
      <c r="DB117" s="217">
        <f t="shared" si="62"/>
        <v>0</v>
      </c>
      <c r="DC117" s="217">
        <f t="shared" si="50"/>
        <v>0</v>
      </c>
      <c r="DD117" s="256">
        <v>0</v>
      </c>
      <c r="DE117" s="217">
        <f t="shared" si="51"/>
        <v>0</v>
      </c>
      <c r="DF117" s="185" t="e">
        <f>SUM(DN117:DO117)-SUM(#REF!,BV117)+BU117</f>
        <v>#REF!</v>
      </c>
      <c r="DG117" s="223"/>
      <c r="DH117" s="241">
        <f t="shared" si="52"/>
        <v>0</v>
      </c>
      <c r="DI117" s="241">
        <f t="shared" si="53"/>
        <v>0</v>
      </c>
      <c r="DJ117" s="241">
        <f t="shared" si="54"/>
        <v>0</v>
      </c>
      <c r="DK117" s="241" t="e">
        <f>SUM(BS117,#REF!,BV117)</f>
        <v>#REF!</v>
      </c>
      <c r="DL117" s="155">
        <v>111.75</v>
      </c>
      <c r="DM117" s="155">
        <v>104.37603999999999</v>
      </c>
      <c r="DN117" s="155">
        <v>0</v>
      </c>
      <c r="DO117" s="155">
        <v>0</v>
      </c>
      <c r="DP117" s="155">
        <v>104.37603999999999</v>
      </c>
      <c r="DQ117" s="155">
        <v>7.3739600000000003</v>
      </c>
      <c r="DS117" s="235">
        <f t="shared" si="55"/>
        <v>0</v>
      </c>
    </row>
    <row r="118" spans="1:123" s="23" customFormat="1" ht="24" customHeight="1">
      <c r="A118" s="18"/>
      <c r="B118" s="2">
        <v>74</v>
      </c>
      <c r="C118" s="85" t="s">
        <v>114</v>
      </c>
      <c r="D118" s="85"/>
      <c r="E118" s="85"/>
      <c r="F118" s="3">
        <v>2018</v>
      </c>
      <c r="G118" s="4">
        <v>43244</v>
      </c>
      <c r="H118" s="4">
        <v>43244</v>
      </c>
      <c r="I118" s="4">
        <v>43671</v>
      </c>
      <c r="J118" s="15">
        <f t="shared" ca="1" si="58"/>
        <v>427</v>
      </c>
      <c r="K118" s="177">
        <f t="shared" si="56"/>
        <v>43791</v>
      </c>
      <c r="L118" s="177">
        <f t="shared" si="57"/>
        <v>43974</v>
      </c>
      <c r="M118" s="177"/>
      <c r="N118" s="177"/>
      <c r="O118" s="177"/>
      <c r="P118" s="177"/>
      <c r="Q118" s="177"/>
      <c r="R118" s="3" t="s">
        <v>176</v>
      </c>
      <c r="S118" s="13" t="s">
        <v>223</v>
      </c>
      <c r="T118" s="13"/>
      <c r="U118" s="5" t="s">
        <v>9</v>
      </c>
      <c r="V118" s="268"/>
      <c r="W118" s="5" t="s">
        <v>614</v>
      </c>
      <c r="X118" s="5" t="s">
        <v>477</v>
      </c>
      <c r="Y118" s="5" t="s">
        <v>468</v>
      </c>
      <c r="Z118" s="3" t="s">
        <v>181</v>
      </c>
      <c r="AA118" s="6" t="s">
        <v>218</v>
      </c>
      <c r="AB118" s="151" t="s">
        <v>197</v>
      </c>
      <c r="AC118" s="177" t="s">
        <v>6</v>
      </c>
      <c r="AD118" s="177" t="s">
        <v>6</v>
      </c>
      <c r="AE118" s="177" t="s">
        <v>6</v>
      </c>
      <c r="AF118" s="5"/>
      <c r="AG118" s="5"/>
      <c r="AH118" s="227"/>
      <c r="AI118" s="83"/>
      <c r="AJ118" s="83"/>
      <c r="AK118" s="237" t="e">
        <f>SUM(#REF!,BT118,BV118)</f>
        <v>#REF!</v>
      </c>
      <c r="AL118" s="52"/>
      <c r="AM118" s="52"/>
      <c r="AN118" s="52"/>
      <c r="AO118" s="52"/>
      <c r="AP118" s="52"/>
      <c r="AQ118" s="52"/>
      <c r="AR118" s="56">
        <v>0.79999999999999993</v>
      </c>
      <c r="AS118" s="56"/>
      <c r="AT118" s="56">
        <v>0</v>
      </c>
      <c r="AU118" s="56"/>
      <c r="AV118" s="38">
        <v>64.7</v>
      </c>
      <c r="AW118" s="38">
        <v>8.1</v>
      </c>
      <c r="AX118" s="97">
        <f t="shared" si="59"/>
        <v>72.8</v>
      </c>
      <c r="AY118" s="169">
        <f t="shared" si="46"/>
        <v>0</v>
      </c>
      <c r="AZ118" s="196">
        <v>0</v>
      </c>
      <c r="BA118" s="170"/>
      <c r="BB118" s="196">
        <v>0</v>
      </c>
      <c r="BC118" s="170"/>
      <c r="BD118" s="196">
        <v>0</v>
      </c>
      <c r="BE118" s="170">
        <v>0</v>
      </c>
      <c r="BF118" s="196">
        <v>0</v>
      </c>
      <c r="BG118" s="170"/>
      <c r="BH118" s="196">
        <v>0</v>
      </c>
      <c r="BI118" s="170"/>
      <c r="BJ118" s="196">
        <v>0</v>
      </c>
      <c r="BK118" s="170"/>
      <c r="BL118" s="196"/>
      <c r="BM118" s="170"/>
      <c r="BN118" s="196"/>
      <c r="BO118" s="170"/>
      <c r="BP118" s="196"/>
      <c r="BQ118" s="170"/>
      <c r="BR118" s="196"/>
      <c r="BS118" s="170"/>
      <c r="BT118" s="196"/>
      <c r="BU118" s="170"/>
      <c r="BV118" s="196"/>
      <c r="BW118" s="251"/>
      <c r="BX118" s="254"/>
      <c r="BY118" s="88">
        <f t="shared" si="47"/>
        <v>0</v>
      </c>
      <c r="BZ118" s="258"/>
      <c r="CA118" s="258"/>
      <c r="CB118" s="258"/>
      <c r="CC118" s="258"/>
      <c r="CD118" s="258"/>
      <c r="CE118" s="258"/>
      <c r="CF118" s="258"/>
      <c r="CG118" s="258"/>
      <c r="CH118" s="258"/>
      <c r="CI118" s="258"/>
      <c r="CJ118" s="258"/>
      <c r="CK118" s="258"/>
      <c r="CL118" s="211">
        <f t="shared" si="49"/>
        <v>0</v>
      </c>
      <c r="CM118" s="212"/>
      <c r="CN118" s="212"/>
      <c r="CO118" s="212"/>
      <c r="CP118" s="212"/>
      <c r="CQ118" s="212"/>
      <c r="CR118" s="212"/>
      <c r="CS118" s="212"/>
      <c r="CT118" s="212"/>
      <c r="CU118" s="212"/>
      <c r="CV118" s="212"/>
      <c r="CW118" s="212"/>
      <c r="CX118" s="212"/>
      <c r="CY118" s="216">
        <f t="shared" si="60"/>
        <v>0</v>
      </c>
      <c r="CZ118" s="185">
        <f t="shared" si="48"/>
        <v>0</v>
      </c>
      <c r="DA118" s="217">
        <f t="shared" si="61"/>
        <v>0</v>
      </c>
      <c r="DB118" s="217">
        <f t="shared" si="62"/>
        <v>0</v>
      </c>
      <c r="DC118" s="217">
        <f t="shared" si="50"/>
        <v>0</v>
      </c>
      <c r="DD118" s="256">
        <v>0</v>
      </c>
      <c r="DE118" s="217">
        <f t="shared" si="51"/>
        <v>0</v>
      </c>
      <c r="DF118" s="185" t="e">
        <f>SUM(DN118:DO118)-SUM(#REF!,BV118)+BU118</f>
        <v>#REF!</v>
      </c>
      <c r="DG118" s="223"/>
      <c r="DH118" s="241">
        <f t="shared" si="52"/>
        <v>0</v>
      </c>
      <c r="DI118" s="241">
        <f t="shared" si="53"/>
        <v>0</v>
      </c>
      <c r="DJ118" s="241">
        <f t="shared" si="54"/>
        <v>0</v>
      </c>
      <c r="DK118" s="241" t="e">
        <f>SUM(BS118,#REF!,BV118)</f>
        <v>#REF!</v>
      </c>
      <c r="DL118" s="155">
        <v>64.7</v>
      </c>
      <c r="DM118" s="155">
        <v>62.25497</v>
      </c>
      <c r="DN118" s="155">
        <v>0</v>
      </c>
      <c r="DO118" s="155">
        <v>0</v>
      </c>
      <c r="DP118" s="155">
        <v>62.25497</v>
      </c>
      <c r="DQ118" s="155">
        <v>2.44503</v>
      </c>
      <c r="DS118" s="235">
        <f t="shared" si="55"/>
        <v>0</v>
      </c>
    </row>
    <row r="119" spans="1:123" s="23" customFormat="1" ht="24" customHeight="1">
      <c r="A119" s="18"/>
      <c r="B119" s="2">
        <v>75</v>
      </c>
      <c r="C119" s="85" t="s">
        <v>115</v>
      </c>
      <c r="D119" s="85"/>
      <c r="E119" s="85" t="s">
        <v>886</v>
      </c>
      <c r="F119" s="3">
        <v>2018</v>
      </c>
      <c r="G119" s="4">
        <v>43425</v>
      </c>
      <c r="H119" s="187">
        <v>43425</v>
      </c>
      <c r="I119" s="4">
        <v>44375</v>
      </c>
      <c r="J119" s="15">
        <f t="shared" ca="1" si="58"/>
        <v>950</v>
      </c>
      <c r="K119" s="177">
        <f t="shared" si="56"/>
        <v>43972</v>
      </c>
      <c r="L119" s="177">
        <f t="shared" si="57"/>
        <v>44155</v>
      </c>
      <c r="M119" s="177"/>
      <c r="N119" s="177"/>
      <c r="O119" s="177"/>
      <c r="P119" s="177"/>
      <c r="Q119" s="177"/>
      <c r="R119" s="3" t="s">
        <v>176</v>
      </c>
      <c r="S119" s="13" t="s">
        <v>222</v>
      </c>
      <c r="T119" s="13" t="s">
        <v>972</v>
      </c>
      <c r="U119" s="5" t="s">
        <v>9</v>
      </c>
      <c r="V119" s="268"/>
      <c r="W119" s="5" t="s">
        <v>614</v>
      </c>
      <c r="X119" s="5" t="s">
        <v>478</v>
      </c>
      <c r="Y119" s="5" t="s">
        <v>116</v>
      </c>
      <c r="Z119" s="3" t="s">
        <v>181</v>
      </c>
      <c r="AA119" s="6" t="s">
        <v>218</v>
      </c>
      <c r="AB119" s="151" t="s">
        <v>197</v>
      </c>
      <c r="AC119" s="177" t="s">
        <v>6</v>
      </c>
      <c r="AD119" s="177" t="s">
        <v>6</v>
      </c>
      <c r="AE119" s="177" t="s">
        <v>6</v>
      </c>
      <c r="AF119" s="5" t="s">
        <v>1132</v>
      </c>
      <c r="AG119" s="5"/>
      <c r="AH119" s="227"/>
      <c r="AI119" s="83"/>
      <c r="AJ119" s="83"/>
      <c r="AK119" s="237" t="e">
        <f>SUM(#REF!,BT119,BV119)</f>
        <v>#REF!</v>
      </c>
      <c r="AL119" s="166"/>
      <c r="AM119" s="166"/>
      <c r="AN119" s="166"/>
      <c r="AO119" s="166"/>
      <c r="AP119" s="166"/>
      <c r="AQ119" s="166"/>
      <c r="AR119" s="56">
        <v>110.37460955622434</v>
      </c>
      <c r="AS119" s="56">
        <v>207.75263999999999</v>
      </c>
      <c r="AT119" s="56">
        <v>51.89443</v>
      </c>
      <c r="AU119" s="56">
        <v>94.293819999999997</v>
      </c>
      <c r="AV119" s="38">
        <v>267.8</v>
      </c>
      <c r="AW119" s="38">
        <v>37.75</v>
      </c>
      <c r="AX119" s="97">
        <f t="shared" si="59"/>
        <v>305.55</v>
      </c>
      <c r="AY119" s="169">
        <f t="shared" si="46"/>
        <v>38.555669999999999</v>
      </c>
      <c r="AZ119" s="196">
        <v>8</v>
      </c>
      <c r="BA119" s="170">
        <v>4.2938199999999993</v>
      </c>
      <c r="BB119" s="196">
        <v>5</v>
      </c>
      <c r="BC119" s="170">
        <v>0.22028999999999999</v>
      </c>
      <c r="BD119" s="196">
        <v>5</v>
      </c>
      <c r="BE119" s="170">
        <v>9.9150000000000002E-2</v>
      </c>
      <c r="BF119" s="196">
        <v>15</v>
      </c>
      <c r="BG119" s="170">
        <v>8.90456</v>
      </c>
      <c r="BH119" s="196">
        <v>10</v>
      </c>
      <c r="BI119" s="170">
        <v>2.8586999999999998</v>
      </c>
      <c r="BJ119" s="196">
        <v>20</v>
      </c>
      <c r="BK119" s="170">
        <v>22.17915</v>
      </c>
      <c r="BL119" s="196"/>
      <c r="BM119" s="170"/>
      <c r="BN119" s="196"/>
      <c r="BO119" s="170"/>
      <c r="BP119" s="196"/>
      <c r="BQ119" s="170"/>
      <c r="BR119" s="196"/>
      <c r="BS119" s="170"/>
      <c r="BT119" s="196"/>
      <c r="BU119" s="170"/>
      <c r="BV119" s="196"/>
      <c r="BW119" s="251"/>
      <c r="BX119" s="254"/>
      <c r="BY119" s="88">
        <f t="shared" si="47"/>
        <v>0</v>
      </c>
      <c r="BZ119" s="258"/>
      <c r="CA119" s="258"/>
      <c r="CB119" s="258"/>
      <c r="CC119" s="258"/>
      <c r="CD119" s="258"/>
      <c r="CE119" s="258"/>
      <c r="CF119" s="258"/>
      <c r="CG119" s="258"/>
      <c r="CH119" s="258"/>
      <c r="CI119" s="258"/>
      <c r="CJ119" s="258"/>
      <c r="CK119" s="258"/>
      <c r="CL119" s="211">
        <f t="shared" si="49"/>
        <v>0</v>
      </c>
      <c r="CM119" s="212"/>
      <c r="CN119" s="212"/>
      <c r="CO119" s="212"/>
      <c r="CP119" s="212"/>
      <c r="CQ119" s="212"/>
      <c r="CR119" s="212"/>
      <c r="CS119" s="212"/>
      <c r="CT119" s="212"/>
      <c r="CU119" s="212"/>
      <c r="CV119" s="212"/>
      <c r="CW119" s="212"/>
      <c r="CX119" s="212"/>
      <c r="CY119" s="216">
        <f t="shared" si="60"/>
        <v>0</v>
      </c>
      <c r="CZ119" s="185">
        <f t="shared" si="48"/>
        <v>0</v>
      </c>
      <c r="DA119" s="217">
        <f t="shared" si="61"/>
        <v>38.555669999999999</v>
      </c>
      <c r="DB119" s="217">
        <f t="shared" si="62"/>
        <v>0</v>
      </c>
      <c r="DC119" s="217">
        <f t="shared" si="50"/>
        <v>38.555669999999999</v>
      </c>
      <c r="DD119" s="256">
        <v>38.555669999999999</v>
      </c>
      <c r="DE119" s="217">
        <f t="shared" si="51"/>
        <v>0</v>
      </c>
      <c r="DF119" s="185" t="e">
        <f>SUM(DN119:DO119)-SUM(#REF!,BV119)+BU119</f>
        <v>#REF!</v>
      </c>
      <c r="DG119" s="223"/>
      <c r="DH119" s="241">
        <f t="shared" si="52"/>
        <v>4.6132599999999995</v>
      </c>
      <c r="DI119" s="241">
        <f t="shared" si="53"/>
        <v>33.942409999999995</v>
      </c>
      <c r="DJ119" s="241">
        <f t="shared" si="54"/>
        <v>0</v>
      </c>
      <c r="DK119" s="241" t="e">
        <f>SUM(BS119,#REF!,BV119)</f>
        <v>#REF!</v>
      </c>
      <c r="DL119" s="155">
        <v>267.8</v>
      </c>
      <c r="DM119" s="155">
        <v>200.9049</v>
      </c>
      <c r="DN119" s="155">
        <v>0</v>
      </c>
      <c r="DO119" s="155">
        <v>0</v>
      </c>
      <c r="DP119" s="155">
        <v>200.9049</v>
      </c>
      <c r="DQ119" s="155">
        <v>66.895099999999999</v>
      </c>
      <c r="DR119" s="23">
        <f>VLOOKUP(C119,[6]Database!$B$143:$AD$521,29,FALSE)</f>
        <v>0</v>
      </c>
      <c r="DS119" s="235">
        <f t="shared" si="55"/>
        <v>0</v>
      </c>
    </row>
    <row r="120" spans="1:123" s="23" customFormat="1" ht="24" customHeight="1">
      <c r="A120" s="18"/>
      <c r="B120" s="2">
        <v>76</v>
      </c>
      <c r="C120" s="85" t="s">
        <v>71</v>
      </c>
      <c r="D120" s="85"/>
      <c r="E120" s="85"/>
      <c r="F120" s="3">
        <v>2018</v>
      </c>
      <c r="G120" s="4">
        <v>43329</v>
      </c>
      <c r="H120" s="4">
        <v>43329</v>
      </c>
      <c r="I120" s="4">
        <v>44193</v>
      </c>
      <c r="J120" s="15">
        <f t="shared" ca="1" si="58"/>
        <v>864</v>
      </c>
      <c r="K120" s="177">
        <f t="shared" si="56"/>
        <v>43876</v>
      </c>
      <c r="L120" s="177">
        <f t="shared" si="57"/>
        <v>44059</v>
      </c>
      <c r="M120" s="177"/>
      <c r="N120" s="177"/>
      <c r="O120" s="177"/>
      <c r="P120" s="177"/>
      <c r="Q120" s="177"/>
      <c r="R120" s="3" t="s">
        <v>176</v>
      </c>
      <c r="S120" s="13" t="s">
        <v>5</v>
      </c>
      <c r="T120" s="13"/>
      <c r="U120" s="5" t="s">
        <v>9</v>
      </c>
      <c r="V120" s="268"/>
      <c r="W120" s="5" t="s">
        <v>614</v>
      </c>
      <c r="X120" s="5" t="s">
        <v>479</v>
      </c>
      <c r="Y120" s="5" t="s">
        <v>72</v>
      </c>
      <c r="Z120" s="3" t="s">
        <v>185</v>
      </c>
      <c r="AA120" s="6" t="s">
        <v>218</v>
      </c>
      <c r="AB120" s="151" t="s">
        <v>197</v>
      </c>
      <c r="AC120" s="177" t="s">
        <v>6</v>
      </c>
      <c r="AD120" s="177" t="s">
        <v>6</v>
      </c>
      <c r="AE120" s="177" t="s">
        <v>6</v>
      </c>
      <c r="AF120" s="5"/>
      <c r="AG120" s="43"/>
      <c r="AH120" s="227"/>
      <c r="AI120" s="83"/>
      <c r="AJ120" s="83"/>
      <c r="AK120" s="237" t="e">
        <f>SUM(#REF!,BT120,BV120)</f>
        <v>#REF!</v>
      </c>
      <c r="AL120" s="166"/>
      <c r="AM120" s="166"/>
      <c r="AN120" s="166"/>
      <c r="AO120" s="166"/>
      <c r="AP120" s="166"/>
      <c r="AQ120" s="166"/>
      <c r="AR120" s="56">
        <v>230.22216148789255</v>
      </c>
      <c r="AS120" s="56">
        <v>3.8</v>
      </c>
      <c r="AT120" s="56">
        <v>15.674819999999999</v>
      </c>
      <c r="AU120" s="56"/>
      <c r="AV120" s="38">
        <v>329.75</v>
      </c>
      <c r="AW120" s="38">
        <v>10</v>
      </c>
      <c r="AX120" s="97">
        <f t="shared" si="59"/>
        <v>339.75</v>
      </c>
      <c r="AY120" s="169">
        <f t="shared" si="46"/>
        <v>0</v>
      </c>
      <c r="AZ120" s="196">
        <v>0</v>
      </c>
      <c r="BA120" s="170"/>
      <c r="BB120" s="196">
        <v>0</v>
      </c>
      <c r="BC120" s="170"/>
      <c r="BD120" s="196">
        <v>0</v>
      </c>
      <c r="BE120" s="170">
        <v>0</v>
      </c>
      <c r="BF120" s="196">
        <v>0</v>
      </c>
      <c r="BG120" s="170"/>
      <c r="BH120" s="196">
        <v>0</v>
      </c>
      <c r="BI120" s="170"/>
      <c r="BJ120" s="196">
        <v>0</v>
      </c>
      <c r="BK120" s="170"/>
      <c r="BL120" s="196"/>
      <c r="BM120" s="170"/>
      <c r="BN120" s="196"/>
      <c r="BO120" s="170"/>
      <c r="BP120" s="196"/>
      <c r="BQ120" s="170"/>
      <c r="BR120" s="196"/>
      <c r="BS120" s="170"/>
      <c r="BT120" s="196"/>
      <c r="BU120" s="170"/>
      <c r="BV120" s="196"/>
      <c r="BW120" s="251"/>
      <c r="BX120" s="254"/>
      <c r="BY120" s="88">
        <f t="shared" si="47"/>
        <v>0</v>
      </c>
      <c r="BZ120" s="258"/>
      <c r="CA120" s="258"/>
      <c r="CB120" s="258"/>
      <c r="CC120" s="258"/>
      <c r="CD120" s="258"/>
      <c r="CE120" s="258"/>
      <c r="CF120" s="258"/>
      <c r="CG120" s="258"/>
      <c r="CH120" s="258"/>
      <c r="CI120" s="258"/>
      <c r="CJ120" s="258"/>
      <c r="CK120" s="258"/>
      <c r="CL120" s="211">
        <f t="shared" si="49"/>
        <v>0</v>
      </c>
      <c r="CM120" s="212"/>
      <c r="CN120" s="212"/>
      <c r="CO120" s="212"/>
      <c r="CP120" s="212"/>
      <c r="CQ120" s="212"/>
      <c r="CR120" s="212"/>
      <c r="CS120" s="212"/>
      <c r="CT120" s="212"/>
      <c r="CU120" s="212"/>
      <c r="CV120" s="212"/>
      <c r="CW120" s="212"/>
      <c r="CX120" s="212"/>
      <c r="CY120" s="216">
        <f t="shared" si="60"/>
        <v>0</v>
      </c>
      <c r="CZ120" s="185">
        <f t="shared" si="48"/>
        <v>0</v>
      </c>
      <c r="DA120" s="217">
        <f t="shared" si="61"/>
        <v>0</v>
      </c>
      <c r="DB120" s="217">
        <f t="shared" si="62"/>
        <v>0</v>
      </c>
      <c r="DC120" s="217">
        <f t="shared" si="50"/>
        <v>0</v>
      </c>
      <c r="DD120" s="256">
        <v>0</v>
      </c>
      <c r="DE120" s="217">
        <f t="shared" si="51"/>
        <v>0</v>
      </c>
      <c r="DF120" s="185" t="e">
        <f>SUM(DN120:DO120)-SUM(#REF!,BV120)+BU120</f>
        <v>#REF!</v>
      </c>
      <c r="DG120" s="223"/>
      <c r="DH120" s="241">
        <f t="shared" si="52"/>
        <v>0</v>
      </c>
      <c r="DI120" s="241">
        <f t="shared" si="53"/>
        <v>0</v>
      </c>
      <c r="DJ120" s="241">
        <f t="shared" si="54"/>
        <v>0</v>
      </c>
      <c r="DK120" s="241" t="e">
        <f>SUM(BS120,#REF!,BV120)</f>
        <v>#REF!</v>
      </c>
      <c r="DL120" s="155">
        <v>329.75</v>
      </c>
      <c r="DM120" s="155">
        <v>328.54374999999999</v>
      </c>
      <c r="DN120" s="155">
        <v>0</v>
      </c>
      <c r="DO120" s="155">
        <v>0</v>
      </c>
      <c r="DP120" s="155">
        <v>328.54374999999999</v>
      </c>
      <c r="DQ120" s="155">
        <v>1.20625</v>
      </c>
      <c r="DS120" s="235">
        <f t="shared" si="55"/>
        <v>0</v>
      </c>
    </row>
    <row r="121" spans="1:123" s="23" customFormat="1" ht="24" customHeight="1">
      <c r="A121" s="18"/>
      <c r="B121" s="2">
        <v>77</v>
      </c>
      <c r="C121" s="85" t="s">
        <v>117</v>
      </c>
      <c r="D121" s="85"/>
      <c r="E121" s="85"/>
      <c r="F121" s="3">
        <v>2018</v>
      </c>
      <c r="G121" s="4">
        <v>43335</v>
      </c>
      <c r="H121" s="4">
        <v>43335</v>
      </c>
      <c r="I121" s="4">
        <v>43858</v>
      </c>
      <c r="J121" s="15">
        <f t="shared" ca="1" si="58"/>
        <v>523</v>
      </c>
      <c r="K121" s="177">
        <f t="shared" si="56"/>
        <v>43882</v>
      </c>
      <c r="L121" s="177">
        <f t="shared" si="57"/>
        <v>44065</v>
      </c>
      <c r="M121" s="177"/>
      <c r="N121" s="177"/>
      <c r="O121" s="177"/>
      <c r="P121" s="177"/>
      <c r="Q121" s="177"/>
      <c r="R121" s="3" t="s">
        <v>176</v>
      </c>
      <c r="S121" s="13" t="s">
        <v>223</v>
      </c>
      <c r="T121" s="13"/>
      <c r="U121" s="5" t="s">
        <v>9</v>
      </c>
      <c r="V121" s="268"/>
      <c r="W121" s="5" t="s">
        <v>614</v>
      </c>
      <c r="X121" s="5" t="s">
        <v>479</v>
      </c>
      <c r="Y121" s="5" t="s">
        <v>118</v>
      </c>
      <c r="Z121" s="3" t="s">
        <v>185</v>
      </c>
      <c r="AA121" s="6" t="s">
        <v>218</v>
      </c>
      <c r="AB121" s="151" t="s">
        <v>197</v>
      </c>
      <c r="AC121" s="177" t="s">
        <v>6</v>
      </c>
      <c r="AD121" s="177" t="s">
        <v>6</v>
      </c>
      <c r="AE121" s="177" t="s">
        <v>6</v>
      </c>
      <c r="AF121" s="5"/>
      <c r="AG121" s="43"/>
      <c r="AH121" s="227"/>
      <c r="AI121" s="83"/>
      <c r="AJ121" s="83"/>
      <c r="AK121" s="237" t="e">
        <f>SUM(#REF!,BT121,BV121)</f>
        <v>#REF!</v>
      </c>
      <c r="AL121" s="52"/>
      <c r="AM121" s="52"/>
      <c r="AN121" s="52"/>
      <c r="AO121" s="52"/>
      <c r="AP121" s="52"/>
      <c r="AQ121" s="52"/>
      <c r="AR121" s="56">
        <v>251.16824517898462</v>
      </c>
      <c r="AS121" s="56">
        <v>2.0329700000000002</v>
      </c>
      <c r="AT121" s="56">
        <v>2.0255199999999998</v>
      </c>
      <c r="AU121" s="56"/>
      <c r="AV121" s="38">
        <v>338.57531</v>
      </c>
      <c r="AW121" s="38">
        <v>10</v>
      </c>
      <c r="AX121" s="97">
        <f t="shared" si="59"/>
        <v>348.57531</v>
      </c>
      <c r="AY121" s="169">
        <f t="shared" si="46"/>
        <v>0</v>
      </c>
      <c r="AZ121" s="196">
        <v>0</v>
      </c>
      <c r="BA121" s="170"/>
      <c r="BB121" s="196">
        <v>0</v>
      </c>
      <c r="BC121" s="170"/>
      <c r="BD121" s="196">
        <v>0</v>
      </c>
      <c r="BE121" s="170">
        <v>0</v>
      </c>
      <c r="BF121" s="196">
        <v>0</v>
      </c>
      <c r="BG121" s="170"/>
      <c r="BH121" s="196">
        <v>0</v>
      </c>
      <c r="BI121" s="170"/>
      <c r="BJ121" s="196">
        <v>0</v>
      </c>
      <c r="BK121" s="170"/>
      <c r="BL121" s="196"/>
      <c r="BM121" s="170"/>
      <c r="BN121" s="196"/>
      <c r="BO121" s="170"/>
      <c r="BP121" s="196"/>
      <c r="BQ121" s="170"/>
      <c r="BR121" s="196"/>
      <c r="BS121" s="170"/>
      <c r="BT121" s="196"/>
      <c r="BU121" s="170"/>
      <c r="BV121" s="196"/>
      <c r="BW121" s="251"/>
      <c r="BX121" s="254"/>
      <c r="BY121" s="88">
        <f t="shared" si="47"/>
        <v>0</v>
      </c>
      <c r="BZ121" s="258"/>
      <c r="CA121" s="258"/>
      <c r="CB121" s="258"/>
      <c r="CC121" s="258"/>
      <c r="CD121" s="258"/>
      <c r="CE121" s="258"/>
      <c r="CF121" s="258"/>
      <c r="CG121" s="258"/>
      <c r="CH121" s="258"/>
      <c r="CI121" s="258"/>
      <c r="CJ121" s="258"/>
      <c r="CK121" s="258"/>
      <c r="CL121" s="211">
        <f t="shared" si="49"/>
        <v>0</v>
      </c>
      <c r="CM121" s="212"/>
      <c r="CN121" s="212"/>
      <c r="CO121" s="212"/>
      <c r="CP121" s="212"/>
      <c r="CQ121" s="212"/>
      <c r="CR121" s="212"/>
      <c r="CS121" s="212"/>
      <c r="CT121" s="212"/>
      <c r="CU121" s="212"/>
      <c r="CV121" s="212"/>
      <c r="CW121" s="212"/>
      <c r="CX121" s="212"/>
      <c r="CY121" s="216">
        <f t="shared" si="60"/>
        <v>0</v>
      </c>
      <c r="CZ121" s="185">
        <f t="shared" si="48"/>
        <v>0</v>
      </c>
      <c r="DA121" s="217">
        <f t="shared" si="61"/>
        <v>0</v>
      </c>
      <c r="DB121" s="217">
        <f t="shared" si="62"/>
        <v>0</v>
      </c>
      <c r="DC121" s="217">
        <f t="shared" si="50"/>
        <v>0</v>
      </c>
      <c r="DD121" s="256">
        <v>0</v>
      </c>
      <c r="DE121" s="217">
        <f t="shared" si="51"/>
        <v>0</v>
      </c>
      <c r="DF121" s="185" t="e">
        <f>SUM(DN121:DO121)-SUM(#REF!,BV121)+BU121</f>
        <v>#REF!</v>
      </c>
      <c r="DG121" s="223"/>
      <c r="DH121" s="241">
        <f t="shared" si="52"/>
        <v>0</v>
      </c>
      <c r="DI121" s="241">
        <f t="shared" si="53"/>
        <v>0</v>
      </c>
      <c r="DJ121" s="241">
        <f t="shared" si="54"/>
        <v>0</v>
      </c>
      <c r="DK121" s="241" t="e">
        <f>SUM(BS121,#REF!,BV121)</f>
        <v>#REF!</v>
      </c>
      <c r="DL121" s="155">
        <v>338.57531</v>
      </c>
      <c r="DM121" s="155">
        <v>338.57531</v>
      </c>
      <c r="DN121" s="155">
        <v>0</v>
      </c>
      <c r="DO121" s="155">
        <v>0</v>
      </c>
      <c r="DP121" s="155">
        <v>338.57531</v>
      </c>
      <c r="DQ121" s="155">
        <v>0</v>
      </c>
      <c r="DS121" s="235">
        <f t="shared" si="55"/>
        <v>0</v>
      </c>
    </row>
    <row r="122" spans="1:123" s="23" customFormat="1" ht="24" customHeight="1">
      <c r="A122" s="18"/>
      <c r="B122" s="2">
        <v>78</v>
      </c>
      <c r="C122" s="85" t="s">
        <v>89</v>
      </c>
      <c r="D122" s="85"/>
      <c r="E122" s="85" t="s">
        <v>866</v>
      </c>
      <c r="F122" s="3">
        <v>2018</v>
      </c>
      <c r="G122" s="4">
        <v>43398</v>
      </c>
      <c r="H122" s="187">
        <v>43390</v>
      </c>
      <c r="I122" s="4">
        <v>44252</v>
      </c>
      <c r="J122" s="15">
        <f t="shared" ca="1" si="58"/>
        <v>862</v>
      </c>
      <c r="K122" s="177">
        <f t="shared" si="56"/>
        <v>43937</v>
      </c>
      <c r="L122" s="177">
        <f t="shared" si="57"/>
        <v>44120</v>
      </c>
      <c r="M122" s="177" t="s">
        <v>609</v>
      </c>
      <c r="N122" s="177"/>
      <c r="O122" s="177"/>
      <c r="P122" s="177"/>
      <c r="Q122" s="177"/>
      <c r="R122" s="3" t="s">
        <v>180</v>
      </c>
      <c r="S122" s="13" t="s">
        <v>223</v>
      </c>
      <c r="T122" s="13"/>
      <c r="U122" s="5" t="s">
        <v>9</v>
      </c>
      <c r="V122" s="268"/>
      <c r="W122" s="5" t="s">
        <v>614</v>
      </c>
      <c r="X122" s="5" t="s">
        <v>476</v>
      </c>
      <c r="Y122" s="5" t="s">
        <v>90</v>
      </c>
      <c r="Z122" s="3" t="s">
        <v>188</v>
      </c>
      <c r="AA122" s="6" t="s">
        <v>218</v>
      </c>
      <c r="AB122" s="151" t="s">
        <v>197</v>
      </c>
      <c r="AC122" s="177" t="s">
        <v>6</v>
      </c>
      <c r="AD122" s="177" t="s">
        <v>6</v>
      </c>
      <c r="AE122" s="177" t="s">
        <v>6</v>
      </c>
      <c r="AF122" s="5"/>
      <c r="AG122" s="5"/>
      <c r="AH122" s="227"/>
      <c r="AI122" s="83"/>
      <c r="AJ122" s="83"/>
      <c r="AK122" s="237" t="e">
        <f>SUM(#REF!,BT122,BV122)</f>
        <v>#REF!</v>
      </c>
      <c r="AL122" s="166"/>
      <c r="AM122" s="166"/>
      <c r="AN122" s="166"/>
      <c r="AO122" s="166"/>
      <c r="AP122" s="166"/>
      <c r="AQ122" s="166"/>
      <c r="AR122" s="56">
        <v>3.38</v>
      </c>
      <c r="AS122" s="56">
        <v>378.7</v>
      </c>
      <c r="AT122" s="56">
        <v>1.94608</v>
      </c>
      <c r="AU122" s="56">
        <v>376.7</v>
      </c>
      <c r="AV122" s="38">
        <v>387.67</v>
      </c>
      <c r="AW122" s="38">
        <v>37.4</v>
      </c>
      <c r="AX122" s="97">
        <f t="shared" si="59"/>
        <v>425.07</v>
      </c>
      <c r="AY122" s="169">
        <f t="shared" si="46"/>
        <v>312.45179999999999</v>
      </c>
      <c r="AZ122" s="196">
        <v>0</v>
      </c>
      <c r="BA122" s="170">
        <v>0</v>
      </c>
      <c r="BB122" s="196">
        <v>0</v>
      </c>
      <c r="BC122" s="170">
        <v>292.80488000000003</v>
      </c>
      <c r="BD122" s="196">
        <v>0</v>
      </c>
      <c r="BE122" s="170">
        <v>0</v>
      </c>
      <c r="BF122" s="196">
        <v>0</v>
      </c>
      <c r="BG122" s="170">
        <v>5.0638800000000002</v>
      </c>
      <c r="BH122" s="196">
        <v>70</v>
      </c>
      <c r="BI122" s="170">
        <v>3.3315999999999999</v>
      </c>
      <c r="BJ122" s="196">
        <v>12</v>
      </c>
      <c r="BK122" s="170">
        <v>6.55185</v>
      </c>
      <c r="BL122" s="196"/>
      <c r="BM122" s="170">
        <v>4.6995899999999997</v>
      </c>
      <c r="BN122" s="196"/>
      <c r="BO122" s="170"/>
      <c r="BP122" s="196"/>
      <c r="BQ122" s="170"/>
      <c r="BR122" s="196"/>
      <c r="BS122" s="170"/>
      <c r="BT122" s="196"/>
      <c r="BU122" s="170"/>
      <c r="BV122" s="196"/>
      <c r="BW122" s="251"/>
      <c r="BX122" s="254"/>
      <c r="BY122" s="88">
        <f t="shared" si="47"/>
        <v>0</v>
      </c>
      <c r="BZ122" s="214"/>
      <c r="CA122" s="214"/>
      <c r="CB122" s="214"/>
      <c r="CC122" s="214"/>
      <c r="CD122" s="214"/>
      <c r="CE122" s="214"/>
      <c r="CF122" s="214"/>
      <c r="CG122" s="214"/>
      <c r="CH122" s="214"/>
      <c r="CI122" s="214"/>
      <c r="CJ122" s="214"/>
      <c r="CK122" s="214"/>
      <c r="CL122" s="211">
        <f t="shared" si="49"/>
        <v>0</v>
      </c>
      <c r="CM122" s="212"/>
      <c r="CN122" s="212"/>
      <c r="CO122" s="212"/>
      <c r="CP122" s="212"/>
      <c r="CQ122" s="212"/>
      <c r="CR122" s="212"/>
      <c r="CS122" s="212"/>
      <c r="CT122" s="212"/>
      <c r="CU122" s="212"/>
      <c r="CV122" s="212"/>
      <c r="CW122" s="212"/>
      <c r="CX122" s="212"/>
      <c r="CY122" s="216">
        <f t="shared" si="60"/>
        <v>0</v>
      </c>
      <c r="CZ122" s="185">
        <f t="shared" si="48"/>
        <v>0</v>
      </c>
      <c r="DA122" s="217">
        <f t="shared" si="61"/>
        <v>312.45179999999999</v>
      </c>
      <c r="DB122" s="217">
        <f t="shared" si="62"/>
        <v>0</v>
      </c>
      <c r="DC122" s="217">
        <f t="shared" si="50"/>
        <v>312.45179999999999</v>
      </c>
      <c r="DD122" s="256">
        <v>312.45179999999999</v>
      </c>
      <c r="DE122" s="217">
        <f t="shared" si="51"/>
        <v>0</v>
      </c>
      <c r="DF122" s="185" t="e">
        <f>SUM(DN122:DO122)-SUM(#REF!,BV122)+BU122</f>
        <v>#REF!</v>
      </c>
      <c r="DG122" s="223"/>
      <c r="DH122" s="241">
        <f t="shared" si="52"/>
        <v>292.80488000000003</v>
      </c>
      <c r="DI122" s="241">
        <f t="shared" si="53"/>
        <v>14.947329999999999</v>
      </c>
      <c r="DJ122" s="241">
        <f t="shared" si="54"/>
        <v>4.6995899999999997</v>
      </c>
      <c r="DK122" s="241" t="e">
        <f>SUM(BS122,#REF!,BV122)</f>
        <v>#REF!</v>
      </c>
      <c r="DL122" s="155">
        <v>387.67</v>
      </c>
      <c r="DM122" s="155">
        <v>323.37511999999998</v>
      </c>
      <c r="DN122" s="155">
        <v>0</v>
      </c>
      <c r="DO122" s="155">
        <v>0</v>
      </c>
      <c r="DP122" s="155">
        <v>323.37511999999998</v>
      </c>
      <c r="DQ122" s="155">
        <v>64.294879999999992</v>
      </c>
      <c r="DR122" s="23">
        <f>VLOOKUP(C122,[6]Database!$B$143:$AD$521,29,FALSE)</f>
        <v>0</v>
      </c>
      <c r="DS122" s="235">
        <f t="shared" si="55"/>
        <v>0</v>
      </c>
    </row>
    <row r="123" spans="1:123" s="23" customFormat="1" ht="24" customHeight="1">
      <c r="A123" s="18"/>
      <c r="B123" s="2">
        <v>79</v>
      </c>
      <c r="C123" s="85" t="s">
        <v>119</v>
      </c>
      <c r="D123" s="85"/>
      <c r="E123" s="85"/>
      <c r="F123" s="3">
        <v>2018</v>
      </c>
      <c r="G123" s="4">
        <v>43432</v>
      </c>
      <c r="H123" s="4">
        <v>43432</v>
      </c>
      <c r="I123" s="4">
        <v>44200</v>
      </c>
      <c r="J123" s="15">
        <f t="shared" ca="1" si="58"/>
        <v>768</v>
      </c>
      <c r="K123" s="177">
        <f t="shared" si="56"/>
        <v>43979</v>
      </c>
      <c r="L123" s="177">
        <f t="shared" si="57"/>
        <v>44162</v>
      </c>
      <c r="M123" s="177"/>
      <c r="N123" s="177"/>
      <c r="O123" s="177"/>
      <c r="P123" s="177"/>
      <c r="Q123" s="177"/>
      <c r="R123" s="3" t="s">
        <v>176</v>
      </c>
      <c r="S123" s="13" t="s">
        <v>982</v>
      </c>
      <c r="T123" s="13" t="s">
        <v>953</v>
      </c>
      <c r="U123" s="5" t="s">
        <v>9</v>
      </c>
      <c r="V123" s="268"/>
      <c r="W123" s="5" t="s">
        <v>614</v>
      </c>
      <c r="X123" s="5" t="s">
        <v>479</v>
      </c>
      <c r="Y123" s="5" t="s">
        <v>120</v>
      </c>
      <c r="Z123" s="3" t="s">
        <v>185</v>
      </c>
      <c r="AA123" s="6" t="s">
        <v>218</v>
      </c>
      <c r="AB123" s="151" t="s">
        <v>197</v>
      </c>
      <c r="AC123" s="177" t="s">
        <v>6</v>
      </c>
      <c r="AD123" s="177" t="s">
        <v>6</v>
      </c>
      <c r="AE123" s="177" t="s">
        <v>6</v>
      </c>
      <c r="AF123" s="5"/>
      <c r="AG123" s="5"/>
      <c r="AH123" s="227"/>
      <c r="AI123" s="83"/>
      <c r="AJ123" s="83"/>
      <c r="AK123" s="237" t="e">
        <f>SUM(#REF!,BT123,BV123)</f>
        <v>#REF!</v>
      </c>
      <c r="AL123" s="52"/>
      <c r="AM123" s="52"/>
      <c r="AN123" s="52"/>
      <c r="AO123" s="52"/>
      <c r="AP123" s="52"/>
      <c r="AQ123" s="52"/>
      <c r="AR123" s="56">
        <v>160.49593191927877</v>
      </c>
      <c r="AS123" s="56">
        <v>42.349759999999996</v>
      </c>
      <c r="AT123" s="56">
        <v>46.599429999999998</v>
      </c>
      <c r="AU123" s="56">
        <v>0.36386000000000007</v>
      </c>
      <c r="AV123" s="38">
        <v>213</v>
      </c>
      <c r="AW123" s="38">
        <v>25</v>
      </c>
      <c r="AX123" s="97">
        <f t="shared" si="59"/>
        <v>238</v>
      </c>
      <c r="AY123" s="169">
        <f t="shared" si="46"/>
        <v>0.32969000000000004</v>
      </c>
      <c r="AZ123" s="196">
        <v>5</v>
      </c>
      <c r="BA123" s="170">
        <v>0.26386000000000004</v>
      </c>
      <c r="BB123" s="196">
        <v>0.1</v>
      </c>
      <c r="BC123" s="170">
        <v>6.583E-2</v>
      </c>
      <c r="BD123" s="196">
        <v>0</v>
      </c>
      <c r="BE123" s="170">
        <v>0</v>
      </c>
      <c r="BF123" s="196">
        <v>0</v>
      </c>
      <c r="BG123" s="170"/>
      <c r="BH123" s="196">
        <v>0</v>
      </c>
      <c r="BI123" s="170"/>
      <c r="BJ123" s="196">
        <v>0</v>
      </c>
      <c r="BK123" s="170"/>
      <c r="BL123" s="196"/>
      <c r="BM123" s="170"/>
      <c r="BN123" s="196"/>
      <c r="BO123" s="170"/>
      <c r="BP123" s="196"/>
      <c r="BQ123" s="170"/>
      <c r="BR123" s="196"/>
      <c r="BS123" s="170"/>
      <c r="BT123" s="196"/>
      <c r="BU123" s="170"/>
      <c r="BV123" s="196"/>
      <c r="BW123" s="251"/>
      <c r="BX123" s="254"/>
      <c r="BY123" s="88">
        <f t="shared" si="47"/>
        <v>0</v>
      </c>
      <c r="BZ123" s="258"/>
      <c r="CA123" s="258"/>
      <c r="CB123" s="258"/>
      <c r="CC123" s="258"/>
      <c r="CD123" s="258"/>
      <c r="CE123" s="258"/>
      <c r="CF123" s="258"/>
      <c r="CG123" s="258"/>
      <c r="CH123" s="258"/>
      <c r="CI123" s="258"/>
      <c r="CJ123" s="258"/>
      <c r="CK123" s="258"/>
      <c r="CL123" s="211">
        <f t="shared" si="49"/>
        <v>0</v>
      </c>
      <c r="CM123" s="212"/>
      <c r="CN123" s="212"/>
      <c r="CO123" s="212"/>
      <c r="CP123" s="212"/>
      <c r="CQ123" s="212"/>
      <c r="CR123" s="212"/>
      <c r="CS123" s="212"/>
      <c r="CT123" s="212"/>
      <c r="CU123" s="212"/>
      <c r="CV123" s="212"/>
      <c r="CW123" s="212"/>
      <c r="CX123" s="212"/>
      <c r="CY123" s="216">
        <f t="shared" si="60"/>
        <v>0</v>
      </c>
      <c r="CZ123" s="185">
        <f t="shared" si="48"/>
        <v>0</v>
      </c>
      <c r="DA123" s="217">
        <f t="shared" si="61"/>
        <v>0.32969000000000004</v>
      </c>
      <c r="DB123" s="217">
        <f t="shared" si="62"/>
        <v>0</v>
      </c>
      <c r="DC123" s="217">
        <f t="shared" si="50"/>
        <v>0.32969000000000004</v>
      </c>
      <c r="DD123" s="256">
        <v>0.32969000000000004</v>
      </c>
      <c r="DE123" s="217">
        <f t="shared" si="51"/>
        <v>0</v>
      </c>
      <c r="DF123" s="185" t="e">
        <f>SUM(DN123:DO123)-SUM(#REF!,BV123)+BU123</f>
        <v>#REF!</v>
      </c>
      <c r="DG123" s="223"/>
      <c r="DH123" s="241">
        <f t="shared" si="52"/>
        <v>0.32969000000000004</v>
      </c>
      <c r="DI123" s="241">
        <f t="shared" si="53"/>
        <v>0</v>
      </c>
      <c r="DJ123" s="241">
        <f t="shared" si="54"/>
        <v>0</v>
      </c>
      <c r="DK123" s="241" t="e">
        <f>SUM(BS123,#REF!,BV123)</f>
        <v>#REF!</v>
      </c>
      <c r="DL123" s="155">
        <v>213</v>
      </c>
      <c r="DM123" s="155">
        <v>207.5797</v>
      </c>
      <c r="DN123" s="155">
        <v>0</v>
      </c>
      <c r="DO123" s="155">
        <v>0</v>
      </c>
      <c r="DP123" s="155">
        <v>207.5797</v>
      </c>
      <c r="DQ123" s="155">
        <v>5.4203000000000001</v>
      </c>
      <c r="DR123" s="23">
        <f>VLOOKUP(C123,[6]Database!$B$143:$AD$521,29,FALSE)</f>
        <v>0</v>
      </c>
      <c r="DS123" s="235">
        <f t="shared" si="55"/>
        <v>0</v>
      </c>
    </row>
    <row r="124" spans="1:123" s="23" customFormat="1" ht="24" customHeight="1">
      <c r="A124" s="18"/>
      <c r="B124" s="2">
        <v>80</v>
      </c>
      <c r="C124" s="85" t="s">
        <v>121</v>
      </c>
      <c r="D124" s="85"/>
      <c r="E124" s="85"/>
      <c r="F124" s="3">
        <v>2018</v>
      </c>
      <c r="G124" s="4">
        <v>43375</v>
      </c>
      <c r="H124" s="4">
        <v>43375</v>
      </c>
      <c r="I124" s="4">
        <v>44252</v>
      </c>
      <c r="J124" s="15">
        <f t="shared" ca="1" si="58"/>
        <v>877</v>
      </c>
      <c r="K124" s="177">
        <f t="shared" si="56"/>
        <v>43922</v>
      </c>
      <c r="L124" s="177">
        <f t="shared" si="57"/>
        <v>44105</v>
      </c>
      <c r="M124" s="177"/>
      <c r="N124" s="177"/>
      <c r="O124" s="177"/>
      <c r="P124" s="177"/>
      <c r="Q124" s="177"/>
      <c r="R124" s="3" t="s">
        <v>176</v>
      </c>
      <c r="S124" s="13" t="s">
        <v>982</v>
      </c>
      <c r="T124" s="48" t="s">
        <v>953</v>
      </c>
      <c r="U124" s="5" t="s">
        <v>9</v>
      </c>
      <c r="V124" s="268"/>
      <c r="W124" s="5" t="s">
        <v>614</v>
      </c>
      <c r="X124" s="5" t="s">
        <v>479</v>
      </c>
      <c r="Y124" s="5" t="s">
        <v>122</v>
      </c>
      <c r="Z124" s="3" t="s">
        <v>185</v>
      </c>
      <c r="AA124" s="6" t="s">
        <v>218</v>
      </c>
      <c r="AB124" s="151" t="s">
        <v>197</v>
      </c>
      <c r="AC124" s="177" t="s">
        <v>6</v>
      </c>
      <c r="AD124" s="177" t="s">
        <v>6</v>
      </c>
      <c r="AE124" s="177" t="s">
        <v>6</v>
      </c>
      <c r="AF124" s="5"/>
      <c r="AG124" s="5"/>
      <c r="AH124" s="227"/>
      <c r="AI124" s="83"/>
      <c r="AJ124" s="83"/>
      <c r="AK124" s="237" t="e">
        <f>SUM(#REF!,BT124,BV124)</f>
        <v>#REF!</v>
      </c>
      <c r="AL124" s="52"/>
      <c r="AM124" s="52"/>
      <c r="AN124" s="52"/>
      <c r="AO124" s="52"/>
      <c r="AP124" s="52"/>
      <c r="AQ124" s="52"/>
      <c r="AR124" s="56">
        <v>885.01100068635753</v>
      </c>
      <c r="AS124" s="56">
        <v>71.400000000000006</v>
      </c>
      <c r="AT124" s="56">
        <v>58.194440000000007</v>
      </c>
      <c r="AU124" s="56">
        <v>8.8639599999999987</v>
      </c>
      <c r="AV124" s="38">
        <v>1326.87</v>
      </c>
      <c r="AW124" s="38">
        <v>24.32</v>
      </c>
      <c r="AX124" s="97">
        <f t="shared" si="59"/>
        <v>1351.1899999999998</v>
      </c>
      <c r="AY124" s="169">
        <f t="shared" si="46"/>
        <v>1.3027899999999999</v>
      </c>
      <c r="AZ124" s="196">
        <v>5</v>
      </c>
      <c r="BA124" s="170">
        <v>-6.1360400000000004</v>
      </c>
      <c r="BB124" s="196">
        <v>5</v>
      </c>
      <c r="BC124" s="170">
        <v>7.4388300000000003</v>
      </c>
      <c r="BD124" s="196">
        <v>0</v>
      </c>
      <c r="BE124" s="170">
        <v>0</v>
      </c>
      <c r="BF124" s="196">
        <v>0</v>
      </c>
      <c r="BG124" s="170"/>
      <c r="BH124" s="196">
        <v>0</v>
      </c>
      <c r="BI124" s="170"/>
      <c r="BJ124" s="196">
        <v>0</v>
      </c>
      <c r="BK124" s="170"/>
      <c r="BL124" s="196"/>
      <c r="BM124" s="170"/>
      <c r="BN124" s="196"/>
      <c r="BO124" s="170"/>
      <c r="BP124" s="196"/>
      <c r="BQ124" s="170"/>
      <c r="BR124" s="196"/>
      <c r="BS124" s="170"/>
      <c r="BT124" s="196"/>
      <c r="BU124" s="170"/>
      <c r="BV124" s="196"/>
      <c r="BW124" s="251"/>
      <c r="BX124" s="254"/>
      <c r="BY124" s="88">
        <f t="shared" si="47"/>
        <v>0</v>
      </c>
      <c r="BZ124" s="258"/>
      <c r="CA124" s="258"/>
      <c r="CB124" s="258"/>
      <c r="CC124" s="258"/>
      <c r="CD124" s="258"/>
      <c r="CE124" s="258"/>
      <c r="CF124" s="258"/>
      <c r="CG124" s="258"/>
      <c r="CH124" s="258"/>
      <c r="CI124" s="258"/>
      <c r="CJ124" s="258"/>
      <c r="CK124" s="258"/>
      <c r="CL124" s="211">
        <f t="shared" si="49"/>
        <v>0</v>
      </c>
      <c r="CM124" s="212"/>
      <c r="CN124" s="212"/>
      <c r="CO124" s="212"/>
      <c r="CP124" s="212"/>
      <c r="CQ124" s="212"/>
      <c r="CR124" s="212"/>
      <c r="CS124" s="212"/>
      <c r="CT124" s="212"/>
      <c r="CU124" s="212"/>
      <c r="CV124" s="212"/>
      <c r="CW124" s="212"/>
      <c r="CX124" s="212"/>
      <c r="CY124" s="216">
        <f t="shared" si="60"/>
        <v>0</v>
      </c>
      <c r="CZ124" s="185">
        <f t="shared" si="48"/>
        <v>0</v>
      </c>
      <c r="DA124" s="217">
        <f t="shared" si="61"/>
        <v>1.3027899999999999</v>
      </c>
      <c r="DB124" s="217">
        <f t="shared" si="62"/>
        <v>0</v>
      </c>
      <c r="DC124" s="217">
        <f t="shared" si="50"/>
        <v>1.3027899999999999</v>
      </c>
      <c r="DD124" s="256">
        <v>1.3027899999999999</v>
      </c>
      <c r="DE124" s="217">
        <f t="shared" si="51"/>
        <v>0</v>
      </c>
      <c r="DF124" s="185" t="e">
        <f>SUM(DN124:DO124)-SUM(#REF!,BV124)+BU124</f>
        <v>#REF!</v>
      </c>
      <c r="DG124" s="223"/>
      <c r="DH124" s="241">
        <f t="shared" si="52"/>
        <v>1.3027899999999999</v>
      </c>
      <c r="DI124" s="241">
        <f t="shared" si="53"/>
        <v>0</v>
      </c>
      <c r="DJ124" s="241">
        <f t="shared" si="54"/>
        <v>0</v>
      </c>
      <c r="DK124" s="241" t="e">
        <f>SUM(BS124,#REF!,BV124)</f>
        <v>#REF!</v>
      </c>
      <c r="DL124" s="155">
        <v>1326.865</v>
      </c>
      <c r="DM124" s="155">
        <v>1314.9529499999999</v>
      </c>
      <c r="DN124" s="155">
        <v>0</v>
      </c>
      <c r="DO124" s="155">
        <v>0</v>
      </c>
      <c r="DP124" s="155">
        <v>1314.9529499999999</v>
      </c>
      <c r="DQ124" s="155">
        <v>11.912049999999999</v>
      </c>
      <c r="DR124" s="23">
        <f>VLOOKUP(C124,[6]Database!$B$143:$AD$521,29,FALSE)</f>
        <v>0</v>
      </c>
      <c r="DS124" s="235">
        <f t="shared" si="55"/>
        <v>0</v>
      </c>
    </row>
    <row r="125" spans="1:123" s="23" customFormat="1" ht="24" customHeight="1">
      <c r="A125" s="18"/>
      <c r="B125" s="2">
        <v>81</v>
      </c>
      <c r="C125" s="85" t="s">
        <v>125</v>
      </c>
      <c r="D125" s="85"/>
      <c r="E125" s="85" t="s">
        <v>900</v>
      </c>
      <c r="F125" s="3">
        <v>2018</v>
      </c>
      <c r="G125" s="4">
        <v>43328</v>
      </c>
      <c r="H125" s="4">
        <v>43328</v>
      </c>
      <c r="I125" s="4">
        <v>43753</v>
      </c>
      <c r="J125" s="15">
        <f t="shared" ca="1" si="58"/>
        <v>425</v>
      </c>
      <c r="K125" s="177">
        <f t="shared" si="56"/>
        <v>43875</v>
      </c>
      <c r="L125" s="177">
        <f t="shared" si="57"/>
        <v>44058</v>
      </c>
      <c r="M125" s="177"/>
      <c r="N125" s="177"/>
      <c r="O125" s="177"/>
      <c r="P125" s="177"/>
      <c r="Q125" s="177"/>
      <c r="R125" s="3" t="s">
        <v>176</v>
      </c>
      <c r="S125" s="13" t="s">
        <v>223</v>
      </c>
      <c r="T125" s="13"/>
      <c r="U125" s="5" t="s">
        <v>9</v>
      </c>
      <c r="V125" s="268"/>
      <c r="W125" s="5" t="s">
        <v>614</v>
      </c>
      <c r="X125" s="5" t="s">
        <v>481</v>
      </c>
      <c r="Y125" s="5" t="s">
        <v>126</v>
      </c>
      <c r="Z125" s="3" t="s">
        <v>186</v>
      </c>
      <c r="AA125" s="6" t="s">
        <v>218</v>
      </c>
      <c r="AB125" s="151" t="s">
        <v>197</v>
      </c>
      <c r="AC125" s="177" t="s">
        <v>6</v>
      </c>
      <c r="AD125" s="177" t="s">
        <v>6</v>
      </c>
      <c r="AE125" s="177" t="s">
        <v>6</v>
      </c>
      <c r="AF125" s="5"/>
      <c r="AG125" s="5"/>
      <c r="AH125" s="227"/>
      <c r="AI125" s="83"/>
      <c r="AJ125" s="83"/>
      <c r="AK125" s="237" t="e">
        <f>SUM(#REF!,BT125,BV125)</f>
        <v>#REF!</v>
      </c>
      <c r="AL125" s="52"/>
      <c r="AM125" s="52"/>
      <c r="AN125" s="52"/>
      <c r="AO125" s="52"/>
      <c r="AP125" s="52"/>
      <c r="AQ125" s="52"/>
      <c r="AR125" s="56">
        <v>136.40128039558789</v>
      </c>
      <c r="AS125" s="56"/>
      <c r="AT125" s="56">
        <v>0</v>
      </c>
      <c r="AU125" s="56"/>
      <c r="AV125" s="38">
        <v>240</v>
      </c>
      <c r="AW125" s="38">
        <v>0</v>
      </c>
      <c r="AX125" s="97">
        <f t="shared" si="59"/>
        <v>240</v>
      </c>
      <c r="AY125" s="169">
        <f t="shared" si="46"/>
        <v>0</v>
      </c>
      <c r="AZ125" s="196">
        <v>0</v>
      </c>
      <c r="BA125" s="170"/>
      <c r="BB125" s="196">
        <v>0</v>
      </c>
      <c r="BC125" s="170"/>
      <c r="BD125" s="196">
        <v>0</v>
      </c>
      <c r="BE125" s="170">
        <v>0</v>
      </c>
      <c r="BF125" s="196">
        <v>0</v>
      </c>
      <c r="BG125" s="170"/>
      <c r="BH125" s="196">
        <v>0</v>
      </c>
      <c r="BI125" s="170"/>
      <c r="BJ125" s="196">
        <v>0</v>
      </c>
      <c r="BK125" s="170"/>
      <c r="BL125" s="196"/>
      <c r="BM125" s="170"/>
      <c r="BN125" s="196"/>
      <c r="BO125" s="170"/>
      <c r="BP125" s="196"/>
      <c r="BQ125" s="170"/>
      <c r="BR125" s="196"/>
      <c r="BS125" s="170"/>
      <c r="BT125" s="196"/>
      <c r="BU125" s="170"/>
      <c r="BV125" s="196"/>
      <c r="BW125" s="251"/>
      <c r="BX125" s="254"/>
      <c r="BY125" s="88">
        <f t="shared" si="47"/>
        <v>0</v>
      </c>
      <c r="BZ125" s="258"/>
      <c r="CA125" s="258"/>
      <c r="CB125" s="258"/>
      <c r="CC125" s="258"/>
      <c r="CD125" s="258"/>
      <c r="CE125" s="258"/>
      <c r="CF125" s="258"/>
      <c r="CG125" s="258"/>
      <c r="CH125" s="258"/>
      <c r="CI125" s="258"/>
      <c r="CJ125" s="258"/>
      <c r="CK125" s="258"/>
      <c r="CL125" s="211">
        <f t="shared" ref="CL125:CL156" si="63">SUM(CM125:CX125)</f>
        <v>0</v>
      </c>
      <c r="CM125" s="212"/>
      <c r="CN125" s="212"/>
      <c r="CO125" s="212"/>
      <c r="CP125" s="212"/>
      <c r="CQ125" s="212"/>
      <c r="CR125" s="212"/>
      <c r="CS125" s="212"/>
      <c r="CT125" s="212"/>
      <c r="CU125" s="212"/>
      <c r="CV125" s="212"/>
      <c r="CW125" s="212"/>
      <c r="CX125" s="212"/>
      <c r="CY125" s="216">
        <f t="shared" si="60"/>
        <v>0</v>
      </c>
      <c r="CZ125" s="185">
        <f t="shared" si="48"/>
        <v>0</v>
      </c>
      <c r="DA125" s="217">
        <f t="shared" si="61"/>
        <v>0</v>
      </c>
      <c r="DB125" s="217">
        <f t="shared" si="62"/>
        <v>0</v>
      </c>
      <c r="DC125" s="217">
        <f t="shared" ref="DC125:DC156" si="64">SUM(AY125,BY125)</f>
        <v>0</v>
      </c>
      <c r="DD125" s="256">
        <v>0</v>
      </c>
      <c r="DE125" s="217">
        <f t="shared" ref="DE125:DE156" si="65">DC125-DD125</f>
        <v>0</v>
      </c>
      <c r="DF125" s="185" t="e">
        <f>SUM(DN125:DO125)-SUM(#REF!,BV125)+BU125</f>
        <v>#REF!</v>
      </c>
      <c r="DG125" s="223"/>
      <c r="DH125" s="241">
        <f t="shared" ref="DH125:DH156" si="66">SUM(BA125,BC125,BE125)</f>
        <v>0</v>
      </c>
      <c r="DI125" s="241">
        <f t="shared" ref="DI125:DI156" si="67">SUM(BG125,BI125,BK125)</f>
        <v>0</v>
      </c>
      <c r="DJ125" s="241">
        <f t="shared" ref="DJ125:DJ156" si="68">SUM(BM125,BO125,BQ125)</f>
        <v>0</v>
      </c>
      <c r="DK125" s="241" t="e">
        <f>SUM(BS125,#REF!,BV125)</f>
        <v>#REF!</v>
      </c>
      <c r="DL125" s="155">
        <v>240</v>
      </c>
      <c r="DM125" s="155">
        <v>233.93749</v>
      </c>
      <c r="DN125" s="155">
        <v>0</v>
      </c>
      <c r="DO125" s="155">
        <v>0</v>
      </c>
      <c r="DP125" s="155">
        <v>233.93749</v>
      </c>
      <c r="DQ125" s="155">
        <v>6.0625100000000005</v>
      </c>
      <c r="DS125" s="235">
        <f t="shared" ref="DS125:DS156" si="69">BY125-DR125</f>
        <v>0</v>
      </c>
    </row>
    <row r="126" spans="1:123" s="23" customFormat="1" ht="24" customHeight="1">
      <c r="A126" s="18"/>
      <c r="B126" s="2">
        <v>82</v>
      </c>
      <c r="C126" s="85" t="s">
        <v>127</v>
      </c>
      <c r="D126" s="85"/>
      <c r="E126" s="85" t="s">
        <v>885</v>
      </c>
      <c r="F126" s="3">
        <v>2018</v>
      </c>
      <c r="G126" s="4">
        <v>43390</v>
      </c>
      <c r="H126" s="187">
        <v>43390</v>
      </c>
      <c r="I126" s="4">
        <v>44201</v>
      </c>
      <c r="J126" s="15">
        <f t="shared" ca="1" si="58"/>
        <v>811</v>
      </c>
      <c r="K126" s="177">
        <f t="shared" si="56"/>
        <v>43937</v>
      </c>
      <c r="L126" s="177">
        <f t="shared" si="57"/>
        <v>44120</v>
      </c>
      <c r="M126" s="177"/>
      <c r="N126" s="177"/>
      <c r="O126" s="177"/>
      <c r="P126" s="177"/>
      <c r="Q126" s="177"/>
      <c r="R126" s="3" t="s">
        <v>176</v>
      </c>
      <c r="S126" s="13" t="s">
        <v>224</v>
      </c>
      <c r="T126" s="13" t="s">
        <v>979</v>
      </c>
      <c r="U126" s="5" t="s">
        <v>9</v>
      </c>
      <c r="V126" s="268"/>
      <c r="W126" s="5" t="s">
        <v>614</v>
      </c>
      <c r="X126" s="5" t="s">
        <v>481</v>
      </c>
      <c r="Y126" s="5" t="s">
        <v>128</v>
      </c>
      <c r="Z126" s="85" t="s">
        <v>186</v>
      </c>
      <c r="AA126" s="6" t="s">
        <v>218</v>
      </c>
      <c r="AB126" s="151" t="s">
        <v>197</v>
      </c>
      <c r="AC126" s="177" t="s">
        <v>6</v>
      </c>
      <c r="AD126" s="177" t="s">
        <v>6</v>
      </c>
      <c r="AE126" s="177" t="s">
        <v>6</v>
      </c>
      <c r="AF126" s="5"/>
      <c r="AG126" s="5"/>
      <c r="AH126" s="227"/>
      <c r="AI126" s="83"/>
      <c r="AJ126" s="83"/>
      <c r="AK126" s="237" t="e">
        <f>SUM(#REF!,BT126,BV126)</f>
        <v>#REF!</v>
      </c>
      <c r="AL126" s="52"/>
      <c r="AM126" s="52"/>
      <c r="AN126" s="52"/>
      <c r="AO126" s="52"/>
      <c r="AP126" s="52"/>
      <c r="AQ126" s="52"/>
      <c r="AR126" s="56">
        <v>226.30791068793809</v>
      </c>
      <c r="AS126" s="56">
        <v>163</v>
      </c>
      <c r="AT126" s="56">
        <v>142.49306999999999</v>
      </c>
      <c r="AU126" s="56">
        <v>54.182309999999994</v>
      </c>
      <c r="AV126" s="38">
        <v>473.67599999999999</v>
      </c>
      <c r="AW126" s="38">
        <v>19.09</v>
      </c>
      <c r="AX126" s="97">
        <f t="shared" si="59"/>
        <v>492.76599999999996</v>
      </c>
      <c r="AY126" s="169">
        <f t="shared" si="46"/>
        <v>40.768479999999997</v>
      </c>
      <c r="AZ126" s="196">
        <v>20</v>
      </c>
      <c r="BA126" s="170">
        <v>16.701889999999999</v>
      </c>
      <c r="BB126" s="196">
        <v>5</v>
      </c>
      <c r="BC126" s="170">
        <v>4.9975800000000001</v>
      </c>
      <c r="BD126" s="196">
        <v>26</v>
      </c>
      <c r="BE126" s="170">
        <v>8.7774599999999996</v>
      </c>
      <c r="BF126" s="196">
        <v>12</v>
      </c>
      <c r="BG126" s="170">
        <v>10.291549999999999</v>
      </c>
      <c r="BH126" s="196">
        <v>0</v>
      </c>
      <c r="BI126" s="170">
        <v>-0.22494999999999998</v>
      </c>
      <c r="BJ126" s="196">
        <v>0</v>
      </c>
      <c r="BK126" s="170">
        <v>0.22494999999999998</v>
      </c>
      <c r="BL126" s="196"/>
      <c r="BM126" s="170"/>
      <c r="BN126" s="196"/>
      <c r="BO126" s="170"/>
      <c r="BP126" s="196"/>
      <c r="BQ126" s="170"/>
      <c r="BR126" s="196"/>
      <c r="BS126" s="170"/>
      <c r="BT126" s="196"/>
      <c r="BU126" s="170"/>
      <c r="BV126" s="196"/>
      <c r="BW126" s="251"/>
      <c r="BX126" s="254"/>
      <c r="BY126" s="88">
        <f t="shared" si="47"/>
        <v>0</v>
      </c>
      <c r="BZ126" s="258"/>
      <c r="CA126" s="258"/>
      <c r="CB126" s="258"/>
      <c r="CC126" s="258"/>
      <c r="CD126" s="258"/>
      <c r="CE126" s="258"/>
      <c r="CF126" s="258"/>
      <c r="CG126" s="258"/>
      <c r="CH126" s="258"/>
      <c r="CI126" s="258"/>
      <c r="CJ126" s="258"/>
      <c r="CK126" s="258"/>
      <c r="CL126" s="211">
        <f t="shared" si="63"/>
        <v>0</v>
      </c>
      <c r="CM126" s="212"/>
      <c r="CN126" s="212"/>
      <c r="CO126" s="212"/>
      <c r="CP126" s="212"/>
      <c r="CQ126" s="212"/>
      <c r="CR126" s="212"/>
      <c r="CS126" s="212"/>
      <c r="CT126" s="212"/>
      <c r="CU126" s="212"/>
      <c r="CV126" s="212"/>
      <c r="CW126" s="212"/>
      <c r="CX126" s="212"/>
      <c r="CY126" s="216">
        <f t="shared" si="60"/>
        <v>0</v>
      </c>
      <c r="CZ126" s="185">
        <f t="shared" si="48"/>
        <v>0</v>
      </c>
      <c r="DA126" s="217">
        <f t="shared" si="61"/>
        <v>40.768479999999997</v>
      </c>
      <c r="DB126" s="217">
        <f t="shared" si="62"/>
        <v>0</v>
      </c>
      <c r="DC126" s="217">
        <f t="shared" si="64"/>
        <v>40.768479999999997</v>
      </c>
      <c r="DD126" s="256">
        <v>40.768479999999997</v>
      </c>
      <c r="DE126" s="217">
        <f t="shared" si="65"/>
        <v>0</v>
      </c>
      <c r="DF126" s="185" t="e">
        <f>SUM(DN126:DO126)-SUM(#REF!,BV126)+BU126</f>
        <v>#REF!</v>
      </c>
      <c r="DG126" s="223"/>
      <c r="DH126" s="241">
        <f t="shared" si="66"/>
        <v>30.476929999999996</v>
      </c>
      <c r="DI126" s="241">
        <f t="shared" si="67"/>
        <v>10.291549999999999</v>
      </c>
      <c r="DJ126" s="241">
        <f t="shared" si="68"/>
        <v>0</v>
      </c>
      <c r="DK126" s="241" t="e">
        <f>SUM(BS126,#REF!,BV126)</f>
        <v>#REF!</v>
      </c>
      <c r="DL126" s="155">
        <v>473.67599999999999</v>
      </c>
      <c r="DM126" s="155">
        <v>409.64359999999999</v>
      </c>
      <c r="DN126" s="155">
        <v>0</v>
      </c>
      <c r="DO126" s="155">
        <v>0</v>
      </c>
      <c r="DP126" s="155">
        <v>409.64359999999999</v>
      </c>
      <c r="DQ126" s="155">
        <v>64.032399999999996</v>
      </c>
      <c r="DR126" s="23">
        <f>VLOOKUP(C126,[6]Database!$B$143:$AD$521,29,FALSE)</f>
        <v>0</v>
      </c>
      <c r="DS126" s="235">
        <f t="shared" si="69"/>
        <v>0</v>
      </c>
    </row>
    <row r="127" spans="1:123" s="23" customFormat="1" ht="24" customHeight="1">
      <c r="A127" s="18"/>
      <c r="B127" s="2">
        <v>83</v>
      </c>
      <c r="C127" s="85" t="s">
        <v>91</v>
      </c>
      <c r="D127" s="85"/>
      <c r="E127" s="85" t="s">
        <v>899</v>
      </c>
      <c r="F127" s="3">
        <v>2018</v>
      </c>
      <c r="G127" s="4">
        <v>43328</v>
      </c>
      <c r="H127" s="4">
        <v>43328</v>
      </c>
      <c r="I127" s="4">
        <v>44252</v>
      </c>
      <c r="J127" s="15">
        <f t="shared" ca="1" si="58"/>
        <v>924</v>
      </c>
      <c r="K127" s="177">
        <f t="shared" ref="K127:K158" si="70">IF(H127="","",H127+547)</f>
        <v>43875</v>
      </c>
      <c r="L127" s="177">
        <f t="shared" ref="L127:L158" si="71">IF(H127="","",H127+730)</f>
        <v>44058</v>
      </c>
      <c r="M127" s="177"/>
      <c r="N127" s="177"/>
      <c r="O127" s="177"/>
      <c r="P127" s="177"/>
      <c r="Q127" s="177"/>
      <c r="R127" s="3" t="s">
        <v>180</v>
      </c>
      <c r="S127" s="13" t="s">
        <v>223</v>
      </c>
      <c r="T127" s="13"/>
      <c r="U127" s="5" t="s">
        <v>9</v>
      </c>
      <c r="V127" s="268"/>
      <c r="W127" s="5" t="s">
        <v>614</v>
      </c>
      <c r="X127" s="5" t="s">
        <v>476</v>
      </c>
      <c r="Y127" s="5" t="s">
        <v>92</v>
      </c>
      <c r="Z127" s="3" t="s">
        <v>188</v>
      </c>
      <c r="AA127" s="6" t="s">
        <v>218</v>
      </c>
      <c r="AB127" s="151" t="s">
        <v>197</v>
      </c>
      <c r="AC127" s="177" t="s">
        <v>6</v>
      </c>
      <c r="AD127" s="177" t="s">
        <v>6</v>
      </c>
      <c r="AE127" s="177" t="s">
        <v>6</v>
      </c>
      <c r="AF127" s="5"/>
      <c r="AG127" s="5"/>
      <c r="AH127" s="227"/>
      <c r="AI127" s="83"/>
      <c r="AJ127" s="83"/>
      <c r="AK127" s="237" t="e">
        <f>SUM(#REF!,BT127,BV127)</f>
        <v>#REF!</v>
      </c>
      <c r="AL127" s="166"/>
      <c r="AM127" s="166"/>
      <c r="AN127" s="166"/>
      <c r="AO127" s="166"/>
      <c r="AP127" s="166"/>
      <c r="AQ127" s="166"/>
      <c r="AR127" s="56">
        <v>40.887903618015933</v>
      </c>
      <c r="AS127" s="56">
        <v>55.7</v>
      </c>
      <c r="AT127" s="56">
        <v>26.214960000000005</v>
      </c>
      <c r="AU127" s="56">
        <v>9.9</v>
      </c>
      <c r="AV127" s="38">
        <v>77.8</v>
      </c>
      <c r="AW127" s="38">
        <v>0</v>
      </c>
      <c r="AX127" s="97">
        <f t="shared" si="59"/>
        <v>77.8</v>
      </c>
      <c r="AY127" s="169">
        <f t="shared" si="46"/>
        <v>0</v>
      </c>
      <c r="AZ127" s="196">
        <v>0</v>
      </c>
      <c r="BA127" s="170">
        <v>0</v>
      </c>
      <c r="BB127" s="196">
        <v>0</v>
      </c>
      <c r="BC127" s="170"/>
      <c r="BD127" s="196">
        <v>0</v>
      </c>
      <c r="BE127" s="170">
        <v>0</v>
      </c>
      <c r="BF127" s="196">
        <v>0</v>
      </c>
      <c r="BG127" s="170"/>
      <c r="BH127" s="196">
        <v>0</v>
      </c>
      <c r="BI127" s="170"/>
      <c r="BJ127" s="196">
        <v>0</v>
      </c>
      <c r="BK127" s="170"/>
      <c r="BL127" s="196"/>
      <c r="BM127" s="170"/>
      <c r="BN127" s="196"/>
      <c r="BO127" s="170"/>
      <c r="BP127" s="196"/>
      <c r="BQ127" s="170"/>
      <c r="BR127" s="196"/>
      <c r="BS127" s="170"/>
      <c r="BT127" s="196"/>
      <c r="BU127" s="170"/>
      <c r="BV127" s="196"/>
      <c r="BW127" s="251"/>
      <c r="BX127" s="254"/>
      <c r="BY127" s="88">
        <f t="shared" si="47"/>
        <v>0</v>
      </c>
      <c r="BZ127" s="214"/>
      <c r="CA127" s="214"/>
      <c r="CB127" s="214"/>
      <c r="CC127" s="214"/>
      <c r="CD127" s="214"/>
      <c r="CE127" s="214"/>
      <c r="CF127" s="214"/>
      <c r="CG127" s="214"/>
      <c r="CH127" s="214"/>
      <c r="CI127" s="214"/>
      <c r="CJ127" s="214"/>
      <c r="CK127" s="214"/>
      <c r="CL127" s="211">
        <f t="shared" si="63"/>
        <v>0</v>
      </c>
      <c r="CM127" s="212"/>
      <c r="CN127" s="212"/>
      <c r="CO127" s="212"/>
      <c r="CP127" s="212"/>
      <c r="CQ127" s="212"/>
      <c r="CR127" s="212"/>
      <c r="CS127" s="212"/>
      <c r="CT127" s="212"/>
      <c r="CU127" s="212"/>
      <c r="CV127" s="212"/>
      <c r="CW127" s="212"/>
      <c r="CX127" s="212"/>
      <c r="CY127" s="216">
        <f t="shared" si="60"/>
        <v>0</v>
      </c>
      <c r="CZ127" s="185">
        <f t="shared" si="48"/>
        <v>0</v>
      </c>
      <c r="DA127" s="217">
        <f t="shared" si="61"/>
        <v>0</v>
      </c>
      <c r="DB127" s="217">
        <f t="shared" si="62"/>
        <v>0</v>
      </c>
      <c r="DC127" s="217">
        <f t="shared" si="64"/>
        <v>0</v>
      </c>
      <c r="DD127" s="256">
        <v>0</v>
      </c>
      <c r="DE127" s="217">
        <f t="shared" si="65"/>
        <v>0</v>
      </c>
      <c r="DF127" s="185" t="e">
        <f>SUM(DN127:DO127)-SUM(#REF!,BV127)+BU127</f>
        <v>#REF!</v>
      </c>
      <c r="DG127" s="223"/>
      <c r="DH127" s="241">
        <f t="shared" si="66"/>
        <v>0</v>
      </c>
      <c r="DI127" s="241">
        <f t="shared" si="67"/>
        <v>0</v>
      </c>
      <c r="DJ127" s="241">
        <f t="shared" si="68"/>
        <v>0</v>
      </c>
      <c r="DK127" s="241" t="e">
        <f>SUM(BS127,#REF!,BV127)</f>
        <v>#REF!</v>
      </c>
      <c r="DL127" s="155">
        <v>77.8</v>
      </c>
      <c r="DM127" s="155">
        <v>67.885159999999999</v>
      </c>
      <c r="DN127" s="155">
        <v>0</v>
      </c>
      <c r="DO127" s="155">
        <v>0</v>
      </c>
      <c r="DP127" s="155">
        <v>67.885159999999999</v>
      </c>
      <c r="DQ127" s="155">
        <v>9.9148399999999999</v>
      </c>
      <c r="DR127" s="23">
        <f>VLOOKUP(C127,[6]Database!$B$143:$AD$521,29,FALSE)</f>
        <v>0</v>
      </c>
      <c r="DS127" s="235">
        <f t="shared" si="69"/>
        <v>0</v>
      </c>
    </row>
    <row r="128" spans="1:123" s="23" customFormat="1" ht="24" customHeight="1">
      <c r="A128" s="18"/>
      <c r="B128" s="2">
        <v>84</v>
      </c>
      <c r="C128" s="85" t="s">
        <v>87</v>
      </c>
      <c r="D128" s="85"/>
      <c r="E128" s="85" t="s">
        <v>915</v>
      </c>
      <c r="F128" s="3">
        <v>2018</v>
      </c>
      <c r="G128" s="4">
        <v>43390</v>
      </c>
      <c r="H128" s="4">
        <v>43390</v>
      </c>
      <c r="I128" s="4">
        <v>43752</v>
      </c>
      <c r="J128" s="15">
        <f t="shared" ca="1" si="58"/>
        <v>362</v>
      </c>
      <c r="K128" s="177">
        <f t="shared" si="70"/>
        <v>43937</v>
      </c>
      <c r="L128" s="177">
        <f t="shared" si="71"/>
        <v>44120</v>
      </c>
      <c r="M128" s="177"/>
      <c r="N128" s="177"/>
      <c r="O128" s="177"/>
      <c r="P128" s="177"/>
      <c r="Q128" s="177"/>
      <c r="R128" s="3" t="s">
        <v>180</v>
      </c>
      <c r="S128" s="13" t="s">
        <v>223</v>
      </c>
      <c r="T128" s="13"/>
      <c r="U128" s="5" t="s">
        <v>9</v>
      </c>
      <c r="V128" s="268"/>
      <c r="W128" s="5" t="s">
        <v>614</v>
      </c>
      <c r="X128" s="5" t="s">
        <v>476</v>
      </c>
      <c r="Y128" s="5" t="s">
        <v>88</v>
      </c>
      <c r="Z128" s="3" t="s">
        <v>186</v>
      </c>
      <c r="AA128" s="6" t="s">
        <v>218</v>
      </c>
      <c r="AB128" s="151" t="s">
        <v>197</v>
      </c>
      <c r="AC128" s="177" t="s">
        <v>6</v>
      </c>
      <c r="AD128" s="177" t="s">
        <v>6</v>
      </c>
      <c r="AE128" s="177" t="s">
        <v>6</v>
      </c>
      <c r="AF128" s="5"/>
      <c r="AG128" s="5"/>
      <c r="AH128" s="227"/>
      <c r="AI128" s="83"/>
      <c r="AJ128" s="83"/>
      <c r="AK128" s="237" t="e">
        <f>SUM(#REF!,BT128,BV128)</f>
        <v>#REF!</v>
      </c>
      <c r="AL128" s="52"/>
      <c r="AM128" s="52"/>
      <c r="AN128" s="52"/>
      <c r="AO128" s="52"/>
      <c r="AP128" s="52"/>
      <c r="AQ128" s="52"/>
      <c r="AR128" s="56">
        <v>21.582529571970742</v>
      </c>
      <c r="AS128" s="56"/>
      <c r="AT128" s="56">
        <v>0</v>
      </c>
      <c r="AU128" s="56"/>
      <c r="AV128" s="38">
        <v>145.15</v>
      </c>
      <c r="AW128" s="38">
        <v>0</v>
      </c>
      <c r="AX128" s="97">
        <f t="shared" si="59"/>
        <v>145.15</v>
      </c>
      <c r="AY128" s="169">
        <f t="shared" si="46"/>
        <v>0</v>
      </c>
      <c r="AZ128" s="196">
        <v>0</v>
      </c>
      <c r="BA128" s="170"/>
      <c r="BB128" s="196">
        <v>0</v>
      </c>
      <c r="BC128" s="170"/>
      <c r="BD128" s="196">
        <v>0</v>
      </c>
      <c r="BE128" s="170">
        <v>0</v>
      </c>
      <c r="BF128" s="196">
        <v>0</v>
      </c>
      <c r="BG128" s="170"/>
      <c r="BH128" s="196">
        <v>0</v>
      </c>
      <c r="BI128" s="170"/>
      <c r="BJ128" s="196">
        <v>0</v>
      </c>
      <c r="BK128" s="170"/>
      <c r="BL128" s="196"/>
      <c r="BM128" s="170"/>
      <c r="BN128" s="196"/>
      <c r="BO128" s="170"/>
      <c r="BP128" s="196"/>
      <c r="BQ128" s="170"/>
      <c r="BR128" s="196"/>
      <c r="BS128" s="170"/>
      <c r="BT128" s="196"/>
      <c r="BU128" s="170"/>
      <c r="BV128" s="196"/>
      <c r="BW128" s="251"/>
      <c r="BX128" s="254"/>
      <c r="BY128" s="88">
        <f t="shared" si="47"/>
        <v>0</v>
      </c>
      <c r="BZ128" s="214"/>
      <c r="CA128" s="214"/>
      <c r="CB128" s="214"/>
      <c r="CC128" s="214"/>
      <c r="CD128" s="214"/>
      <c r="CE128" s="214"/>
      <c r="CF128" s="214"/>
      <c r="CG128" s="214"/>
      <c r="CH128" s="214"/>
      <c r="CI128" s="214"/>
      <c r="CJ128" s="214"/>
      <c r="CK128" s="214"/>
      <c r="CL128" s="211">
        <f t="shared" si="63"/>
        <v>0</v>
      </c>
      <c r="CM128" s="212"/>
      <c r="CN128" s="212"/>
      <c r="CO128" s="212"/>
      <c r="CP128" s="212"/>
      <c r="CQ128" s="212"/>
      <c r="CR128" s="212"/>
      <c r="CS128" s="212"/>
      <c r="CT128" s="212"/>
      <c r="CU128" s="212"/>
      <c r="CV128" s="212"/>
      <c r="CW128" s="212"/>
      <c r="CX128" s="212"/>
      <c r="CY128" s="216">
        <f t="shared" si="60"/>
        <v>0</v>
      </c>
      <c r="CZ128" s="185">
        <f t="shared" si="48"/>
        <v>0</v>
      </c>
      <c r="DA128" s="217">
        <f t="shared" si="61"/>
        <v>0</v>
      </c>
      <c r="DB128" s="217">
        <f t="shared" si="62"/>
        <v>0</v>
      </c>
      <c r="DC128" s="217">
        <f t="shared" si="64"/>
        <v>0</v>
      </c>
      <c r="DD128" s="256">
        <v>0</v>
      </c>
      <c r="DE128" s="217">
        <f t="shared" si="65"/>
        <v>0</v>
      </c>
      <c r="DF128" s="185" t="e">
        <f>SUM(DN128:DO128)-SUM(#REF!,BV128)+BU128</f>
        <v>#REF!</v>
      </c>
      <c r="DG128" s="223"/>
      <c r="DH128" s="241">
        <f t="shared" si="66"/>
        <v>0</v>
      </c>
      <c r="DI128" s="241">
        <f t="shared" si="67"/>
        <v>0</v>
      </c>
      <c r="DJ128" s="241">
        <f t="shared" si="68"/>
        <v>0</v>
      </c>
      <c r="DK128" s="241" t="e">
        <f>SUM(BS128,#REF!,BV128)</f>
        <v>#REF!</v>
      </c>
      <c r="DL128" s="155">
        <v>145.15</v>
      </c>
      <c r="DM128" s="155">
        <v>16.617819999999998</v>
      </c>
      <c r="DN128" s="155">
        <v>0</v>
      </c>
      <c r="DO128" s="155">
        <v>0</v>
      </c>
      <c r="DP128" s="155">
        <v>16.617819999999998</v>
      </c>
      <c r="DQ128" s="155">
        <v>128.53217999999998</v>
      </c>
      <c r="DS128" s="235">
        <f t="shared" si="69"/>
        <v>0</v>
      </c>
    </row>
    <row r="129" spans="1:123" s="23" customFormat="1" ht="24" customHeight="1">
      <c r="A129" s="18"/>
      <c r="B129" s="2">
        <v>85</v>
      </c>
      <c r="C129" s="85" t="s">
        <v>123</v>
      </c>
      <c r="D129" s="85"/>
      <c r="E129" s="85" t="s">
        <v>916</v>
      </c>
      <c r="F129" s="3">
        <v>2018</v>
      </c>
      <c r="G129" s="4">
        <v>43405</v>
      </c>
      <c r="H129" s="4">
        <v>43405</v>
      </c>
      <c r="I129" s="4">
        <v>43819</v>
      </c>
      <c r="J129" s="15">
        <f t="shared" ca="1" si="58"/>
        <v>414</v>
      </c>
      <c r="K129" s="177">
        <f t="shared" si="70"/>
        <v>43952</v>
      </c>
      <c r="L129" s="177">
        <f t="shared" si="71"/>
        <v>44135</v>
      </c>
      <c r="M129" s="177"/>
      <c r="N129" s="177"/>
      <c r="O129" s="177"/>
      <c r="P129" s="177"/>
      <c r="Q129" s="177"/>
      <c r="R129" s="3" t="s">
        <v>176</v>
      </c>
      <c r="S129" s="13" t="s">
        <v>223</v>
      </c>
      <c r="T129" s="13"/>
      <c r="U129" s="5" t="s">
        <v>9</v>
      </c>
      <c r="V129" s="268">
        <v>457281</v>
      </c>
      <c r="W129" s="5" t="s">
        <v>614</v>
      </c>
      <c r="X129" s="5" t="s">
        <v>477</v>
      </c>
      <c r="Y129" s="5" t="s">
        <v>221</v>
      </c>
      <c r="Z129" s="3" t="s">
        <v>186</v>
      </c>
      <c r="AA129" s="6" t="s">
        <v>218</v>
      </c>
      <c r="AB129" s="151" t="s">
        <v>197</v>
      </c>
      <c r="AC129" s="177" t="s">
        <v>6</v>
      </c>
      <c r="AD129" s="177" t="s">
        <v>6</v>
      </c>
      <c r="AE129" s="177" t="s">
        <v>6</v>
      </c>
      <c r="AF129" s="5"/>
      <c r="AG129" s="5"/>
      <c r="AH129" s="227"/>
      <c r="AI129" s="83"/>
      <c r="AJ129" s="83"/>
      <c r="AK129" s="237" t="e">
        <f>SUM(#REF!,BT129,BV129)</f>
        <v>#REF!</v>
      </c>
      <c r="AL129" s="52"/>
      <c r="AM129" s="52"/>
      <c r="AN129" s="52"/>
      <c r="AO129" s="52"/>
      <c r="AP129" s="52"/>
      <c r="AQ129" s="52"/>
      <c r="AR129" s="56">
        <v>100.49417791974089</v>
      </c>
      <c r="AS129" s="56">
        <v>10.6</v>
      </c>
      <c r="AT129" s="56">
        <v>1.0650200000000001</v>
      </c>
      <c r="AU129" s="56"/>
      <c r="AV129" s="38">
        <v>109</v>
      </c>
      <c r="AW129" s="38">
        <v>3</v>
      </c>
      <c r="AX129" s="97">
        <f t="shared" si="59"/>
        <v>112</v>
      </c>
      <c r="AY129" s="169">
        <f t="shared" si="46"/>
        <v>0</v>
      </c>
      <c r="AZ129" s="196">
        <v>0</v>
      </c>
      <c r="BA129" s="170"/>
      <c r="BB129" s="196">
        <v>0</v>
      </c>
      <c r="BC129" s="170"/>
      <c r="BD129" s="196">
        <v>0</v>
      </c>
      <c r="BE129" s="170">
        <v>0</v>
      </c>
      <c r="BF129" s="196">
        <v>0</v>
      </c>
      <c r="BG129" s="170"/>
      <c r="BH129" s="196">
        <v>0</v>
      </c>
      <c r="BI129" s="170"/>
      <c r="BJ129" s="196">
        <v>0</v>
      </c>
      <c r="BK129" s="170"/>
      <c r="BL129" s="196"/>
      <c r="BM129" s="170"/>
      <c r="BN129" s="196"/>
      <c r="BO129" s="170"/>
      <c r="BP129" s="196"/>
      <c r="BQ129" s="170"/>
      <c r="BR129" s="196"/>
      <c r="BS129" s="170"/>
      <c r="BT129" s="196"/>
      <c r="BU129" s="170"/>
      <c r="BV129" s="196"/>
      <c r="BW129" s="251"/>
      <c r="BX129" s="254"/>
      <c r="BY129" s="88">
        <f t="shared" si="47"/>
        <v>0</v>
      </c>
      <c r="BZ129" s="258"/>
      <c r="CA129" s="258"/>
      <c r="CB129" s="258"/>
      <c r="CC129" s="258"/>
      <c r="CD129" s="258"/>
      <c r="CE129" s="258"/>
      <c r="CF129" s="258"/>
      <c r="CG129" s="258"/>
      <c r="CH129" s="258"/>
      <c r="CI129" s="258"/>
      <c r="CJ129" s="258"/>
      <c r="CK129" s="258"/>
      <c r="CL129" s="211">
        <f t="shared" si="63"/>
        <v>0</v>
      </c>
      <c r="CM129" s="212"/>
      <c r="CN129" s="212"/>
      <c r="CO129" s="212"/>
      <c r="CP129" s="212"/>
      <c r="CQ129" s="212"/>
      <c r="CR129" s="212"/>
      <c r="CS129" s="212"/>
      <c r="CT129" s="212"/>
      <c r="CU129" s="212"/>
      <c r="CV129" s="212"/>
      <c r="CW129" s="212"/>
      <c r="CX129" s="212"/>
      <c r="CY129" s="216">
        <f t="shared" si="60"/>
        <v>0</v>
      </c>
      <c r="CZ129" s="185">
        <f t="shared" si="48"/>
        <v>0</v>
      </c>
      <c r="DA129" s="217">
        <f t="shared" si="61"/>
        <v>0</v>
      </c>
      <c r="DB129" s="217">
        <f t="shared" si="62"/>
        <v>0</v>
      </c>
      <c r="DC129" s="217">
        <f t="shared" si="64"/>
        <v>0</v>
      </c>
      <c r="DD129" s="256">
        <v>0</v>
      </c>
      <c r="DE129" s="217">
        <f t="shared" si="65"/>
        <v>0</v>
      </c>
      <c r="DF129" s="185" t="e">
        <f>SUM(DN129:DO129)-SUM(#REF!,BV129)+BU129</f>
        <v>#REF!</v>
      </c>
      <c r="DG129" s="223"/>
      <c r="DH129" s="241">
        <f t="shared" si="66"/>
        <v>0</v>
      </c>
      <c r="DI129" s="241">
        <f t="shared" si="67"/>
        <v>0</v>
      </c>
      <c r="DJ129" s="241">
        <f t="shared" si="68"/>
        <v>0</v>
      </c>
      <c r="DK129" s="241" t="e">
        <f>SUM(BS129,#REF!,BV129)</f>
        <v>#REF!</v>
      </c>
      <c r="DL129" s="155">
        <v>109</v>
      </c>
      <c r="DM129" s="155">
        <v>102.42585000000001</v>
      </c>
      <c r="DN129" s="155">
        <v>0</v>
      </c>
      <c r="DO129" s="155">
        <v>0</v>
      </c>
      <c r="DP129" s="155">
        <v>102.42585000000001</v>
      </c>
      <c r="DQ129" s="155">
        <v>6.5741499999999995</v>
      </c>
      <c r="DS129" s="235">
        <f t="shared" si="69"/>
        <v>0</v>
      </c>
    </row>
    <row r="130" spans="1:123" s="23" customFormat="1" ht="24" customHeight="1">
      <c r="A130" s="18"/>
      <c r="B130" s="2">
        <v>86</v>
      </c>
      <c r="C130" s="85" t="s">
        <v>85</v>
      </c>
      <c r="D130" s="85"/>
      <c r="E130" s="85"/>
      <c r="F130" s="3">
        <v>2018</v>
      </c>
      <c r="G130" s="4">
        <v>43335</v>
      </c>
      <c r="H130" s="4">
        <v>43335</v>
      </c>
      <c r="I130" s="4">
        <v>43588</v>
      </c>
      <c r="J130" s="15">
        <f t="shared" ca="1" si="58"/>
        <v>253</v>
      </c>
      <c r="K130" s="177">
        <f t="shared" si="70"/>
        <v>43882</v>
      </c>
      <c r="L130" s="177">
        <f t="shared" si="71"/>
        <v>44065</v>
      </c>
      <c r="M130" s="177"/>
      <c r="N130" s="177"/>
      <c r="O130" s="177"/>
      <c r="P130" s="177"/>
      <c r="Q130" s="177"/>
      <c r="R130" s="3" t="s">
        <v>179</v>
      </c>
      <c r="S130" s="13"/>
      <c r="T130" s="13"/>
      <c r="U130" s="5" t="s">
        <v>9</v>
      </c>
      <c r="V130" s="268"/>
      <c r="W130" s="5" t="s">
        <v>614</v>
      </c>
      <c r="X130" s="5" t="s">
        <v>476</v>
      </c>
      <c r="Y130" s="5" t="s">
        <v>86</v>
      </c>
      <c r="Z130" s="3" t="s">
        <v>181</v>
      </c>
      <c r="AA130" s="6" t="s">
        <v>218</v>
      </c>
      <c r="AB130" s="151" t="s">
        <v>197</v>
      </c>
      <c r="AC130" s="177" t="s">
        <v>6</v>
      </c>
      <c r="AD130" s="177" t="s">
        <v>6</v>
      </c>
      <c r="AE130" s="177" t="s">
        <v>6</v>
      </c>
      <c r="AF130" s="5"/>
      <c r="AG130" s="5"/>
      <c r="AH130" s="227"/>
      <c r="AI130" s="83"/>
      <c r="AJ130" s="83"/>
      <c r="AK130" s="237" t="e">
        <f>SUM(#REF!,BT130,BV130)</f>
        <v>#REF!</v>
      </c>
      <c r="AL130" s="52"/>
      <c r="AM130" s="52"/>
      <c r="AN130" s="52"/>
      <c r="AO130" s="52"/>
      <c r="AP130" s="52"/>
      <c r="AQ130" s="52"/>
      <c r="AR130" s="56">
        <v>-0.73</v>
      </c>
      <c r="AS130" s="56"/>
      <c r="AT130" s="56">
        <v>0</v>
      </c>
      <c r="AU130" s="56"/>
      <c r="AV130" s="38">
        <v>74.5</v>
      </c>
      <c r="AW130" s="38">
        <v>0</v>
      </c>
      <c r="AX130" s="97">
        <f t="shared" si="59"/>
        <v>74.5</v>
      </c>
      <c r="AY130" s="169">
        <f t="shared" si="46"/>
        <v>0</v>
      </c>
      <c r="AZ130" s="196">
        <v>0</v>
      </c>
      <c r="BA130" s="170"/>
      <c r="BB130" s="196">
        <v>0</v>
      </c>
      <c r="BC130" s="170"/>
      <c r="BD130" s="196">
        <v>0</v>
      </c>
      <c r="BE130" s="170">
        <v>0</v>
      </c>
      <c r="BF130" s="196">
        <v>0</v>
      </c>
      <c r="BG130" s="170"/>
      <c r="BH130" s="196">
        <v>0</v>
      </c>
      <c r="BI130" s="170"/>
      <c r="BJ130" s="196">
        <v>0</v>
      </c>
      <c r="BK130" s="170"/>
      <c r="BL130" s="196"/>
      <c r="BM130" s="170"/>
      <c r="BN130" s="196"/>
      <c r="BO130" s="170"/>
      <c r="BP130" s="196"/>
      <c r="BQ130" s="170"/>
      <c r="BR130" s="196"/>
      <c r="BS130" s="170"/>
      <c r="BT130" s="196"/>
      <c r="BU130" s="170"/>
      <c r="BV130" s="196"/>
      <c r="BW130" s="251"/>
      <c r="BX130" s="254"/>
      <c r="BY130" s="88">
        <f t="shared" si="47"/>
        <v>0</v>
      </c>
      <c r="BZ130" s="214"/>
      <c r="CA130" s="214"/>
      <c r="CB130" s="214"/>
      <c r="CC130" s="214"/>
      <c r="CD130" s="214"/>
      <c r="CE130" s="214"/>
      <c r="CF130" s="214"/>
      <c r="CG130" s="214"/>
      <c r="CH130" s="214"/>
      <c r="CI130" s="214"/>
      <c r="CJ130" s="214"/>
      <c r="CK130" s="214"/>
      <c r="CL130" s="211">
        <f t="shared" si="63"/>
        <v>0</v>
      </c>
      <c r="CM130" s="212"/>
      <c r="CN130" s="212"/>
      <c r="CO130" s="212"/>
      <c r="CP130" s="212"/>
      <c r="CQ130" s="212"/>
      <c r="CR130" s="212"/>
      <c r="CS130" s="212"/>
      <c r="CT130" s="212"/>
      <c r="CU130" s="212"/>
      <c r="CV130" s="212"/>
      <c r="CW130" s="212"/>
      <c r="CX130" s="212"/>
      <c r="CY130" s="216">
        <f t="shared" si="60"/>
        <v>0</v>
      </c>
      <c r="CZ130" s="185">
        <f t="shared" si="48"/>
        <v>0</v>
      </c>
      <c r="DA130" s="217">
        <f t="shared" si="61"/>
        <v>0</v>
      </c>
      <c r="DB130" s="217">
        <f t="shared" si="62"/>
        <v>0</v>
      </c>
      <c r="DC130" s="217">
        <f t="shared" si="64"/>
        <v>0</v>
      </c>
      <c r="DD130" s="256">
        <v>0</v>
      </c>
      <c r="DE130" s="217">
        <f t="shared" si="65"/>
        <v>0</v>
      </c>
      <c r="DF130" s="185" t="e">
        <f>SUM(DN130:DO130)-SUM(#REF!,BV130)+BU130</f>
        <v>#REF!</v>
      </c>
      <c r="DG130" s="223"/>
      <c r="DH130" s="241">
        <f t="shared" si="66"/>
        <v>0</v>
      </c>
      <c r="DI130" s="241">
        <f t="shared" si="67"/>
        <v>0</v>
      </c>
      <c r="DJ130" s="241">
        <f t="shared" si="68"/>
        <v>0</v>
      </c>
      <c r="DK130" s="241" t="e">
        <f>SUM(BS130,#REF!,BV130)</f>
        <v>#REF!</v>
      </c>
      <c r="DL130" s="155">
        <v>74.5</v>
      </c>
      <c r="DM130" s="155">
        <v>23.357099999999999</v>
      </c>
      <c r="DN130" s="155">
        <v>0</v>
      </c>
      <c r="DO130" s="155">
        <v>0</v>
      </c>
      <c r="DP130" s="155">
        <v>23.357099999999999</v>
      </c>
      <c r="DQ130" s="155">
        <v>51.142900000000004</v>
      </c>
      <c r="DS130" s="235">
        <f t="shared" si="69"/>
        <v>0</v>
      </c>
    </row>
    <row r="131" spans="1:123" s="23" customFormat="1" ht="24" customHeight="1">
      <c r="A131" s="18"/>
      <c r="B131" s="2">
        <v>87</v>
      </c>
      <c r="C131" s="85" t="s">
        <v>129</v>
      </c>
      <c r="D131" s="85"/>
      <c r="E131" s="85" t="s">
        <v>887</v>
      </c>
      <c r="F131" s="3">
        <v>2018</v>
      </c>
      <c r="G131" s="4">
        <v>43352</v>
      </c>
      <c r="H131" s="187">
        <v>43352</v>
      </c>
      <c r="I131" s="4">
        <v>44375</v>
      </c>
      <c r="J131" s="15">
        <f t="shared" ca="1" si="58"/>
        <v>1023</v>
      </c>
      <c r="K131" s="177">
        <f t="shared" si="70"/>
        <v>43899</v>
      </c>
      <c r="L131" s="177">
        <f t="shared" si="71"/>
        <v>44082</v>
      </c>
      <c r="M131" s="177"/>
      <c r="N131" s="177"/>
      <c r="O131" s="177"/>
      <c r="P131" s="177"/>
      <c r="Q131" s="177"/>
      <c r="R131" s="3" t="s">
        <v>176</v>
      </c>
      <c r="S131" s="13" t="s">
        <v>5</v>
      </c>
      <c r="T131" s="13" t="s">
        <v>961</v>
      </c>
      <c r="U131" s="5" t="s">
        <v>9</v>
      </c>
      <c r="V131" s="268">
        <v>2252277</v>
      </c>
      <c r="W131" s="5" t="s">
        <v>614</v>
      </c>
      <c r="X131" s="5" t="s">
        <v>478</v>
      </c>
      <c r="Y131" s="5" t="s">
        <v>130</v>
      </c>
      <c r="Z131" s="85" t="s">
        <v>316</v>
      </c>
      <c r="AA131" s="6" t="s">
        <v>218</v>
      </c>
      <c r="AB131" s="151" t="s">
        <v>197</v>
      </c>
      <c r="AC131" s="177" t="s">
        <v>6</v>
      </c>
      <c r="AD131" s="177" t="s">
        <v>6</v>
      </c>
      <c r="AE131" s="177" t="s">
        <v>6</v>
      </c>
      <c r="AF131" s="5"/>
      <c r="AG131" s="5"/>
      <c r="AH131" s="227"/>
      <c r="AI131" s="83"/>
      <c r="AJ131" s="83"/>
      <c r="AK131" s="237" t="e">
        <f>SUM(#REF!,BT131,BV131)</f>
        <v>#REF!</v>
      </c>
      <c r="AL131" s="166"/>
      <c r="AM131" s="166"/>
      <c r="AN131" s="166"/>
      <c r="AO131" s="166"/>
      <c r="AP131" s="166"/>
      <c r="AQ131" s="166"/>
      <c r="AR131" s="56">
        <v>68.276246646392039</v>
      </c>
      <c r="AS131" s="56">
        <v>321.39999999999998</v>
      </c>
      <c r="AT131" s="56">
        <v>227.70453000000001</v>
      </c>
      <c r="AU131" s="56">
        <v>26.905099999999997</v>
      </c>
      <c r="AV131" s="38">
        <v>390.22</v>
      </c>
      <c r="AW131" s="38">
        <v>5</v>
      </c>
      <c r="AX131" s="97">
        <f t="shared" si="59"/>
        <v>395.22</v>
      </c>
      <c r="AY131" s="169">
        <f t="shared" si="46"/>
        <v>47.411870000000008</v>
      </c>
      <c r="AZ131" s="196">
        <v>15</v>
      </c>
      <c r="BA131" s="170">
        <v>7.6993799999999988</v>
      </c>
      <c r="BB131" s="196">
        <v>3.2057200000000008</v>
      </c>
      <c r="BC131" s="170">
        <v>2.6141300000000003</v>
      </c>
      <c r="BD131" s="196">
        <v>7</v>
      </c>
      <c r="BE131" s="170">
        <v>11.77514</v>
      </c>
      <c r="BF131" s="196">
        <v>3</v>
      </c>
      <c r="BG131" s="170">
        <v>3.6895599999999997</v>
      </c>
      <c r="BH131" s="196">
        <v>8</v>
      </c>
      <c r="BI131" s="170">
        <v>14.01116</v>
      </c>
      <c r="BJ131" s="196">
        <v>5</v>
      </c>
      <c r="BK131" s="170">
        <v>7.6224999999999996</v>
      </c>
      <c r="BL131" s="196"/>
      <c r="BM131" s="170"/>
      <c r="BN131" s="196"/>
      <c r="BO131" s="170"/>
      <c r="BP131" s="196"/>
      <c r="BQ131" s="170"/>
      <c r="BR131" s="196"/>
      <c r="BS131" s="170"/>
      <c r="BT131" s="196"/>
      <c r="BU131" s="170"/>
      <c r="BV131" s="196"/>
      <c r="BW131" s="251"/>
      <c r="BX131" s="254"/>
      <c r="BY131" s="88">
        <f t="shared" si="47"/>
        <v>0</v>
      </c>
      <c r="BZ131" s="258"/>
      <c r="CA131" s="258"/>
      <c r="CB131" s="258"/>
      <c r="CC131" s="258"/>
      <c r="CD131" s="258"/>
      <c r="CE131" s="258"/>
      <c r="CF131" s="258"/>
      <c r="CG131" s="258"/>
      <c r="CH131" s="258"/>
      <c r="CI131" s="258"/>
      <c r="CJ131" s="258"/>
      <c r="CK131" s="258"/>
      <c r="CL131" s="211">
        <f t="shared" si="63"/>
        <v>0</v>
      </c>
      <c r="CM131" s="212"/>
      <c r="CN131" s="212"/>
      <c r="CO131" s="212"/>
      <c r="CP131" s="212"/>
      <c r="CQ131" s="212"/>
      <c r="CR131" s="212"/>
      <c r="CS131" s="212"/>
      <c r="CT131" s="212"/>
      <c r="CU131" s="212"/>
      <c r="CV131" s="212"/>
      <c r="CW131" s="212"/>
      <c r="CX131" s="212"/>
      <c r="CY131" s="216">
        <f t="shared" si="60"/>
        <v>0</v>
      </c>
      <c r="CZ131" s="185">
        <f t="shared" si="48"/>
        <v>0</v>
      </c>
      <c r="DA131" s="217">
        <f t="shared" si="61"/>
        <v>47.411870000000008</v>
      </c>
      <c r="DB131" s="217">
        <f t="shared" si="62"/>
        <v>0</v>
      </c>
      <c r="DC131" s="217">
        <f t="shared" si="64"/>
        <v>47.411870000000008</v>
      </c>
      <c r="DD131" s="256">
        <v>47.411870000000008</v>
      </c>
      <c r="DE131" s="217">
        <f t="shared" si="65"/>
        <v>0</v>
      </c>
      <c r="DF131" s="185" t="e">
        <f>SUM(DN131:DO131)-SUM(#REF!,BV131)+BU131</f>
        <v>#REF!</v>
      </c>
      <c r="DG131" s="223"/>
      <c r="DH131" s="241">
        <f t="shared" si="66"/>
        <v>22.088650000000001</v>
      </c>
      <c r="DI131" s="241">
        <f t="shared" si="67"/>
        <v>25.323219999999999</v>
      </c>
      <c r="DJ131" s="241">
        <f t="shared" si="68"/>
        <v>0</v>
      </c>
      <c r="DK131" s="241" t="e">
        <f>SUM(BS131,#REF!,BV131)</f>
        <v>#REF!</v>
      </c>
      <c r="DL131" s="155">
        <v>390.22399999999999</v>
      </c>
      <c r="DM131" s="155">
        <v>343.89090999999996</v>
      </c>
      <c r="DN131" s="155">
        <v>0</v>
      </c>
      <c r="DO131" s="155">
        <v>0</v>
      </c>
      <c r="DP131" s="155">
        <v>343.89090999999996</v>
      </c>
      <c r="DQ131" s="155">
        <v>46.333089999999999</v>
      </c>
      <c r="DR131" s="23">
        <f>VLOOKUP(C131,[6]Database!$B$143:$AD$521,29,FALSE)</f>
        <v>0</v>
      </c>
      <c r="DS131" s="235">
        <f t="shared" si="69"/>
        <v>0</v>
      </c>
    </row>
    <row r="132" spans="1:123" s="23" customFormat="1" ht="24" customHeight="1">
      <c r="A132" s="18"/>
      <c r="B132" s="2">
        <v>88</v>
      </c>
      <c r="C132" s="85" t="s">
        <v>131</v>
      </c>
      <c r="D132" s="85"/>
      <c r="E132" s="85" t="s">
        <v>917</v>
      </c>
      <c r="F132" s="3">
        <v>2018</v>
      </c>
      <c r="G132" s="4">
        <v>43356</v>
      </c>
      <c r="H132" s="4">
        <v>43356</v>
      </c>
      <c r="I132" s="4">
        <v>43671</v>
      </c>
      <c r="J132" s="15">
        <f t="shared" ca="1" si="58"/>
        <v>315</v>
      </c>
      <c r="K132" s="177">
        <f t="shared" si="70"/>
        <v>43903</v>
      </c>
      <c r="L132" s="177">
        <f t="shared" si="71"/>
        <v>44086</v>
      </c>
      <c r="M132" s="177"/>
      <c r="N132" s="177"/>
      <c r="O132" s="177"/>
      <c r="P132" s="177"/>
      <c r="Q132" s="177"/>
      <c r="R132" s="3" t="s">
        <v>176</v>
      </c>
      <c r="S132" s="13" t="s">
        <v>222</v>
      </c>
      <c r="T132" s="13"/>
      <c r="U132" s="5" t="s">
        <v>9</v>
      </c>
      <c r="V132" s="268"/>
      <c r="W132" s="5" t="s">
        <v>614</v>
      </c>
      <c r="X132" s="5" t="s">
        <v>475</v>
      </c>
      <c r="Y132" s="5" t="s">
        <v>132</v>
      </c>
      <c r="Z132" s="3" t="s">
        <v>186</v>
      </c>
      <c r="AA132" s="6" t="s">
        <v>218</v>
      </c>
      <c r="AB132" s="151" t="s">
        <v>197</v>
      </c>
      <c r="AC132" s="177" t="s">
        <v>6</v>
      </c>
      <c r="AD132" s="177" t="s">
        <v>6</v>
      </c>
      <c r="AE132" s="177" t="s">
        <v>6</v>
      </c>
      <c r="AF132" s="5"/>
      <c r="AG132" s="5"/>
      <c r="AH132" s="227"/>
      <c r="AI132" s="83"/>
      <c r="AJ132" s="83"/>
      <c r="AK132" s="237" t="e">
        <f>SUM(#REF!,BT132,BV132)</f>
        <v>#REF!</v>
      </c>
      <c r="AL132" s="52"/>
      <c r="AM132" s="52"/>
      <c r="AN132" s="52"/>
      <c r="AO132" s="52"/>
      <c r="AP132" s="52"/>
      <c r="AQ132" s="52"/>
      <c r="AR132" s="56">
        <v>0.16999999999999993</v>
      </c>
      <c r="AS132" s="56"/>
      <c r="AT132" s="56">
        <v>0</v>
      </c>
      <c r="AU132" s="56"/>
      <c r="AV132" s="38">
        <v>106.42</v>
      </c>
      <c r="AW132" s="38">
        <v>15</v>
      </c>
      <c r="AX132" s="97">
        <f t="shared" si="59"/>
        <v>121.42</v>
      </c>
      <c r="AY132" s="169">
        <f t="shared" si="46"/>
        <v>0</v>
      </c>
      <c r="AZ132" s="196">
        <v>0</v>
      </c>
      <c r="BA132" s="170"/>
      <c r="BB132" s="196">
        <v>0</v>
      </c>
      <c r="BC132" s="170"/>
      <c r="BD132" s="196">
        <v>0</v>
      </c>
      <c r="BE132" s="170">
        <v>0</v>
      </c>
      <c r="BF132" s="196">
        <v>0</v>
      </c>
      <c r="BG132" s="170"/>
      <c r="BH132" s="196">
        <v>0</v>
      </c>
      <c r="BI132" s="170"/>
      <c r="BJ132" s="196">
        <v>0</v>
      </c>
      <c r="BK132" s="170"/>
      <c r="BL132" s="196"/>
      <c r="BM132" s="170"/>
      <c r="BN132" s="196"/>
      <c r="BO132" s="170"/>
      <c r="BP132" s="196"/>
      <c r="BQ132" s="170"/>
      <c r="BR132" s="196"/>
      <c r="BS132" s="170"/>
      <c r="BT132" s="196"/>
      <c r="BU132" s="170"/>
      <c r="BV132" s="196"/>
      <c r="BW132" s="251"/>
      <c r="BX132" s="254"/>
      <c r="BY132" s="88">
        <f t="shared" si="47"/>
        <v>0</v>
      </c>
      <c r="BZ132" s="258"/>
      <c r="CA132" s="258"/>
      <c r="CB132" s="258"/>
      <c r="CC132" s="258"/>
      <c r="CD132" s="258"/>
      <c r="CE132" s="258"/>
      <c r="CF132" s="258"/>
      <c r="CG132" s="258"/>
      <c r="CH132" s="258"/>
      <c r="CI132" s="258"/>
      <c r="CJ132" s="258"/>
      <c r="CK132" s="258"/>
      <c r="CL132" s="211">
        <f t="shared" si="63"/>
        <v>0</v>
      </c>
      <c r="CM132" s="212"/>
      <c r="CN132" s="212"/>
      <c r="CO132" s="212"/>
      <c r="CP132" s="212"/>
      <c r="CQ132" s="212"/>
      <c r="CR132" s="212"/>
      <c r="CS132" s="212"/>
      <c r="CT132" s="212"/>
      <c r="CU132" s="212"/>
      <c r="CV132" s="212"/>
      <c r="CW132" s="212"/>
      <c r="CX132" s="212"/>
      <c r="CY132" s="216">
        <f t="shared" si="60"/>
        <v>0</v>
      </c>
      <c r="CZ132" s="185">
        <f t="shared" si="48"/>
        <v>0</v>
      </c>
      <c r="DA132" s="217">
        <f t="shared" si="61"/>
        <v>0</v>
      </c>
      <c r="DB132" s="217">
        <f t="shared" si="62"/>
        <v>0</v>
      </c>
      <c r="DC132" s="217">
        <f t="shared" si="64"/>
        <v>0</v>
      </c>
      <c r="DD132" s="256">
        <v>0</v>
      </c>
      <c r="DE132" s="217">
        <f t="shared" si="65"/>
        <v>0</v>
      </c>
      <c r="DF132" s="185" t="e">
        <f>SUM(DN132:DO132)-SUM(#REF!,BV132)+BU132</f>
        <v>#REF!</v>
      </c>
      <c r="DG132" s="223"/>
      <c r="DH132" s="241">
        <f t="shared" si="66"/>
        <v>0</v>
      </c>
      <c r="DI132" s="241">
        <f t="shared" si="67"/>
        <v>0</v>
      </c>
      <c r="DJ132" s="241">
        <f t="shared" si="68"/>
        <v>0</v>
      </c>
      <c r="DK132" s="241" t="e">
        <f>SUM(BS132,#REF!,BV132)</f>
        <v>#REF!</v>
      </c>
      <c r="DL132" s="155">
        <v>106.41500000000001</v>
      </c>
      <c r="DM132" s="155">
        <v>92.515219999999999</v>
      </c>
      <c r="DN132" s="155">
        <v>0</v>
      </c>
      <c r="DO132" s="155">
        <v>0</v>
      </c>
      <c r="DP132" s="155">
        <v>92.515219999999999</v>
      </c>
      <c r="DQ132" s="155">
        <v>13.89978</v>
      </c>
      <c r="DS132" s="235">
        <f t="shared" si="69"/>
        <v>0</v>
      </c>
    </row>
    <row r="133" spans="1:123" s="23" customFormat="1" ht="24" customHeight="1">
      <c r="A133" s="18"/>
      <c r="B133" s="2">
        <v>89</v>
      </c>
      <c r="C133" s="85" t="s">
        <v>133</v>
      </c>
      <c r="D133" s="85"/>
      <c r="E133" s="85" t="s">
        <v>896</v>
      </c>
      <c r="F133" s="3">
        <v>2018</v>
      </c>
      <c r="G133" s="4">
        <v>43420</v>
      </c>
      <c r="H133" s="4">
        <v>43420</v>
      </c>
      <c r="I133" s="4">
        <v>44193</v>
      </c>
      <c r="J133" s="15">
        <f t="shared" ca="1" si="58"/>
        <v>773</v>
      </c>
      <c r="K133" s="177">
        <f t="shared" si="70"/>
        <v>43967</v>
      </c>
      <c r="L133" s="177">
        <f t="shared" si="71"/>
        <v>44150</v>
      </c>
      <c r="M133" s="177"/>
      <c r="N133" s="177"/>
      <c r="O133" s="177"/>
      <c r="P133" s="177"/>
      <c r="Q133" s="177"/>
      <c r="R133" s="3" t="s">
        <v>176</v>
      </c>
      <c r="S133" s="13" t="s">
        <v>222</v>
      </c>
      <c r="T133" s="13" t="s">
        <v>958</v>
      </c>
      <c r="U133" s="5" t="s">
        <v>9</v>
      </c>
      <c r="V133" s="268"/>
      <c r="W133" s="5" t="s">
        <v>614</v>
      </c>
      <c r="X133" s="5" t="s">
        <v>481</v>
      </c>
      <c r="Y133" s="5" t="s">
        <v>134</v>
      </c>
      <c r="Z133" s="3" t="s">
        <v>186</v>
      </c>
      <c r="AA133" s="6" t="s">
        <v>218</v>
      </c>
      <c r="AB133" s="151" t="s">
        <v>197</v>
      </c>
      <c r="AC133" s="177" t="s">
        <v>6</v>
      </c>
      <c r="AD133" s="177" t="s">
        <v>6</v>
      </c>
      <c r="AE133" s="177" t="s">
        <v>6</v>
      </c>
      <c r="AF133" s="5"/>
      <c r="AG133" s="5"/>
      <c r="AH133" s="227"/>
      <c r="AI133" s="83"/>
      <c r="AJ133" s="83"/>
      <c r="AK133" s="237" t="e">
        <f>SUM(#REF!,BT133,BV133)</f>
        <v>#REF!</v>
      </c>
      <c r="AL133" s="166"/>
      <c r="AM133" s="166"/>
      <c r="AN133" s="166"/>
      <c r="AO133" s="166"/>
      <c r="AP133" s="166"/>
      <c r="AQ133" s="166"/>
      <c r="AR133" s="56">
        <v>112.39148137934281</v>
      </c>
      <c r="AS133" s="56">
        <v>47.5</v>
      </c>
      <c r="AT133" s="56">
        <v>37.823080000000004</v>
      </c>
      <c r="AU133" s="56">
        <v>3.4014400000000009</v>
      </c>
      <c r="AV133" s="38">
        <v>242.75</v>
      </c>
      <c r="AW133" s="38">
        <v>22</v>
      </c>
      <c r="AX133" s="97">
        <f t="shared" si="59"/>
        <v>264.75</v>
      </c>
      <c r="AY133" s="169">
        <f t="shared" si="46"/>
        <v>2.815700000000001</v>
      </c>
      <c r="AZ133" s="196">
        <v>4</v>
      </c>
      <c r="BA133" s="170">
        <v>3.4014400000000009</v>
      </c>
      <c r="BB133" s="196">
        <v>0</v>
      </c>
      <c r="BC133" s="170">
        <v>-0.58574000000000004</v>
      </c>
      <c r="BD133" s="196">
        <v>0</v>
      </c>
      <c r="BE133" s="170">
        <v>0</v>
      </c>
      <c r="BF133" s="196">
        <v>0</v>
      </c>
      <c r="BG133" s="170"/>
      <c r="BH133" s="196">
        <v>0</v>
      </c>
      <c r="BI133" s="170"/>
      <c r="BJ133" s="196">
        <v>0</v>
      </c>
      <c r="BK133" s="170"/>
      <c r="BL133" s="196"/>
      <c r="BM133" s="170"/>
      <c r="BN133" s="196"/>
      <c r="BO133" s="170"/>
      <c r="BP133" s="196"/>
      <c r="BQ133" s="170"/>
      <c r="BR133" s="196"/>
      <c r="BS133" s="170"/>
      <c r="BT133" s="196"/>
      <c r="BU133" s="170"/>
      <c r="BV133" s="196"/>
      <c r="BW133" s="251"/>
      <c r="BX133" s="254"/>
      <c r="BY133" s="88">
        <f t="shared" si="47"/>
        <v>0</v>
      </c>
      <c r="BZ133" s="258"/>
      <c r="CA133" s="258"/>
      <c r="CB133" s="258"/>
      <c r="CC133" s="258"/>
      <c r="CD133" s="258"/>
      <c r="CE133" s="258"/>
      <c r="CF133" s="258"/>
      <c r="CG133" s="258"/>
      <c r="CH133" s="258"/>
      <c r="CI133" s="258"/>
      <c r="CJ133" s="258"/>
      <c r="CK133" s="258"/>
      <c r="CL133" s="211">
        <f t="shared" si="63"/>
        <v>0</v>
      </c>
      <c r="CM133" s="212"/>
      <c r="CN133" s="212"/>
      <c r="CO133" s="212"/>
      <c r="CP133" s="212"/>
      <c r="CQ133" s="212"/>
      <c r="CR133" s="212"/>
      <c r="CS133" s="212"/>
      <c r="CT133" s="212"/>
      <c r="CU133" s="212"/>
      <c r="CV133" s="212"/>
      <c r="CW133" s="212"/>
      <c r="CX133" s="212"/>
      <c r="CY133" s="216">
        <f t="shared" si="60"/>
        <v>0</v>
      </c>
      <c r="CZ133" s="185">
        <f t="shared" si="48"/>
        <v>0</v>
      </c>
      <c r="DA133" s="217">
        <f t="shared" si="61"/>
        <v>2.815700000000001</v>
      </c>
      <c r="DB133" s="217">
        <f t="shared" si="62"/>
        <v>0</v>
      </c>
      <c r="DC133" s="217">
        <f t="shared" si="64"/>
        <v>2.815700000000001</v>
      </c>
      <c r="DD133" s="256">
        <v>2.815700000000001</v>
      </c>
      <c r="DE133" s="217">
        <f t="shared" si="65"/>
        <v>0</v>
      </c>
      <c r="DF133" s="185" t="e">
        <f>SUM(DN133:DO133)-SUM(#REF!,BV133)+BU133</f>
        <v>#REF!</v>
      </c>
      <c r="DG133" s="223"/>
      <c r="DH133" s="241">
        <f t="shared" si="66"/>
        <v>2.815700000000001</v>
      </c>
      <c r="DI133" s="241">
        <f t="shared" si="67"/>
        <v>0</v>
      </c>
      <c r="DJ133" s="241">
        <f t="shared" si="68"/>
        <v>0</v>
      </c>
      <c r="DK133" s="241" t="e">
        <f>SUM(BS133,#REF!,BV133)</f>
        <v>#REF!</v>
      </c>
      <c r="DL133" s="155">
        <v>242.75</v>
      </c>
      <c r="DM133" s="155">
        <v>235.98642000000001</v>
      </c>
      <c r="DN133" s="155">
        <v>0</v>
      </c>
      <c r="DO133" s="155">
        <v>0</v>
      </c>
      <c r="DP133" s="155">
        <v>235.98642000000001</v>
      </c>
      <c r="DQ133" s="155">
        <v>6.7635800000000001</v>
      </c>
      <c r="DR133" s="23">
        <f>VLOOKUP(C133,[6]Database!$B$143:$AD$521,29,FALSE)</f>
        <v>0</v>
      </c>
      <c r="DS133" s="235">
        <f t="shared" si="69"/>
        <v>0</v>
      </c>
    </row>
    <row r="134" spans="1:123" s="23" customFormat="1" ht="24" customHeight="1">
      <c r="A134" s="18"/>
      <c r="B134" s="2">
        <v>90</v>
      </c>
      <c r="C134" s="85" t="s">
        <v>135</v>
      </c>
      <c r="D134" s="85"/>
      <c r="E134" s="85" t="s">
        <v>891</v>
      </c>
      <c r="F134" s="3">
        <v>2018</v>
      </c>
      <c r="G134" s="4">
        <v>43381</v>
      </c>
      <c r="H134" s="4">
        <v>43381</v>
      </c>
      <c r="I134" s="4">
        <v>44218</v>
      </c>
      <c r="J134" s="15">
        <f t="shared" ca="1" si="58"/>
        <v>837</v>
      </c>
      <c r="K134" s="177">
        <f t="shared" si="70"/>
        <v>43928</v>
      </c>
      <c r="L134" s="177">
        <f t="shared" si="71"/>
        <v>44111</v>
      </c>
      <c r="M134" s="177"/>
      <c r="N134" s="177"/>
      <c r="O134" s="177"/>
      <c r="P134" s="177"/>
      <c r="Q134" s="177"/>
      <c r="R134" s="3" t="s">
        <v>176</v>
      </c>
      <c r="S134" s="13" t="s">
        <v>5</v>
      </c>
      <c r="T134" s="13" t="s">
        <v>952</v>
      </c>
      <c r="U134" s="5" t="s">
        <v>9</v>
      </c>
      <c r="V134" s="268"/>
      <c r="W134" s="5" t="s">
        <v>614</v>
      </c>
      <c r="X134" s="5" t="s">
        <v>478</v>
      </c>
      <c r="Y134" s="5" t="s">
        <v>136</v>
      </c>
      <c r="Z134" s="3" t="s">
        <v>181</v>
      </c>
      <c r="AA134" s="6" t="s">
        <v>218</v>
      </c>
      <c r="AB134" s="151" t="s">
        <v>197</v>
      </c>
      <c r="AC134" s="177" t="s">
        <v>6</v>
      </c>
      <c r="AD134" s="177" t="s">
        <v>6</v>
      </c>
      <c r="AE134" s="177" t="s">
        <v>6</v>
      </c>
      <c r="AF134" s="5" t="s">
        <v>1132</v>
      </c>
      <c r="AG134" s="5"/>
      <c r="AH134" s="227"/>
      <c r="AI134" s="83"/>
      <c r="AJ134" s="83"/>
      <c r="AK134" s="237" t="e">
        <f>SUM(#REF!,BT134,BV134)</f>
        <v>#REF!</v>
      </c>
      <c r="AL134" s="166"/>
      <c r="AM134" s="166"/>
      <c r="AN134" s="166"/>
      <c r="AO134" s="166"/>
      <c r="AP134" s="166"/>
      <c r="AQ134" s="166"/>
      <c r="AR134" s="56">
        <v>600.66446841782408</v>
      </c>
      <c r="AS134" s="56">
        <v>169.17455000000001</v>
      </c>
      <c r="AT134" s="56">
        <v>103.32557</v>
      </c>
      <c r="AU134" s="56">
        <v>13.82259</v>
      </c>
      <c r="AV134" s="38">
        <v>783.3</v>
      </c>
      <c r="AW134" s="38">
        <v>15.5</v>
      </c>
      <c r="AX134" s="97">
        <f t="shared" si="59"/>
        <v>798.8</v>
      </c>
      <c r="AY134" s="169">
        <f t="shared" ref="AY134:AY197" si="72">BA134+BC134+BE134+BG134+BI134+BK134+BM134+BO134+BQ134+BS134+BU134+BX134</f>
        <v>13.032300000000001</v>
      </c>
      <c r="AZ134" s="196">
        <v>4.3</v>
      </c>
      <c r="BA134" s="170">
        <v>0.82259000000000004</v>
      </c>
      <c r="BB134" s="196">
        <v>5</v>
      </c>
      <c r="BC134" s="170">
        <v>3.5076900000000002</v>
      </c>
      <c r="BD134" s="196">
        <v>9</v>
      </c>
      <c r="BE134" s="170">
        <v>8.702020000000001</v>
      </c>
      <c r="BF134" s="196">
        <v>0</v>
      </c>
      <c r="BG134" s="170"/>
      <c r="BH134" s="196">
        <v>0</v>
      </c>
      <c r="BI134" s="170"/>
      <c r="BJ134" s="196">
        <v>0</v>
      </c>
      <c r="BK134" s="170"/>
      <c r="BL134" s="196"/>
      <c r="BM134" s="170"/>
      <c r="BN134" s="196"/>
      <c r="BO134" s="170"/>
      <c r="BP134" s="196"/>
      <c r="BQ134" s="170"/>
      <c r="BR134" s="196"/>
      <c r="BS134" s="170"/>
      <c r="BT134" s="196"/>
      <c r="BU134" s="170"/>
      <c r="BV134" s="196"/>
      <c r="BW134" s="251"/>
      <c r="BX134" s="254"/>
      <c r="BY134" s="88">
        <f t="shared" ref="BY134:BY197" si="73">SUM(BZ134:CK134)</f>
        <v>0</v>
      </c>
      <c r="BZ134" s="258"/>
      <c r="CA134" s="258"/>
      <c r="CB134" s="258"/>
      <c r="CC134" s="258"/>
      <c r="CD134" s="258"/>
      <c r="CE134" s="258"/>
      <c r="CF134" s="258"/>
      <c r="CG134" s="258"/>
      <c r="CH134" s="258"/>
      <c r="CI134" s="258"/>
      <c r="CJ134" s="258"/>
      <c r="CK134" s="258"/>
      <c r="CL134" s="211">
        <f t="shared" si="63"/>
        <v>0</v>
      </c>
      <c r="CM134" s="212"/>
      <c r="CN134" s="212"/>
      <c r="CO134" s="212"/>
      <c r="CP134" s="212"/>
      <c r="CQ134" s="212"/>
      <c r="CR134" s="212"/>
      <c r="CS134" s="212"/>
      <c r="CT134" s="212"/>
      <c r="CU134" s="212"/>
      <c r="CV134" s="212"/>
      <c r="CW134" s="212"/>
      <c r="CX134" s="212"/>
      <c r="CY134" s="216">
        <f t="shared" si="60"/>
        <v>0</v>
      </c>
      <c r="CZ134" s="185">
        <f t="shared" ref="CZ134:CZ197" si="74">BW134-BX134</f>
        <v>0</v>
      </c>
      <c r="DA134" s="217">
        <f t="shared" si="61"/>
        <v>13.032300000000001</v>
      </c>
      <c r="DB134" s="217">
        <f t="shared" si="62"/>
        <v>0</v>
      </c>
      <c r="DC134" s="217">
        <f t="shared" si="64"/>
        <v>13.032300000000001</v>
      </c>
      <c r="DD134" s="256">
        <v>13.032300000000001</v>
      </c>
      <c r="DE134" s="217">
        <f t="shared" si="65"/>
        <v>0</v>
      </c>
      <c r="DF134" s="185" t="e">
        <f>SUM(DN134:DO134)-SUM(#REF!,BV134)+BU134</f>
        <v>#REF!</v>
      </c>
      <c r="DG134" s="223"/>
      <c r="DH134" s="241">
        <f t="shared" si="66"/>
        <v>13.032300000000001</v>
      </c>
      <c r="DI134" s="241">
        <f t="shared" si="67"/>
        <v>0</v>
      </c>
      <c r="DJ134" s="241">
        <f t="shared" si="68"/>
        <v>0</v>
      </c>
      <c r="DK134" s="241" t="e">
        <f>SUM(BS134,#REF!,BV134)</f>
        <v>#REF!</v>
      </c>
      <c r="DL134" s="155">
        <v>783.3</v>
      </c>
      <c r="DM134" s="155">
        <v>749.76486</v>
      </c>
      <c r="DN134" s="155">
        <v>0</v>
      </c>
      <c r="DO134" s="155">
        <v>0</v>
      </c>
      <c r="DP134" s="155">
        <v>749.76486</v>
      </c>
      <c r="DQ134" s="155">
        <v>33.535139999999998</v>
      </c>
      <c r="DR134" s="23">
        <f>VLOOKUP(C134,[6]Database!$B$143:$AD$521,29,FALSE)</f>
        <v>0</v>
      </c>
      <c r="DS134" s="235">
        <f t="shared" si="69"/>
        <v>0</v>
      </c>
    </row>
    <row r="135" spans="1:123" s="23" customFormat="1" ht="24" customHeight="1">
      <c r="A135" s="18"/>
      <c r="B135" s="2">
        <v>91</v>
      </c>
      <c r="C135" s="85" t="s">
        <v>137</v>
      </c>
      <c r="D135" s="85"/>
      <c r="E135" s="85" t="s">
        <v>918</v>
      </c>
      <c r="F135" s="3">
        <v>2018</v>
      </c>
      <c r="G135" s="4">
        <v>43415</v>
      </c>
      <c r="H135" s="4">
        <v>43415</v>
      </c>
      <c r="I135" s="4">
        <v>44200</v>
      </c>
      <c r="J135" s="15">
        <f t="shared" ca="1" si="58"/>
        <v>785</v>
      </c>
      <c r="K135" s="177">
        <f t="shared" si="70"/>
        <v>43962</v>
      </c>
      <c r="L135" s="177">
        <f t="shared" si="71"/>
        <v>44145</v>
      </c>
      <c r="M135" s="177"/>
      <c r="N135" s="177"/>
      <c r="O135" s="177"/>
      <c r="P135" s="177"/>
      <c r="Q135" s="177"/>
      <c r="R135" s="3" t="s">
        <v>176</v>
      </c>
      <c r="S135" s="13" t="s">
        <v>223</v>
      </c>
      <c r="T135" s="13"/>
      <c r="U135" s="5" t="s">
        <v>9</v>
      </c>
      <c r="V135" s="268"/>
      <c r="W135" s="5" t="s">
        <v>614</v>
      </c>
      <c r="X135" s="5" t="s">
        <v>481</v>
      </c>
      <c r="Y135" s="5" t="s">
        <v>138</v>
      </c>
      <c r="Z135" s="3" t="s">
        <v>186</v>
      </c>
      <c r="AA135" s="6" t="s">
        <v>218</v>
      </c>
      <c r="AB135" s="151" t="s">
        <v>197</v>
      </c>
      <c r="AC135" s="177" t="s">
        <v>6</v>
      </c>
      <c r="AD135" s="177" t="s">
        <v>6</v>
      </c>
      <c r="AE135" s="177" t="s">
        <v>6</v>
      </c>
      <c r="AF135" s="5" t="s">
        <v>1132</v>
      </c>
      <c r="AG135" s="43"/>
      <c r="AH135" s="227"/>
      <c r="AI135" s="83"/>
      <c r="AJ135" s="83"/>
      <c r="AK135" s="237" t="e">
        <f>SUM(#REF!,BT135,BV135)</f>
        <v>#REF!</v>
      </c>
      <c r="AL135" s="166"/>
      <c r="AM135" s="166"/>
      <c r="AN135" s="166"/>
      <c r="AO135" s="166"/>
      <c r="AP135" s="166"/>
      <c r="AQ135" s="166"/>
      <c r="AR135" s="56">
        <v>186.02572000000001</v>
      </c>
      <c r="AS135" s="56">
        <v>110.85849999999999</v>
      </c>
      <c r="AT135" s="56">
        <v>75.347679999999997</v>
      </c>
      <c r="AU135" s="56"/>
      <c r="AV135" s="38">
        <v>560.6</v>
      </c>
      <c r="AW135" s="38">
        <v>0</v>
      </c>
      <c r="AX135" s="97">
        <f t="shared" si="59"/>
        <v>560.6</v>
      </c>
      <c r="AY135" s="169">
        <f t="shared" si="72"/>
        <v>0</v>
      </c>
      <c r="AZ135" s="196">
        <v>0</v>
      </c>
      <c r="BA135" s="170"/>
      <c r="BB135" s="196">
        <v>0</v>
      </c>
      <c r="BC135" s="170"/>
      <c r="BD135" s="196">
        <v>0</v>
      </c>
      <c r="BE135" s="170">
        <v>0</v>
      </c>
      <c r="BF135" s="196">
        <v>0</v>
      </c>
      <c r="BG135" s="170"/>
      <c r="BH135" s="196">
        <v>0</v>
      </c>
      <c r="BI135" s="170"/>
      <c r="BJ135" s="196">
        <v>0</v>
      </c>
      <c r="BK135" s="170"/>
      <c r="BL135" s="196"/>
      <c r="BM135" s="170"/>
      <c r="BN135" s="196"/>
      <c r="BO135" s="170"/>
      <c r="BP135" s="196"/>
      <c r="BQ135" s="170"/>
      <c r="BR135" s="196"/>
      <c r="BS135" s="170"/>
      <c r="BT135" s="196"/>
      <c r="BU135" s="170"/>
      <c r="BV135" s="196"/>
      <c r="BW135" s="251"/>
      <c r="BX135" s="254"/>
      <c r="BY135" s="88">
        <f t="shared" si="73"/>
        <v>0</v>
      </c>
      <c r="BZ135" s="258"/>
      <c r="CA135" s="258"/>
      <c r="CB135" s="258"/>
      <c r="CC135" s="258"/>
      <c r="CD135" s="258"/>
      <c r="CE135" s="258"/>
      <c r="CF135" s="258"/>
      <c r="CG135" s="258"/>
      <c r="CH135" s="258"/>
      <c r="CI135" s="258"/>
      <c r="CJ135" s="258"/>
      <c r="CK135" s="258"/>
      <c r="CL135" s="211">
        <f t="shared" si="63"/>
        <v>0</v>
      </c>
      <c r="CM135" s="212"/>
      <c r="CN135" s="212"/>
      <c r="CO135" s="212"/>
      <c r="CP135" s="212"/>
      <c r="CQ135" s="212"/>
      <c r="CR135" s="212"/>
      <c r="CS135" s="212"/>
      <c r="CT135" s="212"/>
      <c r="CU135" s="212"/>
      <c r="CV135" s="212"/>
      <c r="CW135" s="212"/>
      <c r="CX135" s="212"/>
      <c r="CY135" s="216">
        <f t="shared" si="60"/>
        <v>0</v>
      </c>
      <c r="CZ135" s="185">
        <f t="shared" si="74"/>
        <v>0</v>
      </c>
      <c r="DA135" s="217">
        <f t="shared" si="61"/>
        <v>0</v>
      </c>
      <c r="DB135" s="217">
        <f t="shared" si="62"/>
        <v>0</v>
      </c>
      <c r="DC135" s="217">
        <f t="shared" si="64"/>
        <v>0</v>
      </c>
      <c r="DD135" s="256">
        <v>0</v>
      </c>
      <c r="DE135" s="217">
        <f t="shared" si="65"/>
        <v>0</v>
      </c>
      <c r="DF135" s="185" t="e">
        <f>SUM(DN135:DO135)-SUM(#REF!,BV135)+BU135</f>
        <v>#REF!</v>
      </c>
      <c r="DG135" s="223"/>
      <c r="DH135" s="241">
        <f t="shared" si="66"/>
        <v>0</v>
      </c>
      <c r="DI135" s="241">
        <f t="shared" si="67"/>
        <v>0</v>
      </c>
      <c r="DJ135" s="241">
        <f t="shared" si="68"/>
        <v>0</v>
      </c>
      <c r="DK135" s="241" t="e">
        <f>SUM(BS135,#REF!,BV135)</f>
        <v>#REF!</v>
      </c>
      <c r="DL135" s="155">
        <v>560.6</v>
      </c>
      <c r="DM135" s="155">
        <v>261.3734</v>
      </c>
      <c r="DN135" s="155">
        <v>0</v>
      </c>
      <c r="DO135" s="155">
        <v>0</v>
      </c>
      <c r="DP135" s="155">
        <v>261.3734</v>
      </c>
      <c r="DQ135" s="155">
        <v>299.22659999999996</v>
      </c>
      <c r="DS135" s="235">
        <f t="shared" si="69"/>
        <v>0</v>
      </c>
    </row>
    <row r="136" spans="1:123" s="23" customFormat="1" ht="24" customHeight="1">
      <c r="A136" s="18"/>
      <c r="B136" s="2">
        <v>92</v>
      </c>
      <c r="C136" s="85" t="s">
        <v>83</v>
      </c>
      <c r="D136" s="85"/>
      <c r="E136" s="85"/>
      <c r="F136" s="3">
        <v>2018</v>
      </c>
      <c r="G136" s="4">
        <v>43354</v>
      </c>
      <c r="H136" s="4">
        <v>43413</v>
      </c>
      <c r="I136" s="4">
        <v>43984</v>
      </c>
      <c r="J136" s="15">
        <f t="shared" ca="1" si="58"/>
        <v>571</v>
      </c>
      <c r="K136" s="177">
        <f t="shared" si="70"/>
        <v>43960</v>
      </c>
      <c r="L136" s="177">
        <f t="shared" si="71"/>
        <v>44143</v>
      </c>
      <c r="M136" s="177"/>
      <c r="N136" s="177"/>
      <c r="O136" s="177"/>
      <c r="P136" s="177"/>
      <c r="Q136" s="177"/>
      <c r="R136" s="3" t="s">
        <v>178</v>
      </c>
      <c r="S136" s="13" t="s">
        <v>222</v>
      </c>
      <c r="T136" s="13"/>
      <c r="U136" s="5" t="s">
        <v>9</v>
      </c>
      <c r="V136" s="268"/>
      <c r="W136" s="5" t="s">
        <v>614</v>
      </c>
      <c r="X136" s="5" t="s">
        <v>479</v>
      </c>
      <c r="Y136" s="5" t="s">
        <v>84</v>
      </c>
      <c r="Z136" s="3" t="s">
        <v>188</v>
      </c>
      <c r="AA136" s="6" t="s">
        <v>218</v>
      </c>
      <c r="AB136" s="151" t="s">
        <v>197</v>
      </c>
      <c r="AC136" s="177" t="s">
        <v>6</v>
      </c>
      <c r="AD136" s="177" t="s">
        <v>6</v>
      </c>
      <c r="AE136" s="177" t="s">
        <v>6</v>
      </c>
      <c r="AF136" s="5"/>
      <c r="AG136" s="5"/>
      <c r="AH136" s="227"/>
      <c r="AI136" s="83"/>
      <c r="AJ136" s="83"/>
      <c r="AK136" s="237" t="e">
        <f>SUM(#REF!,BT136,BV136)</f>
        <v>#REF!</v>
      </c>
      <c r="AL136" s="52"/>
      <c r="AM136" s="52"/>
      <c r="AN136" s="52"/>
      <c r="AO136" s="52"/>
      <c r="AP136" s="52"/>
      <c r="AQ136" s="52"/>
      <c r="AR136" s="56">
        <v>23.467699999999997</v>
      </c>
      <c r="AS136" s="56">
        <v>0</v>
      </c>
      <c r="AT136" s="56">
        <v>1.8438999999999999</v>
      </c>
      <c r="AU136" s="56"/>
      <c r="AV136" s="38">
        <v>38.64</v>
      </c>
      <c r="AW136" s="38">
        <v>5.5</v>
      </c>
      <c r="AX136" s="97">
        <f t="shared" si="59"/>
        <v>44.14</v>
      </c>
      <c r="AY136" s="169">
        <f t="shared" si="72"/>
        <v>0</v>
      </c>
      <c r="AZ136" s="196">
        <v>0</v>
      </c>
      <c r="BA136" s="170"/>
      <c r="BB136" s="196">
        <v>0</v>
      </c>
      <c r="BC136" s="170"/>
      <c r="BD136" s="196">
        <v>0</v>
      </c>
      <c r="BE136" s="170">
        <v>0</v>
      </c>
      <c r="BF136" s="196">
        <v>0</v>
      </c>
      <c r="BG136" s="170"/>
      <c r="BH136" s="196">
        <v>0</v>
      </c>
      <c r="BI136" s="170"/>
      <c r="BJ136" s="196">
        <v>0</v>
      </c>
      <c r="BK136" s="170"/>
      <c r="BL136" s="196"/>
      <c r="BM136" s="170"/>
      <c r="BN136" s="196"/>
      <c r="BO136" s="170"/>
      <c r="BP136" s="196"/>
      <c r="BQ136" s="170"/>
      <c r="BR136" s="196"/>
      <c r="BS136" s="170"/>
      <c r="BT136" s="196"/>
      <c r="BU136" s="170"/>
      <c r="BV136" s="196"/>
      <c r="BW136" s="251"/>
      <c r="BX136" s="254"/>
      <c r="BY136" s="88">
        <f t="shared" si="73"/>
        <v>0</v>
      </c>
      <c r="BZ136" s="214"/>
      <c r="CA136" s="214"/>
      <c r="CB136" s="214"/>
      <c r="CC136" s="214"/>
      <c r="CD136" s="214"/>
      <c r="CE136" s="214"/>
      <c r="CF136" s="214"/>
      <c r="CG136" s="214"/>
      <c r="CH136" s="214"/>
      <c r="CI136" s="214"/>
      <c r="CJ136" s="214"/>
      <c r="CK136" s="214"/>
      <c r="CL136" s="211">
        <f t="shared" si="63"/>
        <v>0</v>
      </c>
      <c r="CM136" s="212"/>
      <c r="CN136" s="212"/>
      <c r="CO136" s="212"/>
      <c r="CP136" s="212"/>
      <c r="CQ136" s="212"/>
      <c r="CR136" s="212"/>
      <c r="CS136" s="212"/>
      <c r="CT136" s="212"/>
      <c r="CU136" s="212"/>
      <c r="CV136" s="212"/>
      <c r="CW136" s="212"/>
      <c r="CX136" s="212"/>
      <c r="CY136" s="216">
        <f t="shared" si="60"/>
        <v>0</v>
      </c>
      <c r="CZ136" s="185">
        <f t="shared" si="74"/>
        <v>0</v>
      </c>
      <c r="DA136" s="217">
        <f t="shared" si="61"/>
        <v>0</v>
      </c>
      <c r="DB136" s="217">
        <f t="shared" si="62"/>
        <v>0</v>
      </c>
      <c r="DC136" s="217">
        <f t="shared" si="64"/>
        <v>0</v>
      </c>
      <c r="DD136" s="256">
        <v>0</v>
      </c>
      <c r="DE136" s="217">
        <f t="shared" si="65"/>
        <v>0</v>
      </c>
      <c r="DF136" s="185" t="e">
        <f>SUM(DN136:DO136)-SUM(#REF!,BV136)+BU136</f>
        <v>#REF!</v>
      </c>
      <c r="DG136" s="223"/>
      <c r="DH136" s="241">
        <f t="shared" si="66"/>
        <v>0</v>
      </c>
      <c r="DI136" s="241">
        <f t="shared" si="67"/>
        <v>0</v>
      </c>
      <c r="DJ136" s="241">
        <f t="shared" si="68"/>
        <v>0</v>
      </c>
      <c r="DK136" s="241" t="e">
        <f>SUM(BS136,#REF!,BV136)</f>
        <v>#REF!</v>
      </c>
      <c r="DL136" s="155">
        <v>38.637</v>
      </c>
      <c r="DM136" s="155">
        <v>38.428539999999998</v>
      </c>
      <c r="DN136" s="155">
        <v>0</v>
      </c>
      <c r="DO136" s="155">
        <v>0</v>
      </c>
      <c r="DP136" s="155">
        <v>38.428539999999998</v>
      </c>
      <c r="DQ136" s="155">
        <v>0.20846000000000001</v>
      </c>
      <c r="DS136" s="235">
        <f t="shared" si="69"/>
        <v>0</v>
      </c>
    </row>
    <row r="137" spans="1:123" s="23" customFormat="1" ht="24" customHeight="1">
      <c r="A137" s="18"/>
      <c r="B137" s="2">
        <v>93</v>
      </c>
      <c r="C137" s="85" t="s">
        <v>141</v>
      </c>
      <c r="D137" s="85"/>
      <c r="E137" s="85"/>
      <c r="F137" s="3">
        <v>2019</v>
      </c>
      <c r="G137" s="4">
        <v>43413</v>
      </c>
      <c r="H137" s="4">
        <v>43441</v>
      </c>
      <c r="I137" s="4">
        <v>43676</v>
      </c>
      <c r="J137" s="15">
        <f t="shared" ca="1" si="58"/>
        <v>235</v>
      </c>
      <c r="K137" s="177">
        <f t="shared" si="70"/>
        <v>43988</v>
      </c>
      <c r="L137" s="177">
        <f t="shared" si="71"/>
        <v>44171</v>
      </c>
      <c r="M137" s="177"/>
      <c r="N137" s="177"/>
      <c r="O137" s="177"/>
      <c r="P137" s="177"/>
      <c r="Q137" s="177"/>
      <c r="R137" s="3" t="s">
        <v>178</v>
      </c>
      <c r="S137" s="13" t="s">
        <v>223</v>
      </c>
      <c r="T137" s="13"/>
      <c r="U137" s="5" t="s">
        <v>9</v>
      </c>
      <c r="V137" s="268"/>
      <c r="W137" s="5" t="s">
        <v>614</v>
      </c>
      <c r="X137" s="5" t="s">
        <v>483</v>
      </c>
      <c r="Y137" s="5" t="s">
        <v>142</v>
      </c>
      <c r="Z137" s="3" t="s">
        <v>188</v>
      </c>
      <c r="AA137" s="6" t="s">
        <v>218</v>
      </c>
      <c r="AB137" s="151" t="s">
        <v>197</v>
      </c>
      <c r="AC137" s="177" t="s">
        <v>6</v>
      </c>
      <c r="AD137" s="177" t="s">
        <v>6</v>
      </c>
      <c r="AE137" s="177" t="s">
        <v>6</v>
      </c>
      <c r="AF137" s="5"/>
      <c r="AG137" s="5"/>
      <c r="AH137" s="227"/>
      <c r="AI137" s="83"/>
      <c r="AJ137" s="83"/>
      <c r="AK137" s="237" t="e">
        <f>SUM(#REF!,BT137,BV137)</f>
        <v>#REF!</v>
      </c>
      <c r="AL137" s="52"/>
      <c r="AM137" s="52"/>
      <c r="AN137" s="52"/>
      <c r="AO137" s="52"/>
      <c r="AP137" s="52"/>
      <c r="AQ137" s="52"/>
      <c r="AR137" s="56">
        <v>163.36076691151069</v>
      </c>
      <c r="AS137" s="56">
        <v>0</v>
      </c>
      <c r="AT137" s="56">
        <v>8.7749100000000002</v>
      </c>
      <c r="AU137" s="56"/>
      <c r="AV137" s="38">
        <v>190.97</v>
      </c>
      <c r="AW137" s="38">
        <v>0</v>
      </c>
      <c r="AX137" s="97">
        <f t="shared" si="59"/>
        <v>190.97</v>
      </c>
      <c r="AY137" s="169">
        <f t="shared" si="72"/>
        <v>0</v>
      </c>
      <c r="AZ137" s="196">
        <v>0</v>
      </c>
      <c r="BA137" s="170"/>
      <c r="BB137" s="196">
        <v>0</v>
      </c>
      <c r="BC137" s="170"/>
      <c r="BD137" s="196">
        <v>0</v>
      </c>
      <c r="BE137" s="170">
        <v>0</v>
      </c>
      <c r="BF137" s="196">
        <v>0</v>
      </c>
      <c r="BG137" s="170"/>
      <c r="BH137" s="196">
        <v>0</v>
      </c>
      <c r="BI137" s="170"/>
      <c r="BJ137" s="196">
        <v>0</v>
      </c>
      <c r="BK137" s="170"/>
      <c r="BL137" s="196"/>
      <c r="BM137" s="170"/>
      <c r="BN137" s="196"/>
      <c r="BO137" s="170"/>
      <c r="BP137" s="196"/>
      <c r="BQ137" s="170"/>
      <c r="BR137" s="196"/>
      <c r="BS137" s="170"/>
      <c r="BT137" s="196"/>
      <c r="BU137" s="170"/>
      <c r="BV137" s="196"/>
      <c r="BW137" s="251"/>
      <c r="BX137" s="254"/>
      <c r="BY137" s="88">
        <f t="shared" si="73"/>
        <v>0</v>
      </c>
      <c r="BZ137" s="214"/>
      <c r="CA137" s="214"/>
      <c r="CB137" s="214"/>
      <c r="CC137" s="214"/>
      <c r="CD137" s="214"/>
      <c r="CE137" s="214"/>
      <c r="CF137" s="214"/>
      <c r="CG137" s="214"/>
      <c r="CH137" s="214"/>
      <c r="CI137" s="214"/>
      <c r="CJ137" s="214"/>
      <c r="CK137" s="214"/>
      <c r="CL137" s="211">
        <f t="shared" si="63"/>
        <v>0</v>
      </c>
      <c r="CM137" s="212"/>
      <c r="CN137" s="212"/>
      <c r="CO137" s="212"/>
      <c r="CP137" s="212"/>
      <c r="CQ137" s="212"/>
      <c r="CR137" s="212"/>
      <c r="CS137" s="212"/>
      <c r="CT137" s="212"/>
      <c r="CU137" s="212"/>
      <c r="CV137" s="212"/>
      <c r="CW137" s="212"/>
      <c r="CX137" s="212"/>
      <c r="CY137" s="216">
        <f t="shared" si="60"/>
        <v>0</v>
      </c>
      <c r="CZ137" s="185">
        <f t="shared" si="74"/>
        <v>0</v>
      </c>
      <c r="DA137" s="217">
        <f t="shared" si="61"/>
        <v>0</v>
      </c>
      <c r="DB137" s="217">
        <f t="shared" si="62"/>
        <v>0</v>
      </c>
      <c r="DC137" s="217">
        <f t="shared" si="64"/>
        <v>0</v>
      </c>
      <c r="DD137" s="256">
        <v>0</v>
      </c>
      <c r="DE137" s="217">
        <f t="shared" si="65"/>
        <v>0</v>
      </c>
      <c r="DF137" s="185" t="e">
        <f>SUM(DN137:DO137)-SUM(#REF!,BV137)+BU137</f>
        <v>#REF!</v>
      </c>
      <c r="DG137" s="223"/>
      <c r="DH137" s="241">
        <f t="shared" si="66"/>
        <v>0</v>
      </c>
      <c r="DI137" s="241">
        <f t="shared" si="67"/>
        <v>0</v>
      </c>
      <c r="DJ137" s="241">
        <f t="shared" si="68"/>
        <v>0</v>
      </c>
      <c r="DK137" s="241" t="e">
        <f>SUM(BS137,#REF!,BV137)</f>
        <v>#REF!</v>
      </c>
      <c r="DL137" s="155">
        <v>190.971</v>
      </c>
      <c r="DM137" s="155">
        <v>171.84076999999999</v>
      </c>
      <c r="DN137" s="155">
        <v>0</v>
      </c>
      <c r="DO137" s="155">
        <v>0</v>
      </c>
      <c r="DP137" s="155">
        <v>171.84076999999999</v>
      </c>
      <c r="DQ137" s="155">
        <v>19.130230000000001</v>
      </c>
      <c r="DS137" s="235">
        <f t="shared" si="69"/>
        <v>0</v>
      </c>
    </row>
    <row r="138" spans="1:123" s="23" customFormat="1" ht="24" customHeight="1">
      <c r="A138" s="18"/>
      <c r="B138" s="2">
        <v>94</v>
      </c>
      <c r="C138" s="85" t="s">
        <v>144</v>
      </c>
      <c r="D138" s="85"/>
      <c r="E138" s="85" t="s">
        <v>602</v>
      </c>
      <c r="F138" s="3">
        <v>2019</v>
      </c>
      <c r="G138" s="4">
        <v>43487</v>
      </c>
      <c r="H138" s="4">
        <v>43487</v>
      </c>
      <c r="I138" s="4">
        <v>43488</v>
      </c>
      <c r="J138" s="15">
        <f t="shared" ca="1" si="58"/>
        <v>1</v>
      </c>
      <c r="K138" s="177">
        <f t="shared" si="70"/>
        <v>44034</v>
      </c>
      <c r="L138" s="177">
        <f t="shared" si="71"/>
        <v>44217</v>
      </c>
      <c r="M138" s="177"/>
      <c r="N138" s="177"/>
      <c r="O138" s="177"/>
      <c r="P138" s="177"/>
      <c r="Q138" s="177"/>
      <c r="R138" s="3" t="s">
        <v>176</v>
      </c>
      <c r="S138" s="13" t="s">
        <v>5</v>
      </c>
      <c r="T138" s="13"/>
      <c r="U138" s="5" t="s">
        <v>9</v>
      </c>
      <c r="V138" s="268">
        <v>941509</v>
      </c>
      <c r="W138" s="5" t="s">
        <v>614</v>
      </c>
      <c r="X138" s="5" t="s">
        <v>478</v>
      </c>
      <c r="Y138" s="5" t="s">
        <v>145</v>
      </c>
      <c r="Z138" s="85" t="s">
        <v>316</v>
      </c>
      <c r="AA138" s="6" t="s">
        <v>218</v>
      </c>
      <c r="AB138" s="162" t="s">
        <v>217</v>
      </c>
      <c r="AC138" s="177" t="s">
        <v>6</v>
      </c>
      <c r="AD138" s="177" t="s">
        <v>6</v>
      </c>
      <c r="AE138" s="177" t="s">
        <v>6</v>
      </c>
      <c r="AF138" s="5"/>
      <c r="AG138" s="5"/>
      <c r="AH138" s="227"/>
      <c r="AI138" s="83"/>
      <c r="AJ138" s="83"/>
      <c r="AK138" s="237" t="e">
        <f>SUM(#REF!,BT138,BV138)</f>
        <v>#REF!</v>
      </c>
      <c r="AL138" s="52"/>
      <c r="AM138" s="52"/>
      <c r="AN138" s="52"/>
      <c r="AO138" s="52"/>
      <c r="AP138" s="52"/>
      <c r="AQ138" s="52"/>
      <c r="AR138" s="56">
        <v>0</v>
      </c>
      <c r="AS138" s="56"/>
      <c r="AT138" s="56">
        <v>0</v>
      </c>
      <c r="AU138" s="56"/>
      <c r="AV138" s="38">
        <v>0</v>
      </c>
      <c r="AW138" s="38">
        <v>0</v>
      </c>
      <c r="AX138" s="97">
        <f t="shared" si="59"/>
        <v>0</v>
      </c>
      <c r="AY138" s="169">
        <f t="shared" si="72"/>
        <v>0</v>
      </c>
      <c r="AZ138" s="196">
        <v>0</v>
      </c>
      <c r="BA138" s="170"/>
      <c r="BB138" s="196">
        <v>0</v>
      </c>
      <c r="BC138" s="170"/>
      <c r="BD138" s="196">
        <v>0</v>
      </c>
      <c r="BE138" s="170">
        <v>0</v>
      </c>
      <c r="BF138" s="196">
        <v>0</v>
      </c>
      <c r="BG138" s="170"/>
      <c r="BH138" s="196">
        <v>0</v>
      </c>
      <c r="BI138" s="170"/>
      <c r="BJ138" s="196">
        <v>0</v>
      </c>
      <c r="BK138" s="170"/>
      <c r="BL138" s="196"/>
      <c r="BM138" s="170"/>
      <c r="BN138" s="196"/>
      <c r="BO138" s="170"/>
      <c r="BP138" s="196"/>
      <c r="BQ138" s="170"/>
      <c r="BR138" s="196"/>
      <c r="BS138" s="170"/>
      <c r="BT138" s="196"/>
      <c r="BU138" s="170"/>
      <c r="BV138" s="196"/>
      <c r="BW138" s="251"/>
      <c r="BX138" s="254"/>
      <c r="BY138" s="88">
        <f t="shared" si="73"/>
        <v>0</v>
      </c>
      <c r="BZ138" s="258"/>
      <c r="CA138" s="258"/>
      <c r="CB138" s="258"/>
      <c r="CC138" s="258"/>
      <c r="CD138" s="258"/>
      <c r="CE138" s="258"/>
      <c r="CF138" s="258"/>
      <c r="CG138" s="258"/>
      <c r="CH138" s="258"/>
      <c r="CI138" s="258"/>
      <c r="CJ138" s="258"/>
      <c r="CK138" s="258"/>
      <c r="CL138" s="211">
        <f t="shared" si="63"/>
        <v>0</v>
      </c>
      <c r="CM138" s="212"/>
      <c r="CN138" s="212"/>
      <c r="CO138" s="212"/>
      <c r="CP138" s="212"/>
      <c r="CQ138" s="212"/>
      <c r="CR138" s="212"/>
      <c r="CS138" s="212"/>
      <c r="CT138" s="212"/>
      <c r="CU138" s="212"/>
      <c r="CV138" s="212"/>
      <c r="CW138" s="212"/>
      <c r="CX138" s="212"/>
      <c r="CY138" s="216">
        <f t="shared" si="60"/>
        <v>0</v>
      </c>
      <c r="CZ138" s="185">
        <f t="shared" si="74"/>
        <v>0</v>
      </c>
      <c r="DA138" s="217">
        <f t="shared" si="61"/>
        <v>0</v>
      </c>
      <c r="DB138" s="217">
        <f t="shared" si="62"/>
        <v>0</v>
      </c>
      <c r="DC138" s="217">
        <f t="shared" si="64"/>
        <v>0</v>
      </c>
      <c r="DD138" s="256">
        <v>0</v>
      </c>
      <c r="DE138" s="217">
        <f t="shared" si="65"/>
        <v>0</v>
      </c>
      <c r="DF138" s="185" t="e">
        <f>SUM(DN138:DO138)-SUM(#REF!,BV138)+BU138</f>
        <v>#REF!</v>
      </c>
      <c r="DG138" s="223"/>
      <c r="DH138" s="241">
        <f t="shared" si="66"/>
        <v>0</v>
      </c>
      <c r="DI138" s="241">
        <f t="shared" si="67"/>
        <v>0</v>
      </c>
      <c r="DJ138" s="241">
        <f t="shared" si="68"/>
        <v>0</v>
      </c>
      <c r="DK138" s="241" t="e">
        <f>SUM(BS138,#REF!,BV138)</f>
        <v>#REF!</v>
      </c>
      <c r="DL138" s="155">
        <v>68.7</v>
      </c>
      <c r="DM138" s="155">
        <v>0</v>
      </c>
      <c r="DN138" s="155">
        <v>0</v>
      </c>
      <c r="DO138" s="155">
        <v>0</v>
      </c>
      <c r="DP138" s="155">
        <v>0</v>
      </c>
      <c r="DQ138" s="155">
        <v>68.7</v>
      </c>
      <c r="DS138" s="235">
        <f t="shared" si="69"/>
        <v>0</v>
      </c>
    </row>
    <row r="139" spans="1:123" s="23" customFormat="1" ht="24" customHeight="1">
      <c r="A139" s="18"/>
      <c r="B139" s="2">
        <v>95</v>
      </c>
      <c r="C139" s="85" t="s">
        <v>139</v>
      </c>
      <c r="D139" s="85"/>
      <c r="E139" s="85" t="s">
        <v>919</v>
      </c>
      <c r="F139" s="3">
        <v>2019</v>
      </c>
      <c r="G139" s="4">
        <v>43487</v>
      </c>
      <c r="H139" s="4">
        <v>43487</v>
      </c>
      <c r="I139" s="4">
        <v>44103</v>
      </c>
      <c r="J139" s="15">
        <f t="shared" ca="1" si="58"/>
        <v>616</v>
      </c>
      <c r="K139" s="177">
        <f t="shared" si="70"/>
        <v>44034</v>
      </c>
      <c r="L139" s="177">
        <f t="shared" si="71"/>
        <v>44217</v>
      </c>
      <c r="M139" s="177"/>
      <c r="N139" s="177"/>
      <c r="O139" s="177"/>
      <c r="P139" s="177"/>
      <c r="Q139" s="177"/>
      <c r="R139" s="3" t="s">
        <v>176</v>
      </c>
      <c r="S139" s="13" t="s">
        <v>5</v>
      </c>
      <c r="T139" s="13"/>
      <c r="U139" s="5" t="s">
        <v>9</v>
      </c>
      <c r="V139" s="268">
        <v>941377</v>
      </c>
      <c r="W139" s="5" t="s">
        <v>614</v>
      </c>
      <c r="X139" s="5" t="s">
        <v>480</v>
      </c>
      <c r="Y139" s="5" t="s">
        <v>140</v>
      </c>
      <c r="Z139" s="85" t="s">
        <v>316</v>
      </c>
      <c r="AA139" s="6" t="s">
        <v>218</v>
      </c>
      <c r="AB139" s="151" t="s">
        <v>197</v>
      </c>
      <c r="AC139" s="177" t="s">
        <v>6</v>
      </c>
      <c r="AD139" s="177" t="s">
        <v>6</v>
      </c>
      <c r="AE139" s="177" t="s">
        <v>6</v>
      </c>
      <c r="AF139" s="5"/>
      <c r="AG139" s="5"/>
      <c r="AH139" s="227"/>
      <c r="AI139" s="83"/>
      <c r="AJ139" s="83"/>
      <c r="AK139" s="237" t="e">
        <f>SUM(#REF!,BT139,BV139)</f>
        <v>#REF!</v>
      </c>
      <c r="AL139" s="166"/>
      <c r="AM139" s="166"/>
      <c r="AN139" s="166"/>
      <c r="AO139" s="166"/>
      <c r="AP139" s="166"/>
      <c r="AQ139" s="166"/>
      <c r="AR139" s="56">
        <v>26.972379479793418</v>
      </c>
      <c r="AS139" s="56">
        <v>35.24579</v>
      </c>
      <c r="AT139" s="56">
        <v>14.369390000000001</v>
      </c>
      <c r="AU139" s="56"/>
      <c r="AV139" s="38">
        <v>57</v>
      </c>
      <c r="AW139" s="38">
        <v>0</v>
      </c>
      <c r="AX139" s="97">
        <f t="shared" si="59"/>
        <v>57</v>
      </c>
      <c r="AY139" s="169">
        <f t="shared" si="72"/>
        <v>0</v>
      </c>
      <c r="AZ139" s="196">
        <v>0</v>
      </c>
      <c r="BA139" s="170">
        <v>0</v>
      </c>
      <c r="BB139" s="196">
        <v>0</v>
      </c>
      <c r="BC139" s="170"/>
      <c r="BD139" s="196">
        <v>0</v>
      </c>
      <c r="BE139" s="170">
        <v>0</v>
      </c>
      <c r="BF139" s="196">
        <v>0</v>
      </c>
      <c r="BG139" s="170"/>
      <c r="BH139" s="196">
        <v>0</v>
      </c>
      <c r="BI139" s="170"/>
      <c r="BJ139" s="196">
        <v>0</v>
      </c>
      <c r="BK139" s="170"/>
      <c r="BL139" s="196"/>
      <c r="BM139" s="170"/>
      <c r="BN139" s="196"/>
      <c r="BO139" s="170"/>
      <c r="BP139" s="196"/>
      <c r="BQ139" s="170"/>
      <c r="BR139" s="196"/>
      <c r="BS139" s="170"/>
      <c r="BT139" s="196"/>
      <c r="BU139" s="170"/>
      <c r="BV139" s="196"/>
      <c r="BW139" s="251"/>
      <c r="BX139" s="254"/>
      <c r="BY139" s="88">
        <f t="shared" si="73"/>
        <v>0</v>
      </c>
      <c r="BZ139" s="258"/>
      <c r="CA139" s="258"/>
      <c r="CB139" s="258"/>
      <c r="CC139" s="258"/>
      <c r="CD139" s="258"/>
      <c r="CE139" s="258"/>
      <c r="CF139" s="258"/>
      <c r="CG139" s="258"/>
      <c r="CH139" s="258"/>
      <c r="CI139" s="258"/>
      <c r="CJ139" s="258"/>
      <c r="CK139" s="258"/>
      <c r="CL139" s="211">
        <f t="shared" si="63"/>
        <v>0</v>
      </c>
      <c r="CM139" s="212"/>
      <c r="CN139" s="212"/>
      <c r="CO139" s="212"/>
      <c r="CP139" s="212"/>
      <c r="CQ139" s="212"/>
      <c r="CR139" s="212"/>
      <c r="CS139" s="212"/>
      <c r="CT139" s="212"/>
      <c r="CU139" s="212"/>
      <c r="CV139" s="212"/>
      <c r="CW139" s="212"/>
      <c r="CX139" s="212"/>
      <c r="CY139" s="216">
        <f t="shared" si="60"/>
        <v>0</v>
      </c>
      <c r="CZ139" s="185">
        <f t="shared" si="74"/>
        <v>0</v>
      </c>
      <c r="DA139" s="217">
        <f t="shared" si="61"/>
        <v>0</v>
      </c>
      <c r="DB139" s="217">
        <f t="shared" si="62"/>
        <v>0</v>
      </c>
      <c r="DC139" s="217">
        <f t="shared" si="64"/>
        <v>0</v>
      </c>
      <c r="DD139" s="256">
        <v>0</v>
      </c>
      <c r="DE139" s="217">
        <f t="shared" si="65"/>
        <v>0</v>
      </c>
      <c r="DF139" s="185" t="e">
        <f>SUM(DN139:DO139)-SUM(#REF!,BV139)+BU139</f>
        <v>#REF!</v>
      </c>
      <c r="DG139" s="223"/>
      <c r="DH139" s="241">
        <f t="shared" si="66"/>
        <v>0</v>
      </c>
      <c r="DI139" s="241">
        <f t="shared" si="67"/>
        <v>0</v>
      </c>
      <c r="DJ139" s="241">
        <f t="shared" si="68"/>
        <v>0</v>
      </c>
      <c r="DK139" s="241" t="e">
        <f>SUM(BS139,#REF!,BV139)</f>
        <v>#REF!</v>
      </c>
      <c r="DL139" s="155">
        <v>57</v>
      </c>
      <c r="DM139" s="155">
        <v>41.443289999999998</v>
      </c>
      <c r="DN139" s="155">
        <v>0</v>
      </c>
      <c r="DO139" s="155">
        <v>0</v>
      </c>
      <c r="DP139" s="155">
        <v>41.443289999999998</v>
      </c>
      <c r="DQ139" s="155">
        <v>15.556709999999999</v>
      </c>
      <c r="DS139" s="235">
        <f t="shared" si="69"/>
        <v>0</v>
      </c>
    </row>
    <row r="140" spans="1:123" s="23" customFormat="1" ht="24" customHeight="1">
      <c r="A140" s="18"/>
      <c r="B140" s="2">
        <v>96</v>
      </c>
      <c r="C140" s="85" t="s">
        <v>146</v>
      </c>
      <c r="D140" s="85"/>
      <c r="E140" s="85"/>
      <c r="F140" s="3">
        <v>2019</v>
      </c>
      <c r="G140" s="4">
        <v>43516</v>
      </c>
      <c r="H140" s="4">
        <v>43516</v>
      </c>
      <c r="I140" s="4">
        <v>43843</v>
      </c>
      <c r="J140" s="15">
        <f t="shared" ca="1" si="58"/>
        <v>327</v>
      </c>
      <c r="K140" s="177">
        <f t="shared" si="70"/>
        <v>44063</v>
      </c>
      <c r="L140" s="177">
        <f t="shared" si="71"/>
        <v>44246</v>
      </c>
      <c r="M140" s="177"/>
      <c r="N140" s="177"/>
      <c r="O140" s="177"/>
      <c r="P140" s="177"/>
      <c r="Q140" s="177"/>
      <c r="R140" s="3" t="s">
        <v>176</v>
      </c>
      <c r="S140" s="13" t="s">
        <v>223</v>
      </c>
      <c r="T140" s="13"/>
      <c r="U140" s="5" t="s">
        <v>9</v>
      </c>
      <c r="V140" s="268">
        <v>965303</v>
      </c>
      <c r="W140" s="5" t="s">
        <v>614</v>
      </c>
      <c r="X140" s="5" t="s">
        <v>539</v>
      </c>
      <c r="Y140" s="5" t="s">
        <v>74</v>
      </c>
      <c r="Z140" s="3" t="s">
        <v>181</v>
      </c>
      <c r="AA140" s="6" t="s">
        <v>218</v>
      </c>
      <c r="AB140" s="151" t="s">
        <v>197</v>
      </c>
      <c r="AC140" s="177" t="s">
        <v>6</v>
      </c>
      <c r="AD140" s="177" t="s">
        <v>6</v>
      </c>
      <c r="AE140" s="177" t="s">
        <v>6</v>
      </c>
      <c r="AF140" s="5"/>
      <c r="AG140" s="5"/>
      <c r="AH140" s="227"/>
      <c r="AI140" s="83"/>
      <c r="AJ140" s="83"/>
      <c r="AK140" s="237" t="e">
        <f>SUM(#REF!,BT140,BV140)</f>
        <v>#REF!</v>
      </c>
      <c r="AL140" s="52"/>
      <c r="AM140" s="52"/>
      <c r="AN140" s="52"/>
      <c r="AO140" s="52"/>
      <c r="AP140" s="52"/>
      <c r="AQ140" s="52"/>
      <c r="AR140" s="56">
        <v>1160.0741096721715</v>
      </c>
      <c r="AS140" s="56">
        <v>-6.5961300000000502</v>
      </c>
      <c r="AT140" s="56">
        <v>36.197289999999995</v>
      </c>
      <c r="AU140" s="56"/>
      <c r="AV140" s="38">
        <v>1236</v>
      </c>
      <c r="AW140" s="38">
        <v>0</v>
      </c>
      <c r="AX140" s="97">
        <f t="shared" si="59"/>
        <v>1236</v>
      </c>
      <c r="AY140" s="169">
        <f t="shared" si="72"/>
        <v>0</v>
      </c>
      <c r="AZ140" s="196">
        <v>0</v>
      </c>
      <c r="BA140" s="170">
        <v>0</v>
      </c>
      <c r="BB140" s="196">
        <v>0</v>
      </c>
      <c r="BC140" s="170"/>
      <c r="BD140" s="196">
        <v>0</v>
      </c>
      <c r="BE140" s="170">
        <v>0</v>
      </c>
      <c r="BF140" s="196">
        <v>0</v>
      </c>
      <c r="BG140" s="170"/>
      <c r="BH140" s="196">
        <v>0</v>
      </c>
      <c r="BI140" s="170"/>
      <c r="BJ140" s="196">
        <v>0</v>
      </c>
      <c r="BK140" s="170"/>
      <c r="BL140" s="196"/>
      <c r="BM140" s="170"/>
      <c r="BN140" s="196"/>
      <c r="BO140" s="170"/>
      <c r="BP140" s="196"/>
      <c r="BQ140" s="170"/>
      <c r="BR140" s="196"/>
      <c r="BS140" s="170"/>
      <c r="BT140" s="196"/>
      <c r="BU140" s="170"/>
      <c r="BV140" s="196"/>
      <c r="BW140" s="251"/>
      <c r="BX140" s="254"/>
      <c r="BY140" s="88">
        <f t="shared" si="73"/>
        <v>0</v>
      </c>
      <c r="BZ140" s="258"/>
      <c r="CA140" s="258"/>
      <c r="CB140" s="258"/>
      <c r="CC140" s="258"/>
      <c r="CD140" s="258"/>
      <c r="CE140" s="258"/>
      <c r="CF140" s="258"/>
      <c r="CG140" s="258"/>
      <c r="CH140" s="258"/>
      <c r="CI140" s="258"/>
      <c r="CJ140" s="258"/>
      <c r="CK140" s="258"/>
      <c r="CL140" s="211">
        <f t="shared" si="63"/>
        <v>0</v>
      </c>
      <c r="CM140" s="212"/>
      <c r="CN140" s="212"/>
      <c r="CO140" s="212"/>
      <c r="CP140" s="212"/>
      <c r="CQ140" s="212"/>
      <c r="CR140" s="212"/>
      <c r="CS140" s="212"/>
      <c r="CT140" s="212"/>
      <c r="CU140" s="212"/>
      <c r="CV140" s="212"/>
      <c r="CW140" s="212"/>
      <c r="CX140" s="212"/>
      <c r="CY140" s="216">
        <f t="shared" si="60"/>
        <v>0</v>
      </c>
      <c r="CZ140" s="185">
        <f t="shared" si="74"/>
        <v>0</v>
      </c>
      <c r="DA140" s="217">
        <f t="shared" si="61"/>
        <v>0</v>
      </c>
      <c r="DB140" s="217">
        <f t="shared" si="62"/>
        <v>0</v>
      </c>
      <c r="DC140" s="217">
        <f t="shared" si="64"/>
        <v>0</v>
      </c>
      <c r="DD140" s="256">
        <v>0</v>
      </c>
      <c r="DE140" s="217">
        <f t="shared" si="65"/>
        <v>0</v>
      </c>
      <c r="DF140" s="185" t="e">
        <f>SUM(DN140:DO140)-SUM(#REF!,BV140)+BU140</f>
        <v>#REF!</v>
      </c>
      <c r="DG140" s="223"/>
      <c r="DH140" s="241">
        <f t="shared" si="66"/>
        <v>0</v>
      </c>
      <c r="DI140" s="241">
        <f t="shared" si="67"/>
        <v>0</v>
      </c>
      <c r="DJ140" s="241">
        <f t="shared" si="68"/>
        <v>0</v>
      </c>
      <c r="DK140" s="241" t="e">
        <f>SUM(BS140,#REF!,BV140)</f>
        <v>#REF!</v>
      </c>
      <c r="DL140" s="155">
        <v>1236</v>
      </c>
      <c r="DM140" s="155">
        <v>1197.4070099999999</v>
      </c>
      <c r="DN140" s="155">
        <v>0</v>
      </c>
      <c r="DO140" s="155">
        <v>0</v>
      </c>
      <c r="DP140" s="155">
        <v>1197.4070099999999</v>
      </c>
      <c r="DQ140" s="155">
        <v>38.59299</v>
      </c>
      <c r="DS140" s="235">
        <f t="shared" si="69"/>
        <v>0</v>
      </c>
    </row>
    <row r="141" spans="1:123" s="23" customFormat="1" ht="24" customHeight="1">
      <c r="A141" s="18"/>
      <c r="B141" s="2">
        <v>98</v>
      </c>
      <c r="C141" s="85" t="s">
        <v>149</v>
      </c>
      <c r="D141" s="85"/>
      <c r="E141" s="85" t="s">
        <v>920</v>
      </c>
      <c r="F141" s="3">
        <v>2019</v>
      </c>
      <c r="G141" s="4">
        <v>43545</v>
      </c>
      <c r="H141" s="4">
        <v>43545</v>
      </c>
      <c r="I141" s="4">
        <v>43853</v>
      </c>
      <c r="J141" s="15">
        <f t="shared" ca="1" si="58"/>
        <v>308</v>
      </c>
      <c r="K141" s="177">
        <f t="shared" si="70"/>
        <v>44092</v>
      </c>
      <c r="L141" s="177">
        <f t="shared" si="71"/>
        <v>44275</v>
      </c>
      <c r="M141" s="177"/>
      <c r="N141" s="177"/>
      <c r="O141" s="177"/>
      <c r="P141" s="177"/>
      <c r="Q141" s="177"/>
      <c r="R141" s="3" t="s">
        <v>178</v>
      </c>
      <c r="S141" s="13" t="s">
        <v>223</v>
      </c>
      <c r="T141" s="13"/>
      <c r="U141" s="5" t="s">
        <v>9</v>
      </c>
      <c r="V141" s="268">
        <v>1303242</v>
      </c>
      <c r="W141" s="5" t="s">
        <v>614</v>
      </c>
      <c r="X141" s="5" t="s">
        <v>480</v>
      </c>
      <c r="Y141" s="5" t="s">
        <v>150</v>
      </c>
      <c r="Z141" s="3" t="s">
        <v>188</v>
      </c>
      <c r="AA141" s="6" t="s">
        <v>218</v>
      </c>
      <c r="AB141" s="151" t="s">
        <v>197</v>
      </c>
      <c r="AC141" s="177" t="s">
        <v>6</v>
      </c>
      <c r="AD141" s="177" t="s">
        <v>6</v>
      </c>
      <c r="AE141" s="177" t="s">
        <v>6</v>
      </c>
      <c r="AF141" s="5"/>
      <c r="AG141" s="5"/>
      <c r="AH141" s="228"/>
      <c r="AI141" s="83"/>
      <c r="AJ141" s="83"/>
      <c r="AK141" s="237" t="e">
        <f>SUM(#REF!,BT141,BV141)</f>
        <v>#REF!</v>
      </c>
      <c r="AL141" s="52"/>
      <c r="AM141" s="52"/>
      <c r="AN141" s="52"/>
      <c r="AO141" s="52"/>
      <c r="AP141" s="52"/>
      <c r="AQ141" s="52"/>
      <c r="AR141" s="56">
        <v>16.68366</v>
      </c>
      <c r="AS141" s="56">
        <v>0</v>
      </c>
      <c r="AT141" s="56">
        <v>5.8299999999994467E-3</v>
      </c>
      <c r="AU141" s="56"/>
      <c r="AV141" s="38">
        <v>26.2</v>
      </c>
      <c r="AW141" s="38">
        <v>0</v>
      </c>
      <c r="AX141" s="97">
        <f t="shared" si="59"/>
        <v>26.2</v>
      </c>
      <c r="AY141" s="169">
        <f t="shared" si="72"/>
        <v>0</v>
      </c>
      <c r="AZ141" s="196">
        <v>0</v>
      </c>
      <c r="BA141" s="170"/>
      <c r="BB141" s="196">
        <v>0</v>
      </c>
      <c r="BC141" s="170"/>
      <c r="BD141" s="196">
        <v>0</v>
      </c>
      <c r="BE141" s="170">
        <v>0</v>
      </c>
      <c r="BF141" s="196">
        <v>0</v>
      </c>
      <c r="BG141" s="170"/>
      <c r="BH141" s="196">
        <v>0</v>
      </c>
      <c r="BI141" s="170"/>
      <c r="BJ141" s="196">
        <v>0</v>
      </c>
      <c r="BK141" s="170"/>
      <c r="BL141" s="196"/>
      <c r="BM141" s="170"/>
      <c r="BN141" s="196"/>
      <c r="BO141" s="170"/>
      <c r="BP141" s="196"/>
      <c r="BQ141" s="170"/>
      <c r="BR141" s="196"/>
      <c r="BS141" s="170"/>
      <c r="BT141" s="196"/>
      <c r="BU141" s="170"/>
      <c r="BV141" s="196"/>
      <c r="BW141" s="251"/>
      <c r="BX141" s="254"/>
      <c r="BY141" s="88">
        <f t="shared" si="73"/>
        <v>0</v>
      </c>
      <c r="BZ141" s="212"/>
      <c r="CA141" s="212"/>
      <c r="CB141" s="212"/>
      <c r="CC141" s="212"/>
      <c r="CD141" s="212"/>
      <c r="CE141" s="212"/>
      <c r="CF141" s="212"/>
      <c r="CG141" s="212"/>
      <c r="CH141" s="212"/>
      <c r="CI141" s="212"/>
      <c r="CJ141" s="212"/>
      <c r="CK141" s="212"/>
      <c r="CL141" s="211">
        <f t="shared" si="63"/>
        <v>0</v>
      </c>
      <c r="CM141" s="212"/>
      <c r="CN141" s="212"/>
      <c r="CO141" s="212"/>
      <c r="CP141" s="212"/>
      <c r="CQ141" s="212"/>
      <c r="CR141" s="212"/>
      <c r="CS141" s="212"/>
      <c r="CT141" s="212"/>
      <c r="CU141" s="212"/>
      <c r="CV141" s="212"/>
      <c r="CW141" s="212"/>
      <c r="CX141" s="212"/>
      <c r="CY141" s="216">
        <f t="shared" si="60"/>
        <v>0</v>
      </c>
      <c r="CZ141" s="185">
        <f t="shared" si="74"/>
        <v>0</v>
      </c>
      <c r="DA141" s="217">
        <f t="shared" si="61"/>
        <v>0</v>
      </c>
      <c r="DB141" s="217">
        <f t="shared" si="62"/>
        <v>0</v>
      </c>
      <c r="DC141" s="217">
        <f t="shared" si="64"/>
        <v>0</v>
      </c>
      <c r="DD141" s="256">
        <v>0</v>
      </c>
      <c r="DE141" s="217">
        <f t="shared" si="65"/>
        <v>0</v>
      </c>
      <c r="DF141" s="185" t="e">
        <f>SUM(DN141:DO141)-SUM(#REF!,BV141)+BU141</f>
        <v>#REF!</v>
      </c>
      <c r="DG141" s="223"/>
      <c r="DH141" s="241">
        <f t="shared" si="66"/>
        <v>0</v>
      </c>
      <c r="DI141" s="241">
        <f t="shared" si="67"/>
        <v>0</v>
      </c>
      <c r="DJ141" s="241">
        <f t="shared" si="68"/>
        <v>0</v>
      </c>
      <c r="DK141" s="241" t="e">
        <f>SUM(BS141,#REF!,BV141)</f>
        <v>#REF!</v>
      </c>
      <c r="DL141" s="155">
        <v>26.2</v>
      </c>
      <c r="DM141" s="155">
        <v>16.689490000000003</v>
      </c>
      <c r="DN141" s="155">
        <v>0</v>
      </c>
      <c r="DO141" s="155">
        <v>0</v>
      </c>
      <c r="DP141" s="155">
        <v>16.689490000000003</v>
      </c>
      <c r="DQ141" s="155">
        <v>9.51051</v>
      </c>
      <c r="DS141" s="235">
        <f t="shared" si="69"/>
        <v>0</v>
      </c>
    </row>
    <row r="142" spans="1:123" s="23" customFormat="1" ht="24" customHeight="1">
      <c r="A142" s="18"/>
      <c r="B142" s="2">
        <v>99</v>
      </c>
      <c r="C142" s="85" t="s">
        <v>147</v>
      </c>
      <c r="D142" s="85"/>
      <c r="E142" s="85"/>
      <c r="F142" s="3">
        <v>2019</v>
      </c>
      <c r="G142" s="4">
        <v>43538</v>
      </c>
      <c r="H142" s="4">
        <v>43538</v>
      </c>
      <c r="I142" s="4">
        <v>43839</v>
      </c>
      <c r="J142" s="15">
        <f t="shared" ca="1" si="58"/>
        <v>301</v>
      </c>
      <c r="K142" s="177">
        <f t="shared" si="70"/>
        <v>44085</v>
      </c>
      <c r="L142" s="177">
        <f t="shared" si="71"/>
        <v>44268</v>
      </c>
      <c r="M142" s="177"/>
      <c r="N142" s="177"/>
      <c r="O142" s="177"/>
      <c r="P142" s="177"/>
      <c r="Q142" s="177"/>
      <c r="R142" s="3" t="s">
        <v>177</v>
      </c>
      <c r="S142" s="13" t="s">
        <v>223</v>
      </c>
      <c r="T142" s="13"/>
      <c r="U142" s="5" t="s">
        <v>9</v>
      </c>
      <c r="V142" s="268">
        <v>1302696</v>
      </c>
      <c r="W142" s="5" t="s">
        <v>614</v>
      </c>
      <c r="X142" s="5" t="s">
        <v>476</v>
      </c>
      <c r="Y142" s="5" t="s">
        <v>98</v>
      </c>
      <c r="Z142" s="3" t="s">
        <v>181</v>
      </c>
      <c r="AA142" s="6" t="s">
        <v>218</v>
      </c>
      <c r="AB142" s="151" t="s">
        <v>197</v>
      </c>
      <c r="AC142" s="177" t="s">
        <v>6</v>
      </c>
      <c r="AD142" s="177" t="s">
        <v>6</v>
      </c>
      <c r="AE142" s="177" t="s">
        <v>6</v>
      </c>
      <c r="AF142" s="5"/>
      <c r="AG142" s="5"/>
      <c r="AH142" s="228"/>
      <c r="AI142" s="83"/>
      <c r="AJ142" s="83"/>
      <c r="AK142" s="237" t="e">
        <f>SUM(#REF!,BT142,BV142)</f>
        <v>#REF!</v>
      </c>
      <c r="AL142" s="52"/>
      <c r="AM142" s="52"/>
      <c r="AN142" s="52"/>
      <c r="AO142" s="52"/>
      <c r="AP142" s="52"/>
      <c r="AQ142" s="52"/>
      <c r="AR142" s="56">
        <v>63.970759999999999</v>
      </c>
      <c r="AS142" s="56"/>
      <c r="AT142" s="56">
        <v>0</v>
      </c>
      <c r="AU142" s="56"/>
      <c r="AV142" s="38">
        <v>75</v>
      </c>
      <c r="AW142" s="38">
        <v>0</v>
      </c>
      <c r="AX142" s="97">
        <f t="shared" si="59"/>
        <v>75</v>
      </c>
      <c r="AY142" s="169">
        <f t="shared" si="72"/>
        <v>0</v>
      </c>
      <c r="AZ142" s="196">
        <v>0</v>
      </c>
      <c r="BA142" s="170"/>
      <c r="BB142" s="196">
        <v>0</v>
      </c>
      <c r="BC142" s="170"/>
      <c r="BD142" s="196">
        <v>0</v>
      </c>
      <c r="BE142" s="170">
        <v>0</v>
      </c>
      <c r="BF142" s="196">
        <v>0</v>
      </c>
      <c r="BG142" s="170"/>
      <c r="BH142" s="196">
        <v>0</v>
      </c>
      <c r="BI142" s="170"/>
      <c r="BJ142" s="196">
        <v>0</v>
      </c>
      <c r="BK142" s="170"/>
      <c r="BL142" s="196"/>
      <c r="BM142" s="170"/>
      <c r="BN142" s="196"/>
      <c r="BO142" s="170"/>
      <c r="BP142" s="196"/>
      <c r="BQ142" s="170"/>
      <c r="BR142" s="196"/>
      <c r="BS142" s="170"/>
      <c r="BT142" s="196"/>
      <c r="BU142" s="170"/>
      <c r="BV142" s="196"/>
      <c r="BW142" s="251"/>
      <c r="BX142" s="254"/>
      <c r="BY142" s="88">
        <f t="shared" si="73"/>
        <v>0</v>
      </c>
      <c r="BZ142" s="214"/>
      <c r="CA142" s="214"/>
      <c r="CB142" s="214"/>
      <c r="CC142" s="214"/>
      <c r="CD142" s="214"/>
      <c r="CE142" s="214"/>
      <c r="CF142" s="214"/>
      <c r="CG142" s="214"/>
      <c r="CH142" s="214"/>
      <c r="CI142" s="214"/>
      <c r="CJ142" s="214"/>
      <c r="CK142" s="214"/>
      <c r="CL142" s="211">
        <f t="shared" si="63"/>
        <v>0</v>
      </c>
      <c r="CM142" s="212"/>
      <c r="CN142" s="212"/>
      <c r="CO142" s="212"/>
      <c r="CP142" s="212"/>
      <c r="CQ142" s="212"/>
      <c r="CR142" s="212"/>
      <c r="CS142" s="212"/>
      <c r="CT142" s="212"/>
      <c r="CU142" s="212"/>
      <c r="CV142" s="212"/>
      <c r="CW142" s="212"/>
      <c r="CX142" s="212"/>
      <c r="CY142" s="216">
        <f t="shared" si="60"/>
        <v>0</v>
      </c>
      <c r="CZ142" s="185">
        <f t="shared" si="74"/>
        <v>0</v>
      </c>
      <c r="DA142" s="217">
        <f t="shared" si="61"/>
        <v>0</v>
      </c>
      <c r="DB142" s="217">
        <f t="shared" si="62"/>
        <v>0</v>
      </c>
      <c r="DC142" s="217">
        <f t="shared" si="64"/>
        <v>0</v>
      </c>
      <c r="DD142" s="256">
        <v>0</v>
      </c>
      <c r="DE142" s="217">
        <f t="shared" si="65"/>
        <v>0</v>
      </c>
      <c r="DF142" s="185" t="e">
        <f>SUM(DN142:DO142)-SUM(#REF!,BV142)+BU142</f>
        <v>#REF!</v>
      </c>
      <c r="DG142" s="223"/>
      <c r="DH142" s="241">
        <f t="shared" si="66"/>
        <v>0</v>
      </c>
      <c r="DI142" s="241">
        <f t="shared" si="67"/>
        <v>0</v>
      </c>
      <c r="DJ142" s="241">
        <f t="shared" si="68"/>
        <v>0</v>
      </c>
      <c r="DK142" s="241" t="e">
        <f>SUM(BS142,#REF!,BV142)</f>
        <v>#REF!</v>
      </c>
      <c r="DL142" s="155">
        <v>75</v>
      </c>
      <c r="DM142" s="155">
        <v>63.970759999999999</v>
      </c>
      <c r="DN142" s="155">
        <v>0</v>
      </c>
      <c r="DO142" s="155">
        <v>0</v>
      </c>
      <c r="DP142" s="155">
        <v>63.970759999999999</v>
      </c>
      <c r="DQ142" s="155">
        <v>11.02924</v>
      </c>
      <c r="DS142" s="235">
        <f t="shared" si="69"/>
        <v>0</v>
      </c>
    </row>
    <row r="143" spans="1:123" s="23" customFormat="1" ht="24" customHeight="1">
      <c r="A143" s="18"/>
      <c r="B143" s="2">
        <v>100</v>
      </c>
      <c r="C143" s="85" t="s">
        <v>155</v>
      </c>
      <c r="D143" s="85"/>
      <c r="E143" s="85" t="s">
        <v>877</v>
      </c>
      <c r="F143" s="3">
        <v>2019</v>
      </c>
      <c r="G143" s="4">
        <v>43656</v>
      </c>
      <c r="H143" s="187">
        <v>43655</v>
      </c>
      <c r="I143" s="4">
        <v>44285</v>
      </c>
      <c r="J143" s="15">
        <f t="shared" ca="1" si="58"/>
        <v>630</v>
      </c>
      <c r="K143" s="177">
        <f t="shared" si="70"/>
        <v>44202</v>
      </c>
      <c r="L143" s="177">
        <f t="shared" si="71"/>
        <v>44385</v>
      </c>
      <c r="M143" s="177"/>
      <c r="N143" s="177"/>
      <c r="O143" s="177"/>
      <c r="P143" s="177"/>
      <c r="Q143" s="177"/>
      <c r="R143" s="3" t="s">
        <v>176</v>
      </c>
      <c r="S143" s="13" t="s">
        <v>5</v>
      </c>
      <c r="T143" s="13" t="s">
        <v>961</v>
      </c>
      <c r="U143" s="5" t="s">
        <v>9</v>
      </c>
      <c r="V143" s="268">
        <v>1653298</v>
      </c>
      <c r="W143" s="5" t="s">
        <v>614</v>
      </c>
      <c r="X143" s="5" t="s">
        <v>478</v>
      </c>
      <c r="Y143" s="5" t="s">
        <v>156</v>
      </c>
      <c r="Z143" s="3" t="s">
        <v>181</v>
      </c>
      <c r="AA143" s="6" t="s">
        <v>218</v>
      </c>
      <c r="AB143" s="151" t="s">
        <v>197</v>
      </c>
      <c r="AC143" s="177" t="s">
        <v>6</v>
      </c>
      <c r="AD143" s="177">
        <v>44316</v>
      </c>
      <c r="AE143" s="177" t="s">
        <v>6</v>
      </c>
      <c r="AF143" s="5"/>
      <c r="AG143" s="5"/>
      <c r="AH143" s="228"/>
      <c r="AI143" s="83"/>
      <c r="AJ143" s="83"/>
      <c r="AK143" s="237" t="e">
        <f>SUM(#REF!,BT143,BV143)</f>
        <v>#REF!</v>
      </c>
      <c r="AL143" s="166"/>
      <c r="AM143" s="166"/>
      <c r="AN143" s="166"/>
      <c r="AO143" s="166"/>
      <c r="AP143" s="166"/>
      <c r="AQ143" s="166"/>
      <c r="AR143" s="56">
        <v>125.52296000000003</v>
      </c>
      <c r="AS143" s="56">
        <v>236.50297999999998</v>
      </c>
      <c r="AT143" s="56">
        <v>55.08766</v>
      </c>
      <c r="AU143" s="56">
        <v>34.883949999999999</v>
      </c>
      <c r="AV143" s="38">
        <v>375.72</v>
      </c>
      <c r="AW143" s="38">
        <v>18</v>
      </c>
      <c r="AX143" s="97">
        <f t="shared" si="59"/>
        <v>393.72</v>
      </c>
      <c r="AY143" s="169">
        <f t="shared" si="72"/>
        <v>48.692160000000001</v>
      </c>
      <c r="AZ143" s="196">
        <v>9.1000000000000014</v>
      </c>
      <c r="BA143" s="170">
        <v>4.8839500000000005</v>
      </c>
      <c r="BB143" s="196">
        <v>5</v>
      </c>
      <c r="BC143" s="170">
        <v>6.0330200000000005</v>
      </c>
      <c r="BD143" s="196">
        <v>4</v>
      </c>
      <c r="BE143" s="170">
        <v>5.9929899999999998</v>
      </c>
      <c r="BF143" s="196">
        <v>18</v>
      </c>
      <c r="BG143" s="170">
        <v>0.28991</v>
      </c>
      <c r="BH143" s="196">
        <v>30</v>
      </c>
      <c r="BI143" s="170">
        <v>31.492290000000001</v>
      </c>
      <c r="BJ143" s="196">
        <v>14.4</v>
      </c>
      <c r="BK143" s="170"/>
      <c r="BL143" s="196"/>
      <c r="BM143" s="170"/>
      <c r="BN143" s="196"/>
      <c r="BO143" s="170"/>
      <c r="BP143" s="196"/>
      <c r="BQ143" s="170"/>
      <c r="BR143" s="196"/>
      <c r="BS143" s="170"/>
      <c r="BT143" s="196"/>
      <c r="BU143" s="170"/>
      <c r="BV143" s="196"/>
      <c r="BW143" s="251"/>
      <c r="BX143" s="254"/>
      <c r="BY143" s="88">
        <f t="shared" si="73"/>
        <v>0</v>
      </c>
      <c r="BZ143" s="258"/>
      <c r="CA143" s="258"/>
      <c r="CB143" s="258"/>
      <c r="CC143" s="258"/>
      <c r="CD143" s="258"/>
      <c r="CE143" s="258"/>
      <c r="CF143" s="258"/>
      <c r="CG143" s="258"/>
      <c r="CH143" s="258"/>
      <c r="CI143" s="258"/>
      <c r="CJ143" s="258"/>
      <c r="CK143" s="258"/>
      <c r="CL143" s="211">
        <f t="shared" si="63"/>
        <v>0</v>
      </c>
      <c r="CM143" s="212"/>
      <c r="CN143" s="212"/>
      <c r="CO143" s="212"/>
      <c r="CP143" s="212"/>
      <c r="CQ143" s="212"/>
      <c r="CR143" s="212"/>
      <c r="CS143" s="212"/>
      <c r="CT143" s="212"/>
      <c r="CU143" s="212"/>
      <c r="CV143" s="212"/>
      <c r="CW143" s="212"/>
      <c r="CX143" s="212"/>
      <c r="CY143" s="216">
        <f t="shared" si="60"/>
        <v>0</v>
      </c>
      <c r="CZ143" s="185">
        <f t="shared" si="74"/>
        <v>0</v>
      </c>
      <c r="DA143" s="217">
        <f t="shared" si="61"/>
        <v>48.692160000000001</v>
      </c>
      <c r="DB143" s="217">
        <f t="shared" si="62"/>
        <v>0</v>
      </c>
      <c r="DC143" s="217">
        <f t="shared" si="64"/>
        <v>48.692160000000001</v>
      </c>
      <c r="DD143" s="256">
        <v>48.692160000000001</v>
      </c>
      <c r="DE143" s="217">
        <f t="shared" si="65"/>
        <v>0</v>
      </c>
      <c r="DF143" s="185" t="e">
        <f>SUM(DN143:DO143)-SUM(#REF!,BV143)+BU143</f>
        <v>#REF!</v>
      </c>
      <c r="DG143" s="223"/>
      <c r="DH143" s="241">
        <f t="shared" si="66"/>
        <v>16.909960000000002</v>
      </c>
      <c r="DI143" s="241">
        <f t="shared" si="67"/>
        <v>31.7822</v>
      </c>
      <c r="DJ143" s="241">
        <f t="shared" si="68"/>
        <v>0</v>
      </c>
      <c r="DK143" s="241" t="e">
        <f>SUM(BS143,#REF!,BV143)</f>
        <v>#REF!</v>
      </c>
      <c r="DL143" s="155">
        <v>375.71899999999999</v>
      </c>
      <c r="DM143" s="155">
        <v>229.30278000000001</v>
      </c>
      <c r="DN143" s="155">
        <v>0</v>
      </c>
      <c r="DO143" s="155">
        <v>0</v>
      </c>
      <c r="DP143" s="155">
        <v>229.30278000000001</v>
      </c>
      <c r="DQ143" s="155">
        <v>146.41622000000001</v>
      </c>
      <c r="DR143" s="23">
        <f>VLOOKUP(C143,[6]Database!$B$143:$AD$521,29,FALSE)</f>
        <v>0</v>
      </c>
      <c r="DS143" s="235">
        <f t="shared" si="69"/>
        <v>0</v>
      </c>
    </row>
    <row r="144" spans="1:123" s="23" customFormat="1" ht="24" customHeight="1">
      <c r="A144" s="18"/>
      <c r="B144" s="2">
        <v>101</v>
      </c>
      <c r="C144" s="236" t="s">
        <v>157</v>
      </c>
      <c r="D144" s="85"/>
      <c r="E144" s="85" t="s">
        <v>870</v>
      </c>
      <c r="F144" s="3">
        <v>2019</v>
      </c>
      <c r="G144" s="4">
        <v>43529</v>
      </c>
      <c r="H144" s="187">
        <v>43609</v>
      </c>
      <c r="I144" s="4"/>
      <c r="J144" s="15">
        <f t="shared" ca="1" si="58"/>
        <v>-1687.4066194444458</v>
      </c>
      <c r="K144" s="177">
        <f t="shared" si="70"/>
        <v>44156</v>
      </c>
      <c r="L144" s="177">
        <f t="shared" si="71"/>
        <v>44339</v>
      </c>
      <c r="M144" s="249" t="s">
        <v>609</v>
      </c>
      <c r="N144" s="177" t="s">
        <v>609</v>
      </c>
      <c r="O144" s="250" t="s">
        <v>609</v>
      </c>
      <c r="P144" s="222" t="s">
        <v>1395</v>
      </c>
      <c r="Q144" s="177"/>
      <c r="R144" s="3" t="s">
        <v>176</v>
      </c>
      <c r="S144" s="13" t="s">
        <v>222</v>
      </c>
      <c r="T144" s="13" t="s">
        <v>958</v>
      </c>
      <c r="U144" s="5" t="s">
        <v>9</v>
      </c>
      <c r="V144" s="268">
        <v>1400773</v>
      </c>
      <c r="W144" s="5" t="s">
        <v>614</v>
      </c>
      <c r="X144" s="5" t="s">
        <v>481</v>
      </c>
      <c r="Y144" s="5" t="s">
        <v>158</v>
      </c>
      <c r="Z144" s="85" t="s">
        <v>186</v>
      </c>
      <c r="AA144" s="6" t="s">
        <v>218</v>
      </c>
      <c r="AB144" s="151" t="s">
        <v>197</v>
      </c>
      <c r="AC144" s="177" t="s">
        <v>6</v>
      </c>
      <c r="AD144" s="177">
        <v>44530</v>
      </c>
      <c r="AE144" s="177">
        <v>44499</v>
      </c>
      <c r="AF144" s="5"/>
      <c r="AG144" s="5"/>
      <c r="AH144" s="228"/>
      <c r="AI144" s="83"/>
      <c r="AJ144" s="83"/>
      <c r="AK144" s="237" t="e">
        <f>SUM(#REF!,BT144,BV144)</f>
        <v>#REF!</v>
      </c>
      <c r="AL144" s="166"/>
      <c r="AM144" s="166"/>
      <c r="AN144" s="166"/>
      <c r="AO144" s="166"/>
      <c r="AP144" s="166"/>
      <c r="AQ144" s="166"/>
      <c r="AR144" s="56">
        <v>0</v>
      </c>
      <c r="AS144" s="56">
        <v>186.4</v>
      </c>
      <c r="AT144" s="56">
        <v>38.172020000000003</v>
      </c>
      <c r="AU144" s="56">
        <v>110.00046999999995</v>
      </c>
      <c r="AV144" s="38">
        <v>372.8</v>
      </c>
      <c r="AW144" s="38">
        <v>0</v>
      </c>
      <c r="AX144" s="97">
        <f t="shared" si="59"/>
        <v>372.8</v>
      </c>
      <c r="AY144" s="169">
        <f t="shared" si="72"/>
        <v>232.99084999999999</v>
      </c>
      <c r="AZ144" s="196">
        <v>0</v>
      </c>
      <c r="BA144" s="170">
        <v>0</v>
      </c>
      <c r="BB144" s="196">
        <v>0</v>
      </c>
      <c r="BC144" s="170"/>
      <c r="BD144" s="196">
        <v>50.00046999999995</v>
      </c>
      <c r="BE144" s="170">
        <v>3.5126900000000001</v>
      </c>
      <c r="BF144" s="196">
        <v>1.8</v>
      </c>
      <c r="BG144" s="170">
        <v>10.86111</v>
      </c>
      <c r="BH144" s="196">
        <v>5</v>
      </c>
      <c r="BI144" s="170">
        <v>23.173669999999998</v>
      </c>
      <c r="BJ144" s="196">
        <v>10</v>
      </c>
      <c r="BK144" s="170">
        <v>25.05283</v>
      </c>
      <c r="BL144" s="267">
        <v>20</v>
      </c>
      <c r="BM144" s="170">
        <v>2.3875799999999998</v>
      </c>
      <c r="BN144" s="196">
        <v>37.700000000000003</v>
      </c>
      <c r="BO144" s="170">
        <v>70.359110000000001</v>
      </c>
      <c r="BP144" s="196">
        <v>50</v>
      </c>
      <c r="BQ144" s="170">
        <v>42.844449999999995</v>
      </c>
      <c r="BR144" s="196"/>
      <c r="BS144" s="170">
        <v>33.708500000000001</v>
      </c>
      <c r="BT144" s="196">
        <v>8.9</v>
      </c>
      <c r="BU144" s="170">
        <v>21.125779999999999</v>
      </c>
      <c r="BV144" s="196"/>
      <c r="BW144" s="251">
        <v>-3.4869999999999998E-2</v>
      </c>
      <c r="BX144" s="254">
        <v>-3.4869999999999998E-2</v>
      </c>
      <c r="BY144" s="88">
        <f t="shared" si="73"/>
        <v>0</v>
      </c>
      <c r="BZ144" s="258"/>
      <c r="CA144" s="258"/>
      <c r="CB144" s="258"/>
      <c r="CC144" s="258"/>
      <c r="CD144" s="258"/>
      <c r="CE144" s="258"/>
      <c r="CF144" s="258"/>
      <c r="CG144" s="258"/>
      <c r="CH144" s="258"/>
      <c r="CI144" s="258"/>
      <c r="CJ144" s="258"/>
      <c r="CK144" s="258"/>
      <c r="CL144" s="211">
        <f t="shared" si="63"/>
        <v>0</v>
      </c>
      <c r="CM144" s="212"/>
      <c r="CN144" s="212"/>
      <c r="CO144" s="212"/>
      <c r="CP144" s="212"/>
      <c r="CQ144" s="212"/>
      <c r="CR144" s="212"/>
      <c r="CS144" s="212"/>
      <c r="CT144" s="212"/>
      <c r="CU144" s="212"/>
      <c r="CV144" s="212"/>
      <c r="CW144" s="212"/>
      <c r="CX144" s="212"/>
      <c r="CY144" s="216">
        <f t="shared" si="60"/>
        <v>3.4869999999999998E-2</v>
      </c>
      <c r="CZ144" s="185">
        <f t="shared" si="74"/>
        <v>0</v>
      </c>
      <c r="DA144" s="217">
        <f t="shared" si="61"/>
        <v>233.02572000000001</v>
      </c>
      <c r="DB144" s="217">
        <f t="shared" si="62"/>
        <v>-3.4869999999999998E-2</v>
      </c>
      <c r="DC144" s="217">
        <f t="shared" si="64"/>
        <v>232.99084999999999</v>
      </c>
      <c r="DD144" s="256">
        <v>220.79994000000002</v>
      </c>
      <c r="DE144" s="217">
        <f t="shared" si="65"/>
        <v>12.190909999999974</v>
      </c>
      <c r="DF144" s="185" t="e">
        <f>SUM(DN144:DO144)-SUM(#REF!,BV144)+BU144</f>
        <v>#REF!</v>
      </c>
      <c r="DG144" s="223"/>
      <c r="DH144" s="241">
        <f t="shared" si="66"/>
        <v>3.5126900000000001</v>
      </c>
      <c r="DI144" s="241">
        <f t="shared" si="67"/>
        <v>59.087609999999998</v>
      </c>
      <c r="DJ144" s="241">
        <f t="shared" si="68"/>
        <v>115.59114</v>
      </c>
      <c r="DK144" s="241" t="e">
        <f>SUM(BS144,#REF!,BV144)</f>
        <v>#REF!</v>
      </c>
      <c r="DL144" s="155">
        <v>372.80046999999996</v>
      </c>
      <c r="DM144" s="155">
        <v>271.16287</v>
      </c>
      <c r="DN144" s="155">
        <v>0</v>
      </c>
      <c r="DO144" s="155">
        <v>0</v>
      </c>
      <c r="DP144" s="155">
        <v>271.16287</v>
      </c>
      <c r="DQ144" s="155">
        <v>101.63760000000001</v>
      </c>
      <c r="DR144" s="23">
        <f>VLOOKUP(C144,[6]Database!$B$143:$AD$521,29,FALSE)</f>
        <v>0</v>
      </c>
      <c r="DS144" s="235">
        <f t="shared" si="69"/>
        <v>0</v>
      </c>
    </row>
    <row r="145" spans="1:123" s="23" customFormat="1" ht="24" customHeight="1">
      <c r="A145" s="18"/>
      <c r="B145" s="2">
        <v>102</v>
      </c>
      <c r="C145" s="85" t="s">
        <v>163</v>
      </c>
      <c r="D145" s="85"/>
      <c r="E145" s="85"/>
      <c r="F145" s="3">
        <v>2019</v>
      </c>
      <c r="G145" s="4">
        <v>43585</v>
      </c>
      <c r="H145" s="4">
        <v>43585</v>
      </c>
      <c r="I145" s="4">
        <v>43643</v>
      </c>
      <c r="J145" s="15">
        <f t="shared" ca="1" si="58"/>
        <v>58</v>
      </c>
      <c r="K145" s="177">
        <f t="shared" si="70"/>
        <v>44132</v>
      </c>
      <c r="L145" s="177">
        <f t="shared" si="71"/>
        <v>44315</v>
      </c>
      <c r="M145" s="177"/>
      <c r="N145" s="177"/>
      <c r="O145" s="177"/>
      <c r="P145" s="177"/>
      <c r="Q145" s="177"/>
      <c r="R145" s="3" t="s">
        <v>176</v>
      </c>
      <c r="S145" s="13" t="s">
        <v>5</v>
      </c>
      <c r="T145" s="13"/>
      <c r="U145" s="5" t="s">
        <v>9</v>
      </c>
      <c r="V145" s="268">
        <v>1401193</v>
      </c>
      <c r="W145" s="5" t="s">
        <v>614</v>
      </c>
      <c r="X145" s="5" t="s">
        <v>479</v>
      </c>
      <c r="Y145" s="5" t="s">
        <v>164</v>
      </c>
      <c r="Z145" s="3" t="s">
        <v>181</v>
      </c>
      <c r="AA145" s="6" t="s">
        <v>218</v>
      </c>
      <c r="AB145" s="151" t="s">
        <v>197</v>
      </c>
      <c r="AC145" s="177" t="s">
        <v>6</v>
      </c>
      <c r="AD145" s="177" t="s">
        <v>6</v>
      </c>
      <c r="AE145" s="177" t="s">
        <v>6</v>
      </c>
      <c r="AF145" s="5"/>
      <c r="AG145" s="5"/>
      <c r="AH145" s="228"/>
      <c r="AI145" s="83"/>
      <c r="AJ145" s="83"/>
      <c r="AK145" s="237" t="e">
        <f>SUM(#REF!,BT145,BV145)</f>
        <v>#REF!</v>
      </c>
      <c r="AL145" s="52"/>
      <c r="AM145" s="52"/>
      <c r="AN145" s="52"/>
      <c r="AO145" s="52"/>
      <c r="AP145" s="52"/>
      <c r="AQ145" s="52"/>
      <c r="AR145" s="56">
        <v>59.082582250483831</v>
      </c>
      <c r="AS145" s="56"/>
      <c r="AT145" s="56">
        <v>0</v>
      </c>
      <c r="AU145" s="56"/>
      <c r="AV145" s="38">
        <v>89.85</v>
      </c>
      <c r="AW145" s="38">
        <v>3</v>
      </c>
      <c r="AX145" s="97">
        <f t="shared" si="59"/>
        <v>92.85</v>
      </c>
      <c r="AY145" s="169">
        <f t="shared" si="72"/>
        <v>0</v>
      </c>
      <c r="AZ145" s="196">
        <v>0</v>
      </c>
      <c r="BA145" s="170"/>
      <c r="BB145" s="196">
        <v>0</v>
      </c>
      <c r="BC145" s="170"/>
      <c r="BD145" s="196">
        <v>0</v>
      </c>
      <c r="BE145" s="170">
        <v>0</v>
      </c>
      <c r="BF145" s="196">
        <v>0</v>
      </c>
      <c r="BG145" s="170"/>
      <c r="BH145" s="196">
        <v>0</v>
      </c>
      <c r="BI145" s="170"/>
      <c r="BJ145" s="196">
        <v>0</v>
      </c>
      <c r="BK145" s="170"/>
      <c r="BL145" s="196"/>
      <c r="BM145" s="170"/>
      <c r="BN145" s="196"/>
      <c r="BO145" s="170"/>
      <c r="BP145" s="196"/>
      <c r="BQ145" s="170"/>
      <c r="BR145" s="196"/>
      <c r="BS145" s="170"/>
      <c r="BT145" s="196"/>
      <c r="BU145" s="170"/>
      <c r="BV145" s="196"/>
      <c r="BW145" s="251"/>
      <c r="BX145" s="254"/>
      <c r="BY145" s="88">
        <f t="shared" si="73"/>
        <v>0</v>
      </c>
      <c r="BZ145" s="258"/>
      <c r="CA145" s="258"/>
      <c r="CB145" s="258"/>
      <c r="CC145" s="258"/>
      <c r="CD145" s="258"/>
      <c r="CE145" s="258"/>
      <c r="CF145" s="258"/>
      <c r="CG145" s="258"/>
      <c r="CH145" s="258"/>
      <c r="CI145" s="258"/>
      <c r="CJ145" s="258"/>
      <c r="CK145" s="258"/>
      <c r="CL145" s="211">
        <f t="shared" si="63"/>
        <v>0</v>
      </c>
      <c r="CM145" s="212"/>
      <c r="CN145" s="212"/>
      <c r="CO145" s="212"/>
      <c r="CP145" s="212"/>
      <c r="CQ145" s="212"/>
      <c r="CR145" s="212"/>
      <c r="CS145" s="212"/>
      <c r="CT145" s="212"/>
      <c r="CU145" s="212"/>
      <c r="CV145" s="212"/>
      <c r="CW145" s="212"/>
      <c r="CX145" s="212"/>
      <c r="CY145" s="216">
        <f t="shared" si="60"/>
        <v>0</v>
      </c>
      <c r="CZ145" s="185">
        <f t="shared" si="74"/>
        <v>0</v>
      </c>
      <c r="DA145" s="217">
        <f t="shared" si="61"/>
        <v>0</v>
      </c>
      <c r="DB145" s="217">
        <f t="shared" si="62"/>
        <v>0</v>
      </c>
      <c r="DC145" s="217">
        <f t="shared" si="64"/>
        <v>0</v>
      </c>
      <c r="DD145" s="256">
        <v>0</v>
      </c>
      <c r="DE145" s="217">
        <f t="shared" si="65"/>
        <v>0</v>
      </c>
      <c r="DF145" s="185" t="e">
        <f>SUM(DN145:DO145)-SUM(#REF!,BV145)+BU145</f>
        <v>#REF!</v>
      </c>
      <c r="DG145" s="223"/>
      <c r="DH145" s="241">
        <f t="shared" si="66"/>
        <v>0</v>
      </c>
      <c r="DI145" s="241">
        <f t="shared" si="67"/>
        <v>0</v>
      </c>
      <c r="DJ145" s="241">
        <f t="shared" si="68"/>
        <v>0</v>
      </c>
      <c r="DK145" s="241" t="e">
        <f>SUM(BS145,#REF!,BV145)</f>
        <v>#REF!</v>
      </c>
      <c r="DL145" s="155">
        <v>89.85</v>
      </c>
      <c r="DM145" s="155">
        <v>59.684779999999996</v>
      </c>
      <c r="DN145" s="155">
        <v>0</v>
      </c>
      <c r="DO145" s="155">
        <v>0</v>
      </c>
      <c r="DP145" s="155">
        <v>59.684779999999996</v>
      </c>
      <c r="DQ145" s="155">
        <v>30.165220000000001</v>
      </c>
      <c r="DS145" s="235">
        <f t="shared" si="69"/>
        <v>0</v>
      </c>
    </row>
    <row r="146" spans="1:123" s="23" customFormat="1" ht="24" customHeight="1">
      <c r="A146" s="18"/>
      <c r="B146" s="2">
        <v>103</v>
      </c>
      <c r="C146" s="85" t="s">
        <v>153</v>
      </c>
      <c r="D146" s="85"/>
      <c r="E146" s="85"/>
      <c r="F146" s="3">
        <v>2019</v>
      </c>
      <c r="G146" s="4">
        <v>43608</v>
      </c>
      <c r="H146" s="4">
        <v>43608</v>
      </c>
      <c r="I146" s="4">
        <v>43839</v>
      </c>
      <c r="J146" s="15">
        <f t="shared" ca="1" si="58"/>
        <v>231</v>
      </c>
      <c r="K146" s="177">
        <f t="shared" si="70"/>
        <v>44155</v>
      </c>
      <c r="L146" s="177">
        <f t="shared" si="71"/>
        <v>44338</v>
      </c>
      <c r="M146" s="177"/>
      <c r="N146" s="177"/>
      <c r="O146" s="177"/>
      <c r="P146" s="177"/>
      <c r="Q146" s="177"/>
      <c r="R146" s="3" t="s">
        <v>179</v>
      </c>
      <c r="S146" s="13"/>
      <c r="T146" s="13"/>
      <c r="U146" s="5" t="s">
        <v>9</v>
      </c>
      <c r="V146" s="268">
        <v>1361619</v>
      </c>
      <c r="W146" s="5" t="s">
        <v>614</v>
      </c>
      <c r="X146" s="5" t="s">
        <v>476</v>
      </c>
      <c r="Y146" s="5" t="s">
        <v>154</v>
      </c>
      <c r="Z146" s="3" t="s">
        <v>188</v>
      </c>
      <c r="AA146" s="6" t="s">
        <v>218</v>
      </c>
      <c r="AB146" s="151" t="s">
        <v>197</v>
      </c>
      <c r="AC146" s="177" t="s">
        <v>6</v>
      </c>
      <c r="AD146" s="177" t="s">
        <v>6</v>
      </c>
      <c r="AE146" s="177" t="s">
        <v>6</v>
      </c>
      <c r="AF146" s="5"/>
      <c r="AG146" s="5"/>
      <c r="AH146" s="228"/>
      <c r="AI146" s="83"/>
      <c r="AJ146" s="83"/>
      <c r="AK146" s="237" t="e">
        <f>SUM(#REF!,BT146,BV146)</f>
        <v>#REF!</v>
      </c>
      <c r="AL146" s="52"/>
      <c r="AM146" s="52"/>
      <c r="AN146" s="52"/>
      <c r="AO146" s="52"/>
      <c r="AP146" s="52"/>
      <c r="AQ146" s="52"/>
      <c r="AR146" s="56">
        <v>27.52054</v>
      </c>
      <c r="AS146" s="56">
        <v>0</v>
      </c>
      <c r="AT146" s="56">
        <v>28.5871</v>
      </c>
      <c r="AU146" s="56"/>
      <c r="AV146" s="38">
        <v>75</v>
      </c>
      <c r="AW146" s="38">
        <v>0</v>
      </c>
      <c r="AX146" s="97">
        <f t="shared" si="59"/>
        <v>75</v>
      </c>
      <c r="AY146" s="169">
        <f t="shared" si="72"/>
        <v>0</v>
      </c>
      <c r="AZ146" s="196">
        <v>0</v>
      </c>
      <c r="BA146" s="170"/>
      <c r="BB146" s="196">
        <v>0</v>
      </c>
      <c r="BC146" s="170"/>
      <c r="BD146" s="196">
        <v>0</v>
      </c>
      <c r="BE146" s="170">
        <v>0</v>
      </c>
      <c r="BF146" s="196">
        <v>0</v>
      </c>
      <c r="BG146" s="170"/>
      <c r="BH146" s="196">
        <v>0</v>
      </c>
      <c r="BI146" s="170"/>
      <c r="BJ146" s="196">
        <v>0</v>
      </c>
      <c r="BK146" s="170"/>
      <c r="BL146" s="196"/>
      <c r="BM146" s="170"/>
      <c r="BN146" s="196"/>
      <c r="BO146" s="170"/>
      <c r="BP146" s="196"/>
      <c r="BQ146" s="170"/>
      <c r="BR146" s="196"/>
      <c r="BS146" s="170"/>
      <c r="BT146" s="196"/>
      <c r="BU146" s="170"/>
      <c r="BV146" s="196"/>
      <c r="BW146" s="251"/>
      <c r="BX146" s="254"/>
      <c r="BY146" s="88">
        <f t="shared" si="73"/>
        <v>0</v>
      </c>
      <c r="BZ146" s="214"/>
      <c r="CA146" s="214"/>
      <c r="CB146" s="214"/>
      <c r="CC146" s="214"/>
      <c r="CD146" s="214"/>
      <c r="CE146" s="214"/>
      <c r="CF146" s="214"/>
      <c r="CG146" s="214"/>
      <c r="CH146" s="214"/>
      <c r="CI146" s="214"/>
      <c r="CJ146" s="214"/>
      <c r="CK146" s="214"/>
      <c r="CL146" s="211">
        <f t="shared" si="63"/>
        <v>0</v>
      </c>
      <c r="CM146" s="212"/>
      <c r="CN146" s="212"/>
      <c r="CO146" s="212"/>
      <c r="CP146" s="212"/>
      <c r="CQ146" s="212"/>
      <c r="CR146" s="212"/>
      <c r="CS146" s="212"/>
      <c r="CT146" s="212"/>
      <c r="CU146" s="212"/>
      <c r="CV146" s="212"/>
      <c r="CW146" s="212"/>
      <c r="CX146" s="212"/>
      <c r="CY146" s="216">
        <f t="shared" si="60"/>
        <v>0</v>
      </c>
      <c r="CZ146" s="185">
        <f t="shared" si="74"/>
        <v>0</v>
      </c>
      <c r="DA146" s="217">
        <f t="shared" si="61"/>
        <v>0</v>
      </c>
      <c r="DB146" s="217">
        <f t="shared" si="62"/>
        <v>0</v>
      </c>
      <c r="DC146" s="217">
        <f t="shared" si="64"/>
        <v>0</v>
      </c>
      <c r="DD146" s="256">
        <v>0</v>
      </c>
      <c r="DE146" s="217">
        <f t="shared" si="65"/>
        <v>0</v>
      </c>
      <c r="DF146" s="185" t="e">
        <f>SUM(DN146:DO146)-SUM(#REF!,BV146)+BU146</f>
        <v>#REF!</v>
      </c>
      <c r="DG146" s="223"/>
      <c r="DH146" s="241">
        <f t="shared" si="66"/>
        <v>0</v>
      </c>
      <c r="DI146" s="241">
        <f t="shared" si="67"/>
        <v>0</v>
      </c>
      <c r="DJ146" s="241">
        <f t="shared" si="68"/>
        <v>0</v>
      </c>
      <c r="DK146" s="241" t="e">
        <f>SUM(BS146,#REF!,BV146)</f>
        <v>#REF!</v>
      </c>
      <c r="DL146" s="155">
        <v>75</v>
      </c>
      <c r="DM146" s="155">
        <v>56.107639999999996</v>
      </c>
      <c r="DN146" s="155">
        <v>0</v>
      </c>
      <c r="DO146" s="155">
        <v>0</v>
      </c>
      <c r="DP146" s="155">
        <v>56.107639999999996</v>
      </c>
      <c r="DQ146" s="155">
        <v>18.89236</v>
      </c>
      <c r="DS146" s="235">
        <f t="shared" si="69"/>
        <v>0</v>
      </c>
    </row>
    <row r="147" spans="1:123" s="23" customFormat="1" ht="24" customHeight="1">
      <c r="A147" s="18"/>
      <c r="B147" s="2">
        <v>104</v>
      </c>
      <c r="C147" s="85" t="s">
        <v>159</v>
      </c>
      <c r="D147" s="85"/>
      <c r="E147" s="85"/>
      <c r="F147" s="3">
        <v>2019</v>
      </c>
      <c r="G147" s="4">
        <v>43546</v>
      </c>
      <c r="H147" s="4">
        <v>43635</v>
      </c>
      <c r="I147" s="4">
        <v>43547</v>
      </c>
      <c r="J147" s="15">
        <f t="shared" ca="1" si="58"/>
        <v>-88</v>
      </c>
      <c r="K147" s="177">
        <f t="shared" si="70"/>
        <v>44182</v>
      </c>
      <c r="L147" s="177">
        <f t="shared" si="71"/>
        <v>44365</v>
      </c>
      <c r="M147" s="177"/>
      <c r="N147" s="177"/>
      <c r="O147" s="177"/>
      <c r="P147" s="177"/>
      <c r="Q147" s="177"/>
      <c r="R147" s="3" t="s">
        <v>178</v>
      </c>
      <c r="S147" s="13" t="s">
        <v>223</v>
      </c>
      <c r="T147" s="13"/>
      <c r="U147" s="5" t="s">
        <v>9</v>
      </c>
      <c r="V147" s="268">
        <v>1467335</v>
      </c>
      <c r="W147" s="5" t="s">
        <v>614</v>
      </c>
      <c r="X147" s="5" t="s">
        <v>482</v>
      </c>
      <c r="Y147" s="5" t="s">
        <v>160</v>
      </c>
      <c r="Z147" s="3" t="s">
        <v>188</v>
      </c>
      <c r="AA147" s="6" t="s">
        <v>218</v>
      </c>
      <c r="AB147" s="162" t="s">
        <v>228</v>
      </c>
      <c r="AC147" s="177" t="s">
        <v>6</v>
      </c>
      <c r="AD147" s="177" t="s">
        <v>6</v>
      </c>
      <c r="AE147" s="177" t="s">
        <v>6</v>
      </c>
      <c r="AF147" s="5"/>
      <c r="AG147" s="5"/>
      <c r="AH147" s="228"/>
      <c r="AI147" s="83"/>
      <c r="AJ147" s="83"/>
      <c r="AK147" s="237" t="e">
        <f>SUM(#REF!,BT147,BV147)</f>
        <v>#REF!</v>
      </c>
      <c r="AL147" s="52"/>
      <c r="AM147" s="52"/>
      <c r="AN147" s="52"/>
      <c r="AO147" s="52"/>
      <c r="AP147" s="52"/>
      <c r="AQ147" s="52"/>
      <c r="AR147" s="56">
        <v>0</v>
      </c>
      <c r="AS147" s="56"/>
      <c r="AT147" s="56">
        <v>0</v>
      </c>
      <c r="AU147" s="56"/>
      <c r="AV147" s="38">
        <v>0</v>
      </c>
      <c r="AW147" s="38">
        <v>0</v>
      </c>
      <c r="AX147" s="97">
        <f t="shared" si="59"/>
        <v>0</v>
      </c>
      <c r="AY147" s="169">
        <f t="shared" si="72"/>
        <v>0</v>
      </c>
      <c r="AZ147" s="196">
        <v>0</v>
      </c>
      <c r="BA147" s="170"/>
      <c r="BB147" s="196">
        <v>0</v>
      </c>
      <c r="BC147" s="170"/>
      <c r="BD147" s="196">
        <v>0</v>
      </c>
      <c r="BE147" s="170">
        <v>0</v>
      </c>
      <c r="BF147" s="196">
        <v>0</v>
      </c>
      <c r="BG147" s="170"/>
      <c r="BH147" s="196">
        <v>0</v>
      </c>
      <c r="BI147" s="170"/>
      <c r="BJ147" s="196">
        <v>0</v>
      </c>
      <c r="BK147" s="170"/>
      <c r="BL147" s="196"/>
      <c r="BM147" s="170"/>
      <c r="BN147" s="196"/>
      <c r="BO147" s="170"/>
      <c r="BP147" s="196"/>
      <c r="BQ147" s="170"/>
      <c r="BR147" s="196"/>
      <c r="BS147" s="170"/>
      <c r="BT147" s="196"/>
      <c r="BU147" s="170"/>
      <c r="BV147" s="196"/>
      <c r="BW147" s="251"/>
      <c r="BX147" s="254"/>
      <c r="BY147" s="88">
        <f t="shared" si="73"/>
        <v>0</v>
      </c>
      <c r="BZ147" s="214"/>
      <c r="CA147" s="214"/>
      <c r="CB147" s="214"/>
      <c r="CC147" s="214"/>
      <c r="CD147" s="214"/>
      <c r="CE147" s="214"/>
      <c r="CF147" s="214"/>
      <c r="CG147" s="214"/>
      <c r="CH147" s="214"/>
      <c r="CI147" s="214"/>
      <c r="CJ147" s="214"/>
      <c r="CK147" s="214"/>
      <c r="CL147" s="211">
        <f t="shared" si="63"/>
        <v>0</v>
      </c>
      <c r="CM147" s="212"/>
      <c r="CN147" s="212"/>
      <c r="CO147" s="212"/>
      <c r="CP147" s="212"/>
      <c r="CQ147" s="212"/>
      <c r="CR147" s="212"/>
      <c r="CS147" s="212"/>
      <c r="CT147" s="212"/>
      <c r="CU147" s="212"/>
      <c r="CV147" s="212"/>
      <c r="CW147" s="212"/>
      <c r="CX147" s="212"/>
      <c r="CY147" s="216">
        <f t="shared" si="60"/>
        <v>0</v>
      </c>
      <c r="CZ147" s="185">
        <f t="shared" si="74"/>
        <v>0</v>
      </c>
      <c r="DA147" s="217">
        <f t="shared" si="61"/>
        <v>0</v>
      </c>
      <c r="DB147" s="217">
        <f t="shared" si="62"/>
        <v>0</v>
      </c>
      <c r="DC147" s="217">
        <f t="shared" si="64"/>
        <v>0</v>
      </c>
      <c r="DD147" s="256">
        <v>0</v>
      </c>
      <c r="DE147" s="217">
        <f t="shared" si="65"/>
        <v>0</v>
      </c>
      <c r="DF147" s="185" t="e">
        <f>SUM(DN147:DO147)-SUM(#REF!,BV147)+BU147</f>
        <v>#REF!</v>
      </c>
      <c r="DG147" s="223"/>
      <c r="DH147" s="241">
        <f t="shared" si="66"/>
        <v>0</v>
      </c>
      <c r="DI147" s="241">
        <f t="shared" si="67"/>
        <v>0</v>
      </c>
      <c r="DJ147" s="241">
        <f t="shared" si="68"/>
        <v>0</v>
      </c>
      <c r="DK147" s="241" t="e">
        <f>SUM(BS147,#REF!,BV147)</f>
        <v>#REF!</v>
      </c>
      <c r="DL147" s="155">
        <v>20</v>
      </c>
      <c r="DM147" s="155">
        <v>0</v>
      </c>
      <c r="DN147" s="155">
        <v>0</v>
      </c>
      <c r="DO147" s="155">
        <v>0</v>
      </c>
      <c r="DP147" s="155">
        <v>0</v>
      </c>
      <c r="DQ147" s="155">
        <v>20</v>
      </c>
      <c r="DS147" s="235">
        <f t="shared" si="69"/>
        <v>0</v>
      </c>
    </row>
    <row r="148" spans="1:123" s="23" customFormat="1" ht="24" customHeight="1">
      <c r="A148" s="18"/>
      <c r="B148" s="2">
        <v>105</v>
      </c>
      <c r="C148" s="85" t="s">
        <v>167</v>
      </c>
      <c r="D148" s="85"/>
      <c r="E148" s="85" t="s">
        <v>925</v>
      </c>
      <c r="F148" s="3">
        <v>2019</v>
      </c>
      <c r="G148" s="4">
        <v>43602</v>
      </c>
      <c r="H148" s="4">
        <v>43602</v>
      </c>
      <c r="I148" s="4">
        <v>44201</v>
      </c>
      <c r="J148" s="15">
        <f t="shared" ca="1" si="58"/>
        <v>599</v>
      </c>
      <c r="K148" s="177">
        <f t="shared" si="70"/>
        <v>44149</v>
      </c>
      <c r="L148" s="177">
        <f t="shared" si="71"/>
        <v>44332</v>
      </c>
      <c r="M148" s="177"/>
      <c r="N148" s="177"/>
      <c r="O148" s="177"/>
      <c r="P148" s="177"/>
      <c r="Q148" s="177"/>
      <c r="R148" s="3" t="s">
        <v>176</v>
      </c>
      <c r="S148" s="13" t="s">
        <v>5</v>
      </c>
      <c r="T148" s="13" t="s">
        <v>952</v>
      </c>
      <c r="U148" s="5" t="s">
        <v>9</v>
      </c>
      <c r="V148" s="268">
        <v>1457603</v>
      </c>
      <c r="W148" s="5" t="s">
        <v>614</v>
      </c>
      <c r="X148" s="5" t="s">
        <v>480</v>
      </c>
      <c r="Y148" s="5" t="s">
        <v>168</v>
      </c>
      <c r="Z148" s="3" t="s">
        <v>181</v>
      </c>
      <c r="AA148" s="6" t="s">
        <v>218</v>
      </c>
      <c r="AB148" s="151" t="s">
        <v>197</v>
      </c>
      <c r="AC148" s="177" t="s">
        <v>6</v>
      </c>
      <c r="AD148" s="177" t="s">
        <v>6</v>
      </c>
      <c r="AE148" s="177" t="s">
        <v>6</v>
      </c>
      <c r="AF148" s="5" t="s">
        <v>1132</v>
      </c>
      <c r="AG148" s="5"/>
      <c r="AH148" s="228"/>
      <c r="AI148" s="83"/>
      <c r="AJ148" s="83"/>
      <c r="AK148" s="237" t="e">
        <f>SUM(#REF!,BT148,BV148)</f>
        <v>#REF!</v>
      </c>
      <c r="AL148" s="166"/>
      <c r="AM148" s="166"/>
      <c r="AN148" s="166"/>
      <c r="AO148" s="166"/>
      <c r="AP148" s="166"/>
      <c r="AQ148" s="166"/>
      <c r="AR148" s="56">
        <v>381.2656563214461</v>
      </c>
      <c r="AS148" s="56">
        <v>1131.7854</v>
      </c>
      <c r="AT148" s="56">
        <v>767.33153000000004</v>
      </c>
      <c r="AU148" s="56"/>
      <c r="AV148" s="38">
        <v>1675.63</v>
      </c>
      <c r="AW148" s="38">
        <v>33</v>
      </c>
      <c r="AX148" s="97">
        <f t="shared" si="59"/>
        <v>1708.63</v>
      </c>
      <c r="AY148" s="169">
        <f t="shared" si="72"/>
        <v>-1.7347234759768071E-18</v>
      </c>
      <c r="AZ148" s="196">
        <v>0</v>
      </c>
      <c r="BA148" s="170">
        <v>-1.0020000000000001E-2</v>
      </c>
      <c r="BB148" s="196">
        <v>0</v>
      </c>
      <c r="BC148" s="170">
        <v>1.0019999999999999E-2</v>
      </c>
      <c r="BD148" s="196">
        <v>0</v>
      </c>
      <c r="BE148" s="170">
        <v>0</v>
      </c>
      <c r="BF148" s="196">
        <v>0</v>
      </c>
      <c r="BG148" s="170"/>
      <c r="BH148" s="196">
        <v>0</v>
      </c>
      <c r="BI148" s="170"/>
      <c r="BJ148" s="196">
        <v>0</v>
      </c>
      <c r="BK148" s="170"/>
      <c r="BL148" s="196"/>
      <c r="BM148" s="170"/>
      <c r="BN148" s="196"/>
      <c r="BO148" s="170"/>
      <c r="BP148" s="196"/>
      <c r="BQ148" s="170"/>
      <c r="BR148" s="196"/>
      <c r="BS148" s="170"/>
      <c r="BT148" s="196"/>
      <c r="BU148" s="170"/>
      <c r="BV148" s="196"/>
      <c r="BW148" s="251"/>
      <c r="BX148" s="254"/>
      <c r="BY148" s="88">
        <f t="shared" si="73"/>
        <v>0</v>
      </c>
      <c r="BZ148" s="258"/>
      <c r="CA148" s="258"/>
      <c r="CB148" s="258"/>
      <c r="CC148" s="258"/>
      <c r="CD148" s="258"/>
      <c r="CE148" s="258"/>
      <c r="CF148" s="258"/>
      <c r="CG148" s="258"/>
      <c r="CH148" s="258"/>
      <c r="CI148" s="258"/>
      <c r="CJ148" s="258"/>
      <c r="CK148" s="258"/>
      <c r="CL148" s="211">
        <f t="shared" si="63"/>
        <v>0</v>
      </c>
      <c r="CM148" s="212"/>
      <c r="CN148" s="212"/>
      <c r="CO148" s="212"/>
      <c r="CP148" s="212"/>
      <c r="CQ148" s="212"/>
      <c r="CR148" s="212"/>
      <c r="CS148" s="212"/>
      <c r="CT148" s="212"/>
      <c r="CU148" s="212"/>
      <c r="CV148" s="212"/>
      <c r="CW148" s="212"/>
      <c r="CX148" s="212"/>
      <c r="CY148" s="216">
        <f t="shared" si="60"/>
        <v>0</v>
      </c>
      <c r="CZ148" s="185">
        <f t="shared" si="74"/>
        <v>0</v>
      </c>
      <c r="DA148" s="217">
        <f t="shared" si="61"/>
        <v>-1.7347234759768071E-18</v>
      </c>
      <c r="DB148" s="217">
        <f t="shared" si="62"/>
        <v>0</v>
      </c>
      <c r="DC148" s="217">
        <f t="shared" si="64"/>
        <v>-1.7347234759768071E-18</v>
      </c>
      <c r="DD148" s="256">
        <v>-1.7347234759768071E-18</v>
      </c>
      <c r="DE148" s="217">
        <f t="shared" si="65"/>
        <v>0</v>
      </c>
      <c r="DF148" s="185" t="e">
        <f>SUM(DN148:DO148)-SUM(#REF!,BV148)+BU148</f>
        <v>#REF!</v>
      </c>
      <c r="DG148" s="223"/>
      <c r="DH148" s="241">
        <f t="shared" si="66"/>
        <v>-1.7347234759768071E-18</v>
      </c>
      <c r="DI148" s="241">
        <f t="shared" si="67"/>
        <v>0</v>
      </c>
      <c r="DJ148" s="241">
        <f t="shared" si="68"/>
        <v>0</v>
      </c>
      <c r="DK148" s="241" t="e">
        <f>SUM(BS148,#REF!,BV148)</f>
        <v>#REF!</v>
      </c>
      <c r="DL148" s="155">
        <v>1675.63</v>
      </c>
      <c r="DM148" s="155">
        <v>1150.0130800000002</v>
      </c>
      <c r="DN148" s="155">
        <v>0</v>
      </c>
      <c r="DO148" s="155">
        <v>0</v>
      </c>
      <c r="DP148" s="155">
        <v>1150.0130800000002</v>
      </c>
      <c r="DQ148" s="155">
        <v>525.61692000000005</v>
      </c>
      <c r="DR148" s="23">
        <f>VLOOKUP(C148,[6]Database!$B$143:$AD$521,29,FALSE)</f>
        <v>0</v>
      </c>
      <c r="DS148" s="235">
        <f t="shared" si="69"/>
        <v>0</v>
      </c>
    </row>
    <row r="149" spans="1:123" s="23" customFormat="1" ht="24" customHeight="1">
      <c r="A149" s="18"/>
      <c r="B149" s="2">
        <v>106</v>
      </c>
      <c r="C149" s="85" t="s">
        <v>151</v>
      </c>
      <c r="D149" s="85"/>
      <c r="E149" s="85"/>
      <c r="F149" s="3">
        <v>2019</v>
      </c>
      <c r="G149" s="4">
        <v>43566</v>
      </c>
      <c r="H149" s="4">
        <v>43706</v>
      </c>
      <c r="I149" s="4">
        <v>43853</v>
      </c>
      <c r="J149" s="15">
        <f t="shared" ca="1" si="58"/>
        <v>147</v>
      </c>
      <c r="K149" s="177">
        <f t="shared" si="70"/>
        <v>44253</v>
      </c>
      <c r="L149" s="177">
        <f t="shared" si="71"/>
        <v>44436</v>
      </c>
      <c r="M149" s="177"/>
      <c r="N149" s="177"/>
      <c r="O149" s="177"/>
      <c r="P149" s="177"/>
      <c r="Q149" s="177"/>
      <c r="R149" s="3" t="s">
        <v>178</v>
      </c>
      <c r="S149" s="13" t="s">
        <v>223</v>
      </c>
      <c r="T149" s="13"/>
      <c r="U149" s="5" t="s">
        <v>9</v>
      </c>
      <c r="V149" s="268">
        <v>2082187</v>
      </c>
      <c r="W149" s="5" t="s">
        <v>614</v>
      </c>
      <c r="X149" s="5" t="s">
        <v>481</v>
      </c>
      <c r="Y149" s="5" t="s">
        <v>152</v>
      </c>
      <c r="Z149" s="3" t="s">
        <v>188</v>
      </c>
      <c r="AA149" s="6" t="s">
        <v>218</v>
      </c>
      <c r="AB149" s="151" t="s">
        <v>197</v>
      </c>
      <c r="AC149" s="177" t="s">
        <v>6</v>
      </c>
      <c r="AD149" s="177" t="s">
        <v>6</v>
      </c>
      <c r="AE149" s="177" t="s">
        <v>6</v>
      </c>
      <c r="AF149" s="5" t="s">
        <v>1132</v>
      </c>
      <c r="AG149" s="5"/>
      <c r="AH149" s="228"/>
      <c r="AI149" s="83"/>
      <c r="AJ149" s="83"/>
      <c r="AK149" s="237" t="e">
        <f>SUM(#REF!,BT149,BV149)</f>
        <v>#REF!</v>
      </c>
      <c r="AL149" s="52"/>
      <c r="AM149" s="52"/>
      <c r="AN149" s="52"/>
      <c r="AO149" s="52"/>
      <c r="AP149" s="52"/>
      <c r="AQ149" s="52"/>
      <c r="AR149" s="56">
        <v>382.68</v>
      </c>
      <c r="AS149" s="56">
        <v>0</v>
      </c>
      <c r="AT149" s="56">
        <v>26.11234</v>
      </c>
      <c r="AU149" s="56"/>
      <c r="AV149" s="38">
        <v>140</v>
      </c>
      <c r="AW149" s="38">
        <v>0</v>
      </c>
      <c r="AX149" s="97">
        <f t="shared" si="59"/>
        <v>140</v>
      </c>
      <c r="AY149" s="169">
        <f t="shared" si="72"/>
        <v>0</v>
      </c>
      <c r="AZ149" s="196">
        <v>0</v>
      </c>
      <c r="BA149" s="170">
        <v>0</v>
      </c>
      <c r="BB149" s="196">
        <v>0</v>
      </c>
      <c r="BC149" s="170"/>
      <c r="BD149" s="196">
        <v>0</v>
      </c>
      <c r="BE149" s="170">
        <v>0</v>
      </c>
      <c r="BF149" s="196">
        <v>0</v>
      </c>
      <c r="BG149" s="170"/>
      <c r="BH149" s="196">
        <v>0</v>
      </c>
      <c r="BI149" s="170"/>
      <c r="BJ149" s="196">
        <v>0</v>
      </c>
      <c r="BK149" s="170"/>
      <c r="BL149" s="196"/>
      <c r="BM149" s="170"/>
      <c r="BN149" s="196"/>
      <c r="BO149" s="170"/>
      <c r="BP149" s="196"/>
      <c r="BQ149" s="170"/>
      <c r="BR149" s="196"/>
      <c r="BS149" s="170"/>
      <c r="BT149" s="196"/>
      <c r="BU149" s="170"/>
      <c r="BV149" s="196"/>
      <c r="BW149" s="251"/>
      <c r="BX149" s="254"/>
      <c r="BY149" s="88">
        <f t="shared" si="73"/>
        <v>0</v>
      </c>
      <c r="BZ149" s="214"/>
      <c r="CA149" s="214"/>
      <c r="CB149" s="214"/>
      <c r="CC149" s="214"/>
      <c r="CD149" s="214"/>
      <c r="CE149" s="214"/>
      <c r="CF149" s="214"/>
      <c r="CG149" s="214"/>
      <c r="CH149" s="214"/>
      <c r="CI149" s="214"/>
      <c r="CJ149" s="214"/>
      <c r="CK149" s="214"/>
      <c r="CL149" s="211">
        <f t="shared" si="63"/>
        <v>0</v>
      </c>
      <c r="CM149" s="212"/>
      <c r="CN149" s="212"/>
      <c r="CO149" s="212"/>
      <c r="CP149" s="212"/>
      <c r="CQ149" s="212"/>
      <c r="CR149" s="212"/>
      <c r="CS149" s="212"/>
      <c r="CT149" s="212"/>
      <c r="CU149" s="212"/>
      <c r="CV149" s="212"/>
      <c r="CW149" s="212"/>
      <c r="CX149" s="212"/>
      <c r="CY149" s="216">
        <f t="shared" si="60"/>
        <v>0</v>
      </c>
      <c r="CZ149" s="185">
        <f t="shared" si="74"/>
        <v>0</v>
      </c>
      <c r="DA149" s="217">
        <f t="shared" si="61"/>
        <v>0</v>
      </c>
      <c r="DB149" s="217">
        <f t="shared" si="62"/>
        <v>0</v>
      </c>
      <c r="DC149" s="217">
        <f t="shared" si="64"/>
        <v>0</v>
      </c>
      <c r="DD149" s="256">
        <v>0</v>
      </c>
      <c r="DE149" s="217">
        <f t="shared" si="65"/>
        <v>0</v>
      </c>
      <c r="DF149" s="185" t="e">
        <f>SUM(DN149:DO149)-SUM(#REF!,BV149)+BU149</f>
        <v>#REF!</v>
      </c>
      <c r="DG149" s="223"/>
      <c r="DH149" s="241">
        <f t="shared" si="66"/>
        <v>0</v>
      </c>
      <c r="DI149" s="241">
        <f t="shared" si="67"/>
        <v>0</v>
      </c>
      <c r="DJ149" s="241">
        <f t="shared" si="68"/>
        <v>0</v>
      </c>
      <c r="DK149" s="241" t="e">
        <f>SUM(BS149,#REF!,BV149)</f>
        <v>#REF!</v>
      </c>
      <c r="DL149" s="155">
        <v>140</v>
      </c>
      <c r="DM149" s="155">
        <v>115.48541</v>
      </c>
      <c r="DN149" s="155">
        <v>0</v>
      </c>
      <c r="DO149" s="155">
        <v>0</v>
      </c>
      <c r="DP149" s="155">
        <v>115.48541</v>
      </c>
      <c r="DQ149" s="155">
        <v>24.514590000000002</v>
      </c>
      <c r="DS149" s="235">
        <f t="shared" si="69"/>
        <v>0</v>
      </c>
    </row>
    <row r="150" spans="1:123" s="23" customFormat="1" ht="24" customHeight="1">
      <c r="A150" s="18"/>
      <c r="B150" s="2">
        <v>107</v>
      </c>
      <c r="C150" s="85" t="s">
        <v>161</v>
      </c>
      <c r="D150" s="85"/>
      <c r="E150" s="85"/>
      <c r="F150" s="3">
        <v>2019</v>
      </c>
      <c r="G150" s="4">
        <v>43567</v>
      </c>
      <c r="H150" s="4">
        <v>43568</v>
      </c>
      <c r="I150" s="4">
        <v>43568</v>
      </c>
      <c r="J150" s="15">
        <f t="shared" ca="1" si="58"/>
        <v>0</v>
      </c>
      <c r="K150" s="177">
        <f t="shared" si="70"/>
        <v>44115</v>
      </c>
      <c r="L150" s="177">
        <f t="shared" si="71"/>
        <v>44298</v>
      </c>
      <c r="M150" s="177"/>
      <c r="N150" s="177"/>
      <c r="O150" s="177"/>
      <c r="P150" s="177"/>
      <c r="Q150" s="177"/>
      <c r="R150" s="3" t="s">
        <v>178</v>
      </c>
      <c r="S150" s="13" t="s">
        <v>223</v>
      </c>
      <c r="T150" s="13"/>
      <c r="U150" s="5" t="s">
        <v>9</v>
      </c>
      <c r="V150" s="268"/>
      <c r="W150" s="5" t="s">
        <v>614</v>
      </c>
      <c r="X150" s="5" t="s">
        <v>476</v>
      </c>
      <c r="Y150" s="5" t="s">
        <v>162</v>
      </c>
      <c r="Z150" s="3" t="s">
        <v>188</v>
      </c>
      <c r="AA150" s="6" t="s">
        <v>218</v>
      </c>
      <c r="AB150" s="162" t="s">
        <v>228</v>
      </c>
      <c r="AC150" s="177" t="s">
        <v>6</v>
      </c>
      <c r="AD150" s="177" t="s">
        <v>6</v>
      </c>
      <c r="AE150" s="177" t="s">
        <v>6</v>
      </c>
      <c r="AF150" s="5"/>
      <c r="AG150" s="5"/>
      <c r="AH150" s="228"/>
      <c r="AI150" s="83"/>
      <c r="AJ150" s="83"/>
      <c r="AK150" s="237" t="e">
        <f>SUM(#REF!,BT150,BV150)</f>
        <v>#REF!</v>
      </c>
      <c r="AL150" s="52"/>
      <c r="AM150" s="52"/>
      <c r="AN150" s="52"/>
      <c r="AO150" s="52"/>
      <c r="AP150" s="52"/>
      <c r="AQ150" s="52"/>
      <c r="AR150" s="56">
        <v>0</v>
      </c>
      <c r="AS150" s="56"/>
      <c r="AT150" s="56">
        <v>0</v>
      </c>
      <c r="AU150" s="56"/>
      <c r="AV150" s="38">
        <v>0</v>
      </c>
      <c r="AW150" s="38">
        <v>0</v>
      </c>
      <c r="AX150" s="97">
        <f t="shared" si="59"/>
        <v>0</v>
      </c>
      <c r="AY150" s="169">
        <f t="shared" si="72"/>
        <v>0</v>
      </c>
      <c r="AZ150" s="196">
        <v>0</v>
      </c>
      <c r="BA150" s="170"/>
      <c r="BB150" s="196">
        <v>0</v>
      </c>
      <c r="BC150" s="170"/>
      <c r="BD150" s="196">
        <v>0</v>
      </c>
      <c r="BE150" s="170">
        <v>0</v>
      </c>
      <c r="BF150" s="196">
        <v>0</v>
      </c>
      <c r="BG150" s="170"/>
      <c r="BH150" s="196">
        <v>0</v>
      </c>
      <c r="BI150" s="170"/>
      <c r="BJ150" s="196">
        <v>0</v>
      </c>
      <c r="BK150" s="170"/>
      <c r="BL150" s="196"/>
      <c r="BM150" s="170"/>
      <c r="BN150" s="196"/>
      <c r="BO150" s="170"/>
      <c r="BP150" s="196"/>
      <c r="BQ150" s="170"/>
      <c r="BR150" s="196"/>
      <c r="BS150" s="170"/>
      <c r="BT150" s="196"/>
      <c r="BU150" s="170"/>
      <c r="BV150" s="196"/>
      <c r="BW150" s="251"/>
      <c r="BX150" s="254"/>
      <c r="BY150" s="88">
        <f t="shared" si="73"/>
        <v>0</v>
      </c>
      <c r="BZ150" s="214"/>
      <c r="CA150" s="214"/>
      <c r="CB150" s="214"/>
      <c r="CC150" s="214"/>
      <c r="CD150" s="214"/>
      <c r="CE150" s="214"/>
      <c r="CF150" s="214"/>
      <c r="CG150" s="214"/>
      <c r="CH150" s="214"/>
      <c r="CI150" s="214"/>
      <c r="CJ150" s="214"/>
      <c r="CK150" s="214"/>
      <c r="CL150" s="211">
        <f t="shared" si="63"/>
        <v>0</v>
      </c>
      <c r="CM150" s="212"/>
      <c r="CN150" s="212"/>
      <c r="CO150" s="212"/>
      <c r="CP150" s="212"/>
      <c r="CQ150" s="212"/>
      <c r="CR150" s="212"/>
      <c r="CS150" s="212"/>
      <c r="CT150" s="212"/>
      <c r="CU150" s="212"/>
      <c r="CV150" s="212"/>
      <c r="CW150" s="212"/>
      <c r="CX150" s="212"/>
      <c r="CY150" s="216">
        <f t="shared" si="60"/>
        <v>0</v>
      </c>
      <c r="CZ150" s="185">
        <f t="shared" si="74"/>
        <v>0</v>
      </c>
      <c r="DA150" s="217">
        <f t="shared" si="61"/>
        <v>0</v>
      </c>
      <c r="DB150" s="217">
        <f t="shared" si="62"/>
        <v>0</v>
      </c>
      <c r="DC150" s="217">
        <f t="shared" si="64"/>
        <v>0</v>
      </c>
      <c r="DD150" s="256">
        <v>0</v>
      </c>
      <c r="DE150" s="217">
        <f t="shared" si="65"/>
        <v>0</v>
      </c>
      <c r="DF150" s="185" t="e">
        <f>SUM(DN150:DO150)-SUM(#REF!,BV150)+BU150</f>
        <v>#REF!</v>
      </c>
      <c r="DG150" s="223"/>
      <c r="DH150" s="241">
        <f t="shared" si="66"/>
        <v>0</v>
      </c>
      <c r="DI150" s="241">
        <f t="shared" si="67"/>
        <v>0</v>
      </c>
      <c r="DJ150" s="241">
        <f t="shared" si="68"/>
        <v>0</v>
      </c>
      <c r="DK150" s="241" t="e">
        <f>SUM(BS150,#REF!,BV150)</f>
        <v>#REF!</v>
      </c>
      <c r="DL150" s="155">
        <v>0</v>
      </c>
      <c r="DM150" s="155">
        <v>0</v>
      </c>
      <c r="DN150" s="155">
        <v>0</v>
      </c>
      <c r="DO150" s="155">
        <v>0</v>
      </c>
      <c r="DP150" s="155">
        <v>0</v>
      </c>
      <c r="DQ150" s="155">
        <v>0</v>
      </c>
      <c r="DS150" s="235">
        <f t="shared" si="69"/>
        <v>0</v>
      </c>
    </row>
    <row r="151" spans="1:123" s="23" customFormat="1" ht="24" customHeight="1">
      <c r="A151" s="18"/>
      <c r="B151" s="2">
        <v>108</v>
      </c>
      <c r="C151" s="85" t="s">
        <v>165</v>
      </c>
      <c r="D151" s="85"/>
      <c r="E151" s="85"/>
      <c r="F151" s="3">
        <v>2019</v>
      </c>
      <c r="G151" s="4">
        <v>43656</v>
      </c>
      <c r="H151" s="187">
        <v>43644</v>
      </c>
      <c r="I151" s="4">
        <v>44253</v>
      </c>
      <c r="J151" s="15">
        <f t="shared" ca="1" si="58"/>
        <v>609</v>
      </c>
      <c r="K151" s="177">
        <f t="shared" si="70"/>
        <v>44191</v>
      </c>
      <c r="L151" s="177">
        <f t="shared" si="71"/>
        <v>44374</v>
      </c>
      <c r="M151" s="177"/>
      <c r="N151" s="177"/>
      <c r="O151" s="177"/>
      <c r="P151" s="177"/>
      <c r="Q151" s="177"/>
      <c r="R151" s="3" t="s">
        <v>176</v>
      </c>
      <c r="S151" s="13" t="s">
        <v>222</v>
      </c>
      <c r="T151" s="13" t="s">
        <v>965</v>
      </c>
      <c r="U151" s="5" t="s">
        <v>9</v>
      </c>
      <c r="V151" s="268">
        <v>1588840</v>
      </c>
      <c r="W151" s="5" t="s">
        <v>614</v>
      </c>
      <c r="X151" s="5" t="s">
        <v>475</v>
      </c>
      <c r="Y151" s="5" t="s">
        <v>166</v>
      </c>
      <c r="Z151" s="3" t="s">
        <v>181</v>
      </c>
      <c r="AA151" s="6" t="s">
        <v>218</v>
      </c>
      <c r="AB151" s="151" t="s">
        <v>197</v>
      </c>
      <c r="AC151" s="177" t="s">
        <v>6</v>
      </c>
      <c r="AD151" s="177">
        <v>44314</v>
      </c>
      <c r="AE151" s="177" t="s">
        <v>6</v>
      </c>
      <c r="AF151" s="5"/>
      <c r="AG151" s="5"/>
      <c r="AH151" s="228"/>
      <c r="AI151" s="83" t="s">
        <v>686</v>
      </c>
      <c r="AJ151" s="83"/>
      <c r="AK151" s="237" t="e">
        <f>SUM(#REF!,BT151,BV151)</f>
        <v>#REF!</v>
      </c>
      <c r="AL151" s="166"/>
      <c r="AM151" s="166"/>
      <c r="AN151" s="166"/>
      <c r="AO151" s="166"/>
      <c r="AP151" s="166"/>
      <c r="AQ151" s="166"/>
      <c r="AR151" s="56">
        <v>0</v>
      </c>
      <c r="AS151" s="56">
        <v>385.7</v>
      </c>
      <c r="AT151" s="56">
        <v>326.75173999999998</v>
      </c>
      <c r="AU151" s="56">
        <v>-28.070629999999998</v>
      </c>
      <c r="AV151" s="38">
        <v>385.7</v>
      </c>
      <c r="AW151" s="38">
        <v>32.9</v>
      </c>
      <c r="AX151" s="97">
        <f t="shared" si="59"/>
        <v>418.59999999999997</v>
      </c>
      <c r="AY151" s="169">
        <f t="shared" si="72"/>
        <v>-26.880880000000001</v>
      </c>
      <c r="AZ151" s="196">
        <v>-21</v>
      </c>
      <c r="BA151" s="170">
        <v>8.3293700000000008</v>
      </c>
      <c r="BB151" s="196">
        <v>-36.4</v>
      </c>
      <c r="BC151" s="170">
        <v>-35.210250000000002</v>
      </c>
      <c r="BD151" s="196">
        <v>0</v>
      </c>
      <c r="BE151" s="170">
        <v>0</v>
      </c>
      <c r="BF151" s="196">
        <v>0</v>
      </c>
      <c r="BG151" s="170"/>
      <c r="BH151" s="196">
        <v>0</v>
      </c>
      <c r="BI151" s="170"/>
      <c r="BJ151" s="196">
        <v>0</v>
      </c>
      <c r="BK151" s="170"/>
      <c r="BL151" s="196"/>
      <c r="BM151" s="170"/>
      <c r="BN151" s="196"/>
      <c r="BO151" s="170"/>
      <c r="BP151" s="196"/>
      <c r="BQ151" s="170"/>
      <c r="BR151" s="196"/>
      <c r="BS151" s="170"/>
      <c r="BT151" s="196"/>
      <c r="BU151" s="170"/>
      <c r="BV151" s="196"/>
      <c r="BW151" s="251"/>
      <c r="BX151" s="254"/>
      <c r="BY151" s="88">
        <f t="shared" si="73"/>
        <v>0</v>
      </c>
      <c r="BZ151" s="258"/>
      <c r="CA151" s="258"/>
      <c r="CB151" s="258"/>
      <c r="CC151" s="258"/>
      <c r="CD151" s="258"/>
      <c r="CE151" s="258"/>
      <c r="CF151" s="258"/>
      <c r="CG151" s="258"/>
      <c r="CH151" s="258"/>
      <c r="CI151" s="258"/>
      <c r="CJ151" s="258"/>
      <c r="CK151" s="258"/>
      <c r="CL151" s="211">
        <f t="shared" si="63"/>
        <v>0</v>
      </c>
      <c r="CM151" s="212"/>
      <c r="CN151" s="212"/>
      <c r="CO151" s="212"/>
      <c r="CP151" s="212"/>
      <c r="CQ151" s="212"/>
      <c r="CR151" s="212"/>
      <c r="CS151" s="212"/>
      <c r="CT151" s="212"/>
      <c r="CU151" s="212"/>
      <c r="CV151" s="212"/>
      <c r="CW151" s="212"/>
      <c r="CX151" s="212"/>
      <c r="CY151" s="216">
        <f t="shared" si="60"/>
        <v>0</v>
      </c>
      <c r="CZ151" s="185">
        <f t="shared" si="74"/>
        <v>0</v>
      </c>
      <c r="DA151" s="217">
        <f t="shared" si="61"/>
        <v>-26.880880000000001</v>
      </c>
      <c r="DB151" s="217">
        <f t="shared" si="62"/>
        <v>0</v>
      </c>
      <c r="DC151" s="217">
        <f t="shared" si="64"/>
        <v>-26.880880000000001</v>
      </c>
      <c r="DD151" s="256">
        <v>-26.880880000000001</v>
      </c>
      <c r="DE151" s="217">
        <f t="shared" si="65"/>
        <v>0</v>
      </c>
      <c r="DF151" s="185" t="e">
        <f>SUM(DN151:DO151)-SUM(#REF!,BV151)+BU151</f>
        <v>#REF!</v>
      </c>
      <c r="DG151" s="223"/>
      <c r="DH151" s="241">
        <f t="shared" si="66"/>
        <v>-26.880880000000001</v>
      </c>
      <c r="DI151" s="241">
        <f t="shared" si="67"/>
        <v>0</v>
      </c>
      <c r="DJ151" s="241">
        <f t="shared" si="68"/>
        <v>0</v>
      </c>
      <c r="DK151" s="241" t="e">
        <f>SUM(BS151,#REF!,BV151)</f>
        <v>#REF!</v>
      </c>
      <c r="DL151" s="155">
        <v>385.7</v>
      </c>
      <c r="DM151" s="155">
        <v>299.87085999999999</v>
      </c>
      <c r="DN151" s="155">
        <v>0</v>
      </c>
      <c r="DO151" s="155">
        <v>0</v>
      </c>
      <c r="DP151" s="155">
        <v>299.87085999999999</v>
      </c>
      <c r="DQ151" s="155">
        <v>85.829139999999995</v>
      </c>
      <c r="DR151" s="23">
        <f>VLOOKUP(C151,[6]Database!$B$143:$AD$521,29,FALSE)</f>
        <v>0</v>
      </c>
      <c r="DS151" s="235">
        <f t="shared" si="69"/>
        <v>0</v>
      </c>
    </row>
    <row r="152" spans="1:123" s="23" customFormat="1" ht="24" customHeight="1">
      <c r="A152" s="18"/>
      <c r="B152" s="2">
        <v>109</v>
      </c>
      <c r="C152" s="85" t="s">
        <v>169</v>
      </c>
      <c r="D152" s="85"/>
      <c r="E152" s="85" t="s">
        <v>921</v>
      </c>
      <c r="F152" s="3">
        <v>2019</v>
      </c>
      <c r="G152" s="4">
        <v>43635</v>
      </c>
      <c r="H152" s="4">
        <v>43635</v>
      </c>
      <c r="I152" s="4">
        <v>44077</v>
      </c>
      <c r="J152" s="15">
        <f t="shared" ca="1" si="58"/>
        <v>442</v>
      </c>
      <c r="K152" s="177">
        <f t="shared" si="70"/>
        <v>44182</v>
      </c>
      <c r="L152" s="177">
        <f t="shared" si="71"/>
        <v>44365</v>
      </c>
      <c r="M152" s="177"/>
      <c r="N152" s="177"/>
      <c r="O152" s="177"/>
      <c r="P152" s="177"/>
      <c r="Q152" s="177"/>
      <c r="R152" s="3" t="s">
        <v>176</v>
      </c>
      <c r="S152" s="13" t="s">
        <v>224</v>
      </c>
      <c r="T152" s="13"/>
      <c r="U152" s="5" t="s">
        <v>9</v>
      </c>
      <c r="V152" s="268">
        <v>1584552</v>
      </c>
      <c r="W152" s="5" t="s">
        <v>614</v>
      </c>
      <c r="X152" s="5" t="s">
        <v>481</v>
      </c>
      <c r="Y152" s="5" t="s">
        <v>170</v>
      </c>
      <c r="Z152" s="3" t="s">
        <v>186</v>
      </c>
      <c r="AA152" s="6" t="s">
        <v>218</v>
      </c>
      <c r="AB152" s="151" t="s">
        <v>197</v>
      </c>
      <c r="AC152" s="177" t="s">
        <v>6</v>
      </c>
      <c r="AD152" s="177" t="s">
        <v>6</v>
      </c>
      <c r="AE152" s="177" t="s">
        <v>6</v>
      </c>
      <c r="AF152" s="5"/>
      <c r="AG152" s="5"/>
      <c r="AH152" s="228"/>
      <c r="AI152" s="83"/>
      <c r="AJ152" s="83"/>
      <c r="AK152" s="237" t="e">
        <f>SUM(#REF!,BT152,BV152)</f>
        <v>#REF!</v>
      </c>
      <c r="AL152" s="52"/>
      <c r="AM152" s="52"/>
      <c r="AN152" s="52"/>
      <c r="AO152" s="52"/>
      <c r="AP152" s="52"/>
      <c r="AQ152" s="52"/>
      <c r="AR152" s="56">
        <v>0.90276000000000001</v>
      </c>
      <c r="AS152" s="56">
        <v>7.9089099999999997</v>
      </c>
      <c r="AT152" s="56">
        <v>10.3965</v>
      </c>
      <c r="AU152" s="56"/>
      <c r="AV152" s="38">
        <v>11.5</v>
      </c>
      <c r="AW152" s="38">
        <v>0</v>
      </c>
      <c r="AX152" s="97">
        <f t="shared" si="59"/>
        <v>11.5</v>
      </c>
      <c r="AY152" s="169">
        <f t="shared" si="72"/>
        <v>0</v>
      </c>
      <c r="AZ152" s="196">
        <v>0</v>
      </c>
      <c r="BA152" s="170">
        <v>0</v>
      </c>
      <c r="BB152" s="196">
        <v>0</v>
      </c>
      <c r="BC152" s="170"/>
      <c r="BD152" s="196">
        <v>0</v>
      </c>
      <c r="BE152" s="170">
        <v>0</v>
      </c>
      <c r="BF152" s="196">
        <v>0</v>
      </c>
      <c r="BG152" s="170"/>
      <c r="BH152" s="196">
        <v>0</v>
      </c>
      <c r="BI152" s="170"/>
      <c r="BJ152" s="196">
        <v>0</v>
      </c>
      <c r="BK152" s="170"/>
      <c r="BL152" s="196"/>
      <c r="BM152" s="170"/>
      <c r="BN152" s="196"/>
      <c r="BO152" s="170"/>
      <c r="BP152" s="196"/>
      <c r="BQ152" s="170"/>
      <c r="BR152" s="196"/>
      <c r="BS152" s="170"/>
      <c r="BT152" s="196"/>
      <c r="BU152" s="170"/>
      <c r="BV152" s="196"/>
      <c r="BW152" s="251"/>
      <c r="BX152" s="254"/>
      <c r="BY152" s="88">
        <f t="shared" si="73"/>
        <v>0</v>
      </c>
      <c r="BZ152" s="258"/>
      <c r="CA152" s="258"/>
      <c r="CB152" s="258"/>
      <c r="CC152" s="258"/>
      <c r="CD152" s="258"/>
      <c r="CE152" s="258"/>
      <c r="CF152" s="258"/>
      <c r="CG152" s="258"/>
      <c r="CH152" s="258"/>
      <c r="CI152" s="258"/>
      <c r="CJ152" s="258"/>
      <c r="CK152" s="258"/>
      <c r="CL152" s="211">
        <f t="shared" si="63"/>
        <v>0</v>
      </c>
      <c r="CM152" s="212"/>
      <c r="CN152" s="212"/>
      <c r="CO152" s="212"/>
      <c r="CP152" s="212"/>
      <c r="CQ152" s="212"/>
      <c r="CR152" s="212"/>
      <c r="CS152" s="212"/>
      <c r="CT152" s="212"/>
      <c r="CU152" s="212"/>
      <c r="CV152" s="212"/>
      <c r="CW152" s="212"/>
      <c r="CX152" s="212"/>
      <c r="CY152" s="216">
        <f t="shared" si="60"/>
        <v>0</v>
      </c>
      <c r="CZ152" s="185">
        <f t="shared" si="74"/>
        <v>0</v>
      </c>
      <c r="DA152" s="217">
        <f t="shared" si="61"/>
        <v>0</v>
      </c>
      <c r="DB152" s="217">
        <f t="shared" si="62"/>
        <v>0</v>
      </c>
      <c r="DC152" s="217">
        <f t="shared" si="64"/>
        <v>0</v>
      </c>
      <c r="DD152" s="256">
        <v>0</v>
      </c>
      <c r="DE152" s="217">
        <f t="shared" si="65"/>
        <v>0</v>
      </c>
      <c r="DF152" s="185" t="e">
        <f>SUM(DN152:DO152)-SUM(#REF!,BV152)+BU152</f>
        <v>#REF!</v>
      </c>
      <c r="DG152" s="223"/>
      <c r="DH152" s="241">
        <f t="shared" si="66"/>
        <v>0</v>
      </c>
      <c r="DI152" s="241">
        <f t="shared" si="67"/>
        <v>0</v>
      </c>
      <c r="DJ152" s="241">
        <f t="shared" si="68"/>
        <v>0</v>
      </c>
      <c r="DK152" s="241" t="e">
        <f>SUM(BS152,#REF!,BV152)</f>
        <v>#REF!</v>
      </c>
      <c r="DL152" s="155">
        <v>11.5</v>
      </c>
      <c r="DM152" s="155">
        <v>11.29926</v>
      </c>
      <c r="DN152" s="155">
        <v>0</v>
      </c>
      <c r="DO152" s="155">
        <v>0</v>
      </c>
      <c r="DP152" s="155">
        <v>11.29926</v>
      </c>
      <c r="DQ152" s="155">
        <v>0.20074</v>
      </c>
      <c r="DS152" s="235">
        <f t="shared" si="69"/>
        <v>0</v>
      </c>
    </row>
    <row r="153" spans="1:123" s="23" customFormat="1" ht="24" customHeight="1">
      <c r="A153" s="18"/>
      <c r="B153" s="2">
        <v>110</v>
      </c>
      <c r="C153" s="85" t="s">
        <v>173</v>
      </c>
      <c r="D153" s="85"/>
      <c r="E153" s="85" t="s">
        <v>894</v>
      </c>
      <c r="F153" s="3">
        <v>2019</v>
      </c>
      <c r="G153" s="4">
        <v>43637</v>
      </c>
      <c r="H153" s="187">
        <v>43635</v>
      </c>
      <c r="I153" s="4">
        <v>44221</v>
      </c>
      <c r="J153" s="15">
        <f t="shared" ca="1" si="58"/>
        <v>586</v>
      </c>
      <c r="K153" s="177">
        <f t="shared" si="70"/>
        <v>44182</v>
      </c>
      <c r="L153" s="177">
        <f t="shared" si="71"/>
        <v>44365</v>
      </c>
      <c r="M153" s="177"/>
      <c r="N153" s="177"/>
      <c r="O153" s="177"/>
      <c r="P153" s="177"/>
      <c r="Q153" s="177"/>
      <c r="R153" s="3" t="s">
        <v>176</v>
      </c>
      <c r="S153" s="13" t="s">
        <v>222</v>
      </c>
      <c r="T153" s="13" t="s">
        <v>965</v>
      </c>
      <c r="U153" s="5" t="s">
        <v>9</v>
      </c>
      <c r="V153" s="268">
        <v>1677555</v>
      </c>
      <c r="W153" s="5" t="s">
        <v>614</v>
      </c>
      <c r="X153" s="5" t="s">
        <v>474</v>
      </c>
      <c r="Y153" s="5" t="s">
        <v>174</v>
      </c>
      <c r="Z153" s="85" t="s">
        <v>316</v>
      </c>
      <c r="AA153" s="6" t="s">
        <v>218</v>
      </c>
      <c r="AB153" s="151" t="s">
        <v>197</v>
      </c>
      <c r="AC153" s="177" t="s">
        <v>6</v>
      </c>
      <c r="AD153" s="177">
        <v>44286</v>
      </c>
      <c r="AE153" s="177" t="s">
        <v>6</v>
      </c>
      <c r="AF153" s="5"/>
      <c r="AG153" s="5"/>
      <c r="AH153" s="228"/>
      <c r="AI153" s="83"/>
      <c r="AJ153" s="83"/>
      <c r="AK153" s="237" t="e">
        <f>SUM(#REF!,BT153,BV153)</f>
        <v>#REF!</v>
      </c>
      <c r="AL153" s="166"/>
      <c r="AM153" s="166"/>
      <c r="AN153" s="166"/>
      <c r="AO153" s="166"/>
      <c r="AP153" s="166"/>
      <c r="AQ153" s="166"/>
      <c r="AR153" s="56">
        <v>23.122390000000003</v>
      </c>
      <c r="AS153" s="56">
        <v>41.08746</v>
      </c>
      <c r="AT153" s="56">
        <v>26.880130000000001</v>
      </c>
      <c r="AU153" s="56">
        <v>9.7674900000000004</v>
      </c>
      <c r="AV153" s="38">
        <v>67.5</v>
      </c>
      <c r="AW153" s="38">
        <v>6.5</v>
      </c>
      <c r="AX153" s="97">
        <f t="shared" si="59"/>
        <v>74</v>
      </c>
      <c r="AY153" s="169">
        <f t="shared" si="72"/>
        <v>4.6605600000000003</v>
      </c>
      <c r="AZ153" s="196">
        <v>2</v>
      </c>
      <c r="BA153" s="170">
        <v>1.7674900000000002</v>
      </c>
      <c r="BB153" s="196">
        <v>0</v>
      </c>
      <c r="BC153" s="170">
        <v>7.349E-2</v>
      </c>
      <c r="BD153" s="196">
        <v>8</v>
      </c>
      <c r="BE153" s="170">
        <v>2.8195799999999998</v>
      </c>
      <c r="BF153" s="196">
        <v>0</v>
      </c>
      <c r="BG153" s="170"/>
      <c r="BH153" s="196">
        <v>0</v>
      </c>
      <c r="BI153" s="170"/>
      <c r="BJ153" s="196">
        <v>0</v>
      </c>
      <c r="BK153" s="170"/>
      <c r="BL153" s="196"/>
      <c r="BM153" s="170"/>
      <c r="BN153" s="196"/>
      <c r="BO153" s="170"/>
      <c r="BP153" s="196"/>
      <c r="BQ153" s="170"/>
      <c r="BR153" s="196"/>
      <c r="BS153" s="170"/>
      <c r="BT153" s="196"/>
      <c r="BU153" s="170"/>
      <c r="BV153" s="196"/>
      <c r="BW153" s="251"/>
      <c r="BX153" s="254"/>
      <c r="BY153" s="88">
        <f t="shared" si="73"/>
        <v>0</v>
      </c>
      <c r="BZ153" s="258"/>
      <c r="CA153" s="258"/>
      <c r="CB153" s="258"/>
      <c r="CC153" s="258"/>
      <c r="CD153" s="258"/>
      <c r="CE153" s="258"/>
      <c r="CF153" s="258"/>
      <c r="CG153" s="258"/>
      <c r="CH153" s="258"/>
      <c r="CI153" s="258"/>
      <c r="CJ153" s="258"/>
      <c r="CK153" s="258"/>
      <c r="CL153" s="211">
        <f t="shared" si="63"/>
        <v>0</v>
      </c>
      <c r="CM153" s="212"/>
      <c r="CN153" s="212"/>
      <c r="CO153" s="212"/>
      <c r="CP153" s="212"/>
      <c r="CQ153" s="212"/>
      <c r="CR153" s="212"/>
      <c r="CS153" s="212"/>
      <c r="CT153" s="212"/>
      <c r="CU153" s="212"/>
      <c r="CV153" s="212"/>
      <c r="CW153" s="212"/>
      <c r="CX153" s="212"/>
      <c r="CY153" s="216">
        <f t="shared" si="60"/>
        <v>0</v>
      </c>
      <c r="CZ153" s="185">
        <f t="shared" si="74"/>
        <v>0</v>
      </c>
      <c r="DA153" s="217">
        <f t="shared" si="61"/>
        <v>4.6605600000000003</v>
      </c>
      <c r="DB153" s="217">
        <f t="shared" si="62"/>
        <v>0</v>
      </c>
      <c r="DC153" s="217">
        <f t="shared" si="64"/>
        <v>4.6605600000000003</v>
      </c>
      <c r="DD153" s="256">
        <v>4.6605600000000003</v>
      </c>
      <c r="DE153" s="217">
        <f t="shared" si="65"/>
        <v>0</v>
      </c>
      <c r="DF153" s="185" t="e">
        <f>SUM(DN153:DO153)-SUM(#REF!,BV153)+BU153</f>
        <v>#REF!</v>
      </c>
      <c r="DG153" s="223"/>
      <c r="DH153" s="241">
        <f t="shared" si="66"/>
        <v>4.6605600000000003</v>
      </c>
      <c r="DI153" s="241">
        <f t="shared" si="67"/>
        <v>0</v>
      </c>
      <c r="DJ153" s="241">
        <f t="shared" si="68"/>
        <v>0</v>
      </c>
      <c r="DK153" s="241" t="e">
        <f>SUM(BS153,#REF!,BV153)</f>
        <v>#REF!</v>
      </c>
      <c r="DL153" s="155">
        <v>67.5</v>
      </c>
      <c r="DM153" s="155">
        <v>54.663080000000001</v>
      </c>
      <c r="DN153" s="155">
        <v>0</v>
      </c>
      <c r="DO153" s="155">
        <v>0</v>
      </c>
      <c r="DP153" s="155">
        <v>54.663080000000001</v>
      </c>
      <c r="DQ153" s="155">
        <v>12.836919999999999</v>
      </c>
      <c r="DR153" s="23">
        <f>VLOOKUP(C153,[6]Database!$B$143:$AD$521,29,FALSE)</f>
        <v>0</v>
      </c>
      <c r="DS153" s="235">
        <f t="shared" si="69"/>
        <v>0</v>
      </c>
    </row>
    <row r="154" spans="1:123" s="23" customFormat="1" ht="24" customHeight="1">
      <c r="A154" s="18"/>
      <c r="B154" s="2">
        <v>111</v>
      </c>
      <c r="C154" s="85" t="s">
        <v>171</v>
      </c>
      <c r="D154" s="85"/>
      <c r="E154" s="85"/>
      <c r="F154" s="3">
        <v>2019</v>
      </c>
      <c r="G154" s="4">
        <v>43635</v>
      </c>
      <c r="H154" s="4">
        <v>43635</v>
      </c>
      <c r="I154" s="4">
        <v>43858</v>
      </c>
      <c r="J154" s="15">
        <f t="shared" ca="1" si="58"/>
        <v>223</v>
      </c>
      <c r="K154" s="177">
        <f t="shared" si="70"/>
        <v>44182</v>
      </c>
      <c r="L154" s="177">
        <f t="shared" si="71"/>
        <v>44365</v>
      </c>
      <c r="M154" s="177"/>
      <c r="N154" s="177"/>
      <c r="O154" s="177"/>
      <c r="P154" s="177"/>
      <c r="Q154" s="177"/>
      <c r="R154" s="3" t="s">
        <v>176</v>
      </c>
      <c r="S154" s="13" t="s">
        <v>223</v>
      </c>
      <c r="T154" s="13"/>
      <c r="U154" s="5" t="s">
        <v>9</v>
      </c>
      <c r="V154" s="268">
        <v>1670990</v>
      </c>
      <c r="W154" s="5" t="s">
        <v>614</v>
      </c>
      <c r="X154" s="5" t="s">
        <v>479</v>
      </c>
      <c r="Y154" s="5" t="s">
        <v>172</v>
      </c>
      <c r="Z154" s="3" t="s">
        <v>181</v>
      </c>
      <c r="AA154" s="6" t="s">
        <v>218</v>
      </c>
      <c r="AB154" s="151" t="s">
        <v>197</v>
      </c>
      <c r="AC154" s="177" t="s">
        <v>6</v>
      </c>
      <c r="AD154" s="177" t="s">
        <v>6</v>
      </c>
      <c r="AE154" s="177" t="s">
        <v>6</v>
      </c>
      <c r="AF154" s="5"/>
      <c r="AG154" s="5"/>
      <c r="AH154" s="228"/>
      <c r="AI154" s="83"/>
      <c r="AJ154" s="83"/>
      <c r="AK154" s="237" t="e">
        <f>SUM(#REF!,BT154,BV154)</f>
        <v>#REF!</v>
      </c>
      <c r="AL154" s="52"/>
      <c r="AM154" s="52"/>
      <c r="AN154" s="52"/>
      <c r="AO154" s="52"/>
      <c r="AP154" s="52"/>
      <c r="AQ154" s="52"/>
      <c r="AR154" s="56">
        <v>59.200770000000006</v>
      </c>
      <c r="AS154" s="56">
        <v>18.839819999999996</v>
      </c>
      <c r="AT154" s="56">
        <v>10.644819999999999</v>
      </c>
      <c r="AU154" s="56"/>
      <c r="AV154" s="38">
        <v>85</v>
      </c>
      <c r="AW154" s="38">
        <v>8.5</v>
      </c>
      <c r="AX154" s="97">
        <f t="shared" si="59"/>
        <v>93.5</v>
      </c>
      <c r="AY154" s="169">
        <f t="shared" si="72"/>
        <v>0</v>
      </c>
      <c r="AZ154" s="196">
        <v>0</v>
      </c>
      <c r="BA154" s="170"/>
      <c r="BB154" s="196">
        <v>0</v>
      </c>
      <c r="BC154" s="170"/>
      <c r="BD154" s="196">
        <v>0</v>
      </c>
      <c r="BE154" s="170">
        <v>0</v>
      </c>
      <c r="BF154" s="196">
        <v>0</v>
      </c>
      <c r="BG154" s="170"/>
      <c r="BH154" s="196">
        <v>0</v>
      </c>
      <c r="BI154" s="170"/>
      <c r="BJ154" s="196">
        <v>0</v>
      </c>
      <c r="BK154" s="170"/>
      <c r="BL154" s="196"/>
      <c r="BM154" s="170"/>
      <c r="BN154" s="196"/>
      <c r="BO154" s="170"/>
      <c r="BP154" s="196"/>
      <c r="BQ154" s="170"/>
      <c r="BR154" s="196"/>
      <c r="BS154" s="170"/>
      <c r="BT154" s="196"/>
      <c r="BU154" s="170"/>
      <c r="BV154" s="196"/>
      <c r="BW154" s="251"/>
      <c r="BX154" s="254"/>
      <c r="BY154" s="88">
        <f t="shared" si="73"/>
        <v>0</v>
      </c>
      <c r="BZ154" s="258"/>
      <c r="CA154" s="258"/>
      <c r="CB154" s="258"/>
      <c r="CC154" s="258"/>
      <c r="CD154" s="258"/>
      <c r="CE154" s="258"/>
      <c r="CF154" s="258"/>
      <c r="CG154" s="258"/>
      <c r="CH154" s="258"/>
      <c r="CI154" s="258"/>
      <c r="CJ154" s="258"/>
      <c r="CK154" s="258"/>
      <c r="CL154" s="211">
        <f t="shared" si="63"/>
        <v>0</v>
      </c>
      <c r="CM154" s="212"/>
      <c r="CN154" s="212"/>
      <c r="CO154" s="212"/>
      <c r="CP154" s="212"/>
      <c r="CQ154" s="212"/>
      <c r="CR154" s="212"/>
      <c r="CS154" s="212"/>
      <c r="CT154" s="212"/>
      <c r="CU154" s="212"/>
      <c r="CV154" s="212"/>
      <c r="CW154" s="212"/>
      <c r="CX154" s="212"/>
      <c r="CY154" s="216">
        <f t="shared" si="60"/>
        <v>0</v>
      </c>
      <c r="CZ154" s="185">
        <f t="shared" si="74"/>
        <v>0</v>
      </c>
      <c r="DA154" s="217">
        <f t="shared" si="61"/>
        <v>0</v>
      </c>
      <c r="DB154" s="217">
        <f t="shared" si="62"/>
        <v>0</v>
      </c>
      <c r="DC154" s="217">
        <f t="shared" si="64"/>
        <v>0</v>
      </c>
      <c r="DD154" s="256">
        <v>0</v>
      </c>
      <c r="DE154" s="217">
        <f t="shared" si="65"/>
        <v>0</v>
      </c>
      <c r="DF154" s="185" t="e">
        <f>SUM(DN154:DO154)-SUM(#REF!,BV154)+BU154</f>
        <v>#REF!</v>
      </c>
      <c r="DG154" s="223"/>
      <c r="DH154" s="241">
        <f t="shared" si="66"/>
        <v>0</v>
      </c>
      <c r="DI154" s="241">
        <f t="shared" si="67"/>
        <v>0</v>
      </c>
      <c r="DJ154" s="241">
        <f t="shared" si="68"/>
        <v>0</v>
      </c>
      <c r="DK154" s="241" t="e">
        <f>SUM(BS154,#REF!,BV154)</f>
        <v>#REF!</v>
      </c>
      <c r="DL154" s="155">
        <v>85</v>
      </c>
      <c r="DM154" s="155">
        <v>69.845590000000001</v>
      </c>
      <c r="DN154" s="155">
        <v>0</v>
      </c>
      <c r="DO154" s="155">
        <v>0</v>
      </c>
      <c r="DP154" s="155">
        <v>69.845590000000001</v>
      </c>
      <c r="DQ154" s="155">
        <v>15.15441</v>
      </c>
      <c r="DS154" s="235">
        <f t="shared" si="69"/>
        <v>0</v>
      </c>
    </row>
    <row r="155" spans="1:123" s="23" customFormat="1" ht="24" customHeight="1">
      <c r="A155" s="18"/>
      <c r="B155" s="2">
        <v>112</v>
      </c>
      <c r="C155" s="85" t="s">
        <v>175</v>
      </c>
      <c r="D155" s="85"/>
      <c r="E155" s="85" t="s">
        <v>916</v>
      </c>
      <c r="F155" s="3">
        <v>2019</v>
      </c>
      <c r="G155" s="4">
        <v>43656</v>
      </c>
      <c r="H155" s="4">
        <v>43676</v>
      </c>
      <c r="I155" s="4">
        <v>43984</v>
      </c>
      <c r="J155" s="15">
        <f t="shared" ca="1" si="58"/>
        <v>308</v>
      </c>
      <c r="K155" s="177">
        <f t="shared" si="70"/>
        <v>44223</v>
      </c>
      <c r="L155" s="177">
        <f t="shared" si="71"/>
        <v>44406</v>
      </c>
      <c r="M155" s="177"/>
      <c r="N155" s="177"/>
      <c r="O155" s="177"/>
      <c r="P155" s="177"/>
      <c r="Q155" s="177"/>
      <c r="R155" s="3" t="s">
        <v>176</v>
      </c>
      <c r="S155" s="13" t="s">
        <v>223</v>
      </c>
      <c r="T155" s="13"/>
      <c r="U155" s="5" t="s">
        <v>9</v>
      </c>
      <c r="V155" s="268">
        <v>1920845</v>
      </c>
      <c r="W155" s="5" t="s">
        <v>614</v>
      </c>
      <c r="X155" s="5" t="s">
        <v>483</v>
      </c>
      <c r="Y155" s="5" t="s">
        <v>124</v>
      </c>
      <c r="Z155" s="3" t="s">
        <v>186</v>
      </c>
      <c r="AA155" s="6" t="s">
        <v>218</v>
      </c>
      <c r="AB155" s="151" t="s">
        <v>197</v>
      </c>
      <c r="AC155" s="177" t="s">
        <v>6</v>
      </c>
      <c r="AD155" s="177" t="s">
        <v>6</v>
      </c>
      <c r="AE155" s="177" t="s">
        <v>6</v>
      </c>
      <c r="AF155" s="5"/>
      <c r="AG155" s="5"/>
      <c r="AH155" s="228"/>
      <c r="AI155" s="83"/>
      <c r="AJ155" s="83"/>
      <c r="AK155" s="237" t="e">
        <f>SUM(#REF!,BT155,BV155)</f>
        <v>#REF!</v>
      </c>
      <c r="AL155" s="52"/>
      <c r="AM155" s="52"/>
      <c r="AN155" s="52"/>
      <c r="AO155" s="52"/>
      <c r="AP155" s="52"/>
      <c r="AQ155" s="52"/>
      <c r="AR155" s="56">
        <v>85.744000000000014</v>
      </c>
      <c r="AS155" s="56">
        <v>4.7415000000000003</v>
      </c>
      <c r="AT155" s="56">
        <v>0.59535999999999945</v>
      </c>
      <c r="AU155" s="56"/>
      <c r="AV155" s="38">
        <v>96.3</v>
      </c>
      <c r="AW155" s="38">
        <v>3</v>
      </c>
      <c r="AX155" s="97">
        <f t="shared" si="59"/>
        <v>99.3</v>
      </c>
      <c r="AY155" s="169">
        <f t="shared" si="72"/>
        <v>0</v>
      </c>
      <c r="AZ155" s="196">
        <v>0</v>
      </c>
      <c r="BA155" s="170">
        <v>0</v>
      </c>
      <c r="BB155" s="196">
        <v>0</v>
      </c>
      <c r="BC155" s="170"/>
      <c r="BD155" s="196">
        <v>0</v>
      </c>
      <c r="BE155" s="170">
        <v>0</v>
      </c>
      <c r="BF155" s="196">
        <v>0</v>
      </c>
      <c r="BG155" s="170"/>
      <c r="BH155" s="196">
        <v>0</v>
      </c>
      <c r="BI155" s="170"/>
      <c r="BJ155" s="196">
        <v>0</v>
      </c>
      <c r="BK155" s="170"/>
      <c r="BL155" s="196"/>
      <c r="BM155" s="170"/>
      <c r="BN155" s="196"/>
      <c r="BO155" s="170"/>
      <c r="BP155" s="196"/>
      <c r="BQ155" s="170"/>
      <c r="BR155" s="196"/>
      <c r="BS155" s="170"/>
      <c r="BT155" s="196"/>
      <c r="BU155" s="170"/>
      <c r="BV155" s="196"/>
      <c r="BW155" s="251"/>
      <c r="BX155" s="254"/>
      <c r="BY155" s="88">
        <f t="shared" si="73"/>
        <v>0</v>
      </c>
      <c r="BZ155" s="258"/>
      <c r="CA155" s="258"/>
      <c r="CB155" s="258"/>
      <c r="CC155" s="258"/>
      <c r="CD155" s="258"/>
      <c r="CE155" s="258"/>
      <c r="CF155" s="258"/>
      <c r="CG155" s="258"/>
      <c r="CH155" s="258"/>
      <c r="CI155" s="258"/>
      <c r="CJ155" s="258"/>
      <c r="CK155" s="258"/>
      <c r="CL155" s="211">
        <f t="shared" si="63"/>
        <v>0</v>
      </c>
      <c r="CM155" s="212"/>
      <c r="CN155" s="212"/>
      <c r="CO155" s="212"/>
      <c r="CP155" s="212"/>
      <c r="CQ155" s="212"/>
      <c r="CR155" s="212"/>
      <c r="CS155" s="212"/>
      <c r="CT155" s="212"/>
      <c r="CU155" s="212"/>
      <c r="CV155" s="212"/>
      <c r="CW155" s="212"/>
      <c r="CX155" s="212"/>
      <c r="CY155" s="216">
        <f t="shared" si="60"/>
        <v>0</v>
      </c>
      <c r="CZ155" s="185">
        <f t="shared" si="74"/>
        <v>0</v>
      </c>
      <c r="DA155" s="217">
        <f t="shared" si="61"/>
        <v>0</v>
      </c>
      <c r="DB155" s="217">
        <f t="shared" si="62"/>
        <v>0</v>
      </c>
      <c r="DC155" s="217">
        <f t="shared" si="64"/>
        <v>0</v>
      </c>
      <c r="DD155" s="256">
        <v>0</v>
      </c>
      <c r="DE155" s="217">
        <f t="shared" si="65"/>
        <v>0</v>
      </c>
      <c r="DF155" s="185" t="e">
        <f>SUM(DN155:DO155)-SUM(#REF!,BV155)+BU155</f>
        <v>#REF!</v>
      </c>
      <c r="DG155" s="223"/>
      <c r="DH155" s="241">
        <f t="shared" si="66"/>
        <v>0</v>
      </c>
      <c r="DI155" s="241">
        <f t="shared" si="67"/>
        <v>0</v>
      </c>
      <c r="DJ155" s="241">
        <f t="shared" si="68"/>
        <v>0</v>
      </c>
      <c r="DK155" s="241" t="e">
        <f>SUM(BS155,#REF!,BV155)</f>
        <v>#REF!</v>
      </c>
      <c r="DL155" s="155">
        <v>96.3</v>
      </c>
      <c r="DM155" s="155">
        <v>86.339359999999999</v>
      </c>
      <c r="DN155" s="155">
        <v>0</v>
      </c>
      <c r="DO155" s="155">
        <v>0</v>
      </c>
      <c r="DP155" s="155">
        <v>86.339359999999999</v>
      </c>
      <c r="DQ155" s="155">
        <v>9.9606399999999997</v>
      </c>
      <c r="DS155" s="235">
        <f t="shared" si="69"/>
        <v>0</v>
      </c>
    </row>
    <row r="156" spans="1:123" s="23" customFormat="1" ht="24" customHeight="1">
      <c r="A156" s="18"/>
      <c r="B156" s="2">
        <v>113</v>
      </c>
      <c r="C156" s="85" t="s">
        <v>208</v>
      </c>
      <c r="D156" s="85"/>
      <c r="E156" s="85"/>
      <c r="F156" s="3">
        <v>2019</v>
      </c>
      <c r="G156" s="4">
        <v>43657</v>
      </c>
      <c r="H156" s="187">
        <v>43679</v>
      </c>
      <c r="I156" s="4">
        <v>44193</v>
      </c>
      <c r="J156" s="15">
        <f t="shared" ca="1" si="58"/>
        <v>514</v>
      </c>
      <c r="K156" s="177">
        <f t="shared" si="70"/>
        <v>44226</v>
      </c>
      <c r="L156" s="177">
        <f t="shared" si="71"/>
        <v>44409</v>
      </c>
      <c r="M156" s="177"/>
      <c r="N156" s="177"/>
      <c r="O156" s="177"/>
      <c r="P156" s="177"/>
      <c r="Q156" s="177"/>
      <c r="R156" s="3" t="s">
        <v>178</v>
      </c>
      <c r="S156" s="13" t="s">
        <v>223</v>
      </c>
      <c r="T156" s="13"/>
      <c r="U156" s="5" t="s">
        <v>9</v>
      </c>
      <c r="V156" s="268">
        <v>1883734</v>
      </c>
      <c r="W156" s="5" t="s">
        <v>614</v>
      </c>
      <c r="X156" s="5" t="s">
        <v>481</v>
      </c>
      <c r="Y156" s="5" t="s">
        <v>209</v>
      </c>
      <c r="Z156" s="3" t="s">
        <v>188</v>
      </c>
      <c r="AA156" s="6" t="s">
        <v>218</v>
      </c>
      <c r="AB156" s="151" t="s">
        <v>197</v>
      </c>
      <c r="AC156" s="177" t="s">
        <v>6</v>
      </c>
      <c r="AD156" s="177" t="s">
        <v>6</v>
      </c>
      <c r="AE156" s="177" t="s">
        <v>6</v>
      </c>
      <c r="AF156" s="5"/>
      <c r="AG156" s="5"/>
      <c r="AH156" s="228"/>
      <c r="AI156" s="83"/>
      <c r="AJ156" s="83"/>
      <c r="AK156" s="237" t="e">
        <f>SUM(#REF!,BT156,BV156)</f>
        <v>#REF!</v>
      </c>
      <c r="AL156" s="166"/>
      <c r="AM156" s="166"/>
      <c r="AN156" s="166"/>
      <c r="AO156" s="166"/>
      <c r="AP156" s="166"/>
      <c r="AQ156" s="166"/>
      <c r="AR156" s="56">
        <v>23.08418</v>
      </c>
      <c r="AS156" s="56">
        <v>820.53691000000003</v>
      </c>
      <c r="AT156" s="56">
        <v>699.36725000000001</v>
      </c>
      <c r="AU156" s="56">
        <v>14.6</v>
      </c>
      <c r="AV156" s="38">
        <v>844.22299999999996</v>
      </c>
      <c r="AW156" s="38">
        <v>194.255</v>
      </c>
      <c r="AX156" s="97">
        <f t="shared" si="59"/>
        <v>1038.4780000000001</v>
      </c>
      <c r="AY156" s="169">
        <f t="shared" si="72"/>
        <v>18.663270000000001</v>
      </c>
      <c r="AZ156" s="196">
        <v>0</v>
      </c>
      <c r="BA156" s="170">
        <v>0</v>
      </c>
      <c r="BB156" s="196">
        <v>0</v>
      </c>
      <c r="BC156" s="170"/>
      <c r="BD156" s="196">
        <v>0</v>
      </c>
      <c r="BE156" s="170">
        <v>0</v>
      </c>
      <c r="BF156" s="196">
        <v>0</v>
      </c>
      <c r="BG156" s="170"/>
      <c r="BH156" s="196">
        <v>0</v>
      </c>
      <c r="BI156" s="170"/>
      <c r="BJ156" s="196">
        <v>14.6</v>
      </c>
      <c r="BK156" s="170">
        <v>14.960870000000002</v>
      </c>
      <c r="BL156" s="196"/>
      <c r="BM156" s="170">
        <v>3.7023999999999999</v>
      </c>
      <c r="BN156" s="196"/>
      <c r="BO156" s="170"/>
      <c r="BP156" s="196"/>
      <c r="BQ156" s="170"/>
      <c r="BR156" s="196"/>
      <c r="BS156" s="170"/>
      <c r="BT156" s="196"/>
      <c r="BU156" s="170"/>
      <c r="BV156" s="196"/>
      <c r="BW156" s="251"/>
      <c r="BX156" s="254"/>
      <c r="BY156" s="88">
        <f t="shared" si="73"/>
        <v>0</v>
      </c>
      <c r="BZ156" s="214"/>
      <c r="CA156" s="214"/>
      <c r="CB156" s="214"/>
      <c r="CC156" s="214"/>
      <c r="CD156" s="214"/>
      <c r="CE156" s="214"/>
      <c r="CF156" s="214"/>
      <c r="CG156" s="214"/>
      <c r="CH156" s="214"/>
      <c r="CI156" s="214"/>
      <c r="CJ156" s="214"/>
      <c r="CK156" s="214"/>
      <c r="CL156" s="211">
        <f t="shared" si="63"/>
        <v>0</v>
      </c>
      <c r="CM156" s="212"/>
      <c r="CN156" s="212"/>
      <c r="CO156" s="212"/>
      <c r="CP156" s="212"/>
      <c r="CQ156" s="212"/>
      <c r="CR156" s="212"/>
      <c r="CS156" s="212"/>
      <c r="CT156" s="212"/>
      <c r="CU156" s="212"/>
      <c r="CV156" s="212"/>
      <c r="CW156" s="212"/>
      <c r="CX156" s="212"/>
      <c r="CY156" s="216">
        <f t="shared" si="60"/>
        <v>0</v>
      </c>
      <c r="CZ156" s="185">
        <f t="shared" si="74"/>
        <v>0</v>
      </c>
      <c r="DA156" s="217">
        <f t="shared" si="61"/>
        <v>18.663270000000001</v>
      </c>
      <c r="DB156" s="217">
        <f t="shared" si="62"/>
        <v>0</v>
      </c>
      <c r="DC156" s="217">
        <f t="shared" si="64"/>
        <v>18.663270000000001</v>
      </c>
      <c r="DD156" s="256">
        <v>18.663270000000001</v>
      </c>
      <c r="DE156" s="217">
        <f t="shared" si="65"/>
        <v>0</v>
      </c>
      <c r="DF156" s="185" t="e">
        <f>SUM(DN156:DO156)-SUM(#REF!,BV156)+BU156</f>
        <v>#REF!</v>
      </c>
      <c r="DG156" s="223"/>
      <c r="DH156" s="241">
        <f t="shared" si="66"/>
        <v>0</v>
      </c>
      <c r="DI156" s="241">
        <f t="shared" si="67"/>
        <v>14.960870000000002</v>
      </c>
      <c r="DJ156" s="241">
        <f t="shared" si="68"/>
        <v>3.7023999999999999</v>
      </c>
      <c r="DK156" s="241" t="e">
        <f>SUM(BS156,#REF!,BV156)</f>
        <v>#REF!</v>
      </c>
      <c r="DL156" s="155">
        <v>844.22315000000003</v>
      </c>
      <c r="DM156" s="155">
        <v>741.11469999999997</v>
      </c>
      <c r="DN156" s="155">
        <v>0</v>
      </c>
      <c r="DO156" s="155">
        <v>0</v>
      </c>
      <c r="DP156" s="155">
        <v>741.11469999999997</v>
      </c>
      <c r="DQ156" s="155">
        <v>103.10844999999999</v>
      </c>
      <c r="DR156" s="23">
        <f>VLOOKUP(C156,[6]Database!$B$143:$AD$521,29,FALSE)</f>
        <v>0</v>
      </c>
      <c r="DS156" s="235">
        <f t="shared" si="69"/>
        <v>0</v>
      </c>
    </row>
    <row r="157" spans="1:123" s="23" customFormat="1" ht="24" customHeight="1">
      <c r="A157" s="18"/>
      <c r="B157" s="2">
        <v>114</v>
      </c>
      <c r="C157" s="85" t="s">
        <v>205</v>
      </c>
      <c r="D157" s="85"/>
      <c r="E157" s="85"/>
      <c r="F157" s="3">
        <v>2019</v>
      </c>
      <c r="G157" s="4">
        <v>43657</v>
      </c>
      <c r="H157" s="4">
        <v>43668</v>
      </c>
      <c r="I157" s="4">
        <v>43797</v>
      </c>
      <c r="J157" s="15">
        <f t="shared" ca="1" si="58"/>
        <v>129</v>
      </c>
      <c r="K157" s="177">
        <f t="shared" si="70"/>
        <v>44215</v>
      </c>
      <c r="L157" s="177">
        <f t="shared" si="71"/>
        <v>44398</v>
      </c>
      <c r="M157" s="177"/>
      <c r="N157" s="177"/>
      <c r="O157" s="177"/>
      <c r="P157" s="177"/>
      <c r="Q157" s="177"/>
      <c r="R157" s="3" t="s">
        <v>178</v>
      </c>
      <c r="S157" s="13" t="s">
        <v>223</v>
      </c>
      <c r="T157" s="13"/>
      <c r="U157" s="5" t="s">
        <v>9</v>
      </c>
      <c r="V157" s="268">
        <v>1904716</v>
      </c>
      <c r="W157" s="5" t="s">
        <v>614</v>
      </c>
      <c r="X157" s="5" t="s">
        <v>476</v>
      </c>
      <c r="Y157" s="5" t="s">
        <v>204</v>
      </c>
      <c r="Z157" s="3" t="s">
        <v>188</v>
      </c>
      <c r="AA157" s="6" t="s">
        <v>218</v>
      </c>
      <c r="AB157" s="151" t="s">
        <v>197</v>
      </c>
      <c r="AC157" s="177" t="s">
        <v>6</v>
      </c>
      <c r="AD157" s="177" t="s">
        <v>6</v>
      </c>
      <c r="AE157" s="177" t="s">
        <v>6</v>
      </c>
      <c r="AF157" s="5"/>
      <c r="AG157" s="5"/>
      <c r="AH157" s="228"/>
      <c r="AI157" s="83"/>
      <c r="AJ157" s="83"/>
      <c r="AK157" s="237" t="e">
        <f>SUM(#REF!,BT157,BV157)</f>
        <v>#REF!</v>
      </c>
      <c r="AL157" s="52"/>
      <c r="AM157" s="52"/>
      <c r="AN157" s="52"/>
      <c r="AO157" s="52"/>
      <c r="AP157" s="52"/>
      <c r="AQ157" s="52"/>
      <c r="AR157" s="56">
        <v>15.10722</v>
      </c>
      <c r="AS157" s="56">
        <v>0</v>
      </c>
      <c r="AT157" s="56">
        <v>0</v>
      </c>
      <c r="AU157" s="56"/>
      <c r="AV157" s="38">
        <v>15.6</v>
      </c>
      <c r="AW157" s="38">
        <v>1.1000000000000001</v>
      </c>
      <c r="AX157" s="97">
        <f t="shared" si="59"/>
        <v>16.7</v>
      </c>
      <c r="AY157" s="169">
        <f t="shared" si="72"/>
        <v>0</v>
      </c>
      <c r="AZ157" s="196">
        <v>0</v>
      </c>
      <c r="BA157" s="170"/>
      <c r="BB157" s="196">
        <v>0</v>
      </c>
      <c r="BC157" s="170"/>
      <c r="BD157" s="196">
        <v>0</v>
      </c>
      <c r="BE157" s="170">
        <v>0</v>
      </c>
      <c r="BF157" s="196">
        <v>0</v>
      </c>
      <c r="BG157" s="170"/>
      <c r="BH157" s="196">
        <v>0</v>
      </c>
      <c r="BI157" s="170"/>
      <c r="BJ157" s="196">
        <v>0</v>
      </c>
      <c r="BK157" s="170"/>
      <c r="BL157" s="196"/>
      <c r="BM157" s="170"/>
      <c r="BN157" s="196"/>
      <c r="BO157" s="170"/>
      <c r="BP157" s="196"/>
      <c r="BQ157" s="170"/>
      <c r="BR157" s="196"/>
      <c r="BS157" s="170"/>
      <c r="BT157" s="196"/>
      <c r="BU157" s="170"/>
      <c r="BV157" s="196"/>
      <c r="BW157" s="251"/>
      <c r="BX157" s="254"/>
      <c r="BY157" s="88">
        <f t="shared" si="73"/>
        <v>0</v>
      </c>
      <c r="BZ157" s="214"/>
      <c r="CA157" s="214"/>
      <c r="CB157" s="214"/>
      <c r="CC157" s="214"/>
      <c r="CD157" s="214"/>
      <c r="CE157" s="214"/>
      <c r="CF157" s="214"/>
      <c r="CG157" s="214"/>
      <c r="CH157" s="214"/>
      <c r="CI157" s="214"/>
      <c r="CJ157" s="214"/>
      <c r="CK157" s="214"/>
      <c r="CL157" s="211">
        <f t="shared" ref="CL157:CL188" si="75">SUM(CM157:CX157)</f>
        <v>0</v>
      </c>
      <c r="CM157" s="212"/>
      <c r="CN157" s="212"/>
      <c r="CO157" s="212"/>
      <c r="CP157" s="212"/>
      <c r="CQ157" s="212"/>
      <c r="CR157" s="212"/>
      <c r="CS157" s="212"/>
      <c r="CT157" s="212"/>
      <c r="CU157" s="212"/>
      <c r="CV157" s="212"/>
      <c r="CW157" s="212"/>
      <c r="CX157" s="212"/>
      <c r="CY157" s="216">
        <f t="shared" si="60"/>
        <v>0</v>
      </c>
      <c r="CZ157" s="185">
        <f t="shared" si="74"/>
        <v>0</v>
      </c>
      <c r="DA157" s="217">
        <f t="shared" si="61"/>
        <v>0</v>
      </c>
      <c r="DB157" s="217">
        <f t="shared" si="62"/>
        <v>0</v>
      </c>
      <c r="DC157" s="217">
        <f t="shared" ref="DC157:DC188" si="76">SUM(AY157,BY157)</f>
        <v>0</v>
      </c>
      <c r="DD157" s="256">
        <v>0</v>
      </c>
      <c r="DE157" s="217">
        <f t="shared" ref="DE157:DE188" si="77">DC157-DD157</f>
        <v>0</v>
      </c>
      <c r="DF157" s="185" t="e">
        <f>SUM(DN157:DO157)-SUM(#REF!,BV157)+BU157</f>
        <v>#REF!</v>
      </c>
      <c r="DG157" s="223"/>
      <c r="DH157" s="241">
        <f t="shared" ref="DH157:DH188" si="78">SUM(BA157,BC157,BE157)</f>
        <v>0</v>
      </c>
      <c r="DI157" s="241">
        <f t="shared" ref="DI157:DI188" si="79">SUM(BG157,BI157,BK157)</f>
        <v>0</v>
      </c>
      <c r="DJ157" s="241">
        <f t="shared" ref="DJ157:DJ188" si="80">SUM(BM157,BO157,BQ157)</f>
        <v>0</v>
      </c>
      <c r="DK157" s="241" t="e">
        <f>SUM(BS157,#REF!,BV157)</f>
        <v>#REF!</v>
      </c>
      <c r="DL157" s="155">
        <v>15.6</v>
      </c>
      <c r="DM157" s="155">
        <v>15.10722</v>
      </c>
      <c r="DN157" s="155">
        <v>0</v>
      </c>
      <c r="DO157" s="155">
        <v>0</v>
      </c>
      <c r="DP157" s="155">
        <v>15.10722</v>
      </c>
      <c r="DQ157" s="155">
        <v>0.49278</v>
      </c>
      <c r="DS157" s="235">
        <f t="shared" ref="DS157:DS188" si="81">BY157-DR157</f>
        <v>0</v>
      </c>
    </row>
    <row r="158" spans="1:123" s="23" customFormat="1" ht="24" customHeight="1">
      <c r="A158" s="18"/>
      <c r="B158" s="2">
        <v>115</v>
      </c>
      <c r="C158" s="85" t="s">
        <v>206</v>
      </c>
      <c r="D158" s="85"/>
      <c r="E158" s="85"/>
      <c r="F158" s="3">
        <v>2019</v>
      </c>
      <c r="G158" s="4">
        <v>43658</v>
      </c>
      <c r="H158" s="187">
        <v>43753</v>
      </c>
      <c r="I158" s="4">
        <v>44201</v>
      </c>
      <c r="J158" s="15">
        <f t="shared" ca="1" si="58"/>
        <v>448</v>
      </c>
      <c r="K158" s="177">
        <f t="shared" si="70"/>
        <v>44300</v>
      </c>
      <c r="L158" s="177">
        <f t="shared" si="71"/>
        <v>44483</v>
      </c>
      <c r="M158" s="177"/>
      <c r="N158" s="177"/>
      <c r="O158" s="177"/>
      <c r="P158" s="177"/>
      <c r="Q158" s="177"/>
      <c r="R158" s="85" t="s">
        <v>179</v>
      </c>
      <c r="S158" s="13"/>
      <c r="T158" s="280"/>
      <c r="U158" s="5" t="s">
        <v>9</v>
      </c>
      <c r="V158" s="268">
        <v>2272070</v>
      </c>
      <c r="W158" s="5" t="s">
        <v>614</v>
      </c>
      <c r="X158" s="5" t="s">
        <v>481</v>
      </c>
      <c r="Y158" s="5" t="s">
        <v>207</v>
      </c>
      <c r="Z158" s="3" t="s">
        <v>188</v>
      </c>
      <c r="AA158" s="6" t="s">
        <v>218</v>
      </c>
      <c r="AB158" s="151" t="s">
        <v>197</v>
      </c>
      <c r="AC158" s="177" t="s">
        <v>6</v>
      </c>
      <c r="AD158" s="177">
        <v>44286</v>
      </c>
      <c r="AE158" s="177" t="s">
        <v>6</v>
      </c>
      <c r="AF158" s="5"/>
      <c r="AG158" s="5"/>
      <c r="AH158" s="228"/>
      <c r="AI158" s="83"/>
      <c r="AJ158" s="83"/>
      <c r="AK158" s="237" t="e">
        <f>SUM(#REF!,BT158,BV158)</f>
        <v>#REF!</v>
      </c>
      <c r="AL158" s="166"/>
      <c r="AM158" s="166"/>
      <c r="AN158" s="166"/>
      <c r="AO158" s="166"/>
      <c r="AP158" s="166"/>
      <c r="AQ158" s="166"/>
      <c r="AR158" s="56">
        <v>0</v>
      </c>
      <c r="AS158" s="56">
        <v>400</v>
      </c>
      <c r="AT158" s="56">
        <v>310.05028000000004</v>
      </c>
      <c r="AU158" s="56">
        <v>2.9873499999999993</v>
      </c>
      <c r="AV158" s="38">
        <v>427.82</v>
      </c>
      <c r="AW158" s="38">
        <v>0</v>
      </c>
      <c r="AX158" s="97">
        <f t="shared" si="59"/>
        <v>427.82</v>
      </c>
      <c r="AY158" s="169">
        <f t="shared" si="72"/>
        <v>2.9714299999999998</v>
      </c>
      <c r="AZ158" s="196">
        <v>0</v>
      </c>
      <c r="BA158" s="170">
        <v>-1.1126500000000001</v>
      </c>
      <c r="BB158" s="196">
        <v>0</v>
      </c>
      <c r="BC158" s="170">
        <v>2.6312700000000002</v>
      </c>
      <c r="BD158" s="196">
        <v>1.2</v>
      </c>
      <c r="BE158" s="170">
        <v>1.4528099999999999</v>
      </c>
      <c r="BF158" s="196">
        <v>0</v>
      </c>
      <c r="BG158" s="170"/>
      <c r="BH158" s="196">
        <v>0</v>
      </c>
      <c r="BI158" s="170"/>
      <c r="BJ158" s="196">
        <v>0</v>
      </c>
      <c r="BK158" s="170"/>
      <c r="BL158" s="196"/>
      <c r="BM158" s="170"/>
      <c r="BN158" s="196"/>
      <c r="BO158" s="170"/>
      <c r="BP158" s="196"/>
      <c r="BQ158" s="170"/>
      <c r="BR158" s="196"/>
      <c r="BS158" s="170"/>
      <c r="BT158" s="196"/>
      <c r="BU158" s="170"/>
      <c r="BV158" s="196"/>
      <c r="BW158" s="251"/>
      <c r="BX158" s="254"/>
      <c r="BY158" s="88">
        <f t="shared" si="73"/>
        <v>0</v>
      </c>
      <c r="BZ158" s="214"/>
      <c r="CA158" s="214"/>
      <c r="CB158" s="214"/>
      <c r="CC158" s="214"/>
      <c r="CD158" s="214"/>
      <c r="CE158" s="214"/>
      <c r="CF158" s="214"/>
      <c r="CG158" s="214"/>
      <c r="CH158" s="214"/>
      <c r="CI158" s="214"/>
      <c r="CJ158" s="214"/>
      <c r="CK158" s="214"/>
      <c r="CL158" s="211">
        <f t="shared" si="75"/>
        <v>0</v>
      </c>
      <c r="CM158" s="212"/>
      <c r="CN158" s="212"/>
      <c r="CO158" s="212"/>
      <c r="CP158" s="212"/>
      <c r="CQ158" s="212"/>
      <c r="CR158" s="212"/>
      <c r="CS158" s="212"/>
      <c r="CT158" s="212"/>
      <c r="CU158" s="212"/>
      <c r="CV158" s="212"/>
      <c r="CW158" s="212"/>
      <c r="CX158" s="212"/>
      <c r="CY158" s="216">
        <f t="shared" si="60"/>
        <v>0</v>
      </c>
      <c r="CZ158" s="185">
        <f t="shared" si="74"/>
        <v>0</v>
      </c>
      <c r="DA158" s="217">
        <f t="shared" si="61"/>
        <v>2.9714299999999998</v>
      </c>
      <c r="DB158" s="217">
        <f t="shared" si="62"/>
        <v>0</v>
      </c>
      <c r="DC158" s="217">
        <f t="shared" si="76"/>
        <v>2.9714299999999998</v>
      </c>
      <c r="DD158" s="256">
        <v>2.9714299999999998</v>
      </c>
      <c r="DE158" s="217">
        <f t="shared" si="77"/>
        <v>0</v>
      </c>
      <c r="DF158" s="185" t="e">
        <f>SUM(DN158:DO158)-SUM(#REF!,BV158)+BU158</f>
        <v>#REF!</v>
      </c>
      <c r="DG158" s="223"/>
      <c r="DH158" s="241">
        <f t="shared" si="78"/>
        <v>2.9714299999999998</v>
      </c>
      <c r="DI158" s="241">
        <f t="shared" si="79"/>
        <v>0</v>
      </c>
      <c r="DJ158" s="241">
        <f t="shared" si="80"/>
        <v>0</v>
      </c>
      <c r="DK158" s="241" t="e">
        <f>SUM(BS158,#REF!,BV158)</f>
        <v>#REF!</v>
      </c>
      <c r="DL158" s="155">
        <v>427.82044000000002</v>
      </c>
      <c r="DM158" s="155">
        <v>313.02171000000004</v>
      </c>
      <c r="DN158" s="155">
        <v>0</v>
      </c>
      <c r="DO158" s="155">
        <v>0</v>
      </c>
      <c r="DP158" s="155">
        <v>313.02171000000004</v>
      </c>
      <c r="DQ158" s="155">
        <v>114.79872999999999</v>
      </c>
      <c r="DR158" s="23">
        <f>VLOOKUP(C158,[6]Database!$B$143:$AD$521,29,FALSE)</f>
        <v>0</v>
      </c>
      <c r="DS158" s="235">
        <f t="shared" si="81"/>
        <v>0</v>
      </c>
    </row>
    <row r="159" spans="1:123" s="23" customFormat="1" ht="24" customHeight="1">
      <c r="A159" s="18"/>
      <c r="B159" s="2">
        <v>116</v>
      </c>
      <c r="C159" s="85" t="s">
        <v>201</v>
      </c>
      <c r="D159" s="85"/>
      <c r="E159" s="85" t="s">
        <v>873</v>
      </c>
      <c r="F159" s="3">
        <v>2019</v>
      </c>
      <c r="G159" s="4">
        <v>43661</v>
      </c>
      <c r="H159" s="187">
        <v>43700</v>
      </c>
      <c r="I159" s="4">
        <v>44407</v>
      </c>
      <c r="J159" s="15">
        <f t="shared" ca="1" si="58"/>
        <v>707</v>
      </c>
      <c r="K159" s="177">
        <f t="shared" ref="K159:K190" si="82">IF(H159="","",H159+547)</f>
        <v>44247</v>
      </c>
      <c r="L159" s="177">
        <f t="shared" ref="L159:L190" si="83">IF(H159="","",H159+730)</f>
        <v>44430</v>
      </c>
      <c r="M159" s="177" t="s">
        <v>609</v>
      </c>
      <c r="N159" s="177"/>
      <c r="O159" s="177"/>
      <c r="P159" s="177"/>
      <c r="Q159" s="177"/>
      <c r="R159" s="3" t="s">
        <v>176</v>
      </c>
      <c r="S159" s="13" t="s">
        <v>5</v>
      </c>
      <c r="T159" s="13" t="s">
        <v>951</v>
      </c>
      <c r="U159" s="5" t="s">
        <v>9</v>
      </c>
      <c r="V159" s="268">
        <v>2082380</v>
      </c>
      <c r="W159" s="5" t="s">
        <v>614</v>
      </c>
      <c r="X159" s="5" t="s">
        <v>478</v>
      </c>
      <c r="Y159" s="5" t="s">
        <v>200</v>
      </c>
      <c r="Z159" s="85" t="s">
        <v>316</v>
      </c>
      <c r="AA159" s="6" t="s">
        <v>218</v>
      </c>
      <c r="AB159" s="152" t="s">
        <v>197</v>
      </c>
      <c r="AC159" s="177" t="s">
        <v>6</v>
      </c>
      <c r="AD159" s="177" t="s">
        <v>6</v>
      </c>
      <c r="AE159" s="177" t="s">
        <v>6</v>
      </c>
      <c r="AF159" s="5"/>
      <c r="AG159" s="5"/>
      <c r="AH159" s="228"/>
      <c r="AI159" s="83"/>
      <c r="AJ159" s="83"/>
      <c r="AK159" s="237" t="e">
        <f>SUM(#REF!,BT159,BV159)</f>
        <v>#REF!</v>
      </c>
      <c r="AL159" s="179"/>
      <c r="AM159" s="179"/>
      <c r="AN159" s="179"/>
      <c r="AO159" s="179"/>
      <c r="AP159" s="179"/>
      <c r="AQ159" s="179"/>
      <c r="AR159" s="56">
        <v>78.383870000000002</v>
      </c>
      <c r="AS159" s="56">
        <v>542.41695000000004</v>
      </c>
      <c r="AT159" s="56">
        <v>360.27114000000006</v>
      </c>
      <c r="AU159" s="56">
        <v>108.0915</v>
      </c>
      <c r="AV159" s="38">
        <v>616.41</v>
      </c>
      <c r="AW159" s="38">
        <v>0</v>
      </c>
      <c r="AX159" s="97">
        <f t="shared" si="59"/>
        <v>616.41</v>
      </c>
      <c r="AY159" s="169">
        <f t="shared" si="72"/>
        <v>128.45499000000001</v>
      </c>
      <c r="AZ159" s="196">
        <v>15</v>
      </c>
      <c r="BA159" s="170">
        <v>18.091500000000003</v>
      </c>
      <c r="BB159" s="196">
        <v>10</v>
      </c>
      <c r="BC159" s="170">
        <v>29.040839999999999</v>
      </c>
      <c r="BD159" s="196">
        <v>0</v>
      </c>
      <c r="BE159" s="170">
        <v>13.255600000000001</v>
      </c>
      <c r="BF159" s="196">
        <v>10</v>
      </c>
      <c r="BG159" s="170">
        <v>32.314799999999998</v>
      </c>
      <c r="BH159" s="196">
        <v>0</v>
      </c>
      <c r="BI159" s="170">
        <v>7.9704499999999996</v>
      </c>
      <c r="BJ159" s="196">
        <v>7.5651399999999995</v>
      </c>
      <c r="BK159" s="170">
        <v>8.7998999999999992</v>
      </c>
      <c r="BL159" s="196">
        <v>15</v>
      </c>
      <c r="BM159" s="170">
        <v>18.9819</v>
      </c>
      <c r="BN159" s="196"/>
      <c r="BO159" s="170"/>
      <c r="BP159" s="196"/>
      <c r="BQ159" s="170"/>
      <c r="BR159" s="196"/>
      <c r="BS159" s="170"/>
      <c r="BT159" s="196"/>
      <c r="BU159" s="170"/>
      <c r="BV159" s="196"/>
      <c r="BW159" s="251"/>
      <c r="BX159" s="254"/>
      <c r="BY159" s="88">
        <f t="shared" si="73"/>
        <v>0</v>
      </c>
      <c r="BZ159" s="258"/>
      <c r="CA159" s="258"/>
      <c r="CB159" s="258"/>
      <c r="CC159" s="258"/>
      <c r="CD159" s="258"/>
      <c r="CE159" s="258"/>
      <c r="CF159" s="258"/>
      <c r="CG159" s="258"/>
      <c r="CH159" s="258"/>
      <c r="CI159" s="258"/>
      <c r="CJ159" s="258"/>
      <c r="CK159" s="258"/>
      <c r="CL159" s="211">
        <f t="shared" si="75"/>
        <v>0</v>
      </c>
      <c r="CM159" s="212"/>
      <c r="CN159" s="212"/>
      <c r="CO159" s="212"/>
      <c r="CP159" s="212"/>
      <c r="CQ159" s="212"/>
      <c r="CR159" s="212"/>
      <c r="CS159" s="212"/>
      <c r="CT159" s="212"/>
      <c r="CU159" s="212"/>
      <c r="CV159" s="212"/>
      <c r="CW159" s="212"/>
      <c r="CX159" s="212"/>
      <c r="CY159" s="216">
        <f t="shared" si="60"/>
        <v>0</v>
      </c>
      <c r="CZ159" s="185">
        <f t="shared" si="74"/>
        <v>0</v>
      </c>
      <c r="DA159" s="217">
        <f t="shared" si="61"/>
        <v>128.45499000000001</v>
      </c>
      <c r="DB159" s="217">
        <f t="shared" si="62"/>
        <v>0</v>
      </c>
      <c r="DC159" s="217">
        <f t="shared" si="76"/>
        <v>128.45499000000001</v>
      </c>
      <c r="DD159" s="256">
        <v>128.45499000000001</v>
      </c>
      <c r="DE159" s="217">
        <f t="shared" si="77"/>
        <v>0</v>
      </c>
      <c r="DF159" s="185" t="e">
        <f>SUM(DN159:DO159)-SUM(#REF!,BV159)+BU159</f>
        <v>#REF!</v>
      </c>
      <c r="DG159" s="223"/>
      <c r="DH159" s="241">
        <f t="shared" si="78"/>
        <v>60.38794</v>
      </c>
      <c r="DI159" s="241">
        <f t="shared" si="79"/>
        <v>49.085149999999999</v>
      </c>
      <c r="DJ159" s="241">
        <f t="shared" si="80"/>
        <v>18.9819</v>
      </c>
      <c r="DK159" s="241" t="e">
        <f>SUM(BS159,#REF!,BV159)</f>
        <v>#REF!</v>
      </c>
      <c r="DL159" s="155">
        <v>616.40979000000004</v>
      </c>
      <c r="DM159" s="155">
        <v>567.11</v>
      </c>
      <c r="DN159" s="155">
        <v>0</v>
      </c>
      <c r="DO159" s="155">
        <v>0</v>
      </c>
      <c r="DP159" s="155">
        <v>567.11</v>
      </c>
      <c r="DQ159" s="155">
        <v>49.299790000000002</v>
      </c>
      <c r="DR159" s="23">
        <f>VLOOKUP(C159,[6]Database!$B$143:$AD$521,29,FALSE)</f>
        <v>0</v>
      </c>
      <c r="DS159" s="235">
        <f t="shared" si="81"/>
        <v>0</v>
      </c>
    </row>
    <row r="160" spans="1:123" s="23" customFormat="1" ht="24" customHeight="1">
      <c r="A160" s="18"/>
      <c r="B160" s="2">
        <v>117</v>
      </c>
      <c r="C160" s="85" t="s">
        <v>199</v>
      </c>
      <c r="D160" s="85"/>
      <c r="E160" s="85" t="s">
        <v>922</v>
      </c>
      <c r="F160" s="3">
        <v>2019</v>
      </c>
      <c r="G160" s="4">
        <v>43661</v>
      </c>
      <c r="H160" s="4">
        <v>43676</v>
      </c>
      <c r="I160" s="4">
        <v>43797</v>
      </c>
      <c r="J160" s="15">
        <f t="shared" ca="1" si="58"/>
        <v>121</v>
      </c>
      <c r="K160" s="177">
        <f t="shared" si="82"/>
        <v>44223</v>
      </c>
      <c r="L160" s="177">
        <f t="shared" si="83"/>
        <v>44406</v>
      </c>
      <c r="M160" s="177"/>
      <c r="N160" s="177"/>
      <c r="O160" s="177"/>
      <c r="P160" s="177"/>
      <c r="Q160" s="177"/>
      <c r="R160" s="3" t="s">
        <v>177</v>
      </c>
      <c r="S160" s="13" t="s">
        <v>223</v>
      </c>
      <c r="T160" s="13"/>
      <c r="U160" s="5" t="s">
        <v>9</v>
      </c>
      <c r="V160" s="268">
        <v>1920524</v>
      </c>
      <c r="W160" s="5" t="s">
        <v>614</v>
      </c>
      <c r="X160" s="5" t="s">
        <v>476</v>
      </c>
      <c r="Y160" s="5" t="s">
        <v>198</v>
      </c>
      <c r="Z160" s="3" t="s">
        <v>181</v>
      </c>
      <c r="AA160" s="6" t="s">
        <v>218</v>
      </c>
      <c r="AB160" s="151" t="s">
        <v>197</v>
      </c>
      <c r="AC160" s="177" t="s">
        <v>6</v>
      </c>
      <c r="AD160" s="177" t="s">
        <v>6</v>
      </c>
      <c r="AE160" s="177" t="s">
        <v>6</v>
      </c>
      <c r="AF160" s="5"/>
      <c r="AG160" s="5"/>
      <c r="AH160" s="228"/>
      <c r="AI160" s="83"/>
      <c r="AJ160" s="83"/>
      <c r="AK160" s="237" t="e">
        <f>SUM(#REF!,BT160,BV160)</f>
        <v>#REF!</v>
      </c>
      <c r="AL160" s="52"/>
      <c r="AM160" s="52"/>
      <c r="AN160" s="52"/>
      <c r="AO160" s="52"/>
      <c r="AP160" s="52"/>
      <c r="AQ160" s="52"/>
      <c r="AR160" s="56">
        <v>20.149589999999996</v>
      </c>
      <c r="AS160" s="56">
        <v>0</v>
      </c>
      <c r="AT160" s="56">
        <v>0</v>
      </c>
      <c r="AU160" s="56"/>
      <c r="AV160" s="38">
        <v>67</v>
      </c>
      <c r="AW160" s="38">
        <v>0</v>
      </c>
      <c r="AX160" s="97">
        <f t="shared" si="59"/>
        <v>67</v>
      </c>
      <c r="AY160" s="169">
        <f t="shared" si="72"/>
        <v>0</v>
      </c>
      <c r="AZ160" s="196">
        <v>0</v>
      </c>
      <c r="BA160" s="170"/>
      <c r="BB160" s="196">
        <v>0</v>
      </c>
      <c r="BC160" s="170"/>
      <c r="BD160" s="196">
        <v>0</v>
      </c>
      <c r="BE160" s="170">
        <v>0</v>
      </c>
      <c r="BF160" s="196">
        <v>0</v>
      </c>
      <c r="BG160" s="170"/>
      <c r="BH160" s="196">
        <v>0</v>
      </c>
      <c r="BI160" s="170"/>
      <c r="BJ160" s="196">
        <v>0</v>
      </c>
      <c r="BK160" s="170"/>
      <c r="BL160" s="196"/>
      <c r="BM160" s="170"/>
      <c r="BN160" s="196"/>
      <c r="BO160" s="170"/>
      <c r="BP160" s="196"/>
      <c r="BQ160" s="170"/>
      <c r="BR160" s="196"/>
      <c r="BS160" s="170"/>
      <c r="BT160" s="196"/>
      <c r="BU160" s="170"/>
      <c r="BV160" s="196"/>
      <c r="BW160" s="251"/>
      <c r="BX160" s="254"/>
      <c r="BY160" s="88">
        <f t="shared" si="73"/>
        <v>0</v>
      </c>
      <c r="BZ160" s="214"/>
      <c r="CA160" s="214"/>
      <c r="CB160" s="214"/>
      <c r="CC160" s="214"/>
      <c r="CD160" s="214"/>
      <c r="CE160" s="214"/>
      <c r="CF160" s="214"/>
      <c r="CG160" s="214"/>
      <c r="CH160" s="214"/>
      <c r="CI160" s="214"/>
      <c r="CJ160" s="214"/>
      <c r="CK160" s="214"/>
      <c r="CL160" s="211">
        <f t="shared" si="75"/>
        <v>0</v>
      </c>
      <c r="CM160" s="212"/>
      <c r="CN160" s="212"/>
      <c r="CO160" s="212"/>
      <c r="CP160" s="212"/>
      <c r="CQ160" s="212"/>
      <c r="CR160" s="212"/>
      <c r="CS160" s="212"/>
      <c r="CT160" s="212"/>
      <c r="CU160" s="212"/>
      <c r="CV160" s="212"/>
      <c r="CW160" s="212"/>
      <c r="CX160" s="212"/>
      <c r="CY160" s="216">
        <f t="shared" si="60"/>
        <v>0</v>
      </c>
      <c r="CZ160" s="185">
        <f t="shared" si="74"/>
        <v>0</v>
      </c>
      <c r="DA160" s="217">
        <f t="shared" si="61"/>
        <v>0</v>
      </c>
      <c r="DB160" s="217">
        <f t="shared" si="62"/>
        <v>0</v>
      </c>
      <c r="DC160" s="217">
        <f t="shared" si="76"/>
        <v>0</v>
      </c>
      <c r="DD160" s="256">
        <v>0</v>
      </c>
      <c r="DE160" s="217">
        <f t="shared" si="77"/>
        <v>0</v>
      </c>
      <c r="DF160" s="185" t="e">
        <f>SUM(DN160:DO160)-SUM(#REF!,BV160)+BU160</f>
        <v>#REF!</v>
      </c>
      <c r="DG160" s="223"/>
      <c r="DH160" s="241">
        <f t="shared" si="78"/>
        <v>0</v>
      </c>
      <c r="DI160" s="241">
        <f t="shared" si="79"/>
        <v>0</v>
      </c>
      <c r="DJ160" s="241">
        <f t="shared" si="80"/>
        <v>0</v>
      </c>
      <c r="DK160" s="241" t="e">
        <f>SUM(BS160,#REF!,BV160)</f>
        <v>#REF!</v>
      </c>
      <c r="DL160" s="155">
        <v>67</v>
      </c>
      <c r="DM160" s="155">
        <v>20.14959</v>
      </c>
      <c r="DN160" s="155">
        <v>0</v>
      </c>
      <c r="DO160" s="155">
        <v>0</v>
      </c>
      <c r="DP160" s="155">
        <v>20.14959</v>
      </c>
      <c r="DQ160" s="155">
        <v>46.850410000000004</v>
      </c>
      <c r="DS160" s="235">
        <f t="shared" si="81"/>
        <v>0</v>
      </c>
    </row>
    <row r="161" spans="1:123" s="23" customFormat="1" ht="24" customHeight="1">
      <c r="A161" s="18"/>
      <c r="B161" s="2">
        <v>118</v>
      </c>
      <c r="C161" s="85" t="s">
        <v>203</v>
      </c>
      <c r="D161" s="85"/>
      <c r="E161" s="85" t="s">
        <v>930</v>
      </c>
      <c r="F161" s="3">
        <v>2019</v>
      </c>
      <c r="G161" s="4">
        <v>43657</v>
      </c>
      <c r="H161" s="4">
        <v>43676</v>
      </c>
      <c r="I161" s="4">
        <v>44201</v>
      </c>
      <c r="J161" s="15">
        <f t="shared" ca="1" si="58"/>
        <v>525</v>
      </c>
      <c r="K161" s="177">
        <f t="shared" si="82"/>
        <v>44223</v>
      </c>
      <c r="L161" s="177">
        <f t="shared" si="83"/>
        <v>44406</v>
      </c>
      <c r="M161" s="177"/>
      <c r="N161" s="177"/>
      <c r="O161" s="177"/>
      <c r="P161" s="177"/>
      <c r="Q161" s="177"/>
      <c r="R161" s="3" t="s">
        <v>176</v>
      </c>
      <c r="S161" s="13" t="s">
        <v>5</v>
      </c>
      <c r="T161" s="13" t="s">
        <v>952</v>
      </c>
      <c r="U161" s="5" t="s">
        <v>9</v>
      </c>
      <c r="V161" s="268">
        <v>1917345</v>
      </c>
      <c r="W161" s="5" t="s">
        <v>614</v>
      </c>
      <c r="X161" s="5" t="s">
        <v>480</v>
      </c>
      <c r="Y161" s="5" t="s">
        <v>202</v>
      </c>
      <c r="Z161" s="85" t="s">
        <v>316</v>
      </c>
      <c r="AA161" s="6" t="s">
        <v>218</v>
      </c>
      <c r="AB161" s="151" t="s">
        <v>197</v>
      </c>
      <c r="AC161" s="177" t="s">
        <v>6</v>
      </c>
      <c r="AD161" s="177" t="s">
        <v>6</v>
      </c>
      <c r="AE161" s="177" t="s">
        <v>6</v>
      </c>
      <c r="AF161" s="5"/>
      <c r="AG161" s="5"/>
      <c r="AH161" s="228"/>
      <c r="AI161" s="83"/>
      <c r="AJ161" s="83"/>
      <c r="AK161" s="237" t="e">
        <f>SUM(#REF!,BT161,BV161)</f>
        <v>#REF!</v>
      </c>
      <c r="AL161" s="165"/>
      <c r="AM161" s="165"/>
      <c r="AN161" s="165"/>
      <c r="AO161" s="165"/>
      <c r="AP161" s="165"/>
      <c r="AQ161" s="165"/>
      <c r="AR161" s="56">
        <v>1.56802</v>
      </c>
      <c r="AS161" s="56">
        <v>88.9</v>
      </c>
      <c r="AT161" s="56">
        <v>0</v>
      </c>
      <c r="AU161" s="56">
        <v>-1.56802</v>
      </c>
      <c r="AV161" s="38">
        <v>90.5</v>
      </c>
      <c r="AW161" s="38">
        <v>0</v>
      </c>
      <c r="AX161" s="97">
        <f t="shared" si="59"/>
        <v>90.5</v>
      </c>
      <c r="AY161" s="169">
        <f t="shared" si="72"/>
        <v>-1.56802</v>
      </c>
      <c r="AZ161" s="196">
        <v>0</v>
      </c>
      <c r="BA161" s="170">
        <v>-1.56802</v>
      </c>
      <c r="BB161" s="196">
        <v>0</v>
      </c>
      <c r="BC161" s="170"/>
      <c r="BD161" s="196">
        <v>0</v>
      </c>
      <c r="BE161" s="170">
        <v>0</v>
      </c>
      <c r="BF161" s="196">
        <v>0</v>
      </c>
      <c r="BG161" s="170"/>
      <c r="BH161" s="196">
        <v>0</v>
      </c>
      <c r="BI161" s="170"/>
      <c r="BJ161" s="196">
        <v>0</v>
      </c>
      <c r="BK161" s="170"/>
      <c r="BL161" s="196"/>
      <c r="BM161" s="170"/>
      <c r="BN161" s="196"/>
      <c r="BO161" s="170"/>
      <c r="BP161" s="196"/>
      <c r="BQ161" s="170"/>
      <c r="BR161" s="196"/>
      <c r="BS161" s="170"/>
      <c r="BT161" s="196"/>
      <c r="BU161" s="170"/>
      <c r="BV161" s="196"/>
      <c r="BW161" s="251"/>
      <c r="BX161" s="254"/>
      <c r="BY161" s="88">
        <f t="shared" si="73"/>
        <v>0</v>
      </c>
      <c r="BZ161" s="258"/>
      <c r="CA161" s="258"/>
      <c r="CB161" s="258"/>
      <c r="CC161" s="258"/>
      <c r="CD161" s="258"/>
      <c r="CE161" s="258"/>
      <c r="CF161" s="258"/>
      <c r="CG161" s="258"/>
      <c r="CH161" s="258"/>
      <c r="CI161" s="258"/>
      <c r="CJ161" s="258"/>
      <c r="CK161" s="258"/>
      <c r="CL161" s="211">
        <f t="shared" si="75"/>
        <v>0</v>
      </c>
      <c r="CM161" s="212"/>
      <c r="CN161" s="212"/>
      <c r="CO161" s="212"/>
      <c r="CP161" s="212"/>
      <c r="CQ161" s="212"/>
      <c r="CR161" s="212"/>
      <c r="CS161" s="212"/>
      <c r="CT161" s="212"/>
      <c r="CU161" s="212"/>
      <c r="CV161" s="212"/>
      <c r="CW161" s="212"/>
      <c r="CX161" s="212"/>
      <c r="CY161" s="216">
        <f t="shared" si="60"/>
        <v>0</v>
      </c>
      <c r="CZ161" s="185">
        <f t="shared" si="74"/>
        <v>0</v>
      </c>
      <c r="DA161" s="217">
        <f t="shared" si="61"/>
        <v>-1.56802</v>
      </c>
      <c r="DB161" s="217">
        <f t="shared" si="62"/>
        <v>0</v>
      </c>
      <c r="DC161" s="217">
        <f t="shared" si="76"/>
        <v>-1.56802</v>
      </c>
      <c r="DD161" s="256">
        <v>-1.56802</v>
      </c>
      <c r="DE161" s="217">
        <f t="shared" si="77"/>
        <v>0</v>
      </c>
      <c r="DF161" s="185" t="e">
        <f>SUM(DN161:DO161)-SUM(#REF!,BV161)+BU161</f>
        <v>#REF!</v>
      </c>
      <c r="DG161" s="223"/>
      <c r="DH161" s="241">
        <f t="shared" si="78"/>
        <v>-1.56802</v>
      </c>
      <c r="DI161" s="241">
        <f t="shared" si="79"/>
        <v>0</v>
      </c>
      <c r="DJ161" s="241">
        <f t="shared" si="80"/>
        <v>0</v>
      </c>
      <c r="DK161" s="241" t="e">
        <f>SUM(BS161,#REF!,BV161)</f>
        <v>#REF!</v>
      </c>
      <c r="DL161" s="155">
        <v>90.5</v>
      </c>
      <c r="DM161" s="155">
        <v>0</v>
      </c>
      <c r="DN161" s="155">
        <v>0</v>
      </c>
      <c r="DO161" s="155">
        <v>0</v>
      </c>
      <c r="DP161" s="155">
        <v>0</v>
      </c>
      <c r="DQ161" s="155">
        <v>90.5</v>
      </c>
      <c r="DR161" s="23">
        <f>VLOOKUP(C161,[6]Database!$B$143:$AD$521,29,FALSE)</f>
        <v>0</v>
      </c>
      <c r="DS161" s="235">
        <f t="shared" si="81"/>
        <v>0</v>
      </c>
    </row>
    <row r="162" spans="1:123" s="23" customFormat="1" ht="24" customHeight="1">
      <c r="A162" s="18"/>
      <c r="B162" s="2">
        <v>119</v>
      </c>
      <c r="C162" s="86" t="s">
        <v>210</v>
      </c>
      <c r="D162" s="86"/>
      <c r="E162" s="85" t="s">
        <v>923</v>
      </c>
      <c r="F162" s="3">
        <v>2019</v>
      </c>
      <c r="G162" s="42">
        <v>43669</v>
      </c>
      <c r="H162" s="4">
        <v>43698</v>
      </c>
      <c r="I162" s="42">
        <v>44168</v>
      </c>
      <c r="J162" s="15">
        <f t="shared" ca="1" si="58"/>
        <v>470</v>
      </c>
      <c r="K162" s="177">
        <f t="shared" si="82"/>
        <v>44245</v>
      </c>
      <c r="L162" s="177">
        <f t="shared" si="83"/>
        <v>44428</v>
      </c>
      <c r="M162" s="177"/>
      <c r="N162" s="177"/>
      <c r="O162" s="177"/>
      <c r="P162" s="177"/>
      <c r="Q162" s="177"/>
      <c r="R162" s="3" t="s">
        <v>176</v>
      </c>
      <c r="S162" s="13" t="s">
        <v>224</v>
      </c>
      <c r="T162" s="13"/>
      <c r="U162" s="5" t="s">
        <v>9</v>
      </c>
      <c r="V162" s="268">
        <v>1958617</v>
      </c>
      <c r="W162" s="5" t="s">
        <v>614</v>
      </c>
      <c r="X162" s="5" t="s">
        <v>478</v>
      </c>
      <c r="Y162" s="5" t="s">
        <v>211</v>
      </c>
      <c r="Z162" s="3" t="s">
        <v>181</v>
      </c>
      <c r="AA162" s="6" t="s">
        <v>218</v>
      </c>
      <c r="AB162" s="151" t="s">
        <v>197</v>
      </c>
      <c r="AC162" s="177" t="s">
        <v>6</v>
      </c>
      <c r="AD162" s="177" t="s">
        <v>6</v>
      </c>
      <c r="AE162" s="177" t="s">
        <v>6</v>
      </c>
      <c r="AF162" s="5" t="s">
        <v>1132</v>
      </c>
      <c r="AG162" s="43"/>
      <c r="AH162" s="228"/>
      <c r="AI162" s="83"/>
      <c r="AJ162" s="83"/>
      <c r="AK162" s="237" t="e">
        <f>SUM(#REF!,BT162,BV162)</f>
        <v>#REF!</v>
      </c>
      <c r="AL162" s="165"/>
      <c r="AM162" s="52"/>
      <c r="AN162" s="165"/>
      <c r="AO162" s="52"/>
      <c r="AP162" s="52"/>
      <c r="AQ162" s="52"/>
      <c r="AR162" s="56">
        <v>96.045529999999999</v>
      </c>
      <c r="AS162" s="56">
        <v>61.2</v>
      </c>
      <c r="AT162" s="56">
        <v>36.824869999999997</v>
      </c>
      <c r="AU162" s="56"/>
      <c r="AV162" s="47">
        <v>157.19999999999999</v>
      </c>
      <c r="AW162" s="47">
        <v>0</v>
      </c>
      <c r="AX162" s="97">
        <f t="shared" si="59"/>
        <v>157.19999999999999</v>
      </c>
      <c r="AY162" s="169">
        <f t="shared" si="72"/>
        <v>0</v>
      </c>
      <c r="AZ162" s="196">
        <v>0</v>
      </c>
      <c r="BA162" s="170">
        <v>0</v>
      </c>
      <c r="BB162" s="196">
        <v>0</v>
      </c>
      <c r="BC162" s="170"/>
      <c r="BD162" s="196">
        <v>0</v>
      </c>
      <c r="BE162" s="170">
        <v>0</v>
      </c>
      <c r="BF162" s="196">
        <v>0</v>
      </c>
      <c r="BG162" s="170"/>
      <c r="BH162" s="196">
        <v>0</v>
      </c>
      <c r="BI162" s="170"/>
      <c r="BJ162" s="196">
        <v>0</v>
      </c>
      <c r="BK162" s="170"/>
      <c r="BL162" s="196"/>
      <c r="BM162" s="170"/>
      <c r="BN162" s="196"/>
      <c r="BO162" s="170"/>
      <c r="BP162" s="196"/>
      <c r="BQ162" s="170"/>
      <c r="BR162" s="196"/>
      <c r="BS162" s="170"/>
      <c r="BT162" s="196"/>
      <c r="BU162" s="170"/>
      <c r="BV162" s="196"/>
      <c r="BW162" s="251"/>
      <c r="BX162" s="254"/>
      <c r="BY162" s="88">
        <f t="shared" si="73"/>
        <v>0</v>
      </c>
      <c r="BZ162" s="258"/>
      <c r="CA162" s="258"/>
      <c r="CB162" s="258"/>
      <c r="CC162" s="258"/>
      <c r="CD162" s="258"/>
      <c r="CE162" s="258"/>
      <c r="CF162" s="258"/>
      <c r="CG162" s="258"/>
      <c r="CH162" s="258"/>
      <c r="CI162" s="258"/>
      <c r="CJ162" s="258"/>
      <c r="CK162" s="258"/>
      <c r="CL162" s="211">
        <f t="shared" si="75"/>
        <v>0</v>
      </c>
      <c r="CM162" s="212"/>
      <c r="CN162" s="212"/>
      <c r="CO162" s="212"/>
      <c r="CP162" s="212"/>
      <c r="CQ162" s="212"/>
      <c r="CR162" s="212"/>
      <c r="CS162" s="212"/>
      <c r="CT162" s="212"/>
      <c r="CU162" s="212"/>
      <c r="CV162" s="212"/>
      <c r="CW162" s="212"/>
      <c r="CX162" s="212"/>
      <c r="CY162" s="216">
        <f t="shared" si="60"/>
        <v>0</v>
      </c>
      <c r="CZ162" s="185">
        <f t="shared" si="74"/>
        <v>0</v>
      </c>
      <c r="DA162" s="217">
        <f t="shared" si="61"/>
        <v>0</v>
      </c>
      <c r="DB162" s="217">
        <f t="shared" si="62"/>
        <v>0</v>
      </c>
      <c r="DC162" s="217">
        <f t="shared" si="76"/>
        <v>0</v>
      </c>
      <c r="DD162" s="256">
        <v>0</v>
      </c>
      <c r="DE162" s="217">
        <f t="shared" si="77"/>
        <v>0</v>
      </c>
      <c r="DF162" s="185" t="e">
        <f>SUM(DN162:DO162)-SUM(#REF!,BV162)+BU162</f>
        <v>#REF!</v>
      </c>
      <c r="DG162" s="223"/>
      <c r="DH162" s="241">
        <f t="shared" si="78"/>
        <v>0</v>
      </c>
      <c r="DI162" s="241">
        <f t="shared" si="79"/>
        <v>0</v>
      </c>
      <c r="DJ162" s="241">
        <f t="shared" si="80"/>
        <v>0</v>
      </c>
      <c r="DK162" s="241" t="e">
        <f>SUM(BS162,#REF!,BV162)</f>
        <v>#REF!</v>
      </c>
      <c r="DL162" s="155">
        <v>157.19999999999999</v>
      </c>
      <c r="DM162" s="155">
        <v>132.87039999999999</v>
      </c>
      <c r="DN162" s="155">
        <v>0</v>
      </c>
      <c r="DO162" s="155">
        <v>0</v>
      </c>
      <c r="DP162" s="155">
        <v>132.87039999999999</v>
      </c>
      <c r="DQ162" s="155">
        <v>24.329599999999999</v>
      </c>
      <c r="DS162" s="235">
        <f t="shared" si="81"/>
        <v>0</v>
      </c>
    </row>
    <row r="163" spans="1:123" s="23" customFormat="1" ht="24" customHeight="1">
      <c r="A163" s="18"/>
      <c r="B163" s="2">
        <v>120</v>
      </c>
      <c r="C163" s="274" t="s">
        <v>215</v>
      </c>
      <c r="D163" s="86"/>
      <c r="E163" s="85"/>
      <c r="F163" s="41">
        <v>2019</v>
      </c>
      <c r="G163" s="42">
        <v>43669</v>
      </c>
      <c r="H163" s="192">
        <v>43703</v>
      </c>
      <c r="I163" s="42"/>
      <c r="J163" s="15">
        <f t="shared" ca="1" si="58"/>
        <v>-1593.4066194444458</v>
      </c>
      <c r="K163" s="177">
        <f t="shared" si="82"/>
        <v>44250</v>
      </c>
      <c r="L163" s="177">
        <f t="shared" si="83"/>
        <v>44433</v>
      </c>
      <c r="M163" s="249" t="s">
        <v>609</v>
      </c>
      <c r="N163" s="177" t="s">
        <v>609</v>
      </c>
      <c r="O163" s="250" t="s">
        <v>609</v>
      </c>
      <c r="P163" s="243" t="s">
        <v>1391</v>
      </c>
      <c r="Q163" s="243" t="s">
        <v>1516</v>
      </c>
      <c r="R163" s="3" t="s">
        <v>176</v>
      </c>
      <c r="S163" s="13" t="s">
        <v>224</v>
      </c>
      <c r="T163" s="13" t="s">
        <v>965</v>
      </c>
      <c r="U163" s="5" t="s">
        <v>9</v>
      </c>
      <c r="V163" s="268">
        <v>1985371</v>
      </c>
      <c r="W163" s="5" t="s">
        <v>614</v>
      </c>
      <c r="X163" s="5" t="s">
        <v>475</v>
      </c>
      <c r="Y163" s="5" t="s">
        <v>214</v>
      </c>
      <c r="Z163" s="3" t="s">
        <v>181</v>
      </c>
      <c r="AA163" s="6" t="s">
        <v>463</v>
      </c>
      <c r="AB163" s="282" t="s">
        <v>1486</v>
      </c>
      <c r="AC163" s="177">
        <v>44620</v>
      </c>
      <c r="AD163" s="177">
        <v>44592</v>
      </c>
      <c r="AE163" s="177">
        <v>44499</v>
      </c>
      <c r="AF163" s="5" t="s">
        <v>1132</v>
      </c>
      <c r="AG163" s="43"/>
      <c r="AH163" s="228"/>
      <c r="AI163" s="83"/>
      <c r="AJ163" s="83"/>
      <c r="AK163" s="237" t="e">
        <f>SUM(#REF!,BT163,BV163)</f>
        <v>#REF!</v>
      </c>
      <c r="AL163" s="179"/>
      <c r="AM163" s="179"/>
      <c r="AN163" s="179"/>
      <c r="AO163" s="179"/>
      <c r="AP163" s="179"/>
      <c r="AQ163" s="179"/>
      <c r="AR163" s="56">
        <v>200.25262000000004</v>
      </c>
      <c r="AS163" s="56">
        <v>90.832830000000001</v>
      </c>
      <c r="AT163" s="56">
        <v>49.251629999999999</v>
      </c>
      <c r="AU163" s="56">
        <v>45</v>
      </c>
      <c r="AV163" s="38">
        <v>304</v>
      </c>
      <c r="AW163" s="38">
        <v>0</v>
      </c>
      <c r="AX163" s="97">
        <f t="shared" si="59"/>
        <v>304</v>
      </c>
      <c r="AY163" s="169">
        <f t="shared" si="72"/>
        <v>34.42745</v>
      </c>
      <c r="AZ163" s="196">
        <v>0</v>
      </c>
      <c r="BA163" s="170">
        <v>0</v>
      </c>
      <c r="BB163" s="196">
        <v>0</v>
      </c>
      <c r="BC163" s="170"/>
      <c r="BD163" s="196">
        <v>0</v>
      </c>
      <c r="BE163" s="170">
        <v>0</v>
      </c>
      <c r="BF163" s="196">
        <v>0</v>
      </c>
      <c r="BG163" s="170"/>
      <c r="BH163" s="196">
        <v>0</v>
      </c>
      <c r="BI163" s="170">
        <v>28.532799999999998</v>
      </c>
      <c r="BJ163" s="196">
        <v>0</v>
      </c>
      <c r="BK163" s="170"/>
      <c r="BL163" s="196"/>
      <c r="BM163" s="170">
        <v>-0.17842999999999998</v>
      </c>
      <c r="BN163" s="196"/>
      <c r="BO163" s="170">
        <v>6.07308</v>
      </c>
      <c r="BP163" s="196">
        <v>10.41314</v>
      </c>
      <c r="BQ163" s="170"/>
      <c r="BR163" s="196">
        <v>10.41314</v>
      </c>
      <c r="BS163" s="170"/>
      <c r="BT163" s="196">
        <v>10.41314</v>
      </c>
      <c r="BU163" s="170"/>
      <c r="BV163" s="196"/>
      <c r="BW163" s="251"/>
      <c r="BX163" s="254"/>
      <c r="BY163" s="88">
        <f t="shared" si="73"/>
        <v>10.41314</v>
      </c>
      <c r="BZ163" s="258">
        <v>10.41314</v>
      </c>
      <c r="CA163" s="258"/>
      <c r="CB163" s="258"/>
      <c r="CC163" s="258"/>
      <c r="CD163" s="258"/>
      <c r="CE163" s="258"/>
      <c r="CF163" s="258"/>
      <c r="CG163" s="258"/>
      <c r="CH163" s="258"/>
      <c r="CI163" s="258"/>
      <c r="CJ163" s="258"/>
      <c r="CK163" s="258"/>
      <c r="CL163" s="211">
        <f t="shared" si="75"/>
        <v>0</v>
      </c>
      <c r="CM163" s="212"/>
      <c r="CN163" s="212"/>
      <c r="CO163" s="212"/>
      <c r="CP163" s="212"/>
      <c r="CQ163" s="212"/>
      <c r="CR163" s="212"/>
      <c r="CS163" s="212"/>
      <c r="CT163" s="212"/>
      <c r="CU163" s="212"/>
      <c r="CV163" s="212"/>
      <c r="CW163" s="212"/>
      <c r="CX163" s="212"/>
      <c r="CY163" s="216">
        <f t="shared" si="60"/>
        <v>0</v>
      </c>
      <c r="CZ163" s="185">
        <f t="shared" si="74"/>
        <v>0</v>
      </c>
      <c r="DA163" s="217">
        <f t="shared" si="61"/>
        <v>34.42745</v>
      </c>
      <c r="DB163" s="217">
        <f t="shared" si="62"/>
        <v>0</v>
      </c>
      <c r="DC163" s="217">
        <f t="shared" si="76"/>
        <v>44.840589999999999</v>
      </c>
      <c r="DD163" s="256">
        <v>44.840589999999999</v>
      </c>
      <c r="DE163" s="217">
        <f t="shared" si="77"/>
        <v>0</v>
      </c>
      <c r="DF163" s="185" t="e">
        <f>SUM(DN163:DO163)-SUM(#REF!,BV163)+BU163</f>
        <v>#REF!</v>
      </c>
      <c r="DG163" s="223"/>
      <c r="DH163" s="241">
        <f t="shared" si="78"/>
        <v>0</v>
      </c>
      <c r="DI163" s="241">
        <f t="shared" si="79"/>
        <v>28.532799999999998</v>
      </c>
      <c r="DJ163" s="241">
        <f t="shared" si="80"/>
        <v>5.8946500000000004</v>
      </c>
      <c r="DK163" s="241" t="e">
        <f>SUM(BS163,#REF!,BV163)</f>
        <v>#REF!</v>
      </c>
      <c r="DL163" s="155">
        <v>304</v>
      </c>
      <c r="DM163" s="155">
        <v>283.93170000000003</v>
      </c>
      <c r="DN163" s="155">
        <v>22.738139999999998</v>
      </c>
      <c r="DO163" s="155">
        <v>0</v>
      </c>
      <c r="DP163" s="155">
        <v>306.66984000000002</v>
      </c>
      <c r="DQ163" s="155">
        <v>-2.6698400000000002</v>
      </c>
      <c r="DR163" s="23">
        <f>VLOOKUP(C163,[6]Database!$B$143:$AD$521,29,FALSE)</f>
        <v>0</v>
      </c>
      <c r="DS163" s="235">
        <f t="shared" si="81"/>
        <v>10.41314</v>
      </c>
    </row>
    <row r="164" spans="1:123" s="23" customFormat="1" ht="24" customHeight="1">
      <c r="A164" s="18"/>
      <c r="B164" s="2">
        <v>121</v>
      </c>
      <c r="C164" s="86" t="s">
        <v>212</v>
      </c>
      <c r="D164" s="86"/>
      <c r="E164" s="85" t="s">
        <v>924</v>
      </c>
      <c r="F164" s="41">
        <v>2019</v>
      </c>
      <c r="G164" s="42">
        <v>43669</v>
      </c>
      <c r="H164" s="42">
        <v>43699</v>
      </c>
      <c r="I164" s="42">
        <v>43914</v>
      </c>
      <c r="J164" s="15">
        <f t="shared" ca="1" si="58"/>
        <v>215</v>
      </c>
      <c r="K164" s="177">
        <f t="shared" si="82"/>
        <v>44246</v>
      </c>
      <c r="L164" s="177">
        <f t="shared" si="83"/>
        <v>44429</v>
      </c>
      <c r="M164" s="177"/>
      <c r="N164" s="177"/>
      <c r="O164" s="177"/>
      <c r="P164" s="177"/>
      <c r="Q164" s="177"/>
      <c r="R164" s="3" t="s">
        <v>176</v>
      </c>
      <c r="S164" s="13" t="s">
        <v>224</v>
      </c>
      <c r="T164" s="13"/>
      <c r="U164" s="5" t="s">
        <v>9</v>
      </c>
      <c r="V164" s="268">
        <v>1959852</v>
      </c>
      <c r="W164" s="5" t="s">
        <v>614</v>
      </c>
      <c r="X164" s="5" t="s">
        <v>478</v>
      </c>
      <c r="Y164" s="5" t="s">
        <v>213</v>
      </c>
      <c r="Z164" s="85" t="s">
        <v>316</v>
      </c>
      <c r="AA164" s="6" t="s">
        <v>218</v>
      </c>
      <c r="AB164" s="151" t="s">
        <v>197</v>
      </c>
      <c r="AC164" s="177" t="s">
        <v>6</v>
      </c>
      <c r="AD164" s="177" t="s">
        <v>6</v>
      </c>
      <c r="AE164" s="177" t="s">
        <v>6</v>
      </c>
      <c r="AF164" s="5"/>
      <c r="AG164" s="43"/>
      <c r="AH164" s="228"/>
      <c r="AI164" s="83"/>
      <c r="AJ164" s="83"/>
      <c r="AK164" s="237" t="e">
        <f>SUM(#REF!,BT164,BV164)</f>
        <v>#REF!</v>
      </c>
      <c r="AL164" s="165"/>
      <c r="AM164" s="165"/>
      <c r="AN164" s="165"/>
      <c r="AO164" s="165"/>
      <c r="AP164" s="165"/>
      <c r="AQ164" s="165"/>
      <c r="AR164" s="56">
        <v>28.859589999999997</v>
      </c>
      <c r="AS164" s="56">
        <v>48.305630000000001</v>
      </c>
      <c r="AT164" s="56">
        <v>11.837</v>
      </c>
      <c r="AU164" s="56"/>
      <c r="AV164" s="47">
        <v>79</v>
      </c>
      <c r="AW164" s="47">
        <v>3</v>
      </c>
      <c r="AX164" s="97">
        <f t="shared" si="59"/>
        <v>82</v>
      </c>
      <c r="AY164" s="169">
        <f t="shared" si="72"/>
        <v>0</v>
      </c>
      <c r="AZ164" s="196">
        <v>0</v>
      </c>
      <c r="BA164" s="170">
        <v>0</v>
      </c>
      <c r="BB164" s="196">
        <v>0</v>
      </c>
      <c r="BC164" s="170"/>
      <c r="BD164" s="196">
        <v>0</v>
      </c>
      <c r="BE164" s="170">
        <v>0</v>
      </c>
      <c r="BF164" s="196">
        <v>0</v>
      </c>
      <c r="BG164" s="170"/>
      <c r="BH164" s="196">
        <v>0</v>
      </c>
      <c r="BI164" s="170"/>
      <c r="BJ164" s="196">
        <v>0</v>
      </c>
      <c r="BK164" s="170"/>
      <c r="BL164" s="196"/>
      <c r="BM164" s="170"/>
      <c r="BN164" s="196"/>
      <c r="BO164" s="170"/>
      <c r="BP164" s="196"/>
      <c r="BQ164" s="170"/>
      <c r="BR164" s="196"/>
      <c r="BS164" s="170"/>
      <c r="BT164" s="196"/>
      <c r="BU164" s="170"/>
      <c r="BV164" s="196"/>
      <c r="BW164" s="251"/>
      <c r="BX164" s="254"/>
      <c r="BY164" s="88">
        <f t="shared" si="73"/>
        <v>0</v>
      </c>
      <c r="BZ164" s="258"/>
      <c r="CA164" s="258"/>
      <c r="CB164" s="258"/>
      <c r="CC164" s="258"/>
      <c r="CD164" s="258"/>
      <c r="CE164" s="258"/>
      <c r="CF164" s="258"/>
      <c r="CG164" s="258"/>
      <c r="CH164" s="258"/>
      <c r="CI164" s="258"/>
      <c r="CJ164" s="258"/>
      <c r="CK164" s="258"/>
      <c r="CL164" s="211">
        <f t="shared" si="75"/>
        <v>0</v>
      </c>
      <c r="CM164" s="212"/>
      <c r="CN164" s="212"/>
      <c r="CO164" s="212"/>
      <c r="CP164" s="212"/>
      <c r="CQ164" s="212"/>
      <c r="CR164" s="212"/>
      <c r="CS164" s="212"/>
      <c r="CT164" s="212"/>
      <c r="CU164" s="212"/>
      <c r="CV164" s="212"/>
      <c r="CW164" s="212"/>
      <c r="CX164" s="212"/>
      <c r="CY164" s="216">
        <f t="shared" si="60"/>
        <v>0</v>
      </c>
      <c r="CZ164" s="185">
        <f t="shared" si="74"/>
        <v>0</v>
      </c>
      <c r="DA164" s="217">
        <f t="shared" si="61"/>
        <v>0</v>
      </c>
      <c r="DB164" s="217">
        <f t="shared" si="62"/>
        <v>0</v>
      </c>
      <c r="DC164" s="217">
        <f t="shared" si="76"/>
        <v>0</v>
      </c>
      <c r="DD164" s="256">
        <v>0</v>
      </c>
      <c r="DE164" s="217">
        <f t="shared" si="77"/>
        <v>0</v>
      </c>
      <c r="DF164" s="185" t="e">
        <f>SUM(DN164:DO164)-SUM(#REF!,BV164)+BU164</f>
        <v>#REF!</v>
      </c>
      <c r="DG164" s="223"/>
      <c r="DH164" s="241">
        <f t="shared" si="78"/>
        <v>0</v>
      </c>
      <c r="DI164" s="241">
        <f t="shared" si="79"/>
        <v>0</v>
      </c>
      <c r="DJ164" s="241">
        <f t="shared" si="80"/>
        <v>0</v>
      </c>
      <c r="DK164" s="241" t="e">
        <f>SUM(BS164,#REF!,BV164)</f>
        <v>#REF!</v>
      </c>
      <c r="DL164" s="155">
        <v>79</v>
      </c>
      <c r="DM164" s="155">
        <v>40.696589999999993</v>
      </c>
      <c r="DN164" s="155">
        <v>0</v>
      </c>
      <c r="DO164" s="155">
        <v>0</v>
      </c>
      <c r="DP164" s="155">
        <v>40.696589999999993</v>
      </c>
      <c r="DQ164" s="155">
        <v>38.303410000000007</v>
      </c>
      <c r="DS164" s="235">
        <f t="shared" si="81"/>
        <v>0</v>
      </c>
    </row>
    <row r="165" spans="1:123" s="23" customFormat="1" ht="24" customHeight="1">
      <c r="A165" s="18"/>
      <c r="B165" s="2">
        <v>122</v>
      </c>
      <c r="C165" s="86" t="s">
        <v>226</v>
      </c>
      <c r="D165" s="86"/>
      <c r="E165" s="85"/>
      <c r="F165" s="41">
        <v>2019</v>
      </c>
      <c r="G165" s="42">
        <v>43669</v>
      </c>
      <c r="H165" s="42">
        <v>43670</v>
      </c>
      <c r="I165" s="42">
        <v>43670</v>
      </c>
      <c r="J165" s="15">
        <f t="shared" ca="1" si="58"/>
        <v>0</v>
      </c>
      <c r="K165" s="177">
        <f t="shared" si="82"/>
        <v>44217</v>
      </c>
      <c r="L165" s="177">
        <f t="shared" si="83"/>
        <v>44400</v>
      </c>
      <c r="M165" s="177"/>
      <c r="N165" s="177"/>
      <c r="O165" s="177"/>
      <c r="P165" s="177"/>
      <c r="Q165" s="177"/>
      <c r="R165" s="3" t="s">
        <v>176</v>
      </c>
      <c r="S165" s="13" t="s">
        <v>222</v>
      </c>
      <c r="T165" s="43"/>
      <c r="U165" s="5" t="s">
        <v>9</v>
      </c>
      <c r="V165" s="268">
        <v>2098754</v>
      </c>
      <c r="W165" s="5" t="s">
        <v>614</v>
      </c>
      <c r="X165" s="5" t="s">
        <v>475</v>
      </c>
      <c r="Y165" s="5" t="s">
        <v>225</v>
      </c>
      <c r="Z165" s="85" t="s">
        <v>316</v>
      </c>
      <c r="AA165" s="6" t="s">
        <v>218</v>
      </c>
      <c r="AB165" s="287" t="s">
        <v>516</v>
      </c>
      <c r="AC165" s="177" t="s">
        <v>6</v>
      </c>
      <c r="AD165" s="177" t="s">
        <v>6</v>
      </c>
      <c r="AE165" s="177" t="s">
        <v>6</v>
      </c>
      <c r="AF165" s="5"/>
      <c r="AG165" s="43"/>
      <c r="AH165" s="228"/>
      <c r="AI165" s="83"/>
      <c r="AJ165" s="83"/>
      <c r="AK165" s="237" t="e">
        <f>SUM(#REF!,BT165,BV165)</f>
        <v>#REF!</v>
      </c>
      <c r="AL165" s="165"/>
      <c r="AM165" s="165"/>
      <c r="AN165" s="165"/>
      <c r="AO165" s="165"/>
      <c r="AP165" s="165"/>
      <c r="AQ165" s="165"/>
      <c r="AR165" s="56">
        <v>0</v>
      </c>
      <c r="AS165" s="56"/>
      <c r="AT165" s="56">
        <v>0</v>
      </c>
      <c r="AU165" s="56"/>
      <c r="AV165" s="47">
        <v>0</v>
      </c>
      <c r="AW165" s="47">
        <v>0</v>
      </c>
      <c r="AX165" s="97">
        <f t="shared" si="59"/>
        <v>0</v>
      </c>
      <c r="AY165" s="169">
        <f t="shared" si="72"/>
        <v>0</v>
      </c>
      <c r="AZ165" s="196">
        <v>0</v>
      </c>
      <c r="BA165" s="170"/>
      <c r="BB165" s="196">
        <v>0</v>
      </c>
      <c r="BC165" s="170"/>
      <c r="BD165" s="196">
        <v>0</v>
      </c>
      <c r="BE165" s="170">
        <v>0</v>
      </c>
      <c r="BF165" s="196">
        <v>0</v>
      </c>
      <c r="BG165" s="170"/>
      <c r="BH165" s="196">
        <v>0</v>
      </c>
      <c r="BI165" s="170"/>
      <c r="BJ165" s="196">
        <v>0</v>
      </c>
      <c r="BK165" s="170"/>
      <c r="BL165" s="196"/>
      <c r="BM165" s="170"/>
      <c r="BN165" s="196"/>
      <c r="BO165" s="170"/>
      <c r="BP165" s="196"/>
      <c r="BQ165" s="170"/>
      <c r="BR165" s="196"/>
      <c r="BS165" s="170"/>
      <c r="BT165" s="196"/>
      <c r="BU165" s="170"/>
      <c r="BV165" s="196"/>
      <c r="BW165" s="251"/>
      <c r="BX165" s="254"/>
      <c r="BY165" s="88">
        <f t="shared" si="73"/>
        <v>0</v>
      </c>
      <c r="BZ165" s="258"/>
      <c r="CA165" s="258"/>
      <c r="CB165" s="258"/>
      <c r="CC165" s="258"/>
      <c r="CD165" s="258"/>
      <c r="CE165" s="258"/>
      <c r="CF165" s="258"/>
      <c r="CG165" s="258"/>
      <c r="CH165" s="258"/>
      <c r="CI165" s="258"/>
      <c r="CJ165" s="258"/>
      <c r="CK165" s="258"/>
      <c r="CL165" s="211">
        <f t="shared" si="75"/>
        <v>0</v>
      </c>
      <c r="CM165" s="212"/>
      <c r="CN165" s="212"/>
      <c r="CO165" s="212"/>
      <c r="CP165" s="212"/>
      <c r="CQ165" s="212"/>
      <c r="CR165" s="212"/>
      <c r="CS165" s="212"/>
      <c r="CT165" s="212"/>
      <c r="CU165" s="212"/>
      <c r="CV165" s="212"/>
      <c r="CW165" s="212"/>
      <c r="CX165" s="212"/>
      <c r="CY165" s="216">
        <f t="shared" si="60"/>
        <v>0</v>
      </c>
      <c r="CZ165" s="185">
        <f t="shared" si="74"/>
        <v>0</v>
      </c>
      <c r="DA165" s="217">
        <f t="shared" si="61"/>
        <v>0</v>
      </c>
      <c r="DB165" s="217">
        <f t="shared" si="62"/>
        <v>0</v>
      </c>
      <c r="DC165" s="217">
        <f t="shared" si="76"/>
        <v>0</v>
      </c>
      <c r="DD165" s="256">
        <v>0</v>
      </c>
      <c r="DE165" s="217">
        <f t="shared" si="77"/>
        <v>0</v>
      </c>
      <c r="DF165" s="185" t="e">
        <f>SUM(DN165:DO165)-SUM(#REF!,BV165)+BU165</f>
        <v>#REF!</v>
      </c>
      <c r="DG165" s="223"/>
      <c r="DH165" s="241">
        <f t="shared" si="78"/>
        <v>0</v>
      </c>
      <c r="DI165" s="241">
        <f t="shared" si="79"/>
        <v>0</v>
      </c>
      <c r="DJ165" s="241">
        <f t="shared" si="80"/>
        <v>0</v>
      </c>
      <c r="DK165" s="241" t="e">
        <f>SUM(BS165,#REF!,BV165)</f>
        <v>#REF!</v>
      </c>
      <c r="DL165" s="155">
        <v>0</v>
      </c>
      <c r="DM165" s="155">
        <v>0</v>
      </c>
      <c r="DN165" s="155">
        <v>0</v>
      </c>
      <c r="DO165" s="155">
        <v>0</v>
      </c>
      <c r="DP165" s="155">
        <v>0</v>
      </c>
      <c r="DQ165" s="155">
        <v>0</v>
      </c>
      <c r="DS165" s="235">
        <f t="shared" si="81"/>
        <v>0</v>
      </c>
    </row>
    <row r="166" spans="1:123" s="23" customFormat="1" ht="24" customHeight="1">
      <c r="A166" s="18"/>
      <c r="B166" s="2">
        <v>123</v>
      </c>
      <c r="C166" s="86" t="s">
        <v>227</v>
      </c>
      <c r="D166" s="86"/>
      <c r="E166" s="85"/>
      <c r="F166" s="41">
        <v>2019</v>
      </c>
      <c r="G166" s="42">
        <v>43669</v>
      </c>
      <c r="H166" s="4">
        <v>43776</v>
      </c>
      <c r="I166" s="4">
        <v>44237</v>
      </c>
      <c r="J166" s="15">
        <f t="shared" ca="1" si="58"/>
        <v>461</v>
      </c>
      <c r="K166" s="177">
        <f t="shared" si="82"/>
        <v>44323</v>
      </c>
      <c r="L166" s="177">
        <f t="shared" si="83"/>
        <v>44506</v>
      </c>
      <c r="M166" s="177"/>
      <c r="N166" s="183"/>
      <c r="O166" s="183"/>
      <c r="P166" s="183"/>
      <c r="Q166" s="183"/>
      <c r="R166" s="41" t="s">
        <v>176</v>
      </c>
      <c r="S166" s="13" t="s">
        <v>222</v>
      </c>
      <c r="T166" s="41" t="s">
        <v>958</v>
      </c>
      <c r="U166" s="5" t="s">
        <v>9</v>
      </c>
      <c r="V166" s="268">
        <v>2368366</v>
      </c>
      <c r="W166" s="5" t="s">
        <v>614</v>
      </c>
      <c r="X166" s="5" t="s">
        <v>475</v>
      </c>
      <c r="Y166" s="5" t="s">
        <v>250</v>
      </c>
      <c r="Z166" s="85" t="s">
        <v>316</v>
      </c>
      <c r="AA166" s="6" t="s">
        <v>218</v>
      </c>
      <c r="AB166" s="151" t="s">
        <v>197</v>
      </c>
      <c r="AC166" s="177" t="s">
        <v>6</v>
      </c>
      <c r="AD166" s="177" t="s">
        <v>6</v>
      </c>
      <c r="AE166" s="177" t="s">
        <v>6</v>
      </c>
      <c r="AF166" s="5"/>
      <c r="AG166" s="43"/>
      <c r="AH166" s="228"/>
      <c r="AI166" s="83" t="s">
        <v>687</v>
      </c>
      <c r="AJ166" s="83"/>
      <c r="AK166" s="237" t="e">
        <f>SUM(#REF!,BT166,BV166)</f>
        <v>#REF!</v>
      </c>
      <c r="AL166" s="166"/>
      <c r="AM166" s="166"/>
      <c r="AN166" s="166"/>
      <c r="AO166" s="166"/>
      <c r="AP166" s="166"/>
      <c r="AQ166" s="166"/>
      <c r="AR166" s="56">
        <v>0</v>
      </c>
      <c r="AS166" s="56">
        <v>0</v>
      </c>
      <c r="AT166" s="56">
        <v>180.02920999999998</v>
      </c>
      <c r="AU166" s="56">
        <v>9.1654499999999999</v>
      </c>
      <c r="AV166" s="38">
        <v>298.95999999999998</v>
      </c>
      <c r="AW166" s="38">
        <v>0</v>
      </c>
      <c r="AX166" s="97">
        <f t="shared" si="59"/>
        <v>298.95999999999998</v>
      </c>
      <c r="AY166" s="169">
        <f t="shared" si="72"/>
        <v>-0.33455000000000007</v>
      </c>
      <c r="AZ166" s="196">
        <v>0</v>
      </c>
      <c r="BA166" s="170">
        <v>-0.33455000000000007</v>
      </c>
      <c r="BB166" s="196">
        <v>0</v>
      </c>
      <c r="BC166" s="170"/>
      <c r="BD166" s="196">
        <v>0</v>
      </c>
      <c r="BE166" s="170">
        <v>0</v>
      </c>
      <c r="BF166" s="196">
        <v>0</v>
      </c>
      <c r="BG166" s="170"/>
      <c r="BH166" s="196">
        <v>0</v>
      </c>
      <c r="BI166" s="170"/>
      <c r="BJ166" s="196">
        <v>0</v>
      </c>
      <c r="BK166" s="170"/>
      <c r="BL166" s="196"/>
      <c r="BM166" s="170"/>
      <c r="BN166" s="196"/>
      <c r="BO166" s="170"/>
      <c r="BP166" s="196"/>
      <c r="BQ166" s="170"/>
      <c r="BR166" s="196"/>
      <c r="BS166" s="170"/>
      <c r="BT166" s="196"/>
      <c r="BU166" s="170"/>
      <c r="BV166" s="196"/>
      <c r="BW166" s="251"/>
      <c r="BX166" s="254"/>
      <c r="BY166" s="88">
        <f t="shared" si="73"/>
        <v>0</v>
      </c>
      <c r="BZ166" s="258"/>
      <c r="CA166" s="258"/>
      <c r="CB166" s="258"/>
      <c r="CC166" s="258"/>
      <c r="CD166" s="258"/>
      <c r="CE166" s="258"/>
      <c r="CF166" s="258"/>
      <c r="CG166" s="258"/>
      <c r="CH166" s="258"/>
      <c r="CI166" s="258"/>
      <c r="CJ166" s="258"/>
      <c r="CK166" s="258"/>
      <c r="CL166" s="211">
        <f t="shared" si="75"/>
        <v>0</v>
      </c>
      <c r="CM166" s="212"/>
      <c r="CN166" s="212"/>
      <c r="CO166" s="212"/>
      <c r="CP166" s="212"/>
      <c r="CQ166" s="212"/>
      <c r="CR166" s="212"/>
      <c r="CS166" s="212"/>
      <c r="CT166" s="212"/>
      <c r="CU166" s="212"/>
      <c r="CV166" s="212"/>
      <c r="CW166" s="212"/>
      <c r="CX166" s="212"/>
      <c r="CY166" s="216">
        <f t="shared" si="60"/>
        <v>0</v>
      </c>
      <c r="CZ166" s="185">
        <f t="shared" si="74"/>
        <v>0</v>
      </c>
      <c r="DA166" s="217">
        <f t="shared" si="61"/>
        <v>-0.33455000000000007</v>
      </c>
      <c r="DB166" s="217">
        <f t="shared" si="62"/>
        <v>0</v>
      </c>
      <c r="DC166" s="217">
        <f t="shared" si="76"/>
        <v>-0.33455000000000007</v>
      </c>
      <c r="DD166" s="256">
        <v>-0.33455000000000007</v>
      </c>
      <c r="DE166" s="217">
        <f t="shared" si="77"/>
        <v>0</v>
      </c>
      <c r="DF166" s="185" t="e">
        <f>SUM(DN166:DO166)-SUM(#REF!,BV166)+BU166</f>
        <v>#REF!</v>
      </c>
      <c r="DG166" s="223"/>
      <c r="DH166" s="241">
        <f t="shared" si="78"/>
        <v>-0.33455000000000007</v>
      </c>
      <c r="DI166" s="241">
        <f t="shared" si="79"/>
        <v>0</v>
      </c>
      <c r="DJ166" s="241">
        <f t="shared" si="80"/>
        <v>0</v>
      </c>
      <c r="DK166" s="241" t="e">
        <f>SUM(BS166,#REF!,BV166)</f>
        <v>#REF!</v>
      </c>
      <c r="DL166" s="155">
        <v>298.96199999999999</v>
      </c>
      <c r="DM166" s="155">
        <v>179.69466</v>
      </c>
      <c r="DN166" s="155">
        <v>0</v>
      </c>
      <c r="DO166" s="155">
        <v>0</v>
      </c>
      <c r="DP166" s="155">
        <v>179.69466</v>
      </c>
      <c r="DQ166" s="155">
        <v>119.26733999999999</v>
      </c>
      <c r="DR166" s="23">
        <f>VLOOKUP(C166,[6]Database!$B$143:$AD$521,29,FALSE)</f>
        <v>0</v>
      </c>
      <c r="DS166" s="235">
        <f t="shared" si="81"/>
        <v>0</v>
      </c>
    </row>
    <row r="167" spans="1:123" s="23" customFormat="1" ht="24" customHeight="1">
      <c r="A167" s="18"/>
      <c r="B167" s="2">
        <v>124</v>
      </c>
      <c r="C167" s="86" t="s">
        <v>233</v>
      </c>
      <c r="D167" s="86"/>
      <c r="E167" s="85"/>
      <c r="F167" s="41">
        <v>2019</v>
      </c>
      <c r="G167" s="42">
        <v>43692</v>
      </c>
      <c r="H167" s="4">
        <v>43706</v>
      </c>
      <c r="I167" s="42">
        <v>43914</v>
      </c>
      <c r="J167" s="15">
        <f t="shared" ca="1" si="58"/>
        <v>208</v>
      </c>
      <c r="K167" s="177">
        <f t="shared" si="82"/>
        <v>44253</v>
      </c>
      <c r="L167" s="177">
        <f t="shared" si="83"/>
        <v>44436</v>
      </c>
      <c r="M167" s="177"/>
      <c r="N167" s="183"/>
      <c r="O167" s="183"/>
      <c r="P167" s="183"/>
      <c r="Q167" s="183"/>
      <c r="R167" s="41" t="s">
        <v>178</v>
      </c>
      <c r="S167" s="13" t="s">
        <v>223</v>
      </c>
      <c r="T167" s="43"/>
      <c r="U167" s="5" t="s">
        <v>9</v>
      </c>
      <c r="V167" s="268">
        <v>2097632</v>
      </c>
      <c r="W167" s="5" t="s">
        <v>614</v>
      </c>
      <c r="X167" s="5" t="s">
        <v>484</v>
      </c>
      <c r="Y167" s="5" t="s">
        <v>232</v>
      </c>
      <c r="Z167" s="3" t="s">
        <v>188</v>
      </c>
      <c r="AA167" s="6" t="s">
        <v>218</v>
      </c>
      <c r="AB167" s="152" t="s">
        <v>197</v>
      </c>
      <c r="AC167" s="177" t="s">
        <v>6</v>
      </c>
      <c r="AD167" s="177" t="s">
        <v>6</v>
      </c>
      <c r="AE167" s="177" t="s">
        <v>6</v>
      </c>
      <c r="AF167" s="5"/>
      <c r="AG167" s="43"/>
      <c r="AH167" s="228"/>
      <c r="AI167" s="83"/>
      <c r="AJ167" s="83"/>
      <c r="AK167" s="237" t="e">
        <f>SUM(#REF!,BT167,BV167)</f>
        <v>#REF!</v>
      </c>
      <c r="AL167" s="52"/>
      <c r="AM167" s="52"/>
      <c r="AN167" s="52"/>
      <c r="AO167" s="52"/>
      <c r="AP167" s="52"/>
      <c r="AQ167" s="52"/>
      <c r="AR167" s="56">
        <v>137.65288999999999</v>
      </c>
      <c r="AS167" s="56">
        <v>0</v>
      </c>
      <c r="AT167" s="56">
        <v>13.678000000000003</v>
      </c>
      <c r="AU167" s="56"/>
      <c r="AV167" s="38">
        <v>180.02</v>
      </c>
      <c r="AW167" s="38">
        <v>0</v>
      </c>
      <c r="AX167" s="97">
        <f t="shared" si="59"/>
        <v>180.02</v>
      </c>
      <c r="AY167" s="169">
        <f t="shared" si="72"/>
        <v>0</v>
      </c>
      <c r="AZ167" s="196">
        <v>0</v>
      </c>
      <c r="BA167" s="170">
        <v>0</v>
      </c>
      <c r="BB167" s="196">
        <v>0</v>
      </c>
      <c r="BC167" s="170"/>
      <c r="BD167" s="196">
        <v>0</v>
      </c>
      <c r="BE167" s="170">
        <v>0</v>
      </c>
      <c r="BF167" s="196">
        <v>0</v>
      </c>
      <c r="BG167" s="170"/>
      <c r="BH167" s="196">
        <v>0</v>
      </c>
      <c r="BI167" s="170"/>
      <c r="BJ167" s="196">
        <v>0</v>
      </c>
      <c r="BK167" s="170"/>
      <c r="BL167" s="196"/>
      <c r="BM167" s="170"/>
      <c r="BN167" s="196"/>
      <c r="BO167" s="170"/>
      <c r="BP167" s="196"/>
      <c r="BQ167" s="170"/>
      <c r="BR167" s="196"/>
      <c r="BS167" s="170"/>
      <c r="BT167" s="196"/>
      <c r="BU167" s="170"/>
      <c r="BV167" s="196"/>
      <c r="BW167" s="251"/>
      <c r="BX167" s="254"/>
      <c r="BY167" s="88">
        <f t="shared" si="73"/>
        <v>0</v>
      </c>
      <c r="BZ167" s="214"/>
      <c r="CA167" s="214"/>
      <c r="CB167" s="214"/>
      <c r="CC167" s="214"/>
      <c r="CD167" s="214"/>
      <c r="CE167" s="214"/>
      <c r="CF167" s="214"/>
      <c r="CG167" s="214"/>
      <c r="CH167" s="214"/>
      <c r="CI167" s="214"/>
      <c r="CJ167" s="214"/>
      <c r="CK167" s="214"/>
      <c r="CL167" s="211">
        <f t="shared" si="75"/>
        <v>0</v>
      </c>
      <c r="CM167" s="212"/>
      <c r="CN167" s="212"/>
      <c r="CO167" s="212"/>
      <c r="CP167" s="212"/>
      <c r="CQ167" s="212"/>
      <c r="CR167" s="212"/>
      <c r="CS167" s="212"/>
      <c r="CT167" s="212"/>
      <c r="CU167" s="212"/>
      <c r="CV167" s="212"/>
      <c r="CW167" s="212"/>
      <c r="CX167" s="212"/>
      <c r="CY167" s="216">
        <f t="shared" si="60"/>
        <v>0</v>
      </c>
      <c r="CZ167" s="185">
        <f t="shared" si="74"/>
        <v>0</v>
      </c>
      <c r="DA167" s="217">
        <f t="shared" si="61"/>
        <v>0</v>
      </c>
      <c r="DB167" s="217">
        <f t="shared" si="62"/>
        <v>0</v>
      </c>
      <c r="DC167" s="217">
        <f t="shared" si="76"/>
        <v>0</v>
      </c>
      <c r="DD167" s="256">
        <v>0</v>
      </c>
      <c r="DE167" s="217">
        <f t="shared" si="77"/>
        <v>0</v>
      </c>
      <c r="DF167" s="185" t="e">
        <f>SUM(DN167:DO167)-SUM(#REF!,BV167)+BU167</f>
        <v>#REF!</v>
      </c>
      <c r="DG167" s="223"/>
      <c r="DH167" s="241">
        <f t="shared" si="78"/>
        <v>0</v>
      </c>
      <c r="DI167" s="241">
        <f t="shared" si="79"/>
        <v>0</v>
      </c>
      <c r="DJ167" s="241">
        <f t="shared" si="80"/>
        <v>0</v>
      </c>
      <c r="DK167" s="241" t="e">
        <f>SUM(BS167,#REF!,BV167)</f>
        <v>#REF!</v>
      </c>
      <c r="DL167" s="155">
        <v>180.01949999999999</v>
      </c>
      <c r="DM167" s="155">
        <v>151.33089000000001</v>
      </c>
      <c r="DN167" s="155">
        <v>0</v>
      </c>
      <c r="DO167" s="155">
        <v>0</v>
      </c>
      <c r="DP167" s="155">
        <v>151.33089000000001</v>
      </c>
      <c r="DQ167" s="155">
        <v>28.688610000000001</v>
      </c>
      <c r="DS167" s="235">
        <f t="shared" si="81"/>
        <v>0</v>
      </c>
    </row>
    <row r="168" spans="1:123" s="23" customFormat="1" ht="24" customHeight="1">
      <c r="A168" s="18"/>
      <c r="B168" s="2">
        <v>125</v>
      </c>
      <c r="C168" s="86" t="s">
        <v>235</v>
      </c>
      <c r="D168" s="86"/>
      <c r="E168" s="85" t="s">
        <v>1115</v>
      </c>
      <c r="F168" s="41">
        <v>2019</v>
      </c>
      <c r="G168" s="42">
        <v>43698</v>
      </c>
      <c r="H168" s="4">
        <v>43715</v>
      </c>
      <c r="I168" s="42">
        <v>43853</v>
      </c>
      <c r="J168" s="15">
        <f t="shared" ca="1" si="58"/>
        <v>138</v>
      </c>
      <c r="K168" s="177">
        <f t="shared" si="82"/>
        <v>44262</v>
      </c>
      <c r="L168" s="177">
        <f t="shared" si="83"/>
        <v>44445</v>
      </c>
      <c r="M168" s="177"/>
      <c r="N168" s="177"/>
      <c r="O168" s="183"/>
      <c r="P168" s="183"/>
      <c r="Q168" s="183"/>
      <c r="R168" s="41" t="s">
        <v>176</v>
      </c>
      <c r="S168" s="13" t="s">
        <v>5</v>
      </c>
      <c r="T168" s="5"/>
      <c r="U168" s="5" t="s">
        <v>9</v>
      </c>
      <c r="V168" s="268">
        <v>2112948</v>
      </c>
      <c r="W168" s="5" t="s">
        <v>614</v>
      </c>
      <c r="X168" s="5" t="s">
        <v>480</v>
      </c>
      <c r="Y168" s="5" t="s">
        <v>234</v>
      </c>
      <c r="Z168" s="3" t="s">
        <v>181</v>
      </c>
      <c r="AA168" s="6" t="s">
        <v>218</v>
      </c>
      <c r="AB168" s="152" t="s">
        <v>197</v>
      </c>
      <c r="AC168" s="177" t="s">
        <v>6</v>
      </c>
      <c r="AD168" s="177" t="s">
        <v>6</v>
      </c>
      <c r="AE168" s="177" t="s">
        <v>6</v>
      </c>
      <c r="AF168" s="5" t="s">
        <v>1132</v>
      </c>
      <c r="AG168" s="43"/>
      <c r="AH168" s="228"/>
      <c r="AI168" s="83"/>
      <c r="AJ168" s="83"/>
      <c r="AK168" s="237" t="e">
        <f>SUM(#REF!,BT168,BV168)</f>
        <v>#REF!</v>
      </c>
      <c r="AL168" s="52"/>
      <c r="AM168" s="52"/>
      <c r="AN168" s="52"/>
      <c r="AO168" s="52"/>
      <c r="AP168" s="52"/>
      <c r="AQ168" s="52"/>
      <c r="AR168" s="56">
        <v>420.09872999999999</v>
      </c>
      <c r="AS168" s="56">
        <v>-30.32985</v>
      </c>
      <c r="AT168" s="56">
        <v>-25.047710000000009</v>
      </c>
      <c r="AU168" s="56"/>
      <c r="AV168" s="47">
        <v>445.88</v>
      </c>
      <c r="AW168" s="47">
        <v>26.32</v>
      </c>
      <c r="AX168" s="97">
        <f t="shared" si="59"/>
        <v>472.2</v>
      </c>
      <c r="AY168" s="169">
        <f t="shared" si="72"/>
        <v>0</v>
      </c>
      <c r="AZ168" s="196">
        <v>0</v>
      </c>
      <c r="BA168" s="170"/>
      <c r="BB168" s="196">
        <v>0</v>
      </c>
      <c r="BC168" s="170"/>
      <c r="BD168" s="196">
        <v>0</v>
      </c>
      <c r="BE168" s="170">
        <v>0</v>
      </c>
      <c r="BF168" s="196">
        <v>0</v>
      </c>
      <c r="BG168" s="170"/>
      <c r="BH168" s="196">
        <v>0</v>
      </c>
      <c r="BI168" s="170"/>
      <c r="BJ168" s="196">
        <v>0</v>
      </c>
      <c r="BK168" s="170"/>
      <c r="BL168" s="196"/>
      <c r="BM168" s="170"/>
      <c r="BN168" s="196"/>
      <c r="BO168" s="170"/>
      <c r="BP168" s="196"/>
      <c r="BQ168" s="170"/>
      <c r="BR168" s="196"/>
      <c r="BS168" s="170"/>
      <c r="BT168" s="196"/>
      <c r="BU168" s="170"/>
      <c r="BV168" s="196"/>
      <c r="BW168" s="251"/>
      <c r="BX168" s="254"/>
      <c r="BY168" s="88">
        <f t="shared" si="73"/>
        <v>0</v>
      </c>
      <c r="BZ168" s="258"/>
      <c r="CA168" s="258"/>
      <c r="CB168" s="258"/>
      <c r="CC168" s="258"/>
      <c r="CD168" s="258"/>
      <c r="CE168" s="258"/>
      <c r="CF168" s="258"/>
      <c r="CG168" s="258"/>
      <c r="CH168" s="258"/>
      <c r="CI168" s="258"/>
      <c r="CJ168" s="258"/>
      <c r="CK168" s="258"/>
      <c r="CL168" s="211">
        <f t="shared" si="75"/>
        <v>0</v>
      </c>
      <c r="CM168" s="212"/>
      <c r="CN168" s="212"/>
      <c r="CO168" s="212"/>
      <c r="CP168" s="212"/>
      <c r="CQ168" s="212"/>
      <c r="CR168" s="212"/>
      <c r="CS168" s="212"/>
      <c r="CT168" s="212"/>
      <c r="CU168" s="212"/>
      <c r="CV168" s="212"/>
      <c r="CW168" s="212"/>
      <c r="CX168" s="212"/>
      <c r="CY168" s="216">
        <f t="shared" si="60"/>
        <v>0</v>
      </c>
      <c r="CZ168" s="185">
        <f t="shared" si="74"/>
        <v>0</v>
      </c>
      <c r="DA168" s="217">
        <f t="shared" si="61"/>
        <v>0</v>
      </c>
      <c r="DB168" s="217">
        <f t="shared" si="62"/>
        <v>0</v>
      </c>
      <c r="DC168" s="217">
        <f t="shared" si="76"/>
        <v>0</v>
      </c>
      <c r="DD168" s="256">
        <v>0</v>
      </c>
      <c r="DE168" s="217">
        <f t="shared" si="77"/>
        <v>0</v>
      </c>
      <c r="DF168" s="185" t="e">
        <f>SUM(DN168:DO168)-SUM(#REF!,BV168)+BU168</f>
        <v>#REF!</v>
      </c>
      <c r="DG168" s="223"/>
      <c r="DH168" s="241">
        <f t="shared" si="78"/>
        <v>0</v>
      </c>
      <c r="DI168" s="241">
        <f t="shared" si="79"/>
        <v>0</v>
      </c>
      <c r="DJ168" s="241">
        <f t="shared" si="80"/>
        <v>0</v>
      </c>
      <c r="DK168" s="241" t="e">
        <f>SUM(BS168,#REF!,BV168)</f>
        <v>#REF!</v>
      </c>
      <c r="DL168" s="155">
        <v>445.88299999999998</v>
      </c>
      <c r="DM168" s="155">
        <v>395.05101999999999</v>
      </c>
      <c r="DN168" s="155">
        <v>0</v>
      </c>
      <c r="DO168" s="155">
        <v>0</v>
      </c>
      <c r="DP168" s="155">
        <v>395.05101999999999</v>
      </c>
      <c r="DQ168" s="155">
        <v>50.831980000000001</v>
      </c>
      <c r="DS168" s="235">
        <f t="shared" si="81"/>
        <v>0</v>
      </c>
    </row>
    <row r="169" spans="1:123" s="23" customFormat="1" ht="24" customHeight="1">
      <c r="A169" s="18"/>
      <c r="B169" s="2">
        <v>126</v>
      </c>
      <c r="C169" s="86" t="s">
        <v>242</v>
      </c>
      <c r="D169" s="86"/>
      <c r="E169" s="85" t="s">
        <v>602</v>
      </c>
      <c r="F169" s="41">
        <v>2019</v>
      </c>
      <c r="G169" s="42">
        <v>43714</v>
      </c>
      <c r="H169" s="42">
        <v>43715</v>
      </c>
      <c r="I169" s="42">
        <v>43715</v>
      </c>
      <c r="J169" s="15">
        <f t="shared" ca="1" si="58"/>
        <v>0</v>
      </c>
      <c r="K169" s="177">
        <f t="shared" si="82"/>
        <v>44262</v>
      </c>
      <c r="L169" s="177">
        <f t="shared" si="83"/>
        <v>44445</v>
      </c>
      <c r="M169" s="177"/>
      <c r="N169" s="177"/>
      <c r="O169" s="177"/>
      <c r="P169" s="177"/>
      <c r="Q169" s="177"/>
      <c r="R169" s="3" t="s">
        <v>176</v>
      </c>
      <c r="S169" s="13" t="s">
        <v>5</v>
      </c>
      <c r="T169" s="13"/>
      <c r="U169" s="5" t="s">
        <v>9</v>
      </c>
      <c r="V169" s="268"/>
      <c r="W169" s="5" t="s">
        <v>614</v>
      </c>
      <c r="X169" s="5" t="s">
        <v>480</v>
      </c>
      <c r="Y169" s="5" t="s">
        <v>241</v>
      </c>
      <c r="Z169" s="85" t="s">
        <v>316</v>
      </c>
      <c r="AA169" s="6" t="s">
        <v>218</v>
      </c>
      <c r="AB169" s="162" t="s">
        <v>251</v>
      </c>
      <c r="AC169" s="177" t="s">
        <v>6</v>
      </c>
      <c r="AD169" s="177" t="s">
        <v>6</v>
      </c>
      <c r="AE169" s="177" t="s">
        <v>6</v>
      </c>
      <c r="AF169" s="5"/>
      <c r="AG169" s="5"/>
      <c r="AH169" s="228"/>
      <c r="AI169" s="125"/>
      <c r="AJ169" s="125"/>
      <c r="AK169" s="237" t="e">
        <f>SUM(#REF!,BT169,BV169)</f>
        <v>#REF!</v>
      </c>
      <c r="AL169" s="52"/>
      <c r="AM169" s="52"/>
      <c r="AN169" s="52"/>
      <c r="AO169" s="52"/>
      <c r="AP169" s="52"/>
      <c r="AQ169" s="52"/>
      <c r="AR169" s="56">
        <v>0</v>
      </c>
      <c r="AS169" s="56"/>
      <c r="AT169" s="56">
        <v>0</v>
      </c>
      <c r="AU169" s="56"/>
      <c r="AV169" s="47">
        <v>0</v>
      </c>
      <c r="AW169" s="47">
        <v>0</v>
      </c>
      <c r="AX169" s="97">
        <f t="shared" si="59"/>
        <v>0</v>
      </c>
      <c r="AY169" s="169">
        <f t="shared" si="72"/>
        <v>0</v>
      </c>
      <c r="AZ169" s="196">
        <v>0</v>
      </c>
      <c r="BA169" s="170"/>
      <c r="BB169" s="196">
        <v>0</v>
      </c>
      <c r="BC169" s="170"/>
      <c r="BD169" s="196">
        <v>0</v>
      </c>
      <c r="BE169" s="170">
        <v>0</v>
      </c>
      <c r="BF169" s="196">
        <v>0</v>
      </c>
      <c r="BG169" s="170"/>
      <c r="BH169" s="196">
        <v>0</v>
      </c>
      <c r="BI169" s="170"/>
      <c r="BJ169" s="196">
        <v>0</v>
      </c>
      <c r="BK169" s="170"/>
      <c r="BL169" s="196"/>
      <c r="BM169" s="170"/>
      <c r="BN169" s="196"/>
      <c r="BO169" s="170"/>
      <c r="BP169" s="196"/>
      <c r="BQ169" s="170"/>
      <c r="BR169" s="196"/>
      <c r="BS169" s="170"/>
      <c r="BT169" s="196"/>
      <c r="BU169" s="170"/>
      <c r="BV169" s="196"/>
      <c r="BW169" s="251"/>
      <c r="BX169" s="254"/>
      <c r="BY169" s="88">
        <f t="shared" si="73"/>
        <v>0</v>
      </c>
      <c r="BZ169" s="258"/>
      <c r="CA169" s="258"/>
      <c r="CB169" s="258"/>
      <c r="CC169" s="258"/>
      <c r="CD169" s="258"/>
      <c r="CE169" s="258"/>
      <c r="CF169" s="258"/>
      <c r="CG169" s="258"/>
      <c r="CH169" s="258"/>
      <c r="CI169" s="258"/>
      <c r="CJ169" s="258"/>
      <c r="CK169" s="258"/>
      <c r="CL169" s="211">
        <f t="shared" si="75"/>
        <v>0</v>
      </c>
      <c r="CM169" s="212"/>
      <c r="CN169" s="212"/>
      <c r="CO169" s="212"/>
      <c r="CP169" s="212"/>
      <c r="CQ169" s="212"/>
      <c r="CR169" s="212"/>
      <c r="CS169" s="212"/>
      <c r="CT169" s="212"/>
      <c r="CU169" s="212"/>
      <c r="CV169" s="212"/>
      <c r="CW169" s="212"/>
      <c r="CX169" s="212"/>
      <c r="CY169" s="216">
        <f t="shared" si="60"/>
        <v>0</v>
      </c>
      <c r="CZ169" s="185">
        <f t="shared" si="74"/>
        <v>0</v>
      </c>
      <c r="DA169" s="217">
        <f t="shared" si="61"/>
        <v>0</v>
      </c>
      <c r="DB169" s="217">
        <f t="shared" si="62"/>
        <v>0</v>
      </c>
      <c r="DC169" s="217">
        <f t="shared" si="76"/>
        <v>0</v>
      </c>
      <c r="DD169" s="256">
        <v>0</v>
      </c>
      <c r="DE169" s="217">
        <f t="shared" si="77"/>
        <v>0</v>
      </c>
      <c r="DF169" s="185" t="e">
        <f>SUM(DN169:DO169)-SUM(#REF!,BV169)+BU169</f>
        <v>#REF!</v>
      </c>
      <c r="DG169" s="223"/>
      <c r="DH169" s="241">
        <f t="shared" si="78"/>
        <v>0</v>
      </c>
      <c r="DI169" s="241">
        <f t="shared" si="79"/>
        <v>0</v>
      </c>
      <c r="DJ169" s="241">
        <f t="shared" si="80"/>
        <v>0</v>
      </c>
      <c r="DK169" s="241" t="e">
        <f>SUM(BS169,#REF!,BV169)</f>
        <v>#REF!</v>
      </c>
      <c r="DL169" s="155"/>
      <c r="DM169" s="155"/>
      <c r="DN169" s="155"/>
      <c r="DO169" s="155"/>
      <c r="DP169" s="155"/>
      <c r="DQ169" s="155"/>
      <c r="DS169" s="235">
        <f t="shared" si="81"/>
        <v>0</v>
      </c>
    </row>
    <row r="170" spans="1:123" s="23" customFormat="1" ht="24" customHeight="1">
      <c r="A170" s="18"/>
      <c r="B170" s="2">
        <v>127</v>
      </c>
      <c r="C170" s="86" t="s">
        <v>236</v>
      </c>
      <c r="D170" s="86"/>
      <c r="E170" s="85" t="s">
        <v>926</v>
      </c>
      <c r="F170" s="41">
        <v>2019</v>
      </c>
      <c r="G170" s="42">
        <v>43689</v>
      </c>
      <c r="H170" s="42">
        <v>43833</v>
      </c>
      <c r="I170" s="42">
        <v>44200</v>
      </c>
      <c r="J170" s="15">
        <f t="shared" ca="1" si="58"/>
        <v>367</v>
      </c>
      <c r="K170" s="177">
        <f t="shared" si="82"/>
        <v>44380</v>
      </c>
      <c r="L170" s="177">
        <f t="shared" si="83"/>
        <v>44563</v>
      </c>
      <c r="M170" s="177"/>
      <c r="N170" s="177"/>
      <c r="O170" s="177"/>
      <c r="P170" s="177"/>
      <c r="Q170" s="177"/>
      <c r="R170" s="3" t="s">
        <v>176</v>
      </c>
      <c r="S170" s="13" t="s">
        <v>5</v>
      </c>
      <c r="T170" s="13"/>
      <c r="U170" s="5" t="s">
        <v>9</v>
      </c>
      <c r="V170" s="268">
        <v>2422247</v>
      </c>
      <c r="W170" s="5" t="s">
        <v>614</v>
      </c>
      <c r="X170" s="5" t="s">
        <v>480</v>
      </c>
      <c r="Y170" s="5" t="s">
        <v>231</v>
      </c>
      <c r="Z170" s="85" t="s">
        <v>316</v>
      </c>
      <c r="AA170" s="6" t="s">
        <v>218</v>
      </c>
      <c r="AB170" s="151" t="s">
        <v>197</v>
      </c>
      <c r="AC170" s="177" t="s">
        <v>6</v>
      </c>
      <c r="AD170" s="177" t="s">
        <v>6</v>
      </c>
      <c r="AE170" s="177" t="s">
        <v>6</v>
      </c>
      <c r="AF170" s="5"/>
      <c r="AG170" s="5"/>
      <c r="AH170" s="228"/>
      <c r="AI170" s="125"/>
      <c r="AJ170" s="125"/>
      <c r="AK170" s="237" t="e">
        <f>SUM(#REF!,BT170,BV170)</f>
        <v>#REF!</v>
      </c>
      <c r="AL170" s="165"/>
      <c r="AM170" s="165"/>
      <c r="AN170" s="165"/>
      <c r="AO170" s="165"/>
      <c r="AP170" s="165"/>
      <c r="AQ170" s="165"/>
      <c r="AR170" s="56">
        <v>0</v>
      </c>
      <c r="AS170" s="56">
        <v>132.4</v>
      </c>
      <c r="AT170" s="56">
        <v>0</v>
      </c>
      <c r="AU170" s="56"/>
      <c r="AV170" s="47">
        <v>132.4</v>
      </c>
      <c r="AW170" s="47">
        <v>0</v>
      </c>
      <c r="AX170" s="97">
        <f t="shared" si="59"/>
        <v>132.4</v>
      </c>
      <c r="AY170" s="169">
        <f t="shared" si="72"/>
        <v>0</v>
      </c>
      <c r="AZ170" s="196">
        <v>0</v>
      </c>
      <c r="BA170" s="170">
        <v>0</v>
      </c>
      <c r="BB170" s="196">
        <v>0</v>
      </c>
      <c r="BC170" s="170"/>
      <c r="BD170" s="196">
        <v>0</v>
      </c>
      <c r="BE170" s="170">
        <v>0</v>
      </c>
      <c r="BF170" s="196">
        <v>0</v>
      </c>
      <c r="BG170" s="170"/>
      <c r="BH170" s="196">
        <v>0</v>
      </c>
      <c r="BI170" s="170"/>
      <c r="BJ170" s="196">
        <v>0</v>
      </c>
      <c r="BK170" s="170"/>
      <c r="BL170" s="196"/>
      <c r="BM170" s="170"/>
      <c r="BN170" s="196"/>
      <c r="BO170" s="170"/>
      <c r="BP170" s="196"/>
      <c r="BQ170" s="170"/>
      <c r="BR170" s="196"/>
      <c r="BS170" s="170"/>
      <c r="BT170" s="196"/>
      <c r="BU170" s="170"/>
      <c r="BV170" s="196"/>
      <c r="BW170" s="251"/>
      <c r="BX170" s="254"/>
      <c r="BY170" s="88">
        <f t="shared" si="73"/>
        <v>0</v>
      </c>
      <c r="BZ170" s="258"/>
      <c r="CA170" s="258"/>
      <c r="CB170" s="258"/>
      <c r="CC170" s="258"/>
      <c r="CD170" s="258"/>
      <c r="CE170" s="258"/>
      <c r="CF170" s="258"/>
      <c r="CG170" s="258"/>
      <c r="CH170" s="258"/>
      <c r="CI170" s="258"/>
      <c r="CJ170" s="258"/>
      <c r="CK170" s="258"/>
      <c r="CL170" s="211">
        <f t="shared" si="75"/>
        <v>0</v>
      </c>
      <c r="CM170" s="212"/>
      <c r="CN170" s="212"/>
      <c r="CO170" s="212"/>
      <c r="CP170" s="212"/>
      <c r="CQ170" s="212"/>
      <c r="CR170" s="212"/>
      <c r="CS170" s="212"/>
      <c r="CT170" s="212"/>
      <c r="CU170" s="212"/>
      <c r="CV170" s="212"/>
      <c r="CW170" s="212"/>
      <c r="CX170" s="212"/>
      <c r="CY170" s="216">
        <f t="shared" si="60"/>
        <v>0</v>
      </c>
      <c r="CZ170" s="185">
        <f t="shared" si="74"/>
        <v>0</v>
      </c>
      <c r="DA170" s="217">
        <f t="shared" si="61"/>
        <v>0</v>
      </c>
      <c r="DB170" s="217">
        <f t="shared" si="62"/>
        <v>0</v>
      </c>
      <c r="DC170" s="217">
        <f t="shared" si="76"/>
        <v>0</v>
      </c>
      <c r="DD170" s="256">
        <v>0</v>
      </c>
      <c r="DE170" s="217">
        <f t="shared" si="77"/>
        <v>0</v>
      </c>
      <c r="DF170" s="185" t="e">
        <f>SUM(DN170:DO170)-SUM(#REF!,BV170)+BU170</f>
        <v>#REF!</v>
      </c>
      <c r="DG170" s="223"/>
      <c r="DH170" s="241">
        <f t="shared" si="78"/>
        <v>0</v>
      </c>
      <c r="DI170" s="241">
        <f t="shared" si="79"/>
        <v>0</v>
      </c>
      <c r="DJ170" s="241">
        <f t="shared" si="80"/>
        <v>0</v>
      </c>
      <c r="DK170" s="241" t="e">
        <f>SUM(BS170,#REF!,BV170)</f>
        <v>#REF!</v>
      </c>
      <c r="DL170" s="155">
        <v>132.4</v>
      </c>
      <c r="DM170" s="155">
        <v>0</v>
      </c>
      <c r="DN170" s="155">
        <v>0</v>
      </c>
      <c r="DO170" s="155">
        <v>0</v>
      </c>
      <c r="DP170" s="155">
        <v>0</v>
      </c>
      <c r="DQ170" s="155">
        <v>132.4</v>
      </c>
      <c r="DS170" s="235">
        <f t="shared" si="81"/>
        <v>0</v>
      </c>
    </row>
    <row r="171" spans="1:123" s="23" customFormat="1" ht="24" customHeight="1">
      <c r="A171" s="18"/>
      <c r="B171" s="2">
        <v>128</v>
      </c>
      <c r="C171" s="86" t="s">
        <v>237</v>
      </c>
      <c r="D171" s="86"/>
      <c r="E171" s="85" t="s">
        <v>879</v>
      </c>
      <c r="F171" s="41">
        <v>2019</v>
      </c>
      <c r="G171" s="42">
        <v>43713</v>
      </c>
      <c r="H171" s="192">
        <v>43747</v>
      </c>
      <c r="I171" s="42">
        <v>44286</v>
      </c>
      <c r="J171" s="15">
        <f t="shared" ca="1" si="58"/>
        <v>539</v>
      </c>
      <c r="K171" s="177">
        <f t="shared" si="82"/>
        <v>44294</v>
      </c>
      <c r="L171" s="177">
        <f t="shared" si="83"/>
        <v>44477</v>
      </c>
      <c r="M171" s="177"/>
      <c r="N171" s="177"/>
      <c r="O171" s="177"/>
      <c r="P171" s="183"/>
      <c r="Q171" s="183"/>
      <c r="R171" s="3" t="s">
        <v>180</v>
      </c>
      <c r="S171" s="13" t="s">
        <v>223</v>
      </c>
      <c r="T171" s="13"/>
      <c r="U171" s="5" t="s">
        <v>9</v>
      </c>
      <c r="V171" s="268">
        <v>2238197</v>
      </c>
      <c r="W171" s="5" t="s">
        <v>614</v>
      </c>
      <c r="X171" s="5" t="s">
        <v>476</v>
      </c>
      <c r="Y171" s="5" t="s">
        <v>238</v>
      </c>
      <c r="Z171" s="3" t="s">
        <v>188</v>
      </c>
      <c r="AA171" s="6" t="s">
        <v>218</v>
      </c>
      <c r="AB171" s="152" t="s">
        <v>197</v>
      </c>
      <c r="AC171" s="177" t="s">
        <v>6</v>
      </c>
      <c r="AD171" s="177" t="s">
        <v>6</v>
      </c>
      <c r="AE171" s="177" t="s">
        <v>6</v>
      </c>
      <c r="AF171" s="5"/>
      <c r="AG171" s="43"/>
      <c r="AH171" s="228"/>
      <c r="AI171" s="83" t="s">
        <v>693</v>
      </c>
      <c r="AJ171" s="83"/>
      <c r="AK171" s="237" t="e">
        <f>SUM(#REF!,BT171,BV171)</f>
        <v>#REF!</v>
      </c>
      <c r="AL171" s="179"/>
      <c r="AM171" s="179"/>
      <c r="AN171" s="179"/>
      <c r="AO171" s="179"/>
      <c r="AP171" s="179"/>
      <c r="AQ171" s="179"/>
      <c r="AR171" s="56">
        <v>50.368540000000003</v>
      </c>
      <c r="AS171" s="56">
        <v>1358.2448300000001</v>
      </c>
      <c r="AT171" s="56">
        <v>1240.3935200000001</v>
      </c>
      <c r="AU171" s="56">
        <v>96.589320000000001</v>
      </c>
      <c r="AV171" s="47">
        <v>1490</v>
      </c>
      <c r="AW171" s="47">
        <v>1135</v>
      </c>
      <c r="AX171" s="97">
        <f t="shared" si="59"/>
        <v>2625</v>
      </c>
      <c r="AY171" s="169">
        <f t="shared" si="72"/>
        <v>60.190020000000004</v>
      </c>
      <c r="AZ171" s="196">
        <v>10</v>
      </c>
      <c r="BA171" s="170">
        <v>2.5893199999999998</v>
      </c>
      <c r="BB171" s="196">
        <v>28</v>
      </c>
      <c r="BC171" s="170">
        <v>27.138630000000003</v>
      </c>
      <c r="BD171" s="196">
        <v>30</v>
      </c>
      <c r="BE171" s="170">
        <v>23.740740000000002</v>
      </c>
      <c r="BF171" s="196">
        <v>9</v>
      </c>
      <c r="BG171" s="170">
        <v>3.65239</v>
      </c>
      <c r="BH171" s="196">
        <v>5</v>
      </c>
      <c r="BI171" s="170">
        <v>-0.18156999999999998</v>
      </c>
      <c r="BJ171" s="196">
        <v>3</v>
      </c>
      <c r="BK171" s="170">
        <v>3.2505100000000002</v>
      </c>
      <c r="BL171" s="196"/>
      <c r="BM171" s="170"/>
      <c r="BN171" s="196"/>
      <c r="BO171" s="170"/>
      <c r="BP171" s="196"/>
      <c r="BQ171" s="170"/>
      <c r="BR171" s="196"/>
      <c r="BS171" s="170"/>
      <c r="BT171" s="196"/>
      <c r="BU171" s="170"/>
      <c r="BV171" s="196"/>
      <c r="BW171" s="251"/>
      <c r="BX171" s="254"/>
      <c r="BY171" s="88">
        <f t="shared" si="73"/>
        <v>0</v>
      </c>
      <c r="BZ171" s="214"/>
      <c r="CA171" s="214"/>
      <c r="CB171" s="214"/>
      <c r="CC171" s="214"/>
      <c r="CD171" s="214"/>
      <c r="CE171" s="214"/>
      <c r="CF171" s="214"/>
      <c r="CG171" s="214"/>
      <c r="CH171" s="214"/>
      <c r="CI171" s="214"/>
      <c r="CJ171" s="214"/>
      <c r="CK171" s="214"/>
      <c r="CL171" s="211">
        <f t="shared" si="75"/>
        <v>0</v>
      </c>
      <c r="CM171" s="212"/>
      <c r="CN171" s="212"/>
      <c r="CO171" s="212"/>
      <c r="CP171" s="212"/>
      <c r="CQ171" s="212"/>
      <c r="CR171" s="212"/>
      <c r="CS171" s="212"/>
      <c r="CT171" s="212"/>
      <c r="CU171" s="212"/>
      <c r="CV171" s="212"/>
      <c r="CW171" s="212"/>
      <c r="CX171" s="212"/>
      <c r="CY171" s="216">
        <f t="shared" si="60"/>
        <v>0</v>
      </c>
      <c r="CZ171" s="185">
        <f t="shared" si="74"/>
        <v>0</v>
      </c>
      <c r="DA171" s="217">
        <f t="shared" si="61"/>
        <v>60.190020000000004</v>
      </c>
      <c r="DB171" s="217">
        <f t="shared" si="62"/>
        <v>0</v>
      </c>
      <c r="DC171" s="217">
        <f t="shared" si="76"/>
        <v>60.190020000000004</v>
      </c>
      <c r="DD171" s="256">
        <v>60.190020000000004</v>
      </c>
      <c r="DE171" s="217">
        <f t="shared" si="77"/>
        <v>0</v>
      </c>
      <c r="DF171" s="185" t="e">
        <f>SUM(DN171:DO171)-SUM(#REF!,BV171)+BU171</f>
        <v>#REF!</v>
      </c>
      <c r="DG171" s="223"/>
      <c r="DH171" s="241">
        <f t="shared" si="78"/>
        <v>53.468690000000009</v>
      </c>
      <c r="DI171" s="241">
        <f t="shared" si="79"/>
        <v>6.72133</v>
      </c>
      <c r="DJ171" s="241">
        <f t="shared" si="80"/>
        <v>0</v>
      </c>
      <c r="DK171" s="241" t="e">
        <f>SUM(BS171,#REF!,BV171)</f>
        <v>#REF!</v>
      </c>
      <c r="DL171" s="155">
        <v>1490</v>
      </c>
      <c r="DM171" s="155">
        <v>1350.95208</v>
      </c>
      <c r="DN171" s="155">
        <v>0</v>
      </c>
      <c r="DO171" s="155">
        <v>0</v>
      </c>
      <c r="DP171" s="155">
        <v>1350.95208</v>
      </c>
      <c r="DQ171" s="155">
        <v>139.04792</v>
      </c>
      <c r="DR171" s="23">
        <f>VLOOKUP(C171,[6]Database!$B$143:$AD$521,29,FALSE)</f>
        <v>0</v>
      </c>
      <c r="DS171" s="235">
        <f t="shared" si="81"/>
        <v>0</v>
      </c>
    </row>
    <row r="172" spans="1:123" s="23" customFormat="1" ht="24" customHeight="1">
      <c r="A172" s="18"/>
      <c r="B172" s="2">
        <v>129</v>
      </c>
      <c r="C172" s="86" t="s">
        <v>239</v>
      </c>
      <c r="D172" s="86"/>
      <c r="E172" s="85" t="s">
        <v>602</v>
      </c>
      <c r="F172" s="41">
        <v>2019</v>
      </c>
      <c r="G172" s="42">
        <v>43713</v>
      </c>
      <c r="H172" s="42">
        <v>43714</v>
      </c>
      <c r="I172" s="42">
        <v>43714</v>
      </c>
      <c r="J172" s="15">
        <f t="shared" ca="1" si="58"/>
        <v>0</v>
      </c>
      <c r="K172" s="177">
        <f t="shared" si="82"/>
        <v>44261</v>
      </c>
      <c r="L172" s="177">
        <f t="shared" si="83"/>
        <v>44444</v>
      </c>
      <c r="M172" s="177"/>
      <c r="N172" s="177"/>
      <c r="O172" s="177"/>
      <c r="P172" s="183"/>
      <c r="Q172" s="183"/>
      <c r="R172" s="3" t="s">
        <v>176</v>
      </c>
      <c r="S172" s="13" t="s">
        <v>5</v>
      </c>
      <c r="T172" s="111"/>
      <c r="U172" s="5" t="s">
        <v>9</v>
      </c>
      <c r="V172" s="268">
        <v>2359750</v>
      </c>
      <c r="W172" s="5" t="s">
        <v>614</v>
      </c>
      <c r="X172" s="5" t="s">
        <v>480</v>
      </c>
      <c r="Y172" s="5" t="s">
        <v>264</v>
      </c>
      <c r="Z172" s="85" t="s">
        <v>316</v>
      </c>
      <c r="AA172" s="6" t="s">
        <v>218</v>
      </c>
      <c r="AB172" s="287" t="s">
        <v>517</v>
      </c>
      <c r="AC172" s="177" t="s">
        <v>6</v>
      </c>
      <c r="AD172" s="177" t="s">
        <v>6</v>
      </c>
      <c r="AE172" s="177" t="s">
        <v>6</v>
      </c>
      <c r="AF172" s="5"/>
      <c r="AG172" s="43"/>
      <c r="AH172" s="228"/>
      <c r="AI172" s="83"/>
      <c r="AJ172" s="83"/>
      <c r="AK172" s="237" t="e">
        <f>SUM(#REF!,BT172,BV172)</f>
        <v>#REF!</v>
      </c>
      <c r="AL172" s="165"/>
      <c r="AM172" s="165"/>
      <c r="AN172" s="165"/>
      <c r="AO172" s="165"/>
      <c r="AP172" s="165"/>
      <c r="AQ172" s="165"/>
      <c r="AR172" s="56">
        <v>0</v>
      </c>
      <c r="AS172" s="56"/>
      <c r="AT172" s="56">
        <v>0</v>
      </c>
      <c r="AU172" s="56"/>
      <c r="AV172" s="47">
        <v>0</v>
      </c>
      <c r="AW172" s="47">
        <v>0</v>
      </c>
      <c r="AX172" s="97">
        <f t="shared" si="59"/>
        <v>0</v>
      </c>
      <c r="AY172" s="169">
        <f t="shared" si="72"/>
        <v>0</v>
      </c>
      <c r="AZ172" s="196">
        <v>0</v>
      </c>
      <c r="BA172" s="170"/>
      <c r="BB172" s="196">
        <v>0</v>
      </c>
      <c r="BC172" s="170"/>
      <c r="BD172" s="196">
        <v>0</v>
      </c>
      <c r="BE172" s="170">
        <v>0</v>
      </c>
      <c r="BF172" s="196">
        <v>0</v>
      </c>
      <c r="BG172" s="170"/>
      <c r="BH172" s="196">
        <v>0</v>
      </c>
      <c r="BI172" s="170"/>
      <c r="BJ172" s="196">
        <v>0</v>
      </c>
      <c r="BK172" s="170"/>
      <c r="BL172" s="196"/>
      <c r="BM172" s="170"/>
      <c r="BN172" s="196"/>
      <c r="BO172" s="170"/>
      <c r="BP172" s="196"/>
      <c r="BQ172" s="170"/>
      <c r="BR172" s="196"/>
      <c r="BS172" s="170"/>
      <c r="BT172" s="196"/>
      <c r="BU172" s="170"/>
      <c r="BV172" s="196"/>
      <c r="BW172" s="251"/>
      <c r="BX172" s="254"/>
      <c r="BY172" s="88">
        <f t="shared" si="73"/>
        <v>0</v>
      </c>
      <c r="BZ172" s="258"/>
      <c r="CA172" s="258"/>
      <c r="CB172" s="258"/>
      <c r="CC172" s="258"/>
      <c r="CD172" s="258"/>
      <c r="CE172" s="258"/>
      <c r="CF172" s="258"/>
      <c r="CG172" s="258"/>
      <c r="CH172" s="258"/>
      <c r="CI172" s="258"/>
      <c r="CJ172" s="258"/>
      <c r="CK172" s="258"/>
      <c r="CL172" s="211">
        <f t="shared" si="75"/>
        <v>0</v>
      </c>
      <c r="CM172" s="212"/>
      <c r="CN172" s="212"/>
      <c r="CO172" s="212"/>
      <c r="CP172" s="212"/>
      <c r="CQ172" s="212"/>
      <c r="CR172" s="212"/>
      <c r="CS172" s="212"/>
      <c r="CT172" s="212"/>
      <c r="CU172" s="212"/>
      <c r="CV172" s="212"/>
      <c r="CW172" s="212"/>
      <c r="CX172" s="212"/>
      <c r="CY172" s="216">
        <f t="shared" si="60"/>
        <v>0</v>
      </c>
      <c r="CZ172" s="185">
        <f t="shared" si="74"/>
        <v>0</v>
      </c>
      <c r="DA172" s="217">
        <f t="shared" si="61"/>
        <v>0</v>
      </c>
      <c r="DB172" s="217">
        <f t="shared" si="62"/>
        <v>0</v>
      </c>
      <c r="DC172" s="217">
        <f t="shared" si="76"/>
        <v>0</v>
      </c>
      <c r="DD172" s="256">
        <v>0</v>
      </c>
      <c r="DE172" s="217">
        <f t="shared" si="77"/>
        <v>0</v>
      </c>
      <c r="DF172" s="185" t="e">
        <f>SUM(DN172:DO172)-SUM(#REF!,BV172)+BU172</f>
        <v>#REF!</v>
      </c>
      <c r="DG172" s="223"/>
      <c r="DH172" s="241">
        <f t="shared" si="78"/>
        <v>0</v>
      </c>
      <c r="DI172" s="241">
        <f t="shared" si="79"/>
        <v>0</v>
      </c>
      <c r="DJ172" s="241">
        <f t="shared" si="80"/>
        <v>0</v>
      </c>
      <c r="DK172" s="241" t="e">
        <f>SUM(BS172,#REF!,BV172)</f>
        <v>#REF!</v>
      </c>
      <c r="DL172" s="155">
        <v>0</v>
      </c>
      <c r="DM172" s="155">
        <v>0</v>
      </c>
      <c r="DN172" s="155">
        <v>0</v>
      </c>
      <c r="DO172" s="155">
        <v>0</v>
      </c>
      <c r="DP172" s="155">
        <v>0</v>
      </c>
      <c r="DQ172" s="155">
        <v>0</v>
      </c>
      <c r="DS172" s="235">
        <f t="shared" si="81"/>
        <v>0</v>
      </c>
    </row>
    <row r="173" spans="1:123" s="23" customFormat="1" ht="24" customHeight="1">
      <c r="A173" s="18"/>
      <c r="B173" s="2">
        <v>130</v>
      </c>
      <c r="C173" s="86" t="s">
        <v>240</v>
      </c>
      <c r="D173" s="86"/>
      <c r="E173" s="85"/>
      <c r="F173" s="41">
        <v>2019</v>
      </c>
      <c r="G173" s="42">
        <v>43725</v>
      </c>
      <c r="H173" s="4">
        <v>43748</v>
      </c>
      <c r="I173" s="4">
        <v>43839</v>
      </c>
      <c r="J173" s="15">
        <f t="shared" ca="1" si="58"/>
        <v>91</v>
      </c>
      <c r="K173" s="177">
        <f t="shared" si="82"/>
        <v>44295</v>
      </c>
      <c r="L173" s="177">
        <f t="shared" si="83"/>
        <v>44478</v>
      </c>
      <c r="M173" s="177"/>
      <c r="N173" s="177"/>
      <c r="O173" s="177"/>
      <c r="P173" s="177"/>
      <c r="Q173" s="177"/>
      <c r="R173" s="3" t="s">
        <v>180</v>
      </c>
      <c r="S173" s="13" t="s">
        <v>223</v>
      </c>
      <c r="T173" s="43"/>
      <c r="U173" s="5" t="s">
        <v>9</v>
      </c>
      <c r="V173" s="268">
        <v>2266751</v>
      </c>
      <c r="W173" s="5" t="s">
        <v>614</v>
      </c>
      <c r="X173" s="5" t="s">
        <v>476</v>
      </c>
      <c r="Y173" s="5" t="s">
        <v>148</v>
      </c>
      <c r="Z173" s="3" t="s">
        <v>188</v>
      </c>
      <c r="AA173" s="6" t="s">
        <v>218</v>
      </c>
      <c r="AB173" s="152" t="s">
        <v>197</v>
      </c>
      <c r="AC173" s="177" t="s">
        <v>6</v>
      </c>
      <c r="AD173" s="177" t="s">
        <v>6</v>
      </c>
      <c r="AE173" s="177" t="s">
        <v>6</v>
      </c>
      <c r="AF173" s="5"/>
      <c r="AG173" s="43"/>
      <c r="AH173" s="228"/>
      <c r="AI173" s="83"/>
      <c r="AJ173" s="83"/>
      <c r="AK173" s="237" t="e">
        <f>SUM(#REF!,BT173,BV173)</f>
        <v>#REF!</v>
      </c>
      <c r="AL173" s="52"/>
      <c r="AM173" s="52"/>
      <c r="AN173" s="52"/>
      <c r="AO173" s="52"/>
      <c r="AP173" s="52"/>
      <c r="AQ173" s="52"/>
      <c r="AR173" s="56">
        <v>0</v>
      </c>
      <c r="AS173" s="56">
        <v>50</v>
      </c>
      <c r="AT173" s="56">
        <v>9.4718499999999999</v>
      </c>
      <c r="AU173" s="56"/>
      <c r="AV173" s="47">
        <v>10.5</v>
      </c>
      <c r="AW173" s="47">
        <v>0</v>
      </c>
      <c r="AX173" s="97">
        <f t="shared" si="59"/>
        <v>10.5</v>
      </c>
      <c r="AY173" s="169">
        <f t="shared" si="72"/>
        <v>0</v>
      </c>
      <c r="AZ173" s="196">
        <v>0</v>
      </c>
      <c r="BA173" s="170"/>
      <c r="BB173" s="196">
        <v>0</v>
      </c>
      <c r="BC173" s="170"/>
      <c r="BD173" s="196">
        <v>0</v>
      </c>
      <c r="BE173" s="170">
        <v>0</v>
      </c>
      <c r="BF173" s="196">
        <v>0</v>
      </c>
      <c r="BG173" s="170"/>
      <c r="BH173" s="196">
        <v>0</v>
      </c>
      <c r="BI173" s="170"/>
      <c r="BJ173" s="196">
        <v>0</v>
      </c>
      <c r="BK173" s="170"/>
      <c r="BL173" s="196"/>
      <c r="BM173" s="170"/>
      <c r="BN173" s="196"/>
      <c r="BO173" s="170"/>
      <c r="BP173" s="196"/>
      <c r="BQ173" s="170"/>
      <c r="BR173" s="196"/>
      <c r="BS173" s="170"/>
      <c r="BT173" s="196"/>
      <c r="BU173" s="170"/>
      <c r="BV173" s="196"/>
      <c r="BW173" s="251"/>
      <c r="BX173" s="254"/>
      <c r="BY173" s="88">
        <f t="shared" si="73"/>
        <v>0</v>
      </c>
      <c r="BZ173" s="214"/>
      <c r="CA173" s="214"/>
      <c r="CB173" s="214"/>
      <c r="CC173" s="214"/>
      <c r="CD173" s="214"/>
      <c r="CE173" s="214"/>
      <c r="CF173" s="214"/>
      <c r="CG173" s="214"/>
      <c r="CH173" s="214"/>
      <c r="CI173" s="214"/>
      <c r="CJ173" s="214"/>
      <c r="CK173" s="214"/>
      <c r="CL173" s="211">
        <f t="shared" si="75"/>
        <v>0</v>
      </c>
      <c r="CM173" s="212"/>
      <c r="CN173" s="212"/>
      <c r="CO173" s="212"/>
      <c r="CP173" s="212"/>
      <c r="CQ173" s="212"/>
      <c r="CR173" s="212"/>
      <c r="CS173" s="212"/>
      <c r="CT173" s="212"/>
      <c r="CU173" s="212"/>
      <c r="CV173" s="212"/>
      <c r="CW173" s="212"/>
      <c r="CX173" s="212"/>
      <c r="CY173" s="216">
        <f t="shared" si="60"/>
        <v>0</v>
      </c>
      <c r="CZ173" s="185">
        <f t="shared" si="74"/>
        <v>0</v>
      </c>
      <c r="DA173" s="217">
        <f t="shared" si="61"/>
        <v>0</v>
      </c>
      <c r="DB173" s="217">
        <f t="shared" si="62"/>
        <v>0</v>
      </c>
      <c r="DC173" s="217">
        <f t="shared" si="76"/>
        <v>0</v>
      </c>
      <c r="DD173" s="256">
        <v>0</v>
      </c>
      <c r="DE173" s="217">
        <f t="shared" si="77"/>
        <v>0</v>
      </c>
      <c r="DF173" s="185" t="e">
        <f>SUM(DN173:DO173)-SUM(#REF!,BV173)+BU173</f>
        <v>#REF!</v>
      </c>
      <c r="DG173" s="223"/>
      <c r="DH173" s="241">
        <f t="shared" si="78"/>
        <v>0</v>
      </c>
      <c r="DI173" s="241">
        <f t="shared" si="79"/>
        <v>0</v>
      </c>
      <c r="DJ173" s="241">
        <f t="shared" si="80"/>
        <v>0</v>
      </c>
      <c r="DK173" s="241" t="e">
        <f>SUM(BS173,#REF!,BV173)</f>
        <v>#REF!</v>
      </c>
      <c r="DL173" s="155">
        <v>10.99</v>
      </c>
      <c r="DM173" s="155">
        <v>9.4718499999999999</v>
      </c>
      <c r="DN173" s="155">
        <v>0</v>
      </c>
      <c r="DO173" s="155">
        <v>0</v>
      </c>
      <c r="DP173" s="155">
        <v>9.4718499999999999</v>
      </c>
      <c r="DQ173" s="155">
        <v>1.5181500000000001</v>
      </c>
      <c r="DS173" s="235">
        <f t="shared" si="81"/>
        <v>0</v>
      </c>
    </row>
    <row r="174" spans="1:123" s="23" customFormat="1" ht="24" customHeight="1">
      <c r="A174" s="18"/>
      <c r="B174" s="2">
        <v>131</v>
      </c>
      <c r="C174" s="86" t="s">
        <v>247</v>
      </c>
      <c r="D174" s="86"/>
      <c r="E174" s="85" t="s">
        <v>602</v>
      </c>
      <c r="F174" s="41">
        <v>2019</v>
      </c>
      <c r="G174" s="42">
        <v>43725</v>
      </c>
      <c r="H174" s="42">
        <v>43726</v>
      </c>
      <c r="I174" s="42">
        <v>43726</v>
      </c>
      <c r="J174" s="15">
        <f t="shared" ref="J174:J237" ca="1" si="84">IF(H174="","",IF(I174&lt;&gt;"",I174-H174,EDATE(H174,18)-NOW()))</f>
        <v>0</v>
      </c>
      <c r="K174" s="177">
        <f t="shared" si="82"/>
        <v>44273</v>
      </c>
      <c r="L174" s="177">
        <f t="shared" si="83"/>
        <v>44456</v>
      </c>
      <c r="M174" s="177"/>
      <c r="N174" s="177"/>
      <c r="O174" s="177"/>
      <c r="P174" s="177"/>
      <c r="Q174" s="177"/>
      <c r="R174" s="3" t="s">
        <v>176</v>
      </c>
      <c r="S174" s="13" t="s">
        <v>5</v>
      </c>
      <c r="T174" s="43"/>
      <c r="U174" s="5" t="s">
        <v>9</v>
      </c>
      <c r="V174" s="268"/>
      <c r="W174" s="5" t="s">
        <v>614</v>
      </c>
      <c r="X174" s="5" t="s">
        <v>480</v>
      </c>
      <c r="Y174" s="5" t="s">
        <v>246</v>
      </c>
      <c r="Z174" s="85" t="s">
        <v>316</v>
      </c>
      <c r="AA174" s="6" t="s">
        <v>218</v>
      </c>
      <c r="AB174" s="287" t="s">
        <v>518</v>
      </c>
      <c r="AC174" s="177" t="s">
        <v>6</v>
      </c>
      <c r="AD174" s="177" t="s">
        <v>6</v>
      </c>
      <c r="AE174" s="177" t="s">
        <v>6</v>
      </c>
      <c r="AF174" s="5"/>
      <c r="AG174" s="43"/>
      <c r="AH174" s="228"/>
      <c r="AI174" s="83"/>
      <c r="AJ174" s="83"/>
      <c r="AK174" s="237" t="e">
        <f>SUM(#REF!,BT174,BV174)</f>
        <v>#REF!</v>
      </c>
      <c r="AL174" s="165"/>
      <c r="AM174" s="165"/>
      <c r="AN174" s="165"/>
      <c r="AO174" s="165"/>
      <c r="AP174" s="165"/>
      <c r="AQ174" s="165"/>
      <c r="AR174" s="56">
        <v>0</v>
      </c>
      <c r="AS174" s="56"/>
      <c r="AT174" s="56">
        <v>0</v>
      </c>
      <c r="AU174" s="56"/>
      <c r="AV174" s="47">
        <v>0</v>
      </c>
      <c r="AW174" s="47">
        <v>0</v>
      </c>
      <c r="AX174" s="97">
        <f t="shared" si="59"/>
        <v>0</v>
      </c>
      <c r="AY174" s="169">
        <f t="shared" si="72"/>
        <v>0</v>
      </c>
      <c r="AZ174" s="196">
        <v>0</v>
      </c>
      <c r="BA174" s="170"/>
      <c r="BB174" s="196">
        <v>0</v>
      </c>
      <c r="BC174" s="170"/>
      <c r="BD174" s="196">
        <v>0</v>
      </c>
      <c r="BE174" s="170">
        <v>0</v>
      </c>
      <c r="BF174" s="196">
        <v>0</v>
      </c>
      <c r="BG174" s="170"/>
      <c r="BH174" s="196">
        <v>0</v>
      </c>
      <c r="BI174" s="170"/>
      <c r="BJ174" s="196">
        <v>0</v>
      </c>
      <c r="BK174" s="170"/>
      <c r="BL174" s="196"/>
      <c r="BM174" s="170"/>
      <c r="BN174" s="196"/>
      <c r="BO174" s="170"/>
      <c r="BP174" s="196"/>
      <c r="BQ174" s="170"/>
      <c r="BR174" s="196"/>
      <c r="BS174" s="170"/>
      <c r="BT174" s="196"/>
      <c r="BU174" s="170"/>
      <c r="BV174" s="196"/>
      <c r="BW174" s="251"/>
      <c r="BX174" s="254"/>
      <c r="BY174" s="88">
        <f t="shared" si="73"/>
        <v>0</v>
      </c>
      <c r="BZ174" s="258"/>
      <c r="CA174" s="258"/>
      <c r="CB174" s="258"/>
      <c r="CC174" s="258"/>
      <c r="CD174" s="258"/>
      <c r="CE174" s="258"/>
      <c r="CF174" s="258"/>
      <c r="CG174" s="258"/>
      <c r="CH174" s="258"/>
      <c r="CI174" s="258"/>
      <c r="CJ174" s="258"/>
      <c r="CK174" s="258"/>
      <c r="CL174" s="211">
        <f t="shared" si="75"/>
        <v>0</v>
      </c>
      <c r="CM174" s="212"/>
      <c r="CN174" s="212"/>
      <c r="CO174" s="212"/>
      <c r="CP174" s="212"/>
      <c r="CQ174" s="212"/>
      <c r="CR174" s="212"/>
      <c r="CS174" s="212"/>
      <c r="CT174" s="212"/>
      <c r="CU174" s="212"/>
      <c r="CV174" s="212"/>
      <c r="CW174" s="212"/>
      <c r="CX174" s="212"/>
      <c r="CY174" s="216">
        <f t="shared" si="60"/>
        <v>0</v>
      </c>
      <c r="CZ174" s="185">
        <f t="shared" si="74"/>
        <v>0</v>
      </c>
      <c r="DA174" s="217">
        <f t="shared" si="61"/>
        <v>0</v>
      </c>
      <c r="DB174" s="217">
        <f t="shared" si="62"/>
        <v>0</v>
      </c>
      <c r="DC174" s="217">
        <f t="shared" si="76"/>
        <v>0</v>
      </c>
      <c r="DD174" s="256">
        <v>0</v>
      </c>
      <c r="DE174" s="217">
        <f t="shared" si="77"/>
        <v>0</v>
      </c>
      <c r="DF174" s="185" t="e">
        <f>SUM(DN174:DO174)-SUM(#REF!,BV174)+BU174</f>
        <v>#REF!</v>
      </c>
      <c r="DG174" s="223"/>
      <c r="DH174" s="241">
        <f t="shared" si="78"/>
        <v>0</v>
      </c>
      <c r="DI174" s="241">
        <f t="shared" si="79"/>
        <v>0</v>
      </c>
      <c r="DJ174" s="241">
        <f t="shared" si="80"/>
        <v>0</v>
      </c>
      <c r="DK174" s="241" t="e">
        <f>SUM(BS174,#REF!,BV174)</f>
        <v>#REF!</v>
      </c>
      <c r="DL174" s="155">
        <v>0</v>
      </c>
      <c r="DM174" s="155">
        <v>0</v>
      </c>
      <c r="DN174" s="155">
        <v>0</v>
      </c>
      <c r="DO174" s="155">
        <v>0</v>
      </c>
      <c r="DP174" s="155">
        <v>0</v>
      </c>
      <c r="DQ174" s="155">
        <v>0</v>
      </c>
      <c r="DS174" s="235">
        <f t="shared" si="81"/>
        <v>0</v>
      </c>
    </row>
    <row r="175" spans="1:123" s="23" customFormat="1" ht="24" customHeight="1">
      <c r="A175" s="18"/>
      <c r="B175" s="2">
        <v>132</v>
      </c>
      <c r="C175" s="86" t="s">
        <v>249</v>
      </c>
      <c r="D175" s="86"/>
      <c r="E175" s="85"/>
      <c r="F175" s="41">
        <v>2019</v>
      </c>
      <c r="G175" s="42">
        <v>43726</v>
      </c>
      <c r="H175" s="42">
        <v>43762</v>
      </c>
      <c r="I175" s="42">
        <v>44201</v>
      </c>
      <c r="J175" s="15">
        <f t="shared" ca="1" si="84"/>
        <v>439</v>
      </c>
      <c r="K175" s="177">
        <f t="shared" si="82"/>
        <v>44309</v>
      </c>
      <c r="L175" s="177">
        <f t="shared" si="83"/>
        <v>44492</v>
      </c>
      <c r="M175" s="177"/>
      <c r="N175" s="177"/>
      <c r="O175" s="177"/>
      <c r="P175" s="177"/>
      <c r="Q175" s="177"/>
      <c r="R175" s="3" t="s">
        <v>178</v>
      </c>
      <c r="S175" s="13" t="s">
        <v>223</v>
      </c>
      <c r="T175" s="43"/>
      <c r="U175" s="5" t="s">
        <v>9</v>
      </c>
      <c r="V175" s="268">
        <v>2272176</v>
      </c>
      <c r="W175" s="5" t="s">
        <v>614</v>
      </c>
      <c r="X175" s="5" t="s">
        <v>483</v>
      </c>
      <c r="Y175" s="5" t="s">
        <v>248</v>
      </c>
      <c r="Z175" s="3" t="s">
        <v>188</v>
      </c>
      <c r="AA175" s="6" t="s">
        <v>218</v>
      </c>
      <c r="AB175" s="152" t="s">
        <v>197</v>
      </c>
      <c r="AC175" s="177" t="s">
        <v>6</v>
      </c>
      <c r="AD175" s="177" t="s">
        <v>6</v>
      </c>
      <c r="AE175" s="177" t="s">
        <v>6</v>
      </c>
      <c r="AF175" s="5"/>
      <c r="AG175" s="43"/>
      <c r="AH175" s="228"/>
      <c r="AI175" s="125"/>
      <c r="AJ175" s="125"/>
      <c r="AK175" s="237" t="e">
        <f>SUM(#REF!,BT175,BV175)</f>
        <v>#REF!</v>
      </c>
      <c r="AL175" s="179"/>
      <c r="AM175" s="179"/>
      <c r="AN175" s="179"/>
      <c r="AO175" s="179"/>
      <c r="AP175" s="179"/>
      <c r="AQ175" s="179"/>
      <c r="AR175" s="56">
        <v>26.297199999999997</v>
      </c>
      <c r="AS175" s="56">
        <v>0</v>
      </c>
      <c r="AT175" s="56">
        <v>11.164490000000001</v>
      </c>
      <c r="AU175" s="56">
        <v>5.0495900000000002</v>
      </c>
      <c r="AV175" s="47">
        <v>46</v>
      </c>
      <c r="AW175" s="47">
        <v>0</v>
      </c>
      <c r="AX175" s="97">
        <f t="shared" ref="AX175:AX238" si="85">AW175+AV175</f>
        <v>46</v>
      </c>
      <c r="AY175" s="169">
        <f t="shared" si="72"/>
        <v>4.9530600000000007</v>
      </c>
      <c r="AZ175" s="196">
        <v>0</v>
      </c>
      <c r="BA175" s="170">
        <v>5.0495900000000002</v>
      </c>
      <c r="BB175" s="196">
        <v>0</v>
      </c>
      <c r="BC175" s="170">
        <v>-9.6530000000000005E-2</v>
      </c>
      <c r="BD175" s="196">
        <v>0</v>
      </c>
      <c r="BE175" s="170">
        <v>0</v>
      </c>
      <c r="BF175" s="196">
        <v>0</v>
      </c>
      <c r="BG175" s="170"/>
      <c r="BH175" s="196">
        <v>0</v>
      </c>
      <c r="BI175" s="170"/>
      <c r="BJ175" s="196">
        <v>0</v>
      </c>
      <c r="BK175" s="170"/>
      <c r="BL175" s="196"/>
      <c r="BM175" s="170"/>
      <c r="BN175" s="196"/>
      <c r="BO175" s="170"/>
      <c r="BP175" s="196"/>
      <c r="BQ175" s="170"/>
      <c r="BR175" s="196"/>
      <c r="BS175" s="170"/>
      <c r="BT175" s="196"/>
      <c r="BU175" s="170"/>
      <c r="BV175" s="196"/>
      <c r="BW175" s="251"/>
      <c r="BX175" s="254"/>
      <c r="BY175" s="88">
        <f t="shared" si="73"/>
        <v>0</v>
      </c>
      <c r="BZ175" s="214"/>
      <c r="CA175" s="214"/>
      <c r="CB175" s="214"/>
      <c r="CC175" s="214"/>
      <c r="CD175" s="214"/>
      <c r="CE175" s="214"/>
      <c r="CF175" s="214"/>
      <c r="CG175" s="214"/>
      <c r="CH175" s="214"/>
      <c r="CI175" s="214"/>
      <c r="CJ175" s="214"/>
      <c r="CK175" s="214"/>
      <c r="CL175" s="211">
        <f t="shared" si="75"/>
        <v>0</v>
      </c>
      <c r="CM175" s="212"/>
      <c r="CN175" s="212"/>
      <c r="CO175" s="212"/>
      <c r="CP175" s="212"/>
      <c r="CQ175" s="212"/>
      <c r="CR175" s="212"/>
      <c r="CS175" s="212"/>
      <c r="CT175" s="212"/>
      <c r="CU175" s="212"/>
      <c r="CV175" s="212"/>
      <c r="CW175" s="212"/>
      <c r="CX175" s="212"/>
      <c r="CY175" s="216">
        <f t="shared" ref="CY175:CY238" si="86">BV175-BX175</f>
        <v>0</v>
      </c>
      <c r="CZ175" s="185">
        <f t="shared" si="74"/>
        <v>0</v>
      </c>
      <c r="DA175" s="217">
        <f t="shared" ref="DA175:DA238" si="87">SUM(BA175,BC175,BE175,BG175,BI175,BK175,BM175,BO175,BQ175,BS175,BU175)</f>
        <v>4.9530600000000007</v>
      </c>
      <c r="DB175" s="217">
        <f t="shared" ref="DB175:DB238" si="88">SUM(BX175)</f>
        <v>0</v>
      </c>
      <c r="DC175" s="217">
        <f t="shared" si="76"/>
        <v>4.9530600000000007</v>
      </c>
      <c r="DD175" s="256">
        <v>4.9530600000000007</v>
      </c>
      <c r="DE175" s="217">
        <f t="shared" si="77"/>
        <v>0</v>
      </c>
      <c r="DF175" s="185" t="e">
        <f>SUM(DN175:DO175)-SUM(#REF!,BV175)+BU175</f>
        <v>#REF!</v>
      </c>
      <c r="DG175" s="223"/>
      <c r="DH175" s="241">
        <f t="shared" si="78"/>
        <v>4.9530600000000007</v>
      </c>
      <c r="DI175" s="241">
        <f t="shared" si="79"/>
        <v>0</v>
      </c>
      <c r="DJ175" s="241">
        <f t="shared" si="80"/>
        <v>0</v>
      </c>
      <c r="DK175" s="241" t="e">
        <f>SUM(BS175,#REF!,BV175)</f>
        <v>#REF!</v>
      </c>
      <c r="DL175" s="155">
        <v>46.003</v>
      </c>
      <c r="DM175" s="155">
        <v>42.414749999999998</v>
      </c>
      <c r="DN175" s="155">
        <v>0</v>
      </c>
      <c r="DO175" s="155">
        <v>0</v>
      </c>
      <c r="DP175" s="155">
        <v>42.414749999999998</v>
      </c>
      <c r="DQ175" s="155">
        <v>3.5882499999999999</v>
      </c>
      <c r="DR175" s="23">
        <f>VLOOKUP(C175,[6]Database!$B$143:$AD$521,29,FALSE)</f>
        <v>0</v>
      </c>
      <c r="DS175" s="235">
        <f t="shared" si="81"/>
        <v>0</v>
      </c>
    </row>
    <row r="176" spans="1:123" s="23" customFormat="1" ht="24" customHeight="1">
      <c r="A176" s="18"/>
      <c r="B176" s="2">
        <v>133</v>
      </c>
      <c r="C176" s="86" t="s">
        <v>252</v>
      </c>
      <c r="D176" s="86"/>
      <c r="E176" s="85" t="s">
        <v>863</v>
      </c>
      <c r="F176" s="41">
        <v>2019</v>
      </c>
      <c r="G176" s="42">
        <v>43732</v>
      </c>
      <c r="H176" s="192">
        <v>43812</v>
      </c>
      <c r="I176" s="4">
        <v>44466</v>
      </c>
      <c r="J176" s="15">
        <f t="shared" ca="1" si="84"/>
        <v>654</v>
      </c>
      <c r="K176" s="177">
        <f t="shared" si="82"/>
        <v>44359</v>
      </c>
      <c r="L176" s="177">
        <f t="shared" si="83"/>
        <v>44542</v>
      </c>
      <c r="M176" s="177" t="s">
        <v>609</v>
      </c>
      <c r="N176" s="177" t="s">
        <v>609</v>
      </c>
      <c r="O176" s="250" t="s">
        <v>609</v>
      </c>
      <c r="P176" s="222" t="s">
        <v>1395</v>
      </c>
      <c r="Q176" s="177"/>
      <c r="R176" s="3" t="s">
        <v>176</v>
      </c>
      <c r="S176" s="13" t="s">
        <v>5</v>
      </c>
      <c r="T176" s="43" t="s">
        <v>951</v>
      </c>
      <c r="U176" s="5" t="s">
        <v>9</v>
      </c>
      <c r="V176" s="268">
        <v>2347067</v>
      </c>
      <c r="W176" s="5" t="s">
        <v>614</v>
      </c>
      <c r="X176" s="5" t="s">
        <v>478</v>
      </c>
      <c r="Y176" s="5" t="s">
        <v>253</v>
      </c>
      <c r="Z176" s="3" t="s">
        <v>181</v>
      </c>
      <c r="AA176" s="6" t="s">
        <v>218</v>
      </c>
      <c r="AB176" s="152" t="s">
        <v>197</v>
      </c>
      <c r="AC176" s="177" t="s">
        <v>6</v>
      </c>
      <c r="AD176" s="177">
        <v>44408</v>
      </c>
      <c r="AE176" s="177">
        <f>IFERROR(EOMONTH(L176,-2),"")</f>
        <v>44500</v>
      </c>
      <c r="AF176" s="5"/>
      <c r="AG176" s="43"/>
      <c r="AH176" s="228"/>
      <c r="AI176" s="83" t="s">
        <v>711</v>
      </c>
      <c r="AJ176" s="83"/>
      <c r="AK176" s="237" t="e">
        <f>SUM(#REF!,BT176,BV176)</f>
        <v>#REF!</v>
      </c>
      <c r="AL176" s="179" t="s">
        <v>1188</v>
      </c>
      <c r="AM176" s="179" t="s">
        <v>1188</v>
      </c>
      <c r="AN176" s="179" t="s">
        <v>1188</v>
      </c>
      <c r="AO176" s="179" t="s">
        <v>602</v>
      </c>
      <c r="AP176" s="179" t="s">
        <v>602</v>
      </c>
      <c r="AQ176" s="179" t="s">
        <v>602</v>
      </c>
      <c r="AR176" s="56">
        <v>0</v>
      </c>
      <c r="AS176" s="56">
        <v>1431.3</v>
      </c>
      <c r="AT176" s="56">
        <v>916.52558999999997</v>
      </c>
      <c r="AU176" s="56">
        <v>456.93375999999984</v>
      </c>
      <c r="AV176" s="47">
        <v>1431.34</v>
      </c>
      <c r="AW176" s="47">
        <v>38</v>
      </c>
      <c r="AX176" s="97">
        <f t="shared" si="85"/>
        <v>1469.34</v>
      </c>
      <c r="AY176" s="169">
        <f t="shared" si="72"/>
        <v>468.76527999999985</v>
      </c>
      <c r="AZ176" s="196">
        <v>270</v>
      </c>
      <c r="BA176" s="170">
        <v>211.93375999999984</v>
      </c>
      <c r="BB176" s="196">
        <v>10</v>
      </c>
      <c r="BC176" s="170">
        <v>40.843360000000004</v>
      </c>
      <c r="BD176" s="196">
        <v>0</v>
      </c>
      <c r="BE176" s="170">
        <v>2.5068499999999991</v>
      </c>
      <c r="BF176" s="196">
        <v>7</v>
      </c>
      <c r="BG176" s="170">
        <v>30.145109999999999</v>
      </c>
      <c r="BH176" s="196">
        <v>0</v>
      </c>
      <c r="BI176" s="170">
        <v>29.07901</v>
      </c>
      <c r="BJ176" s="196">
        <v>0</v>
      </c>
      <c r="BK176" s="170">
        <v>29.290760000000002</v>
      </c>
      <c r="BL176" s="196">
        <f>50-20.3</f>
        <v>29.7</v>
      </c>
      <c r="BM176" s="170">
        <v>87.738100000000003</v>
      </c>
      <c r="BN176" s="196">
        <v>9.1000000000000014</v>
      </c>
      <c r="BO176" s="170">
        <v>20.914929999999998</v>
      </c>
      <c r="BP176" s="196">
        <v>9</v>
      </c>
      <c r="BQ176" s="170">
        <v>14.88284</v>
      </c>
      <c r="BR176" s="196">
        <f>1.5-0.3</f>
        <v>1.2</v>
      </c>
      <c r="BS176" s="170">
        <v>1.4305600000000001</v>
      </c>
      <c r="BT176" s="196"/>
      <c r="BU176" s="170"/>
      <c r="BV176" s="196"/>
      <c r="BW176" s="251"/>
      <c r="BX176" s="254"/>
      <c r="BY176" s="88">
        <f t="shared" si="73"/>
        <v>0</v>
      </c>
      <c r="BZ176" s="258"/>
      <c r="CA176" s="258"/>
      <c r="CB176" s="258"/>
      <c r="CC176" s="258"/>
      <c r="CD176" s="258"/>
      <c r="CE176" s="258"/>
      <c r="CF176" s="258"/>
      <c r="CG176" s="258"/>
      <c r="CH176" s="258"/>
      <c r="CI176" s="258"/>
      <c r="CJ176" s="258"/>
      <c r="CK176" s="258"/>
      <c r="CL176" s="211">
        <f t="shared" si="75"/>
        <v>0</v>
      </c>
      <c r="CM176" s="212"/>
      <c r="CN176" s="212"/>
      <c r="CO176" s="212"/>
      <c r="CP176" s="212"/>
      <c r="CQ176" s="212"/>
      <c r="CR176" s="212"/>
      <c r="CS176" s="212"/>
      <c r="CT176" s="212"/>
      <c r="CU176" s="212"/>
      <c r="CV176" s="212"/>
      <c r="CW176" s="212"/>
      <c r="CX176" s="212"/>
      <c r="CY176" s="216">
        <f t="shared" si="86"/>
        <v>0</v>
      </c>
      <c r="CZ176" s="185">
        <f t="shared" si="74"/>
        <v>0</v>
      </c>
      <c r="DA176" s="217">
        <f t="shared" si="87"/>
        <v>468.76527999999985</v>
      </c>
      <c r="DB176" s="217">
        <f t="shared" si="88"/>
        <v>0</v>
      </c>
      <c r="DC176" s="217">
        <f t="shared" si="76"/>
        <v>468.76527999999985</v>
      </c>
      <c r="DD176" s="256">
        <v>468.76527999999985</v>
      </c>
      <c r="DE176" s="217">
        <f t="shared" si="77"/>
        <v>0</v>
      </c>
      <c r="DF176" s="185" t="e">
        <f>SUM(DN176:DO176)-SUM(#REF!,BV176)+BU176</f>
        <v>#REF!</v>
      </c>
      <c r="DG176" s="223"/>
      <c r="DH176" s="241">
        <f t="shared" si="78"/>
        <v>255.28396999999984</v>
      </c>
      <c r="DI176" s="241">
        <f t="shared" si="79"/>
        <v>88.514880000000005</v>
      </c>
      <c r="DJ176" s="241">
        <f t="shared" si="80"/>
        <v>123.53587</v>
      </c>
      <c r="DK176" s="241" t="e">
        <f>SUM(BS176,#REF!,BV176)</f>
        <v>#REF!</v>
      </c>
      <c r="DL176" s="155">
        <v>1431.34</v>
      </c>
      <c r="DM176" s="155">
        <v>1385.29087</v>
      </c>
      <c r="DN176" s="155">
        <v>0</v>
      </c>
      <c r="DO176" s="155">
        <v>0</v>
      </c>
      <c r="DP176" s="155">
        <v>1385.29087</v>
      </c>
      <c r="DQ176" s="155">
        <v>46.049129999999998</v>
      </c>
      <c r="DR176" s="23">
        <f>VLOOKUP(C176,[6]Database!$B$143:$AD$521,29,FALSE)</f>
        <v>0</v>
      </c>
      <c r="DS176" s="235">
        <f t="shared" si="81"/>
        <v>0</v>
      </c>
    </row>
    <row r="177" spans="1:123" s="23" customFormat="1" ht="24" customHeight="1">
      <c r="A177" s="18"/>
      <c r="B177" s="2">
        <v>134</v>
      </c>
      <c r="C177" s="86" t="s">
        <v>255</v>
      </c>
      <c r="D177" s="86"/>
      <c r="E177" s="85" t="s">
        <v>897</v>
      </c>
      <c r="F177" s="41">
        <v>2019</v>
      </c>
      <c r="G177" s="42">
        <v>43732</v>
      </c>
      <c r="H177" s="42">
        <v>43774</v>
      </c>
      <c r="I177" s="42">
        <v>44224</v>
      </c>
      <c r="J177" s="15">
        <f t="shared" ca="1" si="84"/>
        <v>450</v>
      </c>
      <c r="K177" s="177">
        <f t="shared" si="82"/>
        <v>44321</v>
      </c>
      <c r="L177" s="177">
        <f t="shared" si="83"/>
        <v>44504</v>
      </c>
      <c r="M177" s="177"/>
      <c r="N177" s="177"/>
      <c r="O177" s="177"/>
      <c r="P177" s="177"/>
      <c r="Q177" s="177"/>
      <c r="R177" s="3" t="s">
        <v>176</v>
      </c>
      <c r="S177" s="13" t="s">
        <v>982</v>
      </c>
      <c r="T177" s="43" t="s">
        <v>953</v>
      </c>
      <c r="U177" s="5" t="s">
        <v>9</v>
      </c>
      <c r="V177" s="268">
        <v>2382119</v>
      </c>
      <c r="W177" s="5" t="s">
        <v>614</v>
      </c>
      <c r="X177" s="5" t="s">
        <v>479</v>
      </c>
      <c r="Y177" s="5" t="s">
        <v>254</v>
      </c>
      <c r="Z177" s="3" t="s">
        <v>186</v>
      </c>
      <c r="AA177" s="6" t="s">
        <v>218</v>
      </c>
      <c r="AB177" s="152" t="s">
        <v>197</v>
      </c>
      <c r="AC177" s="177" t="s">
        <v>6</v>
      </c>
      <c r="AD177" s="177" t="s">
        <v>6</v>
      </c>
      <c r="AE177" s="177" t="s">
        <v>6</v>
      </c>
      <c r="AF177" s="5"/>
      <c r="AG177" s="43"/>
      <c r="AH177" s="228"/>
      <c r="AI177" s="125"/>
      <c r="AJ177" s="125"/>
      <c r="AK177" s="237" t="e">
        <f>SUM(#REF!,BT177,BV177)</f>
        <v>#REF!</v>
      </c>
      <c r="AL177" s="52"/>
      <c r="AM177" s="52"/>
      <c r="AN177" s="52"/>
      <c r="AO177" s="52"/>
      <c r="AP177" s="52"/>
      <c r="AQ177" s="52"/>
      <c r="AR177" s="56">
        <v>29.671410000000005</v>
      </c>
      <c r="AS177" s="56">
        <v>26.310889999999993</v>
      </c>
      <c r="AT177" s="56">
        <v>35.295410000000004</v>
      </c>
      <c r="AU177" s="56">
        <v>0.53947000000000001</v>
      </c>
      <c r="AV177" s="47">
        <v>72.099999999999994</v>
      </c>
      <c r="AW177" s="47">
        <v>0</v>
      </c>
      <c r="AX177" s="97">
        <f t="shared" si="85"/>
        <v>72.099999999999994</v>
      </c>
      <c r="AY177" s="169">
        <f t="shared" si="72"/>
        <v>0.53947000000000001</v>
      </c>
      <c r="AZ177" s="196">
        <v>0.7</v>
      </c>
      <c r="BA177" s="170">
        <v>0.53947000000000001</v>
      </c>
      <c r="BB177" s="196">
        <v>0</v>
      </c>
      <c r="BC177" s="170"/>
      <c r="BD177" s="196">
        <v>0</v>
      </c>
      <c r="BE177" s="170">
        <v>0</v>
      </c>
      <c r="BF177" s="196">
        <v>0</v>
      </c>
      <c r="BG177" s="170"/>
      <c r="BH177" s="196">
        <v>0</v>
      </c>
      <c r="BI177" s="170"/>
      <c r="BJ177" s="196">
        <v>0</v>
      </c>
      <c r="BK177" s="170"/>
      <c r="BL177" s="196"/>
      <c r="BM177" s="170"/>
      <c r="BN177" s="196"/>
      <c r="BO177" s="170"/>
      <c r="BP177" s="196"/>
      <c r="BQ177" s="170"/>
      <c r="BR177" s="196"/>
      <c r="BS177" s="170"/>
      <c r="BT177" s="196"/>
      <c r="BU177" s="170"/>
      <c r="BV177" s="196"/>
      <c r="BW177" s="251"/>
      <c r="BX177" s="254"/>
      <c r="BY177" s="88">
        <f t="shared" si="73"/>
        <v>0</v>
      </c>
      <c r="BZ177" s="258"/>
      <c r="CA177" s="258"/>
      <c r="CB177" s="258"/>
      <c r="CC177" s="258"/>
      <c r="CD177" s="258"/>
      <c r="CE177" s="258"/>
      <c r="CF177" s="258"/>
      <c r="CG177" s="258"/>
      <c r="CH177" s="258"/>
      <c r="CI177" s="258"/>
      <c r="CJ177" s="258"/>
      <c r="CK177" s="258"/>
      <c r="CL177" s="211">
        <f t="shared" si="75"/>
        <v>0</v>
      </c>
      <c r="CM177" s="212"/>
      <c r="CN177" s="212"/>
      <c r="CO177" s="212"/>
      <c r="CP177" s="212"/>
      <c r="CQ177" s="212"/>
      <c r="CR177" s="212"/>
      <c r="CS177" s="212"/>
      <c r="CT177" s="212"/>
      <c r="CU177" s="212"/>
      <c r="CV177" s="212"/>
      <c r="CW177" s="212"/>
      <c r="CX177" s="212"/>
      <c r="CY177" s="216">
        <f t="shared" si="86"/>
        <v>0</v>
      </c>
      <c r="CZ177" s="185">
        <f t="shared" si="74"/>
        <v>0</v>
      </c>
      <c r="DA177" s="217">
        <f t="shared" si="87"/>
        <v>0.53947000000000001</v>
      </c>
      <c r="DB177" s="217">
        <f t="shared" si="88"/>
        <v>0</v>
      </c>
      <c r="DC177" s="217">
        <f t="shared" si="76"/>
        <v>0.53947000000000001</v>
      </c>
      <c r="DD177" s="256">
        <v>0.53947000000000001</v>
      </c>
      <c r="DE177" s="217">
        <f t="shared" si="77"/>
        <v>0</v>
      </c>
      <c r="DF177" s="185" t="e">
        <f>SUM(DN177:DO177)-SUM(#REF!,BV177)+BU177</f>
        <v>#REF!</v>
      </c>
      <c r="DG177" s="223"/>
      <c r="DH177" s="241">
        <f t="shared" si="78"/>
        <v>0.53947000000000001</v>
      </c>
      <c r="DI177" s="241">
        <f t="shared" si="79"/>
        <v>0</v>
      </c>
      <c r="DJ177" s="241">
        <f t="shared" si="80"/>
        <v>0</v>
      </c>
      <c r="DK177" s="241" t="e">
        <f>SUM(BS177,#REF!,BV177)</f>
        <v>#REF!</v>
      </c>
      <c r="DL177" s="155">
        <v>72.099999999999994</v>
      </c>
      <c r="DM177" s="155">
        <v>65.506290000000007</v>
      </c>
      <c r="DN177" s="155">
        <v>0</v>
      </c>
      <c r="DO177" s="155">
        <v>0</v>
      </c>
      <c r="DP177" s="155">
        <v>65.506290000000007</v>
      </c>
      <c r="DQ177" s="155">
        <v>6.5937099999999997</v>
      </c>
      <c r="DR177" s="23">
        <f>VLOOKUP(C177,[6]Database!$B$143:$AD$521,29,FALSE)</f>
        <v>0</v>
      </c>
      <c r="DS177" s="235">
        <f t="shared" si="81"/>
        <v>0</v>
      </c>
    </row>
    <row r="178" spans="1:123" s="23" customFormat="1" ht="24" customHeight="1">
      <c r="A178" s="18"/>
      <c r="B178" s="2">
        <v>135</v>
      </c>
      <c r="C178" s="86" t="s">
        <v>256</v>
      </c>
      <c r="D178" s="86"/>
      <c r="E178" s="85" t="s">
        <v>1016</v>
      </c>
      <c r="F178" s="41">
        <v>2019</v>
      </c>
      <c r="G178" s="42">
        <v>43733</v>
      </c>
      <c r="H178" s="192">
        <v>43787</v>
      </c>
      <c r="I178" s="42"/>
      <c r="J178" s="15">
        <f t="shared" ca="1" si="84"/>
        <v>-1512.4066194444458</v>
      </c>
      <c r="K178" s="177">
        <f t="shared" si="82"/>
        <v>44334</v>
      </c>
      <c r="L178" s="177">
        <f t="shared" si="83"/>
        <v>44517</v>
      </c>
      <c r="M178" s="177"/>
      <c r="N178" s="177" t="s">
        <v>609</v>
      </c>
      <c r="O178" s="250" t="s">
        <v>609</v>
      </c>
      <c r="P178" s="222" t="s">
        <v>1395</v>
      </c>
      <c r="Q178" s="177"/>
      <c r="R178" s="3" t="s">
        <v>176</v>
      </c>
      <c r="S178" s="13" t="s">
        <v>224</v>
      </c>
      <c r="T178" s="43" t="s">
        <v>965</v>
      </c>
      <c r="U178" s="5" t="s">
        <v>9</v>
      </c>
      <c r="V178" s="268">
        <v>2352674</v>
      </c>
      <c r="W178" s="5" t="s">
        <v>614</v>
      </c>
      <c r="X178" s="5" t="s">
        <v>481</v>
      </c>
      <c r="Y178" s="5" t="s">
        <v>257</v>
      </c>
      <c r="Z178" s="85" t="s">
        <v>316</v>
      </c>
      <c r="AA178" s="6" t="s">
        <v>218</v>
      </c>
      <c r="AB178" s="152" t="s">
        <v>197</v>
      </c>
      <c r="AC178" s="177" t="s">
        <v>6</v>
      </c>
      <c r="AD178" s="177">
        <v>44408</v>
      </c>
      <c r="AE178" s="177">
        <f>IFERROR(EOMONTH(L178,-2),"")</f>
        <v>44469</v>
      </c>
      <c r="AF178" s="5"/>
      <c r="AG178" s="43"/>
      <c r="AH178" s="228"/>
      <c r="AI178" s="83" t="s">
        <v>691</v>
      </c>
      <c r="AJ178" s="83"/>
      <c r="AK178" s="237" t="e">
        <f>SUM(#REF!,BT178,BV178)</f>
        <v>#REF!</v>
      </c>
      <c r="AL178" s="166"/>
      <c r="AM178" s="166"/>
      <c r="AN178" s="166"/>
      <c r="AO178" s="166"/>
      <c r="AP178" s="166"/>
      <c r="AQ178" s="166"/>
      <c r="AR178" s="56">
        <v>0</v>
      </c>
      <c r="AS178" s="56">
        <v>131.6</v>
      </c>
      <c r="AT178" s="56">
        <v>99.45938000000001</v>
      </c>
      <c r="AU178" s="56">
        <v>24.49933</v>
      </c>
      <c r="AV178" s="47">
        <v>131.6</v>
      </c>
      <c r="AW178" s="47">
        <v>0</v>
      </c>
      <c r="AX178" s="97">
        <f t="shared" si="85"/>
        <v>131.6</v>
      </c>
      <c r="AY178" s="169">
        <f t="shared" si="72"/>
        <v>30.76388</v>
      </c>
      <c r="AZ178" s="196">
        <v>10</v>
      </c>
      <c r="BA178" s="170">
        <v>4.4993299999999996</v>
      </c>
      <c r="BB178" s="196">
        <v>4</v>
      </c>
      <c r="BC178" s="170">
        <v>0.39062000000000002</v>
      </c>
      <c r="BD178" s="196">
        <v>0</v>
      </c>
      <c r="BE178" s="170">
        <v>0.17463999999999999</v>
      </c>
      <c r="BF178" s="196">
        <v>2</v>
      </c>
      <c r="BG178" s="170">
        <v>1.8841199999999998</v>
      </c>
      <c r="BH178" s="196">
        <v>3</v>
      </c>
      <c r="BI178" s="170">
        <v>13.16933</v>
      </c>
      <c r="BJ178" s="196">
        <v>0</v>
      </c>
      <c r="BK178" s="170">
        <v>0.56834000000000007</v>
      </c>
      <c r="BL178" s="196">
        <f>10-0.748</f>
        <v>9.2520000000000007</v>
      </c>
      <c r="BM178" s="170"/>
      <c r="BN178" s="196">
        <v>9.2520000000000007</v>
      </c>
      <c r="BO178" s="170">
        <v>10.077500000000001</v>
      </c>
      <c r="BP178" s="196"/>
      <c r="BQ178" s="170">
        <v>-9.6759999999999999E-2</v>
      </c>
      <c r="BR178" s="196"/>
      <c r="BS178" s="170">
        <v>9.2719999999999997E-2</v>
      </c>
      <c r="BT178" s="196"/>
      <c r="BU178" s="170">
        <v>4.0400000000000002E-3</v>
      </c>
      <c r="BV178" s="196"/>
      <c r="BW178" s="251"/>
      <c r="BX178" s="254"/>
      <c r="BY178" s="88">
        <f t="shared" si="73"/>
        <v>0</v>
      </c>
      <c r="BZ178" s="258"/>
      <c r="CA178" s="258"/>
      <c r="CB178" s="258"/>
      <c r="CC178" s="258"/>
      <c r="CD178" s="258"/>
      <c r="CE178" s="258"/>
      <c r="CF178" s="258"/>
      <c r="CG178" s="258"/>
      <c r="CH178" s="258"/>
      <c r="CI178" s="258"/>
      <c r="CJ178" s="258"/>
      <c r="CK178" s="258"/>
      <c r="CL178" s="211">
        <f t="shared" si="75"/>
        <v>0</v>
      </c>
      <c r="CM178" s="212"/>
      <c r="CN178" s="212"/>
      <c r="CO178" s="212"/>
      <c r="CP178" s="212"/>
      <c r="CQ178" s="212"/>
      <c r="CR178" s="212"/>
      <c r="CS178" s="212"/>
      <c r="CT178" s="212"/>
      <c r="CU178" s="212"/>
      <c r="CV178" s="212"/>
      <c r="CW178" s="212"/>
      <c r="CX178" s="212"/>
      <c r="CY178" s="216">
        <f t="shared" si="86"/>
        <v>0</v>
      </c>
      <c r="CZ178" s="185">
        <f t="shared" si="74"/>
        <v>0</v>
      </c>
      <c r="DA178" s="217">
        <f t="shared" si="87"/>
        <v>30.76388</v>
      </c>
      <c r="DB178" s="217">
        <f t="shared" si="88"/>
        <v>0</v>
      </c>
      <c r="DC178" s="217">
        <f t="shared" si="76"/>
        <v>30.76388</v>
      </c>
      <c r="DD178" s="256">
        <v>30.759840000000001</v>
      </c>
      <c r="DE178" s="217">
        <f t="shared" si="77"/>
        <v>4.0399999999998215E-3</v>
      </c>
      <c r="DF178" s="185" t="e">
        <f>SUM(DN178:DO178)-SUM(#REF!,BV178)+BU178</f>
        <v>#REF!</v>
      </c>
      <c r="DG178" s="223"/>
      <c r="DH178" s="241">
        <f t="shared" si="78"/>
        <v>5.0645899999999999</v>
      </c>
      <c r="DI178" s="241">
        <f t="shared" si="79"/>
        <v>15.621790000000001</v>
      </c>
      <c r="DJ178" s="241">
        <f t="shared" si="80"/>
        <v>9.9807400000000008</v>
      </c>
      <c r="DK178" s="241" t="e">
        <f>SUM(BS178,#REF!,BV178)</f>
        <v>#REF!</v>
      </c>
      <c r="DL178" s="155">
        <v>131.6</v>
      </c>
      <c r="DM178" s="155">
        <v>130.22325999999998</v>
      </c>
      <c r="DN178" s="155">
        <v>0</v>
      </c>
      <c r="DO178" s="155">
        <v>0</v>
      </c>
      <c r="DP178" s="155">
        <v>130.22325999999998</v>
      </c>
      <c r="DQ178" s="155">
        <v>1.3767400000000001</v>
      </c>
      <c r="DR178" s="23">
        <f>VLOOKUP(C178,[6]Database!$B$143:$AD$521,29,FALSE)</f>
        <v>0</v>
      </c>
      <c r="DS178" s="235">
        <f t="shared" si="81"/>
        <v>0</v>
      </c>
    </row>
    <row r="179" spans="1:123" s="23" customFormat="1" ht="24" customHeight="1">
      <c r="A179" s="18"/>
      <c r="B179" s="2">
        <v>136</v>
      </c>
      <c r="C179" s="86" t="s">
        <v>258</v>
      </c>
      <c r="D179" s="86"/>
      <c r="E179" s="85" t="s">
        <v>881</v>
      </c>
      <c r="F179" s="41">
        <v>2019</v>
      </c>
      <c r="G179" s="42">
        <v>43739</v>
      </c>
      <c r="H179" s="192">
        <v>43802</v>
      </c>
      <c r="I179" s="42">
        <v>44377</v>
      </c>
      <c r="J179" s="15">
        <f t="shared" ca="1" si="84"/>
        <v>575</v>
      </c>
      <c r="K179" s="177">
        <f t="shared" si="82"/>
        <v>44349</v>
      </c>
      <c r="L179" s="177">
        <f t="shared" si="83"/>
        <v>44532</v>
      </c>
      <c r="M179" s="177"/>
      <c r="N179" s="177"/>
      <c r="O179" s="177"/>
      <c r="P179" s="177"/>
      <c r="Q179" s="177"/>
      <c r="R179" s="3" t="s">
        <v>176</v>
      </c>
      <c r="S179" s="13" t="s">
        <v>224</v>
      </c>
      <c r="T179" s="43" t="s">
        <v>965</v>
      </c>
      <c r="U179" s="5" t="s">
        <v>9</v>
      </c>
      <c r="V179" s="268">
        <v>2340229</v>
      </c>
      <c r="W179" s="5" t="s">
        <v>614</v>
      </c>
      <c r="X179" s="5" t="s">
        <v>478</v>
      </c>
      <c r="Y179" s="5" t="s">
        <v>143</v>
      </c>
      <c r="Z179" s="85" t="s">
        <v>316</v>
      </c>
      <c r="AA179" s="6" t="s">
        <v>218</v>
      </c>
      <c r="AB179" s="152" t="s">
        <v>197</v>
      </c>
      <c r="AC179" s="177" t="s">
        <v>6</v>
      </c>
      <c r="AD179" s="177">
        <v>44377</v>
      </c>
      <c r="AE179" s="177" t="s">
        <v>6</v>
      </c>
      <c r="AF179" s="5"/>
      <c r="AG179" s="43"/>
      <c r="AH179" s="228"/>
      <c r="AI179" s="83" t="s">
        <v>690</v>
      </c>
      <c r="AJ179" s="83"/>
      <c r="AK179" s="237" t="e">
        <f>SUM(#REF!,BT179,BV179)</f>
        <v>#REF!</v>
      </c>
      <c r="AL179" s="166"/>
      <c r="AM179" s="166"/>
      <c r="AN179" s="166"/>
      <c r="AO179" s="166"/>
      <c r="AP179" s="166"/>
      <c r="AQ179" s="166"/>
      <c r="AR179" s="56">
        <v>0</v>
      </c>
      <c r="AS179" s="56">
        <v>560.5</v>
      </c>
      <c r="AT179" s="56">
        <v>441.72093000000012</v>
      </c>
      <c r="AU179" s="56">
        <v>29.232530000000001</v>
      </c>
      <c r="AV179" s="47">
        <v>560.5</v>
      </c>
      <c r="AW179" s="47">
        <v>0</v>
      </c>
      <c r="AX179" s="97">
        <f t="shared" si="85"/>
        <v>560.5</v>
      </c>
      <c r="AY179" s="169">
        <f t="shared" si="72"/>
        <v>83.706119999999999</v>
      </c>
      <c r="AZ179" s="196">
        <v>15</v>
      </c>
      <c r="BA179" s="170">
        <v>2.3387399999999996</v>
      </c>
      <c r="BB179" s="196">
        <v>7.893790000000001</v>
      </c>
      <c r="BC179" s="170">
        <v>10.11022</v>
      </c>
      <c r="BD179" s="196">
        <v>8</v>
      </c>
      <c r="BE179" s="170">
        <v>17.808330000000002</v>
      </c>
      <c r="BF179" s="196">
        <v>2</v>
      </c>
      <c r="BG179" s="170">
        <v>6.6118900000000007</v>
      </c>
      <c r="BH179" s="196">
        <v>5</v>
      </c>
      <c r="BI179" s="170">
        <v>16.513649999999998</v>
      </c>
      <c r="BJ179" s="196">
        <v>5</v>
      </c>
      <c r="BK179" s="170">
        <v>10.20201</v>
      </c>
      <c r="BL179" s="196">
        <v>5</v>
      </c>
      <c r="BM179" s="170">
        <v>6.5672999999999995</v>
      </c>
      <c r="BN179" s="196"/>
      <c r="BO179" s="170"/>
      <c r="BP179" s="196"/>
      <c r="BQ179" s="170"/>
      <c r="BR179" s="196"/>
      <c r="BS179" s="170">
        <v>13.553979999999999</v>
      </c>
      <c r="BT179" s="196"/>
      <c r="BU179" s="170"/>
      <c r="BV179" s="196"/>
      <c r="BW179" s="251"/>
      <c r="BX179" s="254"/>
      <c r="BY179" s="88">
        <f t="shared" si="73"/>
        <v>0</v>
      </c>
      <c r="BZ179" s="258"/>
      <c r="CA179" s="258"/>
      <c r="CB179" s="258"/>
      <c r="CC179" s="258"/>
      <c r="CD179" s="258"/>
      <c r="CE179" s="258"/>
      <c r="CF179" s="258"/>
      <c r="CG179" s="258"/>
      <c r="CH179" s="258"/>
      <c r="CI179" s="258"/>
      <c r="CJ179" s="258"/>
      <c r="CK179" s="258"/>
      <c r="CL179" s="211">
        <f t="shared" si="75"/>
        <v>0</v>
      </c>
      <c r="CM179" s="212"/>
      <c r="CN179" s="212"/>
      <c r="CO179" s="212"/>
      <c r="CP179" s="212"/>
      <c r="CQ179" s="212"/>
      <c r="CR179" s="212"/>
      <c r="CS179" s="212"/>
      <c r="CT179" s="212"/>
      <c r="CU179" s="212"/>
      <c r="CV179" s="212"/>
      <c r="CW179" s="212"/>
      <c r="CX179" s="212"/>
      <c r="CY179" s="216">
        <f t="shared" si="86"/>
        <v>0</v>
      </c>
      <c r="CZ179" s="185">
        <f t="shared" si="74"/>
        <v>0</v>
      </c>
      <c r="DA179" s="217">
        <f t="shared" si="87"/>
        <v>83.706119999999999</v>
      </c>
      <c r="DB179" s="217">
        <f t="shared" si="88"/>
        <v>0</v>
      </c>
      <c r="DC179" s="217">
        <f t="shared" si="76"/>
        <v>83.706119999999999</v>
      </c>
      <c r="DD179" s="256">
        <v>83.706119999999999</v>
      </c>
      <c r="DE179" s="217">
        <f t="shared" si="77"/>
        <v>0</v>
      </c>
      <c r="DF179" s="185" t="e">
        <f>SUM(DN179:DO179)-SUM(#REF!,BV179)+BU179</f>
        <v>#REF!</v>
      </c>
      <c r="DG179" s="223"/>
      <c r="DH179" s="241">
        <f t="shared" si="78"/>
        <v>30.257290000000001</v>
      </c>
      <c r="DI179" s="241">
        <f t="shared" si="79"/>
        <v>33.327550000000002</v>
      </c>
      <c r="DJ179" s="241">
        <f t="shared" si="80"/>
        <v>6.5672999999999995</v>
      </c>
      <c r="DK179" s="241" t="e">
        <f>SUM(BS179,#REF!,BV179)</f>
        <v>#REF!</v>
      </c>
      <c r="DL179" s="155">
        <v>560.5</v>
      </c>
      <c r="DM179" s="155">
        <v>525.42705000000001</v>
      </c>
      <c r="DN179" s="155">
        <v>0</v>
      </c>
      <c r="DO179" s="155">
        <v>0</v>
      </c>
      <c r="DP179" s="155">
        <v>525.42705000000001</v>
      </c>
      <c r="DQ179" s="155">
        <v>35.072949999999999</v>
      </c>
      <c r="DR179" s="23">
        <f>VLOOKUP(C179,[6]Database!$B$143:$AD$521,29,FALSE)</f>
        <v>0</v>
      </c>
      <c r="DS179" s="235">
        <f t="shared" si="81"/>
        <v>0</v>
      </c>
    </row>
    <row r="180" spans="1:123" s="23" customFormat="1" ht="24" customHeight="1">
      <c r="A180" s="18"/>
      <c r="B180" s="2">
        <v>139</v>
      </c>
      <c r="C180" s="86" t="s">
        <v>267</v>
      </c>
      <c r="D180" s="86"/>
      <c r="E180" s="85"/>
      <c r="F180" s="41">
        <v>2019</v>
      </c>
      <c r="G180" s="42">
        <v>43752</v>
      </c>
      <c r="H180" s="42">
        <v>43787</v>
      </c>
      <c r="I180" s="42">
        <v>43787</v>
      </c>
      <c r="J180" s="15">
        <f t="shared" ca="1" si="84"/>
        <v>0</v>
      </c>
      <c r="K180" s="177">
        <f t="shared" si="82"/>
        <v>44334</v>
      </c>
      <c r="L180" s="177">
        <f t="shared" si="83"/>
        <v>44517</v>
      </c>
      <c r="M180" s="177"/>
      <c r="N180" s="177"/>
      <c r="O180" s="177"/>
      <c r="P180" s="177"/>
      <c r="Q180" s="177"/>
      <c r="R180" s="3" t="s">
        <v>178</v>
      </c>
      <c r="S180" s="13" t="s">
        <v>224</v>
      </c>
      <c r="T180" s="43"/>
      <c r="U180" s="5" t="s">
        <v>9</v>
      </c>
      <c r="V180" s="268">
        <v>2398291</v>
      </c>
      <c r="W180" s="5" t="s">
        <v>614</v>
      </c>
      <c r="X180" s="5" t="s">
        <v>481</v>
      </c>
      <c r="Y180" s="5" t="s">
        <v>265</v>
      </c>
      <c r="Z180" s="3" t="s">
        <v>181</v>
      </c>
      <c r="AA180" s="6" t="s">
        <v>218</v>
      </c>
      <c r="AB180" s="287" t="s">
        <v>331</v>
      </c>
      <c r="AC180" s="177" t="s">
        <v>6</v>
      </c>
      <c r="AD180" s="177" t="s">
        <v>6</v>
      </c>
      <c r="AE180" s="177" t="s">
        <v>6</v>
      </c>
      <c r="AF180" s="5"/>
      <c r="AG180" s="43"/>
      <c r="AH180" s="228"/>
      <c r="AI180" s="83"/>
      <c r="AJ180" s="83"/>
      <c r="AK180" s="237" t="e">
        <f>SUM(#REF!,BT180,BV180)</f>
        <v>#REF!</v>
      </c>
      <c r="AL180" s="52"/>
      <c r="AM180" s="52"/>
      <c r="AN180" s="52"/>
      <c r="AO180" s="52"/>
      <c r="AP180" s="52"/>
      <c r="AQ180" s="52"/>
      <c r="AR180" s="56">
        <v>0</v>
      </c>
      <c r="AS180" s="56"/>
      <c r="AT180" s="56">
        <v>0</v>
      </c>
      <c r="AU180" s="56"/>
      <c r="AV180" s="47">
        <v>0</v>
      </c>
      <c r="AW180" s="47">
        <v>0</v>
      </c>
      <c r="AX180" s="97">
        <f t="shared" si="85"/>
        <v>0</v>
      </c>
      <c r="AY180" s="169">
        <f t="shared" si="72"/>
        <v>0</v>
      </c>
      <c r="AZ180" s="196">
        <v>0</v>
      </c>
      <c r="BA180" s="170"/>
      <c r="BB180" s="196">
        <v>0</v>
      </c>
      <c r="BC180" s="170"/>
      <c r="BD180" s="196">
        <v>0</v>
      </c>
      <c r="BE180" s="170">
        <v>0</v>
      </c>
      <c r="BF180" s="196">
        <v>0</v>
      </c>
      <c r="BG180" s="170"/>
      <c r="BH180" s="196">
        <v>0</v>
      </c>
      <c r="BI180" s="170"/>
      <c r="BJ180" s="196">
        <v>0</v>
      </c>
      <c r="BK180" s="170"/>
      <c r="BL180" s="196"/>
      <c r="BM180" s="170"/>
      <c r="BN180" s="196"/>
      <c r="BO180" s="170"/>
      <c r="BP180" s="196"/>
      <c r="BQ180" s="170"/>
      <c r="BR180" s="196"/>
      <c r="BS180" s="170"/>
      <c r="BT180" s="196"/>
      <c r="BU180" s="170"/>
      <c r="BV180" s="196"/>
      <c r="BW180" s="251"/>
      <c r="BX180" s="254"/>
      <c r="BY180" s="88">
        <f t="shared" si="73"/>
        <v>0</v>
      </c>
      <c r="BZ180" s="214"/>
      <c r="CA180" s="214"/>
      <c r="CB180" s="214"/>
      <c r="CC180" s="214"/>
      <c r="CD180" s="214"/>
      <c r="CE180" s="214"/>
      <c r="CF180" s="214"/>
      <c r="CG180" s="214"/>
      <c r="CH180" s="214"/>
      <c r="CI180" s="214"/>
      <c r="CJ180" s="214"/>
      <c r="CK180" s="214"/>
      <c r="CL180" s="211">
        <f t="shared" si="75"/>
        <v>0</v>
      </c>
      <c r="CM180" s="212"/>
      <c r="CN180" s="212"/>
      <c r="CO180" s="212"/>
      <c r="CP180" s="212"/>
      <c r="CQ180" s="212"/>
      <c r="CR180" s="212"/>
      <c r="CS180" s="212"/>
      <c r="CT180" s="212"/>
      <c r="CU180" s="212"/>
      <c r="CV180" s="212"/>
      <c r="CW180" s="212"/>
      <c r="CX180" s="212"/>
      <c r="CY180" s="216">
        <f t="shared" si="86"/>
        <v>0</v>
      </c>
      <c r="CZ180" s="185">
        <f t="shared" si="74"/>
        <v>0</v>
      </c>
      <c r="DA180" s="217">
        <f t="shared" si="87"/>
        <v>0</v>
      </c>
      <c r="DB180" s="217">
        <f t="shared" si="88"/>
        <v>0</v>
      </c>
      <c r="DC180" s="217">
        <f t="shared" si="76"/>
        <v>0</v>
      </c>
      <c r="DD180" s="256">
        <v>0</v>
      </c>
      <c r="DE180" s="217">
        <f t="shared" si="77"/>
        <v>0</v>
      </c>
      <c r="DF180" s="185" t="e">
        <f>SUM(DN180:DO180)-SUM(#REF!,BV180)+BU180</f>
        <v>#REF!</v>
      </c>
      <c r="DG180" s="223"/>
      <c r="DH180" s="241">
        <f t="shared" si="78"/>
        <v>0</v>
      </c>
      <c r="DI180" s="241">
        <f t="shared" si="79"/>
        <v>0</v>
      </c>
      <c r="DJ180" s="241">
        <f t="shared" si="80"/>
        <v>0</v>
      </c>
      <c r="DK180" s="241" t="e">
        <f>SUM(BS180,#REF!,BV180)</f>
        <v>#REF!</v>
      </c>
      <c r="DL180" s="155">
        <v>140</v>
      </c>
      <c r="DM180" s="155">
        <v>0</v>
      </c>
      <c r="DN180" s="155">
        <v>0</v>
      </c>
      <c r="DO180" s="155">
        <v>0</v>
      </c>
      <c r="DP180" s="155">
        <v>0</v>
      </c>
      <c r="DQ180" s="155">
        <v>140</v>
      </c>
      <c r="DS180" s="235">
        <f t="shared" si="81"/>
        <v>0</v>
      </c>
    </row>
    <row r="181" spans="1:123" s="23" customFormat="1" ht="24" customHeight="1">
      <c r="A181" s="18"/>
      <c r="B181" s="2">
        <v>140</v>
      </c>
      <c r="C181" s="86" t="s">
        <v>273</v>
      </c>
      <c r="D181" s="86"/>
      <c r="E181" s="85"/>
      <c r="F181" s="41">
        <v>2019</v>
      </c>
      <c r="G181" s="42">
        <v>43752</v>
      </c>
      <c r="H181" s="286">
        <v>43753</v>
      </c>
      <c r="I181" s="286">
        <v>43753</v>
      </c>
      <c r="J181" s="15">
        <f t="shared" ca="1" si="84"/>
        <v>0</v>
      </c>
      <c r="K181" s="177">
        <f t="shared" si="82"/>
        <v>44300</v>
      </c>
      <c r="L181" s="177">
        <f t="shared" si="83"/>
        <v>44483</v>
      </c>
      <c r="M181" s="177"/>
      <c r="N181" s="177"/>
      <c r="O181" s="177"/>
      <c r="P181" s="177"/>
      <c r="Q181" s="177"/>
      <c r="R181" s="3" t="s">
        <v>176</v>
      </c>
      <c r="S181" s="13" t="s">
        <v>224</v>
      </c>
      <c r="T181" s="43"/>
      <c r="U181" s="5" t="s">
        <v>9</v>
      </c>
      <c r="V181" s="268"/>
      <c r="W181" s="5" t="s">
        <v>614</v>
      </c>
      <c r="X181" s="5" t="s">
        <v>481</v>
      </c>
      <c r="Y181" s="5" t="s">
        <v>272</v>
      </c>
      <c r="Z181" s="3" t="s">
        <v>181</v>
      </c>
      <c r="AA181" s="6" t="s">
        <v>218</v>
      </c>
      <c r="AB181" s="287" t="s">
        <v>526</v>
      </c>
      <c r="AC181" s="177" t="s">
        <v>6</v>
      </c>
      <c r="AD181" s="177" t="s">
        <v>6</v>
      </c>
      <c r="AE181" s="177" t="s">
        <v>6</v>
      </c>
      <c r="AF181" s="5"/>
      <c r="AG181" s="43"/>
      <c r="AH181" s="228"/>
      <c r="AI181" s="125"/>
      <c r="AJ181" s="125"/>
      <c r="AK181" s="237" t="e">
        <f>SUM(#REF!,BT181,BV181)</f>
        <v>#REF!</v>
      </c>
      <c r="AL181" s="165"/>
      <c r="AM181" s="165"/>
      <c r="AN181" s="165"/>
      <c r="AO181" s="165"/>
      <c r="AP181" s="165"/>
      <c r="AQ181" s="165"/>
      <c r="AR181" s="56">
        <v>0</v>
      </c>
      <c r="AS181" s="56"/>
      <c r="AT181" s="56">
        <v>0</v>
      </c>
      <c r="AU181" s="56"/>
      <c r="AV181" s="47">
        <v>0</v>
      </c>
      <c r="AW181" s="47">
        <v>0</v>
      </c>
      <c r="AX181" s="97">
        <f t="shared" si="85"/>
        <v>0</v>
      </c>
      <c r="AY181" s="169">
        <f t="shared" si="72"/>
        <v>0</v>
      </c>
      <c r="AZ181" s="196">
        <v>0</v>
      </c>
      <c r="BA181" s="170"/>
      <c r="BB181" s="196">
        <v>0</v>
      </c>
      <c r="BC181" s="170"/>
      <c r="BD181" s="196">
        <v>0</v>
      </c>
      <c r="BE181" s="170">
        <v>0</v>
      </c>
      <c r="BF181" s="196">
        <v>0</v>
      </c>
      <c r="BG181" s="170"/>
      <c r="BH181" s="196">
        <v>0</v>
      </c>
      <c r="BI181" s="170"/>
      <c r="BJ181" s="196">
        <v>0</v>
      </c>
      <c r="BK181" s="170"/>
      <c r="BL181" s="196"/>
      <c r="BM181" s="170"/>
      <c r="BN181" s="196"/>
      <c r="BO181" s="170"/>
      <c r="BP181" s="196"/>
      <c r="BQ181" s="170"/>
      <c r="BR181" s="196"/>
      <c r="BS181" s="170"/>
      <c r="BT181" s="196"/>
      <c r="BU181" s="170"/>
      <c r="BV181" s="196"/>
      <c r="BW181" s="251"/>
      <c r="BX181" s="254"/>
      <c r="BY181" s="88">
        <f t="shared" si="73"/>
        <v>0</v>
      </c>
      <c r="BZ181" s="258"/>
      <c r="CA181" s="258"/>
      <c r="CB181" s="258"/>
      <c r="CC181" s="258"/>
      <c r="CD181" s="258"/>
      <c r="CE181" s="258"/>
      <c r="CF181" s="258"/>
      <c r="CG181" s="258"/>
      <c r="CH181" s="258"/>
      <c r="CI181" s="258"/>
      <c r="CJ181" s="258"/>
      <c r="CK181" s="258"/>
      <c r="CL181" s="211">
        <f t="shared" si="75"/>
        <v>0</v>
      </c>
      <c r="CM181" s="212"/>
      <c r="CN181" s="212"/>
      <c r="CO181" s="212"/>
      <c r="CP181" s="212"/>
      <c r="CQ181" s="212"/>
      <c r="CR181" s="212"/>
      <c r="CS181" s="212"/>
      <c r="CT181" s="212"/>
      <c r="CU181" s="212"/>
      <c r="CV181" s="212"/>
      <c r="CW181" s="212"/>
      <c r="CX181" s="212"/>
      <c r="CY181" s="216">
        <f t="shared" si="86"/>
        <v>0</v>
      </c>
      <c r="CZ181" s="185">
        <f t="shared" si="74"/>
        <v>0</v>
      </c>
      <c r="DA181" s="217">
        <f t="shared" si="87"/>
        <v>0</v>
      </c>
      <c r="DB181" s="217">
        <f t="shared" si="88"/>
        <v>0</v>
      </c>
      <c r="DC181" s="217">
        <f t="shared" si="76"/>
        <v>0</v>
      </c>
      <c r="DD181" s="256">
        <v>0</v>
      </c>
      <c r="DE181" s="217">
        <f t="shared" si="77"/>
        <v>0</v>
      </c>
      <c r="DF181" s="185" t="e">
        <f>SUM(DN181:DO181)-SUM(#REF!,BV181)+BU181</f>
        <v>#REF!</v>
      </c>
      <c r="DG181" s="223"/>
      <c r="DH181" s="241">
        <f t="shared" si="78"/>
        <v>0</v>
      </c>
      <c r="DI181" s="241">
        <f t="shared" si="79"/>
        <v>0</v>
      </c>
      <c r="DJ181" s="241">
        <f t="shared" si="80"/>
        <v>0</v>
      </c>
      <c r="DK181" s="241" t="e">
        <f>SUM(BS181,#REF!,BV181)</f>
        <v>#REF!</v>
      </c>
      <c r="DL181" s="155">
        <v>0</v>
      </c>
      <c r="DM181" s="155">
        <v>0</v>
      </c>
      <c r="DN181" s="155">
        <v>0</v>
      </c>
      <c r="DO181" s="155">
        <v>0</v>
      </c>
      <c r="DP181" s="155">
        <v>0</v>
      </c>
      <c r="DQ181" s="155">
        <v>0</v>
      </c>
      <c r="DS181" s="235">
        <f t="shared" si="81"/>
        <v>0</v>
      </c>
    </row>
    <row r="182" spans="1:123" s="23" customFormat="1" ht="24" customHeight="1">
      <c r="A182" s="18"/>
      <c r="B182" s="2">
        <v>141</v>
      </c>
      <c r="C182" s="86" t="s">
        <v>268</v>
      </c>
      <c r="D182" s="86"/>
      <c r="E182" s="85"/>
      <c r="F182" s="41">
        <v>2019</v>
      </c>
      <c r="G182" s="42">
        <v>43752</v>
      </c>
      <c r="H182" s="286">
        <v>43753</v>
      </c>
      <c r="I182" s="286">
        <v>43753</v>
      </c>
      <c r="J182" s="15">
        <f t="shared" ca="1" si="84"/>
        <v>0</v>
      </c>
      <c r="K182" s="177">
        <f t="shared" si="82"/>
        <v>44300</v>
      </c>
      <c r="L182" s="177">
        <f t="shared" si="83"/>
        <v>44483</v>
      </c>
      <c r="M182" s="177"/>
      <c r="N182" s="177"/>
      <c r="O182" s="177"/>
      <c r="P182" s="177"/>
      <c r="Q182" s="177"/>
      <c r="R182" s="3" t="s">
        <v>176</v>
      </c>
      <c r="S182" s="13" t="s">
        <v>222</v>
      </c>
      <c r="T182" s="43"/>
      <c r="U182" s="5" t="s">
        <v>9</v>
      </c>
      <c r="V182" s="268">
        <v>2422075</v>
      </c>
      <c r="W182" s="5" t="s">
        <v>614</v>
      </c>
      <c r="X182" s="5" t="s">
        <v>474</v>
      </c>
      <c r="Y182" s="5" t="s">
        <v>270</v>
      </c>
      <c r="Z182" s="3" t="s">
        <v>181</v>
      </c>
      <c r="AA182" s="6" t="s">
        <v>218</v>
      </c>
      <c r="AB182" s="287" t="s">
        <v>524</v>
      </c>
      <c r="AC182" s="177" t="s">
        <v>6</v>
      </c>
      <c r="AD182" s="177" t="s">
        <v>6</v>
      </c>
      <c r="AE182" s="177" t="s">
        <v>6</v>
      </c>
      <c r="AF182" s="5"/>
      <c r="AG182" s="43"/>
      <c r="AH182" s="228"/>
      <c r="AI182" s="125"/>
      <c r="AJ182" s="125"/>
      <c r="AK182" s="237" t="e">
        <f>SUM(#REF!,BT182,BV182)</f>
        <v>#REF!</v>
      </c>
      <c r="AL182" s="52"/>
      <c r="AM182" s="52"/>
      <c r="AN182" s="52"/>
      <c r="AO182" s="52"/>
      <c r="AP182" s="52"/>
      <c r="AQ182" s="52"/>
      <c r="AR182" s="56">
        <v>0</v>
      </c>
      <c r="AS182" s="56"/>
      <c r="AT182" s="56">
        <v>0</v>
      </c>
      <c r="AU182" s="56"/>
      <c r="AV182" s="47">
        <v>0</v>
      </c>
      <c r="AW182" s="47">
        <v>0</v>
      </c>
      <c r="AX182" s="97">
        <f t="shared" si="85"/>
        <v>0</v>
      </c>
      <c r="AY182" s="169">
        <f t="shared" si="72"/>
        <v>0</v>
      </c>
      <c r="AZ182" s="196">
        <v>0</v>
      </c>
      <c r="BA182" s="170"/>
      <c r="BB182" s="196">
        <v>0</v>
      </c>
      <c r="BC182" s="170"/>
      <c r="BD182" s="196">
        <v>0</v>
      </c>
      <c r="BE182" s="170">
        <v>0</v>
      </c>
      <c r="BF182" s="196">
        <v>0</v>
      </c>
      <c r="BG182" s="170"/>
      <c r="BH182" s="196">
        <v>0</v>
      </c>
      <c r="BI182" s="170"/>
      <c r="BJ182" s="196">
        <v>0</v>
      </c>
      <c r="BK182" s="170"/>
      <c r="BL182" s="196"/>
      <c r="BM182" s="170"/>
      <c r="BN182" s="196"/>
      <c r="BO182" s="170"/>
      <c r="BP182" s="196"/>
      <c r="BQ182" s="170"/>
      <c r="BR182" s="196"/>
      <c r="BS182" s="170"/>
      <c r="BT182" s="196"/>
      <c r="BU182" s="170"/>
      <c r="BV182" s="196"/>
      <c r="BW182" s="251"/>
      <c r="BX182" s="254"/>
      <c r="BY182" s="88">
        <f t="shared" si="73"/>
        <v>0</v>
      </c>
      <c r="BZ182" s="258"/>
      <c r="CA182" s="258"/>
      <c r="CB182" s="258"/>
      <c r="CC182" s="258"/>
      <c r="CD182" s="258"/>
      <c r="CE182" s="258"/>
      <c r="CF182" s="258"/>
      <c r="CG182" s="258"/>
      <c r="CH182" s="258"/>
      <c r="CI182" s="258"/>
      <c r="CJ182" s="258"/>
      <c r="CK182" s="258"/>
      <c r="CL182" s="211">
        <f t="shared" si="75"/>
        <v>0</v>
      </c>
      <c r="CM182" s="212"/>
      <c r="CN182" s="212"/>
      <c r="CO182" s="212"/>
      <c r="CP182" s="212"/>
      <c r="CQ182" s="212"/>
      <c r="CR182" s="212"/>
      <c r="CS182" s="212"/>
      <c r="CT182" s="212"/>
      <c r="CU182" s="212"/>
      <c r="CV182" s="212"/>
      <c r="CW182" s="212"/>
      <c r="CX182" s="212"/>
      <c r="CY182" s="216">
        <f t="shared" si="86"/>
        <v>0</v>
      </c>
      <c r="CZ182" s="185">
        <f t="shared" si="74"/>
        <v>0</v>
      </c>
      <c r="DA182" s="217">
        <f t="shared" si="87"/>
        <v>0</v>
      </c>
      <c r="DB182" s="217">
        <f t="shared" si="88"/>
        <v>0</v>
      </c>
      <c r="DC182" s="217">
        <f t="shared" si="76"/>
        <v>0</v>
      </c>
      <c r="DD182" s="256">
        <v>0</v>
      </c>
      <c r="DE182" s="217">
        <f t="shared" si="77"/>
        <v>0</v>
      </c>
      <c r="DF182" s="185" t="e">
        <f>SUM(DN182:DO182)-SUM(#REF!,BV182)+BU182</f>
        <v>#REF!</v>
      </c>
      <c r="DG182" s="223"/>
      <c r="DH182" s="241">
        <f t="shared" si="78"/>
        <v>0</v>
      </c>
      <c r="DI182" s="241">
        <f t="shared" si="79"/>
        <v>0</v>
      </c>
      <c r="DJ182" s="241">
        <f t="shared" si="80"/>
        <v>0</v>
      </c>
      <c r="DK182" s="241" t="e">
        <f>SUM(BS182,#REF!,BV182)</f>
        <v>#REF!</v>
      </c>
      <c r="DL182" s="155">
        <v>0</v>
      </c>
      <c r="DM182" s="155">
        <v>0</v>
      </c>
      <c r="DN182" s="155">
        <v>0</v>
      </c>
      <c r="DO182" s="155">
        <v>0</v>
      </c>
      <c r="DP182" s="155">
        <v>0</v>
      </c>
      <c r="DQ182" s="155">
        <v>0</v>
      </c>
      <c r="DS182" s="235">
        <f t="shared" si="81"/>
        <v>0</v>
      </c>
    </row>
    <row r="183" spans="1:123" s="23" customFormat="1" ht="24" customHeight="1">
      <c r="A183" s="18"/>
      <c r="B183" s="2">
        <v>142</v>
      </c>
      <c r="C183" s="86" t="s">
        <v>269</v>
      </c>
      <c r="D183" s="86"/>
      <c r="E183" s="85" t="s">
        <v>895</v>
      </c>
      <c r="F183" s="41">
        <v>2019</v>
      </c>
      <c r="G183" s="42">
        <v>43752</v>
      </c>
      <c r="H183" s="192">
        <v>43771</v>
      </c>
      <c r="I183" s="42">
        <v>44201</v>
      </c>
      <c r="J183" s="15">
        <f t="shared" ca="1" si="84"/>
        <v>430</v>
      </c>
      <c r="K183" s="177">
        <f t="shared" si="82"/>
        <v>44318</v>
      </c>
      <c r="L183" s="177">
        <f t="shared" si="83"/>
        <v>44501</v>
      </c>
      <c r="M183" s="177"/>
      <c r="N183" s="177"/>
      <c r="O183" s="177"/>
      <c r="P183" s="177"/>
      <c r="Q183" s="177"/>
      <c r="R183" s="3" t="s">
        <v>176</v>
      </c>
      <c r="S183" s="13" t="s">
        <v>222</v>
      </c>
      <c r="T183" s="43" t="s">
        <v>979</v>
      </c>
      <c r="U183" s="5" t="s">
        <v>9</v>
      </c>
      <c r="V183" s="268">
        <v>2368666</v>
      </c>
      <c r="W183" s="5" t="s">
        <v>614</v>
      </c>
      <c r="X183" s="5" t="s">
        <v>474</v>
      </c>
      <c r="Y183" s="5" t="s">
        <v>271</v>
      </c>
      <c r="Z183" s="3" t="s">
        <v>181</v>
      </c>
      <c r="AA183" s="6" t="s">
        <v>218</v>
      </c>
      <c r="AB183" s="163" t="s">
        <v>986</v>
      </c>
      <c r="AC183" s="177" t="s">
        <v>6</v>
      </c>
      <c r="AD183" s="177">
        <v>44286</v>
      </c>
      <c r="AE183" s="177" t="s">
        <v>6</v>
      </c>
      <c r="AF183" s="5"/>
      <c r="AG183" s="43"/>
      <c r="AH183" s="228"/>
      <c r="AI183" s="125"/>
      <c r="AJ183" s="125"/>
      <c r="AK183" s="237" t="e">
        <f>SUM(#REF!,BT183,BV183)</f>
        <v>#REF!</v>
      </c>
      <c r="AL183" s="166"/>
      <c r="AM183" s="166"/>
      <c r="AN183" s="166"/>
      <c r="AO183" s="166"/>
      <c r="AP183" s="166"/>
      <c r="AQ183" s="166"/>
      <c r="AR183" s="56">
        <v>0</v>
      </c>
      <c r="AS183" s="56">
        <v>0</v>
      </c>
      <c r="AT183" s="56">
        <v>96.49378999999999</v>
      </c>
      <c r="AU183" s="56">
        <v>6</v>
      </c>
      <c r="AV183" s="47">
        <v>120</v>
      </c>
      <c r="AW183" s="47">
        <v>0</v>
      </c>
      <c r="AX183" s="97">
        <f t="shared" si="85"/>
        <v>120</v>
      </c>
      <c r="AY183" s="169">
        <f t="shared" si="72"/>
        <v>3.8177699999999999</v>
      </c>
      <c r="AZ183" s="196">
        <v>0</v>
      </c>
      <c r="BA183" s="170">
        <v>0</v>
      </c>
      <c r="BB183" s="196">
        <v>6</v>
      </c>
      <c r="BC183" s="170"/>
      <c r="BD183" s="196">
        <v>4</v>
      </c>
      <c r="BE183" s="170">
        <v>3.8177699999999999</v>
      </c>
      <c r="BF183" s="196">
        <v>0</v>
      </c>
      <c r="BG183" s="170"/>
      <c r="BH183" s="196">
        <v>0</v>
      </c>
      <c r="BI183" s="170"/>
      <c r="BJ183" s="196">
        <v>0</v>
      </c>
      <c r="BK183" s="170"/>
      <c r="BL183" s="196"/>
      <c r="BM183" s="170"/>
      <c r="BN183" s="196"/>
      <c r="BO183" s="170"/>
      <c r="BP183" s="196"/>
      <c r="BQ183" s="170"/>
      <c r="BR183" s="196"/>
      <c r="BS183" s="170"/>
      <c r="BT183" s="196"/>
      <c r="BU183" s="170"/>
      <c r="BV183" s="196"/>
      <c r="BW183" s="251"/>
      <c r="BX183" s="254"/>
      <c r="BY183" s="88">
        <f t="shared" si="73"/>
        <v>0</v>
      </c>
      <c r="BZ183" s="258"/>
      <c r="CA183" s="258"/>
      <c r="CB183" s="258"/>
      <c r="CC183" s="258"/>
      <c r="CD183" s="258"/>
      <c r="CE183" s="258"/>
      <c r="CF183" s="258"/>
      <c r="CG183" s="258"/>
      <c r="CH183" s="258"/>
      <c r="CI183" s="258"/>
      <c r="CJ183" s="258"/>
      <c r="CK183" s="258"/>
      <c r="CL183" s="211">
        <f t="shared" si="75"/>
        <v>0</v>
      </c>
      <c r="CM183" s="212"/>
      <c r="CN183" s="212"/>
      <c r="CO183" s="212"/>
      <c r="CP183" s="212"/>
      <c r="CQ183" s="212"/>
      <c r="CR183" s="212"/>
      <c r="CS183" s="212"/>
      <c r="CT183" s="212"/>
      <c r="CU183" s="212"/>
      <c r="CV183" s="212"/>
      <c r="CW183" s="212"/>
      <c r="CX183" s="212"/>
      <c r="CY183" s="216">
        <f t="shared" si="86"/>
        <v>0</v>
      </c>
      <c r="CZ183" s="185">
        <f t="shared" si="74"/>
        <v>0</v>
      </c>
      <c r="DA183" s="217">
        <f t="shared" si="87"/>
        <v>3.8177699999999999</v>
      </c>
      <c r="DB183" s="217">
        <f t="shared" si="88"/>
        <v>0</v>
      </c>
      <c r="DC183" s="217">
        <f t="shared" si="76"/>
        <v>3.8177699999999999</v>
      </c>
      <c r="DD183" s="256">
        <v>3.8177699999999999</v>
      </c>
      <c r="DE183" s="217">
        <f t="shared" si="77"/>
        <v>0</v>
      </c>
      <c r="DF183" s="185" t="e">
        <f>SUM(DN183:DO183)-SUM(#REF!,BV183)+BU183</f>
        <v>#REF!</v>
      </c>
      <c r="DG183" s="223"/>
      <c r="DH183" s="241">
        <f t="shared" si="78"/>
        <v>3.8177699999999999</v>
      </c>
      <c r="DI183" s="241">
        <f t="shared" si="79"/>
        <v>0</v>
      </c>
      <c r="DJ183" s="241">
        <f t="shared" si="80"/>
        <v>0</v>
      </c>
      <c r="DK183" s="241" t="e">
        <f>SUM(BS183,#REF!,BV183)</f>
        <v>#REF!</v>
      </c>
      <c r="DL183" s="155">
        <v>120</v>
      </c>
      <c r="DM183" s="155">
        <v>100.31156</v>
      </c>
      <c r="DN183" s="155">
        <v>0</v>
      </c>
      <c r="DO183" s="155">
        <v>0</v>
      </c>
      <c r="DP183" s="155">
        <v>100.31156</v>
      </c>
      <c r="DQ183" s="155">
        <v>19.68844</v>
      </c>
      <c r="DR183" s="23">
        <f>VLOOKUP(C183,[6]Database!$B$143:$AD$521,29,FALSE)</f>
        <v>0</v>
      </c>
      <c r="DS183" s="235">
        <f t="shared" si="81"/>
        <v>0</v>
      </c>
    </row>
    <row r="184" spans="1:123" s="23" customFormat="1" ht="24" customHeight="1">
      <c r="A184" s="18"/>
      <c r="B184" s="2">
        <v>143</v>
      </c>
      <c r="C184" s="86" t="s">
        <v>274</v>
      </c>
      <c r="D184" s="86"/>
      <c r="E184" s="85" t="s">
        <v>898</v>
      </c>
      <c r="F184" s="41">
        <v>2019</v>
      </c>
      <c r="G184" s="42">
        <v>43752</v>
      </c>
      <c r="H184" s="192">
        <v>43804</v>
      </c>
      <c r="I184" s="42">
        <v>44285</v>
      </c>
      <c r="J184" s="15">
        <f t="shared" ca="1" si="84"/>
        <v>481</v>
      </c>
      <c r="K184" s="177">
        <f t="shared" si="82"/>
        <v>44351</v>
      </c>
      <c r="L184" s="177">
        <f t="shared" si="83"/>
        <v>44534</v>
      </c>
      <c r="M184" s="177"/>
      <c r="N184" s="177"/>
      <c r="O184" s="177"/>
      <c r="P184" s="177"/>
      <c r="Q184" s="177"/>
      <c r="R184" s="3" t="s">
        <v>176</v>
      </c>
      <c r="S184" s="13" t="s">
        <v>5</v>
      </c>
      <c r="T184" s="43"/>
      <c r="U184" s="5" t="s">
        <v>9</v>
      </c>
      <c r="V184" s="268">
        <v>2421971</v>
      </c>
      <c r="W184" s="5" t="s">
        <v>614</v>
      </c>
      <c r="X184" s="5" t="s">
        <v>480</v>
      </c>
      <c r="Y184" s="5" t="s">
        <v>275</v>
      </c>
      <c r="Z184" s="3" t="s">
        <v>181</v>
      </c>
      <c r="AA184" s="6" t="s">
        <v>218</v>
      </c>
      <c r="AB184" s="152" t="s">
        <v>197</v>
      </c>
      <c r="AC184" s="177" t="s">
        <v>6</v>
      </c>
      <c r="AD184" s="177">
        <v>44285</v>
      </c>
      <c r="AE184" s="177" t="s">
        <v>6</v>
      </c>
      <c r="AF184" s="5"/>
      <c r="AG184" s="43"/>
      <c r="AH184" s="228"/>
      <c r="AI184" s="83"/>
      <c r="AJ184" s="83"/>
      <c r="AK184" s="237" t="e">
        <f>SUM(#REF!,BT184,BV184)</f>
        <v>#REF!</v>
      </c>
      <c r="AL184" s="179"/>
      <c r="AM184" s="179"/>
      <c r="AN184" s="179"/>
      <c r="AO184" s="179"/>
      <c r="AP184" s="179"/>
      <c r="AQ184" s="179"/>
      <c r="AR184" s="56">
        <v>150.19739999999999</v>
      </c>
      <c r="AS184" s="56">
        <v>74.8</v>
      </c>
      <c r="AT184" s="56">
        <v>47.090540000000004</v>
      </c>
      <c r="AU184" s="56">
        <v>18</v>
      </c>
      <c r="AV184" s="47">
        <v>225</v>
      </c>
      <c r="AW184" s="47">
        <v>0</v>
      </c>
      <c r="AX184" s="97">
        <f t="shared" si="85"/>
        <v>225</v>
      </c>
      <c r="AY184" s="169">
        <f t="shared" si="72"/>
        <v>0</v>
      </c>
      <c r="AZ184" s="196">
        <v>0</v>
      </c>
      <c r="BA184" s="170">
        <v>0</v>
      </c>
      <c r="BB184" s="196">
        <v>0</v>
      </c>
      <c r="BC184" s="170"/>
      <c r="BD184" s="196">
        <v>2</v>
      </c>
      <c r="BE184" s="170">
        <v>0</v>
      </c>
      <c r="BF184" s="196">
        <v>0</v>
      </c>
      <c r="BG184" s="170"/>
      <c r="BH184" s="196">
        <v>0</v>
      </c>
      <c r="BI184" s="170"/>
      <c r="BJ184" s="196">
        <v>0</v>
      </c>
      <c r="BK184" s="170"/>
      <c r="BL184" s="196"/>
      <c r="BM184" s="170"/>
      <c r="BN184" s="196"/>
      <c r="BO184" s="170"/>
      <c r="BP184" s="196"/>
      <c r="BQ184" s="170"/>
      <c r="BR184" s="196"/>
      <c r="BS184" s="170"/>
      <c r="BT184" s="196"/>
      <c r="BU184" s="170"/>
      <c r="BV184" s="196"/>
      <c r="BW184" s="251"/>
      <c r="BX184" s="254"/>
      <c r="BY184" s="88">
        <f t="shared" si="73"/>
        <v>0</v>
      </c>
      <c r="BZ184" s="258"/>
      <c r="CA184" s="258"/>
      <c r="CB184" s="258"/>
      <c r="CC184" s="258"/>
      <c r="CD184" s="258"/>
      <c r="CE184" s="258"/>
      <c r="CF184" s="258"/>
      <c r="CG184" s="258"/>
      <c r="CH184" s="258"/>
      <c r="CI184" s="258"/>
      <c r="CJ184" s="258"/>
      <c r="CK184" s="258"/>
      <c r="CL184" s="211">
        <f t="shared" si="75"/>
        <v>0</v>
      </c>
      <c r="CM184" s="212"/>
      <c r="CN184" s="212"/>
      <c r="CO184" s="212"/>
      <c r="CP184" s="212"/>
      <c r="CQ184" s="212"/>
      <c r="CR184" s="212"/>
      <c r="CS184" s="212"/>
      <c r="CT184" s="212"/>
      <c r="CU184" s="212"/>
      <c r="CV184" s="212"/>
      <c r="CW184" s="212"/>
      <c r="CX184" s="212"/>
      <c r="CY184" s="216">
        <f t="shared" si="86"/>
        <v>0</v>
      </c>
      <c r="CZ184" s="185">
        <f t="shared" si="74"/>
        <v>0</v>
      </c>
      <c r="DA184" s="217">
        <f t="shared" si="87"/>
        <v>0</v>
      </c>
      <c r="DB184" s="217">
        <f t="shared" si="88"/>
        <v>0</v>
      </c>
      <c r="DC184" s="217">
        <f t="shared" si="76"/>
        <v>0</v>
      </c>
      <c r="DD184" s="256">
        <v>0</v>
      </c>
      <c r="DE184" s="217">
        <f t="shared" si="77"/>
        <v>0</v>
      </c>
      <c r="DF184" s="185" t="e">
        <f>SUM(DN184:DO184)-SUM(#REF!,BV184)+BU184</f>
        <v>#REF!</v>
      </c>
      <c r="DG184" s="223"/>
      <c r="DH184" s="241">
        <f t="shared" si="78"/>
        <v>0</v>
      </c>
      <c r="DI184" s="241">
        <f t="shared" si="79"/>
        <v>0</v>
      </c>
      <c r="DJ184" s="241">
        <f t="shared" si="80"/>
        <v>0</v>
      </c>
      <c r="DK184" s="241" t="e">
        <f>SUM(BS184,#REF!,BV184)</f>
        <v>#REF!</v>
      </c>
      <c r="DL184" s="155">
        <v>225</v>
      </c>
      <c r="DM184" s="155">
        <v>197.28793999999999</v>
      </c>
      <c r="DN184" s="155">
        <v>0</v>
      </c>
      <c r="DO184" s="155">
        <v>0</v>
      </c>
      <c r="DP184" s="155">
        <v>197.28793999999999</v>
      </c>
      <c r="DQ184" s="155">
        <v>27.712060000000001</v>
      </c>
      <c r="DR184" s="23">
        <f>VLOOKUP(C184,[6]Database!$B$143:$AD$521,29,FALSE)</f>
        <v>0</v>
      </c>
      <c r="DS184" s="235">
        <f t="shared" si="81"/>
        <v>0</v>
      </c>
    </row>
    <row r="185" spans="1:123" s="23" customFormat="1" ht="24" customHeight="1">
      <c r="A185" s="18"/>
      <c r="B185" s="2">
        <v>144</v>
      </c>
      <c r="C185" s="86" t="s">
        <v>277</v>
      </c>
      <c r="D185" s="86"/>
      <c r="E185" s="85"/>
      <c r="F185" s="41">
        <v>2019</v>
      </c>
      <c r="G185" s="42">
        <v>43752</v>
      </c>
      <c r="H185" s="286">
        <v>43753</v>
      </c>
      <c r="I185" s="286">
        <v>43753</v>
      </c>
      <c r="J185" s="15">
        <f t="shared" ca="1" si="84"/>
        <v>0</v>
      </c>
      <c r="K185" s="177">
        <f t="shared" si="82"/>
        <v>44300</v>
      </c>
      <c r="L185" s="177">
        <f t="shared" si="83"/>
        <v>44483</v>
      </c>
      <c r="M185" s="177"/>
      <c r="N185" s="177"/>
      <c r="O185" s="177"/>
      <c r="P185" s="177"/>
      <c r="Q185" s="177"/>
      <c r="R185" s="3" t="s">
        <v>176</v>
      </c>
      <c r="S185" s="13" t="s">
        <v>222</v>
      </c>
      <c r="T185" s="43"/>
      <c r="U185" s="5" t="s">
        <v>9</v>
      </c>
      <c r="V185" s="268">
        <v>2380800</v>
      </c>
      <c r="W185" s="5" t="s">
        <v>614</v>
      </c>
      <c r="X185" s="5" t="s">
        <v>481</v>
      </c>
      <c r="Y185" s="5" t="s">
        <v>276</v>
      </c>
      <c r="Z185" s="3" t="s">
        <v>181</v>
      </c>
      <c r="AA185" s="6" t="s">
        <v>218</v>
      </c>
      <c r="AB185" s="287" t="s">
        <v>525</v>
      </c>
      <c r="AC185" s="177" t="s">
        <v>6</v>
      </c>
      <c r="AD185" s="177" t="s">
        <v>6</v>
      </c>
      <c r="AE185" s="177" t="s">
        <v>6</v>
      </c>
      <c r="AF185" s="5"/>
      <c r="AG185" s="43"/>
      <c r="AH185" s="228"/>
      <c r="AI185" s="83"/>
      <c r="AJ185" s="83"/>
      <c r="AK185" s="237" t="e">
        <f>SUM(#REF!,BT185,BV185)</f>
        <v>#REF!</v>
      </c>
      <c r="AL185" s="165"/>
      <c r="AM185" s="165"/>
      <c r="AN185" s="165"/>
      <c r="AO185" s="165"/>
      <c r="AP185" s="165"/>
      <c r="AQ185" s="165"/>
      <c r="AR185" s="56">
        <v>0</v>
      </c>
      <c r="AS185" s="56"/>
      <c r="AT185" s="56">
        <v>0</v>
      </c>
      <c r="AU185" s="56"/>
      <c r="AV185" s="47">
        <v>0</v>
      </c>
      <c r="AW185" s="47">
        <v>0</v>
      </c>
      <c r="AX185" s="97">
        <f t="shared" si="85"/>
        <v>0</v>
      </c>
      <c r="AY185" s="169">
        <f t="shared" si="72"/>
        <v>0</v>
      </c>
      <c r="AZ185" s="196">
        <v>0</v>
      </c>
      <c r="BA185" s="170"/>
      <c r="BB185" s="196">
        <v>0</v>
      </c>
      <c r="BC185" s="170"/>
      <c r="BD185" s="196">
        <v>0</v>
      </c>
      <c r="BE185" s="170">
        <v>0</v>
      </c>
      <c r="BF185" s="196">
        <v>0</v>
      </c>
      <c r="BG185" s="170"/>
      <c r="BH185" s="196">
        <v>0</v>
      </c>
      <c r="BI185" s="170"/>
      <c r="BJ185" s="196">
        <v>0</v>
      </c>
      <c r="BK185" s="170"/>
      <c r="BL185" s="196"/>
      <c r="BM185" s="170"/>
      <c r="BN185" s="196"/>
      <c r="BO185" s="170"/>
      <c r="BP185" s="196"/>
      <c r="BQ185" s="170"/>
      <c r="BR185" s="196"/>
      <c r="BS185" s="170"/>
      <c r="BT185" s="196"/>
      <c r="BU185" s="170"/>
      <c r="BV185" s="196"/>
      <c r="BW185" s="251"/>
      <c r="BX185" s="254"/>
      <c r="BY185" s="88">
        <f t="shared" si="73"/>
        <v>0</v>
      </c>
      <c r="BZ185" s="258"/>
      <c r="CA185" s="258"/>
      <c r="CB185" s="258"/>
      <c r="CC185" s="258"/>
      <c r="CD185" s="258"/>
      <c r="CE185" s="258"/>
      <c r="CF185" s="258"/>
      <c r="CG185" s="258"/>
      <c r="CH185" s="258"/>
      <c r="CI185" s="258"/>
      <c r="CJ185" s="258"/>
      <c r="CK185" s="258"/>
      <c r="CL185" s="211">
        <f t="shared" si="75"/>
        <v>0</v>
      </c>
      <c r="CM185" s="212"/>
      <c r="CN185" s="212"/>
      <c r="CO185" s="212"/>
      <c r="CP185" s="212"/>
      <c r="CQ185" s="212"/>
      <c r="CR185" s="212"/>
      <c r="CS185" s="212"/>
      <c r="CT185" s="212"/>
      <c r="CU185" s="212"/>
      <c r="CV185" s="212"/>
      <c r="CW185" s="212"/>
      <c r="CX185" s="212"/>
      <c r="CY185" s="216">
        <f t="shared" si="86"/>
        <v>0</v>
      </c>
      <c r="CZ185" s="185">
        <f t="shared" si="74"/>
        <v>0</v>
      </c>
      <c r="DA185" s="217">
        <f t="shared" si="87"/>
        <v>0</v>
      </c>
      <c r="DB185" s="217">
        <f t="shared" si="88"/>
        <v>0</v>
      </c>
      <c r="DC185" s="217">
        <f t="shared" si="76"/>
        <v>0</v>
      </c>
      <c r="DD185" s="256">
        <v>0</v>
      </c>
      <c r="DE185" s="217">
        <f t="shared" si="77"/>
        <v>0</v>
      </c>
      <c r="DF185" s="185" t="e">
        <f>SUM(DN185:DO185)-SUM(#REF!,BV185)+BU185</f>
        <v>#REF!</v>
      </c>
      <c r="DG185" s="223"/>
      <c r="DH185" s="241">
        <f t="shared" si="78"/>
        <v>0</v>
      </c>
      <c r="DI185" s="241">
        <f t="shared" si="79"/>
        <v>0</v>
      </c>
      <c r="DJ185" s="241">
        <f t="shared" si="80"/>
        <v>0</v>
      </c>
      <c r="DK185" s="241" t="e">
        <f>SUM(BS185,#REF!,BV185)</f>
        <v>#REF!</v>
      </c>
      <c r="DL185" s="155">
        <v>0</v>
      </c>
      <c r="DM185" s="155">
        <v>0</v>
      </c>
      <c r="DN185" s="155">
        <v>0</v>
      </c>
      <c r="DO185" s="155">
        <v>0</v>
      </c>
      <c r="DP185" s="155">
        <v>0</v>
      </c>
      <c r="DQ185" s="155">
        <v>0</v>
      </c>
      <c r="DS185" s="235">
        <f t="shared" si="81"/>
        <v>0</v>
      </c>
    </row>
    <row r="186" spans="1:123" s="23" customFormat="1" ht="24" customHeight="1">
      <c r="A186" s="18"/>
      <c r="B186" s="2">
        <v>145</v>
      </c>
      <c r="C186" s="86" t="s">
        <v>279</v>
      </c>
      <c r="D186" s="86"/>
      <c r="E186" s="85"/>
      <c r="F186" s="41">
        <v>2019</v>
      </c>
      <c r="G186" s="42">
        <v>43752</v>
      </c>
      <c r="H186" s="286">
        <v>43753</v>
      </c>
      <c r="I186" s="286">
        <v>43753</v>
      </c>
      <c r="J186" s="15">
        <f t="shared" ca="1" si="84"/>
        <v>0</v>
      </c>
      <c r="K186" s="177">
        <f t="shared" si="82"/>
        <v>44300</v>
      </c>
      <c r="L186" s="177">
        <f t="shared" si="83"/>
        <v>44483</v>
      </c>
      <c r="M186" s="177"/>
      <c r="N186" s="177"/>
      <c r="O186" s="177"/>
      <c r="P186" s="177"/>
      <c r="Q186" s="177"/>
      <c r="R186" s="3" t="s">
        <v>176</v>
      </c>
      <c r="S186" s="13" t="s">
        <v>224</v>
      </c>
      <c r="T186" s="43"/>
      <c r="U186" s="5" t="s">
        <v>9</v>
      </c>
      <c r="V186" s="268">
        <v>2380886</v>
      </c>
      <c r="W186" s="5" t="s">
        <v>614</v>
      </c>
      <c r="X186" s="5" t="s">
        <v>481</v>
      </c>
      <c r="Y186" s="5" t="s">
        <v>278</v>
      </c>
      <c r="Z186" s="3" t="s">
        <v>181</v>
      </c>
      <c r="AA186" s="6" t="s">
        <v>218</v>
      </c>
      <c r="AB186" s="287" t="s">
        <v>519</v>
      </c>
      <c r="AC186" s="177" t="s">
        <v>6</v>
      </c>
      <c r="AD186" s="177" t="s">
        <v>6</v>
      </c>
      <c r="AE186" s="177" t="s">
        <v>6</v>
      </c>
      <c r="AF186" s="5"/>
      <c r="AG186" s="43"/>
      <c r="AH186" s="228"/>
      <c r="AI186" s="83"/>
      <c r="AJ186" s="83"/>
      <c r="AK186" s="237" t="e">
        <f>SUM(#REF!,BT186,BV186)</f>
        <v>#REF!</v>
      </c>
      <c r="AL186" s="165"/>
      <c r="AM186" s="165"/>
      <c r="AN186" s="165"/>
      <c r="AO186" s="165"/>
      <c r="AP186" s="165"/>
      <c r="AQ186" s="165"/>
      <c r="AR186" s="56">
        <v>0</v>
      </c>
      <c r="AS186" s="56"/>
      <c r="AT186" s="56">
        <v>0</v>
      </c>
      <c r="AU186" s="56"/>
      <c r="AV186" s="47">
        <v>0</v>
      </c>
      <c r="AW186" s="47">
        <v>0</v>
      </c>
      <c r="AX186" s="97">
        <f t="shared" si="85"/>
        <v>0</v>
      </c>
      <c r="AY186" s="169">
        <f t="shared" si="72"/>
        <v>0</v>
      </c>
      <c r="AZ186" s="196">
        <v>0</v>
      </c>
      <c r="BA186" s="170"/>
      <c r="BB186" s="196">
        <v>0</v>
      </c>
      <c r="BC186" s="170"/>
      <c r="BD186" s="196">
        <v>0</v>
      </c>
      <c r="BE186" s="170">
        <v>0</v>
      </c>
      <c r="BF186" s="196">
        <v>0</v>
      </c>
      <c r="BG186" s="170"/>
      <c r="BH186" s="196">
        <v>0</v>
      </c>
      <c r="BI186" s="170"/>
      <c r="BJ186" s="196">
        <v>0</v>
      </c>
      <c r="BK186" s="170"/>
      <c r="BL186" s="196"/>
      <c r="BM186" s="170"/>
      <c r="BN186" s="196"/>
      <c r="BO186" s="170"/>
      <c r="BP186" s="196"/>
      <c r="BQ186" s="170"/>
      <c r="BR186" s="196"/>
      <c r="BS186" s="170"/>
      <c r="BT186" s="196"/>
      <c r="BU186" s="170"/>
      <c r="BV186" s="196"/>
      <c r="BW186" s="251"/>
      <c r="BX186" s="254"/>
      <c r="BY186" s="88">
        <f t="shared" si="73"/>
        <v>0</v>
      </c>
      <c r="BZ186" s="258"/>
      <c r="CA186" s="258"/>
      <c r="CB186" s="258"/>
      <c r="CC186" s="258"/>
      <c r="CD186" s="258"/>
      <c r="CE186" s="258"/>
      <c r="CF186" s="258"/>
      <c r="CG186" s="258"/>
      <c r="CH186" s="258"/>
      <c r="CI186" s="258"/>
      <c r="CJ186" s="258"/>
      <c r="CK186" s="258"/>
      <c r="CL186" s="211">
        <f t="shared" si="75"/>
        <v>0</v>
      </c>
      <c r="CM186" s="212"/>
      <c r="CN186" s="212"/>
      <c r="CO186" s="212"/>
      <c r="CP186" s="212"/>
      <c r="CQ186" s="212"/>
      <c r="CR186" s="212"/>
      <c r="CS186" s="212"/>
      <c r="CT186" s="212"/>
      <c r="CU186" s="212"/>
      <c r="CV186" s="212"/>
      <c r="CW186" s="212"/>
      <c r="CX186" s="212"/>
      <c r="CY186" s="216">
        <f t="shared" si="86"/>
        <v>0</v>
      </c>
      <c r="CZ186" s="185">
        <f t="shared" si="74"/>
        <v>0</v>
      </c>
      <c r="DA186" s="217">
        <f t="shared" si="87"/>
        <v>0</v>
      </c>
      <c r="DB186" s="217">
        <f t="shared" si="88"/>
        <v>0</v>
      </c>
      <c r="DC186" s="217">
        <f t="shared" si="76"/>
        <v>0</v>
      </c>
      <c r="DD186" s="256">
        <v>0</v>
      </c>
      <c r="DE186" s="217">
        <f t="shared" si="77"/>
        <v>0</v>
      </c>
      <c r="DF186" s="185" t="e">
        <f>SUM(DN186:DO186)-SUM(#REF!,BV186)+BU186</f>
        <v>#REF!</v>
      </c>
      <c r="DG186" s="223"/>
      <c r="DH186" s="241">
        <f t="shared" si="78"/>
        <v>0</v>
      </c>
      <c r="DI186" s="241">
        <f t="shared" si="79"/>
        <v>0</v>
      </c>
      <c r="DJ186" s="241">
        <f t="shared" si="80"/>
        <v>0</v>
      </c>
      <c r="DK186" s="241" t="e">
        <f>SUM(BS186,#REF!,BV186)</f>
        <v>#REF!</v>
      </c>
      <c r="DL186" s="155">
        <v>0</v>
      </c>
      <c r="DM186" s="155">
        <v>0</v>
      </c>
      <c r="DN186" s="155">
        <v>0</v>
      </c>
      <c r="DO186" s="155">
        <v>0</v>
      </c>
      <c r="DP186" s="155">
        <v>0</v>
      </c>
      <c r="DQ186" s="155">
        <v>0</v>
      </c>
      <c r="DS186" s="235">
        <f t="shared" si="81"/>
        <v>0</v>
      </c>
    </row>
    <row r="187" spans="1:123" s="23" customFormat="1" ht="24" customHeight="1">
      <c r="A187" s="18"/>
      <c r="B187" s="2">
        <v>146</v>
      </c>
      <c r="C187" s="86" t="s">
        <v>281</v>
      </c>
      <c r="D187" s="86"/>
      <c r="E187" s="85" t="s">
        <v>927</v>
      </c>
      <c r="F187" s="41">
        <v>2019</v>
      </c>
      <c r="G187" s="42">
        <v>43752</v>
      </c>
      <c r="H187" s="286">
        <v>43753</v>
      </c>
      <c r="I187" s="286">
        <v>43753</v>
      </c>
      <c r="J187" s="15">
        <f t="shared" ca="1" si="84"/>
        <v>0</v>
      </c>
      <c r="K187" s="177">
        <f t="shared" si="82"/>
        <v>44300</v>
      </c>
      <c r="L187" s="177">
        <f t="shared" si="83"/>
        <v>44483</v>
      </c>
      <c r="M187" s="177"/>
      <c r="N187" s="177"/>
      <c r="O187" s="177"/>
      <c r="P187" s="177"/>
      <c r="Q187" s="177"/>
      <c r="R187" s="3" t="s">
        <v>176</v>
      </c>
      <c r="S187" s="13" t="s">
        <v>5</v>
      </c>
      <c r="T187" s="43"/>
      <c r="U187" s="5" t="s">
        <v>9</v>
      </c>
      <c r="V187" s="268">
        <v>2380972</v>
      </c>
      <c r="W187" s="5" t="s">
        <v>614</v>
      </c>
      <c r="X187" s="5" t="s">
        <v>480</v>
      </c>
      <c r="Y187" s="5" t="s">
        <v>280</v>
      </c>
      <c r="Z187" s="3" t="s">
        <v>181</v>
      </c>
      <c r="AA187" s="6" t="s">
        <v>218</v>
      </c>
      <c r="AB187" s="287" t="s">
        <v>523</v>
      </c>
      <c r="AC187" s="177" t="s">
        <v>6</v>
      </c>
      <c r="AD187" s="177" t="s">
        <v>6</v>
      </c>
      <c r="AE187" s="177" t="s">
        <v>6</v>
      </c>
      <c r="AF187" s="5"/>
      <c r="AG187" s="43"/>
      <c r="AH187" s="228"/>
      <c r="AI187" s="83"/>
      <c r="AJ187" s="83"/>
      <c r="AK187" s="237" t="e">
        <f>SUM(#REF!,BT187,BV187)</f>
        <v>#REF!</v>
      </c>
      <c r="AL187" s="165"/>
      <c r="AM187" s="165"/>
      <c r="AN187" s="165"/>
      <c r="AO187" s="165"/>
      <c r="AP187" s="165"/>
      <c r="AQ187" s="165"/>
      <c r="AR187" s="56">
        <v>0</v>
      </c>
      <c r="AS187" s="56"/>
      <c r="AT187" s="56">
        <v>0</v>
      </c>
      <c r="AU187" s="56"/>
      <c r="AV187" s="47">
        <v>0</v>
      </c>
      <c r="AW187" s="47">
        <v>0</v>
      </c>
      <c r="AX187" s="97">
        <f t="shared" si="85"/>
        <v>0</v>
      </c>
      <c r="AY187" s="169">
        <f t="shared" si="72"/>
        <v>0</v>
      </c>
      <c r="AZ187" s="196">
        <v>0</v>
      </c>
      <c r="BA187" s="170"/>
      <c r="BB187" s="196">
        <v>0</v>
      </c>
      <c r="BC187" s="170"/>
      <c r="BD187" s="196">
        <v>0</v>
      </c>
      <c r="BE187" s="170">
        <v>0</v>
      </c>
      <c r="BF187" s="196">
        <v>0</v>
      </c>
      <c r="BG187" s="170"/>
      <c r="BH187" s="196">
        <v>0</v>
      </c>
      <c r="BI187" s="170"/>
      <c r="BJ187" s="196">
        <v>0</v>
      </c>
      <c r="BK187" s="170"/>
      <c r="BL187" s="196"/>
      <c r="BM187" s="170"/>
      <c r="BN187" s="196"/>
      <c r="BO187" s="170"/>
      <c r="BP187" s="196"/>
      <c r="BQ187" s="170"/>
      <c r="BR187" s="196"/>
      <c r="BS187" s="170"/>
      <c r="BT187" s="196"/>
      <c r="BU187" s="170"/>
      <c r="BV187" s="196"/>
      <c r="BW187" s="251"/>
      <c r="BX187" s="254"/>
      <c r="BY187" s="88">
        <f t="shared" si="73"/>
        <v>0</v>
      </c>
      <c r="BZ187" s="258"/>
      <c r="CA187" s="258"/>
      <c r="CB187" s="258"/>
      <c r="CC187" s="258"/>
      <c r="CD187" s="258"/>
      <c r="CE187" s="258"/>
      <c r="CF187" s="258"/>
      <c r="CG187" s="258"/>
      <c r="CH187" s="258"/>
      <c r="CI187" s="258"/>
      <c r="CJ187" s="258"/>
      <c r="CK187" s="258"/>
      <c r="CL187" s="211">
        <f t="shared" si="75"/>
        <v>0</v>
      </c>
      <c r="CM187" s="212"/>
      <c r="CN187" s="212"/>
      <c r="CO187" s="212"/>
      <c r="CP187" s="212"/>
      <c r="CQ187" s="212"/>
      <c r="CR187" s="212"/>
      <c r="CS187" s="212"/>
      <c r="CT187" s="212"/>
      <c r="CU187" s="212"/>
      <c r="CV187" s="212"/>
      <c r="CW187" s="212"/>
      <c r="CX187" s="212"/>
      <c r="CY187" s="216">
        <f t="shared" si="86"/>
        <v>0</v>
      </c>
      <c r="CZ187" s="185">
        <f t="shared" si="74"/>
        <v>0</v>
      </c>
      <c r="DA187" s="217">
        <f t="shared" si="87"/>
        <v>0</v>
      </c>
      <c r="DB187" s="217">
        <f t="shared" si="88"/>
        <v>0</v>
      </c>
      <c r="DC187" s="217">
        <f t="shared" si="76"/>
        <v>0</v>
      </c>
      <c r="DD187" s="256">
        <v>0</v>
      </c>
      <c r="DE187" s="217">
        <f t="shared" si="77"/>
        <v>0</v>
      </c>
      <c r="DF187" s="185" t="e">
        <f>SUM(DN187:DO187)-SUM(#REF!,BV187)+BU187</f>
        <v>#REF!</v>
      </c>
      <c r="DG187" s="223"/>
      <c r="DH187" s="241">
        <f t="shared" si="78"/>
        <v>0</v>
      </c>
      <c r="DI187" s="241">
        <f t="shared" si="79"/>
        <v>0</v>
      </c>
      <c r="DJ187" s="241">
        <f t="shared" si="80"/>
        <v>0</v>
      </c>
      <c r="DK187" s="241" t="e">
        <f>SUM(BS187,#REF!,BV187)</f>
        <v>#REF!</v>
      </c>
      <c r="DL187" s="155"/>
      <c r="DM187" s="155"/>
      <c r="DN187" s="155"/>
      <c r="DO187" s="155"/>
      <c r="DP187" s="155"/>
      <c r="DQ187" s="155"/>
      <c r="DS187" s="235">
        <f t="shared" si="81"/>
        <v>0</v>
      </c>
    </row>
    <row r="188" spans="1:123" s="23" customFormat="1" ht="24" customHeight="1">
      <c r="A188" s="18"/>
      <c r="B188" s="2">
        <v>147</v>
      </c>
      <c r="C188" s="86" t="s">
        <v>283</v>
      </c>
      <c r="D188" s="86"/>
      <c r="E188" s="85" t="s">
        <v>602</v>
      </c>
      <c r="F188" s="41">
        <v>2019</v>
      </c>
      <c r="G188" s="42">
        <v>43752</v>
      </c>
      <c r="H188" s="286">
        <v>43753</v>
      </c>
      <c r="I188" s="286">
        <v>43753</v>
      </c>
      <c r="J188" s="15">
        <f t="shared" ca="1" si="84"/>
        <v>0</v>
      </c>
      <c r="K188" s="177">
        <f t="shared" si="82"/>
        <v>44300</v>
      </c>
      <c r="L188" s="177">
        <f t="shared" si="83"/>
        <v>44483</v>
      </c>
      <c r="M188" s="177"/>
      <c r="N188" s="177"/>
      <c r="O188" s="177"/>
      <c r="P188" s="177"/>
      <c r="Q188" s="183"/>
      <c r="R188" s="3" t="s">
        <v>176</v>
      </c>
      <c r="S188" s="13" t="s">
        <v>5</v>
      </c>
      <c r="T188" s="43"/>
      <c r="U188" s="5" t="s">
        <v>9</v>
      </c>
      <c r="V188" s="268">
        <v>2422159</v>
      </c>
      <c r="W188" s="5" t="s">
        <v>614</v>
      </c>
      <c r="X188" s="5" t="s">
        <v>478</v>
      </c>
      <c r="Y188" s="5" t="s">
        <v>282</v>
      </c>
      <c r="Z188" s="3" t="s">
        <v>181</v>
      </c>
      <c r="AA188" s="6" t="s">
        <v>218</v>
      </c>
      <c r="AB188" s="287" t="s">
        <v>217</v>
      </c>
      <c r="AC188" s="177" t="s">
        <v>6</v>
      </c>
      <c r="AD188" s="177" t="s">
        <v>6</v>
      </c>
      <c r="AE188" s="177" t="s">
        <v>6</v>
      </c>
      <c r="AF188" s="5"/>
      <c r="AG188" s="43"/>
      <c r="AH188" s="228"/>
      <c r="AI188" s="83"/>
      <c r="AJ188" s="83"/>
      <c r="AK188" s="237" t="e">
        <f>SUM(#REF!,BT188,BV188)</f>
        <v>#REF!</v>
      </c>
      <c r="AL188" s="165"/>
      <c r="AM188" s="165"/>
      <c r="AN188" s="165"/>
      <c r="AO188" s="165"/>
      <c r="AP188" s="165"/>
      <c r="AQ188" s="165"/>
      <c r="AR188" s="56">
        <v>0</v>
      </c>
      <c r="AS188" s="56"/>
      <c r="AT188" s="56">
        <v>0</v>
      </c>
      <c r="AU188" s="56"/>
      <c r="AV188" s="47">
        <v>0</v>
      </c>
      <c r="AW188" s="47">
        <v>0</v>
      </c>
      <c r="AX188" s="97">
        <f t="shared" si="85"/>
        <v>0</v>
      </c>
      <c r="AY188" s="169">
        <f t="shared" si="72"/>
        <v>0</v>
      </c>
      <c r="AZ188" s="196">
        <v>0</v>
      </c>
      <c r="BA188" s="170"/>
      <c r="BB188" s="196">
        <v>0</v>
      </c>
      <c r="BC188" s="170"/>
      <c r="BD188" s="196">
        <v>0</v>
      </c>
      <c r="BE188" s="170">
        <v>0</v>
      </c>
      <c r="BF188" s="196">
        <v>0</v>
      </c>
      <c r="BG188" s="170"/>
      <c r="BH188" s="196">
        <v>0</v>
      </c>
      <c r="BI188" s="170"/>
      <c r="BJ188" s="196">
        <v>0</v>
      </c>
      <c r="BK188" s="170"/>
      <c r="BL188" s="196"/>
      <c r="BM188" s="170"/>
      <c r="BN188" s="196"/>
      <c r="BO188" s="170"/>
      <c r="BP188" s="196"/>
      <c r="BQ188" s="170"/>
      <c r="BR188" s="196"/>
      <c r="BS188" s="170"/>
      <c r="BT188" s="196"/>
      <c r="BU188" s="170"/>
      <c r="BV188" s="196"/>
      <c r="BW188" s="251"/>
      <c r="BX188" s="254"/>
      <c r="BY188" s="88">
        <f t="shared" si="73"/>
        <v>0</v>
      </c>
      <c r="BZ188" s="258"/>
      <c r="CA188" s="258"/>
      <c r="CB188" s="258"/>
      <c r="CC188" s="258"/>
      <c r="CD188" s="258"/>
      <c r="CE188" s="258"/>
      <c r="CF188" s="258"/>
      <c r="CG188" s="258"/>
      <c r="CH188" s="258"/>
      <c r="CI188" s="258"/>
      <c r="CJ188" s="258"/>
      <c r="CK188" s="258"/>
      <c r="CL188" s="211">
        <f t="shared" si="75"/>
        <v>0</v>
      </c>
      <c r="CM188" s="212"/>
      <c r="CN188" s="212"/>
      <c r="CO188" s="212"/>
      <c r="CP188" s="212"/>
      <c r="CQ188" s="212"/>
      <c r="CR188" s="212"/>
      <c r="CS188" s="212"/>
      <c r="CT188" s="212"/>
      <c r="CU188" s="212"/>
      <c r="CV188" s="212"/>
      <c r="CW188" s="212"/>
      <c r="CX188" s="212"/>
      <c r="CY188" s="216">
        <f t="shared" si="86"/>
        <v>0</v>
      </c>
      <c r="CZ188" s="185">
        <f t="shared" si="74"/>
        <v>0</v>
      </c>
      <c r="DA188" s="217">
        <f t="shared" si="87"/>
        <v>0</v>
      </c>
      <c r="DB188" s="217">
        <f t="shared" si="88"/>
        <v>0</v>
      </c>
      <c r="DC188" s="217">
        <f t="shared" si="76"/>
        <v>0</v>
      </c>
      <c r="DD188" s="256">
        <v>0</v>
      </c>
      <c r="DE188" s="217">
        <f t="shared" si="77"/>
        <v>0</v>
      </c>
      <c r="DF188" s="185" t="e">
        <f>SUM(DN188:DO188)-SUM(#REF!,BV188)+BU188</f>
        <v>#REF!</v>
      </c>
      <c r="DG188" s="223"/>
      <c r="DH188" s="241">
        <f t="shared" si="78"/>
        <v>0</v>
      </c>
      <c r="DI188" s="241">
        <f t="shared" si="79"/>
        <v>0</v>
      </c>
      <c r="DJ188" s="241">
        <f t="shared" si="80"/>
        <v>0</v>
      </c>
      <c r="DK188" s="241" t="e">
        <f>SUM(BS188,#REF!,BV188)</f>
        <v>#REF!</v>
      </c>
      <c r="DL188" s="155">
        <v>0</v>
      </c>
      <c r="DM188" s="155">
        <v>0</v>
      </c>
      <c r="DN188" s="155">
        <v>0</v>
      </c>
      <c r="DO188" s="155">
        <v>0</v>
      </c>
      <c r="DP188" s="155">
        <v>0</v>
      </c>
      <c r="DQ188" s="155">
        <v>0</v>
      </c>
      <c r="DS188" s="235">
        <f t="shared" si="81"/>
        <v>0</v>
      </c>
    </row>
    <row r="189" spans="1:123" s="23" customFormat="1" ht="24" customHeight="1">
      <c r="A189" s="18"/>
      <c r="B189" s="2">
        <v>148</v>
      </c>
      <c r="C189" s="86" t="s">
        <v>285</v>
      </c>
      <c r="D189" s="86"/>
      <c r="E189" s="85" t="s">
        <v>602</v>
      </c>
      <c r="F189" s="41">
        <v>2019</v>
      </c>
      <c r="G189" s="42">
        <v>43752</v>
      </c>
      <c r="H189" s="286">
        <v>43753</v>
      </c>
      <c r="I189" s="286">
        <v>43753</v>
      </c>
      <c r="J189" s="15">
        <f t="shared" ca="1" si="84"/>
        <v>0</v>
      </c>
      <c r="K189" s="177">
        <f t="shared" si="82"/>
        <v>44300</v>
      </c>
      <c r="L189" s="177">
        <f t="shared" si="83"/>
        <v>44483</v>
      </c>
      <c r="M189" s="177"/>
      <c r="N189" s="177"/>
      <c r="O189" s="177"/>
      <c r="P189" s="177"/>
      <c r="Q189" s="177"/>
      <c r="R189" s="3" t="s">
        <v>176</v>
      </c>
      <c r="S189" s="13" t="s">
        <v>5</v>
      </c>
      <c r="T189" s="43"/>
      <c r="U189" s="5" t="s">
        <v>9</v>
      </c>
      <c r="V189" s="268">
        <v>2381301</v>
      </c>
      <c r="W189" s="5" t="s">
        <v>614</v>
      </c>
      <c r="X189" s="5" t="s">
        <v>480</v>
      </c>
      <c r="Y189" s="5" t="s">
        <v>284</v>
      </c>
      <c r="Z189" s="3" t="s">
        <v>181</v>
      </c>
      <c r="AA189" s="6" t="s">
        <v>218</v>
      </c>
      <c r="AB189" s="287" t="s">
        <v>520</v>
      </c>
      <c r="AC189" s="177" t="s">
        <v>6</v>
      </c>
      <c r="AD189" s="177" t="s">
        <v>6</v>
      </c>
      <c r="AE189" s="177" t="s">
        <v>6</v>
      </c>
      <c r="AF189" s="5"/>
      <c r="AG189" s="43"/>
      <c r="AH189" s="228"/>
      <c r="AI189" s="83"/>
      <c r="AJ189" s="83"/>
      <c r="AK189" s="237" t="e">
        <f>SUM(#REF!,BT189,BV189)</f>
        <v>#REF!</v>
      </c>
      <c r="AL189" s="165"/>
      <c r="AM189" s="165"/>
      <c r="AN189" s="165"/>
      <c r="AO189" s="165"/>
      <c r="AP189" s="165"/>
      <c r="AQ189" s="165"/>
      <c r="AR189" s="56">
        <v>0</v>
      </c>
      <c r="AS189" s="56"/>
      <c r="AT189" s="56">
        <v>0</v>
      </c>
      <c r="AU189" s="56"/>
      <c r="AV189" s="47">
        <v>0</v>
      </c>
      <c r="AW189" s="47">
        <v>0</v>
      </c>
      <c r="AX189" s="97">
        <f t="shared" si="85"/>
        <v>0</v>
      </c>
      <c r="AY189" s="169">
        <f t="shared" si="72"/>
        <v>0</v>
      </c>
      <c r="AZ189" s="196">
        <v>0</v>
      </c>
      <c r="BA189" s="170"/>
      <c r="BB189" s="196">
        <v>0</v>
      </c>
      <c r="BC189" s="170"/>
      <c r="BD189" s="196">
        <v>0</v>
      </c>
      <c r="BE189" s="170">
        <v>0</v>
      </c>
      <c r="BF189" s="196">
        <v>0</v>
      </c>
      <c r="BG189" s="170"/>
      <c r="BH189" s="196">
        <v>0</v>
      </c>
      <c r="BI189" s="170"/>
      <c r="BJ189" s="196">
        <v>0</v>
      </c>
      <c r="BK189" s="170"/>
      <c r="BL189" s="196"/>
      <c r="BM189" s="170"/>
      <c r="BN189" s="196"/>
      <c r="BO189" s="170"/>
      <c r="BP189" s="196"/>
      <c r="BQ189" s="170"/>
      <c r="BR189" s="196"/>
      <c r="BS189" s="170"/>
      <c r="BT189" s="196"/>
      <c r="BU189" s="170"/>
      <c r="BV189" s="196"/>
      <c r="BW189" s="251"/>
      <c r="BX189" s="254"/>
      <c r="BY189" s="88">
        <f t="shared" si="73"/>
        <v>0</v>
      </c>
      <c r="BZ189" s="258"/>
      <c r="CA189" s="258"/>
      <c r="CB189" s="258"/>
      <c r="CC189" s="258"/>
      <c r="CD189" s="258"/>
      <c r="CE189" s="258"/>
      <c r="CF189" s="258"/>
      <c r="CG189" s="258"/>
      <c r="CH189" s="258"/>
      <c r="CI189" s="258"/>
      <c r="CJ189" s="258"/>
      <c r="CK189" s="258"/>
      <c r="CL189" s="211">
        <f t="shared" ref="CL189:CL220" si="89">SUM(CM189:CX189)</f>
        <v>0</v>
      </c>
      <c r="CM189" s="212"/>
      <c r="CN189" s="212"/>
      <c r="CO189" s="212"/>
      <c r="CP189" s="212"/>
      <c r="CQ189" s="212"/>
      <c r="CR189" s="212"/>
      <c r="CS189" s="212"/>
      <c r="CT189" s="212"/>
      <c r="CU189" s="212"/>
      <c r="CV189" s="212"/>
      <c r="CW189" s="212"/>
      <c r="CX189" s="212"/>
      <c r="CY189" s="216">
        <f t="shared" si="86"/>
        <v>0</v>
      </c>
      <c r="CZ189" s="185">
        <f t="shared" si="74"/>
        <v>0</v>
      </c>
      <c r="DA189" s="217">
        <f t="shared" si="87"/>
        <v>0</v>
      </c>
      <c r="DB189" s="217">
        <f t="shared" si="88"/>
        <v>0</v>
      </c>
      <c r="DC189" s="217">
        <f t="shared" ref="DC189:DC220" si="90">SUM(AY189,BY189)</f>
        <v>0</v>
      </c>
      <c r="DD189" s="256">
        <v>0</v>
      </c>
      <c r="DE189" s="217">
        <f t="shared" ref="DE189:DE220" si="91">DC189-DD189</f>
        <v>0</v>
      </c>
      <c r="DF189" s="185" t="e">
        <f>SUM(DN189:DO189)-SUM(#REF!,BV189)+BU189</f>
        <v>#REF!</v>
      </c>
      <c r="DG189" s="223"/>
      <c r="DH189" s="241">
        <f t="shared" ref="DH189:DH220" si="92">SUM(BA189,BC189,BE189)</f>
        <v>0</v>
      </c>
      <c r="DI189" s="241">
        <f t="shared" ref="DI189:DI220" si="93">SUM(BG189,BI189,BK189)</f>
        <v>0</v>
      </c>
      <c r="DJ189" s="241">
        <f t="shared" ref="DJ189:DJ220" si="94">SUM(BM189,BO189,BQ189)</f>
        <v>0</v>
      </c>
      <c r="DK189" s="241" t="e">
        <f>SUM(BS189,#REF!,BV189)</f>
        <v>#REF!</v>
      </c>
      <c r="DL189" s="155">
        <v>0</v>
      </c>
      <c r="DM189" s="155">
        <v>0</v>
      </c>
      <c r="DN189" s="155">
        <v>0</v>
      </c>
      <c r="DO189" s="155">
        <v>0</v>
      </c>
      <c r="DP189" s="155">
        <v>0</v>
      </c>
      <c r="DQ189" s="155">
        <v>0</v>
      </c>
      <c r="DS189" s="235">
        <f t="shared" ref="DS189:DS220" si="95">BY189-DR189</f>
        <v>0</v>
      </c>
    </row>
    <row r="190" spans="1:123" s="23" customFormat="1" ht="24" customHeight="1">
      <c r="A190" s="18"/>
      <c r="B190" s="2">
        <v>149</v>
      </c>
      <c r="C190" s="86" t="s">
        <v>287</v>
      </c>
      <c r="D190" s="86"/>
      <c r="E190" s="85" t="s">
        <v>602</v>
      </c>
      <c r="F190" s="41">
        <v>2019</v>
      </c>
      <c r="G190" s="42">
        <v>43752</v>
      </c>
      <c r="H190" s="286">
        <v>43753</v>
      </c>
      <c r="I190" s="286">
        <v>43753</v>
      </c>
      <c r="J190" s="15">
        <f t="shared" ca="1" si="84"/>
        <v>0</v>
      </c>
      <c r="K190" s="177">
        <f t="shared" si="82"/>
        <v>44300</v>
      </c>
      <c r="L190" s="177">
        <f t="shared" si="83"/>
        <v>44483</v>
      </c>
      <c r="M190" s="177"/>
      <c r="N190" s="177"/>
      <c r="O190" s="183"/>
      <c r="P190" s="183"/>
      <c r="Q190" s="177"/>
      <c r="R190" s="41" t="s">
        <v>176</v>
      </c>
      <c r="S190" s="13" t="s">
        <v>5</v>
      </c>
      <c r="T190" s="43"/>
      <c r="U190" s="5" t="s">
        <v>9</v>
      </c>
      <c r="V190" s="268">
        <v>2381471</v>
      </c>
      <c r="W190" s="5" t="s">
        <v>614</v>
      </c>
      <c r="X190" s="5" t="s">
        <v>480</v>
      </c>
      <c r="Y190" s="5" t="s">
        <v>286</v>
      </c>
      <c r="Z190" s="3" t="s">
        <v>181</v>
      </c>
      <c r="AA190" s="6" t="s">
        <v>218</v>
      </c>
      <c r="AB190" s="287" t="s">
        <v>521</v>
      </c>
      <c r="AC190" s="177" t="s">
        <v>6</v>
      </c>
      <c r="AD190" s="177" t="s">
        <v>6</v>
      </c>
      <c r="AE190" s="177" t="s">
        <v>6</v>
      </c>
      <c r="AF190" s="5"/>
      <c r="AG190" s="43"/>
      <c r="AH190" s="228"/>
      <c r="AI190" s="83"/>
      <c r="AJ190" s="83"/>
      <c r="AK190" s="237" t="e">
        <f>SUM(#REF!,BT190,BV190)</f>
        <v>#REF!</v>
      </c>
      <c r="AL190" s="52"/>
      <c r="AM190" s="52"/>
      <c r="AN190" s="52"/>
      <c r="AO190" s="52"/>
      <c r="AP190" s="52"/>
      <c r="AQ190" s="52"/>
      <c r="AR190" s="56">
        <v>0</v>
      </c>
      <c r="AS190" s="56"/>
      <c r="AT190" s="56">
        <v>0</v>
      </c>
      <c r="AU190" s="56"/>
      <c r="AV190" s="47">
        <v>0</v>
      </c>
      <c r="AW190" s="47">
        <v>0</v>
      </c>
      <c r="AX190" s="97">
        <f t="shared" si="85"/>
        <v>0</v>
      </c>
      <c r="AY190" s="169">
        <f t="shared" si="72"/>
        <v>0</v>
      </c>
      <c r="AZ190" s="196">
        <v>0</v>
      </c>
      <c r="BA190" s="170"/>
      <c r="BB190" s="196">
        <v>0</v>
      </c>
      <c r="BC190" s="170"/>
      <c r="BD190" s="196">
        <v>0</v>
      </c>
      <c r="BE190" s="170">
        <v>0</v>
      </c>
      <c r="BF190" s="196">
        <v>0</v>
      </c>
      <c r="BG190" s="170"/>
      <c r="BH190" s="196">
        <v>0</v>
      </c>
      <c r="BI190" s="170"/>
      <c r="BJ190" s="196">
        <v>0</v>
      </c>
      <c r="BK190" s="170"/>
      <c r="BL190" s="196"/>
      <c r="BM190" s="170"/>
      <c r="BN190" s="196"/>
      <c r="BO190" s="170"/>
      <c r="BP190" s="196"/>
      <c r="BQ190" s="170"/>
      <c r="BR190" s="196"/>
      <c r="BS190" s="170"/>
      <c r="BT190" s="196"/>
      <c r="BU190" s="170"/>
      <c r="BV190" s="196"/>
      <c r="BW190" s="251"/>
      <c r="BX190" s="254"/>
      <c r="BY190" s="88">
        <f t="shared" si="73"/>
        <v>0</v>
      </c>
      <c r="BZ190" s="258"/>
      <c r="CA190" s="258"/>
      <c r="CB190" s="258"/>
      <c r="CC190" s="258"/>
      <c r="CD190" s="258"/>
      <c r="CE190" s="258"/>
      <c r="CF190" s="258"/>
      <c r="CG190" s="258"/>
      <c r="CH190" s="258"/>
      <c r="CI190" s="258"/>
      <c r="CJ190" s="258"/>
      <c r="CK190" s="258"/>
      <c r="CL190" s="211">
        <f t="shared" si="89"/>
        <v>0</v>
      </c>
      <c r="CM190" s="212"/>
      <c r="CN190" s="212"/>
      <c r="CO190" s="212"/>
      <c r="CP190" s="212"/>
      <c r="CQ190" s="212"/>
      <c r="CR190" s="212"/>
      <c r="CS190" s="212"/>
      <c r="CT190" s="212"/>
      <c r="CU190" s="212"/>
      <c r="CV190" s="212"/>
      <c r="CW190" s="212"/>
      <c r="CX190" s="212"/>
      <c r="CY190" s="216">
        <f t="shared" si="86"/>
        <v>0</v>
      </c>
      <c r="CZ190" s="185">
        <f t="shared" si="74"/>
        <v>0</v>
      </c>
      <c r="DA190" s="217">
        <f t="shared" si="87"/>
        <v>0</v>
      </c>
      <c r="DB190" s="217">
        <f t="shared" si="88"/>
        <v>0</v>
      </c>
      <c r="DC190" s="217">
        <f t="shared" si="90"/>
        <v>0</v>
      </c>
      <c r="DD190" s="256">
        <v>0</v>
      </c>
      <c r="DE190" s="217">
        <f t="shared" si="91"/>
        <v>0</v>
      </c>
      <c r="DF190" s="185" t="e">
        <f>SUM(DN190:DO190)-SUM(#REF!,BV190)+BU190</f>
        <v>#REF!</v>
      </c>
      <c r="DG190" s="223"/>
      <c r="DH190" s="241">
        <f t="shared" si="92"/>
        <v>0</v>
      </c>
      <c r="DI190" s="241">
        <f t="shared" si="93"/>
        <v>0</v>
      </c>
      <c r="DJ190" s="241">
        <f t="shared" si="94"/>
        <v>0</v>
      </c>
      <c r="DK190" s="241" t="e">
        <f>SUM(BS190,#REF!,BV190)</f>
        <v>#REF!</v>
      </c>
      <c r="DL190" s="155"/>
      <c r="DM190" s="155"/>
      <c r="DN190" s="155"/>
      <c r="DO190" s="155"/>
      <c r="DP190" s="155"/>
      <c r="DQ190" s="155"/>
      <c r="DS190" s="235">
        <f t="shared" si="95"/>
        <v>0</v>
      </c>
    </row>
    <row r="191" spans="1:123" s="23" customFormat="1" ht="24" customHeight="1">
      <c r="A191" s="18"/>
      <c r="B191" s="2">
        <v>150</v>
      </c>
      <c r="C191" s="86" t="s">
        <v>288</v>
      </c>
      <c r="D191" s="86"/>
      <c r="E191" s="85"/>
      <c r="F191" s="41">
        <v>2019</v>
      </c>
      <c r="G191" s="42">
        <v>43752</v>
      </c>
      <c r="H191" s="286">
        <v>43753</v>
      </c>
      <c r="I191" s="286">
        <v>43753</v>
      </c>
      <c r="J191" s="15">
        <f t="shared" ca="1" si="84"/>
        <v>0</v>
      </c>
      <c r="K191" s="177">
        <f t="shared" ref="K191:K222" si="96">IF(H191="","",H191+547)</f>
        <v>44300</v>
      </c>
      <c r="L191" s="177">
        <f t="shared" ref="L191:L222" si="97">IF(H191="","",H191+730)</f>
        <v>44483</v>
      </c>
      <c r="M191" s="177"/>
      <c r="N191" s="183"/>
      <c r="O191" s="183"/>
      <c r="P191" s="183"/>
      <c r="Q191" s="177"/>
      <c r="R191" s="41" t="s">
        <v>176</v>
      </c>
      <c r="S191" s="13" t="s">
        <v>224</v>
      </c>
      <c r="T191" s="43"/>
      <c r="U191" s="5" t="s">
        <v>9</v>
      </c>
      <c r="V191" s="268"/>
      <c r="W191" s="5" t="s">
        <v>614</v>
      </c>
      <c r="X191" s="5" t="s">
        <v>481</v>
      </c>
      <c r="Y191" s="5" t="s">
        <v>289</v>
      </c>
      <c r="Z191" s="3" t="s">
        <v>181</v>
      </c>
      <c r="AA191" s="6" t="s">
        <v>218</v>
      </c>
      <c r="AB191" s="287" t="s">
        <v>522</v>
      </c>
      <c r="AC191" s="177" t="s">
        <v>6</v>
      </c>
      <c r="AD191" s="177" t="s">
        <v>6</v>
      </c>
      <c r="AE191" s="177" t="s">
        <v>6</v>
      </c>
      <c r="AF191" s="5"/>
      <c r="AG191" s="43"/>
      <c r="AH191" s="228"/>
      <c r="AI191" s="83"/>
      <c r="AJ191" s="83"/>
      <c r="AK191" s="237" t="e">
        <f>SUM(#REF!,BT191,BV191)</f>
        <v>#REF!</v>
      </c>
      <c r="AL191" s="165"/>
      <c r="AM191" s="165"/>
      <c r="AN191" s="165"/>
      <c r="AO191" s="165"/>
      <c r="AP191" s="165"/>
      <c r="AQ191" s="165"/>
      <c r="AR191" s="56">
        <v>0</v>
      </c>
      <c r="AS191" s="56"/>
      <c r="AT191" s="56">
        <v>0</v>
      </c>
      <c r="AU191" s="56"/>
      <c r="AV191" s="47">
        <v>0</v>
      </c>
      <c r="AW191" s="47">
        <v>0</v>
      </c>
      <c r="AX191" s="97">
        <f t="shared" si="85"/>
        <v>0</v>
      </c>
      <c r="AY191" s="169">
        <f t="shared" si="72"/>
        <v>0</v>
      </c>
      <c r="AZ191" s="196">
        <v>0</v>
      </c>
      <c r="BA191" s="170"/>
      <c r="BB191" s="196">
        <v>0</v>
      </c>
      <c r="BC191" s="170"/>
      <c r="BD191" s="196">
        <v>0</v>
      </c>
      <c r="BE191" s="170">
        <v>0</v>
      </c>
      <c r="BF191" s="196">
        <v>0</v>
      </c>
      <c r="BG191" s="170"/>
      <c r="BH191" s="196">
        <v>0</v>
      </c>
      <c r="BI191" s="170"/>
      <c r="BJ191" s="196">
        <v>0</v>
      </c>
      <c r="BK191" s="170"/>
      <c r="BL191" s="196"/>
      <c r="BM191" s="170"/>
      <c r="BN191" s="196"/>
      <c r="BO191" s="170"/>
      <c r="BP191" s="196"/>
      <c r="BQ191" s="170"/>
      <c r="BR191" s="196"/>
      <c r="BS191" s="170"/>
      <c r="BT191" s="196"/>
      <c r="BU191" s="170"/>
      <c r="BV191" s="196"/>
      <c r="BW191" s="251"/>
      <c r="BX191" s="254"/>
      <c r="BY191" s="88">
        <f t="shared" si="73"/>
        <v>0</v>
      </c>
      <c r="BZ191" s="258"/>
      <c r="CA191" s="258"/>
      <c r="CB191" s="258"/>
      <c r="CC191" s="258"/>
      <c r="CD191" s="258"/>
      <c r="CE191" s="258"/>
      <c r="CF191" s="258"/>
      <c r="CG191" s="258"/>
      <c r="CH191" s="258"/>
      <c r="CI191" s="258"/>
      <c r="CJ191" s="258"/>
      <c r="CK191" s="258"/>
      <c r="CL191" s="211">
        <f t="shared" si="89"/>
        <v>0</v>
      </c>
      <c r="CM191" s="212"/>
      <c r="CN191" s="212"/>
      <c r="CO191" s="212"/>
      <c r="CP191" s="212"/>
      <c r="CQ191" s="212"/>
      <c r="CR191" s="212"/>
      <c r="CS191" s="212"/>
      <c r="CT191" s="212"/>
      <c r="CU191" s="212"/>
      <c r="CV191" s="212"/>
      <c r="CW191" s="212"/>
      <c r="CX191" s="212"/>
      <c r="CY191" s="216">
        <f t="shared" si="86"/>
        <v>0</v>
      </c>
      <c r="CZ191" s="185">
        <f t="shared" si="74"/>
        <v>0</v>
      </c>
      <c r="DA191" s="217">
        <f t="shared" si="87"/>
        <v>0</v>
      </c>
      <c r="DB191" s="217">
        <f t="shared" si="88"/>
        <v>0</v>
      </c>
      <c r="DC191" s="217">
        <f t="shared" si="90"/>
        <v>0</v>
      </c>
      <c r="DD191" s="256">
        <v>0</v>
      </c>
      <c r="DE191" s="217">
        <f t="shared" si="91"/>
        <v>0</v>
      </c>
      <c r="DF191" s="185" t="e">
        <f>SUM(DN191:DO191)-SUM(#REF!,BV191)+BU191</f>
        <v>#REF!</v>
      </c>
      <c r="DG191" s="223"/>
      <c r="DH191" s="241">
        <f t="shared" si="92"/>
        <v>0</v>
      </c>
      <c r="DI191" s="241">
        <f t="shared" si="93"/>
        <v>0</v>
      </c>
      <c r="DJ191" s="241">
        <f t="shared" si="94"/>
        <v>0</v>
      </c>
      <c r="DK191" s="241" t="e">
        <f>SUM(BS191,#REF!,BV191)</f>
        <v>#REF!</v>
      </c>
      <c r="DL191" s="155">
        <v>0</v>
      </c>
      <c r="DM191" s="155">
        <v>0</v>
      </c>
      <c r="DN191" s="155">
        <v>0</v>
      </c>
      <c r="DO191" s="155">
        <v>0</v>
      </c>
      <c r="DP191" s="155">
        <v>0</v>
      </c>
      <c r="DQ191" s="155">
        <v>0</v>
      </c>
      <c r="DS191" s="235">
        <f t="shared" si="95"/>
        <v>0</v>
      </c>
    </row>
    <row r="192" spans="1:123" s="23" customFormat="1" ht="24" customHeight="1">
      <c r="A192" s="18"/>
      <c r="B192" s="2">
        <v>151</v>
      </c>
      <c r="C192" s="86" t="s">
        <v>318</v>
      </c>
      <c r="D192" s="86"/>
      <c r="E192" s="85"/>
      <c r="F192" s="41">
        <v>2019</v>
      </c>
      <c r="G192" s="42">
        <v>43797</v>
      </c>
      <c r="H192" s="42">
        <v>43816</v>
      </c>
      <c r="I192" s="42">
        <v>43816</v>
      </c>
      <c r="J192" s="15">
        <f t="shared" ca="1" si="84"/>
        <v>0</v>
      </c>
      <c r="K192" s="177">
        <f t="shared" si="96"/>
        <v>44363</v>
      </c>
      <c r="L192" s="177">
        <f t="shared" si="97"/>
        <v>44546</v>
      </c>
      <c r="M192" s="177"/>
      <c r="N192" s="183"/>
      <c r="O192" s="183"/>
      <c r="P192" s="183"/>
      <c r="Q192" s="183"/>
      <c r="R192" s="41" t="s">
        <v>178</v>
      </c>
      <c r="S192" s="13" t="s">
        <v>223</v>
      </c>
      <c r="T192" s="43"/>
      <c r="U192" s="5" t="s">
        <v>9</v>
      </c>
      <c r="V192" s="268">
        <v>2462310</v>
      </c>
      <c r="W192" s="5" t="s">
        <v>614</v>
      </c>
      <c r="X192" s="5" t="s">
        <v>484</v>
      </c>
      <c r="Y192" s="5" t="s">
        <v>294</v>
      </c>
      <c r="Z192" s="3" t="s">
        <v>187</v>
      </c>
      <c r="AA192" s="6" t="s">
        <v>218</v>
      </c>
      <c r="AB192" s="293" t="s">
        <v>527</v>
      </c>
      <c r="AC192" s="177" t="s">
        <v>6</v>
      </c>
      <c r="AD192" s="177" t="s">
        <v>6</v>
      </c>
      <c r="AE192" s="177" t="s">
        <v>6</v>
      </c>
      <c r="AF192" s="5"/>
      <c r="AG192" s="43"/>
      <c r="AH192" s="228"/>
      <c r="AI192" s="83"/>
      <c r="AJ192" s="83"/>
      <c r="AK192" s="237" t="e">
        <f>SUM(#REF!,BT192,BV192)</f>
        <v>#REF!</v>
      </c>
      <c r="AL192" s="179"/>
      <c r="AM192" s="179"/>
      <c r="AN192" s="179"/>
      <c r="AO192" s="179"/>
      <c r="AP192" s="179"/>
      <c r="AQ192" s="179"/>
      <c r="AR192" s="56">
        <v>0</v>
      </c>
      <c r="AS192" s="56"/>
      <c r="AT192" s="56">
        <v>0</v>
      </c>
      <c r="AU192" s="56"/>
      <c r="AV192" s="47">
        <v>0</v>
      </c>
      <c r="AW192" s="47">
        <v>0</v>
      </c>
      <c r="AX192" s="97">
        <f t="shared" si="85"/>
        <v>0</v>
      </c>
      <c r="AY192" s="169">
        <f t="shared" si="72"/>
        <v>0</v>
      </c>
      <c r="AZ192" s="196">
        <v>0</v>
      </c>
      <c r="BA192" s="170"/>
      <c r="BB192" s="196">
        <v>0</v>
      </c>
      <c r="BC192" s="170"/>
      <c r="BD192" s="196">
        <v>0</v>
      </c>
      <c r="BE192" s="170">
        <v>0</v>
      </c>
      <c r="BF192" s="196">
        <v>0</v>
      </c>
      <c r="BG192" s="170"/>
      <c r="BH192" s="196">
        <v>0</v>
      </c>
      <c r="BI192" s="170"/>
      <c r="BJ192" s="196">
        <v>0</v>
      </c>
      <c r="BK192" s="170"/>
      <c r="BL192" s="196"/>
      <c r="BM192" s="170"/>
      <c r="BN192" s="196"/>
      <c r="BO192" s="170"/>
      <c r="BP192" s="196"/>
      <c r="BQ192" s="170"/>
      <c r="BR192" s="196"/>
      <c r="BS192" s="170"/>
      <c r="BT192" s="196"/>
      <c r="BU192" s="170"/>
      <c r="BV192" s="196"/>
      <c r="BW192" s="251"/>
      <c r="BX192" s="254"/>
      <c r="BY192" s="88">
        <f t="shared" si="73"/>
        <v>0</v>
      </c>
      <c r="BZ192" s="214"/>
      <c r="CA192" s="214"/>
      <c r="CB192" s="214"/>
      <c r="CC192" s="214"/>
      <c r="CD192" s="214"/>
      <c r="CE192" s="214"/>
      <c r="CF192" s="214"/>
      <c r="CG192" s="214"/>
      <c r="CH192" s="214"/>
      <c r="CI192" s="214"/>
      <c r="CJ192" s="214"/>
      <c r="CK192" s="214"/>
      <c r="CL192" s="211">
        <f t="shared" si="89"/>
        <v>0</v>
      </c>
      <c r="CM192" s="212"/>
      <c r="CN192" s="212"/>
      <c r="CO192" s="212"/>
      <c r="CP192" s="212"/>
      <c r="CQ192" s="212"/>
      <c r="CR192" s="212"/>
      <c r="CS192" s="212"/>
      <c r="CT192" s="212"/>
      <c r="CU192" s="212"/>
      <c r="CV192" s="212"/>
      <c r="CW192" s="212"/>
      <c r="CX192" s="212"/>
      <c r="CY192" s="216">
        <f t="shared" si="86"/>
        <v>0</v>
      </c>
      <c r="CZ192" s="185">
        <f t="shared" si="74"/>
        <v>0</v>
      </c>
      <c r="DA192" s="217">
        <f t="shared" si="87"/>
        <v>0</v>
      </c>
      <c r="DB192" s="217">
        <f t="shared" si="88"/>
        <v>0</v>
      </c>
      <c r="DC192" s="217">
        <f t="shared" si="90"/>
        <v>0</v>
      </c>
      <c r="DD192" s="256">
        <v>0</v>
      </c>
      <c r="DE192" s="217">
        <f t="shared" si="91"/>
        <v>0</v>
      </c>
      <c r="DF192" s="185" t="e">
        <f>SUM(DN192:DO192)-SUM(#REF!,BV192)+BU192</f>
        <v>#REF!</v>
      </c>
      <c r="DG192" s="223"/>
      <c r="DH192" s="241">
        <f t="shared" si="92"/>
        <v>0</v>
      </c>
      <c r="DI192" s="241">
        <f t="shared" si="93"/>
        <v>0</v>
      </c>
      <c r="DJ192" s="241">
        <f t="shared" si="94"/>
        <v>0</v>
      </c>
      <c r="DK192" s="241" t="e">
        <f>SUM(BS192,#REF!,BV192)</f>
        <v>#REF!</v>
      </c>
      <c r="DL192" s="155">
        <v>55.65</v>
      </c>
      <c r="DM192" s="155">
        <v>0</v>
      </c>
      <c r="DN192" s="155">
        <v>0</v>
      </c>
      <c r="DO192" s="155">
        <v>0</v>
      </c>
      <c r="DP192" s="155">
        <v>0</v>
      </c>
      <c r="DQ192" s="155">
        <v>55.65</v>
      </c>
      <c r="DS192" s="235">
        <f t="shared" si="95"/>
        <v>0</v>
      </c>
    </row>
    <row r="193" spans="1:123" s="23" customFormat="1" ht="24" customHeight="1">
      <c r="A193" s="18"/>
      <c r="B193" s="2">
        <v>152</v>
      </c>
      <c r="C193" s="86" t="s">
        <v>262</v>
      </c>
      <c r="D193" s="86"/>
      <c r="E193" s="85" t="s">
        <v>862</v>
      </c>
      <c r="F193" s="41">
        <v>2019</v>
      </c>
      <c r="G193" s="42">
        <v>43714</v>
      </c>
      <c r="H193" s="192">
        <v>43809</v>
      </c>
      <c r="I193" s="42">
        <v>44404</v>
      </c>
      <c r="J193" s="15">
        <f t="shared" ca="1" si="84"/>
        <v>595</v>
      </c>
      <c r="K193" s="177">
        <f t="shared" si="96"/>
        <v>44356</v>
      </c>
      <c r="L193" s="177">
        <f t="shared" si="97"/>
        <v>44539</v>
      </c>
      <c r="M193" s="177" t="s">
        <v>609</v>
      </c>
      <c r="N193" s="177" t="s">
        <v>609</v>
      </c>
      <c r="O193" s="275" t="s">
        <v>609</v>
      </c>
      <c r="P193" s="222" t="s">
        <v>1395</v>
      </c>
      <c r="Q193" s="177"/>
      <c r="R193" s="41" t="s">
        <v>176</v>
      </c>
      <c r="S193" s="13" t="s">
        <v>5</v>
      </c>
      <c r="T193" s="43" t="s">
        <v>952</v>
      </c>
      <c r="U193" s="5" t="s">
        <v>9</v>
      </c>
      <c r="V193" s="268">
        <v>2357919</v>
      </c>
      <c r="W193" s="5" t="s">
        <v>614</v>
      </c>
      <c r="X193" s="5" t="s">
        <v>480</v>
      </c>
      <c r="Y193" s="5" t="s">
        <v>243</v>
      </c>
      <c r="Z193" s="3" t="s">
        <v>181</v>
      </c>
      <c r="AA193" s="6" t="s">
        <v>218</v>
      </c>
      <c r="AB193" s="152" t="s">
        <v>197</v>
      </c>
      <c r="AC193" s="177" t="s">
        <v>6</v>
      </c>
      <c r="AD193" s="177">
        <v>44530</v>
      </c>
      <c r="AE193" s="177">
        <f>IFERROR(EOMONTH(L193,-2),"")</f>
        <v>44500</v>
      </c>
      <c r="AF193" s="5"/>
      <c r="AG193" s="43"/>
      <c r="AH193" s="228"/>
      <c r="AI193" s="83"/>
      <c r="AJ193" s="83"/>
      <c r="AK193" s="237" t="e">
        <f>SUM(#REF!,BT193,BV193)</f>
        <v>#REF!</v>
      </c>
      <c r="AL193" s="52" t="s">
        <v>1203</v>
      </c>
      <c r="AM193" s="52" t="s">
        <v>1203</v>
      </c>
      <c r="AN193" s="52" t="s">
        <v>1203</v>
      </c>
      <c r="AO193" s="52" t="s">
        <v>602</v>
      </c>
      <c r="AP193" s="52" t="s">
        <v>602</v>
      </c>
      <c r="AQ193" s="52" t="s">
        <v>602</v>
      </c>
      <c r="AR193" s="56">
        <v>0</v>
      </c>
      <c r="AS193" s="56">
        <v>1209</v>
      </c>
      <c r="AT193" s="56">
        <v>273.32321000000002</v>
      </c>
      <c r="AU193" s="56">
        <v>814.2</v>
      </c>
      <c r="AV193" s="47">
        <v>1208.9570000000001</v>
      </c>
      <c r="AW193" s="47">
        <v>24.077999999999999</v>
      </c>
      <c r="AX193" s="97">
        <f t="shared" si="85"/>
        <v>1233.0350000000001</v>
      </c>
      <c r="AY193" s="169">
        <f t="shared" si="72"/>
        <v>807.6702600000001</v>
      </c>
      <c r="AZ193" s="196">
        <v>0</v>
      </c>
      <c r="BA193" s="170">
        <v>0</v>
      </c>
      <c r="BB193" s="196">
        <v>0</v>
      </c>
      <c r="BC193" s="170"/>
      <c r="BD193" s="196">
        <v>0</v>
      </c>
      <c r="BE193" s="170">
        <v>0</v>
      </c>
      <c r="BF193" s="196">
        <v>0</v>
      </c>
      <c r="BG193" s="170"/>
      <c r="BH193" s="196">
        <v>0</v>
      </c>
      <c r="BI193" s="170">
        <v>785.86026000000004</v>
      </c>
      <c r="BJ193" s="196">
        <v>0</v>
      </c>
      <c r="BK193" s="170">
        <v>1.5433800000000002</v>
      </c>
      <c r="BL193" s="196"/>
      <c r="BM193" s="170">
        <v>-5.0220000000000001E-2</v>
      </c>
      <c r="BN193" s="196">
        <v>4</v>
      </c>
      <c r="BO193" s="170"/>
      <c r="BP193" s="196"/>
      <c r="BQ193" s="170">
        <v>1.0001599999999999</v>
      </c>
      <c r="BR193" s="196"/>
      <c r="BS193" s="170"/>
      <c r="BT193" s="196">
        <f>20-0.6</f>
        <v>19.399999999999999</v>
      </c>
      <c r="BU193" s="170">
        <v>19.316680000000002</v>
      </c>
      <c r="BV193" s="196"/>
      <c r="BW193" s="251"/>
      <c r="BX193" s="254"/>
      <c r="BY193" s="88">
        <f t="shared" si="73"/>
        <v>0</v>
      </c>
      <c r="BZ193" s="258"/>
      <c r="CA193" s="258"/>
      <c r="CB193" s="258"/>
      <c r="CC193" s="258"/>
      <c r="CD193" s="258"/>
      <c r="CE193" s="258"/>
      <c r="CF193" s="258"/>
      <c r="CG193" s="258"/>
      <c r="CH193" s="258"/>
      <c r="CI193" s="258"/>
      <c r="CJ193" s="258"/>
      <c r="CK193" s="258"/>
      <c r="CL193" s="211">
        <f t="shared" si="89"/>
        <v>0</v>
      </c>
      <c r="CM193" s="212"/>
      <c r="CN193" s="212"/>
      <c r="CO193" s="212"/>
      <c r="CP193" s="212"/>
      <c r="CQ193" s="212"/>
      <c r="CR193" s="212"/>
      <c r="CS193" s="212"/>
      <c r="CT193" s="212"/>
      <c r="CU193" s="212"/>
      <c r="CV193" s="212"/>
      <c r="CW193" s="212"/>
      <c r="CX193" s="212"/>
      <c r="CY193" s="216">
        <f t="shared" si="86"/>
        <v>0</v>
      </c>
      <c r="CZ193" s="185">
        <f t="shared" si="74"/>
        <v>0</v>
      </c>
      <c r="DA193" s="217">
        <f t="shared" si="87"/>
        <v>807.6702600000001</v>
      </c>
      <c r="DB193" s="217">
        <f t="shared" si="88"/>
        <v>0</v>
      </c>
      <c r="DC193" s="217">
        <f t="shared" si="90"/>
        <v>807.6702600000001</v>
      </c>
      <c r="DD193" s="256">
        <v>807.75358000000006</v>
      </c>
      <c r="DE193" s="217">
        <f t="shared" si="91"/>
        <v>-8.3319999999957872E-2</v>
      </c>
      <c r="DF193" s="185" t="e">
        <f>SUM(DN193:DO193)-SUM(#REF!,BV193)+BU193</f>
        <v>#REF!</v>
      </c>
      <c r="DG193" s="223"/>
      <c r="DH193" s="241">
        <f t="shared" si="92"/>
        <v>0</v>
      </c>
      <c r="DI193" s="241">
        <f t="shared" si="93"/>
        <v>787.40364</v>
      </c>
      <c r="DJ193" s="241">
        <f t="shared" si="94"/>
        <v>0.9499399999999999</v>
      </c>
      <c r="DK193" s="241" t="e">
        <f>SUM(BS193,#REF!,BV193)</f>
        <v>#REF!</v>
      </c>
      <c r="DL193" s="155">
        <v>1208.9570000000001</v>
      </c>
      <c r="DM193" s="155">
        <v>1080.9934699999999</v>
      </c>
      <c r="DN193" s="155">
        <v>0</v>
      </c>
      <c r="DO193" s="155">
        <v>0</v>
      </c>
      <c r="DP193" s="155">
        <v>1080.9934699999999</v>
      </c>
      <c r="DQ193" s="155">
        <v>127.96353000000001</v>
      </c>
      <c r="DR193" s="23">
        <f>VLOOKUP(C193,[6]Database!$B$143:$AD$521,29,FALSE)</f>
        <v>0</v>
      </c>
      <c r="DS193" s="235">
        <f t="shared" si="95"/>
        <v>0</v>
      </c>
    </row>
    <row r="194" spans="1:123" s="23" customFormat="1" ht="24" customHeight="1">
      <c r="A194" s="18"/>
      <c r="B194" s="2">
        <v>153</v>
      </c>
      <c r="C194" s="274" t="s">
        <v>291</v>
      </c>
      <c r="D194" s="86"/>
      <c r="E194" s="85" t="s">
        <v>882</v>
      </c>
      <c r="F194" s="41">
        <v>2019</v>
      </c>
      <c r="G194" s="42">
        <v>43714</v>
      </c>
      <c r="H194" s="192">
        <v>43775</v>
      </c>
      <c r="I194" s="42">
        <v>44529</v>
      </c>
      <c r="J194" s="15">
        <f t="shared" ca="1" si="84"/>
        <v>754</v>
      </c>
      <c r="K194" s="177">
        <f t="shared" si="96"/>
        <v>44322</v>
      </c>
      <c r="L194" s="177">
        <f t="shared" si="97"/>
        <v>44505</v>
      </c>
      <c r="M194" s="249" t="s">
        <v>609</v>
      </c>
      <c r="N194" s="183" t="s">
        <v>609</v>
      </c>
      <c r="O194" s="275" t="s">
        <v>609</v>
      </c>
      <c r="P194" s="276" t="s">
        <v>1395</v>
      </c>
      <c r="Q194" s="183"/>
      <c r="R194" s="41" t="s">
        <v>176</v>
      </c>
      <c r="S194" s="13" t="s">
        <v>5</v>
      </c>
      <c r="T194" s="43" t="s">
        <v>952</v>
      </c>
      <c r="U194" s="5" t="s">
        <v>9</v>
      </c>
      <c r="V194" s="268">
        <v>2358387</v>
      </c>
      <c r="W194" s="5" t="s">
        <v>614</v>
      </c>
      <c r="X194" s="5" t="s">
        <v>480</v>
      </c>
      <c r="Y194" s="5" t="s">
        <v>244</v>
      </c>
      <c r="Z194" s="3" t="s">
        <v>181</v>
      </c>
      <c r="AA194" s="6" t="s">
        <v>218</v>
      </c>
      <c r="AB194" s="152" t="s">
        <v>197</v>
      </c>
      <c r="AC194" s="177" t="s">
        <v>6</v>
      </c>
      <c r="AD194" s="177">
        <v>44561</v>
      </c>
      <c r="AE194" s="177">
        <f>IFERROR(EOMONTH(L194,-2),"")</f>
        <v>44469</v>
      </c>
      <c r="AF194" s="5"/>
      <c r="AG194" s="43"/>
      <c r="AH194" s="228"/>
      <c r="AI194" s="83"/>
      <c r="AJ194" s="83"/>
      <c r="AK194" s="237" t="e">
        <f>SUM(#REF!,BT194,BV194)</f>
        <v>#REF!</v>
      </c>
      <c r="AL194" s="52" t="s">
        <v>1206</v>
      </c>
      <c r="AM194" s="52" t="s">
        <v>1207</v>
      </c>
      <c r="AN194" s="52" t="s">
        <v>1203</v>
      </c>
      <c r="AO194" s="52" t="s">
        <v>1208</v>
      </c>
      <c r="AP194" s="52" t="s">
        <v>1292</v>
      </c>
      <c r="AQ194" s="52"/>
      <c r="AR194" s="56">
        <v>2.1484299999999998</v>
      </c>
      <c r="AS194" s="56">
        <v>953.69999999999993</v>
      </c>
      <c r="AT194" s="56">
        <v>203.18324999999999</v>
      </c>
      <c r="AU194" s="56">
        <v>199.04179999999999</v>
      </c>
      <c r="AV194" s="47">
        <v>955.78200000000004</v>
      </c>
      <c r="AW194" s="47">
        <v>48.155999999999999</v>
      </c>
      <c r="AX194" s="97">
        <f t="shared" si="85"/>
        <v>1003.938</v>
      </c>
      <c r="AY194" s="169">
        <f t="shared" si="72"/>
        <v>122.86459999999998</v>
      </c>
      <c r="AZ194" s="196">
        <v>0</v>
      </c>
      <c r="BA194" s="170">
        <v>1.4418000000000002</v>
      </c>
      <c r="BB194" s="196">
        <v>0</v>
      </c>
      <c r="BC194" s="170">
        <v>1.3903099999999999</v>
      </c>
      <c r="BD194" s="196">
        <v>0</v>
      </c>
      <c r="BE194" s="170">
        <v>0</v>
      </c>
      <c r="BF194" s="196">
        <v>0</v>
      </c>
      <c r="BG194" s="170">
        <v>22.379849999999998</v>
      </c>
      <c r="BH194" s="196">
        <v>0</v>
      </c>
      <c r="BI194" s="170">
        <v>2.1657199999999999</v>
      </c>
      <c r="BJ194" s="196">
        <v>0</v>
      </c>
      <c r="BK194" s="170">
        <v>3.0791500000000003</v>
      </c>
      <c r="BL194" s="196"/>
      <c r="BM194" s="170">
        <v>1.55871</v>
      </c>
      <c r="BN194" s="196"/>
      <c r="BO194" s="170"/>
      <c r="BP194" s="196"/>
      <c r="BQ194" s="170"/>
      <c r="BR194" s="196"/>
      <c r="BS194" s="170"/>
      <c r="BT194" s="196">
        <v>35</v>
      </c>
      <c r="BU194" s="170">
        <v>91.180419999999998</v>
      </c>
      <c r="BV194" s="196"/>
      <c r="BW194" s="251">
        <v>-0.33135999999999999</v>
      </c>
      <c r="BX194" s="254">
        <v>-0.33135999999999999</v>
      </c>
      <c r="BY194" s="88">
        <f t="shared" si="73"/>
        <v>0</v>
      </c>
      <c r="BZ194" s="258"/>
      <c r="CA194" s="258"/>
      <c r="CB194" s="258"/>
      <c r="CC194" s="258"/>
      <c r="CD194" s="258"/>
      <c r="CE194" s="258"/>
      <c r="CF194" s="258"/>
      <c r="CG194" s="258"/>
      <c r="CH194" s="258"/>
      <c r="CI194" s="258"/>
      <c r="CJ194" s="258"/>
      <c r="CK194" s="258"/>
      <c r="CL194" s="211">
        <f t="shared" si="89"/>
        <v>0</v>
      </c>
      <c r="CM194" s="212"/>
      <c r="CN194" s="212"/>
      <c r="CO194" s="212"/>
      <c r="CP194" s="212"/>
      <c r="CQ194" s="212"/>
      <c r="CR194" s="212"/>
      <c r="CS194" s="212"/>
      <c r="CT194" s="212"/>
      <c r="CU194" s="212"/>
      <c r="CV194" s="212"/>
      <c r="CW194" s="212"/>
      <c r="CX194" s="212"/>
      <c r="CY194" s="216">
        <f t="shared" si="86"/>
        <v>0.33135999999999999</v>
      </c>
      <c r="CZ194" s="185">
        <f t="shared" si="74"/>
        <v>0</v>
      </c>
      <c r="DA194" s="217">
        <f t="shared" si="87"/>
        <v>123.19595999999999</v>
      </c>
      <c r="DB194" s="217">
        <f t="shared" si="88"/>
        <v>-0.33135999999999999</v>
      </c>
      <c r="DC194" s="217">
        <f t="shared" si="90"/>
        <v>122.86459999999998</v>
      </c>
      <c r="DD194" s="256">
        <v>67.015539999999987</v>
      </c>
      <c r="DE194" s="217">
        <f t="shared" si="91"/>
        <v>55.849059999999994</v>
      </c>
      <c r="DF194" s="185" t="e">
        <f>SUM(DN194:DO194)-SUM(#REF!,BV194)+BU194</f>
        <v>#REF!</v>
      </c>
      <c r="DG194" s="247" t="s">
        <v>1151</v>
      </c>
      <c r="DH194" s="241">
        <f t="shared" si="92"/>
        <v>2.8321100000000001</v>
      </c>
      <c r="DI194" s="241">
        <f t="shared" si="93"/>
        <v>27.624719999999996</v>
      </c>
      <c r="DJ194" s="241">
        <f t="shared" si="94"/>
        <v>1.55871</v>
      </c>
      <c r="DK194" s="241" t="e">
        <f>SUM(BS194,#REF!,BV194)</f>
        <v>#REF!</v>
      </c>
      <c r="DL194" s="155">
        <v>955.78200000000004</v>
      </c>
      <c r="DM194" s="155">
        <v>328.19628</v>
      </c>
      <c r="DN194" s="155">
        <v>0</v>
      </c>
      <c r="DO194" s="155">
        <v>0</v>
      </c>
      <c r="DP194" s="155">
        <v>328.19628</v>
      </c>
      <c r="DQ194" s="155">
        <v>627.58571999999992</v>
      </c>
      <c r="DR194" s="23">
        <f>VLOOKUP(C194,[6]Database!$B$143:$AD$521,29,FALSE)</f>
        <v>0</v>
      </c>
      <c r="DS194" s="235">
        <f t="shared" si="95"/>
        <v>0</v>
      </c>
    </row>
    <row r="195" spans="1:123" s="23" customFormat="1" ht="24" customHeight="1">
      <c r="A195" s="18"/>
      <c r="B195" s="2">
        <v>154</v>
      </c>
      <c r="C195" s="274" t="s">
        <v>292</v>
      </c>
      <c r="D195" s="86"/>
      <c r="E195" s="85" t="s">
        <v>871</v>
      </c>
      <c r="F195" s="41">
        <v>2019</v>
      </c>
      <c r="G195" s="42">
        <v>43714</v>
      </c>
      <c r="H195" s="192">
        <v>43802</v>
      </c>
      <c r="I195" s="42"/>
      <c r="J195" s="15">
        <f t="shared" ca="1" si="84"/>
        <v>-1496.4066194444458</v>
      </c>
      <c r="K195" s="177">
        <f t="shared" si="96"/>
        <v>44349</v>
      </c>
      <c r="L195" s="177">
        <f t="shared" si="97"/>
        <v>44532</v>
      </c>
      <c r="M195" s="249" t="s">
        <v>609</v>
      </c>
      <c r="N195" s="183" t="s">
        <v>609</v>
      </c>
      <c r="O195" s="275" t="s">
        <v>609</v>
      </c>
      <c r="P195" s="277" t="s">
        <v>1374</v>
      </c>
      <c r="Q195" s="277" t="s">
        <v>1517</v>
      </c>
      <c r="R195" s="41" t="s">
        <v>176</v>
      </c>
      <c r="S195" s="13" t="s">
        <v>5</v>
      </c>
      <c r="T195" s="43" t="s">
        <v>952</v>
      </c>
      <c r="U195" s="5" t="s">
        <v>9</v>
      </c>
      <c r="V195" s="268">
        <v>2357839</v>
      </c>
      <c r="W195" s="5" t="s">
        <v>614</v>
      </c>
      <c r="X195" s="5" t="s">
        <v>480</v>
      </c>
      <c r="Y195" s="5" t="s">
        <v>245</v>
      </c>
      <c r="Z195" s="3" t="s">
        <v>181</v>
      </c>
      <c r="AA195" s="6" t="s">
        <v>463</v>
      </c>
      <c r="AB195" s="295" t="s">
        <v>1167</v>
      </c>
      <c r="AC195" s="177">
        <v>44773</v>
      </c>
      <c r="AD195" s="177">
        <v>44742</v>
      </c>
      <c r="AE195" s="177">
        <f>IFERROR(EOMONTH(L195,-2),"")</f>
        <v>44500</v>
      </c>
      <c r="AF195" s="5"/>
      <c r="AG195" s="43"/>
      <c r="AH195" s="228"/>
      <c r="AI195" s="83"/>
      <c r="AJ195" s="83"/>
      <c r="AK195" s="237" t="e">
        <f>SUM(#REF!,BT195,BV195)</f>
        <v>#REF!</v>
      </c>
      <c r="AL195" s="165" t="s">
        <v>1203</v>
      </c>
      <c r="AM195" s="165" t="s">
        <v>1203</v>
      </c>
      <c r="AN195" s="165" t="s">
        <v>1203</v>
      </c>
      <c r="AO195" s="165" t="s">
        <v>602</v>
      </c>
      <c r="AP195" s="165" t="s">
        <v>602</v>
      </c>
      <c r="AQ195" s="165" t="s">
        <v>602</v>
      </c>
      <c r="AR195" s="56">
        <v>53.241159999999994</v>
      </c>
      <c r="AS195" s="56">
        <v>815.29365000000007</v>
      </c>
      <c r="AT195" s="56">
        <v>56.696770000000001</v>
      </c>
      <c r="AU195" s="56">
        <v>261</v>
      </c>
      <c r="AV195" s="47">
        <v>864.93799999999999</v>
      </c>
      <c r="AW195" s="47">
        <v>48.155999999999999</v>
      </c>
      <c r="AX195" s="97">
        <f t="shared" si="85"/>
        <v>913.09399999999994</v>
      </c>
      <c r="AY195" s="169">
        <f t="shared" si="72"/>
        <v>126.68428999999999</v>
      </c>
      <c r="AZ195" s="196">
        <v>0</v>
      </c>
      <c r="BA195" s="170">
        <v>0</v>
      </c>
      <c r="BB195" s="196">
        <v>0</v>
      </c>
      <c r="BC195" s="170">
        <v>19.900029999999997</v>
      </c>
      <c r="BD195" s="196">
        <v>116</v>
      </c>
      <c r="BE195" s="170">
        <v>60.723800000000004</v>
      </c>
      <c r="BF195" s="196">
        <v>0</v>
      </c>
      <c r="BG195" s="170">
        <v>1.75159</v>
      </c>
      <c r="BH195" s="196">
        <v>0</v>
      </c>
      <c r="BI195" s="170">
        <v>20.405279999999998</v>
      </c>
      <c r="BJ195" s="196">
        <v>18.371009999999998</v>
      </c>
      <c r="BK195" s="170">
        <v>1.18733</v>
      </c>
      <c r="BL195" s="196">
        <v>17</v>
      </c>
      <c r="BM195" s="170">
        <v>22.46613</v>
      </c>
      <c r="BN195" s="196"/>
      <c r="BO195" s="170">
        <v>0.45424000000000003</v>
      </c>
      <c r="BP195" s="196"/>
      <c r="BQ195" s="170">
        <v>2.1714099999999998</v>
      </c>
      <c r="BR195" s="196">
        <v>-5.5</v>
      </c>
      <c r="BS195" s="170">
        <v>0.71101999999999999</v>
      </c>
      <c r="BT195" s="196">
        <v>-5.5</v>
      </c>
      <c r="BU195" s="170">
        <v>-4.6118800000000002</v>
      </c>
      <c r="BV195" s="196"/>
      <c r="BW195" s="251">
        <v>1.5253400000000001</v>
      </c>
      <c r="BX195" s="254">
        <v>1.5253400000000001</v>
      </c>
      <c r="BY195" s="88">
        <f t="shared" si="73"/>
        <v>33.5</v>
      </c>
      <c r="BZ195" s="258"/>
      <c r="CA195" s="258"/>
      <c r="CB195" s="258"/>
      <c r="CC195" s="258">
        <f>35-1.5</f>
        <v>33.5</v>
      </c>
      <c r="CD195" s="258"/>
      <c r="CE195" s="258"/>
      <c r="CF195" s="258"/>
      <c r="CG195" s="258"/>
      <c r="CH195" s="258"/>
      <c r="CI195" s="258"/>
      <c r="CJ195" s="258"/>
      <c r="CK195" s="258"/>
      <c r="CL195" s="211">
        <f t="shared" si="89"/>
        <v>0</v>
      </c>
      <c r="CM195" s="212"/>
      <c r="CN195" s="212"/>
      <c r="CO195" s="212"/>
      <c r="CP195" s="212"/>
      <c r="CQ195" s="212"/>
      <c r="CR195" s="212"/>
      <c r="CS195" s="212"/>
      <c r="CT195" s="212"/>
      <c r="CU195" s="212"/>
      <c r="CV195" s="212"/>
      <c r="CW195" s="212"/>
      <c r="CX195" s="212"/>
      <c r="CY195" s="216">
        <f t="shared" si="86"/>
        <v>-1.5253400000000001</v>
      </c>
      <c r="CZ195" s="185">
        <f t="shared" si="74"/>
        <v>0</v>
      </c>
      <c r="DA195" s="217">
        <f t="shared" si="87"/>
        <v>125.15894999999999</v>
      </c>
      <c r="DB195" s="217">
        <f t="shared" si="88"/>
        <v>1.5253400000000001</v>
      </c>
      <c r="DC195" s="217">
        <f t="shared" si="90"/>
        <v>160.18428999999998</v>
      </c>
      <c r="DD195" s="256">
        <v>159.27082999999999</v>
      </c>
      <c r="DE195" s="217">
        <f t="shared" si="91"/>
        <v>0.91345999999998639</v>
      </c>
      <c r="DF195" s="185" t="e">
        <f>SUM(DN195:DO195)-SUM(#REF!,BV195)+BU195</f>
        <v>#REF!</v>
      </c>
      <c r="DG195" s="223"/>
      <c r="DH195" s="241">
        <f t="shared" si="92"/>
        <v>80.623829999999998</v>
      </c>
      <c r="DI195" s="241">
        <f t="shared" si="93"/>
        <v>23.344199999999997</v>
      </c>
      <c r="DJ195" s="241">
        <f t="shared" si="94"/>
        <v>25.09178</v>
      </c>
      <c r="DK195" s="241" t="e">
        <f>SUM(BS195,#REF!,BV195)</f>
        <v>#REF!</v>
      </c>
      <c r="DL195" s="155">
        <v>864.93799999999999</v>
      </c>
      <c r="DM195" s="155">
        <v>236.62222</v>
      </c>
      <c r="DN195" s="155">
        <v>53.712240000000001</v>
      </c>
      <c r="DO195" s="155">
        <v>0</v>
      </c>
      <c r="DP195" s="155">
        <v>290.33446000000004</v>
      </c>
      <c r="DQ195" s="155">
        <v>574.60354000000007</v>
      </c>
      <c r="DR195" s="23">
        <f>VLOOKUP(C195,[6]Database!$B$143:$AD$521,29,FALSE)</f>
        <v>35</v>
      </c>
      <c r="DS195" s="235">
        <f t="shared" si="95"/>
        <v>-1.5</v>
      </c>
    </row>
    <row r="196" spans="1:123" s="23" customFormat="1" ht="24" customHeight="1">
      <c r="A196" s="18"/>
      <c r="B196" s="2">
        <v>156</v>
      </c>
      <c r="C196" s="86" t="s">
        <v>309</v>
      </c>
      <c r="D196" s="86"/>
      <c r="E196" s="85"/>
      <c r="F196" s="41">
        <v>2019</v>
      </c>
      <c r="G196" s="42">
        <v>43810</v>
      </c>
      <c r="H196" s="192">
        <v>43885</v>
      </c>
      <c r="I196" s="42">
        <v>44463</v>
      </c>
      <c r="J196" s="15">
        <f t="shared" ca="1" si="84"/>
        <v>578</v>
      </c>
      <c r="K196" s="177">
        <f t="shared" si="96"/>
        <v>44432</v>
      </c>
      <c r="L196" s="177">
        <f t="shared" si="97"/>
        <v>44615</v>
      </c>
      <c r="M196" s="177"/>
      <c r="N196" s="183" t="s">
        <v>609</v>
      </c>
      <c r="O196" s="183"/>
      <c r="P196" s="276" t="s">
        <v>1394</v>
      </c>
      <c r="Q196" s="177"/>
      <c r="R196" s="41" t="s">
        <v>176</v>
      </c>
      <c r="S196" s="13" t="s">
        <v>222</v>
      </c>
      <c r="T196" s="43" t="s">
        <v>965</v>
      </c>
      <c r="U196" s="5" t="s">
        <v>9</v>
      </c>
      <c r="V196" s="268">
        <v>2729964</v>
      </c>
      <c r="W196" s="5" t="s">
        <v>614</v>
      </c>
      <c r="X196" s="5" t="s">
        <v>475</v>
      </c>
      <c r="Y196" s="5" t="s">
        <v>310</v>
      </c>
      <c r="Z196" s="3" t="s">
        <v>181</v>
      </c>
      <c r="AA196" s="6" t="s">
        <v>195</v>
      </c>
      <c r="AB196" s="163" t="s">
        <v>1343</v>
      </c>
      <c r="AC196" s="177" t="s">
        <v>6</v>
      </c>
      <c r="AD196" s="177">
        <v>44561</v>
      </c>
      <c r="AE196" s="177">
        <f>IFERROR(EOMONTH(L196,-2),"")</f>
        <v>44561</v>
      </c>
      <c r="AF196" s="5" t="s">
        <v>1132</v>
      </c>
      <c r="AG196" s="43" t="s">
        <v>1135</v>
      </c>
      <c r="AH196" s="228">
        <v>9.7600000000000006E-2</v>
      </c>
      <c r="AI196" s="83" t="s">
        <v>692</v>
      </c>
      <c r="AJ196" s="83"/>
      <c r="AK196" s="237" t="e">
        <f>SUM(#REF!,BT196,BV196)</f>
        <v>#REF!</v>
      </c>
      <c r="AL196" s="179"/>
      <c r="AM196" s="179"/>
      <c r="AN196" s="179"/>
      <c r="AO196" s="179"/>
      <c r="AP196" s="179"/>
      <c r="AQ196" s="179"/>
      <c r="AR196" s="56">
        <v>0</v>
      </c>
      <c r="AS196" s="56">
        <v>300</v>
      </c>
      <c r="AT196" s="56">
        <v>354.84650000000005</v>
      </c>
      <c r="AU196" s="56">
        <v>86</v>
      </c>
      <c r="AV196" s="47">
        <v>571.51850000000002</v>
      </c>
      <c r="AW196" s="47">
        <v>5.45</v>
      </c>
      <c r="AX196" s="97">
        <f t="shared" si="85"/>
        <v>576.96850000000006</v>
      </c>
      <c r="AY196" s="169">
        <f t="shared" si="72"/>
        <v>214.56279000000001</v>
      </c>
      <c r="AZ196" s="196">
        <v>0</v>
      </c>
      <c r="BA196" s="170">
        <v>11.241680000000001</v>
      </c>
      <c r="BB196" s="196">
        <v>0</v>
      </c>
      <c r="BC196" s="170">
        <v>6.9047000000000001</v>
      </c>
      <c r="BD196" s="196">
        <v>0</v>
      </c>
      <c r="BE196" s="170">
        <v>12.376009999999999</v>
      </c>
      <c r="BF196" s="196">
        <v>0</v>
      </c>
      <c r="BG196" s="170">
        <v>11.799609999999999</v>
      </c>
      <c r="BH196" s="196">
        <v>0</v>
      </c>
      <c r="BI196" s="170">
        <v>16.510469999999998</v>
      </c>
      <c r="BJ196" s="196">
        <v>0</v>
      </c>
      <c r="BK196" s="170">
        <v>9.9053799999999974</v>
      </c>
      <c r="BL196" s="196"/>
      <c r="BM196" s="170">
        <v>7.054850000000001</v>
      </c>
      <c r="BN196" s="196">
        <v>36</v>
      </c>
      <c r="BO196" s="170">
        <v>40.67597</v>
      </c>
      <c r="BP196" s="196"/>
      <c r="BQ196" s="170">
        <v>0.22431000000000001</v>
      </c>
      <c r="BR196" s="196">
        <v>0</v>
      </c>
      <c r="BS196" s="170">
        <v>39.22842</v>
      </c>
      <c r="BT196" s="196">
        <f>63-0.8-38.5</f>
        <v>23.700000000000003</v>
      </c>
      <c r="BU196" s="170">
        <v>57.756</v>
      </c>
      <c r="BV196" s="196"/>
      <c r="BW196" s="251">
        <v>0.8853899999999999</v>
      </c>
      <c r="BX196" s="254">
        <v>0.8853899999999999</v>
      </c>
      <c r="BY196" s="88">
        <f t="shared" si="73"/>
        <v>16.099999999999998</v>
      </c>
      <c r="BZ196" s="258">
        <f>17-0.1-0.8</f>
        <v>16.099999999999998</v>
      </c>
      <c r="CA196" s="258"/>
      <c r="CB196" s="258"/>
      <c r="CC196" s="258"/>
      <c r="CD196" s="258"/>
      <c r="CE196" s="258"/>
      <c r="CF196" s="258"/>
      <c r="CG196" s="258"/>
      <c r="CH196" s="258"/>
      <c r="CI196" s="258"/>
      <c r="CJ196" s="258"/>
      <c r="CK196" s="258"/>
      <c r="CL196" s="211">
        <f t="shared" si="89"/>
        <v>0</v>
      </c>
      <c r="CM196" s="212"/>
      <c r="CN196" s="212"/>
      <c r="CO196" s="212"/>
      <c r="CP196" s="212"/>
      <c r="CQ196" s="212"/>
      <c r="CR196" s="212"/>
      <c r="CS196" s="212"/>
      <c r="CT196" s="212"/>
      <c r="CU196" s="212"/>
      <c r="CV196" s="212"/>
      <c r="CW196" s="212"/>
      <c r="CX196" s="212"/>
      <c r="CY196" s="216">
        <f t="shared" si="86"/>
        <v>-0.8853899999999999</v>
      </c>
      <c r="CZ196" s="185">
        <f t="shared" si="74"/>
        <v>0</v>
      </c>
      <c r="DA196" s="217">
        <f t="shared" si="87"/>
        <v>213.67740000000001</v>
      </c>
      <c r="DB196" s="217">
        <f t="shared" si="88"/>
        <v>0.8853899999999999</v>
      </c>
      <c r="DC196" s="217">
        <f t="shared" si="90"/>
        <v>230.66279</v>
      </c>
      <c r="DD196" s="256">
        <v>196.62139999999999</v>
      </c>
      <c r="DE196" s="217">
        <f t="shared" si="91"/>
        <v>34.041390000000007</v>
      </c>
      <c r="DF196" s="185" t="e">
        <f>SUM(DN196:DO196)-SUM(#REF!,BV196)+BU196</f>
        <v>#REF!</v>
      </c>
      <c r="DG196" s="247" t="s">
        <v>1303</v>
      </c>
      <c r="DH196" s="241">
        <f t="shared" si="92"/>
        <v>30.522390000000001</v>
      </c>
      <c r="DI196" s="241">
        <f t="shared" si="93"/>
        <v>38.215459999999993</v>
      </c>
      <c r="DJ196" s="241">
        <f t="shared" si="94"/>
        <v>47.955130000000004</v>
      </c>
      <c r="DK196" s="241" t="e">
        <f>SUM(BS196,#REF!,BV196)</f>
        <v>#REF!</v>
      </c>
      <c r="DL196" s="155">
        <v>571.44849999999997</v>
      </c>
      <c r="DM196" s="155">
        <v>569.40929000000006</v>
      </c>
      <c r="DN196" s="155">
        <v>0</v>
      </c>
      <c r="DO196" s="155">
        <v>0</v>
      </c>
      <c r="DP196" s="155">
        <v>569.40929000000006</v>
      </c>
      <c r="DQ196" s="155">
        <v>2.0392100000000002</v>
      </c>
      <c r="DR196" s="23">
        <f>VLOOKUP(C196,[6]Database!$B$143:$AD$521,29,FALSE)</f>
        <v>0</v>
      </c>
      <c r="DS196" s="235">
        <f t="shared" si="95"/>
        <v>16.099999999999998</v>
      </c>
    </row>
    <row r="197" spans="1:123" s="23" customFormat="1" ht="24" customHeight="1">
      <c r="A197" s="18"/>
      <c r="B197" s="2">
        <v>157</v>
      </c>
      <c r="C197" s="86" t="s">
        <v>311</v>
      </c>
      <c r="D197" s="86"/>
      <c r="E197" s="85"/>
      <c r="F197" s="41">
        <v>2020</v>
      </c>
      <c r="G197" s="42">
        <v>43837</v>
      </c>
      <c r="H197" s="42">
        <v>43867</v>
      </c>
      <c r="I197" s="42">
        <v>44196</v>
      </c>
      <c r="J197" s="15">
        <f t="shared" ca="1" si="84"/>
        <v>329</v>
      </c>
      <c r="K197" s="177">
        <f t="shared" si="96"/>
        <v>44414</v>
      </c>
      <c r="L197" s="177">
        <f t="shared" si="97"/>
        <v>44597</v>
      </c>
      <c r="M197" s="177"/>
      <c r="N197" s="183"/>
      <c r="O197" s="183"/>
      <c r="P197" s="183"/>
      <c r="Q197" s="177"/>
      <c r="R197" s="41" t="s">
        <v>176</v>
      </c>
      <c r="S197" s="13" t="s">
        <v>223</v>
      </c>
      <c r="T197" s="43" t="s">
        <v>613</v>
      </c>
      <c r="U197" s="5" t="s">
        <v>9</v>
      </c>
      <c r="V197" s="268">
        <v>2657378</v>
      </c>
      <c r="W197" s="5" t="s">
        <v>614</v>
      </c>
      <c r="X197" s="5" t="s">
        <v>539</v>
      </c>
      <c r="Y197" s="5" t="s">
        <v>312</v>
      </c>
      <c r="Z197" s="3" t="s">
        <v>181</v>
      </c>
      <c r="AA197" s="6" t="s">
        <v>218</v>
      </c>
      <c r="AB197" s="152" t="s">
        <v>197</v>
      </c>
      <c r="AC197" s="177" t="s">
        <v>6</v>
      </c>
      <c r="AD197" s="177" t="s">
        <v>6</v>
      </c>
      <c r="AE197" s="177" t="s">
        <v>6</v>
      </c>
      <c r="AF197" s="5"/>
      <c r="AG197" s="122"/>
      <c r="AH197" s="228"/>
      <c r="AI197" s="83"/>
      <c r="AJ197" s="83"/>
      <c r="AK197" s="237" t="e">
        <f>SUM(#REF!,BT197,BV197)</f>
        <v>#REF!</v>
      </c>
      <c r="AL197" s="179"/>
      <c r="AM197" s="179"/>
      <c r="AN197" s="179"/>
      <c r="AO197" s="179"/>
      <c r="AP197" s="179"/>
      <c r="AQ197" s="179"/>
      <c r="AR197" s="56">
        <v>0</v>
      </c>
      <c r="AS197" s="56">
        <v>1000</v>
      </c>
      <c r="AT197" s="56">
        <v>821.01602000000003</v>
      </c>
      <c r="AU197" s="56">
        <v>37.937039999999996</v>
      </c>
      <c r="AV197" s="47">
        <v>1000</v>
      </c>
      <c r="AW197" s="47"/>
      <c r="AX197" s="97">
        <f t="shared" si="85"/>
        <v>1000</v>
      </c>
      <c r="AY197" s="169">
        <f t="shared" si="72"/>
        <v>29.465679999999992</v>
      </c>
      <c r="AZ197" s="196">
        <v>40</v>
      </c>
      <c r="BA197" s="170">
        <v>3.6548999999999996</v>
      </c>
      <c r="BB197" s="196">
        <v>34.282139999999998</v>
      </c>
      <c r="BC197" s="170">
        <v>20.721239999999995</v>
      </c>
      <c r="BD197" s="196">
        <v>4.5</v>
      </c>
      <c r="BE197" s="170">
        <v>5.0895399999999995</v>
      </c>
      <c r="BF197" s="196">
        <v>0</v>
      </c>
      <c r="BG197" s="170"/>
      <c r="BH197" s="196">
        <v>0</v>
      </c>
      <c r="BI197" s="170"/>
      <c r="BJ197" s="196">
        <v>0</v>
      </c>
      <c r="BK197" s="170"/>
      <c r="BL197" s="196"/>
      <c r="BM197" s="170"/>
      <c r="BN197" s="196"/>
      <c r="BO197" s="170"/>
      <c r="BP197" s="196"/>
      <c r="BQ197" s="170"/>
      <c r="BR197" s="196"/>
      <c r="BS197" s="170"/>
      <c r="BT197" s="196"/>
      <c r="BU197" s="170"/>
      <c r="BV197" s="196"/>
      <c r="BW197" s="251"/>
      <c r="BX197" s="254"/>
      <c r="BY197" s="88">
        <f t="shared" si="73"/>
        <v>0</v>
      </c>
      <c r="BZ197" s="258"/>
      <c r="CA197" s="258"/>
      <c r="CB197" s="258"/>
      <c r="CC197" s="258"/>
      <c r="CD197" s="258"/>
      <c r="CE197" s="258"/>
      <c r="CF197" s="258"/>
      <c r="CG197" s="258"/>
      <c r="CH197" s="258"/>
      <c r="CI197" s="258"/>
      <c r="CJ197" s="258"/>
      <c r="CK197" s="258"/>
      <c r="CL197" s="211">
        <f t="shared" si="89"/>
        <v>0</v>
      </c>
      <c r="CM197" s="212"/>
      <c r="CN197" s="212"/>
      <c r="CO197" s="212"/>
      <c r="CP197" s="212"/>
      <c r="CQ197" s="212"/>
      <c r="CR197" s="212"/>
      <c r="CS197" s="212"/>
      <c r="CT197" s="212"/>
      <c r="CU197" s="212"/>
      <c r="CV197" s="212"/>
      <c r="CW197" s="212"/>
      <c r="CX197" s="212"/>
      <c r="CY197" s="216">
        <f t="shared" si="86"/>
        <v>0</v>
      </c>
      <c r="CZ197" s="185">
        <f t="shared" si="74"/>
        <v>0</v>
      </c>
      <c r="DA197" s="217">
        <f t="shared" si="87"/>
        <v>29.465679999999992</v>
      </c>
      <c r="DB197" s="217">
        <f t="shared" si="88"/>
        <v>0</v>
      </c>
      <c r="DC197" s="217">
        <f t="shared" si="90"/>
        <v>29.465679999999992</v>
      </c>
      <c r="DD197" s="256">
        <v>29.465679999999992</v>
      </c>
      <c r="DE197" s="217">
        <f t="shared" si="91"/>
        <v>0</v>
      </c>
      <c r="DF197" s="185" t="e">
        <f>SUM(DN197:DO197)-SUM(#REF!,BV197)+BU197</f>
        <v>#REF!</v>
      </c>
      <c r="DG197" s="223"/>
      <c r="DH197" s="241">
        <f t="shared" si="92"/>
        <v>29.465679999999992</v>
      </c>
      <c r="DI197" s="241">
        <f t="shared" si="93"/>
        <v>0</v>
      </c>
      <c r="DJ197" s="241">
        <f t="shared" si="94"/>
        <v>0</v>
      </c>
      <c r="DK197" s="241" t="e">
        <f>SUM(BS197,#REF!,BV197)</f>
        <v>#REF!</v>
      </c>
      <c r="DL197" s="155">
        <v>1000</v>
      </c>
      <c r="DM197" s="155">
        <v>850.48169999999993</v>
      </c>
      <c r="DN197" s="155">
        <v>0</v>
      </c>
      <c r="DO197" s="155">
        <v>0</v>
      </c>
      <c r="DP197" s="155">
        <v>850.48169999999993</v>
      </c>
      <c r="DQ197" s="155">
        <v>149.51829999999998</v>
      </c>
      <c r="DR197" s="23">
        <f>VLOOKUP(C197,[6]Database!$B$143:$AD$521,29,FALSE)</f>
        <v>0</v>
      </c>
      <c r="DS197" s="235">
        <f t="shared" si="95"/>
        <v>0</v>
      </c>
    </row>
    <row r="198" spans="1:123" s="23" customFormat="1" ht="24" customHeight="1">
      <c r="A198" s="18"/>
      <c r="B198" s="2">
        <v>158</v>
      </c>
      <c r="C198" s="86" t="s">
        <v>315</v>
      </c>
      <c r="D198" s="86"/>
      <c r="E198" s="85"/>
      <c r="F198" s="41">
        <v>2020</v>
      </c>
      <c r="G198" s="42">
        <v>43838</v>
      </c>
      <c r="H198" s="42">
        <v>43858</v>
      </c>
      <c r="I198" s="42">
        <v>44193</v>
      </c>
      <c r="J198" s="15">
        <f t="shared" ca="1" si="84"/>
        <v>335</v>
      </c>
      <c r="K198" s="177">
        <f t="shared" si="96"/>
        <v>44405</v>
      </c>
      <c r="L198" s="177">
        <f t="shared" si="97"/>
        <v>44588</v>
      </c>
      <c r="M198" s="177"/>
      <c r="N198" s="183"/>
      <c r="O198" s="183"/>
      <c r="P198" s="183"/>
      <c r="Q198" s="183"/>
      <c r="R198" s="41" t="s">
        <v>176</v>
      </c>
      <c r="S198" s="13" t="s">
        <v>222</v>
      </c>
      <c r="T198" s="43" t="s">
        <v>965</v>
      </c>
      <c r="U198" s="5" t="s">
        <v>9</v>
      </c>
      <c r="V198" s="268">
        <v>2669295</v>
      </c>
      <c r="W198" s="5" t="s">
        <v>614</v>
      </c>
      <c r="X198" s="5" t="s">
        <v>475</v>
      </c>
      <c r="Y198" s="5" t="s">
        <v>314</v>
      </c>
      <c r="Z198" s="3" t="s">
        <v>181</v>
      </c>
      <c r="AA198" s="6" t="s">
        <v>218</v>
      </c>
      <c r="AB198" s="151" t="s">
        <v>197</v>
      </c>
      <c r="AC198" s="177" t="s">
        <v>6</v>
      </c>
      <c r="AD198" s="177" t="s">
        <v>6</v>
      </c>
      <c r="AE198" s="177" t="s">
        <v>6</v>
      </c>
      <c r="AF198" s="5" t="s">
        <v>1133</v>
      </c>
      <c r="AG198" s="43"/>
      <c r="AH198" s="228">
        <v>4.2000000000000003E-2</v>
      </c>
      <c r="AI198" s="83"/>
      <c r="AJ198" s="83"/>
      <c r="AK198" s="237" t="e">
        <f>SUM(#REF!,BT198,BV198)</f>
        <v>#REF!</v>
      </c>
      <c r="AL198" s="179"/>
      <c r="AM198" s="179"/>
      <c r="AN198" s="179"/>
      <c r="AO198" s="179"/>
      <c r="AP198" s="179"/>
      <c r="AQ198" s="179"/>
      <c r="AR198" s="56">
        <v>0</v>
      </c>
      <c r="AS198" s="56">
        <v>299.60000000000002</v>
      </c>
      <c r="AT198" s="56">
        <v>284.95877999999999</v>
      </c>
      <c r="AU198" s="56">
        <v>-0.55757000000000001</v>
      </c>
      <c r="AV198" s="47">
        <v>312.55259999999998</v>
      </c>
      <c r="AW198" s="47"/>
      <c r="AX198" s="97">
        <f t="shared" si="85"/>
        <v>312.55259999999998</v>
      </c>
      <c r="AY198" s="169">
        <f t="shared" ref="AY198:AY261" si="98">BA198+BC198+BE198+BG198+BI198+BK198+BM198+BO198+BQ198+BS198+BU198+BX198</f>
        <v>-0.55757000000000001</v>
      </c>
      <c r="AZ198" s="196">
        <v>0</v>
      </c>
      <c r="BA198" s="170">
        <v>-0.55757000000000001</v>
      </c>
      <c r="BB198" s="196">
        <v>0</v>
      </c>
      <c r="BC198" s="170"/>
      <c r="BD198" s="196">
        <v>0</v>
      </c>
      <c r="BE198" s="170">
        <v>0</v>
      </c>
      <c r="BF198" s="196">
        <v>0</v>
      </c>
      <c r="BG198" s="170"/>
      <c r="BH198" s="196">
        <v>0</v>
      </c>
      <c r="BI198" s="170"/>
      <c r="BJ198" s="196">
        <v>0</v>
      </c>
      <c r="BK198" s="170"/>
      <c r="BL198" s="196"/>
      <c r="BM198" s="170"/>
      <c r="BN198" s="196"/>
      <c r="BO198" s="170"/>
      <c r="BP198" s="196"/>
      <c r="BQ198" s="170"/>
      <c r="BR198" s="196"/>
      <c r="BS198" s="170"/>
      <c r="BT198" s="196"/>
      <c r="BU198" s="170"/>
      <c r="BV198" s="196"/>
      <c r="BW198" s="251"/>
      <c r="BX198" s="254"/>
      <c r="BY198" s="88">
        <f t="shared" ref="BY198:BY261" si="99">SUM(BZ198:CK198)</f>
        <v>0</v>
      </c>
      <c r="BZ198" s="258"/>
      <c r="CA198" s="258"/>
      <c r="CB198" s="258"/>
      <c r="CC198" s="258"/>
      <c r="CD198" s="258"/>
      <c r="CE198" s="258"/>
      <c r="CF198" s="258"/>
      <c r="CG198" s="258"/>
      <c r="CH198" s="258"/>
      <c r="CI198" s="258"/>
      <c r="CJ198" s="258"/>
      <c r="CK198" s="258"/>
      <c r="CL198" s="211">
        <f t="shared" si="89"/>
        <v>0</v>
      </c>
      <c r="CM198" s="212"/>
      <c r="CN198" s="212"/>
      <c r="CO198" s="212"/>
      <c r="CP198" s="212"/>
      <c r="CQ198" s="212"/>
      <c r="CR198" s="212"/>
      <c r="CS198" s="212"/>
      <c r="CT198" s="212"/>
      <c r="CU198" s="212"/>
      <c r="CV198" s="212"/>
      <c r="CW198" s="212"/>
      <c r="CX198" s="212"/>
      <c r="CY198" s="216">
        <f t="shared" si="86"/>
        <v>0</v>
      </c>
      <c r="CZ198" s="185">
        <f t="shared" ref="CZ198:CZ261" si="100">BW198-BX198</f>
        <v>0</v>
      </c>
      <c r="DA198" s="217">
        <f t="shared" si="87"/>
        <v>-0.55757000000000001</v>
      </c>
      <c r="DB198" s="217">
        <f t="shared" si="88"/>
        <v>0</v>
      </c>
      <c r="DC198" s="217">
        <f t="shared" si="90"/>
        <v>-0.55757000000000001</v>
      </c>
      <c r="DD198" s="256">
        <v>-0.55757000000000001</v>
      </c>
      <c r="DE198" s="217">
        <f t="shared" si="91"/>
        <v>0</v>
      </c>
      <c r="DF198" s="185" t="e">
        <f>SUM(DN198:DO198)-SUM(#REF!,BV198)+BU198</f>
        <v>#REF!</v>
      </c>
      <c r="DG198" s="223"/>
      <c r="DH198" s="241">
        <f t="shared" si="92"/>
        <v>-0.55757000000000001</v>
      </c>
      <c r="DI198" s="241">
        <f t="shared" si="93"/>
        <v>0</v>
      </c>
      <c r="DJ198" s="241">
        <f t="shared" si="94"/>
        <v>0</v>
      </c>
      <c r="DK198" s="241" t="e">
        <f>SUM(BS198,#REF!,BV198)</f>
        <v>#REF!</v>
      </c>
      <c r="DL198" s="155">
        <v>312.55259999999998</v>
      </c>
      <c r="DM198" s="155">
        <v>284.40121000000005</v>
      </c>
      <c r="DN198" s="155">
        <v>0</v>
      </c>
      <c r="DO198" s="155">
        <v>0</v>
      </c>
      <c r="DP198" s="155">
        <v>284.40121000000005</v>
      </c>
      <c r="DQ198" s="155">
        <v>28.151389999999999</v>
      </c>
      <c r="DR198" s="23">
        <f>VLOOKUP(C198,[6]Database!$B$143:$AD$521,29,FALSE)</f>
        <v>0</v>
      </c>
      <c r="DS198" s="235">
        <f t="shared" si="95"/>
        <v>0</v>
      </c>
    </row>
    <row r="199" spans="1:123" s="23" customFormat="1" ht="24" customHeight="1">
      <c r="A199" s="19"/>
      <c r="B199" s="2">
        <v>159</v>
      </c>
      <c r="C199" s="86" t="s">
        <v>319</v>
      </c>
      <c r="D199" s="86"/>
      <c r="E199" s="85" t="s">
        <v>928</v>
      </c>
      <c r="F199" s="41">
        <v>2020</v>
      </c>
      <c r="G199" s="42">
        <v>43845</v>
      </c>
      <c r="H199" s="42">
        <v>43887</v>
      </c>
      <c r="I199" s="42">
        <v>44159</v>
      </c>
      <c r="J199" s="15">
        <f t="shared" ca="1" si="84"/>
        <v>272</v>
      </c>
      <c r="K199" s="177">
        <f t="shared" si="96"/>
        <v>44434</v>
      </c>
      <c r="L199" s="177">
        <f t="shared" si="97"/>
        <v>44617</v>
      </c>
      <c r="M199" s="177"/>
      <c r="N199" s="183"/>
      <c r="O199" s="183"/>
      <c r="P199" s="183"/>
      <c r="Q199" s="177"/>
      <c r="R199" s="41" t="s">
        <v>176</v>
      </c>
      <c r="S199" s="13" t="s">
        <v>5</v>
      </c>
      <c r="T199" s="43"/>
      <c r="U199" s="5" t="s">
        <v>9</v>
      </c>
      <c r="V199" s="268">
        <v>2732555</v>
      </c>
      <c r="W199" s="5" t="s">
        <v>614</v>
      </c>
      <c r="X199" s="5" t="s">
        <v>480</v>
      </c>
      <c r="Y199" s="5" t="s">
        <v>320</v>
      </c>
      <c r="Z199" s="3" t="s">
        <v>181</v>
      </c>
      <c r="AA199" s="6" t="s">
        <v>218</v>
      </c>
      <c r="AB199" s="152" t="s">
        <v>197</v>
      </c>
      <c r="AC199" s="177" t="s">
        <v>6</v>
      </c>
      <c r="AD199" s="177" t="s">
        <v>6</v>
      </c>
      <c r="AE199" s="177" t="s">
        <v>6</v>
      </c>
      <c r="AF199" s="5" t="s">
        <v>1132</v>
      </c>
      <c r="AG199" s="43" t="s">
        <v>1136</v>
      </c>
      <c r="AH199" s="228"/>
      <c r="AI199" s="83"/>
      <c r="AJ199" s="83"/>
      <c r="AK199" s="237" t="e">
        <f>SUM(#REF!,BT199,BV199)</f>
        <v>#REF!</v>
      </c>
      <c r="AL199" s="179"/>
      <c r="AM199" s="179"/>
      <c r="AN199" s="179"/>
      <c r="AO199" s="179"/>
      <c r="AP199" s="179"/>
      <c r="AQ199" s="179"/>
      <c r="AR199" s="56">
        <v>0</v>
      </c>
      <c r="AS199" s="56">
        <v>302.2</v>
      </c>
      <c r="AT199" s="56">
        <v>355.31524000000007</v>
      </c>
      <c r="AU199" s="56"/>
      <c r="AV199" s="47">
        <v>372.81900000000002</v>
      </c>
      <c r="AW199" s="47"/>
      <c r="AX199" s="97">
        <f t="shared" si="85"/>
        <v>372.81900000000002</v>
      </c>
      <c r="AY199" s="169">
        <f t="shared" si="98"/>
        <v>0</v>
      </c>
      <c r="AZ199" s="196">
        <v>0</v>
      </c>
      <c r="BA199" s="170">
        <v>0</v>
      </c>
      <c r="BB199" s="196">
        <v>0</v>
      </c>
      <c r="BC199" s="170"/>
      <c r="BD199" s="196">
        <v>0</v>
      </c>
      <c r="BE199" s="170">
        <v>0</v>
      </c>
      <c r="BF199" s="196">
        <v>0</v>
      </c>
      <c r="BG199" s="170"/>
      <c r="BH199" s="196">
        <v>0</v>
      </c>
      <c r="BI199" s="170"/>
      <c r="BJ199" s="196">
        <v>0</v>
      </c>
      <c r="BK199" s="170"/>
      <c r="BL199" s="196"/>
      <c r="BM199" s="170"/>
      <c r="BN199" s="196"/>
      <c r="BO199" s="170"/>
      <c r="BP199" s="196"/>
      <c r="BQ199" s="170"/>
      <c r="BR199" s="196"/>
      <c r="BS199" s="170"/>
      <c r="BT199" s="196"/>
      <c r="BU199" s="170"/>
      <c r="BV199" s="196"/>
      <c r="BW199" s="251"/>
      <c r="BX199" s="254"/>
      <c r="BY199" s="88">
        <f t="shared" si="99"/>
        <v>0</v>
      </c>
      <c r="BZ199" s="258"/>
      <c r="CA199" s="258"/>
      <c r="CB199" s="258"/>
      <c r="CC199" s="258"/>
      <c r="CD199" s="258"/>
      <c r="CE199" s="258"/>
      <c r="CF199" s="258"/>
      <c r="CG199" s="258"/>
      <c r="CH199" s="258"/>
      <c r="CI199" s="258"/>
      <c r="CJ199" s="258"/>
      <c r="CK199" s="258"/>
      <c r="CL199" s="211">
        <f t="shared" si="89"/>
        <v>0</v>
      </c>
      <c r="CM199" s="212"/>
      <c r="CN199" s="212"/>
      <c r="CO199" s="212"/>
      <c r="CP199" s="212"/>
      <c r="CQ199" s="212"/>
      <c r="CR199" s="212"/>
      <c r="CS199" s="212"/>
      <c r="CT199" s="212"/>
      <c r="CU199" s="212"/>
      <c r="CV199" s="212"/>
      <c r="CW199" s="212"/>
      <c r="CX199" s="212"/>
      <c r="CY199" s="216">
        <f t="shared" si="86"/>
        <v>0</v>
      </c>
      <c r="CZ199" s="185">
        <f t="shared" si="100"/>
        <v>0</v>
      </c>
      <c r="DA199" s="217">
        <f t="shared" si="87"/>
        <v>0</v>
      </c>
      <c r="DB199" s="217">
        <f t="shared" si="88"/>
        <v>0</v>
      </c>
      <c r="DC199" s="217">
        <f t="shared" si="90"/>
        <v>0</v>
      </c>
      <c r="DD199" s="256">
        <v>0</v>
      </c>
      <c r="DE199" s="217">
        <f t="shared" si="91"/>
        <v>0</v>
      </c>
      <c r="DF199" s="185" t="e">
        <f>SUM(DN199:DO199)-SUM(#REF!,BV199)+BU199</f>
        <v>#REF!</v>
      </c>
      <c r="DG199" s="223"/>
      <c r="DH199" s="241">
        <f t="shared" si="92"/>
        <v>0</v>
      </c>
      <c r="DI199" s="241">
        <f t="shared" si="93"/>
        <v>0</v>
      </c>
      <c r="DJ199" s="241">
        <f t="shared" si="94"/>
        <v>0</v>
      </c>
      <c r="DK199" s="241" t="e">
        <f>SUM(BS199,#REF!,BV199)</f>
        <v>#REF!</v>
      </c>
      <c r="DL199" s="155">
        <v>372.81900000000002</v>
      </c>
      <c r="DM199" s="155">
        <v>355.31524000000002</v>
      </c>
      <c r="DN199" s="155">
        <v>0</v>
      </c>
      <c r="DO199" s="155">
        <v>0</v>
      </c>
      <c r="DP199" s="155">
        <v>355.31524000000002</v>
      </c>
      <c r="DQ199" s="155">
        <v>17.50376</v>
      </c>
      <c r="DS199" s="235">
        <f t="shared" si="95"/>
        <v>0</v>
      </c>
    </row>
    <row r="200" spans="1:123" s="23" customFormat="1" ht="24" customHeight="1">
      <c r="A200" s="18"/>
      <c r="B200" s="2">
        <v>160</v>
      </c>
      <c r="C200" s="86" t="s">
        <v>317</v>
      </c>
      <c r="D200" s="86"/>
      <c r="E200" s="85" t="s">
        <v>929</v>
      </c>
      <c r="F200" s="41">
        <v>2020</v>
      </c>
      <c r="G200" s="42">
        <v>43837</v>
      </c>
      <c r="H200" s="42">
        <v>43858</v>
      </c>
      <c r="I200" s="42">
        <v>44193</v>
      </c>
      <c r="J200" s="15">
        <f t="shared" ca="1" si="84"/>
        <v>335</v>
      </c>
      <c r="K200" s="177">
        <f t="shared" si="96"/>
        <v>44405</v>
      </c>
      <c r="L200" s="177">
        <f t="shared" si="97"/>
        <v>44588</v>
      </c>
      <c r="M200" s="177"/>
      <c r="N200" s="183"/>
      <c r="O200" s="183"/>
      <c r="P200" s="183"/>
      <c r="Q200" s="183"/>
      <c r="R200" s="41" t="s">
        <v>176</v>
      </c>
      <c r="S200" s="13" t="s">
        <v>5</v>
      </c>
      <c r="T200" s="43"/>
      <c r="U200" s="5" t="s">
        <v>9</v>
      </c>
      <c r="V200" s="268">
        <v>2668149</v>
      </c>
      <c r="W200" s="5" t="s">
        <v>614</v>
      </c>
      <c r="X200" s="5" t="s">
        <v>480</v>
      </c>
      <c r="Y200" s="5" t="s">
        <v>313</v>
      </c>
      <c r="Z200" s="3" t="s">
        <v>181</v>
      </c>
      <c r="AA200" s="6" t="s">
        <v>218</v>
      </c>
      <c r="AB200" s="152" t="s">
        <v>197</v>
      </c>
      <c r="AC200" s="177" t="s">
        <v>6</v>
      </c>
      <c r="AD200" s="177" t="s">
        <v>6</v>
      </c>
      <c r="AE200" s="177" t="s">
        <v>6</v>
      </c>
      <c r="AF200" s="5"/>
      <c r="AG200" s="43"/>
      <c r="AH200" s="228"/>
      <c r="AI200" s="83"/>
      <c r="AJ200" s="83"/>
      <c r="AK200" s="237" t="e">
        <f>SUM(#REF!,BT200,BV200)</f>
        <v>#REF!</v>
      </c>
      <c r="AL200" s="179"/>
      <c r="AM200" s="179"/>
      <c r="AN200" s="179"/>
      <c r="AO200" s="179"/>
      <c r="AP200" s="179"/>
      <c r="AQ200" s="179"/>
      <c r="AR200" s="56">
        <v>0</v>
      </c>
      <c r="AS200" s="56">
        <v>341.86599999999999</v>
      </c>
      <c r="AT200" s="56">
        <v>225.72057999999998</v>
      </c>
      <c r="AU200" s="56"/>
      <c r="AV200" s="47">
        <v>341.86599999999999</v>
      </c>
      <c r="AW200" s="47"/>
      <c r="AX200" s="97">
        <f t="shared" si="85"/>
        <v>341.86599999999999</v>
      </c>
      <c r="AY200" s="169">
        <f t="shared" si="98"/>
        <v>0</v>
      </c>
      <c r="AZ200" s="196">
        <v>0</v>
      </c>
      <c r="BA200" s="170">
        <v>0</v>
      </c>
      <c r="BB200" s="196">
        <v>0</v>
      </c>
      <c r="BC200" s="170"/>
      <c r="BD200" s="196">
        <v>0</v>
      </c>
      <c r="BE200" s="170">
        <v>0</v>
      </c>
      <c r="BF200" s="196">
        <v>0</v>
      </c>
      <c r="BG200" s="170"/>
      <c r="BH200" s="196">
        <v>0</v>
      </c>
      <c r="BI200" s="170"/>
      <c r="BJ200" s="196">
        <v>0</v>
      </c>
      <c r="BK200" s="170"/>
      <c r="BL200" s="196"/>
      <c r="BM200" s="170"/>
      <c r="BN200" s="196"/>
      <c r="BO200" s="170"/>
      <c r="BP200" s="196"/>
      <c r="BQ200" s="170"/>
      <c r="BR200" s="196"/>
      <c r="BS200" s="170"/>
      <c r="BT200" s="196"/>
      <c r="BU200" s="170"/>
      <c r="BV200" s="196"/>
      <c r="BW200" s="251"/>
      <c r="BX200" s="254"/>
      <c r="BY200" s="88">
        <f t="shared" si="99"/>
        <v>0</v>
      </c>
      <c r="BZ200" s="258"/>
      <c r="CA200" s="258"/>
      <c r="CB200" s="258"/>
      <c r="CC200" s="258"/>
      <c r="CD200" s="258"/>
      <c r="CE200" s="258"/>
      <c r="CF200" s="258"/>
      <c r="CG200" s="258"/>
      <c r="CH200" s="258"/>
      <c r="CI200" s="258"/>
      <c r="CJ200" s="258"/>
      <c r="CK200" s="258"/>
      <c r="CL200" s="211">
        <f t="shared" si="89"/>
        <v>0</v>
      </c>
      <c r="CM200" s="212"/>
      <c r="CN200" s="212"/>
      <c r="CO200" s="212"/>
      <c r="CP200" s="212"/>
      <c r="CQ200" s="212"/>
      <c r="CR200" s="212"/>
      <c r="CS200" s="212"/>
      <c r="CT200" s="212"/>
      <c r="CU200" s="212"/>
      <c r="CV200" s="212"/>
      <c r="CW200" s="212"/>
      <c r="CX200" s="212"/>
      <c r="CY200" s="216">
        <f t="shared" si="86"/>
        <v>0</v>
      </c>
      <c r="CZ200" s="185">
        <f t="shared" si="100"/>
        <v>0</v>
      </c>
      <c r="DA200" s="217">
        <f t="shared" si="87"/>
        <v>0</v>
      </c>
      <c r="DB200" s="217">
        <f t="shared" si="88"/>
        <v>0</v>
      </c>
      <c r="DC200" s="217">
        <f t="shared" si="90"/>
        <v>0</v>
      </c>
      <c r="DD200" s="256">
        <v>0</v>
      </c>
      <c r="DE200" s="217">
        <f t="shared" si="91"/>
        <v>0</v>
      </c>
      <c r="DF200" s="185" t="e">
        <f>SUM(DN200:DO200)-SUM(#REF!,BV200)+BU200</f>
        <v>#REF!</v>
      </c>
      <c r="DG200" s="223"/>
      <c r="DH200" s="241">
        <f t="shared" si="92"/>
        <v>0</v>
      </c>
      <c r="DI200" s="241">
        <f t="shared" si="93"/>
        <v>0</v>
      </c>
      <c r="DJ200" s="241">
        <f t="shared" si="94"/>
        <v>0</v>
      </c>
      <c r="DK200" s="241" t="e">
        <f>SUM(BS200,#REF!,BV200)</f>
        <v>#REF!</v>
      </c>
      <c r="DL200" s="155">
        <v>341.86599999999999</v>
      </c>
      <c r="DM200" s="155">
        <v>225.72057999999998</v>
      </c>
      <c r="DN200" s="155">
        <v>0</v>
      </c>
      <c r="DO200" s="155">
        <v>0</v>
      </c>
      <c r="DP200" s="155">
        <v>225.72057999999998</v>
      </c>
      <c r="DQ200" s="155">
        <v>116.14542</v>
      </c>
      <c r="DS200" s="235">
        <f t="shared" si="95"/>
        <v>0</v>
      </c>
    </row>
    <row r="201" spans="1:123" s="23" customFormat="1" ht="24" customHeight="1">
      <c r="A201" s="18"/>
      <c r="B201" s="2">
        <v>162</v>
      </c>
      <c r="C201" s="86" t="s">
        <v>340</v>
      </c>
      <c r="D201" s="86"/>
      <c r="E201" s="85" t="s">
        <v>878</v>
      </c>
      <c r="F201" s="41">
        <v>2020</v>
      </c>
      <c r="G201" s="42">
        <v>43889</v>
      </c>
      <c r="H201" s="192">
        <v>44082</v>
      </c>
      <c r="I201" s="42"/>
      <c r="J201" s="15">
        <f t="shared" ca="1" si="84"/>
        <v>-1218.4066194444458</v>
      </c>
      <c r="K201" s="177">
        <f t="shared" si="96"/>
        <v>44629</v>
      </c>
      <c r="L201" s="177">
        <f t="shared" si="97"/>
        <v>44812</v>
      </c>
      <c r="M201" s="177"/>
      <c r="N201" s="183" t="s">
        <v>609</v>
      </c>
      <c r="O201" s="183"/>
      <c r="P201" s="276" t="s">
        <v>1394</v>
      </c>
      <c r="Q201" s="183"/>
      <c r="R201" s="41" t="s">
        <v>176</v>
      </c>
      <c r="S201" s="13" t="s">
        <v>5</v>
      </c>
      <c r="T201" s="41" t="s">
        <v>952</v>
      </c>
      <c r="U201" s="5" t="s">
        <v>9</v>
      </c>
      <c r="V201" s="268">
        <v>2807147</v>
      </c>
      <c r="W201" s="5" t="s">
        <v>614</v>
      </c>
      <c r="X201" s="5" t="s">
        <v>480</v>
      </c>
      <c r="Y201" s="5" t="s">
        <v>339</v>
      </c>
      <c r="Z201" s="3" t="s">
        <v>181</v>
      </c>
      <c r="AA201" s="6" t="s">
        <v>463</v>
      </c>
      <c r="AB201" s="163" t="s">
        <v>1495</v>
      </c>
      <c r="AC201" s="177">
        <v>44591</v>
      </c>
      <c r="AD201" s="177">
        <v>44561</v>
      </c>
      <c r="AE201" s="177">
        <f>IFERROR(EOMONTH(L201,-2),"")</f>
        <v>44773</v>
      </c>
      <c r="AF201" s="5" t="s">
        <v>1133</v>
      </c>
      <c r="AG201" s="43" t="s">
        <v>1154</v>
      </c>
      <c r="AH201" s="228">
        <v>9.9000000000000005E-2</v>
      </c>
      <c r="AI201" s="83"/>
      <c r="AJ201" s="83"/>
      <c r="AK201" s="237" t="e">
        <f>SUM(#REF!,BT201,BV201)</f>
        <v>#REF!</v>
      </c>
      <c r="AL201" s="165"/>
      <c r="AM201" s="165"/>
      <c r="AN201" s="165"/>
      <c r="AO201" s="165"/>
      <c r="AP201" s="165"/>
      <c r="AQ201" s="165"/>
      <c r="AR201" s="56">
        <v>0</v>
      </c>
      <c r="AS201" s="56">
        <v>0</v>
      </c>
      <c r="AT201" s="56">
        <v>76.748619999999988</v>
      </c>
      <c r="AU201" s="56">
        <v>64.375</v>
      </c>
      <c r="AV201" s="47">
        <v>158.28787</v>
      </c>
      <c r="AW201" s="47"/>
      <c r="AX201" s="97">
        <f t="shared" si="85"/>
        <v>158.28787</v>
      </c>
      <c r="AY201" s="169">
        <f t="shared" si="98"/>
        <v>75.511650000000003</v>
      </c>
      <c r="AZ201" s="196">
        <v>0</v>
      </c>
      <c r="BA201" s="170">
        <v>0</v>
      </c>
      <c r="BB201" s="196">
        <v>0</v>
      </c>
      <c r="BC201" s="170"/>
      <c r="BD201" s="196">
        <v>0</v>
      </c>
      <c r="BE201" s="170">
        <v>0</v>
      </c>
      <c r="BF201" s="196">
        <v>0</v>
      </c>
      <c r="BG201" s="170"/>
      <c r="BH201" s="196">
        <v>64.375</v>
      </c>
      <c r="BI201" s="170"/>
      <c r="BJ201" s="196">
        <v>0</v>
      </c>
      <c r="BK201" s="170"/>
      <c r="BL201" s="196">
        <v>64.375</v>
      </c>
      <c r="BM201" s="170"/>
      <c r="BN201" s="196">
        <v>64.375</v>
      </c>
      <c r="BO201" s="170"/>
      <c r="BP201" s="196">
        <v>64.375</v>
      </c>
      <c r="BQ201" s="170">
        <v>68.632509999999996</v>
      </c>
      <c r="BR201" s="196"/>
      <c r="BS201" s="170"/>
      <c r="BT201" s="196"/>
      <c r="BU201" s="170"/>
      <c r="BV201" s="196"/>
      <c r="BW201" s="251">
        <v>6.8791399999999996</v>
      </c>
      <c r="BX201" s="254">
        <v>6.8791399999999996</v>
      </c>
      <c r="BY201" s="88">
        <f t="shared" si="99"/>
        <v>0</v>
      </c>
      <c r="BZ201" s="258"/>
      <c r="CA201" s="258"/>
      <c r="CB201" s="258"/>
      <c r="CC201" s="258"/>
      <c r="CD201" s="258"/>
      <c r="CE201" s="258"/>
      <c r="CF201" s="258"/>
      <c r="CG201" s="258"/>
      <c r="CH201" s="258"/>
      <c r="CI201" s="258"/>
      <c r="CJ201" s="258"/>
      <c r="CK201" s="258"/>
      <c r="CL201" s="211">
        <f t="shared" si="89"/>
        <v>0</v>
      </c>
      <c r="CM201" s="212"/>
      <c r="CN201" s="212"/>
      <c r="CO201" s="212"/>
      <c r="CP201" s="212"/>
      <c r="CQ201" s="212"/>
      <c r="CR201" s="212"/>
      <c r="CS201" s="212"/>
      <c r="CT201" s="212"/>
      <c r="CU201" s="212"/>
      <c r="CV201" s="212"/>
      <c r="CW201" s="212"/>
      <c r="CX201" s="212"/>
      <c r="CY201" s="216">
        <f t="shared" si="86"/>
        <v>-6.8791399999999996</v>
      </c>
      <c r="CZ201" s="185">
        <f t="shared" si="100"/>
        <v>0</v>
      </c>
      <c r="DA201" s="217">
        <f t="shared" si="87"/>
        <v>68.632509999999996</v>
      </c>
      <c r="DB201" s="217">
        <f t="shared" si="88"/>
        <v>6.8791399999999996</v>
      </c>
      <c r="DC201" s="217">
        <f t="shared" si="90"/>
        <v>75.511650000000003</v>
      </c>
      <c r="DD201" s="256">
        <v>68.632509999999996</v>
      </c>
      <c r="DE201" s="217">
        <f t="shared" si="91"/>
        <v>6.8791400000000067</v>
      </c>
      <c r="DF201" s="185" t="e">
        <f>SUM(DN201:DO201)-SUM(#REF!,BV201)+BU201</f>
        <v>#REF!</v>
      </c>
      <c r="DG201" s="223" t="s">
        <v>1151</v>
      </c>
      <c r="DH201" s="241">
        <f t="shared" si="92"/>
        <v>0</v>
      </c>
      <c r="DI201" s="241">
        <f t="shared" si="93"/>
        <v>0</v>
      </c>
      <c r="DJ201" s="241">
        <f t="shared" si="94"/>
        <v>68.632509999999996</v>
      </c>
      <c r="DK201" s="241" t="e">
        <f>SUM(BS201,#REF!,BV201)</f>
        <v>#REF!</v>
      </c>
      <c r="DL201" s="155">
        <v>158.28787</v>
      </c>
      <c r="DM201" s="155">
        <v>152.26026999999999</v>
      </c>
      <c r="DN201" s="155">
        <v>0</v>
      </c>
      <c r="DO201" s="155">
        <v>0</v>
      </c>
      <c r="DP201" s="155">
        <v>152.26026999999999</v>
      </c>
      <c r="DQ201" s="155">
        <v>6.0276000000000005</v>
      </c>
      <c r="DR201" s="23">
        <f>VLOOKUP(C201,[6]Database!$B$143:$AD$521,29,FALSE)</f>
        <v>0</v>
      </c>
      <c r="DS201" s="235">
        <f t="shared" si="95"/>
        <v>0</v>
      </c>
    </row>
    <row r="202" spans="1:123" s="23" customFormat="1" ht="24" customHeight="1">
      <c r="A202" s="18"/>
      <c r="B202" s="2">
        <v>164</v>
      </c>
      <c r="C202" s="86" t="s">
        <v>453</v>
      </c>
      <c r="D202" s="86"/>
      <c r="E202" s="85"/>
      <c r="F202" s="41">
        <v>2020</v>
      </c>
      <c r="G202" s="42">
        <v>43831</v>
      </c>
      <c r="H202" s="192">
        <v>43979</v>
      </c>
      <c r="I202" s="42">
        <v>44526</v>
      </c>
      <c r="J202" s="15">
        <f t="shared" ca="1" si="84"/>
        <v>547</v>
      </c>
      <c r="K202" s="177">
        <f t="shared" si="96"/>
        <v>44526</v>
      </c>
      <c r="L202" s="177">
        <f t="shared" si="97"/>
        <v>44709</v>
      </c>
      <c r="M202" s="177"/>
      <c r="N202" s="183" t="s">
        <v>609</v>
      </c>
      <c r="O202" s="275" t="s">
        <v>609</v>
      </c>
      <c r="P202" s="276" t="s">
        <v>1395</v>
      </c>
      <c r="Q202" s="177"/>
      <c r="R202" s="41" t="s">
        <v>176</v>
      </c>
      <c r="S202" s="13" t="s">
        <v>5</v>
      </c>
      <c r="T202" s="41" t="s">
        <v>952</v>
      </c>
      <c r="U202" s="5" t="s">
        <v>9</v>
      </c>
      <c r="V202" s="268">
        <v>2897680</v>
      </c>
      <c r="W202" s="5" t="s">
        <v>614</v>
      </c>
      <c r="X202" s="5" t="s">
        <v>475</v>
      </c>
      <c r="Y202" s="5" t="s">
        <v>377</v>
      </c>
      <c r="Z202" s="85" t="s">
        <v>316</v>
      </c>
      <c r="AA202" s="6" t="s">
        <v>218</v>
      </c>
      <c r="AB202" s="152" t="s">
        <v>197</v>
      </c>
      <c r="AC202" s="177" t="s">
        <v>6</v>
      </c>
      <c r="AD202" s="177">
        <v>44530</v>
      </c>
      <c r="AE202" s="177">
        <f>IFERROR(EOMONTH(L202,-2),"")</f>
        <v>44651</v>
      </c>
      <c r="AF202" s="5"/>
      <c r="AG202" s="43"/>
      <c r="AH202" s="228"/>
      <c r="AI202" s="83"/>
      <c r="AJ202" s="83"/>
      <c r="AK202" s="237" t="e">
        <f>SUM(#REF!,BT202,BV202)</f>
        <v>#REF!</v>
      </c>
      <c r="AL202" s="165"/>
      <c r="AM202" s="165"/>
      <c r="AN202" s="165"/>
      <c r="AO202" s="165"/>
      <c r="AP202" s="165"/>
      <c r="AQ202" s="165"/>
      <c r="AR202" s="56">
        <v>0</v>
      </c>
      <c r="AS202" s="56">
        <v>150</v>
      </c>
      <c r="AT202" s="56">
        <v>67.971789999999999</v>
      </c>
      <c r="AU202" s="56">
        <v>170.14825000000002</v>
      </c>
      <c r="AV202" s="47">
        <v>245</v>
      </c>
      <c r="AW202" s="47"/>
      <c r="AX202" s="97">
        <f t="shared" si="85"/>
        <v>245</v>
      </c>
      <c r="AY202" s="169">
        <f t="shared" si="98"/>
        <v>63.437830000000005</v>
      </c>
      <c r="AZ202" s="196">
        <v>0</v>
      </c>
      <c r="BA202" s="170">
        <v>17.348250000000004</v>
      </c>
      <c r="BB202" s="196">
        <v>0</v>
      </c>
      <c r="BC202" s="170"/>
      <c r="BD202" s="196">
        <v>12.8</v>
      </c>
      <c r="BE202" s="170">
        <v>16.589830000000003</v>
      </c>
      <c r="BF202" s="196">
        <v>0</v>
      </c>
      <c r="BG202" s="170">
        <v>1.4281600000000001</v>
      </c>
      <c r="BH202" s="196">
        <v>5.9</v>
      </c>
      <c r="BI202" s="170">
        <v>6.4662999999999995</v>
      </c>
      <c r="BJ202" s="196">
        <v>10</v>
      </c>
      <c r="BK202" s="170"/>
      <c r="BL202" s="196">
        <v>10</v>
      </c>
      <c r="BM202" s="170"/>
      <c r="BN202" s="196">
        <v>10</v>
      </c>
      <c r="BO202" s="170"/>
      <c r="BP202" s="196"/>
      <c r="BQ202" s="170">
        <v>10.63931</v>
      </c>
      <c r="BR202" s="196"/>
      <c r="BS202" s="170"/>
      <c r="BT202" s="196"/>
      <c r="BU202" s="170">
        <v>9.8568299999999986</v>
      </c>
      <c r="BV202" s="196"/>
      <c r="BW202" s="251">
        <v>1.1091500000000001</v>
      </c>
      <c r="BX202" s="254">
        <v>1.1091500000000001</v>
      </c>
      <c r="BY202" s="88">
        <f t="shared" si="99"/>
        <v>0</v>
      </c>
      <c r="BZ202" s="258"/>
      <c r="CA202" s="258"/>
      <c r="CB202" s="258"/>
      <c r="CC202" s="258"/>
      <c r="CD202" s="258"/>
      <c r="CE202" s="258"/>
      <c r="CF202" s="258"/>
      <c r="CG202" s="258"/>
      <c r="CH202" s="258"/>
      <c r="CI202" s="258"/>
      <c r="CJ202" s="258"/>
      <c r="CK202" s="258"/>
      <c r="CL202" s="211">
        <f t="shared" si="89"/>
        <v>0</v>
      </c>
      <c r="CM202" s="212"/>
      <c r="CN202" s="212"/>
      <c r="CO202" s="212"/>
      <c r="CP202" s="212"/>
      <c r="CQ202" s="212"/>
      <c r="CR202" s="212"/>
      <c r="CS202" s="212"/>
      <c r="CT202" s="212"/>
      <c r="CU202" s="212"/>
      <c r="CV202" s="212"/>
      <c r="CW202" s="212"/>
      <c r="CX202" s="212"/>
      <c r="CY202" s="216">
        <f t="shared" si="86"/>
        <v>-1.1091500000000001</v>
      </c>
      <c r="CZ202" s="185">
        <f t="shared" si="100"/>
        <v>0</v>
      </c>
      <c r="DA202" s="217">
        <f t="shared" si="87"/>
        <v>62.328680000000006</v>
      </c>
      <c r="DB202" s="217">
        <f t="shared" si="88"/>
        <v>1.1091500000000001</v>
      </c>
      <c r="DC202" s="217">
        <f t="shared" si="90"/>
        <v>63.437830000000005</v>
      </c>
      <c r="DD202" s="256">
        <v>52.471850000000003</v>
      </c>
      <c r="DE202" s="217">
        <f t="shared" si="91"/>
        <v>10.965980000000002</v>
      </c>
      <c r="DF202" s="185" t="e">
        <f>SUM(DN202:DO202)-SUM(#REF!,BV202)+BU202</f>
        <v>#REF!</v>
      </c>
      <c r="DG202" s="223"/>
      <c r="DH202" s="241">
        <f t="shared" si="92"/>
        <v>33.938080000000006</v>
      </c>
      <c r="DI202" s="241">
        <f t="shared" si="93"/>
        <v>7.8944599999999996</v>
      </c>
      <c r="DJ202" s="241">
        <f t="shared" si="94"/>
        <v>10.63931</v>
      </c>
      <c r="DK202" s="241" t="e">
        <f>SUM(BS202,#REF!,BV202)</f>
        <v>#REF!</v>
      </c>
      <c r="DL202" s="155">
        <v>245</v>
      </c>
      <c r="DM202" s="155">
        <v>131.40961999999999</v>
      </c>
      <c r="DN202" s="155">
        <v>0</v>
      </c>
      <c r="DO202" s="155">
        <v>0</v>
      </c>
      <c r="DP202" s="155">
        <v>131.40961999999999</v>
      </c>
      <c r="DQ202" s="155">
        <v>113.59038000000001</v>
      </c>
      <c r="DR202" s="23">
        <f>VLOOKUP(C202,[6]Database!$B$143:$AD$521,29,FALSE)</f>
        <v>0</v>
      </c>
      <c r="DS202" s="235">
        <f t="shared" si="95"/>
        <v>0</v>
      </c>
    </row>
    <row r="203" spans="1:123" s="23" customFormat="1" ht="24" customHeight="1">
      <c r="A203" s="18"/>
      <c r="B203" s="2">
        <v>165</v>
      </c>
      <c r="C203" s="86" t="s">
        <v>531</v>
      </c>
      <c r="D203" s="85"/>
      <c r="E203" s="85"/>
      <c r="F203" s="41">
        <v>2020</v>
      </c>
      <c r="G203" s="42">
        <v>44041</v>
      </c>
      <c r="H203" s="192">
        <v>44075</v>
      </c>
      <c r="I203" s="42">
        <v>44193</v>
      </c>
      <c r="J203" s="15">
        <f t="shared" ca="1" si="84"/>
        <v>118</v>
      </c>
      <c r="K203" s="177">
        <f t="shared" si="96"/>
        <v>44622</v>
      </c>
      <c r="L203" s="177">
        <f t="shared" si="97"/>
        <v>44805</v>
      </c>
      <c r="M203" s="177"/>
      <c r="N203" s="183"/>
      <c r="O203" s="183"/>
      <c r="P203" s="183"/>
      <c r="Q203" s="183"/>
      <c r="R203" s="41" t="s">
        <v>176</v>
      </c>
      <c r="S203" s="13" t="s">
        <v>222</v>
      </c>
      <c r="T203" s="41" t="s">
        <v>958</v>
      </c>
      <c r="U203" s="5" t="s">
        <v>9</v>
      </c>
      <c r="V203" s="268">
        <v>3078383</v>
      </c>
      <c r="W203" s="5" t="s">
        <v>614</v>
      </c>
      <c r="X203" s="5" t="s">
        <v>475</v>
      </c>
      <c r="Y203" s="5" t="s">
        <v>537</v>
      </c>
      <c r="Z203" s="3" t="s">
        <v>181</v>
      </c>
      <c r="AA203" s="6" t="s">
        <v>218</v>
      </c>
      <c r="AB203" s="152" t="s">
        <v>197</v>
      </c>
      <c r="AC203" s="177" t="s">
        <v>6</v>
      </c>
      <c r="AD203" s="177">
        <v>44227</v>
      </c>
      <c r="AE203" s="177" t="s">
        <v>6</v>
      </c>
      <c r="AF203" s="5"/>
      <c r="AG203" s="43"/>
      <c r="AH203" s="228"/>
      <c r="AI203" s="83" t="s">
        <v>696</v>
      </c>
      <c r="AJ203" s="83"/>
      <c r="AK203" s="237" t="e">
        <f>SUM(#REF!,BT203,BV203)</f>
        <v>#REF!</v>
      </c>
      <c r="AL203" s="165"/>
      <c r="AM203" s="165"/>
      <c r="AN203" s="165"/>
      <c r="AO203" s="165"/>
      <c r="AP203" s="165"/>
      <c r="AQ203" s="165"/>
      <c r="AR203" s="56"/>
      <c r="AS203" s="56">
        <v>0</v>
      </c>
      <c r="AT203" s="56">
        <v>90.932100000000005</v>
      </c>
      <c r="AU203" s="56">
        <v>1.0629599999999999</v>
      </c>
      <c r="AV203" s="47">
        <v>99.994</v>
      </c>
      <c r="AW203" s="47"/>
      <c r="AX203" s="97">
        <f t="shared" si="85"/>
        <v>99.994</v>
      </c>
      <c r="AY203" s="169">
        <f t="shared" si="98"/>
        <v>1.0724</v>
      </c>
      <c r="AZ203" s="196">
        <v>0</v>
      </c>
      <c r="BA203" s="170">
        <v>1.0629599999999999</v>
      </c>
      <c r="BB203" s="196">
        <v>0</v>
      </c>
      <c r="BC203" s="170">
        <v>-9.4800000000000006E-3</v>
      </c>
      <c r="BD203" s="196">
        <v>0</v>
      </c>
      <c r="BE203" s="170">
        <v>1.8920000000000003E-2</v>
      </c>
      <c r="BF203" s="196">
        <v>0</v>
      </c>
      <c r="BG203" s="170"/>
      <c r="BH203" s="196">
        <v>0</v>
      </c>
      <c r="BI203" s="170"/>
      <c r="BJ203" s="196">
        <v>0</v>
      </c>
      <c r="BK203" s="170"/>
      <c r="BL203" s="196"/>
      <c r="BM203" s="170"/>
      <c r="BN203" s="196"/>
      <c r="BO203" s="170"/>
      <c r="BP203" s="196"/>
      <c r="BQ203" s="170"/>
      <c r="BR203" s="196"/>
      <c r="BS203" s="170"/>
      <c r="BT203" s="196"/>
      <c r="BU203" s="170"/>
      <c r="BV203" s="196"/>
      <c r="BW203" s="251"/>
      <c r="BX203" s="254"/>
      <c r="BY203" s="88">
        <f t="shared" si="99"/>
        <v>0</v>
      </c>
      <c r="BZ203" s="258"/>
      <c r="CA203" s="258"/>
      <c r="CB203" s="258"/>
      <c r="CC203" s="258"/>
      <c r="CD203" s="258"/>
      <c r="CE203" s="258"/>
      <c r="CF203" s="258"/>
      <c r="CG203" s="258"/>
      <c r="CH203" s="258"/>
      <c r="CI203" s="258"/>
      <c r="CJ203" s="258"/>
      <c r="CK203" s="258"/>
      <c r="CL203" s="211">
        <f t="shared" si="89"/>
        <v>0</v>
      </c>
      <c r="CM203" s="212"/>
      <c r="CN203" s="212"/>
      <c r="CO203" s="212"/>
      <c r="CP203" s="212"/>
      <c r="CQ203" s="212"/>
      <c r="CR203" s="212"/>
      <c r="CS203" s="212"/>
      <c r="CT203" s="212"/>
      <c r="CU203" s="212"/>
      <c r="CV203" s="212"/>
      <c r="CW203" s="212"/>
      <c r="CX203" s="212"/>
      <c r="CY203" s="216">
        <f t="shared" si="86"/>
        <v>0</v>
      </c>
      <c r="CZ203" s="185">
        <f t="shared" si="100"/>
        <v>0</v>
      </c>
      <c r="DA203" s="217">
        <f t="shared" si="87"/>
        <v>1.0724</v>
      </c>
      <c r="DB203" s="217">
        <f t="shared" si="88"/>
        <v>0</v>
      </c>
      <c r="DC203" s="217">
        <f t="shared" si="90"/>
        <v>1.0724</v>
      </c>
      <c r="DD203" s="256">
        <v>1.0724</v>
      </c>
      <c r="DE203" s="217">
        <f t="shared" si="91"/>
        <v>0</v>
      </c>
      <c r="DF203" s="185" t="e">
        <f>SUM(DN203:DO203)-SUM(#REF!,BV203)+BU203</f>
        <v>#REF!</v>
      </c>
      <c r="DG203" s="223"/>
      <c r="DH203" s="241">
        <f t="shared" si="92"/>
        <v>1.0724</v>
      </c>
      <c r="DI203" s="241">
        <f t="shared" si="93"/>
        <v>0</v>
      </c>
      <c r="DJ203" s="241">
        <f t="shared" si="94"/>
        <v>0</v>
      </c>
      <c r="DK203" s="241" t="e">
        <f>SUM(BS203,#REF!,BV203)</f>
        <v>#REF!</v>
      </c>
      <c r="DL203" s="155">
        <v>99.994</v>
      </c>
      <c r="DM203" s="155">
        <v>92.004499999999993</v>
      </c>
      <c r="DN203" s="155">
        <v>0</v>
      </c>
      <c r="DO203" s="155">
        <v>0</v>
      </c>
      <c r="DP203" s="155">
        <v>92.004499999999993</v>
      </c>
      <c r="DQ203" s="155">
        <v>7.9894999999999996</v>
      </c>
      <c r="DR203" s="23">
        <f>VLOOKUP(C203,[6]Database!$B$143:$AD$521,29,FALSE)</f>
        <v>0</v>
      </c>
      <c r="DS203" s="235">
        <f t="shared" si="95"/>
        <v>0</v>
      </c>
    </row>
    <row r="204" spans="1:123" s="23" customFormat="1" ht="24" customHeight="1">
      <c r="A204" s="18"/>
      <c r="B204" s="2">
        <v>166</v>
      </c>
      <c r="C204" s="86" t="s">
        <v>533</v>
      </c>
      <c r="D204" s="86"/>
      <c r="E204" s="85" t="s">
        <v>865</v>
      </c>
      <c r="F204" s="41">
        <v>2020</v>
      </c>
      <c r="G204" s="42">
        <v>44041</v>
      </c>
      <c r="H204" s="192">
        <v>44106</v>
      </c>
      <c r="I204" s="42">
        <v>44557</v>
      </c>
      <c r="J204" s="15">
        <f t="shared" ca="1" si="84"/>
        <v>451</v>
      </c>
      <c r="K204" s="177">
        <f t="shared" si="96"/>
        <v>44653</v>
      </c>
      <c r="L204" s="177">
        <f t="shared" si="97"/>
        <v>44836</v>
      </c>
      <c r="M204" s="177"/>
      <c r="N204" s="183"/>
      <c r="O204" s="183"/>
      <c r="P204" s="183"/>
      <c r="Q204" s="183"/>
      <c r="R204" s="41" t="s">
        <v>177</v>
      </c>
      <c r="S204" s="13" t="s">
        <v>223</v>
      </c>
      <c r="T204" s="41"/>
      <c r="U204" s="5" t="s">
        <v>9</v>
      </c>
      <c r="V204" s="268">
        <v>3078126</v>
      </c>
      <c r="W204" s="5" t="s">
        <v>614</v>
      </c>
      <c r="X204" s="5" t="s">
        <v>476</v>
      </c>
      <c r="Y204" s="5" t="s">
        <v>538</v>
      </c>
      <c r="Z204" s="3" t="s">
        <v>181</v>
      </c>
      <c r="AA204" s="6" t="s">
        <v>218</v>
      </c>
      <c r="AB204" s="152" t="s">
        <v>197</v>
      </c>
      <c r="AC204" s="177" t="s">
        <v>6</v>
      </c>
      <c r="AD204" s="177">
        <v>44530</v>
      </c>
      <c r="AE204" s="177">
        <f>IFERROR(EOMONTH(L204,-2),"")</f>
        <v>44804</v>
      </c>
      <c r="AF204" s="5"/>
      <c r="AG204" s="43"/>
      <c r="AH204" s="228"/>
      <c r="AI204" s="83"/>
      <c r="AJ204" s="83"/>
      <c r="AK204" s="237" t="e">
        <f>SUM(#REF!,BT204,BV204)</f>
        <v>#REF!</v>
      </c>
      <c r="AL204" s="165"/>
      <c r="AM204" s="165"/>
      <c r="AN204" s="165"/>
      <c r="AO204" s="165"/>
      <c r="AP204" s="165"/>
      <c r="AQ204" s="165"/>
      <c r="AR204" s="56"/>
      <c r="AS204" s="56">
        <v>0</v>
      </c>
      <c r="AT204" s="56">
        <v>9.2556100000000008</v>
      </c>
      <c r="AU204" s="56">
        <v>473.62520999999998</v>
      </c>
      <c r="AV204" s="47">
        <v>492.202</v>
      </c>
      <c r="AW204" s="47"/>
      <c r="AX204" s="97">
        <f t="shared" si="85"/>
        <v>492.202</v>
      </c>
      <c r="AY204" s="169">
        <f t="shared" si="98"/>
        <v>414.81134000000003</v>
      </c>
      <c r="AZ204" s="196">
        <v>0</v>
      </c>
      <c r="BA204" s="170">
        <v>-0.87479000000000129</v>
      </c>
      <c r="BB204" s="196">
        <v>0</v>
      </c>
      <c r="BC204" s="170"/>
      <c r="BD204" s="196">
        <v>99.5</v>
      </c>
      <c r="BE204" s="170">
        <v>45.903510000000004</v>
      </c>
      <c r="BF204" s="196">
        <v>150</v>
      </c>
      <c r="BG204" s="170">
        <v>212.20408999999998</v>
      </c>
      <c r="BH204" s="196">
        <v>30</v>
      </c>
      <c r="BI204" s="170">
        <v>32.319159999999997</v>
      </c>
      <c r="BJ204" s="196">
        <v>40</v>
      </c>
      <c r="BK204" s="170">
        <v>40.636499999999998</v>
      </c>
      <c r="BL204" s="196">
        <f>40-7</f>
        <v>33</v>
      </c>
      <c r="BM204" s="170">
        <v>37.475020000000001</v>
      </c>
      <c r="BN204" s="196">
        <v>17.2</v>
      </c>
      <c r="BO204" s="170">
        <v>16.424769999999999</v>
      </c>
      <c r="BP204" s="196">
        <v>5</v>
      </c>
      <c r="BQ204" s="170">
        <v>5.1536999999999997</v>
      </c>
      <c r="BR204" s="196">
        <v>20</v>
      </c>
      <c r="BS204" s="170">
        <v>11.718029999999999</v>
      </c>
      <c r="BT204" s="196">
        <f>8+8.8-0.5</f>
        <v>16.3</v>
      </c>
      <c r="BU204" s="170">
        <v>12.904389999999999</v>
      </c>
      <c r="BV204" s="196"/>
      <c r="BW204" s="251">
        <v>0.94696000000000002</v>
      </c>
      <c r="BX204" s="254">
        <v>0.94696000000000002</v>
      </c>
      <c r="BY204" s="88">
        <f t="shared" si="99"/>
        <v>0</v>
      </c>
      <c r="BZ204" s="258"/>
      <c r="CA204" s="258"/>
      <c r="CB204" s="258"/>
      <c r="CC204" s="258"/>
      <c r="CD204" s="258"/>
      <c r="CE204" s="258"/>
      <c r="CF204" s="258"/>
      <c r="CG204" s="258"/>
      <c r="CH204" s="258"/>
      <c r="CI204" s="258"/>
      <c r="CJ204" s="258"/>
      <c r="CK204" s="258"/>
      <c r="CL204" s="211">
        <f t="shared" si="89"/>
        <v>0</v>
      </c>
      <c r="CM204" s="212"/>
      <c r="CN204" s="212"/>
      <c r="CO204" s="212"/>
      <c r="CP204" s="212"/>
      <c r="CQ204" s="212"/>
      <c r="CR204" s="212"/>
      <c r="CS204" s="212"/>
      <c r="CT204" s="212"/>
      <c r="CU204" s="212"/>
      <c r="CV204" s="212"/>
      <c r="CW204" s="212"/>
      <c r="CX204" s="212"/>
      <c r="CY204" s="216">
        <f t="shared" si="86"/>
        <v>-0.94696000000000002</v>
      </c>
      <c r="CZ204" s="185">
        <f t="shared" si="100"/>
        <v>0</v>
      </c>
      <c r="DA204" s="217">
        <f t="shared" si="87"/>
        <v>413.86438000000004</v>
      </c>
      <c r="DB204" s="217">
        <f t="shared" si="88"/>
        <v>0.94696000000000002</v>
      </c>
      <c r="DC204" s="217">
        <f t="shared" si="90"/>
        <v>414.81134000000003</v>
      </c>
      <c r="DD204" s="256">
        <v>417.25999000000007</v>
      </c>
      <c r="DE204" s="217">
        <f t="shared" si="91"/>
        <v>-2.4486500000000433</v>
      </c>
      <c r="DF204" s="185" t="e">
        <f>SUM(DN204:DO204)-SUM(#REF!,BV204)+BU204</f>
        <v>#REF!</v>
      </c>
      <c r="DG204" s="223"/>
      <c r="DH204" s="241">
        <f t="shared" si="92"/>
        <v>45.02872</v>
      </c>
      <c r="DI204" s="241">
        <f t="shared" si="93"/>
        <v>285.15974999999997</v>
      </c>
      <c r="DJ204" s="241">
        <f t="shared" si="94"/>
        <v>59.053489999999996</v>
      </c>
      <c r="DK204" s="241" t="e">
        <f>SUM(BS204,#REF!,BV204)</f>
        <v>#REF!</v>
      </c>
      <c r="DL204" s="155">
        <v>492.22</v>
      </c>
      <c r="DM204" s="155">
        <v>424.06695000000002</v>
      </c>
      <c r="DN204" s="155">
        <v>0</v>
      </c>
      <c r="DO204" s="155">
        <v>0</v>
      </c>
      <c r="DP204" s="155">
        <v>424.06695000000002</v>
      </c>
      <c r="DQ204" s="155">
        <v>68.153050000000007</v>
      </c>
      <c r="DR204" s="23">
        <f>VLOOKUP(C204,[6]Database!$B$143:$AD$521,29,FALSE)</f>
        <v>0</v>
      </c>
      <c r="DS204" s="235">
        <f t="shared" si="95"/>
        <v>0</v>
      </c>
    </row>
    <row r="205" spans="1:123" s="23" customFormat="1" ht="24" customHeight="1">
      <c r="A205" s="18"/>
      <c r="B205" s="2">
        <v>167</v>
      </c>
      <c r="C205" s="86" t="s">
        <v>536</v>
      </c>
      <c r="D205" s="86"/>
      <c r="E205" s="85"/>
      <c r="F205" s="41">
        <v>2020</v>
      </c>
      <c r="G205" s="42">
        <v>44013</v>
      </c>
      <c r="H205" s="192">
        <v>44075</v>
      </c>
      <c r="I205" s="42">
        <v>44547</v>
      </c>
      <c r="J205" s="15">
        <f t="shared" ca="1" si="84"/>
        <v>472</v>
      </c>
      <c r="K205" s="177">
        <f t="shared" si="96"/>
        <v>44622</v>
      </c>
      <c r="L205" s="177">
        <f t="shared" si="97"/>
        <v>44805</v>
      </c>
      <c r="M205" s="177"/>
      <c r="N205" s="183" t="s">
        <v>609</v>
      </c>
      <c r="O205" s="183"/>
      <c r="P205" s="183"/>
      <c r="Q205" s="183"/>
      <c r="R205" s="41" t="s">
        <v>176</v>
      </c>
      <c r="S205" s="13" t="s">
        <v>222</v>
      </c>
      <c r="T205" s="41" t="s">
        <v>958</v>
      </c>
      <c r="U205" s="5" t="s">
        <v>9</v>
      </c>
      <c r="V205" s="268">
        <v>3079739</v>
      </c>
      <c r="W205" s="5" t="s">
        <v>614</v>
      </c>
      <c r="X205" s="5" t="s">
        <v>475</v>
      </c>
      <c r="Y205" s="5" t="s">
        <v>545</v>
      </c>
      <c r="Z205" s="3" t="s">
        <v>181</v>
      </c>
      <c r="AA205" s="6" t="s">
        <v>218</v>
      </c>
      <c r="AB205" s="151" t="s">
        <v>197</v>
      </c>
      <c r="AC205" s="177" t="s">
        <v>6</v>
      </c>
      <c r="AD205" s="177">
        <v>44500</v>
      </c>
      <c r="AE205" s="177" t="s">
        <v>6</v>
      </c>
      <c r="AF205" s="5" t="s">
        <v>1132</v>
      </c>
      <c r="AG205" s="43" t="s">
        <v>1398</v>
      </c>
      <c r="AH205" s="228"/>
      <c r="AI205" s="83" t="s">
        <v>697</v>
      </c>
      <c r="AJ205" s="83" t="s">
        <v>222</v>
      </c>
      <c r="AK205" s="237" t="e">
        <f>SUM(#REF!,BT205,BV205)</f>
        <v>#REF!</v>
      </c>
      <c r="AL205" s="179"/>
      <c r="AM205" s="179"/>
      <c r="AN205" s="179"/>
      <c r="AO205" s="179"/>
      <c r="AP205" s="179"/>
      <c r="AQ205" s="179"/>
      <c r="AR205" s="56"/>
      <c r="AS205" s="56">
        <v>0</v>
      </c>
      <c r="AT205" s="56">
        <v>0</v>
      </c>
      <c r="AU205" s="56">
        <v>109.91786</v>
      </c>
      <c r="AV205" s="47">
        <v>109.91786</v>
      </c>
      <c r="AW205" s="47"/>
      <c r="AX205" s="97">
        <f t="shared" si="85"/>
        <v>109.91786</v>
      </c>
      <c r="AY205" s="169">
        <f t="shared" si="98"/>
        <v>109.67407</v>
      </c>
      <c r="AZ205" s="196">
        <v>0</v>
      </c>
      <c r="BA205" s="170">
        <v>0</v>
      </c>
      <c r="BB205" s="196">
        <v>0</v>
      </c>
      <c r="BC205" s="170"/>
      <c r="BD205" s="196">
        <v>0</v>
      </c>
      <c r="BE205" s="170">
        <v>0</v>
      </c>
      <c r="BF205" s="196">
        <v>0</v>
      </c>
      <c r="BG205" s="170"/>
      <c r="BH205" s="196">
        <v>0</v>
      </c>
      <c r="BI205" s="170"/>
      <c r="BJ205" s="196">
        <v>0</v>
      </c>
      <c r="BK205" s="170">
        <v>0.25570999999999999</v>
      </c>
      <c r="BL205" s="196"/>
      <c r="BM205" s="170">
        <v>0.57755999999999996</v>
      </c>
      <c r="BN205" s="196">
        <v>76</v>
      </c>
      <c r="BO205" s="170">
        <v>0.42019000000000001</v>
      </c>
      <c r="BP205" s="196">
        <v>106</v>
      </c>
      <c r="BQ205" s="170">
        <v>105.82956</v>
      </c>
      <c r="BR205" s="196">
        <v>2.6</v>
      </c>
      <c r="BS205" s="170"/>
      <c r="BT205" s="196">
        <v>2.5</v>
      </c>
      <c r="BU205" s="170"/>
      <c r="BV205" s="196"/>
      <c r="BW205" s="251">
        <v>2.5910500000000001</v>
      </c>
      <c r="BX205" s="254">
        <v>2.5910500000000001</v>
      </c>
      <c r="BY205" s="88">
        <f t="shared" si="99"/>
        <v>0</v>
      </c>
      <c r="BZ205" s="258"/>
      <c r="CA205" s="258"/>
      <c r="CB205" s="258"/>
      <c r="CC205" s="258"/>
      <c r="CD205" s="258"/>
      <c r="CE205" s="258"/>
      <c r="CF205" s="258"/>
      <c r="CG205" s="258"/>
      <c r="CH205" s="258"/>
      <c r="CI205" s="258"/>
      <c r="CJ205" s="258"/>
      <c r="CK205" s="258"/>
      <c r="CL205" s="211">
        <f t="shared" si="89"/>
        <v>0</v>
      </c>
      <c r="CM205" s="212"/>
      <c r="CN205" s="212"/>
      <c r="CO205" s="212"/>
      <c r="CP205" s="212"/>
      <c r="CQ205" s="212"/>
      <c r="CR205" s="212"/>
      <c r="CS205" s="212"/>
      <c r="CT205" s="212"/>
      <c r="CU205" s="212"/>
      <c r="CV205" s="212"/>
      <c r="CW205" s="212"/>
      <c r="CX205" s="212"/>
      <c r="CY205" s="216">
        <f t="shared" si="86"/>
        <v>-2.5910500000000001</v>
      </c>
      <c r="CZ205" s="185">
        <f t="shared" si="100"/>
        <v>0</v>
      </c>
      <c r="DA205" s="217">
        <f t="shared" si="87"/>
        <v>107.08302</v>
      </c>
      <c r="DB205" s="217">
        <f t="shared" si="88"/>
        <v>2.5910500000000001</v>
      </c>
      <c r="DC205" s="217">
        <f t="shared" si="90"/>
        <v>109.67407</v>
      </c>
      <c r="DD205" s="256">
        <v>109.58302</v>
      </c>
      <c r="DE205" s="217">
        <f t="shared" si="91"/>
        <v>9.1049999999995634E-2</v>
      </c>
      <c r="DF205" s="185" t="e">
        <f>SUM(DN205:DO205)-SUM(#REF!,BV205)+BU205</f>
        <v>#REF!</v>
      </c>
      <c r="DG205" s="223"/>
      <c r="DH205" s="241">
        <f t="shared" si="92"/>
        <v>0</v>
      </c>
      <c r="DI205" s="241">
        <f t="shared" si="93"/>
        <v>0.25570999999999999</v>
      </c>
      <c r="DJ205" s="241">
        <f t="shared" si="94"/>
        <v>106.82731</v>
      </c>
      <c r="DK205" s="241" t="e">
        <f>SUM(BS205,#REF!,BV205)</f>
        <v>#REF!</v>
      </c>
      <c r="DL205" s="155">
        <v>109.91786</v>
      </c>
      <c r="DM205" s="155">
        <v>109.67407</v>
      </c>
      <c r="DN205" s="155">
        <v>0</v>
      </c>
      <c r="DO205" s="155">
        <v>0</v>
      </c>
      <c r="DP205" s="155">
        <v>109.67407</v>
      </c>
      <c r="DQ205" s="155">
        <v>0.24378999999999998</v>
      </c>
      <c r="DR205" s="23">
        <f>VLOOKUP(C205,[6]Database!$B$143:$AD$521,29,FALSE)</f>
        <v>0</v>
      </c>
      <c r="DS205" s="235">
        <f t="shared" si="95"/>
        <v>0</v>
      </c>
    </row>
    <row r="206" spans="1:123" s="23" customFormat="1" ht="24" customHeight="1">
      <c r="A206" s="18"/>
      <c r="B206" s="2">
        <v>169</v>
      </c>
      <c r="C206" s="86" t="s">
        <v>542</v>
      </c>
      <c r="D206" s="86"/>
      <c r="E206" s="85"/>
      <c r="F206" s="41">
        <v>2020</v>
      </c>
      <c r="G206" s="42">
        <v>44013</v>
      </c>
      <c r="H206" s="42">
        <v>44075</v>
      </c>
      <c r="I206" s="42">
        <v>44159</v>
      </c>
      <c r="J206" s="15">
        <f t="shared" ca="1" si="84"/>
        <v>84</v>
      </c>
      <c r="K206" s="177">
        <f t="shared" si="96"/>
        <v>44622</v>
      </c>
      <c r="L206" s="177">
        <f t="shared" si="97"/>
        <v>44805</v>
      </c>
      <c r="M206" s="177"/>
      <c r="N206" s="183"/>
      <c r="O206" s="183"/>
      <c r="P206" s="183"/>
      <c r="Q206" s="183"/>
      <c r="R206" s="86" t="s">
        <v>179</v>
      </c>
      <c r="S206" s="13"/>
      <c r="T206" s="86"/>
      <c r="U206" s="5" t="s">
        <v>9</v>
      </c>
      <c r="V206" s="268">
        <v>3084730</v>
      </c>
      <c r="W206" s="5" t="s">
        <v>614</v>
      </c>
      <c r="X206" s="5" t="s">
        <v>483</v>
      </c>
      <c r="Y206" s="5" t="s">
        <v>467</v>
      </c>
      <c r="Z206" s="3" t="s">
        <v>188</v>
      </c>
      <c r="AA206" s="6" t="s">
        <v>218</v>
      </c>
      <c r="AB206" s="152" t="s">
        <v>197</v>
      </c>
      <c r="AC206" s="177" t="s">
        <v>6</v>
      </c>
      <c r="AD206" s="177" t="s">
        <v>6</v>
      </c>
      <c r="AE206" s="177" t="s">
        <v>6</v>
      </c>
      <c r="AF206" s="5"/>
      <c r="AG206" s="43"/>
      <c r="AH206" s="228"/>
      <c r="AI206" s="83"/>
      <c r="AJ206" s="83"/>
      <c r="AK206" s="237" t="e">
        <f>SUM(#REF!,BT206,BV206)</f>
        <v>#REF!</v>
      </c>
      <c r="AL206" s="179"/>
      <c r="AM206" s="179"/>
      <c r="AN206" s="179"/>
      <c r="AO206" s="179"/>
      <c r="AP206" s="179"/>
      <c r="AQ206" s="179"/>
      <c r="AR206" s="56">
        <v>0</v>
      </c>
      <c r="AS206" s="56">
        <v>0</v>
      </c>
      <c r="AT206" s="56">
        <v>14.204100000000002</v>
      </c>
      <c r="AU206" s="56"/>
      <c r="AV206" s="47">
        <v>18.2</v>
      </c>
      <c r="AW206" s="47"/>
      <c r="AX206" s="97">
        <f t="shared" si="85"/>
        <v>18.2</v>
      </c>
      <c r="AY206" s="169">
        <f t="shared" si="98"/>
        <v>0</v>
      </c>
      <c r="AZ206" s="196">
        <v>0</v>
      </c>
      <c r="BA206" s="170">
        <v>0</v>
      </c>
      <c r="BB206" s="196">
        <v>0</v>
      </c>
      <c r="BC206" s="170"/>
      <c r="BD206" s="196">
        <v>0</v>
      </c>
      <c r="BE206" s="170">
        <v>0</v>
      </c>
      <c r="BF206" s="196">
        <v>0</v>
      </c>
      <c r="BG206" s="170"/>
      <c r="BH206" s="196">
        <v>0</v>
      </c>
      <c r="BI206" s="170"/>
      <c r="BJ206" s="196">
        <v>0</v>
      </c>
      <c r="BK206" s="170"/>
      <c r="BL206" s="196"/>
      <c r="BM206" s="170"/>
      <c r="BN206" s="196"/>
      <c r="BO206" s="170"/>
      <c r="BP206" s="196"/>
      <c r="BQ206" s="170"/>
      <c r="BR206" s="196"/>
      <c r="BS206" s="170"/>
      <c r="BT206" s="196"/>
      <c r="BU206" s="170"/>
      <c r="BV206" s="196"/>
      <c r="BW206" s="251"/>
      <c r="BX206" s="254"/>
      <c r="BY206" s="88">
        <f t="shared" si="99"/>
        <v>0</v>
      </c>
      <c r="BZ206" s="214"/>
      <c r="CA206" s="214"/>
      <c r="CB206" s="214"/>
      <c r="CC206" s="214"/>
      <c r="CD206" s="214"/>
      <c r="CE206" s="214"/>
      <c r="CF206" s="214"/>
      <c r="CG206" s="214"/>
      <c r="CH206" s="214"/>
      <c r="CI206" s="214"/>
      <c r="CJ206" s="214"/>
      <c r="CK206" s="214"/>
      <c r="CL206" s="211">
        <f t="shared" si="89"/>
        <v>0</v>
      </c>
      <c r="CM206" s="212"/>
      <c r="CN206" s="212"/>
      <c r="CO206" s="212"/>
      <c r="CP206" s="212"/>
      <c r="CQ206" s="212"/>
      <c r="CR206" s="212"/>
      <c r="CS206" s="212"/>
      <c r="CT206" s="212"/>
      <c r="CU206" s="212"/>
      <c r="CV206" s="212"/>
      <c r="CW206" s="212"/>
      <c r="CX206" s="212"/>
      <c r="CY206" s="216">
        <f t="shared" si="86"/>
        <v>0</v>
      </c>
      <c r="CZ206" s="185">
        <f t="shared" si="100"/>
        <v>0</v>
      </c>
      <c r="DA206" s="217">
        <f t="shared" si="87"/>
        <v>0</v>
      </c>
      <c r="DB206" s="217">
        <f t="shared" si="88"/>
        <v>0</v>
      </c>
      <c r="DC206" s="217">
        <f t="shared" si="90"/>
        <v>0</v>
      </c>
      <c r="DD206" s="256">
        <v>0</v>
      </c>
      <c r="DE206" s="217">
        <f t="shared" si="91"/>
        <v>0</v>
      </c>
      <c r="DF206" s="185" t="e">
        <f>SUM(DN206:DO206)-SUM(#REF!,BV206)+BU206</f>
        <v>#REF!</v>
      </c>
      <c r="DG206" s="223"/>
      <c r="DH206" s="241">
        <f t="shared" si="92"/>
        <v>0</v>
      </c>
      <c r="DI206" s="241">
        <f t="shared" si="93"/>
        <v>0</v>
      </c>
      <c r="DJ206" s="241">
        <f t="shared" si="94"/>
        <v>0</v>
      </c>
      <c r="DK206" s="241" t="e">
        <f>SUM(BS206,#REF!,BV206)</f>
        <v>#REF!</v>
      </c>
      <c r="DL206" s="155">
        <v>18.2</v>
      </c>
      <c r="DM206" s="155">
        <v>14.2041</v>
      </c>
      <c r="DN206" s="155">
        <v>0</v>
      </c>
      <c r="DO206" s="155">
        <v>0</v>
      </c>
      <c r="DP206" s="155">
        <v>14.2041</v>
      </c>
      <c r="DQ206" s="155">
        <v>3.9959000000000002</v>
      </c>
      <c r="DS206" s="235">
        <f t="shared" si="95"/>
        <v>0</v>
      </c>
    </row>
    <row r="207" spans="1:123" s="23" customFormat="1" ht="24" customHeight="1">
      <c r="A207" s="18"/>
      <c r="B207" s="2">
        <v>170</v>
      </c>
      <c r="C207" s="86" t="s">
        <v>541</v>
      </c>
      <c r="D207" s="86"/>
      <c r="E207" s="85"/>
      <c r="F207" s="41">
        <v>2020</v>
      </c>
      <c r="G207" s="42">
        <v>44041</v>
      </c>
      <c r="H207" s="192">
        <v>44088</v>
      </c>
      <c r="I207" s="42">
        <v>44237</v>
      </c>
      <c r="J207" s="15">
        <f t="shared" ca="1" si="84"/>
        <v>149</v>
      </c>
      <c r="K207" s="177">
        <f t="shared" si="96"/>
        <v>44635</v>
      </c>
      <c r="L207" s="177">
        <f t="shared" si="97"/>
        <v>44818</v>
      </c>
      <c r="M207" s="177"/>
      <c r="N207" s="183"/>
      <c r="O207" s="183"/>
      <c r="P207" s="183"/>
      <c r="Q207" s="183"/>
      <c r="R207" s="41" t="s">
        <v>176</v>
      </c>
      <c r="S207" s="13" t="s">
        <v>222</v>
      </c>
      <c r="T207" s="41" t="s">
        <v>958</v>
      </c>
      <c r="U207" s="5" t="s">
        <v>9</v>
      </c>
      <c r="V207" s="268">
        <v>3106839</v>
      </c>
      <c r="W207" s="5" t="s">
        <v>614</v>
      </c>
      <c r="X207" s="5" t="s">
        <v>475</v>
      </c>
      <c r="Y207" s="5" t="s">
        <v>540</v>
      </c>
      <c r="Z207" s="3" t="s">
        <v>187</v>
      </c>
      <c r="AA207" s="6" t="s">
        <v>218</v>
      </c>
      <c r="AB207" s="152" t="s">
        <v>197</v>
      </c>
      <c r="AC207" s="177" t="s">
        <v>6</v>
      </c>
      <c r="AD207" s="177">
        <v>44255</v>
      </c>
      <c r="AE207" s="177" t="s">
        <v>6</v>
      </c>
      <c r="AF207" s="5"/>
      <c r="AG207" s="43"/>
      <c r="AH207" s="228"/>
      <c r="AI207" s="83"/>
      <c r="AJ207" s="83"/>
      <c r="AK207" s="237" t="e">
        <f>SUM(#REF!,BT207,BV207)</f>
        <v>#REF!</v>
      </c>
      <c r="AL207" s="179"/>
      <c r="AM207" s="179"/>
      <c r="AN207" s="179"/>
      <c r="AO207" s="179"/>
      <c r="AP207" s="179"/>
      <c r="AQ207" s="179"/>
      <c r="AR207" s="56"/>
      <c r="AS207" s="56">
        <v>0</v>
      </c>
      <c r="AT207" s="56">
        <v>32.009619999999998</v>
      </c>
      <c r="AU207" s="56">
        <v>0.42429999999999995</v>
      </c>
      <c r="AV207" s="47">
        <v>98.66037</v>
      </c>
      <c r="AW207" s="47"/>
      <c r="AX207" s="97">
        <f t="shared" si="85"/>
        <v>98.66037</v>
      </c>
      <c r="AY207" s="169">
        <f t="shared" si="98"/>
        <v>0.42429999999999995</v>
      </c>
      <c r="AZ207" s="196">
        <v>0</v>
      </c>
      <c r="BA207" s="170">
        <v>0.42429999999999995</v>
      </c>
      <c r="BB207" s="196">
        <v>0</v>
      </c>
      <c r="BC207" s="170"/>
      <c r="BD207" s="196">
        <v>0</v>
      </c>
      <c r="BE207" s="170">
        <v>0</v>
      </c>
      <c r="BF207" s="196">
        <v>0</v>
      </c>
      <c r="BG207" s="170"/>
      <c r="BH207" s="196">
        <v>0</v>
      </c>
      <c r="BI207" s="170"/>
      <c r="BJ207" s="196">
        <v>0</v>
      </c>
      <c r="BK207" s="170"/>
      <c r="BL207" s="196"/>
      <c r="BM207" s="170"/>
      <c r="BN207" s="196"/>
      <c r="BO207" s="170"/>
      <c r="BP207" s="196"/>
      <c r="BQ207" s="170"/>
      <c r="BR207" s="196"/>
      <c r="BS207" s="170"/>
      <c r="BT207" s="196"/>
      <c r="BU207" s="170"/>
      <c r="BV207" s="196"/>
      <c r="BW207" s="251"/>
      <c r="BX207" s="254"/>
      <c r="BY207" s="88">
        <f t="shared" si="99"/>
        <v>0</v>
      </c>
      <c r="BZ207" s="258"/>
      <c r="CA207" s="258"/>
      <c r="CB207" s="258"/>
      <c r="CC207" s="258"/>
      <c r="CD207" s="258"/>
      <c r="CE207" s="258"/>
      <c r="CF207" s="258"/>
      <c r="CG207" s="258"/>
      <c r="CH207" s="258"/>
      <c r="CI207" s="258"/>
      <c r="CJ207" s="258"/>
      <c r="CK207" s="258"/>
      <c r="CL207" s="211">
        <f t="shared" si="89"/>
        <v>0</v>
      </c>
      <c r="CM207" s="212"/>
      <c r="CN207" s="212"/>
      <c r="CO207" s="212"/>
      <c r="CP207" s="212"/>
      <c r="CQ207" s="212"/>
      <c r="CR207" s="212"/>
      <c r="CS207" s="212"/>
      <c r="CT207" s="212"/>
      <c r="CU207" s="212"/>
      <c r="CV207" s="212"/>
      <c r="CW207" s="212"/>
      <c r="CX207" s="212"/>
      <c r="CY207" s="216">
        <f t="shared" si="86"/>
        <v>0</v>
      </c>
      <c r="CZ207" s="185">
        <f t="shared" si="100"/>
        <v>0</v>
      </c>
      <c r="DA207" s="217">
        <f t="shared" si="87"/>
        <v>0.42429999999999995</v>
      </c>
      <c r="DB207" s="217">
        <f t="shared" si="88"/>
        <v>0</v>
      </c>
      <c r="DC207" s="217">
        <f t="shared" si="90"/>
        <v>0.42429999999999995</v>
      </c>
      <c r="DD207" s="256">
        <v>0.42429999999999995</v>
      </c>
      <c r="DE207" s="217">
        <f t="shared" si="91"/>
        <v>0</v>
      </c>
      <c r="DF207" s="185" t="e">
        <f>SUM(DN207:DO207)-SUM(#REF!,BV207)+BU207</f>
        <v>#REF!</v>
      </c>
      <c r="DG207" s="223"/>
      <c r="DH207" s="241">
        <f t="shared" si="92"/>
        <v>0.42429999999999995</v>
      </c>
      <c r="DI207" s="241">
        <f t="shared" si="93"/>
        <v>0</v>
      </c>
      <c r="DJ207" s="241">
        <f t="shared" si="94"/>
        <v>0</v>
      </c>
      <c r="DK207" s="241" t="e">
        <f>SUM(BS207,#REF!,BV207)</f>
        <v>#REF!</v>
      </c>
      <c r="DL207" s="155">
        <v>98.66037</v>
      </c>
      <c r="DM207" s="155">
        <v>32.433920000000001</v>
      </c>
      <c r="DN207" s="155">
        <v>0</v>
      </c>
      <c r="DO207" s="155">
        <v>0</v>
      </c>
      <c r="DP207" s="155">
        <v>32.433920000000001</v>
      </c>
      <c r="DQ207" s="155">
        <v>66.22645</v>
      </c>
      <c r="DR207" s="23">
        <f>VLOOKUP(C207,[6]Database!$B$143:$AD$521,29,FALSE)</f>
        <v>0</v>
      </c>
      <c r="DS207" s="235">
        <f t="shared" si="95"/>
        <v>0</v>
      </c>
    </row>
    <row r="208" spans="1:123" s="23" customFormat="1" ht="24" customHeight="1">
      <c r="A208" s="18"/>
      <c r="B208" s="2">
        <v>171</v>
      </c>
      <c r="C208" s="86" t="s">
        <v>556</v>
      </c>
      <c r="D208" s="86"/>
      <c r="E208" s="85" t="s">
        <v>893</v>
      </c>
      <c r="F208" s="41">
        <v>2020</v>
      </c>
      <c r="G208" s="42">
        <v>44044</v>
      </c>
      <c r="H208" s="192">
        <v>44105</v>
      </c>
      <c r="I208" s="42">
        <v>44342</v>
      </c>
      <c r="J208" s="15">
        <f t="shared" ca="1" si="84"/>
        <v>237</v>
      </c>
      <c r="K208" s="177">
        <f t="shared" si="96"/>
        <v>44652</v>
      </c>
      <c r="L208" s="177">
        <f t="shared" si="97"/>
        <v>44835</v>
      </c>
      <c r="M208" s="177"/>
      <c r="N208" s="183"/>
      <c r="O208" s="183"/>
      <c r="P208" s="183"/>
      <c r="Q208" s="183"/>
      <c r="R208" s="41" t="s">
        <v>176</v>
      </c>
      <c r="S208" s="13" t="s">
        <v>5</v>
      </c>
      <c r="T208" s="41" t="s">
        <v>951</v>
      </c>
      <c r="U208" s="5" t="s">
        <v>9</v>
      </c>
      <c r="V208" s="268">
        <v>3101044</v>
      </c>
      <c r="W208" s="5" t="s">
        <v>614</v>
      </c>
      <c r="X208" s="5" t="s">
        <v>480</v>
      </c>
      <c r="Y208" s="5" t="s">
        <v>547</v>
      </c>
      <c r="Z208" s="85" t="s">
        <v>186</v>
      </c>
      <c r="AA208" s="6" t="s">
        <v>218</v>
      </c>
      <c r="AB208" s="152" t="s">
        <v>197</v>
      </c>
      <c r="AC208" s="177" t="s">
        <v>6</v>
      </c>
      <c r="AD208" s="177" t="s">
        <v>6</v>
      </c>
      <c r="AE208" s="177" t="s">
        <v>6</v>
      </c>
      <c r="AF208" s="5"/>
      <c r="AG208" s="43"/>
      <c r="AH208" s="228"/>
      <c r="AI208" s="83"/>
      <c r="AJ208" s="83"/>
      <c r="AK208" s="237" t="e">
        <f>SUM(#REF!,BT208,BV208)</f>
        <v>#REF!</v>
      </c>
      <c r="AL208" s="165"/>
      <c r="AM208" s="165"/>
      <c r="AN208" s="165"/>
      <c r="AO208" s="165"/>
      <c r="AP208" s="165"/>
      <c r="AQ208" s="165"/>
      <c r="AR208" s="56"/>
      <c r="AS208" s="56">
        <v>0</v>
      </c>
      <c r="AT208" s="56">
        <v>49.867959999999997</v>
      </c>
      <c r="AU208" s="56">
        <v>7.8740199999999998</v>
      </c>
      <c r="AV208" s="47">
        <v>63.145000000000003</v>
      </c>
      <c r="AW208" s="47"/>
      <c r="AX208" s="97">
        <f t="shared" si="85"/>
        <v>63.145000000000003</v>
      </c>
      <c r="AY208" s="169">
        <f t="shared" si="98"/>
        <v>9.2854599999999987</v>
      </c>
      <c r="AZ208" s="196">
        <v>1.7</v>
      </c>
      <c r="BA208" s="170">
        <v>0.87401999999999991</v>
      </c>
      <c r="BB208" s="196">
        <v>7</v>
      </c>
      <c r="BC208" s="170">
        <v>6.2153799999999997</v>
      </c>
      <c r="BD208" s="196">
        <v>0.7</v>
      </c>
      <c r="BE208" s="170">
        <v>1.46773</v>
      </c>
      <c r="BF208" s="196">
        <v>0</v>
      </c>
      <c r="BG208" s="170"/>
      <c r="BH208" s="196">
        <v>0.7</v>
      </c>
      <c r="BI208" s="170">
        <v>0.72833000000000003</v>
      </c>
      <c r="BJ208" s="196">
        <v>0</v>
      </c>
      <c r="BK208" s="170"/>
      <c r="BL208" s="196"/>
      <c r="BM208" s="170"/>
      <c r="BN208" s="196"/>
      <c r="BO208" s="170"/>
      <c r="BP208" s="196"/>
      <c r="BQ208" s="170"/>
      <c r="BR208" s="196"/>
      <c r="BS208" s="170"/>
      <c r="BT208" s="196"/>
      <c r="BU208" s="170"/>
      <c r="BV208" s="196"/>
      <c r="BW208" s="251"/>
      <c r="BX208" s="254"/>
      <c r="BY208" s="88">
        <f t="shared" si="99"/>
        <v>0</v>
      </c>
      <c r="BZ208" s="258"/>
      <c r="CA208" s="258"/>
      <c r="CB208" s="258"/>
      <c r="CC208" s="258"/>
      <c r="CD208" s="258"/>
      <c r="CE208" s="258"/>
      <c r="CF208" s="258"/>
      <c r="CG208" s="258"/>
      <c r="CH208" s="258"/>
      <c r="CI208" s="258"/>
      <c r="CJ208" s="258"/>
      <c r="CK208" s="258"/>
      <c r="CL208" s="211">
        <f t="shared" si="89"/>
        <v>0</v>
      </c>
      <c r="CM208" s="212"/>
      <c r="CN208" s="212"/>
      <c r="CO208" s="212"/>
      <c r="CP208" s="212"/>
      <c r="CQ208" s="212"/>
      <c r="CR208" s="212"/>
      <c r="CS208" s="212"/>
      <c r="CT208" s="212"/>
      <c r="CU208" s="212"/>
      <c r="CV208" s="212"/>
      <c r="CW208" s="212"/>
      <c r="CX208" s="212"/>
      <c r="CY208" s="216">
        <f t="shared" si="86"/>
        <v>0</v>
      </c>
      <c r="CZ208" s="185">
        <f t="shared" si="100"/>
        <v>0</v>
      </c>
      <c r="DA208" s="217">
        <f t="shared" si="87"/>
        <v>9.2854599999999987</v>
      </c>
      <c r="DB208" s="217">
        <f t="shared" si="88"/>
        <v>0</v>
      </c>
      <c r="DC208" s="217">
        <f t="shared" si="90"/>
        <v>9.2854599999999987</v>
      </c>
      <c r="DD208" s="256">
        <v>9.2854599999999987</v>
      </c>
      <c r="DE208" s="217">
        <f t="shared" si="91"/>
        <v>0</v>
      </c>
      <c r="DF208" s="185" t="e">
        <f>SUM(DN208:DO208)-SUM(#REF!,BV208)+BU208</f>
        <v>#REF!</v>
      </c>
      <c r="DG208" s="223"/>
      <c r="DH208" s="241">
        <f t="shared" si="92"/>
        <v>8.557129999999999</v>
      </c>
      <c r="DI208" s="241">
        <f t="shared" si="93"/>
        <v>0.72833000000000003</v>
      </c>
      <c r="DJ208" s="241">
        <f t="shared" si="94"/>
        <v>0</v>
      </c>
      <c r="DK208" s="241" t="e">
        <f>SUM(BS208,#REF!,BV208)</f>
        <v>#REF!</v>
      </c>
      <c r="DL208" s="155">
        <v>63.145000000000003</v>
      </c>
      <c r="DM208" s="155">
        <v>59.153419999999997</v>
      </c>
      <c r="DN208" s="155">
        <v>0</v>
      </c>
      <c r="DO208" s="155">
        <v>0</v>
      </c>
      <c r="DP208" s="155">
        <v>59.153419999999997</v>
      </c>
      <c r="DQ208" s="155">
        <v>3.9915799999999999</v>
      </c>
      <c r="DR208" s="23">
        <f>VLOOKUP(C208,[6]Database!$B$143:$AD$521,29,FALSE)</f>
        <v>0</v>
      </c>
      <c r="DS208" s="235">
        <f t="shared" si="95"/>
        <v>0</v>
      </c>
    </row>
    <row r="209" spans="1:123" s="23" customFormat="1" ht="24" customHeight="1">
      <c r="A209" s="18"/>
      <c r="B209" s="2">
        <v>172</v>
      </c>
      <c r="C209" s="86" t="s">
        <v>555</v>
      </c>
      <c r="D209" s="86"/>
      <c r="E209" s="85"/>
      <c r="F209" s="41">
        <v>2020</v>
      </c>
      <c r="G209" s="42">
        <v>44044</v>
      </c>
      <c r="H209" s="192">
        <v>44075</v>
      </c>
      <c r="I209" s="42">
        <v>44405</v>
      </c>
      <c r="J209" s="15">
        <f t="shared" ca="1" si="84"/>
        <v>330</v>
      </c>
      <c r="K209" s="177">
        <f t="shared" si="96"/>
        <v>44622</v>
      </c>
      <c r="L209" s="177">
        <f t="shared" si="97"/>
        <v>44805</v>
      </c>
      <c r="M209" s="177"/>
      <c r="N209" s="183"/>
      <c r="O209" s="183"/>
      <c r="P209" s="183"/>
      <c r="Q209" s="183"/>
      <c r="R209" s="41" t="s">
        <v>179</v>
      </c>
      <c r="S209" s="13"/>
      <c r="T209" s="41"/>
      <c r="U209" s="5" t="s">
        <v>9</v>
      </c>
      <c r="V209" s="268">
        <v>3114884</v>
      </c>
      <c r="W209" s="5" t="s">
        <v>614</v>
      </c>
      <c r="X209" s="5" t="s">
        <v>481</v>
      </c>
      <c r="Y209" s="5" t="s">
        <v>565</v>
      </c>
      <c r="Z209" s="3" t="s">
        <v>188</v>
      </c>
      <c r="AA209" s="6" t="s">
        <v>218</v>
      </c>
      <c r="AB209" s="152" t="s">
        <v>197</v>
      </c>
      <c r="AC209" s="177" t="s">
        <v>6</v>
      </c>
      <c r="AD209" s="177" t="s">
        <v>6</v>
      </c>
      <c r="AE209" s="177" t="s">
        <v>6</v>
      </c>
      <c r="AF209" s="5"/>
      <c r="AG209" s="43"/>
      <c r="AH209" s="228"/>
      <c r="AI209" s="83"/>
      <c r="AJ209" s="83"/>
      <c r="AK209" s="237" t="e">
        <f>SUM(#REF!,BT209,BV209)</f>
        <v>#REF!</v>
      </c>
      <c r="AL209" s="179"/>
      <c r="AM209" s="179"/>
      <c r="AN209" s="179"/>
      <c r="AO209" s="179"/>
      <c r="AP209" s="179"/>
      <c r="AQ209" s="179"/>
      <c r="AR209" s="56"/>
      <c r="AS209" s="56">
        <v>0</v>
      </c>
      <c r="AT209" s="56">
        <v>83.551780000000008</v>
      </c>
      <c r="AU209" s="56">
        <v>89.973389999999995</v>
      </c>
      <c r="AV209" s="47">
        <v>234.983</v>
      </c>
      <c r="AW209" s="47"/>
      <c r="AX209" s="97">
        <f t="shared" si="85"/>
        <v>234.983</v>
      </c>
      <c r="AY209" s="169">
        <f t="shared" si="98"/>
        <v>155.51114999999999</v>
      </c>
      <c r="AZ209" s="196">
        <v>0</v>
      </c>
      <c r="BA209" s="170">
        <v>-18.946060000000003</v>
      </c>
      <c r="BB209" s="196">
        <v>9.1999999999999993</v>
      </c>
      <c r="BC209" s="170">
        <v>16.27946</v>
      </c>
      <c r="BD209" s="196">
        <v>0</v>
      </c>
      <c r="BE209" s="170">
        <v>0</v>
      </c>
      <c r="BF209" s="196">
        <v>0</v>
      </c>
      <c r="BG209" s="170"/>
      <c r="BH209" s="196">
        <v>79.113990000000001</v>
      </c>
      <c r="BI209" s="170">
        <v>115.32286999999999</v>
      </c>
      <c r="BJ209" s="196">
        <v>35</v>
      </c>
      <c r="BK209" s="170">
        <v>41.879849999999998</v>
      </c>
      <c r="BL209" s="196"/>
      <c r="BM209" s="170">
        <v>0.69567999999999997</v>
      </c>
      <c r="BN209" s="196"/>
      <c r="BO209" s="170">
        <v>0.27935000000000004</v>
      </c>
      <c r="BP209" s="196"/>
      <c r="BQ209" s="170"/>
      <c r="BR209" s="196"/>
      <c r="BS209" s="170"/>
      <c r="BT209" s="196"/>
      <c r="BU209" s="170"/>
      <c r="BV209" s="196"/>
      <c r="BW209" s="251"/>
      <c r="BX209" s="254"/>
      <c r="BY209" s="88">
        <f t="shared" si="99"/>
        <v>0</v>
      </c>
      <c r="BZ209" s="214"/>
      <c r="CA209" s="214"/>
      <c r="CB209" s="214"/>
      <c r="CC209" s="214"/>
      <c r="CD209" s="214"/>
      <c r="CE209" s="214"/>
      <c r="CF209" s="214"/>
      <c r="CG209" s="214"/>
      <c r="CH209" s="214"/>
      <c r="CI209" s="214"/>
      <c r="CJ209" s="214"/>
      <c r="CK209" s="214"/>
      <c r="CL209" s="211">
        <f t="shared" si="89"/>
        <v>0</v>
      </c>
      <c r="CM209" s="212"/>
      <c r="CN209" s="212"/>
      <c r="CO209" s="212"/>
      <c r="CP209" s="212"/>
      <c r="CQ209" s="212"/>
      <c r="CR209" s="212"/>
      <c r="CS209" s="212"/>
      <c r="CT209" s="212"/>
      <c r="CU209" s="212"/>
      <c r="CV209" s="212"/>
      <c r="CW209" s="212"/>
      <c r="CX209" s="212"/>
      <c r="CY209" s="216">
        <f t="shared" si="86"/>
        <v>0</v>
      </c>
      <c r="CZ209" s="185">
        <f t="shared" si="100"/>
        <v>0</v>
      </c>
      <c r="DA209" s="217">
        <f t="shared" si="87"/>
        <v>155.51114999999999</v>
      </c>
      <c r="DB209" s="217">
        <f t="shared" si="88"/>
        <v>0</v>
      </c>
      <c r="DC209" s="217">
        <f t="shared" si="90"/>
        <v>155.51114999999999</v>
      </c>
      <c r="DD209" s="256">
        <v>155.51114999999999</v>
      </c>
      <c r="DE209" s="217">
        <f t="shared" si="91"/>
        <v>0</v>
      </c>
      <c r="DF209" s="185" t="e">
        <f>SUM(DN209:DO209)-SUM(#REF!,BV209)+BU209</f>
        <v>#REF!</v>
      </c>
      <c r="DG209" s="223"/>
      <c r="DH209" s="241">
        <f t="shared" si="92"/>
        <v>-2.6666000000000025</v>
      </c>
      <c r="DI209" s="241">
        <f t="shared" si="93"/>
        <v>157.20272</v>
      </c>
      <c r="DJ209" s="241">
        <f t="shared" si="94"/>
        <v>0.97503000000000006</v>
      </c>
      <c r="DK209" s="241" t="e">
        <f>SUM(BS209,#REF!,BV209)</f>
        <v>#REF!</v>
      </c>
      <c r="DL209" s="155">
        <v>239.983</v>
      </c>
      <c r="DM209" s="155">
        <v>239.06292999999999</v>
      </c>
      <c r="DN209" s="155">
        <v>0</v>
      </c>
      <c r="DO209" s="155">
        <v>0</v>
      </c>
      <c r="DP209" s="155">
        <v>239.06292999999999</v>
      </c>
      <c r="DQ209" s="155">
        <v>0.92007000000000005</v>
      </c>
      <c r="DR209" s="23">
        <f>VLOOKUP(C209,[6]Database!$B$143:$AD$521,29,FALSE)</f>
        <v>0</v>
      </c>
      <c r="DS209" s="235">
        <f t="shared" si="95"/>
        <v>0</v>
      </c>
    </row>
    <row r="210" spans="1:123" s="23" customFormat="1" ht="24" customHeight="1">
      <c r="A210" s="18"/>
      <c r="B210" s="2">
        <v>173</v>
      </c>
      <c r="C210" s="86" t="s">
        <v>554</v>
      </c>
      <c r="D210" s="85"/>
      <c r="E210" s="85"/>
      <c r="F210" s="41">
        <v>2020</v>
      </c>
      <c r="G210" s="42">
        <v>44044</v>
      </c>
      <c r="H210" s="192">
        <v>44076</v>
      </c>
      <c r="I210" s="42">
        <v>44407</v>
      </c>
      <c r="J210" s="15">
        <f t="shared" ca="1" si="84"/>
        <v>331</v>
      </c>
      <c r="K210" s="177">
        <f t="shared" si="96"/>
        <v>44623</v>
      </c>
      <c r="L210" s="177">
        <f t="shared" si="97"/>
        <v>44806</v>
      </c>
      <c r="M210" s="177"/>
      <c r="N210" s="183"/>
      <c r="O210" s="183"/>
      <c r="P210" s="183"/>
      <c r="Q210" s="183"/>
      <c r="R210" s="41" t="s">
        <v>179</v>
      </c>
      <c r="S210" s="13"/>
      <c r="T210" s="41"/>
      <c r="U210" s="5" t="s">
        <v>9</v>
      </c>
      <c r="V210" s="268">
        <v>3106596</v>
      </c>
      <c r="W210" s="5" t="s">
        <v>614</v>
      </c>
      <c r="X210" s="5" t="s">
        <v>481</v>
      </c>
      <c r="Y210" s="5" t="s">
        <v>564</v>
      </c>
      <c r="Z210" s="3" t="s">
        <v>188</v>
      </c>
      <c r="AA210" s="45" t="s">
        <v>195</v>
      </c>
      <c r="AB210" s="257" t="s">
        <v>1108</v>
      </c>
      <c r="AC210" s="177" t="s">
        <v>6</v>
      </c>
      <c r="AD210" s="177">
        <v>44377</v>
      </c>
      <c r="AE210" s="177" t="s">
        <v>6</v>
      </c>
      <c r="AF210" s="5"/>
      <c r="AG210" s="43"/>
      <c r="AH210" s="228"/>
      <c r="AI210" s="125"/>
      <c r="AJ210" s="125"/>
      <c r="AK210" s="237" t="e">
        <f>SUM(#REF!,BT210,BV210)</f>
        <v>#REF!</v>
      </c>
      <c r="AL210" s="179" t="s">
        <v>1196</v>
      </c>
      <c r="AM210" s="165" t="s">
        <v>1188</v>
      </c>
      <c r="AN210" s="165" t="s">
        <v>6</v>
      </c>
      <c r="AO210" s="165" t="s">
        <v>602</v>
      </c>
      <c r="AP210" s="165" t="s">
        <v>602</v>
      </c>
      <c r="AQ210" s="165" t="s">
        <v>602</v>
      </c>
      <c r="AR210" s="57"/>
      <c r="AS210" s="56">
        <v>0</v>
      </c>
      <c r="AT210" s="56">
        <v>57.345440000000004</v>
      </c>
      <c r="AU210" s="56">
        <v>160</v>
      </c>
      <c r="AV210" s="47">
        <v>361.22300000000001</v>
      </c>
      <c r="AW210" s="47"/>
      <c r="AX210" s="97">
        <f t="shared" si="85"/>
        <v>361.22300000000001</v>
      </c>
      <c r="AY210" s="169">
        <f t="shared" si="98"/>
        <v>290.58576999999997</v>
      </c>
      <c r="AZ210" s="196">
        <v>0</v>
      </c>
      <c r="BA210" s="170">
        <v>0</v>
      </c>
      <c r="BB210" s="196">
        <v>0</v>
      </c>
      <c r="BC210" s="170"/>
      <c r="BD210" s="196">
        <v>0</v>
      </c>
      <c r="BE210" s="170">
        <v>0</v>
      </c>
      <c r="BF210" s="196">
        <v>0</v>
      </c>
      <c r="BG210" s="170"/>
      <c r="BH210" s="196">
        <v>160</v>
      </c>
      <c r="BI210" s="170">
        <v>210.14293000000001</v>
      </c>
      <c r="BJ210" s="196">
        <v>70</v>
      </c>
      <c r="BK210" s="170">
        <v>76.72453999999999</v>
      </c>
      <c r="BL210" s="197"/>
      <c r="BM210" s="170">
        <v>-0.10787999999999999</v>
      </c>
      <c r="BN210" s="197">
        <v>7.5</v>
      </c>
      <c r="BO210" s="170">
        <v>1.08212</v>
      </c>
      <c r="BP210" s="196">
        <v>7.5</v>
      </c>
      <c r="BQ210" s="170">
        <v>2.7440600000000002</v>
      </c>
      <c r="BR210" s="196">
        <f>4.9-0.2</f>
        <v>4.7</v>
      </c>
      <c r="BS210" s="170"/>
      <c r="BT210" s="196"/>
      <c r="BU210" s="170"/>
      <c r="BV210" s="196"/>
      <c r="BW210" s="251"/>
      <c r="BX210" s="254"/>
      <c r="BY210" s="88">
        <f t="shared" si="99"/>
        <v>0</v>
      </c>
      <c r="BZ210" s="259"/>
      <c r="CA210" s="259"/>
      <c r="CB210" s="259"/>
      <c r="CC210" s="259"/>
      <c r="CD210" s="259"/>
      <c r="CE210" s="259"/>
      <c r="CF210" s="259"/>
      <c r="CG210" s="259"/>
      <c r="CH210" s="259"/>
      <c r="CI210" s="259"/>
      <c r="CJ210" s="259"/>
      <c r="CK210" s="259"/>
      <c r="CL210" s="211">
        <f t="shared" si="89"/>
        <v>0</v>
      </c>
      <c r="CM210" s="213"/>
      <c r="CN210" s="213"/>
      <c r="CO210" s="213"/>
      <c r="CP210" s="213"/>
      <c r="CQ210" s="213"/>
      <c r="CR210" s="213"/>
      <c r="CS210" s="213"/>
      <c r="CT210" s="213"/>
      <c r="CU210" s="213"/>
      <c r="CV210" s="213"/>
      <c r="CW210" s="213"/>
      <c r="CX210" s="213"/>
      <c r="CY210" s="216">
        <f t="shared" si="86"/>
        <v>0</v>
      </c>
      <c r="CZ210" s="185">
        <f t="shared" si="100"/>
        <v>0</v>
      </c>
      <c r="DA210" s="217">
        <f t="shared" si="87"/>
        <v>290.58576999999997</v>
      </c>
      <c r="DB210" s="217">
        <f t="shared" si="88"/>
        <v>0</v>
      </c>
      <c r="DC210" s="217">
        <f t="shared" si="90"/>
        <v>290.58576999999997</v>
      </c>
      <c r="DD210" s="256">
        <v>290.58576999999997</v>
      </c>
      <c r="DE210" s="217">
        <f t="shared" si="91"/>
        <v>0</v>
      </c>
      <c r="DF210" s="185" t="e">
        <f>SUM(DN210:DO210)-SUM(#REF!,BV210)+BU210</f>
        <v>#REF!</v>
      </c>
      <c r="DG210" s="223"/>
      <c r="DH210" s="241">
        <f t="shared" si="92"/>
        <v>0</v>
      </c>
      <c r="DI210" s="241">
        <f t="shared" si="93"/>
        <v>286.86747000000003</v>
      </c>
      <c r="DJ210" s="241">
        <f t="shared" si="94"/>
        <v>3.7183000000000002</v>
      </c>
      <c r="DK210" s="241" t="e">
        <f>SUM(BS210,#REF!,BV210)</f>
        <v>#REF!</v>
      </c>
      <c r="DL210" s="155">
        <v>361.22300000000001</v>
      </c>
      <c r="DM210" s="155">
        <v>347.93121000000002</v>
      </c>
      <c r="DN210" s="155">
        <v>8.0744399999999992</v>
      </c>
      <c r="DO210" s="155">
        <v>0</v>
      </c>
      <c r="DP210" s="155">
        <v>356.00565</v>
      </c>
      <c r="DQ210" s="155">
        <v>5.2173500000000006</v>
      </c>
      <c r="DR210" s="23">
        <f>VLOOKUP(C210,[6]Database!$B$143:$AD$521,29,FALSE)</f>
        <v>0</v>
      </c>
      <c r="DS210" s="235">
        <f t="shared" si="95"/>
        <v>0</v>
      </c>
    </row>
    <row r="211" spans="1:123" s="23" customFormat="1" ht="24" customHeight="1">
      <c r="A211" s="18"/>
      <c r="B211" s="2">
        <v>174</v>
      </c>
      <c r="C211" s="86" t="s">
        <v>553</v>
      </c>
      <c r="D211" s="86"/>
      <c r="E211" s="85" t="s">
        <v>874</v>
      </c>
      <c r="F211" s="41">
        <v>2020</v>
      </c>
      <c r="G211" s="42">
        <v>44044</v>
      </c>
      <c r="H211" s="192">
        <v>44075</v>
      </c>
      <c r="I211" s="42"/>
      <c r="J211" s="15">
        <f t="shared" ca="1" si="84"/>
        <v>-1225.4066194444458</v>
      </c>
      <c r="K211" s="177">
        <f t="shared" si="96"/>
        <v>44622</v>
      </c>
      <c r="L211" s="177">
        <f t="shared" si="97"/>
        <v>44805</v>
      </c>
      <c r="M211" s="177"/>
      <c r="N211" s="183"/>
      <c r="O211" s="183"/>
      <c r="P211" s="183"/>
      <c r="Q211" s="183"/>
      <c r="R211" s="41" t="s">
        <v>176</v>
      </c>
      <c r="S211" s="13" t="s">
        <v>5</v>
      </c>
      <c r="T211" s="41" t="s">
        <v>952</v>
      </c>
      <c r="U211" s="5" t="s">
        <v>9</v>
      </c>
      <c r="V211" s="268">
        <v>3101444</v>
      </c>
      <c r="W211" s="5" t="s">
        <v>614</v>
      </c>
      <c r="X211" s="5" t="s">
        <v>480</v>
      </c>
      <c r="Y211" s="5" t="s">
        <v>552</v>
      </c>
      <c r="Z211" s="85" t="s">
        <v>186</v>
      </c>
      <c r="AA211" s="45" t="s">
        <v>195</v>
      </c>
      <c r="AB211" s="152" t="s">
        <v>1232</v>
      </c>
      <c r="AC211" s="177" t="s">
        <v>6</v>
      </c>
      <c r="AD211" s="177">
        <v>44561</v>
      </c>
      <c r="AE211" s="177">
        <f>IFERROR(EOMONTH(L211,-2),"")</f>
        <v>44773</v>
      </c>
      <c r="AF211" s="5"/>
      <c r="AG211" s="43"/>
      <c r="AH211" s="228"/>
      <c r="AI211" s="125"/>
      <c r="AJ211" s="125"/>
      <c r="AK211" s="237" t="e">
        <f>SUM(#REF!,BT211,BV211)</f>
        <v>#REF!</v>
      </c>
      <c r="AL211" s="165"/>
      <c r="AM211" s="165"/>
      <c r="AN211" s="165"/>
      <c r="AO211" s="165"/>
      <c r="AP211" s="165"/>
      <c r="AQ211" s="165"/>
      <c r="AR211" s="57"/>
      <c r="AS211" s="56">
        <v>0</v>
      </c>
      <c r="AT211" s="56">
        <v>44.515609999999995</v>
      </c>
      <c r="AU211" s="56">
        <v>2.2372400000000003</v>
      </c>
      <c r="AV211" s="47">
        <v>53.661000000000001</v>
      </c>
      <c r="AW211" s="47"/>
      <c r="AX211" s="97">
        <f t="shared" si="85"/>
        <v>53.661000000000001</v>
      </c>
      <c r="AY211" s="169">
        <f t="shared" si="98"/>
        <v>5.492700000000001</v>
      </c>
      <c r="AZ211" s="196">
        <v>0</v>
      </c>
      <c r="BA211" s="170">
        <v>2.2372400000000003</v>
      </c>
      <c r="BB211" s="196">
        <v>0</v>
      </c>
      <c r="BC211" s="170"/>
      <c r="BD211" s="196">
        <v>4</v>
      </c>
      <c r="BE211" s="170">
        <v>3.2554600000000002</v>
      </c>
      <c r="BF211" s="196">
        <v>0</v>
      </c>
      <c r="BG211" s="170"/>
      <c r="BH211" s="196">
        <v>0</v>
      </c>
      <c r="BI211" s="170"/>
      <c r="BJ211" s="196">
        <v>0</v>
      </c>
      <c r="BK211" s="170"/>
      <c r="BL211" s="197"/>
      <c r="BM211" s="170"/>
      <c r="BN211" s="197"/>
      <c r="BO211" s="170"/>
      <c r="BP211" s="196"/>
      <c r="BQ211" s="170"/>
      <c r="BR211" s="196"/>
      <c r="BS211" s="170"/>
      <c r="BT211" s="196"/>
      <c r="BU211" s="170"/>
      <c r="BV211" s="196"/>
      <c r="BW211" s="251"/>
      <c r="BX211" s="254"/>
      <c r="BY211" s="88">
        <f t="shared" si="99"/>
        <v>0</v>
      </c>
      <c r="BZ211" s="259"/>
      <c r="CA211" s="259"/>
      <c r="CB211" s="259"/>
      <c r="CC211" s="259"/>
      <c r="CD211" s="259"/>
      <c r="CE211" s="259"/>
      <c r="CF211" s="259"/>
      <c r="CG211" s="259"/>
      <c r="CH211" s="259"/>
      <c r="CI211" s="259"/>
      <c r="CJ211" s="259"/>
      <c r="CK211" s="259"/>
      <c r="CL211" s="211">
        <f t="shared" si="89"/>
        <v>0</v>
      </c>
      <c r="CM211" s="213"/>
      <c r="CN211" s="213"/>
      <c r="CO211" s="213"/>
      <c r="CP211" s="213"/>
      <c r="CQ211" s="213"/>
      <c r="CR211" s="213"/>
      <c r="CS211" s="213"/>
      <c r="CT211" s="213"/>
      <c r="CU211" s="213"/>
      <c r="CV211" s="213"/>
      <c r="CW211" s="213"/>
      <c r="CX211" s="213"/>
      <c r="CY211" s="216">
        <f t="shared" si="86"/>
        <v>0</v>
      </c>
      <c r="CZ211" s="185">
        <f t="shared" si="100"/>
        <v>0</v>
      </c>
      <c r="DA211" s="217">
        <f t="shared" si="87"/>
        <v>5.492700000000001</v>
      </c>
      <c r="DB211" s="217">
        <f t="shared" si="88"/>
        <v>0</v>
      </c>
      <c r="DC211" s="217">
        <f t="shared" si="90"/>
        <v>5.492700000000001</v>
      </c>
      <c r="DD211" s="256">
        <v>5.492700000000001</v>
      </c>
      <c r="DE211" s="217">
        <f t="shared" si="91"/>
        <v>0</v>
      </c>
      <c r="DF211" s="185" t="e">
        <f>SUM(DN211:DO211)-SUM(#REF!,BV211)+BU211</f>
        <v>#REF!</v>
      </c>
      <c r="DG211" s="223"/>
      <c r="DH211" s="241">
        <f t="shared" si="92"/>
        <v>5.492700000000001</v>
      </c>
      <c r="DI211" s="241">
        <f t="shared" si="93"/>
        <v>0</v>
      </c>
      <c r="DJ211" s="241">
        <f t="shared" si="94"/>
        <v>0</v>
      </c>
      <c r="DK211" s="241" t="e">
        <f>SUM(BS211,#REF!,BV211)</f>
        <v>#REF!</v>
      </c>
      <c r="DL211" s="155">
        <v>53.960999999999999</v>
      </c>
      <c r="DM211" s="155">
        <v>50.008309999999994</v>
      </c>
      <c r="DN211" s="155">
        <v>0</v>
      </c>
      <c r="DO211" s="155">
        <v>0</v>
      </c>
      <c r="DP211" s="155">
        <v>50.008309999999994</v>
      </c>
      <c r="DQ211" s="155">
        <v>3.95269</v>
      </c>
      <c r="DR211" s="23">
        <f>VLOOKUP(C211,[6]Database!$B$143:$AD$521,29,FALSE)</f>
        <v>0</v>
      </c>
      <c r="DS211" s="235">
        <f t="shared" si="95"/>
        <v>0</v>
      </c>
    </row>
    <row r="212" spans="1:123" s="23" customFormat="1" ht="24" customHeight="1">
      <c r="A212" s="18"/>
      <c r="B212" s="2">
        <v>176</v>
      </c>
      <c r="C212" s="86" t="s">
        <v>549</v>
      </c>
      <c r="D212" s="86"/>
      <c r="E212" s="85"/>
      <c r="F212" s="41">
        <v>2020</v>
      </c>
      <c r="G212" s="42">
        <v>44044</v>
      </c>
      <c r="H212" s="192">
        <v>44076</v>
      </c>
      <c r="I212" s="42"/>
      <c r="J212" s="15">
        <f t="shared" ca="1" si="84"/>
        <v>-1224.4066194444458</v>
      </c>
      <c r="K212" s="177">
        <f t="shared" si="96"/>
        <v>44623</v>
      </c>
      <c r="L212" s="177">
        <f t="shared" si="97"/>
        <v>44806</v>
      </c>
      <c r="M212" s="177"/>
      <c r="N212" s="183" t="s">
        <v>609</v>
      </c>
      <c r="O212" s="183"/>
      <c r="P212" s="276" t="s">
        <v>1394</v>
      </c>
      <c r="Q212" s="183"/>
      <c r="R212" s="41" t="s">
        <v>176</v>
      </c>
      <c r="S212" s="13" t="s">
        <v>222</v>
      </c>
      <c r="T212" s="41" t="s">
        <v>979</v>
      </c>
      <c r="U212" s="5" t="s">
        <v>9</v>
      </c>
      <c r="V212" s="268">
        <v>3102230</v>
      </c>
      <c r="W212" s="5" t="s">
        <v>614</v>
      </c>
      <c r="X212" s="5" t="s">
        <v>475</v>
      </c>
      <c r="Y212" s="5" t="s">
        <v>548</v>
      </c>
      <c r="Z212" s="3" t="s">
        <v>187</v>
      </c>
      <c r="AA212" s="45" t="s">
        <v>463</v>
      </c>
      <c r="AB212" s="152" t="s">
        <v>1464</v>
      </c>
      <c r="AC212" s="177">
        <v>44620</v>
      </c>
      <c r="AD212" s="177">
        <v>44651</v>
      </c>
      <c r="AE212" s="177">
        <f>IFERROR(EOMONTH(L212,-2),"")</f>
        <v>44773</v>
      </c>
      <c r="AF212" s="5"/>
      <c r="AG212" s="43"/>
      <c r="AH212" s="228"/>
      <c r="AI212" s="125"/>
      <c r="AJ212" s="83"/>
      <c r="AK212" s="237" t="e">
        <f>SUM(#REF!,BT212,BV212)</f>
        <v>#REF!</v>
      </c>
      <c r="AL212" s="165"/>
      <c r="AM212" s="165"/>
      <c r="AN212" s="165"/>
      <c r="AO212" s="165"/>
      <c r="AP212" s="165"/>
      <c r="AQ212" s="165"/>
      <c r="AR212" s="57"/>
      <c r="AS212" s="56">
        <v>0</v>
      </c>
      <c r="AT212" s="56">
        <v>149.07972999999998</v>
      </c>
      <c r="AU212" s="56">
        <v>274.27812</v>
      </c>
      <c r="AV212" s="47">
        <v>420.88981999999999</v>
      </c>
      <c r="AW212" s="47">
        <v>15</v>
      </c>
      <c r="AX212" s="97">
        <f t="shared" si="85"/>
        <v>435.88981999999999</v>
      </c>
      <c r="AY212" s="169">
        <f t="shared" si="98"/>
        <v>135.59897999999998</v>
      </c>
      <c r="AZ212" s="196">
        <v>0</v>
      </c>
      <c r="BA212" s="170">
        <v>0.27811999999999987</v>
      </c>
      <c r="BB212" s="196">
        <v>0</v>
      </c>
      <c r="BC212" s="170">
        <v>4.3416300000000003</v>
      </c>
      <c r="BD212" s="196">
        <v>5.5</v>
      </c>
      <c r="BE212" s="170">
        <v>83.190189999999987</v>
      </c>
      <c r="BF212" s="196">
        <v>0</v>
      </c>
      <c r="BG212" s="170">
        <v>1.9690600000000003</v>
      </c>
      <c r="BH212" s="196">
        <v>4</v>
      </c>
      <c r="BI212" s="170">
        <v>5.22525</v>
      </c>
      <c r="BJ212" s="196">
        <v>0</v>
      </c>
      <c r="BK212" s="170">
        <v>0.40783999999999998</v>
      </c>
      <c r="BL212" s="197"/>
      <c r="BM212" s="170">
        <v>3.9673800000000004</v>
      </c>
      <c r="BN212" s="197"/>
      <c r="BO212" s="170">
        <v>1.42066</v>
      </c>
      <c r="BP212" s="196"/>
      <c r="BQ212" s="170">
        <v>2.96333</v>
      </c>
      <c r="BR212" s="196"/>
      <c r="BS212" s="170"/>
      <c r="BT212" s="196"/>
      <c r="BU212" s="170"/>
      <c r="BV212" s="196">
        <v>34.5</v>
      </c>
      <c r="BW212" s="251">
        <v>31.835519999999999</v>
      </c>
      <c r="BX212" s="254">
        <v>31.835519999999999</v>
      </c>
      <c r="BY212" s="88">
        <f t="shared" si="99"/>
        <v>1.83551</v>
      </c>
      <c r="BZ212" s="259">
        <v>1.83551</v>
      </c>
      <c r="CA212" s="259"/>
      <c r="CB212" s="259"/>
      <c r="CC212" s="259"/>
      <c r="CD212" s="259"/>
      <c r="CE212" s="259"/>
      <c r="CF212" s="259"/>
      <c r="CG212" s="259"/>
      <c r="CH212" s="259"/>
      <c r="CI212" s="259"/>
      <c r="CJ212" s="259"/>
      <c r="CK212" s="259"/>
      <c r="CL212" s="211">
        <f t="shared" si="89"/>
        <v>0</v>
      </c>
      <c r="CM212" s="213"/>
      <c r="CN212" s="213"/>
      <c r="CO212" s="213"/>
      <c r="CP212" s="213"/>
      <c r="CQ212" s="213"/>
      <c r="CR212" s="213"/>
      <c r="CS212" s="213"/>
      <c r="CT212" s="213"/>
      <c r="CU212" s="213"/>
      <c r="CV212" s="213"/>
      <c r="CW212" s="213"/>
      <c r="CX212" s="213"/>
      <c r="CY212" s="216">
        <f t="shared" si="86"/>
        <v>2.6644800000000011</v>
      </c>
      <c r="CZ212" s="185">
        <f t="shared" si="100"/>
        <v>0</v>
      </c>
      <c r="DA212" s="217">
        <f t="shared" si="87"/>
        <v>103.76345999999998</v>
      </c>
      <c r="DB212" s="217">
        <f t="shared" si="88"/>
        <v>31.835519999999999</v>
      </c>
      <c r="DC212" s="217">
        <f t="shared" si="90"/>
        <v>137.43448999999998</v>
      </c>
      <c r="DD212" s="256">
        <v>171.76345999999998</v>
      </c>
      <c r="DE212" s="217">
        <f t="shared" si="91"/>
        <v>-34.328969999999998</v>
      </c>
      <c r="DF212" s="185" t="e">
        <f>SUM(DN212:DO212)-SUM(#REF!,BV212)+BU212</f>
        <v>#REF!</v>
      </c>
      <c r="DG212" s="223"/>
      <c r="DH212" s="241">
        <f t="shared" si="92"/>
        <v>87.809939999999983</v>
      </c>
      <c r="DI212" s="241">
        <f t="shared" si="93"/>
        <v>7.60215</v>
      </c>
      <c r="DJ212" s="241">
        <f t="shared" si="94"/>
        <v>8.3513699999999993</v>
      </c>
      <c r="DK212" s="241" t="e">
        <f>SUM(BS212,#REF!,BV212)</f>
        <v>#REF!</v>
      </c>
      <c r="DL212" s="155">
        <v>420.88981999999999</v>
      </c>
      <c r="DM212" s="155">
        <v>284.67871000000002</v>
      </c>
      <c r="DN212" s="155">
        <v>1.83551</v>
      </c>
      <c r="DO212" s="155">
        <v>0</v>
      </c>
      <c r="DP212" s="155">
        <v>286.51421999999997</v>
      </c>
      <c r="DQ212" s="155">
        <v>134.37560000000002</v>
      </c>
      <c r="DR212" s="23">
        <f>VLOOKUP(C212,[6]Database!$B$143:$AD$521,29,FALSE)</f>
        <v>0</v>
      </c>
      <c r="DS212" s="235">
        <f t="shared" si="95"/>
        <v>1.83551</v>
      </c>
    </row>
    <row r="213" spans="1:123" s="23" customFormat="1" ht="24" customHeight="1">
      <c r="A213" s="18"/>
      <c r="B213" s="2">
        <v>177</v>
      </c>
      <c r="C213" s="86" t="s">
        <v>560</v>
      </c>
      <c r="D213" s="86"/>
      <c r="E213" s="85"/>
      <c r="F213" s="41">
        <v>2020</v>
      </c>
      <c r="G213" s="42">
        <v>44044</v>
      </c>
      <c r="H213" s="192">
        <v>44075</v>
      </c>
      <c r="I213" s="42">
        <v>44348</v>
      </c>
      <c r="J213" s="15">
        <f t="shared" ca="1" si="84"/>
        <v>273</v>
      </c>
      <c r="K213" s="177">
        <f t="shared" si="96"/>
        <v>44622</v>
      </c>
      <c r="L213" s="177">
        <f t="shared" si="97"/>
        <v>44805</v>
      </c>
      <c r="M213" s="177"/>
      <c r="N213" s="183"/>
      <c r="O213" s="183"/>
      <c r="P213" s="177"/>
      <c r="Q213" s="183"/>
      <c r="R213" s="41" t="s">
        <v>176</v>
      </c>
      <c r="S213" s="13" t="s">
        <v>982</v>
      </c>
      <c r="T213" s="41" t="s">
        <v>953</v>
      </c>
      <c r="U213" s="5" t="s">
        <v>9</v>
      </c>
      <c r="V213" s="268">
        <v>3113964</v>
      </c>
      <c r="W213" s="5" t="s">
        <v>614</v>
      </c>
      <c r="X213" s="5" t="s">
        <v>479</v>
      </c>
      <c r="Y213" s="5" t="s">
        <v>559</v>
      </c>
      <c r="Z213" s="3" t="s">
        <v>181</v>
      </c>
      <c r="AA213" s="45" t="s">
        <v>218</v>
      </c>
      <c r="AB213" s="152" t="s">
        <v>197</v>
      </c>
      <c r="AC213" s="177" t="s">
        <v>6</v>
      </c>
      <c r="AD213" s="177" t="s">
        <v>6</v>
      </c>
      <c r="AE213" s="177" t="s">
        <v>6</v>
      </c>
      <c r="AF213" s="5" t="s">
        <v>1133</v>
      </c>
      <c r="AG213" s="43"/>
      <c r="AH213" s="228">
        <v>9.8900000000000002E-2</v>
      </c>
      <c r="AI213" s="125"/>
      <c r="AJ213" s="125"/>
      <c r="AK213" s="237" t="e">
        <f>SUM(#REF!,BT213,BV213)</f>
        <v>#REF!</v>
      </c>
      <c r="AL213" s="165"/>
      <c r="AM213" s="165"/>
      <c r="AN213" s="165"/>
      <c r="AO213" s="165"/>
      <c r="AP213" s="165"/>
      <c r="AQ213" s="165"/>
      <c r="AR213" s="57"/>
      <c r="AS213" s="56">
        <v>0</v>
      </c>
      <c r="AT213" s="56">
        <v>54.152609999999996</v>
      </c>
      <c r="AU213" s="56">
        <v>10.9</v>
      </c>
      <c r="AV213" s="47">
        <v>65.72</v>
      </c>
      <c r="AW213" s="47"/>
      <c r="AX213" s="97">
        <f t="shared" si="85"/>
        <v>65.72</v>
      </c>
      <c r="AY213" s="169">
        <f t="shared" si="98"/>
        <v>10.406239999999999</v>
      </c>
      <c r="AZ213" s="196">
        <v>3</v>
      </c>
      <c r="BA213" s="170">
        <v>0</v>
      </c>
      <c r="BB213" s="196">
        <v>4.9000000000000004</v>
      </c>
      <c r="BC213" s="170">
        <v>3.56569</v>
      </c>
      <c r="BD213" s="196">
        <v>6</v>
      </c>
      <c r="BE213" s="170">
        <v>7.3191800000000002</v>
      </c>
      <c r="BF213" s="196">
        <v>0</v>
      </c>
      <c r="BG213" s="170">
        <v>-2.5725000000000002</v>
      </c>
      <c r="BH213" s="196">
        <v>2</v>
      </c>
      <c r="BI213" s="170">
        <v>2.1075599999999999</v>
      </c>
      <c r="BJ213" s="196">
        <v>0</v>
      </c>
      <c r="BK213" s="170">
        <v>-1.3689999999999999E-2</v>
      </c>
      <c r="BL213" s="197"/>
      <c r="BM213" s="170"/>
      <c r="BN213" s="197"/>
      <c r="BO213" s="170"/>
      <c r="BP213" s="196"/>
      <c r="BQ213" s="170"/>
      <c r="BR213" s="196"/>
      <c r="BS213" s="170"/>
      <c r="BT213" s="196"/>
      <c r="BU213" s="170"/>
      <c r="BV213" s="196"/>
      <c r="BW213" s="251"/>
      <c r="BX213" s="254"/>
      <c r="BY213" s="88">
        <f t="shared" si="99"/>
        <v>0</v>
      </c>
      <c r="BZ213" s="259"/>
      <c r="CA213" s="259"/>
      <c r="CB213" s="259"/>
      <c r="CC213" s="259"/>
      <c r="CD213" s="259"/>
      <c r="CE213" s="259"/>
      <c r="CF213" s="259"/>
      <c r="CG213" s="259"/>
      <c r="CH213" s="259"/>
      <c r="CI213" s="259"/>
      <c r="CJ213" s="259"/>
      <c r="CK213" s="259"/>
      <c r="CL213" s="211">
        <f t="shared" si="89"/>
        <v>0</v>
      </c>
      <c r="CM213" s="213"/>
      <c r="CN213" s="213"/>
      <c r="CO213" s="213"/>
      <c r="CP213" s="213"/>
      <c r="CQ213" s="213"/>
      <c r="CR213" s="213"/>
      <c r="CS213" s="213"/>
      <c r="CT213" s="213"/>
      <c r="CU213" s="213"/>
      <c r="CV213" s="213"/>
      <c r="CW213" s="213"/>
      <c r="CX213" s="213"/>
      <c r="CY213" s="216">
        <f t="shared" si="86"/>
        <v>0</v>
      </c>
      <c r="CZ213" s="185">
        <f t="shared" si="100"/>
        <v>0</v>
      </c>
      <c r="DA213" s="217">
        <f t="shared" si="87"/>
        <v>10.406239999999999</v>
      </c>
      <c r="DB213" s="217">
        <f t="shared" si="88"/>
        <v>0</v>
      </c>
      <c r="DC213" s="217">
        <f t="shared" si="90"/>
        <v>10.406239999999999</v>
      </c>
      <c r="DD213" s="256">
        <v>10.406239999999999</v>
      </c>
      <c r="DE213" s="217">
        <f t="shared" si="91"/>
        <v>0</v>
      </c>
      <c r="DF213" s="185" t="e">
        <f>SUM(DN213:DO213)-SUM(#REF!,BV213)+BU213</f>
        <v>#REF!</v>
      </c>
      <c r="DG213" s="223"/>
      <c r="DH213" s="241">
        <f t="shared" si="92"/>
        <v>10.884869999999999</v>
      </c>
      <c r="DI213" s="241">
        <f t="shared" si="93"/>
        <v>-0.47863000000000033</v>
      </c>
      <c r="DJ213" s="241">
        <f t="shared" si="94"/>
        <v>0</v>
      </c>
      <c r="DK213" s="241" t="e">
        <f>SUM(BS213,#REF!,BV213)</f>
        <v>#REF!</v>
      </c>
      <c r="DL213" s="155">
        <v>65.72</v>
      </c>
      <c r="DM213" s="155">
        <v>64.558849999999993</v>
      </c>
      <c r="DN213" s="155">
        <v>0</v>
      </c>
      <c r="DO213" s="155">
        <v>0</v>
      </c>
      <c r="DP213" s="155">
        <v>64.558849999999993</v>
      </c>
      <c r="DQ213" s="155">
        <v>1.1611500000000001</v>
      </c>
      <c r="DR213" s="23">
        <f>VLOOKUP(C213,[6]Database!$B$143:$AD$521,29,FALSE)</f>
        <v>0</v>
      </c>
      <c r="DS213" s="235">
        <f t="shared" si="95"/>
        <v>0</v>
      </c>
    </row>
    <row r="214" spans="1:123" s="23" customFormat="1" ht="24" customHeight="1">
      <c r="A214" s="18"/>
      <c r="B214" s="2">
        <v>178</v>
      </c>
      <c r="C214" s="86" t="s">
        <v>558</v>
      </c>
      <c r="D214" s="86"/>
      <c r="E214" s="85"/>
      <c r="F214" s="41">
        <v>2020</v>
      </c>
      <c r="G214" s="42">
        <v>44044</v>
      </c>
      <c r="H214" s="192">
        <v>44105</v>
      </c>
      <c r="I214" s="42">
        <v>44407</v>
      </c>
      <c r="J214" s="15">
        <f t="shared" ca="1" si="84"/>
        <v>302</v>
      </c>
      <c r="K214" s="177">
        <f t="shared" si="96"/>
        <v>44652</v>
      </c>
      <c r="L214" s="177">
        <f t="shared" si="97"/>
        <v>44835</v>
      </c>
      <c r="M214" s="177"/>
      <c r="N214" s="183"/>
      <c r="O214" s="183"/>
      <c r="P214" s="183"/>
      <c r="Q214" s="183"/>
      <c r="R214" s="41" t="s">
        <v>179</v>
      </c>
      <c r="S214" s="13"/>
      <c r="T214" s="41"/>
      <c r="U214" s="5" t="s">
        <v>9</v>
      </c>
      <c r="V214" s="268">
        <v>3114682</v>
      </c>
      <c r="W214" s="5" t="s">
        <v>614</v>
      </c>
      <c r="X214" s="5" t="s">
        <v>481</v>
      </c>
      <c r="Y214" s="5" t="s">
        <v>563</v>
      </c>
      <c r="Z214" s="3" t="s">
        <v>188</v>
      </c>
      <c r="AA214" s="45" t="s">
        <v>195</v>
      </c>
      <c r="AB214" s="257" t="s">
        <v>1108</v>
      </c>
      <c r="AC214" s="177" t="s">
        <v>6</v>
      </c>
      <c r="AD214" s="177">
        <v>44347</v>
      </c>
      <c r="AE214" s="177" t="s">
        <v>6</v>
      </c>
      <c r="AF214" s="5"/>
      <c r="AG214" s="43"/>
      <c r="AH214" s="228"/>
      <c r="AI214" s="125"/>
      <c r="AJ214" s="125"/>
      <c r="AK214" s="237" t="e">
        <f>SUM(#REF!,BT214,BV214)</f>
        <v>#REF!</v>
      </c>
      <c r="AL214" s="179"/>
      <c r="AM214" s="179"/>
      <c r="AN214" s="179"/>
      <c r="AO214" s="179"/>
      <c r="AP214" s="179"/>
      <c r="AQ214" s="179"/>
      <c r="AR214" s="57"/>
      <c r="AS214" s="56">
        <v>0</v>
      </c>
      <c r="AT214" s="56">
        <v>36.605919999999998</v>
      </c>
      <c r="AU214" s="56">
        <v>1.0839000000000001</v>
      </c>
      <c r="AV214" s="47">
        <v>44.95</v>
      </c>
      <c r="AW214" s="47"/>
      <c r="AX214" s="97">
        <f t="shared" si="85"/>
        <v>44.95</v>
      </c>
      <c r="AY214" s="169">
        <f t="shared" si="98"/>
        <v>1.9303299999999999</v>
      </c>
      <c r="AZ214" s="196">
        <v>0</v>
      </c>
      <c r="BA214" s="170">
        <v>-0.91609999999999991</v>
      </c>
      <c r="BB214" s="196">
        <v>0</v>
      </c>
      <c r="BC214" s="170">
        <v>1.3600399999999999</v>
      </c>
      <c r="BD214" s="196">
        <v>0.2</v>
      </c>
      <c r="BE214" s="170">
        <v>9.4959999999999989E-2</v>
      </c>
      <c r="BF214" s="196">
        <v>1</v>
      </c>
      <c r="BG214" s="170">
        <v>0.84175</v>
      </c>
      <c r="BH214" s="196">
        <v>0.5</v>
      </c>
      <c r="BI214" s="170">
        <v>0.36593999999999999</v>
      </c>
      <c r="BJ214" s="196">
        <v>0</v>
      </c>
      <c r="BK214" s="170">
        <v>0.18374000000000001</v>
      </c>
      <c r="BL214" s="197"/>
      <c r="BM214" s="170">
        <v>-5.6049999999999996E-2</v>
      </c>
      <c r="BN214" s="197"/>
      <c r="BO214" s="170">
        <v>5.6049999999999996E-2</v>
      </c>
      <c r="BP214" s="196"/>
      <c r="BQ214" s="170"/>
      <c r="BR214" s="196"/>
      <c r="BS214" s="170"/>
      <c r="BT214" s="196"/>
      <c r="BU214" s="170"/>
      <c r="BV214" s="196"/>
      <c r="BW214" s="251"/>
      <c r="BX214" s="254"/>
      <c r="BY214" s="88">
        <f t="shared" si="99"/>
        <v>0</v>
      </c>
      <c r="BZ214" s="259"/>
      <c r="CA214" s="259"/>
      <c r="CB214" s="259"/>
      <c r="CC214" s="259"/>
      <c r="CD214" s="259"/>
      <c r="CE214" s="259"/>
      <c r="CF214" s="259"/>
      <c r="CG214" s="259"/>
      <c r="CH214" s="259"/>
      <c r="CI214" s="259"/>
      <c r="CJ214" s="259"/>
      <c r="CK214" s="259"/>
      <c r="CL214" s="211">
        <f t="shared" si="89"/>
        <v>0</v>
      </c>
      <c r="CM214" s="213"/>
      <c r="CN214" s="213"/>
      <c r="CO214" s="213"/>
      <c r="CP214" s="213"/>
      <c r="CQ214" s="213"/>
      <c r="CR214" s="213"/>
      <c r="CS214" s="213"/>
      <c r="CT214" s="213"/>
      <c r="CU214" s="213"/>
      <c r="CV214" s="213"/>
      <c r="CW214" s="213"/>
      <c r="CX214" s="213"/>
      <c r="CY214" s="216">
        <f t="shared" si="86"/>
        <v>0</v>
      </c>
      <c r="CZ214" s="185">
        <f t="shared" si="100"/>
        <v>0</v>
      </c>
      <c r="DA214" s="217">
        <f t="shared" si="87"/>
        <v>1.9303299999999999</v>
      </c>
      <c r="DB214" s="217">
        <f t="shared" si="88"/>
        <v>0</v>
      </c>
      <c r="DC214" s="217">
        <f t="shared" si="90"/>
        <v>1.9303299999999999</v>
      </c>
      <c r="DD214" s="256">
        <v>1.9303299999999999</v>
      </c>
      <c r="DE214" s="217">
        <f t="shared" si="91"/>
        <v>0</v>
      </c>
      <c r="DF214" s="185" t="e">
        <f>SUM(DN214:DO214)-SUM(#REF!,BV214)+BU214</f>
        <v>#REF!</v>
      </c>
      <c r="DG214" s="223"/>
      <c r="DH214" s="241">
        <f t="shared" si="92"/>
        <v>0.53889999999999993</v>
      </c>
      <c r="DI214" s="241">
        <f t="shared" si="93"/>
        <v>1.3914299999999999</v>
      </c>
      <c r="DJ214" s="241">
        <f t="shared" si="94"/>
        <v>0</v>
      </c>
      <c r="DK214" s="241" t="e">
        <f>SUM(BS214,#REF!,BV214)</f>
        <v>#REF!</v>
      </c>
      <c r="DL214" s="155">
        <v>44.95</v>
      </c>
      <c r="DM214" s="155">
        <v>38.536250000000003</v>
      </c>
      <c r="DN214" s="155">
        <v>2.3510000000000003E-2</v>
      </c>
      <c r="DO214" s="155">
        <v>0</v>
      </c>
      <c r="DP214" s="155">
        <v>38.559760000000004</v>
      </c>
      <c r="DQ214" s="155">
        <v>6.3902399999999995</v>
      </c>
      <c r="DR214" s="23">
        <f>VLOOKUP(C214,[6]Database!$B$143:$AD$521,29,FALSE)</f>
        <v>0</v>
      </c>
      <c r="DS214" s="235">
        <f t="shared" si="95"/>
        <v>0</v>
      </c>
    </row>
    <row r="215" spans="1:123" s="23" customFormat="1" ht="24" customHeight="1">
      <c r="A215" s="18"/>
      <c r="B215" s="2">
        <v>179</v>
      </c>
      <c r="C215" s="86" t="s">
        <v>562</v>
      </c>
      <c r="D215" s="86"/>
      <c r="E215" s="85" t="s">
        <v>889</v>
      </c>
      <c r="F215" s="41">
        <v>2020</v>
      </c>
      <c r="G215" s="42">
        <v>44044</v>
      </c>
      <c r="H215" s="192">
        <v>44082</v>
      </c>
      <c r="I215" s="42">
        <v>44342</v>
      </c>
      <c r="J215" s="15">
        <f t="shared" ca="1" si="84"/>
        <v>260</v>
      </c>
      <c r="K215" s="177">
        <f t="shared" si="96"/>
        <v>44629</v>
      </c>
      <c r="L215" s="177">
        <f t="shared" si="97"/>
        <v>44812</v>
      </c>
      <c r="M215" s="177"/>
      <c r="N215" s="183"/>
      <c r="O215" s="177"/>
      <c r="P215" s="183"/>
      <c r="Q215" s="183"/>
      <c r="R215" s="41" t="s">
        <v>176</v>
      </c>
      <c r="S215" s="13" t="s">
        <v>5</v>
      </c>
      <c r="T215" s="41" t="s">
        <v>952</v>
      </c>
      <c r="U215" s="5" t="s">
        <v>9</v>
      </c>
      <c r="V215" s="268">
        <v>3145065</v>
      </c>
      <c r="W215" s="5" t="s">
        <v>614</v>
      </c>
      <c r="X215" s="5" t="s">
        <v>480</v>
      </c>
      <c r="Y215" s="5" t="s">
        <v>561</v>
      </c>
      <c r="Z215" s="3" t="s">
        <v>187</v>
      </c>
      <c r="AA215" s="45" t="s">
        <v>218</v>
      </c>
      <c r="AB215" s="152" t="s">
        <v>197</v>
      </c>
      <c r="AC215" s="177" t="s">
        <v>6</v>
      </c>
      <c r="AD215" s="177" t="s">
        <v>6</v>
      </c>
      <c r="AE215" s="177" t="s">
        <v>6</v>
      </c>
      <c r="AF215" s="5"/>
      <c r="AG215" s="43"/>
      <c r="AH215" s="228"/>
      <c r="AI215" s="125"/>
      <c r="AJ215" s="125"/>
      <c r="AK215" s="237" t="e">
        <f>SUM(#REF!,BT215,BV215)</f>
        <v>#REF!</v>
      </c>
      <c r="AL215" s="179"/>
      <c r="AM215" s="179"/>
      <c r="AN215" s="179"/>
      <c r="AO215" s="179"/>
      <c r="AP215" s="179"/>
      <c r="AQ215" s="179"/>
      <c r="AR215" s="57"/>
      <c r="AS215" s="56">
        <v>0</v>
      </c>
      <c r="AT215" s="56">
        <v>43.249250000000004</v>
      </c>
      <c r="AU215" s="56">
        <v>20.26003</v>
      </c>
      <c r="AV215" s="47">
        <v>71.727000000000004</v>
      </c>
      <c r="AW215" s="47"/>
      <c r="AX215" s="97">
        <f t="shared" si="85"/>
        <v>71.727000000000004</v>
      </c>
      <c r="AY215" s="169">
        <f t="shared" si="98"/>
        <v>27.988940000000003</v>
      </c>
      <c r="AZ215" s="196">
        <v>0</v>
      </c>
      <c r="BA215" s="170">
        <v>8.2600300000000004</v>
      </c>
      <c r="BB215" s="196">
        <v>12</v>
      </c>
      <c r="BC215" s="170">
        <v>9.5317800000000013</v>
      </c>
      <c r="BD215" s="196">
        <v>3</v>
      </c>
      <c r="BE215" s="170">
        <v>7.5096600000000002</v>
      </c>
      <c r="BF215" s="196">
        <v>0</v>
      </c>
      <c r="BG215" s="170">
        <v>1.2751300000000001</v>
      </c>
      <c r="BH215" s="196">
        <v>1</v>
      </c>
      <c r="BI215" s="170">
        <v>1.4123399999999999</v>
      </c>
      <c r="BJ215" s="196">
        <v>0</v>
      </c>
      <c r="BK215" s="170"/>
      <c r="BL215" s="197"/>
      <c r="BM215" s="170"/>
      <c r="BN215" s="197"/>
      <c r="BO215" s="170"/>
      <c r="BP215" s="196"/>
      <c r="BQ215" s="170"/>
      <c r="BR215" s="196"/>
      <c r="BS215" s="170"/>
      <c r="BT215" s="196"/>
      <c r="BU215" s="170"/>
      <c r="BV215" s="196"/>
      <c r="BW215" s="251"/>
      <c r="BX215" s="254"/>
      <c r="BY215" s="88">
        <f t="shared" si="99"/>
        <v>0</v>
      </c>
      <c r="BZ215" s="259"/>
      <c r="CA215" s="259"/>
      <c r="CB215" s="259"/>
      <c r="CC215" s="259"/>
      <c r="CD215" s="259"/>
      <c r="CE215" s="259"/>
      <c r="CF215" s="259"/>
      <c r="CG215" s="259"/>
      <c r="CH215" s="259"/>
      <c r="CI215" s="259"/>
      <c r="CJ215" s="259"/>
      <c r="CK215" s="259"/>
      <c r="CL215" s="211">
        <f t="shared" si="89"/>
        <v>0</v>
      </c>
      <c r="CM215" s="213"/>
      <c r="CN215" s="213"/>
      <c r="CO215" s="213"/>
      <c r="CP215" s="213"/>
      <c r="CQ215" s="213"/>
      <c r="CR215" s="213"/>
      <c r="CS215" s="213"/>
      <c r="CT215" s="213"/>
      <c r="CU215" s="213"/>
      <c r="CV215" s="213"/>
      <c r="CW215" s="213"/>
      <c r="CX215" s="213"/>
      <c r="CY215" s="216">
        <f t="shared" si="86"/>
        <v>0</v>
      </c>
      <c r="CZ215" s="185">
        <f t="shared" si="100"/>
        <v>0</v>
      </c>
      <c r="DA215" s="217">
        <f t="shared" si="87"/>
        <v>27.988940000000003</v>
      </c>
      <c r="DB215" s="217">
        <f t="shared" si="88"/>
        <v>0</v>
      </c>
      <c r="DC215" s="217">
        <f t="shared" si="90"/>
        <v>27.988940000000003</v>
      </c>
      <c r="DD215" s="256">
        <v>27.988940000000003</v>
      </c>
      <c r="DE215" s="217">
        <f t="shared" si="91"/>
        <v>0</v>
      </c>
      <c r="DF215" s="185" t="e">
        <f>SUM(DN215:DO215)-SUM(#REF!,BV215)+BU215</f>
        <v>#REF!</v>
      </c>
      <c r="DG215" s="223"/>
      <c r="DH215" s="241">
        <f t="shared" si="92"/>
        <v>25.301470000000002</v>
      </c>
      <c r="DI215" s="241">
        <f t="shared" si="93"/>
        <v>2.6874700000000002</v>
      </c>
      <c r="DJ215" s="241">
        <f t="shared" si="94"/>
        <v>0</v>
      </c>
      <c r="DK215" s="241" t="e">
        <f>SUM(BS215,#REF!,BV215)</f>
        <v>#REF!</v>
      </c>
      <c r="DL215" s="155">
        <v>71.727000000000004</v>
      </c>
      <c r="DM215" s="155">
        <v>71.238190000000003</v>
      </c>
      <c r="DN215" s="155">
        <v>0</v>
      </c>
      <c r="DO215" s="155">
        <v>0</v>
      </c>
      <c r="DP215" s="155">
        <v>71.238190000000003</v>
      </c>
      <c r="DQ215" s="155">
        <v>0.48881000000000002</v>
      </c>
      <c r="DR215" s="23">
        <f>VLOOKUP(C215,[6]Database!$B$143:$AD$521,29,FALSE)</f>
        <v>0</v>
      </c>
      <c r="DS215" s="235">
        <f t="shared" si="95"/>
        <v>0</v>
      </c>
    </row>
    <row r="216" spans="1:123" s="23" customFormat="1" ht="24" customHeight="1">
      <c r="A216" s="18"/>
      <c r="B216" s="2">
        <v>180</v>
      </c>
      <c r="C216" s="86" t="s">
        <v>590</v>
      </c>
      <c r="D216" s="86"/>
      <c r="E216" s="85" t="s">
        <v>875</v>
      </c>
      <c r="F216" s="41">
        <v>2020</v>
      </c>
      <c r="G216" s="42">
        <v>44075</v>
      </c>
      <c r="H216" s="192">
        <v>44112</v>
      </c>
      <c r="I216" s="42"/>
      <c r="J216" s="15">
        <f t="shared" ca="1" si="84"/>
        <v>-1187.4066194444458</v>
      </c>
      <c r="K216" s="177">
        <f t="shared" si="96"/>
        <v>44659</v>
      </c>
      <c r="L216" s="177">
        <f t="shared" si="97"/>
        <v>44842</v>
      </c>
      <c r="M216" s="177"/>
      <c r="N216" s="183"/>
      <c r="O216" s="177"/>
      <c r="P216" s="183"/>
      <c r="Q216" s="183"/>
      <c r="R216" s="41" t="s">
        <v>176</v>
      </c>
      <c r="S216" s="13" t="s">
        <v>985</v>
      </c>
      <c r="T216" s="41" t="s">
        <v>186</v>
      </c>
      <c r="U216" s="5" t="s">
        <v>9</v>
      </c>
      <c r="V216" s="268">
        <v>3178494</v>
      </c>
      <c r="W216" s="5" t="s">
        <v>614</v>
      </c>
      <c r="X216" s="5" t="s">
        <v>474</v>
      </c>
      <c r="Y216" s="5" t="s">
        <v>643</v>
      </c>
      <c r="Z216" s="85" t="s">
        <v>186</v>
      </c>
      <c r="AA216" s="45" t="s">
        <v>463</v>
      </c>
      <c r="AB216" s="163" t="s">
        <v>1348</v>
      </c>
      <c r="AC216" s="177">
        <v>44681</v>
      </c>
      <c r="AD216" s="177">
        <v>44681</v>
      </c>
      <c r="AE216" s="177">
        <f>IFERROR(EOMONTH(L216,-2),"")</f>
        <v>44804</v>
      </c>
      <c r="AF216" s="5" t="s">
        <v>1133</v>
      </c>
      <c r="AG216" s="5" t="s">
        <v>1170</v>
      </c>
      <c r="AH216" s="228">
        <v>9.9000000000000005E-2</v>
      </c>
      <c r="AI216" s="125"/>
      <c r="AJ216" s="125" t="s">
        <v>1309</v>
      </c>
      <c r="AK216" s="237" t="e">
        <f>SUM(#REF!,BT216,BV216)</f>
        <v>#REF!</v>
      </c>
      <c r="AL216" s="165" t="s">
        <v>1188</v>
      </c>
      <c r="AM216" s="165" t="s">
        <v>1188</v>
      </c>
      <c r="AN216" s="165" t="s">
        <v>1188</v>
      </c>
      <c r="AO216" s="165" t="s">
        <v>602</v>
      </c>
      <c r="AP216" s="165" t="s">
        <v>602</v>
      </c>
      <c r="AQ216" s="165" t="s">
        <v>602</v>
      </c>
      <c r="AR216" s="57">
        <v>0</v>
      </c>
      <c r="AS216" s="56">
        <v>0</v>
      </c>
      <c r="AT216" s="56">
        <v>255.36016999999998</v>
      </c>
      <c r="AU216" s="56">
        <v>96.782550000000001</v>
      </c>
      <c r="AV216" s="47">
        <v>391.93966999999998</v>
      </c>
      <c r="AW216" s="47"/>
      <c r="AX216" s="97">
        <f t="shared" si="85"/>
        <v>391.93966999999998</v>
      </c>
      <c r="AY216" s="169">
        <f t="shared" si="98"/>
        <v>125.74561</v>
      </c>
      <c r="AZ216" s="196">
        <v>5</v>
      </c>
      <c r="BA216" s="170">
        <v>27.782550000000001</v>
      </c>
      <c r="BB216" s="196">
        <v>4</v>
      </c>
      <c r="BC216" s="170">
        <v>2.1976200000000001</v>
      </c>
      <c r="BD216" s="196">
        <v>5</v>
      </c>
      <c r="BE216" s="170">
        <v>13.97437</v>
      </c>
      <c r="BF216" s="196">
        <v>2</v>
      </c>
      <c r="BG216" s="170">
        <v>14.56892</v>
      </c>
      <c r="BH216" s="196">
        <v>2</v>
      </c>
      <c r="BI216" s="170">
        <v>4.3026400000000002</v>
      </c>
      <c r="BJ216" s="196">
        <v>1</v>
      </c>
      <c r="BK216" s="170">
        <v>7.9261699999999999</v>
      </c>
      <c r="BL216" s="197">
        <v>5</v>
      </c>
      <c r="BM216" s="170">
        <v>6.2677700000000005</v>
      </c>
      <c r="BN216" s="197">
        <v>9</v>
      </c>
      <c r="BO216" s="170">
        <v>2.2142600000000003</v>
      </c>
      <c r="BP216" s="196">
        <v>12.6</v>
      </c>
      <c r="BQ216" s="170">
        <v>1.7562800000000001</v>
      </c>
      <c r="BR216" s="196">
        <v>10.7</v>
      </c>
      <c r="BS216" s="170"/>
      <c r="BT216" s="196">
        <v>10.7</v>
      </c>
      <c r="BU216" s="170">
        <v>25.137389999999996</v>
      </c>
      <c r="BV216" s="196">
        <v>15</v>
      </c>
      <c r="BW216" s="251">
        <v>19.617640000000002</v>
      </c>
      <c r="BX216" s="254">
        <v>19.617640000000002</v>
      </c>
      <c r="BY216" s="88">
        <f t="shared" si="99"/>
        <v>5.5000000000000009</v>
      </c>
      <c r="BZ216" s="259"/>
      <c r="CA216" s="259"/>
      <c r="CB216" s="259">
        <f>10-1.6-5</f>
        <v>3.4000000000000004</v>
      </c>
      <c r="CC216" s="259">
        <f>6.7-4.6</f>
        <v>2.1000000000000005</v>
      </c>
      <c r="CD216" s="259"/>
      <c r="CE216" s="259"/>
      <c r="CF216" s="259"/>
      <c r="CG216" s="259"/>
      <c r="CH216" s="259"/>
      <c r="CI216" s="259"/>
      <c r="CJ216" s="259"/>
      <c r="CK216" s="259"/>
      <c r="CL216" s="211">
        <f t="shared" si="89"/>
        <v>0</v>
      </c>
      <c r="CM216" s="213"/>
      <c r="CN216" s="213"/>
      <c r="CO216" s="213"/>
      <c r="CP216" s="213"/>
      <c r="CQ216" s="213"/>
      <c r="CR216" s="213"/>
      <c r="CS216" s="213"/>
      <c r="CT216" s="213"/>
      <c r="CU216" s="213"/>
      <c r="CV216" s="213"/>
      <c r="CW216" s="213"/>
      <c r="CX216" s="213"/>
      <c r="CY216" s="216">
        <f t="shared" si="86"/>
        <v>-4.6176400000000015</v>
      </c>
      <c r="CZ216" s="185">
        <f t="shared" si="100"/>
        <v>0</v>
      </c>
      <c r="DA216" s="217">
        <f t="shared" si="87"/>
        <v>106.12796999999999</v>
      </c>
      <c r="DB216" s="217">
        <f t="shared" si="88"/>
        <v>19.617640000000002</v>
      </c>
      <c r="DC216" s="217">
        <f t="shared" si="90"/>
        <v>131.24561</v>
      </c>
      <c r="DD216" s="256">
        <v>128.39058</v>
      </c>
      <c r="DE216" s="217">
        <f t="shared" si="91"/>
        <v>2.8550299999999993</v>
      </c>
      <c r="DF216" s="185" t="e">
        <f>SUM(DN216:DO216)-SUM(#REF!,BV216)+BU216</f>
        <v>#REF!</v>
      </c>
      <c r="DG216" s="223"/>
      <c r="DH216" s="241">
        <f t="shared" si="92"/>
        <v>43.954540000000001</v>
      </c>
      <c r="DI216" s="241">
        <f t="shared" si="93"/>
        <v>26.797730000000001</v>
      </c>
      <c r="DJ216" s="241">
        <f t="shared" si="94"/>
        <v>10.238310000000002</v>
      </c>
      <c r="DK216" s="241" t="e">
        <f>SUM(BS216,#REF!,BV216)</f>
        <v>#REF!</v>
      </c>
      <c r="DL216" s="155">
        <v>391.93966999999998</v>
      </c>
      <c r="DM216" s="155">
        <v>381.10578000000004</v>
      </c>
      <c r="DN216" s="155">
        <v>2.2543000000000002</v>
      </c>
      <c r="DO216" s="155">
        <v>0</v>
      </c>
      <c r="DP216" s="155">
        <v>383.36008000000004</v>
      </c>
      <c r="DQ216" s="155">
        <v>8.5795899999999996</v>
      </c>
      <c r="DR216" s="23">
        <f>VLOOKUP(C216,[6]Database!$B$143:$AD$521,29,FALSE)</f>
        <v>0</v>
      </c>
      <c r="DS216" s="235">
        <f t="shared" si="95"/>
        <v>5.5000000000000009</v>
      </c>
    </row>
    <row r="217" spans="1:123" s="23" customFormat="1" ht="24" customHeight="1">
      <c r="A217" s="18"/>
      <c r="B217" s="2">
        <v>181</v>
      </c>
      <c r="C217" s="86" t="s">
        <v>717</v>
      </c>
      <c r="D217" s="242" t="s">
        <v>602</v>
      </c>
      <c r="E217" s="85"/>
      <c r="F217" s="41">
        <v>2021</v>
      </c>
      <c r="G217" s="42">
        <v>44095</v>
      </c>
      <c r="H217" s="192">
        <v>44214</v>
      </c>
      <c r="I217" s="42">
        <v>44407</v>
      </c>
      <c r="J217" s="15">
        <f t="shared" ca="1" si="84"/>
        <v>193</v>
      </c>
      <c r="K217" s="177">
        <f t="shared" si="96"/>
        <v>44761</v>
      </c>
      <c r="L217" s="177">
        <f t="shared" si="97"/>
        <v>44944</v>
      </c>
      <c r="M217" s="177"/>
      <c r="N217" s="183"/>
      <c r="O217" s="183"/>
      <c r="P217" s="183"/>
      <c r="Q217" s="183"/>
      <c r="R217" s="86" t="s">
        <v>178</v>
      </c>
      <c r="S217" s="13" t="s">
        <v>223</v>
      </c>
      <c r="T217" s="41"/>
      <c r="U217" s="5" t="s">
        <v>9</v>
      </c>
      <c r="V217" s="268">
        <v>3344507</v>
      </c>
      <c r="W217" s="5" t="s">
        <v>614</v>
      </c>
      <c r="X217" s="5" t="s">
        <v>481</v>
      </c>
      <c r="Y217" s="5" t="s">
        <v>716</v>
      </c>
      <c r="Z217" s="3" t="s">
        <v>181</v>
      </c>
      <c r="AA217" s="45" t="s">
        <v>218</v>
      </c>
      <c r="AB217" s="152" t="s">
        <v>197</v>
      </c>
      <c r="AC217" s="177" t="s">
        <v>6</v>
      </c>
      <c r="AD217" s="177" t="s">
        <v>6</v>
      </c>
      <c r="AE217" s="177" t="s">
        <v>6</v>
      </c>
      <c r="AF217" s="5" t="s">
        <v>1133</v>
      </c>
      <c r="AG217" s="43"/>
      <c r="AH217" s="228">
        <v>7.6399999999999996E-2</v>
      </c>
      <c r="AI217" s="125"/>
      <c r="AJ217" s="83"/>
      <c r="AK217" s="237" t="e">
        <f>SUM(#REF!,BT217,BV217)</f>
        <v>#REF!</v>
      </c>
      <c r="AL217" s="165"/>
      <c r="AM217" s="165"/>
      <c r="AN217" s="165"/>
      <c r="AO217" s="165"/>
      <c r="AP217" s="165"/>
      <c r="AQ217" s="165"/>
      <c r="AR217" s="57"/>
      <c r="AS217" s="56"/>
      <c r="AT217" s="56"/>
      <c r="AU217" s="56">
        <v>94.835999999999999</v>
      </c>
      <c r="AV217" s="47">
        <v>94.835999999999999</v>
      </c>
      <c r="AW217" s="47">
        <v>15.111000000000001</v>
      </c>
      <c r="AX217" s="97">
        <f t="shared" si="85"/>
        <v>109.947</v>
      </c>
      <c r="AY217" s="169">
        <f t="shared" si="98"/>
        <v>97.741419999999991</v>
      </c>
      <c r="AZ217" s="196">
        <v>0</v>
      </c>
      <c r="BA217" s="170">
        <v>0</v>
      </c>
      <c r="BB217" s="196">
        <v>0</v>
      </c>
      <c r="BC217" s="170">
        <v>6.3461300000000005</v>
      </c>
      <c r="BD217" s="196">
        <v>0</v>
      </c>
      <c r="BE217" s="170">
        <v>5.2211000000000007</v>
      </c>
      <c r="BF217" s="196">
        <v>0</v>
      </c>
      <c r="BG217" s="170">
        <v>4.9851900000000002</v>
      </c>
      <c r="BH217" s="196">
        <v>80</v>
      </c>
      <c r="BI217" s="170">
        <v>81.188999999999993</v>
      </c>
      <c r="BJ217" s="196">
        <v>0</v>
      </c>
      <c r="BK217" s="170"/>
      <c r="BL217" s="197"/>
      <c r="BM217" s="170"/>
      <c r="BN217" s="197"/>
      <c r="BO217" s="170"/>
      <c r="BP217" s="196"/>
      <c r="BQ217" s="170"/>
      <c r="BR217" s="196"/>
      <c r="BS217" s="170"/>
      <c r="BT217" s="196"/>
      <c r="BU217" s="170"/>
      <c r="BV217" s="196"/>
      <c r="BW217" s="251"/>
      <c r="BX217" s="254"/>
      <c r="BY217" s="88">
        <f t="shared" si="99"/>
        <v>0</v>
      </c>
      <c r="BZ217" s="215"/>
      <c r="CA217" s="215"/>
      <c r="CB217" s="215"/>
      <c r="CC217" s="215"/>
      <c r="CD217" s="215"/>
      <c r="CE217" s="215"/>
      <c r="CF217" s="215"/>
      <c r="CG217" s="215"/>
      <c r="CH217" s="215"/>
      <c r="CI217" s="215"/>
      <c r="CJ217" s="215"/>
      <c r="CK217" s="215"/>
      <c r="CL217" s="211">
        <f t="shared" si="89"/>
        <v>0</v>
      </c>
      <c r="CM217" s="213"/>
      <c r="CN217" s="213"/>
      <c r="CO217" s="213"/>
      <c r="CP217" s="213"/>
      <c r="CQ217" s="213"/>
      <c r="CR217" s="213"/>
      <c r="CS217" s="213"/>
      <c r="CT217" s="213"/>
      <c r="CU217" s="213"/>
      <c r="CV217" s="213"/>
      <c r="CW217" s="213"/>
      <c r="CX217" s="213"/>
      <c r="CY217" s="216">
        <f t="shared" si="86"/>
        <v>0</v>
      </c>
      <c r="CZ217" s="185">
        <f t="shared" si="100"/>
        <v>0</v>
      </c>
      <c r="DA217" s="217">
        <f t="shared" si="87"/>
        <v>97.741419999999991</v>
      </c>
      <c r="DB217" s="217">
        <f t="shared" si="88"/>
        <v>0</v>
      </c>
      <c r="DC217" s="217">
        <f t="shared" si="90"/>
        <v>97.741419999999991</v>
      </c>
      <c r="DD217" s="256">
        <v>97.741419999999991</v>
      </c>
      <c r="DE217" s="217">
        <f t="shared" si="91"/>
        <v>0</v>
      </c>
      <c r="DF217" s="185" t="e">
        <f>SUM(DN217:DO217)-SUM(#REF!,BV217)+BU217</f>
        <v>#REF!</v>
      </c>
      <c r="DG217" s="223"/>
      <c r="DH217" s="241">
        <f t="shared" si="92"/>
        <v>11.567230000000002</v>
      </c>
      <c r="DI217" s="241">
        <f t="shared" si="93"/>
        <v>86.174189999999996</v>
      </c>
      <c r="DJ217" s="241">
        <f t="shared" si="94"/>
        <v>0</v>
      </c>
      <c r="DK217" s="241" t="e">
        <f>SUM(BS217,#REF!,BV217)</f>
        <v>#REF!</v>
      </c>
      <c r="DL217" s="155">
        <v>103.236</v>
      </c>
      <c r="DM217" s="155">
        <v>97.741420000000005</v>
      </c>
      <c r="DN217" s="155">
        <v>0</v>
      </c>
      <c r="DO217" s="155">
        <v>0</v>
      </c>
      <c r="DP217" s="155">
        <v>97.741420000000005</v>
      </c>
      <c r="DQ217" s="155">
        <v>5.49458</v>
      </c>
      <c r="DR217" s="23">
        <f>VLOOKUP(C217,[6]Database!$B$143:$AD$521,29,FALSE)</f>
        <v>0</v>
      </c>
      <c r="DS217" s="235">
        <f t="shared" si="95"/>
        <v>0</v>
      </c>
    </row>
    <row r="218" spans="1:123" s="23" customFormat="1" ht="24" customHeight="1">
      <c r="A218" s="18"/>
      <c r="B218" s="2">
        <v>182</v>
      </c>
      <c r="C218" s="86" t="s">
        <v>651</v>
      </c>
      <c r="D218" s="86"/>
      <c r="E218" s="85" t="s">
        <v>869</v>
      </c>
      <c r="F218" s="41">
        <v>2020</v>
      </c>
      <c r="G218" s="42">
        <v>44112</v>
      </c>
      <c r="H218" s="192">
        <v>44159</v>
      </c>
      <c r="I218" s="42"/>
      <c r="J218" s="15">
        <f t="shared" ca="1" si="84"/>
        <v>-1141.4066194444458</v>
      </c>
      <c r="K218" s="177">
        <f t="shared" si="96"/>
        <v>44706</v>
      </c>
      <c r="L218" s="177">
        <f t="shared" si="97"/>
        <v>44889</v>
      </c>
      <c r="M218" s="177"/>
      <c r="N218" s="183"/>
      <c r="O218" s="177"/>
      <c r="P218" s="183"/>
      <c r="Q218" s="183"/>
      <c r="R218" s="41" t="s">
        <v>176</v>
      </c>
      <c r="S218" s="13" t="s">
        <v>223</v>
      </c>
      <c r="T218" s="41" t="s">
        <v>186</v>
      </c>
      <c r="U218" s="5" t="s">
        <v>9</v>
      </c>
      <c r="V218" s="268">
        <v>3293510</v>
      </c>
      <c r="W218" s="5" t="s">
        <v>614</v>
      </c>
      <c r="X218" s="5" t="s">
        <v>704</v>
      </c>
      <c r="Y218" s="5" t="s">
        <v>705</v>
      </c>
      <c r="Z218" s="85" t="s">
        <v>186</v>
      </c>
      <c r="AA218" s="45" t="s">
        <v>463</v>
      </c>
      <c r="AB218" s="163" t="s">
        <v>1480</v>
      </c>
      <c r="AC218" s="177">
        <v>44651</v>
      </c>
      <c r="AD218" s="177">
        <v>44255</v>
      </c>
      <c r="AE218" s="177">
        <f>IFERROR(EOMONTH(L218,-2),"")</f>
        <v>44834</v>
      </c>
      <c r="AF218" s="5" t="s">
        <v>1133</v>
      </c>
      <c r="AG218" s="43"/>
      <c r="AH218" s="228">
        <v>9.9000000000000005E-2</v>
      </c>
      <c r="AI218" s="125"/>
      <c r="AJ218" s="125"/>
      <c r="AK218" s="237" t="e">
        <f>SUM(#REF!,BT218,BV218)</f>
        <v>#REF!</v>
      </c>
      <c r="AL218" s="165"/>
      <c r="AM218" s="165"/>
      <c r="AN218" s="165"/>
      <c r="AO218" s="165"/>
      <c r="AP218" s="165"/>
      <c r="AQ218" s="165"/>
      <c r="AR218" s="57"/>
      <c r="AS218" s="56"/>
      <c r="AT218" s="56">
        <v>0</v>
      </c>
      <c r="AU218" s="56">
        <v>172.2</v>
      </c>
      <c r="AV218" s="47">
        <v>172.2</v>
      </c>
      <c r="AW218" s="47">
        <v>23.6</v>
      </c>
      <c r="AX218" s="97">
        <f t="shared" si="85"/>
        <v>195.79999999999998</v>
      </c>
      <c r="AY218" s="169">
        <f t="shared" si="98"/>
        <v>144.34421000000003</v>
      </c>
      <c r="AZ218" s="196">
        <v>0</v>
      </c>
      <c r="BA218" s="170">
        <v>0</v>
      </c>
      <c r="BB218" s="196">
        <v>0</v>
      </c>
      <c r="BC218" s="170"/>
      <c r="BD218" s="196">
        <v>0</v>
      </c>
      <c r="BE218" s="170">
        <v>0</v>
      </c>
      <c r="BF218" s="196">
        <v>6</v>
      </c>
      <c r="BG218" s="170">
        <v>6.0273900000000005</v>
      </c>
      <c r="BH218" s="196">
        <v>0</v>
      </c>
      <c r="BI218" s="170"/>
      <c r="BJ218" s="196">
        <v>0</v>
      </c>
      <c r="BK218" s="170">
        <v>1.38992</v>
      </c>
      <c r="BL218" s="197"/>
      <c r="BM218" s="170"/>
      <c r="BN218" s="197">
        <v>30</v>
      </c>
      <c r="BO218" s="170">
        <v>38.398300000000006</v>
      </c>
      <c r="BP218" s="196">
        <v>31.7</v>
      </c>
      <c r="BQ218" s="170">
        <v>21.133479999999999</v>
      </c>
      <c r="BR218" s="196">
        <v>7.9</v>
      </c>
      <c r="BS218" s="170">
        <v>26.756540000000001</v>
      </c>
      <c r="BT218" s="196">
        <f>2+5.7-3.3</f>
        <v>4.4000000000000004</v>
      </c>
      <c r="BU218" s="170">
        <v>28.718350000000001</v>
      </c>
      <c r="BV218" s="234">
        <f>46.2+2.8-9</f>
        <v>40</v>
      </c>
      <c r="BW218" s="251">
        <v>21.920230000000004</v>
      </c>
      <c r="BX218" s="254">
        <v>21.920230000000004</v>
      </c>
      <c r="BY218" s="88">
        <f t="shared" si="99"/>
        <v>45.1</v>
      </c>
      <c r="BZ218" s="259">
        <f>10-1.9</f>
        <v>8.1</v>
      </c>
      <c r="CA218" s="259">
        <v>10</v>
      </c>
      <c r="CB218" s="259">
        <v>10</v>
      </c>
      <c r="CC218" s="259">
        <v>17</v>
      </c>
      <c r="CD218" s="259"/>
      <c r="CE218" s="259"/>
      <c r="CF218" s="259"/>
      <c r="CG218" s="259"/>
      <c r="CH218" s="259"/>
      <c r="CI218" s="259"/>
      <c r="CJ218" s="259"/>
      <c r="CK218" s="259"/>
      <c r="CL218" s="211">
        <f t="shared" si="89"/>
        <v>0</v>
      </c>
      <c r="CM218" s="213"/>
      <c r="CN218" s="213"/>
      <c r="CO218" s="213"/>
      <c r="CP218" s="213"/>
      <c r="CQ218" s="213"/>
      <c r="CR218" s="213"/>
      <c r="CS218" s="213"/>
      <c r="CT218" s="213"/>
      <c r="CU218" s="213"/>
      <c r="CV218" s="213"/>
      <c r="CW218" s="213"/>
      <c r="CX218" s="213"/>
      <c r="CY218" s="216">
        <f t="shared" si="86"/>
        <v>18.079769999999996</v>
      </c>
      <c r="CZ218" s="185">
        <f t="shared" si="100"/>
        <v>0</v>
      </c>
      <c r="DA218" s="217">
        <f t="shared" si="87"/>
        <v>122.42398000000001</v>
      </c>
      <c r="DB218" s="217">
        <f t="shared" si="88"/>
        <v>21.920230000000004</v>
      </c>
      <c r="DC218" s="217">
        <f t="shared" si="90"/>
        <v>189.44421000000003</v>
      </c>
      <c r="DD218" s="256">
        <v>171.60563000000002</v>
      </c>
      <c r="DE218" s="217">
        <f t="shared" si="91"/>
        <v>17.838580000000007</v>
      </c>
      <c r="DF218" s="185" t="e">
        <f>SUM(DN218:DO218)-SUM(#REF!,BV218)+BU218</f>
        <v>#REF!</v>
      </c>
      <c r="DG218" s="223"/>
      <c r="DH218" s="241">
        <f t="shared" si="92"/>
        <v>0</v>
      </c>
      <c r="DI218" s="241">
        <f t="shared" si="93"/>
        <v>7.4173100000000005</v>
      </c>
      <c r="DJ218" s="241">
        <f t="shared" si="94"/>
        <v>59.531780000000005</v>
      </c>
      <c r="DK218" s="241" t="e">
        <f>SUM(BS218,#REF!,BV218)</f>
        <v>#REF!</v>
      </c>
      <c r="DL218" s="155">
        <v>189.24779999999998</v>
      </c>
      <c r="DM218" s="155">
        <v>144.34421</v>
      </c>
      <c r="DN218" s="155">
        <v>35.567540000000001</v>
      </c>
      <c r="DO218" s="155">
        <v>0</v>
      </c>
      <c r="DP218" s="155">
        <v>179.91175000000001</v>
      </c>
      <c r="DQ218" s="155">
        <v>9.3360499999999984</v>
      </c>
      <c r="DR218" s="23">
        <f>VLOOKUP(C218,[6]Database!$B$143:$AD$521,29,FALSE)</f>
        <v>0</v>
      </c>
      <c r="DS218" s="235">
        <f t="shared" si="95"/>
        <v>45.1</v>
      </c>
    </row>
    <row r="219" spans="1:123" s="23" customFormat="1" ht="24" customHeight="1">
      <c r="A219" s="18"/>
      <c r="B219" s="2">
        <v>183</v>
      </c>
      <c r="C219" s="86" t="s">
        <v>655</v>
      </c>
      <c r="D219" s="86"/>
      <c r="E219" s="85" t="s">
        <v>867</v>
      </c>
      <c r="F219" s="41">
        <v>2020</v>
      </c>
      <c r="G219" s="42">
        <v>44013</v>
      </c>
      <c r="H219" s="192">
        <v>44155</v>
      </c>
      <c r="I219" s="42"/>
      <c r="J219" s="15">
        <f t="shared" ca="1" si="84"/>
        <v>-1145.4066194444458</v>
      </c>
      <c r="K219" s="177">
        <f t="shared" si="96"/>
        <v>44702</v>
      </c>
      <c r="L219" s="177">
        <f t="shared" si="97"/>
        <v>44885</v>
      </c>
      <c r="M219" s="177"/>
      <c r="N219" s="183"/>
      <c r="O219" s="177"/>
      <c r="P219" s="183"/>
      <c r="Q219" s="183"/>
      <c r="R219" s="41" t="s">
        <v>176</v>
      </c>
      <c r="S219" s="13" t="s">
        <v>5</v>
      </c>
      <c r="T219" s="41" t="s">
        <v>951</v>
      </c>
      <c r="U219" s="5" t="s">
        <v>9</v>
      </c>
      <c r="V219" s="268">
        <v>3293366</v>
      </c>
      <c r="W219" s="5" t="s">
        <v>614</v>
      </c>
      <c r="X219" s="5" t="s">
        <v>478</v>
      </c>
      <c r="Y219" s="5" t="s">
        <v>486</v>
      </c>
      <c r="Z219" s="3" t="s">
        <v>181</v>
      </c>
      <c r="AA219" s="45" t="s">
        <v>463</v>
      </c>
      <c r="AB219" s="152" t="s">
        <v>1491</v>
      </c>
      <c r="AC219" s="177">
        <v>44681</v>
      </c>
      <c r="AD219" s="177">
        <v>44655</v>
      </c>
      <c r="AE219" s="177">
        <f>IFERROR(EOMONTH(L219,-2),"")</f>
        <v>44834</v>
      </c>
      <c r="AF219" s="5"/>
      <c r="AG219" s="43"/>
      <c r="AH219" s="228"/>
      <c r="AI219" s="125" t="s">
        <v>847</v>
      </c>
      <c r="AJ219" s="125"/>
      <c r="AK219" s="237" t="e">
        <f>SUM(#REF!,BT219,BV219)</f>
        <v>#REF!</v>
      </c>
      <c r="AL219" s="165" t="s">
        <v>1233</v>
      </c>
      <c r="AM219" s="165">
        <v>8240513854</v>
      </c>
      <c r="AN219" s="165" t="s">
        <v>1234</v>
      </c>
      <c r="AO219" s="165" t="s">
        <v>602</v>
      </c>
      <c r="AP219" s="165" t="s">
        <v>602</v>
      </c>
      <c r="AQ219" s="165" t="s">
        <v>602</v>
      </c>
      <c r="AR219" s="57"/>
      <c r="AS219" s="56"/>
      <c r="AT219" s="56">
        <v>0</v>
      </c>
      <c r="AU219" s="56">
        <v>300</v>
      </c>
      <c r="AV219" s="47">
        <v>300.18400000000003</v>
      </c>
      <c r="AW219" s="47">
        <v>12.388999999999999</v>
      </c>
      <c r="AX219" s="97">
        <f t="shared" si="85"/>
        <v>312.57300000000004</v>
      </c>
      <c r="AY219" s="169">
        <f t="shared" si="98"/>
        <v>149.45334</v>
      </c>
      <c r="AZ219" s="196">
        <v>0</v>
      </c>
      <c r="BA219" s="170">
        <v>0</v>
      </c>
      <c r="BB219" s="196">
        <v>2</v>
      </c>
      <c r="BC219" s="170"/>
      <c r="BD219" s="196">
        <v>0</v>
      </c>
      <c r="BE219" s="170">
        <v>0.64380999999999999</v>
      </c>
      <c r="BF219" s="196">
        <v>1</v>
      </c>
      <c r="BG219" s="170"/>
      <c r="BH219" s="196">
        <v>2</v>
      </c>
      <c r="BI219" s="170"/>
      <c r="BJ219" s="196">
        <v>2</v>
      </c>
      <c r="BK219" s="170">
        <v>20.459240000000001</v>
      </c>
      <c r="BL219" s="197">
        <v>4.5999999999999996</v>
      </c>
      <c r="BM219" s="170">
        <v>9.743000000000035E-2</v>
      </c>
      <c r="BN219" s="197">
        <v>7</v>
      </c>
      <c r="BO219" s="170">
        <v>33.515140000000002</v>
      </c>
      <c r="BP219" s="196">
        <v>7.6999999999999993</v>
      </c>
      <c r="BQ219" s="170">
        <v>6.1470900000000004</v>
      </c>
      <c r="BR219" s="196">
        <f>5-0.1</f>
        <v>4.9000000000000004</v>
      </c>
      <c r="BS219" s="170">
        <v>8.6909299999999998</v>
      </c>
      <c r="BT219" s="196">
        <f>5+111.6-6-0.4-13.6</f>
        <v>96.6</v>
      </c>
      <c r="BU219" s="170">
        <v>15.46293</v>
      </c>
      <c r="BV219" s="196">
        <f>32.71+43-8</f>
        <v>67.710000000000008</v>
      </c>
      <c r="BW219" s="251">
        <v>64.436769999999996</v>
      </c>
      <c r="BX219" s="254">
        <v>64.436769999999996</v>
      </c>
      <c r="BY219" s="88">
        <f t="shared" si="99"/>
        <v>119.7</v>
      </c>
      <c r="BZ219" s="259">
        <f>40-3.3</f>
        <v>36.700000000000003</v>
      </c>
      <c r="CA219" s="259">
        <v>25</v>
      </c>
      <c r="CB219" s="259">
        <v>25</v>
      </c>
      <c r="CC219" s="259">
        <f>25+8</f>
        <v>33</v>
      </c>
      <c r="CD219" s="259"/>
      <c r="CE219" s="259"/>
      <c r="CF219" s="259"/>
      <c r="CG219" s="259"/>
      <c r="CH219" s="259"/>
      <c r="CI219" s="259"/>
      <c r="CJ219" s="259"/>
      <c r="CK219" s="259"/>
      <c r="CL219" s="211">
        <f t="shared" si="89"/>
        <v>0</v>
      </c>
      <c r="CM219" s="213"/>
      <c r="CN219" s="213"/>
      <c r="CO219" s="213"/>
      <c r="CP219" s="213"/>
      <c r="CQ219" s="213"/>
      <c r="CR219" s="213"/>
      <c r="CS219" s="213"/>
      <c r="CT219" s="213"/>
      <c r="CU219" s="213"/>
      <c r="CV219" s="213"/>
      <c r="CW219" s="213"/>
      <c r="CX219" s="213"/>
      <c r="CY219" s="216">
        <f t="shared" si="86"/>
        <v>3.2732300000000123</v>
      </c>
      <c r="CZ219" s="185">
        <f t="shared" si="100"/>
        <v>0</v>
      </c>
      <c r="DA219" s="217">
        <f t="shared" si="87"/>
        <v>85.016570000000002</v>
      </c>
      <c r="DB219" s="217">
        <f t="shared" si="88"/>
        <v>64.436769999999996</v>
      </c>
      <c r="DC219" s="217">
        <f t="shared" si="90"/>
        <v>269.15334000000001</v>
      </c>
      <c r="DD219" s="256">
        <v>291.65364</v>
      </c>
      <c r="DE219" s="217">
        <f t="shared" si="91"/>
        <v>-22.500299999999982</v>
      </c>
      <c r="DF219" s="185" t="e">
        <f>SUM(DN219:DO219)-SUM(#REF!,BV219)+BU219</f>
        <v>#REF!</v>
      </c>
      <c r="DG219" s="223" t="s">
        <v>1287</v>
      </c>
      <c r="DH219" s="241">
        <f t="shared" si="92"/>
        <v>0.64380999999999999</v>
      </c>
      <c r="DI219" s="241">
        <f t="shared" si="93"/>
        <v>20.459240000000001</v>
      </c>
      <c r="DJ219" s="241">
        <f t="shared" si="94"/>
        <v>39.759660000000004</v>
      </c>
      <c r="DK219" s="241" t="e">
        <f>SUM(BS219,#REF!,BV219)</f>
        <v>#REF!</v>
      </c>
      <c r="DL219" s="155">
        <v>300.18459999999999</v>
      </c>
      <c r="DM219" s="155">
        <v>149.45334</v>
      </c>
      <c r="DN219" s="155">
        <v>102.86313</v>
      </c>
      <c r="DO219" s="155">
        <v>7.6221000000000005</v>
      </c>
      <c r="DP219" s="155">
        <v>259.93857000000003</v>
      </c>
      <c r="DQ219" s="155">
        <v>40.246029999999998</v>
      </c>
      <c r="DR219" s="23">
        <f>VLOOKUP(C219,[6]Database!$B$143:$AD$521,29,FALSE)</f>
        <v>0</v>
      </c>
      <c r="DS219" s="235">
        <f t="shared" si="95"/>
        <v>119.7</v>
      </c>
    </row>
    <row r="220" spans="1:123" s="23" customFormat="1" ht="24" customHeight="1">
      <c r="A220" s="18"/>
      <c r="B220" s="2">
        <v>184</v>
      </c>
      <c r="C220" s="86" t="s">
        <v>707</v>
      </c>
      <c r="D220" s="86"/>
      <c r="E220" s="85"/>
      <c r="F220" s="41">
        <v>2020</v>
      </c>
      <c r="G220" s="42">
        <v>44123</v>
      </c>
      <c r="H220" s="192">
        <v>44168</v>
      </c>
      <c r="I220" s="42">
        <v>44419</v>
      </c>
      <c r="J220" s="15">
        <f t="shared" ca="1" si="84"/>
        <v>251</v>
      </c>
      <c r="K220" s="177">
        <f t="shared" si="96"/>
        <v>44715</v>
      </c>
      <c r="L220" s="177">
        <f t="shared" si="97"/>
        <v>44898</v>
      </c>
      <c r="M220" s="177"/>
      <c r="N220" s="183"/>
      <c r="O220" s="183"/>
      <c r="P220" s="183"/>
      <c r="Q220" s="183"/>
      <c r="R220" s="41" t="s">
        <v>178</v>
      </c>
      <c r="S220" s="13" t="s">
        <v>223</v>
      </c>
      <c r="T220" s="41"/>
      <c r="U220" s="5" t="s">
        <v>9</v>
      </c>
      <c r="V220" s="268">
        <v>3325174</v>
      </c>
      <c r="W220" s="5" t="s">
        <v>614</v>
      </c>
      <c r="X220" s="5" t="s">
        <v>481</v>
      </c>
      <c r="Y220" s="5" t="s">
        <v>708</v>
      </c>
      <c r="Z220" s="3" t="s">
        <v>181</v>
      </c>
      <c r="AA220" s="45" t="s">
        <v>195</v>
      </c>
      <c r="AB220" s="232" t="s">
        <v>1524</v>
      </c>
      <c r="AC220" s="177" t="s">
        <v>6</v>
      </c>
      <c r="AD220" s="177">
        <v>44439</v>
      </c>
      <c r="AE220" s="177" t="s">
        <v>6</v>
      </c>
      <c r="AF220" s="5" t="s">
        <v>1132</v>
      </c>
      <c r="AG220" s="43" t="s">
        <v>1138</v>
      </c>
      <c r="AH220" s="228"/>
      <c r="AI220" s="125"/>
      <c r="AJ220" s="125"/>
      <c r="AK220" s="237" t="e">
        <f>SUM(#REF!,BT220,BV220)</f>
        <v>#REF!</v>
      </c>
      <c r="AL220" s="165"/>
      <c r="AM220" s="165"/>
      <c r="AN220" s="165"/>
      <c r="AO220" s="165"/>
      <c r="AP220" s="165"/>
      <c r="AQ220" s="165"/>
      <c r="AR220" s="57"/>
      <c r="AS220" s="56"/>
      <c r="AT220" s="56">
        <v>0</v>
      </c>
      <c r="AU220" s="56">
        <v>266.52999999999997</v>
      </c>
      <c r="AV220" s="47">
        <v>573.53</v>
      </c>
      <c r="AW220" s="47"/>
      <c r="AX220" s="97">
        <f t="shared" si="85"/>
        <v>573.53</v>
      </c>
      <c r="AY220" s="169">
        <f t="shared" si="98"/>
        <v>571.69055000000003</v>
      </c>
      <c r="AZ220" s="196">
        <v>0</v>
      </c>
      <c r="BA220" s="170">
        <v>0</v>
      </c>
      <c r="BB220" s="196">
        <v>0</v>
      </c>
      <c r="BC220" s="170"/>
      <c r="BD220" s="196">
        <v>0</v>
      </c>
      <c r="BE220" s="170">
        <v>0</v>
      </c>
      <c r="BF220" s="196">
        <v>0</v>
      </c>
      <c r="BG220" s="170"/>
      <c r="BH220" s="196">
        <v>0</v>
      </c>
      <c r="BI220" s="170"/>
      <c r="BJ220" s="196">
        <v>80</v>
      </c>
      <c r="BK220" s="170">
        <v>185.78166000000002</v>
      </c>
      <c r="BL220" s="297">
        <v>100</v>
      </c>
      <c r="BM220" s="170">
        <v>385.90889000000004</v>
      </c>
      <c r="BN220" s="197"/>
      <c r="BO220" s="170"/>
      <c r="BP220" s="196"/>
      <c r="BQ220" s="170"/>
      <c r="BR220" s="196"/>
      <c r="BS220" s="170"/>
      <c r="BT220" s="196"/>
      <c r="BU220" s="170"/>
      <c r="BV220" s="196"/>
      <c r="BW220" s="251"/>
      <c r="BX220" s="254"/>
      <c r="BY220" s="88">
        <f t="shared" si="99"/>
        <v>0</v>
      </c>
      <c r="BZ220" s="259"/>
      <c r="CA220" s="259"/>
      <c r="CB220" s="259"/>
      <c r="CC220" s="259"/>
      <c r="CD220" s="259"/>
      <c r="CE220" s="259"/>
      <c r="CF220" s="259"/>
      <c r="CG220" s="259"/>
      <c r="CH220" s="259"/>
      <c r="CI220" s="259"/>
      <c r="CJ220" s="259"/>
      <c r="CK220" s="259"/>
      <c r="CL220" s="211">
        <f t="shared" si="89"/>
        <v>0</v>
      </c>
      <c r="CM220" s="213"/>
      <c r="CN220" s="213"/>
      <c r="CO220" s="213"/>
      <c r="CP220" s="213"/>
      <c r="CQ220" s="213"/>
      <c r="CR220" s="213"/>
      <c r="CS220" s="213"/>
      <c r="CT220" s="213"/>
      <c r="CU220" s="213"/>
      <c r="CV220" s="213"/>
      <c r="CW220" s="213"/>
      <c r="CX220" s="213"/>
      <c r="CY220" s="216">
        <f t="shared" si="86"/>
        <v>0</v>
      </c>
      <c r="CZ220" s="185">
        <f t="shared" si="100"/>
        <v>0</v>
      </c>
      <c r="DA220" s="217">
        <f t="shared" si="87"/>
        <v>571.69055000000003</v>
      </c>
      <c r="DB220" s="217">
        <f t="shared" si="88"/>
        <v>0</v>
      </c>
      <c r="DC220" s="217">
        <f t="shared" si="90"/>
        <v>571.69055000000003</v>
      </c>
      <c r="DD220" s="256">
        <v>571.69055000000003</v>
      </c>
      <c r="DE220" s="217">
        <f t="shared" si="91"/>
        <v>0</v>
      </c>
      <c r="DF220" s="185" t="e">
        <f>SUM(DN220:DO220)-SUM(#REF!,BV220)+BU220</f>
        <v>#REF!</v>
      </c>
      <c r="DG220" s="223"/>
      <c r="DH220" s="241">
        <f t="shared" si="92"/>
        <v>0</v>
      </c>
      <c r="DI220" s="241">
        <f t="shared" si="93"/>
        <v>185.78166000000002</v>
      </c>
      <c r="DJ220" s="241">
        <f t="shared" si="94"/>
        <v>385.90889000000004</v>
      </c>
      <c r="DK220" s="241" t="e">
        <f>SUM(BS220,#REF!,BV220)</f>
        <v>#REF!</v>
      </c>
      <c r="DL220" s="155">
        <v>573.53</v>
      </c>
      <c r="DM220" s="155">
        <v>571.69055000000003</v>
      </c>
      <c r="DN220" s="155">
        <v>0</v>
      </c>
      <c r="DO220" s="155">
        <v>0</v>
      </c>
      <c r="DP220" s="155">
        <v>571.69055000000003</v>
      </c>
      <c r="DQ220" s="155">
        <v>1.83945</v>
      </c>
      <c r="DR220" s="23">
        <f>VLOOKUP(C220,[6]Database!$B$143:$AD$521,29,FALSE)</f>
        <v>0</v>
      </c>
      <c r="DS220" s="235">
        <f t="shared" si="95"/>
        <v>0</v>
      </c>
    </row>
    <row r="221" spans="1:123" s="23" customFormat="1" ht="24" customHeight="1">
      <c r="A221" s="18"/>
      <c r="B221" s="2">
        <v>185</v>
      </c>
      <c r="C221" s="86" t="s">
        <v>658</v>
      </c>
      <c r="D221" s="85"/>
      <c r="E221" s="85"/>
      <c r="F221" s="41">
        <v>2020</v>
      </c>
      <c r="G221" s="42">
        <v>44126</v>
      </c>
      <c r="H221" s="192">
        <v>44134</v>
      </c>
      <c r="I221" s="42">
        <v>44404</v>
      </c>
      <c r="J221" s="15">
        <f t="shared" ca="1" si="84"/>
        <v>270</v>
      </c>
      <c r="K221" s="177">
        <f t="shared" si="96"/>
        <v>44681</v>
      </c>
      <c r="L221" s="177">
        <f t="shared" si="97"/>
        <v>44864</v>
      </c>
      <c r="M221" s="177"/>
      <c r="N221" s="183"/>
      <c r="O221" s="177"/>
      <c r="P221" s="183"/>
      <c r="Q221" s="183"/>
      <c r="R221" s="41" t="s">
        <v>179</v>
      </c>
      <c r="S221" s="13"/>
      <c r="T221" s="41"/>
      <c r="U221" s="5" t="s">
        <v>9</v>
      </c>
      <c r="V221" s="268">
        <v>3294503</v>
      </c>
      <c r="W221" s="5" t="s">
        <v>614</v>
      </c>
      <c r="X221" s="5" t="s">
        <v>481</v>
      </c>
      <c r="Y221" s="5" t="s">
        <v>659</v>
      </c>
      <c r="Z221" s="3" t="s">
        <v>188</v>
      </c>
      <c r="AA221" s="45" t="s">
        <v>195</v>
      </c>
      <c r="AB221" s="292" t="s">
        <v>1524</v>
      </c>
      <c r="AC221" s="177" t="s">
        <v>6</v>
      </c>
      <c r="AD221" s="177">
        <v>44346</v>
      </c>
      <c r="AE221" s="177">
        <f t="shared" ref="AE221:AE229" si="101">IFERROR(EOMONTH(L221,-2),"")</f>
        <v>44804</v>
      </c>
      <c r="AF221" s="5"/>
      <c r="AG221" s="43"/>
      <c r="AH221" s="228"/>
      <c r="AI221" s="125"/>
      <c r="AJ221" s="125"/>
      <c r="AK221" s="237" t="e">
        <f>SUM(#REF!,BT221,BV221)</f>
        <v>#REF!</v>
      </c>
      <c r="AL221" s="165"/>
      <c r="AM221" s="165"/>
      <c r="AN221" s="165"/>
      <c r="AO221" s="165"/>
      <c r="AP221" s="165"/>
      <c r="AQ221" s="165"/>
      <c r="AR221" s="57"/>
      <c r="AS221" s="56">
        <v>0</v>
      </c>
      <c r="AT221" s="56">
        <v>0</v>
      </c>
      <c r="AU221" s="56">
        <v>70</v>
      </c>
      <c r="AV221" s="47">
        <v>107.81399999999999</v>
      </c>
      <c r="AW221" s="47">
        <v>5</v>
      </c>
      <c r="AX221" s="97">
        <f t="shared" si="85"/>
        <v>112.81399999999999</v>
      </c>
      <c r="AY221" s="169">
        <f t="shared" si="98"/>
        <v>49.774949999999997</v>
      </c>
      <c r="AZ221" s="196">
        <v>0</v>
      </c>
      <c r="BA221" s="170">
        <v>0</v>
      </c>
      <c r="BB221" s="196">
        <v>0</v>
      </c>
      <c r="BC221" s="170"/>
      <c r="BD221" s="196">
        <v>0</v>
      </c>
      <c r="BE221" s="170">
        <v>0</v>
      </c>
      <c r="BF221" s="196">
        <v>0</v>
      </c>
      <c r="BG221" s="170">
        <v>49.774949999999997</v>
      </c>
      <c r="BH221" s="196">
        <v>0</v>
      </c>
      <c r="BI221" s="170"/>
      <c r="BJ221" s="196">
        <v>0</v>
      </c>
      <c r="BK221" s="170"/>
      <c r="BL221" s="197"/>
      <c r="BM221" s="170"/>
      <c r="BN221" s="197"/>
      <c r="BO221" s="170"/>
      <c r="BP221" s="196"/>
      <c r="BQ221" s="170"/>
      <c r="BR221" s="196"/>
      <c r="BS221" s="170"/>
      <c r="BT221" s="196"/>
      <c r="BU221" s="170"/>
      <c r="BV221" s="196"/>
      <c r="BW221" s="251"/>
      <c r="BX221" s="254"/>
      <c r="BY221" s="88">
        <f t="shared" si="99"/>
        <v>0</v>
      </c>
      <c r="BZ221" s="259"/>
      <c r="CA221" s="259"/>
      <c r="CB221" s="259"/>
      <c r="CC221" s="259"/>
      <c r="CD221" s="259"/>
      <c r="CE221" s="259"/>
      <c r="CF221" s="259"/>
      <c r="CG221" s="259"/>
      <c r="CH221" s="259"/>
      <c r="CI221" s="259"/>
      <c r="CJ221" s="259"/>
      <c r="CK221" s="259"/>
      <c r="CL221" s="211">
        <f t="shared" ref="CL221:CL252" si="102">SUM(CM221:CX221)</f>
        <v>0</v>
      </c>
      <c r="CM221" s="213"/>
      <c r="CN221" s="213"/>
      <c r="CO221" s="213"/>
      <c r="CP221" s="213"/>
      <c r="CQ221" s="213"/>
      <c r="CR221" s="213"/>
      <c r="CS221" s="213"/>
      <c r="CT221" s="213"/>
      <c r="CU221" s="213"/>
      <c r="CV221" s="213"/>
      <c r="CW221" s="213"/>
      <c r="CX221" s="213"/>
      <c r="CY221" s="216">
        <f t="shared" si="86"/>
        <v>0</v>
      </c>
      <c r="CZ221" s="185">
        <f t="shared" si="100"/>
        <v>0</v>
      </c>
      <c r="DA221" s="217">
        <f t="shared" si="87"/>
        <v>49.774949999999997</v>
      </c>
      <c r="DB221" s="217">
        <f t="shared" si="88"/>
        <v>0</v>
      </c>
      <c r="DC221" s="217">
        <f t="shared" ref="DC221:DC253" si="103">SUM(AY221,BY221)</f>
        <v>49.774949999999997</v>
      </c>
      <c r="DD221" s="256">
        <v>49.774949999999997</v>
      </c>
      <c r="DE221" s="217">
        <f t="shared" ref="DE221:DE252" si="104">DC221-DD221</f>
        <v>0</v>
      </c>
      <c r="DF221" s="185" t="e">
        <f>SUM(DN221:DO221)-SUM(#REF!,BV221)+BU221</f>
        <v>#REF!</v>
      </c>
      <c r="DG221" s="223"/>
      <c r="DH221" s="241">
        <f t="shared" ref="DH221:DH253" si="105">SUM(BA221,BC221,BE221)</f>
        <v>0</v>
      </c>
      <c r="DI221" s="241">
        <f t="shared" ref="DI221:DI253" si="106">SUM(BG221,BI221,BK221)</f>
        <v>49.774949999999997</v>
      </c>
      <c r="DJ221" s="241">
        <f t="shared" ref="DJ221:DJ253" si="107">SUM(BM221,BO221,BQ221)</f>
        <v>0</v>
      </c>
      <c r="DK221" s="241" t="e">
        <f>SUM(BS221,#REF!,BV221)</f>
        <v>#REF!</v>
      </c>
      <c r="DL221" s="155">
        <v>107.81399999999999</v>
      </c>
      <c r="DM221" s="155">
        <v>49.774949999999997</v>
      </c>
      <c r="DN221" s="155">
        <v>0</v>
      </c>
      <c r="DO221" s="155">
        <v>0</v>
      </c>
      <c r="DP221" s="155">
        <v>49.774949999999997</v>
      </c>
      <c r="DQ221" s="155">
        <v>58.039050000000003</v>
      </c>
      <c r="DR221" s="23">
        <f>VLOOKUP(C221,[6]Database!$B$143:$AD$521,29,FALSE)</f>
        <v>0</v>
      </c>
      <c r="DS221" s="235">
        <f t="shared" ref="DS221:DS252" si="108">BY221-DR221</f>
        <v>0</v>
      </c>
    </row>
    <row r="222" spans="1:123" s="23" customFormat="1" ht="24" customHeight="1">
      <c r="A222" s="18"/>
      <c r="B222" s="2">
        <v>186</v>
      </c>
      <c r="C222" s="86" t="s">
        <v>702</v>
      </c>
      <c r="D222" s="85"/>
      <c r="E222" s="85"/>
      <c r="F222" s="41">
        <v>2020</v>
      </c>
      <c r="G222" s="42">
        <v>44165</v>
      </c>
      <c r="H222" s="192">
        <v>44179</v>
      </c>
      <c r="I222" s="42"/>
      <c r="J222" s="15">
        <f t="shared" ca="1" si="84"/>
        <v>-1120.4066194444458</v>
      </c>
      <c r="K222" s="177">
        <f t="shared" si="96"/>
        <v>44726</v>
      </c>
      <c r="L222" s="177">
        <f t="shared" si="97"/>
        <v>44909</v>
      </c>
      <c r="M222" s="177"/>
      <c r="N222" s="183"/>
      <c r="O222" s="183"/>
      <c r="P222" s="183"/>
      <c r="Q222" s="279" t="s">
        <v>1365</v>
      </c>
      <c r="R222" s="41" t="s">
        <v>176</v>
      </c>
      <c r="S222" s="13" t="s">
        <v>224</v>
      </c>
      <c r="T222" s="41" t="s">
        <v>957</v>
      </c>
      <c r="U222" s="5" t="s">
        <v>9</v>
      </c>
      <c r="V222" s="268">
        <v>3458408</v>
      </c>
      <c r="W222" s="5" t="s">
        <v>614</v>
      </c>
      <c r="X222" s="5" t="s">
        <v>475</v>
      </c>
      <c r="Y222" s="5" t="s">
        <v>1442</v>
      </c>
      <c r="Z222" s="3" t="s">
        <v>183</v>
      </c>
      <c r="AA222" s="45" t="s">
        <v>463</v>
      </c>
      <c r="AB222" s="161" t="s">
        <v>1498</v>
      </c>
      <c r="AC222" s="177">
        <v>44695</v>
      </c>
      <c r="AD222" s="177">
        <v>44712</v>
      </c>
      <c r="AE222" s="177">
        <f t="shared" si="101"/>
        <v>44865</v>
      </c>
      <c r="AF222" s="5" t="s">
        <v>1132</v>
      </c>
      <c r="AG222" s="43" t="s">
        <v>1401</v>
      </c>
      <c r="AH222" s="228"/>
      <c r="AI222" s="125" t="s">
        <v>709</v>
      </c>
      <c r="AJ222" s="125"/>
      <c r="AK222" s="237" t="e">
        <f>SUM(#REF!,BT222,BV222)</f>
        <v>#REF!</v>
      </c>
      <c r="AL222" s="179"/>
      <c r="AM222" s="179"/>
      <c r="AN222" s="179"/>
      <c r="AO222" s="179"/>
      <c r="AP222" s="179"/>
      <c r="AQ222" s="179"/>
      <c r="AR222" s="57"/>
      <c r="AS222" s="56">
        <v>900</v>
      </c>
      <c r="AT222" s="56">
        <v>0</v>
      </c>
      <c r="AU222" s="56">
        <v>4816</v>
      </c>
      <c r="AV222" s="47">
        <v>26690</v>
      </c>
      <c r="AW222" s="47">
        <v>3223</v>
      </c>
      <c r="AX222" s="97">
        <f t="shared" si="85"/>
        <v>29913</v>
      </c>
      <c r="AY222" s="169">
        <f t="shared" si="98"/>
        <v>855.32746999999995</v>
      </c>
      <c r="AZ222" s="196">
        <v>0</v>
      </c>
      <c r="BA222" s="170">
        <v>0</v>
      </c>
      <c r="BB222" s="196">
        <v>0</v>
      </c>
      <c r="BC222" s="170"/>
      <c r="BD222" s="196">
        <v>0</v>
      </c>
      <c r="BE222" s="170">
        <v>0</v>
      </c>
      <c r="BF222" s="196">
        <v>0</v>
      </c>
      <c r="BG222" s="170"/>
      <c r="BH222" s="196">
        <v>0</v>
      </c>
      <c r="BI222" s="170"/>
      <c r="BJ222" s="196">
        <v>0</v>
      </c>
      <c r="BK222" s="170">
        <v>1.5407200000000001</v>
      </c>
      <c r="BL222" s="197"/>
      <c r="BM222" s="170">
        <v>0.67116999999999993</v>
      </c>
      <c r="BN222" s="197"/>
      <c r="BO222" s="170">
        <v>23.448989999999998</v>
      </c>
      <c r="BP222" s="196">
        <v>12.194000000000001</v>
      </c>
      <c r="BQ222" s="170">
        <v>4.9561099999999998</v>
      </c>
      <c r="BR222" s="196">
        <f>2.703+9.9-2.7</f>
        <v>9.9029999999999987</v>
      </c>
      <c r="BS222" s="170">
        <v>26.45797</v>
      </c>
      <c r="BT222" s="196">
        <f>45.22-15.4-1.1</f>
        <v>28.72</v>
      </c>
      <c r="BU222" s="170">
        <v>294.80466999999999</v>
      </c>
      <c r="BV222" s="196">
        <f>481.1-130.1-64+17+3+2</f>
        <v>309</v>
      </c>
      <c r="BW222" s="251">
        <v>503.44783999999999</v>
      </c>
      <c r="BX222" s="254">
        <v>503.44783999999999</v>
      </c>
      <c r="BY222" s="88">
        <f t="shared" si="99"/>
        <v>20005.599999999999</v>
      </c>
      <c r="BZ222" s="259">
        <f>200-22.4-15.9-21.1-135</f>
        <v>5.5999999999999943</v>
      </c>
      <c r="CA222" s="259">
        <v>100</v>
      </c>
      <c r="CB222" s="259">
        <v>300</v>
      </c>
      <c r="CC222" s="259">
        <v>200</v>
      </c>
      <c r="CD222" s="259">
        <v>300</v>
      </c>
      <c r="CE222" s="259">
        <v>7000</v>
      </c>
      <c r="CF222" s="259">
        <v>300</v>
      </c>
      <c r="CG222" s="259">
        <v>400</v>
      </c>
      <c r="CH222" s="259">
        <v>1200</v>
      </c>
      <c r="CI222" s="259">
        <v>200</v>
      </c>
      <c r="CJ222" s="259">
        <v>500</v>
      </c>
      <c r="CK222" s="259">
        <f>13000-3500</f>
        <v>9500</v>
      </c>
      <c r="CL222" s="211">
        <f t="shared" si="102"/>
        <v>400</v>
      </c>
      <c r="CM222" s="213"/>
      <c r="CN222" s="213">
        <v>400</v>
      </c>
      <c r="CO222" s="213"/>
      <c r="CP222" s="213"/>
      <c r="CQ222" s="213"/>
      <c r="CR222" s="213"/>
      <c r="CS222" s="213"/>
      <c r="CT222" s="213"/>
      <c r="CU222" s="213"/>
      <c r="CV222" s="213"/>
      <c r="CW222" s="213"/>
      <c r="CX222" s="213"/>
      <c r="CY222" s="216">
        <f t="shared" si="86"/>
        <v>-194.44783999999999</v>
      </c>
      <c r="CZ222" s="185">
        <f t="shared" si="100"/>
        <v>0</v>
      </c>
      <c r="DA222" s="217">
        <f t="shared" si="87"/>
        <v>351.87962999999996</v>
      </c>
      <c r="DB222" s="217">
        <f t="shared" si="88"/>
        <v>503.44783999999999</v>
      </c>
      <c r="DC222" s="217">
        <f t="shared" si="103"/>
        <v>20860.927469999999</v>
      </c>
      <c r="DD222" s="256">
        <v>11150.89496</v>
      </c>
      <c r="DE222" s="217">
        <f t="shared" si="104"/>
        <v>9710.0325099999991</v>
      </c>
      <c r="DF222" s="185" t="e">
        <f>SUM(DN222:DO222)-SUM(#REF!,BV222)+BU222</f>
        <v>#REF!</v>
      </c>
      <c r="DG222" s="223"/>
      <c r="DH222" s="241">
        <f t="shared" si="105"/>
        <v>0</v>
      </c>
      <c r="DI222" s="241">
        <f t="shared" si="106"/>
        <v>1.5407200000000001</v>
      </c>
      <c r="DJ222" s="241">
        <f t="shared" si="107"/>
        <v>29.076269999999997</v>
      </c>
      <c r="DK222" s="241" t="e">
        <f>SUM(BS222,#REF!,BV222)</f>
        <v>#REF!</v>
      </c>
      <c r="DL222" s="155">
        <v>26690</v>
      </c>
      <c r="DM222" s="155">
        <v>855.32746999999995</v>
      </c>
      <c r="DN222" s="155">
        <v>10012.84359</v>
      </c>
      <c r="DO222" s="155">
        <v>1290.7982</v>
      </c>
      <c r="DP222" s="155">
        <v>12158.96926</v>
      </c>
      <c r="DQ222" s="155">
        <v>14531.03074</v>
      </c>
      <c r="DR222" s="23">
        <f>VLOOKUP(C222,[6]Database!$B$143:$AD$521,29,FALSE)</f>
        <v>10000</v>
      </c>
      <c r="DS222" s="235">
        <f t="shared" si="108"/>
        <v>10005.599999999999</v>
      </c>
    </row>
    <row r="223" spans="1:123" s="23" customFormat="1" ht="24" customHeight="1">
      <c r="A223" s="18"/>
      <c r="B223" s="2">
        <v>189</v>
      </c>
      <c r="C223" s="86" t="s">
        <v>740</v>
      </c>
      <c r="D223" s="86">
        <v>3247</v>
      </c>
      <c r="E223" s="85" t="s">
        <v>883</v>
      </c>
      <c r="F223" s="41">
        <v>2021</v>
      </c>
      <c r="G223" s="42">
        <v>44187</v>
      </c>
      <c r="H223" s="192">
        <v>44242</v>
      </c>
      <c r="I223" s="42"/>
      <c r="J223" s="15">
        <f t="shared" ca="1" si="84"/>
        <v>-1058.4066194444458</v>
      </c>
      <c r="K223" s="177">
        <f t="shared" ref="K223:K229" si="109">IF(H223="","",H223+547)</f>
        <v>44789</v>
      </c>
      <c r="L223" s="177">
        <f t="shared" ref="L223:L229" si="110">IF(H223="","",H223+730)</f>
        <v>44972</v>
      </c>
      <c r="M223" s="177"/>
      <c r="N223" s="183"/>
      <c r="O223" s="183"/>
      <c r="P223" s="183"/>
      <c r="Q223" s="183"/>
      <c r="R223" s="41" t="s">
        <v>176</v>
      </c>
      <c r="S223" s="13" t="s">
        <v>5</v>
      </c>
      <c r="T223" s="41" t="s">
        <v>951</v>
      </c>
      <c r="U223" s="5" t="s">
        <v>8</v>
      </c>
      <c r="V223" s="268">
        <v>3722056</v>
      </c>
      <c r="W223" s="5" t="s">
        <v>614</v>
      </c>
      <c r="X223" s="5" t="s">
        <v>480</v>
      </c>
      <c r="Y223" s="5" t="s">
        <v>729</v>
      </c>
      <c r="Z223" s="3" t="s">
        <v>181</v>
      </c>
      <c r="AA223" s="45" t="s">
        <v>463</v>
      </c>
      <c r="AB223" s="152" t="s">
        <v>1475</v>
      </c>
      <c r="AC223" s="177">
        <v>44742</v>
      </c>
      <c r="AD223" s="177">
        <v>44681</v>
      </c>
      <c r="AE223" s="177">
        <f t="shared" si="101"/>
        <v>44926</v>
      </c>
      <c r="AF223" s="5"/>
      <c r="AG223" s="43"/>
      <c r="AH223" s="228"/>
      <c r="AI223" s="125"/>
      <c r="AJ223" s="125"/>
      <c r="AK223" s="237" t="e">
        <f>SUM(#REF!,BT223,BV223)</f>
        <v>#REF!</v>
      </c>
      <c r="AL223" s="165" t="s">
        <v>1204</v>
      </c>
      <c r="AM223" s="165" t="s">
        <v>1205</v>
      </c>
      <c r="AN223" s="165" t="s">
        <v>1203</v>
      </c>
      <c r="AO223" s="165" t="s">
        <v>602</v>
      </c>
      <c r="AP223" s="165" t="s">
        <v>602</v>
      </c>
      <c r="AQ223" s="165" t="s">
        <v>602</v>
      </c>
      <c r="AR223" s="57"/>
      <c r="AS223" s="56"/>
      <c r="AT223" s="56"/>
      <c r="AU223" s="221">
        <v>46.988000000000099</v>
      </c>
      <c r="AV223" s="47">
        <v>156.626</v>
      </c>
      <c r="AW223" s="47"/>
      <c r="AX223" s="97">
        <f t="shared" si="85"/>
        <v>156.626</v>
      </c>
      <c r="AY223" s="169">
        <f t="shared" si="98"/>
        <v>94.944580000000002</v>
      </c>
      <c r="AZ223" s="196"/>
      <c r="BA223" s="170"/>
      <c r="BB223" s="196">
        <v>0</v>
      </c>
      <c r="BC223" s="170"/>
      <c r="BD223" s="196">
        <v>0</v>
      </c>
      <c r="BE223" s="170">
        <v>0</v>
      </c>
      <c r="BF223" s="196">
        <v>0</v>
      </c>
      <c r="BG223" s="170"/>
      <c r="BH223" s="196">
        <v>0</v>
      </c>
      <c r="BI223" s="170"/>
      <c r="BJ223" s="196">
        <v>0</v>
      </c>
      <c r="BK223" s="170"/>
      <c r="BL223" s="197"/>
      <c r="BM223" s="170"/>
      <c r="BN223" s="197"/>
      <c r="BO223" s="170">
        <v>2.2459699999999998</v>
      </c>
      <c r="BP223" s="196"/>
      <c r="BQ223" s="170">
        <v>2.0996100000000002</v>
      </c>
      <c r="BR223" s="196"/>
      <c r="BS223" s="170">
        <v>1.69316</v>
      </c>
      <c r="BT223" s="196"/>
      <c r="BU223" s="170">
        <v>1.10703</v>
      </c>
      <c r="BV223" s="196">
        <v>97.094350000000006</v>
      </c>
      <c r="BW223" s="251">
        <v>87.798810000000003</v>
      </c>
      <c r="BX223" s="254">
        <v>87.798810000000003</v>
      </c>
      <c r="BY223" s="88">
        <f t="shared" si="99"/>
        <v>56.638200000000005</v>
      </c>
      <c r="BZ223" s="259"/>
      <c r="CA223" s="259"/>
      <c r="CB223" s="259"/>
      <c r="CC223" s="259">
        <v>56.638200000000005</v>
      </c>
      <c r="CD223" s="259"/>
      <c r="CE223" s="259"/>
      <c r="CF223" s="259"/>
      <c r="CG223" s="259"/>
      <c r="CH223" s="259"/>
      <c r="CI223" s="259"/>
      <c r="CJ223" s="259"/>
      <c r="CK223" s="259"/>
      <c r="CL223" s="211">
        <f t="shared" si="102"/>
        <v>0</v>
      </c>
      <c r="CM223" s="213"/>
      <c r="CN223" s="213"/>
      <c r="CO223" s="213"/>
      <c r="CP223" s="213"/>
      <c r="CQ223" s="213"/>
      <c r="CR223" s="213"/>
      <c r="CS223" s="213"/>
      <c r="CT223" s="213"/>
      <c r="CU223" s="213"/>
      <c r="CV223" s="213"/>
      <c r="CW223" s="213"/>
      <c r="CX223" s="213"/>
      <c r="CY223" s="216">
        <f t="shared" si="86"/>
        <v>9.2955400000000026</v>
      </c>
      <c r="CZ223" s="185">
        <f t="shared" si="100"/>
        <v>0</v>
      </c>
      <c r="DA223" s="217">
        <f t="shared" si="87"/>
        <v>7.1457699999999997</v>
      </c>
      <c r="DB223" s="217">
        <f t="shared" si="88"/>
        <v>87.798810000000003</v>
      </c>
      <c r="DC223" s="217">
        <f t="shared" si="103"/>
        <v>151.58278000000001</v>
      </c>
      <c r="DD223" s="256">
        <v>160.87694000000002</v>
      </c>
      <c r="DE223" s="217">
        <f t="shared" si="104"/>
        <v>-9.2941600000000051</v>
      </c>
      <c r="DF223" s="185" t="e">
        <f>SUM(DN223:DO223)-SUM(#REF!,BV223)+BU223</f>
        <v>#REF!</v>
      </c>
      <c r="DG223" s="223"/>
      <c r="DH223" s="241">
        <f t="shared" si="105"/>
        <v>0</v>
      </c>
      <c r="DI223" s="241">
        <f t="shared" si="106"/>
        <v>0</v>
      </c>
      <c r="DJ223" s="241">
        <f t="shared" si="107"/>
        <v>4.34558</v>
      </c>
      <c r="DK223" s="241" t="e">
        <f>SUM(BS223,#REF!,BV223)</f>
        <v>#REF!</v>
      </c>
      <c r="DL223" s="155">
        <v>156.626</v>
      </c>
      <c r="DM223" s="155">
        <v>94.944580000000002</v>
      </c>
      <c r="DN223" s="155">
        <v>5.21591</v>
      </c>
      <c r="DO223" s="155">
        <v>0</v>
      </c>
      <c r="DP223" s="155">
        <v>100.16049000000001</v>
      </c>
      <c r="DQ223" s="155">
        <v>56.465510000000002</v>
      </c>
      <c r="DR223" s="23">
        <f>VLOOKUP(C223,[6]Database!$B$143:$AD$521,29,FALSE)</f>
        <v>56.638200000000005</v>
      </c>
      <c r="DS223" s="235">
        <f t="shared" si="108"/>
        <v>0</v>
      </c>
    </row>
    <row r="224" spans="1:123" s="23" customFormat="1" ht="24" customHeight="1">
      <c r="A224" s="18"/>
      <c r="B224" s="2">
        <v>190</v>
      </c>
      <c r="C224" s="86" t="s">
        <v>739</v>
      </c>
      <c r="D224" s="86">
        <v>997</v>
      </c>
      <c r="E224" s="85" t="s">
        <v>872</v>
      </c>
      <c r="F224" s="41">
        <v>2021</v>
      </c>
      <c r="G224" s="42">
        <v>44187</v>
      </c>
      <c r="H224" s="192">
        <v>44242</v>
      </c>
      <c r="I224" s="42"/>
      <c r="J224" s="15">
        <f t="shared" ca="1" si="84"/>
        <v>-1058.4066194444458</v>
      </c>
      <c r="K224" s="177">
        <f t="shared" si="109"/>
        <v>44789</v>
      </c>
      <c r="L224" s="177">
        <f t="shared" si="110"/>
        <v>44972</v>
      </c>
      <c r="M224" s="177"/>
      <c r="N224" s="183"/>
      <c r="O224" s="183"/>
      <c r="P224" s="183"/>
      <c r="Q224" s="183"/>
      <c r="R224" s="41" t="s">
        <v>176</v>
      </c>
      <c r="S224" s="13" t="s">
        <v>982</v>
      </c>
      <c r="T224" s="41" t="s">
        <v>983</v>
      </c>
      <c r="U224" s="5" t="s">
        <v>8</v>
      </c>
      <c r="V224" s="268">
        <v>3722461</v>
      </c>
      <c r="W224" s="5" t="s">
        <v>614</v>
      </c>
      <c r="X224" s="5" t="s">
        <v>474</v>
      </c>
      <c r="Y224" s="5" t="s">
        <v>735</v>
      </c>
      <c r="Z224" s="85" t="s">
        <v>186</v>
      </c>
      <c r="AA224" s="45" t="s">
        <v>463</v>
      </c>
      <c r="AB224" s="161" t="s">
        <v>1313</v>
      </c>
      <c r="AC224" s="177">
        <v>44620</v>
      </c>
      <c r="AD224" s="177">
        <v>44620</v>
      </c>
      <c r="AE224" s="177">
        <f t="shared" si="101"/>
        <v>44926</v>
      </c>
      <c r="AF224" s="5" t="s">
        <v>1133</v>
      </c>
      <c r="AG224" s="43" t="s">
        <v>1171</v>
      </c>
      <c r="AH224" s="228">
        <v>9.8000000000000004E-2</v>
      </c>
      <c r="AI224" s="125"/>
      <c r="AJ224" s="83" t="s">
        <v>1309</v>
      </c>
      <c r="AK224" s="237" t="e">
        <f>SUM(#REF!,BT224,BV224)</f>
        <v>#REF!</v>
      </c>
      <c r="AL224" s="165" t="s">
        <v>1188</v>
      </c>
      <c r="AM224" s="165" t="s">
        <v>1188</v>
      </c>
      <c r="AN224" s="165" t="s">
        <v>1188</v>
      </c>
      <c r="AO224" s="165" t="s">
        <v>602</v>
      </c>
      <c r="AP224" s="165" t="s">
        <v>602</v>
      </c>
      <c r="AQ224" s="165" t="s">
        <v>602</v>
      </c>
      <c r="AR224" s="57"/>
      <c r="AS224" s="56"/>
      <c r="AT224" s="56"/>
      <c r="AU224" s="56">
        <v>130.1</v>
      </c>
      <c r="AV224" s="47">
        <v>142.84979999999999</v>
      </c>
      <c r="AW224" s="47"/>
      <c r="AX224" s="97">
        <f t="shared" si="85"/>
        <v>142.84979999999999</v>
      </c>
      <c r="AY224" s="169">
        <f t="shared" si="98"/>
        <v>132.13695999999999</v>
      </c>
      <c r="AZ224" s="196"/>
      <c r="BA224" s="170"/>
      <c r="BB224" s="196">
        <v>0</v>
      </c>
      <c r="BC224" s="170"/>
      <c r="BD224" s="196">
        <v>0</v>
      </c>
      <c r="BE224" s="170">
        <v>0</v>
      </c>
      <c r="BF224" s="196">
        <v>0</v>
      </c>
      <c r="BG224" s="170"/>
      <c r="BH224" s="196">
        <v>0</v>
      </c>
      <c r="BI224" s="170">
        <v>6.4592000000000001</v>
      </c>
      <c r="BJ224" s="196">
        <v>5</v>
      </c>
      <c r="BK224" s="170">
        <v>21.832789999999999</v>
      </c>
      <c r="BL224" s="197">
        <v>5</v>
      </c>
      <c r="BM224" s="170">
        <v>35.893419999999999</v>
      </c>
      <c r="BN224" s="197">
        <v>5</v>
      </c>
      <c r="BO224" s="170">
        <v>20.90887</v>
      </c>
      <c r="BP224" s="196">
        <v>4.2911599999999996</v>
      </c>
      <c r="BQ224" s="170">
        <v>20.572240000000001</v>
      </c>
      <c r="BR224" s="196">
        <f>7.5-0.6</f>
        <v>6.9</v>
      </c>
      <c r="BS224" s="170">
        <v>9.7476200000000013</v>
      </c>
      <c r="BT224" s="196">
        <f>23-4.8-10-3.4+0.5</f>
        <v>5.2999999999999989</v>
      </c>
      <c r="BU224" s="170">
        <v>7.9989499999999998</v>
      </c>
      <c r="BV224" s="196">
        <v>10.3</v>
      </c>
      <c r="BW224" s="251">
        <v>8.7238699999999998</v>
      </c>
      <c r="BX224" s="254">
        <v>8.7238699999999998</v>
      </c>
      <c r="BY224" s="88">
        <f t="shared" si="99"/>
        <v>1.6</v>
      </c>
      <c r="BZ224" s="259"/>
      <c r="CA224" s="259"/>
      <c r="CB224" s="259">
        <v>1.6</v>
      </c>
      <c r="CC224" s="259"/>
      <c r="CD224" s="259"/>
      <c r="CE224" s="259"/>
      <c r="CF224" s="259"/>
      <c r="CG224" s="259"/>
      <c r="CH224" s="259"/>
      <c r="CI224" s="259"/>
      <c r="CJ224" s="259"/>
      <c r="CK224" s="259"/>
      <c r="CL224" s="211">
        <f t="shared" si="102"/>
        <v>0</v>
      </c>
      <c r="CM224" s="213"/>
      <c r="CN224" s="213"/>
      <c r="CO224" s="213"/>
      <c r="CP224" s="213"/>
      <c r="CQ224" s="213"/>
      <c r="CR224" s="213"/>
      <c r="CS224" s="213"/>
      <c r="CT224" s="213"/>
      <c r="CU224" s="213"/>
      <c r="CV224" s="213"/>
      <c r="CW224" s="213"/>
      <c r="CX224" s="213"/>
      <c r="CY224" s="216">
        <f t="shared" si="86"/>
        <v>1.5761300000000009</v>
      </c>
      <c r="CZ224" s="185">
        <f t="shared" si="100"/>
        <v>0</v>
      </c>
      <c r="DA224" s="217">
        <f t="shared" si="87"/>
        <v>123.41308999999998</v>
      </c>
      <c r="DB224" s="217">
        <f t="shared" si="88"/>
        <v>8.7238699999999998</v>
      </c>
      <c r="DC224" s="217">
        <f t="shared" si="103"/>
        <v>133.73695999999998</v>
      </c>
      <c r="DD224" s="256">
        <v>129.11413999999999</v>
      </c>
      <c r="DE224" s="217">
        <f t="shared" si="104"/>
        <v>4.6228199999999902</v>
      </c>
      <c r="DF224" s="185" t="e">
        <f>SUM(DN224:DO224)-SUM(#REF!,BV224)+BU224</f>
        <v>#REF!</v>
      </c>
      <c r="DG224" s="223"/>
      <c r="DH224" s="241">
        <f t="shared" si="105"/>
        <v>0</v>
      </c>
      <c r="DI224" s="241">
        <f t="shared" si="106"/>
        <v>28.291989999999998</v>
      </c>
      <c r="DJ224" s="241">
        <f t="shared" si="107"/>
        <v>77.374529999999993</v>
      </c>
      <c r="DK224" s="241" t="e">
        <f>SUM(BS224,#REF!,BV224)</f>
        <v>#REF!</v>
      </c>
      <c r="DL224" s="155">
        <v>142.84979999999999</v>
      </c>
      <c r="DM224" s="155">
        <v>132.13695999999999</v>
      </c>
      <c r="DN224" s="155">
        <v>0</v>
      </c>
      <c r="DO224" s="155">
        <v>4.9621599999999999</v>
      </c>
      <c r="DP224" s="155">
        <v>137.09912</v>
      </c>
      <c r="DQ224" s="155">
        <v>5.75068</v>
      </c>
      <c r="DR224" s="23">
        <f>VLOOKUP(C224,[6]Database!$B$143:$AD$521,29,FALSE)</f>
        <v>0</v>
      </c>
      <c r="DS224" s="235">
        <f t="shared" si="108"/>
        <v>1.6</v>
      </c>
    </row>
    <row r="225" spans="1:123" s="23" customFormat="1" ht="24" customHeight="1">
      <c r="A225" s="18"/>
      <c r="B225" s="2">
        <v>191</v>
      </c>
      <c r="C225" s="86" t="s">
        <v>748</v>
      </c>
      <c r="D225" s="86">
        <v>3032</v>
      </c>
      <c r="E225" s="85" t="s">
        <v>874</v>
      </c>
      <c r="F225" s="41">
        <v>2021</v>
      </c>
      <c r="G225" s="42">
        <v>44188</v>
      </c>
      <c r="H225" s="192">
        <v>44265</v>
      </c>
      <c r="I225" s="42"/>
      <c r="J225" s="15">
        <f t="shared" ca="1" si="84"/>
        <v>-1032.4066194444458</v>
      </c>
      <c r="K225" s="177">
        <f t="shared" si="109"/>
        <v>44812</v>
      </c>
      <c r="L225" s="177">
        <f t="shared" si="110"/>
        <v>44995</v>
      </c>
      <c r="M225" s="177"/>
      <c r="N225" s="183"/>
      <c r="O225" s="183"/>
      <c r="P225" s="183"/>
      <c r="Q225" s="183"/>
      <c r="R225" s="41" t="s">
        <v>176</v>
      </c>
      <c r="S225" s="13" t="s">
        <v>5</v>
      </c>
      <c r="T225" s="41" t="s">
        <v>952</v>
      </c>
      <c r="U225" s="84" t="s">
        <v>8</v>
      </c>
      <c r="V225" s="268">
        <v>3711102</v>
      </c>
      <c r="W225" s="5" t="s">
        <v>614</v>
      </c>
      <c r="X225" s="5" t="s">
        <v>480</v>
      </c>
      <c r="Y225" s="5" t="s">
        <v>730</v>
      </c>
      <c r="Z225" s="3" t="s">
        <v>181</v>
      </c>
      <c r="AA225" s="45" t="s">
        <v>463</v>
      </c>
      <c r="AB225" s="152" t="s">
        <v>1471</v>
      </c>
      <c r="AC225" s="177">
        <v>44620</v>
      </c>
      <c r="AD225" s="177">
        <v>44681</v>
      </c>
      <c r="AE225" s="177">
        <f t="shared" si="101"/>
        <v>44957</v>
      </c>
      <c r="AF225" s="5"/>
      <c r="AG225" s="43"/>
      <c r="AH225" s="228"/>
      <c r="AI225" s="125"/>
      <c r="AJ225" s="125"/>
      <c r="AK225" s="237" t="e">
        <f>SUM(#REF!,BT225,BV225)</f>
        <v>#REF!</v>
      </c>
      <c r="AL225" s="165" t="s">
        <v>1203</v>
      </c>
      <c r="AM225" s="165" t="s">
        <v>1203</v>
      </c>
      <c r="AN225" s="165" t="s">
        <v>1203</v>
      </c>
      <c r="AO225" s="165" t="s">
        <v>602</v>
      </c>
      <c r="AP225" s="165" t="s">
        <v>602</v>
      </c>
      <c r="AQ225" s="165" t="s">
        <v>602</v>
      </c>
      <c r="AR225" s="57"/>
      <c r="AS225" s="56"/>
      <c r="AT225" s="56"/>
      <c r="AU225" s="56">
        <v>102.81099999999998</v>
      </c>
      <c r="AV225" s="47">
        <v>102.81100000000001</v>
      </c>
      <c r="AW225" s="47"/>
      <c r="AX225" s="97">
        <f t="shared" si="85"/>
        <v>102.81100000000001</v>
      </c>
      <c r="AY225" s="169">
        <f t="shared" si="98"/>
        <v>81.889580000000009</v>
      </c>
      <c r="AZ225" s="196"/>
      <c r="BA225" s="170"/>
      <c r="BB225" s="196">
        <v>0</v>
      </c>
      <c r="BC225" s="170"/>
      <c r="BD225" s="196">
        <v>0</v>
      </c>
      <c r="BE225" s="170">
        <v>0</v>
      </c>
      <c r="BF225" s="196">
        <v>0</v>
      </c>
      <c r="BG225" s="170"/>
      <c r="BH225" s="196">
        <v>0</v>
      </c>
      <c r="BI225" s="170"/>
      <c r="BJ225" s="196">
        <v>0</v>
      </c>
      <c r="BK225" s="170"/>
      <c r="BL225" s="197">
        <v>39</v>
      </c>
      <c r="BM225" s="170">
        <v>7.216569999999999</v>
      </c>
      <c r="BN225" s="197">
        <v>52.9</v>
      </c>
      <c r="BO225" s="170">
        <v>4.2919200000000002</v>
      </c>
      <c r="BP225" s="196">
        <v>50.8</v>
      </c>
      <c r="BQ225" s="170">
        <v>42.055040000000005</v>
      </c>
      <c r="BR225" s="196">
        <f>2-1.3</f>
        <v>0.7</v>
      </c>
      <c r="BS225" s="170">
        <v>0.43431999999999998</v>
      </c>
      <c r="BT225" s="196">
        <v>40</v>
      </c>
      <c r="BU225" s="170">
        <v>21.746609999999997</v>
      </c>
      <c r="BV225" s="196">
        <f>1+1.5+0.6</f>
        <v>3.1</v>
      </c>
      <c r="BW225" s="251">
        <v>6.1451200000000004</v>
      </c>
      <c r="BX225" s="254">
        <v>6.1451200000000004</v>
      </c>
      <c r="BY225" s="88">
        <f t="shared" si="99"/>
        <v>12</v>
      </c>
      <c r="BZ225" s="259">
        <v>1</v>
      </c>
      <c r="CA225" s="259">
        <f>12.9+1.2-3.3+0.2</f>
        <v>11</v>
      </c>
      <c r="CB225" s="259"/>
      <c r="CC225" s="259"/>
      <c r="CD225" s="259"/>
      <c r="CE225" s="259"/>
      <c r="CF225" s="259"/>
      <c r="CG225" s="259"/>
      <c r="CH225" s="259"/>
      <c r="CI225" s="259"/>
      <c r="CJ225" s="259"/>
      <c r="CK225" s="259"/>
      <c r="CL225" s="211">
        <f t="shared" si="102"/>
        <v>0</v>
      </c>
      <c r="CM225" s="213"/>
      <c r="CN225" s="213"/>
      <c r="CO225" s="213"/>
      <c r="CP225" s="213"/>
      <c r="CQ225" s="213"/>
      <c r="CR225" s="213"/>
      <c r="CS225" s="213"/>
      <c r="CT225" s="213"/>
      <c r="CU225" s="213"/>
      <c r="CV225" s="213"/>
      <c r="CW225" s="213"/>
      <c r="CX225" s="213"/>
      <c r="CY225" s="216">
        <f t="shared" si="86"/>
        <v>-3.0451200000000003</v>
      </c>
      <c r="CZ225" s="185">
        <f t="shared" si="100"/>
        <v>0</v>
      </c>
      <c r="DA225" s="217">
        <f t="shared" si="87"/>
        <v>75.744460000000004</v>
      </c>
      <c r="DB225" s="217">
        <f t="shared" si="88"/>
        <v>6.1451200000000004</v>
      </c>
      <c r="DC225" s="217">
        <f t="shared" si="103"/>
        <v>93.889580000000009</v>
      </c>
      <c r="DD225" s="256">
        <v>93.99785</v>
      </c>
      <c r="DE225" s="217">
        <f t="shared" si="104"/>
        <v>-0.10826999999999032</v>
      </c>
      <c r="DF225" s="185" t="e">
        <f>SUM(DN225:DO225)-SUM(#REF!,BV225)+BU225</f>
        <v>#REF!</v>
      </c>
      <c r="DG225" s="223"/>
      <c r="DH225" s="241">
        <f t="shared" si="105"/>
        <v>0</v>
      </c>
      <c r="DI225" s="241">
        <f t="shared" si="106"/>
        <v>0</v>
      </c>
      <c r="DJ225" s="241">
        <f t="shared" si="107"/>
        <v>53.56353</v>
      </c>
      <c r="DK225" s="241" t="e">
        <f>SUM(BS225,#REF!,BV225)</f>
        <v>#REF!</v>
      </c>
      <c r="DL225" s="155">
        <v>102.81100000000001</v>
      </c>
      <c r="DM225" s="155">
        <v>81.889579999999995</v>
      </c>
      <c r="DN225" s="155">
        <v>10.584540000000001</v>
      </c>
      <c r="DO225" s="155">
        <v>0</v>
      </c>
      <c r="DP225" s="155">
        <v>92.474119999999999</v>
      </c>
      <c r="DQ225" s="155">
        <v>10.336879999999999</v>
      </c>
      <c r="DR225" s="23">
        <f>VLOOKUP(C225,[6]Database!$B$143:$AD$521,29,FALSE)</f>
        <v>0</v>
      </c>
      <c r="DS225" s="235">
        <f t="shared" si="108"/>
        <v>12</v>
      </c>
    </row>
    <row r="226" spans="1:123" s="23" customFormat="1" ht="24" customHeight="1">
      <c r="A226" s="18"/>
      <c r="B226" s="2">
        <v>192</v>
      </c>
      <c r="C226" s="86" t="s">
        <v>750</v>
      </c>
      <c r="D226" s="86">
        <v>1540</v>
      </c>
      <c r="E226" s="85"/>
      <c r="F226" s="41">
        <v>2021</v>
      </c>
      <c r="G226" s="42">
        <v>44191</v>
      </c>
      <c r="H226" s="42">
        <v>44295</v>
      </c>
      <c r="I226" s="42">
        <v>44557</v>
      </c>
      <c r="J226" s="15">
        <f t="shared" ca="1" si="84"/>
        <v>262</v>
      </c>
      <c r="K226" s="177">
        <f t="shared" si="109"/>
        <v>44842</v>
      </c>
      <c r="L226" s="177">
        <f t="shared" si="110"/>
        <v>45025</v>
      </c>
      <c r="M226" s="177"/>
      <c r="N226" s="183"/>
      <c r="O226" s="183"/>
      <c r="P226" s="183"/>
      <c r="Q226" s="183"/>
      <c r="R226" s="41" t="s">
        <v>176</v>
      </c>
      <c r="S226" s="13" t="s">
        <v>224</v>
      </c>
      <c r="T226" s="41" t="s">
        <v>956</v>
      </c>
      <c r="U226" s="5" t="s">
        <v>8</v>
      </c>
      <c r="V226" s="268">
        <v>3753624</v>
      </c>
      <c r="W226" s="5" t="s">
        <v>614</v>
      </c>
      <c r="X226" s="5" t="s">
        <v>481</v>
      </c>
      <c r="Y226" s="5" t="s">
        <v>732</v>
      </c>
      <c r="Z226" s="85" t="s">
        <v>316</v>
      </c>
      <c r="AA226" s="45" t="s">
        <v>195</v>
      </c>
      <c r="AB226" s="152" t="s">
        <v>1512</v>
      </c>
      <c r="AC226" s="177" t="s">
        <v>6</v>
      </c>
      <c r="AD226" s="177">
        <v>44530</v>
      </c>
      <c r="AE226" s="177">
        <f t="shared" si="101"/>
        <v>44985</v>
      </c>
      <c r="AF226" s="5"/>
      <c r="AG226" s="43"/>
      <c r="AH226" s="228"/>
      <c r="AI226" s="125"/>
      <c r="AJ226" s="83"/>
      <c r="AK226" s="237" t="e">
        <f>SUM(#REF!,BT226,BV226)</f>
        <v>#REF!</v>
      </c>
      <c r="AL226" s="165" t="s">
        <v>1192</v>
      </c>
      <c r="AM226" s="165" t="s">
        <v>1188</v>
      </c>
      <c r="AN226" s="165" t="s">
        <v>6</v>
      </c>
      <c r="AO226" s="165" t="s">
        <v>602</v>
      </c>
      <c r="AP226" s="165" t="s">
        <v>602</v>
      </c>
      <c r="AQ226" s="165" t="s">
        <v>602</v>
      </c>
      <c r="AR226" s="57"/>
      <c r="AS226" s="56"/>
      <c r="AT226" s="56"/>
      <c r="AU226" s="56">
        <v>0</v>
      </c>
      <c r="AV226" s="47">
        <v>75.397319999999993</v>
      </c>
      <c r="AW226" s="47"/>
      <c r="AX226" s="97">
        <f t="shared" si="85"/>
        <v>75.397319999999993</v>
      </c>
      <c r="AY226" s="169">
        <f t="shared" si="98"/>
        <v>65.23384999999999</v>
      </c>
      <c r="AZ226" s="196"/>
      <c r="BA226" s="170"/>
      <c r="BB226" s="196">
        <v>0</v>
      </c>
      <c r="BC226" s="170"/>
      <c r="BD226" s="196">
        <v>0</v>
      </c>
      <c r="BE226" s="170">
        <v>0</v>
      </c>
      <c r="BF226" s="196">
        <v>0</v>
      </c>
      <c r="BG226" s="170"/>
      <c r="BH226" s="196">
        <v>0</v>
      </c>
      <c r="BI226" s="170"/>
      <c r="BJ226" s="196">
        <v>0</v>
      </c>
      <c r="BK226" s="170"/>
      <c r="BL226" s="197">
        <v>30</v>
      </c>
      <c r="BM226" s="170">
        <v>5.2233400000000003</v>
      </c>
      <c r="BN226" s="197">
        <v>38</v>
      </c>
      <c r="BO226" s="170">
        <v>9.0752699999999997</v>
      </c>
      <c r="BP226" s="196">
        <v>45.2</v>
      </c>
      <c r="BQ226" s="170">
        <v>35.910849999999996</v>
      </c>
      <c r="BR226" s="196">
        <f>9.9-0.6</f>
        <v>9.3000000000000007</v>
      </c>
      <c r="BS226" s="170">
        <v>13.27599</v>
      </c>
      <c r="BT226" s="196">
        <v>1.8</v>
      </c>
      <c r="BU226" s="170"/>
      <c r="BV226" s="196">
        <v>1.8</v>
      </c>
      <c r="BW226" s="251">
        <v>1.7484000000000002</v>
      </c>
      <c r="BX226" s="254">
        <v>1.7484000000000002</v>
      </c>
      <c r="BY226" s="88">
        <f t="shared" si="99"/>
        <v>0</v>
      </c>
      <c r="BZ226" s="259"/>
      <c r="CA226" s="259"/>
      <c r="CB226" s="259"/>
      <c r="CC226" s="259"/>
      <c r="CD226" s="259"/>
      <c r="CE226" s="259"/>
      <c r="CF226" s="259"/>
      <c r="CG226" s="259"/>
      <c r="CH226" s="259"/>
      <c r="CI226" s="259"/>
      <c r="CJ226" s="259"/>
      <c r="CK226" s="259"/>
      <c r="CL226" s="211">
        <f t="shared" si="102"/>
        <v>0</v>
      </c>
      <c r="CM226" s="213"/>
      <c r="CN226" s="213"/>
      <c r="CO226" s="213"/>
      <c r="CP226" s="213"/>
      <c r="CQ226" s="213"/>
      <c r="CR226" s="213"/>
      <c r="CS226" s="213"/>
      <c r="CT226" s="213"/>
      <c r="CU226" s="213"/>
      <c r="CV226" s="213"/>
      <c r="CW226" s="213"/>
      <c r="CX226" s="213"/>
      <c r="CY226" s="216">
        <f t="shared" si="86"/>
        <v>5.1599999999999868E-2</v>
      </c>
      <c r="CZ226" s="185">
        <f t="shared" si="100"/>
        <v>0</v>
      </c>
      <c r="DA226" s="217">
        <f t="shared" si="87"/>
        <v>63.485449999999993</v>
      </c>
      <c r="DB226" s="217">
        <f t="shared" si="88"/>
        <v>1.7484000000000002</v>
      </c>
      <c r="DC226" s="217">
        <f t="shared" si="103"/>
        <v>65.23384999999999</v>
      </c>
      <c r="DD226" s="256">
        <v>65.285449999999997</v>
      </c>
      <c r="DE226" s="217">
        <f t="shared" si="104"/>
        <v>-5.160000000000764E-2</v>
      </c>
      <c r="DF226" s="185" t="e">
        <f>SUM(DN226:DO226)-SUM(#REF!,BV226)+BU226</f>
        <v>#REF!</v>
      </c>
      <c r="DG226" s="223"/>
      <c r="DH226" s="241">
        <f t="shared" si="105"/>
        <v>0</v>
      </c>
      <c r="DI226" s="241">
        <f t="shared" si="106"/>
        <v>0</v>
      </c>
      <c r="DJ226" s="241">
        <f t="shared" si="107"/>
        <v>50.209459999999993</v>
      </c>
      <c r="DK226" s="241" t="e">
        <f>SUM(BS226,#REF!,BV226)</f>
        <v>#REF!</v>
      </c>
      <c r="DL226" s="155">
        <v>75.397320000000008</v>
      </c>
      <c r="DM226" s="155">
        <v>65.233850000000004</v>
      </c>
      <c r="DN226" s="155">
        <v>0</v>
      </c>
      <c r="DO226" s="155">
        <v>0</v>
      </c>
      <c r="DP226" s="155">
        <v>65.233850000000004</v>
      </c>
      <c r="DQ226" s="155">
        <v>10.16347</v>
      </c>
      <c r="DR226" s="23">
        <f>VLOOKUP(C226,[6]Database!$B$143:$AD$521,29,FALSE)</f>
        <v>0</v>
      </c>
      <c r="DS226" s="235">
        <f t="shared" si="108"/>
        <v>0</v>
      </c>
    </row>
    <row r="227" spans="1:123" s="23" customFormat="1" ht="24" customHeight="1">
      <c r="A227" s="18"/>
      <c r="B227" s="2"/>
      <c r="C227" s="86" t="s">
        <v>1094</v>
      </c>
      <c r="D227" s="86"/>
      <c r="E227" s="85"/>
      <c r="F227" s="41">
        <v>2021</v>
      </c>
      <c r="G227" s="42"/>
      <c r="H227" s="42"/>
      <c r="I227" s="42"/>
      <c r="J227" s="15" t="str">
        <f t="shared" ca="1" si="84"/>
        <v/>
      </c>
      <c r="K227" s="177" t="str">
        <f t="shared" si="109"/>
        <v/>
      </c>
      <c r="L227" s="177" t="str">
        <f t="shared" si="110"/>
        <v/>
      </c>
      <c r="M227" s="177"/>
      <c r="N227" s="183"/>
      <c r="O227" s="183"/>
      <c r="P227" s="183"/>
      <c r="Q227" s="183"/>
      <c r="R227" s="41" t="s">
        <v>176</v>
      </c>
      <c r="S227" s="13" t="s">
        <v>982</v>
      </c>
      <c r="T227" s="43" t="s">
        <v>977</v>
      </c>
      <c r="U227" s="5" t="s">
        <v>727</v>
      </c>
      <c r="V227" s="268"/>
      <c r="W227" s="5" t="s">
        <v>614</v>
      </c>
      <c r="X227" s="5" t="s">
        <v>474</v>
      </c>
      <c r="Y227" s="5" t="s">
        <v>1446</v>
      </c>
      <c r="Z227" s="3" t="s">
        <v>185</v>
      </c>
      <c r="AA227" s="45" t="s">
        <v>733</v>
      </c>
      <c r="AB227" s="152" t="s">
        <v>1093</v>
      </c>
      <c r="AC227" s="177"/>
      <c r="AD227" s="177"/>
      <c r="AE227" s="177" t="str">
        <f t="shared" si="101"/>
        <v/>
      </c>
      <c r="AF227" s="5"/>
      <c r="AG227" s="43"/>
      <c r="AH227" s="228"/>
      <c r="AI227" s="125"/>
      <c r="AJ227" s="125"/>
      <c r="AK227" s="237" t="e">
        <f>SUM(#REF!,BT227,BV227)</f>
        <v>#REF!</v>
      </c>
      <c r="AL227" s="165"/>
      <c r="AM227" s="165"/>
      <c r="AN227" s="165"/>
      <c r="AO227" s="165"/>
      <c r="AP227" s="165"/>
      <c r="AQ227" s="165"/>
      <c r="AR227" s="57"/>
      <c r="AS227" s="56"/>
      <c r="AT227" s="56"/>
      <c r="AU227" s="221">
        <v>30</v>
      </c>
      <c r="AV227" s="47"/>
      <c r="AW227" s="47"/>
      <c r="AX227" s="97">
        <f t="shared" si="85"/>
        <v>0</v>
      </c>
      <c r="AY227" s="169">
        <f t="shared" si="98"/>
        <v>0</v>
      </c>
      <c r="AZ227" s="196"/>
      <c r="BA227" s="170"/>
      <c r="BB227" s="196"/>
      <c r="BC227" s="170"/>
      <c r="BD227" s="196"/>
      <c r="BE227" s="170"/>
      <c r="BF227" s="196"/>
      <c r="BG227" s="170"/>
      <c r="BH227" s="196"/>
      <c r="BI227" s="170"/>
      <c r="BJ227" s="196"/>
      <c r="BK227" s="170"/>
      <c r="BL227" s="197"/>
      <c r="BM227" s="170"/>
      <c r="BN227" s="197"/>
      <c r="BO227" s="170"/>
      <c r="BP227" s="196"/>
      <c r="BQ227" s="170"/>
      <c r="BR227" s="196"/>
      <c r="BS227" s="170"/>
      <c r="BT227" s="196"/>
      <c r="BU227" s="170"/>
      <c r="BV227" s="196"/>
      <c r="BW227" s="251"/>
      <c r="BX227" s="254"/>
      <c r="BY227" s="88">
        <f t="shared" si="99"/>
        <v>0</v>
      </c>
      <c r="BZ227" s="259"/>
      <c r="CA227" s="259"/>
      <c r="CB227" s="259"/>
      <c r="CC227" s="259"/>
      <c r="CD227" s="259"/>
      <c r="CE227" s="259"/>
      <c r="CF227" s="259"/>
      <c r="CG227" s="259"/>
      <c r="CH227" s="259"/>
      <c r="CI227" s="259"/>
      <c r="CJ227" s="259"/>
      <c r="CK227" s="259"/>
      <c r="CL227" s="211">
        <f t="shared" si="102"/>
        <v>0</v>
      </c>
      <c r="CM227" s="213"/>
      <c r="CN227" s="213"/>
      <c r="CO227" s="213"/>
      <c r="CP227" s="213"/>
      <c r="CQ227" s="213"/>
      <c r="CR227" s="213"/>
      <c r="CS227" s="213"/>
      <c r="CT227" s="213"/>
      <c r="CU227" s="213"/>
      <c r="CV227" s="213"/>
      <c r="CW227" s="213"/>
      <c r="CX227" s="213"/>
      <c r="CY227" s="216">
        <f t="shared" si="86"/>
        <v>0</v>
      </c>
      <c r="CZ227" s="185">
        <f t="shared" si="100"/>
        <v>0</v>
      </c>
      <c r="DA227" s="217">
        <f t="shared" si="87"/>
        <v>0</v>
      </c>
      <c r="DB227" s="217">
        <f t="shared" si="88"/>
        <v>0</v>
      </c>
      <c r="DC227" s="217">
        <f t="shared" si="103"/>
        <v>0</v>
      </c>
      <c r="DD227" s="256">
        <v>0</v>
      </c>
      <c r="DE227" s="217">
        <f t="shared" si="104"/>
        <v>0</v>
      </c>
      <c r="DF227" s="185" t="e">
        <f>SUM(DN227:DO227)-SUM(#REF!,BV227)+BU227</f>
        <v>#REF!</v>
      </c>
      <c r="DG227" s="223"/>
      <c r="DH227" s="241">
        <f t="shared" si="105"/>
        <v>0</v>
      </c>
      <c r="DI227" s="241">
        <f t="shared" si="106"/>
        <v>0</v>
      </c>
      <c r="DJ227" s="241">
        <f t="shared" si="107"/>
        <v>0</v>
      </c>
      <c r="DK227" s="241" t="e">
        <f>SUM(BS227,#REF!,BV227)</f>
        <v>#REF!</v>
      </c>
      <c r="DL227" s="155">
        <v>0</v>
      </c>
      <c r="DM227" s="155">
        <v>0</v>
      </c>
      <c r="DN227" s="155">
        <v>0</v>
      </c>
      <c r="DO227" s="155">
        <v>0</v>
      </c>
      <c r="DP227" s="155">
        <v>0</v>
      </c>
      <c r="DQ227" s="155">
        <v>0</v>
      </c>
      <c r="DS227" s="235">
        <f t="shared" si="108"/>
        <v>0</v>
      </c>
    </row>
    <row r="228" spans="1:123" s="23" customFormat="1" ht="24" customHeight="1">
      <c r="A228" s="18"/>
      <c r="B228" s="2">
        <v>195</v>
      </c>
      <c r="C228" s="86" t="s">
        <v>720</v>
      </c>
      <c r="D228" s="242" t="s">
        <v>602</v>
      </c>
      <c r="E228" s="85"/>
      <c r="F228" s="41">
        <v>2021</v>
      </c>
      <c r="G228" s="42">
        <v>44209</v>
      </c>
      <c r="H228" s="192">
        <v>44227</v>
      </c>
      <c r="I228" s="42"/>
      <c r="J228" s="15">
        <f t="shared" ca="1" si="84"/>
        <v>-1073.4066194444458</v>
      </c>
      <c r="K228" s="177">
        <f t="shared" si="109"/>
        <v>44774</v>
      </c>
      <c r="L228" s="177">
        <f t="shared" si="110"/>
        <v>44957</v>
      </c>
      <c r="M228" s="177"/>
      <c r="N228" s="183"/>
      <c r="O228" s="183"/>
      <c r="P228" s="183"/>
      <c r="Q228" s="183"/>
      <c r="R228" s="41" t="s">
        <v>178</v>
      </c>
      <c r="S228" s="13" t="s">
        <v>223</v>
      </c>
      <c r="T228" s="41"/>
      <c r="U228" s="5" t="s">
        <v>8</v>
      </c>
      <c r="V228" s="268">
        <v>3631637</v>
      </c>
      <c r="W228" s="5" t="s">
        <v>614</v>
      </c>
      <c r="X228" s="5" t="s">
        <v>481</v>
      </c>
      <c r="Y228" s="5" t="s">
        <v>722</v>
      </c>
      <c r="Z228" s="3" t="s">
        <v>188</v>
      </c>
      <c r="AA228" s="45" t="s">
        <v>463</v>
      </c>
      <c r="AB228" s="152" t="s">
        <v>1275</v>
      </c>
      <c r="AC228" s="177">
        <v>44742</v>
      </c>
      <c r="AD228" s="177">
        <v>44560</v>
      </c>
      <c r="AE228" s="177">
        <f t="shared" si="101"/>
        <v>44895</v>
      </c>
      <c r="AF228" s="5"/>
      <c r="AG228" s="43"/>
      <c r="AH228" s="228"/>
      <c r="AI228" s="125"/>
      <c r="AJ228" s="125"/>
      <c r="AK228" s="237" t="e">
        <f>SUM(#REF!,BT228,BV228)</f>
        <v>#REF!</v>
      </c>
      <c r="AL228" s="165" t="s">
        <v>1195</v>
      </c>
      <c r="AM228" s="165" t="s">
        <v>1188</v>
      </c>
      <c r="AN228" s="165" t="s">
        <v>6</v>
      </c>
      <c r="AO228" s="165" t="s">
        <v>602</v>
      </c>
      <c r="AP228" s="165" t="s">
        <v>602</v>
      </c>
      <c r="AQ228" s="165" t="s">
        <v>602</v>
      </c>
      <c r="AR228" s="57"/>
      <c r="AS228" s="56"/>
      <c r="AT228" s="56"/>
      <c r="AU228" s="56">
        <v>772.5</v>
      </c>
      <c r="AV228" s="47">
        <v>772.53399999999999</v>
      </c>
      <c r="AW228" s="47">
        <v>551.63499999999999</v>
      </c>
      <c r="AX228" s="97">
        <f t="shared" si="85"/>
        <v>1324.1689999999999</v>
      </c>
      <c r="AY228" s="169">
        <f t="shared" si="98"/>
        <v>588.60167000000001</v>
      </c>
      <c r="AZ228" s="196">
        <v>0</v>
      </c>
      <c r="BA228" s="170">
        <v>0</v>
      </c>
      <c r="BB228" s="196">
        <v>0</v>
      </c>
      <c r="BC228" s="170"/>
      <c r="BD228" s="196">
        <v>0</v>
      </c>
      <c r="BE228" s="170">
        <v>0</v>
      </c>
      <c r="BF228" s="196">
        <v>0</v>
      </c>
      <c r="BG228" s="170"/>
      <c r="BH228" s="196">
        <v>0</v>
      </c>
      <c r="BI228" s="170"/>
      <c r="BJ228" s="196">
        <v>150</v>
      </c>
      <c r="BK228" s="170">
        <v>292.84548000000001</v>
      </c>
      <c r="BL228" s="197">
        <v>145</v>
      </c>
      <c r="BM228" s="170">
        <v>88.072580000000002</v>
      </c>
      <c r="BN228" s="197">
        <v>155</v>
      </c>
      <c r="BO228" s="170">
        <v>169.75513999999998</v>
      </c>
      <c r="BP228" s="196">
        <v>26</v>
      </c>
      <c r="BQ228" s="170">
        <v>12.649700000000001</v>
      </c>
      <c r="BR228" s="196">
        <f>9.4-0.3</f>
        <v>9.1</v>
      </c>
      <c r="BS228" s="170">
        <v>7.9863999999999997</v>
      </c>
      <c r="BT228" s="196"/>
      <c r="BU228" s="170">
        <v>3.4172200000000004</v>
      </c>
      <c r="BV228" s="196">
        <f>45-1.7+0.3</f>
        <v>43.599999999999994</v>
      </c>
      <c r="BW228" s="251">
        <v>13.875149999999998</v>
      </c>
      <c r="BX228" s="254">
        <v>13.875149999999998</v>
      </c>
      <c r="BY228" s="88">
        <f t="shared" si="99"/>
        <v>29.749279999999999</v>
      </c>
      <c r="BZ228" s="259"/>
      <c r="CA228" s="259">
        <f>29.54928+0.2</f>
        <v>29.749279999999999</v>
      </c>
      <c r="CB228" s="259"/>
      <c r="CC228" s="259"/>
      <c r="CD228" s="259"/>
      <c r="CE228" s="259"/>
      <c r="CF228" s="259"/>
      <c r="CG228" s="259"/>
      <c r="CH228" s="259"/>
      <c r="CI228" s="259"/>
      <c r="CJ228" s="259"/>
      <c r="CK228" s="259"/>
      <c r="CL228" s="211">
        <f t="shared" si="102"/>
        <v>0</v>
      </c>
      <c r="CM228" s="213"/>
      <c r="CN228" s="213"/>
      <c r="CO228" s="213"/>
      <c r="CP228" s="213"/>
      <c r="CQ228" s="213"/>
      <c r="CR228" s="213"/>
      <c r="CS228" s="213"/>
      <c r="CT228" s="213"/>
      <c r="CU228" s="213"/>
      <c r="CV228" s="213"/>
      <c r="CW228" s="213"/>
      <c r="CX228" s="213"/>
      <c r="CY228" s="216">
        <f t="shared" si="86"/>
        <v>29.724849999999996</v>
      </c>
      <c r="CZ228" s="185">
        <f t="shared" si="100"/>
        <v>0</v>
      </c>
      <c r="DA228" s="217">
        <f t="shared" si="87"/>
        <v>574.72652000000005</v>
      </c>
      <c r="DB228" s="217">
        <f t="shared" si="88"/>
        <v>13.875149999999998</v>
      </c>
      <c r="DC228" s="217">
        <f t="shared" si="103"/>
        <v>618.35095000000001</v>
      </c>
      <c r="DD228" s="256">
        <v>620.20929999999998</v>
      </c>
      <c r="DE228" s="217">
        <f t="shared" si="104"/>
        <v>-1.8583499999999731</v>
      </c>
      <c r="DF228" s="185" t="e">
        <f>SUM(DN228:DO228)-SUM(#REF!,BV228)+BU228</f>
        <v>#REF!</v>
      </c>
      <c r="DG228" s="223"/>
      <c r="DH228" s="241">
        <f t="shared" si="105"/>
        <v>0</v>
      </c>
      <c r="DI228" s="241">
        <f t="shared" si="106"/>
        <v>292.84548000000001</v>
      </c>
      <c r="DJ228" s="241">
        <f t="shared" si="107"/>
        <v>270.47742</v>
      </c>
      <c r="DK228" s="241" t="e">
        <f>SUM(BS228,#REF!,BV228)</f>
        <v>#REF!</v>
      </c>
      <c r="DL228" s="155">
        <v>772.53399999999999</v>
      </c>
      <c r="DM228" s="155">
        <v>588.60167000000001</v>
      </c>
      <c r="DN228" s="155">
        <v>36.782620000000001</v>
      </c>
      <c r="DO228" s="155">
        <v>0</v>
      </c>
      <c r="DP228" s="155">
        <v>625.38429000000008</v>
      </c>
      <c r="DQ228" s="155">
        <v>147.14971</v>
      </c>
      <c r="DR228" s="23">
        <f>VLOOKUP(C228,[6]Database!$B$143:$AD$521,29,FALSE)</f>
        <v>0</v>
      </c>
      <c r="DS228" s="235">
        <f t="shared" si="108"/>
        <v>29.749279999999999</v>
      </c>
    </row>
    <row r="229" spans="1:123" s="23" customFormat="1" ht="24" customHeight="1">
      <c r="A229" s="18"/>
      <c r="B229" s="2">
        <v>196</v>
      </c>
      <c r="C229" s="86" t="s">
        <v>749</v>
      </c>
      <c r="D229" s="86">
        <v>973</v>
      </c>
      <c r="E229" s="85"/>
      <c r="F229" s="41">
        <v>2021</v>
      </c>
      <c r="G229" s="42">
        <v>44209</v>
      </c>
      <c r="H229" s="192">
        <v>44266</v>
      </c>
      <c r="I229" s="42"/>
      <c r="J229" s="15">
        <f t="shared" ca="1" si="84"/>
        <v>-1031.4066194444458</v>
      </c>
      <c r="K229" s="177">
        <f t="shared" si="109"/>
        <v>44813</v>
      </c>
      <c r="L229" s="177">
        <f t="shared" si="110"/>
        <v>44996</v>
      </c>
      <c r="M229" s="177"/>
      <c r="N229" s="183"/>
      <c r="O229" s="183"/>
      <c r="P229" s="183"/>
      <c r="Q229" s="183"/>
      <c r="R229" s="41" t="s">
        <v>176</v>
      </c>
      <c r="S229" s="13" t="s">
        <v>224</v>
      </c>
      <c r="T229" s="41" t="s">
        <v>965</v>
      </c>
      <c r="U229" s="84" t="s">
        <v>8</v>
      </c>
      <c r="V229" s="268">
        <v>3675973</v>
      </c>
      <c r="W229" s="5" t="s">
        <v>614</v>
      </c>
      <c r="X229" s="5" t="s">
        <v>946</v>
      </c>
      <c r="Y229" s="5" t="s">
        <v>731</v>
      </c>
      <c r="Z229" s="3" t="s">
        <v>181</v>
      </c>
      <c r="AA229" s="45" t="s">
        <v>463</v>
      </c>
      <c r="AB229" s="152" t="s">
        <v>1481</v>
      </c>
      <c r="AC229" s="177">
        <v>44620</v>
      </c>
      <c r="AD229" s="177">
        <v>44561</v>
      </c>
      <c r="AE229" s="177">
        <f t="shared" si="101"/>
        <v>44957</v>
      </c>
      <c r="AF229" s="5"/>
      <c r="AG229" s="43"/>
      <c r="AH229" s="228"/>
      <c r="AI229" s="125" t="s">
        <v>811</v>
      </c>
      <c r="AJ229" s="125"/>
      <c r="AK229" s="237" t="e">
        <f>SUM(#REF!,BT229,BV229)</f>
        <v>#REF!</v>
      </c>
      <c r="AL229" s="165" t="s">
        <v>1209</v>
      </c>
      <c r="AM229" s="165" t="s">
        <v>1210</v>
      </c>
      <c r="AN229" s="165" t="s">
        <v>1211</v>
      </c>
      <c r="AO229" s="165" t="s">
        <v>1212</v>
      </c>
      <c r="AP229" s="278">
        <v>44470</v>
      </c>
      <c r="AQ229" s="165" t="s">
        <v>1213</v>
      </c>
      <c r="AR229" s="57"/>
      <c r="AS229" s="56"/>
      <c r="AT229" s="56"/>
      <c r="AU229" s="221">
        <v>221.2</v>
      </c>
      <c r="AV229" s="47">
        <v>241.2</v>
      </c>
      <c r="AW229" s="47">
        <v>8.5</v>
      </c>
      <c r="AX229" s="97">
        <f t="shared" si="85"/>
        <v>249.7</v>
      </c>
      <c r="AY229" s="169">
        <f t="shared" si="98"/>
        <v>202.93444000000002</v>
      </c>
      <c r="AZ229" s="196"/>
      <c r="BA229" s="170"/>
      <c r="BB229" s="196">
        <v>0</v>
      </c>
      <c r="BC229" s="170"/>
      <c r="BD229" s="196">
        <v>0</v>
      </c>
      <c r="BE229" s="170">
        <v>0</v>
      </c>
      <c r="BF229" s="196">
        <v>0</v>
      </c>
      <c r="BG229" s="170"/>
      <c r="BH229" s="196">
        <v>0</v>
      </c>
      <c r="BI229" s="170"/>
      <c r="BJ229" s="196">
        <v>0</v>
      </c>
      <c r="BK229" s="170"/>
      <c r="BL229" s="197"/>
      <c r="BM229" s="170">
        <v>1.45123</v>
      </c>
      <c r="BN229" s="197"/>
      <c r="BO229" s="170"/>
      <c r="BP229" s="196">
        <v>169.4</v>
      </c>
      <c r="BQ229" s="170">
        <v>172.56645</v>
      </c>
      <c r="BR229" s="196">
        <v>17.433549999999997</v>
      </c>
      <c r="BS229" s="170">
        <v>3.83195</v>
      </c>
      <c r="BT229" s="196">
        <f>24.7+14.8-1.2</f>
        <v>38.299999999999997</v>
      </c>
      <c r="BU229" s="170">
        <v>21.317699999999999</v>
      </c>
      <c r="BV229" s="196">
        <v>2.7</v>
      </c>
      <c r="BW229" s="251">
        <v>3.7671100000000006</v>
      </c>
      <c r="BX229" s="254">
        <v>3.7671100000000006</v>
      </c>
      <c r="BY229" s="88">
        <f t="shared" si="99"/>
        <v>0</v>
      </c>
      <c r="BZ229" s="259"/>
      <c r="CA229" s="259"/>
      <c r="CB229" s="259"/>
      <c r="CC229" s="259"/>
      <c r="CD229" s="259"/>
      <c r="CE229" s="259"/>
      <c r="CF229" s="259"/>
      <c r="CG229" s="259"/>
      <c r="CH229" s="259"/>
      <c r="CI229" s="259"/>
      <c r="CJ229" s="259"/>
      <c r="CK229" s="259"/>
      <c r="CL229" s="211">
        <f t="shared" si="102"/>
        <v>0</v>
      </c>
      <c r="CM229" s="213"/>
      <c r="CN229" s="213"/>
      <c r="CO229" s="213"/>
      <c r="CP229" s="213"/>
      <c r="CQ229" s="213"/>
      <c r="CR229" s="213"/>
      <c r="CS229" s="213"/>
      <c r="CT229" s="213"/>
      <c r="CU229" s="213"/>
      <c r="CV229" s="213"/>
      <c r="CW229" s="213"/>
      <c r="CX229" s="213"/>
      <c r="CY229" s="216">
        <f t="shared" si="86"/>
        <v>-1.0671100000000004</v>
      </c>
      <c r="CZ229" s="185">
        <f t="shared" si="100"/>
        <v>0</v>
      </c>
      <c r="DA229" s="217">
        <f t="shared" si="87"/>
        <v>199.16733000000002</v>
      </c>
      <c r="DB229" s="217">
        <f t="shared" si="88"/>
        <v>3.7671100000000006</v>
      </c>
      <c r="DC229" s="217">
        <f t="shared" si="103"/>
        <v>202.93444000000002</v>
      </c>
      <c r="DD229" s="256">
        <v>240.84962999999999</v>
      </c>
      <c r="DE229" s="217">
        <f t="shared" si="104"/>
        <v>-37.915189999999967</v>
      </c>
      <c r="DF229" s="185" t="e">
        <f>SUM(DN229:DO229)-SUM(#REF!,BV229)+BU229</f>
        <v>#REF!</v>
      </c>
      <c r="DG229" s="247" t="s">
        <v>1288</v>
      </c>
      <c r="DH229" s="241">
        <f t="shared" si="105"/>
        <v>0</v>
      </c>
      <c r="DI229" s="241">
        <f t="shared" si="106"/>
        <v>0</v>
      </c>
      <c r="DJ229" s="241">
        <f t="shared" si="107"/>
        <v>174.01768000000001</v>
      </c>
      <c r="DK229" s="241" t="e">
        <f>SUM(BS229,#REF!,BV229)</f>
        <v>#REF!</v>
      </c>
      <c r="DL229" s="155">
        <v>241.2</v>
      </c>
      <c r="DM229" s="155">
        <v>202.93444</v>
      </c>
      <c r="DN229" s="155">
        <v>5.8590000000000003E-2</v>
      </c>
      <c r="DO229" s="155">
        <v>27</v>
      </c>
      <c r="DP229" s="155">
        <v>229.99303</v>
      </c>
      <c r="DQ229" s="155">
        <v>11.20697</v>
      </c>
      <c r="DR229" s="23">
        <f>VLOOKUP(C229,[6]Database!$B$143:$AD$521,29,FALSE)</f>
        <v>0</v>
      </c>
      <c r="DS229" s="235">
        <f t="shared" si="108"/>
        <v>0</v>
      </c>
    </row>
    <row r="230" spans="1:123" s="23" customFormat="1" ht="24" customHeight="1">
      <c r="A230" s="18"/>
      <c r="B230" s="2">
        <v>198</v>
      </c>
      <c r="C230" s="86" t="s">
        <v>751</v>
      </c>
      <c r="D230" s="242" t="s">
        <v>602</v>
      </c>
      <c r="E230" s="85"/>
      <c r="F230" s="41">
        <v>2021</v>
      </c>
      <c r="G230" s="42">
        <v>44251</v>
      </c>
      <c r="H230" s="192">
        <v>44273</v>
      </c>
      <c r="I230" s="42">
        <v>44553</v>
      </c>
      <c r="J230" s="15">
        <f t="shared" ca="1" si="84"/>
        <v>280</v>
      </c>
      <c r="K230" s="177">
        <v>44561</v>
      </c>
      <c r="L230" s="177">
        <v>44651</v>
      </c>
      <c r="M230" s="177"/>
      <c r="N230" s="183" t="s">
        <v>609</v>
      </c>
      <c r="O230" s="183"/>
      <c r="P230" s="276" t="s">
        <v>1395</v>
      </c>
      <c r="Q230" s="183"/>
      <c r="R230" s="41" t="s">
        <v>177</v>
      </c>
      <c r="S230" s="13"/>
      <c r="T230" s="41"/>
      <c r="U230" s="5" t="s">
        <v>8</v>
      </c>
      <c r="V230" s="268">
        <v>3753725</v>
      </c>
      <c r="W230" s="5" t="s">
        <v>614</v>
      </c>
      <c r="X230" s="5" t="s">
        <v>476</v>
      </c>
      <c r="Y230" s="5" t="s">
        <v>742</v>
      </c>
      <c r="Z230" s="3" t="s">
        <v>181</v>
      </c>
      <c r="AA230" s="45" t="s">
        <v>218</v>
      </c>
      <c r="AB230" s="152" t="s">
        <v>197</v>
      </c>
      <c r="AC230" s="177" t="s">
        <v>6</v>
      </c>
      <c r="AD230" s="177">
        <v>44561</v>
      </c>
      <c r="AE230" s="177" t="s">
        <v>6</v>
      </c>
      <c r="AF230" s="5"/>
      <c r="AG230" s="43"/>
      <c r="AH230" s="228"/>
      <c r="AI230" s="125"/>
      <c r="AJ230" s="125"/>
      <c r="AK230" s="237" t="e">
        <f>SUM(#REF!,BT230,BV230)</f>
        <v>#REF!</v>
      </c>
      <c r="AL230" s="165"/>
      <c r="AM230" s="165"/>
      <c r="AN230" s="165"/>
      <c r="AO230" s="165"/>
      <c r="AP230" s="165"/>
      <c r="AQ230" s="165"/>
      <c r="AR230" s="57"/>
      <c r="AS230" s="56"/>
      <c r="AT230" s="56"/>
      <c r="AU230" s="221">
        <v>70</v>
      </c>
      <c r="AV230" s="47"/>
      <c r="AW230" s="47"/>
      <c r="AX230" s="97">
        <f t="shared" si="85"/>
        <v>0</v>
      </c>
      <c r="AY230" s="169">
        <f t="shared" si="98"/>
        <v>68.495260000000002</v>
      </c>
      <c r="AZ230" s="196"/>
      <c r="BA230" s="170"/>
      <c r="BB230" s="196">
        <v>0</v>
      </c>
      <c r="BC230" s="170"/>
      <c r="BD230" s="196">
        <v>0</v>
      </c>
      <c r="BE230" s="170">
        <v>0</v>
      </c>
      <c r="BF230" s="196">
        <v>0</v>
      </c>
      <c r="BG230" s="170"/>
      <c r="BH230" s="196">
        <v>0</v>
      </c>
      <c r="BI230" s="170"/>
      <c r="BJ230" s="196">
        <v>0</v>
      </c>
      <c r="BK230" s="170"/>
      <c r="BL230" s="197">
        <v>14.5</v>
      </c>
      <c r="BM230" s="170">
        <v>13.399559999999999</v>
      </c>
      <c r="BN230" s="197"/>
      <c r="BO230" s="170"/>
      <c r="BP230" s="196"/>
      <c r="BQ230" s="170"/>
      <c r="BR230" s="196">
        <v>55.5</v>
      </c>
      <c r="BS230" s="170">
        <v>49.491959999999999</v>
      </c>
      <c r="BT230" s="196">
        <f>10+4.5+1.5</f>
        <v>16</v>
      </c>
      <c r="BU230" s="170"/>
      <c r="BV230" s="196"/>
      <c r="BW230" s="251">
        <v>5.6037400000000002</v>
      </c>
      <c r="BX230" s="254">
        <v>5.6037400000000002</v>
      </c>
      <c r="BY230" s="88">
        <f t="shared" si="99"/>
        <v>0</v>
      </c>
      <c r="BZ230" s="259"/>
      <c r="CA230" s="259"/>
      <c r="CB230" s="259"/>
      <c r="CC230" s="259"/>
      <c r="CD230" s="259"/>
      <c r="CE230" s="259"/>
      <c r="CF230" s="259"/>
      <c r="CG230" s="259"/>
      <c r="CH230" s="259"/>
      <c r="CI230" s="259"/>
      <c r="CJ230" s="259"/>
      <c r="CK230" s="259"/>
      <c r="CL230" s="211">
        <f t="shared" si="102"/>
        <v>0</v>
      </c>
      <c r="CM230" s="213"/>
      <c r="CN230" s="213"/>
      <c r="CO230" s="213"/>
      <c r="CP230" s="213"/>
      <c r="CQ230" s="213"/>
      <c r="CR230" s="213"/>
      <c r="CS230" s="213"/>
      <c r="CT230" s="213"/>
      <c r="CU230" s="213"/>
      <c r="CV230" s="213"/>
      <c r="CW230" s="213"/>
      <c r="CX230" s="213"/>
      <c r="CY230" s="216">
        <f t="shared" si="86"/>
        <v>-5.6037400000000002</v>
      </c>
      <c r="CZ230" s="185">
        <f t="shared" si="100"/>
        <v>0</v>
      </c>
      <c r="DA230" s="217">
        <f t="shared" si="87"/>
        <v>62.89152</v>
      </c>
      <c r="DB230" s="217">
        <f t="shared" si="88"/>
        <v>5.6037400000000002</v>
      </c>
      <c r="DC230" s="217">
        <f t="shared" si="103"/>
        <v>68.495260000000002</v>
      </c>
      <c r="DD230" s="256">
        <v>90.89152</v>
      </c>
      <c r="DE230" s="217">
        <f t="shared" si="104"/>
        <v>-22.396259999999998</v>
      </c>
      <c r="DF230" s="185" t="e">
        <f>SUM(DN230:DO230)-SUM(#REF!,BV230)+BU230</f>
        <v>#REF!</v>
      </c>
      <c r="DG230" s="223"/>
      <c r="DH230" s="241">
        <f t="shared" si="105"/>
        <v>0</v>
      </c>
      <c r="DI230" s="241">
        <f t="shared" si="106"/>
        <v>0</v>
      </c>
      <c r="DJ230" s="241">
        <f t="shared" si="107"/>
        <v>13.399559999999999</v>
      </c>
      <c r="DK230" s="241" t="e">
        <f>SUM(BS230,#REF!,BV230)</f>
        <v>#REF!</v>
      </c>
      <c r="DL230" s="155">
        <v>92</v>
      </c>
      <c r="DM230" s="155">
        <v>68.495260000000002</v>
      </c>
      <c r="DN230" s="155">
        <v>0</v>
      </c>
      <c r="DO230" s="155">
        <v>0</v>
      </c>
      <c r="DP230" s="155">
        <v>68.495260000000002</v>
      </c>
      <c r="DQ230" s="155">
        <v>23.504740000000002</v>
      </c>
      <c r="DR230" s="23">
        <f>VLOOKUP(C230,[6]Database!$B$143:$AD$521,29,FALSE)</f>
        <v>0</v>
      </c>
      <c r="DS230" s="235">
        <f t="shared" si="108"/>
        <v>0</v>
      </c>
    </row>
    <row r="231" spans="1:123" s="23" customFormat="1" ht="24" customHeight="1">
      <c r="A231" s="18"/>
      <c r="B231" s="2">
        <v>199</v>
      </c>
      <c r="C231" s="86" t="s">
        <v>753</v>
      </c>
      <c r="D231" s="86">
        <v>1099</v>
      </c>
      <c r="E231" s="85"/>
      <c r="F231" s="41">
        <v>2021</v>
      </c>
      <c r="G231" s="42">
        <v>44246</v>
      </c>
      <c r="H231" s="42">
        <v>44363</v>
      </c>
      <c r="I231" s="42"/>
      <c r="J231" s="15">
        <f t="shared" ca="1" si="84"/>
        <v>-935.40661944444582</v>
      </c>
      <c r="K231" s="177">
        <f t="shared" ref="K231:K263" si="111">IF(H231="","",H231+547)</f>
        <v>44910</v>
      </c>
      <c r="L231" s="177">
        <f t="shared" ref="L231:L263" si="112">IF(H231="","",H231+730)</f>
        <v>45093</v>
      </c>
      <c r="M231" s="177"/>
      <c r="N231" s="183"/>
      <c r="O231" s="183"/>
      <c r="P231" s="177"/>
      <c r="Q231" s="183"/>
      <c r="R231" s="41" t="s">
        <v>176</v>
      </c>
      <c r="S231" s="13" t="s">
        <v>5</v>
      </c>
      <c r="T231" s="41" t="s">
        <v>952</v>
      </c>
      <c r="U231" s="5" t="s">
        <v>8</v>
      </c>
      <c r="V231" s="268">
        <v>4098373</v>
      </c>
      <c r="W231" s="5" t="s">
        <v>614</v>
      </c>
      <c r="X231" s="5" t="s">
        <v>946</v>
      </c>
      <c r="Y231" s="5" t="s">
        <v>744</v>
      </c>
      <c r="Z231" s="3" t="s">
        <v>187</v>
      </c>
      <c r="AA231" s="45" t="s">
        <v>463</v>
      </c>
      <c r="AB231" s="152" t="s">
        <v>1340</v>
      </c>
      <c r="AC231" s="177">
        <v>44865</v>
      </c>
      <c r="AD231" s="177">
        <v>44895</v>
      </c>
      <c r="AE231" s="177">
        <f>IFERROR(EOMONTH(L231,-2),"")</f>
        <v>45046</v>
      </c>
      <c r="AF231" s="5" t="s">
        <v>1133</v>
      </c>
      <c r="AG231" s="43"/>
      <c r="AH231" s="228">
        <v>0.3357</v>
      </c>
      <c r="AI231" s="125"/>
      <c r="AJ231" s="83"/>
      <c r="AK231" s="237" t="e">
        <f>SUM(#REF!,BT231,BV231)</f>
        <v>#REF!</v>
      </c>
      <c r="AL231" s="165" t="s">
        <v>1295</v>
      </c>
      <c r="AM231" s="165" t="s">
        <v>1230</v>
      </c>
      <c r="AN231" s="165" t="s">
        <v>1188</v>
      </c>
      <c r="AO231" s="165" t="s">
        <v>1231</v>
      </c>
      <c r="AP231" s="165" t="s">
        <v>1294</v>
      </c>
      <c r="AQ231" s="165" t="s">
        <v>1223</v>
      </c>
      <c r="AR231" s="57"/>
      <c r="AS231" s="56"/>
      <c r="AT231" s="56"/>
      <c r="AU231" s="56">
        <v>0</v>
      </c>
      <c r="AV231" s="47">
        <v>185</v>
      </c>
      <c r="AW231" s="47">
        <v>105.77</v>
      </c>
      <c r="AX231" s="97">
        <f t="shared" si="85"/>
        <v>290.77</v>
      </c>
      <c r="AY231" s="169">
        <f t="shared" si="98"/>
        <v>27.09057</v>
      </c>
      <c r="AZ231" s="196"/>
      <c r="BA231" s="170"/>
      <c r="BB231" s="196">
        <v>0</v>
      </c>
      <c r="BC231" s="170"/>
      <c r="BD231" s="196">
        <v>0</v>
      </c>
      <c r="BE231" s="170">
        <v>0</v>
      </c>
      <c r="BF231" s="196">
        <v>0</v>
      </c>
      <c r="BG231" s="170"/>
      <c r="BH231" s="196">
        <v>0</v>
      </c>
      <c r="BI231" s="170"/>
      <c r="BJ231" s="196">
        <v>0</v>
      </c>
      <c r="BK231" s="170"/>
      <c r="BL231" s="197"/>
      <c r="BM231" s="170"/>
      <c r="BN231" s="197"/>
      <c r="BO231" s="170"/>
      <c r="BP231" s="196"/>
      <c r="BQ231" s="170"/>
      <c r="BR231" s="196"/>
      <c r="BS231" s="170">
        <v>9.4019999999999992E-2</v>
      </c>
      <c r="BT231" s="196"/>
      <c r="BU231" s="170">
        <v>12.57358</v>
      </c>
      <c r="BV231" s="196">
        <f>83.4-70</f>
        <v>13.400000000000006</v>
      </c>
      <c r="BW231" s="251">
        <v>14.422969999999999</v>
      </c>
      <c r="BX231" s="254">
        <v>14.422969999999999</v>
      </c>
      <c r="BY231" s="88">
        <f t="shared" si="99"/>
        <v>158</v>
      </c>
      <c r="BZ231" s="259"/>
      <c r="CA231" s="259"/>
      <c r="CB231" s="259">
        <f>10-1</f>
        <v>9</v>
      </c>
      <c r="CC231" s="259">
        <v>20</v>
      </c>
      <c r="CD231" s="259">
        <v>20</v>
      </c>
      <c r="CE231" s="259">
        <v>10</v>
      </c>
      <c r="CF231" s="259">
        <v>10</v>
      </c>
      <c r="CG231" s="259">
        <v>10</v>
      </c>
      <c r="CH231" s="259">
        <v>9</v>
      </c>
      <c r="CI231" s="259">
        <v>70</v>
      </c>
      <c r="CJ231" s="259"/>
      <c r="CK231" s="259"/>
      <c r="CL231" s="211">
        <f t="shared" si="102"/>
        <v>0</v>
      </c>
      <c r="CM231" s="213"/>
      <c r="CN231" s="213"/>
      <c r="CO231" s="213"/>
      <c r="CP231" s="213"/>
      <c r="CQ231" s="213"/>
      <c r="CR231" s="213"/>
      <c r="CS231" s="213"/>
      <c r="CT231" s="213"/>
      <c r="CU231" s="213"/>
      <c r="CV231" s="213"/>
      <c r="CW231" s="213"/>
      <c r="CX231" s="213"/>
      <c r="CY231" s="216">
        <f t="shared" si="86"/>
        <v>-1.0229699999999937</v>
      </c>
      <c r="CZ231" s="185">
        <f t="shared" si="100"/>
        <v>0</v>
      </c>
      <c r="DA231" s="217">
        <f t="shared" si="87"/>
        <v>12.6676</v>
      </c>
      <c r="DB231" s="217">
        <f t="shared" si="88"/>
        <v>14.422969999999999</v>
      </c>
      <c r="DC231" s="217">
        <f t="shared" si="103"/>
        <v>185.09057000000001</v>
      </c>
      <c r="DD231" s="256">
        <v>185.09402</v>
      </c>
      <c r="DE231" s="217">
        <f t="shared" si="104"/>
        <v>-3.4499999999866304E-3</v>
      </c>
      <c r="DF231" s="185" t="e">
        <f>SUM(DN231:DO231)-SUM(#REF!,BV231)+BU231</f>
        <v>#REF!</v>
      </c>
      <c r="DG231" s="223" t="s">
        <v>1300</v>
      </c>
      <c r="DH231" s="241">
        <f t="shared" si="105"/>
        <v>0</v>
      </c>
      <c r="DI231" s="241">
        <f t="shared" si="106"/>
        <v>0</v>
      </c>
      <c r="DJ231" s="241">
        <f t="shared" si="107"/>
        <v>0</v>
      </c>
      <c r="DK231" s="241" t="e">
        <f>SUM(BS231,#REF!,BV231)</f>
        <v>#REF!</v>
      </c>
      <c r="DL231" s="155">
        <v>185</v>
      </c>
      <c r="DM231" s="155">
        <v>27.09057</v>
      </c>
      <c r="DN231" s="155">
        <v>11.290569999999999</v>
      </c>
      <c r="DO231" s="155">
        <v>54.413530000000002</v>
      </c>
      <c r="DP231" s="155">
        <v>92.794669999999996</v>
      </c>
      <c r="DQ231" s="155">
        <v>92.205330000000004</v>
      </c>
      <c r="DR231" s="23">
        <f>VLOOKUP(C231,[6]Database!$B$143:$AD$521,29,FALSE)</f>
        <v>89</v>
      </c>
      <c r="DS231" s="235">
        <f t="shared" si="108"/>
        <v>69</v>
      </c>
    </row>
    <row r="232" spans="1:123" s="23" customFormat="1" ht="24" customHeight="1">
      <c r="A232" s="18"/>
      <c r="B232" s="2">
        <v>201</v>
      </c>
      <c r="C232" s="86" t="s">
        <v>779</v>
      </c>
      <c r="D232" s="154" t="s">
        <v>1264</v>
      </c>
      <c r="E232" s="85"/>
      <c r="F232" s="41">
        <v>2021</v>
      </c>
      <c r="G232" s="42">
        <v>44264</v>
      </c>
      <c r="H232" s="42">
        <v>44305</v>
      </c>
      <c r="I232" s="42"/>
      <c r="J232" s="15">
        <f t="shared" ca="1" si="84"/>
        <v>-993.40661944444582</v>
      </c>
      <c r="K232" s="177">
        <f t="shared" si="111"/>
        <v>44852</v>
      </c>
      <c r="L232" s="177">
        <f t="shared" si="112"/>
        <v>45035</v>
      </c>
      <c r="M232" s="177"/>
      <c r="N232" s="183"/>
      <c r="O232" s="183"/>
      <c r="P232" s="183"/>
      <c r="Q232" s="183"/>
      <c r="R232" s="41" t="s">
        <v>176</v>
      </c>
      <c r="S232" s="13" t="s">
        <v>224</v>
      </c>
      <c r="T232" s="41" t="s">
        <v>957</v>
      </c>
      <c r="U232" s="5" t="s">
        <v>8</v>
      </c>
      <c r="V232" s="268">
        <v>3872158</v>
      </c>
      <c r="W232" s="5" t="s">
        <v>614</v>
      </c>
      <c r="X232" s="5" t="s">
        <v>946</v>
      </c>
      <c r="Y232" s="5" t="s">
        <v>1073</v>
      </c>
      <c r="Z232" s="85" t="s">
        <v>186</v>
      </c>
      <c r="AA232" s="6" t="s">
        <v>463</v>
      </c>
      <c r="AB232" s="152" t="s">
        <v>1279</v>
      </c>
      <c r="AC232" s="177">
        <v>44834</v>
      </c>
      <c r="AD232" s="177">
        <v>44620</v>
      </c>
      <c r="AE232" s="177">
        <f>IFERROR(EOMONTH(L232,-2),"")</f>
        <v>44985</v>
      </c>
      <c r="AF232" s="5"/>
      <c r="AG232" s="43"/>
      <c r="AH232" s="228"/>
      <c r="AI232" s="125"/>
      <c r="AJ232" s="125"/>
      <c r="AK232" s="237" t="e">
        <f>SUM(#REF!,BT232,BV232)</f>
        <v>#REF!</v>
      </c>
      <c r="AL232" s="165" t="s">
        <v>1224</v>
      </c>
      <c r="AM232" s="165" t="s">
        <v>1210</v>
      </c>
      <c r="AN232" s="165" t="s">
        <v>1188</v>
      </c>
      <c r="AO232" s="165" t="s">
        <v>602</v>
      </c>
      <c r="AP232" s="165" t="s">
        <v>602</v>
      </c>
      <c r="AQ232" s="165" t="s">
        <v>602</v>
      </c>
      <c r="AR232" s="57"/>
      <c r="AS232" s="56"/>
      <c r="AT232" s="56"/>
      <c r="AU232" s="56">
        <v>100</v>
      </c>
      <c r="AV232" s="47">
        <v>100</v>
      </c>
      <c r="AW232" s="47">
        <v>9.85</v>
      </c>
      <c r="AX232" s="97">
        <f t="shared" si="85"/>
        <v>109.85</v>
      </c>
      <c r="AY232" s="169">
        <f t="shared" si="98"/>
        <v>87.715530000000001</v>
      </c>
      <c r="AZ232" s="196"/>
      <c r="BA232" s="170"/>
      <c r="BB232" s="196"/>
      <c r="BC232" s="170"/>
      <c r="BD232" s="196">
        <v>0</v>
      </c>
      <c r="BE232" s="170">
        <v>0</v>
      </c>
      <c r="BF232" s="196">
        <v>0</v>
      </c>
      <c r="BG232" s="170"/>
      <c r="BH232" s="196">
        <v>0</v>
      </c>
      <c r="BI232" s="170"/>
      <c r="BJ232" s="196">
        <v>0</v>
      </c>
      <c r="BK232" s="170"/>
      <c r="BL232" s="197"/>
      <c r="BM232" s="170">
        <v>9.1700200000000009</v>
      </c>
      <c r="BN232" s="197">
        <v>13</v>
      </c>
      <c r="BO232" s="170">
        <v>15.319780000000002</v>
      </c>
      <c r="BP232" s="196">
        <v>21.700000000000003</v>
      </c>
      <c r="BQ232" s="170">
        <v>6.7464600000000008</v>
      </c>
      <c r="BR232" s="196">
        <f>25-0.2</f>
        <v>24.8</v>
      </c>
      <c r="BS232" s="170">
        <v>16.960509999999999</v>
      </c>
      <c r="BT232" s="196">
        <f>15+7.9+6.3+8.6-0.7</f>
        <v>37.099999999999994</v>
      </c>
      <c r="BU232" s="170">
        <v>28.918970000000002</v>
      </c>
      <c r="BV232" s="196">
        <v>18.8</v>
      </c>
      <c r="BW232" s="251">
        <v>10.599789999999999</v>
      </c>
      <c r="BX232" s="254">
        <v>10.599789999999999</v>
      </c>
      <c r="BY232" s="88">
        <f t="shared" si="99"/>
        <v>8.1999999999999993</v>
      </c>
      <c r="BZ232" s="259">
        <v>8.1999999999999993</v>
      </c>
      <c r="CA232" s="259"/>
      <c r="CB232" s="259"/>
      <c r="CC232" s="259"/>
      <c r="CD232" s="259"/>
      <c r="CE232" s="259"/>
      <c r="CF232" s="259"/>
      <c r="CG232" s="259"/>
      <c r="CH232" s="259"/>
      <c r="CI232" s="259"/>
      <c r="CJ232" s="259"/>
      <c r="CK232" s="259"/>
      <c r="CL232" s="211">
        <f t="shared" si="102"/>
        <v>0</v>
      </c>
      <c r="CM232" s="213"/>
      <c r="CN232" s="213"/>
      <c r="CO232" s="213"/>
      <c r="CP232" s="213"/>
      <c r="CQ232" s="213"/>
      <c r="CR232" s="213"/>
      <c r="CS232" s="213"/>
      <c r="CT232" s="213"/>
      <c r="CU232" s="213"/>
      <c r="CV232" s="213"/>
      <c r="CW232" s="213"/>
      <c r="CX232" s="213"/>
      <c r="CY232" s="216">
        <f t="shared" si="86"/>
        <v>8.200210000000002</v>
      </c>
      <c r="CZ232" s="185">
        <f t="shared" si="100"/>
        <v>0</v>
      </c>
      <c r="DA232" s="217">
        <f t="shared" si="87"/>
        <v>77.115740000000002</v>
      </c>
      <c r="DB232" s="217">
        <f t="shared" si="88"/>
        <v>10.599789999999999</v>
      </c>
      <c r="DC232" s="217">
        <f t="shared" si="103"/>
        <v>95.915530000000004</v>
      </c>
      <c r="DD232" s="256">
        <v>96.296769999999995</v>
      </c>
      <c r="DE232" s="217">
        <f t="shared" si="104"/>
        <v>-0.38123999999999114</v>
      </c>
      <c r="DF232" s="185" t="e">
        <f>SUM(DN232:DO232)-SUM(#REF!,BV232)+BU232</f>
        <v>#REF!</v>
      </c>
      <c r="DG232" s="223" t="s">
        <v>1265</v>
      </c>
      <c r="DH232" s="241">
        <f t="shared" si="105"/>
        <v>0</v>
      </c>
      <c r="DI232" s="241">
        <f t="shared" si="106"/>
        <v>0</v>
      </c>
      <c r="DJ232" s="241">
        <f t="shared" si="107"/>
        <v>31.236260000000001</v>
      </c>
      <c r="DK232" s="241" t="e">
        <f>SUM(BS232,#REF!,BV232)</f>
        <v>#REF!</v>
      </c>
      <c r="DL232" s="155">
        <v>100</v>
      </c>
      <c r="DM232" s="155">
        <v>87.715530000000001</v>
      </c>
      <c r="DN232" s="155">
        <v>10.681520000000001</v>
      </c>
      <c r="DO232" s="155">
        <v>0</v>
      </c>
      <c r="DP232" s="155">
        <v>98.397050000000007</v>
      </c>
      <c r="DQ232" s="155">
        <v>1.6029500000000001</v>
      </c>
      <c r="DR232" s="23">
        <f>VLOOKUP(C232,[6]Database!$B$143:$AD$521,29,FALSE)</f>
        <v>0</v>
      </c>
      <c r="DS232" s="235">
        <f t="shared" si="108"/>
        <v>8.1999999999999993</v>
      </c>
    </row>
    <row r="233" spans="1:123" s="23" customFormat="1" ht="24" customHeight="1">
      <c r="A233" s="18"/>
      <c r="B233" s="2">
        <v>202</v>
      </c>
      <c r="C233" s="86" t="s">
        <v>805</v>
      </c>
      <c r="D233" s="242" t="s">
        <v>602</v>
      </c>
      <c r="E233" s="85"/>
      <c r="F233" s="41">
        <v>2021</v>
      </c>
      <c r="G233" s="42">
        <v>44291</v>
      </c>
      <c r="H233" s="42">
        <v>44305</v>
      </c>
      <c r="I233" s="42">
        <v>44547</v>
      </c>
      <c r="J233" s="15">
        <f t="shared" ca="1" si="84"/>
        <v>242</v>
      </c>
      <c r="K233" s="177">
        <f t="shared" si="111"/>
        <v>44852</v>
      </c>
      <c r="L233" s="177">
        <f t="shared" si="112"/>
        <v>45035</v>
      </c>
      <c r="M233" s="177"/>
      <c r="N233" s="183"/>
      <c r="O233" s="183"/>
      <c r="P233" s="183"/>
      <c r="Q233" s="183"/>
      <c r="R233" s="41" t="s">
        <v>177</v>
      </c>
      <c r="S233" s="13"/>
      <c r="T233" s="41"/>
      <c r="U233" s="5" t="s">
        <v>8</v>
      </c>
      <c r="V233" s="268">
        <v>3963949</v>
      </c>
      <c r="W233" s="5" t="s">
        <v>614</v>
      </c>
      <c r="X233" s="5" t="s">
        <v>476</v>
      </c>
      <c r="Y233" s="5" t="s">
        <v>806</v>
      </c>
      <c r="Z233" s="85" t="s">
        <v>186</v>
      </c>
      <c r="AA233" s="45" t="s">
        <v>218</v>
      </c>
      <c r="AB233" s="152" t="s">
        <v>197</v>
      </c>
      <c r="AC233" s="177" t="s">
        <v>6</v>
      </c>
      <c r="AD233" s="177">
        <v>44499</v>
      </c>
      <c r="AE233" s="177" t="s">
        <v>6</v>
      </c>
      <c r="AF233" s="5"/>
      <c r="AG233" s="43"/>
      <c r="AH233" s="228"/>
      <c r="AI233" s="125"/>
      <c r="AJ233" s="125"/>
      <c r="AK233" s="237" t="e">
        <f>SUM(#REF!,BT233,BV233)</f>
        <v>#REF!</v>
      </c>
      <c r="AL233" s="165"/>
      <c r="AM233" s="165"/>
      <c r="AN233" s="165"/>
      <c r="AO233" s="165"/>
      <c r="AP233" s="165"/>
      <c r="AQ233" s="165"/>
      <c r="AR233" s="57"/>
      <c r="AS233" s="56"/>
      <c r="AT233" s="56"/>
      <c r="AU233" s="56"/>
      <c r="AV233" s="47">
        <v>126.86</v>
      </c>
      <c r="AW233" s="47"/>
      <c r="AX233" s="97">
        <f t="shared" si="85"/>
        <v>126.86</v>
      </c>
      <c r="AY233" s="169">
        <f t="shared" si="98"/>
        <v>46.03199</v>
      </c>
      <c r="AZ233" s="196"/>
      <c r="BA233" s="170"/>
      <c r="BB233" s="196"/>
      <c r="BC233" s="170"/>
      <c r="BD233" s="196">
        <v>0</v>
      </c>
      <c r="BE233" s="170">
        <v>0</v>
      </c>
      <c r="BF233" s="196">
        <v>0</v>
      </c>
      <c r="BG233" s="170"/>
      <c r="BH233" s="196">
        <v>0</v>
      </c>
      <c r="BI233" s="170"/>
      <c r="BJ233" s="196">
        <v>0</v>
      </c>
      <c r="BK233" s="170"/>
      <c r="BL233" s="197">
        <v>0</v>
      </c>
      <c r="BM233" s="170"/>
      <c r="BN233" s="197">
        <v>0</v>
      </c>
      <c r="BO233" s="170"/>
      <c r="BP233" s="196"/>
      <c r="BQ233" s="170">
        <v>35.030670000000001</v>
      </c>
      <c r="BR233" s="196">
        <v>12</v>
      </c>
      <c r="BS233" s="170">
        <v>10.77427</v>
      </c>
      <c r="BT233" s="196">
        <v>0.2</v>
      </c>
      <c r="BU233" s="170">
        <v>0.22705</v>
      </c>
      <c r="BV233" s="196"/>
      <c r="BW233" s="251"/>
      <c r="BX233" s="254"/>
      <c r="BY233" s="88">
        <f t="shared" si="99"/>
        <v>0</v>
      </c>
      <c r="BZ233" s="259"/>
      <c r="CA233" s="259"/>
      <c r="CB233" s="259"/>
      <c r="CC233" s="259"/>
      <c r="CD233" s="259"/>
      <c r="CE233" s="259"/>
      <c r="CF233" s="259"/>
      <c r="CG233" s="259"/>
      <c r="CH233" s="259"/>
      <c r="CI233" s="259"/>
      <c r="CJ233" s="259"/>
      <c r="CK233" s="259"/>
      <c r="CL233" s="211">
        <f t="shared" si="102"/>
        <v>0</v>
      </c>
      <c r="CM233" s="213"/>
      <c r="CN233" s="213"/>
      <c r="CO233" s="213"/>
      <c r="CP233" s="213"/>
      <c r="CQ233" s="213"/>
      <c r="CR233" s="213"/>
      <c r="CS233" s="213"/>
      <c r="CT233" s="213"/>
      <c r="CU233" s="213"/>
      <c r="CV233" s="213"/>
      <c r="CW233" s="213"/>
      <c r="CX233" s="213"/>
      <c r="CY233" s="216">
        <f t="shared" si="86"/>
        <v>0</v>
      </c>
      <c r="CZ233" s="185">
        <f t="shared" si="100"/>
        <v>0</v>
      </c>
      <c r="DA233" s="217">
        <f t="shared" si="87"/>
        <v>46.03199</v>
      </c>
      <c r="DB233" s="217">
        <f t="shared" si="88"/>
        <v>0</v>
      </c>
      <c r="DC233" s="217">
        <f t="shared" si="103"/>
        <v>46.03199</v>
      </c>
      <c r="DD233" s="256">
        <v>46.004940000000005</v>
      </c>
      <c r="DE233" s="217">
        <f t="shared" si="104"/>
        <v>2.7049999999995578E-2</v>
      </c>
      <c r="DF233" s="185" t="e">
        <f>SUM(DN233:DO233)-SUM(#REF!,BV233)+BU233</f>
        <v>#REF!</v>
      </c>
      <c r="DG233" s="223"/>
      <c r="DH233" s="241">
        <f t="shared" si="105"/>
        <v>0</v>
      </c>
      <c r="DI233" s="241">
        <f t="shared" si="106"/>
        <v>0</v>
      </c>
      <c r="DJ233" s="241">
        <f t="shared" si="107"/>
        <v>35.030670000000001</v>
      </c>
      <c r="DK233" s="241" t="e">
        <f>SUM(BS233,#REF!,BV233)</f>
        <v>#REF!</v>
      </c>
      <c r="DL233" s="155">
        <v>126.86</v>
      </c>
      <c r="DM233" s="155">
        <v>46.03199</v>
      </c>
      <c r="DN233" s="155">
        <v>0</v>
      </c>
      <c r="DO233" s="155">
        <v>0</v>
      </c>
      <c r="DP233" s="155">
        <v>46.03199</v>
      </c>
      <c r="DQ233" s="155">
        <v>80.828009999999992</v>
      </c>
      <c r="DR233" s="23">
        <f>VLOOKUP(C233,[6]Database!$B$143:$AD$521,29,FALSE)</f>
        <v>0</v>
      </c>
      <c r="DS233" s="235">
        <f t="shared" si="108"/>
        <v>0</v>
      </c>
    </row>
    <row r="234" spans="1:123" s="23" customFormat="1" ht="24" customHeight="1">
      <c r="A234" s="18"/>
      <c r="B234" s="2">
        <v>205</v>
      </c>
      <c r="C234" s="86" t="s">
        <v>841</v>
      </c>
      <c r="D234" s="86">
        <v>11932</v>
      </c>
      <c r="E234" s="85"/>
      <c r="F234" s="41">
        <v>2021</v>
      </c>
      <c r="G234" s="42">
        <v>44305</v>
      </c>
      <c r="H234" s="42">
        <v>44354</v>
      </c>
      <c r="I234" s="42"/>
      <c r="J234" s="15">
        <f t="shared" ca="1" si="84"/>
        <v>-944.40661944444582</v>
      </c>
      <c r="K234" s="177">
        <f t="shared" si="111"/>
        <v>44901</v>
      </c>
      <c r="L234" s="177">
        <f t="shared" si="112"/>
        <v>45084</v>
      </c>
      <c r="M234" s="177"/>
      <c r="N234" s="183"/>
      <c r="O234" s="183"/>
      <c r="P234" s="183"/>
      <c r="Q234" s="183"/>
      <c r="R234" s="41" t="s">
        <v>176</v>
      </c>
      <c r="S234" s="13" t="s">
        <v>5</v>
      </c>
      <c r="T234" s="43" t="s">
        <v>980</v>
      </c>
      <c r="U234" s="5" t="s">
        <v>8</v>
      </c>
      <c r="V234" s="268">
        <v>4177784</v>
      </c>
      <c r="W234" s="5" t="s">
        <v>614</v>
      </c>
      <c r="X234" s="5" t="s">
        <v>480</v>
      </c>
      <c r="Y234" s="5" t="s">
        <v>840</v>
      </c>
      <c r="Z234" s="41" t="s">
        <v>181</v>
      </c>
      <c r="AA234" s="45" t="s">
        <v>463</v>
      </c>
      <c r="AB234" s="281" t="s">
        <v>1476</v>
      </c>
      <c r="AC234" s="177">
        <v>44895</v>
      </c>
      <c r="AD234" s="177">
        <v>44651</v>
      </c>
      <c r="AE234" s="177">
        <f t="shared" ref="AE234:AE243" si="113">IFERROR(EOMONTH(L234,-2),"")</f>
        <v>45046</v>
      </c>
      <c r="AF234" s="5"/>
      <c r="AG234" s="43"/>
      <c r="AH234" s="228"/>
      <c r="AI234" s="125"/>
      <c r="AJ234" s="125"/>
      <c r="AK234" s="237" t="e">
        <f>SUM(#REF!,BT234,BV234)</f>
        <v>#REF!</v>
      </c>
      <c r="AL234" s="165"/>
      <c r="AM234" s="165"/>
      <c r="AN234" s="52"/>
      <c r="AO234" s="165"/>
      <c r="AP234" s="52"/>
      <c r="AQ234" s="52"/>
      <c r="AR234" s="57"/>
      <c r="AS234" s="56"/>
      <c r="AT234" s="56"/>
      <c r="AU234" s="56">
        <v>0</v>
      </c>
      <c r="AV234" s="47">
        <v>347.09899999999999</v>
      </c>
      <c r="AW234" s="47"/>
      <c r="AX234" s="97">
        <f t="shared" si="85"/>
        <v>347.09899999999999</v>
      </c>
      <c r="AY234" s="169">
        <f t="shared" si="98"/>
        <v>312.16876000000002</v>
      </c>
      <c r="AZ234" s="196"/>
      <c r="BA234" s="170"/>
      <c r="BB234" s="196"/>
      <c r="BC234" s="170"/>
      <c r="BD234" s="196"/>
      <c r="BE234" s="170"/>
      <c r="BF234" s="196">
        <v>0</v>
      </c>
      <c r="BG234" s="170"/>
      <c r="BH234" s="196">
        <v>0</v>
      </c>
      <c r="BI234" s="170"/>
      <c r="BJ234" s="196">
        <v>0</v>
      </c>
      <c r="BK234" s="170"/>
      <c r="BL234" s="197"/>
      <c r="BM234" s="170">
        <v>20.861619999999998</v>
      </c>
      <c r="BN234" s="197"/>
      <c r="BO234" s="170">
        <v>189.81619000000001</v>
      </c>
      <c r="BP234" s="196"/>
      <c r="BQ234" s="170"/>
      <c r="BR234" s="196"/>
      <c r="BS234" s="170">
        <v>22.333929999999999</v>
      </c>
      <c r="BT234" s="196"/>
      <c r="BU234" s="170">
        <v>16.403739999999999</v>
      </c>
      <c r="BV234" s="196">
        <v>25.335730000000002</v>
      </c>
      <c r="BW234" s="251">
        <v>62.753280000000004</v>
      </c>
      <c r="BX234" s="254">
        <v>62.753280000000004</v>
      </c>
      <c r="BY234" s="88">
        <f t="shared" si="99"/>
        <v>33.9</v>
      </c>
      <c r="BZ234" s="259"/>
      <c r="CA234" s="259"/>
      <c r="CB234" s="259"/>
      <c r="CC234" s="259"/>
      <c r="CD234" s="259"/>
      <c r="CE234" s="259"/>
      <c r="CF234" s="259"/>
      <c r="CG234" s="259"/>
      <c r="CH234" s="259"/>
      <c r="CI234" s="259">
        <f>41.4-7.5</f>
        <v>33.9</v>
      </c>
      <c r="CJ234" s="259"/>
      <c r="CK234" s="259"/>
      <c r="CL234" s="211">
        <f t="shared" si="102"/>
        <v>0</v>
      </c>
      <c r="CM234" s="213"/>
      <c r="CN234" s="213"/>
      <c r="CO234" s="213"/>
      <c r="CP234" s="213"/>
      <c r="CQ234" s="213"/>
      <c r="CR234" s="213"/>
      <c r="CS234" s="213"/>
      <c r="CT234" s="213"/>
      <c r="CU234" s="213"/>
      <c r="CV234" s="213"/>
      <c r="CW234" s="213"/>
      <c r="CX234" s="213"/>
      <c r="CY234" s="216">
        <f t="shared" si="86"/>
        <v>-37.417550000000006</v>
      </c>
      <c r="CZ234" s="185">
        <f t="shared" si="100"/>
        <v>0</v>
      </c>
      <c r="DA234" s="217">
        <f t="shared" si="87"/>
        <v>249.41548</v>
      </c>
      <c r="DB234" s="217">
        <f t="shared" si="88"/>
        <v>62.753280000000004</v>
      </c>
      <c r="DC234" s="217">
        <f t="shared" si="103"/>
        <v>346.06876</v>
      </c>
      <c r="DD234" s="256">
        <v>346.31074000000001</v>
      </c>
      <c r="DE234" s="217">
        <f t="shared" si="104"/>
        <v>-0.2419800000000123</v>
      </c>
      <c r="DF234" s="185" t="e">
        <f>SUM(DN234:DO234)-SUM(#REF!,BV234)+BU234</f>
        <v>#REF!</v>
      </c>
      <c r="DG234" s="223"/>
      <c r="DH234" s="241">
        <f t="shared" si="105"/>
        <v>0</v>
      </c>
      <c r="DI234" s="241">
        <f t="shared" si="106"/>
        <v>0</v>
      </c>
      <c r="DJ234" s="241">
        <f t="shared" si="107"/>
        <v>210.67780999999999</v>
      </c>
      <c r="DK234" s="241" t="e">
        <f>SUM(BS234,#REF!,BV234)</f>
        <v>#REF!</v>
      </c>
      <c r="DL234" s="155">
        <v>381.11399999999998</v>
      </c>
      <c r="DM234" s="155">
        <v>312.16876000000002</v>
      </c>
      <c r="DN234" s="155">
        <v>63.318949999999994</v>
      </c>
      <c r="DO234" s="155">
        <v>3.6640000000000001</v>
      </c>
      <c r="DP234" s="155">
        <v>379.15171000000004</v>
      </c>
      <c r="DQ234" s="155">
        <v>1.9622899999999999</v>
      </c>
      <c r="DR234" s="23">
        <f>VLOOKUP(C234,[6]Database!$B$143:$AD$521,29,FALSE)</f>
        <v>135.59899999999999</v>
      </c>
      <c r="DS234" s="235">
        <f t="shared" si="108"/>
        <v>-101.69899999999998</v>
      </c>
    </row>
    <row r="235" spans="1:123" s="23" customFormat="1" ht="24" customHeight="1">
      <c r="A235" s="18"/>
      <c r="B235" s="2">
        <v>206</v>
      </c>
      <c r="C235" s="86" t="s">
        <v>843</v>
      </c>
      <c r="D235" s="86">
        <v>3103</v>
      </c>
      <c r="E235" s="85"/>
      <c r="F235" s="41">
        <v>2021</v>
      </c>
      <c r="G235" s="42">
        <v>44305</v>
      </c>
      <c r="H235" s="42">
        <v>44341</v>
      </c>
      <c r="I235" s="42"/>
      <c r="J235" s="15">
        <f t="shared" ca="1" si="84"/>
        <v>-956.40661944444582</v>
      </c>
      <c r="K235" s="177">
        <f t="shared" si="111"/>
        <v>44888</v>
      </c>
      <c r="L235" s="177">
        <f t="shared" si="112"/>
        <v>45071</v>
      </c>
      <c r="M235" s="177"/>
      <c r="N235" s="183"/>
      <c r="O235" s="183"/>
      <c r="P235" s="183"/>
      <c r="Q235" s="183"/>
      <c r="R235" s="41" t="s">
        <v>176</v>
      </c>
      <c r="S235" s="13" t="s">
        <v>5</v>
      </c>
      <c r="T235" s="43" t="s">
        <v>952</v>
      </c>
      <c r="U235" s="5" t="s">
        <v>8</v>
      </c>
      <c r="V235" s="268">
        <v>4144541</v>
      </c>
      <c r="W235" s="5" t="s">
        <v>614</v>
      </c>
      <c r="X235" s="5" t="s">
        <v>480</v>
      </c>
      <c r="Y235" s="5" t="s">
        <v>842</v>
      </c>
      <c r="Z235" s="41" t="s">
        <v>181</v>
      </c>
      <c r="AA235" s="45" t="s">
        <v>463</v>
      </c>
      <c r="AB235" s="152" t="s">
        <v>1501</v>
      </c>
      <c r="AC235" s="177">
        <v>44620</v>
      </c>
      <c r="AD235" s="177">
        <v>44561</v>
      </c>
      <c r="AE235" s="177">
        <f t="shared" si="113"/>
        <v>45016</v>
      </c>
      <c r="AF235" s="5"/>
      <c r="AG235" s="43"/>
      <c r="AH235" s="228"/>
      <c r="AI235" s="125"/>
      <c r="AJ235" s="125"/>
      <c r="AK235" s="237" t="e">
        <f>SUM(#REF!,BT235,BV235)</f>
        <v>#REF!</v>
      </c>
      <c r="AL235" s="165" t="s">
        <v>1201</v>
      </c>
      <c r="AM235" s="165" t="s">
        <v>1202</v>
      </c>
      <c r="AN235" s="165" t="s">
        <v>1203</v>
      </c>
      <c r="AO235" s="165" t="s">
        <v>602</v>
      </c>
      <c r="AP235" s="165" t="s">
        <v>602</v>
      </c>
      <c r="AQ235" s="165" t="s">
        <v>602</v>
      </c>
      <c r="AR235" s="57"/>
      <c r="AS235" s="56"/>
      <c r="AT235" s="56"/>
      <c r="AU235" s="56">
        <v>0</v>
      </c>
      <c r="AV235" s="47">
        <v>184.03299999999999</v>
      </c>
      <c r="AW235" s="47"/>
      <c r="AX235" s="97">
        <f t="shared" si="85"/>
        <v>184.03299999999999</v>
      </c>
      <c r="AY235" s="169">
        <f t="shared" si="98"/>
        <v>166.84223000000003</v>
      </c>
      <c r="AZ235" s="196"/>
      <c r="BA235" s="170"/>
      <c r="BB235" s="196"/>
      <c r="BC235" s="170"/>
      <c r="BD235" s="196"/>
      <c r="BE235" s="170"/>
      <c r="BF235" s="196">
        <v>0</v>
      </c>
      <c r="BG235" s="170"/>
      <c r="BH235" s="196">
        <v>0</v>
      </c>
      <c r="BI235" s="170"/>
      <c r="BJ235" s="196">
        <v>0</v>
      </c>
      <c r="BK235" s="170"/>
      <c r="BL235" s="197"/>
      <c r="BM235" s="170"/>
      <c r="BN235" s="197"/>
      <c r="BO235" s="170"/>
      <c r="BP235" s="196">
        <v>60</v>
      </c>
      <c r="BQ235" s="170">
        <v>45.803910000000002</v>
      </c>
      <c r="BR235" s="196"/>
      <c r="BS235" s="170">
        <v>8.6517999999999997</v>
      </c>
      <c r="BT235" s="196">
        <f>122-8.5-0.2</f>
        <v>113.3</v>
      </c>
      <c r="BU235" s="170">
        <v>12.11505</v>
      </c>
      <c r="BV235" s="196">
        <f>113.3-12</f>
        <v>101.3</v>
      </c>
      <c r="BW235" s="251">
        <v>100.27147000000001</v>
      </c>
      <c r="BX235" s="254">
        <v>100.27147000000001</v>
      </c>
      <c r="BY235" s="88">
        <f t="shared" si="99"/>
        <v>0</v>
      </c>
      <c r="BZ235" s="259"/>
      <c r="CA235" s="259"/>
      <c r="CB235" s="259"/>
      <c r="CC235" s="259"/>
      <c r="CD235" s="259"/>
      <c r="CE235" s="259"/>
      <c r="CF235" s="259"/>
      <c r="CG235" s="259"/>
      <c r="CH235" s="259"/>
      <c r="CI235" s="259"/>
      <c r="CJ235" s="259"/>
      <c r="CK235" s="259"/>
      <c r="CL235" s="211">
        <f t="shared" si="102"/>
        <v>0</v>
      </c>
      <c r="CM235" s="213"/>
      <c r="CN235" s="213"/>
      <c r="CO235" s="213"/>
      <c r="CP235" s="213"/>
      <c r="CQ235" s="213"/>
      <c r="CR235" s="213"/>
      <c r="CS235" s="213"/>
      <c r="CT235" s="213"/>
      <c r="CU235" s="213"/>
      <c r="CV235" s="213"/>
      <c r="CW235" s="213"/>
      <c r="CX235" s="213"/>
      <c r="CY235" s="216">
        <f t="shared" si="86"/>
        <v>1.0285299999999893</v>
      </c>
      <c r="CZ235" s="185">
        <f t="shared" si="100"/>
        <v>0</v>
      </c>
      <c r="DA235" s="217">
        <f t="shared" si="87"/>
        <v>66.570760000000007</v>
      </c>
      <c r="DB235" s="217">
        <f t="shared" si="88"/>
        <v>100.27147000000001</v>
      </c>
      <c r="DC235" s="217">
        <f t="shared" si="103"/>
        <v>166.84223000000003</v>
      </c>
      <c r="DD235" s="256">
        <v>167.75570999999999</v>
      </c>
      <c r="DE235" s="217">
        <f t="shared" si="104"/>
        <v>-0.91347999999996432</v>
      </c>
      <c r="DF235" s="185" t="e">
        <f>SUM(DN235:DO235)-SUM(#REF!,BV235)+BU235</f>
        <v>#REF!</v>
      </c>
      <c r="DG235" s="223" t="s">
        <v>1276</v>
      </c>
      <c r="DH235" s="241">
        <f t="shared" si="105"/>
        <v>0</v>
      </c>
      <c r="DI235" s="241">
        <f t="shared" si="106"/>
        <v>0</v>
      </c>
      <c r="DJ235" s="241">
        <f t="shared" si="107"/>
        <v>45.803910000000002</v>
      </c>
      <c r="DK235" s="241" t="e">
        <f>SUM(BS235,#REF!,BV235)</f>
        <v>#REF!</v>
      </c>
      <c r="DL235" s="155">
        <v>184.03299999999999</v>
      </c>
      <c r="DM235" s="155">
        <v>166.84223</v>
      </c>
      <c r="DN235" s="155">
        <v>0</v>
      </c>
      <c r="DO235" s="155">
        <v>0</v>
      </c>
      <c r="DP235" s="155">
        <v>166.84223</v>
      </c>
      <c r="DQ235" s="155">
        <v>17.190770000000001</v>
      </c>
      <c r="DR235" s="23">
        <f>VLOOKUP(C235,[6]Database!$B$143:$AD$521,29,FALSE)</f>
        <v>0</v>
      </c>
      <c r="DS235" s="235">
        <f t="shared" si="108"/>
        <v>0</v>
      </c>
    </row>
    <row r="236" spans="1:123" s="23" customFormat="1" ht="24" customHeight="1">
      <c r="A236" s="18"/>
      <c r="B236" s="2">
        <v>207</v>
      </c>
      <c r="C236" s="86" t="s">
        <v>844</v>
      </c>
      <c r="D236" s="86">
        <v>3833</v>
      </c>
      <c r="E236" s="85"/>
      <c r="F236" s="41">
        <v>2021</v>
      </c>
      <c r="G236" s="42">
        <v>44305</v>
      </c>
      <c r="H236" s="42">
        <v>44391</v>
      </c>
      <c r="I236" s="42"/>
      <c r="J236" s="15">
        <f t="shared" ca="1" si="84"/>
        <v>-906.40661944444582</v>
      </c>
      <c r="K236" s="177">
        <f t="shared" si="111"/>
        <v>44938</v>
      </c>
      <c r="L236" s="177">
        <f t="shared" si="112"/>
        <v>45121</v>
      </c>
      <c r="M236" s="177"/>
      <c r="N236" s="183"/>
      <c r="O236" s="183"/>
      <c r="P236" s="183"/>
      <c r="Q236" s="183"/>
      <c r="R236" s="41" t="s">
        <v>176</v>
      </c>
      <c r="S236" s="13" t="s">
        <v>222</v>
      </c>
      <c r="T236" s="41" t="s">
        <v>965</v>
      </c>
      <c r="U236" s="5" t="s">
        <v>8</v>
      </c>
      <c r="V236" s="268">
        <v>4129586</v>
      </c>
      <c r="W236" s="5" t="s">
        <v>614</v>
      </c>
      <c r="X236" s="5" t="s">
        <v>946</v>
      </c>
      <c r="Y236" s="5" t="s">
        <v>1076</v>
      </c>
      <c r="Z236" s="85" t="s">
        <v>316</v>
      </c>
      <c r="AA236" s="45" t="s">
        <v>463</v>
      </c>
      <c r="AB236" s="151" t="s">
        <v>1339</v>
      </c>
      <c r="AC236" s="177">
        <v>44926</v>
      </c>
      <c r="AD236" s="177">
        <v>44926</v>
      </c>
      <c r="AE236" s="177">
        <f t="shared" si="113"/>
        <v>45077</v>
      </c>
      <c r="AF236" s="5"/>
      <c r="AG236" s="43"/>
      <c r="AH236" s="228"/>
      <c r="AI236" s="125"/>
      <c r="AJ236" s="125"/>
      <c r="AK236" s="237" t="e">
        <f>SUM(#REF!,BT236,BV236)</f>
        <v>#REF!</v>
      </c>
      <c r="AL236" s="165"/>
      <c r="AM236" s="165"/>
      <c r="AN236" s="165"/>
      <c r="AO236" s="165"/>
      <c r="AP236" s="165"/>
      <c r="AQ236" s="165"/>
      <c r="AR236" s="57"/>
      <c r="AS236" s="56"/>
      <c r="AT236" s="56"/>
      <c r="AU236" s="56">
        <v>0</v>
      </c>
      <c r="AV236" s="47">
        <v>2764</v>
      </c>
      <c r="AW236" s="47">
        <v>112.27800000000001</v>
      </c>
      <c r="AX236" s="97">
        <f t="shared" si="85"/>
        <v>2876.2779999999998</v>
      </c>
      <c r="AY236" s="169">
        <f t="shared" si="98"/>
        <v>4.17659</v>
      </c>
      <c r="AZ236" s="196"/>
      <c r="BA236" s="170"/>
      <c r="BB236" s="196"/>
      <c r="BC236" s="170"/>
      <c r="BD236" s="196"/>
      <c r="BE236" s="170"/>
      <c r="BF236" s="196">
        <v>0</v>
      </c>
      <c r="BG236" s="170"/>
      <c r="BH236" s="196">
        <v>0</v>
      </c>
      <c r="BI236" s="170"/>
      <c r="BJ236" s="196">
        <v>0</v>
      </c>
      <c r="BK236" s="170"/>
      <c r="BL236" s="197"/>
      <c r="BM236" s="170"/>
      <c r="BN236" s="197"/>
      <c r="BO236" s="170"/>
      <c r="BP236" s="196"/>
      <c r="BQ236" s="170"/>
      <c r="BR236" s="196"/>
      <c r="BS236" s="170"/>
      <c r="BT236" s="196"/>
      <c r="BU236" s="170">
        <v>4.17659</v>
      </c>
      <c r="BV236" s="196"/>
      <c r="BW236" s="251"/>
      <c r="BX236" s="254"/>
      <c r="BY236" s="88">
        <f t="shared" si="99"/>
        <v>2759.8</v>
      </c>
      <c r="BZ236" s="259"/>
      <c r="CA236" s="259"/>
      <c r="CB236" s="259"/>
      <c r="CC236" s="259">
        <f>15-3.8</f>
        <v>11.2</v>
      </c>
      <c r="CD236" s="259">
        <v>260</v>
      </c>
      <c r="CE236" s="259">
        <v>200</v>
      </c>
      <c r="CF236" s="259">
        <v>228</v>
      </c>
      <c r="CG236" s="259">
        <f>15+9.6</f>
        <v>24.6</v>
      </c>
      <c r="CH236" s="259">
        <v>30</v>
      </c>
      <c r="CI236" s="259">
        <f>1212+507+17+55</f>
        <v>1791</v>
      </c>
      <c r="CJ236" s="259">
        <f>65+55</f>
        <v>120</v>
      </c>
      <c r="CK236" s="259">
        <f>40+55</f>
        <v>95</v>
      </c>
      <c r="CL236" s="211">
        <f t="shared" si="102"/>
        <v>0</v>
      </c>
      <c r="CM236" s="213"/>
      <c r="CN236" s="213"/>
      <c r="CO236" s="213"/>
      <c r="CP236" s="213"/>
      <c r="CQ236" s="213"/>
      <c r="CR236" s="213"/>
      <c r="CS236" s="213"/>
      <c r="CT236" s="213"/>
      <c r="CU236" s="213"/>
      <c r="CV236" s="213"/>
      <c r="CW236" s="213"/>
      <c r="CX236" s="213"/>
      <c r="CY236" s="216">
        <f t="shared" si="86"/>
        <v>0</v>
      </c>
      <c r="CZ236" s="185">
        <f t="shared" si="100"/>
        <v>0</v>
      </c>
      <c r="DA236" s="217">
        <f t="shared" si="87"/>
        <v>4.17659</v>
      </c>
      <c r="DB236" s="217">
        <f t="shared" si="88"/>
        <v>0</v>
      </c>
      <c r="DC236" s="217">
        <f t="shared" si="103"/>
        <v>2763.9765900000002</v>
      </c>
      <c r="DD236" s="256">
        <v>2764</v>
      </c>
      <c r="DE236" s="217">
        <f t="shared" si="104"/>
        <v>-2.3409999999785214E-2</v>
      </c>
      <c r="DF236" s="185" t="e">
        <f>SUM(DN236:DO236)-SUM(#REF!,BV236)+BU236</f>
        <v>#REF!</v>
      </c>
      <c r="DG236" s="223"/>
      <c r="DH236" s="241">
        <f t="shared" si="105"/>
        <v>0</v>
      </c>
      <c r="DI236" s="241">
        <f t="shared" si="106"/>
        <v>0</v>
      </c>
      <c r="DJ236" s="241">
        <f t="shared" si="107"/>
        <v>0</v>
      </c>
      <c r="DK236" s="241" t="e">
        <f>SUM(BS236,#REF!,BV236)</f>
        <v>#REF!</v>
      </c>
      <c r="DL236" s="155">
        <v>2764</v>
      </c>
      <c r="DM236" s="155">
        <v>4.17659</v>
      </c>
      <c r="DN236" s="155">
        <v>1.4125999999999999</v>
      </c>
      <c r="DO236" s="155">
        <v>0</v>
      </c>
      <c r="DP236" s="155">
        <v>5.5891899999999994</v>
      </c>
      <c r="DQ236" s="155">
        <v>2758.4108099999999</v>
      </c>
      <c r="DR236" s="23">
        <f>VLOOKUP(C236,[6]Database!$B$143:$AD$521,29,FALSE)</f>
        <v>2764</v>
      </c>
      <c r="DS236" s="235">
        <f t="shared" si="108"/>
        <v>-4.1999999999998181</v>
      </c>
    </row>
    <row r="237" spans="1:123" s="23" customFormat="1" ht="24" customHeight="1">
      <c r="A237" s="18"/>
      <c r="B237" s="2">
        <v>208</v>
      </c>
      <c r="C237" s="86" t="s">
        <v>848</v>
      </c>
      <c r="D237" s="242" t="s">
        <v>602</v>
      </c>
      <c r="E237" s="85"/>
      <c r="F237" s="41">
        <v>2021</v>
      </c>
      <c r="G237" s="42">
        <v>44314</v>
      </c>
      <c r="H237" s="42">
        <v>44344</v>
      </c>
      <c r="I237" s="42">
        <v>44553</v>
      </c>
      <c r="J237" s="15">
        <f t="shared" ca="1" si="84"/>
        <v>209</v>
      </c>
      <c r="K237" s="177">
        <f t="shared" si="111"/>
        <v>44891</v>
      </c>
      <c r="L237" s="177">
        <f t="shared" si="112"/>
        <v>45074</v>
      </c>
      <c r="M237" s="177"/>
      <c r="N237" s="183"/>
      <c r="O237" s="183"/>
      <c r="P237" s="183"/>
      <c r="Q237" s="183"/>
      <c r="R237" s="41" t="s">
        <v>177</v>
      </c>
      <c r="S237" s="13"/>
      <c r="T237" s="41"/>
      <c r="U237" s="5" t="s">
        <v>8</v>
      </c>
      <c r="V237" s="268">
        <v>4149542</v>
      </c>
      <c r="W237" s="5" t="s">
        <v>614</v>
      </c>
      <c r="X237" s="5" t="s">
        <v>476</v>
      </c>
      <c r="Y237" s="5" t="s">
        <v>849</v>
      </c>
      <c r="Z237" s="3" t="s">
        <v>181</v>
      </c>
      <c r="AA237" s="45" t="s">
        <v>195</v>
      </c>
      <c r="AB237" s="152" t="s">
        <v>1508</v>
      </c>
      <c r="AC237" s="177" t="s">
        <v>6</v>
      </c>
      <c r="AD237" s="177">
        <v>44561</v>
      </c>
      <c r="AE237" s="177">
        <f t="shared" si="113"/>
        <v>45016</v>
      </c>
      <c r="AF237" s="5" t="s">
        <v>1133</v>
      </c>
      <c r="AG237" s="43"/>
      <c r="AH237" s="228">
        <v>6.9000000000000006E-2</v>
      </c>
      <c r="AI237" s="125"/>
      <c r="AJ237" s="125"/>
      <c r="AK237" s="237" t="e">
        <f>SUM(#REF!,BT237,BV237)</f>
        <v>#REF!</v>
      </c>
      <c r="AL237" s="165"/>
      <c r="AM237" s="165"/>
      <c r="AN237" s="165"/>
      <c r="AO237" s="165"/>
      <c r="AP237" s="165"/>
      <c r="AQ237" s="165"/>
      <c r="AR237" s="57"/>
      <c r="AS237" s="56"/>
      <c r="AT237" s="56"/>
      <c r="AU237" s="56">
        <v>50</v>
      </c>
      <c r="AV237" s="47">
        <v>106.779</v>
      </c>
      <c r="AW237" s="47"/>
      <c r="AX237" s="97">
        <f t="shared" si="85"/>
        <v>106.779</v>
      </c>
      <c r="AY237" s="169">
        <f t="shared" si="98"/>
        <v>86.203130000000002</v>
      </c>
      <c r="AZ237" s="196"/>
      <c r="BA237" s="170"/>
      <c r="BB237" s="196">
        <v>12.5</v>
      </c>
      <c r="BC237" s="170"/>
      <c r="BD237" s="196"/>
      <c r="BE237" s="170"/>
      <c r="BF237" s="196">
        <v>0</v>
      </c>
      <c r="BG237" s="170"/>
      <c r="BH237" s="196">
        <v>0</v>
      </c>
      <c r="BI237" s="170"/>
      <c r="BJ237" s="196">
        <v>0</v>
      </c>
      <c r="BK237" s="170"/>
      <c r="BL237" s="197"/>
      <c r="BM237" s="170"/>
      <c r="BN237" s="197"/>
      <c r="BO237" s="170">
        <v>29.99119</v>
      </c>
      <c r="BP237" s="196">
        <v>5</v>
      </c>
      <c r="BQ237" s="170">
        <v>7.6090200000000001</v>
      </c>
      <c r="BR237" s="196">
        <f>5-2.6</f>
        <v>2.4</v>
      </c>
      <c r="BS237" s="170">
        <v>41.066969999999998</v>
      </c>
      <c r="BT237" s="196">
        <f>31.9-24.3-1.8</f>
        <v>5.799999999999998</v>
      </c>
      <c r="BU237" s="170">
        <v>6.9740500000000001</v>
      </c>
      <c r="BV237" s="196">
        <v>0</v>
      </c>
      <c r="BW237" s="251">
        <v>0.56190000000000007</v>
      </c>
      <c r="BX237" s="254">
        <v>0.56190000000000007</v>
      </c>
      <c r="BY237" s="88">
        <f t="shared" si="99"/>
        <v>0</v>
      </c>
      <c r="BZ237" s="259"/>
      <c r="CA237" s="259"/>
      <c r="CB237" s="259"/>
      <c r="CC237" s="259"/>
      <c r="CD237" s="259"/>
      <c r="CE237" s="259"/>
      <c r="CF237" s="259"/>
      <c r="CG237" s="259"/>
      <c r="CH237" s="259"/>
      <c r="CI237" s="259"/>
      <c r="CJ237" s="259"/>
      <c r="CK237" s="259"/>
      <c r="CL237" s="211">
        <f t="shared" si="102"/>
        <v>0</v>
      </c>
      <c r="CM237" s="213"/>
      <c r="CN237" s="213"/>
      <c r="CO237" s="213"/>
      <c r="CP237" s="213"/>
      <c r="CQ237" s="213"/>
      <c r="CR237" s="213"/>
      <c r="CS237" s="213"/>
      <c r="CT237" s="213"/>
      <c r="CU237" s="213"/>
      <c r="CV237" s="213"/>
      <c r="CW237" s="213"/>
      <c r="CX237" s="213"/>
      <c r="CY237" s="216">
        <f t="shared" si="86"/>
        <v>-0.56190000000000007</v>
      </c>
      <c r="CZ237" s="185">
        <f t="shared" si="100"/>
        <v>0</v>
      </c>
      <c r="DA237" s="217">
        <f t="shared" si="87"/>
        <v>85.641230000000007</v>
      </c>
      <c r="DB237" s="217">
        <f t="shared" si="88"/>
        <v>0.56190000000000007</v>
      </c>
      <c r="DC237" s="217">
        <f t="shared" si="103"/>
        <v>86.203130000000002</v>
      </c>
      <c r="DD237" s="256">
        <v>84.467179999999999</v>
      </c>
      <c r="DE237" s="217">
        <f t="shared" si="104"/>
        <v>1.7359500000000025</v>
      </c>
      <c r="DF237" s="185" t="e">
        <f>SUM(DN237:DO237)-SUM(#REF!,BV237)+BU237</f>
        <v>#REF!</v>
      </c>
      <c r="DG237" s="223"/>
      <c r="DH237" s="241">
        <f t="shared" si="105"/>
        <v>0</v>
      </c>
      <c r="DI237" s="241">
        <f t="shared" si="106"/>
        <v>0</v>
      </c>
      <c r="DJ237" s="241">
        <f t="shared" si="107"/>
        <v>37.600209999999997</v>
      </c>
      <c r="DK237" s="241" t="e">
        <f>SUM(BS237,#REF!,BV237)</f>
        <v>#REF!</v>
      </c>
      <c r="DL237" s="155">
        <v>106.779</v>
      </c>
      <c r="DM237" s="155">
        <v>86.203130000000002</v>
      </c>
      <c r="DN237" s="155">
        <v>2.8265500000000001</v>
      </c>
      <c r="DO237" s="155">
        <v>0</v>
      </c>
      <c r="DP237" s="155">
        <v>89.029679999999999</v>
      </c>
      <c r="DQ237" s="155">
        <v>17.749320000000001</v>
      </c>
      <c r="DR237" s="23">
        <f>VLOOKUP(C237,[6]Database!$B$143:$AD$521,29,FALSE)</f>
        <v>0</v>
      </c>
      <c r="DS237" s="235">
        <f t="shared" si="108"/>
        <v>0</v>
      </c>
    </row>
    <row r="238" spans="1:123" s="23" customFormat="1" ht="24" customHeight="1">
      <c r="A238" s="18"/>
      <c r="B238" s="2">
        <v>209</v>
      </c>
      <c r="C238" s="86" t="s">
        <v>857</v>
      </c>
      <c r="D238" s="86">
        <v>7918</v>
      </c>
      <c r="E238" s="86"/>
      <c r="F238" s="41">
        <v>2021</v>
      </c>
      <c r="G238" s="42">
        <v>44326</v>
      </c>
      <c r="H238" s="42">
        <v>44377</v>
      </c>
      <c r="I238" s="42"/>
      <c r="J238" s="15">
        <f t="shared" ref="J238:J274" ca="1" si="114">IF(H238="","",IF(I238&lt;&gt;"",I238-H238,EDATE(H238,18)-NOW()))</f>
        <v>-921.40661944444582</v>
      </c>
      <c r="K238" s="177">
        <f t="shared" si="111"/>
        <v>44924</v>
      </c>
      <c r="L238" s="177">
        <f t="shared" si="112"/>
        <v>45107</v>
      </c>
      <c r="M238" s="177"/>
      <c r="N238" s="183"/>
      <c r="O238" s="183"/>
      <c r="P238" s="183"/>
      <c r="Q238" s="183"/>
      <c r="R238" s="41" t="s">
        <v>176</v>
      </c>
      <c r="S238" s="13" t="s">
        <v>5</v>
      </c>
      <c r="T238" s="43" t="s">
        <v>961</v>
      </c>
      <c r="U238" s="5" t="s">
        <v>8</v>
      </c>
      <c r="V238" s="268">
        <v>4247961</v>
      </c>
      <c r="W238" s="5" t="s">
        <v>614</v>
      </c>
      <c r="X238" s="5" t="s">
        <v>478</v>
      </c>
      <c r="Y238" s="5" t="s">
        <v>999</v>
      </c>
      <c r="Z238" s="3" t="s">
        <v>183</v>
      </c>
      <c r="AA238" s="45" t="s">
        <v>463</v>
      </c>
      <c r="AB238" s="151" t="s">
        <v>1345</v>
      </c>
      <c r="AC238" s="177">
        <v>44864</v>
      </c>
      <c r="AD238" s="177">
        <v>44864</v>
      </c>
      <c r="AE238" s="177">
        <f t="shared" si="113"/>
        <v>45046</v>
      </c>
      <c r="AF238" s="5"/>
      <c r="AG238" s="43"/>
      <c r="AH238" s="228"/>
      <c r="AI238" s="125" t="s">
        <v>1504</v>
      </c>
      <c r="AJ238" s="125"/>
      <c r="AK238" s="237" t="e">
        <f>SUM(#REF!,BT238,BV238)</f>
        <v>#REF!</v>
      </c>
      <c r="AL238" s="165" t="s">
        <v>1245</v>
      </c>
      <c r="AM238" s="165" t="s">
        <v>1246</v>
      </c>
      <c r="AN238" s="179" t="s">
        <v>1188</v>
      </c>
      <c r="AO238" s="165" t="s">
        <v>1248</v>
      </c>
      <c r="AP238" s="165">
        <v>2021</v>
      </c>
      <c r="AQ238" s="165" t="s">
        <v>1213</v>
      </c>
      <c r="AR238" s="57"/>
      <c r="AS238" s="56"/>
      <c r="AT238" s="56"/>
      <c r="AU238" s="56"/>
      <c r="AV238" s="47">
        <v>286.95499999999998</v>
      </c>
      <c r="AW238" s="47">
        <v>50</v>
      </c>
      <c r="AX238" s="97">
        <f t="shared" si="85"/>
        <v>336.95499999999998</v>
      </c>
      <c r="AY238" s="169">
        <f t="shared" si="98"/>
        <v>49.75168</v>
      </c>
      <c r="AZ238" s="196"/>
      <c r="BA238" s="170"/>
      <c r="BB238" s="196"/>
      <c r="BC238" s="170"/>
      <c r="BD238" s="196"/>
      <c r="BE238" s="170"/>
      <c r="BF238" s="196"/>
      <c r="BG238" s="170"/>
      <c r="BH238" s="196">
        <v>0</v>
      </c>
      <c r="BI238" s="170"/>
      <c r="BJ238" s="196">
        <v>0</v>
      </c>
      <c r="BK238" s="170"/>
      <c r="BL238" s="197"/>
      <c r="BM238" s="170"/>
      <c r="BN238" s="197"/>
      <c r="BO238" s="170"/>
      <c r="BP238" s="196"/>
      <c r="BQ238" s="170"/>
      <c r="BR238" s="196">
        <v>5</v>
      </c>
      <c r="BS238" s="170"/>
      <c r="BT238" s="196">
        <v>25</v>
      </c>
      <c r="BU238" s="170">
        <v>21.402670000000001</v>
      </c>
      <c r="BV238" s="196">
        <f>15.3+9.7+0.2+0.8</f>
        <v>26</v>
      </c>
      <c r="BW238" s="251">
        <v>28.34901</v>
      </c>
      <c r="BX238" s="254">
        <v>28.34901</v>
      </c>
      <c r="BY238" s="88">
        <f t="shared" si="99"/>
        <v>107.7</v>
      </c>
      <c r="BZ238" s="259">
        <f>10-1.8-0.5</f>
        <v>7.6999999999999993</v>
      </c>
      <c r="CA238" s="259">
        <v>10</v>
      </c>
      <c r="CB238" s="259">
        <v>10</v>
      </c>
      <c r="CC238" s="259">
        <v>30</v>
      </c>
      <c r="CD238" s="259">
        <v>30</v>
      </c>
      <c r="CE238" s="259">
        <v>5</v>
      </c>
      <c r="CF238" s="259">
        <v>5</v>
      </c>
      <c r="CG238" s="259">
        <v>5</v>
      </c>
      <c r="CH238" s="259">
        <v>5</v>
      </c>
      <c r="CI238" s="259"/>
      <c r="CJ238" s="259"/>
      <c r="CK238" s="259"/>
      <c r="CL238" s="211">
        <f t="shared" si="102"/>
        <v>0</v>
      </c>
      <c r="CM238" s="213"/>
      <c r="CN238" s="213"/>
      <c r="CO238" s="213"/>
      <c r="CP238" s="213"/>
      <c r="CQ238" s="213"/>
      <c r="CR238" s="213"/>
      <c r="CS238" s="213"/>
      <c r="CT238" s="213"/>
      <c r="CU238" s="213"/>
      <c r="CV238" s="213"/>
      <c r="CW238" s="213"/>
      <c r="CX238" s="213"/>
      <c r="CY238" s="216">
        <f t="shared" si="86"/>
        <v>-2.3490099999999998</v>
      </c>
      <c r="CZ238" s="185">
        <f t="shared" si="100"/>
        <v>0</v>
      </c>
      <c r="DA238" s="217">
        <f t="shared" si="87"/>
        <v>21.402670000000001</v>
      </c>
      <c r="DB238" s="217">
        <f t="shared" si="88"/>
        <v>28.34901</v>
      </c>
      <c r="DC238" s="217">
        <f t="shared" si="103"/>
        <v>157.45168000000001</v>
      </c>
      <c r="DD238" s="256">
        <v>287</v>
      </c>
      <c r="DE238" s="217">
        <f t="shared" si="104"/>
        <v>-129.54831999999999</v>
      </c>
      <c r="DF238" s="185" t="e">
        <f>SUM(DN238:DO238)-SUM(#REF!,BV238)+BU238</f>
        <v>#REF!</v>
      </c>
      <c r="DG238" s="223"/>
      <c r="DH238" s="241">
        <f t="shared" si="105"/>
        <v>0</v>
      </c>
      <c r="DI238" s="241">
        <f t="shared" si="106"/>
        <v>0</v>
      </c>
      <c r="DJ238" s="241">
        <f t="shared" si="107"/>
        <v>0</v>
      </c>
      <c r="DK238" s="241" t="e">
        <f>SUM(BS238,#REF!,BV238)</f>
        <v>#REF!</v>
      </c>
      <c r="DL238" s="155">
        <v>286.95499999999998</v>
      </c>
      <c r="DM238" s="155">
        <v>49.75168</v>
      </c>
      <c r="DN238" s="155">
        <v>39.32217</v>
      </c>
      <c r="DO238" s="155">
        <v>6.6960800000000003</v>
      </c>
      <c r="DP238" s="155">
        <v>95.769929999999988</v>
      </c>
      <c r="DQ238" s="155">
        <v>191.18507</v>
      </c>
      <c r="DR238" s="23">
        <f>VLOOKUP(C238,[6]Database!$B$143:$AD$521,29,FALSE)</f>
        <v>237</v>
      </c>
      <c r="DS238" s="235">
        <f t="shared" si="108"/>
        <v>-129.30000000000001</v>
      </c>
    </row>
    <row r="239" spans="1:123" s="23" customFormat="1" ht="24" customHeight="1">
      <c r="A239" s="18"/>
      <c r="B239" s="2">
        <v>210</v>
      </c>
      <c r="C239" s="86" t="s">
        <v>859</v>
      </c>
      <c r="D239" s="242" t="s">
        <v>602</v>
      </c>
      <c r="E239" s="85"/>
      <c r="F239" s="41">
        <v>2021</v>
      </c>
      <c r="G239" s="42">
        <v>44327</v>
      </c>
      <c r="H239" s="42">
        <v>44344</v>
      </c>
      <c r="I239" s="42"/>
      <c r="J239" s="15">
        <f t="shared" ca="1" si="114"/>
        <v>-953.40661944444582</v>
      </c>
      <c r="K239" s="177">
        <f t="shared" si="111"/>
        <v>44891</v>
      </c>
      <c r="L239" s="177">
        <f t="shared" si="112"/>
        <v>45074</v>
      </c>
      <c r="M239" s="177"/>
      <c r="N239" s="183"/>
      <c r="O239" s="183"/>
      <c r="P239" s="183"/>
      <c r="Q239" s="183"/>
      <c r="R239" s="41" t="s">
        <v>177</v>
      </c>
      <c r="S239" s="13"/>
      <c r="T239" s="41"/>
      <c r="U239" s="5" t="s">
        <v>8</v>
      </c>
      <c r="V239" s="268">
        <v>4154934</v>
      </c>
      <c r="W239" s="5" t="s">
        <v>614</v>
      </c>
      <c r="X239" s="5" t="s">
        <v>476</v>
      </c>
      <c r="Y239" s="5" t="s">
        <v>858</v>
      </c>
      <c r="Z239" s="3" t="s">
        <v>186</v>
      </c>
      <c r="AA239" s="45" t="s">
        <v>463</v>
      </c>
      <c r="AB239" s="152" t="s">
        <v>1514</v>
      </c>
      <c r="AC239" s="177">
        <v>44620</v>
      </c>
      <c r="AD239" s="177">
        <v>44591</v>
      </c>
      <c r="AE239" s="177">
        <f t="shared" si="113"/>
        <v>45016</v>
      </c>
      <c r="AF239" s="5"/>
      <c r="AG239" s="43"/>
      <c r="AH239" s="228"/>
      <c r="AI239" s="125"/>
      <c r="AJ239" s="125"/>
      <c r="AK239" s="237" t="e">
        <f>SUM(#REF!,BT239,BV239)</f>
        <v>#REF!</v>
      </c>
      <c r="AL239" s="165"/>
      <c r="AM239" s="165"/>
      <c r="AN239" s="165"/>
      <c r="AO239" s="165"/>
      <c r="AP239" s="165"/>
      <c r="AQ239" s="165"/>
      <c r="AR239" s="57"/>
      <c r="AS239" s="56"/>
      <c r="AT239" s="56"/>
      <c r="AU239" s="56">
        <v>30</v>
      </c>
      <c r="AV239" s="47">
        <v>60.6</v>
      </c>
      <c r="AW239" s="47"/>
      <c r="AX239" s="97">
        <f t="shared" ref="AX239:AX264" si="115">AW239+AV239</f>
        <v>60.6</v>
      </c>
      <c r="AY239" s="169">
        <f t="shared" si="98"/>
        <v>33.632639999999995</v>
      </c>
      <c r="AZ239" s="196"/>
      <c r="BA239" s="170"/>
      <c r="BB239" s="196"/>
      <c r="BC239" s="170"/>
      <c r="BD239" s="196"/>
      <c r="BE239" s="170"/>
      <c r="BF239" s="196"/>
      <c r="BG239" s="170"/>
      <c r="BH239" s="196">
        <v>0</v>
      </c>
      <c r="BI239" s="170"/>
      <c r="BJ239" s="196">
        <v>0</v>
      </c>
      <c r="BK239" s="170"/>
      <c r="BL239" s="197">
        <v>0</v>
      </c>
      <c r="BM239" s="170"/>
      <c r="BN239" s="197">
        <v>0</v>
      </c>
      <c r="BO239" s="170"/>
      <c r="BP239" s="196">
        <v>0</v>
      </c>
      <c r="BQ239" s="170"/>
      <c r="BR239" s="196">
        <v>22</v>
      </c>
      <c r="BS239" s="170">
        <v>24.330479999999998</v>
      </c>
      <c r="BT239" s="196">
        <f>22-4+2.8-1.1</f>
        <v>19.7</v>
      </c>
      <c r="BU239" s="170">
        <v>9.3021600000000007</v>
      </c>
      <c r="BV239" s="196"/>
      <c r="BW239" s="251"/>
      <c r="BX239" s="254"/>
      <c r="BY239" s="88">
        <f t="shared" si="99"/>
        <v>7</v>
      </c>
      <c r="BZ239" s="259"/>
      <c r="CA239" s="259">
        <v>7</v>
      </c>
      <c r="CB239" s="259"/>
      <c r="CC239" s="259"/>
      <c r="CD239" s="259"/>
      <c r="CE239" s="259"/>
      <c r="CF239" s="259"/>
      <c r="CG239" s="259"/>
      <c r="CH239" s="259"/>
      <c r="CI239" s="259"/>
      <c r="CJ239" s="259"/>
      <c r="CK239" s="259"/>
      <c r="CL239" s="211">
        <f t="shared" si="102"/>
        <v>0</v>
      </c>
      <c r="CM239" s="213"/>
      <c r="CN239" s="213"/>
      <c r="CO239" s="213"/>
      <c r="CP239" s="213"/>
      <c r="CQ239" s="213"/>
      <c r="CR239" s="213"/>
      <c r="CS239" s="213"/>
      <c r="CT239" s="213"/>
      <c r="CU239" s="213"/>
      <c r="CV239" s="213"/>
      <c r="CW239" s="213"/>
      <c r="CX239" s="213"/>
      <c r="CY239" s="216">
        <f t="shared" ref="CY239:CY264" si="116">BV239-BX239</f>
        <v>0</v>
      </c>
      <c r="CZ239" s="185">
        <f t="shared" si="100"/>
        <v>0</v>
      </c>
      <c r="DA239" s="217">
        <f t="shared" ref="DA239:DA264" si="117">SUM(BA239,BC239,BE239,BG239,BI239,BK239,BM239,BO239,BQ239,BS239,BU239)</f>
        <v>33.632639999999995</v>
      </c>
      <c r="DB239" s="217">
        <f t="shared" ref="DB239:DB264" si="118">SUM(BX239)</f>
        <v>0</v>
      </c>
      <c r="DC239" s="217">
        <f t="shared" si="103"/>
        <v>40.632639999999995</v>
      </c>
      <c r="DD239" s="256">
        <v>60.630479999999999</v>
      </c>
      <c r="DE239" s="217">
        <f t="shared" si="104"/>
        <v>-19.997840000000004</v>
      </c>
      <c r="DF239" s="185" t="e">
        <f>SUM(DN239:DO239)-SUM(#REF!,BV239)+BU239</f>
        <v>#REF!</v>
      </c>
      <c r="DG239" s="223"/>
      <c r="DH239" s="241">
        <f t="shared" si="105"/>
        <v>0</v>
      </c>
      <c r="DI239" s="241">
        <f t="shared" si="106"/>
        <v>0</v>
      </c>
      <c r="DJ239" s="241">
        <f t="shared" si="107"/>
        <v>0</v>
      </c>
      <c r="DK239" s="241" t="e">
        <f>SUM(BS239,#REF!,BV239)</f>
        <v>#REF!</v>
      </c>
      <c r="DL239" s="155">
        <v>60.6</v>
      </c>
      <c r="DM239" s="155">
        <v>33.632640000000002</v>
      </c>
      <c r="DN239" s="155">
        <v>7.1181899999999994</v>
      </c>
      <c r="DO239" s="155">
        <v>0</v>
      </c>
      <c r="DP239" s="155">
        <v>40.750830000000001</v>
      </c>
      <c r="DQ239" s="155">
        <v>19.849169999999997</v>
      </c>
      <c r="DR239" s="23">
        <f>VLOOKUP(C239,[6]Database!$B$143:$AD$521,29,FALSE)</f>
        <v>0</v>
      </c>
      <c r="DS239" s="235">
        <f t="shared" si="108"/>
        <v>7</v>
      </c>
    </row>
    <row r="240" spans="1:123" s="23" customFormat="1" ht="24" customHeight="1">
      <c r="A240" s="18"/>
      <c r="B240" s="2">
        <v>212</v>
      </c>
      <c r="C240" s="86" t="s">
        <v>944</v>
      </c>
      <c r="D240" s="242" t="s">
        <v>602</v>
      </c>
      <c r="E240" s="85"/>
      <c r="F240" s="41">
        <v>2021</v>
      </c>
      <c r="G240" s="42">
        <v>44330</v>
      </c>
      <c r="H240" s="42">
        <v>44369</v>
      </c>
      <c r="I240" s="42"/>
      <c r="J240" s="15">
        <f t="shared" ca="1" si="114"/>
        <v>-929.40661944444582</v>
      </c>
      <c r="K240" s="177">
        <f t="shared" si="111"/>
        <v>44916</v>
      </c>
      <c r="L240" s="177">
        <f t="shared" si="112"/>
        <v>45099</v>
      </c>
      <c r="M240" s="177"/>
      <c r="N240" s="183"/>
      <c r="O240" s="183"/>
      <c r="P240" s="183"/>
      <c r="Q240" s="183"/>
      <c r="R240" s="41" t="s">
        <v>177</v>
      </c>
      <c r="S240" s="13"/>
      <c r="T240" s="41"/>
      <c r="U240" s="5" t="s">
        <v>8</v>
      </c>
      <c r="V240" s="268">
        <v>4175146</v>
      </c>
      <c r="W240" s="5" t="s">
        <v>614</v>
      </c>
      <c r="X240" s="5" t="s">
        <v>476</v>
      </c>
      <c r="Y240" s="5" t="s">
        <v>943</v>
      </c>
      <c r="Z240" s="85" t="s">
        <v>186</v>
      </c>
      <c r="AA240" s="45" t="s">
        <v>463</v>
      </c>
      <c r="AB240" s="152" t="s">
        <v>1514</v>
      </c>
      <c r="AC240" s="177">
        <v>44620</v>
      </c>
      <c r="AD240" s="177">
        <v>44620</v>
      </c>
      <c r="AE240" s="177">
        <f t="shared" si="113"/>
        <v>45046</v>
      </c>
      <c r="AF240" s="5"/>
      <c r="AG240" s="43"/>
      <c r="AH240" s="228"/>
      <c r="AI240" s="125"/>
      <c r="AJ240" s="125"/>
      <c r="AK240" s="237" t="e">
        <f>SUM(#REF!,BT240,BV240)</f>
        <v>#REF!</v>
      </c>
      <c r="AL240" s="165"/>
      <c r="AM240" s="165"/>
      <c r="AN240" s="165"/>
      <c r="AO240" s="165"/>
      <c r="AP240" s="165"/>
      <c r="AQ240" s="165"/>
      <c r="AR240" s="57"/>
      <c r="AS240" s="56"/>
      <c r="AT240" s="56"/>
      <c r="AU240" s="56">
        <v>60</v>
      </c>
      <c r="AV240" s="47">
        <v>70.599999999999994</v>
      </c>
      <c r="AW240" s="47"/>
      <c r="AX240" s="97">
        <f t="shared" si="115"/>
        <v>70.599999999999994</v>
      </c>
      <c r="AY240" s="169">
        <f t="shared" si="98"/>
        <v>44.781129999999997</v>
      </c>
      <c r="AZ240" s="196"/>
      <c r="BA240" s="170"/>
      <c r="BB240" s="196"/>
      <c r="BC240" s="170"/>
      <c r="BD240" s="196"/>
      <c r="BE240" s="170"/>
      <c r="BF240" s="196"/>
      <c r="BG240" s="170"/>
      <c r="BH240" s="196">
        <v>0</v>
      </c>
      <c r="BI240" s="170"/>
      <c r="BJ240" s="196">
        <v>0</v>
      </c>
      <c r="BK240" s="170"/>
      <c r="BL240" s="197">
        <v>0</v>
      </c>
      <c r="BM240" s="170"/>
      <c r="BN240" s="197">
        <v>0</v>
      </c>
      <c r="BO240" s="170"/>
      <c r="BP240" s="196"/>
      <c r="BQ240" s="170"/>
      <c r="BR240" s="196"/>
      <c r="BS240" s="170"/>
      <c r="BT240" s="196">
        <v>35</v>
      </c>
      <c r="BU240" s="170">
        <v>34.246929999999999</v>
      </c>
      <c r="BV240" s="196">
        <f>35.6-2.7+3.2</f>
        <v>36.1</v>
      </c>
      <c r="BW240" s="251">
        <v>10.5342</v>
      </c>
      <c r="BX240" s="254">
        <v>10.5342</v>
      </c>
      <c r="BY240" s="88">
        <f t="shared" si="99"/>
        <v>19.100000000000001</v>
      </c>
      <c r="BZ240" s="259">
        <v>19.100000000000001</v>
      </c>
      <c r="CA240" s="259"/>
      <c r="CB240" s="259"/>
      <c r="CC240" s="259"/>
      <c r="CD240" s="259"/>
      <c r="CE240" s="259"/>
      <c r="CF240" s="259"/>
      <c r="CG240" s="259"/>
      <c r="CH240" s="259"/>
      <c r="CI240" s="259"/>
      <c r="CJ240" s="259"/>
      <c r="CK240" s="259"/>
      <c r="CL240" s="211">
        <f t="shared" si="102"/>
        <v>0</v>
      </c>
      <c r="CM240" s="213"/>
      <c r="CN240" s="213"/>
      <c r="CO240" s="213"/>
      <c r="CP240" s="213"/>
      <c r="CQ240" s="213"/>
      <c r="CR240" s="213"/>
      <c r="CS240" s="213"/>
      <c r="CT240" s="213"/>
      <c r="CU240" s="213"/>
      <c r="CV240" s="213"/>
      <c r="CW240" s="213"/>
      <c r="CX240" s="213"/>
      <c r="CY240" s="216">
        <f t="shared" si="116"/>
        <v>25.565800000000003</v>
      </c>
      <c r="CZ240" s="185">
        <f t="shared" si="100"/>
        <v>0</v>
      </c>
      <c r="DA240" s="217">
        <f t="shared" si="117"/>
        <v>34.246929999999999</v>
      </c>
      <c r="DB240" s="217">
        <f t="shared" si="118"/>
        <v>10.5342</v>
      </c>
      <c r="DC240" s="217">
        <f t="shared" si="103"/>
        <v>63.881129999999999</v>
      </c>
      <c r="DD240" s="256">
        <v>70.599999999999994</v>
      </c>
      <c r="DE240" s="217">
        <f t="shared" si="104"/>
        <v>-6.7188699999999955</v>
      </c>
      <c r="DF240" s="185" t="e">
        <f>SUM(DN240:DO240)-SUM(#REF!,BV240)+BU240</f>
        <v>#REF!</v>
      </c>
      <c r="DG240" s="223"/>
      <c r="DH240" s="241">
        <f t="shared" si="105"/>
        <v>0</v>
      </c>
      <c r="DI240" s="241">
        <f t="shared" si="106"/>
        <v>0</v>
      </c>
      <c r="DJ240" s="241">
        <f t="shared" si="107"/>
        <v>0</v>
      </c>
      <c r="DK240" s="241" t="e">
        <f>SUM(BS240,#REF!,BV240)</f>
        <v>#REF!</v>
      </c>
      <c r="DL240" s="155">
        <v>70.599999999999994</v>
      </c>
      <c r="DM240" s="155">
        <v>44.781129999999997</v>
      </c>
      <c r="DN240" s="155">
        <v>18.040849999999999</v>
      </c>
      <c r="DO240" s="155">
        <v>0</v>
      </c>
      <c r="DP240" s="155">
        <v>62.821980000000003</v>
      </c>
      <c r="DQ240" s="155">
        <v>7.7780200000000006</v>
      </c>
      <c r="DR240" s="23">
        <f>VLOOKUP(C240,[6]Database!$B$143:$AD$521,29,FALSE)</f>
        <v>0</v>
      </c>
      <c r="DS240" s="235">
        <f t="shared" si="108"/>
        <v>19.100000000000001</v>
      </c>
    </row>
    <row r="241" spans="1:123" s="23" customFormat="1" ht="24" customHeight="1">
      <c r="A241" s="18"/>
      <c r="B241" s="2">
        <v>213</v>
      </c>
      <c r="C241" s="86" t="s">
        <v>945</v>
      </c>
      <c r="D241" s="86">
        <v>12538</v>
      </c>
      <c r="E241" s="85"/>
      <c r="F241" s="41">
        <v>2021</v>
      </c>
      <c r="G241" s="42">
        <v>44330</v>
      </c>
      <c r="H241" s="42">
        <v>44434</v>
      </c>
      <c r="I241" s="42"/>
      <c r="J241" s="15">
        <f t="shared" ca="1" si="114"/>
        <v>-863.40661944444582</v>
      </c>
      <c r="K241" s="177">
        <f t="shared" si="111"/>
        <v>44981</v>
      </c>
      <c r="L241" s="177">
        <f t="shared" si="112"/>
        <v>45164</v>
      </c>
      <c r="M241" s="177"/>
      <c r="N241" s="183"/>
      <c r="O241" s="183"/>
      <c r="P241" s="183"/>
      <c r="Q241" s="183"/>
      <c r="R241" s="41" t="s">
        <v>176</v>
      </c>
      <c r="S241" s="13" t="s">
        <v>223</v>
      </c>
      <c r="T241" s="41" t="s">
        <v>186</v>
      </c>
      <c r="U241" s="5" t="s">
        <v>8</v>
      </c>
      <c r="V241" s="268">
        <v>4462054</v>
      </c>
      <c r="W241" s="5" t="s">
        <v>614</v>
      </c>
      <c r="X241" s="5" t="s">
        <v>474</v>
      </c>
      <c r="Y241" s="5" t="s">
        <v>1083</v>
      </c>
      <c r="Z241" s="85" t="s">
        <v>186</v>
      </c>
      <c r="AA241" s="45" t="s">
        <v>463</v>
      </c>
      <c r="AB241" s="152" t="s">
        <v>1349</v>
      </c>
      <c r="AC241" s="177">
        <v>44804</v>
      </c>
      <c r="AD241" s="177">
        <v>44957</v>
      </c>
      <c r="AE241" s="177">
        <f t="shared" si="113"/>
        <v>45107</v>
      </c>
      <c r="AF241" s="5"/>
      <c r="AG241" s="43"/>
      <c r="AH241" s="228"/>
      <c r="AI241" s="125"/>
      <c r="AJ241" s="125" t="s">
        <v>1309</v>
      </c>
      <c r="AK241" s="237" t="e">
        <f>SUM(#REF!,BT241,BV241)</f>
        <v>#REF!</v>
      </c>
      <c r="AL241" s="165" t="s">
        <v>1258</v>
      </c>
      <c r="AM241" s="165" t="s">
        <v>1251</v>
      </c>
      <c r="AN241" s="165" t="s">
        <v>1258</v>
      </c>
      <c r="AO241" s="165" t="s">
        <v>602</v>
      </c>
      <c r="AP241" s="165" t="s">
        <v>602</v>
      </c>
      <c r="AQ241" s="165" t="s">
        <v>602</v>
      </c>
      <c r="AR241" s="57"/>
      <c r="AS241" s="56"/>
      <c r="AT241" s="56"/>
      <c r="AU241" s="56">
        <v>0</v>
      </c>
      <c r="AV241" s="47">
        <v>345.92682000000002</v>
      </c>
      <c r="AW241" s="47">
        <v>53.103230000000003</v>
      </c>
      <c r="AX241" s="97">
        <f t="shared" si="115"/>
        <v>399.03005000000002</v>
      </c>
      <c r="AY241" s="169">
        <f t="shared" si="98"/>
        <v>54.63344</v>
      </c>
      <c r="AZ241" s="196"/>
      <c r="BA241" s="170"/>
      <c r="BB241" s="196"/>
      <c r="BC241" s="170"/>
      <c r="BD241" s="196"/>
      <c r="BE241" s="170"/>
      <c r="BF241" s="196"/>
      <c r="BG241" s="170"/>
      <c r="BH241" s="196">
        <v>0</v>
      </c>
      <c r="BI241" s="170"/>
      <c r="BJ241" s="196">
        <v>0</v>
      </c>
      <c r="BK241" s="170"/>
      <c r="BL241" s="197"/>
      <c r="BM241" s="170"/>
      <c r="BN241" s="197"/>
      <c r="BO241" s="170"/>
      <c r="BP241" s="196"/>
      <c r="BQ241" s="170"/>
      <c r="BR241" s="196"/>
      <c r="BS241" s="170">
        <v>0.50517000000000001</v>
      </c>
      <c r="BT241" s="196">
        <v>0</v>
      </c>
      <c r="BU241" s="170">
        <v>1.6106099999999999</v>
      </c>
      <c r="BV241" s="196">
        <f>35-1.7+13</f>
        <v>46.3</v>
      </c>
      <c r="BW241" s="251">
        <v>52.517659999999999</v>
      </c>
      <c r="BX241" s="254">
        <v>52.517659999999999</v>
      </c>
      <c r="BY241" s="88">
        <f t="shared" si="99"/>
        <v>291.31999999999994</v>
      </c>
      <c r="BZ241" s="259"/>
      <c r="CA241" s="259"/>
      <c r="CB241" s="259"/>
      <c r="CC241" s="259">
        <v>10</v>
      </c>
      <c r="CD241" s="259">
        <f>310.4/10-13-6.2</f>
        <v>11.84</v>
      </c>
      <c r="CE241" s="259">
        <f t="shared" ref="CE241:CJ241" si="119">310.4/10</f>
        <v>31.04</v>
      </c>
      <c r="CF241" s="259">
        <f t="shared" si="119"/>
        <v>31.04</v>
      </c>
      <c r="CG241" s="259">
        <f t="shared" si="119"/>
        <v>31.04</v>
      </c>
      <c r="CH241" s="259">
        <f t="shared" si="119"/>
        <v>31.04</v>
      </c>
      <c r="CI241" s="259">
        <f t="shared" si="119"/>
        <v>31.04</v>
      </c>
      <c r="CJ241" s="259">
        <f t="shared" si="119"/>
        <v>31.04</v>
      </c>
      <c r="CK241" s="259">
        <f>310.4/10+52.2</f>
        <v>83.240000000000009</v>
      </c>
      <c r="CL241" s="211">
        <f t="shared" si="102"/>
        <v>0</v>
      </c>
      <c r="CM241" s="213"/>
      <c r="CN241" s="213"/>
      <c r="CO241" s="213"/>
      <c r="CP241" s="213"/>
      <c r="CQ241" s="213"/>
      <c r="CR241" s="213"/>
      <c r="CS241" s="213"/>
      <c r="CT241" s="213"/>
      <c r="CU241" s="213"/>
      <c r="CV241" s="213"/>
      <c r="CW241" s="213"/>
      <c r="CX241" s="213"/>
      <c r="CY241" s="216">
        <f t="shared" si="116"/>
        <v>-6.2176600000000022</v>
      </c>
      <c r="CZ241" s="185">
        <f t="shared" si="100"/>
        <v>0</v>
      </c>
      <c r="DA241" s="217">
        <f t="shared" si="117"/>
        <v>2.11578</v>
      </c>
      <c r="DB241" s="217">
        <f t="shared" si="118"/>
        <v>52.517659999999999</v>
      </c>
      <c r="DC241" s="217">
        <f t="shared" si="103"/>
        <v>345.95343999999994</v>
      </c>
      <c r="DD241" s="256">
        <v>345.93517000000008</v>
      </c>
      <c r="DE241" s="217">
        <f t="shared" si="104"/>
        <v>1.826999999985901E-2</v>
      </c>
      <c r="DF241" s="185" t="e">
        <f>SUM(DN241:DO241)-SUM(#REF!,BV241)+BU241</f>
        <v>#REF!</v>
      </c>
      <c r="DG241" s="223"/>
      <c r="DH241" s="241">
        <f t="shared" si="105"/>
        <v>0</v>
      </c>
      <c r="DI241" s="241">
        <f t="shared" si="106"/>
        <v>0</v>
      </c>
      <c r="DJ241" s="241">
        <f t="shared" si="107"/>
        <v>0</v>
      </c>
      <c r="DK241" s="241" t="e">
        <f>SUM(BS241,#REF!,BV241)</f>
        <v>#REF!</v>
      </c>
      <c r="DL241" s="155">
        <v>345.92682000000002</v>
      </c>
      <c r="DM241" s="155">
        <v>54.63344</v>
      </c>
      <c r="DN241" s="155">
        <v>218.82616000000002</v>
      </c>
      <c r="DO241" s="155">
        <v>0</v>
      </c>
      <c r="DP241" s="155">
        <v>273.45959999999997</v>
      </c>
      <c r="DQ241" s="155">
        <v>72.467219999999998</v>
      </c>
      <c r="DR241" s="23">
        <f>VLOOKUP(C241,[6]Database!$B$143:$AD$521,29,FALSE)</f>
        <v>270.93000000000006</v>
      </c>
      <c r="DS241" s="235">
        <f t="shared" si="108"/>
        <v>20.389999999999873</v>
      </c>
    </row>
    <row r="242" spans="1:123" s="23" customFormat="1" ht="24" customHeight="1">
      <c r="A242" s="18"/>
      <c r="B242" s="2">
        <v>214</v>
      </c>
      <c r="C242" s="86" t="s">
        <v>989</v>
      </c>
      <c r="D242" s="86">
        <v>13699</v>
      </c>
      <c r="E242" s="85"/>
      <c r="F242" s="41">
        <v>2021</v>
      </c>
      <c r="G242" s="42">
        <v>44333</v>
      </c>
      <c r="H242" s="42">
        <v>44354</v>
      </c>
      <c r="I242" s="42"/>
      <c r="J242" s="15">
        <f t="shared" ca="1" si="114"/>
        <v>-944.40661944444582</v>
      </c>
      <c r="K242" s="177">
        <f t="shared" si="111"/>
        <v>44901</v>
      </c>
      <c r="L242" s="177">
        <f t="shared" si="112"/>
        <v>45084</v>
      </c>
      <c r="M242" s="177"/>
      <c r="N242" s="183"/>
      <c r="O242" s="183"/>
      <c r="P242" s="183"/>
      <c r="Q242" s="183"/>
      <c r="R242" s="41" t="s">
        <v>176</v>
      </c>
      <c r="S242" s="13" t="s">
        <v>982</v>
      </c>
      <c r="T242" s="43" t="s">
        <v>953</v>
      </c>
      <c r="U242" s="5" t="s">
        <v>8</v>
      </c>
      <c r="V242" s="268">
        <v>4193543</v>
      </c>
      <c r="W242" s="5" t="s">
        <v>614</v>
      </c>
      <c r="X242" s="5" t="s">
        <v>474</v>
      </c>
      <c r="Y242" s="5" t="s">
        <v>947</v>
      </c>
      <c r="Z242" s="41" t="s">
        <v>181</v>
      </c>
      <c r="AA242" s="45" t="s">
        <v>463</v>
      </c>
      <c r="AB242" s="152" t="s">
        <v>1466</v>
      </c>
      <c r="AC242" s="177">
        <v>44592</v>
      </c>
      <c r="AD242" s="177">
        <v>44561</v>
      </c>
      <c r="AE242" s="177">
        <f t="shared" si="113"/>
        <v>45046</v>
      </c>
      <c r="AF242" s="5" t="s">
        <v>1133</v>
      </c>
      <c r="AG242" s="43"/>
      <c r="AH242" s="228">
        <v>1.7500000000000002E-2</v>
      </c>
      <c r="AI242" s="125"/>
      <c r="AJ242" s="125" t="s">
        <v>1309</v>
      </c>
      <c r="AK242" s="237" t="e">
        <f>SUM(#REF!,BT242,BV242)</f>
        <v>#REF!</v>
      </c>
      <c r="AL242" s="165" t="s">
        <v>1261</v>
      </c>
      <c r="AM242" s="165" t="s">
        <v>1251</v>
      </c>
      <c r="AN242" s="165" t="s">
        <v>1261</v>
      </c>
      <c r="AO242" s="165" t="s">
        <v>602</v>
      </c>
      <c r="AP242" s="165" t="s">
        <v>602</v>
      </c>
      <c r="AQ242" s="165" t="s">
        <v>602</v>
      </c>
      <c r="AR242" s="57"/>
      <c r="AS242" s="56"/>
      <c r="AT242" s="56"/>
      <c r="AU242" s="56">
        <v>0</v>
      </c>
      <c r="AV242" s="47">
        <v>100.1</v>
      </c>
      <c r="AW242" s="47">
        <v>33.6</v>
      </c>
      <c r="AX242" s="97">
        <f t="shared" si="115"/>
        <v>133.69999999999999</v>
      </c>
      <c r="AY242" s="169">
        <f t="shared" si="98"/>
        <v>96.115169999999992</v>
      </c>
      <c r="AZ242" s="196"/>
      <c r="BA242" s="170"/>
      <c r="BB242" s="196"/>
      <c r="BC242" s="170"/>
      <c r="BD242" s="196"/>
      <c r="BE242" s="170"/>
      <c r="BF242" s="196"/>
      <c r="BG242" s="170"/>
      <c r="BH242" s="196">
        <v>0</v>
      </c>
      <c r="BI242" s="170"/>
      <c r="BJ242" s="196">
        <v>0</v>
      </c>
      <c r="BK242" s="170"/>
      <c r="BL242" s="197"/>
      <c r="BM242" s="170"/>
      <c r="BN242" s="197">
        <v>10</v>
      </c>
      <c r="BO242" s="170"/>
      <c r="BP242" s="196">
        <v>70</v>
      </c>
      <c r="BQ242" s="170">
        <v>60.206979999999994</v>
      </c>
      <c r="BR242" s="196"/>
      <c r="BS242" s="170"/>
      <c r="BT242" s="196">
        <v>28.6</v>
      </c>
      <c r="BU242" s="170">
        <v>5.5104899999999999</v>
      </c>
      <c r="BV242" s="196">
        <f>22.5+0.6</f>
        <v>23.1</v>
      </c>
      <c r="BW242" s="251">
        <v>30.3977</v>
      </c>
      <c r="BX242" s="254">
        <v>30.3977</v>
      </c>
      <c r="BY242" s="88">
        <f t="shared" si="99"/>
        <v>0</v>
      </c>
      <c r="BZ242" s="259"/>
      <c r="CA242" s="259"/>
      <c r="CB242" s="259"/>
      <c r="CC242" s="259"/>
      <c r="CD242" s="259"/>
      <c r="CE242" s="259"/>
      <c r="CF242" s="259"/>
      <c r="CG242" s="259"/>
      <c r="CH242" s="259"/>
      <c r="CI242" s="259"/>
      <c r="CJ242" s="259"/>
      <c r="CK242" s="259"/>
      <c r="CL242" s="211">
        <f t="shared" si="102"/>
        <v>0</v>
      </c>
      <c r="CM242" s="213"/>
      <c r="CN242" s="213"/>
      <c r="CO242" s="213"/>
      <c r="CP242" s="213"/>
      <c r="CQ242" s="213"/>
      <c r="CR242" s="213"/>
      <c r="CS242" s="213"/>
      <c r="CT242" s="213"/>
      <c r="CU242" s="213"/>
      <c r="CV242" s="213"/>
      <c r="CW242" s="213"/>
      <c r="CX242" s="213"/>
      <c r="CY242" s="216">
        <f t="shared" si="116"/>
        <v>-7.297699999999999</v>
      </c>
      <c r="CZ242" s="185">
        <f t="shared" si="100"/>
        <v>0</v>
      </c>
      <c r="DA242" s="217">
        <f t="shared" si="117"/>
        <v>65.717469999999992</v>
      </c>
      <c r="DB242" s="217">
        <f t="shared" si="118"/>
        <v>30.3977</v>
      </c>
      <c r="DC242" s="217">
        <f t="shared" si="103"/>
        <v>96.115169999999992</v>
      </c>
      <c r="DD242" s="256">
        <v>88.806979999999996</v>
      </c>
      <c r="DE242" s="217">
        <f t="shared" si="104"/>
        <v>7.3081899999999962</v>
      </c>
      <c r="DF242" s="185" t="e">
        <f>SUM(DN242:DO242)-SUM(#REF!,BV242)+BU242</f>
        <v>#REF!</v>
      </c>
      <c r="DG242" s="223" t="s">
        <v>1268</v>
      </c>
      <c r="DH242" s="241">
        <f t="shared" si="105"/>
        <v>0</v>
      </c>
      <c r="DI242" s="241">
        <f t="shared" si="106"/>
        <v>0</v>
      </c>
      <c r="DJ242" s="241">
        <f t="shared" si="107"/>
        <v>60.206979999999994</v>
      </c>
      <c r="DK242" s="241" t="e">
        <f>SUM(BS242,#REF!,BV242)</f>
        <v>#REF!</v>
      </c>
      <c r="DL242" s="155">
        <v>100.1</v>
      </c>
      <c r="DM242" s="155">
        <v>96.115169999999992</v>
      </c>
      <c r="DN242" s="155">
        <v>2.0359500000000001</v>
      </c>
      <c r="DO242" s="155">
        <v>0</v>
      </c>
      <c r="DP242" s="155">
        <v>98.151119999999992</v>
      </c>
      <c r="DQ242" s="155">
        <v>1.9488800000000002</v>
      </c>
      <c r="DR242" s="23">
        <f>VLOOKUP(C242,[6]Database!$B$143:$AD$521,29,FALSE)</f>
        <v>0</v>
      </c>
      <c r="DS242" s="235">
        <f t="shared" si="108"/>
        <v>0</v>
      </c>
    </row>
    <row r="243" spans="1:123" s="23" customFormat="1" ht="24" customHeight="1">
      <c r="A243" s="18"/>
      <c r="B243" s="2">
        <v>215</v>
      </c>
      <c r="C243" s="86" t="s">
        <v>990</v>
      </c>
      <c r="D243" s="86">
        <v>9442</v>
      </c>
      <c r="E243" s="85"/>
      <c r="F243" s="41">
        <v>2021</v>
      </c>
      <c r="G243" s="42">
        <v>44333</v>
      </c>
      <c r="H243" s="42">
        <v>44351</v>
      </c>
      <c r="I243" s="42"/>
      <c r="J243" s="15">
        <f t="shared" ca="1" si="114"/>
        <v>-947.40661944444582</v>
      </c>
      <c r="K243" s="177">
        <f t="shared" si="111"/>
        <v>44898</v>
      </c>
      <c r="L243" s="177">
        <f t="shared" si="112"/>
        <v>45081</v>
      </c>
      <c r="M243" s="177"/>
      <c r="N243" s="183"/>
      <c r="O243" s="183"/>
      <c r="P243" s="183"/>
      <c r="Q243" s="183"/>
      <c r="R243" s="41" t="s">
        <v>176</v>
      </c>
      <c r="S243" s="13" t="s">
        <v>5</v>
      </c>
      <c r="T243" s="41" t="s">
        <v>951</v>
      </c>
      <c r="U243" s="5" t="s">
        <v>8</v>
      </c>
      <c r="V243" s="268">
        <v>4193801</v>
      </c>
      <c r="W243" s="5" t="s">
        <v>614</v>
      </c>
      <c r="X243" s="5" t="s">
        <v>480</v>
      </c>
      <c r="Y243" s="5" t="s">
        <v>756</v>
      </c>
      <c r="Z243" s="3" t="s">
        <v>181</v>
      </c>
      <c r="AA243" s="45" t="s">
        <v>463</v>
      </c>
      <c r="AB243" s="152" t="s">
        <v>1362</v>
      </c>
      <c r="AC243" s="177">
        <v>44864</v>
      </c>
      <c r="AD243" s="177">
        <v>44926</v>
      </c>
      <c r="AE243" s="177">
        <f t="shared" si="113"/>
        <v>45046</v>
      </c>
      <c r="AF243" s="5"/>
      <c r="AG243" s="43"/>
      <c r="AH243" s="228"/>
      <c r="AI243" s="125"/>
      <c r="AJ243" s="125" t="s">
        <v>1309</v>
      </c>
      <c r="AK243" s="237" t="e">
        <f>SUM(#REF!,BT243,BV243)</f>
        <v>#REF!</v>
      </c>
      <c r="AL243" s="165" t="s">
        <v>1203</v>
      </c>
      <c r="AM243" s="165" t="s">
        <v>1203</v>
      </c>
      <c r="AN243" s="165" t="s">
        <v>1203</v>
      </c>
      <c r="AO243" s="165" t="s">
        <v>602</v>
      </c>
      <c r="AP243" s="165" t="s">
        <v>602</v>
      </c>
      <c r="AQ243" s="165" t="s">
        <v>602</v>
      </c>
      <c r="AR243" s="57"/>
      <c r="AS243" s="56"/>
      <c r="AT243" s="56"/>
      <c r="AU243" s="221">
        <v>200</v>
      </c>
      <c r="AV243" s="47">
        <v>247.637</v>
      </c>
      <c r="AW243" s="47"/>
      <c r="AX243" s="97">
        <f t="shared" si="115"/>
        <v>247.637</v>
      </c>
      <c r="AY243" s="169">
        <f t="shared" si="98"/>
        <v>0</v>
      </c>
      <c r="AZ243" s="196"/>
      <c r="BA243" s="170"/>
      <c r="BB243" s="196"/>
      <c r="BC243" s="170"/>
      <c r="BD243" s="196"/>
      <c r="BE243" s="170"/>
      <c r="BF243" s="196"/>
      <c r="BG243" s="170"/>
      <c r="BH243" s="196">
        <v>0</v>
      </c>
      <c r="BI243" s="170"/>
      <c r="BJ243" s="196">
        <v>0</v>
      </c>
      <c r="BK243" s="170"/>
      <c r="BL243" s="197"/>
      <c r="BM243" s="170"/>
      <c r="BN243" s="197"/>
      <c r="BO243" s="170"/>
      <c r="BP243" s="196"/>
      <c r="BQ243" s="170"/>
      <c r="BR243" s="196"/>
      <c r="BS243" s="170"/>
      <c r="BT243" s="196">
        <v>30</v>
      </c>
      <c r="BU243" s="170"/>
      <c r="BV243" s="196"/>
      <c r="BW243" s="251"/>
      <c r="BX243" s="254"/>
      <c r="BY243" s="88">
        <f t="shared" si="99"/>
        <v>247.566</v>
      </c>
      <c r="BZ243" s="259"/>
      <c r="CA243" s="259">
        <v>26.2</v>
      </c>
      <c r="CB243" s="259">
        <f>30-26.2</f>
        <v>3.8000000000000007</v>
      </c>
      <c r="CC243" s="259">
        <v>20</v>
      </c>
      <c r="CD243" s="259">
        <v>20</v>
      </c>
      <c r="CE243" s="259">
        <v>50</v>
      </c>
      <c r="CF243" s="259">
        <v>37.6</v>
      </c>
      <c r="CG243" s="259">
        <v>37.665999999999997</v>
      </c>
      <c r="CH243" s="259">
        <v>50</v>
      </c>
      <c r="CI243" s="259">
        <v>2.2999999999999998</v>
      </c>
      <c r="CJ243" s="259"/>
      <c r="CK243" s="259"/>
      <c r="CL243" s="211">
        <f t="shared" si="102"/>
        <v>0</v>
      </c>
      <c r="CM243" s="213"/>
      <c r="CN243" s="213"/>
      <c r="CO243" s="213"/>
      <c r="CP243" s="213"/>
      <c r="CQ243" s="213"/>
      <c r="CR243" s="213"/>
      <c r="CS243" s="213"/>
      <c r="CT243" s="213"/>
      <c r="CU243" s="213"/>
      <c r="CV243" s="213"/>
      <c r="CW243" s="213"/>
      <c r="CX243" s="213"/>
      <c r="CY243" s="216">
        <f t="shared" si="116"/>
        <v>0</v>
      </c>
      <c r="CZ243" s="185">
        <f t="shared" si="100"/>
        <v>0</v>
      </c>
      <c r="DA243" s="217">
        <f t="shared" si="117"/>
        <v>0</v>
      </c>
      <c r="DB243" s="217">
        <f t="shared" si="118"/>
        <v>0</v>
      </c>
      <c r="DC243" s="217">
        <f t="shared" si="103"/>
        <v>247.566</v>
      </c>
      <c r="DD243" s="256">
        <v>247.60599999999997</v>
      </c>
      <c r="DE243" s="217">
        <f t="shared" si="104"/>
        <v>-3.999999999996362E-2</v>
      </c>
      <c r="DF243" s="185" t="e">
        <f>SUM(DN243:DO243)-SUM(#REF!,BV243)+BU243</f>
        <v>#REF!</v>
      </c>
      <c r="DG243" s="223"/>
      <c r="DH243" s="241">
        <f t="shared" si="105"/>
        <v>0</v>
      </c>
      <c r="DI243" s="241">
        <f t="shared" si="106"/>
        <v>0</v>
      </c>
      <c r="DJ243" s="241">
        <f t="shared" si="107"/>
        <v>0</v>
      </c>
      <c r="DK243" s="241" t="e">
        <f>SUM(BS243,#REF!,BV243)</f>
        <v>#REF!</v>
      </c>
      <c r="DL243" s="155">
        <v>247.637</v>
      </c>
      <c r="DM243" s="155">
        <v>0</v>
      </c>
      <c r="DN243" s="155">
        <v>99.023020000000002</v>
      </c>
      <c r="DO243" s="155">
        <v>0</v>
      </c>
      <c r="DP243" s="155">
        <v>99.023020000000002</v>
      </c>
      <c r="DQ243" s="155">
        <v>148.61398</v>
      </c>
      <c r="DR243" s="23">
        <f>VLOOKUP(C243,[6]Database!$B$143:$AD$521,29,FALSE)</f>
        <v>187.59999999999997</v>
      </c>
      <c r="DS243" s="235">
        <f t="shared" si="108"/>
        <v>59.966000000000037</v>
      </c>
    </row>
    <row r="244" spans="1:123" s="23" customFormat="1" ht="24" customHeight="1">
      <c r="A244" s="18"/>
      <c r="B244" s="2">
        <v>217</v>
      </c>
      <c r="C244" s="86" t="s">
        <v>988</v>
      </c>
      <c r="D244" s="86">
        <v>14371</v>
      </c>
      <c r="E244" s="86"/>
      <c r="F244" s="41">
        <v>2021</v>
      </c>
      <c r="G244" s="42">
        <v>44337</v>
      </c>
      <c r="H244" s="42">
        <v>44377</v>
      </c>
      <c r="I244" s="42">
        <v>44525</v>
      </c>
      <c r="J244" s="15">
        <f t="shared" ca="1" si="114"/>
        <v>148</v>
      </c>
      <c r="K244" s="177">
        <f t="shared" si="111"/>
        <v>44924</v>
      </c>
      <c r="L244" s="177">
        <f t="shared" si="112"/>
        <v>45107</v>
      </c>
      <c r="M244" s="177"/>
      <c r="N244" s="183"/>
      <c r="O244" s="183"/>
      <c r="P244" s="183"/>
      <c r="Q244" s="183"/>
      <c r="R244" s="41" t="s">
        <v>176</v>
      </c>
      <c r="S244" s="13" t="s">
        <v>222</v>
      </c>
      <c r="T244" s="13" t="s">
        <v>958</v>
      </c>
      <c r="U244" s="5" t="s">
        <v>8</v>
      </c>
      <c r="V244" s="268">
        <v>4256296</v>
      </c>
      <c r="W244" s="5" t="s">
        <v>614</v>
      </c>
      <c r="X244" s="5" t="s">
        <v>480</v>
      </c>
      <c r="Y244" s="5" t="s">
        <v>998</v>
      </c>
      <c r="Z244" s="3" t="s">
        <v>183</v>
      </c>
      <c r="AA244" s="45" t="s">
        <v>195</v>
      </c>
      <c r="AB244" s="232" t="s">
        <v>1524</v>
      </c>
      <c r="AC244" s="177" t="s">
        <v>6</v>
      </c>
      <c r="AD244" s="177">
        <v>44561</v>
      </c>
      <c r="AE244" s="177" t="s">
        <v>6</v>
      </c>
      <c r="AF244" s="5" t="s">
        <v>1133</v>
      </c>
      <c r="AG244" s="43" t="s">
        <v>1296</v>
      </c>
      <c r="AH244" s="228">
        <v>9.8900000000000002E-2</v>
      </c>
      <c r="AI244" s="83"/>
      <c r="AJ244" s="83"/>
      <c r="AK244" s="237" t="e">
        <f>SUM(#REF!,BT244,BV244)</f>
        <v>#REF!</v>
      </c>
      <c r="AL244" s="165" t="s">
        <v>1203</v>
      </c>
      <c r="AM244" s="165" t="s">
        <v>1203</v>
      </c>
      <c r="AN244" s="165" t="s">
        <v>1203</v>
      </c>
      <c r="AO244" s="165" t="s">
        <v>602</v>
      </c>
      <c r="AP244" s="165" t="s">
        <v>602</v>
      </c>
      <c r="AQ244" s="165" t="s">
        <v>602</v>
      </c>
      <c r="AR244" s="57"/>
      <c r="AS244" s="56"/>
      <c r="AT244" s="56"/>
      <c r="AU244" s="56">
        <v>0</v>
      </c>
      <c r="AV244" s="47">
        <v>231.434</v>
      </c>
      <c r="AW244" s="47"/>
      <c r="AX244" s="97">
        <f t="shared" si="115"/>
        <v>231.434</v>
      </c>
      <c r="AY244" s="169">
        <f t="shared" si="98"/>
        <v>238.61251999999999</v>
      </c>
      <c r="AZ244" s="196"/>
      <c r="BA244" s="170"/>
      <c r="BB244" s="196"/>
      <c r="BC244" s="170"/>
      <c r="BD244" s="196"/>
      <c r="BE244" s="170"/>
      <c r="BF244" s="196"/>
      <c r="BG244" s="170"/>
      <c r="BH244" s="196">
        <v>0</v>
      </c>
      <c r="BI244" s="170"/>
      <c r="BJ244" s="196">
        <v>0</v>
      </c>
      <c r="BK244" s="170"/>
      <c r="BL244" s="197"/>
      <c r="BM244" s="170"/>
      <c r="BN244" s="197">
        <v>85</v>
      </c>
      <c r="BO244" s="170">
        <v>10.95839</v>
      </c>
      <c r="BP244" s="196">
        <v>80</v>
      </c>
      <c r="BQ244" s="170">
        <v>108.64271000000001</v>
      </c>
      <c r="BR244" s="196">
        <f>43.8-5.5-10-11.1-2</f>
        <v>15.199999999999996</v>
      </c>
      <c r="BS244" s="170">
        <v>68.879279999999994</v>
      </c>
      <c r="BT244" s="196">
        <f>48.8+48.8-27.4-24.1+3.2-3.7-1.7</f>
        <v>43.899999999999984</v>
      </c>
      <c r="BU244" s="170">
        <v>50.117829999999998</v>
      </c>
      <c r="BV244" s="196"/>
      <c r="BW244" s="251">
        <v>1.431E-2</v>
      </c>
      <c r="BX244" s="254">
        <v>1.431E-2</v>
      </c>
      <c r="BY244" s="88">
        <f t="shared" si="99"/>
        <v>0</v>
      </c>
      <c r="BZ244" s="259"/>
      <c r="CA244" s="259"/>
      <c r="CB244" s="259"/>
      <c r="CC244" s="259"/>
      <c r="CD244" s="259"/>
      <c r="CE244" s="259"/>
      <c r="CF244" s="259"/>
      <c r="CG244" s="259"/>
      <c r="CH244" s="259"/>
      <c r="CI244" s="259"/>
      <c r="CJ244" s="259"/>
      <c r="CK244" s="259"/>
      <c r="CL244" s="211">
        <f t="shared" si="102"/>
        <v>0</v>
      </c>
      <c r="CM244" s="213"/>
      <c r="CN244" s="213"/>
      <c r="CO244" s="213"/>
      <c r="CP244" s="213"/>
      <c r="CQ244" s="213"/>
      <c r="CR244" s="213"/>
      <c r="CS244" s="213"/>
      <c r="CT244" s="213"/>
      <c r="CU244" s="213"/>
      <c r="CV244" s="213"/>
      <c r="CW244" s="213"/>
      <c r="CX244" s="213"/>
      <c r="CY244" s="216">
        <f t="shared" si="116"/>
        <v>-1.431E-2</v>
      </c>
      <c r="CZ244" s="185">
        <f t="shared" si="100"/>
        <v>0</v>
      </c>
      <c r="DA244" s="217">
        <f t="shared" si="117"/>
        <v>238.59820999999999</v>
      </c>
      <c r="DB244" s="217">
        <f t="shared" si="118"/>
        <v>1.431E-2</v>
      </c>
      <c r="DC244" s="217">
        <f t="shared" si="103"/>
        <v>238.61251999999999</v>
      </c>
      <c r="DD244" s="256">
        <v>232.38037999999997</v>
      </c>
      <c r="DE244" s="217">
        <f t="shared" si="104"/>
        <v>6.2321400000000153</v>
      </c>
      <c r="DF244" s="185" t="e">
        <f>SUM(DN244:DO244)-SUM(#REF!,BV244)+BU244</f>
        <v>#REF!</v>
      </c>
      <c r="DG244" s="223" t="s">
        <v>1289</v>
      </c>
      <c r="DH244" s="241">
        <f t="shared" si="105"/>
        <v>0</v>
      </c>
      <c r="DI244" s="241">
        <f t="shared" si="106"/>
        <v>0</v>
      </c>
      <c r="DJ244" s="241">
        <f t="shared" si="107"/>
        <v>119.6011</v>
      </c>
      <c r="DK244" s="241" t="e">
        <f>SUM(BS244,#REF!,BV244)</f>
        <v>#REF!</v>
      </c>
      <c r="DL244" s="155">
        <v>254.334</v>
      </c>
      <c r="DM244" s="155">
        <v>238.61251999999999</v>
      </c>
      <c r="DN244" s="155">
        <v>0</v>
      </c>
      <c r="DO244" s="155">
        <v>0</v>
      </c>
      <c r="DP244" s="155">
        <v>238.61251999999999</v>
      </c>
      <c r="DQ244" s="155">
        <v>15.72148</v>
      </c>
      <c r="DR244" s="23">
        <f>VLOOKUP(C244,[6]Database!$B$143:$AD$521,29,FALSE)</f>
        <v>0</v>
      </c>
      <c r="DS244" s="235">
        <f t="shared" si="108"/>
        <v>0</v>
      </c>
    </row>
    <row r="245" spans="1:123" s="23" customFormat="1" ht="24" customHeight="1">
      <c r="A245" s="18"/>
      <c r="B245" s="2">
        <v>218</v>
      </c>
      <c r="C245" s="86" t="s">
        <v>996</v>
      </c>
      <c r="D245" s="86">
        <v>9504</v>
      </c>
      <c r="E245" s="86"/>
      <c r="F245" s="41">
        <v>2021</v>
      </c>
      <c r="G245" s="42">
        <v>44343</v>
      </c>
      <c r="H245" s="42">
        <v>44369</v>
      </c>
      <c r="I245" s="42"/>
      <c r="J245" s="15">
        <f t="shared" ca="1" si="114"/>
        <v>-929.40661944444582</v>
      </c>
      <c r="K245" s="177">
        <f t="shared" si="111"/>
        <v>44916</v>
      </c>
      <c r="L245" s="177">
        <f t="shared" si="112"/>
        <v>45099</v>
      </c>
      <c r="M245" s="183"/>
      <c r="N245" s="177"/>
      <c r="O245" s="183"/>
      <c r="P245" s="177"/>
      <c r="Q245" s="183"/>
      <c r="R245" s="41" t="s">
        <v>176</v>
      </c>
      <c r="S245" s="13" t="s">
        <v>5</v>
      </c>
      <c r="T245" s="41" t="s">
        <v>951</v>
      </c>
      <c r="U245" s="5" t="s">
        <v>8</v>
      </c>
      <c r="V245" s="268">
        <v>4226107</v>
      </c>
      <c r="W245" s="5" t="s">
        <v>614</v>
      </c>
      <c r="X245" s="5" t="s">
        <v>480</v>
      </c>
      <c r="Y245" s="5" t="s">
        <v>993</v>
      </c>
      <c r="Z245" s="41" t="s">
        <v>181</v>
      </c>
      <c r="AA245" s="45" t="s">
        <v>463</v>
      </c>
      <c r="AB245" s="152" t="s">
        <v>1468</v>
      </c>
      <c r="AC245" s="177">
        <v>44895</v>
      </c>
      <c r="AD245" s="177">
        <v>44926</v>
      </c>
      <c r="AE245" s="177">
        <f t="shared" ref="AE245:AE251" si="120">IFERROR(EOMONTH(L245,-2),"")</f>
        <v>45046</v>
      </c>
      <c r="AF245" s="5"/>
      <c r="AG245" s="43"/>
      <c r="AH245" s="228"/>
      <c r="AI245" s="125"/>
      <c r="AJ245" s="125" t="s">
        <v>1309</v>
      </c>
      <c r="AK245" s="237" t="e">
        <f>SUM(#REF!,BT245,BV245)</f>
        <v>#REF!</v>
      </c>
      <c r="AL245" s="165" t="s">
        <v>1293</v>
      </c>
      <c r="AM245" s="165"/>
      <c r="AN245" s="165"/>
      <c r="AO245" s="165" t="s">
        <v>602</v>
      </c>
      <c r="AP245" s="165" t="s">
        <v>602</v>
      </c>
      <c r="AQ245" s="165" t="s">
        <v>602</v>
      </c>
      <c r="AR245" s="57"/>
      <c r="AS245" s="56"/>
      <c r="AT245" s="56"/>
      <c r="AU245" s="56"/>
      <c r="AV245" s="47">
        <v>183.58500000000001</v>
      </c>
      <c r="AW245" s="47"/>
      <c r="AX245" s="97">
        <f t="shared" si="115"/>
        <v>183.58500000000001</v>
      </c>
      <c r="AY245" s="169">
        <f t="shared" si="98"/>
        <v>32.732410000000002</v>
      </c>
      <c r="AZ245" s="196"/>
      <c r="BA245" s="170"/>
      <c r="BB245" s="196"/>
      <c r="BC245" s="171"/>
      <c r="BD245" s="196"/>
      <c r="BE245" s="170"/>
      <c r="BF245" s="196"/>
      <c r="BG245" s="170"/>
      <c r="BH245" s="196">
        <v>0</v>
      </c>
      <c r="BI245" s="170"/>
      <c r="BJ245" s="196">
        <v>0</v>
      </c>
      <c r="BK245" s="170"/>
      <c r="BL245" s="197"/>
      <c r="BM245" s="170"/>
      <c r="BN245" s="197"/>
      <c r="BO245" s="170"/>
      <c r="BP245" s="196"/>
      <c r="BQ245" s="170"/>
      <c r="BR245" s="196"/>
      <c r="BS245" s="170"/>
      <c r="BT245" s="196">
        <v>30</v>
      </c>
      <c r="BU245" s="170">
        <v>19.86656</v>
      </c>
      <c r="BV245" s="196">
        <f>32.5-20</f>
        <v>12.5</v>
      </c>
      <c r="BW245" s="251">
        <v>12.86585</v>
      </c>
      <c r="BX245" s="254">
        <v>12.86585</v>
      </c>
      <c r="BY245" s="88">
        <f t="shared" si="99"/>
        <v>151.166</v>
      </c>
      <c r="BZ245" s="259"/>
      <c r="CA245" s="259">
        <v>20</v>
      </c>
      <c r="CB245" s="259"/>
      <c r="CC245" s="259"/>
      <c r="CD245" s="259">
        <v>60</v>
      </c>
      <c r="CE245" s="259"/>
      <c r="CF245" s="259"/>
      <c r="CG245" s="259">
        <v>63.5</v>
      </c>
      <c r="CH245" s="259">
        <v>7.6660000000000004</v>
      </c>
      <c r="CI245" s="259"/>
      <c r="CJ245" s="259"/>
      <c r="CK245" s="259"/>
      <c r="CL245" s="211">
        <f t="shared" si="102"/>
        <v>0</v>
      </c>
      <c r="CM245" s="213"/>
      <c r="CN245" s="213"/>
      <c r="CO245" s="213"/>
      <c r="CP245" s="213"/>
      <c r="CQ245" s="213"/>
      <c r="CR245" s="213"/>
      <c r="CS245" s="213"/>
      <c r="CT245" s="213"/>
      <c r="CU245" s="213"/>
      <c r="CV245" s="213"/>
      <c r="CW245" s="213"/>
      <c r="CX245" s="213"/>
      <c r="CY245" s="216">
        <f t="shared" si="116"/>
        <v>-0.36585000000000001</v>
      </c>
      <c r="CZ245" s="185">
        <f t="shared" si="100"/>
        <v>0</v>
      </c>
      <c r="DA245" s="217">
        <f t="shared" si="117"/>
        <v>19.86656</v>
      </c>
      <c r="DB245" s="217">
        <f t="shared" si="118"/>
        <v>12.86585</v>
      </c>
      <c r="DC245" s="217">
        <f t="shared" si="103"/>
        <v>183.89841000000001</v>
      </c>
      <c r="DD245" s="256">
        <v>183.506</v>
      </c>
      <c r="DE245" s="217">
        <f t="shared" si="104"/>
        <v>0.39241000000001236</v>
      </c>
      <c r="DF245" s="185" t="e">
        <f>SUM(DN245:DO245)-SUM(#REF!,BV245)+BU245</f>
        <v>#REF!</v>
      </c>
      <c r="DG245" s="223"/>
      <c r="DH245" s="241">
        <f t="shared" si="105"/>
        <v>0</v>
      </c>
      <c r="DI245" s="241">
        <f t="shared" si="106"/>
        <v>0</v>
      </c>
      <c r="DJ245" s="241">
        <f t="shared" si="107"/>
        <v>0</v>
      </c>
      <c r="DK245" s="241" t="e">
        <f>SUM(BS245,#REF!,BV245)</f>
        <v>#REF!</v>
      </c>
      <c r="DL245" s="155">
        <v>183.58500000000001</v>
      </c>
      <c r="DM245" s="155">
        <v>32.732410000000002</v>
      </c>
      <c r="DN245" s="155">
        <v>145.23165</v>
      </c>
      <c r="DO245" s="155">
        <v>0</v>
      </c>
      <c r="DP245" s="155">
        <v>177.96405999999999</v>
      </c>
      <c r="DQ245" s="155">
        <v>5.6209399999999992</v>
      </c>
      <c r="DR245" s="23">
        <f>VLOOKUP(C245,[6]Database!$B$143:$AD$521,29,FALSE)</f>
        <v>123.5</v>
      </c>
      <c r="DS245" s="235">
        <f t="shared" si="108"/>
        <v>27.665999999999997</v>
      </c>
    </row>
    <row r="246" spans="1:123" s="23" customFormat="1" ht="24" customHeight="1">
      <c r="A246" s="18"/>
      <c r="B246" s="2">
        <v>219</v>
      </c>
      <c r="C246" s="86" t="s">
        <v>997</v>
      </c>
      <c r="D246" s="86">
        <v>9445</v>
      </c>
      <c r="E246" s="86"/>
      <c r="F246" s="41">
        <v>2021</v>
      </c>
      <c r="G246" s="42">
        <v>44344</v>
      </c>
      <c r="H246" s="42">
        <v>44377</v>
      </c>
      <c r="I246" s="42"/>
      <c r="J246" s="15">
        <f t="shared" ca="1" si="114"/>
        <v>-921.40661944444582</v>
      </c>
      <c r="K246" s="177">
        <f t="shared" si="111"/>
        <v>44924</v>
      </c>
      <c r="L246" s="177">
        <f t="shared" si="112"/>
        <v>45107</v>
      </c>
      <c r="M246" s="183"/>
      <c r="N246" s="177"/>
      <c r="O246" s="183"/>
      <c r="P246" s="177"/>
      <c r="Q246" s="183"/>
      <c r="R246" s="41" t="s">
        <v>176</v>
      </c>
      <c r="S246" s="13" t="s">
        <v>5</v>
      </c>
      <c r="T246" s="41" t="s">
        <v>951</v>
      </c>
      <c r="U246" s="5" t="s">
        <v>8</v>
      </c>
      <c r="V246" s="268">
        <v>4270167</v>
      </c>
      <c r="W246" s="5" t="s">
        <v>614</v>
      </c>
      <c r="X246" s="5" t="s">
        <v>480</v>
      </c>
      <c r="Y246" s="5" t="s">
        <v>992</v>
      </c>
      <c r="Z246" s="41" t="s">
        <v>181</v>
      </c>
      <c r="AA246" s="45" t="s">
        <v>463</v>
      </c>
      <c r="AB246" s="152" t="s">
        <v>1468</v>
      </c>
      <c r="AC246" s="177">
        <v>44895</v>
      </c>
      <c r="AD246" s="177">
        <v>44926</v>
      </c>
      <c r="AE246" s="177">
        <f t="shared" si="120"/>
        <v>45046</v>
      </c>
      <c r="AF246" s="5"/>
      <c r="AG246" s="43"/>
      <c r="AH246" s="228"/>
      <c r="AI246" s="125"/>
      <c r="AJ246" s="125" t="s">
        <v>1309</v>
      </c>
      <c r="AK246" s="237" t="e">
        <f>SUM(#REF!,BT246,BV246)</f>
        <v>#REF!</v>
      </c>
      <c r="AL246" s="165" t="s">
        <v>1293</v>
      </c>
      <c r="AM246" s="165"/>
      <c r="AN246" s="165"/>
      <c r="AO246" s="165" t="s">
        <v>602</v>
      </c>
      <c r="AP246" s="165" t="s">
        <v>602</v>
      </c>
      <c r="AQ246" s="165" t="s">
        <v>602</v>
      </c>
      <c r="AR246" s="57"/>
      <c r="AS246" s="56"/>
      <c r="AT246" s="56"/>
      <c r="AU246" s="56"/>
      <c r="AV246" s="47">
        <v>183.96199999999999</v>
      </c>
      <c r="AW246" s="47"/>
      <c r="AX246" s="97">
        <f t="shared" si="115"/>
        <v>183.96199999999999</v>
      </c>
      <c r="AY246" s="169">
        <f t="shared" si="98"/>
        <v>32.732410000000002</v>
      </c>
      <c r="AZ246" s="196"/>
      <c r="BA246" s="170"/>
      <c r="BB246" s="196"/>
      <c r="BC246" s="171"/>
      <c r="BD246" s="196"/>
      <c r="BE246" s="170"/>
      <c r="BF246" s="196"/>
      <c r="BG246" s="170"/>
      <c r="BH246" s="196">
        <v>0</v>
      </c>
      <c r="BI246" s="170"/>
      <c r="BJ246" s="196">
        <v>0</v>
      </c>
      <c r="BK246" s="170"/>
      <c r="BL246" s="197"/>
      <c r="BM246" s="170"/>
      <c r="BN246" s="197"/>
      <c r="BO246" s="170"/>
      <c r="BP246" s="196"/>
      <c r="BQ246" s="170"/>
      <c r="BR246" s="196"/>
      <c r="BS246" s="170"/>
      <c r="BT246" s="196">
        <v>30</v>
      </c>
      <c r="BU246" s="170">
        <v>19.86656</v>
      </c>
      <c r="BV246" s="196">
        <v>12.5</v>
      </c>
      <c r="BW246" s="251">
        <v>12.86585</v>
      </c>
      <c r="BX246" s="254">
        <v>12.86585</v>
      </c>
      <c r="BY246" s="88">
        <f t="shared" si="99"/>
        <v>151.666</v>
      </c>
      <c r="BZ246" s="259"/>
      <c r="CA246" s="259">
        <v>20</v>
      </c>
      <c r="CB246" s="259"/>
      <c r="CC246" s="259"/>
      <c r="CD246" s="259">
        <v>60</v>
      </c>
      <c r="CE246" s="259"/>
      <c r="CF246" s="259"/>
      <c r="CG246" s="259">
        <v>64</v>
      </c>
      <c r="CH246" s="259">
        <v>7.6660000000000004</v>
      </c>
      <c r="CI246" s="259"/>
      <c r="CJ246" s="259"/>
      <c r="CK246" s="259"/>
      <c r="CL246" s="211">
        <f t="shared" si="102"/>
        <v>0</v>
      </c>
      <c r="CM246" s="213"/>
      <c r="CN246" s="213"/>
      <c r="CO246" s="213"/>
      <c r="CP246" s="213"/>
      <c r="CQ246" s="213"/>
      <c r="CR246" s="213"/>
      <c r="CS246" s="213"/>
      <c r="CT246" s="213"/>
      <c r="CU246" s="213"/>
      <c r="CV246" s="213"/>
      <c r="CW246" s="213"/>
      <c r="CX246" s="213"/>
      <c r="CY246" s="216">
        <f t="shared" si="116"/>
        <v>-0.36585000000000001</v>
      </c>
      <c r="CZ246" s="185">
        <f t="shared" si="100"/>
        <v>0</v>
      </c>
      <c r="DA246" s="217">
        <f t="shared" si="117"/>
        <v>19.86656</v>
      </c>
      <c r="DB246" s="217">
        <f t="shared" si="118"/>
        <v>12.86585</v>
      </c>
      <c r="DC246" s="217">
        <f t="shared" si="103"/>
        <v>184.39841000000001</v>
      </c>
      <c r="DD246" s="256">
        <v>184.006</v>
      </c>
      <c r="DE246" s="217">
        <f t="shared" si="104"/>
        <v>0.39241000000001236</v>
      </c>
      <c r="DF246" s="185" t="e">
        <f>SUM(DN246:DO246)-SUM(#REF!,BV246)+BU246</f>
        <v>#REF!</v>
      </c>
      <c r="DG246" s="223"/>
      <c r="DH246" s="241">
        <f t="shared" si="105"/>
        <v>0</v>
      </c>
      <c r="DI246" s="241">
        <f t="shared" si="106"/>
        <v>0</v>
      </c>
      <c r="DJ246" s="241">
        <f t="shared" si="107"/>
        <v>0</v>
      </c>
      <c r="DK246" s="241" t="e">
        <f>SUM(BS246,#REF!,BV246)</f>
        <v>#REF!</v>
      </c>
      <c r="DL246" s="155">
        <v>183.96199999999999</v>
      </c>
      <c r="DM246" s="155">
        <v>32.732410000000002</v>
      </c>
      <c r="DN246" s="155">
        <v>145.23165</v>
      </c>
      <c r="DO246" s="155">
        <v>0</v>
      </c>
      <c r="DP246" s="155">
        <v>177.96405999999999</v>
      </c>
      <c r="DQ246" s="155">
        <v>5.9979399999999998</v>
      </c>
      <c r="DR246" s="23">
        <f>VLOOKUP(C246,[6]Database!$B$143:$AD$521,29,FALSE)</f>
        <v>124</v>
      </c>
      <c r="DS246" s="235">
        <f t="shared" si="108"/>
        <v>27.665999999999997</v>
      </c>
    </row>
    <row r="247" spans="1:123" s="23" customFormat="1" ht="24" customHeight="1">
      <c r="A247" s="18"/>
      <c r="B247" s="2">
        <v>221</v>
      </c>
      <c r="C247" s="86" t="s">
        <v>1001</v>
      </c>
      <c r="D247" s="85">
        <v>15312</v>
      </c>
      <c r="E247" s="86"/>
      <c r="F247" s="41">
        <v>2021</v>
      </c>
      <c r="G247" s="42">
        <v>44348</v>
      </c>
      <c r="H247" s="42">
        <v>44369</v>
      </c>
      <c r="I247" s="42"/>
      <c r="J247" s="15">
        <f t="shared" ca="1" si="114"/>
        <v>-929.40661944444582</v>
      </c>
      <c r="K247" s="177">
        <f t="shared" si="111"/>
        <v>44916</v>
      </c>
      <c r="L247" s="177">
        <f t="shared" si="112"/>
        <v>45099</v>
      </c>
      <c r="M247" s="183"/>
      <c r="N247" s="183"/>
      <c r="O247" s="183"/>
      <c r="P247" s="183"/>
      <c r="Q247" s="183"/>
      <c r="R247" s="41" t="s">
        <v>176</v>
      </c>
      <c r="S247" s="13" t="s">
        <v>222</v>
      </c>
      <c r="T247" s="43" t="s">
        <v>965</v>
      </c>
      <c r="U247" s="5" t="s">
        <v>8</v>
      </c>
      <c r="V247" s="268">
        <v>4251643</v>
      </c>
      <c r="W247" s="5" t="s">
        <v>614</v>
      </c>
      <c r="X247" s="5" t="s">
        <v>946</v>
      </c>
      <c r="Y247" s="5" t="s">
        <v>1000</v>
      </c>
      <c r="Z247" s="41" t="s">
        <v>181</v>
      </c>
      <c r="AA247" s="45" t="s">
        <v>463</v>
      </c>
      <c r="AB247" s="152" t="s">
        <v>1278</v>
      </c>
      <c r="AC247" s="177">
        <v>44592</v>
      </c>
      <c r="AD247" s="177">
        <v>44561</v>
      </c>
      <c r="AE247" s="177">
        <f t="shared" si="120"/>
        <v>45046</v>
      </c>
      <c r="AF247" s="5"/>
      <c r="AG247" s="43"/>
      <c r="AH247" s="228"/>
      <c r="AI247" s="125"/>
      <c r="AJ247" s="125"/>
      <c r="AK247" s="237" t="e">
        <f>SUM(#REF!,BT247,BV247)</f>
        <v>#REF!</v>
      </c>
      <c r="AL247" s="165" t="s">
        <v>1226</v>
      </c>
      <c r="AM247" s="165" t="s">
        <v>1210</v>
      </c>
      <c r="AN247" s="165" t="s">
        <v>602</v>
      </c>
      <c r="AO247" s="165" t="s">
        <v>602</v>
      </c>
      <c r="AP247" s="165" t="s">
        <v>602</v>
      </c>
      <c r="AQ247" s="165" t="s">
        <v>602</v>
      </c>
      <c r="AR247" s="57"/>
      <c r="AS247" s="56"/>
      <c r="AT247" s="56"/>
      <c r="AU247" s="56">
        <v>0</v>
      </c>
      <c r="AV247" s="47">
        <v>130</v>
      </c>
      <c r="AW247" s="47"/>
      <c r="AX247" s="97">
        <f t="shared" si="115"/>
        <v>130</v>
      </c>
      <c r="AY247" s="169">
        <f t="shared" si="98"/>
        <v>183.46823000000001</v>
      </c>
      <c r="AZ247" s="196"/>
      <c r="BA247" s="170"/>
      <c r="BB247" s="196"/>
      <c r="BC247" s="171"/>
      <c r="BD247" s="196"/>
      <c r="BE247" s="170"/>
      <c r="BF247" s="196"/>
      <c r="BG247" s="170"/>
      <c r="BH247" s="196">
        <v>0</v>
      </c>
      <c r="BI247" s="170"/>
      <c r="BJ247" s="196">
        <v>0</v>
      </c>
      <c r="BK247" s="170"/>
      <c r="BL247" s="197">
        <v>50</v>
      </c>
      <c r="BM247" s="170">
        <v>65.023870000000002</v>
      </c>
      <c r="BN247" s="197"/>
      <c r="BO247" s="170">
        <v>8.3198299999999996</v>
      </c>
      <c r="BP247" s="196"/>
      <c r="BQ247" s="170">
        <v>8.1249700000000011</v>
      </c>
      <c r="BR247" s="196"/>
      <c r="BS247" s="170"/>
      <c r="BT247" s="196">
        <v>56.861270000000005</v>
      </c>
      <c r="BU247" s="170">
        <v>41.302759999999999</v>
      </c>
      <c r="BV247" s="196"/>
      <c r="BW247" s="251">
        <v>60.696799999999996</v>
      </c>
      <c r="BX247" s="254">
        <v>60.696799999999996</v>
      </c>
      <c r="BY247" s="88">
        <f t="shared" si="99"/>
        <v>0</v>
      </c>
      <c r="BZ247" s="259"/>
      <c r="CA247" s="259"/>
      <c r="CB247" s="259"/>
      <c r="CC247" s="259"/>
      <c r="CD247" s="259"/>
      <c r="CE247" s="259"/>
      <c r="CF247" s="259"/>
      <c r="CG247" s="259"/>
      <c r="CH247" s="259"/>
      <c r="CI247" s="259"/>
      <c r="CJ247" s="259"/>
      <c r="CK247" s="259"/>
      <c r="CL247" s="211">
        <f t="shared" si="102"/>
        <v>0</v>
      </c>
      <c r="CM247" s="213"/>
      <c r="CN247" s="213"/>
      <c r="CO247" s="213"/>
      <c r="CP247" s="213"/>
      <c r="CQ247" s="213"/>
      <c r="CR247" s="213"/>
      <c r="CS247" s="213"/>
      <c r="CT247" s="213"/>
      <c r="CU247" s="213"/>
      <c r="CV247" s="213"/>
      <c r="CW247" s="213"/>
      <c r="CX247" s="213"/>
      <c r="CY247" s="216">
        <f t="shared" si="116"/>
        <v>-60.696799999999996</v>
      </c>
      <c r="CZ247" s="185">
        <f t="shared" si="100"/>
        <v>0</v>
      </c>
      <c r="DA247" s="217">
        <f t="shared" si="117"/>
        <v>122.77143000000001</v>
      </c>
      <c r="DB247" s="217">
        <f t="shared" si="118"/>
        <v>60.696799999999996</v>
      </c>
      <c r="DC247" s="217">
        <f t="shared" si="103"/>
        <v>183.46823000000001</v>
      </c>
      <c r="DD247" s="256">
        <v>138.32994000000002</v>
      </c>
      <c r="DE247" s="217">
        <f t="shared" si="104"/>
        <v>45.138289999999984</v>
      </c>
      <c r="DF247" s="185" t="e">
        <f>SUM(DN247:DO247)-SUM(#REF!,BV247)+BU247</f>
        <v>#REF!</v>
      </c>
      <c r="DG247" s="247" t="s">
        <v>1151</v>
      </c>
      <c r="DH247" s="241">
        <f t="shared" si="105"/>
        <v>0</v>
      </c>
      <c r="DI247" s="241">
        <f t="shared" si="106"/>
        <v>0</v>
      </c>
      <c r="DJ247" s="241">
        <f t="shared" si="107"/>
        <v>81.468670000000003</v>
      </c>
      <c r="DK247" s="241" t="e">
        <f>SUM(BS247,#REF!,BV247)</f>
        <v>#REF!</v>
      </c>
      <c r="DL247" s="155">
        <v>195</v>
      </c>
      <c r="DM247" s="155">
        <v>183.46823000000001</v>
      </c>
      <c r="DN247" s="155">
        <v>0</v>
      </c>
      <c r="DO247" s="155">
        <v>0</v>
      </c>
      <c r="DP247" s="155">
        <v>183.46823000000001</v>
      </c>
      <c r="DQ247" s="155">
        <v>11.53177</v>
      </c>
      <c r="DR247" s="23">
        <f>VLOOKUP(C247,[6]Database!$B$143:$AD$521,29,FALSE)</f>
        <v>0</v>
      </c>
      <c r="DS247" s="235">
        <f t="shared" si="108"/>
        <v>0</v>
      </c>
    </row>
    <row r="248" spans="1:123" s="23" customFormat="1" ht="24" customHeight="1">
      <c r="A248" s="18"/>
      <c r="B248" s="2">
        <v>225</v>
      </c>
      <c r="C248" s="86" t="s">
        <v>1010</v>
      </c>
      <c r="D248" s="86">
        <v>10312</v>
      </c>
      <c r="E248" s="86"/>
      <c r="F248" s="41">
        <v>2021</v>
      </c>
      <c r="G248" s="42">
        <v>44358</v>
      </c>
      <c r="H248" s="42">
        <v>44418</v>
      </c>
      <c r="I248" s="42"/>
      <c r="J248" s="15">
        <f t="shared" ca="1" si="114"/>
        <v>-879.40661944444582</v>
      </c>
      <c r="K248" s="177">
        <f t="shared" si="111"/>
        <v>44965</v>
      </c>
      <c r="L248" s="177">
        <f t="shared" si="112"/>
        <v>45148</v>
      </c>
      <c r="M248" s="183"/>
      <c r="N248" s="183"/>
      <c r="O248" s="183"/>
      <c r="P248" s="183"/>
      <c r="Q248" s="183"/>
      <c r="R248" s="41" t="s">
        <v>176</v>
      </c>
      <c r="S248" s="13" t="s">
        <v>985</v>
      </c>
      <c r="T248" s="43" t="s">
        <v>186</v>
      </c>
      <c r="U248" s="5" t="s">
        <v>8</v>
      </c>
      <c r="V248" s="268">
        <v>4413319</v>
      </c>
      <c r="W248" s="5" t="s">
        <v>614</v>
      </c>
      <c r="X248" s="5" t="s">
        <v>474</v>
      </c>
      <c r="Y248" s="5" t="s">
        <v>1035</v>
      </c>
      <c r="Z248" s="85" t="s">
        <v>186</v>
      </c>
      <c r="AA248" s="45" t="s">
        <v>463</v>
      </c>
      <c r="AB248" s="152" t="s">
        <v>1478</v>
      </c>
      <c r="AC248" s="177">
        <v>44926</v>
      </c>
      <c r="AD248" s="177">
        <v>44926</v>
      </c>
      <c r="AE248" s="177">
        <f t="shared" si="120"/>
        <v>45107</v>
      </c>
      <c r="AF248" s="5"/>
      <c r="AG248" s="43"/>
      <c r="AH248" s="228"/>
      <c r="AI248" s="125"/>
      <c r="AJ248" s="125" t="s">
        <v>1309</v>
      </c>
      <c r="AK248" s="237" t="e">
        <f>SUM(#REF!,BT248,BV248)</f>
        <v>#REF!</v>
      </c>
      <c r="AL248" s="165" t="s">
        <v>1188</v>
      </c>
      <c r="AM248" s="165" t="s">
        <v>1188</v>
      </c>
      <c r="AN248" s="165" t="s">
        <v>1188</v>
      </c>
      <c r="AO248" s="165" t="s">
        <v>602</v>
      </c>
      <c r="AP248" s="165" t="s">
        <v>602</v>
      </c>
      <c r="AQ248" s="165" t="s">
        <v>602</v>
      </c>
      <c r="AR248" s="57"/>
      <c r="AS248" s="56"/>
      <c r="AT248" s="56"/>
      <c r="AU248" s="56">
        <v>0</v>
      </c>
      <c r="AV248" s="47">
        <v>166.01123000000001</v>
      </c>
      <c r="AW248" s="47">
        <v>32.359549999999999</v>
      </c>
      <c r="AX248" s="97">
        <f t="shared" si="115"/>
        <v>198.37078000000002</v>
      </c>
      <c r="AY248" s="169">
        <f t="shared" si="98"/>
        <v>101.38187000000001</v>
      </c>
      <c r="AZ248" s="196"/>
      <c r="BA248" s="170"/>
      <c r="BB248" s="196"/>
      <c r="BC248" s="171"/>
      <c r="BD248" s="196"/>
      <c r="BE248" s="170"/>
      <c r="BF248" s="196"/>
      <c r="BG248" s="170"/>
      <c r="BH248" s="196"/>
      <c r="BI248" s="170"/>
      <c r="BJ248" s="196">
        <v>0</v>
      </c>
      <c r="BK248" s="170"/>
      <c r="BL248" s="197"/>
      <c r="BM248" s="170"/>
      <c r="BN248" s="197"/>
      <c r="BO248" s="170"/>
      <c r="BP248" s="196">
        <v>20</v>
      </c>
      <c r="BQ248" s="170">
        <v>14.053180000000001</v>
      </c>
      <c r="BR248" s="196">
        <f>20-4.6</f>
        <v>15.4</v>
      </c>
      <c r="BS248" s="170">
        <v>37.023980000000002</v>
      </c>
      <c r="BT248" s="196">
        <f>20+10.5-15+20-0.5</f>
        <v>35</v>
      </c>
      <c r="BU248" s="170">
        <v>9.281410000000001</v>
      </c>
      <c r="BV248" s="196">
        <f>20-6.2+5+25.3+0.4</f>
        <v>44.5</v>
      </c>
      <c r="BW248" s="251">
        <v>41.023300000000006</v>
      </c>
      <c r="BX248" s="254">
        <v>41.023299999999999</v>
      </c>
      <c r="BY248" s="88">
        <f t="shared" si="99"/>
        <v>64.499999999999986</v>
      </c>
      <c r="BZ248" s="259">
        <f>5-3.9</f>
        <v>1.1000000000000001</v>
      </c>
      <c r="CA248" s="259">
        <v>5</v>
      </c>
      <c r="CB248" s="259">
        <f>5+3</f>
        <v>8</v>
      </c>
      <c r="CC248" s="259">
        <f>5+4.4</f>
        <v>9.4</v>
      </c>
      <c r="CD248" s="259">
        <v>5</v>
      </c>
      <c r="CE248" s="259">
        <v>5</v>
      </c>
      <c r="CF248" s="259">
        <v>5.166666666666667</v>
      </c>
      <c r="CG248" s="259">
        <v>5.166666666666667</v>
      </c>
      <c r="CH248" s="259">
        <v>5.166666666666667</v>
      </c>
      <c r="CI248" s="259">
        <v>5.166666666666667</v>
      </c>
      <c r="CJ248" s="259">
        <v>5.166666666666667</v>
      </c>
      <c r="CK248" s="259">
        <v>5.166666666666667</v>
      </c>
      <c r="CL248" s="211">
        <f t="shared" si="102"/>
        <v>0</v>
      </c>
      <c r="CM248" s="213"/>
      <c r="CN248" s="213"/>
      <c r="CO248" s="213"/>
      <c r="CP248" s="213"/>
      <c r="CQ248" s="213"/>
      <c r="CR248" s="213"/>
      <c r="CS248" s="213"/>
      <c r="CT248" s="213"/>
      <c r="CU248" s="213"/>
      <c r="CV248" s="213"/>
      <c r="CW248" s="213"/>
      <c r="CX248" s="213"/>
      <c r="CY248" s="216">
        <f t="shared" si="116"/>
        <v>3.476700000000001</v>
      </c>
      <c r="CZ248" s="185">
        <f t="shared" si="100"/>
        <v>0</v>
      </c>
      <c r="DA248" s="217">
        <f t="shared" si="117"/>
        <v>60.358570000000007</v>
      </c>
      <c r="DB248" s="217">
        <f t="shared" si="118"/>
        <v>41.023299999999999</v>
      </c>
      <c r="DC248" s="217">
        <f t="shared" si="103"/>
        <v>165.88186999999999</v>
      </c>
      <c r="DD248" s="256">
        <v>165.87716</v>
      </c>
      <c r="DE248" s="217">
        <f t="shared" si="104"/>
        <v>4.7099999999886677E-3</v>
      </c>
      <c r="DF248" s="185" t="e">
        <f>SUM(DN248:DO248)-SUM(#REF!,BV248)+BU248</f>
        <v>#REF!</v>
      </c>
      <c r="DG248" s="223"/>
      <c r="DH248" s="241">
        <f t="shared" si="105"/>
        <v>0</v>
      </c>
      <c r="DI248" s="241">
        <f t="shared" si="106"/>
        <v>0</v>
      </c>
      <c r="DJ248" s="241">
        <f t="shared" si="107"/>
        <v>14.053180000000001</v>
      </c>
      <c r="DK248" s="241" t="e">
        <f>SUM(BS248,#REF!,BV248)</f>
        <v>#REF!</v>
      </c>
      <c r="DL248" s="155">
        <v>166.01123000000001</v>
      </c>
      <c r="DM248" s="155">
        <v>101.38186999999999</v>
      </c>
      <c r="DN248" s="155">
        <v>55.05021</v>
      </c>
      <c r="DO248" s="155">
        <v>4.3031999999999995</v>
      </c>
      <c r="DP248" s="155">
        <v>160.73527999999999</v>
      </c>
      <c r="DQ248" s="155">
        <v>5.2759499999999999</v>
      </c>
      <c r="DR248" s="23">
        <f>VLOOKUP(C248,[6]Database!$B$143:$AD$521,29,FALSE)</f>
        <v>86.000000000000014</v>
      </c>
      <c r="DS248" s="235">
        <f t="shared" si="108"/>
        <v>-21.500000000000028</v>
      </c>
    </row>
    <row r="249" spans="1:123" s="23" customFormat="1" ht="24" customHeight="1">
      <c r="A249" s="18"/>
      <c r="B249" s="2">
        <v>187</v>
      </c>
      <c r="C249" s="86" t="s">
        <v>1027</v>
      </c>
      <c r="D249" s="86">
        <v>14331</v>
      </c>
      <c r="E249" s="86"/>
      <c r="F249" s="41">
        <v>2021</v>
      </c>
      <c r="G249" s="42">
        <v>44363</v>
      </c>
      <c r="H249" s="42">
        <v>44392</v>
      </c>
      <c r="I249" s="42"/>
      <c r="J249" s="15">
        <f t="shared" ca="1" si="114"/>
        <v>-905.40661944444582</v>
      </c>
      <c r="K249" s="177">
        <f t="shared" si="111"/>
        <v>44939</v>
      </c>
      <c r="L249" s="177">
        <f t="shared" si="112"/>
        <v>45122</v>
      </c>
      <c r="M249" s="183"/>
      <c r="N249" s="183"/>
      <c r="O249" s="183"/>
      <c r="P249" s="183"/>
      <c r="Q249" s="183"/>
      <c r="R249" s="41" t="s">
        <v>176</v>
      </c>
      <c r="S249" s="13" t="s">
        <v>5</v>
      </c>
      <c r="T249" s="43" t="s">
        <v>952</v>
      </c>
      <c r="U249" s="5" t="s">
        <v>8</v>
      </c>
      <c r="V249" s="268">
        <v>4306091</v>
      </c>
      <c r="W249" s="5" t="s">
        <v>614</v>
      </c>
      <c r="X249" s="5" t="s">
        <v>474</v>
      </c>
      <c r="Y249" s="5" t="s">
        <v>1030</v>
      </c>
      <c r="Z249" s="86" t="s">
        <v>187</v>
      </c>
      <c r="AA249" s="45" t="s">
        <v>463</v>
      </c>
      <c r="AB249" s="152" t="s">
        <v>1469</v>
      </c>
      <c r="AC249" s="177">
        <v>44651</v>
      </c>
      <c r="AD249" s="177">
        <v>44712</v>
      </c>
      <c r="AE249" s="177">
        <f t="shared" si="120"/>
        <v>45077</v>
      </c>
      <c r="AF249" s="5"/>
      <c r="AG249" s="43"/>
      <c r="AH249" s="228"/>
      <c r="AI249" s="125"/>
      <c r="AJ249" s="125" t="s">
        <v>1309</v>
      </c>
      <c r="AK249" s="237" t="e">
        <f>SUM(#REF!,BT249,BV249)</f>
        <v>#REF!</v>
      </c>
      <c r="AL249" s="165" t="s">
        <v>1253</v>
      </c>
      <c r="AM249" s="165" t="s">
        <v>1251</v>
      </c>
      <c r="AN249" s="165" t="s">
        <v>1254</v>
      </c>
      <c r="AO249" s="165" t="s">
        <v>602</v>
      </c>
      <c r="AP249" s="165" t="s">
        <v>602</v>
      </c>
      <c r="AQ249" s="165" t="s">
        <v>602</v>
      </c>
      <c r="AR249" s="57"/>
      <c r="AS249" s="56"/>
      <c r="AT249" s="56"/>
      <c r="AU249" s="56">
        <v>0</v>
      </c>
      <c r="AV249" s="47">
        <v>132.15</v>
      </c>
      <c r="AW249" s="47">
        <v>7.8</v>
      </c>
      <c r="AX249" s="97">
        <f t="shared" si="115"/>
        <v>139.95000000000002</v>
      </c>
      <c r="AY249" s="169">
        <f t="shared" si="98"/>
        <v>54.913600000000002</v>
      </c>
      <c r="AZ249" s="196"/>
      <c r="BA249" s="170"/>
      <c r="BB249" s="196"/>
      <c r="BC249" s="171"/>
      <c r="BD249" s="196"/>
      <c r="BE249" s="170"/>
      <c r="BF249" s="196"/>
      <c r="BG249" s="170"/>
      <c r="BH249" s="196"/>
      <c r="BI249" s="170"/>
      <c r="BJ249" s="196">
        <v>0</v>
      </c>
      <c r="BK249" s="170"/>
      <c r="BL249" s="197"/>
      <c r="BM249" s="170"/>
      <c r="BN249" s="197"/>
      <c r="BO249" s="170"/>
      <c r="BP249" s="196">
        <v>2</v>
      </c>
      <c r="BQ249" s="170"/>
      <c r="BR249" s="196"/>
      <c r="BS249" s="170"/>
      <c r="BT249" s="196"/>
      <c r="BU249" s="170">
        <v>12.967549999999999</v>
      </c>
      <c r="BV249" s="196">
        <f>28.88845+7</f>
        <v>35.888449999999999</v>
      </c>
      <c r="BW249" s="251">
        <v>41.94605</v>
      </c>
      <c r="BX249" s="254">
        <v>41.94605</v>
      </c>
      <c r="BY249" s="88">
        <f t="shared" si="99"/>
        <v>77</v>
      </c>
      <c r="BZ249" s="259">
        <v>0</v>
      </c>
      <c r="CA249" s="259">
        <v>0</v>
      </c>
      <c r="CB249" s="259">
        <f>50-7-6</f>
        <v>37</v>
      </c>
      <c r="CC249" s="259">
        <v>10</v>
      </c>
      <c r="CD249" s="259">
        <v>10</v>
      </c>
      <c r="CE249" s="259">
        <v>10</v>
      </c>
      <c r="CF249" s="259">
        <v>5</v>
      </c>
      <c r="CG249" s="259">
        <v>5</v>
      </c>
      <c r="CH249" s="259"/>
      <c r="CI249" s="259"/>
      <c r="CJ249" s="259"/>
      <c r="CK249" s="259"/>
      <c r="CL249" s="211">
        <f t="shared" si="102"/>
        <v>0</v>
      </c>
      <c r="CM249" s="213"/>
      <c r="CN249" s="213"/>
      <c r="CO249" s="213"/>
      <c r="CP249" s="213"/>
      <c r="CQ249" s="213"/>
      <c r="CR249" s="213"/>
      <c r="CS249" s="213"/>
      <c r="CT249" s="213"/>
      <c r="CU249" s="213"/>
      <c r="CV249" s="213"/>
      <c r="CW249" s="213"/>
      <c r="CX249" s="213"/>
      <c r="CY249" s="216">
        <f t="shared" si="116"/>
        <v>-6.0576000000000008</v>
      </c>
      <c r="CZ249" s="185">
        <f t="shared" si="100"/>
        <v>0</v>
      </c>
      <c r="DA249" s="217">
        <f t="shared" si="117"/>
        <v>12.967549999999999</v>
      </c>
      <c r="DB249" s="217">
        <f t="shared" si="118"/>
        <v>41.94605</v>
      </c>
      <c r="DC249" s="217">
        <f t="shared" si="103"/>
        <v>131.9136</v>
      </c>
      <c r="DD249" s="256">
        <v>132</v>
      </c>
      <c r="DE249" s="217">
        <f t="shared" si="104"/>
        <v>-8.639999999999759E-2</v>
      </c>
      <c r="DF249" s="185" t="e">
        <f>SUM(DN249:DO249)-SUM(#REF!,BV249)+BU249</f>
        <v>#REF!</v>
      </c>
      <c r="DG249" s="223" t="s">
        <v>1266</v>
      </c>
      <c r="DH249" s="241">
        <f t="shared" si="105"/>
        <v>0</v>
      </c>
      <c r="DI249" s="241">
        <f t="shared" si="106"/>
        <v>0</v>
      </c>
      <c r="DJ249" s="241">
        <f t="shared" si="107"/>
        <v>0</v>
      </c>
      <c r="DK249" s="241" t="e">
        <f>SUM(BS249,#REF!,BV249)</f>
        <v>#REF!</v>
      </c>
      <c r="DL249" s="155">
        <v>132.15</v>
      </c>
      <c r="DM249" s="155">
        <v>54.913599999999995</v>
      </c>
      <c r="DN249" s="155">
        <v>69.675139999999999</v>
      </c>
      <c r="DO249" s="155">
        <v>2.8925999999999998</v>
      </c>
      <c r="DP249" s="155">
        <v>127.48134</v>
      </c>
      <c r="DQ249" s="155">
        <v>4.66866</v>
      </c>
      <c r="DR249" s="23">
        <f>VLOOKUP(C249,[6]Database!$B$143:$AD$521,29,FALSE)</f>
        <v>0</v>
      </c>
      <c r="DS249" s="235">
        <f t="shared" si="108"/>
        <v>77</v>
      </c>
    </row>
    <row r="250" spans="1:123" s="23" customFormat="1" ht="24" customHeight="1">
      <c r="A250" s="18"/>
      <c r="B250" s="2">
        <v>233</v>
      </c>
      <c r="C250" s="86" t="s">
        <v>1024</v>
      </c>
      <c r="D250" s="85">
        <v>16258</v>
      </c>
      <c r="E250" s="86"/>
      <c r="F250" s="41">
        <v>2021</v>
      </c>
      <c r="G250" s="42">
        <v>44365</v>
      </c>
      <c r="H250" s="42">
        <v>44377</v>
      </c>
      <c r="I250" s="42"/>
      <c r="J250" s="15">
        <f t="shared" ca="1" si="114"/>
        <v>-921.40661944444582</v>
      </c>
      <c r="K250" s="177">
        <f t="shared" si="111"/>
        <v>44924</v>
      </c>
      <c r="L250" s="177">
        <f t="shared" si="112"/>
        <v>45107</v>
      </c>
      <c r="M250" s="183"/>
      <c r="N250" s="183"/>
      <c r="O250" s="183"/>
      <c r="P250" s="183"/>
      <c r="Q250" s="183"/>
      <c r="R250" s="41" t="s">
        <v>176</v>
      </c>
      <c r="S250" s="13" t="s">
        <v>5</v>
      </c>
      <c r="T250" s="41" t="s">
        <v>952</v>
      </c>
      <c r="U250" s="5" t="s">
        <v>8</v>
      </c>
      <c r="V250" s="268">
        <v>4305421</v>
      </c>
      <c r="W250" s="5" t="s">
        <v>614</v>
      </c>
      <c r="X250" s="5" t="s">
        <v>946</v>
      </c>
      <c r="Y250" s="5" t="s">
        <v>1037</v>
      </c>
      <c r="Z250" s="41" t="s">
        <v>186</v>
      </c>
      <c r="AA250" s="45" t="s">
        <v>463</v>
      </c>
      <c r="AB250" s="152" t="s">
        <v>1462</v>
      </c>
      <c r="AC250" s="177">
        <v>44895</v>
      </c>
      <c r="AD250" s="177">
        <v>44926</v>
      </c>
      <c r="AE250" s="177">
        <f t="shared" si="120"/>
        <v>45046</v>
      </c>
      <c r="AF250" s="5"/>
      <c r="AG250" s="122"/>
      <c r="AH250" s="228"/>
      <c r="AI250" s="125"/>
      <c r="AJ250" s="125"/>
      <c r="AK250" s="237" t="e">
        <f>SUM(#REF!,BT250,BV250)</f>
        <v>#REF!</v>
      </c>
      <c r="AL250" s="52" t="s">
        <v>1188</v>
      </c>
      <c r="AM250" s="52" t="s">
        <v>1210</v>
      </c>
      <c r="AN250" s="52" t="s">
        <v>1188</v>
      </c>
      <c r="AO250" s="52" t="s">
        <v>602</v>
      </c>
      <c r="AP250" s="52" t="s">
        <v>602</v>
      </c>
      <c r="AQ250" s="52" t="s">
        <v>602</v>
      </c>
      <c r="AR250" s="57"/>
      <c r="AS250" s="56"/>
      <c r="AT250" s="56"/>
      <c r="AU250" s="56">
        <v>0</v>
      </c>
      <c r="AV250" s="47">
        <v>575.60928999999999</v>
      </c>
      <c r="AW250" s="47"/>
      <c r="AX250" s="97">
        <f t="shared" si="115"/>
        <v>575.60928999999999</v>
      </c>
      <c r="AY250" s="169">
        <f t="shared" si="98"/>
        <v>88.846319999999992</v>
      </c>
      <c r="AZ250" s="196"/>
      <c r="BA250" s="170"/>
      <c r="BB250" s="196"/>
      <c r="BC250" s="171"/>
      <c r="BD250" s="196"/>
      <c r="BE250" s="170"/>
      <c r="BF250" s="196"/>
      <c r="BG250" s="170"/>
      <c r="BH250" s="196"/>
      <c r="BI250" s="170"/>
      <c r="BJ250" s="196">
        <v>0</v>
      </c>
      <c r="BK250" s="170"/>
      <c r="BL250" s="197"/>
      <c r="BM250" s="170"/>
      <c r="BN250" s="197"/>
      <c r="BO250" s="170">
        <v>10.152059999999999</v>
      </c>
      <c r="BP250" s="196">
        <v>11.6</v>
      </c>
      <c r="BQ250" s="170">
        <v>41.445419999999999</v>
      </c>
      <c r="BR250" s="196">
        <f>4.68588+15+1.3-1</f>
        <v>19.985880000000002</v>
      </c>
      <c r="BS250" s="170">
        <v>18.995270000000001</v>
      </c>
      <c r="BT250" s="234">
        <f>80-8.7-10.1-1.5+0.5+2.9-0.8</f>
        <v>62.3</v>
      </c>
      <c r="BU250" s="170"/>
      <c r="BV250" s="196">
        <f>46+31-15+4-3+62.3-5-60</f>
        <v>60.3</v>
      </c>
      <c r="BW250" s="251">
        <v>18.253570000000003</v>
      </c>
      <c r="BX250" s="254">
        <v>18.253570000000003</v>
      </c>
      <c r="BY250" s="88">
        <f t="shared" si="99"/>
        <v>483.60000000000008</v>
      </c>
      <c r="BZ250" s="259">
        <v>30</v>
      </c>
      <c r="CA250" s="259">
        <v>62</v>
      </c>
      <c r="CB250" s="259">
        <f>281.1/5</f>
        <v>56.220000000000006</v>
      </c>
      <c r="CC250" s="259">
        <f>281.1/5</f>
        <v>56.220000000000006</v>
      </c>
      <c r="CD250" s="259">
        <f>281.1/5</f>
        <v>56.220000000000006</v>
      </c>
      <c r="CE250" s="259">
        <f>281.1/5</f>
        <v>56.220000000000006</v>
      </c>
      <c r="CF250" s="259">
        <f>281.1/5</f>
        <v>56.220000000000006</v>
      </c>
      <c r="CG250" s="259">
        <v>60</v>
      </c>
      <c r="CH250" s="259">
        <v>50.5</v>
      </c>
      <c r="CI250" s="259"/>
      <c r="CJ250" s="259"/>
      <c r="CK250" s="259"/>
      <c r="CL250" s="211">
        <f t="shared" si="102"/>
        <v>0</v>
      </c>
      <c r="CM250" s="213"/>
      <c r="CN250" s="213"/>
      <c r="CO250" s="213"/>
      <c r="CP250" s="213"/>
      <c r="CQ250" s="213"/>
      <c r="CR250" s="213"/>
      <c r="CS250" s="213"/>
      <c r="CT250" s="213"/>
      <c r="CU250" s="213"/>
      <c r="CV250" s="213"/>
      <c r="CW250" s="213"/>
      <c r="CX250" s="213"/>
      <c r="CY250" s="216">
        <f t="shared" si="116"/>
        <v>42.046429999999994</v>
      </c>
      <c r="CZ250" s="185">
        <f t="shared" si="100"/>
        <v>0</v>
      </c>
      <c r="DA250" s="217">
        <f t="shared" si="117"/>
        <v>70.592749999999995</v>
      </c>
      <c r="DB250" s="217">
        <f t="shared" si="118"/>
        <v>18.253570000000003</v>
      </c>
      <c r="DC250" s="217">
        <f t="shared" si="103"/>
        <v>572.44632000000001</v>
      </c>
      <c r="DD250" s="256">
        <v>572.49275000000011</v>
      </c>
      <c r="DE250" s="217">
        <f t="shared" si="104"/>
        <v>-4.6430000000100335E-2</v>
      </c>
      <c r="DF250" s="185" t="e">
        <f>SUM(DN250:DO250)-SUM(#REF!,BV250)+BU250</f>
        <v>#REF!</v>
      </c>
      <c r="DG250" s="223"/>
      <c r="DH250" s="241">
        <f t="shared" si="105"/>
        <v>0</v>
      </c>
      <c r="DI250" s="241">
        <f t="shared" si="106"/>
        <v>0</v>
      </c>
      <c r="DJ250" s="241">
        <f t="shared" si="107"/>
        <v>51.597479999999997</v>
      </c>
      <c r="DK250" s="241" t="e">
        <f>SUM(BS250,#REF!,BV250)</f>
        <v>#REF!</v>
      </c>
      <c r="DL250" s="155">
        <v>575.60928999999999</v>
      </c>
      <c r="DM250" s="155">
        <v>88.846320000000006</v>
      </c>
      <c r="DN250" s="155">
        <v>55.244900000000001</v>
      </c>
      <c r="DO250" s="155">
        <v>66.81062</v>
      </c>
      <c r="DP250" s="155">
        <v>210.90183999999999</v>
      </c>
      <c r="DQ250" s="155">
        <v>364.70744999999999</v>
      </c>
      <c r="DR250" s="23">
        <f>VLOOKUP(C250,[6]Database!$B$143:$AD$521,29,FALSE)</f>
        <v>373.60000000000008</v>
      </c>
      <c r="DS250" s="235">
        <f t="shared" si="108"/>
        <v>110</v>
      </c>
    </row>
    <row r="251" spans="1:123" s="23" customFormat="1" ht="24" customHeight="1">
      <c r="A251" s="18"/>
      <c r="B251" s="2"/>
      <c r="C251" s="86" t="s">
        <v>1101</v>
      </c>
      <c r="D251" s="86">
        <v>17605</v>
      </c>
      <c r="E251" s="86"/>
      <c r="F251" s="41">
        <v>2022</v>
      </c>
      <c r="G251" s="42">
        <v>44417</v>
      </c>
      <c r="H251" s="42">
        <v>44461</v>
      </c>
      <c r="I251" s="42"/>
      <c r="J251" s="15">
        <f t="shared" ca="1" si="114"/>
        <v>-839.40661944444582</v>
      </c>
      <c r="K251" s="177">
        <f t="shared" si="111"/>
        <v>45008</v>
      </c>
      <c r="L251" s="177">
        <f t="shared" si="112"/>
        <v>45191</v>
      </c>
      <c r="M251" s="183"/>
      <c r="N251" s="183"/>
      <c r="O251" s="183"/>
      <c r="P251" s="183"/>
      <c r="Q251" s="183"/>
      <c r="R251" s="41" t="s">
        <v>176</v>
      </c>
      <c r="S251" s="13" t="s">
        <v>5</v>
      </c>
      <c r="T251" s="41" t="s">
        <v>961</v>
      </c>
      <c r="U251" s="5" t="s">
        <v>8</v>
      </c>
      <c r="V251" s="268">
        <v>4636423</v>
      </c>
      <c r="W251" s="5" t="s">
        <v>614</v>
      </c>
      <c r="X251" s="5" t="s">
        <v>480</v>
      </c>
      <c r="Y251" s="5" t="s">
        <v>1161</v>
      </c>
      <c r="Z251" s="3" t="s">
        <v>181</v>
      </c>
      <c r="AA251" s="45" t="s">
        <v>463</v>
      </c>
      <c r="AB251" s="152" t="s">
        <v>1334</v>
      </c>
      <c r="AC251" s="177">
        <v>44985</v>
      </c>
      <c r="AD251" s="177">
        <v>45138</v>
      </c>
      <c r="AE251" s="177">
        <f t="shared" si="120"/>
        <v>45138</v>
      </c>
      <c r="AF251" s="5"/>
      <c r="AG251" s="43"/>
      <c r="AH251" s="228"/>
      <c r="AI251" s="125"/>
      <c r="AJ251" s="125"/>
      <c r="AK251" s="237" t="e">
        <f>SUM(#REF!,BT251,BV251)</f>
        <v>#REF!</v>
      </c>
      <c r="AL251" s="179"/>
      <c r="AM251" s="179"/>
      <c r="AN251" s="179"/>
      <c r="AO251" s="179"/>
      <c r="AP251" s="179"/>
      <c r="AQ251" s="179"/>
      <c r="AR251" s="57"/>
      <c r="AS251" s="56"/>
      <c r="AT251" s="56"/>
      <c r="AU251" s="56"/>
      <c r="AV251" s="47">
        <v>183.67</v>
      </c>
      <c r="AW251" s="47"/>
      <c r="AX251" s="97">
        <f t="shared" si="115"/>
        <v>183.67</v>
      </c>
      <c r="AY251" s="169">
        <f t="shared" si="98"/>
        <v>34.642309999999995</v>
      </c>
      <c r="AZ251" s="196"/>
      <c r="BA251" s="170"/>
      <c r="BB251" s="196"/>
      <c r="BC251" s="171"/>
      <c r="BD251" s="196"/>
      <c r="BE251" s="170"/>
      <c r="BF251" s="196"/>
      <c r="BG251" s="170"/>
      <c r="BH251" s="196"/>
      <c r="BI251" s="170"/>
      <c r="BJ251" s="196"/>
      <c r="BK251" s="170"/>
      <c r="BL251" s="197"/>
      <c r="BM251" s="170"/>
      <c r="BN251" s="197"/>
      <c r="BO251" s="170"/>
      <c r="BP251" s="196"/>
      <c r="BQ251" s="170"/>
      <c r="BR251" s="196"/>
      <c r="BS251" s="170"/>
      <c r="BT251" s="196"/>
      <c r="BU251" s="170">
        <v>34.642309999999995</v>
      </c>
      <c r="BV251" s="196"/>
      <c r="BW251" s="251"/>
      <c r="BX251" s="254"/>
      <c r="BY251" s="88">
        <f t="shared" si="99"/>
        <v>148</v>
      </c>
      <c r="BZ251" s="259"/>
      <c r="CA251" s="259"/>
      <c r="CB251" s="259"/>
      <c r="CC251" s="259"/>
      <c r="CD251" s="259">
        <f>113-35</f>
        <v>78</v>
      </c>
      <c r="CE251" s="259">
        <v>35</v>
      </c>
      <c r="CF251" s="259">
        <v>35</v>
      </c>
      <c r="CG251" s="259"/>
      <c r="CH251" s="259"/>
      <c r="CI251" s="259"/>
      <c r="CJ251" s="259"/>
      <c r="CK251" s="259"/>
      <c r="CL251" s="211">
        <f t="shared" si="102"/>
        <v>0</v>
      </c>
      <c r="CM251" s="213"/>
      <c r="CN251" s="213"/>
      <c r="CO251" s="213"/>
      <c r="CP251" s="213"/>
      <c r="CQ251" s="213"/>
      <c r="CR251" s="213"/>
      <c r="CS251" s="213"/>
      <c r="CT251" s="213"/>
      <c r="CU251" s="213"/>
      <c r="CV251" s="213"/>
      <c r="CW251" s="213"/>
      <c r="CX251" s="213"/>
      <c r="CY251" s="216">
        <f t="shared" si="116"/>
        <v>0</v>
      </c>
      <c r="CZ251" s="185">
        <f t="shared" si="100"/>
        <v>0</v>
      </c>
      <c r="DA251" s="217">
        <f t="shared" si="117"/>
        <v>34.642309999999995</v>
      </c>
      <c r="DB251" s="217">
        <f t="shared" si="118"/>
        <v>0</v>
      </c>
      <c r="DC251" s="217">
        <f t="shared" si="103"/>
        <v>182.64231000000001</v>
      </c>
      <c r="DD251" s="256">
        <v>182.99999999999991</v>
      </c>
      <c r="DE251" s="217">
        <f t="shared" si="104"/>
        <v>-0.35768999999990569</v>
      </c>
      <c r="DF251" s="185" t="e">
        <f>SUM(DN251:DO251)-SUM(#REF!,BV251)+BU251</f>
        <v>#REF!</v>
      </c>
      <c r="DG251" s="223"/>
      <c r="DH251" s="241">
        <f t="shared" si="105"/>
        <v>0</v>
      </c>
      <c r="DI251" s="241">
        <f t="shared" si="106"/>
        <v>0</v>
      </c>
      <c r="DJ251" s="241">
        <f t="shared" si="107"/>
        <v>0</v>
      </c>
      <c r="DK251" s="241" t="e">
        <f>SUM(BS251,#REF!,BV251)</f>
        <v>#REF!</v>
      </c>
      <c r="DL251" s="155">
        <v>183.67</v>
      </c>
      <c r="DM251" s="155">
        <v>34.642309999999995</v>
      </c>
      <c r="DN251" s="155">
        <v>112.97636</v>
      </c>
      <c r="DO251" s="155">
        <v>0</v>
      </c>
      <c r="DP251" s="155">
        <v>147.61867000000001</v>
      </c>
      <c r="DQ251" s="155">
        <v>36.05133</v>
      </c>
      <c r="DR251" s="23">
        <f>VLOOKUP(C251,[6]Database!$B$143:$AD$521,29,FALSE)</f>
        <v>182.99999999999991</v>
      </c>
      <c r="DS251" s="235">
        <f t="shared" si="108"/>
        <v>-34.999999999999915</v>
      </c>
    </row>
    <row r="252" spans="1:123" s="23" customFormat="1" ht="24" customHeight="1">
      <c r="A252" s="18"/>
      <c r="B252" s="2"/>
      <c r="C252" s="86" t="s">
        <v>1116</v>
      </c>
      <c r="D252" s="153" t="s">
        <v>1264</v>
      </c>
      <c r="E252" s="86"/>
      <c r="F252" s="41">
        <v>2021</v>
      </c>
      <c r="G252" s="42">
        <v>44425</v>
      </c>
      <c r="H252" s="42">
        <v>44469</v>
      </c>
      <c r="I252" s="42"/>
      <c r="J252" s="15">
        <f t="shared" ca="1" si="114"/>
        <v>-831.40661944444582</v>
      </c>
      <c r="K252" s="177">
        <f t="shared" si="111"/>
        <v>45016</v>
      </c>
      <c r="L252" s="177">
        <f t="shared" si="112"/>
        <v>45199</v>
      </c>
      <c r="M252" s="183"/>
      <c r="N252" s="183"/>
      <c r="O252" s="183"/>
      <c r="P252" s="183"/>
      <c r="Q252" s="183"/>
      <c r="R252" s="41" t="s">
        <v>176</v>
      </c>
      <c r="S252" s="13" t="s">
        <v>222</v>
      </c>
      <c r="T252" s="43" t="s">
        <v>979</v>
      </c>
      <c r="U252" s="5" t="s">
        <v>8</v>
      </c>
      <c r="V252" s="268">
        <v>4608952</v>
      </c>
      <c r="W252" s="5" t="s">
        <v>614</v>
      </c>
      <c r="X252" s="5" t="s">
        <v>474</v>
      </c>
      <c r="Y252" s="5" t="s">
        <v>1443</v>
      </c>
      <c r="Z252" s="3" t="s">
        <v>181</v>
      </c>
      <c r="AA252" s="45" t="s">
        <v>463</v>
      </c>
      <c r="AB252" s="152" t="s">
        <v>1460</v>
      </c>
      <c r="AC252" s="177"/>
      <c r="AD252" s="177">
        <v>45016</v>
      </c>
      <c r="AE252" s="177"/>
      <c r="AF252" s="5"/>
      <c r="AG252" s="43"/>
      <c r="AH252" s="228"/>
      <c r="AI252" s="125"/>
      <c r="AJ252" s="125"/>
      <c r="AK252" s="237" t="e">
        <f>SUM(#REF!,BT252,BV252)</f>
        <v>#REF!</v>
      </c>
      <c r="AL252" s="165" t="s">
        <v>1250</v>
      </c>
      <c r="AM252" s="165" t="s">
        <v>1251</v>
      </c>
      <c r="AN252" s="165" t="s">
        <v>1188</v>
      </c>
      <c r="AO252" s="165" t="s">
        <v>602</v>
      </c>
      <c r="AP252" s="165" t="s">
        <v>602</v>
      </c>
      <c r="AQ252" s="165" t="s">
        <v>602</v>
      </c>
      <c r="AR252" s="57"/>
      <c r="AS252" s="56"/>
      <c r="AT252" s="56"/>
      <c r="AU252" s="56">
        <v>0</v>
      </c>
      <c r="AV252" s="47">
        <v>1251.4860000000001</v>
      </c>
      <c r="AW252" s="47"/>
      <c r="AX252" s="97">
        <f t="shared" si="115"/>
        <v>1251.4860000000001</v>
      </c>
      <c r="AY252" s="169">
        <f t="shared" si="98"/>
        <v>478.32855999999992</v>
      </c>
      <c r="AZ252" s="196"/>
      <c r="BA252" s="170"/>
      <c r="BB252" s="196"/>
      <c r="BC252" s="171"/>
      <c r="BD252" s="196"/>
      <c r="BE252" s="170"/>
      <c r="BF252" s="196"/>
      <c r="BG252" s="170"/>
      <c r="BH252" s="196"/>
      <c r="BI252" s="170"/>
      <c r="BJ252" s="196"/>
      <c r="BK252" s="170"/>
      <c r="BL252" s="197"/>
      <c r="BM252" s="170"/>
      <c r="BN252" s="197"/>
      <c r="BO252" s="170"/>
      <c r="BP252" s="196"/>
      <c r="BQ252" s="170"/>
      <c r="BR252" s="196"/>
      <c r="BS252" s="170">
        <v>4.7712599999999998</v>
      </c>
      <c r="BT252" s="196"/>
      <c r="BU252" s="170">
        <v>141.98027999999999</v>
      </c>
      <c r="BV252" s="196">
        <f>303.78084+1.5+0.9+1.6</f>
        <v>307.78084000000001</v>
      </c>
      <c r="BW252" s="251">
        <v>331.57701999999995</v>
      </c>
      <c r="BX252" s="254">
        <v>331.57701999999995</v>
      </c>
      <c r="BY252" s="88">
        <f t="shared" si="99"/>
        <v>432.16666666666663</v>
      </c>
      <c r="BZ252" s="259"/>
      <c r="CA252" s="259"/>
      <c r="CB252" s="259"/>
      <c r="CC252" s="259"/>
      <c r="CD252" s="259"/>
      <c r="CE252" s="259"/>
      <c r="CF252" s="259">
        <f>73.3-12.1-2-10.7</f>
        <v>48.5</v>
      </c>
      <c r="CG252" s="259">
        <f>500/6-33</f>
        <v>50.333333333333329</v>
      </c>
      <c r="CH252" s="259">
        <f>500/6</f>
        <v>83.333333333333329</v>
      </c>
      <c r="CI252" s="259">
        <f>500/6</f>
        <v>83.333333333333329</v>
      </c>
      <c r="CJ252" s="259">
        <f>500/6</f>
        <v>83.333333333333329</v>
      </c>
      <c r="CK252" s="259">
        <f>500/6</f>
        <v>83.333333333333329</v>
      </c>
      <c r="CL252" s="211">
        <f t="shared" si="102"/>
        <v>341.39599999999996</v>
      </c>
      <c r="CM252" s="213">
        <v>41.665999999999997</v>
      </c>
      <c r="CN252" s="213">
        <v>41.665999999999997</v>
      </c>
      <c r="CO252" s="213">
        <v>41.665999999999997</v>
      </c>
      <c r="CP252" s="213">
        <v>41.665999999999997</v>
      </c>
      <c r="CQ252" s="213">
        <v>41.665999999999997</v>
      </c>
      <c r="CR252" s="213">
        <v>41.665999999999997</v>
      </c>
      <c r="CS252" s="213">
        <v>45.7</v>
      </c>
      <c r="CT252" s="213">
        <v>45.7</v>
      </c>
      <c r="CU252" s="213"/>
      <c r="CV252" s="213"/>
      <c r="CW252" s="213"/>
      <c r="CX252" s="213"/>
      <c r="CY252" s="216">
        <f t="shared" si="116"/>
        <v>-23.796179999999936</v>
      </c>
      <c r="CZ252" s="185">
        <f t="shared" si="100"/>
        <v>0</v>
      </c>
      <c r="DA252" s="217">
        <f t="shared" si="117"/>
        <v>146.75154000000001</v>
      </c>
      <c r="DB252" s="217">
        <f t="shared" si="118"/>
        <v>331.57701999999995</v>
      </c>
      <c r="DC252" s="217">
        <f t="shared" si="103"/>
        <v>910.49522666666655</v>
      </c>
      <c r="DD252" s="256">
        <v>910.97126000000003</v>
      </c>
      <c r="DE252" s="217">
        <f t="shared" si="104"/>
        <v>-0.47603333333347564</v>
      </c>
      <c r="DF252" s="185" t="e">
        <f>SUM(DN252:DO252)-SUM(#REF!,BV252)+BU252</f>
        <v>#REF!</v>
      </c>
      <c r="DG252" s="223"/>
      <c r="DH252" s="241">
        <f t="shared" si="105"/>
        <v>0</v>
      </c>
      <c r="DI252" s="241">
        <f t="shared" si="106"/>
        <v>0</v>
      </c>
      <c r="DJ252" s="241">
        <f t="shared" si="107"/>
        <v>0</v>
      </c>
      <c r="DK252" s="241" t="e">
        <f>SUM(BS252,#REF!,BV252)</f>
        <v>#REF!</v>
      </c>
      <c r="DL252" s="155">
        <v>1251.4860000000001</v>
      </c>
      <c r="DM252" s="155">
        <v>478.32855999999998</v>
      </c>
      <c r="DN252" s="155">
        <v>138.58095</v>
      </c>
      <c r="DO252" s="155">
        <v>0</v>
      </c>
      <c r="DP252" s="155">
        <v>616.90950999999995</v>
      </c>
      <c r="DQ252" s="155">
        <v>634.57649000000004</v>
      </c>
      <c r="DR252" s="23">
        <f>VLOOKUP(C252,[6]Database!$B$143:$AD$521,29,FALSE)</f>
        <v>500.00000000000006</v>
      </c>
      <c r="DS252" s="235">
        <f t="shared" si="108"/>
        <v>-67.833333333333428</v>
      </c>
    </row>
    <row r="253" spans="1:123" s="23" customFormat="1" ht="24" customHeight="1">
      <c r="A253" s="18"/>
      <c r="B253" s="2"/>
      <c r="C253" s="86" t="s">
        <v>1155</v>
      </c>
      <c r="D253" s="153" t="s">
        <v>1264</v>
      </c>
      <c r="E253" s="86"/>
      <c r="F253" s="41">
        <v>2021</v>
      </c>
      <c r="G253" s="42">
        <v>44456</v>
      </c>
      <c r="H253" s="192">
        <v>44504</v>
      </c>
      <c r="I253" s="42"/>
      <c r="J253" s="15">
        <f t="shared" ca="1" si="114"/>
        <v>-796.40661944444582</v>
      </c>
      <c r="K253" s="177">
        <f t="shared" si="111"/>
        <v>45051</v>
      </c>
      <c r="L253" s="177">
        <f t="shared" si="112"/>
        <v>45234</v>
      </c>
      <c r="M253" s="183"/>
      <c r="N253" s="177"/>
      <c r="O253" s="183"/>
      <c r="P253" s="177"/>
      <c r="Q253" s="183"/>
      <c r="R253" s="41" t="s">
        <v>176</v>
      </c>
      <c r="S253" s="13" t="s">
        <v>5</v>
      </c>
      <c r="T253" s="43" t="s">
        <v>951</v>
      </c>
      <c r="U253" s="5" t="s">
        <v>8</v>
      </c>
      <c r="V253" s="268">
        <v>4771098</v>
      </c>
      <c r="W253" s="5" t="s">
        <v>614</v>
      </c>
      <c r="X253" s="5" t="s">
        <v>478</v>
      </c>
      <c r="Y253" s="5" t="s">
        <v>1163</v>
      </c>
      <c r="Z253" s="3" t="s">
        <v>181</v>
      </c>
      <c r="AA253" s="45" t="s">
        <v>463</v>
      </c>
      <c r="AB253" s="152" t="s">
        <v>1344</v>
      </c>
      <c r="AC253" s="177">
        <v>45051</v>
      </c>
      <c r="AD253" s="177">
        <v>45199</v>
      </c>
      <c r="AE253" s="177">
        <f t="shared" ref="AE253:AE258" si="121">IFERROR(EOMONTH(L253,-2),"")</f>
        <v>45199</v>
      </c>
      <c r="AF253" s="5"/>
      <c r="AG253" s="43"/>
      <c r="AH253" s="228"/>
      <c r="AI253" s="125"/>
      <c r="AJ253" s="125"/>
      <c r="AK253" s="237" t="e">
        <f>SUM(#REF!,BT253,BV253)</f>
        <v>#REF!</v>
      </c>
      <c r="AL253" s="165"/>
      <c r="AM253" s="165"/>
      <c r="AN253" s="165"/>
      <c r="AO253" s="165"/>
      <c r="AP253" s="165"/>
      <c r="AQ253" s="165"/>
      <c r="AR253" s="57"/>
      <c r="AS253" s="56"/>
      <c r="AT253" s="56"/>
      <c r="AU253" s="56"/>
      <c r="AV253" s="47">
        <v>1662.6695199999999</v>
      </c>
      <c r="AW253" s="47">
        <v>46</v>
      </c>
      <c r="AX253" s="97">
        <f t="shared" si="115"/>
        <v>1708.6695199999999</v>
      </c>
      <c r="AY253" s="169">
        <f t="shared" si="98"/>
        <v>0</v>
      </c>
      <c r="AZ253" s="196"/>
      <c r="BA253" s="170"/>
      <c r="BB253" s="196"/>
      <c r="BC253" s="171"/>
      <c r="BD253" s="196"/>
      <c r="BE253" s="170"/>
      <c r="BF253" s="196"/>
      <c r="BG253" s="170"/>
      <c r="BH253" s="196"/>
      <c r="BI253" s="170"/>
      <c r="BJ253" s="196"/>
      <c r="BK253" s="170"/>
      <c r="BL253" s="197"/>
      <c r="BM253" s="170"/>
      <c r="BN253" s="197"/>
      <c r="BO253" s="170"/>
      <c r="BP253" s="196"/>
      <c r="BQ253" s="170"/>
      <c r="BR253" s="196"/>
      <c r="BS253" s="170"/>
      <c r="BT253" s="196"/>
      <c r="BU253" s="170"/>
      <c r="BV253" s="196"/>
      <c r="BW253" s="251"/>
      <c r="BX253" s="254"/>
      <c r="BY253" s="88">
        <f t="shared" si="99"/>
        <v>1630</v>
      </c>
      <c r="BZ253" s="259"/>
      <c r="CA253" s="259"/>
      <c r="CB253" s="259"/>
      <c r="CC253" s="259"/>
      <c r="CD253" s="259"/>
      <c r="CE253" s="259"/>
      <c r="CF253" s="259"/>
      <c r="CG253" s="259"/>
      <c r="CH253" s="259">
        <v>280</v>
      </c>
      <c r="CI253" s="259">
        <v>950</v>
      </c>
      <c r="CJ253" s="259">
        <v>200</v>
      </c>
      <c r="CK253" s="259">
        <v>200</v>
      </c>
      <c r="CL253" s="211">
        <f>SUM(CM253:CX253)</f>
        <v>362</v>
      </c>
      <c r="CM253" s="213">
        <f>362/3</f>
        <v>120.66666666666667</v>
      </c>
      <c r="CN253" s="213">
        <f>362/3</f>
        <v>120.66666666666667</v>
      </c>
      <c r="CO253" s="213">
        <f>362/3</f>
        <v>120.66666666666667</v>
      </c>
      <c r="CP253" s="213"/>
      <c r="CQ253" s="213"/>
      <c r="CR253" s="213"/>
      <c r="CS253" s="213"/>
      <c r="CT253" s="213"/>
      <c r="CU253" s="213"/>
      <c r="CV253" s="213"/>
      <c r="CW253" s="213"/>
      <c r="CX253" s="213"/>
      <c r="CY253" s="216">
        <f t="shared" si="116"/>
        <v>0</v>
      </c>
      <c r="CZ253" s="185">
        <f t="shared" si="100"/>
        <v>0</v>
      </c>
      <c r="DA253" s="217">
        <f t="shared" si="117"/>
        <v>0</v>
      </c>
      <c r="DB253" s="217">
        <f t="shared" si="118"/>
        <v>0</v>
      </c>
      <c r="DC253" s="217">
        <f t="shared" si="103"/>
        <v>1630</v>
      </c>
      <c r="DD253" s="256">
        <v>1662.6695200000001</v>
      </c>
      <c r="DE253" s="217">
        <f>DC253-DD253</f>
        <v>-32.669520000000148</v>
      </c>
      <c r="DF253" s="185" t="e">
        <f>SUM(DN253:DO253)-SUM(#REF!,BV253)+BU253</f>
        <v>#REF!</v>
      </c>
      <c r="DG253" s="223"/>
      <c r="DH253" s="241">
        <f t="shared" si="105"/>
        <v>0</v>
      </c>
      <c r="DI253" s="241">
        <f t="shared" si="106"/>
        <v>0</v>
      </c>
      <c r="DJ253" s="241">
        <f t="shared" si="107"/>
        <v>0</v>
      </c>
      <c r="DK253" s="241" t="e">
        <f>SUM(BS253,#REF!,BV253)</f>
        <v>#REF!</v>
      </c>
      <c r="DL253" s="155">
        <v>1662.67</v>
      </c>
      <c r="DM253" s="155">
        <v>0</v>
      </c>
      <c r="DN253" s="155">
        <v>0.25818999999999998</v>
      </c>
      <c r="DO253" s="155">
        <v>0</v>
      </c>
      <c r="DP253" s="155">
        <v>0.25818999999999998</v>
      </c>
      <c r="DQ253" s="155">
        <v>1662.4118100000001</v>
      </c>
      <c r="DR253" s="23">
        <f>VLOOKUP(C253,[6]Database!$B$143:$AD$521,29,FALSE)</f>
        <v>1300</v>
      </c>
      <c r="DS253" s="235">
        <f>BY253-DR253</f>
        <v>330</v>
      </c>
    </row>
    <row r="254" spans="1:123" s="23" customFormat="1" ht="24" customHeight="1">
      <c r="A254" s="18"/>
      <c r="B254" s="2"/>
      <c r="C254" s="86" t="s">
        <v>1351</v>
      </c>
      <c r="D254" s="86"/>
      <c r="E254" s="86"/>
      <c r="F254" s="41">
        <v>2021</v>
      </c>
      <c r="G254" s="42">
        <v>44474</v>
      </c>
      <c r="H254" s="192">
        <v>44517</v>
      </c>
      <c r="I254" s="42"/>
      <c r="J254" s="15">
        <f t="shared" ca="1" si="114"/>
        <v>-783.40661944444582</v>
      </c>
      <c r="K254" s="177">
        <f t="shared" si="111"/>
        <v>45064</v>
      </c>
      <c r="L254" s="177">
        <f t="shared" si="112"/>
        <v>45247</v>
      </c>
      <c r="M254" s="183"/>
      <c r="N254" s="183"/>
      <c r="O254" s="183"/>
      <c r="P254" s="183"/>
      <c r="Q254" s="183"/>
      <c r="R254" s="41" t="s">
        <v>176</v>
      </c>
      <c r="S254" s="13" t="s">
        <v>5</v>
      </c>
      <c r="T254" s="43" t="s">
        <v>951</v>
      </c>
      <c r="U254" s="5" t="s">
        <v>8</v>
      </c>
      <c r="V254" s="268">
        <v>4824059</v>
      </c>
      <c r="W254" s="5" t="s">
        <v>614</v>
      </c>
      <c r="X254" s="5" t="s">
        <v>478</v>
      </c>
      <c r="Y254" s="5" t="s">
        <v>1352</v>
      </c>
      <c r="Z254" s="3"/>
      <c r="AA254" s="45" t="s">
        <v>463</v>
      </c>
      <c r="AB254" s="261"/>
      <c r="AC254" s="177">
        <v>45076</v>
      </c>
      <c r="AD254" s="177">
        <v>45199</v>
      </c>
      <c r="AE254" s="177">
        <f t="shared" si="121"/>
        <v>45199</v>
      </c>
      <c r="AF254" s="5"/>
      <c r="AG254" s="43"/>
      <c r="AH254" s="228"/>
      <c r="AI254" s="125"/>
      <c r="AJ254" s="125"/>
      <c r="AK254" s="237"/>
      <c r="AL254" s="165"/>
      <c r="AM254" s="165"/>
      <c r="AN254" s="165"/>
      <c r="AO254" s="165"/>
      <c r="AP254" s="165"/>
      <c r="AQ254" s="165"/>
      <c r="AR254" s="57"/>
      <c r="AS254" s="56"/>
      <c r="AT254" s="56"/>
      <c r="AU254" s="56"/>
      <c r="AV254" s="47">
        <v>280.48</v>
      </c>
      <c r="AW254" s="47">
        <v>18</v>
      </c>
      <c r="AX254" s="97">
        <f t="shared" si="115"/>
        <v>298.48</v>
      </c>
      <c r="AY254" s="169">
        <f t="shared" si="98"/>
        <v>0</v>
      </c>
      <c r="AZ254" s="196"/>
      <c r="BA254" s="170"/>
      <c r="BB254" s="196"/>
      <c r="BC254" s="171"/>
      <c r="BD254" s="196"/>
      <c r="BE254" s="170"/>
      <c r="BF254" s="196"/>
      <c r="BG254" s="170"/>
      <c r="BH254" s="196"/>
      <c r="BI254" s="170"/>
      <c r="BJ254" s="196"/>
      <c r="BK254" s="170"/>
      <c r="BL254" s="197"/>
      <c r="BM254" s="170"/>
      <c r="BN254" s="197"/>
      <c r="BO254" s="170"/>
      <c r="BP254" s="196"/>
      <c r="BQ254" s="170"/>
      <c r="BR254" s="196"/>
      <c r="BS254" s="170"/>
      <c r="BT254" s="196"/>
      <c r="BU254" s="170"/>
      <c r="BV254" s="196"/>
      <c r="BW254" s="251"/>
      <c r="BX254" s="254"/>
      <c r="BY254" s="88">
        <f t="shared" si="99"/>
        <v>280</v>
      </c>
      <c r="BZ254" s="259"/>
      <c r="CA254" s="259">
        <v>40</v>
      </c>
      <c r="CB254" s="259"/>
      <c r="CC254" s="259"/>
      <c r="CD254" s="259"/>
      <c r="CE254" s="259"/>
      <c r="CF254" s="259"/>
      <c r="CG254" s="259"/>
      <c r="CH254" s="259"/>
      <c r="CI254" s="259"/>
      <c r="CJ254" s="259">
        <v>240</v>
      </c>
      <c r="CK254" s="259"/>
      <c r="CL254" s="211"/>
      <c r="CM254" s="213"/>
      <c r="CN254" s="213"/>
      <c r="CO254" s="213"/>
      <c r="CP254" s="213"/>
      <c r="CQ254" s="213"/>
      <c r="CR254" s="213"/>
      <c r="CS254" s="213"/>
      <c r="CT254" s="213"/>
      <c r="CU254" s="213"/>
      <c r="CV254" s="213"/>
      <c r="CW254" s="213"/>
      <c r="CX254" s="213"/>
      <c r="CY254" s="216">
        <f t="shared" si="116"/>
        <v>0</v>
      </c>
      <c r="CZ254" s="185">
        <f t="shared" si="100"/>
        <v>0</v>
      </c>
      <c r="DA254" s="217">
        <f t="shared" si="117"/>
        <v>0</v>
      </c>
      <c r="DB254" s="217">
        <f t="shared" si="118"/>
        <v>0</v>
      </c>
      <c r="DC254" s="217"/>
      <c r="DD254" s="256"/>
      <c r="DE254" s="217"/>
      <c r="DF254" s="185"/>
      <c r="DG254" s="223"/>
      <c r="DH254" s="241"/>
      <c r="DI254" s="241"/>
      <c r="DJ254" s="241"/>
      <c r="DK254" s="241"/>
      <c r="DL254" s="155">
        <v>280.48</v>
      </c>
      <c r="DM254" s="155">
        <v>0</v>
      </c>
      <c r="DN254" s="155">
        <v>0</v>
      </c>
      <c r="DO254" s="155">
        <v>0</v>
      </c>
      <c r="DP254" s="155">
        <v>0</v>
      </c>
      <c r="DQ254" s="155">
        <v>280.48</v>
      </c>
      <c r="DS254" s="235"/>
    </row>
    <row r="255" spans="1:123" s="23" customFormat="1" ht="24" customHeight="1">
      <c r="A255" s="18"/>
      <c r="B255" s="2"/>
      <c r="C255" s="86" t="s">
        <v>1282</v>
      </c>
      <c r="D255" s="154" t="s">
        <v>1264</v>
      </c>
      <c r="E255" s="86"/>
      <c r="F255" s="41">
        <v>2021</v>
      </c>
      <c r="G255" s="42">
        <v>44474</v>
      </c>
      <c r="H255" s="192">
        <v>44483</v>
      </c>
      <c r="I255" s="42">
        <v>44558</v>
      </c>
      <c r="J255" s="15">
        <f t="shared" ca="1" si="114"/>
        <v>75</v>
      </c>
      <c r="K255" s="177">
        <f t="shared" si="111"/>
        <v>45030</v>
      </c>
      <c r="L255" s="177">
        <f t="shared" si="112"/>
        <v>45213</v>
      </c>
      <c r="M255" s="183"/>
      <c r="N255" s="183"/>
      <c r="O255" s="183"/>
      <c r="P255" s="183"/>
      <c r="Q255" s="183"/>
      <c r="R255" s="41" t="s">
        <v>176</v>
      </c>
      <c r="S255" s="13" t="s">
        <v>5</v>
      </c>
      <c r="T255" s="43" t="s">
        <v>951</v>
      </c>
      <c r="U255" s="5" t="s">
        <v>8</v>
      </c>
      <c r="V255" s="268">
        <v>4829079</v>
      </c>
      <c r="W255" s="5" t="s">
        <v>614</v>
      </c>
      <c r="X255" s="5" t="s">
        <v>478</v>
      </c>
      <c r="Y255" s="5" t="s">
        <v>1283</v>
      </c>
      <c r="Z255" s="3" t="s">
        <v>181</v>
      </c>
      <c r="AA255" s="45" t="s">
        <v>195</v>
      </c>
      <c r="AB255" s="152" t="s">
        <v>1513</v>
      </c>
      <c r="AC255" s="177" t="s">
        <v>6</v>
      </c>
      <c r="AD255" s="177">
        <v>44530</v>
      </c>
      <c r="AE255" s="177">
        <f t="shared" si="121"/>
        <v>45169</v>
      </c>
      <c r="AF255" s="5" t="s">
        <v>1133</v>
      </c>
      <c r="AG255" s="43" t="s">
        <v>1312</v>
      </c>
      <c r="AH255" s="228">
        <v>0.09</v>
      </c>
      <c r="AI255" s="125"/>
      <c r="AJ255" s="125"/>
      <c r="AK255" s="237" t="e">
        <f>SUM(#REF!,BT255,BV255)</f>
        <v>#REF!</v>
      </c>
      <c r="AL255" s="165"/>
      <c r="AM255" s="165"/>
      <c r="AN255" s="165"/>
      <c r="AO255" s="165"/>
      <c r="AP255" s="165"/>
      <c r="AQ255" s="165"/>
      <c r="AR255" s="57"/>
      <c r="AS255" s="56"/>
      <c r="AT255" s="56"/>
      <c r="AU255" s="56"/>
      <c r="AV255" s="47">
        <f>116.449+10.48</f>
        <v>126.929</v>
      </c>
      <c r="AW255" s="47">
        <v>10.942</v>
      </c>
      <c r="AX255" s="97">
        <f t="shared" si="115"/>
        <v>137.87100000000001</v>
      </c>
      <c r="AY255" s="169">
        <f t="shared" si="98"/>
        <v>117.49017000000001</v>
      </c>
      <c r="AZ255" s="196"/>
      <c r="BA255" s="170"/>
      <c r="BB255" s="196"/>
      <c r="BC255" s="171"/>
      <c r="BD255" s="196"/>
      <c r="BE255" s="170"/>
      <c r="BF255" s="196"/>
      <c r="BG255" s="170"/>
      <c r="BH255" s="196"/>
      <c r="BI255" s="170"/>
      <c r="BJ255" s="196"/>
      <c r="BK255" s="170"/>
      <c r="BL255" s="197"/>
      <c r="BM255" s="170"/>
      <c r="BN255" s="197"/>
      <c r="BO255" s="170"/>
      <c r="BP255" s="196"/>
      <c r="BQ255" s="170"/>
      <c r="BR255" s="196"/>
      <c r="BS255" s="170">
        <v>105.36749</v>
      </c>
      <c r="BT255" s="196">
        <f>31-20.1</f>
        <v>10.899999999999999</v>
      </c>
      <c r="BU255" s="170">
        <v>12.122680000000003</v>
      </c>
      <c r="BV255" s="196"/>
      <c r="BW255" s="251"/>
      <c r="BX255" s="254"/>
      <c r="BY255" s="88">
        <f t="shared" si="99"/>
        <v>0</v>
      </c>
      <c r="BZ255" s="259"/>
      <c r="CA255" s="259"/>
      <c r="CB255" s="259"/>
      <c r="CC255" s="259"/>
      <c r="CD255" s="259"/>
      <c r="CE255" s="259"/>
      <c r="CF255" s="259"/>
      <c r="CG255" s="259"/>
      <c r="CH255" s="259"/>
      <c r="CI255" s="259"/>
      <c r="CJ255" s="259"/>
      <c r="CK255" s="259"/>
      <c r="CL255" s="211"/>
      <c r="CM255" s="213"/>
      <c r="CN255" s="213"/>
      <c r="CO255" s="213"/>
      <c r="CP255" s="213"/>
      <c r="CQ255" s="213"/>
      <c r="CR255" s="213"/>
      <c r="CS255" s="213"/>
      <c r="CT255" s="213"/>
      <c r="CU255" s="213"/>
      <c r="CV255" s="213"/>
      <c r="CW255" s="213"/>
      <c r="CX255" s="213"/>
      <c r="CY255" s="216">
        <f t="shared" si="116"/>
        <v>0</v>
      </c>
      <c r="CZ255" s="185">
        <f t="shared" si="100"/>
        <v>0</v>
      </c>
      <c r="DA255" s="217">
        <f t="shared" si="117"/>
        <v>117.49017000000001</v>
      </c>
      <c r="DB255" s="217">
        <f t="shared" si="118"/>
        <v>0</v>
      </c>
      <c r="DC255" s="217">
        <f>SUM(AY255,BY255)</f>
        <v>117.49017000000001</v>
      </c>
      <c r="DD255" s="256">
        <v>116.26749000000001</v>
      </c>
      <c r="DE255" s="217">
        <f>DC255-DD255</f>
        <v>1.2226799999999969</v>
      </c>
      <c r="DF255" s="185" t="e">
        <f>SUM(DN255:DO255)-SUM(#REF!,BV255)+BU255</f>
        <v>#REF!</v>
      </c>
      <c r="DG255" s="244"/>
      <c r="DH255" s="241"/>
      <c r="DI255" s="241"/>
      <c r="DJ255" s="241"/>
      <c r="DK255" s="241" t="e">
        <f>SUM(BS255,#REF!,BV255)</f>
        <v>#REF!</v>
      </c>
      <c r="DL255" s="155">
        <v>126.929</v>
      </c>
      <c r="DM255" s="155">
        <v>117.49016999999999</v>
      </c>
      <c r="DN255" s="155">
        <v>0.30262</v>
      </c>
      <c r="DO255" s="155">
        <v>1.7999999999999998E-4</v>
      </c>
      <c r="DP255" s="155">
        <v>117.79297</v>
      </c>
      <c r="DQ255" s="155">
        <v>9.1360299999999999</v>
      </c>
      <c r="DS255" s="235"/>
    </row>
    <row r="256" spans="1:123" s="23" customFormat="1" ht="24" customHeight="1">
      <c r="A256" s="18"/>
      <c r="B256" s="2"/>
      <c r="C256" s="86" t="s">
        <v>1337</v>
      </c>
      <c r="D256" s="86">
        <v>17039</v>
      </c>
      <c r="E256" s="86"/>
      <c r="F256" s="41">
        <v>2022</v>
      </c>
      <c r="G256" s="42">
        <v>44476</v>
      </c>
      <c r="H256" s="192">
        <v>44523</v>
      </c>
      <c r="I256" s="42"/>
      <c r="J256" s="15">
        <f t="shared" ca="1" si="114"/>
        <v>-777.40661944444582</v>
      </c>
      <c r="K256" s="177">
        <f t="shared" si="111"/>
        <v>45070</v>
      </c>
      <c r="L256" s="177">
        <f t="shared" si="112"/>
        <v>45253</v>
      </c>
      <c r="M256" s="183"/>
      <c r="N256" s="183"/>
      <c r="O256" s="183"/>
      <c r="P256" s="183"/>
      <c r="Q256" s="183"/>
      <c r="R256" s="41" t="s">
        <v>176</v>
      </c>
      <c r="S256" s="13" t="s">
        <v>224</v>
      </c>
      <c r="T256" s="41" t="s">
        <v>965</v>
      </c>
      <c r="U256" s="5" t="s">
        <v>8</v>
      </c>
      <c r="V256" s="268">
        <v>4828989</v>
      </c>
      <c r="W256" s="5" t="s">
        <v>614</v>
      </c>
      <c r="X256" s="5" t="s">
        <v>946</v>
      </c>
      <c r="Y256" s="5" t="s">
        <v>1447</v>
      </c>
      <c r="Z256" s="3" t="s">
        <v>181</v>
      </c>
      <c r="AA256" s="45" t="s">
        <v>463</v>
      </c>
      <c r="AB256" s="152" t="s">
        <v>1338</v>
      </c>
      <c r="AC256" s="177">
        <v>45070</v>
      </c>
      <c r="AD256" s="177">
        <v>45070</v>
      </c>
      <c r="AE256" s="177">
        <f t="shared" si="121"/>
        <v>45199</v>
      </c>
      <c r="AF256" s="5"/>
      <c r="AG256" s="43"/>
      <c r="AH256" s="227"/>
      <c r="AI256" s="125" t="s">
        <v>1506</v>
      </c>
      <c r="AJ256" s="125"/>
      <c r="AK256" s="237" t="e">
        <f>SUM(#REF!,BT256,BV256)</f>
        <v>#REF!</v>
      </c>
      <c r="AL256" s="165"/>
      <c r="AM256" s="165"/>
      <c r="AN256" s="165"/>
      <c r="AO256" s="165"/>
      <c r="AP256" s="165"/>
      <c r="AQ256" s="165"/>
      <c r="AR256" s="57"/>
      <c r="AS256" s="56"/>
      <c r="AT256" s="56"/>
      <c r="AU256" s="56"/>
      <c r="AV256" s="47">
        <v>600</v>
      </c>
      <c r="AW256" s="47">
        <v>0</v>
      </c>
      <c r="AX256" s="97">
        <f t="shared" si="115"/>
        <v>600</v>
      </c>
      <c r="AY256" s="169">
        <f t="shared" si="98"/>
        <v>0</v>
      </c>
      <c r="AZ256" s="196"/>
      <c r="BA256" s="170"/>
      <c r="BB256" s="196"/>
      <c r="BC256" s="171"/>
      <c r="BD256" s="196"/>
      <c r="BE256" s="170"/>
      <c r="BF256" s="196"/>
      <c r="BG256" s="170"/>
      <c r="BH256" s="196"/>
      <c r="BI256" s="170"/>
      <c r="BJ256" s="196"/>
      <c r="BK256" s="170"/>
      <c r="BL256" s="197"/>
      <c r="BM256" s="170"/>
      <c r="BN256" s="197"/>
      <c r="BO256" s="170"/>
      <c r="BP256" s="196"/>
      <c r="BQ256" s="170"/>
      <c r="BR256" s="196"/>
      <c r="BS256" s="170"/>
      <c r="BT256" s="196"/>
      <c r="BU256" s="170"/>
      <c r="BV256" s="196"/>
      <c r="BW256" s="251"/>
      <c r="BX256" s="254"/>
      <c r="BY256" s="88">
        <f t="shared" si="99"/>
        <v>600</v>
      </c>
      <c r="BZ256" s="259"/>
      <c r="CA256" s="259"/>
      <c r="CB256" s="259"/>
      <c r="CC256" s="259">
        <v>330</v>
      </c>
      <c r="CD256" s="259">
        <v>30</v>
      </c>
      <c r="CE256" s="259">
        <v>30</v>
      </c>
      <c r="CF256" s="259">
        <v>30</v>
      </c>
      <c r="CG256" s="259">
        <v>30</v>
      </c>
      <c r="CH256" s="259">
        <v>30</v>
      </c>
      <c r="CI256" s="259">
        <v>30</v>
      </c>
      <c r="CJ256" s="259">
        <v>30</v>
      </c>
      <c r="CK256" s="259">
        <v>60</v>
      </c>
      <c r="CL256" s="211">
        <f>SUM(CM256:CX256)</f>
        <v>0</v>
      </c>
      <c r="CM256" s="213"/>
      <c r="CN256" s="213"/>
      <c r="CO256" s="213"/>
      <c r="CP256" s="213"/>
      <c r="CQ256" s="213"/>
      <c r="CR256" s="213"/>
      <c r="CS256" s="213"/>
      <c r="CT256" s="213"/>
      <c r="CU256" s="213"/>
      <c r="CV256" s="213"/>
      <c r="CW256" s="213"/>
      <c r="CX256" s="213"/>
      <c r="CY256" s="216">
        <f t="shared" si="116"/>
        <v>0</v>
      </c>
      <c r="CZ256" s="185">
        <f t="shared" si="100"/>
        <v>0</v>
      </c>
      <c r="DA256" s="217">
        <f t="shared" si="117"/>
        <v>0</v>
      </c>
      <c r="DB256" s="217">
        <f t="shared" si="118"/>
        <v>0</v>
      </c>
      <c r="DC256" s="217">
        <f>SUM(AY256,BY256)</f>
        <v>600</v>
      </c>
      <c r="DD256" s="256">
        <v>600</v>
      </c>
      <c r="DE256" s="217">
        <f>DC256-DD256</f>
        <v>0</v>
      </c>
      <c r="DF256" s="185" t="e">
        <f>SUM(DN256:DO256)-SUM(#REF!,BV256)+BU256</f>
        <v>#REF!</v>
      </c>
      <c r="DG256" s="223"/>
      <c r="DH256" s="241">
        <f>SUM(BA256,BC256,BE256)</f>
        <v>0</v>
      </c>
      <c r="DI256" s="241">
        <f>SUM(BG256,BI256,BK256)</f>
        <v>0</v>
      </c>
      <c r="DJ256" s="241">
        <f>SUM(BM256,BO256,BQ256)</f>
        <v>0</v>
      </c>
      <c r="DK256" s="241" t="e">
        <f>SUM(BS256,#REF!,BV256)</f>
        <v>#REF!</v>
      </c>
      <c r="DL256" s="155">
        <v>600</v>
      </c>
      <c r="DM256" s="155">
        <v>0</v>
      </c>
      <c r="DN256" s="155">
        <v>0</v>
      </c>
      <c r="DO256" s="155">
        <v>0</v>
      </c>
      <c r="DP256" s="155">
        <v>0</v>
      </c>
      <c r="DQ256" s="155">
        <v>600</v>
      </c>
      <c r="DS256" s="235">
        <f>BY256-DR256</f>
        <v>600</v>
      </c>
    </row>
    <row r="257" spans="1:123" s="23" customFormat="1" ht="24" customHeight="1">
      <c r="A257" s="18"/>
      <c r="B257" s="2"/>
      <c r="C257" s="86" t="s">
        <v>1315</v>
      </c>
      <c r="D257" s="242" t="s">
        <v>602</v>
      </c>
      <c r="E257" s="86" t="s">
        <v>1316</v>
      </c>
      <c r="F257" s="41">
        <v>2021</v>
      </c>
      <c r="G257" s="42">
        <v>44476</v>
      </c>
      <c r="H257" s="42">
        <v>44510</v>
      </c>
      <c r="I257" s="42"/>
      <c r="J257" s="15">
        <f t="shared" ca="1" si="114"/>
        <v>-790.40661944444582</v>
      </c>
      <c r="K257" s="177">
        <f t="shared" si="111"/>
        <v>45057</v>
      </c>
      <c r="L257" s="177">
        <f t="shared" si="112"/>
        <v>45240</v>
      </c>
      <c r="M257" s="183"/>
      <c r="N257" s="183"/>
      <c r="O257" s="183"/>
      <c r="P257" s="183"/>
      <c r="Q257" s="183"/>
      <c r="R257" s="41" t="s">
        <v>178</v>
      </c>
      <c r="S257" s="13"/>
      <c r="T257" s="43"/>
      <c r="U257" s="5" t="s">
        <v>8</v>
      </c>
      <c r="V257" s="268">
        <v>4829206</v>
      </c>
      <c r="W257" s="5" t="s">
        <v>614</v>
      </c>
      <c r="X257" s="5" t="s">
        <v>1125</v>
      </c>
      <c r="Y257" s="5" t="s">
        <v>1263</v>
      </c>
      <c r="Z257" s="3" t="s">
        <v>1357</v>
      </c>
      <c r="AA257" s="45" t="s">
        <v>463</v>
      </c>
      <c r="AB257" s="152" t="s">
        <v>1472</v>
      </c>
      <c r="AC257" s="177">
        <v>45076</v>
      </c>
      <c r="AD257" s="177">
        <v>45199</v>
      </c>
      <c r="AE257" s="177">
        <f t="shared" si="121"/>
        <v>45199</v>
      </c>
      <c r="AF257" s="5"/>
      <c r="AG257" s="43"/>
      <c r="AH257" s="227"/>
      <c r="AI257" s="125"/>
      <c r="AJ257" s="125"/>
      <c r="AK257" s="237" t="e">
        <f>SUM(#REF!,BT257,BV257)</f>
        <v>#REF!</v>
      </c>
      <c r="AL257" s="165"/>
      <c r="AM257" s="165"/>
      <c r="AN257" s="165"/>
      <c r="AO257" s="165"/>
      <c r="AP257" s="165"/>
      <c r="AQ257" s="165"/>
      <c r="AR257" s="57"/>
      <c r="AS257" s="56"/>
      <c r="AT257" s="56"/>
      <c r="AU257" s="56"/>
      <c r="AV257" s="47">
        <v>244.75377</v>
      </c>
      <c r="AW257" s="47">
        <v>10.257199999999999</v>
      </c>
      <c r="AX257" s="97">
        <f t="shared" si="115"/>
        <v>255.01097000000001</v>
      </c>
      <c r="AY257" s="169">
        <f t="shared" si="98"/>
        <v>8.2791900000000016</v>
      </c>
      <c r="AZ257" s="196"/>
      <c r="BA257" s="170"/>
      <c r="BB257" s="196"/>
      <c r="BC257" s="171"/>
      <c r="BD257" s="196"/>
      <c r="BE257" s="170"/>
      <c r="BF257" s="196"/>
      <c r="BG257" s="170"/>
      <c r="BH257" s="196"/>
      <c r="BI257" s="170"/>
      <c r="BJ257" s="196"/>
      <c r="BK257" s="170"/>
      <c r="BL257" s="197"/>
      <c r="BM257" s="170"/>
      <c r="BN257" s="197"/>
      <c r="BO257" s="170"/>
      <c r="BP257" s="196"/>
      <c r="BQ257" s="170"/>
      <c r="BR257" s="196"/>
      <c r="BS257" s="170"/>
      <c r="BT257" s="196"/>
      <c r="BU257" s="170"/>
      <c r="BV257" s="196">
        <v>9</v>
      </c>
      <c r="BW257" s="251">
        <v>8.2791900000000016</v>
      </c>
      <c r="BX257" s="254">
        <v>8.2791900000000016</v>
      </c>
      <c r="BY257" s="88">
        <f t="shared" si="99"/>
        <v>215.45</v>
      </c>
      <c r="BZ257" s="259"/>
      <c r="CA257" s="259">
        <f>21+0.7</f>
        <v>21.7</v>
      </c>
      <c r="CB257" s="259">
        <v>30</v>
      </c>
      <c r="CC257" s="259">
        <v>50</v>
      </c>
      <c r="CD257" s="259">
        <v>80</v>
      </c>
      <c r="CE257" s="259">
        <v>33.75</v>
      </c>
      <c r="CF257" s="259"/>
      <c r="CG257" s="259"/>
      <c r="CH257" s="259"/>
      <c r="CI257" s="259"/>
      <c r="CJ257" s="259"/>
      <c r="CK257" s="259"/>
      <c r="CL257" s="211">
        <f>SUM(CM257:CX257)</f>
        <v>0</v>
      </c>
      <c r="CM257" s="213"/>
      <c r="CN257" s="213"/>
      <c r="CO257" s="213"/>
      <c r="CP257" s="213"/>
      <c r="CQ257" s="213"/>
      <c r="CR257" s="213"/>
      <c r="CS257" s="213"/>
      <c r="CT257" s="213"/>
      <c r="CU257" s="213"/>
      <c r="CV257" s="213"/>
      <c r="CW257" s="213"/>
      <c r="CX257" s="213"/>
      <c r="CY257" s="216">
        <f t="shared" si="116"/>
        <v>0.7208099999999984</v>
      </c>
      <c r="CZ257" s="185">
        <f t="shared" si="100"/>
        <v>0</v>
      </c>
      <c r="DA257" s="217">
        <f t="shared" si="117"/>
        <v>0</v>
      </c>
      <c r="DB257" s="217">
        <f t="shared" si="118"/>
        <v>8.2791900000000016</v>
      </c>
      <c r="DC257" s="217">
        <f>SUM(AY257,BY257)</f>
        <v>223.72918999999999</v>
      </c>
      <c r="DD257" s="256">
        <v>195</v>
      </c>
      <c r="DE257" s="217">
        <f>DC257-DD257</f>
        <v>28.729189999999988</v>
      </c>
      <c r="DF257" s="185" t="e">
        <f>SUM(DN257:DO257)-SUM(#REF!,BV257)+BU257</f>
        <v>#REF!</v>
      </c>
      <c r="DG257" s="223"/>
      <c r="DH257" s="241">
        <f>SUM(BA257,BC257,BE257)</f>
        <v>0</v>
      </c>
      <c r="DI257" s="241">
        <f>SUM(BG257,BI257,BK257)</f>
        <v>0</v>
      </c>
      <c r="DJ257" s="241">
        <f>SUM(BM257,BO257,BQ257)</f>
        <v>0</v>
      </c>
      <c r="DK257" s="241" t="e">
        <f>SUM(BS257,#REF!,BV257)</f>
        <v>#REF!</v>
      </c>
      <c r="DL257" s="155">
        <v>244.75377</v>
      </c>
      <c r="DM257" s="155">
        <v>8.2791899999999998</v>
      </c>
      <c r="DN257" s="155">
        <v>7.5472900000000003</v>
      </c>
      <c r="DO257" s="155">
        <v>15.02947</v>
      </c>
      <c r="DP257" s="155">
        <v>30.85595</v>
      </c>
      <c r="DQ257" s="155">
        <v>213.89782</v>
      </c>
      <c r="DS257" s="235">
        <f>BY257-DR257</f>
        <v>215.45</v>
      </c>
    </row>
    <row r="258" spans="1:123" s="23" customFormat="1" ht="24" customHeight="1">
      <c r="A258" s="18"/>
      <c r="B258" s="2">
        <v>156</v>
      </c>
      <c r="C258" s="86" t="s">
        <v>1361</v>
      </c>
      <c r="D258" s="86"/>
      <c r="E258" s="86"/>
      <c r="F258" s="41">
        <v>2021</v>
      </c>
      <c r="G258" s="42">
        <v>44476</v>
      </c>
      <c r="H258" s="192">
        <v>44519</v>
      </c>
      <c r="I258" s="42"/>
      <c r="J258" s="15">
        <f t="shared" ca="1" si="114"/>
        <v>-781.40661944444582</v>
      </c>
      <c r="K258" s="177">
        <f t="shared" si="111"/>
        <v>45066</v>
      </c>
      <c r="L258" s="177">
        <f t="shared" si="112"/>
        <v>45249</v>
      </c>
      <c r="M258" s="183"/>
      <c r="N258" s="183"/>
      <c r="O258" s="183"/>
      <c r="P258" s="183"/>
      <c r="Q258" s="183"/>
      <c r="R258" s="41" t="s">
        <v>176</v>
      </c>
      <c r="S258" s="13" t="s">
        <v>985</v>
      </c>
      <c r="T258" s="43" t="s">
        <v>963</v>
      </c>
      <c r="U258" s="5" t="s">
        <v>8</v>
      </c>
      <c r="V258" s="268">
        <v>4878328</v>
      </c>
      <c r="W258" s="5" t="s">
        <v>614</v>
      </c>
      <c r="X258" s="5" t="s">
        <v>946</v>
      </c>
      <c r="Y258" s="5" t="s">
        <v>1448</v>
      </c>
      <c r="Z258" s="3" t="s">
        <v>186</v>
      </c>
      <c r="AA258" s="45" t="s">
        <v>463</v>
      </c>
      <c r="AB258" s="163"/>
      <c r="AC258" s="177">
        <v>45066</v>
      </c>
      <c r="AD258" s="177">
        <v>45066</v>
      </c>
      <c r="AE258" s="177">
        <f t="shared" si="121"/>
        <v>45199</v>
      </c>
      <c r="AF258" s="5"/>
      <c r="AG258" s="43"/>
      <c r="AH258" s="228"/>
      <c r="AI258" s="125"/>
      <c r="AJ258" s="125"/>
      <c r="AK258" s="237" t="e">
        <f>SUM(#REF!,BT258,BV258)</f>
        <v>#REF!</v>
      </c>
      <c r="AL258" s="179"/>
      <c r="AM258" s="179"/>
      <c r="AN258" s="179"/>
      <c r="AO258" s="179"/>
      <c r="AP258" s="179"/>
      <c r="AQ258" s="179"/>
      <c r="AR258" s="57"/>
      <c r="AS258" s="56"/>
      <c r="AT258" s="56"/>
      <c r="AU258" s="56"/>
      <c r="AV258" s="47">
        <v>239</v>
      </c>
      <c r="AW258" s="47">
        <v>0</v>
      </c>
      <c r="AX258" s="97">
        <f t="shared" si="115"/>
        <v>239</v>
      </c>
      <c r="AY258" s="169">
        <f t="shared" si="98"/>
        <v>0</v>
      </c>
      <c r="AZ258" s="196"/>
      <c r="BA258" s="170"/>
      <c r="BB258" s="196"/>
      <c r="BC258" s="171"/>
      <c r="BD258" s="196"/>
      <c r="BE258" s="170"/>
      <c r="BF258" s="196"/>
      <c r="BG258" s="170"/>
      <c r="BH258" s="196"/>
      <c r="BI258" s="170"/>
      <c r="BJ258" s="196"/>
      <c r="BK258" s="170"/>
      <c r="BL258" s="197"/>
      <c r="BM258" s="170"/>
      <c r="BN258" s="197"/>
      <c r="BO258" s="170"/>
      <c r="BP258" s="196"/>
      <c r="BQ258" s="170"/>
      <c r="BR258" s="196"/>
      <c r="BS258" s="170"/>
      <c r="BT258" s="196"/>
      <c r="BU258" s="170"/>
      <c r="BV258" s="196"/>
      <c r="BW258" s="251"/>
      <c r="BX258" s="254"/>
      <c r="BY258" s="88">
        <f t="shared" si="99"/>
        <v>239</v>
      </c>
      <c r="BZ258" s="259"/>
      <c r="CA258" s="259"/>
      <c r="CB258" s="259">
        <v>40</v>
      </c>
      <c r="CC258" s="259">
        <v>40</v>
      </c>
      <c r="CD258" s="259">
        <v>40</v>
      </c>
      <c r="CE258" s="259">
        <v>40</v>
      </c>
      <c r="CF258" s="259">
        <v>40</v>
      </c>
      <c r="CG258" s="259">
        <v>39</v>
      </c>
      <c r="CH258" s="259"/>
      <c r="CI258" s="259"/>
      <c r="CJ258" s="259"/>
      <c r="CK258" s="259"/>
      <c r="CL258" s="211"/>
      <c r="CM258" s="213"/>
      <c r="CN258" s="213"/>
      <c r="CO258" s="213"/>
      <c r="CP258" s="213"/>
      <c r="CQ258" s="213"/>
      <c r="CR258" s="213"/>
      <c r="CS258" s="213"/>
      <c r="CT258" s="213"/>
      <c r="CU258" s="213"/>
      <c r="CV258" s="213"/>
      <c r="CW258" s="213"/>
      <c r="CX258" s="213"/>
      <c r="CY258" s="216">
        <f t="shared" si="116"/>
        <v>0</v>
      </c>
      <c r="CZ258" s="185">
        <f t="shared" si="100"/>
        <v>0</v>
      </c>
      <c r="DA258" s="217">
        <f t="shared" si="117"/>
        <v>0</v>
      </c>
      <c r="DB258" s="217">
        <f t="shared" si="118"/>
        <v>0</v>
      </c>
      <c r="DC258" s="217">
        <f>SUM(AY258,BY258)</f>
        <v>239</v>
      </c>
      <c r="DD258" s="256"/>
      <c r="DE258" s="217"/>
      <c r="DF258" s="185"/>
      <c r="DG258" s="247"/>
      <c r="DH258" s="241"/>
      <c r="DI258" s="241"/>
      <c r="DJ258" s="241"/>
      <c r="DK258" s="241"/>
      <c r="DL258" s="155">
        <v>239</v>
      </c>
      <c r="DM258" s="155">
        <v>0</v>
      </c>
      <c r="DN258" s="155">
        <v>0</v>
      </c>
      <c r="DO258" s="155">
        <v>173.74420000000001</v>
      </c>
      <c r="DP258" s="155">
        <v>173.74420000000001</v>
      </c>
      <c r="DQ258" s="155">
        <v>65.255800000000008</v>
      </c>
      <c r="DS258" s="235"/>
    </row>
    <row r="259" spans="1:123" s="23" customFormat="1" ht="24" customHeight="1">
      <c r="A259" s="18"/>
      <c r="B259" s="2"/>
      <c r="C259" s="86" t="s">
        <v>1399</v>
      </c>
      <c r="D259" s="242"/>
      <c r="E259" s="86"/>
      <c r="F259" s="41">
        <v>2021</v>
      </c>
      <c r="G259" s="42">
        <v>44518</v>
      </c>
      <c r="H259" s="42">
        <v>44532</v>
      </c>
      <c r="I259" s="42"/>
      <c r="J259" s="15">
        <f t="shared" ca="1" si="114"/>
        <v>-767.40661944444582</v>
      </c>
      <c r="K259" s="177">
        <f t="shared" si="111"/>
        <v>45079</v>
      </c>
      <c r="L259" s="177">
        <f t="shared" si="112"/>
        <v>45262</v>
      </c>
      <c r="M259" s="183"/>
      <c r="N259" s="183"/>
      <c r="O259" s="183"/>
      <c r="P259" s="183"/>
      <c r="Q259" s="183"/>
      <c r="R259" s="41" t="s">
        <v>178</v>
      </c>
      <c r="S259" s="13" t="s">
        <v>223</v>
      </c>
      <c r="T259" s="43" t="s">
        <v>980</v>
      </c>
      <c r="U259" s="5" t="s">
        <v>8</v>
      </c>
      <c r="V259" s="268"/>
      <c r="W259" s="5" t="s">
        <v>614</v>
      </c>
      <c r="X259" s="5" t="s">
        <v>481</v>
      </c>
      <c r="Y259" s="5" t="s">
        <v>1406</v>
      </c>
      <c r="Z259" s="3" t="s">
        <v>181</v>
      </c>
      <c r="AA259" s="45" t="s">
        <v>463</v>
      </c>
      <c r="AB259" s="152" t="s">
        <v>1400</v>
      </c>
      <c r="AC259" s="177">
        <v>45079</v>
      </c>
      <c r="AD259" s="177">
        <v>45201</v>
      </c>
      <c r="AE259" s="177">
        <v>45201</v>
      </c>
      <c r="AF259" s="5"/>
      <c r="AG259" s="43"/>
      <c r="AH259" s="227"/>
      <c r="AI259" s="125"/>
      <c r="AJ259" s="125"/>
      <c r="AK259" s="237" t="e">
        <f>SUM(#REF!,BT259,BV259)</f>
        <v>#REF!</v>
      </c>
      <c r="AL259" s="165"/>
      <c r="AM259" s="165"/>
      <c r="AN259" s="165"/>
      <c r="AO259" s="165"/>
      <c r="AP259" s="165"/>
      <c r="AQ259" s="165"/>
      <c r="AR259" s="57"/>
      <c r="AS259" s="56"/>
      <c r="AT259" s="56"/>
      <c r="AU259" s="56"/>
      <c r="AV259" s="47">
        <v>233.4</v>
      </c>
      <c r="AW259" s="47">
        <v>19.5</v>
      </c>
      <c r="AX259" s="97">
        <f t="shared" si="115"/>
        <v>252.9</v>
      </c>
      <c r="AY259" s="169">
        <f t="shared" si="98"/>
        <v>15.53795</v>
      </c>
      <c r="AZ259" s="196"/>
      <c r="BA259" s="170"/>
      <c r="BB259" s="196"/>
      <c r="BC259" s="171"/>
      <c r="BD259" s="196"/>
      <c r="BE259" s="170"/>
      <c r="BF259" s="196"/>
      <c r="BG259" s="170"/>
      <c r="BH259" s="196"/>
      <c r="BI259" s="170"/>
      <c r="BJ259" s="196"/>
      <c r="BK259" s="170"/>
      <c r="BL259" s="197"/>
      <c r="BM259" s="170"/>
      <c r="BN259" s="197"/>
      <c r="BO259" s="170"/>
      <c r="BP259" s="196"/>
      <c r="BQ259" s="170"/>
      <c r="BR259" s="196"/>
      <c r="BS259" s="170"/>
      <c r="BT259" s="196"/>
      <c r="BU259" s="170"/>
      <c r="BV259" s="196"/>
      <c r="BW259" s="251">
        <v>15.53795</v>
      </c>
      <c r="BX259" s="254">
        <v>15.53795</v>
      </c>
      <c r="BY259" s="88">
        <f t="shared" si="99"/>
        <v>217.9</v>
      </c>
      <c r="BZ259" s="259">
        <f>35-15.5</f>
        <v>19.5</v>
      </c>
      <c r="CA259" s="259">
        <v>35</v>
      </c>
      <c r="CB259" s="259">
        <v>25</v>
      </c>
      <c r="CC259" s="259">
        <v>27</v>
      </c>
      <c r="CD259" s="259">
        <v>30</v>
      </c>
      <c r="CE259" s="259">
        <v>27.4</v>
      </c>
      <c r="CF259" s="259">
        <v>27</v>
      </c>
      <c r="CG259" s="259">
        <v>27</v>
      </c>
      <c r="CH259" s="259"/>
      <c r="CI259" s="259"/>
      <c r="CJ259" s="259"/>
      <c r="CK259" s="259"/>
      <c r="CL259" s="211"/>
      <c r="CM259" s="213"/>
      <c r="CN259" s="213"/>
      <c r="CO259" s="213"/>
      <c r="CP259" s="213"/>
      <c r="CQ259" s="213"/>
      <c r="CR259" s="213"/>
      <c r="CS259" s="213"/>
      <c r="CT259" s="213"/>
      <c r="CU259" s="213"/>
      <c r="CV259" s="213"/>
      <c r="CW259" s="213"/>
      <c r="CX259" s="213"/>
      <c r="CY259" s="216">
        <f t="shared" si="116"/>
        <v>-15.53795</v>
      </c>
      <c r="CZ259" s="185">
        <f t="shared" si="100"/>
        <v>0</v>
      </c>
      <c r="DA259" s="217">
        <f t="shared" si="117"/>
        <v>0</v>
      </c>
      <c r="DB259" s="217">
        <f t="shared" si="118"/>
        <v>15.53795</v>
      </c>
      <c r="DC259" s="217"/>
      <c r="DD259" s="256"/>
      <c r="DE259" s="217"/>
      <c r="DF259" s="185"/>
      <c r="DG259" s="223"/>
      <c r="DH259" s="241"/>
      <c r="DI259" s="241"/>
      <c r="DJ259" s="241"/>
      <c r="DK259" s="241"/>
      <c r="DL259" s="155">
        <v>233.4</v>
      </c>
      <c r="DM259" s="155">
        <v>15.53795</v>
      </c>
      <c r="DN259" s="155">
        <v>15.68718</v>
      </c>
      <c r="DO259" s="155">
        <v>0</v>
      </c>
      <c r="DP259" s="155">
        <v>31.22513</v>
      </c>
      <c r="DQ259" s="155">
        <v>202.17487</v>
      </c>
      <c r="DS259" s="235"/>
    </row>
    <row r="260" spans="1:123" s="23" customFormat="1" ht="24" customHeight="1">
      <c r="A260" s="18"/>
      <c r="B260" s="2"/>
      <c r="C260" s="86" t="s">
        <v>1355</v>
      </c>
      <c r="D260" s="242" t="s">
        <v>602</v>
      </c>
      <c r="E260" s="86"/>
      <c r="F260" s="41">
        <v>2021</v>
      </c>
      <c r="G260" s="42">
        <v>44477</v>
      </c>
      <c r="H260" s="42">
        <v>44522</v>
      </c>
      <c r="I260" s="42"/>
      <c r="J260" s="15">
        <f t="shared" ca="1" si="114"/>
        <v>-778.40661944444582</v>
      </c>
      <c r="K260" s="177">
        <f t="shared" si="111"/>
        <v>45069</v>
      </c>
      <c r="L260" s="177">
        <f t="shared" si="112"/>
        <v>45252</v>
      </c>
      <c r="M260" s="183"/>
      <c r="N260" s="177"/>
      <c r="O260" s="183"/>
      <c r="P260" s="183"/>
      <c r="Q260" s="183"/>
      <c r="R260" s="41" t="s">
        <v>178</v>
      </c>
      <c r="S260" s="13"/>
      <c r="T260" s="43"/>
      <c r="U260" s="5" t="s">
        <v>8</v>
      </c>
      <c r="V260" s="268">
        <v>4878446</v>
      </c>
      <c r="W260" s="5" t="s">
        <v>614</v>
      </c>
      <c r="X260" s="5" t="s">
        <v>481</v>
      </c>
      <c r="Y260" s="5" t="s">
        <v>1449</v>
      </c>
      <c r="Z260" s="3" t="s">
        <v>181</v>
      </c>
      <c r="AA260" s="45" t="s">
        <v>463</v>
      </c>
      <c r="AB260" s="152" t="s">
        <v>1358</v>
      </c>
      <c r="AC260" s="177">
        <v>45076</v>
      </c>
      <c r="AD260" s="177">
        <v>45199</v>
      </c>
      <c r="AE260" s="177">
        <f>IFERROR(EOMONTH(L260,-2),"")</f>
        <v>45199</v>
      </c>
      <c r="AF260" s="5"/>
      <c r="AG260" s="43"/>
      <c r="AH260" s="227"/>
      <c r="AI260" s="125"/>
      <c r="AJ260" s="125"/>
      <c r="AK260" s="237" t="e">
        <f>SUM(#REF!,BT260,BV260)</f>
        <v>#REF!</v>
      </c>
      <c r="AL260" s="165"/>
      <c r="AM260" s="165"/>
      <c r="AN260" s="165"/>
      <c r="AO260" s="165"/>
      <c r="AP260" s="165"/>
      <c r="AQ260" s="165"/>
      <c r="AR260" s="57"/>
      <c r="AS260" s="56"/>
      <c r="AT260" s="56"/>
      <c r="AU260" s="56"/>
      <c r="AV260" s="47">
        <v>74</v>
      </c>
      <c r="AW260" s="47"/>
      <c r="AX260" s="97">
        <f t="shared" si="115"/>
        <v>74</v>
      </c>
      <c r="AY260" s="169">
        <f t="shared" si="98"/>
        <v>43.119990000000001</v>
      </c>
      <c r="AZ260" s="196"/>
      <c r="BA260" s="170"/>
      <c r="BB260" s="196"/>
      <c r="BC260" s="171"/>
      <c r="BD260" s="196"/>
      <c r="BE260" s="170"/>
      <c r="BF260" s="196"/>
      <c r="BG260" s="170"/>
      <c r="BH260" s="196"/>
      <c r="BI260" s="170"/>
      <c r="BJ260" s="196"/>
      <c r="BK260" s="170"/>
      <c r="BL260" s="197"/>
      <c r="BM260" s="170"/>
      <c r="BN260" s="197"/>
      <c r="BO260" s="170"/>
      <c r="BP260" s="196"/>
      <c r="BQ260" s="170"/>
      <c r="BR260" s="196"/>
      <c r="BS260" s="170"/>
      <c r="BT260" s="196"/>
      <c r="BU260" s="170"/>
      <c r="BV260" s="196"/>
      <c r="BW260" s="251">
        <v>43.119990000000001</v>
      </c>
      <c r="BX260" s="254">
        <v>43.119990000000001</v>
      </c>
      <c r="BY260" s="88">
        <f t="shared" si="99"/>
        <v>30.9</v>
      </c>
      <c r="BZ260" s="259"/>
      <c r="CA260" s="259"/>
      <c r="CB260" s="259"/>
      <c r="CC260" s="259">
        <f>54-23.1</f>
        <v>30.9</v>
      </c>
      <c r="CD260" s="259"/>
      <c r="CE260" s="259"/>
      <c r="CF260" s="259"/>
      <c r="CG260" s="259"/>
      <c r="CH260" s="259"/>
      <c r="CI260" s="259"/>
      <c r="CJ260" s="259"/>
      <c r="CK260" s="259"/>
      <c r="CL260" s="211"/>
      <c r="CM260" s="213"/>
      <c r="CN260" s="213"/>
      <c r="CO260" s="213"/>
      <c r="CP260" s="213"/>
      <c r="CQ260" s="213"/>
      <c r="CR260" s="213"/>
      <c r="CS260" s="213"/>
      <c r="CT260" s="213"/>
      <c r="CU260" s="213"/>
      <c r="CV260" s="213"/>
      <c r="CW260" s="213"/>
      <c r="CX260" s="213"/>
      <c r="CY260" s="216">
        <f t="shared" si="116"/>
        <v>-43.119990000000001</v>
      </c>
      <c r="CZ260" s="185">
        <f t="shared" si="100"/>
        <v>0</v>
      </c>
      <c r="DA260" s="217">
        <f t="shared" si="117"/>
        <v>0</v>
      </c>
      <c r="DB260" s="217">
        <f t="shared" si="118"/>
        <v>43.119990000000001</v>
      </c>
      <c r="DC260" s="217"/>
      <c r="DD260" s="256"/>
      <c r="DE260" s="217"/>
      <c r="DF260" s="185"/>
      <c r="DG260" s="223"/>
      <c r="DH260" s="241"/>
      <c r="DI260" s="241"/>
      <c r="DJ260" s="241"/>
      <c r="DK260" s="241"/>
      <c r="DL260" s="155">
        <v>74</v>
      </c>
      <c r="DM260" s="155">
        <v>43.119990000000001</v>
      </c>
      <c r="DN260" s="155">
        <v>0</v>
      </c>
      <c r="DO260" s="155">
        <v>0</v>
      </c>
      <c r="DP260" s="155">
        <v>43.119990000000001</v>
      </c>
      <c r="DQ260" s="155">
        <v>30.880009999999999</v>
      </c>
      <c r="DS260" s="235"/>
    </row>
    <row r="261" spans="1:123" s="23" customFormat="1" ht="24" customHeight="1">
      <c r="A261" s="18"/>
      <c r="B261" s="2"/>
      <c r="C261" s="86" t="s">
        <v>1359</v>
      </c>
      <c r="D261" s="242" t="s">
        <v>602</v>
      </c>
      <c r="E261" s="86"/>
      <c r="F261" s="41">
        <v>2021</v>
      </c>
      <c r="G261" s="42">
        <v>44480</v>
      </c>
      <c r="H261" s="42">
        <v>44522</v>
      </c>
      <c r="I261" s="42"/>
      <c r="J261" s="15">
        <f t="shared" ca="1" si="114"/>
        <v>-778.40661944444582</v>
      </c>
      <c r="K261" s="177">
        <f t="shared" si="111"/>
        <v>45069</v>
      </c>
      <c r="L261" s="177">
        <f t="shared" si="112"/>
        <v>45252</v>
      </c>
      <c r="M261" s="183"/>
      <c r="N261" s="183"/>
      <c r="O261" s="183"/>
      <c r="P261" s="183"/>
      <c r="Q261" s="183"/>
      <c r="R261" s="41" t="s">
        <v>176</v>
      </c>
      <c r="S261" s="13" t="s">
        <v>5</v>
      </c>
      <c r="T261" s="43" t="s">
        <v>951</v>
      </c>
      <c r="U261" s="5" t="s">
        <v>8</v>
      </c>
      <c r="V261" s="268">
        <v>4878535</v>
      </c>
      <c r="W261" s="5" t="s">
        <v>614</v>
      </c>
      <c r="X261" s="5" t="s">
        <v>477</v>
      </c>
      <c r="Y261" s="5" t="s">
        <v>1451</v>
      </c>
      <c r="Z261" s="3" t="s">
        <v>181</v>
      </c>
      <c r="AA261" s="45" t="s">
        <v>463</v>
      </c>
      <c r="AB261" s="152" t="s">
        <v>1358</v>
      </c>
      <c r="AC261" s="177">
        <v>45076</v>
      </c>
      <c r="AD261" s="177">
        <v>45199</v>
      </c>
      <c r="AE261" s="177">
        <f>IFERROR(EOMONTH(L261,-2),"")</f>
        <v>45199</v>
      </c>
      <c r="AF261" s="5"/>
      <c r="AG261" s="43"/>
      <c r="AH261" s="227"/>
      <c r="AI261" s="125"/>
      <c r="AJ261" s="125"/>
      <c r="AK261" s="237" t="e">
        <f>SUM(#REF!,BT261,BV261)</f>
        <v>#REF!</v>
      </c>
      <c r="AL261" s="165"/>
      <c r="AM261" s="165"/>
      <c r="AN261" s="165"/>
      <c r="AO261" s="165"/>
      <c r="AP261" s="165"/>
      <c r="AQ261" s="165"/>
      <c r="AR261" s="57"/>
      <c r="AS261" s="56"/>
      <c r="AT261" s="56"/>
      <c r="AU261" s="56"/>
      <c r="AV261" s="47">
        <v>132.41499999999999</v>
      </c>
      <c r="AW261" s="47"/>
      <c r="AX261" s="97">
        <f t="shared" si="115"/>
        <v>132.41499999999999</v>
      </c>
      <c r="AY261" s="169">
        <f t="shared" si="98"/>
        <v>0</v>
      </c>
      <c r="AZ261" s="196"/>
      <c r="BA261" s="170"/>
      <c r="BB261" s="196"/>
      <c r="BC261" s="171"/>
      <c r="BD261" s="196"/>
      <c r="BE261" s="170"/>
      <c r="BF261" s="196"/>
      <c r="BG261" s="170"/>
      <c r="BH261" s="196"/>
      <c r="BI261" s="170"/>
      <c r="BJ261" s="196"/>
      <c r="BK261" s="170"/>
      <c r="BL261" s="197"/>
      <c r="BM261" s="170"/>
      <c r="BN261" s="197"/>
      <c r="BO261" s="170"/>
      <c r="BP261" s="196"/>
      <c r="BQ261" s="170"/>
      <c r="BR261" s="196"/>
      <c r="BS261" s="170"/>
      <c r="BT261" s="196"/>
      <c r="BU261" s="170"/>
      <c r="BV261" s="196"/>
      <c r="BW261" s="251"/>
      <c r="BX261" s="254"/>
      <c r="BY261" s="88">
        <f t="shared" si="99"/>
        <v>132.42000000000002</v>
      </c>
      <c r="BZ261" s="259"/>
      <c r="CA261" s="259">
        <v>27</v>
      </c>
      <c r="CB261" s="259">
        <v>27</v>
      </c>
      <c r="CC261" s="259">
        <v>41</v>
      </c>
      <c r="CD261" s="259">
        <v>37.42</v>
      </c>
      <c r="CE261" s="259"/>
      <c r="CF261" s="259"/>
      <c r="CG261" s="259"/>
      <c r="CH261" s="259"/>
      <c r="CI261" s="259"/>
      <c r="CJ261" s="259"/>
      <c r="CK261" s="259"/>
      <c r="CL261" s="211"/>
      <c r="CM261" s="213"/>
      <c r="CN261" s="213"/>
      <c r="CO261" s="213"/>
      <c r="CP261" s="213"/>
      <c r="CQ261" s="213"/>
      <c r="CR261" s="213"/>
      <c r="CS261" s="213"/>
      <c r="CT261" s="213"/>
      <c r="CU261" s="213"/>
      <c r="CV261" s="213"/>
      <c r="CW261" s="213"/>
      <c r="CX261" s="213"/>
      <c r="CY261" s="216">
        <f t="shared" si="116"/>
        <v>0</v>
      </c>
      <c r="CZ261" s="185">
        <f t="shared" si="100"/>
        <v>0</v>
      </c>
      <c r="DA261" s="217">
        <f t="shared" si="117"/>
        <v>0</v>
      </c>
      <c r="DB261" s="217">
        <f t="shared" si="118"/>
        <v>0</v>
      </c>
      <c r="DC261" s="217"/>
      <c r="DD261" s="256"/>
      <c r="DE261" s="217"/>
      <c r="DF261" s="185"/>
      <c r="DG261" s="223"/>
      <c r="DH261" s="241"/>
      <c r="DI261" s="241"/>
      <c r="DJ261" s="241"/>
      <c r="DK261" s="241"/>
      <c r="DL261" s="155">
        <v>132.41499999999999</v>
      </c>
      <c r="DM261" s="155">
        <v>0</v>
      </c>
      <c r="DN261" s="155">
        <v>95.65513</v>
      </c>
      <c r="DO261" s="155">
        <v>21.42</v>
      </c>
      <c r="DP261" s="155">
        <v>117.07513</v>
      </c>
      <c r="DQ261" s="155">
        <v>15.339870000000001</v>
      </c>
      <c r="DS261" s="235"/>
    </row>
    <row r="262" spans="1:123" s="23" customFormat="1" ht="24" customHeight="1">
      <c r="A262" s="18"/>
      <c r="B262" s="2"/>
      <c r="C262" s="86" t="s">
        <v>1360</v>
      </c>
      <c r="D262" s="242" t="s">
        <v>602</v>
      </c>
      <c r="E262" s="86"/>
      <c r="F262" s="41">
        <v>2021</v>
      </c>
      <c r="G262" s="42">
        <v>44482</v>
      </c>
      <c r="H262" s="42">
        <v>44522</v>
      </c>
      <c r="I262" s="42"/>
      <c r="J262" s="15">
        <f t="shared" ca="1" si="114"/>
        <v>-778.40661944444582</v>
      </c>
      <c r="K262" s="177">
        <f t="shared" si="111"/>
        <v>45069</v>
      </c>
      <c r="L262" s="177">
        <f t="shared" si="112"/>
        <v>45252</v>
      </c>
      <c r="M262" s="183"/>
      <c r="N262" s="183"/>
      <c r="O262" s="183"/>
      <c r="P262" s="183"/>
      <c r="Q262" s="183"/>
      <c r="R262" s="41" t="s">
        <v>176</v>
      </c>
      <c r="S262" s="13" t="s">
        <v>5</v>
      </c>
      <c r="T262" s="43" t="s">
        <v>952</v>
      </c>
      <c r="U262" s="5" t="s">
        <v>8</v>
      </c>
      <c r="V262" s="268">
        <v>4878797</v>
      </c>
      <c r="W262" s="5" t="s">
        <v>614</v>
      </c>
      <c r="X262" s="5" t="s">
        <v>477</v>
      </c>
      <c r="Y262" s="5" t="s">
        <v>1452</v>
      </c>
      <c r="Z262" s="3" t="s">
        <v>181</v>
      </c>
      <c r="AA262" s="45" t="s">
        <v>463</v>
      </c>
      <c r="AB262" s="152" t="s">
        <v>1358</v>
      </c>
      <c r="AC262" s="177">
        <v>45076</v>
      </c>
      <c r="AD262" s="177">
        <v>45199</v>
      </c>
      <c r="AE262" s="177">
        <f>IFERROR(EOMONTH(L262,-2),"")</f>
        <v>45199</v>
      </c>
      <c r="AF262" s="5"/>
      <c r="AG262" s="43"/>
      <c r="AH262" s="227"/>
      <c r="AI262" s="125"/>
      <c r="AJ262" s="125"/>
      <c r="AK262" s="237" t="e">
        <f>SUM(#REF!,BT262,BV262)</f>
        <v>#REF!</v>
      </c>
      <c r="AL262" s="165"/>
      <c r="AM262" s="165"/>
      <c r="AN262" s="165"/>
      <c r="AO262" s="165"/>
      <c r="AP262" s="165"/>
      <c r="AQ262" s="165"/>
      <c r="AR262" s="57"/>
      <c r="AS262" s="56"/>
      <c r="AT262" s="56"/>
      <c r="AU262" s="56"/>
      <c r="AV262" s="47">
        <v>56.115000000000002</v>
      </c>
      <c r="AW262" s="47"/>
      <c r="AX262" s="97">
        <f t="shared" si="115"/>
        <v>56.115000000000002</v>
      </c>
      <c r="AY262" s="169">
        <f t="shared" ref="AY262:AY274" si="122">BA262+BC262+BE262+BG262+BI262+BK262+BM262+BO262+BQ262+BS262+BU262+BX262</f>
        <v>0</v>
      </c>
      <c r="AZ262" s="196"/>
      <c r="BA262" s="170"/>
      <c r="BB262" s="196"/>
      <c r="BC262" s="171"/>
      <c r="BD262" s="196"/>
      <c r="BE262" s="170"/>
      <c r="BF262" s="196"/>
      <c r="BG262" s="170"/>
      <c r="BH262" s="196"/>
      <c r="BI262" s="170"/>
      <c r="BJ262" s="196"/>
      <c r="BK262" s="170"/>
      <c r="BL262" s="197"/>
      <c r="BM262" s="170"/>
      <c r="BN262" s="197"/>
      <c r="BO262" s="170"/>
      <c r="BP262" s="196"/>
      <c r="BQ262" s="170"/>
      <c r="BR262" s="196"/>
      <c r="BS262" s="170"/>
      <c r="BT262" s="196"/>
      <c r="BU262" s="170"/>
      <c r="BV262" s="196"/>
      <c r="BW262" s="251"/>
      <c r="BX262" s="254"/>
      <c r="BY262" s="88">
        <f t="shared" ref="BY262:BY274" si="123">SUM(BZ262:CK262)</f>
        <v>56.120000000000005</v>
      </c>
      <c r="BZ262" s="259"/>
      <c r="CA262" s="259">
        <v>29</v>
      </c>
      <c r="CB262" s="259">
        <v>27.12</v>
      </c>
      <c r="CC262" s="259"/>
      <c r="CD262" s="259"/>
      <c r="CE262" s="259"/>
      <c r="CF262" s="259"/>
      <c r="CG262" s="259"/>
      <c r="CH262" s="259"/>
      <c r="CI262" s="259"/>
      <c r="CJ262" s="259"/>
      <c r="CK262" s="259"/>
      <c r="CL262" s="211"/>
      <c r="CM262" s="213"/>
      <c r="CN262" s="213"/>
      <c r="CO262" s="213"/>
      <c r="CP262" s="213"/>
      <c r="CQ262" s="213"/>
      <c r="CR262" s="213"/>
      <c r="CS262" s="213"/>
      <c r="CT262" s="213"/>
      <c r="CU262" s="213"/>
      <c r="CV262" s="213"/>
      <c r="CW262" s="213"/>
      <c r="CX262" s="213"/>
      <c r="CY262" s="216">
        <f t="shared" si="116"/>
        <v>0</v>
      </c>
      <c r="CZ262" s="185">
        <f t="shared" ref="CZ262:CZ274" si="124">BW262-BX262</f>
        <v>0</v>
      </c>
      <c r="DA262" s="217">
        <f t="shared" si="117"/>
        <v>0</v>
      </c>
      <c r="DB262" s="217">
        <f t="shared" si="118"/>
        <v>0</v>
      </c>
      <c r="DC262" s="217"/>
      <c r="DD262" s="256"/>
      <c r="DE262" s="217"/>
      <c r="DF262" s="185"/>
      <c r="DG262" s="223"/>
      <c r="DH262" s="241"/>
      <c r="DI262" s="241"/>
      <c r="DJ262" s="241"/>
      <c r="DK262" s="241"/>
      <c r="DL262" s="155">
        <v>56.115000000000002</v>
      </c>
      <c r="DM262" s="155">
        <v>0</v>
      </c>
      <c r="DN262" s="155">
        <v>23.301069999999999</v>
      </c>
      <c r="DO262" s="155">
        <v>24.13185</v>
      </c>
      <c r="DP262" s="155">
        <v>47.432919999999996</v>
      </c>
      <c r="DQ262" s="155">
        <v>8.6820799999999991</v>
      </c>
      <c r="DS262" s="235"/>
    </row>
    <row r="263" spans="1:123" s="23" customFormat="1" ht="24" customHeight="1">
      <c r="A263" s="18"/>
      <c r="B263" s="2"/>
      <c r="C263" s="86" t="s">
        <v>1482</v>
      </c>
      <c r="D263" s="86"/>
      <c r="E263" s="86"/>
      <c r="F263" s="41">
        <v>2021</v>
      </c>
      <c r="G263" s="42"/>
      <c r="H263" s="42"/>
      <c r="I263" s="42"/>
      <c r="J263" s="15" t="str">
        <f t="shared" ca="1" si="114"/>
        <v/>
      </c>
      <c r="K263" s="177" t="str">
        <f t="shared" si="111"/>
        <v/>
      </c>
      <c r="L263" s="177" t="str">
        <f t="shared" si="112"/>
        <v/>
      </c>
      <c r="M263" s="183"/>
      <c r="N263" s="183"/>
      <c r="O263" s="183"/>
      <c r="P263" s="183"/>
      <c r="Q263" s="183"/>
      <c r="R263" s="41" t="s">
        <v>176</v>
      </c>
      <c r="S263" s="13" t="s">
        <v>5</v>
      </c>
      <c r="T263" s="43" t="s">
        <v>951</v>
      </c>
      <c r="U263" s="5" t="s">
        <v>1099</v>
      </c>
      <c r="V263" s="268"/>
      <c r="W263" s="5" t="s">
        <v>614</v>
      </c>
      <c r="X263" s="5" t="s">
        <v>839</v>
      </c>
      <c r="Y263" s="5" t="s">
        <v>1453</v>
      </c>
      <c r="Z263" s="3" t="s">
        <v>183</v>
      </c>
      <c r="AA263" s="45" t="s">
        <v>733</v>
      </c>
      <c r="AB263" s="152" t="s">
        <v>1168</v>
      </c>
      <c r="AC263" s="177"/>
      <c r="AD263" s="177"/>
      <c r="AE263" s="177"/>
      <c r="AF263" s="5"/>
      <c r="AG263" s="43"/>
      <c r="AH263" s="227"/>
      <c r="AI263" s="125"/>
      <c r="AJ263" s="125"/>
      <c r="AK263" s="237" t="e">
        <f>SUM(#REF!,BT263,BV263)</f>
        <v>#REF!</v>
      </c>
      <c r="AL263" s="165"/>
      <c r="AM263" s="165"/>
      <c r="AN263" s="165"/>
      <c r="AO263" s="165"/>
      <c r="AP263" s="165"/>
      <c r="AQ263" s="165"/>
      <c r="AR263" s="57"/>
      <c r="AS263" s="56"/>
      <c r="AT263" s="56"/>
      <c r="AU263" s="56"/>
      <c r="AV263" s="47"/>
      <c r="AW263" s="47"/>
      <c r="AX263" s="97">
        <f t="shared" si="115"/>
        <v>0</v>
      </c>
      <c r="AY263" s="169">
        <f t="shared" si="122"/>
        <v>0</v>
      </c>
      <c r="AZ263" s="196"/>
      <c r="BA263" s="170"/>
      <c r="BB263" s="196"/>
      <c r="BC263" s="171"/>
      <c r="BD263" s="196"/>
      <c r="BE263" s="170"/>
      <c r="BF263" s="196"/>
      <c r="BG263" s="170"/>
      <c r="BH263" s="196"/>
      <c r="BI263" s="170"/>
      <c r="BJ263" s="196"/>
      <c r="BK263" s="170"/>
      <c r="BL263" s="197"/>
      <c r="BM263" s="170"/>
      <c r="BN263" s="197"/>
      <c r="BO263" s="170"/>
      <c r="BP263" s="196"/>
      <c r="BQ263" s="170"/>
      <c r="BR263" s="196"/>
      <c r="BS263" s="170"/>
      <c r="BT263" s="196"/>
      <c r="BU263" s="170"/>
      <c r="BV263" s="196"/>
      <c r="BW263" s="251"/>
      <c r="BX263" s="254"/>
      <c r="BY263" s="88">
        <f t="shared" si="123"/>
        <v>9000</v>
      </c>
      <c r="BZ263" s="259">
        <v>0</v>
      </c>
      <c r="CA263" s="259">
        <v>0</v>
      </c>
      <c r="CB263" s="259">
        <v>0</v>
      </c>
      <c r="CC263" s="259">
        <v>0</v>
      </c>
      <c r="CD263" s="259">
        <v>0</v>
      </c>
      <c r="CE263" s="259"/>
      <c r="CF263" s="259"/>
      <c r="CG263" s="259">
        <v>9000</v>
      </c>
      <c r="CH263" s="259"/>
      <c r="CI263" s="259"/>
      <c r="CJ263" s="259"/>
      <c r="CK263" s="259">
        <v>0</v>
      </c>
      <c r="CL263" s="211">
        <f t="shared" ref="CL263:CL274" si="125">SUM(CM263:CX263)</f>
        <v>19000</v>
      </c>
      <c r="CM263" s="213">
        <f t="shared" ref="CM263:CX263" si="126">19000/12</f>
        <v>1583.3333333333333</v>
      </c>
      <c r="CN263" s="213">
        <f t="shared" si="126"/>
        <v>1583.3333333333333</v>
      </c>
      <c r="CO263" s="213">
        <f t="shared" si="126"/>
        <v>1583.3333333333333</v>
      </c>
      <c r="CP263" s="213">
        <f t="shared" si="126"/>
        <v>1583.3333333333333</v>
      </c>
      <c r="CQ263" s="213">
        <f t="shared" si="126"/>
        <v>1583.3333333333333</v>
      </c>
      <c r="CR263" s="213">
        <f t="shared" si="126"/>
        <v>1583.3333333333333</v>
      </c>
      <c r="CS263" s="213">
        <f t="shared" si="126"/>
        <v>1583.3333333333333</v>
      </c>
      <c r="CT263" s="213">
        <f t="shared" si="126"/>
        <v>1583.3333333333333</v>
      </c>
      <c r="CU263" s="213">
        <f t="shared" si="126"/>
        <v>1583.3333333333333</v>
      </c>
      <c r="CV263" s="213">
        <f t="shared" si="126"/>
        <v>1583.3333333333333</v>
      </c>
      <c r="CW263" s="213">
        <f t="shared" si="126"/>
        <v>1583.3333333333333</v>
      </c>
      <c r="CX263" s="213">
        <f t="shared" si="126"/>
        <v>1583.3333333333333</v>
      </c>
      <c r="CY263" s="216">
        <f t="shared" si="116"/>
        <v>0</v>
      </c>
      <c r="CZ263" s="185">
        <f t="shared" si="124"/>
        <v>0</v>
      </c>
      <c r="DA263" s="217">
        <f t="shared" si="117"/>
        <v>0</v>
      </c>
      <c r="DB263" s="217">
        <f t="shared" si="118"/>
        <v>0</v>
      </c>
      <c r="DC263" s="217">
        <f>SUM(AY263,BY263)</f>
        <v>9000</v>
      </c>
      <c r="DD263" s="256">
        <v>9000</v>
      </c>
      <c r="DE263" s="217">
        <f>DC263-DD263</f>
        <v>0</v>
      </c>
      <c r="DF263" s="185" t="e">
        <f>SUM(DN263:DO263)-SUM(#REF!,BV263)+BU263</f>
        <v>#REF!</v>
      </c>
      <c r="DG263" s="223"/>
      <c r="DH263" s="241">
        <f>SUM(BA263,BC263,BE263)</f>
        <v>0</v>
      </c>
      <c r="DI263" s="241">
        <f>SUM(BG263,BI263,BK263)</f>
        <v>0</v>
      </c>
      <c r="DJ263" s="241">
        <f>SUM(BM263,BO263,BQ263)</f>
        <v>0</v>
      </c>
      <c r="DK263" s="241" t="e">
        <f>SUM(BS263,#REF!,BV263)</f>
        <v>#REF!</v>
      </c>
      <c r="DL263" s="155">
        <v>0</v>
      </c>
      <c r="DM263" s="155">
        <v>0</v>
      </c>
      <c r="DN263" s="155">
        <v>0</v>
      </c>
      <c r="DO263" s="155">
        <v>0</v>
      </c>
      <c r="DP263" s="155">
        <v>0</v>
      </c>
      <c r="DQ263" s="155">
        <v>0</v>
      </c>
      <c r="DR263" s="23" t="e">
        <f>VLOOKUP(C263,[6]Database!$B$143:$AD$521,29,FALSE)</f>
        <v>#N/A</v>
      </c>
      <c r="DS263" s="235" t="e">
        <f>BY263-DR263</f>
        <v>#N/A</v>
      </c>
    </row>
    <row r="264" spans="1:123" s="23" customFormat="1" ht="24" customHeight="1">
      <c r="A264" s="18"/>
      <c r="B264" s="2"/>
      <c r="C264" s="86" t="s">
        <v>1484</v>
      </c>
      <c r="D264" s="86"/>
      <c r="E264" s="86"/>
      <c r="F264" s="41">
        <v>2022</v>
      </c>
      <c r="G264" s="42"/>
      <c r="H264" s="42"/>
      <c r="I264" s="42"/>
      <c r="J264" s="15" t="str">
        <f t="shared" ca="1" si="114"/>
        <v/>
      </c>
      <c r="K264" s="177"/>
      <c r="L264" s="177"/>
      <c r="M264" s="183"/>
      <c r="N264" s="183"/>
      <c r="O264" s="183"/>
      <c r="P264" s="183"/>
      <c r="Q264" s="183"/>
      <c r="R264" s="41" t="s">
        <v>176</v>
      </c>
      <c r="S264" s="13" t="s">
        <v>223</v>
      </c>
      <c r="T264" s="41" t="s">
        <v>613</v>
      </c>
      <c r="U264" s="5" t="s">
        <v>1099</v>
      </c>
      <c r="V264" s="268"/>
      <c r="W264" s="5" t="s">
        <v>614</v>
      </c>
      <c r="X264" s="5" t="s">
        <v>839</v>
      </c>
      <c r="Y264" s="5" t="s">
        <v>1454</v>
      </c>
      <c r="Z264" s="3" t="s">
        <v>181</v>
      </c>
      <c r="AA264" s="45" t="s">
        <v>733</v>
      </c>
      <c r="AB264" s="152" t="s">
        <v>1128</v>
      </c>
      <c r="AC264" s="177"/>
      <c r="AD264" s="177"/>
      <c r="AE264" s="177"/>
      <c r="AF264" s="5"/>
      <c r="AG264" s="43"/>
      <c r="AH264" s="227"/>
      <c r="AI264" s="125"/>
      <c r="AJ264" s="125"/>
      <c r="AK264" s="237" t="e">
        <f>SUM(#REF!,BT264,BV264)</f>
        <v>#REF!</v>
      </c>
      <c r="AL264" s="165"/>
      <c r="AM264" s="165"/>
      <c r="AN264" s="165"/>
      <c r="AO264" s="165"/>
      <c r="AP264" s="165"/>
      <c r="AQ264" s="165"/>
      <c r="AR264" s="57"/>
      <c r="AS264" s="56"/>
      <c r="AT264" s="56"/>
      <c r="AU264" s="56"/>
      <c r="AV264" s="47"/>
      <c r="AW264" s="47"/>
      <c r="AX264" s="97">
        <f t="shared" si="115"/>
        <v>0</v>
      </c>
      <c r="AY264" s="169">
        <f t="shared" si="122"/>
        <v>0</v>
      </c>
      <c r="AZ264" s="196"/>
      <c r="BA264" s="170"/>
      <c r="BB264" s="196"/>
      <c r="BC264" s="171"/>
      <c r="BD264" s="196"/>
      <c r="BE264" s="170"/>
      <c r="BF264" s="196"/>
      <c r="BG264" s="170"/>
      <c r="BH264" s="196"/>
      <c r="BI264" s="170"/>
      <c r="BJ264" s="196"/>
      <c r="BK264" s="170"/>
      <c r="BL264" s="197"/>
      <c r="BM264" s="170"/>
      <c r="BN264" s="197"/>
      <c r="BO264" s="170"/>
      <c r="BP264" s="196"/>
      <c r="BQ264" s="170"/>
      <c r="BR264" s="196"/>
      <c r="BS264" s="170"/>
      <c r="BT264" s="196"/>
      <c r="BU264" s="170"/>
      <c r="BV264" s="196"/>
      <c r="BW264" s="251"/>
      <c r="BX264" s="254"/>
      <c r="BY264" s="88">
        <f t="shared" si="123"/>
        <v>900</v>
      </c>
      <c r="BZ264" s="259"/>
      <c r="CA264" s="259"/>
      <c r="CB264" s="259"/>
      <c r="CC264" s="259">
        <f>900*0.15/3</f>
        <v>45</v>
      </c>
      <c r="CD264" s="259">
        <f>900*0.15/3</f>
        <v>45</v>
      </c>
      <c r="CE264" s="259">
        <f>900*0.15/3</f>
        <v>45</v>
      </c>
      <c r="CF264" s="259">
        <f>900*0.75/5</f>
        <v>135</v>
      </c>
      <c r="CG264" s="259">
        <f>900*0.75/5</f>
        <v>135</v>
      </c>
      <c r="CH264" s="259">
        <f>900*0.75/5</f>
        <v>135</v>
      </c>
      <c r="CI264" s="259">
        <f>900*0.75/5</f>
        <v>135</v>
      </c>
      <c r="CJ264" s="259">
        <f>900*0.75/5</f>
        <v>135</v>
      </c>
      <c r="CK264" s="259">
        <f>900*0.1/1</f>
        <v>90</v>
      </c>
      <c r="CL264" s="211">
        <f t="shared" si="125"/>
        <v>0</v>
      </c>
      <c r="CM264" s="213"/>
      <c r="CN264" s="213"/>
      <c r="CO264" s="213"/>
      <c r="CP264" s="213"/>
      <c r="CQ264" s="213"/>
      <c r="CR264" s="213"/>
      <c r="CS264" s="213"/>
      <c r="CT264" s="213"/>
      <c r="CU264" s="213"/>
      <c r="CV264" s="213"/>
      <c r="CW264" s="213"/>
      <c r="CX264" s="213"/>
      <c r="CY264" s="216">
        <f t="shared" si="116"/>
        <v>0</v>
      </c>
      <c r="CZ264" s="185">
        <f t="shared" si="124"/>
        <v>0</v>
      </c>
      <c r="DA264" s="217">
        <f t="shared" si="117"/>
        <v>0</v>
      </c>
      <c r="DB264" s="217">
        <f t="shared" si="118"/>
        <v>0</v>
      </c>
      <c r="DC264" s="217">
        <f>SUM(AY264,BY264)</f>
        <v>900</v>
      </c>
      <c r="DD264" s="256">
        <v>900</v>
      </c>
      <c r="DE264" s="217">
        <f>DC264-DD264</f>
        <v>0</v>
      </c>
      <c r="DF264" s="185" t="e">
        <f>SUM(DN264:DO264)-SUM(#REF!,BV264)+BU264</f>
        <v>#REF!</v>
      </c>
      <c r="DG264" s="223"/>
      <c r="DH264" s="241">
        <f>SUM(BA264,BC264,BE264)</f>
        <v>0</v>
      </c>
      <c r="DI264" s="241">
        <f>SUM(BG264,BI264,BK264)</f>
        <v>0</v>
      </c>
      <c r="DJ264" s="241">
        <f>SUM(BM264,BO264,BQ264)</f>
        <v>0</v>
      </c>
      <c r="DK264" s="241" t="e">
        <f>SUM(BS264,#REF!,BV264)</f>
        <v>#REF!</v>
      </c>
      <c r="DL264" s="155">
        <v>0</v>
      </c>
      <c r="DM264" s="155">
        <v>0</v>
      </c>
      <c r="DN264" s="155">
        <v>0</v>
      </c>
      <c r="DO264" s="155">
        <v>0</v>
      </c>
      <c r="DP264" s="155">
        <v>0</v>
      </c>
      <c r="DQ264" s="155">
        <v>0</v>
      </c>
      <c r="DS264" s="235">
        <f>BY264-DR264</f>
        <v>900</v>
      </c>
    </row>
    <row r="265" spans="1:123" s="23" customFormat="1" ht="24" customHeight="1">
      <c r="A265" s="18"/>
      <c r="B265" s="2"/>
      <c r="C265" s="86" t="s">
        <v>1510</v>
      </c>
      <c r="D265" s="86"/>
      <c r="E265" s="86"/>
      <c r="F265" s="41">
        <v>2022</v>
      </c>
      <c r="G265" s="42"/>
      <c r="H265" s="42"/>
      <c r="I265" s="42"/>
      <c r="J265" s="15" t="str">
        <f t="shared" ca="1" si="114"/>
        <v/>
      </c>
      <c r="K265" s="177" t="str">
        <f t="shared" ref="K265:K274" si="127">IF(H265="","",H265+547)</f>
        <v/>
      </c>
      <c r="L265" s="177" t="str">
        <f t="shared" ref="L265:L274" si="128">IF(H265="","",H265+730)</f>
        <v/>
      </c>
      <c r="M265" s="183"/>
      <c r="N265" s="183"/>
      <c r="O265" s="183"/>
      <c r="P265" s="183"/>
      <c r="Q265" s="183"/>
      <c r="R265" s="41" t="s">
        <v>176</v>
      </c>
      <c r="S265" s="13" t="s">
        <v>5</v>
      </c>
      <c r="T265" s="43" t="s">
        <v>952</v>
      </c>
      <c r="U265" s="5" t="s">
        <v>1099</v>
      </c>
      <c r="V265" s="268"/>
      <c r="W265" s="5" t="s">
        <v>614</v>
      </c>
      <c r="X265" s="5" t="s">
        <v>480</v>
      </c>
      <c r="Y265" s="5" t="s">
        <v>1483</v>
      </c>
      <c r="Z265" s="3" t="s">
        <v>316</v>
      </c>
      <c r="AA265" s="45" t="s">
        <v>733</v>
      </c>
      <c r="AB265" s="152"/>
      <c r="AC265" s="177"/>
      <c r="AD265" s="177"/>
      <c r="AE265" s="177"/>
      <c r="AF265" s="5"/>
      <c r="AG265" s="43"/>
      <c r="AH265" s="227"/>
      <c r="AI265" s="125"/>
      <c r="AJ265" s="125"/>
      <c r="AK265" s="237"/>
      <c r="AL265" s="165"/>
      <c r="AM265" s="165"/>
      <c r="AN265" s="165"/>
      <c r="AO265" s="165"/>
      <c r="AP265" s="165"/>
      <c r="AQ265" s="165"/>
      <c r="AR265" s="57"/>
      <c r="AS265" s="56"/>
      <c r="AT265" s="56"/>
      <c r="AU265" s="56"/>
      <c r="AV265" s="47"/>
      <c r="AW265" s="47"/>
      <c r="AX265" s="97"/>
      <c r="AY265" s="169">
        <f t="shared" si="122"/>
        <v>0</v>
      </c>
      <c r="AZ265" s="196"/>
      <c r="BA265" s="170"/>
      <c r="BB265" s="196"/>
      <c r="BC265" s="171"/>
      <c r="BD265" s="196"/>
      <c r="BE265" s="170"/>
      <c r="BF265" s="196"/>
      <c r="BG265" s="170"/>
      <c r="BH265" s="196"/>
      <c r="BI265" s="170"/>
      <c r="BJ265" s="196"/>
      <c r="BK265" s="170"/>
      <c r="BL265" s="197"/>
      <c r="BM265" s="170"/>
      <c r="BN265" s="197"/>
      <c r="BO265" s="170"/>
      <c r="BP265" s="196"/>
      <c r="BQ265" s="170"/>
      <c r="BR265" s="196"/>
      <c r="BS265" s="170"/>
      <c r="BT265" s="196"/>
      <c r="BU265" s="170"/>
      <c r="BV265" s="196"/>
      <c r="BW265" s="251"/>
      <c r="BX265" s="254"/>
      <c r="BY265" s="88">
        <f t="shared" si="123"/>
        <v>160</v>
      </c>
      <c r="BZ265" s="259"/>
      <c r="CA265" s="259"/>
      <c r="CB265" s="259"/>
      <c r="CC265" s="259"/>
      <c r="CD265" s="259">
        <v>40</v>
      </c>
      <c r="CE265" s="259">
        <v>60</v>
      </c>
      <c r="CF265" s="259">
        <v>60</v>
      </c>
      <c r="CG265" s="259"/>
      <c r="CH265" s="259"/>
      <c r="CI265" s="259"/>
      <c r="CJ265" s="259"/>
      <c r="CK265" s="259"/>
      <c r="CL265" s="211">
        <f t="shared" si="125"/>
        <v>185.64</v>
      </c>
      <c r="CM265" s="213"/>
      <c r="CN265" s="213">
        <v>61.879999999999995</v>
      </c>
      <c r="CO265" s="213">
        <v>61.879999999999995</v>
      </c>
      <c r="CP265" s="213">
        <v>61.879999999999995</v>
      </c>
      <c r="CQ265" s="213"/>
      <c r="CR265" s="213"/>
      <c r="CS265" s="213"/>
      <c r="CT265" s="213"/>
      <c r="CU265" s="213"/>
      <c r="CV265" s="213"/>
      <c r="CW265" s="213"/>
      <c r="CX265" s="213"/>
      <c r="CY265" s="216"/>
      <c r="CZ265" s="185">
        <f t="shared" si="124"/>
        <v>0</v>
      </c>
      <c r="DA265" s="217"/>
      <c r="DB265" s="217"/>
      <c r="DC265" s="217"/>
      <c r="DD265" s="256"/>
      <c r="DE265" s="217"/>
      <c r="DF265" s="185"/>
      <c r="DG265" s="223"/>
      <c r="DH265" s="241"/>
      <c r="DI265" s="241"/>
      <c r="DJ265" s="241"/>
      <c r="DK265" s="241"/>
      <c r="DL265" s="155">
        <v>0</v>
      </c>
      <c r="DM265" s="155">
        <v>0</v>
      </c>
      <c r="DN265" s="155">
        <v>0</v>
      </c>
      <c r="DO265" s="155">
        <v>0</v>
      </c>
      <c r="DP265" s="155">
        <v>0</v>
      </c>
      <c r="DQ265" s="155">
        <v>0</v>
      </c>
      <c r="DS265" s="235"/>
    </row>
    <row r="266" spans="1:123" s="23" customFormat="1" ht="24" customHeight="1">
      <c r="A266" s="18"/>
      <c r="B266" s="2"/>
      <c r="C266" s="86"/>
      <c r="D266" s="86"/>
      <c r="E266" s="86"/>
      <c r="F266" s="41">
        <v>2021</v>
      </c>
      <c r="G266" s="42"/>
      <c r="H266" s="42"/>
      <c r="I266" s="42"/>
      <c r="J266" s="15" t="str">
        <f t="shared" ca="1" si="114"/>
        <v/>
      </c>
      <c r="K266" s="177" t="str">
        <f t="shared" si="127"/>
        <v/>
      </c>
      <c r="L266" s="177" t="str">
        <f t="shared" si="128"/>
        <v/>
      </c>
      <c r="M266" s="183"/>
      <c r="N266" s="183"/>
      <c r="O266" s="183"/>
      <c r="P266" s="183"/>
      <c r="Q266" s="183"/>
      <c r="R266" s="41" t="s">
        <v>176</v>
      </c>
      <c r="S266" s="13" t="s">
        <v>982</v>
      </c>
      <c r="T266" s="43" t="s">
        <v>977</v>
      </c>
      <c r="U266" s="5" t="s">
        <v>727</v>
      </c>
      <c r="V266" s="268"/>
      <c r="W266" s="5" t="s">
        <v>614</v>
      </c>
      <c r="X266" s="5" t="s">
        <v>474</v>
      </c>
      <c r="Y266" s="5" t="s">
        <v>1404</v>
      </c>
      <c r="Z266" s="3" t="s">
        <v>185</v>
      </c>
      <c r="AA266" s="45" t="s">
        <v>733</v>
      </c>
      <c r="AB266" s="152" t="s">
        <v>1092</v>
      </c>
      <c r="AC266" s="177"/>
      <c r="AD266" s="177"/>
      <c r="AE266" s="177" t="str">
        <f t="shared" ref="AE266:AE274" si="129">IFERROR(EOMONTH(L266,-2),"")</f>
        <v/>
      </c>
      <c r="AF266" s="5"/>
      <c r="AG266" s="43"/>
      <c r="AH266" s="227"/>
      <c r="AI266" s="125"/>
      <c r="AJ266" s="125"/>
      <c r="AK266" s="237" t="e">
        <f>SUM(#REF!,BT266,BV266)</f>
        <v>#REF!</v>
      </c>
      <c r="AL266" s="165"/>
      <c r="AM266" s="165"/>
      <c r="AN266" s="165"/>
      <c r="AO266" s="165"/>
      <c r="AP266" s="165"/>
      <c r="AQ266" s="165"/>
      <c r="AR266" s="57"/>
      <c r="AS266" s="56"/>
      <c r="AT266" s="56"/>
      <c r="AU266" s="221">
        <v>75.641000000000005</v>
      </c>
      <c r="AV266" s="47"/>
      <c r="AW266" s="47"/>
      <c r="AX266" s="97">
        <f t="shared" ref="AX266:AX274" si="130">AW266+AV266</f>
        <v>0</v>
      </c>
      <c r="AY266" s="169">
        <f t="shared" si="122"/>
        <v>0</v>
      </c>
      <c r="AZ266" s="196"/>
      <c r="BA266" s="170"/>
      <c r="BB266" s="196"/>
      <c r="BC266" s="171"/>
      <c r="BD266" s="196"/>
      <c r="BE266" s="170"/>
      <c r="BF266" s="196"/>
      <c r="BG266" s="170"/>
      <c r="BH266" s="196"/>
      <c r="BI266" s="170"/>
      <c r="BJ266" s="196"/>
      <c r="BK266" s="170"/>
      <c r="BL266" s="197"/>
      <c r="BM266" s="170"/>
      <c r="BN266" s="197"/>
      <c r="BO266" s="170"/>
      <c r="BP266" s="196"/>
      <c r="BQ266" s="170"/>
      <c r="BR266" s="196"/>
      <c r="BS266" s="170"/>
      <c r="BT266" s="196"/>
      <c r="BU266" s="170"/>
      <c r="BV266" s="196"/>
      <c r="BW266" s="251"/>
      <c r="BX266" s="254"/>
      <c r="BY266" s="88">
        <f t="shared" si="123"/>
        <v>0</v>
      </c>
      <c r="BZ266" s="259"/>
      <c r="CA266" s="259"/>
      <c r="CB266" s="259"/>
      <c r="CC266" s="259"/>
      <c r="CD266" s="259"/>
      <c r="CE266" s="259"/>
      <c r="CF266" s="259"/>
      <c r="CG266" s="259"/>
      <c r="CH266" s="259"/>
      <c r="CI266" s="259"/>
      <c r="CJ266" s="259"/>
      <c r="CK266" s="259"/>
      <c r="CL266" s="211">
        <f t="shared" si="125"/>
        <v>0</v>
      </c>
      <c r="CM266" s="213"/>
      <c r="CN266" s="213"/>
      <c r="CO266" s="213"/>
      <c r="CP266" s="213"/>
      <c r="CQ266" s="213"/>
      <c r="CR266" s="213"/>
      <c r="CS266" s="213"/>
      <c r="CT266" s="213"/>
      <c r="CU266" s="213"/>
      <c r="CV266" s="213"/>
      <c r="CW266" s="213"/>
      <c r="CX266" s="213"/>
      <c r="CY266" s="216">
        <f t="shared" ref="CY266:CY274" si="131">BV266-BX266</f>
        <v>0</v>
      </c>
      <c r="CZ266" s="185">
        <f t="shared" si="124"/>
        <v>0</v>
      </c>
      <c r="DA266" s="217">
        <f t="shared" ref="DA266:DA274" si="132">SUM(BA266,BC266,BE266,BG266,BI266,BK266,BM266,BO266,BQ266,BS266,BU266)</f>
        <v>0</v>
      </c>
      <c r="DB266" s="217">
        <f t="shared" ref="DB266:DB274" si="133">SUM(BX266)</f>
        <v>0</v>
      </c>
      <c r="DC266" s="217">
        <f>SUM(AY266,BY266)</f>
        <v>0</v>
      </c>
      <c r="DD266" s="256"/>
      <c r="DE266" s="217">
        <f t="shared" ref="DE266:DE274" si="134">DC266-DD266</f>
        <v>0</v>
      </c>
      <c r="DF266" s="185" t="e">
        <f>SUM(DN266:DO266)-SUM(#REF!,BV266)+BU266</f>
        <v>#REF!</v>
      </c>
      <c r="DG266" s="223"/>
      <c r="DH266" s="241">
        <f t="shared" ref="DH266:DH274" si="135">SUM(BA266,BC266,BE266)</f>
        <v>0</v>
      </c>
      <c r="DI266" s="241">
        <f t="shared" ref="DI266:DI274" si="136">SUM(BG266,BI266,BK266)</f>
        <v>0</v>
      </c>
      <c r="DJ266" s="241">
        <f t="shared" ref="DJ266:DJ274" si="137">SUM(BM266,BO266,BQ266)</f>
        <v>0</v>
      </c>
      <c r="DK266" s="241" t="e">
        <f>SUM(BS266,#REF!,BV266)</f>
        <v>#REF!</v>
      </c>
      <c r="DL266" s="155"/>
      <c r="DM266" s="155"/>
      <c r="DN266" s="155"/>
      <c r="DO266" s="155"/>
      <c r="DP266" s="155"/>
      <c r="DQ266" s="155"/>
      <c r="DS266" s="235">
        <f>BY266-DR266</f>
        <v>0</v>
      </c>
    </row>
    <row r="267" spans="1:123" s="23" customFormat="1" ht="24" customHeight="1">
      <c r="A267" s="18"/>
      <c r="B267" s="2"/>
      <c r="C267" s="86"/>
      <c r="D267" s="85"/>
      <c r="E267" s="86"/>
      <c r="F267" s="41">
        <v>2021</v>
      </c>
      <c r="G267" s="42"/>
      <c r="H267" s="42"/>
      <c r="I267" s="42"/>
      <c r="J267" s="15" t="str">
        <f t="shared" ca="1" si="114"/>
        <v/>
      </c>
      <c r="K267" s="177" t="str">
        <f t="shared" si="127"/>
        <v/>
      </c>
      <c r="L267" s="177" t="str">
        <f t="shared" si="128"/>
        <v/>
      </c>
      <c r="M267" s="183"/>
      <c r="N267" s="183"/>
      <c r="O267" s="183"/>
      <c r="P267" s="183"/>
      <c r="Q267" s="183"/>
      <c r="R267" s="41" t="s">
        <v>176</v>
      </c>
      <c r="S267" s="13" t="s">
        <v>5</v>
      </c>
      <c r="T267" s="43" t="s">
        <v>961</v>
      </c>
      <c r="U267" s="5" t="s">
        <v>727</v>
      </c>
      <c r="V267" s="268"/>
      <c r="W267" s="5" t="s">
        <v>614</v>
      </c>
      <c r="X267" s="5" t="s">
        <v>474</v>
      </c>
      <c r="Y267" s="5" t="s">
        <v>1405</v>
      </c>
      <c r="Z267" s="3"/>
      <c r="AA267" s="45" t="s">
        <v>733</v>
      </c>
      <c r="AB267" s="152" t="s">
        <v>1093</v>
      </c>
      <c r="AC267" s="177"/>
      <c r="AD267" s="177"/>
      <c r="AE267" s="177" t="str">
        <f t="shared" si="129"/>
        <v/>
      </c>
      <c r="AF267" s="5"/>
      <c r="AG267" s="43"/>
      <c r="AH267" s="227"/>
      <c r="AI267" s="125"/>
      <c r="AJ267" s="125"/>
      <c r="AK267" s="237" t="e">
        <f>SUM(#REF!,BT267,BV267)</f>
        <v>#REF!</v>
      </c>
      <c r="AL267" s="165"/>
      <c r="AM267" s="165"/>
      <c r="AN267" s="165"/>
      <c r="AO267" s="165"/>
      <c r="AP267" s="165"/>
      <c r="AQ267" s="165"/>
      <c r="AR267" s="57"/>
      <c r="AS267" s="56"/>
      <c r="AT267" s="56"/>
      <c r="AU267" s="56"/>
      <c r="AV267" s="47"/>
      <c r="AW267" s="47"/>
      <c r="AX267" s="97">
        <f t="shared" si="130"/>
        <v>0</v>
      </c>
      <c r="AY267" s="169">
        <f t="shared" si="122"/>
        <v>0</v>
      </c>
      <c r="AZ267" s="196"/>
      <c r="BA267" s="170"/>
      <c r="BB267" s="196"/>
      <c r="BC267" s="171"/>
      <c r="BD267" s="196"/>
      <c r="BE267" s="170"/>
      <c r="BF267" s="196"/>
      <c r="BG267" s="170"/>
      <c r="BH267" s="196"/>
      <c r="BI267" s="170"/>
      <c r="BJ267" s="196"/>
      <c r="BK267" s="170"/>
      <c r="BL267" s="197"/>
      <c r="BM267" s="170"/>
      <c r="BN267" s="197"/>
      <c r="BO267" s="170"/>
      <c r="BP267" s="196"/>
      <c r="BQ267" s="170"/>
      <c r="BR267" s="196"/>
      <c r="BS267" s="170"/>
      <c r="BT267" s="196"/>
      <c r="BU267" s="170"/>
      <c r="BV267" s="196"/>
      <c r="BW267" s="251"/>
      <c r="BX267" s="254"/>
      <c r="BY267" s="88">
        <f t="shared" si="123"/>
        <v>0</v>
      </c>
      <c r="BZ267" s="259"/>
      <c r="CA267" s="259"/>
      <c r="CB267" s="259"/>
      <c r="CC267" s="259"/>
      <c r="CD267" s="259"/>
      <c r="CE267" s="259"/>
      <c r="CF267" s="259"/>
      <c r="CG267" s="259"/>
      <c r="CH267" s="259"/>
      <c r="CI267" s="259"/>
      <c r="CJ267" s="259"/>
      <c r="CK267" s="259"/>
      <c r="CL267" s="211">
        <f t="shared" si="125"/>
        <v>0</v>
      </c>
      <c r="CM267" s="213"/>
      <c r="CN267" s="213"/>
      <c r="CO267" s="213"/>
      <c r="CP267" s="213"/>
      <c r="CQ267" s="213"/>
      <c r="CR267" s="213"/>
      <c r="CS267" s="213"/>
      <c r="CT267" s="213"/>
      <c r="CU267" s="213"/>
      <c r="CV267" s="213"/>
      <c r="CW267" s="213"/>
      <c r="CX267" s="213"/>
      <c r="CY267" s="216">
        <f t="shared" si="131"/>
        <v>0</v>
      </c>
      <c r="CZ267" s="185">
        <f t="shared" si="124"/>
        <v>0</v>
      </c>
      <c r="DA267" s="217">
        <f t="shared" si="132"/>
        <v>0</v>
      </c>
      <c r="DB267" s="217">
        <f t="shared" si="133"/>
        <v>0</v>
      </c>
      <c r="DC267" s="217">
        <f>SUM(AY267,BY267)</f>
        <v>0</v>
      </c>
      <c r="DD267" s="256"/>
      <c r="DE267" s="217">
        <f t="shared" si="134"/>
        <v>0</v>
      </c>
      <c r="DF267" s="185" t="e">
        <f>SUM(DN267:DO267)-SUM(#REF!,BV267)+BU267</f>
        <v>#REF!</v>
      </c>
      <c r="DG267" s="223"/>
      <c r="DH267" s="241">
        <f t="shared" si="135"/>
        <v>0</v>
      </c>
      <c r="DI267" s="241">
        <f t="shared" si="136"/>
        <v>0</v>
      </c>
      <c r="DJ267" s="241">
        <f t="shared" si="137"/>
        <v>0</v>
      </c>
      <c r="DK267" s="241" t="e">
        <f>SUM(BS267,#REF!,BV267)</f>
        <v>#REF!</v>
      </c>
      <c r="DL267" s="155"/>
      <c r="DM267" s="155"/>
      <c r="DN267" s="155"/>
      <c r="DO267" s="155"/>
      <c r="DP267" s="155"/>
      <c r="DQ267" s="155"/>
      <c r="DS267" s="235">
        <f>BY267-DR267</f>
        <v>0</v>
      </c>
    </row>
    <row r="268" spans="1:123" s="23" customFormat="1" ht="24" customHeight="1">
      <c r="A268" s="18"/>
      <c r="B268" s="2"/>
      <c r="C268" s="86"/>
      <c r="D268" s="86"/>
      <c r="E268" s="86"/>
      <c r="F268" s="41">
        <v>2021</v>
      </c>
      <c r="G268" s="42"/>
      <c r="H268" s="42"/>
      <c r="I268" s="42"/>
      <c r="J268" s="15" t="str">
        <f t="shared" ca="1" si="114"/>
        <v/>
      </c>
      <c r="K268" s="177" t="str">
        <f t="shared" si="127"/>
        <v/>
      </c>
      <c r="L268" s="177" t="str">
        <f t="shared" si="128"/>
        <v/>
      </c>
      <c r="M268" s="183"/>
      <c r="N268" s="183"/>
      <c r="O268" s="183"/>
      <c r="P268" s="183"/>
      <c r="Q268" s="183"/>
      <c r="R268" s="41" t="s">
        <v>176</v>
      </c>
      <c r="S268" s="13"/>
      <c r="T268" s="43"/>
      <c r="U268" s="5" t="s">
        <v>727</v>
      </c>
      <c r="V268" s="268"/>
      <c r="W268" s="5" t="s">
        <v>614</v>
      </c>
      <c r="X268" s="5" t="s">
        <v>474</v>
      </c>
      <c r="Y268" s="5" t="s">
        <v>1403</v>
      </c>
      <c r="Z268" s="3" t="s">
        <v>181</v>
      </c>
      <c r="AA268" s="45" t="s">
        <v>733</v>
      </c>
      <c r="AB268" s="152" t="s">
        <v>1092</v>
      </c>
      <c r="AC268" s="177"/>
      <c r="AD268" s="177"/>
      <c r="AE268" s="177" t="str">
        <f t="shared" si="129"/>
        <v/>
      </c>
      <c r="AF268" s="5"/>
      <c r="AG268" s="43"/>
      <c r="AH268" s="227"/>
      <c r="AI268" s="125"/>
      <c r="AJ268" s="125"/>
      <c r="AK268" s="237" t="e">
        <f>SUM(#REF!,BT268,BV268)</f>
        <v>#REF!</v>
      </c>
      <c r="AL268" s="165"/>
      <c r="AM268" s="165"/>
      <c r="AN268" s="165"/>
      <c r="AO268" s="165"/>
      <c r="AP268" s="165"/>
      <c r="AQ268" s="165"/>
      <c r="AR268" s="57"/>
      <c r="AS268" s="56"/>
      <c r="AT268" s="56"/>
      <c r="AU268" s="56">
        <v>133.5</v>
      </c>
      <c r="AV268" s="47"/>
      <c r="AW268" s="47"/>
      <c r="AX268" s="97">
        <f t="shared" si="130"/>
        <v>0</v>
      </c>
      <c r="AY268" s="169">
        <f t="shared" si="122"/>
        <v>0</v>
      </c>
      <c r="AZ268" s="196"/>
      <c r="BA268" s="170"/>
      <c r="BB268" s="196"/>
      <c r="BC268" s="171"/>
      <c r="BD268" s="196"/>
      <c r="BE268" s="170"/>
      <c r="BF268" s="196"/>
      <c r="BG268" s="170"/>
      <c r="BH268" s="196"/>
      <c r="BI268" s="170"/>
      <c r="BJ268" s="196"/>
      <c r="BK268" s="170"/>
      <c r="BL268" s="197"/>
      <c r="BM268" s="170"/>
      <c r="BN268" s="197"/>
      <c r="BO268" s="170"/>
      <c r="BP268" s="196"/>
      <c r="BQ268" s="170"/>
      <c r="BR268" s="196"/>
      <c r="BS268" s="170"/>
      <c r="BT268" s="196"/>
      <c r="BU268" s="170"/>
      <c r="BV268" s="196"/>
      <c r="BW268" s="251"/>
      <c r="BX268" s="254"/>
      <c r="BY268" s="88">
        <f t="shared" si="123"/>
        <v>0</v>
      </c>
      <c r="BZ268" s="259"/>
      <c r="CA268" s="259"/>
      <c r="CB268" s="259"/>
      <c r="CC268" s="259"/>
      <c r="CD268" s="259"/>
      <c r="CE268" s="259"/>
      <c r="CF268" s="259"/>
      <c r="CG268" s="259"/>
      <c r="CH268" s="259"/>
      <c r="CI268" s="259"/>
      <c r="CJ268" s="259"/>
      <c r="CK268" s="259"/>
      <c r="CL268" s="211">
        <f t="shared" si="125"/>
        <v>0</v>
      </c>
      <c r="CM268" s="213"/>
      <c r="CN268" s="213"/>
      <c r="CO268" s="213"/>
      <c r="CP268" s="213"/>
      <c r="CQ268" s="213"/>
      <c r="CR268" s="213"/>
      <c r="CS268" s="213"/>
      <c r="CT268" s="213"/>
      <c r="CU268" s="213"/>
      <c r="CV268" s="213"/>
      <c r="CW268" s="213"/>
      <c r="CX268" s="213"/>
      <c r="CY268" s="216">
        <f t="shared" si="131"/>
        <v>0</v>
      </c>
      <c r="CZ268" s="185">
        <f t="shared" si="124"/>
        <v>0</v>
      </c>
      <c r="DA268" s="217">
        <f t="shared" si="132"/>
        <v>0</v>
      </c>
      <c r="DB268" s="217">
        <f t="shared" si="133"/>
        <v>0</v>
      </c>
      <c r="DC268" s="217">
        <f>SUM(AY268,BY268)</f>
        <v>0</v>
      </c>
      <c r="DD268" s="256"/>
      <c r="DE268" s="217">
        <f t="shared" si="134"/>
        <v>0</v>
      </c>
      <c r="DF268" s="185" t="e">
        <f>SUM(DN268:DO268)-SUM(#REF!,BV268)+BU268</f>
        <v>#REF!</v>
      </c>
      <c r="DG268" s="223"/>
      <c r="DH268" s="241">
        <f t="shared" si="135"/>
        <v>0</v>
      </c>
      <c r="DI268" s="241">
        <f t="shared" si="136"/>
        <v>0</v>
      </c>
      <c r="DJ268" s="241">
        <f t="shared" si="137"/>
        <v>0</v>
      </c>
      <c r="DK268" s="241" t="e">
        <f>SUM(BS268,#REF!,BV268)</f>
        <v>#REF!</v>
      </c>
      <c r="DL268" s="155"/>
      <c r="DM268" s="155"/>
      <c r="DN268" s="155"/>
      <c r="DO268" s="155"/>
      <c r="DP268" s="155"/>
      <c r="DQ268" s="155"/>
      <c r="DS268" s="235">
        <f>BY268-DR268</f>
        <v>0</v>
      </c>
    </row>
    <row r="269" spans="1:123" s="23" customFormat="1" ht="24" hidden="1" customHeight="1">
      <c r="A269" s="18"/>
      <c r="B269" s="2">
        <v>230</v>
      </c>
      <c r="C269" s="86" t="s">
        <v>661</v>
      </c>
      <c r="D269" s="86"/>
      <c r="E269" s="86"/>
      <c r="F269" s="41"/>
      <c r="G269" s="42"/>
      <c r="H269" s="42"/>
      <c r="I269" s="42"/>
      <c r="J269" s="15" t="str">
        <f t="shared" ca="1" si="114"/>
        <v/>
      </c>
      <c r="K269" s="177" t="str">
        <f t="shared" si="127"/>
        <v/>
      </c>
      <c r="L269" s="177" t="str">
        <f t="shared" si="128"/>
        <v/>
      </c>
      <c r="M269" s="183"/>
      <c r="N269" s="183"/>
      <c r="O269" s="183"/>
      <c r="P269" s="183"/>
      <c r="Q269" s="183"/>
      <c r="R269" s="41" t="s">
        <v>176</v>
      </c>
      <c r="S269" s="13"/>
      <c r="T269" s="43"/>
      <c r="U269" s="5" t="s">
        <v>8</v>
      </c>
      <c r="V269" s="268"/>
      <c r="W269" s="5" t="s">
        <v>1455</v>
      </c>
      <c r="X269" s="5" t="s">
        <v>712</v>
      </c>
      <c r="Y269" s="5" t="s">
        <v>1456</v>
      </c>
      <c r="Z269" s="3" t="s">
        <v>181</v>
      </c>
      <c r="AA269" s="45"/>
      <c r="AB269" s="87"/>
      <c r="AC269" s="177"/>
      <c r="AD269" s="177"/>
      <c r="AE269" s="177" t="str">
        <f t="shared" si="129"/>
        <v/>
      </c>
      <c r="AF269" s="5"/>
      <c r="AG269" s="43"/>
      <c r="AH269" s="227"/>
      <c r="AI269" s="125"/>
      <c r="AJ269" s="125"/>
      <c r="AK269" s="237" t="e">
        <f>SUM(#REF!,BT269,BV269)</f>
        <v>#REF!</v>
      </c>
      <c r="AL269" s="165"/>
      <c r="AM269" s="165"/>
      <c r="AN269" s="165"/>
      <c r="AO269" s="165"/>
      <c r="AP269" s="165"/>
      <c r="AQ269" s="165"/>
      <c r="AR269" s="57">
        <v>-4344.27483402083</v>
      </c>
      <c r="AS269" s="56">
        <v>0</v>
      </c>
      <c r="AT269" s="56">
        <v>39.299372195749697</v>
      </c>
      <c r="AU269" s="56">
        <v>0</v>
      </c>
      <c r="AV269" s="47"/>
      <c r="AW269" s="47"/>
      <c r="AX269" s="97">
        <f t="shared" si="130"/>
        <v>0</v>
      </c>
      <c r="AY269" s="169">
        <f t="shared" si="122"/>
        <v>16.88863113221646</v>
      </c>
      <c r="AZ269" s="196">
        <v>0</v>
      </c>
      <c r="BA269" s="170">
        <v>0</v>
      </c>
      <c r="BB269" s="196">
        <v>0</v>
      </c>
      <c r="BC269" s="171"/>
      <c r="BD269" s="196">
        <v>0</v>
      </c>
      <c r="BE269" s="170">
        <v>0</v>
      </c>
      <c r="BF269" s="196">
        <v>0</v>
      </c>
      <c r="BG269" s="170">
        <v>732</v>
      </c>
      <c r="BH269" s="196">
        <v>0</v>
      </c>
      <c r="BI269" s="170">
        <v>-213.95594346647201</v>
      </c>
      <c r="BJ269" s="196">
        <v>-520</v>
      </c>
      <c r="BK269" s="170">
        <v>783.66150799695401</v>
      </c>
      <c r="BL269" s="197">
        <v>-783.66150799695401</v>
      </c>
      <c r="BM269" s="170">
        <v>-940</v>
      </c>
      <c r="BN269" s="197"/>
      <c r="BO269" s="170"/>
      <c r="BP269" s="196">
        <v>-361.7</v>
      </c>
      <c r="BQ269" s="170">
        <v>-126.85193518414171</v>
      </c>
      <c r="BR269" s="196"/>
      <c r="BS269" s="170">
        <v>-217.9649982141238</v>
      </c>
      <c r="BT269" s="196"/>
      <c r="BU269" s="170">
        <v>0</v>
      </c>
      <c r="BV269" s="196"/>
      <c r="BW269" s="251"/>
      <c r="BX269" s="254"/>
      <c r="BY269" s="88">
        <f t="shared" si="123"/>
        <v>0</v>
      </c>
      <c r="BZ269" s="215"/>
      <c r="CA269" s="215"/>
      <c r="CB269" s="215"/>
      <c r="CC269" s="215"/>
      <c r="CD269" s="215"/>
      <c r="CE269" s="215"/>
      <c r="CF269" s="215"/>
      <c r="CG269" s="215"/>
      <c r="CH269" s="215"/>
      <c r="CI269" s="215"/>
      <c r="CJ269" s="215"/>
      <c r="CK269" s="215"/>
      <c r="CL269" s="211">
        <f t="shared" si="125"/>
        <v>0</v>
      </c>
      <c r="CM269" s="213"/>
      <c r="CN269" s="213"/>
      <c r="CO269" s="213"/>
      <c r="CP269" s="213"/>
      <c r="CQ269" s="213"/>
      <c r="CR269" s="213"/>
      <c r="CS269" s="213"/>
      <c r="CT269" s="213"/>
      <c r="CU269" s="213"/>
      <c r="CV269" s="213"/>
      <c r="CW269" s="213"/>
      <c r="CX269" s="213"/>
      <c r="CY269" s="216">
        <f t="shared" si="131"/>
        <v>0</v>
      </c>
      <c r="CZ269" s="185">
        <f t="shared" si="124"/>
        <v>0</v>
      </c>
      <c r="DA269" s="217">
        <f t="shared" si="132"/>
        <v>16.88863113221646</v>
      </c>
      <c r="DB269" s="217">
        <f t="shared" si="133"/>
        <v>0</v>
      </c>
      <c r="DC269" s="217">
        <f>SUM(AY269-BY269)</f>
        <v>16.88863113221646</v>
      </c>
      <c r="DD269" s="256">
        <v>16.88863113221646</v>
      </c>
      <c r="DE269" s="217">
        <f t="shared" si="134"/>
        <v>0</v>
      </c>
      <c r="DF269" s="185" t="e">
        <f>SUM(DN269:DO269)-SUM(#REF!,BV269)+BU269</f>
        <v>#REF!</v>
      </c>
      <c r="DG269" s="223"/>
      <c r="DH269" s="241">
        <f t="shared" si="135"/>
        <v>0</v>
      </c>
      <c r="DI269" s="241">
        <f t="shared" si="136"/>
        <v>1301.705564530482</v>
      </c>
      <c r="DJ269" s="241">
        <f t="shared" si="137"/>
        <v>-1066.8519351841417</v>
      </c>
      <c r="DK269" s="241" t="e">
        <f>SUM(BS269,#REF!,BV269)</f>
        <v>#REF!</v>
      </c>
      <c r="DL269" s="155"/>
      <c r="DM269" s="155"/>
      <c r="DN269" s="155"/>
      <c r="DO269" s="155"/>
      <c r="DP269" s="155"/>
      <c r="DQ269" s="155"/>
      <c r="DR269" s="23">
        <f>VLOOKUP(C269,[5]Database!$B$126:$AD$521,29,FALSE)</f>
        <v>0</v>
      </c>
      <c r="DS269" s="235">
        <f>DR269-BY269</f>
        <v>0</v>
      </c>
    </row>
    <row r="270" spans="1:123" s="23" customFormat="1" ht="24" hidden="1" customHeight="1">
      <c r="A270" s="18"/>
      <c r="B270" s="2">
        <v>231</v>
      </c>
      <c r="C270" s="86" t="s">
        <v>662</v>
      </c>
      <c r="D270" s="86"/>
      <c r="E270" s="86"/>
      <c r="F270" s="41"/>
      <c r="G270" s="42"/>
      <c r="H270" s="42"/>
      <c r="I270" s="42"/>
      <c r="J270" s="15" t="str">
        <f t="shared" ca="1" si="114"/>
        <v/>
      </c>
      <c r="K270" s="177" t="str">
        <f t="shared" si="127"/>
        <v/>
      </c>
      <c r="L270" s="177" t="str">
        <f t="shared" si="128"/>
        <v/>
      </c>
      <c r="M270" s="183"/>
      <c r="N270" s="183"/>
      <c r="O270" s="183"/>
      <c r="P270" s="183"/>
      <c r="Q270" s="183"/>
      <c r="R270" s="41" t="s">
        <v>176</v>
      </c>
      <c r="S270" s="13"/>
      <c r="T270" s="43"/>
      <c r="U270" s="5" t="s">
        <v>8</v>
      </c>
      <c r="V270" s="268"/>
      <c r="W270" s="5" t="s">
        <v>1455</v>
      </c>
      <c r="X270" s="5" t="s">
        <v>712</v>
      </c>
      <c r="Y270" s="5" t="s">
        <v>10</v>
      </c>
      <c r="Z270" s="41" t="s">
        <v>181</v>
      </c>
      <c r="AA270" s="45"/>
      <c r="AB270" s="152"/>
      <c r="AC270" s="177"/>
      <c r="AD270" s="177"/>
      <c r="AE270" s="177" t="str">
        <f t="shared" si="129"/>
        <v/>
      </c>
      <c r="AF270" s="5"/>
      <c r="AG270" s="43"/>
      <c r="AH270" s="227"/>
      <c r="AI270" s="125"/>
      <c r="AJ270" s="125"/>
      <c r="AK270" s="237" t="e">
        <f>SUM(#REF!,BT270,BV270)</f>
        <v>#REF!</v>
      </c>
      <c r="AL270" s="174"/>
      <c r="AM270" s="174"/>
      <c r="AN270" s="174"/>
      <c r="AO270" s="174"/>
      <c r="AP270" s="174"/>
      <c r="AQ270" s="174"/>
      <c r="AR270" s="57"/>
      <c r="AS270" s="56">
        <v>0</v>
      </c>
      <c r="AT270" s="56">
        <v>134.05377141119726</v>
      </c>
      <c r="AU270" s="56">
        <v>162.76861000000011</v>
      </c>
      <c r="AV270" s="47"/>
      <c r="AW270" s="47"/>
      <c r="AX270" s="97">
        <f t="shared" si="130"/>
        <v>0</v>
      </c>
      <c r="AY270" s="169">
        <f t="shared" si="122"/>
        <v>-105.79370399884283</v>
      </c>
      <c r="AZ270" s="196">
        <v>0</v>
      </c>
      <c r="BA270" s="170">
        <v>162.76861000000011</v>
      </c>
      <c r="BB270" s="196">
        <v>0</v>
      </c>
      <c r="BC270" s="171">
        <v>-35.608890776300655</v>
      </c>
      <c r="BD270" s="196">
        <v>0</v>
      </c>
      <c r="BE270" s="170">
        <v>133.24954000000139</v>
      </c>
      <c r="BF270" s="196">
        <v>0</v>
      </c>
      <c r="BG270" s="170">
        <v>8.2863899999980504</v>
      </c>
      <c r="BH270" s="196">
        <v>0</v>
      </c>
      <c r="BI270" s="170">
        <v>-451.56752653352942</v>
      </c>
      <c r="BJ270" s="196">
        <v>0</v>
      </c>
      <c r="BK270" s="170">
        <v>-49.419207199538505</v>
      </c>
      <c r="BL270" s="197"/>
      <c r="BM270" s="170">
        <v>21.169999999999998</v>
      </c>
      <c r="BN270" s="197"/>
      <c r="BO270" s="170">
        <v>-4.3968500000024973</v>
      </c>
      <c r="BP270" s="196"/>
      <c r="BQ270" s="170">
        <v>4.1973751841414924</v>
      </c>
      <c r="BR270" s="196"/>
      <c r="BS270" s="170">
        <v>57.837308214122913</v>
      </c>
      <c r="BT270" s="196"/>
      <c r="BU270" s="170">
        <v>47.689547112264336</v>
      </c>
      <c r="BV270" s="196"/>
      <c r="BW270" s="251"/>
      <c r="BX270" s="254"/>
      <c r="BY270" s="88">
        <f t="shared" si="123"/>
        <v>0</v>
      </c>
      <c r="BZ270" s="215"/>
      <c r="CA270" s="215"/>
      <c r="CB270" s="215"/>
      <c r="CC270" s="215"/>
      <c r="CD270" s="215"/>
      <c r="CE270" s="215"/>
      <c r="CF270" s="215"/>
      <c r="CG270" s="215"/>
      <c r="CH270" s="215"/>
      <c r="CI270" s="215"/>
      <c r="CJ270" s="215"/>
      <c r="CK270" s="215"/>
      <c r="CL270" s="211">
        <f t="shared" si="125"/>
        <v>0</v>
      </c>
      <c r="CM270" s="213"/>
      <c r="CN270" s="213"/>
      <c r="CO270" s="213"/>
      <c r="CP270" s="213"/>
      <c r="CQ270" s="213"/>
      <c r="CR270" s="213"/>
      <c r="CS270" s="213"/>
      <c r="CT270" s="213"/>
      <c r="CU270" s="213"/>
      <c r="CV270" s="213"/>
      <c r="CW270" s="213"/>
      <c r="CX270" s="213"/>
      <c r="CY270" s="216">
        <f t="shared" si="131"/>
        <v>0</v>
      </c>
      <c r="CZ270" s="185">
        <f t="shared" si="124"/>
        <v>0</v>
      </c>
      <c r="DA270" s="217">
        <f t="shared" si="132"/>
        <v>-105.79370399884283</v>
      </c>
      <c r="DB270" s="217">
        <f t="shared" si="133"/>
        <v>0</v>
      </c>
      <c r="DC270" s="217">
        <f>SUM(AY270-BY270)</f>
        <v>-105.79370399884283</v>
      </c>
      <c r="DD270" s="256">
        <v>-153.48325111110717</v>
      </c>
      <c r="DE270" s="217">
        <f t="shared" si="134"/>
        <v>47.689547112264336</v>
      </c>
      <c r="DF270" s="185" t="e">
        <f>SUM(DN270:DO270)-SUM(#REF!,BV270)+BU270</f>
        <v>#REF!</v>
      </c>
      <c r="DG270" s="223"/>
      <c r="DH270" s="241">
        <f t="shared" si="135"/>
        <v>260.40925922370081</v>
      </c>
      <c r="DI270" s="241">
        <f t="shared" si="136"/>
        <v>-492.70034373306987</v>
      </c>
      <c r="DJ270" s="241">
        <f t="shared" si="137"/>
        <v>20.970525184138992</v>
      </c>
      <c r="DK270" s="241" t="e">
        <f>SUM(BS270,#REF!,BV270)</f>
        <v>#REF!</v>
      </c>
      <c r="DL270" s="155"/>
      <c r="DM270" s="155"/>
      <c r="DN270" s="155"/>
      <c r="DO270" s="155"/>
      <c r="DP270" s="155"/>
      <c r="DQ270" s="155"/>
      <c r="DR270" s="23">
        <f>VLOOKUP(C270,[5]Database!$B$126:$AD$521,29,FALSE)</f>
        <v>0</v>
      </c>
      <c r="DS270" s="235">
        <f>DR270-BY270</f>
        <v>0</v>
      </c>
    </row>
    <row r="271" spans="1:123" s="23" customFormat="1" ht="24" customHeight="1">
      <c r="A271" s="18"/>
      <c r="B271" s="2"/>
      <c r="C271" s="86"/>
      <c r="D271" s="86"/>
      <c r="E271" s="86"/>
      <c r="F271" s="41">
        <v>2021</v>
      </c>
      <c r="G271" s="42"/>
      <c r="H271" s="42"/>
      <c r="I271" s="42"/>
      <c r="J271" s="15" t="str">
        <f t="shared" ca="1" si="114"/>
        <v/>
      </c>
      <c r="K271" s="177" t="str">
        <f t="shared" si="127"/>
        <v/>
      </c>
      <c r="L271" s="177" t="str">
        <f t="shared" si="128"/>
        <v/>
      </c>
      <c r="M271" s="183"/>
      <c r="N271" s="183"/>
      <c r="O271" s="183"/>
      <c r="P271" s="183"/>
      <c r="Q271" s="183"/>
      <c r="R271" s="41" t="s">
        <v>177</v>
      </c>
      <c r="S271" s="13"/>
      <c r="T271" s="43"/>
      <c r="U271" s="5" t="s">
        <v>727</v>
      </c>
      <c r="V271" s="268"/>
      <c r="W271" s="5" t="s">
        <v>614</v>
      </c>
      <c r="X271" s="5" t="s">
        <v>476</v>
      </c>
      <c r="Y271" s="5" t="s">
        <v>1402</v>
      </c>
      <c r="Z271" s="3" t="s">
        <v>181</v>
      </c>
      <c r="AA271" s="45" t="s">
        <v>733</v>
      </c>
      <c r="AB271" s="152" t="s">
        <v>1092</v>
      </c>
      <c r="AC271" s="177"/>
      <c r="AD271" s="177"/>
      <c r="AE271" s="177" t="str">
        <f t="shared" si="129"/>
        <v/>
      </c>
      <c r="AF271" s="5"/>
      <c r="AG271" s="43"/>
      <c r="AH271" s="227"/>
      <c r="AI271" s="125"/>
      <c r="AJ271" s="125"/>
      <c r="AK271" s="237" t="e">
        <f>SUM(#REF!,BT271,BV271)</f>
        <v>#REF!</v>
      </c>
      <c r="AL271" s="165"/>
      <c r="AM271" s="165"/>
      <c r="AN271" s="165"/>
      <c r="AO271" s="165"/>
      <c r="AP271" s="165"/>
      <c r="AQ271" s="165"/>
      <c r="AR271" s="57"/>
      <c r="AS271" s="56"/>
      <c r="AT271" s="56"/>
      <c r="AU271" s="56">
        <v>80</v>
      </c>
      <c r="AV271" s="47"/>
      <c r="AW271" s="47"/>
      <c r="AX271" s="97">
        <f t="shared" si="130"/>
        <v>0</v>
      </c>
      <c r="AY271" s="169">
        <f t="shared" si="122"/>
        <v>0</v>
      </c>
      <c r="AZ271" s="196"/>
      <c r="BA271" s="170"/>
      <c r="BB271" s="196"/>
      <c r="BC271" s="171"/>
      <c r="BD271" s="196"/>
      <c r="BE271" s="170"/>
      <c r="BF271" s="196"/>
      <c r="BG271" s="170"/>
      <c r="BH271" s="196"/>
      <c r="BI271" s="171"/>
      <c r="BJ271" s="196"/>
      <c r="BK271" s="170"/>
      <c r="BL271" s="197"/>
      <c r="BM271" s="170"/>
      <c r="BN271" s="197"/>
      <c r="BO271" s="170"/>
      <c r="BP271" s="196"/>
      <c r="BQ271" s="170"/>
      <c r="BR271" s="196"/>
      <c r="BS271" s="170"/>
      <c r="BT271" s="196"/>
      <c r="BU271" s="170"/>
      <c r="BV271" s="196"/>
      <c r="BW271" s="251"/>
      <c r="BX271" s="254"/>
      <c r="BY271" s="88">
        <f t="shared" si="123"/>
        <v>0</v>
      </c>
      <c r="BZ271" s="259"/>
      <c r="CA271" s="259"/>
      <c r="CB271" s="259"/>
      <c r="CC271" s="259"/>
      <c r="CD271" s="259"/>
      <c r="CE271" s="259"/>
      <c r="CF271" s="259"/>
      <c r="CG271" s="215"/>
      <c r="CH271" s="215"/>
      <c r="CI271" s="215"/>
      <c r="CJ271" s="215"/>
      <c r="CK271" s="215"/>
      <c r="CL271" s="211">
        <f t="shared" si="125"/>
        <v>0</v>
      </c>
      <c r="CM271" s="213"/>
      <c r="CN271" s="213"/>
      <c r="CO271" s="213"/>
      <c r="CP271" s="213"/>
      <c r="CQ271" s="213"/>
      <c r="CR271" s="213"/>
      <c r="CS271" s="213"/>
      <c r="CT271" s="213"/>
      <c r="CU271" s="213"/>
      <c r="CV271" s="213"/>
      <c r="CW271" s="213"/>
      <c r="CX271" s="213"/>
      <c r="CY271" s="216">
        <f t="shared" si="131"/>
        <v>0</v>
      </c>
      <c r="CZ271" s="185">
        <f t="shared" si="124"/>
        <v>0</v>
      </c>
      <c r="DA271" s="217">
        <f t="shared" si="132"/>
        <v>0</v>
      </c>
      <c r="DB271" s="217">
        <f t="shared" si="133"/>
        <v>0</v>
      </c>
      <c r="DC271" s="217">
        <f>SUM(AY271,BY271)</f>
        <v>0</v>
      </c>
      <c r="DD271" s="256"/>
      <c r="DE271" s="217">
        <f t="shared" si="134"/>
        <v>0</v>
      </c>
      <c r="DF271" s="185" t="e">
        <f>SUM(DN271:DO271)-SUM(#REF!,BV271)+BU271</f>
        <v>#REF!</v>
      </c>
      <c r="DG271" s="223"/>
      <c r="DH271" s="241">
        <f t="shared" si="135"/>
        <v>0</v>
      </c>
      <c r="DI271" s="241">
        <f t="shared" si="136"/>
        <v>0</v>
      </c>
      <c r="DJ271" s="241">
        <f t="shared" si="137"/>
        <v>0</v>
      </c>
      <c r="DK271" s="241" t="e">
        <f>SUM(BS271,#REF!,BV271)</f>
        <v>#REF!</v>
      </c>
      <c r="DL271" s="155"/>
      <c r="DM271" s="155"/>
      <c r="DN271" s="155"/>
      <c r="DO271" s="155"/>
      <c r="DP271" s="155"/>
      <c r="DQ271" s="155"/>
      <c r="DS271" s="235">
        <f>BY271-DR271</f>
        <v>0</v>
      </c>
    </row>
    <row r="272" spans="1:123" s="23" customFormat="1" ht="24" customHeight="1">
      <c r="A272" s="18"/>
      <c r="B272" s="2">
        <v>163</v>
      </c>
      <c r="C272" s="86" t="s">
        <v>341</v>
      </c>
      <c r="D272" s="85"/>
      <c r="E272" s="86" t="s">
        <v>880</v>
      </c>
      <c r="F272" s="41">
        <v>2020</v>
      </c>
      <c r="G272" s="42">
        <v>43889</v>
      </c>
      <c r="H272" s="192">
        <v>43979</v>
      </c>
      <c r="I272" s="42">
        <v>44459</v>
      </c>
      <c r="J272" s="15">
        <f t="shared" ca="1" si="114"/>
        <v>480</v>
      </c>
      <c r="K272" s="177">
        <f t="shared" si="127"/>
        <v>44526</v>
      </c>
      <c r="L272" s="177">
        <f t="shared" si="128"/>
        <v>44709</v>
      </c>
      <c r="M272" s="183"/>
      <c r="N272" s="183"/>
      <c r="O272" s="183"/>
      <c r="P272" s="183"/>
      <c r="Q272" s="183"/>
      <c r="R272" s="41" t="s">
        <v>176</v>
      </c>
      <c r="S272" s="13" t="s">
        <v>5</v>
      </c>
      <c r="T272" s="43" t="s">
        <v>951</v>
      </c>
      <c r="U272" s="5" t="s">
        <v>9</v>
      </c>
      <c r="V272" s="268">
        <v>2815734</v>
      </c>
      <c r="W272" s="5" t="s">
        <v>614</v>
      </c>
      <c r="X272" s="5" t="s">
        <v>478</v>
      </c>
      <c r="Y272" s="5" t="s">
        <v>335</v>
      </c>
      <c r="Z272" s="85" t="s">
        <v>316</v>
      </c>
      <c r="AA272" s="45" t="s">
        <v>195</v>
      </c>
      <c r="AB272" s="232" t="s">
        <v>1524</v>
      </c>
      <c r="AC272" s="177" t="s">
        <v>6</v>
      </c>
      <c r="AD272" s="177">
        <v>44500</v>
      </c>
      <c r="AE272" s="177">
        <f t="shared" si="129"/>
        <v>44651</v>
      </c>
      <c r="AF272" s="5"/>
      <c r="AG272" s="43"/>
      <c r="AH272" s="228"/>
      <c r="AI272" s="125"/>
      <c r="AJ272" s="125"/>
      <c r="AK272" s="237" t="e">
        <f>SUM(#REF!,BT272,BV272)</f>
        <v>#REF!</v>
      </c>
      <c r="AL272" s="179"/>
      <c r="AM272" s="179"/>
      <c r="AN272" s="179"/>
      <c r="AO272" s="179"/>
      <c r="AP272" s="179"/>
      <c r="AQ272" s="179"/>
      <c r="AR272" s="57">
        <v>0</v>
      </c>
      <c r="AS272" s="56">
        <v>180</v>
      </c>
      <c r="AT272" s="56">
        <v>134.98552000000001</v>
      </c>
      <c r="AU272" s="56">
        <v>63.783950000000004</v>
      </c>
      <c r="AV272" s="47">
        <v>213.85</v>
      </c>
      <c r="AW272" s="47">
        <v>41</v>
      </c>
      <c r="AX272" s="97">
        <f t="shared" si="130"/>
        <v>254.85</v>
      </c>
      <c r="AY272" s="169">
        <f t="shared" si="122"/>
        <v>71.796830000000014</v>
      </c>
      <c r="AZ272" s="196">
        <v>15</v>
      </c>
      <c r="BA272" s="170">
        <v>6.7839499999999999</v>
      </c>
      <c r="BB272" s="196">
        <v>10</v>
      </c>
      <c r="BC272" s="171">
        <v>11.081469999999999</v>
      </c>
      <c r="BD272" s="196">
        <v>6.5</v>
      </c>
      <c r="BE272" s="170">
        <v>6.0355700000000008</v>
      </c>
      <c r="BF272" s="196">
        <v>15</v>
      </c>
      <c r="BG272" s="170">
        <v>16.27413</v>
      </c>
      <c r="BH272" s="196">
        <v>2</v>
      </c>
      <c r="BI272" s="171">
        <v>5.2538499999999999</v>
      </c>
      <c r="BJ272" s="196">
        <v>7</v>
      </c>
      <c r="BK272" s="170">
        <v>22.046790000000001</v>
      </c>
      <c r="BL272" s="197">
        <v>0.1</v>
      </c>
      <c r="BM272" s="170">
        <v>5.3239999999999982E-2</v>
      </c>
      <c r="BN272" s="197"/>
      <c r="BO272" s="170">
        <v>-0.21703999999999998</v>
      </c>
      <c r="BP272" s="196">
        <v>5</v>
      </c>
      <c r="BQ272" s="170">
        <v>3.64127</v>
      </c>
      <c r="BR272" s="196"/>
      <c r="BS272" s="170">
        <v>0.84045999999999998</v>
      </c>
      <c r="BT272" s="196"/>
      <c r="BU272" s="170"/>
      <c r="BV272" s="196"/>
      <c r="BW272" s="251">
        <v>3.14E-3</v>
      </c>
      <c r="BX272" s="254">
        <v>3.14E-3</v>
      </c>
      <c r="BY272" s="88">
        <f t="shared" si="123"/>
        <v>0</v>
      </c>
      <c r="BZ272" s="259"/>
      <c r="CA272" s="259"/>
      <c r="CB272" s="259"/>
      <c r="CC272" s="259"/>
      <c r="CD272" s="259"/>
      <c r="CE272" s="259"/>
      <c r="CF272" s="259"/>
      <c r="CG272" s="259"/>
      <c r="CH272" s="259"/>
      <c r="CI272" s="259"/>
      <c r="CJ272" s="259"/>
      <c r="CK272" s="259"/>
      <c r="CL272" s="211">
        <f t="shared" si="125"/>
        <v>0</v>
      </c>
      <c r="CM272" s="213"/>
      <c r="CN272" s="213"/>
      <c r="CO272" s="213"/>
      <c r="CP272" s="213"/>
      <c r="CQ272" s="213"/>
      <c r="CR272" s="213"/>
      <c r="CS272" s="213"/>
      <c r="CT272" s="213"/>
      <c r="CU272" s="213"/>
      <c r="CV272" s="213"/>
      <c r="CW272" s="213"/>
      <c r="CX272" s="213"/>
      <c r="CY272" s="216">
        <f t="shared" si="131"/>
        <v>-3.14E-3</v>
      </c>
      <c r="CZ272" s="185">
        <f t="shared" si="124"/>
        <v>0</v>
      </c>
      <c r="DA272" s="217">
        <f t="shared" si="132"/>
        <v>71.793690000000012</v>
      </c>
      <c r="DB272" s="217">
        <f t="shared" si="133"/>
        <v>3.14E-3</v>
      </c>
      <c r="DC272" s="217">
        <f>SUM(AY272,BY272)</f>
        <v>71.796830000000014</v>
      </c>
      <c r="DD272" s="256">
        <v>71.793690000000012</v>
      </c>
      <c r="DE272" s="217">
        <f t="shared" si="134"/>
        <v>3.140000000001919E-3</v>
      </c>
      <c r="DF272" s="185" t="e">
        <f>SUM(DN272:DO272)-SUM(#REF!,BV272)+BU272</f>
        <v>#REF!</v>
      </c>
      <c r="DG272" s="223"/>
      <c r="DH272" s="241">
        <f t="shared" si="135"/>
        <v>23.90099</v>
      </c>
      <c r="DI272" s="241">
        <f t="shared" si="136"/>
        <v>43.574770000000001</v>
      </c>
      <c r="DJ272" s="241">
        <f t="shared" si="137"/>
        <v>3.4774699999999998</v>
      </c>
      <c r="DK272" s="241" t="e">
        <f>SUM(BS272,#REF!,BV272)</f>
        <v>#REF!</v>
      </c>
      <c r="DL272" s="155">
        <v>213.85</v>
      </c>
      <c r="DM272" s="155">
        <v>206.78235000000001</v>
      </c>
      <c r="DN272" s="155">
        <v>0</v>
      </c>
      <c r="DO272" s="155">
        <v>0</v>
      </c>
      <c r="DP272" s="155">
        <v>206.78235000000001</v>
      </c>
      <c r="DQ272" s="155">
        <v>7.0676499999999995</v>
      </c>
      <c r="DR272" s="23">
        <f>VLOOKUP(C272,[6]Database!$B$143:$AD$521,29,FALSE)</f>
        <v>0</v>
      </c>
      <c r="DS272" s="235">
        <f>BY272-DR272</f>
        <v>0</v>
      </c>
    </row>
    <row r="273" spans="1:123" s="23" customFormat="1" ht="24" customHeight="1">
      <c r="A273" s="18"/>
      <c r="B273" s="2">
        <v>137</v>
      </c>
      <c r="C273" s="86" t="s">
        <v>261</v>
      </c>
      <c r="D273" s="86"/>
      <c r="E273" s="86" t="s">
        <v>888</v>
      </c>
      <c r="F273" s="41">
        <v>2019</v>
      </c>
      <c r="G273" s="42">
        <v>43716</v>
      </c>
      <c r="H273" s="192">
        <v>43771</v>
      </c>
      <c r="I273" s="42">
        <v>44321</v>
      </c>
      <c r="J273" s="15">
        <f t="shared" ca="1" si="114"/>
        <v>550</v>
      </c>
      <c r="K273" s="177">
        <f t="shared" si="127"/>
        <v>44318</v>
      </c>
      <c r="L273" s="177">
        <f t="shared" si="128"/>
        <v>44501</v>
      </c>
      <c r="M273" s="183"/>
      <c r="N273" s="183" t="s">
        <v>609</v>
      </c>
      <c r="O273" s="275" t="s">
        <v>609</v>
      </c>
      <c r="P273" s="276" t="s">
        <v>1395</v>
      </c>
      <c r="Q273" s="183"/>
      <c r="R273" s="41" t="s">
        <v>176</v>
      </c>
      <c r="S273" s="13" t="s">
        <v>222</v>
      </c>
      <c r="T273" s="43" t="s">
        <v>981</v>
      </c>
      <c r="U273" s="5" t="s">
        <v>9</v>
      </c>
      <c r="V273" s="268">
        <v>2357502</v>
      </c>
      <c r="W273" s="5" t="s">
        <v>614</v>
      </c>
      <c r="X273" s="5" t="s">
        <v>474</v>
      </c>
      <c r="Y273" s="5" t="s">
        <v>260</v>
      </c>
      <c r="Z273" s="3" t="s">
        <v>187</v>
      </c>
      <c r="AA273" s="45" t="s">
        <v>218</v>
      </c>
      <c r="AB273" s="151" t="s">
        <v>197</v>
      </c>
      <c r="AC273" s="177" t="s">
        <v>6</v>
      </c>
      <c r="AD273" s="177">
        <v>44469</v>
      </c>
      <c r="AE273" s="177">
        <f t="shared" si="129"/>
        <v>44469</v>
      </c>
      <c r="AF273" s="5"/>
      <c r="AG273" s="43"/>
      <c r="AH273" s="228"/>
      <c r="AI273" s="125"/>
      <c r="AJ273" s="125"/>
      <c r="AK273" s="237" t="e">
        <f>SUM(#REF!,BT273,BV273)</f>
        <v>#REF!</v>
      </c>
      <c r="AL273" s="165" t="s">
        <v>1188</v>
      </c>
      <c r="AM273" s="165" t="s">
        <v>1188</v>
      </c>
      <c r="AN273" s="165" t="s">
        <v>1188</v>
      </c>
      <c r="AO273" s="165" t="s">
        <v>602</v>
      </c>
      <c r="AP273" s="165" t="s">
        <v>602</v>
      </c>
      <c r="AQ273" s="165" t="s">
        <v>602</v>
      </c>
      <c r="AR273" s="57">
        <v>0</v>
      </c>
      <c r="AS273" s="56">
        <v>130.12182999999999</v>
      </c>
      <c r="AT273" s="56">
        <v>98.993009999999984</v>
      </c>
      <c r="AU273" s="56">
        <v>32.894840000000002</v>
      </c>
      <c r="AV273" s="47">
        <v>138.869</v>
      </c>
      <c r="AW273" s="47">
        <v>4.6900000000000004</v>
      </c>
      <c r="AX273" s="97">
        <f t="shared" si="130"/>
        <v>143.559</v>
      </c>
      <c r="AY273" s="169">
        <f t="shared" si="122"/>
        <v>34.289530000000006</v>
      </c>
      <c r="AZ273" s="196">
        <v>2</v>
      </c>
      <c r="BA273" s="170">
        <v>-0.10516</v>
      </c>
      <c r="BB273" s="196">
        <v>2</v>
      </c>
      <c r="BC273" s="171">
        <v>3.8984899999999998</v>
      </c>
      <c r="BD273" s="196">
        <v>0</v>
      </c>
      <c r="BE273" s="170">
        <v>9.5626200000000008</v>
      </c>
      <c r="BF273" s="196">
        <v>3.6099899999999998</v>
      </c>
      <c r="BG273" s="170">
        <v>2.5693699999999997</v>
      </c>
      <c r="BH273" s="196">
        <v>12.7</v>
      </c>
      <c r="BI273" s="171">
        <v>10.08849</v>
      </c>
      <c r="BJ273" s="196">
        <v>8</v>
      </c>
      <c r="BK273" s="170">
        <v>0.26027999999999996</v>
      </c>
      <c r="BL273" s="197">
        <v>7.7</v>
      </c>
      <c r="BM273" s="170"/>
      <c r="BN273" s="197">
        <v>7.7</v>
      </c>
      <c r="BO273" s="170">
        <v>0.63800999999999997</v>
      </c>
      <c r="BP273" s="196">
        <v>7.1</v>
      </c>
      <c r="BQ273" s="170">
        <v>7.0303599999999999</v>
      </c>
      <c r="BR273" s="196">
        <f>1-0.2</f>
        <v>0.8</v>
      </c>
      <c r="BS273" s="170"/>
      <c r="BT273" s="196">
        <v>0.8</v>
      </c>
      <c r="BU273" s="170">
        <v>0.56973999999999991</v>
      </c>
      <c r="BV273" s="196"/>
      <c r="BW273" s="251">
        <v>-0.22267000000000003</v>
      </c>
      <c r="BX273" s="254">
        <v>-0.22267000000000003</v>
      </c>
      <c r="BY273" s="88">
        <f t="shared" si="123"/>
        <v>0</v>
      </c>
      <c r="BZ273" s="259"/>
      <c r="CA273" s="259"/>
      <c r="CB273" s="259"/>
      <c r="CC273" s="259"/>
      <c r="CD273" s="259"/>
      <c r="CE273" s="259"/>
      <c r="CF273" s="259"/>
      <c r="CG273" s="259"/>
      <c r="CH273" s="259"/>
      <c r="CI273" s="259"/>
      <c r="CJ273" s="259"/>
      <c r="CK273" s="259"/>
      <c r="CL273" s="211">
        <f t="shared" si="125"/>
        <v>0</v>
      </c>
      <c r="CM273" s="213"/>
      <c r="CN273" s="213"/>
      <c r="CO273" s="213"/>
      <c r="CP273" s="213"/>
      <c r="CQ273" s="213"/>
      <c r="CR273" s="213"/>
      <c r="CS273" s="213"/>
      <c r="CT273" s="213"/>
      <c r="CU273" s="213"/>
      <c r="CV273" s="213"/>
      <c r="CW273" s="213"/>
      <c r="CX273" s="213"/>
      <c r="CY273" s="216">
        <f t="shared" si="131"/>
        <v>0.22267000000000003</v>
      </c>
      <c r="CZ273" s="185">
        <f t="shared" si="124"/>
        <v>0</v>
      </c>
      <c r="DA273" s="217">
        <f t="shared" si="132"/>
        <v>34.512200000000007</v>
      </c>
      <c r="DB273" s="217">
        <f t="shared" si="133"/>
        <v>-0.22267000000000003</v>
      </c>
      <c r="DC273" s="217">
        <f>SUM(AY273,BY273)</f>
        <v>34.289530000000006</v>
      </c>
      <c r="DD273" s="256">
        <v>34.742460000000001</v>
      </c>
      <c r="DE273" s="217">
        <f t="shared" si="134"/>
        <v>-0.45292999999999495</v>
      </c>
      <c r="DF273" s="185" t="e">
        <f>SUM(DN273:DO273)-SUM(#REF!,BV273)+BU273</f>
        <v>#REF!</v>
      </c>
      <c r="DG273" s="223"/>
      <c r="DH273" s="241">
        <f t="shared" si="135"/>
        <v>13.35595</v>
      </c>
      <c r="DI273" s="241">
        <f t="shared" si="136"/>
        <v>12.918139999999999</v>
      </c>
      <c r="DJ273" s="241">
        <f t="shared" si="137"/>
        <v>7.6683699999999995</v>
      </c>
      <c r="DK273" s="241" t="e">
        <f>SUM(BS273,#REF!,BV273)</f>
        <v>#REF!</v>
      </c>
      <c r="DL273" s="155">
        <v>138.869</v>
      </c>
      <c r="DM273" s="155">
        <v>133.11342999999999</v>
      </c>
      <c r="DN273" s="155">
        <v>0</v>
      </c>
      <c r="DO273" s="155">
        <v>0</v>
      </c>
      <c r="DP273" s="155">
        <v>133.11342999999999</v>
      </c>
      <c r="DQ273" s="155">
        <v>5.7555699999999996</v>
      </c>
      <c r="DR273" s="23">
        <f>VLOOKUP(C273,[6]Database!$B$143:$AD$521,29,FALSE)</f>
        <v>0</v>
      </c>
      <c r="DS273" s="235">
        <f>BY273-DR273</f>
        <v>0</v>
      </c>
    </row>
    <row r="274" spans="1:123" s="23" customFormat="1" ht="24" customHeight="1">
      <c r="A274" s="18"/>
      <c r="B274" s="2">
        <v>234</v>
      </c>
      <c r="C274" s="86" t="s">
        <v>1152</v>
      </c>
      <c r="D274" s="153" t="s">
        <v>1264</v>
      </c>
      <c r="E274" s="86"/>
      <c r="F274" s="41">
        <v>2021</v>
      </c>
      <c r="G274" s="42">
        <v>44448</v>
      </c>
      <c r="H274" s="192">
        <v>44483</v>
      </c>
      <c r="I274" s="42"/>
      <c r="J274" s="15">
        <f t="shared" ca="1" si="114"/>
        <v>-816.40661944444582</v>
      </c>
      <c r="K274" s="177">
        <f t="shared" si="127"/>
        <v>45030</v>
      </c>
      <c r="L274" s="177">
        <f t="shared" si="128"/>
        <v>45213</v>
      </c>
      <c r="M274" s="183"/>
      <c r="N274" s="183"/>
      <c r="O274" s="183"/>
      <c r="P274" s="183"/>
      <c r="Q274" s="183"/>
      <c r="R274" s="41" t="s">
        <v>176</v>
      </c>
      <c r="S274" s="13" t="s">
        <v>224</v>
      </c>
      <c r="T274" s="13" t="s">
        <v>979</v>
      </c>
      <c r="U274" s="5" t="s">
        <v>8</v>
      </c>
      <c r="V274" s="268">
        <v>4741958</v>
      </c>
      <c r="W274" s="5" t="s">
        <v>614</v>
      </c>
      <c r="X274" s="5" t="s">
        <v>946</v>
      </c>
      <c r="Y274" s="5" t="s">
        <v>987</v>
      </c>
      <c r="Z274" s="3" t="s">
        <v>316</v>
      </c>
      <c r="AA274" s="45" t="s">
        <v>463</v>
      </c>
      <c r="AB274" s="152" t="s">
        <v>1497</v>
      </c>
      <c r="AC274" s="177">
        <v>45016</v>
      </c>
      <c r="AD274" s="177">
        <v>45168</v>
      </c>
      <c r="AE274" s="177">
        <f t="shared" si="129"/>
        <v>45169</v>
      </c>
      <c r="AF274" s="5"/>
      <c r="AG274" s="43"/>
      <c r="AH274" s="228"/>
      <c r="AI274" s="125"/>
      <c r="AJ274" s="125"/>
      <c r="AK274" s="237" t="e">
        <f>SUM(#REF!,BT274,BV274)</f>
        <v>#REF!</v>
      </c>
      <c r="AL274" s="179"/>
      <c r="AM274" s="179"/>
      <c r="AN274" s="179"/>
      <c r="AO274" s="179"/>
      <c r="AP274" s="179"/>
      <c r="AQ274" s="179"/>
      <c r="AR274" s="57"/>
      <c r="AS274" s="56"/>
      <c r="AT274" s="56"/>
      <c r="AU274" s="56"/>
      <c r="AV274" s="47">
        <v>715</v>
      </c>
      <c r="AW274" s="47">
        <v>8.1999999999999993</v>
      </c>
      <c r="AX274" s="97">
        <f t="shared" si="130"/>
        <v>723.2</v>
      </c>
      <c r="AY274" s="169">
        <f t="shared" si="122"/>
        <v>12.11361</v>
      </c>
      <c r="AZ274" s="196"/>
      <c r="BA274" s="170"/>
      <c r="BB274" s="196"/>
      <c r="BC274" s="171"/>
      <c r="BD274" s="196"/>
      <c r="BE274" s="170"/>
      <c r="BF274" s="196"/>
      <c r="BG274" s="170"/>
      <c r="BH274" s="196"/>
      <c r="BI274" s="171"/>
      <c r="BJ274" s="196"/>
      <c r="BK274" s="170"/>
      <c r="BL274" s="197"/>
      <c r="BM274" s="170"/>
      <c r="BN274" s="197"/>
      <c r="BO274" s="170"/>
      <c r="BP274" s="196"/>
      <c r="BQ274" s="170"/>
      <c r="BR274" s="196"/>
      <c r="BS274" s="170"/>
      <c r="BT274" s="196"/>
      <c r="BU274" s="170">
        <v>3.1735100000000003</v>
      </c>
      <c r="BV274" s="196">
        <v>4.7</v>
      </c>
      <c r="BW274" s="251">
        <v>8.9400999999999993</v>
      </c>
      <c r="BX274" s="254">
        <v>8.9400999999999993</v>
      </c>
      <c r="BY274" s="88">
        <f t="shared" si="123"/>
        <v>700.67755999999997</v>
      </c>
      <c r="BZ274" s="259"/>
      <c r="CA274" s="259"/>
      <c r="CB274" s="259">
        <f>16.97756-5-1.1-2.5-0.7</f>
        <v>7.6775600000000006</v>
      </c>
      <c r="CC274" s="259">
        <f>30+100</f>
        <v>130</v>
      </c>
      <c r="CD274" s="259">
        <v>10</v>
      </c>
      <c r="CE274" s="259">
        <f>486-102</f>
        <v>384</v>
      </c>
      <c r="CF274" s="259">
        <v>50</v>
      </c>
      <c r="CG274" s="259">
        <v>50</v>
      </c>
      <c r="CH274" s="259">
        <v>50</v>
      </c>
      <c r="CI274" s="259">
        <v>12</v>
      </c>
      <c r="CJ274" s="259">
        <v>7</v>
      </c>
      <c r="CK274" s="259"/>
      <c r="CL274" s="211">
        <f t="shared" si="125"/>
        <v>0</v>
      </c>
      <c r="CM274" s="213"/>
      <c r="CN274" s="213"/>
      <c r="CO274" s="213"/>
      <c r="CP274" s="213"/>
      <c r="CQ274" s="213"/>
      <c r="CR274" s="213"/>
      <c r="CS274" s="213"/>
      <c r="CT274" s="213"/>
      <c r="CU274" s="213"/>
      <c r="CV274" s="213"/>
      <c r="CW274" s="213"/>
      <c r="CX274" s="213"/>
      <c r="CY274" s="216">
        <f t="shared" si="131"/>
        <v>-4.2400999999999991</v>
      </c>
      <c r="CZ274" s="185">
        <f t="shared" si="124"/>
        <v>0</v>
      </c>
      <c r="DA274" s="217">
        <f t="shared" si="132"/>
        <v>3.1735100000000003</v>
      </c>
      <c r="DB274" s="217">
        <f t="shared" si="133"/>
        <v>8.9400999999999993</v>
      </c>
      <c r="DC274" s="217">
        <f>SUM(AY274,BY274)</f>
        <v>712.79116999999997</v>
      </c>
      <c r="DD274" s="256">
        <v>613</v>
      </c>
      <c r="DE274" s="217">
        <f t="shared" si="134"/>
        <v>99.791169999999966</v>
      </c>
      <c r="DF274" s="185" t="e">
        <f>SUM(DN274:DO274)-SUM(#REF!,BV274)+BU274</f>
        <v>#REF!</v>
      </c>
      <c r="DG274" s="223"/>
      <c r="DH274" s="241">
        <f t="shared" si="135"/>
        <v>0</v>
      </c>
      <c r="DI274" s="241">
        <f t="shared" si="136"/>
        <v>0</v>
      </c>
      <c r="DJ274" s="241">
        <f t="shared" si="137"/>
        <v>0</v>
      </c>
      <c r="DK274" s="241" t="e">
        <f>SUM(BS274,#REF!,BV274)</f>
        <v>#REF!</v>
      </c>
      <c r="DL274" s="155">
        <v>715</v>
      </c>
      <c r="DM274" s="155">
        <v>11.45951</v>
      </c>
      <c r="DN274" s="155">
        <v>7.5108000000000006</v>
      </c>
      <c r="DO274" s="155">
        <v>0</v>
      </c>
      <c r="DP274" s="155">
        <v>18.970310000000001</v>
      </c>
      <c r="DQ274" s="155">
        <v>696.02968999999996</v>
      </c>
      <c r="DR274" s="23">
        <f>VLOOKUP(C274,[6]Database!$B$143:$AD$521,29,FALSE)</f>
        <v>715</v>
      </c>
      <c r="DS274" s="235">
        <f>BY274-DR274</f>
        <v>-14.322440000000029</v>
      </c>
    </row>
  </sheetData>
  <autoFilter ref="A5:DS274" xr:uid="{3656792C-27F1-4799-B5A6-7E674206C18F}">
    <filterColumn colId="22">
      <filters>
        <filter val="PROJETO"/>
      </filters>
    </filterColumn>
  </autoFilter>
  <mergeCells count="27">
    <mergeCell ref="DM3:DM4"/>
    <mergeCell ref="DN3:DN4"/>
    <mergeCell ref="DO3:DO4"/>
    <mergeCell ref="DP3:DP4"/>
    <mergeCell ref="DQ3:DQ4"/>
    <mergeCell ref="DL3:DL4"/>
    <mergeCell ref="CC3:CE4"/>
    <mergeCell ref="CF3:CH4"/>
    <mergeCell ref="CI3:CK4"/>
    <mergeCell ref="CL3:CL4"/>
    <mergeCell ref="CM3:CO4"/>
    <mergeCell ref="CP3:CR4"/>
    <mergeCell ref="CS3:CU4"/>
    <mergeCell ref="CV3:CX4"/>
    <mergeCell ref="CY3:CY4"/>
    <mergeCell ref="DB3:DB4"/>
    <mergeCell ref="DF3:DF4"/>
    <mergeCell ref="AY2:BV2"/>
    <mergeCell ref="BY2:CK2"/>
    <mergeCell ref="CL2:CX2"/>
    <mergeCell ref="AY3:AY4"/>
    <mergeCell ref="AZ3:BE4"/>
    <mergeCell ref="BF3:BK4"/>
    <mergeCell ref="BL3:BQ4"/>
    <mergeCell ref="BR3:BX4"/>
    <mergeCell ref="BY3:BY4"/>
    <mergeCell ref="BZ3:CB4"/>
  </mergeCells>
  <conditionalFormatting sqref="AL162:AN162 AL190:AN190 AL134:AQ134 AL113:AQ132 AL104:AQ111 AL7:AQ102 AL136:AQ161 AL163:AQ179 AL181:AQ189 AL191:AQ192 AL195:AQ274 CL6:CL274 CY6:DK274 AR6:AY274 BY6:BY274">
    <cfRule type="cellIs" dxfId="4055" priority="925" operator="equal">
      <formula>"Behind Schedule"</formula>
    </cfRule>
    <cfRule type="cellIs" dxfId="4054" priority="926" operator="equal">
      <formula>"TBD"</formula>
    </cfRule>
    <cfRule type="cellIs" dxfId="4053" priority="927" operator="equal">
      <formula>"In Progress"</formula>
    </cfRule>
    <cfRule type="cellIs" dxfId="4052" priority="928" operator="equal">
      <formula>"Completed"</formula>
    </cfRule>
  </conditionalFormatting>
  <conditionalFormatting sqref="J6:J274">
    <cfRule type="cellIs" dxfId="4051" priority="922" operator="greaterThan">
      <formula>547</formula>
    </cfRule>
    <cfRule type="cellIs" dxfId="4050" priority="923" operator="lessThan">
      <formula>-1</formula>
    </cfRule>
    <cfRule type="cellIs" dxfId="4049" priority="924" operator="between">
      <formula>1</formula>
      <formula>547</formula>
    </cfRule>
    <cfRule type="containsBlanks" dxfId="4048" priority="929">
      <formula>LEN(TRIM(J6))=0</formula>
    </cfRule>
  </conditionalFormatting>
  <conditionalFormatting sqref="AA177 AA121 AA123:AA126 AA130 AA145 AA109:AA118 AA147:AA152 AA132:AA143 AA128 AA180:AA231 AA233:AA253 AA154:AA175 AA255:AA274 AA54:AA106 AA9:AA52">
    <cfRule type="cellIs" dxfId="4047" priority="919" operator="equal">
      <formula>"EM EXECUÇÃO"</formula>
    </cfRule>
    <cfRule type="cellIs" dxfId="4046" priority="920" operator="equal">
      <formula>"CLSD"</formula>
    </cfRule>
    <cfRule type="cellIs" dxfId="4045" priority="921" operator="equal">
      <formula>"TECO"</formula>
    </cfRule>
  </conditionalFormatting>
  <conditionalFormatting sqref="AA177 AA121 AA123:AA126 AA130 AA145 AA109:AA118 AA147:AA152 AA132:AA143 AA128 AA180:AA231 AA233:AA253 AA154:AA175 AA255:AA274 AA54:AA106 AA9:AA52">
    <cfRule type="cellIs" dxfId="4044" priority="918" operator="equal">
      <formula>"CANCELADO"</formula>
    </cfRule>
  </conditionalFormatting>
  <conditionalFormatting sqref="AA177 AA121 AA123:AA126 AA180:AA208 AA130 AA145 AA109:AA118 AA147:AA152 AA132:AA143 AA128 AA244:AA253 AA154:AA175 AA255:AA274 AA54:AA106 AA9:AA52">
    <cfRule type="expression" dxfId="4043" priority="917">
      <formula>"EM ESTUDO"</formula>
    </cfRule>
  </conditionalFormatting>
  <conditionalFormatting sqref="AA177 AA121 AA123:AA126 AA130 AA145 AA109:AA118 AA147:AA152 AA132:AA143 AA128 AA180:AA231 AA233:AA253 AA154:AA175 AA255:AA274 AA54:AA106 AA6:AA52">
    <cfRule type="cellIs" dxfId="4042" priority="913" operator="equal">
      <formula>"CLSD"</formula>
    </cfRule>
    <cfRule type="cellIs" dxfId="4041" priority="914" operator="equal">
      <formula>"TECO"</formula>
    </cfRule>
    <cfRule type="cellIs" dxfId="4040" priority="915" operator="equal">
      <formula>"REL"</formula>
    </cfRule>
    <cfRule type="cellIs" dxfId="4039" priority="916" operator="equal">
      <formula>"CRTD"</formula>
    </cfRule>
  </conditionalFormatting>
  <conditionalFormatting sqref="AX62">
    <cfRule type="cellIs" dxfId="4038" priority="909" operator="equal">
      <formula>"Behind Schedule"</formula>
    </cfRule>
    <cfRule type="cellIs" dxfId="4037" priority="910" operator="equal">
      <formula>"TBD"</formula>
    </cfRule>
    <cfRule type="cellIs" dxfId="4036" priority="911" operator="equal">
      <formula>"In Progress"</formula>
    </cfRule>
    <cfRule type="cellIs" dxfId="4035" priority="912" operator="equal">
      <formula>"Completed"</formula>
    </cfRule>
  </conditionalFormatting>
  <conditionalFormatting sqref="AX60">
    <cfRule type="cellIs" dxfId="4034" priority="905" operator="equal">
      <formula>"Behind Schedule"</formula>
    </cfRule>
    <cfRule type="cellIs" dxfId="4033" priority="906" operator="equal">
      <formula>"TBD"</formula>
    </cfRule>
    <cfRule type="cellIs" dxfId="4032" priority="907" operator="equal">
      <formula>"In Progress"</formula>
    </cfRule>
    <cfRule type="cellIs" dxfId="4031" priority="908" operator="equal">
      <formula>"Completed"</formula>
    </cfRule>
  </conditionalFormatting>
  <conditionalFormatting sqref="AX90">
    <cfRule type="cellIs" dxfId="4030" priority="901" operator="equal">
      <formula>"Behind Schedule"</formula>
    </cfRule>
    <cfRule type="cellIs" dxfId="4029" priority="902" operator="equal">
      <formula>"TBD"</formula>
    </cfRule>
    <cfRule type="cellIs" dxfId="4028" priority="903" operator="equal">
      <formula>"In Progress"</formula>
    </cfRule>
    <cfRule type="cellIs" dxfId="4027" priority="904" operator="equal">
      <formula>"Completed"</formula>
    </cfRule>
  </conditionalFormatting>
  <conditionalFormatting sqref="AX133">
    <cfRule type="cellIs" dxfId="4026" priority="897" operator="equal">
      <formula>"Behind Schedule"</formula>
    </cfRule>
    <cfRule type="cellIs" dxfId="4025" priority="898" operator="equal">
      <formula>"TBD"</formula>
    </cfRule>
    <cfRule type="cellIs" dxfId="4024" priority="899" operator="equal">
      <formula>"In Progress"</formula>
    </cfRule>
    <cfRule type="cellIs" dxfId="4023" priority="900" operator="equal">
      <formula>"Completed"</formula>
    </cfRule>
  </conditionalFormatting>
  <conditionalFormatting sqref="AX65">
    <cfRule type="cellIs" dxfId="4022" priority="893" operator="equal">
      <formula>"Behind Schedule"</formula>
    </cfRule>
    <cfRule type="cellIs" dxfId="4021" priority="894" operator="equal">
      <formula>"TBD"</formula>
    </cfRule>
    <cfRule type="cellIs" dxfId="4020" priority="895" operator="equal">
      <formula>"In Progress"</formula>
    </cfRule>
    <cfRule type="cellIs" dxfId="4019" priority="896" operator="equal">
      <formula>"Completed"</formula>
    </cfRule>
  </conditionalFormatting>
  <conditionalFormatting sqref="AX59">
    <cfRule type="cellIs" dxfId="4018" priority="889" operator="equal">
      <formula>"Behind Schedule"</formula>
    </cfRule>
    <cfRule type="cellIs" dxfId="4017" priority="890" operator="equal">
      <formula>"TBD"</formula>
    </cfRule>
    <cfRule type="cellIs" dxfId="4016" priority="891" operator="equal">
      <formula>"In Progress"</formula>
    </cfRule>
    <cfRule type="cellIs" dxfId="4015" priority="892" operator="equal">
      <formula>"Completed"</formula>
    </cfRule>
  </conditionalFormatting>
  <conditionalFormatting sqref="AX64">
    <cfRule type="cellIs" dxfId="4014" priority="885" operator="equal">
      <formula>"Behind Schedule"</formula>
    </cfRule>
    <cfRule type="cellIs" dxfId="4013" priority="886" operator="equal">
      <formula>"TBD"</formula>
    </cfRule>
    <cfRule type="cellIs" dxfId="4012" priority="887" operator="equal">
      <formula>"In Progress"</formula>
    </cfRule>
    <cfRule type="cellIs" dxfId="4011" priority="888" operator="equal">
      <formula>"Completed"</formula>
    </cfRule>
  </conditionalFormatting>
  <conditionalFormatting sqref="AX69">
    <cfRule type="cellIs" dxfId="4010" priority="881" operator="equal">
      <formula>"Behind Schedule"</formula>
    </cfRule>
    <cfRule type="cellIs" dxfId="4009" priority="882" operator="equal">
      <formula>"TBD"</formula>
    </cfRule>
    <cfRule type="cellIs" dxfId="4008" priority="883" operator="equal">
      <formula>"In Progress"</formula>
    </cfRule>
    <cfRule type="cellIs" dxfId="4007" priority="884" operator="equal">
      <formula>"Completed"</formula>
    </cfRule>
  </conditionalFormatting>
  <conditionalFormatting sqref="AX68">
    <cfRule type="cellIs" dxfId="4006" priority="877" operator="equal">
      <formula>"Behind Schedule"</formula>
    </cfRule>
    <cfRule type="cellIs" dxfId="4005" priority="878" operator="equal">
      <formula>"TBD"</formula>
    </cfRule>
    <cfRule type="cellIs" dxfId="4004" priority="879" operator="equal">
      <formula>"In Progress"</formula>
    </cfRule>
    <cfRule type="cellIs" dxfId="4003" priority="880" operator="equal">
      <formula>"Completed"</formula>
    </cfRule>
  </conditionalFormatting>
  <conditionalFormatting sqref="AX66">
    <cfRule type="cellIs" dxfId="4002" priority="873" operator="equal">
      <formula>"Behind Schedule"</formula>
    </cfRule>
    <cfRule type="cellIs" dxfId="4001" priority="874" operator="equal">
      <formula>"TBD"</formula>
    </cfRule>
    <cfRule type="cellIs" dxfId="4000" priority="875" operator="equal">
      <formula>"In Progress"</formula>
    </cfRule>
    <cfRule type="cellIs" dxfId="3999" priority="876" operator="equal">
      <formula>"Completed"</formula>
    </cfRule>
  </conditionalFormatting>
  <conditionalFormatting sqref="AX67">
    <cfRule type="cellIs" dxfId="3998" priority="869" operator="equal">
      <formula>"Behind Schedule"</formula>
    </cfRule>
    <cfRule type="cellIs" dxfId="3997" priority="870" operator="equal">
      <formula>"TBD"</formula>
    </cfRule>
    <cfRule type="cellIs" dxfId="3996" priority="871" operator="equal">
      <formula>"In Progress"</formula>
    </cfRule>
    <cfRule type="cellIs" dxfId="3995" priority="872" operator="equal">
      <formula>"Completed"</formula>
    </cfRule>
  </conditionalFormatting>
  <conditionalFormatting sqref="AX86">
    <cfRule type="cellIs" dxfId="3994" priority="865" operator="equal">
      <formula>"Behind Schedule"</formula>
    </cfRule>
    <cfRule type="cellIs" dxfId="3993" priority="866" operator="equal">
      <formula>"TBD"</formula>
    </cfRule>
    <cfRule type="cellIs" dxfId="3992" priority="867" operator="equal">
      <formula>"In Progress"</formula>
    </cfRule>
    <cfRule type="cellIs" dxfId="3991" priority="868" operator="equal">
      <formula>"Completed"</formula>
    </cfRule>
  </conditionalFormatting>
  <conditionalFormatting sqref="AX87">
    <cfRule type="cellIs" dxfId="3990" priority="861" operator="equal">
      <formula>"Behind Schedule"</formula>
    </cfRule>
    <cfRule type="cellIs" dxfId="3989" priority="862" operator="equal">
      <formula>"TBD"</formula>
    </cfRule>
    <cfRule type="cellIs" dxfId="3988" priority="863" operator="equal">
      <formula>"In Progress"</formula>
    </cfRule>
    <cfRule type="cellIs" dxfId="3987" priority="864" operator="equal">
      <formula>"Completed"</formula>
    </cfRule>
  </conditionalFormatting>
  <conditionalFormatting sqref="AX88">
    <cfRule type="cellIs" dxfId="3986" priority="857" operator="equal">
      <formula>"Behind Schedule"</formula>
    </cfRule>
    <cfRule type="cellIs" dxfId="3985" priority="858" operator="equal">
      <formula>"TBD"</formula>
    </cfRule>
    <cfRule type="cellIs" dxfId="3984" priority="859" operator="equal">
      <formula>"In Progress"</formula>
    </cfRule>
    <cfRule type="cellIs" dxfId="3983" priority="860" operator="equal">
      <formula>"Completed"</formula>
    </cfRule>
  </conditionalFormatting>
  <conditionalFormatting sqref="AX89">
    <cfRule type="cellIs" dxfId="3982" priority="853" operator="equal">
      <formula>"Behind Schedule"</formula>
    </cfRule>
    <cfRule type="cellIs" dxfId="3981" priority="854" operator="equal">
      <formula>"TBD"</formula>
    </cfRule>
    <cfRule type="cellIs" dxfId="3980" priority="855" operator="equal">
      <formula>"In Progress"</formula>
    </cfRule>
    <cfRule type="cellIs" dxfId="3979" priority="856" operator="equal">
      <formula>"Completed"</formula>
    </cfRule>
  </conditionalFormatting>
  <conditionalFormatting sqref="AX81">
    <cfRule type="cellIs" dxfId="3978" priority="849" operator="equal">
      <formula>"Behind Schedule"</formula>
    </cfRule>
    <cfRule type="cellIs" dxfId="3977" priority="850" operator="equal">
      <formula>"TBD"</formula>
    </cfRule>
    <cfRule type="cellIs" dxfId="3976" priority="851" operator="equal">
      <formula>"In Progress"</formula>
    </cfRule>
    <cfRule type="cellIs" dxfId="3975" priority="852" operator="equal">
      <formula>"Completed"</formula>
    </cfRule>
  </conditionalFormatting>
  <conditionalFormatting sqref="AX82">
    <cfRule type="cellIs" dxfId="3974" priority="845" operator="equal">
      <formula>"Behind Schedule"</formula>
    </cfRule>
    <cfRule type="cellIs" dxfId="3973" priority="846" operator="equal">
      <formula>"TBD"</formula>
    </cfRule>
    <cfRule type="cellIs" dxfId="3972" priority="847" operator="equal">
      <formula>"In Progress"</formula>
    </cfRule>
    <cfRule type="cellIs" dxfId="3971" priority="848" operator="equal">
      <formula>"Completed"</formula>
    </cfRule>
  </conditionalFormatting>
  <conditionalFormatting sqref="AX83">
    <cfRule type="cellIs" dxfId="3970" priority="841" operator="equal">
      <formula>"Behind Schedule"</formula>
    </cfRule>
    <cfRule type="cellIs" dxfId="3969" priority="842" operator="equal">
      <formula>"TBD"</formula>
    </cfRule>
    <cfRule type="cellIs" dxfId="3968" priority="843" operator="equal">
      <formula>"In Progress"</formula>
    </cfRule>
    <cfRule type="cellIs" dxfId="3967" priority="844" operator="equal">
      <formula>"Completed"</formula>
    </cfRule>
  </conditionalFormatting>
  <conditionalFormatting sqref="AX84:AX85">
    <cfRule type="cellIs" dxfId="3966" priority="837" operator="equal">
      <formula>"Behind Schedule"</formula>
    </cfRule>
    <cfRule type="cellIs" dxfId="3965" priority="838" operator="equal">
      <formula>"TBD"</formula>
    </cfRule>
    <cfRule type="cellIs" dxfId="3964" priority="839" operator="equal">
      <formula>"In Progress"</formula>
    </cfRule>
    <cfRule type="cellIs" dxfId="3963" priority="840" operator="equal">
      <formula>"Completed"</formula>
    </cfRule>
  </conditionalFormatting>
  <conditionalFormatting sqref="AX77">
    <cfRule type="cellIs" dxfId="3962" priority="833" operator="equal">
      <formula>"Behind Schedule"</formula>
    </cfRule>
    <cfRule type="cellIs" dxfId="3961" priority="834" operator="equal">
      <formula>"TBD"</formula>
    </cfRule>
    <cfRule type="cellIs" dxfId="3960" priority="835" operator="equal">
      <formula>"In Progress"</formula>
    </cfRule>
    <cfRule type="cellIs" dxfId="3959" priority="836" operator="equal">
      <formula>"Completed"</formula>
    </cfRule>
  </conditionalFormatting>
  <conditionalFormatting sqref="AX78">
    <cfRule type="cellIs" dxfId="3958" priority="829" operator="equal">
      <formula>"Behind Schedule"</formula>
    </cfRule>
    <cfRule type="cellIs" dxfId="3957" priority="830" operator="equal">
      <formula>"TBD"</formula>
    </cfRule>
    <cfRule type="cellIs" dxfId="3956" priority="831" operator="equal">
      <formula>"In Progress"</formula>
    </cfRule>
    <cfRule type="cellIs" dxfId="3955" priority="832" operator="equal">
      <formula>"Completed"</formula>
    </cfRule>
  </conditionalFormatting>
  <conditionalFormatting sqref="AX79">
    <cfRule type="cellIs" dxfId="3954" priority="825" operator="equal">
      <formula>"Behind Schedule"</formula>
    </cfRule>
    <cfRule type="cellIs" dxfId="3953" priority="826" operator="equal">
      <formula>"TBD"</formula>
    </cfRule>
    <cfRule type="cellIs" dxfId="3952" priority="827" operator="equal">
      <formula>"In Progress"</formula>
    </cfRule>
    <cfRule type="cellIs" dxfId="3951" priority="828" operator="equal">
      <formula>"Completed"</formula>
    </cfRule>
  </conditionalFormatting>
  <conditionalFormatting sqref="AX80">
    <cfRule type="cellIs" dxfId="3950" priority="821" operator="equal">
      <formula>"Behind Schedule"</formula>
    </cfRule>
    <cfRule type="cellIs" dxfId="3949" priority="822" operator="equal">
      <formula>"TBD"</formula>
    </cfRule>
    <cfRule type="cellIs" dxfId="3948" priority="823" operator="equal">
      <formula>"In Progress"</formula>
    </cfRule>
    <cfRule type="cellIs" dxfId="3947" priority="824" operator="equal">
      <formula>"Completed"</formula>
    </cfRule>
  </conditionalFormatting>
  <conditionalFormatting sqref="AX70">
    <cfRule type="cellIs" dxfId="3946" priority="817" operator="equal">
      <formula>"Behind Schedule"</formula>
    </cfRule>
    <cfRule type="cellIs" dxfId="3945" priority="818" operator="equal">
      <formula>"TBD"</formula>
    </cfRule>
    <cfRule type="cellIs" dxfId="3944" priority="819" operator="equal">
      <formula>"In Progress"</formula>
    </cfRule>
    <cfRule type="cellIs" dxfId="3943" priority="820" operator="equal">
      <formula>"Completed"</formula>
    </cfRule>
  </conditionalFormatting>
  <conditionalFormatting sqref="AX71:AX74">
    <cfRule type="cellIs" dxfId="3942" priority="813" operator="equal">
      <formula>"Behind Schedule"</formula>
    </cfRule>
    <cfRule type="cellIs" dxfId="3941" priority="814" operator="equal">
      <formula>"TBD"</formula>
    </cfRule>
    <cfRule type="cellIs" dxfId="3940" priority="815" operator="equal">
      <formula>"In Progress"</formula>
    </cfRule>
    <cfRule type="cellIs" dxfId="3939" priority="816" operator="equal">
      <formula>"Completed"</formula>
    </cfRule>
  </conditionalFormatting>
  <conditionalFormatting sqref="AX73:AX74">
    <cfRule type="cellIs" dxfId="3938" priority="809" operator="equal">
      <formula>"Behind Schedule"</formula>
    </cfRule>
    <cfRule type="cellIs" dxfId="3937" priority="810" operator="equal">
      <formula>"TBD"</formula>
    </cfRule>
    <cfRule type="cellIs" dxfId="3936" priority="811" operator="equal">
      <formula>"In Progress"</formula>
    </cfRule>
    <cfRule type="cellIs" dxfId="3935" priority="812" operator="equal">
      <formula>"Completed"</formula>
    </cfRule>
  </conditionalFormatting>
  <conditionalFormatting sqref="AX74">
    <cfRule type="cellIs" dxfId="3934" priority="805" operator="equal">
      <formula>"Behind Schedule"</formula>
    </cfRule>
    <cfRule type="cellIs" dxfId="3933" priority="806" operator="equal">
      <formula>"TBD"</formula>
    </cfRule>
    <cfRule type="cellIs" dxfId="3932" priority="807" operator="equal">
      <formula>"In Progress"</formula>
    </cfRule>
    <cfRule type="cellIs" dxfId="3931" priority="808" operator="equal">
      <formula>"Completed"</formula>
    </cfRule>
  </conditionalFormatting>
  <conditionalFormatting sqref="AX75">
    <cfRule type="cellIs" dxfId="3930" priority="801" operator="equal">
      <formula>"Behind Schedule"</formula>
    </cfRule>
    <cfRule type="cellIs" dxfId="3929" priority="802" operator="equal">
      <formula>"TBD"</formula>
    </cfRule>
    <cfRule type="cellIs" dxfId="3928" priority="803" operator="equal">
      <formula>"In Progress"</formula>
    </cfRule>
    <cfRule type="cellIs" dxfId="3927" priority="804" operator="equal">
      <formula>"Completed"</formula>
    </cfRule>
  </conditionalFormatting>
  <conditionalFormatting sqref="AX76">
    <cfRule type="cellIs" dxfId="3926" priority="797" operator="equal">
      <formula>"Behind Schedule"</formula>
    </cfRule>
    <cfRule type="cellIs" dxfId="3925" priority="798" operator="equal">
      <formula>"TBD"</formula>
    </cfRule>
    <cfRule type="cellIs" dxfId="3924" priority="799" operator="equal">
      <formula>"In Progress"</formula>
    </cfRule>
    <cfRule type="cellIs" dxfId="3923" priority="800" operator="equal">
      <formula>"Completed"</formula>
    </cfRule>
  </conditionalFormatting>
  <conditionalFormatting sqref="AX63">
    <cfRule type="cellIs" dxfId="3922" priority="793" operator="equal">
      <formula>"Behind Schedule"</formula>
    </cfRule>
    <cfRule type="cellIs" dxfId="3921" priority="794" operator="equal">
      <formula>"TBD"</formula>
    </cfRule>
    <cfRule type="cellIs" dxfId="3920" priority="795" operator="equal">
      <formula>"In Progress"</formula>
    </cfRule>
    <cfRule type="cellIs" dxfId="3919" priority="796" operator="equal">
      <formula>"Completed"</formula>
    </cfRule>
  </conditionalFormatting>
  <conditionalFormatting sqref="AX61">
    <cfRule type="cellIs" dxfId="3918" priority="789" operator="equal">
      <formula>"Behind Schedule"</formula>
    </cfRule>
    <cfRule type="cellIs" dxfId="3917" priority="790" operator="equal">
      <formula>"TBD"</formula>
    </cfRule>
    <cfRule type="cellIs" dxfId="3916" priority="791" operator="equal">
      <formula>"In Progress"</formula>
    </cfRule>
    <cfRule type="cellIs" dxfId="3915" priority="792" operator="equal">
      <formula>"Completed"</formula>
    </cfRule>
  </conditionalFormatting>
  <conditionalFormatting sqref="AX91">
    <cfRule type="cellIs" dxfId="3914" priority="785" operator="equal">
      <formula>"Behind Schedule"</formula>
    </cfRule>
    <cfRule type="cellIs" dxfId="3913" priority="786" operator="equal">
      <formula>"TBD"</formula>
    </cfRule>
    <cfRule type="cellIs" dxfId="3912" priority="787" operator="equal">
      <formula>"In Progress"</formula>
    </cfRule>
    <cfRule type="cellIs" dxfId="3911" priority="788" operator="equal">
      <formula>"Completed"</formula>
    </cfRule>
  </conditionalFormatting>
  <conditionalFormatting sqref="AX92">
    <cfRule type="cellIs" dxfId="3910" priority="781" operator="equal">
      <formula>"Behind Schedule"</formula>
    </cfRule>
    <cfRule type="cellIs" dxfId="3909" priority="782" operator="equal">
      <formula>"TBD"</formula>
    </cfRule>
    <cfRule type="cellIs" dxfId="3908" priority="783" operator="equal">
      <formula>"In Progress"</formula>
    </cfRule>
    <cfRule type="cellIs" dxfId="3907" priority="784" operator="equal">
      <formula>"Completed"</formula>
    </cfRule>
  </conditionalFormatting>
  <conditionalFormatting sqref="AX93">
    <cfRule type="cellIs" dxfId="3906" priority="777" operator="equal">
      <formula>"Behind Schedule"</formula>
    </cfRule>
    <cfRule type="cellIs" dxfId="3905" priority="778" operator="equal">
      <formula>"TBD"</formula>
    </cfRule>
    <cfRule type="cellIs" dxfId="3904" priority="779" operator="equal">
      <formula>"In Progress"</formula>
    </cfRule>
    <cfRule type="cellIs" dxfId="3903" priority="780" operator="equal">
      <formula>"Completed"</formula>
    </cfRule>
  </conditionalFormatting>
  <conditionalFormatting sqref="AX94">
    <cfRule type="cellIs" dxfId="3902" priority="773" operator="equal">
      <formula>"Behind Schedule"</formula>
    </cfRule>
    <cfRule type="cellIs" dxfId="3901" priority="774" operator="equal">
      <formula>"TBD"</formula>
    </cfRule>
    <cfRule type="cellIs" dxfId="3900" priority="775" operator="equal">
      <formula>"In Progress"</formula>
    </cfRule>
    <cfRule type="cellIs" dxfId="3899" priority="776" operator="equal">
      <formula>"Completed"</formula>
    </cfRule>
  </conditionalFormatting>
  <conditionalFormatting sqref="AX95">
    <cfRule type="cellIs" dxfId="3898" priority="769" operator="equal">
      <formula>"Behind Schedule"</formula>
    </cfRule>
    <cfRule type="cellIs" dxfId="3897" priority="770" operator="equal">
      <formula>"TBD"</formula>
    </cfRule>
    <cfRule type="cellIs" dxfId="3896" priority="771" operator="equal">
      <formula>"In Progress"</formula>
    </cfRule>
    <cfRule type="cellIs" dxfId="3895" priority="772" operator="equal">
      <formula>"Completed"</formula>
    </cfRule>
  </conditionalFormatting>
  <conditionalFormatting sqref="AX96">
    <cfRule type="cellIs" dxfId="3894" priority="765" operator="equal">
      <formula>"Behind Schedule"</formula>
    </cfRule>
    <cfRule type="cellIs" dxfId="3893" priority="766" operator="equal">
      <formula>"TBD"</formula>
    </cfRule>
    <cfRule type="cellIs" dxfId="3892" priority="767" operator="equal">
      <formula>"In Progress"</formula>
    </cfRule>
    <cfRule type="cellIs" dxfId="3891" priority="768" operator="equal">
      <formula>"Completed"</formula>
    </cfRule>
  </conditionalFormatting>
  <conditionalFormatting sqref="AX97">
    <cfRule type="cellIs" dxfId="3890" priority="761" operator="equal">
      <formula>"Behind Schedule"</formula>
    </cfRule>
    <cfRule type="cellIs" dxfId="3889" priority="762" operator="equal">
      <formula>"TBD"</formula>
    </cfRule>
    <cfRule type="cellIs" dxfId="3888" priority="763" operator="equal">
      <formula>"In Progress"</formula>
    </cfRule>
    <cfRule type="cellIs" dxfId="3887" priority="764" operator="equal">
      <formula>"Completed"</formula>
    </cfRule>
  </conditionalFormatting>
  <conditionalFormatting sqref="AX98:AX105">
    <cfRule type="cellIs" dxfId="3886" priority="757" operator="equal">
      <formula>"Behind Schedule"</formula>
    </cfRule>
    <cfRule type="cellIs" dxfId="3885" priority="758" operator="equal">
      <formula>"TBD"</formula>
    </cfRule>
    <cfRule type="cellIs" dxfId="3884" priority="759" operator="equal">
      <formula>"In Progress"</formula>
    </cfRule>
    <cfRule type="cellIs" dxfId="3883" priority="760" operator="equal">
      <formula>"Completed"</formula>
    </cfRule>
  </conditionalFormatting>
  <conditionalFormatting sqref="AX106">
    <cfRule type="cellIs" dxfId="3882" priority="753" operator="equal">
      <formula>"Behind Schedule"</formula>
    </cfRule>
    <cfRule type="cellIs" dxfId="3881" priority="754" operator="equal">
      <formula>"TBD"</formula>
    </cfRule>
    <cfRule type="cellIs" dxfId="3880" priority="755" operator="equal">
      <formula>"In Progress"</formula>
    </cfRule>
    <cfRule type="cellIs" dxfId="3879" priority="756" operator="equal">
      <formula>"Completed"</formula>
    </cfRule>
  </conditionalFormatting>
  <conditionalFormatting sqref="AX107:AX108">
    <cfRule type="cellIs" dxfId="3878" priority="749" operator="equal">
      <formula>"Behind Schedule"</formula>
    </cfRule>
    <cfRule type="cellIs" dxfId="3877" priority="750" operator="equal">
      <formula>"TBD"</formula>
    </cfRule>
    <cfRule type="cellIs" dxfId="3876" priority="751" operator="equal">
      <formula>"In Progress"</formula>
    </cfRule>
    <cfRule type="cellIs" dxfId="3875" priority="752" operator="equal">
      <formula>"Completed"</formula>
    </cfRule>
  </conditionalFormatting>
  <conditionalFormatting sqref="AX121">
    <cfRule type="cellIs" dxfId="3874" priority="745" operator="equal">
      <formula>"Behind Schedule"</formula>
    </cfRule>
    <cfRule type="cellIs" dxfId="3873" priority="746" operator="equal">
      <formula>"TBD"</formula>
    </cfRule>
    <cfRule type="cellIs" dxfId="3872" priority="747" operator="equal">
      <formula>"In Progress"</formula>
    </cfRule>
    <cfRule type="cellIs" dxfId="3871" priority="748" operator="equal">
      <formula>"Completed"</formula>
    </cfRule>
  </conditionalFormatting>
  <conditionalFormatting sqref="AX122">
    <cfRule type="cellIs" dxfId="3870" priority="741" operator="equal">
      <formula>"Behind Schedule"</formula>
    </cfRule>
    <cfRule type="cellIs" dxfId="3869" priority="742" operator="equal">
      <formula>"TBD"</formula>
    </cfRule>
    <cfRule type="cellIs" dxfId="3868" priority="743" operator="equal">
      <formula>"In Progress"</formula>
    </cfRule>
    <cfRule type="cellIs" dxfId="3867" priority="744" operator="equal">
      <formula>"Completed"</formula>
    </cfRule>
  </conditionalFormatting>
  <conditionalFormatting sqref="AX114">
    <cfRule type="cellIs" dxfId="3866" priority="737" operator="equal">
      <formula>"Behind Schedule"</formula>
    </cfRule>
    <cfRule type="cellIs" dxfId="3865" priority="738" operator="equal">
      <formula>"TBD"</formula>
    </cfRule>
    <cfRule type="cellIs" dxfId="3864" priority="739" operator="equal">
      <formula>"In Progress"</formula>
    </cfRule>
    <cfRule type="cellIs" dxfId="3863" priority="740" operator="equal">
      <formula>"Completed"</formula>
    </cfRule>
  </conditionalFormatting>
  <conditionalFormatting sqref="AX115">
    <cfRule type="cellIs" dxfId="3862" priority="733" operator="equal">
      <formula>"Behind Schedule"</formula>
    </cfRule>
    <cfRule type="cellIs" dxfId="3861" priority="734" operator="equal">
      <formula>"TBD"</formula>
    </cfRule>
    <cfRule type="cellIs" dxfId="3860" priority="735" operator="equal">
      <formula>"In Progress"</formula>
    </cfRule>
    <cfRule type="cellIs" dxfId="3859" priority="736" operator="equal">
      <formula>"Completed"</formula>
    </cfRule>
  </conditionalFormatting>
  <conditionalFormatting sqref="AX119:AX120">
    <cfRule type="cellIs" dxfId="3858" priority="729" operator="equal">
      <formula>"Behind Schedule"</formula>
    </cfRule>
    <cfRule type="cellIs" dxfId="3857" priority="730" operator="equal">
      <formula>"TBD"</formula>
    </cfRule>
    <cfRule type="cellIs" dxfId="3856" priority="731" operator="equal">
      <formula>"In Progress"</formula>
    </cfRule>
    <cfRule type="cellIs" dxfId="3855" priority="732" operator="equal">
      <formula>"Completed"</formula>
    </cfRule>
  </conditionalFormatting>
  <conditionalFormatting sqref="AX117:AX118">
    <cfRule type="cellIs" dxfId="3854" priority="725" operator="equal">
      <formula>"Behind Schedule"</formula>
    </cfRule>
    <cfRule type="cellIs" dxfId="3853" priority="726" operator="equal">
      <formula>"TBD"</formula>
    </cfRule>
    <cfRule type="cellIs" dxfId="3852" priority="727" operator="equal">
      <formula>"In Progress"</formula>
    </cfRule>
    <cfRule type="cellIs" dxfId="3851" priority="728" operator="equal">
      <formula>"Completed"</formula>
    </cfRule>
  </conditionalFormatting>
  <conditionalFormatting sqref="AX116">
    <cfRule type="cellIs" dxfId="3850" priority="721" operator="equal">
      <formula>"Behind Schedule"</formula>
    </cfRule>
    <cfRule type="cellIs" dxfId="3849" priority="722" operator="equal">
      <formula>"TBD"</formula>
    </cfRule>
    <cfRule type="cellIs" dxfId="3848" priority="723" operator="equal">
      <formula>"In Progress"</formula>
    </cfRule>
    <cfRule type="cellIs" dxfId="3847" priority="724" operator="equal">
      <formula>"Completed"</formula>
    </cfRule>
  </conditionalFormatting>
  <conditionalFormatting sqref="AX112:AX138">
    <cfRule type="cellIs" dxfId="3846" priority="717" operator="equal">
      <formula>"Behind Schedule"</formula>
    </cfRule>
    <cfRule type="cellIs" dxfId="3845" priority="718" operator="equal">
      <formula>"TBD"</formula>
    </cfRule>
    <cfRule type="cellIs" dxfId="3844" priority="719" operator="equal">
      <formula>"In Progress"</formula>
    </cfRule>
    <cfRule type="cellIs" dxfId="3843" priority="720" operator="equal">
      <formula>"Completed"</formula>
    </cfRule>
  </conditionalFormatting>
  <conditionalFormatting sqref="AX123:AX124">
    <cfRule type="cellIs" dxfId="3842" priority="713" operator="equal">
      <formula>"Behind Schedule"</formula>
    </cfRule>
    <cfRule type="cellIs" dxfId="3841" priority="714" operator="equal">
      <formula>"TBD"</formula>
    </cfRule>
    <cfRule type="cellIs" dxfId="3840" priority="715" operator="equal">
      <formula>"In Progress"</formula>
    </cfRule>
    <cfRule type="cellIs" dxfId="3839" priority="716" operator="equal">
      <formula>"Completed"</formula>
    </cfRule>
  </conditionalFormatting>
  <conditionalFormatting sqref="AX125:AX126">
    <cfRule type="cellIs" dxfId="3838" priority="709" operator="equal">
      <formula>"Behind Schedule"</formula>
    </cfRule>
    <cfRule type="cellIs" dxfId="3837" priority="710" operator="equal">
      <formula>"TBD"</formula>
    </cfRule>
    <cfRule type="cellIs" dxfId="3836" priority="711" operator="equal">
      <formula>"In Progress"</formula>
    </cfRule>
    <cfRule type="cellIs" dxfId="3835" priority="712" operator="equal">
      <formula>"Completed"</formula>
    </cfRule>
  </conditionalFormatting>
  <conditionalFormatting sqref="AX127">
    <cfRule type="cellIs" dxfId="3834" priority="705" operator="equal">
      <formula>"Behind Schedule"</formula>
    </cfRule>
    <cfRule type="cellIs" dxfId="3833" priority="706" operator="equal">
      <formula>"TBD"</formula>
    </cfRule>
    <cfRule type="cellIs" dxfId="3832" priority="707" operator="equal">
      <formula>"In Progress"</formula>
    </cfRule>
    <cfRule type="cellIs" dxfId="3831" priority="708" operator="equal">
      <formula>"Completed"</formula>
    </cfRule>
  </conditionalFormatting>
  <conditionalFormatting sqref="AX128">
    <cfRule type="cellIs" dxfId="3830" priority="701" operator="equal">
      <formula>"Behind Schedule"</formula>
    </cfRule>
    <cfRule type="cellIs" dxfId="3829" priority="702" operator="equal">
      <formula>"TBD"</formula>
    </cfRule>
    <cfRule type="cellIs" dxfId="3828" priority="703" operator="equal">
      <formula>"In Progress"</formula>
    </cfRule>
    <cfRule type="cellIs" dxfId="3827" priority="704" operator="equal">
      <formula>"Completed"</formula>
    </cfRule>
  </conditionalFormatting>
  <conditionalFormatting sqref="AX130">
    <cfRule type="cellIs" dxfId="3826" priority="697" operator="equal">
      <formula>"Behind Schedule"</formula>
    </cfRule>
    <cfRule type="cellIs" dxfId="3825" priority="698" operator="equal">
      <formula>"TBD"</formula>
    </cfRule>
    <cfRule type="cellIs" dxfId="3824" priority="699" operator="equal">
      <formula>"In Progress"</formula>
    </cfRule>
    <cfRule type="cellIs" dxfId="3823" priority="700" operator="equal">
      <formula>"Completed"</formula>
    </cfRule>
  </conditionalFormatting>
  <conditionalFormatting sqref="AX129">
    <cfRule type="cellIs" dxfId="3822" priority="693" operator="equal">
      <formula>"Behind Schedule"</formula>
    </cfRule>
    <cfRule type="cellIs" dxfId="3821" priority="694" operator="equal">
      <formula>"TBD"</formula>
    </cfRule>
    <cfRule type="cellIs" dxfId="3820" priority="695" operator="equal">
      <formula>"In Progress"</formula>
    </cfRule>
    <cfRule type="cellIs" dxfId="3819" priority="696" operator="equal">
      <formula>"Completed"</formula>
    </cfRule>
  </conditionalFormatting>
  <conditionalFormatting sqref="AX132">
    <cfRule type="cellIs" dxfId="3818" priority="689" operator="equal">
      <formula>"Behind Schedule"</formula>
    </cfRule>
    <cfRule type="cellIs" dxfId="3817" priority="690" operator="equal">
      <formula>"TBD"</formula>
    </cfRule>
    <cfRule type="cellIs" dxfId="3816" priority="691" operator="equal">
      <formula>"In Progress"</formula>
    </cfRule>
    <cfRule type="cellIs" dxfId="3815" priority="692" operator="equal">
      <formula>"Completed"</formula>
    </cfRule>
  </conditionalFormatting>
  <conditionalFormatting sqref="AV49:AW49">
    <cfRule type="cellIs" dxfId="3814" priority="685" operator="equal">
      <formula>"Behind Schedule"</formula>
    </cfRule>
    <cfRule type="cellIs" dxfId="3813" priority="686" operator="equal">
      <formula>"TBD"</formula>
    </cfRule>
    <cfRule type="cellIs" dxfId="3812" priority="687" operator="equal">
      <formula>"In Progress"</formula>
    </cfRule>
    <cfRule type="cellIs" dxfId="3811" priority="688" operator="equal">
      <formula>"Completed"</formula>
    </cfRule>
  </conditionalFormatting>
  <conditionalFormatting sqref="AV62:AW62">
    <cfRule type="cellIs" dxfId="3810" priority="681" operator="equal">
      <formula>"Behind Schedule"</formula>
    </cfRule>
    <cfRule type="cellIs" dxfId="3809" priority="682" operator="equal">
      <formula>"TBD"</formula>
    </cfRule>
    <cfRule type="cellIs" dxfId="3808" priority="683" operator="equal">
      <formula>"In Progress"</formula>
    </cfRule>
    <cfRule type="cellIs" dxfId="3807" priority="684" operator="equal">
      <formula>"Completed"</formula>
    </cfRule>
  </conditionalFormatting>
  <conditionalFormatting sqref="AV54:AW54">
    <cfRule type="cellIs" dxfId="3806" priority="677" operator="equal">
      <formula>"Behind Schedule"</formula>
    </cfRule>
    <cfRule type="cellIs" dxfId="3805" priority="678" operator="equal">
      <formula>"TBD"</formula>
    </cfRule>
    <cfRule type="cellIs" dxfId="3804" priority="679" operator="equal">
      <formula>"In Progress"</formula>
    </cfRule>
    <cfRule type="cellIs" dxfId="3803" priority="680" operator="equal">
      <formula>"Completed"</formula>
    </cfRule>
  </conditionalFormatting>
  <conditionalFormatting sqref="AV55:AW55">
    <cfRule type="cellIs" dxfId="3802" priority="673" operator="equal">
      <formula>"Behind Schedule"</formula>
    </cfRule>
    <cfRule type="cellIs" dxfId="3801" priority="674" operator="equal">
      <formula>"TBD"</formula>
    </cfRule>
    <cfRule type="cellIs" dxfId="3800" priority="675" operator="equal">
      <formula>"In Progress"</formula>
    </cfRule>
    <cfRule type="cellIs" dxfId="3799" priority="676" operator="equal">
      <formula>"Completed"</formula>
    </cfRule>
  </conditionalFormatting>
  <conditionalFormatting sqref="AV57:AW57">
    <cfRule type="cellIs" dxfId="3798" priority="669" operator="equal">
      <formula>"Behind Schedule"</formula>
    </cfRule>
    <cfRule type="cellIs" dxfId="3797" priority="670" operator="equal">
      <formula>"TBD"</formula>
    </cfRule>
    <cfRule type="cellIs" dxfId="3796" priority="671" operator="equal">
      <formula>"In Progress"</formula>
    </cfRule>
    <cfRule type="cellIs" dxfId="3795" priority="672" operator="equal">
      <formula>"Completed"</formula>
    </cfRule>
  </conditionalFormatting>
  <conditionalFormatting sqref="AV60:AW60">
    <cfRule type="cellIs" dxfId="3794" priority="665" operator="equal">
      <formula>"Behind Schedule"</formula>
    </cfRule>
    <cfRule type="cellIs" dxfId="3793" priority="666" operator="equal">
      <formula>"TBD"</formula>
    </cfRule>
    <cfRule type="cellIs" dxfId="3792" priority="667" operator="equal">
      <formula>"In Progress"</formula>
    </cfRule>
    <cfRule type="cellIs" dxfId="3791" priority="668" operator="equal">
      <formula>"Completed"</formula>
    </cfRule>
  </conditionalFormatting>
  <conditionalFormatting sqref="AV90:AW90">
    <cfRule type="cellIs" dxfId="3790" priority="661" operator="equal">
      <formula>"Behind Schedule"</formula>
    </cfRule>
    <cfRule type="cellIs" dxfId="3789" priority="662" operator="equal">
      <formula>"TBD"</formula>
    </cfRule>
    <cfRule type="cellIs" dxfId="3788" priority="663" operator="equal">
      <formula>"In Progress"</formula>
    </cfRule>
    <cfRule type="cellIs" dxfId="3787" priority="664" operator="equal">
      <formula>"Completed"</formula>
    </cfRule>
  </conditionalFormatting>
  <conditionalFormatting sqref="AV133:AW133">
    <cfRule type="cellIs" dxfId="3786" priority="657" operator="equal">
      <formula>"Behind Schedule"</formula>
    </cfRule>
    <cfRule type="cellIs" dxfId="3785" priority="658" operator="equal">
      <formula>"TBD"</formula>
    </cfRule>
    <cfRule type="cellIs" dxfId="3784" priority="659" operator="equal">
      <formula>"In Progress"</formula>
    </cfRule>
    <cfRule type="cellIs" dxfId="3783" priority="660" operator="equal">
      <formula>"Completed"</formula>
    </cfRule>
  </conditionalFormatting>
  <conditionalFormatting sqref="AV65:AW65">
    <cfRule type="cellIs" dxfId="3782" priority="653" operator="equal">
      <formula>"Behind Schedule"</formula>
    </cfRule>
    <cfRule type="cellIs" dxfId="3781" priority="654" operator="equal">
      <formula>"TBD"</formula>
    </cfRule>
    <cfRule type="cellIs" dxfId="3780" priority="655" operator="equal">
      <formula>"In Progress"</formula>
    </cfRule>
    <cfRule type="cellIs" dxfId="3779" priority="656" operator="equal">
      <formula>"Completed"</formula>
    </cfRule>
  </conditionalFormatting>
  <conditionalFormatting sqref="AV59:AW59">
    <cfRule type="cellIs" dxfId="3778" priority="649" operator="equal">
      <formula>"Behind Schedule"</formula>
    </cfRule>
    <cfRule type="cellIs" dxfId="3777" priority="650" operator="equal">
      <formula>"TBD"</formula>
    </cfRule>
    <cfRule type="cellIs" dxfId="3776" priority="651" operator="equal">
      <formula>"In Progress"</formula>
    </cfRule>
    <cfRule type="cellIs" dxfId="3775" priority="652" operator="equal">
      <formula>"Completed"</formula>
    </cfRule>
  </conditionalFormatting>
  <conditionalFormatting sqref="AV64:AW64">
    <cfRule type="cellIs" dxfId="3774" priority="645" operator="equal">
      <formula>"Behind Schedule"</formula>
    </cfRule>
    <cfRule type="cellIs" dxfId="3773" priority="646" operator="equal">
      <formula>"TBD"</formula>
    </cfRule>
    <cfRule type="cellIs" dxfId="3772" priority="647" operator="equal">
      <formula>"In Progress"</formula>
    </cfRule>
    <cfRule type="cellIs" dxfId="3771" priority="648" operator="equal">
      <formula>"Completed"</formula>
    </cfRule>
  </conditionalFormatting>
  <conditionalFormatting sqref="AV50:AW51">
    <cfRule type="cellIs" dxfId="3770" priority="641" operator="equal">
      <formula>"Behind Schedule"</formula>
    </cfRule>
    <cfRule type="cellIs" dxfId="3769" priority="642" operator="equal">
      <formula>"TBD"</formula>
    </cfRule>
    <cfRule type="cellIs" dxfId="3768" priority="643" operator="equal">
      <formula>"In Progress"</formula>
    </cfRule>
    <cfRule type="cellIs" dxfId="3767" priority="644" operator="equal">
      <formula>"Completed"</formula>
    </cfRule>
  </conditionalFormatting>
  <conditionalFormatting sqref="AV69:AW69">
    <cfRule type="cellIs" dxfId="3766" priority="637" operator="equal">
      <formula>"Behind Schedule"</formula>
    </cfRule>
    <cfRule type="cellIs" dxfId="3765" priority="638" operator="equal">
      <formula>"TBD"</formula>
    </cfRule>
    <cfRule type="cellIs" dxfId="3764" priority="639" operator="equal">
      <formula>"In Progress"</formula>
    </cfRule>
    <cfRule type="cellIs" dxfId="3763" priority="640" operator="equal">
      <formula>"Completed"</formula>
    </cfRule>
  </conditionalFormatting>
  <conditionalFormatting sqref="AV68:AW68">
    <cfRule type="cellIs" dxfId="3762" priority="633" operator="equal">
      <formula>"Behind Schedule"</formula>
    </cfRule>
    <cfRule type="cellIs" dxfId="3761" priority="634" operator="equal">
      <formula>"TBD"</formula>
    </cfRule>
    <cfRule type="cellIs" dxfId="3760" priority="635" operator="equal">
      <formula>"In Progress"</formula>
    </cfRule>
    <cfRule type="cellIs" dxfId="3759" priority="636" operator="equal">
      <formula>"Completed"</formula>
    </cfRule>
  </conditionalFormatting>
  <conditionalFormatting sqref="AV66:AW66">
    <cfRule type="cellIs" dxfId="3758" priority="629" operator="equal">
      <formula>"Behind Schedule"</formula>
    </cfRule>
    <cfRule type="cellIs" dxfId="3757" priority="630" operator="equal">
      <formula>"TBD"</formula>
    </cfRule>
    <cfRule type="cellIs" dxfId="3756" priority="631" operator="equal">
      <formula>"In Progress"</formula>
    </cfRule>
    <cfRule type="cellIs" dxfId="3755" priority="632" operator="equal">
      <formula>"Completed"</formula>
    </cfRule>
  </conditionalFormatting>
  <conditionalFormatting sqref="AV67:AW67">
    <cfRule type="cellIs" dxfId="3754" priority="625" operator="equal">
      <formula>"Behind Schedule"</formula>
    </cfRule>
    <cfRule type="cellIs" dxfId="3753" priority="626" operator="equal">
      <formula>"TBD"</formula>
    </cfRule>
    <cfRule type="cellIs" dxfId="3752" priority="627" operator="equal">
      <formula>"In Progress"</formula>
    </cfRule>
    <cfRule type="cellIs" dxfId="3751" priority="628" operator="equal">
      <formula>"Completed"</formula>
    </cfRule>
  </conditionalFormatting>
  <conditionalFormatting sqref="AV86:AW86">
    <cfRule type="cellIs" dxfId="3750" priority="621" operator="equal">
      <formula>"Behind Schedule"</formula>
    </cfRule>
    <cfRule type="cellIs" dxfId="3749" priority="622" operator="equal">
      <formula>"TBD"</formula>
    </cfRule>
    <cfRule type="cellIs" dxfId="3748" priority="623" operator="equal">
      <formula>"In Progress"</formula>
    </cfRule>
    <cfRule type="cellIs" dxfId="3747" priority="624" operator="equal">
      <formula>"Completed"</formula>
    </cfRule>
  </conditionalFormatting>
  <conditionalFormatting sqref="AV87:AW87">
    <cfRule type="cellIs" dxfId="3746" priority="617" operator="equal">
      <formula>"Behind Schedule"</formula>
    </cfRule>
    <cfRule type="cellIs" dxfId="3745" priority="618" operator="equal">
      <formula>"TBD"</formula>
    </cfRule>
    <cfRule type="cellIs" dxfId="3744" priority="619" operator="equal">
      <formula>"In Progress"</formula>
    </cfRule>
    <cfRule type="cellIs" dxfId="3743" priority="620" operator="equal">
      <formula>"Completed"</formula>
    </cfRule>
  </conditionalFormatting>
  <conditionalFormatting sqref="AV88:AW88">
    <cfRule type="cellIs" dxfId="3742" priority="613" operator="equal">
      <formula>"Behind Schedule"</formula>
    </cfRule>
    <cfRule type="cellIs" dxfId="3741" priority="614" operator="equal">
      <formula>"TBD"</formula>
    </cfRule>
    <cfRule type="cellIs" dxfId="3740" priority="615" operator="equal">
      <formula>"In Progress"</formula>
    </cfRule>
    <cfRule type="cellIs" dxfId="3739" priority="616" operator="equal">
      <formula>"Completed"</formula>
    </cfRule>
  </conditionalFormatting>
  <conditionalFormatting sqref="AV89:AW89">
    <cfRule type="cellIs" dxfId="3738" priority="609" operator="equal">
      <formula>"Behind Schedule"</formula>
    </cfRule>
    <cfRule type="cellIs" dxfId="3737" priority="610" operator="equal">
      <formula>"TBD"</formula>
    </cfRule>
    <cfRule type="cellIs" dxfId="3736" priority="611" operator="equal">
      <formula>"In Progress"</formula>
    </cfRule>
    <cfRule type="cellIs" dxfId="3735" priority="612" operator="equal">
      <formula>"Completed"</formula>
    </cfRule>
  </conditionalFormatting>
  <conditionalFormatting sqref="AV81:AW81">
    <cfRule type="cellIs" dxfId="3734" priority="605" operator="equal">
      <formula>"Behind Schedule"</formula>
    </cfRule>
    <cfRule type="cellIs" dxfId="3733" priority="606" operator="equal">
      <formula>"TBD"</formula>
    </cfRule>
    <cfRule type="cellIs" dxfId="3732" priority="607" operator="equal">
      <formula>"In Progress"</formula>
    </cfRule>
    <cfRule type="cellIs" dxfId="3731" priority="608" operator="equal">
      <formula>"Completed"</formula>
    </cfRule>
  </conditionalFormatting>
  <conditionalFormatting sqref="AV82:AW82">
    <cfRule type="cellIs" dxfId="3730" priority="601" operator="equal">
      <formula>"Behind Schedule"</formula>
    </cfRule>
    <cfRule type="cellIs" dxfId="3729" priority="602" operator="equal">
      <formula>"TBD"</formula>
    </cfRule>
    <cfRule type="cellIs" dxfId="3728" priority="603" operator="equal">
      <formula>"In Progress"</formula>
    </cfRule>
    <cfRule type="cellIs" dxfId="3727" priority="604" operator="equal">
      <formula>"Completed"</formula>
    </cfRule>
  </conditionalFormatting>
  <conditionalFormatting sqref="AV83:AW83">
    <cfRule type="cellIs" dxfId="3726" priority="597" operator="equal">
      <formula>"Behind Schedule"</formula>
    </cfRule>
    <cfRule type="cellIs" dxfId="3725" priority="598" operator="equal">
      <formula>"TBD"</formula>
    </cfRule>
    <cfRule type="cellIs" dxfId="3724" priority="599" operator="equal">
      <formula>"In Progress"</formula>
    </cfRule>
    <cfRule type="cellIs" dxfId="3723" priority="600" operator="equal">
      <formula>"Completed"</formula>
    </cfRule>
  </conditionalFormatting>
  <conditionalFormatting sqref="AV84:AW85">
    <cfRule type="cellIs" dxfId="3722" priority="593" operator="equal">
      <formula>"Behind Schedule"</formula>
    </cfRule>
    <cfRule type="cellIs" dxfId="3721" priority="594" operator="equal">
      <formula>"TBD"</formula>
    </cfRule>
    <cfRule type="cellIs" dxfId="3720" priority="595" operator="equal">
      <formula>"In Progress"</formula>
    </cfRule>
    <cfRule type="cellIs" dxfId="3719" priority="596" operator="equal">
      <formula>"Completed"</formula>
    </cfRule>
  </conditionalFormatting>
  <conditionalFormatting sqref="AV77:AW77">
    <cfRule type="cellIs" dxfId="3718" priority="589" operator="equal">
      <formula>"Behind Schedule"</formula>
    </cfRule>
    <cfRule type="cellIs" dxfId="3717" priority="590" operator="equal">
      <formula>"TBD"</formula>
    </cfRule>
    <cfRule type="cellIs" dxfId="3716" priority="591" operator="equal">
      <formula>"In Progress"</formula>
    </cfRule>
    <cfRule type="cellIs" dxfId="3715" priority="592" operator="equal">
      <formula>"Completed"</formula>
    </cfRule>
  </conditionalFormatting>
  <conditionalFormatting sqref="AV78:AW78">
    <cfRule type="cellIs" dxfId="3714" priority="585" operator="equal">
      <formula>"Behind Schedule"</formula>
    </cfRule>
    <cfRule type="cellIs" dxfId="3713" priority="586" operator="equal">
      <formula>"TBD"</formula>
    </cfRule>
    <cfRule type="cellIs" dxfId="3712" priority="587" operator="equal">
      <formula>"In Progress"</formula>
    </cfRule>
    <cfRule type="cellIs" dxfId="3711" priority="588" operator="equal">
      <formula>"Completed"</formula>
    </cfRule>
  </conditionalFormatting>
  <conditionalFormatting sqref="AV79:AW79">
    <cfRule type="cellIs" dxfId="3710" priority="581" operator="equal">
      <formula>"Behind Schedule"</formula>
    </cfRule>
    <cfRule type="cellIs" dxfId="3709" priority="582" operator="equal">
      <formula>"TBD"</formula>
    </cfRule>
    <cfRule type="cellIs" dxfId="3708" priority="583" operator="equal">
      <formula>"In Progress"</formula>
    </cfRule>
    <cfRule type="cellIs" dxfId="3707" priority="584" operator="equal">
      <formula>"Completed"</formula>
    </cfRule>
  </conditionalFormatting>
  <conditionalFormatting sqref="AV80:AW80">
    <cfRule type="cellIs" dxfId="3706" priority="577" operator="equal">
      <formula>"Behind Schedule"</formula>
    </cfRule>
    <cfRule type="cellIs" dxfId="3705" priority="578" operator="equal">
      <formula>"TBD"</formula>
    </cfRule>
    <cfRule type="cellIs" dxfId="3704" priority="579" operator="equal">
      <formula>"In Progress"</formula>
    </cfRule>
    <cfRule type="cellIs" dxfId="3703" priority="580" operator="equal">
      <formula>"Completed"</formula>
    </cfRule>
  </conditionalFormatting>
  <conditionalFormatting sqref="AV70:AW70">
    <cfRule type="cellIs" dxfId="3702" priority="573" operator="equal">
      <formula>"Behind Schedule"</formula>
    </cfRule>
    <cfRule type="cellIs" dxfId="3701" priority="574" operator="equal">
      <formula>"TBD"</formula>
    </cfRule>
    <cfRule type="cellIs" dxfId="3700" priority="575" operator="equal">
      <formula>"In Progress"</formula>
    </cfRule>
    <cfRule type="cellIs" dxfId="3699" priority="576" operator="equal">
      <formula>"Completed"</formula>
    </cfRule>
  </conditionalFormatting>
  <conditionalFormatting sqref="AV71:AW72">
    <cfRule type="cellIs" dxfId="3698" priority="569" operator="equal">
      <formula>"Behind Schedule"</formula>
    </cfRule>
    <cfRule type="cellIs" dxfId="3697" priority="570" operator="equal">
      <formula>"TBD"</formula>
    </cfRule>
    <cfRule type="cellIs" dxfId="3696" priority="571" operator="equal">
      <formula>"In Progress"</formula>
    </cfRule>
    <cfRule type="cellIs" dxfId="3695" priority="572" operator="equal">
      <formula>"Completed"</formula>
    </cfRule>
  </conditionalFormatting>
  <conditionalFormatting sqref="AV73:AW73">
    <cfRule type="cellIs" dxfId="3694" priority="565" operator="equal">
      <formula>"Behind Schedule"</formula>
    </cfRule>
    <cfRule type="cellIs" dxfId="3693" priority="566" operator="equal">
      <formula>"TBD"</formula>
    </cfRule>
    <cfRule type="cellIs" dxfId="3692" priority="567" operator="equal">
      <formula>"In Progress"</formula>
    </cfRule>
    <cfRule type="cellIs" dxfId="3691" priority="568" operator="equal">
      <formula>"Completed"</formula>
    </cfRule>
  </conditionalFormatting>
  <conditionalFormatting sqref="AV74:AW74">
    <cfRule type="cellIs" dxfId="3690" priority="561" operator="equal">
      <formula>"Behind Schedule"</formula>
    </cfRule>
    <cfRule type="cellIs" dxfId="3689" priority="562" operator="equal">
      <formula>"TBD"</formula>
    </cfRule>
    <cfRule type="cellIs" dxfId="3688" priority="563" operator="equal">
      <formula>"In Progress"</formula>
    </cfRule>
    <cfRule type="cellIs" dxfId="3687" priority="564" operator="equal">
      <formula>"Completed"</formula>
    </cfRule>
  </conditionalFormatting>
  <conditionalFormatting sqref="AV75:AW75">
    <cfRule type="cellIs" dxfId="3686" priority="557" operator="equal">
      <formula>"Behind Schedule"</formula>
    </cfRule>
    <cfRule type="cellIs" dxfId="3685" priority="558" operator="equal">
      <formula>"TBD"</formula>
    </cfRule>
    <cfRule type="cellIs" dxfId="3684" priority="559" operator="equal">
      <formula>"In Progress"</formula>
    </cfRule>
    <cfRule type="cellIs" dxfId="3683" priority="560" operator="equal">
      <formula>"Completed"</formula>
    </cfRule>
  </conditionalFormatting>
  <conditionalFormatting sqref="AV76:AW76">
    <cfRule type="cellIs" dxfId="3682" priority="553" operator="equal">
      <formula>"Behind Schedule"</formula>
    </cfRule>
    <cfRule type="cellIs" dxfId="3681" priority="554" operator="equal">
      <formula>"TBD"</formula>
    </cfRule>
    <cfRule type="cellIs" dxfId="3680" priority="555" operator="equal">
      <formula>"In Progress"</formula>
    </cfRule>
    <cfRule type="cellIs" dxfId="3679" priority="556" operator="equal">
      <formula>"Completed"</formula>
    </cfRule>
  </conditionalFormatting>
  <conditionalFormatting sqref="AV58:AW58">
    <cfRule type="cellIs" dxfId="3678" priority="549" operator="equal">
      <formula>"Behind Schedule"</formula>
    </cfRule>
    <cfRule type="cellIs" dxfId="3677" priority="550" operator="equal">
      <formula>"TBD"</formula>
    </cfRule>
    <cfRule type="cellIs" dxfId="3676" priority="551" operator="equal">
      <formula>"In Progress"</formula>
    </cfRule>
    <cfRule type="cellIs" dxfId="3675" priority="552" operator="equal">
      <formula>"Completed"</formula>
    </cfRule>
  </conditionalFormatting>
  <conditionalFormatting sqref="AV63:AW63">
    <cfRule type="cellIs" dxfId="3674" priority="545" operator="equal">
      <formula>"Behind Schedule"</formula>
    </cfRule>
    <cfRule type="cellIs" dxfId="3673" priority="546" operator="equal">
      <formula>"TBD"</formula>
    </cfRule>
    <cfRule type="cellIs" dxfId="3672" priority="547" operator="equal">
      <formula>"In Progress"</formula>
    </cfRule>
    <cfRule type="cellIs" dxfId="3671" priority="548" operator="equal">
      <formula>"Completed"</formula>
    </cfRule>
  </conditionalFormatting>
  <conditionalFormatting sqref="AV61:AW61">
    <cfRule type="cellIs" dxfId="3670" priority="541" operator="equal">
      <formula>"Behind Schedule"</formula>
    </cfRule>
    <cfRule type="cellIs" dxfId="3669" priority="542" operator="equal">
      <formula>"TBD"</formula>
    </cfRule>
    <cfRule type="cellIs" dxfId="3668" priority="543" operator="equal">
      <formula>"In Progress"</formula>
    </cfRule>
    <cfRule type="cellIs" dxfId="3667" priority="544" operator="equal">
      <formula>"Completed"</formula>
    </cfRule>
  </conditionalFormatting>
  <conditionalFormatting sqref="AV53:AW53">
    <cfRule type="cellIs" dxfId="3666" priority="537" operator="equal">
      <formula>"Behind Schedule"</formula>
    </cfRule>
    <cfRule type="cellIs" dxfId="3665" priority="538" operator="equal">
      <formula>"TBD"</formula>
    </cfRule>
    <cfRule type="cellIs" dxfId="3664" priority="539" operator="equal">
      <formula>"In Progress"</formula>
    </cfRule>
    <cfRule type="cellIs" dxfId="3663" priority="540" operator="equal">
      <formula>"Completed"</formula>
    </cfRule>
  </conditionalFormatting>
  <conditionalFormatting sqref="AV91:AW91">
    <cfRule type="cellIs" dxfId="3662" priority="533" operator="equal">
      <formula>"Behind Schedule"</formula>
    </cfRule>
    <cfRule type="cellIs" dxfId="3661" priority="534" operator="equal">
      <formula>"TBD"</formula>
    </cfRule>
    <cfRule type="cellIs" dxfId="3660" priority="535" operator="equal">
      <formula>"In Progress"</formula>
    </cfRule>
    <cfRule type="cellIs" dxfId="3659" priority="536" operator="equal">
      <formula>"Completed"</formula>
    </cfRule>
  </conditionalFormatting>
  <conditionalFormatting sqref="AV92:AW92">
    <cfRule type="cellIs" dxfId="3658" priority="529" operator="equal">
      <formula>"Behind Schedule"</formula>
    </cfRule>
    <cfRule type="cellIs" dxfId="3657" priority="530" operator="equal">
      <formula>"TBD"</formula>
    </cfRule>
    <cfRule type="cellIs" dxfId="3656" priority="531" operator="equal">
      <formula>"In Progress"</formula>
    </cfRule>
    <cfRule type="cellIs" dxfId="3655" priority="532" operator="equal">
      <formula>"Completed"</formula>
    </cfRule>
  </conditionalFormatting>
  <conditionalFormatting sqref="AV93:AW93">
    <cfRule type="cellIs" dxfId="3654" priority="525" operator="equal">
      <formula>"Behind Schedule"</formula>
    </cfRule>
    <cfRule type="cellIs" dxfId="3653" priority="526" operator="equal">
      <formula>"TBD"</formula>
    </cfRule>
    <cfRule type="cellIs" dxfId="3652" priority="527" operator="equal">
      <formula>"In Progress"</formula>
    </cfRule>
    <cfRule type="cellIs" dxfId="3651" priority="528" operator="equal">
      <formula>"Completed"</formula>
    </cfRule>
  </conditionalFormatting>
  <conditionalFormatting sqref="AV94:AW94">
    <cfRule type="cellIs" dxfId="3650" priority="521" operator="equal">
      <formula>"Behind Schedule"</formula>
    </cfRule>
    <cfRule type="cellIs" dxfId="3649" priority="522" operator="equal">
      <formula>"TBD"</formula>
    </cfRule>
    <cfRule type="cellIs" dxfId="3648" priority="523" operator="equal">
      <formula>"In Progress"</formula>
    </cfRule>
    <cfRule type="cellIs" dxfId="3647" priority="524" operator="equal">
      <formula>"Completed"</formula>
    </cfRule>
  </conditionalFormatting>
  <conditionalFormatting sqref="AV95:AW95">
    <cfRule type="cellIs" dxfId="3646" priority="517" operator="equal">
      <formula>"Behind Schedule"</formula>
    </cfRule>
    <cfRule type="cellIs" dxfId="3645" priority="518" operator="equal">
      <formula>"TBD"</formula>
    </cfRule>
    <cfRule type="cellIs" dxfId="3644" priority="519" operator="equal">
      <formula>"In Progress"</formula>
    </cfRule>
    <cfRule type="cellIs" dxfId="3643" priority="520" operator="equal">
      <formula>"Completed"</formula>
    </cfRule>
  </conditionalFormatting>
  <conditionalFormatting sqref="AV96:AW96">
    <cfRule type="cellIs" dxfId="3642" priority="513" operator="equal">
      <formula>"Behind Schedule"</formula>
    </cfRule>
    <cfRule type="cellIs" dxfId="3641" priority="514" operator="equal">
      <formula>"TBD"</formula>
    </cfRule>
    <cfRule type="cellIs" dxfId="3640" priority="515" operator="equal">
      <formula>"In Progress"</formula>
    </cfRule>
    <cfRule type="cellIs" dxfId="3639" priority="516" operator="equal">
      <formula>"Completed"</formula>
    </cfRule>
  </conditionalFormatting>
  <conditionalFormatting sqref="AV97:AW97">
    <cfRule type="cellIs" dxfId="3638" priority="509" operator="equal">
      <formula>"Behind Schedule"</formula>
    </cfRule>
    <cfRule type="cellIs" dxfId="3637" priority="510" operator="equal">
      <formula>"TBD"</formula>
    </cfRule>
    <cfRule type="cellIs" dxfId="3636" priority="511" operator="equal">
      <formula>"In Progress"</formula>
    </cfRule>
    <cfRule type="cellIs" dxfId="3635" priority="512" operator="equal">
      <formula>"Completed"</formula>
    </cfRule>
  </conditionalFormatting>
  <conditionalFormatting sqref="AV98:AW105">
    <cfRule type="cellIs" dxfId="3634" priority="505" operator="equal">
      <formula>"Behind Schedule"</formula>
    </cfRule>
    <cfRule type="cellIs" dxfId="3633" priority="506" operator="equal">
      <formula>"TBD"</formula>
    </cfRule>
    <cfRule type="cellIs" dxfId="3632" priority="507" operator="equal">
      <formula>"In Progress"</formula>
    </cfRule>
    <cfRule type="cellIs" dxfId="3631" priority="508" operator="equal">
      <formula>"Completed"</formula>
    </cfRule>
  </conditionalFormatting>
  <conditionalFormatting sqref="AV106:AW106">
    <cfRule type="cellIs" dxfId="3630" priority="501" operator="equal">
      <formula>"Behind Schedule"</formula>
    </cfRule>
    <cfRule type="cellIs" dxfId="3629" priority="502" operator="equal">
      <formula>"TBD"</formula>
    </cfRule>
    <cfRule type="cellIs" dxfId="3628" priority="503" operator="equal">
      <formula>"In Progress"</formula>
    </cfRule>
    <cfRule type="cellIs" dxfId="3627" priority="504" operator="equal">
      <formula>"Completed"</formula>
    </cfRule>
  </conditionalFormatting>
  <conditionalFormatting sqref="AV107:AW108">
    <cfRule type="cellIs" dxfId="3626" priority="497" operator="equal">
      <formula>"Behind Schedule"</formula>
    </cfRule>
    <cfRule type="cellIs" dxfId="3625" priority="498" operator="equal">
      <formula>"TBD"</formula>
    </cfRule>
    <cfRule type="cellIs" dxfId="3624" priority="499" operator="equal">
      <formula>"In Progress"</formula>
    </cfRule>
    <cfRule type="cellIs" dxfId="3623" priority="500" operator="equal">
      <formula>"Completed"</formula>
    </cfRule>
  </conditionalFormatting>
  <conditionalFormatting sqref="AV121:AW121">
    <cfRule type="cellIs" dxfId="3622" priority="493" operator="equal">
      <formula>"Behind Schedule"</formula>
    </cfRule>
    <cfRule type="cellIs" dxfId="3621" priority="494" operator="equal">
      <formula>"TBD"</formula>
    </cfRule>
    <cfRule type="cellIs" dxfId="3620" priority="495" operator="equal">
      <formula>"In Progress"</formula>
    </cfRule>
    <cfRule type="cellIs" dxfId="3619" priority="496" operator="equal">
      <formula>"Completed"</formula>
    </cfRule>
  </conditionalFormatting>
  <conditionalFormatting sqref="AV122:AW122">
    <cfRule type="cellIs" dxfId="3618" priority="489" operator="equal">
      <formula>"Behind Schedule"</formula>
    </cfRule>
    <cfRule type="cellIs" dxfId="3617" priority="490" operator="equal">
      <formula>"TBD"</formula>
    </cfRule>
    <cfRule type="cellIs" dxfId="3616" priority="491" operator="equal">
      <formula>"In Progress"</formula>
    </cfRule>
    <cfRule type="cellIs" dxfId="3615" priority="492" operator="equal">
      <formula>"Completed"</formula>
    </cfRule>
  </conditionalFormatting>
  <conditionalFormatting sqref="AV114:AW114">
    <cfRule type="cellIs" dxfId="3614" priority="485" operator="equal">
      <formula>"Behind Schedule"</formula>
    </cfRule>
    <cfRule type="cellIs" dxfId="3613" priority="486" operator="equal">
      <formula>"TBD"</formula>
    </cfRule>
    <cfRule type="cellIs" dxfId="3612" priority="487" operator="equal">
      <formula>"In Progress"</formula>
    </cfRule>
    <cfRule type="cellIs" dxfId="3611" priority="488" operator="equal">
      <formula>"Completed"</formula>
    </cfRule>
  </conditionalFormatting>
  <conditionalFormatting sqref="AW113">
    <cfRule type="cellIs" dxfId="3610" priority="481" operator="equal">
      <formula>"Behind Schedule"</formula>
    </cfRule>
    <cfRule type="cellIs" dxfId="3609" priority="482" operator="equal">
      <formula>"TBD"</formula>
    </cfRule>
    <cfRule type="cellIs" dxfId="3608" priority="483" operator="equal">
      <formula>"In Progress"</formula>
    </cfRule>
    <cfRule type="cellIs" dxfId="3607" priority="484" operator="equal">
      <formula>"Completed"</formula>
    </cfRule>
  </conditionalFormatting>
  <conditionalFormatting sqref="AW115">
    <cfRule type="cellIs" dxfId="3606" priority="477" operator="equal">
      <formula>"Behind Schedule"</formula>
    </cfRule>
    <cfRule type="cellIs" dxfId="3605" priority="478" operator="equal">
      <formula>"TBD"</formula>
    </cfRule>
    <cfRule type="cellIs" dxfId="3604" priority="479" operator="equal">
      <formula>"In Progress"</formula>
    </cfRule>
    <cfRule type="cellIs" dxfId="3603" priority="480" operator="equal">
      <formula>"Completed"</formula>
    </cfRule>
  </conditionalFormatting>
  <conditionalFormatting sqref="AV119:AW120">
    <cfRule type="cellIs" dxfId="3602" priority="473" operator="equal">
      <formula>"Behind Schedule"</formula>
    </cfRule>
    <cfRule type="cellIs" dxfId="3601" priority="474" operator="equal">
      <formula>"TBD"</formula>
    </cfRule>
    <cfRule type="cellIs" dxfId="3600" priority="475" operator="equal">
      <formula>"In Progress"</formula>
    </cfRule>
    <cfRule type="cellIs" dxfId="3599" priority="476" operator="equal">
      <formula>"Completed"</formula>
    </cfRule>
  </conditionalFormatting>
  <conditionalFormatting sqref="AW117:AW118">
    <cfRule type="cellIs" dxfId="3598" priority="469" operator="equal">
      <formula>"Behind Schedule"</formula>
    </cfRule>
    <cfRule type="cellIs" dxfId="3597" priority="470" operator="equal">
      <formula>"TBD"</formula>
    </cfRule>
    <cfRule type="cellIs" dxfId="3596" priority="471" operator="equal">
      <formula>"In Progress"</formula>
    </cfRule>
    <cfRule type="cellIs" dxfId="3595" priority="472" operator="equal">
      <formula>"Completed"</formula>
    </cfRule>
  </conditionalFormatting>
  <conditionalFormatting sqref="AV116:AW116">
    <cfRule type="cellIs" dxfId="3594" priority="465" operator="equal">
      <formula>"Behind Schedule"</formula>
    </cfRule>
    <cfRule type="cellIs" dxfId="3593" priority="466" operator="equal">
      <formula>"TBD"</formula>
    </cfRule>
    <cfRule type="cellIs" dxfId="3592" priority="467" operator="equal">
      <formula>"In Progress"</formula>
    </cfRule>
    <cfRule type="cellIs" dxfId="3591" priority="468" operator="equal">
      <formula>"Completed"</formula>
    </cfRule>
  </conditionalFormatting>
  <conditionalFormatting sqref="AV112:AW112">
    <cfRule type="cellIs" dxfId="3590" priority="461" operator="equal">
      <formula>"Behind Schedule"</formula>
    </cfRule>
    <cfRule type="cellIs" dxfId="3589" priority="462" operator="equal">
      <formula>"TBD"</formula>
    </cfRule>
    <cfRule type="cellIs" dxfId="3588" priority="463" operator="equal">
      <formula>"In Progress"</formula>
    </cfRule>
    <cfRule type="cellIs" dxfId="3587" priority="464" operator="equal">
      <formula>"Completed"</formula>
    </cfRule>
  </conditionalFormatting>
  <conditionalFormatting sqref="AV123:AW124">
    <cfRule type="cellIs" dxfId="3586" priority="457" operator="equal">
      <formula>"Behind Schedule"</formula>
    </cfRule>
    <cfRule type="cellIs" dxfId="3585" priority="458" operator="equal">
      <formula>"TBD"</formula>
    </cfRule>
    <cfRule type="cellIs" dxfId="3584" priority="459" operator="equal">
      <formula>"In Progress"</formula>
    </cfRule>
    <cfRule type="cellIs" dxfId="3583" priority="460" operator="equal">
      <formula>"Completed"</formula>
    </cfRule>
  </conditionalFormatting>
  <conditionalFormatting sqref="AV125:AW125">
    <cfRule type="cellIs" dxfId="3582" priority="453" operator="equal">
      <formula>"Behind Schedule"</formula>
    </cfRule>
    <cfRule type="cellIs" dxfId="3581" priority="454" operator="equal">
      <formula>"TBD"</formula>
    </cfRule>
    <cfRule type="cellIs" dxfId="3580" priority="455" operator="equal">
      <formula>"In Progress"</formula>
    </cfRule>
    <cfRule type="cellIs" dxfId="3579" priority="456" operator="equal">
      <formula>"Completed"</formula>
    </cfRule>
  </conditionalFormatting>
  <conditionalFormatting sqref="AV127:AW127">
    <cfRule type="cellIs" dxfId="3578" priority="449" operator="equal">
      <formula>"Behind Schedule"</formula>
    </cfRule>
    <cfRule type="cellIs" dxfId="3577" priority="450" operator="equal">
      <formula>"TBD"</formula>
    </cfRule>
    <cfRule type="cellIs" dxfId="3576" priority="451" operator="equal">
      <formula>"In Progress"</formula>
    </cfRule>
    <cfRule type="cellIs" dxfId="3575" priority="452" operator="equal">
      <formula>"Completed"</formula>
    </cfRule>
  </conditionalFormatting>
  <conditionalFormatting sqref="AV128:AW128">
    <cfRule type="cellIs" dxfId="3574" priority="445" operator="equal">
      <formula>"Behind Schedule"</formula>
    </cfRule>
    <cfRule type="cellIs" dxfId="3573" priority="446" operator="equal">
      <formula>"TBD"</formula>
    </cfRule>
    <cfRule type="cellIs" dxfId="3572" priority="447" operator="equal">
      <formula>"In Progress"</formula>
    </cfRule>
    <cfRule type="cellIs" dxfId="3571" priority="448" operator="equal">
      <formula>"Completed"</formula>
    </cfRule>
  </conditionalFormatting>
  <conditionalFormatting sqref="AV130:AW130">
    <cfRule type="cellIs" dxfId="3570" priority="441" operator="equal">
      <formula>"Behind Schedule"</formula>
    </cfRule>
    <cfRule type="cellIs" dxfId="3569" priority="442" operator="equal">
      <formula>"TBD"</formula>
    </cfRule>
    <cfRule type="cellIs" dxfId="3568" priority="443" operator="equal">
      <formula>"In Progress"</formula>
    </cfRule>
    <cfRule type="cellIs" dxfId="3567" priority="444" operator="equal">
      <formula>"Completed"</formula>
    </cfRule>
  </conditionalFormatting>
  <conditionalFormatting sqref="AV129:AW129">
    <cfRule type="cellIs" dxfId="3566" priority="437" operator="equal">
      <formula>"Behind Schedule"</formula>
    </cfRule>
    <cfRule type="cellIs" dxfId="3565" priority="438" operator="equal">
      <formula>"TBD"</formula>
    </cfRule>
    <cfRule type="cellIs" dxfId="3564" priority="439" operator="equal">
      <formula>"In Progress"</formula>
    </cfRule>
    <cfRule type="cellIs" dxfId="3563" priority="440" operator="equal">
      <formula>"Completed"</formula>
    </cfRule>
  </conditionalFormatting>
  <conditionalFormatting sqref="AW131">
    <cfRule type="cellIs" dxfId="3562" priority="433" operator="equal">
      <formula>"Behind Schedule"</formula>
    </cfRule>
    <cfRule type="cellIs" dxfId="3561" priority="434" operator="equal">
      <formula>"TBD"</formula>
    </cfRule>
    <cfRule type="cellIs" dxfId="3560" priority="435" operator="equal">
      <formula>"In Progress"</formula>
    </cfRule>
    <cfRule type="cellIs" dxfId="3559" priority="436" operator="equal">
      <formula>"Completed"</formula>
    </cfRule>
  </conditionalFormatting>
  <conditionalFormatting sqref="AV132:AW132">
    <cfRule type="cellIs" dxfId="3558" priority="429" operator="equal">
      <formula>"Behind Schedule"</formula>
    </cfRule>
    <cfRule type="cellIs" dxfId="3557" priority="430" operator="equal">
      <formula>"TBD"</formula>
    </cfRule>
    <cfRule type="cellIs" dxfId="3556" priority="431" operator="equal">
      <formula>"In Progress"</formula>
    </cfRule>
    <cfRule type="cellIs" dxfId="3555" priority="432" operator="equal">
      <formula>"Completed"</formula>
    </cfRule>
  </conditionalFormatting>
  <conditionalFormatting sqref="AX131">
    <cfRule type="cellIs" dxfId="3554" priority="425" operator="equal">
      <formula>"Behind Schedule"</formula>
    </cfRule>
    <cfRule type="cellIs" dxfId="3553" priority="426" operator="equal">
      <formula>"TBD"</formula>
    </cfRule>
    <cfRule type="cellIs" dxfId="3552" priority="427" operator="equal">
      <formula>"In Progress"</formula>
    </cfRule>
    <cfRule type="cellIs" dxfId="3551" priority="428" operator="equal">
      <formula>"Completed"</formula>
    </cfRule>
  </conditionalFormatting>
  <conditionalFormatting sqref="AX134">
    <cfRule type="cellIs" dxfId="3550" priority="421" operator="equal">
      <formula>"Behind Schedule"</formula>
    </cfRule>
    <cfRule type="cellIs" dxfId="3549" priority="422" operator="equal">
      <formula>"TBD"</formula>
    </cfRule>
    <cfRule type="cellIs" dxfId="3548" priority="423" operator="equal">
      <formula>"In Progress"</formula>
    </cfRule>
    <cfRule type="cellIs" dxfId="3547" priority="424" operator="equal">
      <formula>"Completed"</formula>
    </cfRule>
  </conditionalFormatting>
  <conditionalFormatting sqref="AV134:AW134">
    <cfRule type="cellIs" dxfId="3546" priority="417" operator="equal">
      <formula>"Behind Schedule"</formula>
    </cfRule>
    <cfRule type="cellIs" dxfId="3545" priority="418" operator="equal">
      <formula>"TBD"</formula>
    </cfRule>
    <cfRule type="cellIs" dxfId="3544" priority="419" operator="equal">
      <formula>"In Progress"</formula>
    </cfRule>
    <cfRule type="cellIs" dxfId="3543" priority="420" operator="equal">
      <formula>"Completed"</formula>
    </cfRule>
  </conditionalFormatting>
  <conditionalFormatting sqref="AX135">
    <cfRule type="cellIs" dxfId="3542" priority="413" operator="equal">
      <formula>"Behind Schedule"</formula>
    </cfRule>
    <cfRule type="cellIs" dxfId="3541" priority="414" operator="equal">
      <formula>"TBD"</formula>
    </cfRule>
    <cfRule type="cellIs" dxfId="3540" priority="415" operator="equal">
      <formula>"In Progress"</formula>
    </cfRule>
    <cfRule type="cellIs" dxfId="3539" priority="416" operator="equal">
      <formula>"Completed"</formula>
    </cfRule>
  </conditionalFormatting>
  <conditionalFormatting sqref="AV135:AW135">
    <cfRule type="cellIs" dxfId="3538" priority="409" operator="equal">
      <formula>"Behind Schedule"</formula>
    </cfRule>
    <cfRule type="cellIs" dxfId="3537" priority="410" operator="equal">
      <formula>"TBD"</formula>
    </cfRule>
    <cfRule type="cellIs" dxfId="3536" priority="411" operator="equal">
      <formula>"In Progress"</formula>
    </cfRule>
    <cfRule type="cellIs" dxfId="3535" priority="412" operator="equal">
      <formula>"Completed"</formula>
    </cfRule>
  </conditionalFormatting>
  <conditionalFormatting sqref="AX136">
    <cfRule type="cellIs" dxfId="3534" priority="405" operator="equal">
      <formula>"Behind Schedule"</formula>
    </cfRule>
    <cfRule type="cellIs" dxfId="3533" priority="406" operator="equal">
      <formula>"TBD"</formula>
    </cfRule>
    <cfRule type="cellIs" dxfId="3532" priority="407" operator="equal">
      <formula>"In Progress"</formula>
    </cfRule>
    <cfRule type="cellIs" dxfId="3531" priority="408" operator="equal">
      <formula>"Completed"</formula>
    </cfRule>
  </conditionalFormatting>
  <conditionalFormatting sqref="AV136:AW136">
    <cfRule type="cellIs" dxfId="3530" priority="401" operator="equal">
      <formula>"Behind Schedule"</formula>
    </cfRule>
    <cfRule type="cellIs" dxfId="3529" priority="402" operator="equal">
      <formula>"TBD"</formula>
    </cfRule>
    <cfRule type="cellIs" dxfId="3528" priority="403" operator="equal">
      <formula>"In Progress"</formula>
    </cfRule>
    <cfRule type="cellIs" dxfId="3527" priority="404" operator="equal">
      <formula>"Completed"</formula>
    </cfRule>
  </conditionalFormatting>
  <conditionalFormatting sqref="AW138">
    <cfRule type="cellIs" dxfId="3526" priority="397" operator="equal">
      <formula>"Behind Schedule"</formula>
    </cfRule>
    <cfRule type="cellIs" dxfId="3525" priority="398" operator="equal">
      <formula>"TBD"</formula>
    </cfRule>
    <cfRule type="cellIs" dxfId="3524" priority="399" operator="equal">
      <formula>"In Progress"</formula>
    </cfRule>
    <cfRule type="cellIs" dxfId="3523" priority="400" operator="equal">
      <formula>"Completed"</formula>
    </cfRule>
  </conditionalFormatting>
  <conditionalFormatting sqref="AV115">
    <cfRule type="cellIs" dxfId="3522" priority="393" operator="equal">
      <formula>"Behind Schedule"</formula>
    </cfRule>
    <cfRule type="cellIs" dxfId="3521" priority="394" operator="equal">
      <formula>"TBD"</formula>
    </cfRule>
    <cfRule type="cellIs" dxfId="3520" priority="395" operator="equal">
      <formula>"In Progress"</formula>
    </cfRule>
    <cfRule type="cellIs" dxfId="3519" priority="396" operator="equal">
      <formula>"Completed"</formula>
    </cfRule>
  </conditionalFormatting>
  <conditionalFormatting sqref="AV138">
    <cfRule type="cellIs" dxfId="3518" priority="389" operator="equal">
      <formula>"Behind Schedule"</formula>
    </cfRule>
    <cfRule type="cellIs" dxfId="3517" priority="390" operator="equal">
      <formula>"TBD"</formula>
    </cfRule>
    <cfRule type="cellIs" dxfId="3516" priority="391" operator="equal">
      <formula>"In Progress"</formula>
    </cfRule>
    <cfRule type="cellIs" dxfId="3515" priority="392" operator="equal">
      <formula>"Completed"</formula>
    </cfRule>
  </conditionalFormatting>
  <conditionalFormatting sqref="AX138">
    <cfRule type="cellIs" dxfId="3514" priority="385" operator="equal">
      <formula>"Behind Schedule"</formula>
    </cfRule>
    <cfRule type="cellIs" dxfId="3513" priority="386" operator="equal">
      <formula>"TBD"</formula>
    </cfRule>
    <cfRule type="cellIs" dxfId="3512" priority="387" operator="equal">
      <formula>"In Progress"</formula>
    </cfRule>
    <cfRule type="cellIs" dxfId="3511" priority="388" operator="equal">
      <formula>"Completed"</formula>
    </cfRule>
  </conditionalFormatting>
  <conditionalFormatting sqref="AV141:AW141">
    <cfRule type="cellIs" dxfId="3510" priority="381" operator="equal">
      <formula>"Behind Schedule"</formula>
    </cfRule>
    <cfRule type="cellIs" dxfId="3509" priority="382" operator="equal">
      <formula>"TBD"</formula>
    </cfRule>
    <cfRule type="cellIs" dxfId="3508" priority="383" operator="equal">
      <formula>"In Progress"</formula>
    </cfRule>
    <cfRule type="cellIs" dxfId="3507" priority="384" operator="equal">
      <formula>"Completed"</formula>
    </cfRule>
  </conditionalFormatting>
  <conditionalFormatting sqref="AX139">
    <cfRule type="cellIs" dxfId="3506" priority="373" operator="equal">
      <formula>"Behind Schedule"</formula>
    </cfRule>
    <cfRule type="cellIs" dxfId="3505" priority="374" operator="equal">
      <formula>"TBD"</formula>
    </cfRule>
    <cfRule type="cellIs" dxfId="3504" priority="375" operator="equal">
      <formula>"In Progress"</formula>
    </cfRule>
    <cfRule type="cellIs" dxfId="3503" priority="376" operator="equal">
      <formula>"Completed"</formula>
    </cfRule>
  </conditionalFormatting>
  <conditionalFormatting sqref="AV139">
    <cfRule type="cellIs" dxfId="3502" priority="377" operator="equal">
      <formula>"Behind Schedule"</formula>
    </cfRule>
    <cfRule type="cellIs" dxfId="3501" priority="378" operator="equal">
      <formula>"TBD"</formula>
    </cfRule>
    <cfRule type="cellIs" dxfId="3500" priority="379" operator="equal">
      <formula>"In Progress"</formula>
    </cfRule>
    <cfRule type="cellIs" dxfId="3499" priority="380" operator="equal">
      <formula>"Completed"</formula>
    </cfRule>
  </conditionalFormatting>
  <conditionalFormatting sqref="AV126:AW126">
    <cfRule type="cellIs" dxfId="3498" priority="369" operator="equal">
      <formula>"Behind Schedule"</formula>
    </cfRule>
    <cfRule type="cellIs" dxfId="3497" priority="370" operator="equal">
      <formula>"TBD"</formula>
    </cfRule>
    <cfRule type="cellIs" dxfId="3496" priority="371" operator="equal">
      <formula>"In Progress"</formula>
    </cfRule>
    <cfRule type="cellIs" dxfId="3495" priority="372" operator="equal">
      <formula>"Completed"</formula>
    </cfRule>
  </conditionalFormatting>
  <conditionalFormatting sqref="AV131">
    <cfRule type="cellIs" dxfId="3494" priority="365" operator="equal">
      <formula>"Behind Schedule"</formula>
    </cfRule>
    <cfRule type="cellIs" dxfId="3493" priority="366" operator="equal">
      <formula>"TBD"</formula>
    </cfRule>
    <cfRule type="cellIs" dxfId="3492" priority="367" operator="equal">
      <formula>"In Progress"</formula>
    </cfRule>
    <cfRule type="cellIs" dxfId="3491" priority="368" operator="equal">
      <formula>"Completed"</formula>
    </cfRule>
  </conditionalFormatting>
  <conditionalFormatting sqref="AV140">
    <cfRule type="cellIs" dxfId="3490" priority="361" operator="equal">
      <formula>"Behind Schedule"</formula>
    </cfRule>
    <cfRule type="cellIs" dxfId="3489" priority="362" operator="equal">
      <formula>"TBD"</formula>
    </cfRule>
    <cfRule type="cellIs" dxfId="3488" priority="363" operator="equal">
      <formula>"In Progress"</formula>
    </cfRule>
    <cfRule type="cellIs" dxfId="3487" priority="364" operator="equal">
      <formula>"Completed"</formula>
    </cfRule>
  </conditionalFormatting>
  <conditionalFormatting sqref="AW140">
    <cfRule type="cellIs" dxfId="3486" priority="357" operator="equal">
      <formula>"Behind Schedule"</formula>
    </cfRule>
    <cfRule type="cellIs" dxfId="3485" priority="358" operator="equal">
      <formula>"TBD"</formula>
    </cfRule>
    <cfRule type="cellIs" dxfId="3484" priority="359" operator="equal">
      <formula>"In Progress"</formula>
    </cfRule>
    <cfRule type="cellIs" dxfId="3483" priority="360" operator="equal">
      <formula>"Completed"</formula>
    </cfRule>
  </conditionalFormatting>
  <conditionalFormatting sqref="AX140">
    <cfRule type="cellIs" dxfId="3482" priority="353" operator="equal">
      <formula>"Behind Schedule"</formula>
    </cfRule>
    <cfRule type="cellIs" dxfId="3481" priority="354" operator="equal">
      <formula>"TBD"</formula>
    </cfRule>
    <cfRule type="cellIs" dxfId="3480" priority="355" operator="equal">
      <formula>"In Progress"</formula>
    </cfRule>
    <cfRule type="cellIs" dxfId="3479" priority="356" operator="equal">
      <formula>"Completed"</formula>
    </cfRule>
  </conditionalFormatting>
  <conditionalFormatting sqref="AX141">
    <cfRule type="cellIs" dxfId="3478" priority="349" operator="equal">
      <formula>"Behind Schedule"</formula>
    </cfRule>
    <cfRule type="cellIs" dxfId="3477" priority="350" operator="equal">
      <formula>"TBD"</formula>
    </cfRule>
    <cfRule type="cellIs" dxfId="3476" priority="351" operator="equal">
      <formula>"In Progress"</formula>
    </cfRule>
    <cfRule type="cellIs" dxfId="3475" priority="352" operator="equal">
      <formula>"Completed"</formula>
    </cfRule>
  </conditionalFormatting>
  <conditionalFormatting sqref="AV113">
    <cfRule type="cellIs" dxfId="3474" priority="345" operator="equal">
      <formula>"Behind Schedule"</formula>
    </cfRule>
    <cfRule type="cellIs" dxfId="3473" priority="346" operator="equal">
      <formula>"TBD"</formula>
    </cfRule>
    <cfRule type="cellIs" dxfId="3472" priority="347" operator="equal">
      <formula>"In Progress"</formula>
    </cfRule>
    <cfRule type="cellIs" dxfId="3471" priority="348" operator="equal">
      <formula>"Completed"</formula>
    </cfRule>
  </conditionalFormatting>
  <conditionalFormatting sqref="AX113">
    <cfRule type="cellIs" dxfId="3470" priority="341" operator="equal">
      <formula>"Behind Schedule"</formula>
    </cfRule>
    <cfRule type="cellIs" dxfId="3469" priority="342" operator="equal">
      <formula>"TBD"</formula>
    </cfRule>
    <cfRule type="cellIs" dxfId="3468" priority="343" operator="equal">
      <formula>"In Progress"</formula>
    </cfRule>
    <cfRule type="cellIs" dxfId="3467" priority="344" operator="equal">
      <formula>"Completed"</formula>
    </cfRule>
  </conditionalFormatting>
  <conditionalFormatting sqref="AV142:AX142">
    <cfRule type="cellIs" dxfId="3466" priority="337" operator="equal">
      <formula>"Behind Schedule"</formula>
    </cfRule>
    <cfRule type="cellIs" dxfId="3465" priority="338" operator="equal">
      <formula>"TBD"</formula>
    </cfRule>
    <cfRule type="cellIs" dxfId="3464" priority="339" operator="equal">
      <formula>"In Progress"</formula>
    </cfRule>
    <cfRule type="cellIs" dxfId="3463" priority="340" operator="equal">
      <formula>"Completed"</formula>
    </cfRule>
  </conditionalFormatting>
  <conditionalFormatting sqref="AX143">
    <cfRule type="cellIs" dxfId="3462" priority="333" operator="equal">
      <formula>"Behind Schedule"</formula>
    </cfRule>
    <cfRule type="cellIs" dxfId="3461" priority="334" operator="equal">
      <formula>"TBD"</formula>
    </cfRule>
    <cfRule type="cellIs" dxfId="3460" priority="335" operator="equal">
      <formula>"In Progress"</formula>
    </cfRule>
    <cfRule type="cellIs" dxfId="3459" priority="336" operator="equal">
      <formula>"Completed"</formula>
    </cfRule>
  </conditionalFormatting>
  <conditionalFormatting sqref="AV143:AW143">
    <cfRule type="cellIs" dxfId="3458" priority="329" operator="equal">
      <formula>"Behind Schedule"</formula>
    </cfRule>
    <cfRule type="cellIs" dxfId="3457" priority="330" operator="equal">
      <formula>"TBD"</formula>
    </cfRule>
    <cfRule type="cellIs" dxfId="3456" priority="331" operator="equal">
      <formula>"In Progress"</formula>
    </cfRule>
    <cfRule type="cellIs" dxfId="3455" priority="332" operator="equal">
      <formula>"Completed"</formula>
    </cfRule>
  </conditionalFormatting>
  <conditionalFormatting sqref="AX144">
    <cfRule type="cellIs" dxfId="3454" priority="325" operator="equal">
      <formula>"Behind Schedule"</formula>
    </cfRule>
    <cfRule type="cellIs" dxfId="3453" priority="326" operator="equal">
      <formula>"TBD"</formula>
    </cfRule>
    <cfRule type="cellIs" dxfId="3452" priority="327" operator="equal">
      <formula>"In Progress"</formula>
    </cfRule>
    <cfRule type="cellIs" dxfId="3451" priority="328" operator="equal">
      <formula>"Completed"</formula>
    </cfRule>
  </conditionalFormatting>
  <conditionalFormatting sqref="AV144:AW144">
    <cfRule type="cellIs" dxfId="3450" priority="321" operator="equal">
      <formula>"Behind Schedule"</formula>
    </cfRule>
    <cfRule type="cellIs" dxfId="3449" priority="322" operator="equal">
      <formula>"TBD"</formula>
    </cfRule>
    <cfRule type="cellIs" dxfId="3448" priority="323" operator="equal">
      <formula>"In Progress"</formula>
    </cfRule>
    <cfRule type="cellIs" dxfId="3447" priority="324" operator="equal">
      <formula>"Completed"</formula>
    </cfRule>
  </conditionalFormatting>
  <conditionalFormatting sqref="AX145">
    <cfRule type="cellIs" dxfId="3446" priority="317" operator="equal">
      <formula>"Behind Schedule"</formula>
    </cfRule>
    <cfRule type="cellIs" dxfId="3445" priority="318" operator="equal">
      <formula>"TBD"</formula>
    </cfRule>
    <cfRule type="cellIs" dxfId="3444" priority="319" operator="equal">
      <formula>"In Progress"</formula>
    </cfRule>
    <cfRule type="cellIs" dxfId="3443" priority="320" operator="equal">
      <formula>"Completed"</formula>
    </cfRule>
  </conditionalFormatting>
  <conditionalFormatting sqref="AV145:AW145">
    <cfRule type="cellIs" dxfId="3442" priority="313" operator="equal">
      <formula>"Behind Schedule"</formula>
    </cfRule>
    <cfRule type="cellIs" dxfId="3441" priority="314" operator="equal">
      <formula>"TBD"</formula>
    </cfRule>
    <cfRule type="cellIs" dxfId="3440" priority="315" operator="equal">
      <formula>"In Progress"</formula>
    </cfRule>
    <cfRule type="cellIs" dxfId="3439" priority="316" operator="equal">
      <formula>"Completed"</formula>
    </cfRule>
  </conditionalFormatting>
  <conditionalFormatting sqref="AX137">
    <cfRule type="cellIs" dxfId="3438" priority="309" operator="equal">
      <formula>"Behind Schedule"</formula>
    </cfRule>
    <cfRule type="cellIs" dxfId="3437" priority="310" operator="equal">
      <formula>"TBD"</formula>
    </cfRule>
    <cfRule type="cellIs" dxfId="3436" priority="311" operator="equal">
      <formula>"In Progress"</formula>
    </cfRule>
    <cfRule type="cellIs" dxfId="3435" priority="312" operator="equal">
      <formula>"Completed"</formula>
    </cfRule>
  </conditionalFormatting>
  <conditionalFormatting sqref="AW137">
    <cfRule type="cellIs" dxfId="3434" priority="305" operator="equal">
      <formula>"Behind Schedule"</formula>
    </cfRule>
    <cfRule type="cellIs" dxfId="3433" priority="306" operator="equal">
      <formula>"TBD"</formula>
    </cfRule>
    <cfRule type="cellIs" dxfId="3432" priority="307" operator="equal">
      <formula>"In Progress"</formula>
    </cfRule>
    <cfRule type="cellIs" dxfId="3431" priority="308" operator="equal">
      <formula>"Completed"</formula>
    </cfRule>
  </conditionalFormatting>
  <conditionalFormatting sqref="AW137">
    <cfRule type="cellIs" dxfId="3430" priority="301" operator="equal">
      <formula>"Behind Schedule"</formula>
    </cfRule>
    <cfRule type="cellIs" dxfId="3429" priority="302" operator="equal">
      <formula>"TBD"</formula>
    </cfRule>
    <cfRule type="cellIs" dxfId="3428" priority="303" operator="equal">
      <formula>"In Progress"</formula>
    </cfRule>
    <cfRule type="cellIs" dxfId="3427" priority="304" operator="equal">
      <formula>"Completed"</formula>
    </cfRule>
  </conditionalFormatting>
  <conditionalFormatting sqref="AV137">
    <cfRule type="cellIs" dxfId="3426" priority="297" operator="equal">
      <formula>"Behind Schedule"</formula>
    </cfRule>
    <cfRule type="cellIs" dxfId="3425" priority="298" operator="equal">
      <formula>"TBD"</formula>
    </cfRule>
    <cfRule type="cellIs" dxfId="3424" priority="299" operator="equal">
      <formula>"In Progress"</formula>
    </cfRule>
    <cfRule type="cellIs" dxfId="3423" priority="300" operator="equal">
      <formula>"Completed"</formula>
    </cfRule>
  </conditionalFormatting>
  <conditionalFormatting sqref="AV147:AX147 AW146:AX146">
    <cfRule type="cellIs" dxfId="3422" priority="293" operator="equal">
      <formula>"Behind Schedule"</formula>
    </cfRule>
    <cfRule type="cellIs" dxfId="3421" priority="294" operator="equal">
      <formula>"TBD"</formula>
    </cfRule>
    <cfRule type="cellIs" dxfId="3420" priority="295" operator="equal">
      <formula>"In Progress"</formula>
    </cfRule>
    <cfRule type="cellIs" dxfId="3419" priority="296" operator="equal">
      <formula>"Completed"</formula>
    </cfRule>
  </conditionalFormatting>
  <conditionalFormatting sqref="AX148:AX149">
    <cfRule type="cellIs" dxfId="3418" priority="289" operator="equal">
      <formula>"Behind Schedule"</formula>
    </cfRule>
    <cfRule type="cellIs" dxfId="3417" priority="290" operator="equal">
      <formula>"TBD"</formula>
    </cfRule>
    <cfRule type="cellIs" dxfId="3416" priority="291" operator="equal">
      <formula>"In Progress"</formula>
    </cfRule>
    <cfRule type="cellIs" dxfId="3415" priority="292" operator="equal">
      <formula>"Completed"</formula>
    </cfRule>
  </conditionalFormatting>
  <conditionalFormatting sqref="AX150">
    <cfRule type="cellIs" dxfId="3414" priority="285" operator="equal">
      <formula>"Behind Schedule"</formula>
    </cfRule>
    <cfRule type="cellIs" dxfId="3413" priority="286" operator="equal">
      <formula>"TBD"</formula>
    </cfRule>
    <cfRule type="cellIs" dxfId="3412" priority="287" operator="equal">
      <formula>"In Progress"</formula>
    </cfRule>
    <cfRule type="cellIs" dxfId="3411" priority="288" operator="equal">
      <formula>"Completed"</formula>
    </cfRule>
  </conditionalFormatting>
  <conditionalFormatting sqref="AX151:AX153">
    <cfRule type="cellIs" dxfId="3410" priority="281" operator="equal">
      <formula>"Behind Schedule"</formula>
    </cfRule>
    <cfRule type="cellIs" dxfId="3409" priority="282" operator="equal">
      <formula>"TBD"</formula>
    </cfRule>
    <cfRule type="cellIs" dxfId="3408" priority="283" operator="equal">
      <formula>"In Progress"</formula>
    </cfRule>
    <cfRule type="cellIs" dxfId="3407" priority="284" operator="equal">
      <formula>"Completed"</formula>
    </cfRule>
  </conditionalFormatting>
  <conditionalFormatting sqref="AX154">
    <cfRule type="cellIs" dxfId="3406" priority="277" operator="equal">
      <formula>"Behind Schedule"</formula>
    </cfRule>
    <cfRule type="cellIs" dxfId="3405" priority="278" operator="equal">
      <formula>"TBD"</formula>
    </cfRule>
    <cfRule type="cellIs" dxfId="3404" priority="279" operator="equal">
      <formula>"In Progress"</formula>
    </cfRule>
    <cfRule type="cellIs" dxfId="3403" priority="280" operator="equal">
      <formula>"Completed"</formula>
    </cfRule>
  </conditionalFormatting>
  <conditionalFormatting sqref="AX155">
    <cfRule type="cellIs" dxfId="3402" priority="273" operator="equal">
      <formula>"Behind Schedule"</formula>
    </cfRule>
    <cfRule type="cellIs" dxfId="3401" priority="274" operator="equal">
      <formula>"TBD"</formula>
    </cfRule>
    <cfRule type="cellIs" dxfId="3400" priority="275" operator="equal">
      <formula>"In Progress"</formula>
    </cfRule>
    <cfRule type="cellIs" dxfId="3399" priority="276" operator="equal">
      <formula>"Completed"</formula>
    </cfRule>
  </conditionalFormatting>
  <conditionalFormatting sqref="AX156">
    <cfRule type="cellIs" dxfId="3398" priority="269" operator="equal">
      <formula>"Behind Schedule"</formula>
    </cfRule>
    <cfRule type="cellIs" dxfId="3397" priority="270" operator="equal">
      <formula>"TBD"</formula>
    </cfRule>
    <cfRule type="cellIs" dxfId="3396" priority="271" operator="equal">
      <formula>"In Progress"</formula>
    </cfRule>
    <cfRule type="cellIs" dxfId="3395" priority="272" operator="equal">
      <formula>"Completed"</formula>
    </cfRule>
  </conditionalFormatting>
  <conditionalFormatting sqref="AX157">
    <cfRule type="cellIs" dxfId="3394" priority="265" operator="equal">
      <formula>"Behind Schedule"</formula>
    </cfRule>
    <cfRule type="cellIs" dxfId="3393" priority="266" operator="equal">
      <formula>"TBD"</formula>
    </cfRule>
    <cfRule type="cellIs" dxfId="3392" priority="267" operator="equal">
      <formula>"In Progress"</formula>
    </cfRule>
    <cfRule type="cellIs" dxfId="3391" priority="268" operator="equal">
      <formula>"Completed"</formula>
    </cfRule>
  </conditionalFormatting>
  <conditionalFormatting sqref="AX158">
    <cfRule type="cellIs" dxfId="3390" priority="261" operator="equal">
      <formula>"Behind Schedule"</formula>
    </cfRule>
    <cfRule type="cellIs" dxfId="3389" priority="262" operator="equal">
      <formula>"TBD"</formula>
    </cfRule>
    <cfRule type="cellIs" dxfId="3388" priority="263" operator="equal">
      <formula>"In Progress"</formula>
    </cfRule>
    <cfRule type="cellIs" dxfId="3387" priority="264" operator="equal">
      <formula>"Completed"</formula>
    </cfRule>
  </conditionalFormatting>
  <conditionalFormatting sqref="AX159:AX160">
    <cfRule type="cellIs" dxfId="3386" priority="257" operator="equal">
      <formula>"Behind Schedule"</formula>
    </cfRule>
    <cfRule type="cellIs" dxfId="3385" priority="258" operator="equal">
      <formula>"TBD"</formula>
    </cfRule>
    <cfRule type="cellIs" dxfId="3384" priority="259" operator="equal">
      <formula>"In Progress"</formula>
    </cfRule>
    <cfRule type="cellIs" dxfId="3383" priority="260" operator="equal">
      <formula>"Completed"</formula>
    </cfRule>
  </conditionalFormatting>
  <conditionalFormatting sqref="AV52:AW52">
    <cfRule type="cellIs" dxfId="3382" priority="253" operator="equal">
      <formula>"Behind Schedule"</formula>
    </cfRule>
    <cfRule type="cellIs" dxfId="3381" priority="254" operator="equal">
      <formula>"TBD"</formula>
    </cfRule>
    <cfRule type="cellIs" dxfId="3380" priority="255" operator="equal">
      <formula>"In Progress"</formula>
    </cfRule>
    <cfRule type="cellIs" dxfId="3379" priority="256" operator="equal">
      <formula>"Completed"</formula>
    </cfRule>
  </conditionalFormatting>
  <conditionalFormatting sqref="AV52:AW52">
    <cfRule type="cellIs" dxfId="3378" priority="249" operator="equal">
      <formula>"Behind Schedule"</formula>
    </cfRule>
    <cfRule type="cellIs" dxfId="3377" priority="250" operator="equal">
      <formula>"TBD"</formula>
    </cfRule>
    <cfRule type="cellIs" dxfId="3376" priority="251" operator="equal">
      <formula>"In Progress"</formula>
    </cfRule>
    <cfRule type="cellIs" dxfId="3375" priority="252" operator="equal">
      <formula>"Completed"</formula>
    </cfRule>
  </conditionalFormatting>
  <conditionalFormatting sqref="AV117:AV118">
    <cfRule type="cellIs" dxfId="3374" priority="245" operator="equal">
      <formula>"Behind Schedule"</formula>
    </cfRule>
    <cfRule type="cellIs" dxfId="3373" priority="246" operator="equal">
      <formula>"TBD"</formula>
    </cfRule>
    <cfRule type="cellIs" dxfId="3372" priority="247" operator="equal">
      <formula>"In Progress"</formula>
    </cfRule>
    <cfRule type="cellIs" dxfId="3371" priority="248" operator="equal">
      <formula>"Completed"</formula>
    </cfRule>
  </conditionalFormatting>
  <conditionalFormatting sqref="AV146">
    <cfRule type="cellIs" dxfId="3370" priority="241" operator="equal">
      <formula>"Behind Schedule"</formula>
    </cfRule>
    <cfRule type="cellIs" dxfId="3369" priority="242" operator="equal">
      <formula>"TBD"</formula>
    </cfRule>
    <cfRule type="cellIs" dxfId="3368" priority="243" operator="equal">
      <formula>"In Progress"</formula>
    </cfRule>
    <cfRule type="cellIs" dxfId="3367" priority="244" operator="equal">
      <formula>"Completed"</formula>
    </cfRule>
  </conditionalFormatting>
  <conditionalFormatting sqref="AV161">
    <cfRule type="cellIs" dxfId="3366" priority="237" operator="equal">
      <formula>"Behind Schedule"</formula>
    </cfRule>
    <cfRule type="cellIs" dxfId="3365" priority="238" operator="equal">
      <formula>"TBD"</formula>
    </cfRule>
    <cfRule type="cellIs" dxfId="3364" priority="239" operator="equal">
      <formula>"In Progress"</formula>
    </cfRule>
    <cfRule type="cellIs" dxfId="3363" priority="240" operator="equal">
      <formula>"Completed"</formula>
    </cfRule>
  </conditionalFormatting>
  <conditionalFormatting sqref="AV163">
    <cfRule type="cellIs" dxfId="3362" priority="233" operator="equal">
      <formula>"Behind Schedule"</formula>
    </cfRule>
    <cfRule type="cellIs" dxfId="3361" priority="234" operator="equal">
      <formula>"TBD"</formula>
    </cfRule>
    <cfRule type="cellIs" dxfId="3360" priority="235" operator="equal">
      <formula>"In Progress"</formula>
    </cfRule>
    <cfRule type="cellIs" dxfId="3359" priority="236" operator="equal">
      <formula>"Completed"</formula>
    </cfRule>
  </conditionalFormatting>
  <conditionalFormatting sqref="AV166">
    <cfRule type="cellIs" dxfId="3358" priority="229" operator="equal">
      <formula>"Behind Schedule"</formula>
    </cfRule>
    <cfRule type="cellIs" dxfId="3357" priority="230" operator="equal">
      <formula>"TBD"</formula>
    </cfRule>
    <cfRule type="cellIs" dxfId="3356" priority="231" operator="equal">
      <formula>"In Progress"</formula>
    </cfRule>
    <cfRule type="cellIs" dxfId="3355" priority="232" operator="equal">
      <formula>"Completed"</formula>
    </cfRule>
  </conditionalFormatting>
  <conditionalFormatting sqref="AV167">
    <cfRule type="cellIs" dxfId="3354" priority="225" operator="equal">
      <formula>"Behind Schedule"</formula>
    </cfRule>
    <cfRule type="cellIs" dxfId="3353" priority="226" operator="equal">
      <formula>"TBD"</formula>
    </cfRule>
    <cfRule type="cellIs" dxfId="3352" priority="227" operator="equal">
      <formula>"In Progress"</formula>
    </cfRule>
    <cfRule type="cellIs" dxfId="3351" priority="228" operator="equal">
      <formula>"Completed"</formula>
    </cfRule>
  </conditionalFormatting>
  <conditionalFormatting sqref="AA178">
    <cfRule type="cellIs" dxfId="3350" priority="222" operator="equal">
      <formula>"EM EXECUÇÃO"</formula>
    </cfRule>
    <cfRule type="cellIs" dxfId="3349" priority="223" operator="equal">
      <formula>"CLSD"</formula>
    </cfRule>
    <cfRule type="cellIs" dxfId="3348" priority="224" operator="equal">
      <formula>"TECO"</formula>
    </cfRule>
  </conditionalFormatting>
  <conditionalFormatting sqref="AA178">
    <cfRule type="cellIs" dxfId="3347" priority="221" operator="equal">
      <formula>"CANCELADO"</formula>
    </cfRule>
  </conditionalFormatting>
  <conditionalFormatting sqref="AA178">
    <cfRule type="expression" dxfId="3346" priority="220">
      <formula>"EM ESTUDO"</formula>
    </cfRule>
  </conditionalFormatting>
  <conditionalFormatting sqref="AA178">
    <cfRule type="cellIs" dxfId="3345" priority="216" operator="equal">
      <formula>"CLSD"</formula>
    </cfRule>
    <cfRule type="cellIs" dxfId="3344" priority="217" operator="equal">
      <formula>"TECO"</formula>
    </cfRule>
    <cfRule type="cellIs" dxfId="3343" priority="218" operator="equal">
      <formula>"REL"</formula>
    </cfRule>
    <cfRule type="cellIs" dxfId="3342" priority="219" operator="equal">
      <formula>"CRTD"</formula>
    </cfRule>
  </conditionalFormatting>
  <conditionalFormatting sqref="AA176">
    <cfRule type="cellIs" dxfId="3341" priority="213" operator="equal">
      <formula>"EM EXECUÇÃO"</formula>
    </cfRule>
    <cfRule type="cellIs" dxfId="3340" priority="214" operator="equal">
      <formula>"CLSD"</formula>
    </cfRule>
    <cfRule type="cellIs" dxfId="3339" priority="215" operator="equal">
      <formula>"TECO"</formula>
    </cfRule>
  </conditionalFormatting>
  <conditionalFormatting sqref="AA176">
    <cfRule type="cellIs" dxfId="3338" priority="212" operator="equal">
      <formula>"CANCELADO"</formula>
    </cfRule>
  </conditionalFormatting>
  <conditionalFormatting sqref="AA176">
    <cfRule type="expression" dxfId="3337" priority="211">
      <formula>"EM ESTUDO"</formula>
    </cfRule>
  </conditionalFormatting>
  <conditionalFormatting sqref="AA176">
    <cfRule type="cellIs" dxfId="3336" priority="207" operator="equal">
      <formula>"CLSD"</formula>
    </cfRule>
    <cfRule type="cellIs" dxfId="3335" priority="208" operator="equal">
      <formula>"TECO"</formula>
    </cfRule>
    <cfRule type="cellIs" dxfId="3334" priority="209" operator="equal">
      <formula>"REL"</formula>
    </cfRule>
    <cfRule type="cellIs" dxfId="3333" priority="210" operator="equal">
      <formula>"CRTD"</formula>
    </cfRule>
  </conditionalFormatting>
  <conditionalFormatting sqref="AL133:AQ133">
    <cfRule type="cellIs" dxfId="3332" priority="203" operator="equal">
      <formula>"Behind Schedule"</formula>
    </cfRule>
    <cfRule type="cellIs" dxfId="3331" priority="204" operator="equal">
      <formula>"TBD"</formula>
    </cfRule>
    <cfRule type="cellIs" dxfId="3330" priority="205" operator="equal">
      <formula>"In Progress"</formula>
    </cfRule>
    <cfRule type="cellIs" dxfId="3329" priority="206" operator="equal">
      <formula>"Completed"</formula>
    </cfRule>
  </conditionalFormatting>
  <conditionalFormatting sqref="AA179">
    <cfRule type="cellIs" dxfId="3328" priority="200" operator="equal">
      <formula>"EM EXECUÇÃO"</formula>
    </cfRule>
    <cfRule type="cellIs" dxfId="3327" priority="201" operator="equal">
      <formula>"CLSD"</formula>
    </cfRule>
    <cfRule type="cellIs" dxfId="3326" priority="202" operator="equal">
      <formula>"TECO"</formula>
    </cfRule>
  </conditionalFormatting>
  <conditionalFormatting sqref="AA179">
    <cfRule type="cellIs" dxfId="3325" priority="199" operator="equal">
      <formula>"CANCELADO"</formula>
    </cfRule>
  </conditionalFormatting>
  <conditionalFormatting sqref="AA179">
    <cfRule type="expression" dxfId="3324" priority="198">
      <formula>"EM ESTUDO"</formula>
    </cfRule>
  </conditionalFormatting>
  <conditionalFormatting sqref="AA179">
    <cfRule type="cellIs" dxfId="3323" priority="194" operator="equal">
      <formula>"CLSD"</formula>
    </cfRule>
    <cfRule type="cellIs" dxfId="3322" priority="195" operator="equal">
      <formula>"TECO"</formula>
    </cfRule>
    <cfRule type="cellIs" dxfId="3321" priority="196" operator="equal">
      <formula>"REL"</formula>
    </cfRule>
    <cfRule type="cellIs" dxfId="3320" priority="197" operator="equal">
      <formula>"CRTD"</formula>
    </cfRule>
  </conditionalFormatting>
  <conditionalFormatting sqref="AL112:AQ112">
    <cfRule type="cellIs" dxfId="3319" priority="190" operator="equal">
      <formula>"Behind Schedule"</formula>
    </cfRule>
    <cfRule type="cellIs" dxfId="3318" priority="191" operator="equal">
      <formula>"TBD"</formula>
    </cfRule>
    <cfRule type="cellIs" dxfId="3317" priority="192" operator="equal">
      <formula>"In Progress"</formula>
    </cfRule>
    <cfRule type="cellIs" dxfId="3316" priority="193" operator="equal">
      <formula>"Completed"</formula>
    </cfRule>
  </conditionalFormatting>
  <conditionalFormatting sqref="AL180:AQ180">
    <cfRule type="cellIs" dxfId="3315" priority="186" operator="equal">
      <formula>"Behind Schedule"</formula>
    </cfRule>
    <cfRule type="cellIs" dxfId="3314" priority="187" operator="equal">
      <formula>"TBD"</formula>
    </cfRule>
    <cfRule type="cellIs" dxfId="3313" priority="188" operator="equal">
      <formula>"In Progress"</formula>
    </cfRule>
    <cfRule type="cellIs" dxfId="3312" priority="189" operator="equal">
      <formula>"Completed"</formula>
    </cfRule>
  </conditionalFormatting>
  <conditionalFormatting sqref="AA6">
    <cfRule type="cellIs" dxfId="3311" priority="183" operator="equal">
      <formula>"EM EXECUÇÃO"</formula>
    </cfRule>
    <cfRule type="cellIs" dxfId="3310" priority="184" operator="equal">
      <formula>"CLSD"</formula>
    </cfRule>
    <cfRule type="cellIs" dxfId="3309" priority="185" operator="equal">
      <formula>"TECO"</formula>
    </cfRule>
  </conditionalFormatting>
  <conditionalFormatting sqref="AA6">
    <cfRule type="cellIs" dxfId="3308" priority="182" operator="equal">
      <formula>"CANCELADO"</formula>
    </cfRule>
  </conditionalFormatting>
  <conditionalFormatting sqref="AA6">
    <cfRule type="expression" dxfId="3307" priority="181">
      <formula>"EM ESTUDO"</formula>
    </cfRule>
  </conditionalFormatting>
  <conditionalFormatting sqref="AA122">
    <cfRule type="cellIs" dxfId="3306" priority="178" operator="equal">
      <formula>"EM EXECUÇÃO"</formula>
    </cfRule>
    <cfRule type="cellIs" dxfId="3305" priority="179" operator="equal">
      <formula>"CLSD"</formula>
    </cfRule>
    <cfRule type="cellIs" dxfId="3304" priority="180" operator="equal">
      <formula>"TECO"</formula>
    </cfRule>
  </conditionalFormatting>
  <conditionalFormatting sqref="AA122">
    <cfRule type="cellIs" dxfId="3303" priority="177" operator="equal">
      <formula>"CANCELADO"</formula>
    </cfRule>
  </conditionalFormatting>
  <conditionalFormatting sqref="AA122">
    <cfRule type="expression" dxfId="3302" priority="176">
      <formula>"EM ESTUDO"</formula>
    </cfRule>
  </conditionalFormatting>
  <conditionalFormatting sqref="AA122">
    <cfRule type="cellIs" dxfId="3301" priority="172" operator="equal">
      <formula>"CLSD"</formula>
    </cfRule>
    <cfRule type="cellIs" dxfId="3300" priority="173" operator="equal">
      <formula>"TECO"</formula>
    </cfRule>
    <cfRule type="cellIs" dxfId="3299" priority="174" operator="equal">
      <formula>"REL"</formula>
    </cfRule>
    <cfRule type="cellIs" dxfId="3298" priority="175" operator="equal">
      <formula>"CRTD"</formula>
    </cfRule>
  </conditionalFormatting>
  <conditionalFormatting sqref="AA119:AA120">
    <cfRule type="cellIs" dxfId="3297" priority="169" operator="equal">
      <formula>"EM EXECUÇÃO"</formula>
    </cfRule>
    <cfRule type="cellIs" dxfId="3296" priority="170" operator="equal">
      <formula>"CLSD"</formula>
    </cfRule>
    <cfRule type="cellIs" dxfId="3295" priority="171" operator="equal">
      <formula>"TECO"</formula>
    </cfRule>
  </conditionalFormatting>
  <conditionalFormatting sqref="AA119:AA120">
    <cfRule type="cellIs" dxfId="3294" priority="168" operator="equal">
      <formula>"CANCELADO"</formula>
    </cfRule>
  </conditionalFormatting>
  <conditionalFormatting sqref="AA119:AA120">
    <cfRule type="expression" dxfId="3293" priority="167">
      <formula>"EM ESTUDO"</formula>
    </cfRule>
  </conditionalFormatting>
  <conditionalFormatting sqref="AA119:AA120">
    <cfRule type="cellIs" dxfId="3292" priority="163" operator="equal">
      <formula>"CLSD"</formula>
    </cfRule>
    <cfRule type="cellIs" dxfId="3291" priority="164" operator="equal">
      <formula>"TECO"</formula>
    </cfRule>
    <cfRule type="cellIs" dxfId="3290" priority="165" operator="equal">
      <formula>"REL"</formula>
    </cfRule>
    <cfRule type="cellIs" dxfId="3289" priority="166" operator="equal">
      <formula>"CRTD"</formula>
    </cfRule>
  </conditionalFormatting>
  <conditionalFormatting sqref="AA127">
    <cfRule type="cellIs" dxfId="3288" priority="160" operator="equal">
      <formula>"EM EXECUÇÃO"</formula>
    </cfRule>
    <cfRule type="cellIs" dxfId="3287" priority="161" operator="equal">
      <formula>"CLSD"</formula>
    </cfRule>
    <cfRule type="cellIs" dxfId="3286" priority="162" operator="equal">
      <formula>"TECO"</formula>
    </cfRule>
  </conditionalFormatting>
  <conditionalFormatting sqref="AA127">
    <cfRule type="cellIs" dxfId="3285" priority="159" operator="equal">
      <formula>"CANCELADO"</formula>
    </cfRule>
  </conditionalFormatting>
  <conditionalFormatting sqref="AA127">
    <cfRule type="expression" dxfId="3284" priority="158">
      <formula>"EM ESTUDO"</formula>
    </cfRule>
  </conditionalFormatting>
  <conditionalFormatting sqref="AA127">
    <cfRule type="cellIs" dxfId="3283" priority="154" operator="equal">
      <formula>"CLSD"</formula>
    </cfRule>
    <cfRule type="cellIs" dxfId="3282" priority="155" operator="equal">
      <formula>"TECO"</formula>
    </cfRule>
    <cfRule type="cellIs" dxfId="3281" priority="156" operator="equal">
      <formula>"REL"</formula>
    </cfRule>
    <cfRule type="cellIs" dxfId="3280" priority="157" operator="equal">
      <formula>"CRTD"</formula>
    </cfRule>
  </conditionalFormatting>
  <conditionalFormatting sqref="AA129">
    <cfRule type="cellIs" dxfId="3279" priority="151" operator="equal">
      <formula>"EM EXECUÇÃO"</formula>
    </cfRule>
    <cfRule type="cellIs" dxfId="3278" priority="152" operator="equal">
      <formula>"CLSD"</formula>
    </cfRule>
    <cfRule type="cellIs" dxfId="3277" priority="153" operator="equal">
      <formula>"TECO"</formula>
    </cfRule>
  </conditionalFormatting>
  <conditionalFormatting sqref="AA129">
    <cfRule type="cellIs" dxfId="3276" priority="150" operator="equal">
      <formula>"CANCELADO"</formula>
    </cfRule>
  </conditionalFormatting>
  <conditionalFormatting sqref="AA129">
    <cfRule type="expression" dxfId="3275" priority="149">
      <formula>"EM ESTUDO"</formula>
    </cfRule>
  </conditionalFormatting>
  <conditionalFormatting sqref="AA129">
    <cfRule type="cellIs" dxfId="3274" priority="145" operator="equal">
      <formula>"CLSD"</formula>
    </cfRule>
    <cfRule type="cellIs" dxfId="3273" priority="146" operator="equal">
      <formula>"TECO"</formula>
    </cfRule>
    <cfRule type="cellIs" dxfId="3272" priority="147" operator="equal">
      <formula>"REL"</formula>
    </cfRule>
    <cfRule type="cellIs" dxfId="3271" priority="148" operator="equal">
      <formula>"CRTD"</formula>
    </cfRule>
  </conditionalFormatting>
  <conditionalFormatting sqref="AA131">
    <cfRule type="cellIs" dxfId="3270" priority="142" operator="equal">
      <formula>"EM EXECUÇÃO"</formula>
    </cfRule>
    <cfRule type="cellIs" dxfId="3269" priority="143" operator="equal">
      <formula>"CLSD"</formula>
    </cfRule>
    <cfRule type="cellIs" dxfId="3268" priority="144" operator="equal">
      <formula>"TECO"</formula>
    </cfRule>
  </conditionalFormatting>
  <conditionalFormatting sqref="AA131">
    <cfRule type="cellIs" dxfId="3267" priority="141" operator="equal">
      <formula>"CANCELADO"</formula>
    </cfRule>
  </conditionalFormatting>
  <conditionalFormatting sqref="AA131">
    <cfRule type="expression" dxfId="3266" priority="140">
      <formula>"EM ESTUDO"</formula>
    </cfRule>
  </conditionalFormatting>
  <conditionalFormatting sqref="AA131">
    <cfRule type="cellIs" dxfId="3265" priority="136" operator="equal">
      <formula>"CLSD"</formula>
    </cfRule>
    <cfRule type="cellIs" dxfId="3264" priority="137" operator="equal">
      <formula>"TECO"</formula>
    </cfRule>
    <cfRule type="cellIs" dxfId="3263" priority="138" operator="equal">
      <formula>"REL"</formula>
    </cfRule>
    <cfRule type="cellIs" dxfId="3262" priority="139" operator="equal">
      <formula>"CRTD"</formula>
    </cfRule>
  </conditionalFormatting>
  <conditionalFormatting sqref="AA144">
    <cfRule type="cellIs" dxfId="3261" priority="133" operator="equal">
      <formula>"EM EXECUÇÃO"</formula>
    </cfRule>
    <cfRule type="cellIs" dxfId="3260" priority="134" operator="equal">
      <formula>"CLSD"</formula>
    </cfRule>
    <cfRule type="cellIs" dxfId="3259" priority="135" operator="equal">
      <formula>"TECO"</formula>
    </cfRule>
  </conditionalFormatting>
  <conditionalFormatting sqref="AA144">
    <cfRule type="cellIs" dxfId="3258" priority="132" operator="equal">
      <formula>"CANCELADO"</formula>
    </cfRule>
  </conditionalFormatting>
  <conditionalFormatting sqref="AA144">
    <cfRule type="expression" dxfId="3257" priority="131">
      <formula>"EM ESTUDO"</formula>
    </cfRule>
  </conditionalFormatting>
  <conditionalFormatting sqref="AA144">
    <cfRule type="cellIs" dxfId="3256" priority="127" operator="equal">
      <formula>"CLSD"</formula>
    </cfRule>
    <cfRule type="cellIs" dxfId="3255" priority="128" operator="equal">
      <formula>"TECO"</formula>
    </cfRule>
    <cfRule type="cellIs" dxfId="3254" priority="129" operator="equal">
      <formula>"REL"</formula>
    </cfRule>
    <cfRule type="cellIs" dxfId="3253" priority="130" operator="equal">
      <formula>"CRTD"</formula>
    </cfRule>
  </conditionalFormatting>
  <conditionalFormatting sqref="AA146">
    <cfRule type="cellIs" dxfId="3252" priority="124" operator="equal">
      <formula>"EM EXECUÇÃO"</formula>
    </cfRule>
    <cfRule type="cellIs" dxfId="3251" priority="125" operator="equal">
      <formula>"CLSD"</formula>
    </cfRule>
    <cfRule type="cellIs" dxfId="3250" priority="126" operator="equal">
      <formula>"TECO"</formula>
    </cfRule>
  </conditionalFormatting>
  <conditionalFormatting sqref="AA146">
    <cfRule type="cellIs" dxfId="3249" priority="123" operator="equal">
      <formula>"CANCELADO"</formula>
    </cfRule>
  </conditionalFormatting>
  <conditionalFormatting sqref="AA146">
    <cfRule type="expression" dxfId="3248" priority="122">
      <formula>"EM ESTUDO"</formula>
    </cfRule>
  </conditionalFormatting>
  <conditionalFormatting sqref="AA146">
    <cfRule type="cellIs" dxfId="3247" priority="118" operator="equal">
      <formula>"CLSD"</formula>
    </cfRule>
    <cfRule type="cellIs" dxfId="3246" priority="119" operator="equal">
      <formula>"TECO"</formula>
    </cfRule>
    <cfRule type="cellIs" dxfId="3245" priority="120" operator="equal">
      <formula>"REL"</formula>
    </cfRule>
    <cfRule type="cellIs" dxfId="3244" priority="121" operator="equal">
      <formula>"CRTD"</formula>
    </cfRule>
  </conditionalFormatting>
  <conditionalFormatting sqref="AA153">
    <cfRule type="cellIs" dxfId="3243" priority="115" operator="equal">
      <formula>"EM EXECUÇÃO"</formula>
    </cfRule>
    <cfRule type="cellIs" dxfId="3242" priority="116" operator="equal">
      <formula>"CLSD"</formula>
    </cfRule>
    <cfRule type="cellIs" dxfId="3241" priority="117" operator="equal">
      <formula>"TECO"</formula>
    </cfRule>
  </conditionalFormatting>
  <conditionalFormatting sqref="AA153">
    <cfRule type="cellIs" dxfId="3240" priority="114" operator="equal">
      <formula>"CANCELADO"</formula>
    </cfRule>
  </conditionalFormatting>
  <conditionalFormatting sqref="AA153">
    <cfRule type="expression" dxfId="3239" priority="113">
      <formula>"EM ESTUDO"</formula>
    </cfRule>
  </conditionalFormatting>
  <conditionalFormatting sqref="AA153">
    <cfRule type="cellIs" dxfId="3238" priority="109" operator="equal">
      <formula>"CLSD"</formula>
    </cfRule>
    <cfRule type="cellIs" dxfId="3237" priority="110" operator="equal">
      <formula>"TECO"</formula>
    </cfRule>
    <cfRule type="cellIs" dxfId="3236" priority="111" operator="equal">
      <formula>"REL"</formula>
    </cfRule>
    <cfRule type="cellIs" dxfId="3235" priority="112" operator="equal">
      <formula>"CRTD"</formula>
    </cfRule>
  </conditionalFormatting>
  <conditionalFormatting sqref="AA107:AA108">
    <cfRule type="cellIs" dxfId="3234" priority="106" operator="equal">
      <formula>"EM EXECUÇÃO"</formula>
    </cfRule>
    <cfRule type="cellIs" dxfId="3233" priority="107" operator="equal">
      <formula>"CLSD"</formula>
    </cfRule>
    <cfRule type="cellIs" dxfId="3232" priority="108" operator="equal">
      <formula>"TECO"</formula>
    </cfRule>
  </conditionalFormatting>
  <conditionalFormatting sqref="AA107:AA108">
    <cfRule type="cellIs" dxfId="3231" priority="105" operator="equal">
      <formula>"CANCELADO"</formula>
    </cfRule>
  </conditionalFormatting>
  <conditionalFormatting sqref="AA107:AA108">
    <cfRule type="expression" dxfId="3230" priority="104">
      <formula>"EM ESTUDO"</formula>
    </cfRule>
  </conditionalFormatting>
  <conditionalFormatting sqref="AA107:AA108">
    <cfRule type="cellIs" dxfId="3229" priority="100" operator="equal">
      <formula>"CLSD"</formula>
    </cfRule>
    <cfRule type="cellIs" dxfId="3228" priority="101" operator="equal">
      <formula>"TECO"</formula>
    </cfRule>
    <cfRule type="cellIs" dxfId="3227" priority="102" operator="equal">
      <formula>"REL"</formula>
    </cfRule>
    <cfRule type="cellIs" dxfId="3226" priority="103" operator="equal">
      <formula>"CRTD"</formula>
    </cfRule>
  </conditionalFormatting>
  <conditionalFormatting sqref="AA53">
    <cfRule type="cellIs" dxfId="3225" priority="97" operator="equal">
      <formula>"EM EXECUÇÃO"</formula>
    </cfRule>
    <cfRule type="cellIs" dxfId="3224" priority="98" operator="equal">
      <formula>"CLSD"</formula>
    </cfRule>
    <cfRule type="cellIs" dxfId="3223" priority="99" operator="equal">
      <formula>"TECO"</formula>
    </cfRule>
  </conditionalFormatting>
  <conditionalFormatting sqref="AA53">
    <cfRule type="cellIs" dxfId="3222" priority="96" operator="equal">
      <formula>"CANCELADO"</formula>
    </cfRule>
  </conditionalFormatting>
  <conditionalFormatting sqref="AA53">
    <cfRule type="expression" dxfId="3221" priority="95">
      <formula>"EM ESTUDO"</formula>
    </cfRule>
  </conditionalFormatting>
  <conditionalFormatting sqref="AA53">
    <cfRule type="cellIs" dxfId="3220" priority="91" operator="equal">
      <formula>"CLSD"</formula>
    </cfRule>
    <cfRule type="cellIs" dxfId="3219" priority="92" operator="equal">
      <formula>"TECO"</formula>
    </cfRule>
    <cfRule type="cellIs" dxfId="3218" priority="93" operator="equal">
      <formula>"REL"</formula>
    </cfRule>
    <cfRule type="cellIs" dxfId="3217" priority="94" operator="equal">
      <formula>"CRTD"</formula>
    </cfRule>
  </conditionalFormatting>
  <conditionalFormatting sqref="AA232">
    <cfRule type="cellIs" dxfId="3216" priority="88" operator="equal">
      <formula>"EM EXECUÇÃO"</formula>
    </cfRule>
    <cfRule type="cellIs" dxfId="3215" priority="89" operator="equal">
      <formula>"CLSD"</formula>
    </cfRule>
    <cfRule type="cellIs" dxfId="3214" priority="90" operator="equal">
      <formula>"TECO"</formula>
    </cfRule>
  </conditionalFormatting>
  <conditionalFormatting sqref="AA232">
    <cfRule type="cellIs" dxfId="3213" priority="87" operator="equal">
      <formula>"CANCELADO"</formula>
    </cfRule>
  </conditionalFormatting>
  <conditionalFormatting sqref="AA232">
    <cfRule type="expression" dxfId="3212" priority="86">
      <formula>"EM ESTUDO"</formula>
    </cfRule>
  </conditionalFormatting>
  <conditionalFormatting sqref="AA232">
    <cfRule type="cellIs" dxfId="3211" priority="82" operator="equal">
      <formula>"CLSD"</formula>
    </cfRule>
    <cfRule type="cellIs" dxfId="3210" priority="83" operator="equal">
      <formula>"TECO"</formula>
    </cfRule>
    <cfRule type="cellIs" dxfId="3209" priority="84" operator="equal">
      <formula>"REL"</formula>
    </cfRule>
    <cfRule type="cellIs" dxfId="3208" priority="85" operator="equal">
      <formula>"CRTD"</formula>
    </cfRule>
  </conditionalFormatting>
  <conditionalFormatting sqref="AC259:AC274 AC6:AC257">
    <cfRule type="containsText" dxfId="3207" priority="80" operator="containsText" text="OK">
      <formula>NOT(ISERROR(SEARCH("OK",AC6)))</formula>
    </cfRule>
    <cfRule type="cellIs" dxfId="3206" priority="81" operator="greaterThan">
      <formula>EOMONTH($K6,0)</formula>
    </cfRule>
    <cfRule type="cellIs" dxfId="3205" priority="930" operator="equal">
      <formula>36892</formula>
    </cfRule>
  </conditionalFormatting>
  <conditionalFormatting sqref="AD6:AD257 AD259 AD261:AD274">
    <cfRule type="containsText" dxfId="3204" priority="79" operator="containsText" text="OK">
      <formula>NOT(ISERROR(SEARCH("OK",AD6)))</formula>
    </cfRule>
  </conditionalFormatting>
  <conditionalFormatting sqref="AA6">
    <cfRule type="cellIs" dxfId="3203" priority="75" operator="equal">
      <formula>"EM EXECUÇÃO"</formula>
    </cfRule>
    <cfRule type="cellIs" dxfId="3202" priority="76" operator="equal">
      <formula>"CLSD"</formula>
    </cfRule>
    <cfRule type="cellIs" dxfId="3201" priority="77" operator="equal">
      <formula>"TECO"</formula>
    </cfRule>
  </conditionalFormatting>
  <conditionalFormatting sqref="AA6">
    <cfRule type="cellIs" dxfId="3200" priority="74" operator="equal">
      <formula>"CANCELADO"</formula>
    </cfRule>
  </conditionalFormatting>
  <conditionalFormatting sqref="AA6">
    <cfRule type="expression" dxfId="3199" priority="73">
      <formula>"EM ESTUDO"</formula>
    </cfRule>
  </conditionalFormatting>
  <conditionalFormatting sqref="AE260 AD6:AE257 AD259:AE259 AD261:AE274">
    <cfRule type="cellIs" dxfId="3198" priority="78" operator="greaterThan">
      <formula>EOMONTH($L6,-2)</formula>
    </cfRule>
  </conditionalFormatting>
  <conditionalFormatting sqref="AE6:AE257 AE259:AE274">
    <cfRule type="containsText" dxfId="3197" priority="72" operator="containsText" text="OK">
      <formula>NOT(ISERROR(SEARCH("OK",AE6)))</formula>
    </cfRule>
  </conditionalFormatting>
  <conditionalFormatting sqref="AA8">
    <cfRule type="cellIs" dxfId="3196" priority="69" operator="equal">
      <formula>"EM EXECUÇÃO"</formula>
    </cfRule>
    <cfRule type="cellIs" dxfId="3195" priority="70" operator="equal">
      <formula>"CLSD"</formula>
    </cfRule>
    <cfRule type="cellIs" dxfId="3194" priority="71" operator="equal">
      <formula>"TECO"</formula>
    </cfRule>
  </conditionalFormatting>
  <conditionalFormatting sqref="AA8">
    <cfRule type="cellIs" dxfId="3193" priority="68" operator="equal">
      <formula>"CANCELADO"</formula>
    </cfRule>
  </conditionalFormatting>
  <conditionalFormatting sqref="AA8">
    <cfRule type="expression" dxfId="3192" priority="67">
      <formula>"EM ESTUDO"</formula>
    </cfRule>
  </conditionalFormatting>
  <conditionalFormatting sqref="AA6">
    <cfRule type="cellIs" dxfId="3191" priority="64" operator="equal">
      <formula>"EM EXECUÇÃO"</formula>
    </cfRule>
    <cfRule type="cellIs" dxfId="3190" priority="65" operator="equal">
      <formula>"CLSD"</formula>
    </cfRule>
    <cfRule type="cellIs" dxfId="3189" priority="66" operator="equal">
      <formula>"TECO"</formula>
    </cfRule>
  </conditionalFormatting>
  <conditionalFormatting sqref="AA6">
    <cfRule type="cellIs" dxfId="3188" priority="63" operator="equal">
      <formula>"CANCELADO"</formula>
    </cfRule>
  </conditionalFormatting>
  <conditionalFormatting sqref="AA6">
    <cfRule type="expression" dxfId="3187" priority="62">
      <formula>"EM ESTUDO"</formula>
    </cfRule>
  </conditionalFormatting>
  <conditionalFormatting sqref="AL135:AQ135">
    <cfRule type="cellIs" dxfId="3186" priority="58" operator="equal">
      <formula>"Behind Schedule"</formula>
    </cfRule>
    <cfRule type="cellIs" dxfId="3185" priority="59" operator="equal">
      <formula>"TBD"</formula>
    </cfRule>
    <cfRule type="cellIs" dxfId="3184" priority="60" operator="equal">
      <formula>"In Progress"</formula>
    </cfRule>
    <cfRule type="cellIs" dxfId="3183" priority="61" operator="equal">
      <formula>"Completed"</formula>
    </cfRule>
  </conditionalFormatting>
  <conditionalFormatting sqref="AL103">
    <cfRule type="cellIs" dxfId="3182" priority="54" operator="equal">
      <formula>"Behind Schedule"</formula>
    </cfRule>
    <cfRule type="cellIs" dxfId="3181" priority="55" operator="equal">
      <formula>"TBD"</formula>
    </cfRule>
    <cfRule type="cellIs" dxfId="3180" priority="56" operator="equal">
      <formula>"In Progress"</formula>
    </cfRule>
    <cfRule type="cellIs" dxfId="3179" priority="57" operator="equal">
      <formula>"Completed"</formula>
    </cfRule>
  </conditionalFormatting>
  <conditionalFormatting sqref="AM103">
    <cfRule type="cellIs" dxfId="3178" priority="50" operator="equal">
      <formula>"Behind Schedule"</formula>
    </cfRule>
    <cfRule type="cellIs" dxfId="3177" priority="51" operator="equal">
      <formula>"TBD"</formula>
    </cfRule>
    <cfRule type="cellIs" dxfId="3176" priority="52" operator="equal">
      <formula>"In Progress"</formula>
    </cfRule>
    <cfRule type="cellIs" dxfId="3175" priority="53" operator="equal">
      <formula>"Completed"</formula>
    </cfRule>
  </conditionalFormatting>
  <conditionalFormatting sqref="AN103">
    <cfRule type="cellIs" dxfId="3174" priority="46" operator="equal">
      <formula>"Behind Schedule"</formula>
    </cfRule>
    <cfRule type="cellIs" dxfId="3173" priority="47" operator="equal">
      <formula>"TBD"</formula>
    </cfRule>
    <cfRule type="cellIs" dxfId="3172" priority="48" operator="equal">
      <formula>"In Progress"</formula>
    </cfRule>
    <cfRule type="cellIs" dxfId="3171" priority="49" operator="equal">
      <formula>"Completed"</formula>
    </cfRule>
  </conditionalFormatting>
  <conditionalFormatting sqref="AO103:AQ103">
    <cfRule type="cellIs" dxfId="3170" priority="42" operator="equal">
      <formula>"Behind Schedule"</formula>
    </cfRule>
    <cfRule type="cellIs" dxfId="3169" priority="43" operator="equal">
      <formula>"TBD"</formula>
    </cfRule>
    <cfRule type="cellIs" dxfId="3168" priority="44" operator="equal">
      <formula>"In Progress"</formula>
    </cfRule>
    <cfRule type="cellIs" dxfId="3167" priority="45" operator="equal">
      <formula>"Completed"</formula>
    </cfRule>
  </conditionalFormatting>
  <conditionalFormatting sqref="AO162:AQ162">
    <cfRule type="cellIs" dxfId="3166" priority="38" operator="equal">
      <formula>"Behind Schedule"</formula>
    </cfRule>
    <cfRule type="cellIs" dxfId="3165" priority="39" operator="equal">
      <formula>"TBD"</formula>
    </cfRule>
    <cfRule type="cellIs" dxfId="3164" priority="40" operator="equal">
      <formula>"In Progress"</formula>
    </cfRule>
    <cfRule type="cellIs" dxfId="3163" priority="41" operator="equal">
      <formula>"Completed"</formula>
    </cfRule>
  </conditionalFormatting>
  <conditionalFormatting sqref="AO190:AQ190">
    <cfRule type="cellIs" dxfId="3162" priority="34" operator="equal">
      <formula>"Behind Schedule"</formula>
    </cfRule>
    <cfRule type="cellIs" dxfId="3161" priority="35" operator="equal">
      <formula>"TBD"</formula>
    </cfRule>
    <cfRule type="cellIs" dxfId="3160" priority="36" operator="equal">
      <formula>"In Progress"</formula>
    </cfRule>
    <cfRule type="cellIs" dxfId="3159" priority="37" operator="equal">
      <formula>"Completed"</formula>
    </cfRule>
  </conditionalFormatting>
  <conditionalFormatting sqref="AL193:AN193">
    <cfRule type="cellIs" dxfId="3158" priority="30" operator="equal">
      <formula>"Behind Schedule"</formula>
    </cfRule>
    <cfRule type="cellIs" dxfId="3157" priority="31" operator="equal">
      <formula>"TBD"</formula>
    </cfRule>
    <cfRule type="cellIs" dxfId="3156" priority="32" operator="equal">
      <formula>"In Progress"</formula>
    </cfRule>
    <cfRule type="cellIs" dxfId="3155" priority="33" operator="equal">
      <formula>"Completed"</formula>
    </cfRule>
  </conditionalFormatting>
  <conditionalFormatting sqref="AO193:AQ193">
    <cfRule type="cellIs" dxfId="3154" priority="26" operator="equal">
      <formula>"Behind Schedule"</formula>
    </cfRule>
    <cfRule type="cellIs" dxfId="3153" priority="27" operator="equal">
      <formula>"TBD"</formula>
    </cfRule>
    <cfRule type="cellIs" dxfId="3152" priority="28" operator="equal">
      <formula>"In Progress"</formula>
    </cfRule>
    <cfRule type="cellIs" dxfId="3151" priority="29" operator="equal">
      <formula>"Completed"</formula>
    </cfRule>
  </conditionalFormatting>
  <conditionalFormatting sqref="AL194:AN194">
    <cfRule type="cellIs" dxfId="3150" priority="22" operator="equal">
      <formula>"Behind Schedule"</formula>
    </cfRule>
    <cfRule type="cellIs" dxfId="3149" priority="23" operator="equal">
      <formula>"TBD"</formula>
    </cfRule>
    <cfRule type="cellIs" dxfId="3148" priority="24" operator="equal">
      <formula>"In Progress"</formula>
    </cfRule>
    <cfRule type="cellIs" dxfId="3147" priority="25" operator="equal">
      <formula>"Completed"</formula>
    </cfRule>
  </conditionalFormatting>
  <conditionalFormatting sqref="AO194:AQ194">
    <cfRule type="cellIs" dxfId="3146" priority="18" operator="equal">
      <formula>"Behind Schedule"</formula>
    </cfRule>
    <cfRule type="cellIs" dxfId="3145" priority="19" operator="equal">
      <formula>"TBD"</formula>
    </cfRule>
    <cfRule type="cellIs" dxfId="3144" priority="20" operator="equal">
      <formula>"In Progress"</formula>
    </cfRule>
    <cfRule type="cellIs" dxfId="3143" priority="21" operator="equal">
      <formula>"Completed"</formula>
    </cfRule>
  </conditionalFormatting>
  <conditionalFormatting sqref="AA254">
    <cfRule type="cellIs" dxfId="3142" priority="15" operator="equal">
      <formula>"EM EXECUÇÃO"</formula>
    </cfRule>
    <cfRule type="cellIs" dxfId="3141" priority="16" operator="equal">
      <formula>"CLSD"</formula>
    </cfRule>
    <cfRule type="cellIs" dxfId="3140" priority="17" operator="equal">
      <formula>"TECO"</formula>
    </cfRule>
  </conditionalFormatting>
  <conditionalFormatting sqref="AA254">
    <cfRule type="cellIs" dxfId="3139" priority="14" operator="equal">
      <formula>"CANCELADO"</formula>
    </cfRule>
  </conditionalFormatting>
  <conditionalFormatting sqref="AA254">
    <cfRule type="expression" dxfId="3138" priority="13">
      <formula>"EM ESTUDO"</formula>
    </cfRule>
  </conditionalFormatting>
  <conditionalFormatting sqref="AA254">
    <cfRule type="cellIs" dxfId="3137" priority="9" operator="equal">
      <formula>"CLSD"</formula>
    </cfRule>
    <cfRule type="cellIs" dxfId="3136" priority="10" operator="equal">
      <formula>"TECO"</formula>
    </cfRule>
    <cfRule type="cellIs" dxfId="3135" priority="11" operator="equal">
      <formula>"REL"</formula>
    </cfRule>
    <cfRule type="cellIs" dxfId="3134" priority="12" operator="equal">
      <formula>"CRTD"</formula>
    </cfRule>
  </conditionalFormatting>
  <conditionalFormatting sqref="AA6">
    <cfRule type="cellIs" dxfId="3133" priority="6" operator="equal">
      <formula>"EM EXECUÇÃO"</formula>
    </cfRule>
    <cfRule type="cellIs" dxfId="3132" priority="7" operator="equal">
      <formula>"CLSD"</formula>
    </cfRule>
    <cfRule type="cellIs" dxfId="3131" priority="8" operator="equal">
      <formula>"TECO"</formula>
    </cfRule>
  </conditionalFormatting>
  <conditionalFormatting sqref="AA6">
    <cfRule type="cellIs" dxfId="3130" priority="5" operator="equal">
      <formula>"CANCELADO"</formula>
    </cfRule>
  </conditionalFormatting>
  <conditionalFormatting sqref="AA6">
    <cfRule type="expression" dxfId="3129" priority="4">
      <formula>"EM ESTUDO"</formula>
    </cfRule>
  </conditionalFormatting>
  <conditionalFormatting sqref="AD260">
    <cfRule type="containsText" dxfId="3128" priority="1" operator="containsText" text="OK">
      <formula>NOT(ISERROR(SEARCH("OK",AD260)))</formula>
    </cfRule>
    <cfRule type="cellIs" dxfId="3127" priority="2" operator="greaterThan">
      <formula>EOMONTH($K260,0)</formula>
    </cfRule>
    <cfRule type="cellIs" dxfId="3126" priority="3" operator="equal">
      <formula>36892</formula>
    </cfRule>
  </conditionalFormatting>
  <dataValidations count="3">
    <dataValidation type="list" allowBlank="1" showInputMessage="1" showErrorMessage="1" sqref="S6:S274" xr:uid="{E33660A9-EE32-4F54-B873-02AA1B8D804D}">
      <formula1>"A,B1,B2,UTIL,FACIL,STAFF,"</formula1>
    </dataValidation>
    <dataValidation type="list" allowBlank="1" showInputMessage="1" showErrorMessage="1" sqref="AA6:AA274" xr:uid="{50B90949-929C-44AF-82CE-139D2E25F1AD}">
      <formula1>"CRTD, CLSD, REL, TECO"</formula1>
    </dataValidation>
    <dataValidation type="list" allowBlank="1" showInputMessage="1" showErrorMessage="1" sqref="AF6:AF274" xr:uid="{1BD31E59-DAF1-42A1-8753-AB09C08D3147}">
      <formula1>#REF!</formula1>
    </dataValidation>
  </dataValidations>
  <printOptions horizontalCentered="1" verticalCentered="1"/>
  <pageMargins left="0.25" right="0.25" top="0.75" bottom="0.75" header="0.3" footer="0.3"/>
  <pageSetup scale="26"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97F8F553-FC14-4604-9F80-6D0AC329DBE7}">
          <x14:formula1>
            <xm:f>TNCs!$A$2:$A$41</xm:f>
          </x14:formula1>
          <xm:sqref>T6:T274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FD1BD-5023-4107-9F3C-935C69CF9FB9}">
  <sheetPr codeName="Planilha9">
    <tabColor rgb="FF0070C0"/>
    <pageSetUpPr fitToPage="1"/>
  </sheetPr>
  <dimension ref="A1:BE39"/>
  <sheetViews>
    <sheetView showGridLines="0" topLeftCell="B1" zoomScale="70" zoomScaleNormal="70" zoomScaleSheetLayoutView="25" workbookViewId="0">
      <pane xSplit="24" ySplit="6" topLeftCell="AM16" activePane="bottomRight" state="frozen"/>
      <selection activeCell="B1" sqref="B1"/>
      <selection pane="topRight" activeCell="AT1" sqref="AT1"/>
      <selection pane="bottomLeft" activeCell="B7" sqref="B7"/>
      <selection pane="bottomRight" activeCell="S22" sqref="S22"/>
    </sheetView>
  </sheetViews>
  <sheetFormatPr defaultColWidth="9.453125" defaultRowHeight="13"/>
  <cols>
    <col min="1" max="1" width="2" style="19" bestFit="1" customWidth="1"/>
    <col min="2" max="2" width="9" style="31" customWidth="1"/>
    <col min="3" max="3" width="20.1796875" style="31" customWidth="1"/>
    <col min="4" max="5" width="11.81640625" style="31" customWidth="1"/>
    <col min="6" max="8" width="14.1796875" style="31" customWidth="1"/>
    <col min="9" max="9" width="49.54296875" style="31" customWidth="1"/>
    <col min="10" max="10" width="9.54296875" style="31" customWidth="1"/>
    <col min="11" max="11" width="17.453125" style="31" hidden="1" customWidth="1"/>
    <col min="12" max="12" width="15.453125" style="31" hidden="1" customWidth="1"/>
    <col min="13" max="13" width="16.453125" style="31" hidden="1" customWidth="1"/>
    <col min="14" max="14" width="10.453125" style="31" customWidth="1"/>
    <col min="15" max="16" width="10.453125" style="31" hidden="1" customWidth="1"/>
    <col min="17" max="17" width="15.81640625" style="31" hidden="1" customWidth="1"/>
    <col min="18" max="18" width="18.81640625" style="31" customWidth="1"/>
    <col min="19" max="19" width="42.453125" style="32" customWidth="1"/>
    <col min="20" max="20" width="25.54296875" style="31" customWidth="1"/>
    <col min="21" max="21" width="17.453125" style="31" customWidth="1"/>
    <col min="22" max="23" width="21.453125" style="31" hidden="1" customWidth="1"/>
    <col min="24" max="24" width="39.81640625" style="31" customWidth="1"/>
    <col min="25" max="25" width="20.26953125" style="31" customWidth="1"/>
    <col min="26" max="26" width="15.54296875" style="34" customWidth="1"/>
    <col min="27" max="38" width="15.54296875" style="34" hidden="1" customWidth="1"/>
    <col min="39" max="39" width="15.54296875" style="34" customWidth="1"/>
    <col min="40" max="42" width="12" style="34" customWidth="1"/>
    <col min="43" max="45" width="11.1796875" style="34" customWidth="1"/>
    <col min="46" max="46" width="20" style="34" bestFit="1" customWidth="1"/>
    <col min="47" max="47" width="42.1796875" style="34" bestFit="1" customWidth="1"/>
    <col min="48" max="53" width="15.81640625" style="34" customWidth="1"/>
    <col min="54" max="55" width="15.54296875" style="34" customWidth="1"/>
    <col min="56" max="56" width="22.7265625" style="34" customWidth="1"/>
    <col min="57" max="16384" width="9.453125" style="31"/>
  </cols>
  <sheetData>
    <row r="1" spans="1:57" s="17" customFormat="1" ht="31.4" customHeight="1">
      <c r="L1" s="20"/>
      <c r="M1" s="20"/>
      <c r="U1" s="17" t="s">
        <v>591</v>
      </c>
      <c r="X1" s="202">
        <v>878960</v>
      </c>
      <c r="Y1" s="202"/>
      <c r="Z1" s="49">
        <f>SUBTOTAL(9,Z7:Z38)</f>
        <v>833578.07999999961</v>
      </c>
      <c r="AA1" s="49">
        <f t="shared" ref="AA1:BC1" si="0">SUBTOTAL(9,AA7:AA38)</f>
        <v>0</v>
      </c>
      <c r="AB1" s="49">
        <f t="shared" si="0"/>
        <v>0</v>
      </c>
      <c r="AC1" s="49">
        <f t="shared" si="0"/>
        <v>0</v>
      </c>
      <c r="AD1" s="49">
        <f t="shared" si="0"/>
        <v>9280.27</v>
      </c>
      <c r="AE1" s="49">
        <f t="shared" si="0"/>
        <v>38738.539999999994</v>
      </c>
      <c r="AF1" s="49">
        <f t="shared" si="0"/>
        <v>79836.040000000008</v>
      </c>
      <c r="AG1" s="49">
        <f t="shared" si="0"/>
        <v>57965.02</v>
      </c>
      <c r="AH1" s="49">
        <f t="shared" si="0"/>
        <v>46265.05</v>
      </c>
      <c r="AI1" s="49">
        <f t="shared" si="0"/>
        <v>154583.82</v>
      </c>
      <c r="AJ1" s="49">
        <f t="shared" si="0"/>
        <v>92279.729999999967</v>
      </c>
      <c r="AK1" s="49">
        <f t="shared" si="0"/>
        <v>145141.01999999999</v>
      </c>
      <c r="AL1" s="49">
        <f>SUBTOTAL(9,AL7:AL38)</f>
        <v>209488.59</v>
      </c>
      <c r="AM1" s="49">
        <f t="shared" si="0"/>
        <v>27148.591420000001</v>
      </c>
      <c r="AN1" s="49">
        <f>SUBTOTAL(9,AN7:AN38)</f>
        <v>42841.509999999995</v>
      </c>
      <c r="AO1" s="49">
        <f t="shared" si="0"/>
        <v>-2.7585799999999994</v>
      </c>
      <c r="AP1" s="49">
        <f t="shared" si="0"/>
        <v>-2.7585799999999994</v>
      </c>
      <c r="AQ1" s="49">
        <f t="shared" si="0"/>
        <v>27151.35</v>
      </c>
      <c r="AR1" s="49">
        <f t="shared" si="0"/>
        <v>-3626.8199999999997</v>
      </c>
      <c r="AS1" s="49">
        <f t="shared" si="0"/>
        <v>-790.6099999999999</v>
      </c>
      <c r="AT1" s="49">
        <f t="shared" si="0"/>
        <v>0</v>
      </c>
      <c r="AU1" s="49">
        <f t="shared" si="0"/>
        <v>0</v>
      </c>
      <c r="AV1" s="49">
        <f t="shared" si="0"/>
        <v>878959.23999999976</v>
      </c>
      <c r="AW1" s="49">
        <f t="shared" si="0"/>
        <v>830815.4299999997</v>
      </c>
      <c r="AX1" s="49">
        <f t="shared" si="0"/>
        <v>26964.63</v>
      </c>
      <c r="AY1" s="49">
        <f t="shared" si="0"/>
        <v>0</v>
      </c>
      <c r="AZ1" s="49">
        <f t="shared" si="0"/>
        <v>857780.05999999982</v>
      </c>
      <c r="BA1" s="49">
        <f t="shared" si="0"/>
        <v>21179.180000000004</v>
      </c>
      <c r="BB1" s="49">
        <f>SUBTOTAL(9,BB7:BB36)</f>
        <v>11807.47037000001</v>
      </c>
      <c r="BC1" s="49">
        <f t="shared" si="0"/>
        <v>0</v>
      </c>
      <c r="BD1" s="21"/>
    </row>
    <row r="2" spans="1:57" s="23" customFormat="1" ht="39" customHeight="1" thickBot="1">
      <c r="A2" s="18"/>
      <c r="B2" s="190" t="s">
        <v>835</v>
      </c>
      <c r="C2" s="25"/>
      <c r="D2" s="186"/>
      <c r="E2" s="186"/>
      <c r="F2" s="186"/>
      <c r="G2" s="186"/>
      <c r="H2" s="186"/>
      <c r="I2" s="186"/>
      <c r="J2" s="22"/>
      <c r="K2" s="22"/>
      <c r="R2" s="24"/>
      <c r="S2" s="26"/>
      <c r="T2" s="27"/>
      <c r="U2" s="28"/>
      <c r="V2" s="28"/>
      <c r="W2" s="28"/>
      <c r="X2" s="28"/>
      <c r="Y2" s="28"/>
      <c r="Z2" s="29">
        <f>Z1/1000</f>
        <v>833.57807999999966</v>
      </c>
      <c r="AA2" s="29">
        <f>AA1/1000</f>
        <v>0</v>
      </c>
      <c r="AB2" s="29">
        <f>AB1/1000</f>
        <v>0</v>
      </c>
      <c r="AC2" s="29">
        <f>AC1/1000</f>
        <v>0</v>
      </c>
      <c r="AD2" s="29">
        <f>AD1/1000</f>
        <v>9.2802699999999998</v>
      </c>
      <c r="AE2" s="29">
        <f t="shared" ref="AE2:AS2" si="1">AE1/1000</f>
        <v>38.738539999999993</v>
      </c>
      <c r="AF2" s="29">
        <f t="shared" si="1"/>
        <v>79.836040000000011</v>
      </c>
      <c r="AG2" s="29">
        <f t="shared" si="1"/>
        <v>57.965019999999996</v>
      </c>
      <c r="AH2" s="29">
        <f t="shared" si="1"/>
        <v>46.265050000000002</v>
      </c>
      <c r="AI2" s="29">
        <f t="shared" si="1"/>
        <v>154.58382</v>
      </c>
      <c r="AJ2" s="29">
        <f t="shared" si="1"/>
        <v>92.279729999999972</v>
      </c>
      <c r="AK2" s="29">
        <f t="shared" si="1"/>
        <v>145.14102</v>
      </c>
      <c r="AL2" s="29">
        <f t="shared" si="1"/>
        <v>209.48858999999999</v>
      </c>
      <c r="AM2" s="29">
        <f t="shared" si="1"/>
        <v>27.148591419999999</v>
      </c>
      <c r="AN2" s="29">
        <f t="shared" si="1"/>
        <v>42.841509999999992</v>
      </c>
      <c r="AO2" s="29">
        <f>AO1/1000</f>
        <v>-2.7585799999999992E-3</v>
      </c>
      <c r="AP2" s="29">
        <f t="shared" si="1"/>
        <v>-2.7585799999999992E-3</v>
      </c>
      <c r="AQ2" s="29">
        <f t="shared" si="1"/>
        <v>27.151349999999997</v>
      </c>
      <c r="AR2" s="29">
        <f t="shared" si="1"/>
        <v>-3.6268199999999995</v>
      </c>
      <c r="AS2" s="29">
        <f t="shared" si="1"/>
        <v>-0.79060999999999992</v>
      </c>
      <c r="AT2" s="29"/>
      <c r="AU2" s="29"/>
      <c r="AV2" s="29"/>
      <c r="AW2" s="29"/>
      <c r="AX2" s="29"/>
      <c r="AY2" s="29"/>
      <c r="AZ2" s="29"/>
      <c r="BA2" s="29"/>
      <c r="BB2" s="29"/>
      <c r="BC2" s="29"/>
      <c r="BD2" s="29"/>
    </row>
    <row r="3" spans="1:57" s="23" customFormat="1" ht="18" customHeight="1" thickTop="1" thickBot="1">
      <c r="A3" s="18"/>
      <c r="B3" s="35"/>
      <c r="C3" s="35"/>
      <c r="D3" s="35"/>
      <c r="E3" s="35"/>
      <c r="F3" s="35"/>
      <c r="G3" s="35"/>
      <c r="H3" s="35"/>
      <c r="I3" s="35"/>
      <c r="J3" s="35"/>
      <c r="K3" s="35"/>
      <c r="L3" s="35"/>
      <c r="M3" s="35"/>
      <c r="N3" s="35"/>
      <c r="O3" s="35"/>
      <c r="P3" s="35"/>
      <c r="Q3" s="35"/>
      <c r="R3" s="35"/>
      <c r="S3" s="35"/>
      <c r="T3" s="27"/>
      <c r="U3" s="28"/>
      <c r="V3" s="28"/>
      <c r="W3" s="28"/>
      <c r="X3" s="300"/>
      <c r="Y3" s="28"/>
      <c r="Z3" s="16"/>
      <c r="AA3" s="16"/>
      <c r="AB3" s="16"/>
      <c r="AC3" s="16"/>
      <c r="AD3" s="16"/>
      <c r="AE3" s="16"/>
      <c r="AF3" s="16"/>
      <c r="AG3" s="16"/>
      <c r="AH3" s="16"/>
      <c r="AI3" s="16"/>
      <c r="AJ3" s="16"/>
      <c r="AK3" s="16"/>
      <c r="AL3" s="16"/>
      <c r="AM3" s="16"/>
      <c r="AN3" s="16"/>
      <c r="AO3" s="16"/>
      <c r="AP3" s="16"/>
      <c r="AQ3" s="16"/>
      <c r="AR3" s="16"/>
      <c r="AS3" s="16"/>
      <c r="AT3" s="16"/>
      <c r="AU3" s="16"/>
      <c r="AV3" s="252">
        <f>X1-AV5</f>
        <v>0.76000000024214387</v>
      </c>
      <c r="AW3" s="252">
        <v>235554.43000000002</v>
      </c>
      <c r="AX3" s="16"/>
      <c r="AY3" s="16"/>
      <c r="AZ3" s="16"/>
      <c r="BA3" s="16"/>
      <c r="BB3" s="16"/>
      <c r="BC3" s="252"/>
      <c r="BD3" s="16"/>
    </row>
    <row r="4" spans="1:57" s="23" customFormat="1" ht="25.5" customHeight="1" thickTop="1">
      <c r="A4" s="18"/>
      <c r="B4" s="36"/>
      <c r="C4" s="25"/>
      <c r="D4" s="36"/>
      <c r="E4" s="36"/>
      <c r="F4" s="36"/>
      <c r="G4" s="36"/>
      <c r="H4" s="36"/>
      <c r="I4" s="36"/>
      <c r="J4" s="22"/>
      <c r="K4" s="22"/>
      <c r="R4" s="24"/>
      <c r="S4" s="26"/>
      <c r="T4" s="27"/>
      <c r="U4" s="28"/>
      <c r="V4" s="29"/>
      <c r="W4" s="28"/>
      <c r="X4" s="300">
        <f>SUM(BE7:BE38)</f>
        <v>0</v>
      </c>
      <c r="Y4" s="28"/>
      <c r="Z4" s="200"/>
      <c r="AA4" s="603">
        <f>SUM(AA5:AC5)</f>
        <v>0</v>
      </c>
      <c r="AB4" s="604"/>
      <c r="AC4" s="605"/>
      <c r="AD4" s="603">
        <f>SUM(AD5:AF5)</f>
        <v>127854.85</v>
      </c>
      <c r="AE4" s="604"/>
      <c r="AF4" s="605"/>
      <c r="AG4" s="603">
        <f>SUM(AG5:AI5)</f>
        <v>258813.89</v>
      </c>
      <c r="AH4" s="604"/>
      <c r="AI4" s="605"/>
      <c r="AJ4" s="603">
        <f>SUM(AJ5,AK5,AL5)</f>
        <v>446909.33999999997</v>
      </c>
      <c r="AK4" s="604"/>
      <c r="AL4" s="605"/>
      <c r="AM4" s="270"/>
      <c r="AN4" s="270"/>
      <c r="AO4" s="270"/>
      <c r="AP4" s="270"/>
      <c r="AQ4" s="270"/>
      <c r="AR4" s="270"/>
      <c r="AS4" s="270"/>
      <c r="AT4" s="16"/>
      <c r="AU4" s="16"/>
      <c r="AV4" s="230"/>
      <c r="AW4" s="230"/>
      <c r="AX4" s="16"/>
      <c r="AY4" s="16"/>
      <c r="AZ4" s="16"/>
      <c r="BA4" s="16"/>
      <c r="BB4" s="29"/>
      <c r="BC4" s="16"/>
      <c r="BD4" s="16"/>
    </row>
    <row r="5" spans="1:57" s="23" customFormat="1" ht="18.75" customHeight="1" thickBot="1">
      <c r="A5" s="18"/>
      <c r="B5" s="36"/>
      <c r="C5" s="25"/>
      <c r="D5" s="36"/>
      <c r="E5" s="36"/>
      <c r="F5" s="36"/>
      <c r="G5" s="36"/>
      <c r="H5" s="36"/>
      <c r="I5" s="36"/>
      <c r="J5" s="22"/>
      <c r="K5" s="22"/>
      <c r="R5" s="24"/>
      <c r="S5" s="26"/>
      <c r="T5" s="27"/>
      <c r="U5" s="28"/>
      <c r="V5" s="49">
        <f>SUBTOTAL(9,V7:V36)</f>
        <v>816694</v>
      </c>
      <c r="W5" s="49">
        <f>SUBTOTAL(9,W7:W36)</f>
        <v>0</v>
      </c>
      <c r="X5" s="28"/>
      <c r="Y5" s="28"/>
      <c r="Z5" s="49">
        <f>SUBTOTAL(9,Z7:Z38)</f>
        <v>833578.07999999961</v>
      </c>
      <c r="AA5" s="49">
        <f t="shared" ref="AA5:BA5" si="2">SUBTOTAL(9,AA7:AA38)</f>
        <v>0</v>
      </c>
      <c r="AB5" s="49">
        <f t="shared" si="2"/>
        <v>0</v>
      </c>
      <c r="AC5" s="49">
        <f t="shared" si="2"/>
        <v>0</v>
      </c>
      <c r="AD5" s="49">
        <f t="shared" si="2"/>
        <v>9280.27</v>
      </c>
      <c r="AE5" s="49">
        <f t="shared" si="2"/>
        <v>38738.539999999994</v>
      </c>
      <c r="AF5" s="49">
        <f t="shared" si="2"/>
        <v>79836.040000000008</v>
      </c>
      <c r="AG5" s="49">
        <f t="shared" si="2"/>
        <v>57965.02</v>
      </c>
      <c r="AH5" s="49">
        <f t="shared" si="2"/>
        <v>46265.05</v>
      </c>
      <c r="AI5" s="49">
        <f t="shared" si="2"/>
        <v>154583.82</v>
      </c>
      <c r="AJ5" s="49">
        <f t="shared" si="2"/>
        <v>92279.729999999967</v>
      </c>
      <c r="AK5" s="49">
        <f t="shared" si="2"/>
        <v>145141.01999999999</v>
      </c>
      <c r="AL5" s="49">
        <f t="shared" si="2"/>
        <v>209488.59</v>
      </c>
      <c r="AM5" s="49"/>
      <c r="AN5" s="49"/>
      <c r="AO5" s="49"/>
      <c r="AP5" s="49"/>
      <c r="AQ5" s="49"/>
      <c r="AR5" s="49"/>
      <c r="AS5" s="49"/>
      <c r="AT5" s="49">
        <f t="shared" si="2"/>
        <v>0</v>
      </c>
      <c r="AU5" s="49">
        <f t="shared" si="2"/>
        <v>0</v>
      </c>
      <c r="AV5" s="49">
        <f t="shared" si="2"/>
        <v>878959.23999999976</v>
      </c>
      <c r="AW5" s="49">
        <f t="shared" si="2"/>
        <v>830815.4299999997</v>
      </c>
      <c r="AX5" s="49">
        <f t="shared" si="2"/>
        <v>26964.63</v>
      </c>
      <c r="AY5" s="49">
        <f t="shared" si="2"/>
        <v>0</v>
      </c>
      <c r="AZ5" s="49">
        <f t="shared" si="2"/>
        <v>857780.05999999982</v>
      </c>
      <c r="BA5" s="49">
        <f t="shared" si="2"/>
        <v>21179.180000000004</v>
      </c>
      <c r="BB5" s="16"/>
      <c r="BC5" s="16"/>
      <c r="BD5" s="16"/>
    </row>
    <row r="6" spans="1:57" s="30" customFormat="1" ht="71.150000000000006" customHeight="1" thickBot="1">
      <c r="A6" s="18">
        <v>0</v>
      </c>
      <c r="B6" s="1" t="s">
        <v>194</v>
      </c>
      <c r="C6" s="1" t="s">
        <v>1102</v>
      </c>
      <c r="D6" s="1" t="s">
        <v>760</v>
      </c>
      <c r="E6" s="1" t="s">
        <v>758</v>
      </c>
      <c r="F6" s="1" t="s">
        <v>778</v>
      </c>
      <c r="G6" s="1" t="s">
        <v>780</v>
      </c>
      <c r="H6" s="1" t="s">
        <v>781</v>
      </c>
      <c r="I6" s="1" t="s">
        <v>846</v>
      </c>
      <c r="J6" s="1" t="s">
        <v>0</v>
      </c>
      <c r="K6" s="1" t="s">
        <v>308</v>
      </c>
      <c r="L6" s="1" t="s">
        <v>2</v>
      </c>
      <c r="M6" s="1" t="s">
        <v>321</v>
      </c>
      <c r="N6" s="1" t="s">
        <v>193</v>
      </c>
      <c r="O6" s="1" t="s">
        <v>220</v>
      </c>
      <c r="P6" s="1" t="s">
        <v>949</v>
      </c>
      <c r="Q6" s="1" t="s">
        <v>593</v>
      </c>
      <c r="R6" s="1" t="s">
        <v>1</v>
      </c>
      <c r="S6" s="1" t="s">
        <v>3</v>
      </c>
      <c r="T6" s="1" t="s">
        <v>190</v>
      </c>
      <c r="U6" s="1" t="s">
        <v>455</v>
      </c>
      <c r="V6" s="1" t="s">
        <v>1119</v>
      </c>
      <c r="W6" s="1" t="s">
        <v>1120</v>
      </c>
      <c r="X6" s="1" t="s">
        <v>7</v>
      </c>
      <c r="Y6" s="1" t="s">
        <v>1308</v>
      </c>
      <c r="Z6" s="90" t="s">
        <v>334</v>
      </c>
      <c r="AA6" s="91" t="s">
        <v>726</v>
      </c>
      <c r="AB6" s="91" t="s">
        <v>743</v>
      </c>
      <c r="AC6" s="91" t="s">
        <v>804</v>
      </c>
      <c r="AD6" s="91" t="s">
        <v>860</v>
      </c>
      <c r="AE6" s="91" t="s">
        <v>1003</v>
      </c>
      <c r="AF6" s="91" t="s">
        <v>1056</v>
      </c>
      <c r="AG6" s="91" t="s">
        <v>1077</v>
      </c>
      <c r="AH6" s="91" t="s">
        <v>1325</v>
      </c>
      <c r="AI6" s="91" t="s">
        <v>1326</v>
      </c>
      <c r="AJ6" s="91" t="s">
        <v>1327</v>
      </c>
      <c r="AK6" s="91" t="s">
        <v>1531</v>
      </c>
      <c r="AL6" s="91" t="s">
        <v>1532</v>
      </c>
      <c r="AM6" s="271" t="s">
        <v>713</v>
      </c>
      <c r="AN6" s="168" t="s">
        <v>1533</v>
      </c>
      <c r="AO6" s="301" t="s">
        <v>726</v>
      </c>
      <c r="AP6" s="302" t="s">
        <v>1535</v>
      </c>
      <c r="AQ6" s="168" t="s">
        <v>296</v>
      </c>
      <c r="AR6" s="168" t="s">
        <v>297</v>
      </c>
      <c r="AS6" s="168" t="s">
        <v>298</v>
      </c>
      <c r="AT6" s="205" t="s">
        <v>1158</v>
      </c>
      <c r="AU6" s="92" t="s">
        <v>1122</v>
      </c>
      <c r="AV6" s="159" t="s">
        <v>596</v>
      </c>
      <c r="AW6" s="159" t="s">
        <v>597</v>
      </c>
      <c r="AX6" s="159" t="s">
        <v>598</v>
      </c>
      <c r="AY6" s="159" t="s">
        <v>599</v>
      </c>
      <c r="AZ6" s="159" t="s">
        <v>600</v>
      </c>
      <c r="BA6" s="159" t="s">
        <v>601</v>
      </c>
      <c r="BB6" s="239" t="s">
        <v>1319</v>
      </c>
      <c r="BC6" s="239" t="s">
        <v>1333</v>
      </c>
      <c r="BD6" s="239" t="s">
        <v>1320</v>
      </c>
    </row>
    <row r="7" spans="1:57" s="23" customFormat="1" ht="28.5" customHeight="1">
      <c r="A7" s="18"/>
      <c r="B7" s="2">
        <v>1</v>
      </c>
      <c r="C7" s="195" t="s">
        <v>1008</v>
      </c>
      <c r="D7" s="195"/>
      <c r="E7" s="195"/>
      <c r="F7" s="195"/>
      <c r="G7" s="195"/>
      <c r="H7" s="195"/>
      <c r="I7" s="195"/>
      <c r="J7" s="195"/>
      <c r="K7" s="262"/>
      <c r="L7" s="283"/>
      <c r="M7" s="263">
        <f t="shared" ref="M7:M38" ca="1" si="3">IF(L7&lt;&gt;"",L7-K7,EDATE(K7,3)-NOW())</f>
        <v>-45755.406619444446</v>
      </c>
      <c r="N7" s="195" t="s">
        <v>176</v>
      </c>
      <c r="O7" s="264"/>
      <c r="P7" s="264"/>
      <c r="Q7" s="195"/>
      <c r="R7" s="262" t="s">
        <v>1096</v>
      </c>
      <c r="S7" s="233" t="s">
        <v>1050</v>
      </c>
      <c r="T7" s="195"/>
      <c r="U7" s="265" t="s">
        <v>219</v>
      </c>
      <c r="V7" s="266"/>
      <c r="W7" s="265"/>
      <c r="X7" s="233" t="s">
        <v>1050</v>
      </c>
      <c r="Y7" s="151"/>
      <c r="Z7" s="181">
        <f t="shared" ref="Z7:Z38" si="4">SUM(AA7:AL7,)</f>
        <v>0</v>
      </c>
      <c r="AA7" s="158"/>
      <c r="AB7" s="158"/>
      <c r="AC7" s="158"/>
      <c r="AD7" s="158"/>
      <c r="AE7" s="158"/>
      <c r="AF7" s="158"/>
      <c r="AG7" s="158"/>
      <c r="AH7" s="158"/>
      <c r="AI7" s="158"/>
      <c r="AJ7" s="158"/>
      <c r="AK7" s="158"/>
      <c r="AL7" s="158"/>
      <c r="AM7" s="273">
        <f>SUM(AP7:AQ7)</f>
        <v>0</v>
      </c>
      <c r="AN7" s="272">
        <v>7000</v>
      </c>
      <c r="AO7" s="304"/>
      <c r="AP7" s="303"/>
      <c r="AQ7" s="272"/>
      <c r="AR7" s="272"/>
      <c r="AS7" s="272"/>
      <c r="AT7" s="142"/>
      <c r="AU7" s="206"/>
      <c r="AV7" s="178">
        <v>0</v>
      </c>
      <c r="AW7" s="178">
        <v>0</v>
      </c>
      <c r="AX7" s="178">
        <v>0</v>
      </c>
      <c r="AY7" s="178">
        <v>0</v>
      </c>
      <c r="AZ7" s="178">
        <v>0</v>
      </c>
      <c r="BA7" s="178">
        <v>0</v>
      </c>
      <c r="BB7" s="224">
        <f t="shared" ref="BB7:BB38" si="5">AV7-(Z7+AM7)</f>
        <v>0</v>
      </c>
      <c r="BC7" s="224"/>
      <c r="BD7" s="224"/>
      <c r="BE7" s="51"/>
    </row>
    <row r="8" spans="1:57" s="23" customFormat="1" ht="28.5" customHeight="1">
      <c r="A8" s="18"/>
      <c r="B8" s="2">
        <v>2</v>
      </c>
      <c r="C8" s="85" t="s">
        <v>813</v>
      </c>
      <c r="D8" s="85">
        <v>2223</v>
      </c>
      <c r="E8" s="85"/>
      <c r="F8" s="5" t="s">
        <v>1376</v>
      </c>
      <c r="G8" s="151" t="s">
        <v>1377</v>
      </c>
      <c r="H8" s="5" t="s">
        <v>1378</v>
      </c>
      <c r="I8" s="85"/>
      <c r="J8" s="3">
        <v>2021</v>
      </c>
      <c r="K8" s="5">
        <v>44272</v>
      </c>
      <c r="L8" s="4"/>
      <c r="M8" s="15">
        <f t="shared" ca="1" si="3"/>
        <v>-1482.4066194444458</v>
      </c>
      <c r="N8" s="3" t="s">
        <v>176</v>
      </c>
      <c r="O8" s="13" t="s">
        <v>5</v>
      </c>
      <c r="P8" s="13" t="s">
        <v>981</v>
      </c>
      <c r="Q8" s="3" t="s">
        <v>762</v>
      </c>
      <c r="R8" s="5" t="s">
        <v>474</v>
      </c>
      <c r="S8" s="151" t="s">
        <v>759</v>
      </c>
      <c r="T8" s="3" t="s">
        <v>181</v>
      </c>
      <c r="U8" s="83" t="s">
        <v>462</v>
      </c>
      <c r="V8" s="224">
        <v>49865</v>
      </c>
      <c r="W8" s="83"/>
      <c r="X8" s="151"/>
      <c r="Y8" s="151"/>
      <c r="Z8" s="181">
        <f t="shared" si="4"/>
        <v>47642.12</v>
      </c>
      <c r="AA8" s="158"/>
      <c r="AB8" s="158"/>
      <c r="AC8" s="158"/>
      <c r="AD8" s="158"/>
      <c r="AE8" s="158">
        <v>9895.510000000002</v>
      </c>
      <c r="AF8" s="158">
        <v>16846.780000000002</v>
      </c>
      <c r="AG8" s="158">
        <v>17774.949999999997</v>
      </c>
      <c r="AH8" s="158"/>
      <c r="AI8" s="158">
        <v>291.83999999999997</v>
      </c>
      <c r="AJ8" s="158">
        <v>364.97</v>
      </c>
      <c r="AK8" s="158">
        <v>2468.0700000000002</v>
      </c>
      <c r="AL8" s="158"/>
      <c r="AM8" s="273">
        <f t="shared" ref="AM8:AM38" si="6">SUM(AP8:AQ8)</f>
        <v>0</v>
      </c>
      <c r="AN8" s="272"/>
      <c r="AO8" s="304"/>
      <c r="AP8" s="303"/>
      <c r="AQ8" s="272"/>
      <c r="AR8" s="272"/>
      <c r="AS8" s="272"/>
      <c r="AT8" s="142"/>
      <c r="AU8" s="206"/>
      <c r="AV8" s="178">
        <v>47642.12</v>
      </c>
      <c r="AW8" s="178">
        <v>47642.12</v>
      </c>
      <c r="AX8" s="178">
        <v>0</v>
      </c>
      <c r="AY8" s="178">
        <v>0</v>
      </c>
      <c r="AZ8" s="178">
        <v>47642.12</v>
      </c>
      <c r="BA8" s="178">
        <v>0</v>
      </c>
      <c r="BB8" s="224">
        <f t="shared" si="5"/>
        <v>0</v>
      </c>
      <c r="BC8" s="224"/>
      <c r="BD8" s="224"/>
      <c r="BE8" s="51"/>
    </row>
    <row r="9" spans="1:57" s="23" customFormat="1" ht="28.5" customHeight="1">
      <c r="A9" s="18"/>
      <c r="B9" s="2">
        <v>3</v>
      </c>
      <c r="C9" s="85" t="s">
        <v>814</v>
      </c>
      <c r="D9" s="85">
        <v>1910</v>
      </c>
      <c r="E9" s="85"/>
      <c r="F9" s="5" t="s">
        <v>609</v>
      </c>
      <c r="G9" s="151" t="s">
        <v>648</v>
      </c>
      <c r="H9" s="5" t="s">
        <v>1379</v>
      </c>
      <c r="I9" s="85"/>
      <c r="J9" s="3">
        <v>2021</v>
      </c>
      <c r="K9" s="5">
        <v>44272</v>
      </c>
      <c r="L9" s="4"/>
      <c r="M9" s="15">
        <f t="shared" ca="1" si="3"/>
        <v>-1482.4066194444458</v>
      </c>
      <c r="N9" s="3" t="s">
        <v>176</v>
      </c>
      <c r="O9" s="13" t="s">
        <v>5</v>
      </c>
      <c r="P9" s="13" t="s">
        <v>980</v>
      </c>
      <c r="Q9" s="3" t="s">
        <v>765</v>
      </c>
      <c r="R9" s="5" t="s">
        <v>474</v>
      </c>
      <c r="S9" s="151" t="s">
        <v>761</v>
      </c>
      <c r="T9" s="3" t="s">
        <v>186</v>
      </c>
      <c r="U9" s="83" t="s">
        <v>462</v>
      </c>
      <c r="V9" s="224">
        <v>49938</v>
      </c>
      <c r="W9" s="83"/>
      <c r="X9" s="151"/>
      <c r="Y9" s="151"/>
      <c r="Z9" s="181">
        <f t="shared" si="4"/>
        <v>46816.19</v>
      </c>
      <c r="AA9" s="158"/>
      <c r="AB9" s="158"/>
      <c r="AC9" s="158"/>
      <c r="AD9" s="158"/>
      <c r="AE9" s="158">
        <v>2290.81</v>
      </c>
      <c r="AF9" s="158">
        <v>4665.37</v>
      </c>
      <c r="AG9" s="158">
        <v>4922.41</v>
      </c>
      <c r="AH9" s="158">
        <v>9590.7699999999986</v>
      </c>
      <c r="AI9" s="158">
        <v>9483.94</v>
      </c>
      <c r="AJ9" s="158">
        <v>14836</v>
      </c>
      <c r="AK9" s="158"/>
      <c r="AL9" s="158">
        <v>1026.8900000000001</v>
      </c>
      <c r="AM9" s="273">
        <f t="shared" si="6"/>
        <v>0</v>
      </c>
      <c r="AN9" s="272"/>
      <c r="AO9" s="304"/>
      <c r="AP9" s="303"/>
      <c r="AQ9" s="272"/>
      <c r="AR9" s="272"/>
      <c r="AS9" s="272"/>
      <c r="AT9" s="142"/>
      <c r="AU9" s="206"/>
      <c r="AV9" s="178">
        <v>46656.36</v>
      </c>
      <c r="AW9" s="178">
        <v>46816.19</v>
      </c>
      <c r="AX9" s="178">
        <v>0</v>
      </c>
      <c r="AY9" s="178">
        <v>0</v>
      </c>
      <c r="AZ9" s="178">
        <v>46816.19</v>
      </c>
      <c r="BA9" s="178">
        <v>-159.83000000000001</v>
      </c>
      <c r="BB9" s="224">
        <f t="shared" si="5"/>
        <v>-159.83000000000175</v>
      </c>
      <c r="BC9" s="224"/>
      <c r="BD9" s="224"/>
      <c r="BE9" s="51"/>
    </row>
    <row r="10" spans="1:57" s="23" customFormat="1" ht="28.5" customHeight="1">
      <c r="A10" s="18"/>
      <c r="B10" s="2">
        <v>4</v>
      </c>
      <c r="C10" s="85" t="s">
        <v>815</v>
      </c>
      <c r="D10" s="85">
        <v>9437</v>
      </c>
      <c r="E10" s="85"/>
      <c r="F10" s="5" t="s">
        <v>1376</v>
      </c>
      <c r="G10" s="10" t="s">
        <v>1377</v>
      </c>
      <c r="H10" s="5" t="s">
        <v>1378</v>
      </c>
      <c r="I10" s="85" t="s">
        <v>1375</v>
      </c>
      <c r="J10" s="3">
        <v>2021</v>
      </c>
      <c r="K10" s="5">
        <v>44272</v>
      </c>
      <c r="L10" s="4"/>
      <c r="M10" s="15">
        <f t="shared" ca="1" si="3"/>
        <v>-1482.4066194444458</v>
      </c>
      <c r="N10" s="3" t="s">
        <v>176</v>
      </c>
      <c r="O10" s="13" t="s">
        <v>5</v>
      </c>
      <c r="P10" s="13" t="s">
        <v>961</v>
      </c>
      <c r="Q10" s="3" t="s">
        <v>763</v>
      </c>
      <c r="R10" s="5" t="s">
        <v>474</v>
      </c>
      <c r="S10" s="10" t="s">
        <v>764</v>
      </c>
      <c r="T10" s="3" t="s">
        <v>187</v>
      </c>
      <c r="U10" s="83" t="s">
        <v>462</v>
      </c>
      <c r="V10" s="224">
        <v>45000</v>
      </c>
      <c r="W10" s="83"/>
      <c r="X10" s="151"/>
      <c r="Y10" s="151"/>
      <c r="Z10" s="181">
        <f t="shared" si="4"/>
        <v>29055.989999999998</v>
      </c>
      <c r="AA10" s="158"/>
      <c r="AB10" s="158"/>
      <c r="AC10" s="158"/>
      <c r="AD10" s="158"/>
      <c r="AE10" s="158"/>
      <c r="AF10" s="158"/>
      <c r="AG10" s="158"/>
      <c r="AH10" s="158"/>
      <c r="AI10" s="158">
        <v>451.31</v>
      </c>
      <c r="AJ10" s="158"/>
      <c r="AK10" s="158">
        <v>22103.499999999996</v>
      </c>
      <c r="AL10" s="158">
        <v>6501.18</v>
      </c>
      <c r="AM10" s="273">
        <f t="shared" si="6"/>
        <v>0</v>
      </c>
      <c r="AN10" s="272"/>
      <c r="AO10" s="304"/>
      <c r="AP10" s="303"/>
      <c r="AQ10" s="272"/>
      <c r="AR10" s="272"/>
      <c r="AS10" s="272"/>
      <c r="AT10" s="142"/>
      <c r="AU10" s="245" t="s">
        <v>1273</v>
      </c>
      <c r="AV10" s="178">
        <v>29666.01</v>
      </c>
      <c r="AW10" s="178">
        <v>29055.99</v>
      </c>
      <c r="AX10" s="178">
        <v>0</v>
      </c>
      <c r="AY10" s="178">
        <v>0</v>
      </c>
      <c r="AZ10" s="178">
        <v>29055.99</v>
      </c>
      <c r="BA10" s="178">
        <v>610.02</v>
      </c>
      <c r="BB10" s="224">
        <f t="shared" si="5"/>
        <v>610.02000000000044</v>
      </c>
      <c r="BC10" s="224"/>
      <c r="BD10" s="224"/>
      <c r="BE10" s="51"/>
    </row>
    <row r="11" spans="1:57" s="23" customFormat="1" ht="28.5" customHeight="1">
      <c r="A11" s="18"/>
      <c r="B11" s="2">
        <v>5</v>
      </c>
      <c r="C11" s="85" t="s">
        <v>816</v>
      </c>
      <c r="D11" s="85">
        <v>4930</v>
      </c>
      <c r="E11" s="85"/>
      <c r="F11" s="5" t="s">
        <v>609</v>
      </c>
      <c r="G11" s="10" t="s">
        <v>648</v>
      </c>
      <c r="H11" s="5" t="s">
        <v>1379</v>
      </c>
      <c r="I11" s="195" t="s">
        <v>850</v>
      </c>
      <c r="J11" s="3">
        <v>2021</v>
      </c>
      <c r="K11" s="5">
        <v>44272</v>
      </c>
      <c r="L11" s="4"/>
      <c r="M11" s="15">
        <f t="shared" ca="1" si="3"/>
        <v>-1482.4066194444458</v>
      </c>
      <c r="N11" s="3" t="s">
        <v>176</v>
      </c>
      <c r="O11" s="13" t="s">
        <v>222</v>
      </c>
      <c r="P11" s="13" t="s">
        <v>979</v>
      </c>
      <c r="Q11" s="3" t="s">
        <v>767</v>
      </c>
      <c r="R11" s="5" t="s">
        <v>474</v>
      </c>
      <c r="S11" s="10" t="s">
        <v>766</v>
      </c>
      <c r="T11" s="3" t="s">
        <v>186</v>
      </c>
      <c r="U11" s="83" t="s">
        <v>462</v>
      </c>
      <c r="V11" s="224">
        <v>49756</v>
      </c>
      <c r="W11" s="83"/>
      <c r="X11" s="151" t="s">
        <v>1601</v>
      </c>
      <c r="Y11" s="151"/>
      <c r="Z11" s="181">
        <f t="shared" si="4"/>
        <v>37869.479999999996</v>
      </c>
      <c r="AA11" s="158"/>
      <c r="AB11" s="158"/>
      <c r="AC11" s="158"/>
      <c r="AD11" s="158"/>
      <c r="AE11" s="158"/>
      <c r="AF11" s="158"/>
      <c r="AG11" s="158"/>
      <c r="AH11" s="158"/>
      <c r="AI11" s="158">
        <v>2107.54</v>
      </c>
      <c r="AJ11" s="158">
        <v>5505.27</v>
      </c>
      <c r="AK11" s="158">
        <v>3884.9799999999996</v>
      </c>
      <c r="AL11" s="158">
        <v>26371.69</v>
      </c>
      <c r="AM11" s="273">
        <f t="shared" si="6"/>
        <v>4726.0492199999999</v>
      </c>
      <c r="AN11" s="272"/>
      <c r="AO11" s="304">
        <v>-4.7307799999999993</v>
      </c>
      <c r="AP11" s="303">
        <v>-4.7307799999999993</v>
      </c>
      <c r="AQ11" s="272">
        <v>4730.78</v>
      </c>
      <c r="AR11" s="272"/>
      <c r="AS11" s="272">
        <v>-1279.0899999999999</v>
      </c>
      <c r="AT11" s="142"/>
      <c r="AU11" s="206"/>
      <c r="AV11" s="178">
        <v>38834.730000000003</v>
      </c>
      <c r="AW11" s="178">
        <v>33138.699999999997</v>
      </c>
      <c r="AX11" s="178">
        <v>5024.17</v>
      </c>
      <c r="AY11" s="178">
        <v>0</v>
      </c>
      <c r="AZ11" s="178">
        <v>38162.870000000003</v>
      </c>
      <c r="BA11" s="178">
        <v>671.86</v>
      </c>
      <c r="BB11" s="224">
        <f t="shared" si="5"/>
        <v>-3760.7992199999935</v>
      </c>
      <c r="BC11" s="224"/>
      <c r="BD11" s="224"/>
      <c r="BE11" s="51"/>
    </row>
    <row r="12" spans="1:57" s="23" customFormat="1" ht="28.5" customHeight="1">
      <c r="A12" s="18"/>
      <c r="B12" s="2">
        <v>6</v>
      </c>
      <c r="C12" s="85" t="s">
        <v>817</v>
      </c>
      <c r="D12" s="85">
        <v>10607</v>
      </c>
      <c r="E12" s="85"/>
      <c r="F12" s="5" t="s">
        <v>1376</v>
      </c>
      <c r="G12" s="10" t="s">
        <v>1377</v>
      </c>
      <c r="H12" s="5" t="s">
        <v>1378</v>
      </c>
      <c r="I12" s="85"/>
      <c r="J12" s="3">
        <v>2021</v>
      </c>
      <c r="K12" s="5">
        <v>44272</v>
      </c>
      <c r="L12" s="4"/>
      <c r="M12" s="15">
        <f t="shared" ca="1" si="3"/>
        <v>-1482.4066194444458</v>
      </c>
      <c r="N12" s="3" t="s">
        <v>176</v>
      </c>
      <c r="O12" s="13" t="s">
        <v>223</v>
      </c>
      <c r="P12" s="13" t="s">
        <v>980</v>
      </c>
      <c r="Q12" s="3" t="s">
        <v>769</v>
      </c>
      <c r="R12" s="5" t="s">
        <v>474</v>
      </c>
      <c r="S12" s="10" t="s">
        <v>768</v>
      </c>
      <c r="T12" s="3" t="s">
        <v>186</v>
      </c>
      <c r="U12" s="83" t="s">
        <v>462</v>
      </c>
      <c r="V12" s="224">
        <v>35000</v>
      </c>
      <c r="W12" s="83"/>
      <c r="X12" s="151"/>
      <c r="Y12" s="83" t="s">
        <v>1309</v>
      </c>
      <c r="Z12" s="181">
        <f t="shared" si="4"/>
        <v>27087.66</v>
      </c>
      <c r="AA12" s="158"/>
      <c r="AB12" s="158"/>
      <c r="AC12" s="158"/>
      <c r="AD12" s="158"/>
      <c r="AE12" s="158">
        <v>9409.9</v>
      </c>
      <c r="AF12" s="158">
        <v>13789.530000000002</v>
      </c>
      <c r="AG12" s="158">
        <v>3888.23</v>
      </c>
      <c r="AH12" s="158"/>
      <c r="AI12" s="158"/>
      <c r="AJ12" s="158"/>
      <c r="AK12" s="158"/>
      <c r="AL12" s="158"/>
      <c r="AM12" s="273">
        <f t="shared" si="6"/>
        <v>0</v>
      </c>
      <c r="AN12" s="272"/>
      <c r="AO12" s="304"/>
      <c r="AP12" s="303"/>
      <c r="AQ12" s="272"/>
      <c r="AR12" s="272"/>
      <c r="AS12" s="272"/>
      <c r="AT12" s="142"/>
      <c r="AU12" s="206"/>
      <c r="AV12" s="178">
        <v>27087.66</v>
      </c>
      <c r="AW12" s="178">
        <v>27087.66</v>
      </c>
      <c r="AX12" s="178">
        <v>0</v>
      </c>
      <c r="AY12" s="178">
        <v>0</v>
      </c>
      <c r="AZ12" s="178">
        <v>27087.66</v>
      </c>
      <c r="BA12" s="178">
        <v>0</v>
      </c>
      <c r="BB12" s="224">
        <f t="shared" si="5"/>
        <v>0</v>
      </c>
      <c r="BC12" s="224"/>
      <c r="BD12" s="224"/>
      <c r="BE12" s="51"/>
    </row>
    <row r="13" spans="1:57" s="23" customFormat="1" ht="28.5" customHeight="1">
      <c r="A13" s="18"/>
      <c r="B13" s="2">
        <v>7</v>
      </c>
      <c r="C13" s="85" t="s">
        <v>818</v>
      </c>
      <c r="D13" s="85">
        <v>11017</v>
      </c>
      <c r="E13" s="85"/>
      <c r="F13" s="5" t="s">
        <v>1376</v>
      </c>
      <c r="G13" s="151" t="s">
        <v>1380</v>
      </c>
      <c r="H13" s="5" t="s">
        <v>1381</v>
      </c>
      <c r="I13" s="85"/>
      <c r="J13" s="3">
        <v>2021</v>
      </c>
      <c r="K13" s="5">
        <v>44272</v>
      </c>
      <c r="L13" s="4"/>
      <c r="M13" s="15">
        <f t="shared" ca="1" si="3"/>
        <v>-1482.4066194444458</v>
      </c>
      <c r="N13" s="3" t="s">
        <v>176</v>
      </c>
      <c r="O13" s="13" t="s">
        <v>5</v>
      </c>
      <c r="P13" s="13" t="s">
        <v>952</v>
      </c>
      <c r="Q13" s="3" t="s">
        <v>770</v>
      </c>
      <c r="R13" s="5" t="s">
        <v>480</v>
      </c>
      <c r="S13" s="10" t="s">
        <v>771</v>
      </c>
      <c r="T13" s="3" t="s">
        <v>186</v>
      </c>
      <c r="U13" s="83" t="s">
        <v>462</v>
      </c>
      <c r="V13" s="224">
        <v>49665</v>
      </c>
      <c r="W13" s="83"/>
      <c r="X13" s="10" t="s">
        <v>1528</v>
      </c>
      <c r="Y13" s="151"/>
      <c r="Z13" s="181">
        <f t="shared" si="4"/>
        <v>19805.590000000004</v>
      </c>
      <c r="AA13" s="158"/>
      <c r="AB13" s="158"/>
      <c r="AC13" s="158"/>
      <c r="AD13" s="158"/>
      <c r="AE13" s="158"/>
      <c r="AF13" s="158"/>
      <c r="AG13" s="158"/>
      <c r="AH13" s="158"/>
      <c r="AI13" s="158"/>
      <c r="AJ13" s="158">
        <v>4867.6899999999996</v>
      </c>
      <c r="AK13" s="158">
        <v>14627.820000000002</v>
      </c>
      <c r="AL13" s="158">
        <v>310.08</v>
      </c>
      <c r="AM13" s="273">
        <f t="shared" si="6"/>
        <v>0</v>
      </c>
      <c r="AN13" s="272"/>
      <c r="AO13" s="304"/>
      <c r="AP13" s="303"/>
      <c r="AQ13" s="272"/>
      <c r="AR13" s="272">
        <v>90.27</v>
      </c>
      <c r="AS13" s="272"/>
      <c r="AT13" s="142"/>
      <c r="AU13" s="245" t="s">
        <v>1291</v>
      </c>
      <c r="AV13" s="178">
        <v>20115.990000000002</v>
      </c>
      <c r="AW13" s="178">
        <v>19805.59</v>
      </c>
      <c r="AX13" s="178">
        <v>0</v>
      </c>
      <c r="AY13" s="178">
        <v>0</v>
      </c>
      <c r="AZ13" s="178">
        <v>19805.59</v>
      </c>
      <c r="BA13" s="178">
        <v>310.39999999999998</v>
      </c>
      <c r="BB13" s="224">
        <f t="shared" si="5"/>
        <v>310.39999999999782</v>
      </c>
      <c r="BC13" s="224"/>
      <c r="BD13" s="224"/>
      <c r="BE13" s="51"/>
    </row>
    <row r="14" spans="1:57" s="23" customFormat="1" ht="28.5" customHeight="1">
      <c r="A14" s="18"/>
      <c r="B14" s="2">
        <v>8</v>
      </c>
      <c r="C14" s="85" t="s">
        <v>819</v>
      </c>
      <c r="D14" s="85">
        <v>10392</v>
      </c>
      <c r="E14" s="85" t="s">
        <v>931</v>
      </c>
      <c r="F14" s="5" t="s">
        <v>1376</v>
      </c>
      <c r="G14" s="151" t="s">
        <v>1377</v>
      </c>
      <c r="H14" s="5" t="s">
        <v>1378</v>
      </c>
      <c r="I14" s="85"/>
      <c r="J14" s="3">
        <v>2021</v>
      </c>
      <c r="K14" s="5">
        <v>44272</v>
      </c>
      <c r="L14" s="4"/>
      <c r="M14" s="15">
        <f t="shared" ca="1" si="3"/>
        <v>-1482.4066194444458</v>
      </c>
      <c r="N14" s="3" t="s">
        <v>176</v>
      </c>
      <c r="O14" s="13" t="s">
        <v>5</v>
      </c>
      <c r="P14" s="13"/>
      <c r="Q14" s="3" t="s">
        <v>772</v>
      </c>
      <c r="R14" s="5" t="s">
        <v>480</v>
      </c>
      <c r="S14" s="10" t="s">
        <v>773</v>
      </c>
      <c r="T14" s="3" t="s">
        <v>183</v>
      </c>
      <c r="U14" s="83" t="s">
        <v>462</v>
      </c>
      <c r="V14" s="224">
        <v>23000</v>
      </c>
      <c r="W14" s="83"/>
      <c r="X14" s="151"/>
      <c r="Y14" s="151"/>
      <c r="Z14" s="181">
        <f t="shared" si="4"/>
        <v>17700.09</v>
      </c>
      <c r="AA14" s="158"/>
      <c r="AB14" s="158"/>
      <c r="AC14" s="158"/>
      <c r="AD14" s="158">
        <v>122.98</v>
      </c>
      <c r="AE14" s="158">
        <v>2555.4099999999994</v>
      </c>
      <c r="AF14" s="158">
        <v>71.209999999999994</v>
      </c>
      <c r="AG14" s="158">
        <v>2360.86</v>
      </c>
      <c r="AH14" s="158">
        <v>12589.630000000001</v>
      </c>
      <c r="AI14" s="158"/>
      <c r="AJ14" s="158"/>
      <c r="AK14" s="158"/>
      <c r="AL14" s="158"/>
      <c r="AM14" s="273">
        <f t="shared" si="6"/>
        <v>0</v>
      </c>
      <c r="AN14" s="272"/>
      <c r="AO14" s="304"/>
      <c r="AP14" s="303"/>
      <c r="AQ14" s="272"/>
      <c r="AR14" s="272"/>
      <c r="AS14" s="272"/>
      <c r="AT14" s="142"/>
      <c r="AU14" s="206"/>
      <c r="AV14" s="178">
        <v>17700.09</v>
      </c>
      <c r="AW14" s="178">
        <v>17700.09</v>
      </c>
      <c r="AX14" s="178">
        <v>0</v>
      </c>
      <c r="AY14" s="178">
        <v>0</v>
      </c>
      <c r="AZ14" s="178">
        <v>17700.09</v>
      </c>
      <c r="BA14" s="178">
        <v>0</v>
      </c>
      <c r="BB14" s="224">
        <f t="shared" si="5"/>
        <v>0</v>
      </c>
      <c r="BC14" s="224"/>
      <c r="BD14" s="224"/>
      <c r="BE14" s="51"/>
    </row>
    <row r="15" spans="1:57" s="23" customFormat="1" ht="28.5" customHeight="1">
      <c r="A15" s="18"/>
      <c r="B15" s="2">
        <v>9</v>
      </c>
      <c r="C15" s="85" t="s">
        <v>820</v>
      </c>
      <c r="D15" s="85">
        <v>10770</v>
      </c>
      <c r="E15" s="85" t="s">
        <v>932</v>
      </c>
      <c r="F15" s="5" t="s">
        <v>1376</v>
      </c>
      <c r="G15" s="10" t="s">
        <v>1377</v>
      </c>
      <c r="H15" s="5" t="s">
        <v>1378</v>
      </c>
      <c r="I15" s="85"/>
      <c r="J15" s="3">
        <v>2021</v>
      </c>
      <c r="K15" s="5">
        <v>44272</v>
      </c>
      <c r="L15" s="4"/>
      <c r="M15" s="15">
        <f t="shared" ca="1" si="3"/>
        <v>-1482.4066194444458</v>
      </c>
      <c r="N15" s="3" t="s">
        <v>176</v>
      </c>
      <c r="O15" s="13"/>
      <c r="P15" s="13"/>
      <c r="Q15" s="3" t="s">
        <v>774</v>
      </c>
      <c r="R15" s="5" t="s">
        <v>480</v>
      </c>
      <c r="S15" s="10" t="s">
        <v>775</v>
      </c>
      <c r="T15" s="3" t="s">
        <v>186</v>
      </c>
      <c r="U15" s="83" t="s">
        <v>462</v>
      </c>
      <c r="V15" s="224">
        <v>49000</v>
      </c>
      <c r="W15" s="83"/>
      <c r="X15" s="10" t="s">
        <v>1528</v>
      </c>
      <c r="Y15" s="151"/>
      <c r="Z15" s="181">
        <f t="shared" si="4"/>
        <v>27153.01</v>
      </c>
      <c r="AA15" s="158"/>
      <c r="AB15" s="158"/>
      <c r="AC15" s="158"/>
      <c r="AD15" s="158"/>
      <c r="AE15" s="158">
        <v>2277.35</v>
      </c>
      <c r="AF15" s="158">
        <v>1701.2199999999991</v>
      </c>
      <c r="AG15" s="158">
        <v>2014.12</v>
      </c>
      <c r="AH15" s="158">
        <v>1788.3999999999999</v>
      </c>
      <c r="AI15" s="158">
        <v>11860.68</v>
      </c>
      <c r="AJ15" s="158">
        <v>5967.78</v>
      </c>
      <c r="AK15" s="158">
        <v>1427.3799999999999</v>
      </c>
      <c r="AL15" s="158">
        <v>116.08</v>
      </c>
      <c r="AM15" s="273">
        <f t="shared" si="6"/>
        <v>0</v>
      </c>
      <c r="AN15" s="272"/>
      <c r="AO15" s="304"/>
      <c r="AP15" s="303"/>
      <c r="AQ15" s="272"/>
      <c r="AR15" s="272"/>
      <c r="AS15" s="272"/>
      <c r="AT15" s="142"/>
      <c r="AU15" s="206"/>
      <c r="AV15" s="178">
        <v>27188.34</v>
      </c>
      <c r="AW15" s="178">
        <v>27153.01</v>
      </c>
      <c r="AX15" s="178">
        <v>0</v>
      </c>
      <c r="AY15" s="178">
        <v>0</v>
      </c>
      <c r="AZ15" s="178">
        <v>27153.01</v>
      </c>
      <c r="BA15" s="178">
        <v>35.33</v>
      </c>
      <c r="BB15" s="224">
        <f t="shared" si="5"/>
        <v>35.330000000001746</v>
      </c>
      <c r="BC15" s="224"/>
      <c r="BD15" s="224"/>
      <c r="BE15" s="51"/>
    </row>
    <row r="16" spans="1:57" s="23" customFormat="1" ht="28.5" customHeight="1">
      <c r="A16" s="18"/>
      <c r="B16" s="2">
        <v>10</v>
      </c>
      <c r="C16" s="85" t="s">
        <v>821</v>
      </c>
      <c r="D16" s="85">
        <v>9910</v>
      </c>
      <c r="E16" s="85" t="s">
        <v>933</v>
      </c>
      <c r="F16" s="5" t="s">
        <v>1376</v>
      </c>
      <c r="G16" s="10" t="s">
        <v>1377</v>
      </c>
      <c r="H16" s="5" t="s">
        <v>1378</v>
      </c>
      <c r="I16" s="85"/>
      <c r="J16" s="3">
        <v>2021</v>
      </c>
      <c r="K16" s="5">
        <v>44272</v>
      </c>
      <c r="L16" s="4"/>
      <c r="M16" s="15">
        <f t="shared" ca="1" si="3"/>
        <v>-1482.4066194444458</v>
      </c>
      <c r="N16" s="3" t="s">
        <v>176</v>
      </c>
      <c r="O16" s="13" t="s">
        <v>5</v>
      </c>
      <c r="P16" s="13" t="s">
        <v>952</v>
      </c>
      <c r="Q16" s="3" t="s">
        <v>762</v>
      </c>
      <c r="R16" s="5" t="s">
        <v>480</v>
      </c>
      <c r="S16" s="10" t="s">
        <v>776</v>
      </c>
      <c r="T16" s="3" t="s">
        <v>187</v>
      </c>
      <c r="U16" s="83" t="s">
        <v>462</v>
      </c>
      <c r="V16" s="224">
        <v>30000</v>
      </c>
      <c r="W16" s="83"/>
      <c r="X16" s="151"/>
      <c r="Y16" s="151"/>
      <c r="Z16" s="181">
        <f t="shared" si="4"/>
        <v>29826.639999999999</v>
      </c>
      <c r="AA16" s="158"/>
      <c r="AB16" s="158"/>
      <c r="AC16" s="158"/>
      <c r="AD16" s="158"/>
      <c r="AE16" s="158">
        <v>9344.8299999999981</v>
      </c>
      <c r="AF16" s="158">
        <v>3472.3200000000006</v>
      </c>
      <c r="AG16" s="158">
        <v>151.07</v>
      </c>
      <c r="AH16" s="158"/>
      <c r="AI16" s="158">
        <v>2113.35</v>
      </c>
      <c r="AJ16" s="158">
        <v>7205.1</v>
      </c>
      <c r="AK16" s="158">
        <v>6061.07</v>
      </c>
      <c r="AL16" s="158">
        <v>1478.9</v>
      </c>
      <c r="AM16" s="273">
        <f t="shared" si="6"/>
        <v>-0.31280000000000002</v>
      </c>
      <c r="AN16" s="272"/>
      <c r="AO16" s="304">
        <v>-0.31280000000000002</v>
      </c>
      <c r="AP16" s="303">
        <v>-0.31280000000000002</v>
      </c>
      <c r="AQ16" s="272"/>
      <c r="AR16" s="272">
        <v>33.380000000000003</v>
      </c>
      <c r="AS16" s="272"/>
      <c r="AT16" s="142"/>
      <c r="AU16" s="245" t="s">
        <v>1304</v>
      </c>
      <c r="AV16" s="178">
        <v>29828.3</v>
      </c>
      <c r="AW16" s="178">
        <v>29513.84</v>
      </c>
      <c r="AX16" s="178">
        <v>0</v>
      </c>
      <c r="AY16" s="178">
        <v>0</v>
      </c>
      <c r="AZ16" s="178">
        <v>29513.84</v>
      </c>
      <c r="BA16" s="178">
        <v>314.45999999999998</v>
      </c>
      <c r="BB16" s="224">
        <f t="shared" si="5"/>
        <v>1.9727999999995518</v>
      </c>
      <c r="BC16" s="224"/>
      <c r="BD16" s="224"/>
      <c r="BE16" s="51"/>
    </row>
    <row r="17" spans="1:57" s="23" customFormat="1" ht="28.5" customHeight="1">
      <c r="A17" s="18"/>
      <c r="B17" s="2">
        <v>11</v>
      </c>
      <c r="C17" s="85" t="s">
        <v>822</v>
      </c>
      <c r="D17" s="85">
        <v>713</v>
      </c>
      <c r="E17" s="85" t="s">
        <v>934</v>
      </c>
      <c r="F17" s="5" t="s">
        <v>1376</v>
      </c>
      <c r="G17" s="10" t="s">
        <v>1380</v>
      </c>
      <c r="H17" s="5" t="s">
        <v>1381</v>
      </c>
      <c r="I17" s="85"/>
      <c r="J17" s="3">
        <v>2021</v>
      </c>
      <c r="K17" s="5">
        <v>44272</v>
      </c>
      <c r="L17" s="4"/>
      <c r="M17" s="15">
        <f t="shared" ca="1" si="3"/>
        <v>-1482.4066194444458</v>
      </c>
      <c r="N17" s="3" t="s">
        <v>176</v>
      </c>
      <c r="O17" s="13" t="s">
        <v>224</v>
      </c>
      <c r="P17" s="13" t="s">
        <v>981</v>
      </c>
      <c r="Q17" s="3" t="s">
        <v>777</v>
      </c>
      <c r="R17" s="5" t="s">
        <v>474</v>
      </c>
      <c r="S17" s="10" t="s">
        <v>652</v>
      </c>
      <c r="T17" s="3" t="s">
        <v>181</v>
      </c>
      <c r="U17" s="83" t="s">
        <v>462</v>
      </c>
      <c r="V17" s="224">
        <v>32000</v>
      </c>
      <c r="W17" s="83"/>
      <c r="X17" s="151"/>
      <c r="Y17" s="151"/>
      <c r="Z17" s="181">
        <f t="shared" si="4"/>
        <v>17314.16</v>
      </c>
      <c r="AA17" s="158"/>
      <c r="AB17" s="158"/>
      <c r="AC17" s="158"/>
      <c r="AD17" s="158">
        <v>3449.8599999999992</v>
      </c>
      <c r="AE17" s="158">
        <v>2964.7299999999996</v>
      </c>
      <c r="AF17" s="158">
        <v>3700.2300000000009</v>
      </c>
      <c r="AG17" s="158"/>
      <c r="AH17" s="158">
        <v>5398.46</v>
      </c>
      <c r="AI17" s="158">
        <v>2100.5700000000002</v>
      </c>
      <c r="AJ17" s="158">
        <v>-299.69</v>
      </c>
      <c r="AK17" s="158"/>
      <c r="AL17" s="158"/>
      <c r="AM17" s="273">
        <f t="shared" si="6"/>
        <v>0</v>
      </c>
      <c r="AN17" s="272"/>
      <c r="AO17" s="304"/>
      <c r="AP17" s="303"/>
      <c r="AQ17" s="272"/>
      <c r="AR17" s="272"/>
      <c r="AS17" s="272"/>
      <c r="AT17" s="142"/>
      <c r="AU17" s="206"/>
      <c r="AV17" s="178">
        <v>17314.16</v>
      </c>
      <c r="AW17" s="178">
        <v>17314.16</v>
      </c>
      <c r="AX17" s="178">
        <v>0</v>
      </c>
      <c r="AY17" s="178">
        <v>0</v>
      </c>
      <c r="AZ17" s="178">
        <v>17314.16</v>
      </c>
      <c r="BA17" s="178">
        <v>0</v>
      </c>
      <c r="BB17" s="224">
        <f t="shared" si="5"/>
        <v>0</v>
      </c>
      <c r="BC17" s="224"/>
      <c r="BD17" s="224"/>
      <c r="BE17" s="51"/>
    </row>
    <row r="18" spans="1:57" s="23" customFormat="1" ht="28.5" customHeight="1">
      <c r="A18" s="18"/>
      <c r="B18" s="2">
        <v>12</v>
      </c>
      <c r="C18" s="85" t="s">
        <v>823</v>
      </c>
      <c r="D18" s="85">
        <v>2228</v>
      </c>
      <c r="E18" s="85"/>
      <c r="F18" s="5" t="s">
        <v>1376</v>
      </c>
      <c r="G18" s="151" t="s">
        <v>1382</v>
      </c>
      <c r="H18" s="5" t="s">
        <v>783</v>
      </c>
      <c r="I18" s="85" t="s">
        <v>1079</v>
      </c>
      <c r="J18" s="3">
        <v>2021</v>
      </c>
      <c r="K18" s="5">
        <v>44288</v>
      </c>
      <c r="L18" s="42"/>
      <c r="M18" s="15">
        <f t="shared" ca="1" si="3"/>
        <v>-1467.4066194444458</v>
      </c>
      <c r="N18" s="3" t="s">
        <v>176</v>
      </c>
      <c r="O18" s="13" t="s">
        <v>222</v>
      </c>
      <c r="P18" s="13" t="s">
        <v>958</v>
      </c>
      <c r="Q18" s="41" t="s">
        <v>783</v>
      </c>
      <c r="R18" s="5" t="s">
        <v>474</v>
      </c>
      <c r="S18" s="151" t="s">
        <v>797</v>
      </c>
      <c r="T18" s="41" t="s">
        <v>187</v>
      </c>
      <c r="U18" s="83" t="s">
        <v>462</v>
      </c>
      <c r="V18" s="224">
        <v>10000</v>
      </c>
      <c r="W18" s="83"/>
      <c r="X18" s="151" t="s">
        <v>1536</v>
      </c>
      <c r="Y18" s="151"/>
      <c r="Z18" s="181">
        <f t="shared" si="4"/>
        <v>37762.339999999997</v>
      </c>
      <c r="AA18" s="158"/>
      <c r="AB18" s="158"/>
      <c r="AC18" s="158"/>
      <c r="AD18" s="158"/>
      <c r="AE18" s="158"/>
      <c r="AF18" s="158"/>
      <c r="AG18" s="158">
        <v>3199.579999999999</v>
      </c>
      <c r="AH18" s="158"/>
      <c r="AI18" s="158">
        <v>5369.49</v>
      </c>
      <c r="AJ18" s="158">
        <v>2861.12</v>
      </c>
      <c r="AK18" s="158">
        <v>6658.4900000000007</v>
      </c>
      <c r="AL18" s="158">
        <v>19673.66</v>
      </c>
      <c r="AM18" s="273">
        <f t="shared" si="6"/>
        <v>299.47588999999999</v>
      </c>
      <c r="AN18" s="272">
        <v>1018.41</v>
      </c>
      <c r="AO18" s="304">
        <v>-0.52410999999999996</v>
      </c>
      <c r="AP18" s="303">
        <v>-0.52410999999999996</v>
      </c>
      <c r="AQ18" s="272">
        <v>300</v>
      </c>
      <c r="AR18" s="272"/>
      <c r="AS18" s="272"/>
      <c r="AT18" s="142"/>
      <c r="AU18" s="206" t="s">
        <v>1271</v>
      </c>
      <c r="AV18" s="178">
        <v>39230.93</v>
      </c>
      <c r="AW18" s="178">
        <v>37238.230000000003</v>
      </c>
      <c r="AX18" s="178">
        <v>391.05</v>
      </c>
      <c r="AY18" s="178">
        <v>0</v>
      </c>
      <c r="AZ18" s="178">
        <v>37629.279999999999</v>
      </c>
      <c r="BA18" s="178">
        <v>1601.65</v>
      </c>
      <c r="BB18" s="224">
        <f t="shared" si="5"/>
        <v>1169.1141100000023</v>
      </c>
      <c r="BC18" s="224"/>
      <c r="BD18" s="224"/>
      <c r="BE18" s="51"/>
    </row>
    <row r="19" spans="1:57" s="23" customFormat="1" ht="28.5" customHeight="1">
      <c r="A19" s="18"/>
      <c r="B19" s="2">
        <v>13</v>
      </c>
      <c r="C19" s="85" t="s">
        <v>824</v>
      </c>
      <c r="D19" s="85">
        <v>1377</v>
      </c>
      <c r="E19" s="86"/>
      <c r="F19" s="5" t="s">
        <v>1376</v>
      </c>
      <c r="G19" s="151" t="s">
        <v>592</v>
      </c>
      <c r="H19" s="5" t="s">
        <v>266</v>
      </c>
      <c r="I19" s="208" t="s">
        <v>557</v>
      </c>
      <c r="J19" s="3">
        <v>2021</v>
      </c>
      <c r="K19" s="5">
        <v>44288</v>
      </c>
      <c r="L19" s="42"/>
      <c r="M19" s="15">
        <f t="shared" ca="1" si="3"/>
        <v>-1467.4066194444458</v>
      </c>
      <c r="N19" s="3" t="s">
        <v>176</v>
      </c>
      <c r="O19" s="13" t="s">
        <v>223</v>
      </c>
      <c r="P19" s="13" t="s">
        <v>980</v>
      </c>
      <c r="Q19" s="41" t="s">
        <v>784</v>
      </c>
      <c r="R19" s="5" t="s">
        <v>474</v>
      </c>
      <c r="S19" s="10" t="s">
        <v>782</v>
      </c>
      <c r="T19" s="3" t="s">
        <v>186</v>
      </c>
      <c r="U19" s="83" t="s">
        <v>557</v>
      </c>
      <c r="V19" s="224">
        <v>8000</v>
      </c>
      <c r="W19" s="125"/>
      <c r="X19" s="152"/>
      <c r="Y19" s="151"/>
      <c r="Z19" s="181">
        <f t="shared" si="4"/>
        <v>0</v>
      </c>
      <c r="AA19" s="158"/>
      <c r="AB19" s="158"/>
      <c r="AC19" s="158"/>
      <c r="AD19" s="158"/>
      <c r="AE19" s="158"/>
      <c r="AF19" s="158"/>
      <c r="AG19" s="158"/>
      <c r="AH19" s="158"/>
      <c r="AI19" s="158"/>
      <c r="AJ19" s="158"/>
      <c r="AK19" s="158"/>
      <c r="AL19" s="158"/>
      <c r="AM19" s="273">
        <f t="shared" si="6"/>
        <v>0</v>
      </c>
      <c r="AN19" s="272"/>
      <c r="AO19" s="304"/>
      <c r="AP19" s="303"/>
      <c r="AQ19" s="272"/>
      <c r="AR19" s="272"/>
      <c r="AS19" s="272"/>
      <c r="AT19" s="142"/>
      <c r="AU19" s="206"/>
      <c r="AV19" s="178"/>
      <c r="AW19" s="178"/>
      <c r="AX19" s="178"/>
      <c r="AY19" s="178"/>
      <c r="AZ19" s="178"/>
      <c r="BA19" s="178"/>
      <c r="BB19" s="224">
        <f t="shared" si="5"/>
        <v>0</v>
      </c>
      <c r="BC19" s="224"/>
      <c r="BD19" s="224"/>
      <c r="BE19" s="51"/>
    </row>
    <row r="20" spans="1:57" s="23" customFormat="1" ht="28.5" customHeight="1">
      <c r="A20" s="18"/>
      <c r="B20" s="2">
        <v>14</v>
      </c>
      <c r="C20" s="85" t="s">
        <v>825</v>
      </c>
      <c r="D20" s="85">
        <v>9813</v>
      </c>
      <c r="E20" s="86"/>
      <c r="F20" s="5" t="s">
        <v>1376</v>
      </c>
      <c r="G20" s="10" t="s">
        <v>1377</v>
      </c>
      <c r="H20" s="5" t="s">
        <v>1378</v>
      </c>
      <c r="I20" s="85"/>
      <c r="J20" s="3">
        <v>2021</v>
      </c>
      <c r="K20" s="5">
        <v>44288</v>
      </c>
      <c r="L20" s="42"/>
      <c r="M20" s="15">
        <f t="shared" ca="1" si="3"/>
        <v>-1467.4066194444458</v>
      </c>
      <c r="N20" s="3" t="s">
        <v>176</v>
      </c>
      <c r="O20" s="13" t="s">
        <v>224</v>
      </c>
      <c r="P20" s="13" t="s">
        <v>981</v>
      </c>
      <c r="Q20" s="41" t="s">
        <v>785</v>
      </c>
      <c r="R20" s="5" t="s">
        <v>474</v>
      </c>
      <c r="S20" s="10" t="s">
        <v>786</v>
      </c>
      <c r="T20" s="3" t="s">
        <v>316</v>
      </c>
      <c r="U20" s="83" t="s">
        <v>462</v>
      </c>
      <c r="V20" s="224">
        <v>44500</v>
      </c>
      <c r="W20" s="125"/>
      <c r="X20" s="152"/>
      <c r="Y20" s="151"/>
      <c r="Z20" s="181">
        <f t="shared" si="4"/>
        <v>49052.87</v>
      </c>
      <c r="AA20" s="158"/>
      <c r="AB20" s="158"/>
      <c r="AC20" s="158"/>
      <c r="AD20" s="158"/>
      <c r="AE20" s="158"/>
      <c r="AF20" s="158"/>
      <c r="AG20" s="158">
        <v>1485.78</v>
      </c>
      <c r="AH20" s="158">
        <v>1358.4199999999996</v>
      </c>
      <c r="AI20" s="158">
        <v>14413.53</v>
      </c>
      <c r="AJ20" s="158">
        <v>12756.92</v>
      </c>
      <c r="AK20" s="158">
        <v>3356.2099999999996</v>
      </c>
      <c r="AL20" s="158">
        <v>15682.01</v>
      </c>
      <c r="AM20" s="273">
        <f t="shared" si="6"/>
        <v>-0.30037999999999998</v>
      </c>
      <c r="AN20" s="272"/>
      <c r="AO20" s="304">
        <v>-0.30037999999999998</v>
      </c>
      <c r="AP20" s="303">
        <v>-0.30037999999999998</v>
      </c>
      <c r="AQ20" s="272"/>
      <c r="AR20" s="272"/>
      <c r="AS20" s="272"/>
      <c r="AT20" s="142"/>
      <c r="AU20" s="206" t="s">
        <v>1272</v>
      </c>
      <c r="AV20" s="178">
        <v>48054.15</v>
      </c>
      <c r="AW20" s="178">
        <v>48752.49</v>
      </c>
      <c r="AX20" s="178">
        <v>0</v>
      </c>
      <c r="AY20" s="178">
        <v>0</v>
      </c>
      <c r="AZ20" s="178">
        <v>48752.49</v>
      </c>
      <c r="BA20" s="178">
        <v>-698.34</v>
      </c>
      <c r="BB20" s="224">
        <f t="shared" si="5"/>
        <v>-998.41962000000058</v>
      </c>
      <c r="BC20" s="224"/>
      <c r="BD20" s="224"/>
      <c r="BE20" s="51"/>
    </row>
    <row r="21" spans="1:57" s="23" customFormat="1" ht="28.5" customHeight="1">
      <c r="A21" s="18"/>
      <c r="B21" s="2">
        <v>15</v>
      </c>
      <c r="C21" s="85" t="s">
        <v>826</v>
      </c>
      <c r="D21" s="86">
        <v>5050</v>
      </c>
      <c r="E21" s="86" t="s">
        <v>935</v>
      </c>
      <c r="F21" s="5" t="s">
        <v>1376</v>
      </c>
      <c r="G21" s="10" t="s">
        <v>1380</v>
      </c>
      <c r="H21" s="5" t="s">
        <v>1381</v>
      </c>
      <c r="I21" s="85"/>
      <c r="J21" s="3">
        <v>2021</v>
      </c>
      <c r="K21" s="5">
        <v>44288</v>
      </c>
      <c r="L21" s="42"/>
      <c r="M21" s="15">
        <f t="shared" ca="1" si="3"/>
        <v>-1467.4066194444458</v>
      </c>
      <c r="N21" s="3" t="s">
        <v>176</v>
      </c>
      <c r="O21" s="13" t="s">
        <v>5</v>
      </c>
      <c r="P21" s="13" t="s">
        <v>952</v>
      </c>
      <c r="Q21" s="41" t="s">
        <v>762</v>
      </c>
      <c r="R21" s="5" t="s">
        <v>480</v>
      </c>
      <c r="S21" s="10" t="s">
        <v>788</v>
      </c>
      <c r="T21" s="3" t="s">
        <v>181</v>
      </c>
      <c r="U21" s="83" t="s">
        <v>462</v>
      </c>
      <c r="V21" s="224">
        <v>50000</v>
      </c>
      <c r="W21" s="83"/>
      <c r="X21" s="151"/>
      <c r="Y21" s="151"/>
      <c r="Z21" s="181">
        <f t="shared" si="4"/>
        <v>47598.299999999996</v>
      </c>
      <c r="AA21" s="158"/>
      <c r="AB21" s="158"/>
      <c r="AC21" s="158"/>
      <c r="AD21" s="158">
        <v>254.99</v>
      </c>
      <c r="AE21" s="158"/>
      <c r="AF21" s="158">
        <v>31514.63</v>
      </c>
      <c r="AG21" s="158">
        <v>884.92000000000007</v>
      </c>
      <c r="AH21" s="158">
        <v>2095.86</v>
      </c>
      <c r="AI21" s="158">
        <v>12128.91</v>
      </c>
      <c r="AJ21" s="158">
        <v>718.99</v>
      </c>
      <c r="AK21" s="158"/>
      <c r="AL21" s="158"/>
      <c r="AM21" s="273">
        <f t="shared" si="6"/>
        <v>0</v>
      </c>
      <c r="AN21" s="272"/>
      <c r="AO21" s="304"/>
      <c r="AP21" s="303"/>
      <c r="AQ21" s="272"/>
      <c r="AR21" s="272"/>
      <c r="AS21" s="272"/>
      <c r="AT21" s="142"/>
      <c r="AU21" s="206"/>
      <c r="AV21" s="178">
        <v>47598.3</v>
      </c>
      <c r="AW21" s="178">
        <v>47598.3</v>
      </c>
      <c r="AX21" s="178">
        <v>0</v>
      </c>
      <c r="AY21" s="178">
        <v>0</v>
      </c>
      <c r="AZ21" s="178">
        <v>47598.3</v>
      </c>
      <c r="BA21" s="178">
        <v>0</v>
      </c>
      <c r="BB21" s="224">
        <f t="shared" si="5"/>
        <v>0</v>
      </c>
      <c r="BC21" s="224"/>
      <c r="BD21" s="224"/>
      <c r="BE21" s="51"/>
    </row>
    <row r="22" spans="1:57" s="23" customFormat="1" ht="28.5" customHeight="1">
      <c r="A22" s="18"/>
      <c r="B22" s="2">
        <v>16</v>
      </c>
      <c r="C22" s="85" t="s">
        <v>827</v>
      </c>
      <c r="D22" s="86">
        <v>11067</v>
      </c>
      <c r="E22" s="86"/>
      <c r="F22" s="5" t="s">
        <v>1376</v>
      </c>
      <c r="G22" s="10" t="s">
        <v>1377</v>
      </c>
      <c r="H22" s="5" t="s">
        <v>1378</v>
      </c>
      <c r="I22" s="85"/>
      <c r="J22" s="3">
        <v>2021</v>
      </c>
      <c r="K22" s="5">
        <v>44288</v>
      </c>
      <c r="L22" s="42"/>
      <c r="M22" s="15">
        <f t="shared" ca="1" si="3"/>
        <v>-1467.4066194444458</v>
      </c>
      <c r="N22" s="3" t="s">
        <v>176</v>
      </c>
      <c r="O22" s="13" t="s">
        <v>224</v>
      </c>
      <c r="P22" s="13" t="s">
        <v>981</v>
      </c>
      <c r="Q22" s="41" t="s">
        <v>787</v>
      </c>
      <c r="R22" s="5" t="s">
        <v>474</v>
      </c>
      <c r="S22" s="10" t="s">
        <v>801</v>
      </c>
      <c r="T22" s="3" t="s">
        <v>187</v>
      </c>
      <c r="U22" s="83" t="s">
        <v>462</v>
      </c>
      <c r="V22" s="224">
        <v>49500</v>
      </c>
      <c r="W22" s="125"/>
      <c r="X22" s="152"/>
      <c r="Y22" s="151"/>
      <c r="Z22" s="181">
        <f t="shared" si="4"/>
        <v>48913.78</v>
      </c>
      <c r="AA22" s="158"/>
      <c r="AB22" s="158"/>
      <c r="AC22" s="158"/>
      <c r="AD22" s="158"/>
      <c r="AE22" s="158"/>
      <c r="AF22" s="158"/>
      <c r="AG22" s="158"/>
      <c r="AH22" s="158"/>
      <c r="AI22" s="158">
        <v>18441.09</v>
      </c>
      <c r="AJ22" s="158">
        <v>5048.88</v>
      </c>
      <c r="AK22" s="158">
        <v>6051.14</v>
      </c>
      <c r="AL22" s="158">
        <v>19372.669999999998</v>
      </c>
      <c r="AM22" s="273">
        <f t="shared" si="6"/>
        <v>-0.67443999999999993</v>
      </c>
      <c r="AN22" s="272"/>
      <c r="AO22" s="304">
        <v>-0.67443999999999993</v>
      </c>
      <c r="AP22" s="303">
        <v>-0.67443999999999993</v>
      </c>
      <c r="AQ22" s="272"/>
      <c r="AR22" s="272">
        <v>592.01</v>
      </c>
      <c r="AS22" s="272"/>
      <c r="AT22" s="142"/>
      <c r="AU22" s="206" t="s">
        <v>1270</v>
      </c>
      <c r="AV22" s="178">
        <v>49784.74</v>
      </c>
      <c r="AW22" s="178">
        <v>48239.34</v>
      </c>
      <c r="AX22" s="178">
        <v>0</v>
      </c>
      <c r="AY22" s="178">
        <v>0</v>
      </c>
      <c r="AZ22" s="178">
        <v>48239.34</v>
      </c>
      <c r="BA22" s="178">
        <v>1545.4</v>
      </c>
      <c r="BB22" s="224">
        <f t="shared" si="5"/>
        <v>871.63444000000163</v>
      </c>
      <c r="BC22" s="224"/>
      <c r="BD22" s="224"/>
      <c r="BE22" s="51"/>
    </row>
    <row r="23" spans="1:57" s="23" customFormat="1" ht="28.5" customHeight="1">
      <c r="A23" s="18"/>
      <c r="B23" s="2">
        <v>17</v>
      </c>
      <c r="C23" s="85" t="s">
        <v>828</v>
      </c>
      <c r="D23" s="86">
        <v>3268</v>
      </c>
      <c r="E23" s="86" t="s">
        <v>936</v>
      </c>
      <c r="F23" s="5" t="s">
        <v>1376</v>
      </c>
      <c r="G23" s="151" t="s">
        <v>1380</v>
      </c>
      <c r="H23" s="5" t="s">
        <v>1381</v>
      </c>
      <c r="I23" s="85"/>
      <c r="J23" s="3">
        <v>2021</v>
      </c>
      <c r="K23" s="5">
        <v>44288</v>
      </c>
      <c r="L23" s="42"/>
      <c r="M23" s="15">
        <f t="shared" ca="1" si="3"/>
        <v>-1467.4066194444458</v>
      </c>
      <c r="N23" s="3" t="s">
        <v>176</v>
      </c>
      <c r="O23" s="13" t="s">
        <v>5</v>
      </c>
      <c r="P23" s="13" t="s">
        <v>951</v>
      </c>
      <c r="Q23" s="41" t="s">
        <v>789</v>
      </c>
      <c r="R23" s="5" t="s">
        <v>480</v>
      </c>
      <c r="S23" s="10" t="s">
        <v>790</v>
      </c>
      <c r="T23" s="3" t="s">
        <v>181</v>
      </c>
      <c r="U23" s="83" t="s">
        <v>462</v>
      </c>
      <c r="V23" s="224">
        <v>42000</v>
      </c>
      <c r="W23" s="83"/>
      <c r="X23" s="151" t="s">
        <v>1528</v>
      </c>
      <c r="Y23" s="151"/>
      <c r="Z23" s="181">
        <f t="shared" si="4"/>
        <v>45072.38</v>
      </c>
      <c r="AA23" s="158"/>
      <c r="AB23" s="158"/>
      <c r="AC23" s="158"/>
      <c r="AD23" s="158"/>
      <c r="AE23" s="158"/>
      <c r="AF23" s="158">
        <v>266.18</v>
      </c>
      <c r="AG23" s="158">
        <v>378.47999999999996</v>
      </c>
      <c r="AH23" s="158">
        <v>66.349999999999994</v>
      </c>
      <c r="AI23" s="158"/>
      <c r="AJ23" s="158">
        <v>23886.33</v>
      </c>
      <c r="AK23" s="158">
        <v>17640.8</v>
      </c>
      <c r="AL23" s="158">
        <v>2834.24</v>
      </c>
      <c r="AM23" s="273">
        <f t="shared" si="6"/>
        <v>-0.36984</v>
      </c>
      <c r="AN23" s="272"/>
      <c r="AO23" s="304">
        <v>-0.36984</v>
      </c>
      <c r="AP23" s="303">
        <v>-0.36984</v>
      </c>
      <c r="AQ23" s="272"/>
      <c r="AR23" s="272"/>
      <c r="AS23" s="272"/>
      <c r="AT23" s="142"/>
      <c r="AU23" s="206"/>
      <c r="AV23" s="178">
        <v>45350.31</v>
      </c>
      <c r="AW23" s="178">
        <v>44702.54</v>
      </c>
      <c r="AX23" s="178">
        <v>0</v>
      </c>
      <c r="AY23" s="178">
        <v>0</v>
      </c>
      <c r="AZ23" s="178">
        <v>44702.54</v>
      </c>
      <c r="BA23" s="178">
        <v>647.77</v>
      </c>
      <c r="BB23" s="224">
        <f t="shared" si="5"/>
        <v>278.29983999999968</v>
      </c>
      <c r="BC23" s="224"/>
      <c r="BD23" s="224"/>
      <c r="BE23" s="51"/>
    </row>
    <row r="24" spans="1:57" s="23" customFormat="1" ht="28.5" customHeight="1">
      <c r="A24" s="18"/>
      <c r="B24" s="2">
        <v>18</v>
      </c>
      <c r="C24" s="85" t="s">
        <v>829</v>
      </c>
      <c r="D24" s="86">
        <v>2957</v>
      </c>
      <c r="E24" s="86" t="s">
        <v>937</v>
      </c>
      <c r="F24" s="5" t="s">
        <v>1376</v>
      </c>
      <c r="G24" s="151" t="s">
        <v>1377</v>
      </c>
      <c r="H24" s="5" t="s">
        <v>1378</v>
      </c>
      <c r="I24" s="85"/>
      <c r="J24" s="3">
        <v>2021</v>
      </c>
      <c r="K24" s="5">
        <v>44288</v>
      </c>
      <c r="L24" s="42"/>
      <c r="M24" s="15">
        <f t="shared" ca="1" si="3"/>
        <v>-1467.4066194444458</v>
      </c>
      <c r="N24" s="3" t="s">
        <v>176</v>
      </c>
      <c r="O24" s="13" t="s">
        <v>222</v>
      </c>
      <c r="P24" s="13" t="s">
        <v>981</v>
      </c>
      <c r="Q24" s="41" t="s">
        <v>791</v>
      </c>
      <c r="R24" s="5" t="s">
        <v>474</v>
      </c>
      <c r="S24" s="10" t="s">
        <v>802</v>
      </c>
      <c r="T24" s="41" t="s">
        <v>187</v>
      </c>
      <c r="U24" s="83" t="s">
        <v>462</v>
      </c>
      <c r="V24" s="224">
        <v>10000</v>
      </c>
      <c r="W24" s="83"/>
      <c r="X24" s="151"/>
      <c r="Y24" s="151"/>
      <c r="Z24" s="181">
        <f t="shared" si="4"/>
        <v>15580.83</v>
      </c>
      <c r="AA24" s="158"/>
      <c r="AB24" s="158"/>
      <c r="AC24" s="158"/>
      <c r="AD24" s="158"/>
      <c r="AE24" s="158"/>
      <c r="AF24" s="158"/>
      <c r="AG24" s="158">
        <v>10917.169999999998</v>
      </c>
      <c r="AH24" s="158"/>
      <c r="AI24" s="158">
        <v>2607.04</v>
      </c>
      <c r="AJ24" s="158">
        <v>41.54</v>
      </c>
      <c r="AK24" s="158"/>
      <c r="AL24" s="158">
        <v>2015.08</v>
      </c>
      <c r="AM24" s="273">
        <f t="shared" si="6"/>
        <v>0</v>
      </c>
      <c r="AN24" s="272"/>
      <c r="AO24" s="304"/>
      <c r="AP24" s="303"/>
      <c r="AQ24" s="272"/>
      <c r="AR24" s="272"/>
      <c r="AS24" s="272"/>
      <c r="AT24" s="142"/>
      <c r="AU24" s="206"/>
      <c r="AV24" s="178">
        <v>15797.46</v>
      </c>
      <c r="AW24" s="178">
        <v>15580.83</v>
      </c>
      <c r="AX24" s="178">
        <v>0</v>
      </c>
      <c r="AY24" s="178">
        <v>0</v>
      </c>
      <c r="AZ24" s="178">
        <v>15580.83</v>
      </c>
      <c r="BA24" s="178">
        <v>216.63</v>
      </c>
      <c r="BB24" s="224">
        <f t="shared" si="5"/>
        <v>216.6299999999992</v>
      </c>
      <c r="BC24" s="224"/>
      <c r="BD24" s="224"/>
      <c r="BE24" s="51"/>
    </row>
    <row r="25" spans="1:57" s="23" customFormat="1" ht="28.5" customHeight="1">
      <c r="A25" s="18"/>
      <c r="B25" s="2">
        <v>19</v>
      </c>
      <c r="C25" s="85" t="s">
        <v>830</v>
      </c>
      <c r="D25" s="86">
        <v>3236</v>
      </c>
      <c r="E25" s="86" t="s">
        <v>938</v>
      </c>
      <c r="F25" s="5" t="s">
        <v>1376</v>
      </c>
      <c r="G25" s="10" t="s">
        <v>1380</v>
      </c>
      <c r="H25" s="5" t="s">
        <v>1381</v>
      </c>
      <c r="I25" s="85"/>
      <c r="J25" s="3">
        <v>2021</v>
      </c>
      <c r="K25" s="5">
        <v>44288</v>
      </c>
      <c r="L25" s="42"/>
      <c r="M25" s="15">
        <f t="shared" ca="1" si="3"/>
        <v>-1467.4066194444458</v>
      </c>
      <c r="N25" s="3" t="s">
        <v>176</v>
      </c>
      <c r="O25" s="13" t="s">
        <v>5</v>
      </c>
      <c r="P25" s="13" t="s">
        <v>951</v>
      </c>
      <c r="Q25" s="41" t="s">
        <v>789</v>
      </c>
      <c r="R25" s="5" t="s">
        <v>480</v>
      </c>
      <c r="S25" s="10" t="s">
        <v>792</v>
      </c>
      <c r="T25" s="41" t="s">
        <v>181</v>
      </c>
      <c r="U25" s="83" t="s">
        <v>462</v>
      </c>
      <c r="V25" s="224">
        <v>24000</v>
      </c>
      <c r="W25" s="83"/>
      <c r="X25" s="151"/>
      <c r="Y25" s="151"/>
      <c r="Z25" s="181">
        <f t="shared" si="4"/>
        <v>48937.29</v>
      </c>
      <c r="AA25" s="158"/>
      <c r="AB25" s="158"/>
      <c r="AC25" s="158"/>
      <c r="AD25" s="158"/>
      <c r="AE25" s="158"/>
      <c r="AF25" s="158"/>
      <c r="AG25" s="158"/>
      <c r="AH25" s="158"/>
      <c r="AI25" s="158">
        <v>37069.699999999997</v>
      </c>
      <c r="AJ25" s="158">
        <v>2472.79</v>
      </c>
      <c r="AK25" s="158">
        <v>5304.55</v>
      </c>
      <c r="AL25" s="158">
        <v>4090.25</v>
      </c>
      <c r="AM25" s="273">
        <f t="shared" si="6"/>
        <v>-0.40267999999999998</v>
      </c>
      <c r="AN25" s="272"/>
      <c r="AO25" s="304">
        <v>-0.40267999999999998</v>
      </c>
      <c r="AP25" s="303">
        <v>-0.40267999999999998</v>
      </c>
      <c r="AQ25" s="272"/>
      <c r="AR25" s="272">
        <v>50.73</v>
      </c>
      <c r="AS25" s="272"/>
      <c r="AT25" s="142"/>
      <c r="AU25" s="245" t="s">
        <v>1291</v>
      </c>
      <c r="AV25" s="178">
        <v>48917.74</v>
      </c>
      <c r="AW25" s="178">
        <v>48534.61</v>
      </c>
      <c r="AX25" s="178">
        <v>0</v>
      </c>
      <c r="AY25" s="178">
        <v>0</v>
      </c>
      <c r="AZ25" s="178">
        <v>48534.61</v>
      </c>
      <c r="BA25" s="178">
        <v>383.13</v>
      </c>
      <c r="BB25" s="224">
        <f t="shared" si="5"/>
        <v>-19.147320000003674</v>
      </c>
      <c r="BC25" s="224"/>
      <c r="BD25" s="224"/>
      <c r="BE25" s="51"/>
    </row>
    <row r="26" spans="1:57" s="23" customFormat="1" ht="28.5" customHeight="1">
      <c r="A26" s="18"/>
      <c r="B26" s="2">
        <v>20</v>
      </c>
      <c r="C26" s="85" t="s">
        <v>831</v>
      </c>
      <c r="D26" s="86">
        <v>11895</v>
      </c>
      <c r="E26" s="86"/>
      <c r="F26" s="5" t="s">
        <v>1376</v>
      </c>
      <c r="G26" s="10" t="s">
        <v>1377</v>
      </c>
      <c r="H26" s="5" t="s">
        <v>1378</v>
      </c>
      <c r="I26" s="85"/>
      <c r="J26" s="3">
        <v>2021</v>
      </c>
      <c r="K26" s="189">
        <v>44288</v>
      </c>
      <c r="L26" s="42"/>
      <c r="M26" s="15">
        <f t="shared" ca="1" si="3"/>
        <v>-1467.4066194444458</v>
      </c>
      <c r="N26" s="3" t="s">
        <v>176</v>
      </c>
      <c r="O26" s="13" t="s">
        <v>985</v>
      </c>
      <c r="P26" s="13" t="s">
        <v>968</v>
      </c>
      <c r="Q26" s="41" t="s">
        <v>793</v>
      </c>
      <c r="R26" s="5" t="s">
        <v>474</v>
      </c>
      <c r="S26" s="10" t="s">
        <v>794</v>
      </c>
      <c r="T26" s="41" t="s">
        <v>187</v>
      </c>
      <c r="U26" s="83" t="s">
        <v>462</v>
      </c>
      <c r="V26" s="224">
        <v>7500</v>
      </c>
      <c r="W26" s="125"/>
      <c r="X26" s="152"/>
      <c r="Y26" s="83" t="s">
        <v>1309</v>
      </c>
      <c r="Z26" s="181">
        <f t="shared" si="4"/>
        <v>5452.4400000000005</v>
      </c>
      <c r="AA26" s="158"/>
      <c r="AB26" s="158"/>
      <c r="AC26" s="158"/>
      <c r="AD26" s="158">
        <v>5452.4400000000005</v>
      </c>
      <c r="AE26" s="158"/>
      <c r="AF26" s="158"/>
      <c r="AG26" s="158"/>
      <c r="AH26" s="158"/>
      <c r="AI26" s="158"/>
      <c r="AJ26" s="158"/>
      <c r="AK26" s="158"/>
      <c r="AL26" s="158"/>
      <c r="AM26" s="273">
        <f t="shared" si="6"/>
        <v>0</v>
      </c>
      <c r="AN26" s="272"/>
      <c r="AO26" s="304"/>
      <c r="AP26" s="303"/>
      <c r="AQ26" s="272"/>
      <c r="AR26" s="272"/>
      <c r="AS26" s="272"/>
      <c r="AT26" s="142"/>
      <c r="AU26" s="206"/>
      <c r="AV26" s="178">
        <v>5452.44</v>
      </c>
      <c r="AW26" s="178">
        <v>5452.44</v>
      </c>
      <c r="AX26" s="178">
        <v>0</v>
      </c>
      <c r="AY26" s="178">
        <v>0</v>
      </c>
      <c r="AZ26" s="178">
        <v>5452.44</v>
      </c>
      <c r="BA26" s="178">
        <v>0</v>
      </c>
      <c r="BB26" s="224">
        <f t="shared" si="5"/>
        <v>0</v>
      </c>
      <c r="BC26" s="224"/>
      <c r="BD26" s="224"/>
      <c r="BE26" s="51"/>
    </row>
    <row r="27" spans="1:57" s="23" customFormat="1" ht="28.5" customHeight="1">
      <c r="A27" s="18"/>
      <c r="B27" s="2">
        <v>21</v>
      </c>
      <c r="C27" s="85" t="s">
        <v>832</v>
      </c>
      <c r="D27" s="86">
        <v>4057</v>
      </c>
      <c r="E27" s="86" t="s">
        <v>939</v>
      </c>
      <c r="F27" s="5" t="s">
        <v>1376</v>
      </c>
      <c r="G27" s="10" t="s">
        <v>1377</v>
      </c>
      <c r="H27" s="5" t="s">
        <v>1378</v>
      </c>
      <c r="I27" s="85"/>
      <c r="J27" s="3">
        <v>2021</v>
      </c>
      <c r="K27" s="5">
        <v>44288</v>
      </c>
      <c r="L27" s="42"/>
      <c r="M27" s="15">
        <f t="shared" ca="1" si="3"/>
        <v>-1467.4066194444458</v>
      </c>
      <c r="N27" s="3" t="s">
        <v>176</v>
      </c>
      <c r="O27" s="13" t="s">
        <v>5</v>
      </c>
      <c r="P27" s="13" t="s">
        <v>961</v>
      </c>
      <c r="Q27" s="41" t="s">
        <v>795</v>
      </c>
      <c r="R27" s="5" t="s">
        <v>480</v>
      </c>
      <c r="S27" s="10" t="s">
        <v>803</v>
      </c>
      <c r="T27" s="41" t="s">
        <v>187</v>
      </c>
      <c r="U27" s="83" t="s">
        <v>462</v>
      </c>
      <c r="V27" s="224">
        <v>21000</v>
      </c>
      <c r="W27" s="83"/>
      <c r="X27" s="151"/>
      <c r="Y27" s="151"/>
      <c r="Z27" s="181">
        <f t="shared" si="4"/>
        <v>5898.6</v>
      </c>
      <c r="AA27" s="158"/>
      <c r="AB27" s="158"/>
      <c r="AC27" s="158"/>
      <c r="AD27" s="158"/>
      <c r="AE27" s="158"/>
      <c r="AF27" s="158"/>
      <c r="AG27" s="158"/>
      <c r="AH27" s="158"/>
      <c r="AI27" s="158">
        <v>5898.6</v>
      </c>
      <c r="AJ27" s="158"/>
      <c r="AK27" s="158"/>
      <c r="AL27" s="158"/>
      <c r="AM27" s="273">
        <f t="shared" si="6"/>
        <v>0</v>
      </c>
      <c r="AN27" s="272"/>
      <c r="AO27" s="304"/>
      <c r="AP27" s="303"/>
      <c r="AQ27" s="272"/>
      <c r="AR27" s="272"/>
      <c r="AS27" s="272"/>
      <c r="AT27" s="142"/>
      <c r="AU27" s="206"/>
      <c r="AV27" s="178">
        <v>5898.6</v>
      </c>
      <c r="AW27" s="178">
        <v>5898.6</v>
      </c>
      <c r="AX27" s="178">
        <v>0</v>
      </c>
      <c r="AY27" s="178">
        <v>0</v>
      </c>
      <c r="AZ27" s="178">
        <v>5898.6</v>
      </c>
      <c r="BA27" s="178">
        <v>0</v>
      </c>
      <c r="BB27" s="224">
        <f t="shared" si="5"/>
        <v>0</v>
      </c>
      <c r="BC27" s="224"/>
      <c r="BD27" s="224"/>
      <c r="BE27" s="51"/>
    </row>
    <row r="28" spans="1:57" s="23" customFormat="1" ht="28.5" customHeight="1">
      <c r="A28" s="18"/>
      <c r="B28" s="2">
        <v>22</v>
      </c>
      <c r="C28" s="85" t="s">
        <v>833</v>
      </c>
      <c r="D28" s="86">
        <v>7885</v>
      </c>
      <c r="E28" s="86" t="s">
        <v>940</v>
      </c>
      <c r="F28" s="5" t="s">
        <v>1376</v>
      </c>
      <c r="G28" s="151" t="s">
        <v>1377</v>
      </c>
      <c r="H28" s="5" t="s">
        <v>1378</v>
      </c>
      <c r="I28" s="85" t="s">
        <v>1080</v>
      </c>
      <c r="J28" s="3">
        <v>2021</v>
      </c>
      <c r="K28" s="5">
        <v>44288</v>
      </c>
      <c r="L28" s="42"/>
      <c r="M28" s="15">
        <f t="shared" ca="1" si="3"/>
        <v>-1467.4066194444458</v>
      </c>
      <c r="N28" s="3" t="s">
        <v>176</v>
      </c>
      <c r="O28" s="13" t="s">
        <v>5</v>
      </c>
      <c r="P28" s="13" t="s">
        <v>981</v>
      </c>
      <c r="Q28" s="41" t="s">
        <v>772</v>
      </c>
      <c r="R28" s="5" t="s">
        <v>480</v>
      </c>
      <c r="S28" s="10" t="s">
        <v>796</v>
      </c>
      <c r="T28" s="41" t="s">
        <v>316</v>
      </c>
      <c r="U28" s="83" t="s">
        <v>462</v>
      </c>
      <c r="V28" s="224">
        <v>15000</v>
      </c>
      <c r="W28" s="125"/>
      <c r="X28" s="298" t="s">
        <v>1528</v>
      </c>
      <c r="Y28" s="151"/>
      <c r="Z28" s="181">
        <f t="shared" si="4"/>
        <v>42455.95</v>
      </c>
      <c r="AA28" s="158"/>
      <c r="AB28" s="158"/>
      <c r="AC28" s="158"/>
      <c r="AD28" s="158"/>
      <c r="AE28" s="158"/>
      <c r="AF28" s="158">
        <v>3808.5699999999997</v>
      </c>
      <c r="AG28" s="158">
        <v>8753.58</v>
      </c>
      <c r="AH28" s="158">
        <v>4981.21</v>
      </c>
      <c r="AI28" s="158">
        <v>11994.22</v>
      </c>
      <c r="AJ28" s="158">
        <v>275.76</v>
      </c>
      <c r="AK28" s="158">
        <v>10223.83</v>
      </c>
      <c r="AL28" s="158">
        <v>2418.7800000000002</v>
      </c>
      <c r="AM28" s="273">
        <f t="shared" si="6"/>
        <v>0</v>
      </c>
      <c r="AN28" s="272"/>
      <c r="AO28" s="304"/>
      <c r="AP28" s="303"/>
      <c r="AQ28" s="272"/>
      <c r="AR28" s="272">
        <v>50.54</v>
      </c>
      <c r="AS28" s="272"/>
      <c r="AT28" s="142"/>
      <c r="AU28" s="206"/>
      <c r="AV28" s="178">
        <v>43278.97</v>
      </c>
      <c r="AW28" s="178">
        <v>42455.95</v>
      </c>
      <c r="AX28" s="178">
        <v>0</v>
      </c>
      <c r="AY28" s="178">
        <v>0</v>
      </c>
      <c r="AZ28" s="178">
        <v>42455.95</v>
      </c>
      <c r="BA28" s="178">
        <v>823.02</v>
      </c>
      <c r="BB28" s="224">
        <f t="shared" si="5"/>
        <v>823.02000000000407</v>
      </c>
      <c r="BC28" s="224"/>
      <c r="BD28" s="224"/>
      <c r="BE28" s="51"/>
    </row>
    <row r="29" spans="1:57" s="23" customFormat="1" ht="28.5" customHeight="1">
      <c r="A29" s="18"/>
      <c r="B29" s="2">
        <v>23</v>
      </c>
      <c r="C29" s="85" t="s">
        <v>834</v>
      </c>
      <c r="D29" s="86">
        <v>2730</v>
      </c>
      <c r="E29" s="86"/>
      <c r="F29" s="5" t="s">
        <v>1376</v>
      </c>
      <c r="G29" s="151" t="s">
        <v>1382</v>
      </c>
      <c r="H29" s="5" t="s">
        <v>1097</v>
      </c>
      <c r="I29" s="85" t="s">
        <v>1081</v>
      </c>
      <c r="J29" s="3">
        <v>2021</v>
      </c>
      <c r="K29" s="5">
        <v>44404</v>
      </c>
      <c r="L29" s="42"/>
      <c r="M29" s="15">
        <f t="shared" ca="1" si="3"/>
        <v>-1350.4066194444458</v>
      </c>
      <c r="N29" s="3" t="s">
        <v>176</v>
      </c>
      <c r="O29" s="13" t="s">
        <v>222</v>
      </c>
      <c r="P29" s="13" t="s">
        <v>958</v>
      </c>
      <c r="Q29" s="41" t="s">
        <v>808</v>
      </c>
      <c r="R29" s="5" t="s">
        <v>474</v>
      </c>
      <c r="S29" s="10" t="s">
        <v>809</v>
      </c>
      <c r="T29" s="41" t="s">
        <v>187</v>
      </c>
      <c r="U29" s="83" t="s">
        <v>462</v>
      </c>
      <c r="V29" s="224">
        <v>49840</v>
      </c>
      <c r="W29" s="83"/>
      <c r="X29" s="151" t="s">
        <v>1526</v>
      </c>
      <c r="Y29" s="151"/>
      <c r="Z29" s="181">
        <f t="shared" si="4"/>
        <v>37228.1</v>
      </c>
      <c r="AA29" s="158"/>
      <c r="AB29" s="158"/>
      <c r="AC29" s="158"/>
      <c r="AD29" s="158"/>
      <c r="AE29" s="158"/>
      <c r="AF29" s="158"/>
      <c r="AG29" s="158">
        <v>1233.8700000000001</v>
      </c>
      <c r="AH29" s="158">
        <v>4869.26</v>
      </c>
      <c r="AI29" s="158">
        <v>5789.45</v>
      </c>
      <c r="AJ29" s="158">
        <v>2511.5500000000002</v>
      </c>
      <c r="AK29" s="158">
        <v>7733.5900000000011</v>
      </c>
      <c r="AL29" s="158">
        <v>15090.38</v>
      </c>
      <c r="AM29" s="273">
        <f t="shared" si="6"/>
        <v>1200</v>
      </c>
      <c r="AN29" s="272">
        <v>1278.72</v>
      </c>
      <c r="AO29" s="304"/>
      <c r="AP29" s="303"/>
      <c r="AQ29" s="272">
        <v>1200</v>
      </c>
      <c r="AR29" s="272"/>
      <c r="AS29" s="272"/>
      <c r="AT29" s="142"/>
      <c r="AU29" s="206" t="s">
        <v>1272</v>
      </c>
      <c r="AV29" s="178">
        <v>40117.760000000002</v>
      </c>
      <c r="AW29" s="178">
        <v>37228.1</v>
      </c>
      <c r="AX29" s="178">
        <v>1278.72</v>
      </c>
      <c r="AY29" s="178">
        <v>0</v>
      </c>
      <c r="AZ29" s="178">
        <v>38506.82</v>
      </c>
      <c r="BA29" s="178">
        <v>1610.94</v>
      </c>
      <c r="BB29" s="224">
        <f t="shared" si="5"/>
        <v>1689.6600000000035</v>
      </c>
      <c r="BC29" s="224"/>
      <c r="BD29" s="224"/>
      <c r="BE29" s="51"/>
    </row>
    <row r="30" spans="1:57" s="23" customFormat="1" ht="28.5" customHeight="1">
      <c r="A30" s="18"/>
      <c r="B30" s="2">
        <v>24</v>
      </c>
      <c r="C30" s="85" t="s">
        <v>1039</v>
      </c>
      <c r="D30" s="86">
        <v>14309</v>
      </c>
      <c r="E30" s="86"/>
      <c r="F30" s="5" t="s">
        <v>609</v>
      </c>
      <c r="G30" s="10" t="s">
        <v>648</v>
      </c>
      <c r="H30" s="5" t="s">
        <v>1379</v>
      </c>
      <c r="I30" s="195" t="s">
        <v>850</v>
      </c>
      <c r="J30" s="3">
        <v>2021</v>
      </c>
      <c r="K30" s="5">
        <v>44377</v>
      </c>
      <c r="L30" s="42"/>
      <c r="M30" s="15">
        <f t="shared" ca="1" si="3"/>
        <v>-1377.4066194444458</v>
      </c>
      <c r="N30" s="3" t="s">
        <v>176</v>
      </c>
      <c r="O30" s="13" t="s">
        <v>982</v>
      </c>
      <c r="P30" s="13" t="s">
        <v>980</v>
      </c>
      <c r="Q30" s="41" t="s">
        <v>666</v>
      </c>
      <c r="R30" s="5" t="s">
        <v>474</v>
      </c>
      <c r="S30" s="10" t="s">
        <v>1040</v>
      </c>
      <c r="T30" s="3" t="s">
        <v>185</v>
      </c>
      <c r="U30" s="83" t="s">
        <v>462</v>
      </c>
      <c r="V30" s="224">
        <v>5100</v>
      </c>
      <c r="W30" s="83"/>
      <c r="X30" s="151"/>
      <c r="Y30" s="83" t="s">
        <v>1309</v>
      </c>
      <c r="Z30" s="181">
        <f t="shared" si="4"/>
        <v>5225.4500000000007</v>
      </c>
      <c r="AA30" s="158"/>
      <c r="AB30" s="158"/>
      <c r="AC30" s="158"/>
      <c r="AD30" s="158"/>
      <c r="AE30" s="158"/>
      <c r="AF30" s="158"/>
      <c r="AG30" s="158"/>
      <c r="AH30" s="158">
        <v>3526.6900000000005</v>
      </c>
      <c r="AI30" s="158"/>
      <c r="AJ30" s="158">
        <v>866.05</v>
      </c>
      <c r="AK30" s="158"/>
      <c r="AL30" s="158">
        <v>832.71</v>
      </c>
      <c r="AM30" s="273">
        <f t="shared" si="6"/>
        <v>0</v>
      </c>
      <c r="AN30" s="272"/>
      <c r="AO30" s="304"/>
      <c r="AP30" s="303"/>
      <c r="AQ30" s="272"/>
      <c r="AR30" s="272">
        <v>-5225.45</v>
      </c>
      <c r="AS30" s="272"/>
      <c r="AT30" s="142"/>
      <c r="AU30" s="206"/>
      <c r="AV30" s="178">
        <v>5211.3999999999996</v>
      </c>
      <c r="AW30" s="178">
        <v>5225.45</v>
      </c>
      <c r="AX30" s="178">
        <v>0</v>
      </c>
      <c r="AY30" s="178">
        <v>0</v>
      </c>
      <c r="AZ30" s="178">
        <v>5225.45</v>
      </c>
      <c r="BA30" s="178">
        <v>-14.05</v>
      </c>
      <c r="BB30" s="224">
        <f t="shared" si="5"/>
        <v>-14.050000000001091</v>
      </c>
      <c r="BC30" s="224"/>
      <c r="BD30" s="224"/>
      <c r="BE30" s="51"/>
    </row>
    <row r="31" spans="1:57" s="23" customFormat="1" ht="28.5" customHeight="1">
      <c r="A31" s="18"/>
      <c r="B31" s="2">
        <v>25</v>
      </c>
      <c r="C31" s="85" t="s">
        <v>1042</v>
      </c>
      <c r="D31" s="86">
        <v>10611</v>
      </c>
      <c r="E31" s="86"/>
      <c r="F31" s="5" t="s">
        <v>609</v>
      </c>
      <c r="G31" s="10" t="s">
        <v>1380</v>
      </c>
      <c r="H31" s="5" t="s">
        <v>1381</v>
      </c>
      <c r="I31" s="195" t="s">
        <v>850</v>
      </c>
      <c r="J31" s="3">
        <v>2021</v>
      </c>
      <c r="K31" s="5">
        <v>44382</v>
      </c>
      <c r="L31" s="42"/>
      <c r="M31" s="15">
        <f t="shared" ca="1" si="3"/>
        <v>-1372.4066194444458</v>
      </c>
      <c r="N31" s="3" t="s">
        <v>176</v>
      </c>
      <c r="O31" s="13" t="s">
        <v>982</v>
      </c>
      <c r="P31" s="13"/>
      <c r="Q31" s="41" t="s">
        <v>1045</v>
      </c>
      <c r="R31" s="5" t="s">
        <v>480</v>
      </c>
      <c r="S31" s="10" t="s">
        <v>1046</v>
      </c>
      <c r="T31" s="85" t="s">
        <v>186</v>
      </c>
      <c r="U31" s="83" t="s">
        <v>462</v>
      </c>
      <c r="V31" s="224">
        <v>30000</v>
      </c>
      <c r="W31" s="83"/>
      <c r="X31" s="119"/>
      <c r="Y31" s="83"/>
      <c r="Z31" s="181">
        <f t="shared" si="4"/>
        <v>24034.809999999998</v>
      </c>
      <c r="AA31" s="158"/>
      <c r="AB31" s="158"/>
      <c r="AC31" s="158"/>
      <c r="AD31" s="158"/>
      <c r="AE31" s="158"/>
      <c r="AF31" s="158"/>
      <c r="AG31" s="158"/>
      <c r="AH31" s="158"/>
      <c r="AI31" s="158"/>
      <c r="AJ31" s="158"/>
      <c r="AK31" s="158">
        <v>24034.809999999998</v>
      </c>
      <c r="AL31" s="158"/>
      <c r="AM31" s="273">
        <f t="shared" si="6"/>
        <v>0</v>
      </c>
      <c r="AN31" s="272"/>
      <c r="AO31" s="304"/>
      <c r="AP31" s="303"/>
      <c r="AQ31" s="272"/>
      <c r="AR31" s="272"/>
      <c r="AS31" s="272"/>
      <c r="AT31" s="142"/>
      <c r="AU31" s="206"/>
      <c r="AV31" s="178">
        <v>24034.81</v>
      </c>
      <c r="AW31" s="178">
        <v>24034.81</v>
      </c>
      <c r="AX31" s="178">
        <v>0</v>
      </c>
      <c r="AY31" s="178">
        <v>0</v>
      </c>
      <c r="AZ31" s="178">
        <v>24034.81</v>
      </c>
      <c r="BA31" s="178">
        <v>0</v>
      </c>
      <c r="BB31" s="224">
        <f t="shared" si="5"/>
        <v>0</v>
      </c>
      <c r="BC31" s="224"/>
      <c r="BD31" s="224"/>
      <c r="BE31" s="51"/>
    </row>
    <row r="32" spans="1:57" s="23" customFormat="1" ht="28.5" customHeight="1">
      <c r="A32" s="18"/>
      <c r="B32" s="2">
        <v>26</v>
      </c>
      <c r="C32" s="85" t="s">
        <v>1043</v>
      </c>
      <c r="D32" s="86">
        <v>3278</v>
      </c>
      <c r="E32" s="86"/>
      <c r="F32" s="5" t="s">
        <v>609</v>
      </c>
      <c r="G32" s="10" t="s">
        <v>1380</v>
      </c>
      <c r="H32" s="5" t="s">
        <v>1381</v>
      </c>
      <c r="I32" s="195" t="s">
        <v>850</v>
      </c>
      <c r="J32" s="3">
        <v>2021</v>
      </c>
      <c r="K32" s="5">
        <v>44382</v>
      </c>
      <c r="L32" s="42"/>
      <c r="M32" s="15">
        <f t="shared" ca="1" si="3"/>
        <v>-1372.4066194444458</v>
      </c>
      <c r="N32" s="3" t="s">
        <v>176</v>
      </c>
      <c r="O32" s="13" t="s">
        <v>222</v>
      </c>
      <c r="P32" s="13" t="s">
        <v>979</v>
      </c>
      <c r="Q32" s="41" t="s">
        <v>1048</v>
      </c>
      <c r="R32" s="5" t="s">
        <v>474</v>
      </c>
      <c r="S32" s="10" t="s">
        <v>1047</v>
      </c>
      <c r="T32" s="86" t="s">
        <v>316</v>
      </c>
      <c r="U32" s="83" t="s">
        <v>462</v>
      </c>
      <c r="V32" s="224">
        <v>21830</v>
      </c>
      <c r="W32" s="83"/>
      <c r="X32" s="151" t="s">
        <v>1525</v>
      </c>
      <c r="Y32" s="151"/>
      <c r="Z32" s="181">
        <f t="shared" si="4"/>
        <v>15337.99</v>
      </c>
      <c r="AA32" s="158"/>
      <c r="AB32" s="158"/>
      <c r="AC32" s="158"/>
      <c r="AD32" s="158"/>
      <c r="AE32" s="158"/>
      <c r="AF32" s="158"/>
      <c r="AG32" s="158"/>
      <c r="AH32" s="158"/>
      <c r="AI32" s="158"/>
      <c r="AJ32" s="158">
        <v>2392.6799999999998</v>
      </c>
      <c r="AK32" s="158"/>
      <c r="AL32" s="158">
        <v>12945.31</v>
      </c>
      <c r="AM32" s="273">
        <f t="shared" si="6"/>
        <v>4.2919600000000004</v>
      </c>
      <c r="AN32" s="272">
        <v>4817.38</v>
      </c>
      <c r="AO32" s="304">
        <v>4.2919600000000004</v>
      </c>
      <c r="AP32" s="303">
        <v>4.2919600000000004</v>
      </c>
      <c r="AQ32" s="272"/>
      <c r="AR32" s="272"/>
      <c r="AS32" s="272"/>
      <c r="AT32" s="142"/>
      <c r="AU32" s="245" t="s">
        <v>1301</v>
      </c>
      <c r="AV32" s="178">
        <v>19903.439999999999</v>
      </c>
      <c r="AW32" s="178">
        <v>19629.95</v>
      </c>
      <c r="AX32" s="178">
        <v>0</v>
      </c>
      <c r="AY32" s="178">
        <v>0</v>
      </c>
      <c r="AZ32" s="178">
        <v>19629.95</v>
      </c>
      <c r="BA32" s="178">
        <v>273.49</v>
      </c>
      <c r="BB32" s="224">
        <f t="shared" si="5"/>
        <v>4561.1580399999984</v>
      </c>
      <c r="BC32" s="224"/>
      <c r="BD32" s="224"/>
      <c r="BE32" s="51"/>
    </row>
    <row r="33" spans="1:57" s="23" customFormat="1" ht="28.5" customHeight="1">
      <c r="A33" s="18"/>
      <c r="B33" s="2">
        <v>27</v>
      </c>
      <c r="C33" s="85" t="s">
        <v>1044</v>
      </c>
      <c r="D33" s="86">
        <v>14440</v>
      </c>
      <c r="E33" s="86"/>
      <c r="F33" s="5" t="s">
        <v>609</v>
      </c>
      <c r="G33" s="151" t="s">
        <v>1380</v>
      </c>
      <c r="H33" s="5" t="s">
        <v>1381</v>
      </c>
      <c r="I33" s="195" t="s">
        <v>850</v>
      </c>
      <c r="J33" s="3">
        <v>2021</v>
      </c>
      <c r="K33" s="5">
        <v>44382</v>
      </c>
      <c r="L33" s="42"/>
      <c r="M33" s="15">
        <f t="shared" ca="1" si="3"/>
        <v>-1372.4066194444458</v>
      </c>
      <c r="N33" s="3" t="s">
        <v>176</v>
      </c>
      <c r="O33" s="13" t="s">
        <v>5</v>
      </c>
      <c r="P33" s="13"/>
      <c r="Q33" s="41" t="s">
        <v>763</v>
      </c>
      <c r="R33" s="5" t="s">
        <v>480</v>
      </c>
      <c r="S33" s="10" t="s">
        <v>1049</v>
      </c>
      <c r="T33" s="86" t="s">
        <v>186</v>
      </c>
      <c r="U33" s="83" t="s">
        <v>462</v>
      </c>
      <c r="V33" s="224">
        <v>15200</v>
      </c>
      <c r="W33" s="83"/>
      <c r="X33" s="151"/>
      <c r="Y33" s="151"/>
      <c r="Z33" s="181">
        <f t="shared" si="4"/>
        <v>14568.22</v>
      </c>
      <c r="AA33" s="158"/>
      <c r="AB33" s="158"/>
      <c r="AC33" s="158"/>
      <c r="AD33" s="158"/>
      <c r="AE33" s="158"/>
      <c r="AF33" s="158"/>
      <c r="AG33" s="158"/>
      <c r="AH33" s="158"/>
      <c r="AI33" s="158">
        <v>12462.56</v>
      </c>
      <c r="AJ33" s="158"/>
      <c r="AK33" s="158"/>
      <c r="AL33" s="158">
        <v>2105.66</v>
      </c>
      <c r="AM33" s="273">
        <f t="shared" si="6"/>
        <v>0</v>
      </c>
      <c r="AN33" s="272"/>
      <c r="AO33" s="304"/>
      <c r="AP33" s="303"/>
      <c r="AQ33" s="272"/>
      <c r="AR33" s="272"/>
      <c r="AS33" s="272"/>
      <c r="AT33" s="142"/>
      <c r="AU33" s="206"/>
      <c r="AV33" s="178">
        <v>14730.87</v>
      </c>
      <c r="AW33" s="178">
        <v>14568.22</v>
      </c>
      <c r="AX33" s="178">
        <v>0</v>
      </c>
      <c r="AY33" s="178">
        <v>0</v>
      </c>
      <c r="AZ33" s="178">
        <v>14568.22</v>
      </c>
      <c r="BA33" s="178">
        <v>162.65</v>
      </c>
      <c r="BB33" s="224">
        <f t="shared" si="5"/>
        <v>162.65000000000146</v>
      </c>
      <c r="BC33" s="224"/>
      <c r="BD33" s="224"/>
      <c r="BE33" s="51"/>
    </row>
    <row r="34" spans="1:57" s="23" customFormat="1" ht="28.5" customHeight="1">
      <c r="A34" s="18"/>
      <c r="B34" s="2">
        <v>28</v>
      </c>
      <c r="C34" s="85" t="s">
        <v>1089</v>
      </c>
      <c r="D34" s="86">
        <v>18460</v>
      </c>
      <c r="E34" s="86"/>
      <c r="F34" s="5" t="s">
        <v>1376</v>
      </c>
      <c r="G34" s="151" t="s">
        <v>1377</v>
      </c>
      <c r="H34" s="5" t="s">
        <v>1378</v>
      </c>
      <c r="I34" s="195"/>
      <c r="J34" s="3">
        <v>2021</v>
      </c>
      <c r="K34" s="5">
        <v>44473</v>
      </c>
      <c r="L34" s="42"/>
      <c r="M34" s="15">
        <f t="shared" ca="1" si="3"/>
        <v>-1281.4066194444458</v>
      </c>
      <c r="N34" s="3" t="s">
        <v>176</v>
      </c>
      <c r="O34" s="13" t="s">
        <v>222</v>
      </c>
      <c r="P34" s="13" t="s">
        <v>958</v>
      </c>
      <c r="Q34" s="41" t="s">
        <v>1097</v>
      </c>
      <c r="R34" s="5" t="s">
        <v>474</v>
      </c>
      <c r="S34" s="10" t="s">
        <v>1098</v>
      </c>
      <c r="T34" s="3" t="s">
        <v>187</v>
      </c>
      <c r="U34" s="83" t="s">
        <v>462</v>
      </c>
      <c r="V34" s="224"/>
      <c r="W34" s="83"/>
      <c r="X34" s="151" t="s">
        <v>1527</v>
      </c>
      <c r="Y34" s="151"/>
      <c r="Z34" s="181">
        <f t="shared" si="4"/>
        <v>25099.81</v>
      </c>
      <c r="AA34" s="158"/>
      <c r="AB34" s="158"/>
      <c r="AC34" s="158"/>
      <c r="AD34" s="158"/>
      <c r="AE34" s="158"/>
      <c r="AF34" s="158"/>
      <c r="AG34" s="158"/>
      <c r="AH34" s="158"/>
      <c r="AI34" s="158"/>
      <c r="AJ34" s="158"/>
      <c r="AK34" s="158"/>
      <c r="AL34" s="158">
        <v>25099.81</v>
      </c>
      <c r="AM34" s="273">
        <f t="shared" si="6"/>
        <v>406.05567000000002</v>
      </c>
      <c r="AN34" s="272">
        <f>847+7300</f>
        <v>8147</v>
      </c>
      <c r="AO34" s="304">
        <v>6.0556699999999992</v>
      </c>
      <c r="AP34" s="303">
        <v>6.0556699999999992</v>
      </c>
      <c r="AQ34" s="272">
        <v>400</v>
      </c>
      <c r="AR34" s="272"/>
      <c r="AS34" s="272"/>
      <c r="AT34" s="142"/>
      <c r="AU34" s="206" t="s">
        <v>1269</v>
      </c>
      <c r="AV34" s="178">
        <v>29198.58</v>
      </c>
      <c r="AW34" s="178">
        <v>31461.61</v>
      </c>
      <c r="AX34" s="178">
        <v>160.19</v>
      </c>
      <c r="AY34" s="178">
        <v>0</v>
      </c>
      <c r="AZ34" s="178">
        <v>31621.8</v>
      </c>
      <c r="BA34" s="178">
        <v>-2423.2199999999998</v>
      </c>
      <c r="BB34" s="224">
        <f t="shared" si="5"/>
        <v>3692.7143299999989</v>
      </c>
      <c r="BC34" s="224"/>
      <c r="BD34" s="224"/>
      <c r="BE34" s="51"/>
    </row>
    <row r="35" spans="1:57" s="23" customFormat="1" ht="28.5" customHeight="1">
      <c r="A35" s="18"/>
      <c r="B35" s="2">
        <v>29</v>
      </c>
      <c r="C35" s="85" t="s">
        <v>1090</v>
      </c>
      <c r="D35" s="86"/>
      <c r="E35" s="86"/>
      <c r="F35" s="5" t="s">
        <v>1376</v>
      </c>
      <c r="G35" s="10" t="s">
        <v>1383</v>
      </c>
      <c r="H35" s="5" t="s">
        <v>1384</v>
      </c>
      <c r="I35" s="195"/>
      <c r="J35" s="3">
        <v>2021</v>
      </c>
      <c r="K35" s="5">
        <v>44413</v>
      </c>
      <c r="L35" s="42"/>
      <c r="M35" s="15">
        <f t="shared" ca="1" si="3"/>
        <v>-1341.4066194444458</v>
      </c>
      <c r="N35" s="3" t="s">
        <v>176</v>
      </c>
      <c r="O35" s="13" t="s">
        <v>5</v>
      </c>
      <c r="P35" s="13" t="s">
        <v>952</v>
      </c>
      <c r="Q35" s="41"/>
      <c r="R35" s="5" t="s">
        <v>474</v>
      </c>
      <c r="S35" s="10" t="s">
        <v>1091</v>
      </c>
      <c r="T35" s="41" t="s">
        <v>183</v>
      </c>
      <c r="U35" s="83" t="s">
        <v>219</v>
      </c>
      <c r="V35" s="224"/>
      <c r="W35" s="125"/>
      <c r="X35" s="152" t="s">
        <v>1529</v>
      </c>
      <c r="Y35" s="151"/>
      <c r="Z35" s="181">
        <f t="shared" si="4"/>
        <v>18797.439999999999</v>
      </c>
      <c r="AA35" s="158"/>
      <c r="AB35" s="158"/>
      <c r="AC35" s="158"/>
      <c r="AD35" s="158"/>
      <c r="AE35" s="158"/>
      <c r="AF35" s="158"/>
      <c r="AG35" s="158"/>
      <c r="AH35" s="158"/>
      <c r="AI35" s="158"/>
      <c r="AJ35" s="158"/>
      <c r="AK35" s="158"/>
      <c r="AL35" s="158">
        <v>18797.439999999999</v>
      </c>
      <c r="AM35" s="273">
        <f t="shared" si="6"/>
        <v>20515.185300000001</v>
      </c>
      <c r="AN35" s="272">
        <v>20580</v>
      </c>
      <c r="AO35" s="304">
        <v>-5.3846999999999996</v>
      </c>
      <c r="AP35" s="303">
        <v>-5.3846999999999996</v>
      </c>
      <c r="AQ35" s="272">
        <v>20520.57</v>
      </c>
      <c r="AR35" s="272">
        <v>-537.41</v>
      </c>
      <c r="AS35" s="272">
        <v>488.48</v>
      </c>
      <c r="AT35" s="142"/>
      <c r="AU35" s="206" t="s">
        <v>1302</v>
      </c>
      <c r="AV35" s="178">
        <v>39400.550000000003</v>
      </c>
      <c r="AW35" s="178">
        <v>13412.74</v>
      </c>
      <c r="AX35" s="178">
        <v>20110.5</v>
      </c>
      <c r="AY35" s="178">
        <v>0</v>
      </c>
      <c r="AZ35" s="178">
        <v>33523.24</v>
      </c>
      <c r="BA35" s="178">
        <v>5877.31</v>
      </c>
      <c r="BB35" s="224">
        <f t="shared" si="5"/>
        <v>87.924700000003213</v>
      </c>
      <c r="BC35" s="224"/>
      <c r="BD35" s="224"/>
      <c r="BE35" s="51"/>
    </row>
    <row r="36" spans="1:57" s="23" customFormat="1" ht="28.5" customHeight="1">
      <c r="A36" s="18"/>
      <c r="B36" s="2">
        <v>30</v>
      </c>
      <c r="C36" s="85" t="s">
        <v>1306</v>
      </c>
      <c r="D36" s="86">
        <v>16080</v>
      </c>
      <c r="E36" s="86"/>
      <c r="F36" s="5" t="s">
        <v>609</v>
      </c>
      <c r="G36" s="10" t="s">
        <v>1385</v>
      </c>
      <c r="H36" s="5" t="s">
        <v>1386</v>
      </c>
      <c r="I36" s="195"/>
      <c r="J36" s="3">
        <v>2021</v>
      </c>
      <c r="K36" s="5">
        <v>44490</v>
      </c>
      <c r="L36" s="42"/>
      <c r="M36" s="15">
        <f t="shared" ca="1" si="3"/>
        <v>-1264.4066194444458</v>
      </c>
      <c r="N36" s="3" t="s">
        <v>176</v>
      </c>
      <c r="O36" s="13" t="s">
        <v>5</v>
      </c>
      <c r="P36" s="13" t="s">
        <v>952</v>
      </c>
      <c r="Q36" s="41" t="s">
        <v>772</v>
      </c>
      <c r="R36" s="5" t="s">
        <v>480</v>
      </c>
      <c r="S36" s="10" t="s">
        <v>1305</v>
      </c>
      <c r="T36" s="3" t="s">
        <v>187</v>
      </c>
      <c r="U36" s="83" t="s">
        <v>557</v>
      </c>
      <c r="V36" s="224"/>
      <c r="W36" s="125"/>
      <c r="X36" s="201"/>
      <c r="Y36" s="151"/>
      <c r="Z36" s="181">
        <f t="shared" si="4"/>
        <v>-11.730000000000018</v>
      </c>
      <c r="AA36" s="158"/>
      <c r="AB36" s="158"/>
      <c r="AC36" s="158"/>
      <c r="AD36" s="158"/>
      <c r="AE36" s="158"/>
      <c r="AF36" s="158"/>
      <c r="AG36" s="158"/>
      <c r="AH36" s="158"/>
      <c r="AI36" s="158"/>
      <c r="AJ36" s="158"/>
      <c r="AK36" s="158">
        <v>2237.4699999999998</v>
      </c>
      <c r="AL36" s="158">
        <v>-2249.1999999999998</v>
      </c>
      <c r="AM36" s="273">
        <f t="shared" si="6"/>
        <v>1.1730000000000001E-2</v>
      </c>
      <c r="AN36" s="272"/>
      <c r="AO36" s="304">
        <v>1.1730000000000001E-2</v>
      </c>
      <c r="AP36" s="303">
        <v>1.1730000000000001E-2</v>
      </c>
      <c r="AQ36" s="272"/>
      <c r="AR36" s="272"/>
      <c r="AS36" s="272"/>
      <c r="AT36" s="142"/>
      <c r="AU36" s="206"/>
      <c r="AV36" s="178">
        <v>2237.4699999999998</v>
      </c>
      <c r="AW36" s="178">
        <v>0</v>
      </c>
      <c r="AX36" s="178">
        <v>0</v>
      </c>
      <c r="AY36" s="178">
        <v>0</v>
      </c>
      <c r="AZ36" s="178">
        <v>0</v>
      </c>
      <c r="BA36" s="178">
        <v>2237.4699999999998</v>
      </c>
      <c r="BB36" s="224">
        <f t="shared" si="5"/>
        <v>2249.1882699999996</v>
      </c>
      <c r="BC36" s="224"/>
      <c r="BD36" s="224"/>
      <c r="BE36" s="51"/>
    </row>
    <row r="37" spans="1:57" s="23" customFormat="1" ht="28.5" customHeight="1">
      <c r="A37" s="18"/>
      <c r="B37" s="2">
        <v>31</v>
      </c>
      <c r="C37" s="85" t="s">
        <v>1328</v>
      </c>
      <c r="D37" s="86">
        <v>25855</v>
      </c>
      <c r="E37" s="86"/>
      <c r="F37" s="5" t="s">
        <v>1376</v>
      </c>
      <c r="G37" s="10" t="s">
        <v>1383</v>
      </c>
      <c r="H37" s="5" t="s">
        <v>483</v>
      </c>
      <c r="I37" s="195"/>
      <c r="J37" s="3">
        <v>2021</v>
      </c>
      <c r="K37" s="5">
        <v>44490</v>
      </c>
      <c r="L37" s="42"/>
      <c r="M37" s="15">
        <f t="shared" ca="1" si="3"/>
        <v>-1264.4066194444458</v>
      </c>
      <c r="N37" s="3" t="s">
        <v>176</v>
      </c>
      <c r="O37" s="13" t="s">
        <v>5</v>
      </c>
      <c r="P37" s="13" t="s">
        <v>952</v>
      </c>
      <c r="Q37" s="41" t="s">
        <v>772</v>
      </c>
      <c r="R37" s="5" t="s">
        <v>480</v>
      </c>
      <c r="S37" s="10" t="s">
        <v>1329</v>
      </c>
      <c r="T37" s="3" t="s">
        <v>187</v>
      </c>
      <c r="U37" s="83" t="s">
        <v>462</v>
      </c>
      <c r="V37" s="224"/>
      <c r="W37" s="125"/>
      <c r="X37" s="201"/>
      <c r="Y37" s="151"/>
      <c r="Z37" s="181">
        <f t="shared" si="4"/>
        <v>26688.18</v>
      </c>
      <c r="AA37" s="158"/>
      <c r="AB37" s="158"/>
      <c r="AC37" s="158"/>
      <c r="AD37" s="158"/>
      <c r="AE37" s="158"/>
      <c r="AF37" s="158"/>
      <c r="AG37" s="158"/>
      <c r="AH37" s="158"/>
      <c r="AI37" s="158"/>
      <c r="AJ37" s="158"/>
      <c r="AK37" s="158">
        <v>11327.31</v>
      </c>
      <c r="AL37" s="158">
        <v>15360.87</v>
      </c>
      <c r="AM37" s="273">
        <f t="shared" si="6"/>
        <v>0</v>
      </c>
      <c r="AN37" s="272"/>
      <c r="AO37" s="304"/>
      <c r="AP37" s="303"/>
      <c r="AQ37" s="272"/>
      <c r="AR37" s="272"/>
      <c r="AS37" s="272"/>
      <c r="AT37" s="142"/>
      <c r="AU37" s="206"/>
      <c r="AV37" s="178">
        <v>30204.57</v>
      </c>
      <c r="AW37" s="178">
        <v>26688.18</v>
      </c>
      <c r="AX37" s="178">
        <v>0</v>
      </c>
      <c r="AY37" s="178">
        <v>0</v>
      </c>
      <c r="AZ37" s="178">
        <v>26688.18</v>
      </c>
      <c r="BA37" s="178">
        <v>3516.39</v>
      </c>
      <c r="BB37" s="224">
        <f t="shared" si="5"/>
        <v>3516.3899999999994</v>
      </c>
      <c r="BC37" s="224"/>
      <c r="BD37" s="224"/>
      <c r="BE37" s="51"/>
    </row>
    <row r="38" spans="1:57" s="23" customFormat="1" ht="28.5" customHeight="1">
      <c r="A38" s="18"/>
      <c r="B38" s="2">
        <v>32</v>
      </c>
      <c r="C38" s="85" t="s">
        <v>1389</v>
      </c>
      <c r="D38" s="86">
        <v>705</v>
      </c>
      <c r="E38" s="86"/>
      <c r="F38" s="5" t="s">
        <v>1376</v>
      </c>
      <c r="G38" s="151" t="s">
        <v>1377</v>
      </c>
      <c r="H38" s="5" t="s">
        <v>1378</v>
      </c>
      <c r="I38" s="195"/>
      <c r="J38" s="3">
        <v>2021</v>
      </c>
      <c r="K38" s="5">
        <v>44539</v>
      </c>
      <c r="L38" s="42"/>
      <c r="M38" s="15">
        <f t="shared" ca="1" si="3"/>
        <v>-1217.4066194444458</v>
      </c>
      <c r="N38" s="3" t="s">
        <v>176</v>
      </c>
      <c r="O38" s="13" t="s">
        <v>224</v>
      </c>
      <c r="P38" s="13" t="s">
        <v>956</v>
      </c>
      <c r="Q38" s="41" t="s">
        <v>668</v>
      </c>
      <c r="R38" s="5" t="s">
        <v>1125</v>
      </c>
      <c r="S38" s="10" t="s">
        <v>1390</v>
      </c>
      <c r="T38" s="3" t="s">
        <v>187</v>
      </c>
      <c r="U38" s="83" t="s">
        <v>462</v>
      </c>
      <c r="V38" s="224"/>
      <c r="W38" s="125"/>
      <c r="X38" s="201"/>
      <c r="Y38" s="151"/>
      <c r="Z38" s="181">
        <f t="shared" si="4"/>
        <v>19614.099999999999</v>
      </c>
      <c r="AA38" s="158"/>
      <c r="AB38" s="158"/>
      <c r="AC38" s="158"/>
      <c r="AD38" s="158"/>
      <c r="AE38" s="158"/>
      <c r="AF38" s="158"/>
      <c r="AG38" s="158"/>
      <c r="AH38" s="158"/>
      <c r="AI38" s="158"/>
      <c r="AJ38" s="158"/>
      <c r="AK38" s="158"/>
      <c r="AL38" s="158">
        <v>19614.099999999999</v>
      </c>
      <c r="AM38" s="273">
        <f t="shared" si="6"/>
        <v>-0.41820999999999997</v>
      </c>
      <c r="AN38" s="272"/>
      <c r="AO38" s="304">
        <v>-0.41820999999999997</v>
      </c>
      <c r="AP38" s="303">
        <v>-0.41820999999999997</v>
      </c>
      <c r="AQ38" s="272"/>
      <c r="AR38" s="272">
        <v>1319.11</v>
      </c>
      <c r="AS38" s="272"/>
      <c r="AT38" s="142"/>
      <c r="AU38" s="206"/>
      <c r="AV38" s="178">
        <v>22522.39</v>
      </c>
      <c r="AW38" s="178">
        <v>18885.689999999999</v>
      </c>
      <c r="AX38" s="178">
        <v>0</v>
      </c>
      <c r="AY38" s="178">
        <v>0</v>
      </c>
      <c r="AZ38" s="178">
        <v>18885.689999999999</v>
      </c>
      <c r="BA38" s="178">
        <v>3636.7</v>
      </c>
      <c r="BB38" s="224">
        <f t="shared" si="5"/>
        <v>2908.7082100000007</v>
      </c>
      <c r="BC38" s="224"/>
      <c r="BD38" s="224"/>
      <c r="BE38" s="51"/>
    </row>
    <row r="39" spans="1:57" ht="8.9" customHeight="1"/>
  </sheetData>
  <autoFilter ref="A6:BD38" xr:uid="{CD74446D-A8F5-450A-AD8F-C28C300BF54D}"/>
  <mergeCells count="4">
    <mergeCell ref="AA4:AC4"/>
    <mergeCell ref="AD4:AF4"/>
    <mergeCell ref="AG4:AI4"/>
    <mergeCell ref="AJ4:AL4"/>
  </mergeCells>
  <phoneticPr fontId="26" type="noConversion"/>
  <conditionalFormatting sqref="U7 W7">
    <cfRule type="cellIs" dxfId="3125" priority="967" operator="equal">
      <formula>"EM EXECUÇÃO"</formula>
    </cfRule>
    <cfRule type="cellIs" dxfId="3124" priority="968" operator="equal">
      <formula>"CLSD"</formula>
    </cfRule>
    <cfRule type="cellIs" dxfId="3123" priority="969" operator="equal">
      <formula>"TECO"</formula>
    </cfRule>
  </conditionalFormatting>
  <conditionalFormatting sqref="U7 W7">
    <cfRule type="cellIs" dxfId="3122" priority="966" operator="equal">
      <formula>"CANCELADO"</formula>
    </cfRule>
  </conditionalFormatting>
  <conditionalFormatting sqref="M7:M37">
    <cfRule type="cellIs" dxfId="3121" priority="963" operator="greaterThan">
      <formula>365</formula>
    </cfRule>
    <cfRule type="cellIs" dxfId="3120" priority="964" operator="lessThan">
      <formula>-1</formula>
    </cfRule>
    <cfRule type="cellIs" dxfId="3119" priority="965" operator="between">
      <formula>1</formula>
      <formula>365</formula>
    </cfRule>
  </conditionalFormatting>
  <conditionalFormatting sqref="U7 W7">
    <cfRule type="cellIs" dxfId="3118" priority="954" operator="equal">
      <formula>"ENCERRADO"</formula>
    </cfRule>
    <cfRule type="cellIs" dxfId="3117" priority="955" operator="equal">
      <formula>"EM EXECUÇÃO"</formula>
    </cfRule>
    <cfRule type="cellIs" dxfId="3116" priority="956" operator="equal">
      <formula>"CANCELADO"</formula>
    </cfRule>
    <cfRule type="cellIs" dxfId="3115" priority="957" operator="equal">
      <formula>"EM APROVAÇÃO"</formula>
    </cfRule>
    <cfRule type="cellIs" dxfId="3114" priority="958" operator="equal">
      <formula>"EM ESTUDO"</formula>
    </cfRule>
  </conditionalFormatting>
  <conditionalFormatting sqref="X7:Y7 X8:X17">
    <cfRule type="cellIs" dxfId="3113" priority="570" operator="equal">
      <formula>"Behind Schedule"</formula>
    </cfRule>
    <cfRule type="cellIs" dxfId="3112" priority="571" operator="equal">
      <formula>"TBD"</formula>
    </cfRule>
    <cfRule type="cellIs" dxfId="3111" priority="572" operator="equal">
      <formula>"In Progress"</formula>
    </cfRule>
    <cfRule type="cellIs" dxfId="3110" priority="573" operator="equal">
      <formula>"Completed"</formula>
    </cfRule>
  </conditionalFormatting>
  <conditionalFormatting sqref="X19:X20">
    <cfRule type="cellIs" dxfId="3109" priority="562" operator="equal">
      <formula>"Behind Schedule"</formula>
    </cfRule>
    <cfRule type="cellIs" dxfId="3108" priority="563" operator="equal">
      <formula>"TBD"</formula>
    </cfRule>
    <cfRule type="cellIs" dxfId="3107" priority="564" operator="equal">
      <formula>"In Progress"</formula>
    </cfRule>
    <cfRule type="cellIs" dxfId="3106" priority="565" operator="equal">
      <formula>"Completed"</formula>
    </cfRule>
  </conditionalFormatting>
  <conditionalFormatting sqref="X36:X37">
    <cfRule type="cellIs" dxfId="3105" priority="526" operator="equal">
      <formula>"Behind Schedule"</formula>
    </cfRule>
    <cfRule type="cellIs" dxfId="3104" priority="527" operator="equal">
      <formula>"TBD"</formula>
    </cfRule>
    <cfRule type="cellIs" dxfId="3103" priority="528" operator="equal">
      <formula>"In Progress"</formula>
    </cfRule>
    <cfRule type="cellIs" dxfId="3102" priority="529" operator="equal">
      <formula>"Completed"</formula>
    </cfRule>
  </conditionalFormatting>
  <conditionalFormatting sqref="W8:W33 U8:U33">
    <cfRule type="cellIs" dxfId="3101" priority="261" operator="equal">
      <formula>"EM EXECUÇÃO"</formula>
    </cfRule>
    <cfRule type="cellIs" dxfId="3100" priority="262" operator="equal">
      <formula>"CLSD"</formula>
    </cfRule>
    <cfRule type="cellIs" dxfId="3099" priority="263" operator="equal">
      <formula>"TECO"</formula>
    </cfRule>
  </conditionalFormatting>
  <conditionalFormatting sqref="W8:W33 U8:U33">
    <cfRule type="cellIs" dxfId="3098" priority="260" operator="equal">
      <formula>"CANCELADO"</formula>
    </cfRule>
  </conditionalFormatting>
  <conditionalFormatting sqref="W8:W33 U8:U33">
    <cfRule type="cellIs" dxfId="3097" priority="255" operator="equal">
      <formula>"ENCERRADO"</formula>
    </cfRule>
    <cfRule type="cellIs" dxfId="3096" priority="256" operator="equal">
      <formula>"EM EXECUÇÃO"</formula>
    </cfRule>
    <cfRule type="cellIs" dxfId="3095" priority="257" operator="equal">
      <formula>"CANCELADO"</formula>
    </cfRule>
    <cfRule type="cellIs" dxfId="3094" priority="258" operator="equal">
      <formula>"EM APROVAÇÃO"</formula>
    </cfRule>
    <cfRule type="cellIs" dxfId="3093" priority="259" operator="equal">
      <formula>"EM ESTUDO"</formula>
    </cfRule>
  </conditionalFormatting>
  <conditionalFormatting sqref="X26">
    <cfRule type="cellIs" dxfId="3092" priority="243" operator="equal">
      <formula>"Behind Schedule"</formula>
    </cfRule>
    <cfRule type="cellIs" dxfId="3091" priority="244" operator="equal">
      <formula>"TBD"</formula>
    </cfRule>
    <cfRule type="cellIs" dxfId="3090" priority="245" operator="equal">
      <formula>"In Progress"</formula>
    </cfRule>
    <cfRule type="cellIs" dxfId="3089" priority="246" operator="equal">
      <formula>"Completed"</formula>
    </cfRule>
  </conditionalFormatting>
  <conditionalFormatting sqref="X18">
    <cfRule type="cellIs" dxfId="3088" priority="226" operator="equal">
      <formula>"Behind Schedule"</formula>
    </cfRule>
    <cfRule type="cellIs" dxfId="3087" priority="227" operator="equal">
      <formula>"TBD"</formula>
    </cfRule>
    <cfRule type="cellIs" dxfId="3086" priority="228" operator="equal">
      <formula>"In Progress"</formula>
    </cfRule>
    <cfRule type="cellIs" dxfId="3085" priority="229" operator="equal">
      <formula>"Completed"</formula>
    </cfRule>
  </conditionalFormatting>
  <conditionalFormatting sqref="X23">
    <cfRule type="cellIs" dxfId="3084" priority="214" operator="equal">
      <formula>"Behind Schedule"</formula>
    </cfRule>
    <cfRule type="cellIs" dxfId="3083" priority="215" operator="equal">
      <formula>"TBD"</formula>
    </cfRule>
    <cfRule type="cellIs" dxfId="3082" priority="216" operator="equal">
      <formula>"In Progress"</formula>
    </cfRule>
    <cfRule type="cellIs" dxfId="3081" priority="217" operator="equal">
      <formula>"Completed"</formula>
    </cfRule>
  </conditionalFormatting>
  <conditionalFormatting sqref="X25">
    <cfRule type="cellIs" dxfId="3080" priority="206" operator="equal">
      <formula>"Behind Schedule"</formula>
    </cfRule>
    <cfRule type="cellIs" dxfId="3079" priority="207" operator="equal">
      <formula>"TBD"</formula>
    </cfRule>
    <cfRule type="cellIs" dxfId="3078" priority="208" operator="equal">
      <formula>"In Progress"</formula>
    </cfRule>
    <cfRule type="cellIs" dxfId="3077" priority="209" operator="equal">
      <formula>"Completed"</formula>
    </cfRule>
  </conditionalFormatting>
  <conditionalFormatting sqref="X34:X35">
    <cfRule type="cellIs" dxfId="3076" priority="202" operator="equal">
      <formula>"Behind Schedule"</formula>
    </cfRule>
    <cfRule type="cellIs" dxfId="3075" priority="203" operator="equal">
      <formula>"TBD"</formula>
    </cfRule>
    <cfRule type="cellIs" dxfId="3074" priority="204" operator="equal">
      <formula>"In Progress"</formula>
    </cfRule>
    <cfRule type="cellIs" dxfId="3073" priority="205" operator="equal">
      <formula>"Completed"</formula>
    </cfRule>
  </conditionalFormatting>
  <conditionalFormatting sqref="X27 X29:X33">
    <cfRule type="cellIs" dxfId="3072" priority="198" operator="equal">
      <formula>"Behind Schedule"</formula>
    </cfRule>
    <cfRule type="cellIs" dxfId="3071" priority="199" operator="equal">
      <formula>"TBD"</formula>
    </cfRule>
    <cfRule type="cellIs" dxfId="3070" priority="200" operator="equal">
      <formula>"In Progress"</formula>
    </cfRule>
    <cfRule type="cellIs" dxfId="3069" priority="201" operator="equal">
      <formula>"Completed"</formula>
    </cfRule>
  </conditionalFormatting>
  <conditionalFormatting sqref="X24">
    <cfRule type="cellIs" dxfId="3068" priority="194" operator="equal">
      <formula>"Behind Schedule"</formula>
    </cfRule>
    <cfRule type="cellIs" dxfId="3067" priority="195" operator="equal">
      <formula>"TBD"</formula>
    </cfRule>
    <cfRule type="cellIs" dxfId="3066" priority="196" operator="equal">
      <formula>"In Progress"</formula>
    </cfRule>
    <cfRule type="cellIs" dxfId="3065" priority="197" operator="equal">
      <formula>"Completed"</formula>
    </cfRule>
  </conditionalFormatting>
  <conditionalFormatting sqref="U35 W34:W35">
    <cfRule type="cellIs" dxfId="3064" priority="182" operator="equal">
      <formula>"EM EXECUÇÃO"</formula>
    </cfRule>
    <cfRule type="cellIs" dxfId="3063" priority="183" operator="equal">
      <formula>"CLSD"</formula>
    </cfRule>
    <cfRule type="cellIs" dxfId="3062" priority="184" operator="equal">
      <formula>"TECO"</formula>
    </cfRule>
  </conditionalFormatting>
  <conditionalFormatting sqref="U35 W34:W35">
    <cfRule type="cellIs" dxfId="3061" priority="181" operator="equal">
      <formula>"CANCELADO"</formula>
    </cfRule>
  </conditionalFormatting>
  <conditionalFormatting sqref="U35 W34:W35">
    <cfRule type="cellIs" dxfId="3060" priority="176" operator="equal">
      <formula>"ENCERRADO"</formula>
    </cfRule>
    <cfRule type="cellIs" dxfId="3059" priority="177" operator="equal">
      <formula>"EM EXECUÇÃO"</formula>
    </cfRule>
    <cfRule type="cellIs" dxfId="3058" priority="178" operator="equal">
      <formula>"CANCELADO"</formula>
    </cfRule>
    <cfRule type="cellIs" dxfId="3057" priority="179" operator="equal">
      <formula>"EM APROVAÇÃO"</formula>
    </cfRule>
    <cfRule type="cellIs" dxfId="3056" priority="180" operator="equal">
      <formula>"EM ESTUDO"</formula>
    </cfRule>
  </conditionalFormatting>
  <conditionalFormatting sqref="W36:W37">
    <cfRule type="cellIs" dxfId="3055" priority="173" operator="equal">
      <formula>"EM EXECUÇÃO"</formula>
    </cfRule>
    <cfRule type="cellIs" dxfId="3054" priority="174" operator="equal">
      <formula>"CLSD"</formula>
    </cfRule>
    <cfRule type="cellIs" dxfId="3053" priority="175" operator="equal">
      <formula>"TECO"</formula>
    </cfRule>
  </conditionalFormatting>
  <conditionalFormatting sqref="W36:W37">
    <cfRule type="cellIs" dxfId="3052" priority="172" operator="equal">
      <formula>"CANCELADO"</formula>
    </cfRule>
  </conditionalFormatting>
  <conditionalFormatting sqref="W36:W37">
    <cfRule type="cellIs" dxfId="3051" priority="167" operator="equal">
      <formula>"ENCERRADO"</formula>
    </cfRule>
    <cfRule type="cellIs" dxfId="3050" priority="168" operator="equal">
      <formula>"EM EXECUÇÃO"</formula>
    </cfRule>
    <cfRule type="cellIs" dxfId="3049" priority="169" operator="equal">
      <formula>"CANCELADO"</formula>
    </cfRule>
    <cfRule type="cellIs" dxfId="3048" priority="170" operator="equal">
      <formula>"EM APROVAÇÃO"</formula>
    </cfRule>
    <cfRule type="cellIs" dxfId="3047" priority="171" operator="equal">
      <formula>"EM ESTUDO"</formula>
    </cfRule>
  </conditionalFormatting>
  <conditionalFormatting sqref="X28">
    <cfRule type="cellIs" dxfId="3046" priority="159" operator="equal">
      <formula>"Behind Schedule"</formula>
    </cfRule>
    <cfRule type="cellIs" dxfId="3045" priority="160" operator="equal">
      <formula>"TBD"</formula>
    </cfRule>
    <cfRule type="cellIs" dxfId="3044" priority="161" operator="equal">
      <formula>"In Progress"</formula>
    </cfRule>
    <cfRule type="cellIs" dxfId="3043" priority="162" operator="equal">
      <formula>"Completed"</formula>
    </cfRule>
  </conditionalFormatting>
  <conditionalFormatting sqref="X22">
    <cfRule type="cellIs" dxfId="3042" priority="155" operator="equal">
      <formula>"Behind Schedule"</formula>
    </cfRule>
    <cfRule type="cellIs" dxfId="3041" priority="156" operator="equal">
      <formula>"TBD"</formula>
    </cfRule>
    <cfRule type="cellIs" dxfId="3040" priority="157" operator="equal">
      <formula>"In Progress"</formula>
    </cfRule>
    <cfRule type="cellIs" dxfId="3039" priority="158" operator="equal">
      <formula>"Completed"</formula>
    </cfRule>
  </conditionalFormatting>
  <conditionalFormatting sqref="U36">
    <cfRule type="cellIs" dxfId="3038" priority="134" operator="equal">
      <formula>"EM EXECUÇÃO"</formula>
    </cfRule>
    <cfRule type="cellIs" dxfId="3037" priority="135" operator="equal">
      <formula>"CLSD"</formula>
    </cfRule>
    <cfRule type="cellIs" dxfId="3036" priority="136" operator="equal">
      <formula>"TECO"</formula>
    </cfRule>
  </conditionalFormatting>
  <conditionalFormatting sqref="U36">
    <cfRule type="cellIs" dxfId="3035" priority="133" operator="equal">
      <formula>"CANCELADO"</formula>
    </cfRule>
  </conditionalFormatting>
  <conditionalFormatting sqref="U36">
    <cfRule type="cellIs" dxfId="3034" priority="128" operator="equal">
      <formula>"ENCERRADO"</formula>
    </cfRule>
    <cfRule type="cellIs" dxfId="3033" priority="129" operator="equal">
      <formula>"EM EXECUÇÃO"</formula>
    </cfRule>
    <cfRule type="cellIs" dxfId="3032" priority="130" operator="equal">
      <formula>"CANCELADO"</formula>
    </cfRule>
    <cfRule type="cellIs" dxfId="3031" priority="131" operator="equal">
      <formula>"EM APROVAÇÃO"</formula>
    </cfRule>
    <cfRule type="cellIs" dxfId="3030" priority="132" operator="equal">
      <formula>"EM ESTUDO"</formula>
    </cfRule>
  </conditionalFormatting>
  <conditionalFormatting sqref="Y8:Y11 Y13:Y25 Y27:Y29 Y32:Y37">
    <cfRule type="cellIs" dxfId="3029" priority="124" operator="equal">
      <formula>"Behind Schedule"</formula>
    </cfRule>
    <cfRule type="cellIs" dxfId="3028" priority="125" operator="equal">
      <formula>"TBD"</formula>
    </cfRule>
    <cfRule type="cellIs" dxfId="3027" priority="126" operator="equal">
      <formula>"In Progress"</formula>
    </cfRule>
    <cfRule type="cellIs" dxfId="3026" priority="127" operator="equal">
      <formula>"Completed"</formula>
    </cfRule>
  </conditionalFormatting>
  <conditionalFormatting sqref="M38">
    <cfRule type="cellIs" dxfId="3025" priority="121" operator="greaterThan">
      <formula>365</formula>
    </cfRule>
    <cfRule type="cellIs" dxfId="3024" priority="122" operator="lessThan">
      <formula>-1</formula>
    </cfRule>
    <cfRule type="cellIs" dxfId="3023" priority="123" operator="between">
      <formula>1</formula>
      <formula>365</formula>
    </cfRule>
  </conditionalFormatting>
  <conditionalFormatting sqref="X38">
    <cfRule type="cellIs" dxfId="3022" priority="81" operator="equal">
      <formula>"Behind Schedule"</formula>
    </cfRule>
    <cfRule type="cellIs" dxfId="3021" priority="82" operator="equal">
      <formula>"TBD"</formula>
    </cfRule>
    <cfRule type="cellIs" dxfId="3020" priority="83" operator="equal">
      <formula>"In Progress"</formula>
    </cfRule>
    <cfRule type="cellIs" dxfId="3019" priority="84" operator="equal">
      <formula>"Completed"</formula>
    </cfRule>
  </conditionalFormatting>
  <conditionalFormatting sqref="W38">
    <cfRule type="cellIs" dxfId="3018" priority="60" operator="equal">
      <formula>"EM EXECUÇÃO"</formula>
    </cfRule>
    <cfRule type="cellIs" dxfId="3017" priority="61" operator="equal">
      <formula>"CLSD"</formula>
    </cfRule>
    <cfRule type="cellIs" dxfId="3016" priority="62" operator="equal">
      <formula>"TECO"</formula>
    </cfRule>
  </conditionalFormatting>
  <conditionalFormatting sqref="W38">
    <cfRule type="cellIs" dxfId="3015" priority="59" operator="equal">
      <formula>"CANCELADO"</formula>
    </cfRule>
  </conditionalFormatting>
  <conditionalFormatting sqref="W38">
    <cfRule type="cellIs" dxfId="3014" priority="54" operator="equal">
      <formula>"ENCERRADO"</formula>
    </cfRule>
    <cfRule type="cellIs" dxfId="3013" priority="55" operator="equal">
      <formula>"EM EXECUÇÃO"</formula>
    </cfRule>
    <cfRule type="cellIs" dxfId="3012" priority="56" operator="equal">
      <formula>"CANCELADO"</formula>
    </cfRule>
    <cfRule type="cellIs" dxfId="3011" priority="57" operator="equal">
      <formula>"EM APROVAÇÃO"</formula>
    </cfRule>
    <cfRule type="cellIs" dxfId="3010" priority="58" operator="equal">
      <formula>"EM ESTUDO"</formula>
    </cfRule>
  </conditionalFormatting>
  <conditionalFormatting sqref="Y38">
    <cfRule type="cellIs" dxfId="3009" priority="41" operator="equal">
      <formula>"Behind Schedule"</formula>
    </cfRule>
    <cfRule type="cellIs" dxfId="3008" priority="42" operator="equal">
      <formula>"TBD"</formula>
    </cfRule>
    <cfRule type="cellIs" dxfId="3007" priority="43" operator="equal">
      <formula>"In Progress"</formula>
    </cfRule>
    <cfRule type="cellIs" dxfId="3006" priority="44" operator="equal">
      <formula>"Completed"</formula>
    </cfRule>
  </conditionalFormatting>
  <conditionalFormatting sqref="X21">
    <cfRule type="cellIs" dxfId="3005" priority="37" operator="equal">
      <formula>"Behind Schedule"</formula>
    </cfRule>
    <cfRule type="cellIs" dxfId="3004" priority="38" operator="equal">
      <formula>"TBD"</formula>
    </cfRule>
    <cfRule type="cellIs" dxfId="3003" priority="39" operator="equal">
      <formula>"In Progress"</formula>
    </cfRule>
    <cfRule type="cellIs" dxfId="3002" priority="40" operator="equal">
      <formula>"Completed"</formula>
    </cfRule>
  </conditionalFormatting>
  <conditionalFormatting sqref="U34">
    <cfRule type="cellIs" dxfId="3001" priority="25" operator="equal">
      <formula>"EM EXECUÇÃO"</formula>
    </cfRule>
    <cfRule type="cellIs" dxfId="3000" priority="26" operator="equal">
      <formula>"CLSD"</formula>
    </cfRule>
    <cfRule type="cellIs" dxfId="2999" priority="27" operator="equal">
      <formula>"TECO"</formula>
    </cfRule>
  </conditionalFormatting>
  <conditionalFormatting sqref="U34">
    <cfRule type="cellIs" dxfId="2998" priority="24" operator="equal">
      <formula>"CANCELADO"</formula>
    </cfRule>
  </conditionalFormatting>
  <conditionalFormatting sqref="U34">
    <cfRule type="cellIs" dxfId="2997" priority="19" operator="equal">
      <formula>"ENCERRADO"</formula>
    </cfRule>
    <cfRule type="cellIs" dxfId="2996" priority="20" operator="equal">
      <formula>"EM EXECUÇÃO"</formula>
    </cfRule>
    <cfRule type="cellIs" dxfId="2995" priority="21" operator="equal">
      <formula>"CANCELADO"</formula>
    </cfRule>
    <cfRule type="cellIs" dxfId="2994" priority="22" operator="equal">
      <formula>"EM APROVAÇÃO"</formula>
    </cfRule>
    <cfRule type="cellIs" dxfId="2993" priority="23" operator="equal">
      <formula>"EM ESTUDO"</formula>
    </cfRule>
  </conditionalFormatting>
  <conditionalFormatting sqref="U37">
    <cfRule type="cellIs" dxfId="2992" priority="16" operator="equal">
      <formula>"EM EXECUÇÃO"</formula>
    </cfRule>
    <cfRule type="cellIs" dxfId="2991" priority="17" operator="equal">
      <formula>"CLSD"</formula>
    </cfRule>
    <cfRule type="cellIs" dxfId="2990" priority="18" operator="equal">
      <formula>"TECO"</formula>
    </cfRule>
  </conditionalFormatting>
  <conditionalFormatting sqref="U37">
    <cfRule type="cellIs" dxfId="2989" priority="15" operator="equal">
      <formula>"CANCELADO"</formula>
    </cfRule>
  </conditionalFormatting>
  <conditionalFormatting sqref="U37">
    <cfRule type="cellIs" dxfId="2988" priority="10" operator="equal">
      <formula>"ENCERRADO"</formula>
    </cfRule>
    <cfRule type="cellIs" dxfId="2987" priority="11" operator="equal">
      <formula>"EM EXECUÇÃO"</formula>
    </cfRule>
    <cfRule type="cellIs" dxfId="2986" priority="12" operator="equal">
      <formula>"CANCELADO"</formula>
    </cfRule>
    <cfRule type="cellIs" dxfId="2985" priority="13" operator="equal">
      <formula>"EM APROVAÇÃO"</formula>
    </cfRule>
    <cfRule type="cellIs" dxfId="2984" priority="14" operator="equal">
      <formula>"EM ESTUDO"</formula>
    </cfRule>
  </conditionalFormatting>
  <conditionalFormatting sqref="U38">
    <cfRule type="cellIs" dxfId="2983" priority="7" operator="equal">
      <formula>"EM EXECUÇÃO"</formula>
    </cfRule>
    <cfRule type="cellIs" dxfId="2982" priority="8" operator="equal">
      <formula>"CLSD"</formula>
    </cfRule>
    <cfRule type="cellIs" dxfId="2981" priority="9" operator="equal">
      <formula>"TECO"</formula>
    </cfRule>
  </conditionalFormatting>
  <conditionalFormatting sqref="U38">
    <cfRule type="cellIs" dxfId="2980" priority="6" operator="equal">
      <formula>"CANCELADO"</formula>
    </cfRule>
  </conditionalFormatting>
  <conditionalFormatting sqref="U38">
    <cfRule type="cellIs" dxfId="2979" priority="1" operator="equal">
      <formula>"ENCERRADO"</formula>
    </cfRule>
    <cfRule type="cellIs" dxfId="2978" priority="2" operator="equal">
      <formula>"EM EXECUÇÃO"</formula>
    </cfRule>
    <cfRule type="cellIs" dxfId="2977" priority="3" operator="equal">
      <formula>"CANCELADO"</formula>
    </cfRule>
    <cfRule type="cellIs" dxfId="2976" priority="4" operator="equal">
      <formula>"EM APROVAÇÃO"</formula>
    </cfRule>
    <cfRule type="cellIs" dxfId="2975" priority="5" operator="equal">
      <formula>"EM ESTUDO"</formula>
    </cfRule>
  </conditionalFormatting>
  <dataValidations count="2">
    <dataValidation type="list" allowBlank="1" showInputMessage="1" showErrorMessage="1" sqref="U7:U38" xr:uid="{E2060E46-6B7D-4739-B234-7E47D48B9B6D}">
      <formula1>"EM ESTUDO, EM APROVAÇÃO, CANCELADO, EM EXECUÇÃO, ENCERRADO"</formula1>
    </dataValidation>
    <dataValidation type="list" allowBlank="1" showInputMessage="1" showErrorMessage="1" sqref="O7:O38" xr:uid="{0547E6D0-A13B-4DC1-BE39-1B5C258A1B62}">
      <formula1>"A,B1,B2,UTIL,FACIL,STAFF,"</formula1>
    </dataValidation>
  </dataValidations>
  <printOptions horizontalCentered="1" verticalCentered="1"/>
  <pageMargins left="0.25" right="0.25" top="0.75" bottom="0.75" header="0.3" footer="0.3"/>
  <pageSetup paperSize="256" scale="95" orientation="landscape" r:id="rId1"/>
  <extLst>
    <ext xmlns:x14="http://schemas.microsoft.com/office/spreadsheetml/2009/9/main" uri="{78C0D931-6437-407d-A8EE-F0AAD7539E65}">
      <x14:conditionalFormattings>
        <x14:conditionalFormatting xmlns:xm="http://schemas.microsoft.com/office/excel/2006/main">
          <x14:cfRule type="containsText" priority="264" stopIfTrue="1" operator="containsText" id="{B3CB88BC-618B-4580-B69C-4844A9AB95BE}">
            <xm:f>NOT(ISERROR(SEARCH(#REF!,C2)))</xm:f>
            <xm:f>#REF!</xm:f>
            <x14:dxf>
              <font>
                <b/>
                <i val="0"/>
              </font>
              <fill>
                <patternFill>
                  <bgColor theme="0" tint="-0.24994659260841701"/>
                </patternFill>
              </fill>
            </x14:dxf>
          </x14:cfRule>
          <x14:cfRule type="containsText" priority="265" stopIfTrue="1" operator="containsText" id="{F0522B1C-0049-4396-9701-05179718E0A0}">
            <xm:f>NOT(ISERROR(SEARCH(#REF!,C2)))</xm:f>
            <xm:f>#REF!</xm:f>
            <x14:dxf>
              <font>
                <b/>
                <i val="0"/>
                <color theme="0"/>
              </font>
              <fill>
                <patternFill>
                  <bgColor theme="1" tint="0.24994659260841701"/>
                </patternFill>
              </fill>
            </x14:dxf>
          </x14:cfRule>
          <x14:cfRule type="containsText" priority="266" stopIfTrue="1" operator="containsText" id="{D57BF65A-B37B-4CBA-9B1F-936BD88A541A}">
            <xm:f>NOT(ISERROR(SEARCH(#REF!,C2)))</xm:f>
            <xm:f>#REF!</xm:f>
            <x14:dxf>
              <font>
                <b/>
                <i val="0"/>
              </font>
              <fill>
                <patternFill>
                  <bgColor theme="2" tint="-0.499984740745262"/>
                </patternFill>
              </fill>
            </x14:dxf>
          </x14:cfRule>
          <x14:cfRule type="containsText" priority="267" operator="containsText" id="{859725C2-9A8E-44CD-8513-F5E7D96C1133}">
            <xm:f>NOT(ISERROR(SEARCH(#REF!,C2)))</xm:f>
            <xm:f>#REF!</xm:f>
            <x14:dxf>
              <font>
                <b/>
                <i val="0"/>
              </font>
              <fill>
                <patternFill>
                  <bgColor rgb="FF00B0F0"/>
                </patternFill>
              </fill>
            </x14:dxf>
          </x14:cfRule>
          <x14:cfRule type="containsText" priority="268" operator="containsText" id="{70FC0ECE-F315-42D0-8B37-9EF0A8416CCA}">
            <xm:f>NOT(ISERROR(SEARCH(#REF!,C2)))</xm:f>
            <xm:f>#REF!</xm:f>
            <x14:dxf>
              <font>
                <b/>
                <i val="0"/>
              </font>
              <fill>
                <patternFill>
                  <bgColor theme="5" tint="0.39994506668294322"/>
                </patternFill>
              </fill>
            </x14:dxf>
          </x14:cfRule>
          <x14:cfRule type="containsText" priority="269" operator="containsText" id="{5BAAA468-0E70-4891-8855-7A4EC30C7477}">
            <xm:f>NOT(ISERROR(SEARCH(#REF!,C2)))</xm:f>
            <xm:f>#REF!</xm:f>
            <x14:dxf>
              <font>
                <b/>
                <i val="0"/>
              </font>
              <fill>
                <patternFill>
                  <bgColor theme="6" tint="0.39994506668294322"/>
                </patternFill>
              </fill>
            </x14:dxf>
          </x14:cfRule>
          <x14:cfRule type="containsText" priority="270" operator="containsText" id="{14F6D46D-F4CF-4B9C-BE51-D433F84650A8}">
            <xm:f>NOT(ISERROR(SEARCH(#REF!,C2)))</xm:f>
            <xm:f>#REF!</xm:f>
            <x14:dxf>
              <font>
                <b/>
                <i val="0"/>
              </font>
              <fill>
                <patternFill>
                  <bgColor theme="7" tint="0.39994506668294322"/>
                </patternFill>
              </fill>
            </x14:dxf>
          </x14:cfRule>
          <x14:cfRule type="containsText" priority="271" operator="containsText" id="{1B55A65C-DE5F-4076-83C8-6E82DFEA9D1C}">
            <xm:f>NOT(ISERROR(SEARCH(#REF!,C2)))</xm:f>
            <xm:f>#REF!</xm:f>
            <x14:dxf>
              <font>
                <b/>
                <i val="0"/>
              </font>
              <fill>
                <patternFill>
                  <bgColor theme="8" tint="0.39994506668294322"/>
                </patternFill>
              </fill>
            </x14:dxf>
          </x14:cfRule>
          <x14:cfRule type="containsText" priority="272" operator="containsText" id="{8C7AD2F9-10BD-4361-83C5-A5F52E3F422E}">
            <xm:f>NOT(ISERROR(SEARCH(#REF!,C2)))</xm:f>
            <xm:f>#REF!</xm:f>
            <x14:dxf>
              <font>
                <b/>
                <i val="0"/>
              </font>
              <fill>
                <patternFill>
                  <bgColor theme="9" tint="0.39994506668294322"/>
                </patternFill>
              </fill>
            </x14:dxf>
          </x14:cfRule>
          <xm:sqref>C2 C4:C5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9FC5A0E-9D2C-4C6D-AEEC-6DDCFF07B5BD}">
          <x14:formula1>
            <xm:f>TNCs!$A$2:$A$41</xm:f>
          </x14:formula1>
          <xm:sqref>P7:P38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85592-E940-4981-8B5D-DBEBD4D671C0}">
  <sheetPr codeName="Planilha19"/>
  <dimension ref="A1:T2341"/>
  <sheetViews>
    <sheetView workbookViewId="0">
      <selection sqref="A1:XFD1048576"/>
    </sheetView>
  </sheetViews>
  <sheetFormatPr defaultColWidth="20.54296875" defaultRowHeight="14.5"/>
  <sheetData>
    <row r="1" spans="1:20">
      <c r="A1" t="s">
        <v>3340</v>
      </c>
      <c r="B1" t="s">
        <v>2956</v>
      </c>
      <c r="C1" t="s">
        <v>2957</v>
      </c>
      <c r="D1" t="s">
        <v>2958</v>
      </c>
      <c r="E1" t="s">
        <v>2959</v>
      </c>
      <c r="F1" t="s">
        <v>2956</v>
      </c>
      <c r="G1" t="s">
        <v>2960</v>
      </c>
      <c r="H1" t="s">
        <v>2961</v>
      </c>
      <c r="I1" t="s">
        <v>2962</v>
      </c>
      <c r="J1" t="s">
        <v>3217</v>
      </c>
      <c r="K1" t="s">
        <v>2964</v>
      </c>
      <c r="L1" t="s">
        <v>2965</v>
      </c>
      <c r="M1" t="s">
        <v>2966</v>
      </c>
      <c r="N1" t="s">
        <v>2967</v>
      </c>
      <c r="O1" t="s">
        <v>2968</v>
      </c>
      <c r="P1" t="s">
        <v>2969</v>
      </c>
      <c r="Q1" t="s">
        <v>2970</v>
      </c>
      <c r="R1" t="s">
        <v>2971</v>
      </c>
      <c r="S1" t="s">
        <v>2915</v>
      </c>
      <c r="T1" t="s">
        <v>3218</v>
      </c>
    </row>
    <row r="2" spans="1:20">
      <c r="A2" t="s">
        <v>263</v>
      </c>
      <c r="B2" t="s">
        <v>2920</v>
      </c>
      <c r="C2">
        <v>45656</v>
      </c>
      <c r="D2" t="s">
        <v>7263</v>
      </c>
      <c r="E2" t="s">
        <v>2921</v>
      </c>
      <c r="F2">
        <v>45660</v>
      </c>
      <c r="G2" t="s">
        <v>2208</v>
      </c>
      <c r="H2" t="s">
        <v>2916</v>
      </c>
      <c r="I2" t="s">
        <v>7264</v>
      </c>
      <c r="J2">
        <v>0</v>
      </c>
      <c r="K2">
        <v>-594716.55000000005</v>
      </c>
      <c r="L2" t="s">
        <v>2917</v>
      </c>
      <c r="M2">
        <v>-3624994.21</v>
      </c>
      <c r="N2" t="s">
        <v>2918</v>
      </c>
      <c r="O2" t="s">
        <v>7240</v>
      </c>
      <c r="P2" t="s">
        <v>2208</v>
      </c>
      <c r="Q2" t="s">
        <v>2949</v>
      </c>
      <c r="R2" t="s">
        <v>3224</v>
      </c>
      <c r="S2" t="s">
        <v>2208</v>
      </c>
      <c r="T2" t="s">
        <v>2208</v>
      </c>
    </row>
    <row r="3" spans="1:20">
      <c r="A3" t="s">
        <v>263</v>
      </c>
      <c r="B3" t="s">
        <v>2920</v>
      </c>
      <c r="C3">
        <v>45656</v>
      </c>
      <c r="D3" t="s">
        <v>7263</v>
      </c>
      <c r="E3" t="s">
        <v>2921</v>
      </c>
      <c r="F3">
        <v>45660</v>
      </c>
      <c r="G3" t="s">
        <v>2208</v>
      </c>
      <c r="H3" t="s">
        <v>2916</v>
      </c>
      <c r="I3" t="s">
        <v>7264</v>
      </c>
      <c r="J3">
        <v>0</v>
      </c>
      <c r="K3">
        <v>293448.86</v>
      </c>
      <c r="L3" t="s">
        <v>2917</v>
      </c>
      <c r="M3">
        <v>1788667.94</v>
      </c>
      <c r="N3" t="s">
        <v>2918</v>
      </c>
      <c r="O3" t="s">
        <v>2930</v>
      </c>
      <c r="P3" t="s">
        <v>2208</v>
      </c>
      <c r="Q3" t="s">
        <v>2916</v>
      </c>
      <c r="R3" t="s">
        <v>3220</v>
      </c>
      <c r="S3" t="s">
        <v>2208</v>
      </c>
      <c r="T3" t="s">
        <v>2208</v>
      </c>
    </row>
    <row r="4" spans="1:20">
      <c r="A4" t="s">
        <v>263</v>
      </c>
      <c r="B4" t="s">
        <v>2920</v>
      </c>
      <c r="C4">
        <v>45649</v>
      </c>
      <c r="D4" t="s">
        <v>7263</v>
      </c>
      <c r="E4" t="s">
        <v>2921</v>
      </c>
      <c r="F4">
        <v>45671</v>
      </c>
      <c r="G4" t="s">
        <v>7233</v>
      </c>
      <c r="H4" t="s">
        <v>2916</v>
      </c>
      <c r="I4" t="s">
        <v>7265</v>
      </c>
      <c r="J4">
        <v>0.5</v>
      </c>
      <c r="K4">
        <v>297356.27</v>
      </c>
      <c r="L4" t="s">
        <v>2917</v>
      </c>
      <c r="M4">
        <v>1836326.01</v>
      </c>
      <c r="N4" t="s">
        <v>2918</v>
      </c>
      <c r="O4" t="s">
        <v>7234</v>
      </c>
      <c r="P4" t="s">
        <v>3091</v>
      </c>
      <c r="Q4" t="s">
        <v>2927</v>
      </c>
      <c r="R4" t="s">
        <v>3222</v>
      </c>
      <c r="S4" t="s">
        <v>7235</v>
      </c>
      <c r="T4" t="s">
        <v>3091</v>
      </c>
    </row>
    <row r="5" spans="1:20">
      <c r="A5" t="s">
        <v>263</v>
      </c>
      <c r="B5" t="s">
        <v>2920</v>
      </c>
      <c r="C5">
        <v>45688</v>
      </c>
      <c r="D5" t="s">
        <v>7263</v>
      </c>
      <c r="E5" t="s">
        <v>2921</v>
      </c>
      <c r="F5">
        <v>45688</v>
      </c>
      <c r="G5" t="s">
        <v>2208</v>
      </c>
      <c r="H5" t="s">
        <v>2916</v>
      </c>
      <c r="I5" t="s">
        <v>7474</v>
      </c>
      <c r="J5">
        <v>0</v>
      </c>
      <c r="K5">
        <v>3911.42</v>
      </c>
      <c r="L5" t="s">
        <v>2917</v>
      </c>
      <c r="M5">
        <v>0</v>
      </c>
      <c r="N5" t="s">
        <v>2918</v>
      </c>
      <c r="O5" t="s">
        <v>2919</v>
      </c>
      <c r="P5" t="s">
        <v>2208</v>
      </c>
      <c r="Q5" t="s">
        <v>2916</v>
      </c>
      <c r="R5" t="s">
        <v>3220</v>
      </c>
      <c r="S5" t="s">
        <v>2208</v>
      </c>
      <c r="T5" t="s">
        <v>2208</v>
      </c>
    </row>
    <row r="6" spans="1:20">
      <c r="A6" t="s">
        <v>263</v>
      </c>
      <c r="B6" t="s">
        <v>7740</v>
      </c>
      <c r="C6">
        <v>45691</v>
      </c>
      <c r="D6" t="s">
        <v>7263</v>
      </c>
      <c r="E6" t="s">
        <v>2925</v>
      </c>
      <c r="F6">
        <v>45699</v>
      </c>
      <c r="G6" t="s">
        <v>7233</v>
      </c>
      <c r="H6" t="s">
        <v>2916</v>
      </c>
      <c r="I6" t="s">
        <v>8547</v>
      </c>
      <c r="J6">
        <v>0</v>
      </c>
      <c r="K6">
        <v>543.6</v>
      </c>
      <c r="L6" t="s">
        <v>2917</v>
      </c>
      <c r="M6">
        <v>3161.36</v>
      </c>
      <c r="N6" t="s">
        <v>2918</v>
      </c>
      <c r="O6" t="s">
        <v>8548</v>
      </c>
      <c r="P6" t="s">
        <v>3091</v>
      </c>
      <c r="Q6" t="s">
        <v>2931</v>
      </c>
      <c r="R6" t="s">
        <v>2932</v>
      </c>
      <c r="S6" t="s">
        <v>7235</v>
      </c>
      <c r="T6" t="s">
        <v>3091</v>
      </c>
    </row>
    <row r="7" spans="1:20">
      <c r="A7" t="s">
        <v>263</v>
      </c>
      <c r="B7" t="s">
        <v>7740</v>
      </c>
      <c r="C7">
        <v>45716</v>
      </c>
      <c r="D7" t="s">
        <v>7263</v>
      </c>
      <c r="E7" t="s">
        <v>2925</v>
      </c>
      <c r="F7">
        <v>45716</v>
      </c>
      <c r="G7" t="s">
        <v>2208</v>
      </c>
      <c r="H7" t="s">
        <v>2916</v>
      </c>
      <c r="I7" t="s">
        <v>9114</v>
      </c>
      <c r="J7">
        <v>0</v>
      </c>
      <c r="K7">
        <v>-7.0000000000000007E-2</v>
      </c>
      <c r="L7" t="s">
        <v>2917</v>
      </c>
      <c r="M7">
        <v>0</v>
      </c>
      <c r="N7" t="s">
        <v>2918</v>
      </c>
      <c r="O7" t="s">
        <v>2919</v>
      </c>
      <c r="P7" t="s">
        <v>2208</v>
      </c>
      <c r="Q7" t="s">
        <v>2916</v>
      </c>
      <c r="R7" t="s">
        <v>3220</v>
      </c>
      <c r="S7" t="s">
        <v>2208</v>
      </c>
      <c r="T7" t="s">
        <v>2208</v>
      </c>
    </row>
    <row r="8" spans="1:20">
      <c r="A8" t="s">
        <v>263</v>
      </c>
      <c r="B8" t="s">
        <v>9126</v>
      </c>
      <c r="C8">
        <v>45671</v>
      </c>
      <c r="D8" t="s">
        <v>7263</v>
      </c>
      <c r="E8" t="s">
        <v>9127</v>
      </c>
      <c r="F8">
        <v>45722</v>
      </c>
      <c r="G8" t="s">
        <v>7233</v>
      </c>
      <c r="H8" t="s">
        <v>2916</v>
      </c>
      <c r="I8" t="s">
        <v>10705</v>
      </c>
      <c r="J8">
        <v>0</v>
      </c>
      <c r="K8">
        <v>1622.67</v>
      </c>
      <c r="L8" t="s">
        <v>2917</v>
      </c>
      <c r="M8">
        <v>9467.68</v>
      </c>
      <c r="N8" t="s">
        <v>2918</v>
      </c>
      <c r="O8" t="s">
        <v>10706</v>
      </c>
      <c r="P8" t="s">
        <v>3091</v>
      </c>
      <c r="Q8" t="s">
        <v>7371</v>
      </c>
      <c r="R8" t="s">
        <v>7372</v>
      </c>
      <c r="S8" t="s">
        <v>7235</v>
      </c>
      <c r="T8" t="s">
        <v>3091</v>
      </c>
    </row>
    <row r="9" spans="1:20">
      <c r="A9" t="s">
        <v>263</v>
      </c>
      <c r="B9" t="s">
        <v>9126</v>
      </c>
      <c r="C9">
        <v>45747</v>
      </c>
      <c r="D9" t="s">
        <v>7263</v>
      </c>
      <c r="E9" t="s">
        <v>9127</v>
      </c>
      <c r="F9">
        <v>45747</v>
      </c>
      <c r="G9" t="s">
        <v>2208</v>
      </c>
      <c r="H9" t="s">
        <v>2916</v>
      </c>
      <c r="I9" t="s">
        <v>11315</v>
      </c>
      <c r="J9">
        <v>0</v>
      </c>
      <c r="K9">
        <v>0.05</v>
      </c>
      <c r="L9" t="s">
        <v>2917</v>
      </c>
      <c r="M9">
        <v>0</v>
      </c>
      <c r="N9" t="s">
        <v>2918</v>
      </c>
      <c r="O9" t="s">
        <v>2919</v>
      </c>
      <c r="P9" t="s">
        <v>2208</v>
      </c>
      <c r="Q9" t="s">
        <v>2916</v>
      </c>
      <c r="R9" t="s">
        <v>3220</v>
      </c>
      <c r="S9" t="s">
        <v>2208</v>
      </c>
      <c r="T9" t="s">
        <v>2208</v>
      </c>
    </row>
    <row r="10" spans="1:20">
      <c r="A10" t="s">
        <v>263</v>
      </c>
      <c r="B10" t="s">
        <v>11331</v>
      </c>
      <c r="C10">
        <v>45775</v>
      </c>
      <c r="D10" t="s">
        <v>7263</v>
      </c>
      <c r="E10" t="s">
        <v>11332</v>
      </c>
      <c r="F10">
        <v>45775</v>
      </c>
      <c r="G10" t="s">
        <v>2208</v>
      </c>
      <c r="H10" t="s">
        <v>2916</v>
      </c>
      <c r="I10" t="s">
        <v>16166</v>
      </c>
      <c r="J10">
        <v>0</v>
      </c>
      <c r="K10">
        <v>24472.720000000001</v>
      </c>
      <c r="L10" t="s">
        <v>2917</v>
      </c>
      <c r="M10">
        <v>140931.29</v>
      </c>
      <c r="N10" t="s">
        <v>2918</v>
      </c>
      <c r="O10" t="s">
        <v>16167</v>
      </c>
      <c r="P10" t="s">
        <v>2208</v>
      </c>
      <c r="Q10" t="s">
        <v>2949</v>
      </c>
      <c r="R10" t="s">
        <v>3224</v>
      </c>
      <c r="S10" t="s">
        <v>2208</v>
      </c>
      <c r="T10" t="s">
        <v>2208</v>
      </c>
    </row>
    <row r="11" spans="1:20">
      <c r="A11" t="s">
        <v>263</v>
      </c>
      <c r="B11" t="s">
        <v>11331</v>
      </c>
      <c r="C11">
        <v>45777</v>
      </c>
      <c r="D11" t="s">
        <v>7263</v>
      </c>
      <c r="E11" t="s">
        <v>11332</v>
      </c>
      <c r="F11">
        <v>45777</v>
      </c>
      <c r="G11" t="s">
        <v>2208</v>
      </c>
      <c r="H11" t="s">
        <v>2916</v>
      </c>
      <c r="I11" t="s">
        <v>16315</v>
      </c>
      <c r="J11">
        <v>0</v>
      </c>
      <c r="K11">
        <v>-403.8</v>
      </c>
      <c r="L11" t="s">
        <v>2917</v>
      </c>
      <c r="M11">
        <v>-2325.37</v>
      </c>
      <c r="N11" t="s">
        <v>2918</v>
      </c>
      <c r="O11" t="s">
        <v>7587</v>
      </c>
      <c r="P11" t="s">
        <v>2208</v>
      </c>
      <c r="Q11" t="s">
        <v>7588</v>
      </c>
      <c r="R11" t="s">
        <v>7589</v>
      </c>
      <c r="S11" t="s">
        <v>2208</v>
      </c>
      <c r="T11" t="s">
        <v>2208</v>
      </c>
    </row>
    <row r="12" spans="1:20">
      <c r="A12" t="s">
        <v>263</v>
      </c>
      <c r="B12" t="s">
        <v>11331</v>
      </c>
      <c r="C12">
        <v>45777</v>
      </c>
      <c r="D12" t="s">
        <v>7263</v>
      </c>
      <c r="E12" t="s">
        <v>11332</v>
      </c>
      <c r="F12">
        <v>45777</v>
      </c>
      <c r="G12" t="s">
        <v>2208</v>
      </c>
      <c r="H12" t="s">
        <v>2916</v>
      </c>
      <c r="I12" t="s">
        <v>16316</v>
      </c>
      <c r="J12">
        <v>0</v>
      </c>
      <c r="K12">
        <v>-1859.93</v>
      </c>
      <c r="L12" t="s">
        <v>2917</v>
      </c>
      <c r="M12">
        <v>-10710.78</v>
      </c>
      <c r="N12" t="s">
        <v>2918</v>
      </c>
      <c r="O12" t="s">
        <v>7591</v>
      </c>
      <c r="P12" t="s">
        <v>2208</v>
      </c>
      <c r="Q12" t="s">
        <v>6851</v>
      </c>
      <c r="R12" t="s">
        <v>6852</v>
      </c>
      <c r="S12" t="s">
        <v>2208</v>
      </c>
      <c r="T12" t="s">
        <v>2208</v>
      </c>
    </row>
    <row r="13" spans="1:20">
      <c r="A13" t="s">
        <v>263</v>
      </c>
      <c r="B13" t="s">
        <v>11331</v>
      </c>
      <c r="C13">
        <v>45777</v>
      </c>
      <c r="D13" t="s">
        <v>7263</v>
      </c>
      <c r="E13" t="s">
        <v>11332</v>
      </c>
      <c r="F13">
        <v>45777</v>
      </c>
      <c r="G13" t="s">
        <v>2208</v>
      </c>
      <c r="H13" t="s">
        <v>2916</v>
      </c>
      <c r="I13" t="s">
        <v>16349</v>
      </c>
      <c r="J13">
        <v>0</v>
      </c>
      <c r="K13">
        <v>-0.02</v>
      </c>
      <c r="L13" t="s">
        <v>2917</v>
      </c>
      <c r="M13">
        <v>0</v>
      </c>
      <c r="N13" t="s">
        <v>2918</v>
      </c>
      <c r="O13" t="s">
        <v>2919</v>
      </c>
      <c r="P13" t="s">
        <v>2208</v>
      </c>
      <c r="Q13" t="s">
        <v>2916</v>
      </c>
      <c r="R13" t="s">
        <v>3220</v>
      </c>
      <c r="S13" t="s">
        <v>2208</v>
      </c>
      <c r="T13" t="s">
        <v>2208</v>
      </c>
    </row>
    <row r="14" spans="1:20">
      <c r="A14" t="s">
        <v>263</v>
      </c>
      <c r="B14" t="s">
        <v>19439</v>
      </c>
      <c r="C14">
        <v>45838</v>
      </c>
      <c r="D14" t="s">
        <v>7263</v>
      </c>
      <c r="E14" t="s">
        <v>19440</v>
      </c>
      <c r="F14">
        <v>45840</v>
      </c>
      <c r="G14" t="s">
        <v>19836</v>
      </c>
      <c r="H14" t="s">
        <v>2916</v>
      </c>
      <c r="I14" t="s">
        <v>19837</v>
      </c>
      <c r="J14">
        <v>1</v>
      </c>
      <c r="K14">
        <v>45667.5</v>
      </c>
      <c r="L14" t="s">
        <v>2917</v>
      </c>
      <c r="M14">
        <v>250000</v>
      </c>
      <c r="N14" t="s">
        <v>2918</v>
      </c>
      <c r="O14" t="s">
        <v>19838</v>
      </c>
      <c r="P14" t="s">
        <v>19839</v>
      </c>
      <c r="Q14" t="s">
        <v>2924</v>
      </c>
      <c r="R14" t="s">
        <v>3219</v>
      </c>
      <c r="S14" t="s">
        <v>19840</v>
      </c>
      <c r="T14" t="s">
        <v>19841</v>
      </c>
    </row>
    <row r="15" spans="1:20">
      <c r="A15" t="s">
        <v>263</v>
      </c>
      <c r="B15" t="s">
        <v>19439</v>
      </c>
      <c r="C15">
        <v>45838</v>
      </c>
      <c r="D15" t="s">
        <v>7263</v>
      </c>
      <c r="E15" t="s">
        <v>19440</v>
      </c>
      <c r="F15">
        <v>45840</v>
      </c>
      <c r="G15" t="s">
        <v>19836</v>
      </c>
      <c r="H15" t="s">
        <v>2916</v>
      </c>
      <c r="I15" t="s">
        <v>19842</v>
      </c>
      <c r="J15">
        <v>0</v>
      </c>
      <c r="K15">
        <v>-4224.24</v>
      </c>
      <c r="L15" t="s">
        <v>2917</v>
      </c>
      <c r="M15">
        <v>-23125</v>
      </c>
      <c r="N15" t="s">
        <v>2918</v>
      </c>
      <c r="O15" t="s">
        <v>19843</v>
      </c>
      <c r="P15" t="s">
        <v>19839</v>
      </c>
      <c r="Q15" t="s">
        <v>2924</v>
      </c>
      <c r="R15" t="s">
        <v>3219</v>
      </c>
      <c r="S15" t="s">
        <v>19840</v>
      </c>
      <c r="T15" t="s">
        <v>19841</v>
      </c>
    </row>
    <row r="16" spans="1:20">
      <c r="A16" t="s">
        <v>263</v>
      </c>
      <c r="B16" t="s">
        <v>7740</v>
      </c>
      <c r="C16">
        <v>44971</v>
      </c>
      <c r="D16" t="s">
        <v>7263</v>
      </c>
      <c r="E16" t="s">
        <v>2925</v>
      </c>
      <c r="F16">
        <v>45707</v>
      </c>
      <c r="G16" t="s">
        <v>8549</v>
      </c>
      <c r="H16" t="s">
        <v>2916</v>
      </c>
      <c r="I16" t="s">
        <v>8550</v>
      </c>
      <c r="J16">
        <v>132500</v>
      </c>
      <c r="K16">
        <v>22783.38</v>
      </c>
      <c r="L16" t="s">
        <v>2917</v>
      </c>
      <c r="M16">
        <v>132500</v>
      </c>
      <c r="N16" t="s">
        <v>2918</v>
      </c>
      <c r="O16" t="s">
        <v>2939</v>
      </c>
      <c r="P16" t="s">
        <v>2939</v>
      </c>
      <c r="Q16" t="s">
        <v>2924</v>
      </c>
      <c r="R16" t="s">
        <v>3219</v>
      </c>
      <c r="S16" t="s">
        <v>2208</v>
      </c>
      <c r="T16" t="s">
        <v>2208</v>
      </c>
    </row>
    <row r="17" spans="1:20">
      <c r="A17" t="s">
        <v>263</v>
      </c>
      <c r="B17" t="s">
        <v>7740</v>
      </c>
      <c r="C17">
        <v>45708</v>
      </c>
      <c r="D17" t="s">
        <v>7263</v>
      </c>
      <c r="E17" t="s">
        <v>2925</v>
      </c>
      <c r="F17">
        <v>45714</v>
      </c>
      <c r="G17" t="s">
        <v>8549</v>
      </c>
      <c r="H17" t="s">
        <v>2916</v>
      </c>
      <c r="I17" t="s">
        <v>8980</v>
      </c>
      <c r="J17">
        <v>0</v>
      </c>
      <c r="K17">
        <v>-2107.4699999999998</v>
      </c>
      <c r="L17" t="s">
        <v>2917</v>
      </c>
      <c r="M17">
        <v>-12256.25</v>
      </c>
      <c r="N17" t="s">
        <v>2918</v>
      </c>
      <c r="O17" t="s">
        <v>8981</v>
      </c>
      <c r="P17" t="s">
        <v>2939</v>
      </c>
      <c r="Q17" t="s">
        <v>2924</v>
      </c>
      <c r="R17" t="s">
        <v>3219</v>
      </c>
      <c r="S17" t="s">
        <v>2208</v>
      </c>
      <c r="T17" t="s">
        <v>2208</v>
      </c>
    </row>
    <row r="18" spans="1:20">
      <c r="A18" t="s">
        <v>263</v>
      </c>
      <c r="B18" t="s">
        <v>7740</v>
      </c>
      <c r="C18">
        <v>45716</v>
      </c>
      <c r="D18" t="s">
        <v>7263</v>
      </c>
      <c r="E18" t="s">
        <v>2925</v>
      </c>
      <c r="F18">
        <v>45716</v>
      </c>
      <c r="G18" t="s">
        <v>2208</v>
      </c>
      <c r="H18" t="s">
        <v>2916</v>
      </c>
      <c r="I18" t="s">
        <v>9115</v>
      </c>
      <c r="J18">
        <v>0</v>
      </c>
      <c r="K18">
        <v>0.05</v>
      </c>
      <c r="L18" t="s">
        <v>2917</v>
      </c>
      <c r="M18">
        <v>0</v>
      </c>
      <c r="N18" t="s">
        <v>2918</v>
      </c>
      <c r="O18" t="s">
        <v>2919</v>
      </c>
      <c r="P18" t="s">
        <v>2208</v>
      </c>
      <c r="Q18" t="s">
        <v>2916</v>
      </c>
      <c r="R18" t="s">
        <v>3220</v>
      </c>
      <c r="S18" t="s">
        <v>2208</v>
      </c>
      <c r="T18" t="s">
        <v>2208</v>
      </c>
    </row>
    <row r="19" spans="1:20">
      <c r="A19" t="s">
        <v>263</v>
      </c>
      <c r="B19" t="s">
        <v>17897</v>
      </c>
      <c r="C19">
        <v>45807</v>
      </c>
      <c r="D19" t="s">
        <v>7263</v>
      </c>
      <c r="E19" t="s">
        <v>17898</v>
      </c>
      <c r="F19">
        <v>45814</v>
      </c>
      <c r="G19" t="s">
        <v>18440</v>
      </c>
      <c r="H19" t="s">
        <v>2916</v>
      </c>
      <c r="I19" t="s">
        <v>18441</v>
      </c>
      <c r="J19">
        <v>3</v>
      </c>
      <c r="K19">
        <v>24.61</v>
      </c>
      <c r="L19" t="s">
        <v>2917</v>
      </c>
      <c r="M19">
        <v>139.69</v>
      </c>
      <c r="N19" t="s">
        <v>2918</v>
      </c>
      <c r="O19" t="s">
        <v>18442</v>
      </c>
      <c r="P19" t="s">
        <v>18443</v>
      </c>
      <c r="Q19" t="s">
        <v>2924</v>
      </c>
      <c r="R19" t="s">
        <v>3219</v>
      </c>
      <c r="S19" t="s">
        <v>18444</v>
      </c>
      <c r="T19" t="s">
        <v>18443</v>
      </c>
    </row>
    <row r="20" spans="1:20">
      <c r="A20" t="s">
        <v>263</v>
      </c>
      <c r="B20" t="s">
        <v>17897</v>
      </c>
      <c r="C20">
        <v>45807</v>
      </c>
      <c r="D20" t="s">
        <v>7263</v>
      </c>
      <c r="E20" t="s">
        <v>17898</v>
      </c>
      <c r="F20">
        <v>45814</v>
      </c>
      <c r="G20" t="s">
        <v>18440</v>
      </c>
      <c r="H20" t="s">
        <v>2916</v>
      </c>
      <c r="I20" t="s">
        <v>18441</v>
      </c>
      <c r="J20">
        <v>3</v>
      </c>
      <c r="K20">
        <v>19.32</v>
      </c>
      <c r="L20" t="s">
        <v>2917</v>
      </c>
      <c r="M20">
        <v>109.63</v>
      </c>
      <c r="N20" t="s">
        <v>2918</v>
      </c>
      <c r="O20" t="s">
        <v>18442</v>
      </c>
      <c r="P20" t="s">
        <v>18445</v>
      </c>
      <c r="Q20" t="s">
        <v>2924</v>
      </c>
      <c r="R20" t="s">
        <v>3219</v>
      </c>
      <c r="S20" t="s">
        <v>18446</v>
      </c>
      <c r="T20" t="s">
        <v>18447</v>
      </c>
    </row>
    <row r="21" spans="1:20">
      <c r="A21" t="s">
        <v>263</v>
      </c>
      <c r="B21" t="s">
        <v>17897</v>
      </c>
      <c r="C21">
        <v>45807</v>
      </c>
      <c r="D21" t="s">
        <v>7263</v>
      </c>
      <c r="E21" t="s">
        <v>17898</v>
      </c>
      <c r="F21">
        <v>45814</v>
      </c>
      <c r="G21" t="s">
        <v>18440</v>
      </c>
      <c r="H21" t="s">
        <v>2916</v>
      </c>
      <c r="I21" t="s">
        <v>18448</v>
      </c>
      <c r="J21">
        <v>0</v>
      </c>
      <c r="K21">
        <v>-2.7</v>
      </c>
      <c r="L21" t="s">
        <v>2917</v>
      </c>
      <c r="M21">
        <v>-15.36</v>
      </c>
      <c r="N21" t="s">
        <v>2918</v>
      </c>
      <c r="O21" t="s">
        <v>18449</v>
      </c>
      <c r="P21" t="s">
        <v>18443</v>
      </c>
      <c r="Q21" t="s">
        <v>2924</v>
      </c>
      <c r="R21" t="s">
        <v>3219</v>
      </c>
      <c r="S21" t="s">
        <v>18444</v>
      </c>
      <c r="T21" t="s">
        <v>18443</v>
      </c>
    </row>
    <row r="22" spans="1:20">
      <c r="A22" t="s">
        <v>263</v>
      </c>
      <c r="B22" t="s">
        <v>17897</v>
      </c>
      <c r="C22">
        <v>45807</v>
      </c>
      <c r="D22" t="s">
        <v>7263</v>
      </c>
      <c r="E22" t="s">
        <v>17898</v>
      </c>
      <c r="F22">
        <v>45814</v>
      </c>
      <c r="G22" t="s">
        <v>18440</v>
      </c>
      <c r="H22" t="s">
        <v>2916</v>
      </c>
      <c r="I22" t="s">
        <v>18448</v>
      </c>
      <c r="J22">
        <v>0</v>
      </c>
      <c r="K22">
        <v>-2.13</v>
      </c>
      <c r="L22" t="s">
        <v>2917</v>
      </c>
      <c r="M22">
        <v>-12.06</v>
      </c>
      <c r="N22" t="s">
        <v>2918</v>
      </c>
      <c r="O22" t="s">
        <v>18449</v>
      </c>
      <c r="P22" t="s">
        <v>18445</v>
      </c>
      <c r="Q22" t="s">
        <v>2924</v>
      </c>
      <c r="R22" t="s">
        <v>3219</v>
      </c>
      <c r="S22" t="s">
        <v>18446</v>
      </c>
      <c r="T22" t="s">
        <v>18447</v>
      </c>
    </row>
    <row r="23" spans="1:20">
      <c r="A23" t="s">
        <v>263</v>
      </c>
      <c r="B23" t="s">
        <v>17897</v>
      </c>
      <c r="C23">
        <v>45835</v>
      </c>
      <c r="D23" t="s">
        <v>7263</v>
      </c>
      <c r="E23" t="s">
        <v>17898</v>
      </c>
      <c r="F23">
        <v>45835</v>
      </c>
      <c r="G23" t="s">
        <v>2208</v>
      </c>
      <c r="H23" t="s">
        <v>2916</v>
      </c>
      <c r="I23" t="s">
        <v>19152</v>
      </c>
      <c r="J23">
        <v>0</v>
      </c>
      <c r="K23">
        <v>-6.41</v>
      </c>
      <c r="L23" t="s">
        <v>2917</v>
      </c>
      <c r="M23">
        <v>-36.36</v>
      </c>
      <c r="N23" t="s">
        <v>2918</v>
      </c>
      <c r="O23" t="s">
        <v>19153</v>
      </c>
      <c r="P23" t="s">
        <v>2208</v>
      </c>
      <c r="Q23" t="s">
        <v>2933</v>
      </c>
      <c r="R23" t="s">
        <v>3314</v>
      </c>
      <c r="S23" t="s">
        <v>2208</v>
      </c>
      <c r="T23" t="s">
        <v>2208</v>
      </c>
    </row>
    <row r="24" spans="1:20">
      <c r="A24" t="s">
        <v>263</v>
      </c>
      <c r="B24" t="s">
        <v>17897</v>
      </c>
      <c r="C24">
        <v>45838</v>
      </c>
      <c r="D24" t="s">
        <v>7263</v>
      </c>
      <c r="E24" t="s">
        <v>17898</v>
      </c>
      <c r="F24">
        <v>45838</v>
      </c>
      <c r="G24" t="s">
        <v>2208</v>
      </c>
      <c r="H24" t="s">
        <v>2916</v>
      </c>
      <c r="I24" t="s">
        <v>19235</v>
      </c>
      <c r="J24">
        <v>0</v>
      </c>
      <c r="K24">
        <v>0.08</v>
      </c>
      <c r="L24" t="s">
        <v>2917</v>
      </c>
      <c r="M24">
        <v>0</v>
      </c>
      <c r="N24" t="s">
        <v>2918</v>
      </c>
      <c r="O24" t="s">
        <v>2919</v>
      </c>
      <c r="P24" t="s">
        <v>2208</v>
      </c>
      <c r="Q24" t="s">
        <v>2916</v>
      </c>
      <c r="R24" t="s">
        <v>3220</v>
      </c>
      <c r="S24" t="s">
        <v>2208</v>
      </c>
      <c r="T24" t="s">
        <v>2208</v>
      </c>
    </row>
    <row r="25" spans="1:20">
      <c r="A25" t="s">
        <v>263</v>
      </c>
      <c r="B25" t="s">
        <v>19439</v>
      </c>
      <c r="C25">
        <v>45838</v>
      </c>
      <c r="D25" t="s">
        <v>7263</v>
      </c>
      <c r="E25" t="s">
        <v>19440</v>
      </c>
      <c r="F25">
        <v>45842</v>
      </c>
      <c r="G25" t="s">
        <v>18440</v>
      </c>
      <c r="H25" t="s">
        <v>2916</v>
      </c>
      <c r="I25" t="s">
        <v>19958</v>
      </c>
      <c r="J25">
        <v>1</v>
      </c>
      <c r="K25">
        <v>45</v>
      </c>
      <c r="L25" t="s">
        <v>2917</v>
      </c>
      <c r="M25">
        <v>246.32</v>
      </c>
      <c r="N25" t="s">
        <v>2918</v>
      </c>
      <c r="O25" t="s">
        <v>19959</v>
      </c>
      <c r="P25" t="s">
        <v>19960</v>
      </c>
      <c r="Q25" t="s">
        <v>2924</v>
      </c>
      <c r="R25" t="s">
        <v>3219</v>
      </c>
      <c r="S25" t="s">
        <v>19961</v>
      </c>
      <c r="T25" t="s">
        <v>19962</v>
      </c>
    </row>
    <row r="26" spans="1:20">
      <c r="A26" t="s">
        <v>263</v>
      </c>
      <c r="B26" t="s">
        <v>19439</v>
      </c>
      <c r="C26">
        <v>45838</v>
      </c>
      <c r="D26" t="s">
        <v>7263</v>
      </c>
      <c r="E26" t="s">
        <v>19440</v>
      </c>
      <c r="F26">
        <v>45842</v>
      </c>
      <c r="G26" t="s">
        <v>18440</v>
      </c>
      <c r="H26" t="s">
        <v>2916</v>
      </c>
      <c r="I26" t="s">
        <v>19963</v>
      </c>
      <c r="J26">
        <v>0</v>
      </c>
      <c r="K26">
        <v>-4.96</v>
      </c>
      <c r="L26" t="s">
        <v>2917</v>
      </c>
      <c r="M26">
        <v>-27.1</v>
      </c>
      <c r="N26" t="s">
        <v>2918</v>
      </c>
      <c r="O26" t="s">
        <v>19964</v>
      </c>
      <c r="P26" t="s">
        <v>19960</v>
      </c>
      <c r="Q26" t="s">
        <v>2924</v>
      </c>
      <c r="R26" t="s">
        <v>3219</v>
      </c>
      <c r="S26" t="s">
        <v>19961</v>
      </c>
      <c r="T26" t="s">
        <v>19962</v>
      </c>
    </row>
    <row r="27" spans="1:20">
      <c r="A27" t="s">
        <v>263</v>
      </c>
      <c r="B27" t="s">
        <v>2920</v>
      </c>
      <c r="C27">
        <v>45688</v>
      </c>
      <c r="D27" t="s">
        <v>7263</v>
      </c>
      <c r="E27" t="s">
        <v>2921</v>
      </c>
      <c r="F27">
        <v>45688</v>
      </c>
      <c r="G27" t="s">
        <v>2208</v>
      </c>
      <c r="H27" t="s">
        <v>2916</v>
      </c>
      <c r="I27" t="s">
        <v>7475</v>
      </c>
      <c r="J27">
        <v>0</v>
      </c>
      <c r="K27">
        <v>3776.37</v>
      </c>
      <c r="L27" t="s">
        <v>2917</v>
      </c>
      <c r="M27">
        <v>23321.02</v>
      </c>
      <c r="N27" t="s">
        <v>2918</v>
      </c>
      <c r="O27" t="s">
        <v>7476</v>
      </c>
      <c r="P27" t="s">
        <v>2208</v>
      </c>
      <c r="Q27" t="s">
        <v>2926</v>
      </c>
      <c r="R27" t="s">
        <v>3312</v>
      </c>
      <c r="S27" t="s">
        <v>2208</v>
      </c>
      <c r="T27" t="s">
        <v>2208</v>
      </c>
    </row>
    <row r="28" spans="1:20">
      <c r="A28" t="s">
        <v>263</v>
      </c>
      <c r="B28" t="s">
        <v>2920</v>
      </c>
      <c r="C28">
        <v>45688</v>
      </c>
      <c r="D28" t="s">
        <v>7263</v>
      </c>
      <c r="E28" t="s">
        <v>2921</v>
      </c>
      <c r="F28">
        <v>45688</v>
      </c>
      <c r="G28" t="s">
        <v>2208</v>
      </c>
      <c r="H28" t="s">
        <v>2916</v>
      </c>
      <c r="I28" t="s">
        <v>7477</v>
      </c>
      <c r="J28">
        <v>0</v>
      </c>
      <c r="K28">
        <v>-3776.37</v>
      </c>
      <c r="L28" t="s">
        <v>2917</v>
      </c>
      <c r="M28">
        <v>-23321.02</v>
      </c>
      <c r="N28" t="s">
        <v>2918</v>
      </c>
      <c r="O28" t="s">
        <v>7476</v>
      </c>
      <c r="P28" t="s">
        <v>2208</v>
      </c>
      <c r="Q28" t="s">
        <v>2926</v>
      </c>
      <c r="R28" t="s">
        <v>3312</v>
      </c>
      <c r="S28" t="s">
        <v>2208</v>
      </c>
      <c r="T28" t="s">
        <v>2208</v>
      </c>
    </row>
    <row r="29" spans="1:20">
      <c r="A29" t="s">
        <v>263</v>
      </c>
      <c r="B29" t="s">
        <v>2920</v>
      </c>
      <c r="C29">
        <v>45688</v>
      </c>
      <c r="D29" t="s">
        <v>7263</v>
      </c>
      <c r="E29" t="s">
        <v>2921</v>
      </c>
      <c r="F29">
        <v>45688</v>
      </c>
      <c r="G29" t="s">
        <v>2208</v>
      </c>
      <c r="H29" t="s">
        <v>2916</v>
      </c>
      <c r="I29" t="s">
        <v>7478</v>
      </c>
      <c r="J29">
        <v>0</v>
      </c>
      <c r="K29">
        <v>3776.37</v>
      </c>
      <c r="L29" t="s">
        <v>2917</v>
      </c>
      <c r="M29">
        <v>23321.02</v>
      </c>
      <c r="N29" t="s">
        <v>2918</v>
      </c>
      <c r="O29" t="s">
        <v>7476</v>
      </c>
      <c r="P29" t="s">
        <v>2208</v>
      </c>
      <c r="Q29" t="s">
        <v>2926</v>
      </c>
      <c r="R29" t="s">
        <v>3312</v>
      </c>
      <c r="S29" t="s">
        <v>2208</v>
      </c>
      <c r="T29" t="s">
        <v>2208</v>
      </c>
    </row>
    <row r="30" spans="1:20">
      <c r="A30" t="s">
        <v>263</v>
      </c>
      <c r="B30" t="s">
        <v>7740</v>
      </c>
      <c r="C30">
        <v>45709</v>
      </c>
      <c r="D30" t="s">
        <v>7263</v>
      </c>
      <c r="E30" t="s">
        <v>2925</v>
      </c>
      <c r="F30">
        <v>45709</v>
      </c>
      <c r="G30" t="s">
        <v>2208</v>
      </c>
      <c r="H30" t="s">
        <v>2916</v>
      </c>
      <c r="I30" t="s">
        <v>8888</v>
      </c>
      <c r="J30">
        <v>0</v>
      </c>
      <c r="K30">
        <v>-4010.05</v>
      </c>
      <c r="L30" t="s">
        <v>2917</v>
      </c>
      <c r="M30">
        <v>-23321.02</v>
      </c>
      <c r="N30" t="s">
        <v>2918</v>
      </c>
      <c r="O30" t="s">
        <v>7476</v>
      </c>
      <c r="P30" t="s">
        <v>2208</v>
      </c>
      <c r="Q30" t="s">
        <v>2926</v>
      </c>
      <c r="R30" t="s">
        <v>3312</v>
      </c>
      <c r="S30" t="s">
        <v>2208</v>
      </c>
      <c r="T30" t="s">
        <v>2208</v>
      </c>
    </row>
    <row r="31" spans="1:20">
      <c r="A31" t="s">
        <v>263</v>
      </c>
      <c r="B31" t="s">
        <v>7740</v>
      </c>
      <c r="C31">
        <v>45716</v>
      </c>
      <c r="D31" t="s">
        <v>7263</v>
      </c>
      <c r="E31" t="s">
        <v>2925</v>
      </c>
      <c r="F31">
        <v>45716</v>
      </c>
      <c r="G31" t="s">
        <v>2208</v>
      </c>
      <c r="H31" t="s">
        <v>2916</v>
      </c>
      <c r="I31" t="s">
        <v>9116</v>
      </c>
      <c r="J31">
        <v>0</v>
      </c>
      <c r="K31">
        <v>2057.5300000000002</v>
      </c>
      <c r="L31" t="s">
        <v>2917</v>
      </c>
      <c r="M31">
        <v>11965.85</v>
      </c>
      <c r="N31" t="s">
        <v>2918</v>
      </c>
      <c r="O31" t="s">
        <v>9117</v>
      </c>
      <c r="P31" t="s">
        <v>2208</v>
      </c>
      <c r="Q31" t="s">
        <v>2926</v>
      </c>
      <c r="R31" t="s">
        <v>3312</v>
      </c>
      <c r="S31" t="s">
        <v>2208</v>
      </c>
      <c r="T31" t="s">
        <v>2208</v>
      </c>
    </row>
    <row r="32" spans="1:20">
      <c r="A32" t="s">
        <v>263</v>
      </c>
      <c r="B32" t="s">
        <v>7740</v>
      </c>
      <c r="C32">
        <v>45716</v>
      </c>
      <c r="D32" t="s">
        <v>7263</v>
      </c>
      <c r="E32" t="s">
        <v>2925</v>
      </c>
      <c r="F32">
        <v>45716</v>
      </c>
      <c r="G32" t="s">
        <v>2208</v>
      </c>
      <c r="H32" t="s">
        <v>2916</v>
      </c>
      <c r="I32" t="s">
        <v>9118</v>
      </c>
      <c r="J32">
        <v>0</v>
      </c>
      <c r="K32">
        <v>0.03</v>
      </c>
      <c r="L32" t="s">
        <v>2917</v>
      </c>
      <c r="M32">
        <v>0</v>
      </c>
      <c r="N32" t="s">
        <v>2918</v>
      </c>
      <c r="O32" t="s">
        <v>2919</v>
      </c>
      <c r="P32" t="s">
        <v>2208</v>
      </c>
      <c r="Q32" t="s">
        <v>2916</v>
      </c>
      <c r="R32" t="s">
        <v>3220</v>
      </c>
      <c r="S32" t="s">
        <v>2208</v>
      </c>
      <c r="T32" t="s">
        <v>2208</v>
      </c>
    </row>
    <row r="33" spans="1:20">
      <c r="A33" t="s">
        <v>263</v>
      </c>
      <c r="B33" t="s">
        <v>7740</v>
      </c>
      <c r="C33">
        <v>45716</v>
      </c>
      <c r="D33" t="s">
        <v>7263</v>
      </c>
      <c r="E33" t="s">
        <v>2925</v>
      </c>
      <c r="F33">
        <v>45716</v>
      </c>
      <c r="G33" t="s">
        <v>2208</v>
      </c>
      <c r="H33" t="s">
        <v>2916</v>
      </c>
      <c r="I33" t="s">
        <v>9119</v>
      </c>
      <c r="J33">
        <v>0</v>
      </c>
      <c r="K33">
        <v>-2057.5300000000002</v>
      </c>
      <c r="L33" t="s">
        <v>2917</v>
      </c>
      <c r="M33">
        <v>-11965.85</v>
      </c>
      <c r="N33" t="s">
        <v>2918</v>
      </c>
      <c r="O33" t="s">
        <v>9117</v>
      </c>
      <c r="P33" t="s">
        <v>2208</v>
      </c>
      <c r="Q33" t="s">
        <v>2926</v>
      </c>
      <c r="R33" t="s">
        <v>3312</v>
      </c>
      <c r="S33" t="s">
        <v>2208</v>
      </c>
      <c r="T33" t="s">
        <v>2208</v>
      </c>
    </row>
    <row r="34" spans="1:20">
      <c r="A34" t="s">
        <v>263</v>
      </c>
      <c r="B34" t="s">
        <v>7740</v>
      </c>
      <c r="C34">
        <v>45716</v>
      </c>
      <c r="D34" t="s">
        <v>7263</v>
      </c>
      <c r="E34" t="s">
        <v>2925</v>
      </c>
      <c r="F34">
        <v>45716</v>
      </c>
      <c r="G34" t="s">
        <v>2208</v>
      </c>
      <c r="H34" t="s">
        <v>2916</v>
      </c>
      <c r="I34" t="s">
        <v>9120</v>
      </c>
      <c r="J34">
        <v>0</v>
      </c>
      <c r="K34">
        <v>2057.5300000000002</v>
      </c>
      <c r="L34" t="s">
        <v>2917</v>
      </c>
      <c r="M34">
        <v>11965.85</v>
      </c>
      <c r="N34" t="s">
        <v>2918</v>
      </c>
      <c r="O34" t="s">
        <v>9117</v>
      </c>
      <c r="P34" t="s">
        <v>2208</v>
      </c>
      <c r="Q34" t="s">
        <v>2926</v>
      </c>
      <c r="R34" t="s">
        <v>3312</v>
      </c>
      <c r="S34" t="s">
        <v>2208</v>
      </c>
      <c r="T34" t="s">
        <v>2208</v>
      </c>
    </row>
    <row r="35" spans="1:20">
      <c r="A35" t="s">
        <v>263</v>
      </c>
      <c r="B35" t="s">
        <v>9126</v>
      </c>
      <c r="C35">
        <v>45716</v>
      </c>
      <c r="D35" t="s">
        <v>7263</v>
      </c>
      <c r="E35" t="s">
        <v>9127</v>
      </c>
      <c r="F35">
        <v>45737</v>
      </c>
      <c r="G35" t="s">
        <v>2208</v>
      </c>
      <c r="H35" t="s">
        <v>2916</v>
      </c>
      <c r="I35" t="s">
        <v>10959</v>
      </c>
      <c r="J35">
        <v>0</v>
      </c>
      <c r="K35">
        <v>-2057.5300000000002</v>
      </c>
      <c r="L35" t="s">
        <v>2917</v>
      </c>
      <c r="M35">
        <v>-11965.85</v>
      </c>
      <c r="N35" t="s">
        <v>2918</v>
      </c>
      <c r="O35" t="s">
        <v>9117</v>
      </c>
      <c r="P35" t="s">
        <v>2208</v>
      </c>
      <c r="Q35" t="s">
        <v>2926</v>
      </c>
      <c r="R35" t="s">
        <v>3312</v>
      </c>
      <c r="S35" t="s">
        <v>2208</v>
      </c>
      <c r="T35" t="s">
        <v>2208</v>
      </c>
    </row>
    <row r="36" spans="1:20">
      <c r="A36" t="s">
        <v>263</v>
      </c>
      <c r="B36" t="s">
        <v>9126</v>
      </c>
      <c r="C36">
        <v>45747</v>
      </c>
      <c r="D36" t="s">
        <v>7263</v>
      </c>
      <c r="E36" t="s">
        <v>9127</v>
      </c>
      <c r="F36">
        <v>45747</v>
      </c>
      <c r="G36" t="s">
        <v>2208</v>
      </c>
      <c r="H36" t="s">
        <v>2916</v>
      </c>
      <c r="I36" t="s">
        <v>11316</v>
      </c>
      <c r="J36">
        <v>0</v>
      </c>
      <c r="K36">
        <v>428.16</v>
      </c>
      <c r="L36" t="s">
        <v>2917</v>
      </c>
      <c r="M36">
        <v>2498.17</v>
      </c>
      <c r="N36" t="s">
        <v>2918</v>
      </c>
      <c r="O36" t="s">
        <v>11317</v>
      </c>
      <c r="P36" t="s">
        <v>2208</v>
      </c>
      <c r="Q36" t="s">
        <v>2926</v>
      </c>
      <c r="R36" t="s">
        <v>3312</v>
      </c>
      <c r="S36" t="s">
        <v>2208</v>
      </c>
      <c r="T36" t="s">
        <v>2208</v>
      </c>
    </row>
    <row r="37" spans="1:20">
      <c r="A37" t="s">
        <v>263</v>
      </c>
      <c r="B37" t="s">
        <v>9126</v>
      </c>
      <c r="C37">
        <v>45747</v>
      </c>
      <c r="D37" t="s">
        <v>7263</v>
      </c>
      <c r="E37" t="s">
        <v>9127</v>
      </c>
      <c r="F37">
        <v>45747</v>
      </c>
      <c r="G37" t="s">
        <v>2208</v>
      </c>
      <c r="H37" t="s">
        <v>2916</v>
      </c>
      <c r="I37" t="s">
        <v>11318</v>
      </c>
      <c r="J37">
        <v>0</v>
      </c>
      <c r="K37">
        <v>6.65</v>
      </c>
      <c r="L37" t="s">
        <v>2917</v>
      </c>
      <c r="M37">
        <v>0</v>
      </c>
      <c r="N37" t="s">
        <v>2918</v>
      </c>
      <c r="O37" t="s">
        <v>2919</v>
      </c>
      <c r="P37" t="s">
        <v>2208</v>
      </c>
      <c r="Q37" t="s">
        <v>2916</v>
      </c>
      <c r="R37" t="s">
        <v>3220</v>
      </c>
      <c r="S37" t="s">
        <v>2208</v>
      </c>
      <c r="T37" t="s">
        <v>2208</v>
      </c>
    </row>
    <row r="38" spans="1:20">
      <c r="A38" t="s">
        <v>263</v>
      </c>
      <c r="B38" t="s">
        <v>11331</v>
      </c>
      <c r="C38">
        <v>45747</v>
      </c>
      <c r="D38" t="s">
        <v>7263</v>
      </c>
      <c r="E38" t="s">
        <v>11332</v>
      </c>
      <c r="F38">
        <v>45757</v>
      </c>
      <c r="G38" t="s">
        <v>2208</v>
      </c>
      <c r="H38" t="s">
        <v>2916</v>
      </c>
      <c r="I38" t="s">
        <v>12252</v>
      </c>
      <c r="J38">
        <v>0</v>
      </c>
      <c r="K38">
        <v>-428.16</v>
      </c>
      <c r="L38" t="s">
        <v>2917</v>
      </c>
      <c r="M38">
        <v>-2498.17</v>
      </c>
      <c r="N38" t="s">
        <v>2918</v>
      </c>
      <c r="O38" t="s">
        <v>11317</v>
      </c>
      <c r="P38" t="s">
        <v>2208</v>
      </c>
      <c r="Q38" t="s">
        <v>2926</v>
      </c>
      <c r="R38" t="s">
        <v>3312</v>
      </c>
      <c r="S38" t="s">
        <v>2208</v>
      </c>
      <c r="T38" t="s">
        <v>2208</v>
      </c>
    </row>
    <row r="39" spans="1:20">
      <c r="A39" t="s">
        <v>263</v>
      </c>
      <c r="B39" t="s">
        <v>11331</v>
      </c>
      <c r="C39">
        <v>45777</v>
      </c>
      <c r="D39" t="s">
        <v>7263</v>
      </c>
      <c r="E39" t="s">
        <v>11332</v>
      </c>
      <c r="F39">
        <v>45777</v>
      </c>
      <c r="G39" t="s">
        <v>2208</v>
      </c>
      <c r="H39" t="s">
        <v>2916</v>
      </c>
      <c r="I39" t="s">
        <v>16317</v>
      </c>
      <c r="J39">
        <v>0</v>
      </c>
      <c r="K39">
        <v>433.81</v>
      </c>
      <c r="L39" t="s">
        <v>2917</v>
      </c>
      <c r="M39">
        <v>2498.17</v>
      </c>
      <c r="N39" t="s">
        <v>2918</v>
      </c>
      <c r="O39" t="s">
        <v>16318</v>
      </c>
      <c r="P39" t="s">
        <v>2208</v>
      </c>
      <c r="Q39" t="s">
        <v>2926</v>
      </c>
      <c r="R39" t="s">
        <v>3312</v>
      </c>
      <c r="S39" t="s">
        <v>2208</v>
      </c>
      <c r="T39" t="s">
        <v>2208</v>
      </c>
    </row>
    <row r="40" spans="1:20">
      <c r="A40" t="s">
        <v>263</v>
      </c>
      <c r="B40" t="s">
        <v>11331</v>
      </c>
      <c r="C40">
        <v>45777</v>
      </c>
      <c r="D40" t="s">
        <v>7263</v>
      </c>
      <c r="E40" t="s">
        <v>11332</v>
      </c>
      <c r="F40">
        <v>45777</v>
      </c>
      <c r="G40" t="s">
        <v>2208</v>
      </c>
      <c r="H40" t="s">
        <v>2916</v>
      </c>
      <c r="I40" t="s">
        <v>16350</v>
      </c>
      <c r="J40">
        <v>0</v>
      </c>
      <c r="K40">
        <v>-5.65</v>
      </c>
      <c r="L40" t="s">
        <v>2917</v>
      </c>
      <c r="M40">
        <v>0</v>
      </c>
      <c r="N40" t="s">
        <v>2918</v>
      </c>
      <c r="O40" t="s">
        <v>2919</v>
      </c>
      <c r="P40" t="s">
        <v>2208</v>
      </c>
      <c r="Q40" t="s">
        <v>2916</v>
      </c>
      <c r="R40" t="s">
        <v>3220</v>
      </c>
      <c r="S40" t="s">
        <v>2208</v>
      </c>
      <c r="T40" t="s">
        <v>2208</v>
      </c>
    </row>
    <row r="41" spans="1:20">
      <c r="A41" t="s">
        <v>263</v>
      </c>
      <c r="B41" t="s">
        <v>16360</v>
      </c>
      <c r="C41">
        <v>45777</v>
      </c>
      <c r="D41" t="s">
        <v>7263</v>
      </c>
      <c r="E41" t="s">
        <v>16361</v>
      </c>
      <c r="F41">
        <v>45797</v>
      </c>
      <c r="G41" t="s">
        <v>2208</v>
      </c>
      <c r="H41" t="s">
        <v>2916</v>
      </c>
      <c r="I41" t="s">
        <v>17260</v>
      </c>
      <c r="J41">
        <v>0</v>
      </c>
      <c r="K41">
        <v>-433.81</v>
      </c>
      <c r="L41" t="s">
        <v>2917</v>
      </c>
      <c r="M41">
        <v>-2498.17</v>
      </c>
      <c r="N41" t="s">
        <v>2918</v>
      </c>
      <c r="O41" t="s">
        <v>16318</v>
      </c>
      <c r="P41" t="s">
        <v>2208</v>
      </c>
      <c r="Q41" t="s">
        <v>2926</v>
      </c>
      <c r="R41" t="s">
        <v>3312</v>
      </c>
      <c r="S41" t="s">
        <v>2208</v>
      </c>
      <c r="T41" t="s">
        <v>2208</v>
      </c>
    </row>
    <row r="42" spans="1:20">
      <c r="A42" t="s">
        <v>263</v>
      </c>
      <c r="B42" t="s">
        <v>16360</v>
      </c>
      <c r="C42">
        <v>45806</v>
      </c>
      <c r="D42" t="s">
        <v>7263</v>
      </c>
      <c r="E42" t="s">
        <v>16361</v>
      </c>
      <c r="F42">
        <v>45806</v>
      </c>
      <c r="G42" t="s">
        <v>2208</v>
      </c>
      <c r="H42" t="s">
        <v>2916</v>
      </c>
      <c r="I42" t="s">
        <v>17819</v>
      </c>
      <c r="J42">
        <v>0</v>
      </c>
      <c r="K42">
        <v>443.43</v>
      </c>
      <c r="L42" t="s">
        <v>2917</v>
      </c>
      <c r="M42">
        <v>2498.17</v>
      </c>
      <c r="N42" t="s">
        <v>2918</v>
      </c>
      <c r="O42" t="s">
        <v>17820</v>
      </c>
      <c r="P42" t="s">
        <v>2208</v>
      </c>
      <c r="Q42" t="s">
        <v>2926</v>
      </c>
      <c r="R42" t="s">
        <v>3312</v>
      </c>
      <c r="S42" t="s">
        <v>2208</v>
      </c>
      <c r="T42" t="s">
        <v>2208</v>
      </c>
    </row>
    <row r="43" spans="1:20">
      <c r="A43" t="s">
        <v>263</v>
      </c>
      <c r="B43" t="s">
        <v>16360</v>
      </c>
      <c r="C43">
        <v>45808</v>
      </c>
      <c r="D43" t="s">
        <v>7263</v>
      </c>
      <c r="E43" t="s">
        <v>16361</v>
      </c>
      <c r="F43">
        <v>45808</v>
      </c>
      <c r="G43" t="s">
        <v>2208</v>
      </c>
      <c r="H43" t="s">
        <v>2916</v>
      </c>
      <c r="I43" t="s">
        <v>17836</v>
      </c>
      <c r="J43">
        <v>0</v>
      </c>
      <c r="K43">
        <v>-9.6199999999999992</v>
      </c>
      <c r="L43" t="s">
        <v>2917</v>
      </c>
      <c r="M43">
        <v>0</v>
      </c>
      <c r="N43" t="s">
        <v>2918</v>
      </c>
      <c r="O43" t="s">
        <v>2919</v>
      </c>
      <c r="P43" t="s">
        <v>2208</v>
      </c>
      <c r="Q43" t="s">
        <v>2916</v>
      </c>
      <c r="R43" t="s">
        <v>3220</v>
      </c>
      <c r="S43" t="s">
        <v>2208</v>
      </c>
      <c r="T43" t="s">
        <v>2208</v>
      </c>
    </row>
    <row r="44" spans="1:20">
      <c r="A44" t="s">
        <v>263</v>
      </c>
      <c r="B44" t="s">
        <v>17897</v>
      </c>
      <c r="C44">
        <v>45806</v>
      </c>
      <c r="D44" t="s">
        <v>7263</v>
      </c>
      <c r="E44" t="s">
        <v>17898</v>
      </c>
      <c r="F44">
        <v>45818</v>
      </c>
      <c r="G44" t="s">
        <v>2208</v>
      </c>
      <c r="H44" t="s">
        <v>2916</v>
      </c>
      <c r="I44" t="s">
        <v>18535</v>
      </c>
      <c r="J44">
        <v>0</v>
      </c>
      <c r="K44">
        <v>-443.43</v>
      </c>
      <c r="L44" t="s">
        <v>2917</v>
      </c>
      <c r="M44">
        <v>-2498.17</v>
      </c>
      <c r="N44" t="s">
        <v>2918</v>
      </c>
      <c r="O44" t="s">
        <v>17820</v>
      </c>
      <c r="P44" t="s">
        <v>2208</v>
      </c>
      <c r="Q44" t="s">
        <v>2926</v>
      </c>
      <c r="R44" t="s">
        <v>3312</v>
      </c>
      <c r="S44" t="s">
        <v>2208</v>
      </c>
      <c r="T44" t="s">
        <v>2208</v>
      </c>
    </row>
    <row r="45" spans="1:20">
      <c r="A45" t="s">
        <v>263</v>
      </c>
      <c r="B45" t="s">
        <v>17897</v>
      </c>
      <c r="C45">
        <v>45838</v>
      </c>
      <c r="D45" t="s">
        <v>7263</v>
      </c>
      <c r="E45" t="s">
        <v>17898</v>
      </c>
      <c r="F45">
        <v>45838</v>
      </c>
      <c r="G45" t="s">
        <v>2208</v>
      </c>
      <c r="H45" t="s">
        <v>2916</v>
      </c>
      <c r="I45" t="s">
        <v>19236</v>
      </c>
      <c r="J45">
        <v>0</v>
      </c>
      <c r="K45">
        <v>440.18</v>
      </c>
      <c r="L45" t="s">
        <v>2917</v>
      </c>
      <c r="M45">
        <v>2498.17</v>
      </c>
      <c r="N45" t="s">
        <v>2918</v>
      </c>
      <c r="O45" t="s">
        <v>19237</v>
      </c>
      <c r="P45" t="s">
        <v>2208</v>
      </c>
      <c r="Q45" t="s">
        <v>2926</v>
      </c>
      <c r="R45" t="s">
        <v>3312</v>
      </c>
      <c r="S45" t="s">
        <v>2208</v>
      </c>
      <c r="T45" t="s">
        <v>2208</v>
      </c>
    </row>
    <row r="46" spans="1:20">
      <c r="A46" t="s">
        <v>263</v>
      </c>
      <c r="B46" t="s">
        <v>17897</v>
      </c>
      <c r="C46">
        <v>45838</v>
      </c>
      <c r="D46" t="s">
        <v>7263</v>
      </c>
      <c r="E46" t="s">
        <v>17898</v>
      </c>
      <c r="F46">
        <v>45838</v>
      </c>
      <c r="G46" t="s">
        <v>2208</v>
      </c>
      <c r="H46" t="s">
        <v>2916</v>
      </c>
      <c r="I46" t="s">
        <v>19238</v>
      </c>
      <c r="J46">
        <v>0</v>
      </c>
      <c r="K46">
        <v>3.25</v>
      </c>
      <c r="L46" t="s">
        <v>2917</v>
      </c>
      <c r="M46">
        <v>0</v>
      </c>
      <c r="N46" t="s">
        <v>2918</v>
      </c>
      <c r="O46" t="s">
        <v>2919</v>
      </c>
      <c r="P46" t="s">
        <v>2208</v>
      </c>
      <c r="Q46" t="s">
        <v>2916</v>
      </c>
      <c r="R46" t="s">
        <v>3220</v>
      </c>
      <c r="S46" t="s">
        <v>2208</v>
      </c>
      <c r="T46" t="s">
        <v>2208</v>
      </c>
    </row>
    <row r="47" spans="1:20">
      <c r="A47" t="s">
        <v>263</v>
      </c>
      <c r="B47" t="s">
        <v>9126</v>
      </c>
      <c r="C47">
        <v>45744</v>
      </c>
      <c r="D47" t="s">
        <v>7263</v>
      </c>
      <c r="E47" t="s">
        <v>9127</v>
      </c>
      <c r="F47">
        <v>45744</v>
      </c>
      <c r="G47" t="s">
        <v>2208</v>
      </c>
      <c r="H47" t="s">
        <v>2916</v>
      </c>
      <c r="I47" t="s">
        <v>11319</v>
      </c>
      <c r="J47">
        <v>0</v>
      </c>
      <c r="K47">
        <v>558.39</v>
      </c>
      <c r="L47" t="s">
        <v>2917</v>
      </c>
      <c r="M47">
        <v>3258.03</v>
      </c>
      <c r="N47" t="s">
        <v>2918</v>
      </c>
      <c r="O47" t="s">
        <v>11320</v>
      </c>
      <c r="P47" t="s">
        <v>2208</v>
      </c>
      <c r="Q47" t="s">
        <v>2927</v>
      </c>
      <c r="R47" t="s">
        <v>3222</v>
      </c>
      <c r="S47" t="s">
        <v>2208</v>
      </c>
      <c r="T47" t="s">
        <v>2208</v>
      </c>
    </row>
    <row r="48" spans="1:20">
      <c r="A48" t="s">
        <v>263</v>
      </c>
      <c r="B48" t="s">
        <v>17897</v>
      </c>
      <c r="C48">
        <v>45798</v>
      </c>
      <c r="D48" t="s">
        <v>7263</v>
      </c>
      <c r="E48" t="s">
        <v>17898</v>
      </c>
      <c r="F48">
        <v>45826</v>
      </c>
      <c r="G48" t="s">
        <v>18536</v>
      </c>
      <c r="H48" t="s">
        <v>2916</v>
      </c>
      <c r="I48" t="s">
        <v>18537</v>
      </c>
      <c r="J48">
        <v>1491.6</v>
      </c>
      <c r="K48">
        <v>262.82</v>
      </c>
      <c r="L48" t="s">
        <v>2917</v>
      </c>
      <c r="M48">
        <v>1491.6</v>
      </c>
      <c r="N48" t="s">
        <v>2918</v>
      </c>
      <c r="O48" t="s">
        <v>8443</v>
      </c>
      <c r="P48" t="s">
        <v>8443</v>
      </c>
      <c r="Q48" t="s">
        <v>2924</v>
      </c>
      <c r="R48" t="s">
        <v>3219</v>
      </c>
      <c r="S48" t="s">
        <v>2208</v>
      </c>
      <c r="T48" t="s">
        <v>2208</v>
      </c>
    </row>
    <row r="49" spans="1:20">
      <c r="A49" t="s">
        <v>263</v>
      </c>
      <c r="B49" t="s">
        <v>17897</v>
      </c>
      <c r="C49">
        <v>45798</v>
      </c>
      <c r="D49" t="s">
        <v>7263</v>
      </c>
      <c r="E49" t="s">
        <v>17898</v>
      </c>
      <c r="F49">
        <v>45826</v>
      </c>
      <c r="G49" t="s">
        <v>18536</v>
      </c>
      <c r="H49" t="s">
        <v>2916</v>
      </c>
      <c r="I49" t="s">
        <v>18538</v>
      </c>
      <c r="J49">
        <v>14412.4</v>
      </c>
      <c r="K49">
        <v>2539.46</v>
      </c>
      <c r="L49" t="s">
        <v>2917</v>
      </c>
      <c r="M49">
        <v>14412.4</v>
      </c>
      <c r="N49" t="s">
        <v>2918</v>
      </c>
      <c r="O49" t="s">
        <v>8443</v>
      </c>
      <c r="P49" t="s">
        <v>8443</v>
      </c>
      <c r="Q49" t="s">
        <v>2924</v>
      </c>
      <c r="R49" t="s">
        <v>3219</v>
      </c>
      <c r="S49" t="s">
        <v>2208</v>
      </c>
      <c r="T49" t="s">
        <v>2208</v>
      </c>
    </row>
    <row r="50" spans="1:20">
      <c r="A50" t="s">
        <v>263</v>
      </c>
      <c r="B50" t="s">
        <v>2920</v>
      </c>
      <c r="C50">
        <v>45680</v>
      </c>
      <c r="D50" t="s">
        <v>7263</v>
      </c>
      <c r="E50" t="s">
        <v>2921</v>
      </c>
      <c r="F50">
        <v>45680</v>
      </c>
      <c r="G50" t="s">
        <v>2208</v>
      </c>
      <c r="H50" t="s">
        <v>2916</v>
      </c>
      <c r="I50" t="s">
        <v>7479</v>
      </c>
      <c r="J50">
        <v>0</v>
      </c>
      <c r="K50">
        <v>-5671.51</v>
      </c>
      <c r="L50" t="s">
        <v>2917</v>
      </c>
      <c r="M50">
        <v>-35024.43</v>
      </c>
      <c r="N50" t="s">
        <v>2918</v>
      </c>
      <c r="O50" t="s">
        <v>7480</v>
      </c>
      <c r="P50" t="s">
        <v>2208</v>
      </c>
      <c r="Q50" t="s">
        <v>2926</v>
      </c>
      <c r="R50" t="s">
        <v>3312</v>
      </c>
      <c r="S50" t="s">
        <v>2208</v>
      </c>
      <c r="T50" t="s">
        <v>2208</v>
      </c>
    </row>
    <row r="51" spans="1:20">
      <c r="A51" t="s">
        <v>263</v>
      </c>
      <c r="B51" t="s">
        <v>2920</v>
      </c>
      <c r="C51">
        <v>45684</v>
      </c>
      <c r="D51" t="s">
        <v>7263</v>
      </c>
      <c r="E51" t="s">
        <v>2921</v>
      </c>
      <c r="F51">
        <v>45684</v>
      </c>
      <c r="G51" t="s">
        <v>2208</v>
      </c>
      <c r="H51" t="s">
        <v>2916</v>
      </c>
      <c r="I51" t="s">
        <v>7481</v>
      </c>
      <c r="J51">
        <v>0</v>
      </c>
      <c r="K51">
        <v>117.4</v>
      </c>
      <c r="L51" t="s">
        <v>2917</v>
      </c>
      <c r="M51">
        <v>725</v>
      </c>
      <c r="N51" t="s">
        <v>2918</v>
      </c>
      <c r="O51" t="s">
        <v>7482</v>
      </c>
      <c r="P51" t="s">
        <v>2208</v>
      </c>
      <c r="Q51" t="s">
        <v>7483</v>
      </c>
      <c r="R51" t="s">
        <v>7484</v>
      </c>
      <c r="S51" t="s">
        <v>2208</v>
      </c>
      <c r="T51" t="s">
        <v>2208</v>
      </c>
    </row>
    <row r="52" spans="1:20">
      <c r="A52" t="s">
        <v>263</v>
      </c>
      <c r="B52" t="s">
        <v>2920</v>
      </c>
      <c r="C52">
        <v>45686</v>
      </c>
      <c r="D52" t="s">
        <v>7263</v>
      </c>
      <c r="E52" t="s">
        <v>2921</v>
      </c>
      <c r="F52">
        <v>45686</v>
      </c>
      <c r="G52" t="s">
        <v>2208</v>
      </c>
      <c r="H52" t="s">
        <v>2916</v>
      </c>
      <c r="I52" t="s">
        <v>7485</v>
      </c>
      <c r="J52">
        <v>0</v>
      </c>
      <c r="K52">
        <v>1055.1500000000001</v>
      </c>
      <c r="L52" t="s">
        <v>2917</v>
      </c>
      <c r="M52">
        <v>6516.06</v>
      </c>
      <c r="N52" t="s">
        <v>2918</v>
      </c>
      <c r="O52" t="s">
        <v>3313</v>
      </c>
      <c r="P52" t="s">
        <v>2208</v>
      </c>
      <c r="Q52" t="s">
        <v>2929</v>
      </c>
      <c r="R52" t="s">
        <v>3228</v>
      </c>
      <c r="S52" t="s">
        <v>2208</v>
      </c>
      <c r="T52" t="s">
        <v>2208</v>
      </c>
    </row>
    <row r="53" spans="1:20">
      <c r="A53" t="s">
        <v>263</v>
      </c>
      <c r="B53" t="s">
        <v>2920</v>
      </c>
      <c r="C53">
        <v>45686</v>
      </c>
      <c r="D53" t="s">
        <v>7263</v>
      </c>
      <c r="E53" t="s">
        <v>2921</v>
      </c>
      <c r="F53">
        <v>45686</v>
      </c>
      <c r="G53" t="s">
        <v>2208</v>
      </c>
      <c r="H53" t="s">
        <v>2916</v>
      </c>
      <c r="I53" t="s">
        <v>7486</v>
      </c>
      <c r="J53">
        <v>0</v>
      </c>
      <c r="K53">
        <v>-209790.86</v>
      </c>
      <c r="L53" t="s">
        <v>2917</v>
      </c>
      <c r="M53">
        <v>-1295565.0900000001</v>
      </c>
      <c r="N53" t="s">
        <v>2918</v>
      </c>
      <c r="O53" t="s">
        <v>7487</v>
      </c>
      <c r="P53" t="s">
        <v>2208</v>
      </c>
      <c r="Q53" t="s">
        <v>2916</v>
      </c>
      <c r="R53" t="s">
        <v>3220</v>
      </c>
      <c r="S53" t="s">
        <v>2208</v>
      </c>
      <c r="T53" t="s">
        <v>2208</v>
      </c>
    </row>
    <row r="54" spans="1:20">
      <c r="A54" t="s">
        <v>263</v>
      </c>
      <c r="B54" t="s">
        <v>2920</v>
      </c>
      <c r="C54">
        <v>45686</v>
      </c>
      <c r="D54" t="s">
        <v>7263</v>
      </c>
      <c r="E54" t="s">
        <v>2921</v>
      </c>
      <c r="F54">
        <v>45686</v>
      </c>
      <c r="G54" t="s">
        <v>2208</v>
      </c>
      <c r="H54" t="s">
        <v>2916</v>
      </c>
      <c r="I54" t="s">
        <v>7486</v>
      </c>
      <c r="J54">
        <v>0</v>
      </c>
      <c r="K54">
        <v>297356.31</v>
      </c>
      <c r="L54" t="s">
        <v>2917</v>
      </c>
      <c r="M54">
        <v>1836326.27</v>
      </c>
      <c r="N54" t="s">
        <v>2918</v>
      </c>
      <c r="O54" t="s">
        <v>7487</v>
      </c>
      <c r="P54" t="s">
        <v>2208</v>
      </c>
      <c r="Q54" t="s">
        <v>2949</v>
      </c>
      <c r="R54" t="s">
        <v>3224</v>
      </c>
      <c r="S54" t="s">
        <v>2208</v>
      </c>
      <c r="T54" t="s">
        <v>2208</v>
      </c>
    </row>
    <row r="55" spans="1:20">
      <c r="A55" t="s">
        <v>263</v>
      </c>
      <c r="B55" t="s">
        <v>2920</v>
      </c>
      <c r="C55">
        <v>45687</v>
      </c>
      <c r="D55" t="s">
        <v>7263</v>
      </c>
      <c r="E55" t="s">
        <v>2921</v>
      </c>
      <c r="F55">
        <v>45687</v>
      </c>
      <c r="G55" t="s">
        <v>2208</v>
      </c>
      <c r="H55" t="s">
        <v>2916</v>
      </c>
      <c r="I55" t="s">
        <v>7488</v>
      </c>
      <c r="J55">
        <v>0</v>
      </c>
      <c r="K55">
        <v>-10480.75</v>
      </c>
      <c r="L55" t="s">
        <v>2917</v>
      </c>
      <c r="M55">
        <v>-64723.95</v>
      </c>
      <c r="N55" t="s">
        <v>2918</v>
      </c>
      <c r="O55" t="s">
        <v>7489</v>
      </c>
      <c r="P55" t="s">
        <v>2208</v>
      </c>
      <c r="Q55" t="s">
        <v>7490</v>
      </c>
      <c r="R55" t="s">
        <v>7491</v>
      </c>
      <c r="S55" t="s">
        <v>2208</v>
      </c>
      <c r="T55" t="s">
        <v>2208</v>
      </c>
    </row>
    <row r="56" spans="1:20">
      <c r="A56" t="s">
        <v>263</v>
      </c>
      <c r="B56" t="s">
        <v>2920</v>
      </c>
      <c r="C56">
        <v>45688</v>
      </c>
      <c r="D56" t="s">
        <v>7263</v>
      </c>
      <c r="E56" t="s">
        <v>2921</v>
      </c>
      <c r="F56">
        <v>45688</v>
      </c>
      <c r="G56" t="s">
        <v>2208</v>
      </c>
      <c r="H56" t="s">
        <v>2916</v>
      </c>
      <c r="I56" t="s">
        <v>7492</v>
      </c>
      <c r="J56">
        <v>0</v>
      </c>
      <c r="K56">
        <v>0.03</v>
      </c>
      <c r="L56" t="s">
        <v>2917</v>
      </c>
      <c r="M56">
        <v>0</v>
      </c>
      <c r="N56" t="s">
        <v>2918</v>
      </c>
      <c r="O56" t="s">
        <v>2919</v>
      </c>
      <c r="P56" t="s">
        <v>2208</v>
      </c>
      <c r="Q56" t="s">
        <v>2916</v>
      </c>
      <c r="R56" t="s">
        <v>3220</v>
      </c>
      <c r="S56" t="s">
        <v>2208</v>
      </c>
      <c r="T56" t="s">
        <v>2208</v>
      </c>
    </row>
    <row r="57" spans="1:20">
      <c r="A57" t="s">
        <v>263</v>
      </c>
      <c r="B57" t="s">
        <v>7740</v>
      </c>
      <c r="C57">
        <v>45686</v>
      </c>
      <c r="D57" t="s">
        <v>7263</v>
      </c>
      <c r="E57" t="s">
        <v>2925</v>
      </c>
      <c r="F57">
        <v>45701</v>
      </c>
      <c r="G57" t="s">
        <v>2208</v>
      </c>
      <c r="H57" t="s">
        <v>2916</v>
      </c>
      <c r="I57" t="s">
        <v>8551</v>
      </c>
      <c r="J57">
        <v>0</v>
      </c>
      <c r="K57">
        <v>-1055.1500000000001</v>
      </c>
      <c r="L57" t="s">
        <v>2917</v>
      </c>
      <c r="M57">
        <v>-6516.06</v>
      </c>
      <c r="N57" t="s">
        <v>2918</v>
      </c>
      <c r="O57" t="s">
        <v>3313</v>
      </c>
      <c r="P57" t="s">
        <v>2208</v>
      </c>
      <c r="Q57" t="s">
        <v>2929</v>
      </c>
      <c r="R57" t="s">
        <v>3228</v>
      </c>
      <c r="S57" t="s">
        <v>2208</v>
      </c>
      <c r="T57" t="s">
        <v>2208</v>
      </c>
    </row>
    <row r="58" spans="1:20">
      <c r="A58" t="s">
        <v>263</v>
      </c>
      <c r="B58" t="s">
        <v>7740</v>
      </c>
      <c r="C58">
        <v>45716</v>
      </c>
      <c r="D58" t="s">
        <v>7263</v>
      </c>
      <c r="E58" t="s">
        <v>2925</v>
      </c>
      <c r="F58">
        <v>45716</v>
      </c>
      <c r="G58" t="s">
        <v>2208</v>
      </c>
      <c r="H58" t="s">
        <v>2916</v>
      </c>
      <c r="I58" t="s">
        <v>9121</v>
      </c>
      <c r="J58">
        <v>0</v>
      </c>
      <c r="K58">
        <v>-65.28</v>
      </c>
      <c r="L58" t="s">
        <v>2917</v>
      </c>
      <c r="M58">
        <v>0</v>
      </c>
      <c r="N58" t="s">
        <v>2918</v>
      </c>
      <c r="O58" t="s">
        <v>2919</v>
      </c>
      <c r="P58" t="s">
        <v>2208</v>
      </c>
      <c r="Q58" t="s">
        <v>2916</v>
      </c>
      <c r="R58" t="s">
        <v>3220</v>
      </c>
      <c r="S58" t="s">
        <v>2208</v>
      </c>
      <c r="T58" t="s">
        <v>2208</v>
      </c>
    </row>
    <row r="59" spans="1:20">
      <c r="A59" t="s">
        <v>655</v>
      </c>
      <c r="B59" t="s">
        <v>9126</v>
      </c>
      <c r="C59">
        <v>45062</v>
      </c>
      <c r="D59" t="s">
        <v>7263</v>
      </c>
      <c r="E59" t="s">
        <v>9127</v>
      </c>
      <c r="F59">
        <v>45741</v>
      </c>
      <c r="G59" t="s">
        <v>11068</v>
      </c>
      <c r="H59" t="s">
        <v>2916</v>
      </c>
      <c r="I59" t="s">
        <v>11069</v>
      </c>
      <c r="J59">
        <v>24620.880000000001</v>
      </c>
      <c r="K59">
        <v>4219.7700000000004</v>
      </c>
      <c r="L59" t="s">
        <v>2917</v>
      </c>
      <c r="M59">
        <v>24620.880000000001</v>
      </c>
      <c r="N59" t="s">
        <v>2918</v>
      </c>
      <c r="O59" t="s">
        <v>2923</v>
      </c>
      <c r="P59" t="s">
        <v>2923</v>
      </c>
      <c r="Q59" t="s">
        <v>2924</v>
      </c>
      <c r="R59" t="s">
        <v>3219</v>
      </c>
      <c r="S59" t="s">
        <v>2208</v>
      </c>
      <c r="T59" t="s">
        <v>2208</v>
      </c>
    </row>
    <row r="60" spans="1:20">
      <c r="A60" t="s">
        <v>655</v>
      </c>
      <c r="B60" t="s">
        <v>9126</v>
      </c>
      <c r="C60">
        <v>45741</v>
      </c>
      <c r="D60" t="s">
        <v>7263</v>
      </c>
      <c r="E60" t="s">
        <v>9127</v>
      </c>
      <c r="F60">
        <v>45743</v>
      </c>
      <c r="G60" t="s">
        <v>11068</v>
      </c>
      <c r="H60" t="s">
        <v>2916</v>
      </c>
      <c r="I60" t="s">
        <v>11321</v>
      </c>
      <c r="J60">
        <v>0</v>
      </c>
      <c r="K60">
        <v>-390.33</v>
      </c>
      <c r="L60" t="s">
        <v>2917</v>
      </c>
      <c r="M60">
        <v>-2277.4299999999998</v>
      </c>
      <c r="N60" t="s">
        <v>2918</v>
      </c>
      <c r="O60" t="s">
        <v>11322</v>
      </c>
      <c r="P60" t="s">
        <v>2923</v>
      </c>
      <c r="Q60" t="s">
        <v>2924</v>
      </c>
      <c r="R60" t="s">
        <v>3219</v>
      </c>
      <c r="S60" t="s">
        <v>2208</v>
      </c>
      <c r="T60" t="s">
        <v>2208</v>
      </c>
    </row>
    <row r="61" spans="1:20">
      <c r="A61" t="s">
        <v>655</v>
      </c>
      <c r="B61" t="s">
        <v>9126</v>
      </c>
      <c r="C61">
        <v>45747</v>
      </c>
      <c r="D61" t="s">
        <v>7263</v>
      </c>
      <c r="E61" t="s">
        <v>9127</v>
      </c>
      <c r="F61">
        <v>45747</v>
      </c>
      <c r="G61" t="s">
        <v>2208</v>
      </c>
      <c r="H61" t="s">
        <v>2916</v>
      </c>
      <c r="I61" t="s">
        <v>11323</v>
      </c>
      <c r="J61">
        <v>0</v>
      </c>
      <c r="K61">
        <v>-7.0000000000000007E-2</v>
      </c>
      <c r="L61" t="s">
        <v>2917</v>
      </c>
      <c r="M61">
        <v>0</v>
      </c>
      <c r="N61" t="s">
        <v>2918</v>
      </c>
      <c r="O61" t="s">
        <v>2919</v>
      </c>
      <c r="P61" t="s">
        <v>2208</v>
      </c>
      <c r="Q61" t="s">
        <v>2916</v>
      </c>
      <c r="R61" t="s">
        <v>3220</v>
      </c>
      <c r="S61" t="s">
        <v>2208</v>
      </c>
      <c r="T61" t="s">
        <v>2208</v>
      </c>
    </row>
    <row r="62" spans="1:20">
      <c r="A62" t="s">
        <v>655</v>
      </c>
      <c r="B62" t="s">
        <v>11331</v>
      </c>
      <c r="C62">
        <v>45762</v>
      </c>
      <c r="D62" t="s">
        <v>7263</v>
      </c>
      <c r="E62" t="s">
        <v>11332</v>
      </c>
      <c r="F62">
        <v>45762</v>
      </c>
      <c r="G62" t="s">
        <v>12253</v>
      </c>
      <c r="H62" t="s">
        <v>2916</v>
      </c>
      <c r="I62" t="s">
        <v>12254</v>
      </c>
      <c r="J62">
        <v>3</v>
      </c>
      <c r="K62">
        <v>789.57</v>
      </c>
      <c r="L62" t="s">
        <v>2917</v>
      </c>
      <c r="M62">
        <v>4546.8900000000003</v>
      </c>
      <c r="N62" t="s">
        <v>2918</v>
      </c>
      <c r="O62" t="s">
        <v>12255</v>
      </c>
      <c r="P62" t="s">
        <v>12256</v>
      </c>
      <c r="Q62" t="s">
        <v>2924</v>
      </c>
      <c r="R62" t="s">
        <v>3219</v>
      </c>
      <c r="S62" t="s">
        <v>12257</v>
      </c>
      <c r="T62" t="s">
        <v>12258</v>
      </c>
    </row>
    <row r="63" spans="1:20">
      <c r="A63" t="s">
        <v>655</v>
      </c>
      <c r="B63" t="s">
        <v>11331</v>
      </c>
      <c r="C63">
        <v>45762</v>
      </c>
      <c r="D63" t="s">
        <v>7263</v>
      </c>
      <c r="E63" t="s">
        <v>11332</v>
      </c>
      <c r="F63">
        <v>45762</v>
      </c>
      <c r="G63" t="s">
        <v>12253</v>
      </c>
      <c r="H63" t="s">
        <v>2916</v>
      </c>
      <c r="I63" t="s">
        <v>12259</v>
      </c>
      <c r="J63">
        <v>0</v>
      </c>
      <c r="K63">
        <v>-73.040000000000006</v>
      </c>
      <c r="L63" t="s">
        <v>2917</v>
      </c>
      <c r="M63">
        <v>-420.58</v>
      </c>
      <c r="N63" t="s">
        <v>2918</v>
      </c>
      <c r="O63" t="s">
        <v>12260</v>
      </c>
      <c r="P63" t="s">
        <v>12256</v>
      </c>
      <c r="Q63" t="s">
        <v>2924</v>
      </c>
      <c r="R63" t="s">
        <v>3219</v>
      </c>
      <c r="S63" t="s">
        <v>12257</v>
      </c>
      <c r="T63" t="s">
        <v>12258</v>
      </c>
    </row>
    <row r="64" spans="1:20">
      <c r="A64" t="s">
        <v>655</v>
      </c>
      <c r="B64" t="s">
        <v>11331</v>
      </c>
      <c r="C64">
        <v>45764</v>
      </c>
      <c r="D64" t="s">
        <v>7263</v>
      </c>
      <c r="E64" t="s">
        <v>11332</v>
      </c>
      <c r="F64">
        <v>45764</v>
      </c>
      <c r="G64" t="s">
        <v>12261</v>
      </c>
      <c r="H64" t="s">
        <v>2916</v>
      </c>
      <c r="I64" t="s">
        <v>12262</v>
      </c>
      <c r="J64">
        <v>1</v>
      </c>
      <c r="K64">
        <v>956.53</v>
      </c>
      <c r="L64" t="s">
        <v>2917</v>
      </c>
      <c r="M64">
        <v>5508.39</v>
      </c>
      <c r="N64" t="s">
        <v>2918</v>
      </c>
      <c r="O64" t="s">
        <v>12263</v>
      </c>
      <c r="P64" t="s">
        <v>12264</v>
      </c>
      <c r="Q64" t="s">
        <v>2924</v>
      </c>
      <c r="R64" t="s">
        <v>3219</v>
      </c>
      <c r="S64" t="s">
        <v>12265</v>
      </c>
      <c r="T64" t="s">
        <v>12266</v>
      </c>
    </row>
    <row r="65" spans="1:20">
      <c r="A65" t="s">
        <v>655</v>
      </c>
      <c r="B65" t="s">
        <v>11331</v>
      </c>
      <c r="C65">
        <v>45764</v>
      </c>
      <c r="D65" t="s">
        <v>7263</v>
      </c>
      <c r="E65" t="s">
        <v>11332</v>
      </c>
      <c r="F65">
        <v>45764</v>
      </c>
      <c r="G65" t="s">
        <v>12261</v>
      </c>
      <c r="H65" t="s">
        <v>2916</v>
      </c>
      <c r="I65" t="s">
        <v>12262</v>
      </c>
      <c r="J65">
        <v>1</v>
      </c>
      <c r="K65">
        <v>834.61</v>
      </c>
      <c r="L65" t="s">
        <v>2917</v>
      </c>
      <c r="M65">
        <v>4806.29</v>
      </c>
      <c r="N65" t="s">
        <v>2918</v>
      </c>
      <c r="O65" t="s">
        <v>12263</v>
      </c>
      <c r="P65" t="s">
        <v>12267</v>
      </c>
      <c r="Q65" t="s">
        <v>2924</v>
      </c>
      <c r="R65" t="s">
        <v>3219</v>
      </c>
      <c r="S65" t="s">
        <v>12268</v>
      </c>
      <c r="T65" t="s">
        <v>12269</v>
      </c>
    </row>
    <row r="66" spans="1:20">
      <c r="A66" t="s">
        <v>655</v>
      </c>
      <c r="B66" t="s">
        <v>11331</v>
      </c>
      <c r="C66">
        <v>45764</v>
      </c>
      <c r="D66" t="s">
        <v>7263</v>
      </c>
      <c r="E66" t="s">
        <v>11332</v>
      </c>
      <c r="F66">
        <v>45764</v>
      </c>
      <c r="G66" t="s">
        <v>12261</v>
      </c>
      <c r="H66" t="s">
        <v>2916</v>
      </c>
      <c r="I66" t="s">
        <v>12270</v>
      </c>
      <c r="J66">
        <v>0</v>
      </c>
      <c r="K66">
        <v>-72.55</v>
      </c>
      <c r="L66" t="s">
        <v>2917</v>
      </c>
      <c r="M66">
        <v>-417.81</v>
      </c>
      <c r="N66" t="s">
        <v>2918</v>
      </c>
      <c r="O66" t="s">
        <v>12271</v>
      </c>
      <c r="P66" t="s">
        <v>12264</v>
      </c>
      <c r="Q66" t="s">
        <v>2924</v>
      </c>
      <c r="R66" t="s">
        <v>3219</v>
      </c>
      <c r="S66" t="s">
        <v>12265</v>
      </c>
      <c r="T66" t="s">
        <v>12266</v>
      </c>
    </row>
    <row r="67" spans="1:20">
      <c r="A67" t="s">
        <v>655</v>
      </c>
      <c r="B67" t="s">
        <v>11331</v>
      </c>
      <c r="C67">
        <v>45764</v>
      </c>
      <c r="D67" t="s">
        <v>7263</v>
      </c>
      <c r="E67" t="s">
        <v>11332</v>
      </c>
      <c r="F67">
        <v>45764</v>
      </c>
      <c r="G67" t="s">
        <v>12261</v>
      </c>
      <c r="H67" t="s">
        <v>2916</v>
      </c>
      <c r="I67" t="s">
        <v>12270</v>
      </c>
      <c r="J67">
        <v>0</v>
      </c>
      <c r="K67">
        <v>-63.3</v>
      </c>
      <c r="L67" t="s">
        <v>2917</v>
      </c>
      <c r="M67">
        <v>-364.56</v>
      </c>
      <c r="N67" t="s">
        <v>2918</v>
      </c>
      <c r="O67" t="s">
        <v>12271</v>
      </c>
      <c r="P67" t="s">
        <v>12267</v>
      </c>
      <c r="Q67" t="s">
        <v>2924</v>
      </c>
      <c r="R67" t="s">
        <v>3219</v>
      </c>
      <c r="S67" t="s">
        <v>12268</v>
      </c>
      <c r="T67" t="s">
        <v>12269</v>
      </c>
    </row>
    <row r="68" spans="1:20">
      <c r="A68" t="s">
        <v>655</v>
      </c>
      <c r="B68" t="s">
        <v>11331</v>
      </c>
      <c r="C68">
        <v>45764</v>
      </c>
      <c r="D68" t="s">
        <v>7263</v>
      </c>
      <c r="E68" t="s">
        <v>11332</v>
      </c>
      <c r="F68">
        <v>45764</v>
      </c>
      <c r="G68" t="s">
        <v>12261</v>
      </c>
      <c r="H68" t="s">
        <v>2916</v>
      </c>
      <c r="I68" t="s">
        <v>15865</v>
      </c>
      <c r="J68">
        <v>0</v>
      </c>
      <c r="K68">
        <v>72.55</v>
      </c>
      <c r="L68" t="s">
        <v>2917</v>
      </c>
      <c r="M68">
        <v>417.81</v>
      </c>
      <c r="N68" t="s">
        <v>2918</v>
      </c>
      <c r="O68" t="s">
        <v>15866</v>
      </c>
      <c r="P68" t="s">
        <v>12264</v>
      </c>
      <c r="Q68" t="s">
        <v>2924</v>
      </c>
      <c r="R68" t="s">
        <v>3219</v>
      </c>
      <c r="S68" t="s">
        <v>12265</v>
      </c>
      <c r="T68" t="s">
        <v>12266</v>
      </c>
    </row>
    <row r="69" spans="1:20">
      <c r="A69" t="s">
        <v>655</v>
      </c>
      <c r="B69" t="s">
        <v>11331</v>
      </c>
      <c r="C69">
        <v>45764</v>
      </c>
      <c r="D69" t="s">
        <v>7263</v>
      </c>
      <c r="E69" t="s">
        <v>11332</v>
      </c>
      <c r="F69">
        <v>45764</v>
      </c>
      <c r="G69" t="s">
        <v>12261</v>
      </c>
      <c r="H69" t="s">
        <v>2916</v>
      </c>
      <c r="I69" t="s">
        <v>15865</v>
      </c>
      <c r="J69">
        <v>0</v>
      </c>
      <c r="K69">
        <v>63.3</v>
      </c>
      <c r="L69" t="s">
        <v>2917</v>
      </c>
      <c r="M69">
        <v>364.56</v>
      </c>
      <c r="N69" t="s">
        <v>2918</v>
      </c>
      <c r="O69" t="s">
        <v>15866</v>
      </c>
      <c r="P69" t="s">
        <v>12267</v>
      </c>
      <c r="Q69" t="s">
        <v>2924</v>
      </c>
      <c r="R69" t="s">
        <v>3219</v>
      </c>
      <c r="S69" t="s">
        <v>12268</v>
      </c>
      <c r="T69" t="s">
        <v>12269</v>
      </c>
    </row>
    <row r="70" spans="1:20">
      <c r="A70" t="s">
        <v>655</v>
      </c>
      <c r="B70" t="s">
        <v>11331</v>
      </c>
      <c r="C70">
        <v>45764</v>
      </c>
      <c r="D70" t="s">
        <v>7263</v>
      </c>
      <c r="E70" t="s">
        <v>11332</v>
      </c>
      <c r="F70">
        <v>45770</v>
      </c>
      <c r="G70" t="s">
        <v>12261</v>
      </c>
      <c r="H70" t="s">
        <v>2916</v>
      </c>
      <c r="I70" t="s">
        <v>15867</v>
      </c>
      <c r="J70">
        <v>0</v>
      </c>
      <c r="K70">
        <v>-244.73</v>
      </c>
      <c r="L70" t="s">
        <v>2917</v>
      </c>
      <c r="M70">
        <v>-1409.32</v>
      </c>
      <c r="N70" t="s">
        <v>2918</v>
      </c>
      <c r="O70" t="s">
        <v>15866</v>
      </c>
      <c r="P70" t="s">
        <v>12264</v>
      </c>
      <c r="Q70" t="s">
        <v>2924</v>
      </c>
      <c r="R70" t="s">
        <v>3219</v>
      </c>
      <c r="S70" t="s">
        <v>12265</v>
      </c>
      <c r="T70" t="s">
        <v>12266</v>
      </c>
    </row>
    <row r="71" spans="1:20">
      <c r="A71" t="s">
        <v>655</v>
      </c>
      <c r="B71" t="s">
        <v>11331</v>
      </c>
      <c r="C71">
        <v>45764</v>
      </c>
      <c r="D71" t="s">
        <v>7263</v>
      </c>
      <c r="E71" t="s">
        <v>11332</v>
      </c>
      <c r="F71">
        <v>45770</v>
      </c>
      <c r="G71" t="s">
        <v>12261</v>
      </c>
      <c r="H71" t="s">
        <v>2916</v>
      </c>
      <c r="I71" t="s">
        <v>15867</v>
      </c>
      <c r="J71">
        <v>0</v>
      </c>
      <c r="K71">
        <v>-213.53</v>
      </c>
      <c r="L71" t="s">
        <v>2917</v>
      </c>
      <c r="M71">
        <v>-1229.69</v>
      </c>
      <c r="N71" t="s">
        <v>2918</v>
      </c>
      <c r="O71" t="s">
        <v>15866</v>
      </c>
      <c r="P71" t="s">
        <v>12267</v>
      </c>
      <c r="Q71" t="s">
        <v>2924</v>
      </c>
      <c r="R71" t="s">
        <v>3219</v>
      </c>
      <c r="S71" t="s">
        <v>12268</v>
      </c>
      <c r="T71" t="s">
        <v>12269</v>
      </c>
    </row>
    <row r="72" spans="1:20">
      <c r="A72" t="s">
        <v>655</v>
      </c>
      <c r="B72" t="s">
        <v>11331</v>
      </c>
      <c r="C72">
        <v>45777</v>
      </c>
      <c r="D72" t="s">
        <v>7263</v>
      </c>
      <c r="E72" t="s">
        <v>11332</v>
      </c>
      <c r="F72">
        <v>45777</v>
      </c>
      <c r="G72" t="s">
        <v>2208</v>
      </c>
      <c r="H72" t="s">
        <v>2916</v>
      </c>
      <c r="I72" t="s">
        <v>16351</v>
      </c>
      <c r="J72">
        <v>0</v>
      </c>
      <c r="K72">
        <v>0.01</v>
      </c>
      <c r="L72" t="s">
        <v>2917</v>
      </c>
      <c r="M72">
        <v>0</v>
      </c>
      <c r="N72" t="s">
        <v>2918</v>
      </c>
      <c r="O72" t="s">
        <v>2919</v>
      </c>
      <c r="P72" t="s">
        <v>2208</v>
      </c>
      <c r="Q72" t="s">
        <v>2916</v>
      </c>
      <c r="R72" t="s">
        <v>3220</v>
      </c>
      <c r="S72" t="s">
        <v>2208</v>
      </c>
      <c r="T72" t="s">
        <v>2208</v>
      </c>
    </row>
    <row r="73" spans="1:20">
      <c r="A73" t="s">
        <v>655</v>
      </c>
      <c r="B73" t="s">
        <v>16360</v>
      </c>
      <c r="C73">
        <v>45771</v>
      </c>
      <c r="D73" t="s">
        <v>7263</v>
      </c>
      <c r="E73" t="s">
        <v>16361</v>
      </c>
      <c r="F73">
        <v>45791</v>
      </c>
      <c r="G73" t="s">
        <v>17008</v>
      </c>
      <c r="H73" t="s">
        <v>2916</v>
      </c>
      <c r="I73" t="s">
        <v>17009</v>
      </c>
      <c r="J73">
        <v>3600</v>
      </c>
      <c r="K73">
        <v>639</v>
      </c>
      <c r="L73" t="s">
        <v>2917</v>
      </c>
      <c r="M73">
        <v>3600</v>
      </c>
      <c r="N73" t="s">
        <v>2918</v>
      </c>
      <c r="O73" t="s">
        <v>3315</v>
      </c>
      <c r="P73" t="s">
        <v>3315</v>
      </c>
      <c r="Q73" t="s">
        <v>2924</v>
      </c>
      <c r="R73" t="s">
        <v>3219</v>
      </c>
      <c r="S73" t="s">
        <v>2208</v>
      </c>
      <c r="T73" t="s">
        <v>2208</v>
      </c>
    </row>
    <row r="74" spans="1:20">
      <c r="A74" t="s">
        <v>655</v>
      </c>
      <c r="B74" t="s">
        <v>16360</v>
      </c>
      <c r="C74">
        <v>45763</v>
      </c>
      <c r="D74" t="s">
        <v>7263</v>
      </c>
      <c r="E74" t="s">
        <v>16361</v>
      </c>
      <c r="F74">
        <v>45791</v>
      </c>
      <c r="G74" t="s">
        <v>17010</v>
      </c>
      <c r="H74" t="s">
        <v>2916</v>
      </c>
      <c r="I74" t="s">
        <v>17011</v>
      </c>
      <c r="J74">
        <v>5000</v>
      </c>
      <c r="K74">
        <v>887.5</v>
      </c>
      <c r="L74" t="s">
        <v>2917</v>
      </c>
      <c r="M74">
        <v>5000</v>
      </c>
      <c r="N74" t="s">
        <v>2918</v>
      </c>
      <c r="O74" t="s">
        <v>2923</v>
      </c>
      <c r="P74" t="s">
        <v>2923</v>
      </c>
      <c r="Q74" t="s">
        <v>2924</v>
      </c>
      <c r="R74" t="s">
        <v>3219</v>
      </c>
      <c r="S74" t="s">
        <v>2208</v>
      </c>
      <c r="T74" t="s">
        <v>2208</v>
      </c>
    </row>
    <row r="75" spans="1:20">
      <c r="A75" t="s">
        <v>655</v>
      </c>
      <c r="B75" t="s">
        <v>16360</v>
      </c>
      <c r="C75">
        <v>45792</v>
      </c>
      <c r="D75" t="s">
        <v>7263</v>
      </c>
      <c r="E75" t="s">
        <v>16361</v>
      </c>
      <c r="F75">
        <v>45792</v>
      </c>
      <c r="G75" t="s">
        <v>17012</v>
      </c>
      <c r="H75" t="s">
        <v>2916</v>
      </c>
      <c r="I75" t="s">
        <v>17013</v>
      </c>
      <c r="J75">
        <v>0.69399999999999995</v>
      </c>
      <c r="K75">
        <v>1900.74</v>
      </c>
      <c r="L75" t="s">
        <v>2917</v>
      </c>
      <c r="M75">
        <v>10708.42</v>
      </c>
      <c r="N75" t="s">
        <v>2918</v>
      </c>
      <c r="O75" t="s">
        <v>2939</v>
      </c>
      <c r="P75" t="s">
        <v>2939</v>
      </c>
      <c r="Q75" t="s">
        <v>2924</v>
      </c>
      <c r="R75" t="s">
        <v>3219</v>
      </c>
      <c r="S75" t="s">
        <v>2208</v>
      </c>
      <c r="T75" t="s">
        <v>2208</v>
      </c>
    </row>
    <row r="76" spans="1:20">
      <c r="A76" t="s">
        <v>655</v>
      </c>
      <c r="B76" t="s">
        <v>16360</v>
      </c>
      <c r="C76">
        <v>45062</v>
      </c>
      <c r="D76" t="s">
        <v>7263</v>
      </c>
      <c r="E76" t="s">
        <v>16361</v>
      </c>
      <c r="F76">
        <v>45798</v>
      </c>
      <c r="G76" t="s">
        <v>11068</v>
      </c>
      <c r="H76" t="s">
        <v>2916</v>
      </c>
      <c r="I76" t="s">
        <v>17296</v>
      </c>
      <c r="J76">
        <v>38483.49</v>
      </c>
      <c r="K76">
        <v>6830.82</v>
      </c>
      <c r="L76" t="s">
        <v>2917</v>
      </c>
      <c r="M76">
        <v>38483.49</v>
      </c>
      <c r="N76" t="s">
        <v>2918</v>
      </c>
      <c r="O76" t="s">
        <v>2923</v>
      </c>
      <c r="P76" t="s">
        <v>2923</v>
      </c>
      <c r="Q76" t="s">
        <v>2924</v>
      </c>
      <c r="R76" t="s">
        <v>3219</v>
      </c>
      <c r="S76" t="s">
        <v>2208</v>
      </c>
      <c r="T76" t="s">
        <v>2208</v>
      </c>
    </row>
    <row r="77" spans="1:20">
      <c r="A77" t="s">
        <v>655</v>
      </c>
      <c r="B77" t="s">
        <v>16360</v>
      </c>
      <c r="C77">
        <v>44559</v>
      </c>
      <c r="D77" t="s">
        <v>7263</v>
      </c>
      <c r="E77" t="s">
        <v>16361</v>
      </c>
      <c r="F77">
        <v>45800</v>
      </c>
      <c r="G77" t="s">
        <v>17364</v>
      </c>
      <c r="H77" t="s">
        <v>2916</v>
      </c>
      <c r="I77" t="s">
        <v>17365</v>
      </c>
      <c r="J77">
        <v>42890</v>
      </c>
      <c r="K77">
        <v>7612.98</v>
      </c>
      <c r="L77" t="s">
        <v>2917</v>
      </c>
      <c r="M77">
        <v>42890</v>
      </c>
      <c r="N77" t="s">
        <v>2918</v>
      </c>
      <c r="O77" t="s">
        <v>2936</v>
      </c>
      <c r="P77" t="s">
        <v>2936</v>
      </c>
      <c r="Q77" t="s">
        <v>2924</v>
      </c>
      <c r="R77" t="s">
        <v>3219</v>
      </c>
      <c r="S77" t="s">
        <v>2208</v>
      </c>
      <c r="T77" t="s">
        <v>2208</v>
      </c>
    </row>
    <row r="78" spans="1:20">
      <c r="A78" t="s">
        <v>655</v>
      </c>
      <c r="B78" t="s">
        <v>16360</v>
      </c>
      <c r="C78">
        <v>45793</v>
      </c>
      <c r="D78" t="s">
        <v>7263</v>
      </c>
      <c r="E78" t="s">
        <v>16361</v>
      </c>
      <c r="F78">
        <v>45802</v>
      </c>
      <c r="G78" t="s">
        <v>17012</v>
      </c>
      <c r="H78" t="s">
        <v>2916</v>
      </c>
      <c r="I78" t="s">
        <v>17414</v>
      </c>
      <c r="J78">
        <v>0</v>
      </c>
      <c r="K78">
        <v>-175.81</v>
      </c>
      <c r="L78" t="s">
        <v>2917</v>
      </c>
      <c r="M78">
        <v>-990.53</v>
      </c>
      <c r="N78" t="s">
        <v>2918</v>
      </c>
      <c r="O78" t="s">
        <v>17415</v>
      </c>
      <c r="P78" t="s">
        <v>2939</v>
      </c>
      <c r="Q78" t="s">
        <v>2924</v>
      </c>
      <c r="R78" t="s">
        <v>3219</v>
      </c>
      <c r="S78" t="s">
        <v>2208</v>
      </c>
      <c r="T78" t="s">
        <v>2208</v>
      </c>
    </row>
    <row r="79" spans="1:20">
      <c r="A79" t="s">
        <v>655</v>
      </c>
      <c r="B79" t="s">
        <v>16360</v>
      </c>
      <c r="C79">
        <v>45800</v>
      </c>
      <c r="D79" t="s">
        <v>7263</v>
      </c>
      <c r="E79" t="s">
        <v>16361</v>
      </c>
      <c r="F79">
        <v>45803</v>
      </c>
      <c r="G79" t="s">
        <v>17364</v>
      </c>
      <c r="H79" t="s">
        <v>2916</v>
      </c>
      <c r="I79" t="s">
        <v>17635</v>
      </c>
      <c r="J79">
        <v>0</v>
      </c>
      <c r="K79">
        <v>-704.21</v>
      </c>
      <c r="L79" t="s">
        <v>2917</v>
      </c>
      <c r="M79">
        <v>-3967.33</v>
      </c>
      <c r="N79" t="s">
        <v>2918</v>
      </c>
      <c r="O79" t="s">
        <v>17636</v>
      </c>
      <c r="P79" t="s">
        <v>2936</v>
      </c>
      <c r="Q79" t="s">
        <v>2924</v>
      </c>
      <c r="R79" t="s">
        <v>3219</v>
      </c>
      <c r="S79" t="s">
        <v>2208</v>
      </c>
      <c r="T79" t="s">
        <v>2208</v>
      </c>
    </row>
    <row r="80" spans="1:20">
      <c r="A80" t="s">
        <v>655</v>
      </c>
      <c r="B80" t="s">
        <v>16360</v>
      </c>
      <c r="C80">
        <v>45798</v>
      </c>
      <c r="D80" t="s">
        <v>7263</v>
      </c>
      <c r="E80" t="s">
        <v>16361</v>
      </c>
      <c r="F80">
        <v>45804</v>
      </c>
      <c r="G80" t="s">
        <v>11068</v>
      </c>
      <c r="H80" t="s">
        <v>2916</v>
      </c>
      <c r="I80" t="s">
        <v>17722</v>
      </c>
      <c r="J80">
        <v>0</v>
      </c>
      <c r="K80">
        <v>-631.85</v>
      </c>
      <c r="L80" t="s">
        <v>2917</v>
      </c>
      <c r="M80">
        <v>-3559.73</v>
      </c>
      <c r="N80" t="s">
        <v>2918</v>
      </c>
      <c r="O80" t="s">
        <v>17723</v>
      </c>
      <c r="P80" t="s">
        <v>2923</v>
      </c>
      <c r="Q80" t="s">
        <v>2924</v>
      </c>
      <c r="R80" t="s">
        <v>3219</v>
      </c>
      <c r="S80" t="s">
        <v>2208</v>
      </c>
      <c r="T80" t="s">
        <v>2208</v>
      </c>
    </row>
    <row r="81" spans="1:20">
      <c r="A81" t="s">
        <v>655</v>
      </c>
      <c r="B81" t="s">
        <v>16360</v>
      </c>
      <c r="C81">
        <v>45792</v>
      </c>
      <c r="D81" t="s">
        <v>7263</v>
      </c>
      <c r="E81" t="s">
        <v>16361</v>
      </c>
      <c r="F81">
        <v>45804</v>
      </c>
      <c r="G81" t="s">
        <v>17010</v>
      </c>
      <c r="H81" t="s">
        <v>2916</v>
      </c>
      <c r="I81" t="s">
        <v>17724</v>
      </c>
      <c r="J81">
        <v>0</v>
      </c>
      <c r="K81">
        <v>-82.09</v>
      </c>
      <c r="L81" t="s">
        <v>2917</v>
      </c>
      <c r="M81">
        <v>-462.5</v>
      </c>
      <c r="N81" t="s">
        <v>2918</v>
      </c>
      <c r="O81" t="s">
        <v>17725</v>
      </c>
      <c r="P81" t="s">
        <v>2923</v>
      </c>
      <c r="Q81" t="s">
        <v>2924</v>
      </c>
      <c r="R81" t="s">
        <v>3219</v>
      </c>
      <c r="S81" t="s">
        <v>2208</v>
      </c>
      <c r="T81" t="s">
        <v>2208</v>
      </c>
    </row>
    <row r="82" spans="1:20">
      <c r="A82" t="s">
        <v>655</v>
      </c>
      <c r="B82" t="s">
        <v>16360</v>
      </c>
      <c r="C82">
        <v>45792</v>
      </c>
      <c r="D82" t="s">
        <v>7263</v>
      </c>
      <c r="E82" t="s">
        <v>16361</v>
      </c>
      <c r="F82">
        <v>45805</v>
      </c>
      <c r="G82" t="s">
        <v>17008</v>
      </c>
      <c r="H82" t="s">
        <v>2916</v>
      </c>
      <c r="I82" t="s">
        <v>17726</v>
      </c>
      <c r="J82">
        <v>0</v>
      </c>
      <c r="K82">
        <v>-59.11</v>
      </c>
      <c r="L82" t="s">
        <v>2917</v>
      </c>
      <c r="M82">
        <v>-333</v>
      </c>
      <c r="N82" t="s">
        <v>2918</v>
      </c>
      <c r="O82" t="s">
        <v>17727</v>
      </c>
      <c r="P82" t="s">
        <v>3315</v>
      </c>
      <c r="Q82" t="s">
        <v>2924</v>
      </c>
      <c r="R82" t="s">
        <v>3219</v>
      </c>
      <c r="S82" t="s">
        <v>2208</v>
      </c>
      <c r="T82" t="s">
        <v>2208</v>
      </c>
    </row>
    <row r="83" spans="1:20">
      <c r="A83" t="s">
        <v>655</v>
      </c>
      <c r="B83" t="s">
        <v>16360</v>
      </c>
      <c r="C83">
        <v>45808</v>
      </c>
      <c r="D83" t="s">
        <v>7263</v>
      </c>
      <c r="E83" t="s">
        <v>16361</v>
      </c>
      <c r="F83">
        <v>45808</v>
      </c>
      <c r="G83" t="s">
        <v>2208</v>
      </c>
      <c r="H83" t="s">
        <v>2916</v>
      </c>
      <c r="I83" t="s">
        <v>17837</v>
      </c>
      <c r="J83">
        <v>0</v>
      </c>
      <c r="K83">
        <v>0.03</v>
      </c>
      <c r="L83" t="s">
        <v>2917</v>
      </c>
      <c r="M83">
        <v>0</v>
      </c>
      <c r="N83" t="s">
        <v>2918</v>
      </c>
      <c r="O83" t="s">
        <v>2919</v>
      </c>
      <c r="P83" t="s">
        <v>2208</v>
      </c>
      <c r="Q83" t="s">
        <v>2916</v>
      </c>
      <c r="R83" t="s">
        <v>3220</v>
      </c>
      <c r="S83" t="s">
        <v>2208</v>
      </c>
      <c r="T83" t="s">
        <v>2208</v>
      </c>
    </row>
    <row r="84" spans="1:20">
      <c r="A84" t="s">
        <v>655</v>
      </c>
      <c r="B84" t="s">
        <v>17897</v>
      </c>
      <c r="C84">
        <v>45824</v>
      </c>
      <c r="D84" t="s">
        <v>7263</v>
      </c>
      <c r="E84" t="s">
        <v>17898</v>
      </c>
      <c r="F84">
        <v>45824</v>
      </c>
      <c r="G84" t="s">
        <v>18539</v>
      </c>
      <c r="H84" t="s">
        <v>2916</v>
      </c>
      <c r="I84" t="s">
        <v>18540</v>
      </c>
      <c r="J84">
        <v>1</v>
      </c>
      <c r="K84">
        <v>10467.790000000001</v>
      </c>
      <c r="L84" t="s">
        <v>2917</v>
      </c>
      <c r="M84">
        <v>59408.55</v>
      </c>
      <c r="N84" t="s">
        <v>2918</v>
      </c>
      <c r="O84" t="s">
        <v>15874</v>
      </c>
      <c r="P84" t="s">
        <v>15874</v>
      </c>
      <c r="Q84" t="s">
        <v>2924</v>
      </c>
      <c r="R84" t="s">
        <v>3219</v>
      </c>
      <c r="S84" t="s">
        <v>2208</v>
      </c>
      <c r="T84" t="s">
        <v>2208</v>
      </c>
    </row>
    <row r="85" spans="1:20">
      <c r="A85" t="s">
        <v>655</v>
      </c>
      <c r="B85" t="s">
        <v>17897</v>
      </c>
      <c r="C85">
        <v>45825</v>
      </c>
      <c r="D85" t="s">
        <v>7263</v>
      </c>
      <c r="E85" t="s">
        <v>17898</v>
      </c>
      <c r="F85">
        <v>45831</v>
      </c>
      <c r="G85" t="s">
        <v>18539</v>
      </c>
      <c r="H85" t="s">
        <v>2916</v>
      </c>
      <c r="I85" t="s">
        <v>18888</v>
      </c>
      <c r="J85">
        <v>0</v>
      </c>
      <c r="K85">
        <v>-968.27</v>
      </c>
      <c r="L85" t="s">
        <v>2917</v>
      </c>
      <c r="M85">
        <v>-5495.29</v>
      </c>
      <c r="N85" t="s">
        <v>2918</v>
      </c>
      <c r="O85" t="s">
        <v>18889</v>
      </c>
      <c r="P85" t="s">
        <v>15874</v>
      </c>
      <c r="Q85" t="s">
        <v>2924</v>
      </c>
      <c r="R85" t="s">
        <v>3219</v>
      </c>
      <c r="S85" t="s">
        <v>2208</v>
      </c>
      <c r="T85" t="s">
        <v>2208</v>
      </c>
    </row>
    <row r="86" spans="1:20">
      <c r="A86" t="s">
        <v>655</v>
      </c>
      <c r="B86" t="s">
        <v>17897</v>
      </c>
      <c r="C86">
        <v>45838</v>
      </c>
      <c r="D86" t="s">
        <v>7263</v>
      </c>
      <c r="E86" t="s">
        <v>17898</v>
      </c>
      <c r="F86">
        <v>45838</v>
      </c>
      <c r="G86" t="s">
        <v>2208</v>
      </c>
      <c r="H86" t="s">
        <v>2916</v>
      </c>
      <c r="I86" t="s">
        <v>19239</v>
      </c>
      <c r="J86">
        <v>0</v>
      </c>
      <c r="K86">
        <v>-0.05</v>
      </c>
      <c r="L86" t="s">
        <v>2917</v>
      </c>
      <c r="M86">
        <v>0</v>
      </c>
      <c r="N86" t="s">
        <v>2918</v>
      </c>
      <c r="O86" t="s">
        <v>2919</v>
      </c>
      <c r="P86" t="s">
        <v>2208</v>
      </c>
      <c r="Q86" t="s">
        <v>2916</v>
      </c>
      <c r="R86" t="s">
        <v>3220</v>
      </c>
      <c r="S86" t="s">
        <v>2208</v>
      </c>
      <c r="T86" t="s">
        <v>2208</v>
      </c>
    </row>
    <row r="87" spans="1:20">
      <c r="A87" t="s">
        <v>702</v>
      </c>
      <c r="B87" t="s">
        <v>9126</v>
      </c>
      <c r="C87">
        <v>45729</v>
      </c>
      <c r="D87" t="s">
        <v>7263</v>
      </c>
      <c r="E87" t="s">
        <v>9127</v>
      </c>
      <c r="F87">
        <v>45729</v>
      </c>
      <c r="G87" t="s">
        <v>2208</v>
      </c>
      <c r="H87" t="s">
        <v>2916</v>
      </c>
      <c r="I87" t="s">
        <v>10820</v>
      </c>
      <c r="J87">
        <v>0</v>
      </c>
      <c r="K87">
        <v>11968.36</v>
      </c>
      <c r="L87" t="s">
        <v>2917</v>
      </c>
      <c r="M87">
        <v>0</v>
      </c>
      <c r="N87" t="s">
        <v>2918</v>
      </c>
      <c r="O87" t="s">
        <v>2946</v>
      </c>
      <c r="P87" t="s">
        <v>2208</v>
      </c>
      <c r="Q87" t="s">
        <v>2928</v>
      </c>
      <c r="R87" t="s">
        <v>3227</v>
      </c>
      <c r="S87" t="s">
        <v>2208</v>
      </c>
      <c r="T87" t="s">
        <v>2208</v>
      </c>
    </row>
    <row r="88" spans="1:20">
      <c r="A88" t="s">
        <v>702</v>
      </c>
      <c r="B88" t="s">
        <v>9126</v>
      </c>
      <c r="C88">
        <v>45729</v>
      </c>
      <c r="D88" t="s">
        <v>7263</v>
      </c>
      <c r="E88" t="s">
        <v>9127</v>
      </c>
      <c r="F88">
        <v>45729</v>
      </c>
      <c r="G88" t="s">
        <v>2208</v>
      </c>
      <c r="H88" t="s">
        <v>2916</v>
      </c>
      <c r="I88" t="s">
        <v>10821</v>
      </c>
      <c r="J88">
        <v>0</v>
      </c>
      <c r="K88">
        <v>0</v>
      </c>
      <c r="L88" t="s">
        <v>2917</v>
      </c>
      <c r="M88">
        <v>59106.48</v>
      </c>
      <c r="N88" t="s">
        <v>2918</v>
      </c>
      <c r="O88" t="s">
        <v>2946</v>
      </c>
      <c r="P88" t="s">
        <v>2208</v>
      </c>
      <c r="Q88" t="s">
        <v>2928</v>
      </c>
      <c r="R88" t="s">
        <v>3227</v>
      </c>
      <c r="S88" t="s">
        <v>2208</v>
      </c>
      <c r="T88" t="s">
        <v>2208</v>
      </c>
    </row>
    <row r="89" spans="1:20">
      <c r="A89" t="s">
        <v>702</v>
      </c>
      <c r="B89" t="s">
        <v>2920</v>
      </c>
      <c r="C89">
        <v>45653</v>
      </c>
      <c r="D89" t="s">
        <v>7263</v>
      </c>
      <c r="E89" t="s">
        <v>2921</v>
      </c>
      <c r="F89">
        <v>45659</v>
      </c>
      <c r="G89" t="s">
        <v>7266</v>
      </c>
      <c r="H89" t="s">
        <v>2916</v>
      </c>
      <c r="I89" t="s">
        <v>7267</v>
      </c>
      <c r="J89">
        <v>2</v>
      </c>
      <c r="K89">
        <v>8284.4699999999993</v>
      </c>
      <c r="L89" t="s">
        <v>2917</v>
      </c>
      <c r="M89">
        <v>51160.82</v>
      </c>
      <c r="N89" t="s">
        <v>2918</v>
      </c>
      <c r="O89" t="s">
        <v>7268</v>
      </c>
      <c r="P89" t="s">
        <v>7269</v>
      </c>
      <c r="Q89" t="s">
        <v>2927</v>
      </c>
      <c r="R89" t="s">
        <v>3222</v>
      </c>
      <c r="S89" t="s">
        <v>7270</v>
      </c>
      <c r="T89" t="s">
        <v>7269</v>
      </c>
    </row>
    <row r="90" spans="1:20">
      <c r="A90" t="s">
        <v>702</v>
      </c>
      <c r="B90" t="s">
        <v>2920</v>
      </c>
      <c r="C90">
        <v>45656</v>
      </c>
      <c r="D90" t="s">
        <v>7263</v>
      </c>
      <c r="E90" t="s">
        <v>2921</v>
      </c>
      <c r="F90">
        <v>45663</v>
      </c>
      <c r="G90" t="s">
        <v>7128</v>
      </c>
      <c r="H90" t="s">
        <v>2916</v>
      </c>
      <c r="I90" t="s">
        <v>7271</v>
      </c>
      <c r="J90">
        <v>1</v>
      </c>
      <c r="K90">
        <v>539.1</v>
      </c>
      <c r="L90" t="s">
        <v>2917</v>
      </c>
      <c r="M90">
        <v>3329.18</v>
      </c>
      <c r="N90" t="s">
        <v>2918</v>
      </c>
      <c r="O90" t="s">
        <v>7272</v>
      </c>
      <c r="P90" t="s">
        <v>7129</v>
      </c>
      <c r="Q90" t="s">
        <v>2924</v>
      </c>
      <c r="R90" t="s">
        <v>3219</v>
      </c>
      <c r="S90" t="s">
        <v>7130</v>
      </c>
      <c r="T90" t="s">
        <v>7131</v>
      </c>
    </row>
    <row r="91" spans="1:20">
      <c r="A91" t="s">
        <v>702</v>
      </c>
      <c r="B91" t="s">
        <v>2920</v>
      </c>
      <c r="C91">
        <v>45656</v>
      </c>
      <c r="D91" t="s">
        <v>7263</v>
      </c>
      <c r="E91" t="s">
        <v>2921</v>
      </c>
      <c r="F91">
        <v>45663</v>
      </c>
      <c r="G91" t="s">
        <v>7128</v>
      </c>
      <c r="H91" t="s">
        <v>2916</v>
      </c>
      <c r="I91" t="s">
        <v>7273</v>
      </c>
      <c r="J91">
        <v>0</v>
      </c>
      <c r="K91">
        <v>-59.31</v>
      </c>
      <c r="L91" t="s">
        <v>2917</v>
      </c>
      <c r="M91">
        <v>-366.25</v>
      </c>
      <c r="N91" t="s">
        <v>2918</v>
      </c>
      <c r="O91" t="s">
        <v>7274</v>
      </c>
      <c r="P91" t="s">
        <v>7129</v>
      </c>
      <c r="Q91" t="s">
        <v>2924</v>
      </c>
      <c r="R91" t="s">
        <v>3219</v>
      </c>
      <c r="S91" t="s">
        <v>7130</v>
      </c>
      <c r="T91" t="s">
        <v>7131</v>
      </c>
    </row>
    <row r="92" spans="1:20">
      <c r="A92" t="s">
        <v>702</v>
      </c>
      <c r="B92" t="s">
        <v>2920</v>
      </c>
      <c r="C92">
        <v>45663</v>
      </c>
      <c r="D92" t="s">
        <v>7263</v>
      </c>
      <c r="E92" t="s">
        <v>2921</v>
      </c>
      <c r="F92">
        <v>45671</v>
      </c>
      <c r="G92" t="s">
        <v>7266</v>
      </c>
      <c r="H92" t="s">
        <v>2916</v>
      </c>
      <c r="I92" t="s">
        <v>7275</v>
      </c>
      <c r="J92">
        <v>0</v>
      </c>
      <c r="K92">
        <v>56.99</v>
      </c>
      <c r="L92" t="s">
        <v>2917</v>
      </c>
      <c r="M92">
        <v>351.95</v>
      </c>
      <c r="N92" t="s">
        <v>2918</v>
      </c>
      <c r="O92" t="s">
        <v>7276</v>
      </c>
      <c r="P92" t="s">
        <v>7269</v>
      </c>
      <c r="Q92" t="s">
        <v>2934</v>
      </c>
      <c r="R92" t="s">
        <v>2935</v>
      </c>
      <c r="S92" t="s">
        <v>7270</v>
      </c>
      <c r="T92" t="s">
        <v>7269</v>
      </c>
    </row>
    <row r="93" spans="1:20">
      <c r="A93" t="s">
        <v>702</v>
      </c>
      <c r="B93" t="s">
        <v>2920</v>
      </c>
      <c r="C93">
        <v>45593</v>
      </c>
      <c r="D93" t="s">
        <v>7263</v>
      </c>
      <c r="E93" t="s">
        <v>2921</v>
      </c>
      <c r="F93">
        <v>45681</v>
      </c>
      <c r="G93" t="s">
        <v>7493</v>
      </c>
      <c r="H93" t="s">
        <v>2916</v>
      </c>
      <c r="I93" t="s">
        <v>7494</v>
      </c>
      <c r="J93">
        <v>22076.38</v>
      </c>
      <c r="K93">
        <v>3574.83</v>
      </c>
      <c r="L93" t="s">
        <v>2917</v>
      </c>
      <c r="M93">
        <v>22076.38</v>
      </c>
      <c r="N93" t="s">
        <v>2918</v>
      </c>
      <c r="O93" t="s">
        <v>2937</v>
      </c>
      <c r="P93" t="s">
        <v>2937</v>
      </c>
      <c r="Q93" t="s">
        <v>2924</v>
      </c>
      <c r="R93" t="s">
        <v>3219</v>
      </c>
      <c r="S93" t="s">
        <v>2208</v>
      </c>
      <c r="T93" t="s">
        <v>2208</v>
      </c>
    </row>
    <row r="94" spans="1:20">
      <c r="A94" t="s">
        <v>702</v>
      </c>
      <c r="B94" t="s">
        <v>2920</v>
      </c>
      <c r="C94">
        <v>45684</v>
      </c>
      <c r="D94" t="s">
        <v>7263</v>
      </c>
      <c r="E94" t="s">
        <v>2921</v>
      </c>
      <c r="F94">
        <v>45684</v>
      </c>
      <c r="G94" t="s">
        <v>2208</v>
      </c>
      <c r="H94" t="s">
        <v>2916</v>
      </c>
      <c r="I94" t="s">
        <v>7495</v>
      </c>
      <c r="J94">
        <v>0</v>
      </c>
      <c r="K94">
        <v>185.49</v>
      </c>
      <c r="L94" t="s">
        <v>2917</v>
      </c>
      <c r="M94">
        <v>1145.48</v>
      </c>
      <c r="N94" t="s">
        <v>2918</v>
      </c>
      <c r="O94" t="s">
        <v>7496</v>
      </c>
      <c r="P94" t="s">
        <v>2208</v>
      </c>
      <c r="Q94" t="s">
        <v>2927</v>
      </c>
      <c r="R94" t="s">
        <v>3222</v>
      </c>
      <c r="S94" t="s">
        <v>7270</v>
      </c>
      <c r="T94" t="s">
        <v>7269</v>
      </c>
    </row>
    <row r="95" spans="1:20">
      <c r="A95" t="s">
        <v>702</v>
      </c>
      <c r="B95" t="s">
        <v>2920</v>
      </c>
      <c r="C95">
        <v>45656</v>
      </c>
      <c r="D95" t="s">
        <v>7263</v>
      </c>
      <c r="E95" t="s">
        <v>2921</v>
      </c>
      <c r="F95">
        <v>45663</v>
      </c>
      <c r="G95" t="s">
        <v>7128</v>
      </c>
      <c r="H95" t="s">
        <v>2916</v>
      </c>
      <c r="I95" t="s">
        <v>7497</v>
      </c>
      <c r="J95">
        <v>0</v>
      </c>
      <c r="K95">
        <v>59.31</v>
      </c>
      <c r="L95" t="s">
        <v>2917</v>
      </c>
      <c r="M95">
        <v>366.25</v>
      </c>
      <c r="N95" t="s">
        <v>2918</v>
      </c>
      <c r="O95" t="s">
        <v>7274</v>
      </c>
      <c r="P95" t="s">
        <v>7129</v>
      </c>
      <c r="Q95" t="s">
        <v>2924</v>
      </c>
      <c r="R95" t="s">
        <v>3219</v>
      </c>
      <c r="S95" t="s">
        <v>7130</v>
      </c>
      <c r="T95" t="s">
        <v>7131</v>
      </c>
    </row>
    <row r="96" spans="1:20">
      <c r="A96" t="s">
        <v>702</v>
      </c>
      <c r="B96" t="s">
        <v>2920</v>
      </c>
      <c r="C96">
        <v>45656</v>
      </c>
      <c r="D96" t="s">
        <v>7263</v>
      </c>
      <c r="E96" t="s">
        <v>2921</v>
      </c>
      <c r="F96">
        <v>45686</v>
      </c>
      <c r="G96" t="s">
        <v>7128</v>
      </c>
      <c r="H96" t="s">
        <v>2916</v>
      </c>
      <c r="I96" t="s">
        <v>7498</v>
      </c>
      <c r="J96">
        <v>0</v>
      </c>
      <c r="K96">
        <v>-93.01</v>
      </c>
      <c r="L96" t="s">
        <v>2917</v>
      </c>
      <c r="M96">
        <v>-574.33000000000004</v>
      </c>
      <c r="N96" t="s">
        <v>2918</v>
      </c>
      <c r="O96" t="s">
        <v>7274</v>
      </c>
      <c r="P96" t="s">
        <v>7129</v>
      </c>
      <c r="Q96" t="s">
        <v>2924</v>
      </c>
      <c r="R96" t="s">
        <v>3219</v>
      </c>
      <c r="S96" t="s">
        <v>7130</v>
      </c>
      <c r="T96" t="s">
        <v>7131</v>
      </c>
    </row>
    <row r="97" spans="1:20">
      <c r="A97" t="s">
        <v>702</v>
      </c>
      <c r="B97" t="s">
        <v>2920</v>
      </c>
      <c r="C97">
        <v>45687</v>
      </c>
      <c r="D97" t="s">
        <v>7263</v>
      </c>
      <c r="E97" t="s">
        <v>2921</v>
      </c>
      <c r="F97">
        <v>45687</v>
      </c>
      <c r="G97" t="s">
        <v>2208</v>
      </c>
      <c r="H97" t="s">
        <v>2916</v>
      </c>
      <c r="I97" t="s">
        <v>7499</v>
      </c>
      <c r="J97">
        <v>0</v>
      </c>
      <c r="K97">
        <v>-44.92</v>
      </c>
      <c r="L97" t="s">
        <v>2917</v>
      </c>
      <c r="M97">
        <v>-277.43</v>
      </c>
      <c r="N97" t="s">
        <v>2918</v>
      </c>
      <c r="O97" t="s">
        <v>7500</v>
      </c>
      <c r="P97" t="s">
        <v>2208</v>
      </c>
      <c r="Q97" t="s">
        <v>2933</v>
      </c>
      <c r="R97" t="s">
        <v>3314</v>
      </c>
      <c r="S97" t="s">
        <v>2208</v>
      </c>
      <c r="T97" t="s">
        <v>2208</v>
      </c>
    </row>
    <row r="98" spans="1:20">
      <c r="A98" t="s">
        <v>702</v>
      </c>
      <c r="B98" t="s">
        <v>2920</v>
      </c>
      <c r="C98">
        <v>45687</v>
      </c>
      <c r="D98" t="s">
        <v>7263</v>
      </c>
      <c r="E98" t="s">
        <v>2921</v>
      </c>
      <c r="F98">
        <v>45687</v>
      </c>
      <c r="G98" t="s">
        <v>2208</v>
      </c>
      <c r="H98" t="s">
        <v>2916</v>
      </c>
      <c r="I98" t="s">
        <v>7501</v>
      </c>
      <c r="J98">
        <v>0</v>
      </c>
      <c r="K98">
        <v>15.98</v>
      </c>
      <c r="L98" t="s">
        <v>2917</v>
      </c>
      <c r="M98">
        <v>98.68</v>
      </c>
      <c r="N98" t="s">
        <v>2918</v>
      </c>
      <c r="O98" t="s">
        <v>7489</v>
      </c>
      <c r="P98" t="s">
        <v>2208</v>
      </c>
      <c r="Q98" t="s">
        <v>7490</v>
      </c>
      <c r="R98" t="s">
        <v>7491</v>
      </c>
      <c r="S98" t="s">
        <v>2208</v>
      </c>
      <c r="T98" t="s">
        <v>2208</v>
      </c>
    </row>
    <row r="99" spans="1:20">
      <c r="A99" t="s">
        <v>702</v>
      </c>
      <c r="B99" t="s">
        <v>2920</v>
      </c>
      <c r="C99">
        <v>45688</v>
      </c>
      <c r="D99" t="s">
        <v>7263</v>
      </c>
      <c r="E99" t="s">
        <v>2921</v>
      </c>
      <c r="F99">
        <v>45688</v>
      </c>
      <c r="G99" t="s">
        <v>2208</v>
      </c>
      <c r="H99" t="s">
        <v>2916</v>
      </c>
      <c r="I99" t="s">
        <v>7502</v>
      </c>
      <c r="J99">
        <v>0</v>
      </c>
      <c r="K99">
        <v>7.0000000000000007E-2</v>
      </c>
      <c r="L99" t="s">
        <v>2917</v>
      </c>
      <c r="M99">
        <v>0</v>
      </c>
      <c r="N99" t="s">
        <v>2918</v>
      </c>
      <c r="O99" t="s">
        <v>2919</v>
      </c>
      <c r="P99" t="s">
        <v>2208</v>
      </c>
      <c r="Q99" t="s">
        <v>2916</v>
      </c>
      <c r="R99" t="s">
        <v>3220</v>
      </c>
      <c r="S99" t="s">
        <v>2208</v>
      </c>
      <c r="T99" t="s">
        <v>2208</v>
      </c>
    </row>
    <row r="100" spans="1:20">
      <c r="A100" t="s">
        <v>702</v>
      </c>
      <c r="B100" t="s">
        <v>2920</v>
      </c>
      <c r="C100">
        <v>45688</v>
      </c>
      <c r="D100" t="s">
        <v>7263</v>
      </c>
      <c r="E100" t="s">
        <v>2921</v>
      </c>
      <c r="F100">
        <v>45688</v>
      </c>
      <c r="G100" t="s">
        <v>2208</v>
      </c>
      <c r="H100" t="s">
        <v>2916</v>
      </c>
      <c r="I100" t="s">
        <v>7503</v>
      </c>
      <c r="J100">
        <v>0</v>
      </c>
      <c r="K100">
        <v>-0.03</v>
      </c>
      <c r="L100" t="s">
        <v>2917</v>
      </c>
      <c r="M100">
        <v>0</v>
      </c>
      <c r="N100" t="s">
        <v>2918</v>
      </c>
      <c r="O100" t="s">
        <v>2919</v>
      </c>
      <c r="P100" t="s">
        <v>2208</v>
      </c>
      <c r="Q100" t="s">
        <v>2916</v>
      </c>
      <c r="R100" t="s">
        <v>3220</v>
      </c>
      <c r="S100" t="s">
        <v>2208</v>
      </c>
      <c r="T100" t="s">
        <v>2208</v>
      </c>
    </row>
    <row r="101" spans="1:20">
      <c r="A101" t="s">
        <v>702</v>
      </c>
      <c r="B101" t="s">
        <v>7740</v>
      </c>
      <c r="C101">
        <v>45712</v>
      </c>
      <c r="D101" t="s">
        <v>7263</v>
      </c>
      <c r="E101" t="s">
        <v>2925</v>
      </c>
      <c r="F101">
        <v>45712</v>
      </c>
      <c r="G101" t="s">
        <v>2208</v>
      </c>
      <c r="H101" t="s">
        <v>2916</v>
      </c>
      <c r="I101" t="s">
        <v>8889</v>
      </c>
      <c r="J101">
        <v>0</v>
      </c>
      <c r="K101">
        <v>162.77000000000001</v>
      </c>
      <c r="L101" t="s">
        <v>2917</v>
      </c>
      <c r="M101">
        <v>946.64</v>
      </c>
      <c r="N101" t="s">
        <v>2918</v>
      </c>
      <c r="O101" t="s">
        <v>7496</v>
      </c>
      <c r="P101" t="s">
        <v>2208</v>
      </c>
      <c r="Q101" t="s">
        <v>2927</v>
      </c>
      <c r="R101" t="s">
        <v>3222</v>
      </c>
      <c r="S101" t="s">
        <v>7270</v>
      </c>
      <c r="T101" t="s">
        <v>7269</v>
      </c>
    </row>
    <row r="102" spans="1:20">
      <c r="A102" t="s">
        <v>702</v>
      </c>
      <c r="B102" t="s">
        <v>7740</v>
      </c>
      <c r="C102">
        <v>45716</v>
      </c>
      <c r="D102" t="s">
        <v>7263</v>
      </c>
      <c r="E102" t="s">
        <v>2925</v>
      </c>
      <c r="F102">
        <v>45716</v>
      </c>
      <c r="G102" t="s">
        <v>2208</v>
      </c>
      <c r="H102" t="s">
        <v>2916</v>
      </c>
      <c r="I102" t="s">
        <v>9122</v>
      </c>
      <c r="J102">
        <v>0</v>
      </c>
      <c r="K102">
        <v>7.0000000000000007E-2</v>
      </c>
      <c r="L102" t="s">
        <v>2917</v>
      </c>
      <c r="M102">
        <v>0</v>
      </c>
      <c r="N102" t="s">
        <v>2918</v>
      </c>
      <c r="O102" t="s">
        <v>2919</v>
      </c>
      <c r="P102" t="s">
        <v>2208</v>
      </c>
      <c r="Q102" t="s">
        <v>2916</v>
      </c>
      <c r="R102" t="s">
        <v>3220</v>
      </c>
      <c r="S102" t="s">
        <v>2208</v>
      </c>
      <c r="T102" t="s">
        <v>2208</v>
      </c>
    </row>
    <row r="103" spans="1:20">
      <c r="A103" t="s">
        <v>702</v>
      </c>
      <c r="B103" t="s">
        <v>16360</v>
      </c>
      <c r="C103">
        <v>45806</v>
      </c>
      <c r="D103" t="s">
        <v>7263</v>
      </c>
      <c r="E103" t="s">
        <v>16361</v>
      </c>
      <c r="F103">
        <v>45806</v>
      </c>
      <c r="G103" t="s">
        <v>2208</v>
      </c>
      <c r="H103" t="s">
        <v>2916</v>
      </c>
      <c r="I103" t="s">
        <v>17821</v>
      </c>
      <c r="J103">
        <v>0</v>
      </c>
      <c r="K103">
        <v>-64.66</v>
      </c>
      <c r="L103" t="s">
        <v>2917</v>
      </c>
      <c r="M103">
        <v>-364.26</v>
      </c>
      <c r="N103" t="s">
        <v>2918</v>
      </c>
      <c r="O103" t="s">
        <v>17822</v>
      </c>
      <c r="P103" t="s">
        <v>2208</v>
      </c>
      <c r="Q103" t="s">
        <v>2947</v>
      </c>
      <c r="R103" t="s">
        <v>3221</v>
      </c>
      <c r="S103" t="s">
        <v>2208</v>
      </c>
      <c r="T103" t="s">
        <v>2208</v>
      </c>
    </row>
    <row r="104" spans="1:20">
      <c r="A104" t="s">
        <v>702</v>
      </c>
      <c r="B104" t="s">
        <v>16360</v>
      </c>
      <c r="C104">
        <v>45806</v>
      </c>
      <c r="D104" t="s">
        <v>7263</v>
      </c>
      <c r="E104" t="s">
        <v>16361</v>
      </c>
      <c r="F104">
        <v>45806</v>
      </c>
      <c r="G104" t="s">
        <v>2208</v>
      </c>
      <c r="H104" t="s">
        <v>2916</v>
      </c>
      <c r="I104" t="s">
        <v>17821</v>
      </c>
      <c r="J104">
        <v>0</v>
      </c>
      <c r="K104">
        <v>-297.81</v>
      </c>
      <c r="L104" t="s">
        <v>2917</v>
      </c>
      <c r="M104">
        <v>-1677.8</v>
      </c>
      <c r="N104" t="s">
        <v>2918</v>
      </c>
      <c r="O104" t="s">
        <v>17822</v>
      </c>
      <c r="P104" t="s">
        <v>2208</v>
      </c>
      <c r="Q104" t="s">
        <v>2947</v>
      </c>
      <c r="R104" t="s">
        <v>3221</v>
      </c>
      <c r="S104" t="s">
        <v>2208</v>
      </c>
      <c r="T104" t="s">
        <v>2208</v>
      </c>
    </row>
    <row r="105" spans="1:20">
      <c r="A105" t="s">
        <v>702</v>
      </c>
      <c r="B105" t="s">
        <v>16360</v>
      </c>
      <c r="C105">
        <v>45808</v>
      </c>
      <c r="D105" t="s">
        <v>7263</v>
      </c>
      <c r="E105" t="s">
        <v>16361</v>
      </c>
      <c r="F105">
        <v>45808</v>
      </c>
      <c r="G105" t="s">
        <v>2208</v>
      </c>
      <c r="H105" t="s">
        <v>2916</v>
      </c>
      <c r="I105" t="s">
        <v>17838</v>
      </c>
      <c r="J105">
        <v>0</v>
      </c>
      <c r="K105">
        <v>0.02</v>
      </c>
      <c r="L105" t="s">
        <v>2917</v>
      </c>
      <c r="M105">
        <v>0</v>
      </c>
      <c r="N105" t="s">
        <v>2918</v>
      </c>
      <c r="O105" t="s">
        <v>2919</v>
      </c>
      <c r="P105" t="s">
        <v>2208</v>
      </c>
      <c r="Q105" t="s">
        <v>2916</v>
      </c>
      <c r="R105" t="s">
        <v>3220</v>
      </c>
      <c r="S105" t="s">
        <v>2208</v>
      </c>
      <c r="T105" t="s">
        <v>2208</v>
      </c>
    </row>
    <row r="106" spans="1:20">
      <c r="A106" t="s">
        <v>702</v>
      </c>
      <c r="B106" t="s">
        <v>2920</v>
      </c>
      <c r="C106">
        <v>45656</v>
      </c>
      <c r="D106" t="s">
        <v>7263</v>
      </c>
      <c r="E106" t="s">
        <v>2921</v>
      </c>
      <c r="F106">
        <v>45663</v>
      </c>
      <c r="G106" t="s">
        <v>7277</v>
      </c>
      <c r="H106" t="s">
        <v>2916</v>
      </c>
      <c r="I106" t="s">
        <v>7278</v>
      </c>
      <c r="J106">
        <v>1</v>
      </c>
      <c r="K106">
        <v>452.65</v>
      </c>
      <c r="L106" t="s">
        <v>2917</v>
      </c>
      <c r="M106">
        <v>2795.35</v>
      </c>
      <c r="N106" t="s">
        <v>2918</v>
      </c>
      <c r="O106" t="s">
        <v>7279</v>
      </c>
      <c r="P106" t="s">
        <v>7280</v>
      </c>
      <c r="Q106" t="s">
        <v>2924</v>
      </c>
      <c r="R106" t="s">
        <v>3219</v>
      </c>
      <c r="S106" t="s">
        <v>7281</v>
      </c>
      <c r="T106" t="s">
        <v>7282</v>
      </c>
    </row>
    <row r="107" spans="1:20">
      <c r="A107" t="s">
        <v>702</v>
      </c>
      <c r="B107" t="s">
        <v>2920</v>
      </c>
      <c r="C107">
        <v>45656</v>
      </c>
      <c r="D107" t="s">
        <v>7263</v>
      </c>
      <c r="E107" t="s">
        <v>2921</v>
      </c>
      <c r="F107">
        <v>45663</v>
      </c>
      <c r="G107" t="s">
        <v>7277</v>
      </c>
      <c r="H107" t="s">
        <v>2916</v>
      </c>
      <c r="I107" t="s">
        <v>7283</v>
      </c>
      <c r="J107">
        <v>0</v>
      </c>
      <c r="K107">
        <v>-49.8</v>
      </c>
      <c r="L107" t="s">
        <v>2917</v>
      </c>
      <c r="M107">
        <v>-307.52999999999997</v>
      </c>
      <c r="N107" t="s">
        <v>2918</v>
      </c>
      <c r="O107" t="s">
        <v>7284</v>
      </c>
      <c r="P107" t="s">
        <v>7280</v>
      </c>
      <c r="Q107" t="s">
        <v>2924</v>
      </c>
      <c r="R107" t="s">
        <v>3219</v>
      </c>
      <c r="S107" t="s">
        <v>7281</v>
      </c>
      <c r="T107" t="s">
        <v>7282</v>
      </c>
    </row>
    <row r="108" spans="1:20">
      <c r="A108" t="s">
        <v>702</v>
      </c>
      <c r="B108" t="s">
        <v>2920</v>
      </c>
      <c r="C108">
        <v>45665</v>
      </c>
      <c r="D108" t="s">
        <v>7263</v>
      </c>
      <c r="E108" t="s">
        <v>2921</v>
      </c>
      <c r="F108">
        <v>45666</v>
      </c>
      <c r="G108" t="s">
        <v>7285</v>
      </c>
      <c r="H108" t="s">
        <v>2916</v>
      </c>
      <c r="I108" t="s">
        <v>7286</v>
      </c>
      <c r="J108">
        <v>25</v>
      </c>
      <c r="K108">
        <v>216.98</v>
      </c>
      <c r="L108" t="s">
        <v>2917</v>
      </c>
      <c r="M108">
        <v>1339.94</v>
      </c>
      <c r="N108" t="s">
        <v>2918</v>
      </c>
      <c r="O108" t="s">
        <v>7287</v>
      </c>
      <c r="P108" t="s">
        <v>7288</v>
      </c>
      <c r="Q108" t="s">
        <v>2924</v>
      </c>
      <c r="R108" t="s">
        <v>3219</v>
      </c>
      <c r="S108" t="s">
        <v>7289</v>
      </c>
      <c r="T108" t="s">
        <v>7290</v>
      </c>
    </row>
    <row r="109" spans="1:20">
      <c r="A109" t="s">
        <v>702</v>
      </c>
      <c r="B109" t="s">
        <v>2920</v>
      </c>
      <c r="C109">
        <v>45665</v>
      </c>
      <c r="D109" t="s">
        <v>7263</v>
      </c>
      <c r="E109" t="s">
        <v>2921</v>
      </c>
      <c r="F109">
        <v>45666</v>
      </c>
      <c r="G109" t="s">
        <v>7285</v>
      </c>
      <c r="H109" t="s">
        <v>2916</v>
      </c>
      <c r="I109" t="s">
        <v>7286</v>
      </c>
      <c r="J109">
        <v>2</v>
      </c>
      <c r="K109">
        <v>9.65</v>
      </c>
      <c r="L109" t="s">
        <v>2917</v>
      </c>
      <c r="M109">
        <v>59.59</v>
      </c>
      <c r="N109" t="s">
        <v>2918</v>
      </c>
      <c r="O109" t="s">
        <v>7287</v>
      </c>
      <c r="P109" t="s">
        <v>7291</v>
      </c>
      <c r="Q109" t="s">
        <v>2924</v>
      </c>
      <c r="R109" t="s">
        <v>3219</v>
      </c>
      <c r="S109" t="s">
        <v>7292</v>
      </c>
      <c r="T109" t="s">
        <v>7293</v>
      </c>
    </row>
    <row r="110" spans="1:20">
      <c r="A110" t="s">
        <v>702</v>
      </c>
      <c r="B110" t="s">
        <v>2920</v>
      </c>
      <c r="C110">
        <v>45665</v>
      </c>
      <c r="D110" t="s">
        <v>7263</v>
      </c>
      <c r="E110" t="s">
        <v>2921</v>
      </c>
      <c r="F110">
        <v>45666</v>
      </c>
      <c r="G110" t="s">
        <v>7285</v>
      </c>
      <c r="H110" t="s">
        <v>2916</v>
      </c>
      <c r="I110" t="s">
        <v>7286</v>
      </c>
      <c r="J110">
        <v>25</v>
      </c>
      <c r="K110">
        <v>147.37</v>
      </c>
      <c r="L110" t="s">
        <v>2917</v>
      </c>
      <c r="M110">
        <v>910.06</v>
      </c>
      <c r="N110" t="s">
        <v>2918</v>
      </c>
      <c r="O110" t="s">
        <v>7287</v>
      </c>
      <c r="P110" t="s">
        <v>7294</v>
      </c>
      <c r="Q110" t="s">
        <v>2924</v>
      </c>
      <c r="R110" t="s">
        <v>3219</v>
      </c>
      <c r="S110" t="s">
        <v>7295</v>
      </c>
      <c r="T110" t="s">
        <v>7296</v>
      </c>
    </row>
    <row r="111" spans="1:20">
      <c r="A111" t="s">
        <v>702</v>
      </c>
      <c r="B111" t="s">
        <v>2920</v>
      </c>
      <c r="C111">
        <v>45665</v>
      </c>
      <c r="D111" t="s">
        <v>7263</v>
      </c>
      <c r="E111" t="s">
        <v>2921</v>
      </c>
      <c r="F111">
        <v>45666</v>
      </c>
      <c r="G111" t="s">
        <v>7285</v>
      </c>
      <c r="H111" t="s">
        <v>2916</v>
      </c>
      <c r="I111" t="s">
        <v>7297</v>
      </c>
      <c r="J111">
        <v>0</v>
      </c>
      <c r="K111">
        <v>-55.54</v>
      </c>
      <c r="L111" t="s">
        <v>2917</v>
      </c>
      <c r="M111">
        <v>-342.97</v>
      </c>
      <c r="N111" t="s">
        <v>2918</v>
      </c>
      <c r="O111" t="s">
        <v>7298</v>
      </c>
      <c r="P111" t="s">
        <v>7288</v>
      </c>
      <c r="Q111" t="s">
        <v>2924</v>
      </c>
      <c r="R111" t="s">
        <v>3219</v>
      </c>
      <c r="S111" t="s">
        <v>7289</v>
      </c>
      <c r="T111" t="s">
        <v>7290</v>
      </c>
    </row>
    <row r="112" spans="1:20">
      <c r="A112" t="s">
        <v>702</v>
      </c>
      <c r="B112" t="s">
        <v>2920</v>
      </c>
      <c r="C112">
        <v>45665</v>
      </c>
      <c r="D112" t="s">
        <v>7263</v>
      </c>
      <c r="E112" t="s">
        <v>2921</v>
      </c>
      <c r="F112">
        <v>45666</v>
      </c>
      <c r="G112" t="s">
        <v>7285</v>
      </c>
      <c r="H112" t="s">
        <v>2916</v>
      </c>
      <c r="I112" t="s">
        <v>7297</v>
      </c>
      <c r="J112">
        <v>0</v>
      </c>
      <c r="K112">
        <v>-2.4700000000000002</v>
      </c>
      <c r="L112" t="s">
        <v>2917</v>
      </c>
      <c r="M112">
        <v>-15.25</v>
      </c>
      <c r="N112" t="s">
        <v>2918</v>
      </c>
      <c r="O112" t="s">
        <v>7298</v>
      </c>
      <c r="P112" t="s">
        <v>7291</v>
      </c>
      <c r="Q112" t="s">
        <v>2924</v>
      </c>
      <c r="R112" t="s">
        <v>3219</v>
      </c>
      <c r="S112" t="s">
        <v>7292</v>
      </c>
      <c r="T112" t="s">
        <v>7293</v>
      </c>
    </row>
    <row r="113" spans="1:20">
      <c r="A113" t="s">
        <v>702</v>
      </c>
      <c r="B113" t="s">
        <v>2920</v>
      </c>
      <c r="C113">
        <v>45665</v>
      </c>
      <c r="D113" t="s">
        <v>7263</v>
      </c>
      <c r="E113" t="s">
        <v>2921</v>
      </c>
      <c r="F113">
        <v>45666</v>
      </c>
      <c r="G113" t="s">
        <v>7285</v>
      </c>
      <c r="H113" t="s">
        <v>2916</v>
      </c>
      <c r="I113" t="s">
        <v>7297</v>
      </c>
      <c r="J113">
        <v>0</v>
      </c>
      <c r="K113">
        <v>-37.71</v>
      </c>
      <c r="L113" t="s">
        <v>2917</v>
      </c>
      <c r="M113">
        <v>-232.88</v>
      </c>
      <c r="N113" t="s">
        <v>2918</v>
      </c>
      <c r="O113" t="s">
        <v>7298</v>
      </c>
      <c r="P113" t="s">
        <v>7294</v>
      </c>
      <c r="Q113" t="s">
        <v>2924</v>
      </c>
      <c r="R113" t="s">
        <v>3219</v>
      </c>
      <c r="S113" t="s">
        <v>7295</v>
      </c>
      <c r="T113" t="s">
        <v>7296</v>
      </c>
    </row>
    <row r="114" spans="1:20">
      <c r="A114" t="s">
        <v>702</v>
      </c>
      <c r="B114" t="s">
        <v>2920</v>
      </c>
      <c r="C114">
        <v>45671</v>
      </c>
      <c r="D114" t="s">
        <v>7263</v>
      </c>
      <c r="E114" t="s">
        <v>2921</v>
      </c>
      <c r="F114">
        <v>45679</v>
      </c>
      <c r="G114" t="s">
        <v>7299</v>
      </c>
      <c r="H114" t="s">
        <v>2916</v>
      </c>
      <c r="I114" t="s">
        <v>7300</v>
      </c>
      <c r="J114">
        <v>4</v>
      </c>
      <c r="K114">
        <v>96.45</v>
      </c>
      <c r="L114" t="s">
        <v>2917</v>
      </c>
      <c r="M114">
        <v>595.6</v>
      </c>
      <c r="N114" t="s">
        <v>2918</v>
      </c>
      <c r="O114" t="s">
        <v>7301</v>
      </c>
      <c r="P114" t="s">
        <v>7302</v>
      </c>
      <c r="Q114" t="s">
        <v>2924</v>
      </c>
      <c r="R114" t="s">
        <v>3219</v>
      </c>
      <c r="S114" t="s">
        <v>7303</v>
      </c>
      <c r="T114" t="s">
        <v>7304</v>
      </c>
    </row>
    <row r="115" spans="1:20">
      <c r="A115" t="s">
        <v>702</v>
      </c>
      <c r="B115" t="s">
        <v>2920</v>
      </c>
      <c r="C115">
        <v>45462</v>
      </c>
      <c r="D115" t="s">
        <v>7263</v>
      </c>
      <c r="E115" t="s">
        <v>2921</v>
      </c>
      <c r="F115">
        <v>45681</v>
      </c>
      <c r="G115" t="s">
        <v>7504</v>
      </c>
      <c r="H115" t="s">
        <v>2916</v>
      </c>
      <c r="I115" t="s">
        <v>7505</v>
      </c>
      <c r="J115">
        <v>14696.4</v>
      </c>
      <c r="K115">
        <v>2379.79</v>
      </c>
      <c r="L115" t="s">
        <v>2917</v>
      </c>
      <c r="M115">
        <v>14696.4</v>
      </c>
      <c r="N115" t="s">
        <v>2918</v>
      </c>
      <c r="O115" t="s">
        <v>2939</v>
      </c>
      <c r="P115" t="s">
        <v>2939</v>
      </c>
      <c r="Q115" t="s">
        <v>2924</v>
      </c>
      <c r="R115" t="s">
        <v>3219</v>
      </c>
      <c r="S115" t="s">
        <v>2208</v>
      </c>
      <c r="T115" t="s">
        <v>2208</v>
      </c>
    </row>
    <row r="116" spans="1:20">
      <c r="A116" t="s">
        <v>702</v>
      </c>
      <c r="B116" t="s">
        <v>2920</v>
      </c>
      <c r="C116">
        <v>45684</v>
      </c>
      <c r="D116" t="s">
        <v>7263</v>
      </c>
      <c r="E116" t="s">
        <v>2921</v>
      </c>
      <c r="F116">
        <v>45684</v>
      </c>
      <c r="G116" t="s">
        <v>7506</v>
      </c>
      <c r="H116" t="s">
        <v>2916</v>
      </c>
      <c r="I116" t="s">
        <v>7507</v>
      </c>
      <c r="J116">
        <v>2</v>
      </c>
      <c r="K116">
        <v>620.19000000000005</v>
      </c>
      <c r="L116" t="s">
        <v>2917</v>
      </c>
      <c r="M116">
        <v>3830</v>
      </c>
      <c r="N116" t="s">
        <v>2918</v>
      </c>
      <c r="O116" t="s">
        <v>3315</v>
      </c>
      <c r="P116" t="s">
        <v>3315</v>
      </c>
      <c r="Q116" t="s">
        <v>2924</v>
      </c>
      <c r="R116" t="s">
        <v>3219</v>
      </c>
      <c r="S116" t="s">
        <v>2208</v>
      </c>
      <c r="T116" t="s">
        <v>2208</v>
      </c>
    </row>
    <row r="117" spans="1:20">
      <c r="A117" t="s">
        <v>702</v>
      </c>
      <c r="B117" t="s">
        <v>2920</v>
      </c>
      <c r="C117">
        <v>45681</v>
      </c>
      <c r="D117" t="s">
        <v>7263</v>
      </c>
      <c r="E117" t="s">
        <v>2921</v>
      </c>
      <c r="F117">
        <v>45684</v>
      </c>
      <c r="G117" t="s">
        <v>7504</v>
      </c>
      <c r="H117" t="s">
        <v>2916</v>
      </c>
      <c r="I117" t="s">
        <v>7508</v>
      </c>
      <c r="J117">
        <v>0</v>
      </c>
      <c r="K117">
        <v>-220.13</v>
      </c>
      <c r="L117" t="s">
        <v>2917</v>
      </c>
      <c r="M117">
        <v>-1359.42</v>
      </c>
      <c r="N117" t="s">
        <v>2918</v>
      </c>
      <c r="O117" t="s">
        <v>7509</v>
      </c>
      <c r="P117" t="s">
        <v>2939</v>
      </c>
      <c r="Q117" t="s">
        <v>2924</v>
      </c>
      <c r="R117" t="s">
        <v>3219</v>
      </c>
      <c r="S117" t="s">
        <v>2208</v>
      </c>
      <c r="T117" t="s">
        <v>2208</v>
      </c>
    </row>
    <row r="118" spans="1:20">
      <c r="A118" t="s">
        <v>702</v>
      </c>
      <c r="B118" t="s">
        <v>2920</v>
      </c>
      <c r="C118">
        <v>45672</v>
      </c>
      <c r="D118" t="s">
        <v>7263</v>
      </c>
      <c r="E118" t="s">
        <v>2921</v>
      </c>
      <c r="F118">
        <v>45685</v>
      </c>
      <c r="G118" t="s">
        <v>7506</v>
      </c>
      <c r="H118" t="s">
        <v>2916</v>
      </c>
      <c r="I118" t="s">
        <v>7510</v>
      </c>
      <c r="J118">
        <v>0</v>
      </c>
      <c r="K118">
        <v>-57.37</v>
      </c>
      <c r="L118" t="s">
        <v>2917</v>
      </c>
      <c r="M118">
        <v>-354.28</v>
      </c>
      <c r="N118" t="s">
        <v>2918</v>
      </c>
      <c r="O118" t="s">
        <v>7511</v>
      </c>
      <c r="P118" t="s">
        <v>3315</v>
      </c>
      <c r="Q118" t="s">
        <v>2924</v>
      </c>
      <c r="R118" t="s">
        <v>3219</v>
      </c>
      <c r="S118" t="s">
        <v>2208</v>
      </c>
      <c r="T118" t="s">
        <v>2208</v>
      </c>
    </row>
    <row r="119" spans="1:20">
      <c r="A119" t="s">
        <v>702</v>
      </c>
      <c r="B119" t="s">
        <v>2920</v>
      </c>
      <c r="C119">
        <v>45687</v>
      </c>
      <c r="D119" t="s">
        <v>7263</v>
      </c>
      <c r="E119" t="s">
        <v>2921</v>
      </c>
      <c r="F119">
        <v>45687</v>
      </c>
      <c r="G119" t="s">
        <v>2208</v>
      </c>
      <c r="H119" t="s">
        <v>2916</v>
      </c>
      <c r="I119" t="s">
        <v>7499</v>
      </c>
      <c r="J119">
        <v>0</v>
      </c>
      <c r="K119">
        <v>-66.010000000000005</v>
      </c>
      <c r="L119" t="s">
        <v>2917</v>
      </c>
      <c r="M119">
        <v>-407.66</v>
      </c>
      <c r="N119" t="s">
        <v>2918</v>
      </c>
      <c r="O119" t="s">
        <v>7500</v>
      </c>
      <c r="P119" t="s">
        <v>2208</v>
      </c>
      <c r="Q119" t="s">
        <v>2933</v>
      </c>
      <c r="R119" t="s">
        <v>3314</v>
      </c>
      <c r="S119" t="s">
        <v>2208</v>
      </c>
      <c r="T119" t="s">
        <v>2208</v>
      </c>
    </row>
    <row r="120" spans="1:20">
      <c r="A120" t="s">
        <v>702</v>
      </c>
      <c r="B120" t="s">
        <v>2920</v>
      </c>
      <c r="C120">
        <v>45688</v>
      </c>
      <c r="D120" t="s">
        <v>7263</v>
      </c>
      <c r="E120" t="s">
        <v>2921</v>
      </c>
      <c r="F120">
        <v>45688</v>
      </c>
      <c r="G120" t="s">
        <v>2208</v>
      </c>
      <c r="H120" t="s">
        <v>2916</v>
      </c>
      <c r="I120" t="s">
        <v>7512</v>
      </c>
      <c r="J120">
        <v>0</v>
      </c>
      <c r="K120">
        <v>-0.06</v>
      </c>
      <c r="L120" t="s">
        <v>2917</v>
      </c>
      <c r="M120">
        <v>0</v>
      </c>
      <c r="N120" t="s">
        <v>2918</v>
      </c>
      <c r="O120" t="s">
        <v>2919</v>
      </c>
      <c r="P120" t="s">
        <v>2208</v>
      </c>
      <c r="Q120" t="s">
        <v>2916</v>
      </c>
      <c r="R120" t="s">
        <v>3220</v>
      </c>
      <c r="S120" t="s">
        <v>2208</v>
      </c>
      <c r="T120" t="s">
        <v>2208</v>
      </c>
    </row>
    <row r="121" spans="1:20">
      <c r="A121" t="s">
        <v>702</v>
      </c>
      <c r="B121" t="s">
        <v>2920</v>
      </c>
      <c r="C121">
        <v>45688</v>
      </c>
      <c r="D121" t="s">
        <v>7263</v>
      </c>
      <c r="E121" t="s">
        <v>2921</v>
      </c>
      <c r="F121">
        <v>45688</v>
      </c>
      <c r="G121" t="s">
        <v>2208</v>
      </c>
      <c r="H121" t="s">
        <v>2916</v>
      </c>
      <c r="I121" t="s">
        <v>7513</v>
      </c>
      <c r="J121">
        <v>0</v>
      </c>
      <c r="K121">
        <v>0.06</v>
      </c>
      <c r="L121" t="s">
        <v>2917</v>
      </c>
      <c r="M121">
        <v>0</v>
      </c>
      <c r="N121" t="s">
        <v>2918</v>
      </c>
      <c r="O121" t="s">
        <v>2919</v>
      </c>
      <c r="P121" t="s">
        <v>2208</v>
      </c>
      <c r="Q121" t="s">
        <v>2916</v>
      </c>
      <c r="R121" t="s">
        <v>3220</v>
      </c>
      <c r="S121" t="s">
        <v>2208</v>
      </c>
      <c r="T121" t="s">
        <v>2208</v>
      </c>
    </row>
    <row r="122" spans="1:20">
      <c r="A122" t="s">
        <v>702</v>
      </c>
      <c r="B122" t="s">
        <v>7740</v>
      </c>
      <c r="C122">
        <v>45693</v>
      </c>
      <c r="D122" t="s">
        <v>7263</v>
      </c>
      <c r="E122" t="s">
        <v>2925</v>
      </c>
      <c r="F122">
        <v>45693</v>
      </c>
      <c r="G122" t="s">
        <v>8424</v>
      </c>
      <c r="H122" t="s">
        <v>2916</v>
      </c>
      <c r="I122" t="s">
        <v>8425</v>
      </c>
      <c r="J122">
        <v>7</v>
      </c>
      <c r="K122">
        <v>1744.09</v>
      </c>
      <c r="L122" t="s">
        <v>2917</v>
      </c>
      <c r="M122">
        <v>10143</v>
      </c>
      <c r="N122" t="s">
        <v>2918</v>
      </c>
      <c r="O122" t="s">
        <v>8426</v>
      </c>
      <c r="P122" t="s">
        <v>8427</v>
      </c>
      <c r="Q122" t="s">
        <v>2924</v>
      </c>
      <c r="R122" t="s">
        <v>3219</v>
      </c>
      <c r="S122" t="s">
        <v>8428</v>
      </c>
      <c r="T122" t="s">
        <v>8429</v>
      </c>
    </row>
    <row r="123" spans="1:20">
      <c r="A123" t="s">
        <v>702</v>
      </c>
      <c r="B123" t="s">
        <v>7740</v>
      </c>
      <c r="C123">
        <v>45693</v>
      </c>
      <c r="D123" t="s">
        <v>7263</v>
      </c>
      <c r="E123" t="s">
        <v>2925</v>
      </c>
      <c r="F123">
        <v>45693</v>
      </c>
      <c r="G123" t="s">
        <v>8424</v>
      </c>
      <c r="H123" t="s">
        <v>2916</v>
      </c>
      <c r="I123" t="s">
        <v>8430</v>
      </c>
      <c r="J123">
        <v>0</v>
      </c>
      <c r="K123">
        <v>-132.29</v>
      </c>
      <c r="L123" t="s">
        <v>2917</v>
      </c>
      <c r="M123">
        <v>-769.34</v>
      </c>
      <c r="N123" t="s">
        <v>2918</v>
      </c>
      <c r="O123" t="s">
        <v>8431</v>
      </c>
      <c r="P123" t="s">
        <v>8427</v>
      </c>
      <c r="Q123" t="s">
        <v>2924</v>
      </c>
      <c r="R123" t="s">
        <v>3219</v>
      </c>
      <c r="S123" t="s">
        <v>8428</v>
      </c>
      <c r="T123" t="s">
        <v>8429</v>
      </c>
    </row>
    <row r="124" spans="1:20">
      <c r="A124" t="s">
        <v>702</v>
      </c>
      <c r="B124" t="s">
        <v>7740</v>
      </c>
      <c r="C124">
        <v>45693</v>
      </c>
      <c r="D124" t="s">
        <v>7263</v>
      </c>
      <c r="E124" t="s">
        <v>2925</v>
      </c>
      <c r="F124">
        <v>45700</v>
      </c>
      <c r="G124" t="s">
        <v>8552</v>
      </c>
      <c r="H124" t="s">
        <v>2916</v>
      </c>
      <c r="I124" t="s">
        <v>8553</v>
      </c>
      <c r="J124">
        <v>1</v>
      </c>
      <c r="K124">
        <v>326.3</v>
      </c>
      <c r="L124" t="s">
        <v>2917</v>
      </c>
      <c r="M124">
        <v>1897.63</v>
      </c>
      <c r="N124" t="s">
        <v>2918</v>
      </c>
      <c r="O124" t="s">
        <v>8554</v>
      </c>
      <c r="P124" t="s">
        <v>8555</v>
      </c>
      <c r="Q124" t="s">
        <v>2924</v>
      </c>
      <c r="R124" t="s">
        <v>3219</v>
      </c>
      <c r="S124" t="s">
        <v>8556</v>
      </c>
      <c r="T124" t="s">
        <v>8557</v>
      </c>
    </row>
    <row r="125" spans="1:20">
      <c r="A125" t="s">
        <v>702</v>
      </c>
      <c r="B125" t="s">
        <v>7740</v>
      </c>
      <c r="C125">
        <v>45693</v>
      </c>
      <c r="D125" t="s">
        <v>7263</v>
      </c>
      <c r="E125" t="s">
        <v>2925</v>
      </c>
      <c r="F125">
        <v>45700</v>
      </c>
      <c r="G125" t="s">
        <v>8552</v>
      </c>
      <c r="H125" t="s">
        <v>2916</v>
      </c>
      <c r="I125" t="s">
        <v>8558</v>
      </c>
      <c r="J125">
        <v>0</v>
      </c>
      <c r="K125">
        <v>-26.56</v>
      </c>
      <c r="L125" t="s">
        <v>2917</v>
      </c>
      <c r="M125">
        <v>-154.46</v>
      </c>
      <c r="N125" t="s">
        <v>2918</v>
      </c>
      <c r="O125" t="s">
        <v>8559</v>
      </c>
      <c r="P125" t="s">
        <v>8555</v>
      </c>
      <c r="Q125" t="s">
        <v>2924</v>
      </c>
      <c r="R125" t="s">
        <v>3219</v>
      </c>
      <c r="S125" t="s">
        <v>8556</v>
      </c>
      <c r="T125" t="s">
        <v>8557</v>
      </c>
    </row>
    <row r="126" spans="1:20">
      <c r="A126" t="s">
        <v>702</v>
      </c>
      <c r="B126" t="s">
        <v>7740</v>
      </c>
      <c r="C126">
        <v>45694</v>
      </c>
      <c r="D126" t="s">
        <v>7263</v>
      </c>
      <c r="E126" t="s">
        <v>2925</v>
      </c>
      <c r="F126">
        <v>45700</v>
      </c>
      <c r="G126" t="s">
        <v>8560</v>
      </c>
      <c r="H126" t="s">
        <v>2916</v>
      </c>
      <c r="I126" t="s">
        <v>8561</v>
      </c>
      <c r="J126">
        <v>2</v>
      </c>
      <c r="K126">
        <v>429.88</v>
      </c>
      <c r="L126" t="s">
        <v>2917</v>
      </c>
      <c r="M126">
        <v>2500</v>
      </c>
      <c r="N126" t="s">
        <v>2918</v>
      </c>
      <c r="O126" t="s">
        <v>8562</v>
      </c>
      <c r="P126" t="s">
        <v>8563</v>
      </c>
      <c r="Q126" t="s">
        <v>2924</v>
      </c>
      <c r="R126" t="s">
        <v>3219</v>
      </c>
      <c r="S126" t="s">
        <v>8564</v>
      </c>
      <c r="T126" t="s">
        <v>8565</v>
      </c>
    </row>
    <row r="127" spans="1:20">
      <c r="A127" t="s">
        <v>702</v>
      </c>
      <c r="B127" t="s">
        <v>7740</v>
      </c>
      <c r="C127">
        <v>45694</v>
      </c>
      <c r="D127" t="s">
        <v>7263</v>
      </c>
      <c r="E127" t="s">
        <v>2925</v>
      </c>
      <c r="F127">
        <v>45700</v>
      </c>
      <c r="G127" t="s">
        <v>8560</v>
      </c>
      <c r="H127" t="s">
        <v>2916</v>
      </c>
      <c r="I127" t="s">
        <v>8566</v>
      </c>
      <c r="J127">
        <v>0</v>
      </c>
      <c r="K127">
        <v>-35</v>
      </c>
      <c r="L127" t="s">
        <v>2917</v>
      </c>
      <c r="M127">
        <v>-203.5</v>
      </c>
      <c r="N127" t="s">
        <v>2918</v>
      </c>
      <c r="O127" t="s">
        <v>8567</v>
      </c>
      <c r="P127" t="s">
        <v>8563</v>
      </c>
      <c r="Q127" t="s">
        <v>2924</v>
      </c>
      <c r="R127" t="s">
        <v>3219</v>
      </c>
      <c r="S127" t="s">
        <v>8564</v>
      </c>
      <c r="T127" t="s">
        <v>8565</v>
      </c>
    </row>
    <row r="128" spans="1:20">
      <c r="A128" t="s">
        <v>702</v>
      </c>
      <c r="B128" t="s">
        <v>7740</v>
      </c>
      <c r="C128">
        <v>45691</v>
      </c>
      <c r="D128" t="s">
        <v>7263</v>
      </c>
      <c r="E128" t="s">
        <v>2925</v>
      </c>
      <c r="F128">
        <v>45700</v>
      </c>
      <c r="G128" t="s">
        <v>8552</v>
      </c>
      <c r="H128" t="s">
        <v>2916</v>
      </c>
      <c r="I128" t="s">
        <v>8568</v>
      </c>
      <c r="J128">
        <v>1</v>
      </c>
      <c r="K128">
        <v>326.3</v>
      </c>
      <c r="L128" t="s">
        <v>2917</v>
      </c>
      <c r="M128">
        <v>1897.63</v>
      </c>
      <c r="N128" t="s">
        <v>2918</v>
      </c>
      <c r="O128" t="s">
        <v>8569</v>
      </c>
      <c r="P128" t="s">
        <v>8555</v>
      </c>
      <c r="Q128" t="s">
        <v>2924</v>
      </c>
      <c r="R128" t="s">
        <v>3219</v>
      </c>
      <c r="S128" t="s">
        <v>8556</v>
      </c>
      <c r="T128" t="s">
        <v>8557</v>
      </c>
    </row>
    <row r="129" spans="1:20">
      <c r="A129" t="s">
        <v>702</v>
      </c>
      <c r="B129" t="s">
        <v>7740</v>
      </c>
      <c r="C129">
        <v>45691</v>
      </c>
      <c r="D129" t="s">
        <v>7263</v>
      </c>
      <c r="E129" t="s">
        <v>2925</v>
      </c>
      <c r="F129">
        <v>45700</v>
      </c>
      <c r="G129" t="s">
        <v>8552</v>
      </c>
      <c r="H129" t="s">
        <v>2916</v>
      </c>
      <c r="I129" t="s">
        <v>8570</v>
      </c>
      <c r="J129">
        <v>0</v>
      </c>
      <c r="K129">
        <v>-26.56</v>
      </c>
      <c r="L129" t="s">
        <v>2917</v>
      </c>
      <c r="M129">
        <v>-154.46</v>
      </c>
      <c r="N129" t="s">
        <v>2918</v>
      </c>
      <c r="O129" t="s">
        <v>8571</v>
      </c>
      <c r="P129" t="s">
        <v>8555</v>
      </c>
      <c r="Q129" t="s">
        <v>2924</v>
      </c>
      <c r="R129" t="s">
        <v>3219</v>
      </c>
      <c r="S129" t="s">
        <v>8556</v>
      </c>
      <c r="T129" t="s">
        <v>8557</v>
      </c>
    </row>
    <row r="130" spans="1:20">
      <c r="A130" t="s">
        <v>702</v>
      </c>
      <c r="B130" t="s">
        <v>7740</v>
      </c>
      <c r="C130">
        <v>45688</v>
      </c>
      <c r="D130" t="s">
        <v>7263</v>
      </c>
      <c r="E130" t="s">
        <v>2925</v>
      </c>
      <c r="F130">
        <v>45705</v>
      </c>
      <c r="G130" t="s">
        <v>8572</v>
      </c>
      <c r="H130" t="s">
        <v>2916</v>
      </c>
      <c r="I130" t="s">
        <v>8573</v>
      </c>
      <c r="J130">
        <v>14</v>
      </c>
      <c r="K130">
        <v>120.34</v>
      </c>
      <c r="L130" t="s">
        <v>2917</v>
      </c>
      <c r="M130">
        <v>699.86</v>
      </c>
      <c r="N130" t="s">
        <v>2918</v>
      </c>
      <c r="O130" t="s">
        <v>8574</v>
      </c>
      <c r="P130" t="s">
        <v>8575</v>
      </c>
      <c r="Q130" t="s">
        <v>2924</v>
      </c>
      <c r="R130" t="s">
        <v>3219</v>
      </c>
      <c r="S130" t="s">
        <v>8576</v>
      </c>
      <c r="T130" t="s">
        <v>8577</v>
      </c>
    </row>
    <row r="131" spans="1:20">
      <c r="A131" t="s">
        <v>702</v>
      </c>
      <c r="B131" t="s">
        <v>7740</v>
      </c>
      <c r="C131">
        <v>45693</v>
      </c>
      <c r="D131" t="s">
        <v>7263</v>
      </c>
      <c r="E131" t="s">
        <v>2925</v>
      </c>
      <c r="F131">
        <v>45700</v>
      </c>
      <c r="G131" t="s">
        <v>8552</v>
      </c>
      <c r="H131" t="s">
        <v>2916</v>
      </c>
      <c r="I131" t="s">
        <v>8578</v>
      </c>
      <c r="J131">
        <v>0</v>
      </c>
      <c r="K131">
        <v>26.56</v>
      </c>
      <c r="L131" t="s">
        <v>2917</v>
      </c>
      <c r="M131">
        <v>154.46</v>
      </c>
      <c r="N131" t="s">
        <v>2918</v>
      </c>
      <c r="O131" t="s">
        <v>8579</v>
      </c>
      <c r="P131" t="s">
        <v>8555</v>
      </c>
      <c r="Q131" t="s">
        <v>2924</v>
      </c>
      <c r="R131" t="s">
        <v>3219</v>
      </c>
      <c r="S131" t="s">
        <v>8556</v>
      </c>
      <c r="T131" t="s">
        <v>8557</v>
      </c>
    </row>
    <row r="132" spans="1:20">
      <c r="A132" t="s">
        <v>702</v>
      </c>
      <c r="B132" t="s">
        <v>7740</v>
      </c>
      <c r="C132">
        <v>45693</v>
      </c>
      <c r="D132" t="s">
        <v>7263</v>
      </c>
      <c r="E132" t="s">
        <v>2925</v>
      </c>
      <c r="F132">
        <v>45707</v>
      </c>
      <c r="G132" t="s">
        <v>8552</v>
      </c>
      <c r="H132" t="s">
        <v>2916</v>
      </c>
      <c r="I132" t="s">
        <v>8580</v>
      </c>
      <c r="J132">
        <v>0</v>
      </c>
      <c r="K132">
        <v>-65.72</v>
      </c>
      <c r="L132" t="s">
        <v>2917</v>
      </c>
      <c r="M132">
        <v>-382.18</v>
      </c>
      <c r="N132" t="s">
        <v>2918</v>
      </c>
      <c r="O132" t="s">
        <v>8579</v>
      </c>
      <c r="P132" t="s">
        <v>8555</v>
      </c>
      <c r="Q132" t="s">
        <v>2924</v>
      </c>
      <c r="R132" t="s">
        <v>3219</v>
      </c>
      <c r="S132" t="s">
        <v>8556</v>
      </c>
      <c r="T132" t="s">
        <v>8557</v>
      </c>
    </row>
    <row r="133" spans="1:20">
      <c r="A133" t="s">
        <v>702</v>
      </c>
      <c r="B133" t="s">
        <v>7740</v>
      </c>
      <c r="C133">
        <v>45694</v>
      </c>
      <c r="D133" t="s">
        <v>7263</v>
      </c>
      <c r="E133" t="s">
        <v>2925</v>
      </c>
      <c r="F133">
        <v>45700</v>
      </c>
      <c r="G133" t="s">
        <v>8560</v>
      </c>
      <c r="H133" t="s">
        <v>2916</v>
      </c>
      <c r="I133" t="s">
        <v>8581</v>
      </c>
      <c r="J133">
        <v>0</v>
      </c>
      <c r="K133">
        <v>35</v>
      </c>
      <c r="L133" t="s">
        <v>2917</v>
      </c>
      <c r="M133">
        <v>203.5</v>
      </c>
      <c r="N133" t="s">
        <v>2918</v>
      </c>
      <c r="O133" t="s">
        <v>8582</v>
      </c>
      <c r="P133" t="s">
        <v>8563</v>
      </c>
      <c r="Q133" t="s">
        <v>2924</v>
      </c>
      <c r="R133" t="s">
        <v>3219</v>
      </c>
      <c r="S133" t="s">
        <v>8564</v>
      </c>
      <c r="T133" t="s">
        <v>8565</v>
      </c>
    </row>
    <row r="134" spans="1:20">
      <c r="A134" t="s">
        <v>702</v>
      </c>
      <c r="B134" t="s">
        <v>7740</v>
      </c>
      <c r="C134">
        <v>45691</v>
      </c>
      <c r="D134" t="s">
        <v>7263</v>
      </c>
      <c r="E134" t="s">
        <v>2925</v>
      </c>
      <c r="F134">
        <v>45700</v>
      </c>
      <c r="G134" t="s">
        <v>8552</v>
      </c>
      <c r="H134" t="s">
        <v>2916</v>
      </c>
      <c r="I134" t="s">
        <v>8583</v>
      </c>
      <c r="J134">
        <v>0</v>
      </c>
      <c r="K134">
        <v>26.56</v>
      </c>
      <c r="L134" t="s">
        <v>2917</v>
      </c>
      <c r="M134">
        <v>154.46</v>
      </c>
      <c r="N134" t="s">
        <v>2918</v>
      </c>
      <c r="O134" t="s">
        <v>8584</v>
      </c>
      <c r="P134" t="s">
        <v>8555</v>
      </c>
      <c r="Q134" t="s">
        <v>2924</v>
      </c>
      <c r="R134" t="s">
        <v>3219</v>
      </c>
      <c r="S134" t="s">
        <v>8556</v>
      </c>
      <c r="T134" t="s">
        <v>8557</v>
      </c>
    </row>
    <row r="135" spans="1:20">
      <c r="A135" t="s">
        <v>702</v>
      </c>
      <c r="B135" t="s">
        <v>7740</v>
      </c>
      <c r="C135">
        <v>45694</v>
      </c>
      <c r="D135" t="s">
        <v>7263</v>
      </c>
      <c r="E135" t="s">
        <v>2925</v>
      </c>
      <c r="F135">
        <v>45708</v>
      </c>
      <c r="G135" t="s">
        <v>8560</v>
      </c>
      <c r="H135" t="s">
        <v>2916</v>
      </c>
      <c r="I135" t="s">
        <v>8585</v>
      </c>
      <c r="J135">
        <v>0</v>
      </c>
      <c r="K135">
        <v>-86.58</v>
      </c>
      <c r="L135" t="s">
        <v>2917</v>
      </c>
      <c r="M135">
        <v>-503.5</v>
      </c>
      <c r="N135" t="s">
        <v>2918</v>
      </c>
      <c r="O135" t="s">
        <v>8582</v>
      </c>
      <c r="P135" t="s">
        <v>8563</v>
      </c>
      <c r="Q135" t="s">
        <v>2924</v>
      </c>
      <c r="R135" t="s">
        <v>3219</v>
      </c>
      <c r="S135" t="s">
        <v>8564</v>
      </c>
      <c r="T135" t="s">
        <v>8565</v>
      </c>
    </row>
    <row r="136" spans="1:20">
      <c r="A136" t="s">
        <v>702</v>
      </c>
      <c r="B136" t="s">
        <v>7740</v>
      </c>
      <c r="C136">
        <v>45691</v>
      </c>
      <c r="D136" t="s">
        <v>7263</v>
      </c>
      <c r="E136" t="s">
        <v>2925</v>
      </c>
      <c r="F136">
        <v>45708</v>
      </c>
      <c r="G136" t="s">
        <v>8552</v>
      </c>
      <c r="H136" t="s">
        <v>2916</v>
      </c>
      <c r="I136" t="s">
        <v>8586</v>
      </c>
      <c r="J136">
        <v>0</v>
      </c>
      <c r="K136">
        <v>-65.72</v>
      </c>
      <c r="L136" t="s">
        <v>2917</v>
      </c>
      <c r="M136">
        <v>-382.18</v>
      </c>
      <c r="N136" t="s">
        <v>2918</v>
      </c>
      <c r="O136" t="s">
        <v>8584</v>
      </c>
      <c r="P136" t="s">
        <v>8555</v>
      </c>
      <c r="Q136" t="s">
        <v>2924</v>
      </c>
      <c r="R136" t="s">
        <v>3219</v>
      </c>
      <c r="S136" t="s">
        <v>8556</v>
      </c>
      <c r="T136" t="s">
        <v>8557</v>
      </c>
    </row>
    <row r="137" spans="1:20">
      <c r="A137" t="s">
        <v>702</v>
      </c>
      <c r="B137" t="s">
        <v>7740</v>
      </c>
      <c r="C137">
        <v>45708</v>
      </c>
      <c r="D137" t="s">
        <v>7263</v>
      </c>
      <c r="E137" t="s">
        <v>2925</v>
      </c>
      <c r="F137">
        <v>45712</v>
      </c>
      <c r="G137" t="s">
        <v>8587</v>
      </c>
      <c r="H137" t="s">
        <v>2916</v>
      </c>
      <c r="I137" t="s">
        <v>8588</v>
      </c>
      <c r="J137">
        <v>1</v>
      </c>
      <c r="K137">
        <v>1.51</v>
      </c>
      <c r="L137" t="s">
        <v>2917</v>
      </c>
      <c r="M137">
        <v>8.7799999999999994</v>
      </c>
      <c r="N137" t="s">
        <v>2918</v>
      </c>
      <c r="O137" t="s">
        <v>8589</v>
      </c>
      <c r="P137" t="s">
        <v>8590</v>
      </c>
      <c r="Q137" t="s">
        <v>2927</v>
      </c>
      <c r="R137" t="s">
        <v>3222</v>
      </c>
      <c r="S137" t="s">
        <v>8591</v>
      </c>
      <c r="T137" t="s">
        <v>8590</v>
      </c>
    </row>
    <row r="138" spans="1:20">
      <c r="A138" t="s">
        <v>702</v>
      </c>
      <c r="B138" t="s">
        <v>7740</v>
      </c>
      <c r="C138">
        <v>45708</v>
      </c>
      <c r="D138" t="s">
        <v>7263</v>
      </c>
      <c r="E138" t="s">
        <v>2925</v>
      </c>
      <c r="F138">
        <v>45712</v>
      </c>
      <c r="G138" t="s">
        <v>8587</v>
      </c>
      <c r="H138" t="s">
        <v>2916</v>
      </c>
      <c r="I138" t="s">
        <v>8588</v>
      </c>
      <c r="J138">
        <v>1</v>
      </c>
      <c r="K138">
        <v>167.92</v>
      </c>
      <c r="L138" t="s">
        <v>2917</v>
      </c>
      <c r="M138">
        <v>976.58</v>
      </c>
      <c r="N138" t="s">
        <v>2918</v>
      </c>
      <c r="O138" t="s">
        <v>8589</v>
      </c>
      <c r="P138" t="s">
        <v>8592</v>
      </c>
      <c r="Q138" t="s">
        <v>2927</v>
      </c>
      <c r="R138" t="s">
        <v>3222</v>
      </c>
      <c r="S138" t="s">
        <v>8593</v>
      </c>
      <c r="T138" t="s">
        <v>8592</v>
      </c>
    </row>
    <row r="139" spans="1:20">
      <c r="A139" t="s">
        <v>702</v>
      </c>
      <c r="B139" t="s">
        <v>7740</v>
      </c>
      <c r="C139">
        <v>45708</v>
      </c>
      <c r="D139" t="s">
        <v>7263</v>
      </c>
      <c r="E139" t="s">
        <v>2925</v>
      </c>
      <c r="F139">
        <v>45712</v>
      </c>
      <c r="G139" t="s">
        <v>8587</v>
      </c>
      <c r="H139" t="s">
        <v>2916</v>
      </c>
      <c r="I139" t="s">
        <v>8588</v>
      </c>
      <c r="J139">
        <v>1</v>
      </c>
      <c r="K139">
        <v>21.73</v>
      </c>
      <c r="L139" t="s">
        <v>2917</v>
      </c>
      <c r="M139">
        <v>126.4</v>
      </c>
      <c r="N139" t="s">
        <v>2918</v>
      </c>
      <c r="O139" t="s">
        <v>8589</v>
      </c>
      <c r="P139" t="s">
        <v>8594</v>
      </c>
      <c r="Q139" t="s">
        <v>2927</v>
      </c>
      <c r="R139" t="s">
        <v>3222</v>
      </c>
      <c r="S139" t="s">
        <v>8595</v>
      </c>
      <c r="T139" t="s">
        <v>8594</v>
      </c>
    </row>
    <row r="140" spans="1:20">
      <c r="A140" t="s">
        <v>702</v>
      </c>
      <c r="B140" t="s">
        <v>7740</v>
      </c>
      <c r="C140">
        <v>45708</v>
      </c>
      <c r="D140" t="s">
        <v>7263</v>
      </c>
      <c r="E140" t="s">
        <v>2925</v>
      </c>
      <c r="F140">
        <v>45712</v>
      </c>
      <c r="G140" t="s">
        <v>8587</v>
      </c>
      <c r="H140" t="s">
        <v>2916</v>
      </c>
      <c r="I140" t="s">
        <v>8588</v>
      </c>
      <c r="J140">
        <v>1</v>
      </c>
      <c r="K140">
        <v>31.25</v>
      </c>
      <c r="L140" t="s">
        <v>2917</v>
      </c>
      <c r="M140">
        <v>181.71</v>
      </c>
      <c r="N140" t="s">
        <v>2918</v>
      </c>
      <c r="O140" t="s">
        <v>8589</v>
      </c>
      <c r="P140" t="s">
        <v>8596</v>
      </c>
      <c r="Q140" t="s">
        <v>2927</v>
      </c>
      <c r="R140" t="s">
        <v>3222</v>
      </c>
      <c r="S140" t="s">
        <v>8597</v>
      </c>
      <c r="T140" t="s">
        <v>8596</v>
      </c>
    </row>
    <row r="141" spans="1:20">
      <c r="A141" t="s">
        <v>702</v>
      </c>
      <c r="B141" t="s">
        <v>7740</v>
      </c>
      <c r="C141">
        <v>45708</v>
      </c>
      <c r="D141" t="s">
        <v>7263</v>
      </c>
      <c r="E141" t="s">
        <v>2925</v>
      </c>
      <c r="F141">
        <v>45712</v>
      </c>
      <c r="G141" t="s">
        <v>8587</v>
      </c>
      <c r="H141" t="s">
        <v>2916</v>
      </c>
      <c r="I141" t="s">
        <v>8588</v>
      </c>
      <c r="J141">
        <v>1</v>
      </c>
      <c r="K141">
        <v>3.58</v>
      </c>
      <c r="L141" t="s">
        <v>2917</v>
      </c>
      <c r="M141">
        <v>20.84</v>
      </c>
      <c r="N141" t="s">
        <v>2918</v>
      </c>
      <c r="O141" t="s">
        <v>8589</v>
      </c>
      <c r="P141" t="s">
        <v>8598</v>
      </c>
      <c r="Q141" t="s">
        <v>2927</v>
      </c>
      <c r="R141" t="s">
        <v>3222</v>
      </c>
      <c r="S141" t="s">
        <v>8599</v>
      </c>
      <c r="T141" t="s">
        <v>8598</v>
      </c>
    </row>
    <row r="142" spans="1:20">
      <c r="A142" t="s">
        <v>702</v>
      </c>
      <c r="B142" t="s">
        <v>7740</v>
      </c>
      <c r="C142">
        <v>45708</v>
      </c>
      <c r="D142" t="s">
        <v>7263</v>
      </c>
      <c r="E142" t="s">
        <v>2925</v>
      </c>
      <c r="F142">
        <v>45712</v>
      </c>
      <c r="G142" t="s">
        <v>8587</v>
      </c>
      <c r="H142" t="s">
        <v>2916</v>
      </c>
      <c r="I142" t="s">
        <v>8588</v>
      </c>
      <c r="J142">
        <v>2</v>
      </c>
      <c r="K142">
        <v>15.61</v>
      </c>
      <c r="L142" t="s">
        <v>2917</v>
      </c>
      <c r="M142">
        <v>90.8</v>
      </c>
      <c r="N142" t="s">
        <v>2918</v>
      </c>
      <c r="O142" t="s">
        <v>8589</v>
      </c>
      <c r="P142" t="s">
        <v>8600</v>
      </c>
      <c r="Q142" t="s">
        <v>2927</v>
      </c>
      <c r="R142" t="s">
        <v>3222</v>
      </c>
      <c r="S142" t="s">
        <v>8601</v>
      </c>
      <c r="T142" t="s">
        <v>8600</v>
      </c>
    </row>
    <row r="143" spans="1:20">
      <c r="A143" t="s">
        <v>702</v>
      </c>
      <c r="B143" t="s">
        <v>7740</v>
      </c>
      <c r="C143">
        <v>45708</v>
      </c>
      <c r="D143" t="s">
        <v>7263</v>
      </c>
      <c r="E143" t="s">
        <v>2925</v>
      </c>
      <c r="F143">
        <v>45712</v>
      </c>
      <c r="G143" t="s">
        <v>8587</v>
      </c>
      <c r="H143" t="s">
        <v>2916</v>
      </c>
      <c r="I143" t="s">
        <v>8588</v>
      </c>
      <c r="J143">
        <v>1</v>
      </c>
      <c r="K143">
        <v>41.05</v>
      </c>
      <c r="L143" t="s">
        <v>2917</v>
      </c>
      <c r="M143">
        <v>238.73</v>
      </c>
      <c r="N143" t="s">
        <v>2918</v>
      </c>
      <c r="O143" t="s">
        <v>8589</v>
      </c>
      <c r="P143" t="s">
        <v>8602</v>
      </c>
      <c r="Q143" t="s">
        <v>2927</v>
      </c>
      <c r="R143" t="s">
        <v>3222</v>
      </c>
      <c r="S143" t="s">
        <v>8603</v>
      </c>
      <c r="T143" t="s">
        <v>8602</v>
      </c>
    </row>
    <row r="144" spans="1:20">
      <c r="A144" t="s">
        <v>702</v>
      </c>
      <c r="B144" t="s">
        <v>7740</v>
      </c>
      <c r="C144">
        <v>45708</v>
      </c>
      <c r="D144" t="s">
        <v>7263</v>
      </c>
      <c r="E144" t="s">
        <v>2925</v>
      </c>
      <c r="F144">
        <v>45712</v>
      </c>
      <c r="G144" t="s">
        <v>8587</v>
      </c>
      <c r="H144" t="s">
        <v>2916</v>
      </c>
      <c r="I144" t="s">
        <v>8588</v>
      </c>
      <c r="J144">
        <v>2</v>
      </c>
      <c r="K144">
        <v>354.99</v>
      </c>
      <c r="L144" t="s">
        <v>2917</v>
      </c>
      <c r="M144">
        <v>2064.52</v>
      </c>
      <c r="N144" t="s">
        <v>2918</v>
      </c>
      <c r="O144" t="s">
        <v>8589</v>
      </c>
      <c r="P144" t="s">
        <v>8604</v>
      </c>
      <c r="Q144" t="s">
        <v>2927</v>
      </c>
      <c r="R144" t="s">
        <v>3222</v>
      </c>
      <c r="S144" t="s">
        <v>8605</v>
      </c>
      <c r="T144" t="s">
        <v>8604</v>
      </c>
    </row>
    <row r="145" spans="1:20">
      <c r="A145" t="s">
        <v>702</v>
      </c>
      <c r="B145" t="s">
        <v>7740</v>
      </c>
      <c r="C145">
        <v>45708</v>
      </c>
      <c r="D145" t="s">
        <v>7263</v>
      </c>
      <c r="E145" t="s">
        <v>2925</v>
      </c>
      <c r="F145">
        <v>45712</v>
      </c>
      <c r="G145" t="s">
        <v>8587</v>
      </c>
      <c r="H145" t="s">
        <v>2916</v>
      </c>
      <c r="I145" t="s">
        <v>8588</v>
      </c>
      <c r="J145">
        <v>2</v>
      </c>
      <c r="K145">
        <v>25.61</v>
      </c>
      <c r="L145" t="s">
        <v>2917</v>
      </c>
      <c r="M145">
        <v>148.94</v>
      </c>
      <c r="N145" t="s">
        <v>2918</v>
      </c>
      <c r="O145" t="s">
        <v>8589</v>
      </c>
      <c r="P145" t="s">
        <v>8557</v>
      </c>
      <c r="Q145" t="s">
        <v>2927</v>
      </c>
      <c r="R145" t="s">
        <v>3222</v>
      </c>
      <c r="S145" t="s">
        <v>8556</v>
      </c>
      <c r="T145" t="s">
        <v>8557</v>
      </c>
    </row>
    <row r="146" spans="1:20">
      <c r="A146" t="s">
        <v>702</v>
      </c>
      <c r="B146" t="s">
        <v>7740</v>
      </c>
      <c r="C146">
        <v>45708</v>
      </c>
      <c r="D146" t="s">
        <v>7263</v>
      </c>
      <c r="E146" t="s">
        <v>2925</v>
      </c>
      <c r="F146">
        <v>45712</v>
      </c>
      <c r="G146" t="s">
        <v>8587</v>
      </c>
      <c r="H146" t="s">
        <v>2916</v>
      </c>
      <c r="I146" t="s">
        <v>8588</v>
      </c>
      <c r="J146">
        <v>1</v>
      </c>
      <c r="K146">
        <v>8.8000000000000007</v>
      </c>
      <c r="L146" t="s">
        <v>2917</v>
      </c>
      <c r="M146">
        <v>51.15</v>
      </c>
      <c r="N146" t="s">
        <v>2918</v>
      </c>
      <c r="O146" t="s">
        <v>8589</v>
      </c>
      <c r="P146" t="s">
        <v>8606</v>
      </c>
      <c r="Q146" t="s">
        <v>2927</v>
      </c>
      <c r="R146" t="s">
        <v>3222</v>
      </c>
      <c r="S146" t="s">
        <v>8607</v>
      </c>
      <c r="T146" t="s">
        <v>8606</v>
      </c>
    </row>
    <row r="147" spans="1:20">
      <c r="A147" t="s">
        <v>702</v>
      </c>
      <c r="B147" t="s">
        <v>7740</v>
      </c>
      <c r="C147">
        <v>45708</v>
      </c>
      <c r="D147" t="s">
        <v>7263</v>
      </c>
      <c r="E147" t="s">
        <v>2925</v>
      </c>
      <c r="F147">
        <v>45712</v>
      </c>
      <c r="G147" t="s">
        <v>8587</v>
      </c>
      <c r="H147" t="s">
        <v>2916</v>
      </c>
      <c r="I147" t="s">
        <v>8588</v>
      </c>
      <c r="J147">
        <v>1</v>
      </c>
      <c r="K147">
        <v>8.89</v>
      </c>
      <c r="L147" t="s">
        <v>2917</v>
      </c>
      <c r="M147">
        <v>51.72</v>
      </c>
      <c r="N147" t="s">
        <v>2918</v>
      </c>
      <c r="O147" t="s">
        <v>8589</v>
      </c>
      <c r="P147" t="s">
        <v>8608</v>
      </c>
      <c r="Q147" t="s">
        <v>2927</v>
      </c>
      <c r="R147" t="s">
        <v>3222</v>
      </c>
      <c r="S147" t="s">
        <v>8609</v>
      </c>
      <c r="T147" t="s">
        <v>8608</v>
      </c>
    </row>
    <row r="148" spans="1:20">
      <c r="A148" t="s">
        <v>702</v>
      </c>
      <c r="B148" t="s">
        <v>7740</v>
      </c>
      <c r="C148">
        <v>45708</v>
      </c>
      <c r="D148" t="s">
        <v>7263</v>
      </c>
      <c r="E148" t="s">
        <v>2925</v>
      </c>
      <c r="F148">
        <v>45712</v>
      </c>
      <c r="G148" t="s">
        <v>8587</v>
      </c>
      <c r="H148" t="s">
        <v>2916</v>
      </c>
      <c r="I148" t="s">
        <v>8588</v>
      </c>
      <c r="J148">
        <v>1</v>
      </c>
      <c r="K148">
        <v>37.04</v>
      </c>
      <c r="L148" t="s">
        <v>2917</v>
      </c>
      <c r="M148">
        <v>215.41</v>
      </c>
      <c r="N148" t="s">
        <v>2918</v>
      </c>
      <c r="O148" t="s">
        <v>8589</v>
      </c>
      <c r="P148" t="s">
        <v>8610</v>
      </c>
      <c r="Q148" t="s">
        <v>2927</v>
      </c>
      <c r="R148" t="s">
        <v>3222</v>
      </c>
      <c r="S148" t="s">
        <v>8611</v>
      </c>
      <c r="T148" t="s">
        <v>8610</v>
      </c>
    </row>
    <row r="149" spans="1:20">
      <c r="A149" t="s">
        <v>702</v>
      </c>
      <c r="B149" t="s">
        <v>7740</v>
      </c>
      <c r="C149">
        <v>45644</v>
      </c>
      <c r="D149" t="s">
        <v>7263</v>
      </c>
      <c r="E149" t="s">
        <v>2925</v>
      </c>
      <c r="F149">
        <v>45712</v>
      </c>
      <c r="G149" t="s">
        <v>8890</v>
      </c>
      <c r="H149" t="s">
        <v>2916</v>
      </c>
      <c r="I149" t="s">
        <v>8891</v>
      </c>
      <c r="J149">
        <v>518214.8</v>
      </c>
      <c r="K149">
        <v>89107.03</v>
      </c>
      <c r="L149" t="s">
        <v>2917</v>
      </c>
      <c r="M149">
        <v>518214.8</v>
      </c>
      <c r="N149" t="s">
        <v>2918</v>
      </c>
      <c r="O149" t="s">
        <v>2923</v>
      </c>
      <c r="P149" t="s">
        <v>2923</v>
      </c>
      <c r="Q149" t="s">
        <v>2924</v>
      </c>
      <c r="R149" t="s">
        <v>3219</v>
      </c>
      <c r="S149" t="s">
        <v>2208</v>
      </c>
      <c r="T149" t="s">
        <v>2208</v>
      </c>
    </row>
    <row r="150" spans="1:20">
      <c r="A150" t="s">
        <v>702</v>
      </c>
      <c r="B150" t="s">
        <v>7740</v>
      </c>
      <c r="C150">
        <v>45462</v>
      </c>
      <c r="D150" t="s">
        <v>7263</v>
      </c>
      <c r="E150" t="s">
        <v>2925</v>
      </c>
      <c r="F150">
        <v>45712</v>
      </c>
      <c r="G150" t="s">
        <v>7504</v>
      </c>
      <c r="H150" t="s">
        <v>2916</v>
      </c>
      <c r="I150" t="s">
        <v>8892</v>
      </c>
      <c r="J150">
        <v>34490.28</v>
      </c>
      <c r="K150">
        <v>5930.6</v>
      </c>
      <c r="L150" t="s">
        <v>2917</v>
      </c>
      <c r="M150">
        <v>34490.28</v>
      </c>
      <c r="N150" t="s">
        <v>2918</v>
      </c>
      <c r="O150" t="s">
        <v>2939</v>
      </c>
      <c r="P150" t="s">
        <v>2939</v>
      </c>
      <c r="Q150" t="s">
        <v>2924</v>
      </c>
      <c r="R150" t="s">
        <v>3219</v>
      </c>
      <c r="S150" t="s">
        <v>2208</v>
      </c>
      <c r="T150" t="s">
        <v>2208</v>
      </c>
    </row>
    <row r="151" spans="1:20">
      <c r="A151" t="s">
        <v>702</v>
      </c>
      <c r="B151" t="s">
        <v>7740</v>
      </c>
      <c r="C151">
        <v>45714</v>
      </c>
      <c r="D151" t="s">
        <v>7263</v>
      </c>
      <c r="E151" t="s">
        <v>2925</v>
      </c>
      <c r="F151">
        <v>45714</v>
      </c>
      <c r="G151" t="s">
        <v>2208</v>
      </c>
      <c r="H151" t="s">
        <v>2916</v>
      </c>
      <c r="I151" t="s">
        <v>8982</v>
      </c>
      <c r="J151">
        <v>0</v>
      </c>
      <c r="K151">
        <v>10.92</v>
      </c>
      <c r="L151" t="s">
        <v>2917</v>
      </c>
      <c r="M151">
        <v>63.51</v>
      </c>
      <c r="N151" t="s">
        <v>2918</v>
      </c>
      <c r="O151" t="s">
        <v>3313</v>
      </c>
      <c r="P151" t="s">
        <v>2208</v>
      </c>
      <c r="Q151" t="s">
        <v>2929</v>
      </c>
      <c r="R151" t="s">
        <v>3228</v>
      </c>
      <c r="S151" t="s">
        <v>2208</v>
      </c>
      <c r="T151" t="s">
        <v>2208</v>
      </c>
    </row>
    <row r="152" spans="1:20">
      <c r="A152" t="s">
        <v>702</v>
      </c>
      <c r="B152" t="s">
        <v>7740</v>
      </c>
      <c r="C152">
        <v>45712</v>
      </c>
      <c r="D152" t="s">
        <v>7263</v>
      </c>
      <c r="E152" t="s">
        <v>2925</v>
      </c>
      <c r="F152">
        <v>45714</v>
      </c>
      <c r="G152" t="s">
        <v>8890</v>
      </c>
      <c r="H152" t="s">
        <v>2916</v>
      </c>
      <c r="I152" t="s">
        <v>8983</v>
      </c>
      <c r="J152">
        <v>0</v>
      </c>
      <c r="K152">
        <v>-8242.39</v>
      </c>
      <c r="L152" t="s">
        <v>2917</v>
      </c>
      <c r="M152">
        <v>-47934.86</v>
      </c>
      <c r="N152" t="s">
        <v>2918</v>
      </c>
      <c r="O152" t="s">
        <v>8984</v>
      </c>
      <c r="P152" t="s">
        <v>2923</v>
      </c>
      <c r="Q152" t="s">
        <v>2924</v>
      </c>
      <c r="R152" t="s">
        <v>3219</v>
      </c>
      <c r="S152" t="s">
        <v>2208</v>
      </c>
      <c r="T152" t="s">
        <v>2208</v>
      </c>
    </row>
    <row r="153" spans="1:20">
      <c r="A153" t="s">
        <v>702</v>
      </c>
      <c r="B153" t="s">
        <v>7740</v>
      </c>
      <c r="C153">
        <v>45712</v>
      </c>
      <c r="D153" t="s">
        <v>7263</v>
      </c>
      <c r="E153" t="s">
        <v>2925</v>
      </c>
      <c r="F153">
        <v>45714</v>
      </c>
      <c r="G153" t="s">
        <v>7504</v>
      </c>
      <c r="H153" t="s">
        <v>2916</v>
      </c>
      <c r="I153" t="s">
        <v>8985</v>
      </c>
      <c r="J153">
        <v>0</v>
      </c>
      <c r="K153">
        <v>-548.58000000000004</v>
      </c>
      <c r="L153" t="s">
        <v>2917</v>
      </c>
      <c r="M153">
        <v>-3190.35</v>
      </c>
      <c r="N153" t="s">
        <v>2918</v>
      </c>
      <c r="O153" t="s">
        <v>8986</v>
      </c>
      <c r="P153" t="s">
        <v>2939</v>
      </c>
      <c r="Q153" t="s">
        <v>2924</v>
      </c>
      <c r="R153" t="s">
        <v>3219</v>
      </c>
      <c r="S153" t="s">
        <v>2208</v>
      </c>
      <c r="T153" t="s">
        <v>2208</v>
      </c>
    </row>
    <row r="154" spans="1:20">
      <c r="A154" t="s">
        <v>702</v>
      </c>
      <c r="B154" t="s">
        <v>7740</v>
      </c>
      <c r="C154">
        <v>45716</v>
      </c>
      <c r="D154" t="s">
        <v>7263</v>
      </c>
      <c r="E154" t="s">
        <v>2925</v>
      </c>
      <c r="F154">
        <v>45716</v>
      </c>
      <c r="G154" t="s">
        <v>2208</v>
      </c>
      <c r="H154" t="s">
        <v>2916</v>
      </c>
      <c r="I154" t="s">
        <v>9116</v>
      </c>
      <c r="J154">
        <v>0</v>
      </c>
      <c r="K154">
        <v>17.61</v>
      </c>
      <c r="L154" t="s">
        <v>2917</v>
      </c>
      <c r="M154">
        <v>102.43</v>
      </c>
      <c r="N154" t="s">
        <v>2918</v>
      </c>
      <c r="O154" t="s">
        <v>9117</v>
      </c>
      <c r="P154" t="s">
        <v>2208</v>
      </c>
      <c r="Q154" t="s">
        <v>2926</v>
      </c>
      <c r="R154" t="s">
        <v>3312</v>
      </c>
      <c r="S154" t="s">
        <v>2208</v>
      </c>
      <c r="T154" t="s">
        <v>2208</v>
      </c>
    </row>
    <row r="155" spans="1:20">
      <c r="A155" t="s">
        <v>702</v>
      </c>
      <c r="B155" t="s">
        <v>7740</v>
      </c>
      <c r="C155">
        <v>45716</v>
      </c>
      <c r="D155" t="s">
        <v>7263</v>
      </c>
      <c r="E155" t="s">
        <v>2925</v>
      </c>
      <c r="F155">
        <v>45716</v>
      </c>
      <c r="G155" t="s">
        <v>2208</v>
      </c>
      <c r="H155" t="s">
        <v>2916</v>
      </c>
      <c r="I155" t="s">
        <v>9123</v>
      </c>
      <c r="J155">
        <v>0</v>
      </c>
      <c r="K155">
        <v>-0.04</v>
      </c>
      <c r="L155" t="s">
        <v>2917</v>
      </c>
      <c r="M155">
        <v>0</v>
      </c>
      <c r="N155" t="s">
        <v>2918</v>
      </c>
      <c r="O155" t="s">
        <v>2919</v>
      </c>
      <c r="P155" t="s">
        <v>2208</v>
      </c>
      <c r="Q155" t="s">
        <v>2916</v>
      </c>
      <c r="R155" t="s">
        <v>3220</v>
      </c>
      <c r="S155" t="s">
        <v>2208</v>
      </c>
      <c r="T155" t="s">
        <v>2208</v>
      </c>
    </row>
    <row r="156" spans="1:20">
      <c r="A156" t="s">
        <v>702</v>
      </c>
      <c r="B156" t="s">
        <v>7740</v>
      </c>
      <c r="C156">
        <v>45716</v>
      </c>
      <c r="D156" t="s">
        <v>7263</v>
      </c>
      <c r="E156" t="s">
        <v>2925</v>
      </c>
      <c r="F156">
        <v>45716</v>
      </c>
      <c r="G156" t="s">
        <v>2208</v>
      </c>
      <c r="H156" t="s">
        <v>2916</v>
      </c>
      <c r="I156" t="s">
        <v>9119</v>
      </c>
      <c r="J156">
        <v>0</v>
      </c>
      <c r="K156">
        <v>-17.61</v>
      </c>
      <c r="L156" t="s">
        <v>2917</v>
      </c>
      <c r="M156">
        <v>-102.43</v>
      </c>
      <c r="N156" t="s">
        <v>2918</v>
      </c>
      <c r="O156" t="s">
        <v>9117</v>
      </c>
      <c r="P156" t="s">
        <v>2208</v>
      </c>
      <c r="Q156" t="s">
        <v>2926</v>
      </c>
      <c r="R156" t="s">
        <v>3312</v>
      </c>
      <c r="S156" t="s">
        <v>2208</v>
      </c>
      <c r="T156" t="s">
        <v>2208</v>
      </c>
    </row>
    <row r="157" spans="1:20">
      <c r="A157" t="s">
        <v>702</v>
      </c>
      <c r="B157" t="s">
        <v>7740</v>
      </c>
      <c r="C157">
        <v>45716</v>
      </c>
      <c r="D157" t="s">
        <v>7263</v>
      </c>
      <c r="E157" t="s">
        <v>2925</v>
      </c>
      <c r="F157">
        <v>45716</v>
      </c>
      <c r="G157" t="s">
        <v>2208</v>
      </c>
      <c r="H157" t="s">
        <v>2916</v>
      </c>
      <c r="I157" t="s">
        <v>9120</v>
      </c>
      <c r="J157">
        <v>0</v>
      </c>
      <c r="K157">
        <v>17.61</v>
      </c>
      <c r="L157" t="s">
        <v>2917</v>
      </c>
      <c r="M157">
        <v>102.43</v>
      </c>
      <c r="N157" t="s">
        <v>2918</v>
      </c>
      <c r="O157" t="s">
        <v>9117</v>
      </c>
      <c r="P157" t="s">
        <v>2208</v>
      </c>
      <c r="Q157" t="s">
        <v>2926</v>
      </c>
      <c r="R157" t="s">
        <v>3312</v>
      </c>
      <c r="S157" t="s">
        <v>2208</v>
      </c>
      <c r="T157" t="s">
        <v>2208</v>
      </c>
    </row>
    <row r="158" spans="1:20">
      <c r="A158" t="s">
        <v>702</v>
      </c>
      <c r="B158" t="s">
        <v>9126</v>
      </c>
      <c r="C158">
        <v>45714</v>
      </c>
      <c r="D158" t="s">
        <v>7263</v>
      </c>
      <c r="E158" t="s">
        <v>9127</v>
      </c>
      <c r="F158">
        <v>45734</v>
      </c>
      <c r="G158" t="s">
        <v>2208</v>
      </c>
      <c r="H158" t="s">
        <v>2916</v>
      </c>
      <c r="I158" t="s">
        <v>10894</v>
      </c>
      <c r="J158">
        <v>0</v>
      </c>
      <c r="K158">
        <v>-10.92</v>
      </c>
      <c r="L158" t="s">
        <v>2917</v>
      </c>
      <c r="M158">
        <v>-63.51</v>
      </c>
      <c r="N158" t="s">
        <v>2918</v>
      </c>
      <c r="O158" t="s">
        <v>3313</v>
      </c>
      <c r="P158" t="s">
        <v>2208</v>
      </c>
      <c r="Q158" t="s">
        <v>2929</v>
      </c>
      <c r="R158" t="s">
        <v>3228</v>
      </c>
      <c r="S158" t="s">
        <v>2208</v>
      </c>
      <c r="T158" t="s">
        <v>2208</v>
      </c>
    </row>
    <row r="159" spans="1:20">
      <c r="A159" t="s">
        <v>702</v>
      </c>
      <c r="B159" t="s">
        <v>9126</v>
      </c>
      <c r="C159">
        <v>45716</v>
      </c>
      <c r="D159" t="s">
        <v>7263</v>
      </c>
      <c r="E159" t="s">
        <v>9127</v>
      </c>
      <c r="F159">
        <v>45737</v>
      </c>
      <c r="G159" t="s">
        <v>2208</v>
      </c>
      <c r="H159" t="s">
        <v>2916</v>
      </c>
      <c r="I159" t="s">
        <v>10959</v>
      </c>
      <c r="J159">
        <v>0</v>
      </c>
      <c r="K159">
        <v>-17.61</v>
      </c>
      <c r="L159" t="s">
        <v>2917</v>
      </c>
      <c r="M159">
        <v>-102.43</v>
      </c>
      <c r="N159" t="s">
        <v>2918</v>
      </c>
      <c r="O159" t="s">
        <v>9117</v>
      </c>
      <c r="P159" t="s">
        <v>2208</v>
      </c>
      <c r="Q159" t="s">
        <v>2926</v>
      </c>
      <c r="R159" t="s">
        <v>3312</v>
      </c>
      <c r="S159" t="s">
        <v>2208</v>
      </c>
      <c r="T159" t="s">
        <v>2208</v>
      </c>
    </row>
    <row r="160" spans="1:20">
      <c r="A160" t="s">
        <v>702</v>
      </c>
      <c r="B160" t="s">
        <v>9126</v>
      </c>
      <c r="C160">
        <v>45736</v>
      </c>
      <c r="D160" t="s">
        <v>7263</v>
      </c>
      <c r="E160" t="s">
        <v>9127</v>
      </c>
      <c r="F160">
        <v>45737</v>
      </c>
      <c r="G160" t="s">
        <v>11070</v>
      </c>
      <c r="H160" t="s">
        <v>2916</v>
      </c>
      <c r="I160" t="s">
        <v>11071</v>
      </c>
      <c r="J160">
        <v>1</v>
      </c>
      <c r="K160">
        <v>161.49</v>
      </c>
      <c r="L160" t="s">
        <v>2917</v>
      </c>
      <c r="M160">
        <v>942.24</v>
      </c>
      <c r="N160" t="s">
        <v>2918</v>
      </c>
      <c r="O160" t="s">
        <v>11072</v>
      </c>
      <c r="P160" t="s">
        <v>11073</v>
      </c>
      <c r="Q160" t="s">
        <v>2924</v>
      </c>
      <c r="R160" t="s">
        <v>3219</v>
      </c>
      <c r="S160" t="s">
        <v>11074</v>
      </c>
      <c r="T160" t="s">
        <v>11075</v>
      </c>
    </row>
    <row r="161" spans="1:20">
      <c r="A161" t="s">
        <v>702</v>
      </c>
      <c r="B161" t="s">
        <v>9126</v>
      </c>
      <c r="C161">
        <v>45736</v>
      </c>
      <c r="D161" t="s">
        <v>7263</v>
      </c>
      <c r="E161" t="s">
        <v>9127</v>
      </c>
      <c r="F161">
        <v>45737</v>
      </c>
      <c r="G161" t="s">
        <v>11070</v>
      </c>
      <c r="H161" t="s">
        <v>2916</v>
      </c>
      <c r="I161" t="s">
        <v>11076</v>
      </c>
      <c r="J161">
        <v>0</v>
      </c>
      <c r="K161">
        <v>-19.07</v>
      </c>
      <c r="L161" t="s">
        <v>2917</v>
      </c>
      <c r="M161">
        <v>-111.25</v>
      </c>
      <c r="N161" t="s">
        <v>2918</v>
      </c>
      <c r="O161" t="s">
        <v>11077</v>
      </c>
      <c r="P161" t="s">
        <v>11073</v>
      </c>
      <c r="Q161" t="s">
        <v>2924</v>
      </c>
      <c r="R161" t="s">
        <v>3219</v>
      </c>
      <c r="S161" t="s">
        <v>11074</v>
      </c>
      <c r="T161" t="s">
        <v>11075</v>
      </c>
    </row>
    <row r="162" spans="1:20">
      <c r="A162" t="s">
        <v>702</v>
      </c>
      <c r="B162" t="s">
        <v>9126</v>
      </c>
      <c r="C162">
        <v>45462</v>
      </c>
      <c r="D162" t="s">
        <v>7263</v>
      </c>
      <c r="E162" t="s">
        <v>9127</v>
      </c>
      <c r="F162">
        <v>45740</v>
      </c>
      <c r="G162" t="s">
        <v>7504</v>
      </c>
      <c r="H162" t="s">
        <v>2916</v>
      </c>
      <c r="I162" t="s">
        <v>11078</v>
      </c>
      <c r="J162">
        <v>2199.3200000000002</v>
      </c>
      <c r="K162">
        <v>376.94</v>
      </c>
      <c r="L162" t="s">
        <v>2917</v>
      </c>
      <c r="M162">
        <v>2199.3200000000002</v>
      </c>
      <c r="N162" t="s">
        <v>2918</v>
      </c>
      <c r="O162" t="s">
        <v>2939</v>
      </c>
      <c r="P162" t="s">
        <v>2939</v>
      </c>
      <c r="Q162" t="s">
        <v>2924</v>
      </c>
      <c r="R162" t="s">
        <v>3219</v>
      </c>
      <c r="S162" t="s">
        <v>2208</v>
      </c>
      <c r="T162" t="s">
        <v>2208</v>
      </c>
    </row>
    <row r="163" spans="1:20">
      <c r="A163" t="s">
        <v>702</v>
      </c>
      <c r="B163" t="s">
        <v>9126</v>
      </c>
      <c r="C163">
        <v>45740</v>
      </c>
      <c r="D163" t="s">
        <v>7263</v>
      </c>
      <c r="E163" t="s">
        <v>9127</v>
      </c>
      <c r="F163">
        <v>45741</v>
      </c>
      <c r="G163" t="s">
        <v>7504</v>
      </c>
      <c r="H163" t="s">
        <v>2916</v>
      </c>
      <c r="I163" t="s">
        <v>11079</v>
      </c>
      <c r="J163">
        <v>0</v>
      </c>
      <c r="K163">
        <v>-34.869999999999997</v>
      </c>
      <c r="L163" t="s">
        <v>2917</v>
      </c>
      <c r="M163">
        <v>-203.44</v>
      </c>
      <c r="N163" t="s">
        <v>2918</v>
      </c>
      <c r="O163" t="s">
        <v>11080</v>
      </c>
      <c r="P163" t="s">
        <v>2939</v>
      </c>
      <c r="Q163" t="s">
        <v>2924</v>
      </c>
      <c r="R163" t="s">
        <v>3219</v>
      </c>
      <c r="S163" t="s">
        <v>2208</v>
      </c>
      <c r="T163" t="s">
        <v>2208</v>
      </c>
    </row>
    <row r="164" spans="1:20">
      <c r="A164" t="s">
        <v>702</v>
      </c>
      <c r="B164" t="s">
        <v>9126</v>
      </c>
      <c r="C164">
        <v>45644</v>
      </c>
      <c r="D164" t="s">
        <v>7263</v>
      </c>
      <c r="E164" t="s">
        <v>9127</v>
      </c>
      <c r="F164">
        <v>45741</v>
      </c>
      <c r="G164" t="s">
        <v>8890</v>
      </c>
      <c r="H164" t="s">
        <v>2916</v>
      </c>
      <c r="I164" t="s">
        <v>11239</v>
      </c>
      <c r="J164">
        <v>84265.95</v>
      </c>
      <c r="K164">
        <v>14442.34</v>
      </c>
      <c r="L164" t="s">
        <v>2917</v>
      </c>
      <c r="M164">
        <v>84265.95</v>
      </c>
      <c r="N164" t="s">
        <v>2918</v>
      </c>
      <c r="O164" t="s">
        <v>2923</v>
      </c>
      <c r="P164" t="s">
        <v>2923</v>
      </c>
      <c r="Q164" t="s">
        <v>2924</v>
      </c>
      <c r="R164" t="s">
        <v>3219</v>
      </c>
      <c r="S164" t="s">
        <v>2208</v>
      </c>
      <c r="T164" t="s">
        <v>2208</v>
      </c>
    </row>
    <row r="165" spans="1:20">
      <c r="A165" t="s">
        <v>702</v>
      </c>
      <c r="B165" t="s">
        <v>9126</v>
      </c>
      <c r="C165">
        <v>45741</v>
      </c>
      <c r="D165" t="s">
        <v>7263</v>
      </c>
      <c r="E165" t="s">
        <v>9127</v>
      </c>
      <c r="F165">
        <v>45742</v>
      </c>
      <c r="G165" t="s">
        <v>8890</v>
      </c>
      <c r="H165" t="s">
        <v>2916</v>
      </c>
      <c r="I165" t="s">
        <v>11268</v>
      </c>
      <c r="J165">
        <v>0</v>
      </c>
      <c r="K165">
        <v>-1335.92</v>
      </c>
      <c r="L165" t="s">
        <v>2917</v>
      </c>
      <c r="M165">
        <v>-7794.6</v>
      </c>
      <c r="N165" t="s">
        <v>2918</v>
      </c>
      <c r="O165" t="s">
        <v>11269</v>
      </c>
      <c r="P165" t="s">
        <v>2923</v>
      </c>
      <c r="Q165" t="s">
        <v>2924</v>
      </c>
      <c r="R165" t="s">
        <v>3219</v>
      </c>
      <c r="S165" t="s">
        <v>2208</v>
      </c>
      <c r="T165" t="s">
        <v>2208</v>
      </c>
    </row>
    <row r="166" spans="1:20">
      <c r="A166" t="s">
        <v>702</v>
      </c>
      <c r="B166" t="s">
        <v>9126</v>
      </c>
      <c r="C166">
        <v>45742</v>
      </c>
      <c r="D166" t="s">
        <v>7263</v>
      </c>
      <c r="E166" t="s">
        <v>9127</v>
      </c>
      <c r="F166">
        <v>45742</v>
      </c>
      <c r="G166" t="s">
        <v>2208</v>
      </c>
      <c r="H166" t="s">
        <v>2916</v>
      </c>
      <c r="I166" t="s">
        <v>11270</v>
      </c>
      <c r="J166">
        <v>0</v>
      </c>
      <c r="K166">
        <v>4.8099999999999996</v>
      </c>
      <c r="L166" t="s">
        <v>2917</v>
      </c>
      <c r="M166">
        <v>28.08</v>
      </c>
      <c r="N166" t="s">
        <v>2918</v>
      </c>
      <c r="O166" t="s">
        <v>11271</v>
      </c>
      <c r="P166" t="s">
        <v>2208</v>
      </c>
      <c r="Q166" t="s">
        <v>2927</v>
      </c>
      <c r="R166" t="s">
        <v>3222</v>
      </c>
      <c r="S166" t="s">
        <v>8597</v>
      </c>
      <c r="T166" t="s">
        <v>8596</v>
      </c>
    </row>
    <row r="167" spans="1:20">
      <c r="A167" t="s">
        <v>702</v>
      </c>
      <c r="B167" t="s">
        <v>9126</v>
      </c>
      <c r="C167">
        <v>45742</v>
      </c>
      <c r="D167" t="s">
        <v>7263</v>
      </c>
      <c r="E167" t="s">
        <v>9127</v>
      </c>
      <c r="F167">
        <v>45742</v>
      </c>
      <c r="G167" t="s">
        <v>2208</v>
      </c>
      <c r="H167" t="s">
        <v>2916</v>
      </c>
      <c r="I167" t="s">
        <v>11270</v>
      </c>
      <c r="J167">
        <v>0</v>
      </c>
      <c r="K167">
        <v>1.36</v>
      </c>
      <c r="L167" t="s">
        <v>2917</v>
      </c>
      <c r="M167">
        <v>7.91</v>
      </c>
      <c r="N167" t="s">
        <v>2918</v>
      </c>
      <c r="O167" t="s">
        <v>11271</v>
      </c>
      <c r="P167" t="s">
        <v>2208</v>
      </c>
      <c r="Q167" t="s">
        <v>2927</v>
      </c>
      <c r="R167" t="s">
        <v>3222</v>
      </c>
      <c r="S167" t="s">
        <v>8607</v>
      </c>
      <c r="T167" t="s">
        <v>8606</v>
      </c>
    </row>
    <row r="168" spans="1:20">
      <c r="A168" t="s">
        <v>702</v>
      </c>
      <c r="B168" t="s">
        <v>9126</v>
      </c>
      <c r="C168">
        <v>45742</v>
      </c>
      <c r="D168" t="s">
        <v>7263</v>
      </c>
      <c r="E168" t="s">
        <v>9127</v>
      </c>
      <c r="F168">
        <v>45742</v>
      </c>
      <c r="G168" t="s">
        <v>2208</v>
      </c>
      <c r="H168" t="s">
        <v>2916</v>
      </c>
      <c r="I168" t="s">
        <v>11270</v>
      </c>
      <c r="J168">
        <v>0</v>
      </c>
      <c r="K168">
        <v>0.44</v>
      </c>
      <c r="L168" t="s">
        <v>2917</v>
      </c>
      <c r="M168">
        <v>2.5499999999999998</v>
      </c>
      <c r="N168" t="s">
        <v>2918</v>
      </c>
      <c r="O168" t="s">
        <v>11271</v>
      </c>
      <c r="P168" t="s">
        <v>2208</v>
      </c>
      <c r="Q168" t="s">
        <v>2927</v>
      </c>
      <c r="R168" t="s">
        <v>3222</v>
      </c>
      <c r="S168" t="s">
        <v>8591</v>
      </c>
      <c r="T168" t="s">
        <v>8590</v>
      </c>
    </row>
    <row r="169" spans="1:20">
      <c r="A169" t="s">
        <v>702</v>
      </c>
      <c r="B169" t="s">
        <v>9126</v>
      </c>
      <c r="C169">
        <v>45742</v>
      </c>
      <c r="D169" t="s">
        <v>7263</v>
      </c>
      <c r="E169" t="s">
        <v>9127</v>
      </c>
      <c r="F169">
        <v>45742</v>
      </c>
      <c r="G169" t="s">
        <v>2208</v>
      </c>
      <c r="H169" t="s">
        <v>2916</v>
      </c>
      <c r="I169" t="s">
        <v>11270</v>
      </c>
      <c r="J169">
        <v>0</v>
      </c>
      <c r="K169">
        <v>39.450000000000003</v>
      </c>
      <c r="L169" t="s">
        <v>2917</v>
      </c>
      <c r="M169">
        <v>230.16</v>
      </c>
      <c r="N169" t="s">
        <v>2918</v>
      </c>
      <c r="O169" t="s">
        <v>11271</v>
      </c>
      <c r="P169" t="s">
        <v>2208</v>
      </c>
      <c r="Q169" t="s">
        <v>2927</v>
      </c>
      <c r="R169" t="s">
        <v>3222</v>
      </c>
      <c r="S169" t="s">
        <v>8593</v>
      </c>
      <c r="T169" t="s">
        <v>8592</v>
      </c>
    </row>
    <row r="170" spans="1:20">
      <c r="A170" t="s">
        <v>702</v>
      </c>
      <c r="B170" t="s">
        <v>9126</v>
      </c>
      <c r="C170">
        <v>45742</v>
      </c>
      <c r="D170" t="s">
        <v>7263</v>
      </c>
      <c r="E170" t="s">
        <v>9127</v>
      </c>
      <c r="F170">
        <v>45742</v>
      </c>
      <c r="G170" t="s">
        <v>2208</v>
      </c>
      <c r="H170" t="s">
        <v>2916</v>
      </c>
      <c r="I170" t="s">
        <v>11270</v>
      </c>
      <c r="J170">
        <v>0</v>
      </c>
      <c r="K170">
        <v>7.06</v>
      </c>
      <c r="L170" t="s">
        <v>2917</v>
      </c>
      <c r="M170">
        <v>41.17</v>
      </c>
      <c r="N170" t="s">
        <v>2918</v>
      </c>
      <c r="O170" t="s">
        <v>11271</v>
      </c>
      <c r="P170" t="s">
        <v>2208</v>
      </c>
      <c r="Q170" t="s">
        <v>2927</v>
      </c>
      <c r="R170" t="s">
        <v>3222</v>
      </c>
      <c r="S170" t="s">
        <v>8611</v>
      </c>
      <c r="T170" t="s">
        <v>8610</v>
      </c>
    </row>
    <row r="171" spans="1:20">
      <c r="A171" t="s">
        <v>702</v>
      </c>
      <c r="B171" t="s">
        <v>9126</v>
      </c>
      <c r="C171">
        <v>45742</v>
      </c>
      <c r="D171" t="s">
        <v>7263</v>
      </c>
      <c r="E171" t="s">
        <v>9127</v>
      </c>
      <c r="F171">
        <v>45742</v>
      </c>
      <c r="G171" t="s">
        <v>2208</v>
      </c>
      <c r="H171" t="s">
        <v>2916</v>
      </c>
      <c r="I171" t="s">
        <v>11270</v>
      </c>
      <c r="J171">
        <v>0</v>
      </c>
      <c r="K171">
        <v>6.62</v>
      </c>
      <c r="L171" t="s">
        <v>2917</v>
      </c>
      <c r="M171">
        <v>38.6</v>
      </c>
      <c r="N171" t="s">
        <v>2918</v>
      </c>
      <c r="O171" t="s">
        <v>11271</v>
      </c>
      <c r="P171" t="s">
        <v>2208</v>
      </c>
      <c r="Q171" t="s">
        <v>2927</v>
      </c>
      <c r="R171" t="s">
        <v>3222</v>
      </c>
      <c r="S171" t="s">
        <v>8595</v>
      </c>
      <c r="T171" t="s">
        <v>8594</v>
      </c>
    </row>
    <row r="172" spans="1:20">
      <c r="A172" t="s">
        <v>702</v>
      </c>
      <c r="B172" t="s">
        <v>9126</v>
      </c>
      <c r="C172">
        <v>45742</v>
      </c>
      <c r="D172" t="s">
        <v>7263</v>
      </c>
      <c r="E172" t="s">
        <v>9127</v>
      </c>
      <c r="F172">
        <v>45742</v>
      </c>
      <c r="G172" t="s">
        <v>2208</v>
      </c>
      <c r="H172" t="s">
        <v>2916</v>
      </c>
      <c r="I172" t="s">
        <v>11270</v>
      </c>
      <c r="J172">
        <v>0</v>
      </c>
      <c r="K172">
        <v>0.84</v>
      </c>
      <c r="L172" t="s">
        <v>2917</v>
      </c>
      <c r="M172">
        <v>4.91</v>
      </c>
      <c r="N172" t="s">
        <v>2918</v>
      </c>
      <c r="O172" t="s">
        <v>11271</v>
      </c>
      <c r="P172" t="s">
        <v>2208</v>
      </c>
      <c r="Q172" t="s">
        <v>2927</v>
      </c>
      <c r="R172" t="s">
        <v>3222</v>
      </c>
      <c r="S172" t="s">
        <v>8599</v>
      </c>
      <c r="T172" t="s">
        <v>8598</v>
      </c>
    </row>
    <row r="173" spans="1:20">
      <c r="A173" t="s">
        <v>702</v>
      </c>
      <c r="B173" t="s">
        <v>9126</v>
      </c>
      <c r="C173">
        <v>45742</v>
      </c>
      <c r="D173" t="s">
        <v>7263</v>
      </c>
      <c r="E173" t="s">
        <v>9127</v>
      </c>
      <c r="F173">
        <v>45742</v>
      </c>
      <c r="G173" t="s">
        <v>2208</v>
      </c>
      <c r="H173" t="s">
        <v>2916</v>
      </c>
      <c r="I173" t="s">
        <v>11270</v>
      </c>
      <c r="J173">
        <v>0</v>
      </c>
      <c r="K173">
        <v>2.71</v>
      </c>
      <c r="L173" t="s">
        <v>2917</v>
      </c>
      <c r="M173">
        <v>15.8</v>
      </c>
      <c r="N173" t="s">
        <v>2918</v>
      </c>
      <c r="O173" t="s">
        <v>11271</v>
      </c>
      <c r="P173" t="s">
        <v>2208</v>
      </c>
      <c r="Q173" t="s">
        <v>2927</v>
      </c>
      <c r="R173" t="s">
        <v>3222</v>
      </c>
      <c r="S173" t="s">
        <v>8609</v>
      </c>
      <c r="T173" t="s">
        <v>8608</v>
      </c>
    </row>
    <row r="174" spans="1:20">
      <c r="A174" t="s">
        <v>702</v>
      </c>
      <c r="B174" t="s">
        <v>9126</v>
      </c>
      <c r="C174">
        <v>45742</v>
      </c>
      <c r="D174" t="s">
        <v>7263</v>
      </c>
      <c r="E174" t="s">
        <v>9127</v>
      </c>
      <c r="F174">
        <v>45742</v>
      </c>
      <c r="G174" t="s">
        <v>2208</v>
      </c>
      <c r="H174" t="s">
        <v>2916</v>
      </c>
      <c r="I174" t="s">
        <v>11270</v>
      </c>
      <c r="J174">
        <v>0</v>
      </c>
      <c r="K174">
        <v>2.41</v>
      </c>
      <c r="L174" t="s">
        <v>2917</v>
      </c>
      <c r="M174">
        <v>14.04</v>
      </c>
      <c r="N174" t="s">
        <v>2918</v>
      </c>
      <c r="O174" t="s">
        <v>11271</v>
      </c>
      <c r="P174" t="s">
        <v>2208</v>
      </c>
      <c r="Q174" t="s">
        <v>2927</v>
      </c>
      <c r="R174" t="s">
        <v>3222</v>
      </c>
      <c r="S174" t="s">
        <v>8601</v>
      </c>
      <c r="T174" t="s">
        <v>8600</v>
      </c>
    </row>
    <row r="175" spans="1:20">
      <c r="A175" t="s">
        <v>702</v>
      </c>
      <c r="B175" t="s">
        <v>9126</v>
      </c>
      <c r="C175">
        <v>45742</v>
      </c>
      <c r="D175" t="s">
        <v>7263</v>
      </c>
      <c r="E175" t="s">
        <v>9127</v>
      </c>
      <c r="F175">
        <v>45742</v>
      </c>
      <c r="G175" t="s">
        <v>2208</v>
      </c>
      <c r="H175" t="s">
        <v>2916</v>
      </c>
      <c r="I175" t="s">
        <v>11270</v>
      </c>
      <c r="J175">
        <v>0</v>
      </c>
      <c r="K175">
        <v>6.33</v>
      </c>
      <c r="L175" t="s">
        <v>2917</v>
      </c>
      <c r="M175">
        <v>36.909999999999997</v>
      </c>
      <c r="N175" t="s">
        <v>2918</v>
      </c>
      <c r="O175" t="s">
        <v>11271</v>
      </c>
      <c r="P175" t="s">
        <v>2208</v>
      </c>
      <c r="Q175" t="s">
        <v>2927</v>
      </c>
      <c r="R175" t="s">
        <v>3222</v>
      </c>
      <c r="S175" t="s">
        <v>8603</v>
      </c>
      <c r="T175" t="s">
        <v>8602</v>
      </c>
    </row>
    <row r="176" spans="1:20">
      <c r="A176" t="s">
        <v>702</v>
      </c>
      <c r="B176" t="s">
        <v>9126</v>
      </c>
      <c r="C176">
        <v>45742</v>
      </c>
      <c r="D176" t="s">
        <v>7263</v>
      </c>
      <c r="E176" t="s">
        <v>9127</v>
      </c>
      <c r="F176">
        <v>45742</v>
      </c>
      <c r="G176" t="s">
        <v>2208</v>
      </c>
      <c r="H176" t="s">
        <v>2916</v>
      </c>
      <c r="I176" t="s">
        <v>11270</v>
      </c>
      <c r="J176">
        <v>0</v>
      </c>
      <c r="K176">
        <v>49.7</v>
      </c>
      <c r="L176" t="s">
        <v>2917</v>
      </c>
      <c r="M176">
        <v>289.97000000000003</v>
      </c>
      <c r="N176" t="s">
        <v>2918</v>
      </c>
      <c r="O176" t="s">
        <v>11271</v>
      </c>
      <c r="P176" t="s">
        <v>2208</v>
      </c>
      <c r="Q176" t="s">
        <v>2927</v>
      </c>
      <c r="R176" t="s">
        <v>3222</v>
      </c>
      <c r="S176" t="s">
        <v>8605</v>
      </c>
      <c r="T176" t="s">
        <v>8604</v>
      </c>
    </row>
    <row r="177" spans="1:20">
      <c r="A177" t="s">
        <v>702</v>
      </c>
      <c r="B177" t="s">
        <v>9126</v>
      </c>
      <c r="C177">
        <v>45742</v>
      </c>
      <c r="D177" t="s">
        <v>7263</v>
      </c>
      <c r="E177" t="s">
        <v>9127</v>
      </c>
      <c r="F177">
        <v>45742</v>
      </c>
      <c r="G177" t="s">
        <v>2208</v>
      </c>
      <c r="H177" t="s">
        <v>2916</v>
      </c>
      <c r="I177" t="s">
        <v>11270</v>
      </c>
      <c r="J177">
        <v>0</v>
      </c>
      <c r="K177">
        <v>6.02</v>
      </c>
      <c r="L177" t="s">
        <v>2917</v>
      </c>
      <c r="M177">
        <v>35.1</v>
      </c>
      <c r="N177" t="s">
        <v>2918</v>
      </c>
      <c r="O177" t="s">
        <v>11271</v>
      </c>
      <c r="P177" t="s">
        <v>2208</v>
      </c>
      <c r="Q177" t="s">
        <v>2927</v>
      </c>
      <c r="R177" t="s">
        <v>3222</v>
      </c>
      <c r="S177" t="s">
        <v>8556</v>
      </c>
      <c r="T177" t="s">
        <v>8557</v>
      </c>
    </row>
    <row r="178" spans="1:20">
      <c r="A178" t="s">
        <v>702</v>
      </c>
      <c r="B178" t="s">
        <v>9126</v>
      </c>
      <c r="C178">
        <v>45743</v>
      </c>
      <c r="D178" t="s">
        <v>7263</v>
      </c>
      <c r="E178" t="s">
        <v>9127</v>
      </c>
      <c r="F178">
        <v>45743</v>
      </c>
      <c r="G178" t="s">
        <v>2208</v>
      </c>
      <c r="H178" t="s">
        <v>2916</v>
      </c>
      <c r="I178" t="s">
        <v>11324</v>
      </c>
      <c r="J178">
        <v>0</v>
      </c>
      <c r="K178">
        <v>-13.46</v>
      </c>
      <c r="L178" t="s">
        <v>2917</v>
      </c>
      <c r="M178">
        <v>-78.52</v>
      </c>
      <c r="N178" t="s">
        <v>2918</v>
      </c>
      <c r="O178" t="s">
        <v>11325</v>
      </c>
      <c r="P178" t="s">
        <v>2208</v>
      </c>
      <c r="Q178" t="s">
        <v>2933</v>
      </c>
      <c r="R178" t="s">
        <v>3314</v>
      </c>
      <c r="S178" t="s">
        <v>2208</v>
      </c>
      <c r="T178" t="s">
        <v>2208</v>
      </c>
    </row>
    <row r="179" spans="1:20">
      <c r="A179" t="s">
        <v>702</v>
      </c>
      <c r="B179" t="s">
        <v>9126</v>
      </c>
      <c r="C179">
        <v>45747</v>
      </c>
      <c r="D179" t="s">
        <v>7263</v>
      </c>
      <c r="E179" t="s">
        <v>9127</v>
      </c>
      <c r="F179">
        <v>45747</v>
      </c>
      <c r="G179" t="s">
        <v>2208</v>
      </c>
      <c r="H179" t="s">
        <v>2916</v>
      </c>
      <c r="I179" t="s">
        <v>11316</v>
      </c>
      <c r="J179">
        <v>0</v>
      </c>
      <c r="K179">
        <v>17.559999999999999</v>
      </c>
      <c r="L179" t="s">
        <v>2917</v>
      </c>
      <c r="M179">
        <v>102.43</v>
      </c>
      <c r="N179" t="s">
        <v>2918</v>
      </c>
      <c r="O179" t="s">
        <v>11317</v>
      </c>
      <c r="P179" t="s">
        <v>2208</v>
      </c>
      <c r="Q179" t="s">
        <v>2926</v>
      </c>
      <c r="R179" t="s">
        <v>3312</v>
      </c>
      <c r="S179" t="s">
        <v>2208</v>
      </c>
      <c r="T179" t="s">
        <v>2208</v>
      </c>
    </row>
    <row r="180" spans="1:20">
      <c r="A180" t="s">
        <v>702</v>
      </c>
      <c r="B180" t="s">
        <v>9126</v>
      </c>
      <c r="C180">
        <v>45747</v>
      </c>
      <c r="D180" t="s">
        <v>7263</v>
      </c>
      <c r="E180" t="s">
        <v>9127</v>
      </c>
      <c r="F180">
        <v>45747</v>
      </c>
      <c r="G180" t="s">
        <v>2208</v>
      </c>
      <c r="H180" t="s">
        <v>2916</v>
      </c>
      <c r="I180" t="s">
        <v>11326</v>
      </c>
      <c r="J180">
        <v>0</v>
      </c>
      <c r="K180">
        <v>0.08</v>
      </c>
      <c r="L180" t="s">
        <v>2917</v>
      </c>
      <c r="M180">
        <v>0</v>
      </c>
      <c r="N180" t="s">
        <v>2918</v>
      </c>
      <c r="O180" t="s">
        <v>2919</v>
      </c>
      <c r="P180" t="s">
        <v>2208</v>
      </c>
      <c r="Q180" t="s">
        <v>2916</v>
      </c>
      <c r="R180" t="s">
        <v>3220</v>
      </c>
      <c r="S180" t="s">
        <v>2208</v>
      </c>
      <c r="T180" t="s">
        <v>2208</v>
      </c>
    </row>
    <row r="181" spans="1:20">
      <c r="A181" t="s">
        <v>702</v>
      </c>
      <c r="B181" t="s">
        <v>9126</v>
      </c>
      <c r="C181">
        <v>45747</v>
      </c>
      <c r="D181" t="s">
        <v>7263</v>
      </c>
      <c r="E181" t="s">
        <v>9127</v>
      </c>
      <c r="F181">
        <v>45747</v>
      </c>
      <c r="G181" t="s">
        <v>2208</v>
      </c>
      <c r="H181" t="s">
        <v>2916</v>
      </c>
      <c r="I181" t="s">
        <v>11327</v>
      </c>
      <c r="J181">
        <v>0</v>
      </c>
      <c r="K181">
        <v>-0.08</v>
      </c>
      <c r="L181" t="s">
        <v>2917</v>
      </c>
      <c r="M181">
        <v>0</v>
      </c>
      <c r="N181" t="s">
        <v>2918</v>
      </c>
      <c r="O181" t="s">
        <v>2919</v>
      </c>
      <c r="P181" t="s">
        <v>2208</v>
      </c>
      <c r="Q181" t="s">
        <v>2916</v>
      </c>
      <c r="R181" t="s">
        <v>3220</v>
      </c>
      <c r="S181" t="s">
        <v>2208</v>
      </c>
      <c r="T181" t="s">
        <v>2208</v>
      </c>
    </row>
    <row r="182" spans="1:20">
      <c r="A182" t="s">
        <v>702</v>
      </c>
      <c r="B182" t="s">
        <v>11331</v>
      </c>
      <c r="C182">
        <v>45719</v>
      </c>
      <c r="D182" t="s">
        <v>7263</v>
      </c>
      <c r="E182" t="s">
        <v>11332</v>
      </c>
      <c r="F182">
        <v>45748</v>
      </c>
      <c r="G182" t="s">
        <v>8587</v>
      </c>
      <c r="H182" t="s">
        <v>2916</v>
      </c>
      <c r="I182" t="s">
        <v>11935</v>
      </c>
      <c r="J182">
        <v>0</v>
      </c>
      <c r="K182">
        <v>0.11</v>
      </c>
      <c r="L182" t="s">
        <v>2917</v>
      </c>
      <c r="M182">
        <v>0.63</v>
      </c>
      <c r="N182" t="s">
        <v>2918</v>
      </c>
      <c r="O182" t="s">
        <v>11936</v>
      </c>
      <c r="P182" t="s">
        <v>8590</v>
      </c>
      <c r="Q182" t="s">
        <v>2934</v>
      </c>
      <c r="R182" t="s">
        <v>2935</v>
      </c>
      <c r="S182" t="s">
        <v>8591</v>
      </c>
      <c r="T182" t="s">
        <v>8590</v>
      </c>
    </row>
    <row r="183" spans="1:20">
      <c r="A183" t="s">
        <v>702</v>
      </c>
      <c r="B183" t="s">
        <v>11331</v>
      </c>
      <c r="C183">
        <v>45719</v>
      </c>
      <c r="D183" t="s">
        <v>7263</v>
      </c>
      <c r="E183" t="s">
        <v>11332</v>
      </c>
      <c r="F183">
        <v>45748</v>
      </c>
      <c r="G183" t="s">
        <v>8587</v>
      </c>
      <c r="H183" t="s">
        <v>2916</v>
      </c>
      <c r="I183" t="s">
        <v>11935</v>
      </c>
      <c r="J183">
        <v>0</v>
      </c>
      <c r="K183">
        <v>12.34</v>
      </c>
      <c r="L183" t="s">
        <v>2917</v>
      </c>
      <c r="M183">
        <v>71.040000000000006</v>
      </c>
      <c r="N183" t="s">
        <v>2918</v>
      </c>
      <c r="O183" t="s">
        <v>11936</v>
      </c>
      <c r="P183" t="s">
        <v>8592</v>
      </c>
      <c r="Q183" t="s">
        <v>2934</v>
      </c>
      <c r="R183" t="s">
        <v>2935</v>
      </c>
      <c r="S183" t="s">
        <v>8593</v>
      </c>
      <c r="T183" t="s">
        <v>8592</v>
      </c>
    </row>
    <row r="184" spans="1:20">
      <c r="A184" t="s">
        <v>702</v>
      </c>
      <c r="B184" t="s">
        <v>11331</v>
      </c>
      <c r="C184">
        <v>45719</v>
      </c>
      <c r="D184" t="s">
        <v>7263</v>
      </c>
      <c r="E184" t="s">
        <v>11332</v>
      </c>
      <c r="F184">
        <v>45748</v>
      </c>
      <c r="G184" t="s">
        <v>8587</v>
      </c>
      <c r="H184" t="s">
        <v>2916</v>
      </c>
      <c r="I184" t="s">
        <v>11935</v>
      </c>
      <c r="J184">
        <v>0</v>
      </c>
      <c r="K184">
        <v>1.6</v>
      </c>
      <c r="L184" t="s">
        <v>2917</v>
      </c>
      <c r="M184">
        <v>9.19</v>
      </c>
      <c r="N184" t="s">
        <v>2918</v>
      </c>
      <c r="O184" t="s">
        <v>11936</v>
      </c>
      <c r="P184" t="s">
        <v>8594</v>
      </c>
      <c r="Q184" t="s">
        <v>2934</v>
      </c>
      <c r="R184" t="s">
        <v>2935</v>
      </c>
      <c r="S184" t="s">
        <v>8595</v>
      </c>
      <c r="T184" t="s">
        <v>8594</v>
      </c>
    </row>
    <row r="185" spans="1:20">
      <c r="A185" t="s">
        <v>702</v>
      </c>
      <c r="B185" t="s">
        <v>11331</v>
      </c>
      <c r="C185">
        <v>45719</v>
      </c>
      <c r="D185" t="s">
        <v>7263</v>
      </c>
      <c r="E185" t="s">
        <v>11332</v>
      </c>
      <c r="F185">
        <v>45748</v>
      </c>
      <c r="G185" t="s">
        <v>8587</v>
      </c>
      <c r="H185" t="s">
        <v>2916</v>
      </c>
      <c r="I185" t="s">
        <v>11935</v>
      </c>
      <c r="J185">
        <v>0</v>
      </c>
      <c r="K185">
        <v>2.2999999999999998</v>
      </c>
      <c r="L185" t="s">
        <v>2917</v>
      </c>
      <c r="M185">
        <v>13.22</v>
      </c>
      <c r="N185" t="s">
        <v>2918</v>
      </c>
      <c r="O185" t="s">
        <v>11936</v>
      </c>
      <c r="P185" t="s">
        <v>8596</v>
      </c>
      <c r="Q185" t="s">
        <v>2934</v>
      </c>
      <c r="R185" t="s">
        <v>2935</v>
      </c>
      <c r="S185" t="s">
        <v>8597</v>
      </c>
      <c r="T185" t="s">
        <v>8596</v>
      </c>
    </row>
    <row r="186" spans="1:20">
      <c r="A186" t="s">
        <v>702</v>
      </c>
      <c r="B186" t="s">
        <v>11331</v>
      </c>
      <c r="C186">
        <v>45719</v>
      </c>
      <c r="D186" t="s">
        <v>7263</v>
      </c>
      <c r="E186" t="s">
        <v>11332</v>
      </c>
      <c r="F186">
        <v>45748</v>
      </c>
      <c r="G186" t="s">
        <v>8587</v>
      </c>
      <c r="H186" t="s">
        <v>2916</v>
      </c>
      <c r="I186" t="s">
        <v>11935</v>
      </c>
      <c r="J186">
        <v>0</v>
      </c>
      <c r="K186">
        <v>0.26</v>
      </c>
      <c r="L186" t="s">
        <v>2917</v>
      </c>
      <c r="M186">
        <v>1.52</v>
      </c>
      <c r="N186" t="s">
        <v>2918</v>
      </c>
      <c r="O186" t="s">
        <v>11936</v>
      </c>
      <c r="P186" t="s">
        <v>8598</v>
      </c>
      <c r="Q186" t="s">
        <v>2934</v>
      </c>
      <c r="R186" t="s">
        <v>2935</v>
      </c>
      <c r="S186" t="s">
        <v>8599</v>
      </c>
      <c r="T186" t="s">
        <v>8598</v>
      </c>
    </row>
    <row r="187" spans="1:20">
      <c r="A187" t="s">
        <v>702</v>
      </c>
      <c r="B187" t="s">
        <v>11331</v>
      </c>
      <c r="C187">
        <v>45719</v>
      </c>
      <c r="D187" t="s">
        <v>7263</v>
      </c>
      <c r="E187" t="s">
        <v>11332</v>
      </c>
      <c r="F187">
        <v>45748</v>
      </c>
      <c r="G187" t="s">
        <v>8587</v>
      </c>
      <c r="H187" t="s">
        <v>2916</v>
      </c>
      <c r="I187" t="s">
        <v>11935</v>
      </c>
      <c r="J187">
        <v>0</v>
      </c>
      <c r="K187">
        <v>1.1499999999999999</v>
      </c>
      <c r="L187" t="s">
        <v>2917</v>
      </c>
      <c r="M187">
        <v>6.61</v>
      </c>
      <c r="N187" t="s">
        <v>2918</v>
      </c>
      <c r="O187" t="s">
        <v>11936</v>
      </c>
      <c r="P187" t="s">
        <v>8600</v>
      </c>
      <c r="Q187" t="s">
        <v>2934</v>
      </c>
      <c r="R187" t="s">
        <v>2935</v>
      </c>
      <c r="S187" t="s">
        <v>8601</v>
      </c>
      <c r="T187" t="s">
        <v>8600</v>
      </c>
    </row>
    <row r="188" spans="1:20">
      <c r="A188" t="s">
        <v>702</v>
      </c>
      <c r="B188" t="s">
        <v>11331</v>
      </c>
      <c r="C188">
        <v>45719</v>
      </c>
      <c r="D188" t="s">
        <v>7263</v>
      </c>
      <c r="E188" t="s">
        <v>11332</v>
      </c>
      <c r="F188">
        <v>45748</v>
      </c>
      <c r="G188" t="s">
        <v>8587</v>
      </c>
      <c r="H188" t="s">
        <v>2916</v>
      </c>
      <c r="I188" t="s">
        <v>11935</v>
      </c>
      <c r="J188">
        <v>0</v>
      </c>
      <c r="K188">
        <v>3.02</v>
      </c>
      <c r="L188" t="s">
        <v>2917</v>
      </c>
      <c r="M188">
        <v>17.38</v>
      </c>
      <c r="N188" t="s">
        <v>2918</v>
      </c>
      <c r="O188" t="s">
        <v>11936</v>
      </c>
      <c r="P188" t="s">
        <v>8602</v>
      </c>
      <c r="Q188" t="s">
        <v>2934</v>
      </c>
      <c r="R188" t="s">
        <v>2935</v>
      </c>
      <c r="S188" t="s">
        <v>8603</v>
      </c>
      <c r="T188" t="s">
        <v>8602</v>
      </c>
    </row>
    <row r="189" spans="1:20">
      <c r="A189" t="s">
        <v>702</v>
      </c>
      <c r="B189" t="s">
        <v>11331</v>
      </c>
      <c r="C189">
        <v>45719</v>
      </c>
      <c r="D189" t="s">
        <v>7263</v>
      </c>
      <c r="E189" t="s">
        <v>11332</v>
      </c>
      <c r="F189">
        <v>45748</v>
      </c>
      <c r="G189" t="s">
        <v>8587</v>
      </c>
      <c r="H189" t="s">
        <v>2916</v>
      </c>
      <c r="I189" t="s">
        <v>11935</v>
      </c>
      <c r="J189">
        <v>0</v>
      </c>
      <c r="K189">
        <v>26.08</v>
      </c>
      <c r="L189" t="s">
        <v>2917</v>
      </c>
      <c r="M189">
        <v>150.19</v>
      </c>
      <c r="N189" t="s">
        <v>2918</v>
      </c>
      <c r="O189" t="s">
        <v>11936</v>
      </c>
      <c r="P189" t="s">
        <v>8604</v>
      </c>
      <c r="Q189" t="s">
        <v>2934</v>
      </c>
      <c r="R189" t="s">
        <v>2935</v>
      </c>
      <c r="S189" t="s">
        <v>8605</v>
      </c>
      <c r="T189" t="s">
        <v>8604</v>
      </c>
    </row>
    <row r="190" spans="1:20">
      <c r="A190" t="s">
        <v>702</v>
      </c>
      <c r="B190" t="s">
        <v>11331</v>
      </c>
      <c r="C190">
        <v>45719</v>
      </c>
      <c r="D190" t="s">
        <v>7263</v>
      </c>
      <c r="E190" t="s">
        <v>11332</v>
      </c>
      <c r="F190">
        <v>45748</v>
      </c>
      <c r="G190" t="s">
        <v>8587</v>
      </c>
      <c r="H190" t="s">
        <v>2916</v>
      </c>
      <c r="I190" t="s">
        <v>11935</v>
      </c>
      <c r="J190">
        <v>0</v>
      </c>
      <c r="K190">
        <v>1.88</v>
      </c>
      <c r="L190" t="s">
        <v>2917</v>
      </c>
      <c r="M190">
        <v>10.84</v>
      </c>
      <c r="N190" t="s">
        <v>2918</v>
      </c>
      <c r="O190" t="s">
        <v>11936</v>
      </c>
      <c r="P190" t="s">
        <v>8557</v>
      </c>
      <c r="Q190" t="s">
        <v>2934</v>
      </c>
      <c r="R190" t="s">
        <v>2935</v>
      </c>
      <c r="S190" t="s">
        <v>8556</v>
      </c>
      <c r="T190" t="s">
        <v>8557</v>
      </c>
    </row>
    <row r="191" spans="1:20">
      <c r="A191" t="s">
        <v>702</v>
      </c>
      <c r="B191" t="s">
        <v>11331</v>
      </c>
      <c r="C191">
        <v>45719</v>
      </c>
      <c r="D191" t="s">
        <v>7263</v>
      </c>
      <c r="E191" t="s">
        <v>11332</v>
      </c>
      <c r="F191">
        <v>45748</v>
      </c>
      <c r="G191" t="s">
        <v>8587</v>
      </c>
      <c r="H191" t="s">
        <v>2916</v>
      </c>
      <c r="I191" t="s">
        <v>11935</v>
      </c>
      <c r="J191">
        <v>0</v>
      </c>
      <c r="K191">
        <v>0.65</v>
      </c>
      <c r="L191" t="s">
        <v>2917</v>
      </c>
      <c r="M191">
        <v>3.72</v>
      </c>
      <c r="N191" t="s">
        <v>2918</v>
      </c>
      <c r="O191" t="s">
        <v>11936</v>
      </c>
      <c r="P191" t="s">
        <v>8606</v>
      </c>
      <c r="Q191" t="s">
        <v>2934</v>
      </c>
      <c r="R191" t="s">
        <v>2935</v>
      </c>
      <c r="S191" t="s">
        <v>8607</v>
      </c>
      <c r="T191" t="s">
        <v>8606</v>
      </c>
    </row>
    <row r="192" spans="1:20">
      <c r="A192" t="s">
        <v>702</v>
      </c>
      <c r="B192" t="s">
        <v>11331</v>
      </c>
      <c r="C192">
        <v>45719</v>
      </c>
      <c r="D192" t="s">
        <v>7263</v>
      </c>
      <c r="E192" t="s">
        <v>11332</v>
      </c>
      <c r="F192">
        <v>45748</v>
      </c>
      <c r="G192" t="s">
        <v>8587</v>
      </c>
      <c r="H192" t="s">
        <v>2916</v>
      </c>
      <c r="I192" t="s">
        <v>11935</v>
      </c>
      <c r="J192">
        <v>0</v>
      </c>
      <c r="K192">
        <v>0.65</v>
      </c>
      <c r="L192" t="s">
        <v>2917</v>
      </c>
      <c r="M192">
        <v>3.76</v>
      </c>
      <c r="N192" t="s">
        <v>2918</v>
      </c>
      <c r="O192" t="s">
        <v>11936</v>
      </c>
      <c r="P192" t="s">
        <v>8608</v>
      </c>
      <c r="Q192" t="s">
        <v>2934</v>
      </c>
      <c r="R192" t="s">
        <v>2935</v>
      </c>
      <c r="S192" t="s">
        <v>8609</v>
      </c>
      <c r="T192" t="s">
        <v>8608</v>
      </c>
    </row>
    <row r="193" spans="1:20">
      <c r="A193" t="s">
        <v>702</v>
      </c>
      <c r="B193" t="s">
        <v>11331</v>
      </c>
      <c r="C193">
        <v>45719</v>
      </c>
      <c r="D193" t="s">
        <v>7263</v>
      </c>
      <c r="E193" t="s">
        <v>11332</v>
      </c>
      <c r="F193">
        <v>45748</v>
      </c>
      <c r="G193" t="s">
        <v>8587</v>
      </c>
      <c r="H193" t="s">
        <v>2916</v>
      </c>
      <c r="I193" t="s">
        <v>11935</v>
      </c>
      <c r="J193">
        <v>0</v>
      </c>
      <c r="K193">
        <v>2.72</v>
      </c>
      <c r="L193" t="s">
        <v>2917</v>
      </c>
      <c r="M193">
        <v>15.68</v>
      </c>
      <c r="N193" t="s">
        <v>2918</v>
      </c>
      <c r="O193" t="s">
        <v>11936</v>
      </c>
      <c r="P193" t="s">
        <v>8610</v>
      </c>
      <c r="Q193" t="s">
        <v>2934</v>
      </c>
      <c r="R193" t="s">
        <v>2935</v>
      </c>
      <c r="S193" t="s">
        <v>8611</v>
      </c>
      <c r="T193" t="s">
        <v>8610</v>
      </c>
    </row>
    <row r="194" spans="1:20">
      <c r="A194" t="s">
        <v>702</v>
      </c>
      <c r="B194" t="s">
        <v>11331</v>
      </c>
      <c r="C194">
        <v>45744</v>
      </c>
      <c r="D194" t="s">
        <v>7263</v>
      </c>
      <c r="E194" t="s">
        <v>11332</v>
      </c>
      <c r="F194">
        <v>45751</v>
      </c>
      <c r="G194" t="s">
        <v>12113</v>
      </c>
      <c r="H194" t="s">
        <v>2916</v>
      </c>
      <c r="I194" t="s">
        <v>12114</v>
      </c>
      <c r="J194">
        <v>1</v>
      </c>
      <c r="K194">
        <v>376.56</v>
      </c>
      <c r="L194" t="s">
        <v>2917</v>
      </c>
      <c r="M194">
        <v>2168.5100000000002</v>
      </c>
      <c r="N194" t="s">
        <v>2918</v>
      </c>
      <c r="O194" t="s">
        <v>12115</v>
      </c>
      <c r="P194" t="s">
        <v>12116</v>
      </c>
      <c r="Q194" t="s">
        <v>2924</v>
      </c>
      <c r="R194" t="s">
        <v>3219</v>
      </c>
      <c r="S194" t="s">
        <v>12117</v>
      </c>
      <c r="T194" t="s">
        <v>12118</v>
      </c>
    </row>
    <row r="195" spans="1:20">
      <c r="A195" t="s">
        <v>702</v>
      </c>
      <c r="B195" t="s">
        <v>11331</v>
      </c>
      <c r="C195">
        <v>45744</v>
      </c>
      <c r="D195" t="s">
        <v>7263</v>
      </c>
      <c r="E195" t="s">
        <v>11332</v>
      </c>
      <c r="F195">
        <v>45751</v>
      </c>
      <c r="G195" t="s">
        <v>12113</v>
      </c>
      <c r="H195" t="s">
        <v>2916</v>
      </c>
      <c r="I195" t="s">
        <v>12119</v>
      </c>
      <c r="J195">
        <v>0</v>
      </c>
      <c r="K195">
        <v>-28.56</v>
      </c>
      <c r="L195" t="s">
        <v>2917</v>
      </c>
      <c r="M195">
        <v>-164.47</v>
      </c>
      <c r="N195" t="s">
        <v>2918</v>
      </c>
      <c r="O195" t="s">
        <v>12120</v>
      </c>
      <c r="P195" t="s">
        <v>12116</v>
      </c>
      <c r="Q195" t="s">
        <v>2924</v>
      </c>
      <c r="R195" t="s">
        <v>3219</v>
      </c>
      <c r="S195" t="s">
        <v>12117</v>
      </c>
      <c r="T195" t="s">
        <v>12118</v>
      </c>
    </row>
    <row r="196" spans="1:20">
      <c r="A196" t="s">
        <v>702</v>
      </c>
      <c r="B196" t="s">
        <v>11331</v>
      </c>
      <c r="C196">
        <v>45749</v>
      </c>
      <c r="D196" t="s">
        <v>7263</v>
      </c>
      <c r="E196" t="s">
        <v>11332</v>
      </c>
      <c r="F196">
        <v>45756</v>
      </c>
      <c r="G196" t="s">
        <v>12272</v>
      </c>
      <c r="H196" t="s">
        <v>2916</v>
      </c>
      <c r="I196" t="s">
        <v>12273</v>
      </c>
      <c r="J196">
        <v>2</v>
      </c>
      <c r="K196">
        <v>277.14999999999998</v>
      </c>
      <c r="L196" t="s">
        <v>2917</v>
      </c>
      <c r="M196">
        <v>1596</v>
      </c>
      <c r="N196" t="s">
        <v>2918</v>
      </c>
      <c r="O196" t="s">
        <v>12274</v>
      </c>
      <c r="P196" t="s">
        <v>12275</v>
      </c>
      <c r="Q196" t="s">
        <v>2924</v>
      </c>
      <c r="R196" t="s">
        <v>3219</v>
      </c>
      <c r="S196" t="s">
        <v>12276</v>
      </c>
      <c r="T196" t="s">
        <v>12277</v>
      </c>
    </row>
    <row r="197" spans="1:20">
      <c r="A197" t="s">
        <v>702</v>
      </c>
      <c r="B197" t="s">
        <v>11331</v>
      </c>
      <c r="C197">
        <v>45747</v>
      </c>
      <c r="D197" t="s">
        <v>7263</v>
      </c>
      <c r="E197" t="s">
        <v>11332</v>
      </c>
      <c r="F197">
        <v>45757</v>
      </c>
      <c r="G197" t="s">
        <v>2208</v>
      </c>
      <c r="H197" t="s">
        <v>2916</v>
      </c>
      <c r="I197" t="s">
        <v>12252</v>
      </c>
      <c r="J197">
        <v>0</v>
      </c>
      <c r="K197">
        <v>-17.559999999999999</v>
      </c>
      <c r="L197" t="s">
        <v>2917</v>
      </c>
      <c r="M197">
        <v>-102.43</v>
      </c>
      <c r="N197" t="s">
        <v>2918</v>
      </c>
      <c r="O197" t="s">
        <v>11317</v>
      </c>
      <c r="P197" t="s">
        <v>2208</v>
      </c>
      <c r="Q197" t="s">
        <v>2926</v>
      </c>
      <c r="R197" t="s">
        <v>3312</v>
      </c>
      <c r="S197" t="s">
        <v>2208</v>
      </c>
      <c r="T197" t="s">
        <v>2208</v>
      </c>
    </row>
    <row r="198" spans="1:20">
      <c r="A198" t="s">
        <v>702</v>
      </c>
      <c r="B198" t="s">
        <v>11331</v>
      </c>
      <c r="C198">
        <v>45744</v>
      </c>
      <c r="D198" t="s">
        <v>7263</v>
      </c>
      <c r="E198" t="s">
        <v>11332</v>
      </c>
      <c r="F198">
        <v>45751</v>
      </c>
      <c r="G198" t="s">
        <v>12113</v>
      </c>
      <c r="H198" t="s">
        <v>2916</v>
      </c>
      <c r="I198" t="s">
        <v>15868</v>
      </c>
      <c r="J198">
        <v>0</v>
      </c>
      <c r="K198">
        <v>28.56</v>
      </c>
      <c r="L198" t="s">
        <v>2917</v>
      </c>
      <c r="M198">
        <v>164.47</v>
      </c>
      <c r="N198" t="s">
        <v>2918</v>
      </c>
      <c r="O198" t="s">
        <v>15869</v>
      </c>
      <c r="P198" t="s">
        <v>12116</v>
      </c>
      <c r="Q198" t="s">
        <v>2924</v>
      </c>
      <c r="R198" t="s">
        <v>3219</v>
      </c>
      <c r="S198" t="s">
        <v>12117</v>
      </c>
      <c r="T198" t="s">
        <v>12118</v>
      </c>
    </row>
    <row r="199" spans="1:20">
      <c r="A199" t="s">
        <v>702</v>
      </c>
      <c r="B199" t="s">
        <v>11331</v>
      </c>
      <c r="C199">
        <v>45744</v>
      </c>
      <c r="D199" t="s">
        <v>7263</v>
      </c>
      <c r="E199" t="s">
        <v>11332</v>
      </c>
      <c r="F199">
        <v>45770</v>
      </c>
      <c r="G199" t="s">
        <v>12113</v>
      </c>
      <c r="H199" t="s">
        <v>2916</v>
      </c>
      <c r="I199" t="s">
        <v>15870</v>
      </c>
      <c r="J199">
        <v>0</v>
      </c>
      <c r="K199">
        <v>-41.43</v>
      </c>
      <c r="L199" t="s">
        <v>2917</v>
      </c>
      <c r="M199">
        <v>-238.57</v>
      </c>
      <c r="N199" t="s">
        <v>2918</v>
      </c>
      <c r="O199" t="s">
        <v>15869</v>
      </c>
      <c r="P199" t="s">
        <v>12116</v>
      </c>
      <c r="Q199" t="s">
        <v>2924</v>
      </c>
      <c r="R199" t="s">
        <v>3219</v>
      </c>
      <c r="S199" t="s">
        <v>12117</v>
      </c>
      <c r="T199" t="s">
        <v>12118</v>
      </c>
    </row>
    <row r="200" spans="1:20">
      <c r="A200" t="s">
        <v>702</v>
      </c>
      <c r="B200" t="s">
        <v>11331</v>
      </c>
      <c r="C200">
        <v>45777</v>
      </c>
      <c r="D200" t="s">
        <v>7263</v>
      </c>
      <c r="E200" t="s">
        <v>11332</v>
      </c>
      <c r="F200">
        <v>45777</v>
      </c>
      <c r="G200" t="s">
        <v>2208</v>
      </c>
      <c r="H200" t="s">
        <v>2916</v>
      </c>
      <c r="I200" t="s">
        <v>16319</v>
      </c>
      <c r="J200">
        <v>0</v>
      </c>
      <c r="K200">
        <v>-54.92</v>
      </c>
      <c r="L200" t="s">
        <v>2917</v>
      </c>
      <c r="M200">
        <v>-316.24</v>
      </c>
      <c r="N200" t="s">
        <v>2918</v>
      </c>
      <c r="O200" t="s">
        <v>16320</v>
      </c>
      <c r="P200" t="s">
        <v>2208</v>
      </c>
      <c r="Q200" t="s">
        <v>2933</v>
      </c>
      <c r="R200" t="s">
        <v>3314</v>
      </c>
      <c r="S200" t="s">
        <v>2208</v>
      </c>
      <c r="T200" t="s">
        <v>2208</v>
      </c>
    </row>
    <row r="201" spans="1:20">
      <c r="A201" t="s">
        <v>702</v>
      </c>
      <c r="B201" t="s">
        <v>11331</v>
      </c>
      <c r="C201">
        <v>45777</v>
      </c>
      <c r="D201" t="s">
        <v>7263</v>
      </c>
      <c r="E201" t="s">
        <v>11332</v>
      </c>
      <c r="F201">
        <v>45777</v>
      </c>
      <c r="G201" t="s">
        <v>2208</v>
      </c>
      <c r="H201" t="s">
        <v>2916</v>
      </c>
      <c r="I201" t="s">
        <v>16352</v>
      </c>
      <c r="J201">
        <v>0</v>
      </c>
      <c r="K201">
        <v>0.05</v>
      </c>
      <c r="L201" t="s">
        <v>2917</v>
      </c>
      <c r="M201">
        <v>0</v>
      </c>
      <c r="N201" t="s">
        <v>2918</v>
      </c>
      <c r="O201" t="s">
        <v>2919</v>
      </c>
      <c r="P201" t="s">
        <v>2208</v>
      </c>
      <c r="Q201" t="s">
        <v>2916</v>
      </c>
      <c r="R201" t="s">
        <v>3220</v>
      </c>
      <c r="S201" t="s">
        <v>2208</v>
      </c>
      <c r="T201" t="s">
        <v>2208</v>
      </c>
    </row>
    <row r="202" spans="1:20">
      <c r="A202" t="s">
        <v>702</v>
      </c>
      <c r="B202" t="s">
        <v>11331</v>
      </c>
      <c r="C202">
        <v>45777</v>
      </c>
      <c r="D202" t="s">
        <v>7263</v>
      </c>
      <c r="E202" t="s">
        <v>11332</v>
      </c>
      <c r="F202">
        <v>45777</v>
      </c>
      <c r="G202" t="s">
        <v>2208</v>
      </c>
      <c r="H202" t="s">
        <v>2916</v>
      </c>
      <c r="I202" t="s">
        <v>16353</v>
      </c>
      <c r="J202">
        <v>0</v>
      </c>
      <c r="K202">
        <v>-0.28999999999999998</v>
      </c>
      <c r="L202" t="s">
        <v>2917</v>
      </c>
      <c r="M202">
        <v>0</v>
      </c>
      <c r="N202" t="s">
        <v>2918</v>
      </c>
      <c r="O202" t="s">
        <v>2919</v>
      </c>
      <c r="P202" t="s">
        <v>2208</v>
      </c>
      <c r="Q202" t="s">
        <v>2916</v>
      </c>
      <c r="R202" t="s">
        <v>3220</v>
      </c>
      <c r="S202" t="s">
        <v>2208</v>
      </c>
      <c r="T202" t="s">
        <v>2208</v>
      </c>
    </row>
    <row r="203" spans="1:20">
      <c r="A203" t="s">
        <v>702</v>
      </c>
      <c r="B203" t="s">
        <v>16360</v>
      </c>
      <c r="C203">
        <v>45792</v>
      </c>
      <c r="D203" t="s">
        <v>7263</v>
      </c>
      <c r="E203" t="s">
        <v>16361</v>
      </c>
      <c r="F203">
        <v>45793</v>
      </c>
      <c r="G203" t="s">
        <v>17014</v>
      </c>
      <c r="H203" t="s">
        <v>2916</v>
      </c>
      <c r="I203" t="s">
        <v>17015</v>
      </c>
      <c r="J203">
        <v>6</v>
      </c>
      <c r="K203">
        <v>367.32</v>
      </c>
      <c r="L203" t="s">
        <v>2917</v>
      </c>
      <c r="M203">
        <v>2069.4</v>
      </c>
      <c r="N203" t="s">
        <v>2918</v>
      </c>
      <c r="O203" t="s">
        <v>17016</v>
      </c>
      <c r="P203" t="s">
        <v>17017</v>
      </c>
      <c r="Q203" t="s">
        <v>2924</v>
      </c>
      <c r="R203" t="s">
        <v>3219</v>
      </c>
      <c r="S203" t="s">
        <v>17018</v>
      </c>
      <c r="T203" t="s">
        <v>17019</v>
      </c>
    </row>
    <row r="204" spans="1:20">
      <c r="A204" t="s">
        <v>702</v>
      </c>
      <c r="B204" t="s">
        <v>16360</v>
      </c>
      <c r="C204">
        <v>45694</v>
      </c>
      <c r="D204" t="s">
        <v>7263</v>
      </c>
      <c r="E204" t="s">
        <v>16361</v>
      </c>
      <c r="F204">
        <v>45798</v>
      </c>
      <c r="G204" t="s">
        <v>17297</v>
      </c>
      <c r="H204" t="s">
        <v>2916</v>
      </c>
      <c r="I204" t="s">
        <v>17298</v>
      </c>
      <c r="J204">
        <v>11000</v>
      </c>
      <c r="K204">
        <v>1952.5</v>
      </c>
      <c r="L204" t="s">
        <v>2917</v>
      </c>
      <c r="M204">
        <v>11000</v>
      </c>
      <c r="N204" t="s">
        <v>2918</v>
      </c>
      <c r="O204" t="s">
        <v>2939</v>
      </c>
      <c r="P204" t="s">
        <v>2939</v>
      </c>
      <c r="Q204" t="s">
        <v>2924</v>
      </c>
      <c r="R204" t="s">
        <v>3219</v>
      </c>
      <c r="S204" t="s">
        <v>2208</v>
      </c>
      <c r="T204" t="s">
        <v>2208</v>
      </c>
    </row>
    <row r="205" spans="1:20">
      <c r="A205" t="s">
        <v>702</v>
      </c>
      <c r="B205" t="s">
        <v>16360</v>
      </c>
      <c r="C205">
        <v>45644</v>
      </c>
      <c r="D205" t="s">
        <v>7263</v>
      </c>
      <c r="E205" t="s">
        <v>16361</v>
      </c>
      <c r="F205">
        <v>45803</v>
      </c>
      <c r="G205" t="s">
        <v>8890</v>
      </c>
      <c r="H205" t="s">
        <v>2916</v>
      </c>
      <c r="I205" t="s">
        <v>17577</v>
      </c>
      <c r="J205">
        <v>3319.93</v>
      </c>
      <c r="K205">
        <v>589.29</v>
      </c>
      <c r="L205" t="s">
        <v>2917</v>
      </c>
      <c r="M205">
        <v>3319.93</v>
      </c>
      <c r="N205" t="s">
        <v>2918</v>
      </c>
      <c r="O205" t="s">
        <v>2923</v>
      </c>
      <c r="P205" t="s">
        <v>2923</v>
      </c>
      <c r="Q205" t="s">
        <v>2924</v>
      </c>
      <c r="R205" t="s">
        <v>3219</v>
      </c>
      <c r="S205" t="s">
        <v>2208</v>
      </c>
      <c r="T205" t="s">
        <v>2208</v>
      </c>
    </row>
    <row r="206" spans="1:20">
      <c r="A206" t="s">
        <v>702</v>
      </c>
      <c r="B206" t="s">
        <v>16360</v>
      </c>
      <c r="C206">
        <v>45803</v>
      </c>
      <c r="D206" t="s">
        <v>7263</v>
      </c>
      <c r="E206" t="s">
        <v>16361</v>
      </c>
      <c r="F206">
        <v>45804</v>
      </c>
      <c r="G206" t="s">
        <v>8890</v>
      </c>
      <c r="H206" t="s">
        <v>2916</v>
      </c>
      <c r="I206" t="s">
        <v>17637</v>
      </c>
      <c r="J206">
        <v>0</v>
      </c>
      <c r="K206">
        <v>-54.51</v>
      </c>
      <c r="L206" t="s">
        <v>2917</v>
      </c>
      <c r="M206">
        <v>-307.08999999999997</v>
      </c>
      <c r="N206" t="s">
        <v>2918</v>
      </c>
      <c r="O206" t="s">
        <v>17638</v>
      </c>
      <c r="P206" t="s">
        <v>2923</v>
      </c>
      <c r="Q206" t="s">
        <v>2924</v>
      </c>
      <c r="R206" t="s">
        <v>3219</v>
      </c>
      <c r="S206" t="s">
        <v>2208</v>
      </c>
      <c r="T206" t="s">
        <v>2208</v>
      </c>
    </row>
    <row r="207" spans="1:20">
      <c r="A207" t="s">
        <v>702</v>
      </c>
      <c r="B207" t="s">
        <v>16360</v>
      </c>
      <c r="C207">
        <v>45808</v>
      </c>
      <c r="D207" t="s">
        <v>7263</v>
      </c>
      <c r="E207" t="s">
        <v>16361</v>
      </c>
      <c r="F207">
        <v>45808</v>
      </c>
      <c r="G207" t="s">
        <v>2208</v>
      </c>
      <c r="H207" t="s">
        <v>2916</v>
      </c>
      <c r="I207" t="s">
        <v>17839</v>
      </c>
      <c r="J207">
        <v>0</v>
      </c>
      <c r="K207">
        <v>-0.04</v>
      </c>
      <c r="L207" t="s">
        <v>2917</v>
      </c>
      <c r="M207">
        <v>0</v>
      </c>
      <c r="N207" t="s">
        <v>2918</v>
      </c>
      <c r="O207" t="s">
        <v>2919</v>
      </c>
      <c r="P207" t="s">
        <v>2208</v>
      </c>
      <c r="Q207" t="s">
        <v>2916</v>
      </c>
      <c r="R207" t="s">
        <v>3220</v>
      </c>
      <c r="S207" t="s">
        <v>2208</v>
      </c>
      <c r="T207" t="s">
        <v>2208</v>
      </c>
    </row>
    <row r="208" spans="1:20">
      <c r="A208" t="s">
        <v>702</v>
      </c>
      <c r="B208" t="s">
        <v>2920</v>
      </c>
      <c r="C208">
        <v>45645</v>
      </c>
      <c r="D208" t="s">
        <v>7263</v>
      </c>
      <c r="E208" t="s">
        <v>2921</v>
      </c>
      <c r="F208">
        <v>45672</v>
      </c>
      <c r="G208" t="s">
        <v>2938</v>
      </c>
      <c r="H208" t="s">
        <v>2916</v>
      </c>
      <c r="I208" t="s">
        <v>7305</v>
      </c>
      <c r="J208">
        <v>0</v>
      </c>
      <c r="K208">
        <v>-2198.2800000000002</v>
      </c>
      <c r="L208" t="s">
        <v>2917</v>
      </c>
      <c r="M208">
        <v>-11885.34</v>
      </c>
      <c r="N208" t="s">
        <v>2918</v>
      </c>
      <c r="O208" t="s">
        <v>2942</v>
      </c>
      <c r="P208" t="s">
        <v>2939</v>
      </c>
      <c r="Q208" t="s">
        <v>2924</v>
      </c>
      <c r="R208" t="s">
        <v>3219</v>
      </c>
      <c r="S208" t="s">
        <v>2208</v>
      </c>
      <c r="T208" t="s">
        <v>2208</v>
      </c>
    </row>
    <row r="209" spans="1:20">
      <c r="A209" t="s">
        <v>702</v>
      </c>
      <c r="B209" t="s">
        <v>2920</v>
      </c>
      <c r="C209">
        <v>44866</v>
      </c>
      <c r="D209" t="s">
        <v>7263</v>
      </c>
      <c r="E209" t="s">
        <v>2921</v>
      </c>
      <c r="F209">
        <v>45680</v>
      </c>
      <c r="G209" t="s">
        <v>2922</v>
      </c>
      <c r="H209" t="s">
        <v>2916</v>
      </c>
      <c r="I209" t="s">
        <v>7514</v>
      </c>
      <c r="J209">
        <v>6494.63</v>
      </c>
      <c r="K209">
        <v>1051.68</v>
      </c>
      <c r="L209" t="s">
        <v>2917</v>
      </c>
      <c r="M209">
        <v>6494.63</v>
      </c>
      <c r="N209" t="s">
        <v>2918</v>
      </c>
      <c r="O209" t="s">
        <v>2923</v>
      </c>
      <c r="P209" t="s">
        <v>2923</v>
      </c>
      <c r="Q209" t="s">
        <v>2924</v>
      </c>
      <c r="R209" t="s">
        <v>3219</v>
      </c>
      <c r="S209" t="s">
        <v>2208</v>
      </c>
      <c r="T209" t="s">
        <v>2208</v>
      </c>
    </row>
    <row r="210" spans="1:20">
      <c r="A210" t="s">
        <v>702</v>
      </c>
      <c r="B210" t="s">
        <v>2920</v>
      </c>
      <c r="C210">
        <v>44866</v>
      </c>
      <c r="D210" t="s">
        <v>7263</v>
      </c>
      <c r="E210" t="s">
        <v>2921</v>
      </c>
      <c r="F210">
        <v>45681</v>
      </c>
      <c r="G210" t="s">
        <v>2922</v>
      </c>
      <c r="H210" t="s">
        <v>2916</v>
      </c>
      <c r="I210" t="s">
        <v>7515</v>
      </c>
      <c r="J210">
        <v>6494.63</v>
      </c>
      <c r="K210">
        <v>1051.68</v>
      </c>
      <c r="L210" t="s">
        <v>2917</v>
      </c>
      <c r="M210">
        <v>6494.63</v>
      </c>
      <c r="N210" t="s">
        <v>2918</v>
      </c>
      <c r="O210" t="s">
        <v>2923</v>
      </c>
      <c r="P210" t="s">
        <v>2923</v>
      </c>
      <c r="Q210" t="s">
        <v>2924</v>
      </c>
      <c r="R210" t="s">
        <v>3219</v>
      </c>
      <c r="S210" t="s">
        <v>2208</v>
      </c>
      <c r="T210" t="s">
        <v>2208</v>
      </c>
    </row>
    <row r="211" spans="1:20">
      <c r="A211" t="s">
        <v>702</v>
      </c>
      <c r="B211" t="s">
        <v>2920</v>
      </c>
      <c r="C211">
        <v>45426</v>
      </c>
      <c r="D211" t="s">
        <v>7263</v>
      </c>
      <c r="E211" t="s">
        <v>2921</v>
      </c>
      <c r="F211">
        <v>45681</v>
      </c>
      <c r="G211" t="s">
        <v>7516</v>
      </c>
      <c r="H211" t="s">
        <v>2916</v>
      </c>
      <c r="I211" t="s">
        <v>7517</v>
      </c>
      <c r="J211">
        <v>24770.19</v>
      </c>
      <c r="K211">
        <v>4011.04</v>
      </c>
      <c r="L211" t="s">
        <v>2917</v>
      </c>
      <c r="M211">
        <v>24770.19</v>
      </c>
      <c r="N211" t="s">
        <v>2918</v>
      </c>
      <c r="O211" t="s">
        <v>2939</v>
      </c>
      <c r="P211" t="s">
        <v>2939</v>
      </c>
      <c r="Q211" t="s">
        <v>2924</v>
      </c>
      <c r="R211" t="s">
        <v>3219</v>
      </c>
      <c r="S211" t="s">
        <v>2208</v>
      </c>
      <c r="T211" t="s">
        <v>2208</v>
      </c>
    </row>
    <row r="212" spans="1:20">
      <c r="A212" t="s">
        <v>702</v>
      </c>
      <c r="B212" t="s">
        <v>2920</v>
      </c>
      <c r="C212">
        <v>45681</v>
      </c>
      <c r="D212" t="s">
        <v>7263</v>
      </c>
      <c r="E212" t="s">
        <v>2921</v>
      </c>
      <c r="F212">
        <v>45686</v>
      </c>
      <c r="G212" t="s">
        <v>2922</v>
      </c>
      <c r="H212" t="s">
        <v>2916</v>
      </c>
      <c r="I212" t="s">
        <v>7518</v>
      </c>
      <c r="J212">
        <v>0</v>
      </c>
      <c r="K212">
        <v>-97.28</v>
      </c>
      <c r="L212" t="s">
        <v>2917</v>
      </c>
      <c r="M212">
        <v>-600.75</v>
      </c>
      <c r="N212" t="s">
        <v>2918</v>
      </c>
      <c r="O212" t="s">
        <v>7519</v>
      </c>
      <c r="P212" t="s">
        <v>2923</v>
      </c>
      <c r="Q212" t="s">
        <v>2924</v>
      </c>
      <c r="R212" t="s">
        <v>3219</v>
      </c>
      <c r="S212" t="s">
        <v>2208</v>
      </c>
      <c r="T212" t="s">
        <v>2208</v>
      </c>
    </row>
    <row r="213" spans="1:20">
      <c r="A213" t="s">
        <v>702</v>
      </c>
      <c r="B213" t="s">
        <v>2920</v>
      </c>
      <c r="C213">
        <v>45681</v>
      </c>
      <c r="D213" t="s">
        <v>7263</v>
      </c>
      <c r="E213" t="s">
        <v>2921</v>
      </c>
      <c r="F213">
        <v>45686</v>
      </c>
      <c r="G213" t="s">
        <v>7516</v>
      </c>
      <c r="H213" t="s">
        <v>2916</v>
      </c>
      <c r="I213" t="s">
        <v>7520</v>
      </c>
      <c r="J213">
        <v>0</v>
      </c>
      <c r="K213">
        <v>-371.02</v>
      </c>
      <c r="L213" t="s">
        <v>2917</v>
      </c>
      <c r="M213">
        <v>-2291.2399999999998</v>
      </c>
      <c r="N213" t="s">
        <v>2918</v>
      </c>
      <c r="O213" t="s">
        <v>7521</v>
      </c>
      <c r="P213" t="s">
        <v>2939</v>
      </c>
      <c r="Q213" t="s">
        <v>2924</v>
      </c>
      <c r="R213" t="s">
        <v>3219</v>
      </c>
      <c r="S213" t="s">
        <v>2208</v>
      </c>
      <c r="T213" t="s">
        <v>2208</v>
      </c>
    </row>
    <row r="214" spans="1:20">
      <c r="A214" t="s">
        <v>702</v>
      </c>
      <c r="B214" t="s">
        <v>2920</v>
      </c>
      <c r="C214">
        <v>45688</v>
      </c>
      <c r="D214" t="s">
        <v>7263</v>
      </c>
      <c r="E214" t="s">
        <v>2921</v>
      </c>
      <c r="F214">
        <v>45688</v>
      </c>
      <c r="G214" t="s">
        <v>2208</v>
      </c>
      <c r="H214" t="s">
        <v>2916</v>
      </c>
      <c r="I214" t="s">
        <v>7522</v>
      </c>
      <c r="J214">
        <v>0</v>
      </c>
      <c r="K214">
        <v>273.74</v>
      </c>
      <c r="L214" t="s">
        <v>2917</v>
      </c>
      <c r="M214">
        <v>0</v>
      </c>
      <c r="N214" t="s">
        <v>2918</v>
      </c>
      <c r="O214" t="s">
        <v>2919</v>
      </c>
      <c r="P214" t="s">
        <v>2208</v>
      </c>
      <c r="Q214" t="s">
        <v>2916</v>
      </c>
      <c r="R214" t="s">
        <v>3220</v>
      </c>
      <c r="S214" t="s">
        <v>2208</v>
      </c>
      <c r="T214" t="s">
        <v>2208</v>
      </c>
    </row>
    <row r="215" spans="1:20">
      <c r="A215" t="s">
        <v>702</v>
      </c>
      <c r="B215" t="s">
        <v>2920</v>
      </c>
      <c r="C215">
        <v>45688</v>
      </c>
      <c r="D215" t="s">
        <v>7263</v>
      </c>
      <c r="E215" t="s">
        <v>2921</v>
      </c>
      <c r="F215">
        <v>45688</v>
      </c>
      <c r="G215" t="s">
        <v>2208</v>
      </c>
      <c r="H215" t="s">
        <v>2916</v>
      </c>
      <c r="I215" t="s">
        <v>7523</v>
      </c>
      <c r="J215">
        <v>0</v>
      </c>
      <c r="K215">
        <v>-0.09</v>
      </c>
      <c r="L215" t="s">
        <v>2917</v>
      </c>
      <c r="M215">
        <v>0</v>
      </c>
      <c r="N215" t="s">
        <v>2918</v>
      </c>
      <c r="O215" t="s">
        <v>2919</v>
      </c>
      <c r="P215" t="s">
        <v>2208</v>
      </c>
      <c r="Q215" t="s">
        <v>2916</v>
      </c>
      <c r="R215" t="s">
        <v>3220</v>
      </c>
      <c r="S215" t="s">
        <v>2208</v>
      </c>
      <c r="T215" t="s">
        <v>2208</v>
      </c>
    </row>
    <row r="216" spans="1:20">
      <c r="A216" t="s">
        <v>702</v>
      </c>
      <c r="B216" t="s">
        <v>7740</v>
      </c>
      <c r="C216">
        <v>45706</v>
      </c>
      <c r="D216" t="s">
        <v>7263</v>
      </c>
      <c r="E216" t="s">
        <v>2925</v>
      </c>
      <c r="F216">
        <v>45706</v>
      </c>
      <c r="G216" t="s">
        <v>2922</v>
      </c>
      <c r="H216" t="s">
        <v>2916</v>
      </c>
      <c r="I216" t="s">
        <v>8612</v>
      </c>
      <c r="J216">
        <v>-6494.63</v>
      </c>
      <c r="K216">
        <v>-1051.68</v>
      </c>
      <c r="L216" t="s">
        <v>2917</v>
      </c>
      <c r="M216">
        <v>-6494.63</v>
      </c>
      <c r="N216" t="s">
        <v>2918</v>
      </c>
      <c r="O216" t="s">
        <v>2923</v>
      </c>
      <c r="P216" t="s">
        <v>2923</v>
      </c>
      <c r="Q216" t="s">
        <v>2924</v>
      </c>
      <c r="R216" t="s">
        <v>3219</v>
      </c>
      <c r="S216" t="s">
        <v>2208</v>
      </c>
      <c r="T216" t="s">
        <v>2208</v>
      </c>
    </row>
    <row r="217" spans="1:20">
      <c r="A217" t="s">
        <v>702</v>
      </c>
      <c r="B217" t="s">
        <v>7740</v>
      </c>
      <c r="C217">
        <v>45587</v>
      </c>
      <c r="D217" t="s">
        <v>7263</v>
      </c>
      <c r="E217" t="s">
        <v>2925</v>
      </c>
      <c r="F217">
        <v>45706</v>
      </c>
      <c r="G217" t="s">
        <v>8613</v>
      </c>
      <c r="H217" t="s">
        <v>2916</v>
      </c>
      <c r="I217" t="s">
        <v>8614</v>
      </c>
      <c r="J217">
        <v>10379.27</v>
      </c>
      <c r="K217">
        <v>1784.72</v>
      </c>
      <c r="L217" t="s">
        <v>2917</v>
      </c>
      <c r="M217">
        <v>10379.27</v>
      </c>
      <c r="N217" t="s">
        <v>2918</v>
      </c>
      <c r="O217" t="s">
        <v>2923</v>
      </c>
      <c r="P217" t="s">
        <v>2923</v>
      </c>
      <c r="Q217" t="s">
        <v>2924</v>
      </c>
      <c r="R217" t="s">
        <v>3219</v>
      </c>
      <c r="S217" t="s">
        <v>2208</v>
      </c>
      <c r="T217" t="s">
        <v>2208</v>
      </c>
    </row>
    <row r="218" spans="1:20">
      <c r="A218" t="s">
        <v>702</v>
      </c>
      <c r="B218" t="s">
        <v>7740</v>
      </c>
      <c r="C218">
        <v>45426</v>
      </c>
      <c r="D218" t="s">
        <v>7263</v>
      </c>
      <c r="E218" t="s">
        <v>2925</v>
      </c>
      <c r="F218">
        <v>45712</v>
      </c>
      <c r="G218" t="s">
        <v>7516</v>
      </c>
      <c r="H218" t="s">
        <v>2916</v>
      </c>
      <c r="I218" t="s">
        <v>8893</v>
      </c>
      <c r="J218">
        <v>47157.18</v>
      </c>
      <c r="K218">
        <v>8108.68</v>
      </c>
      <c r="L218" t="s">
        <v>2917</v>
      </c>
      <c r="M218">
        <v>47157.18</v>
      </c>
      <c r="N218" t="s">
        <v>2918</v>
      </c>
      <c r="O218" t="s">
        <v>2939</v>
      </c>
      <c r="P218" t="s">
        <v>2939</v>
      </c>
      <c r="Q218" t="s">
        <v>2924</v>
      </c>
      <c r="R218" t="s">
        <v>3219</v>
      </c>
      <c r="S218" t="s">
        <v>2208</v>
      </c>
      <c r="T218" t="s">
        <v>2208</v>
      </c>
    </row>
    <row r="219" spans="1:20">
      <c r="A219" t="s">
        <v>702</v>
      </c>
      <c r="B219" t="s">
        <v>7740</v>
      </c>
      <c r="C219">
        <v>45712</v>
      </c>
      <c r="D219" t="s">
        <v>7263</v>
      </c>
      <c r="E219" t="s">
        <v>2925</v>
      </c>
      <c r="F219">
        <v>45714</v>
      </c>
      <c r="G219" t="s">
        <v>7516</v>
      </c>
      <c r="H219" t="s">
        <v>2916</v>
      </c>
      <c r="I219" t="s">
        <v>8987</v>
      </c>
      <c r="J219">
        <v>0</v>
      </c>
      <c r="K219">
        <v>-750.06</v>
      </c>
      <c r="L219" t="s">
        <v>2917</v>
      </c>
      <c r="M219">
        <v>-4362.04</v>
      </c>
      <c r="N219" t="s">
        <v>2918</v>
      </c>
      <c r="O219" t="s">
        <v>8988</v>
      </c>
      <c r="P219" t="s">
        <v>2939</v>
      </c>
      <c r="Q219" t="s">
        <v>2924</v>
      </c>
      <c r="R219" t="s">
        <v>3219</v>
      </c>
      <c r="S219" t="s">
        <v>2208</v>
      </c>
      <c r="T219" t="s">
        <v>2208</v>
      </c>
    </row>
    <row r="220" spans="1:20">
      <c r="A220" t="s">
        <v>702</v>
      </c>
      <c r="B220" t="s">
        <v>7740</v>
      </c>
      <c r="C220">
        <v>45706</v>
      </c>
      <c r="D220" t="s">
        <v>7263</v>
      </c>
      <c r="E220" t="s">
        <v>2925</v>
      </c>
      <c r="F220">
        <v>45714</v>
      </c>
      <c r="G220" t="s">
        <v>8613</v>
      </c>
      <c r="H220" t="s">
        <v>2916</v>
      </c>
      <c r="I220" t="s">
        <v>8989</v>
      </c>
      <c r="J220">
        <v>0</v>
      </c>
      <c r="K220">
        <v>-165.09</v>
      </c>
      <c r="L220" t="s">
        <v>2917</v>
      </c>
      <c r="M220">
        <v>-960.08</v>
      </c>
      <c r="N220" t="s">
        <v>2918</v>
      </c>
      <c r="O220" t="s">
        <v>8990</v>
      </c>
      <c r="P220" t="s">
        <v>2923</v>
      </c>
      <c r="Q220" t="s">
        <v>2924</v>
      </c>
      <c r="R220" t="s">
        <v>3219</v>
      </c>
      <c r="S220" t="s">
        <v>2208</v>
      </c>
      <c r="T220" t="s">
        <v>2208</v>
      </c>
    </row>
    <row r="221" spans="1:20">
      <c r="A221" t="s">
        <v>702</v>
      </c>
      <c r="B221" t="s">
        <v>7740</v>
      </c>
      <c r="C221">
        <v>45716</v>
      </c>
      <c r="D221" t="s">
        <v>7263</v>
      </c>
      <c r="E221" t="s">
        <v>2925</v>
      </c>
      <c r="F221">
        <v>45716</v>
      </c>
      <c r="G221" t="s">
        <v>2208</v>
      </c>
      <c r="H221" t="s">
        <v>2916</v>
      </c>
      <c r="I221" t="s">
        <v>9124</v>
      </c>
      <c r="J221">
        <v>0</v>
      </c>
      <c r="K221">
        <v>-64.98</v>
      </c>
      <c r="L221" t="s">
        <v>2917</v>
      </c>
      <c r="M221">
        <v>0</v>
      </c>
      <c r="N221" t="s">
        <v>2918</v>
      </c>
      <c r="O221" t="s">
        <v>2919</v>
      </c>
      <c r="P221" t="s">
        <v>2208</v>
      </c>
      <c r="Q221" t="s">
        <v>2916</v>
      </c>
      <c r="R221" t="s">
        <v>3220</v>
      </c>
      <c r="S221" t="s">
        <v>2208</v>
      </c>
      <c r="T221" t="s">
        <v>2208</v>
      </c>
    </row>
    <row r="222" spans="1:20">
      <c r="A222" t="s">
        <v>702</v>
      </c>
      <c r="B222" t="s">
        <v>7740</v>
      </c>
      <c r="C222">
        <v>45716</v>
      </c>
      <c r="D222" t="s">
        <v>7263</v>
      </c>
      <c r="E222" t="s">
        <v>2925</v>
      </c>
      <c r="F222">
        <v>45716</v>
      </c>
      <c r="G222" t="s">
        <v>2208</v>
      </c>
      <c r="H222" t="s">
        <v>2916</v>
      </c>
      <c r="I222" t="s">
        <v>9125</v>
      </c>
      <c r="J222">
        <v>0</v>
      </c>
      <c r="K222">
        <v>-0.03</v>
      </c>
      <c r="L222" t="s">
        <v>2917</v>
      </c>
      <c r="M222">
        <v>0</v>
      </c>
      <c r="N222" t="s">
        <v>2918</v>
      </c>
      <c r="O222" t="s">
        <v>2919</v>
      </c>
      <c r="P222" t="s">
        <v>2208</v>
      </c>
      <c r="Q222" t="s">
        <v>2916</v>
      </c>
      <c r="R222" t="s">
        <v>3220</v>
      </c>
      <c r="S222" t="s">
        <v>2208</v>
      </c>
      <c r="T222" t="s">
        <v>2208</v>
      </c>
    </row>
    <row r="223" spans="1:20">
      <c r="A223" t="s">
        <v>702</v>
      </c>
      <c r="B223" t="s">
        <v>9126</v>
      </c>
      <c r="C223">
        <v>44866</v>
      </c>
      <c r="D223" t="s">
        <v>7263</v>
      </c>
      <c r="E223" t="s">
        <v>9127</v>
      </c>
      <c r="F223">
        <v>45737</v>
      </c>
      <c r="G223" t="s">
        <v>2922</v>
      </c>
      <c r="H223" t="s">
        <v>2916</v>
      </c>
      <c r="I223" t="s">
        <v>10960</v>
      </c>
      <c r="J223">
        <v>6218.96</v>
      </c>
      <c r="K223">
        <v>1065.8699999999999</v>
      </c>
      <c r="L223" t="s">
        <v>2917</v>
      </c>
      <c r="M223">
        <v>6218.96</v>
      </c>
      <c r="N223" t="s">
        <v>2918</v>
      </c>
      <c r="O223" t="s">
        <v>2923</v>
      </c>
      <c r="P223" t="s">
        <v>2923</v>
      </c>
      <c r="Q223" t="s">
        <v>2924</v>
      </c>
      <c r="R223" t="s">
        <v>3219</v>
      </c>
      <c r="S223" t="s">
        <v>2208</v>
      </c>
      <c r="T223" t="s">
        <v>2208</v>
      </c>
    </row>
    <row r="224" spans="1:20">
      <c r="A224" t="s">
        <v>702</v>
      </c>
      <c r="B224" t="s">
        <v>9126</v>
      </c>
      <c r="C224">
        <v>45426</v>
      </c>
      <c r="D224" t="s">
        <v>7263</v>
      </c>
      <c r="E224" t="s">
        <v>9127</v>
      </c>
      <c r="F224">
        <v>45740</v>
      </c>
      <c r="G224" t="s">
        <v>7516</v>
      </c>
      <c r="H224" t="s">
        <v>2916</v>
      </c>
      <c r="I224" t="s">
        <v>11081</v>
      </c>
      <c r="J224">
        <v>28589.31</v>
      </c>
      <c r="K224">
        <v>4899.92</v>
      </c>
      <c r="L224" t="s">
        <v>2917</v>
      </c>
      <c r="M224">
        <v>28589.31</v>
      </c>
      <c r="N224" t="s">
        <v>2918</v>
      </c>
      <c r="O224" t="s">
        <v>2939</v>
      </c>
      <c r="P224" t="s">
        <v>2939</v>
      </c>
      <c r="Q224" t="s">
        <v>2924</v>
      </c>
      <c r="R224" t="s">
        <v>3219</v>
      </c>
      <c r="S224" t="s">
        <v>2208</v>
      </c>
      <c r="T224" t="s">
        <v>2208</v>
      </c>
    </row>
    <row r="225" spans="1:20">
      <c r="A225" t="s">
        <v>702</v>
      </c>
      <c r="B225" t="s">
        <v>9126</v>
      </c>
      <c r="C225">
        <v>45740</v>
      </c>
      <c r="D225" t="s">
        <v>7263</v>
      </c>
      <c r="E225" t="s">
        <v>9127</v>
      </c>
      <c r="F225">
        <v>45743</v>
      </c>
      <c r="G225" t="s">
        <v>7516</v>
      </c>
      <c r="H225" t="s">
        <v>2916</v>
      </c>
      <c r="I225" t="s">
        <v>11272</v>
      </c>
      <c r="J225">
        <v>0</v>
      </c>
      <c r="K225">
        <v>-453.29</v>
      </c>
      <c r="L225" t="s">
        <v>2917</v>
      </c>
      <c r="M225">
        <v>-2644.79</v>
      </c>
      <c r="N225" t="s">
        <v>2918</v>
      </c>
      <c r="O225" t="s">
        <v>11273</v>
      </c>
      <c r="P225" t="s">
        <v>2939</v>
      </c>
      <c r="Q225" t="s">
        <v>2924</v>
      </c>
      <c r="R225" t="s">
        <v>3219</v>
      </c>
      <c r="S225" t="s">
        <v>2208</v>
      </c>
      <c r="T225" t="s">
        <v>2208</v>
      </c>
    </row>
    <row r="226" spans="1:20">
      <c r="A226" t="s">
        <v>702</v>
      </c>
      <c r="B226" t="s">
        <v>9126</v>
      </c>
      <c r="C226">
        <v>45737</v>
      </c>
      <c r="D226" t="s">
        <v>7263</v>
      </c>
      <c r="E226" t="s">
        <v>9127</v>
      </c>
      <c r="F226">
        <v>45743</v>
      </c>
      <c r="G226" t="s">
        <v>2922</v>
      </c>
      <c r="H226" t="s">
        <v>2916</v>
      </c>
      <c r="I226" t="s">
        <v>11274</v>
      </c>
      <c r="J226">
        <v>0</v>
      </c>
      <c r="K226">
        <v>-98.59</v>
      </c>
      <c r="L226" t="s">
        <v>2917</v>
      </c>
      <c r="M226">
        <v>-575.25</v>
      </c>
      <c r="N226" t="s">
        <v>2918</v>
      </c>
      <c r="O226" t="s">
        <v>11275</v>
      </c>
      <c r="P226" t="s">
        <v>2923</v>
      </c>
      <c r="Q226" t="s">
        <v>2924</v>
      </c>
      <c r="R226" t="s">
        <v>3219</v>
      </c>
      <c r="S226" t="s">
        <v>2208</v>
      </c>
      <c r="T226" t="s">
        <v>2208</v>
      </c>
    </row>
    <row r="227" spans="1:20">
      <c r="A227" t="s">
        <v>702</v>
      </c>
      <c r="B227" t="s">
        <v>9126</v>
      </c>
      <c r="C227">
        <v>45747</v>
      </c>
      <c r="D227" t="s">
        <v>7263</v>
      </c>
      <c r="E227" t="s">
        <v>9127</v>
      </c>
      <c r="F227">
        <v>45747</v>
      </c>
      <c r="G227" t="s">
        <v>2208</v>
      </c>
      <c r="H227" t="s">
        <v>2916</v>
      </c>
      <c r="I227" t="s">
        <v>11328</v>
      </c>
      <c r="J227">
        <v>0</v>
      </c>
      <c r="K227">
        <v>0.05</v>
      </c>
      <c r="L227" t="s">
        <v>2917</v>
      </c>
      <c r="M227">
        <v>0</v>
      </c>
      <c r="N227" t="s">
        <v>2918</v>
      </c>
      <c r="O227" t="s">
        <v>2919</v>
      </c>
      <c r="P227" t="s">
        <v>2208</v>
      </c>
      <c r="Q227" t="s">
        <v>2916</v>
      </c>
      <c r="R227" t="s">
        <v>3220</v>
      </c>
      <c r="S227" t="s">
        <v>2208</v>
      </c>
      <c r="T227" t="s">
        <v>2208</v>
      </c>
    </row>
    <row r="228" spans="1:20">
      <c r="A228" t="s">
        <v>702</v>
      </c>
      <c r="B228" t="s">
        <v>9126</v>
      </c>
      <c r="C228">
        <v>45747</v>
      </c>
      <c r="D228" t="s">
        <v>7263</v>
      </c>
      <c r="E228" t="s">
        <v>9127</v>
      </c>
      <c r="F228">
        <v>45747</v>
      </c>
      <c r="G228" t="s">
        <v>2208</v>
      </c>
      <c r="H228" t="s">
        <v>2916</v>
      </c>
      <c r="I228" t="s">
        <v>11329</v>
      </c>
      <c r="J228">
        <v>0</v>
      </c>
      <c r="K228">
        <v>0.08</v>
      </c>
      <c r="L228" t="s">
        <v>2917</v>
      </c>
      <c r="M228">
        <v>0</v>
      </c>
      <c r="N228" t="s">
        <v>2918</v>
      </c>
      <c r="O228" t="s">
        <v>2919</v>
      </c>
      <c r="P228" t="s">
        <v>2208</v>
      </c>
      <c r="Q228" t="s">
        <v>2916</v>
      </c>
      <c r="R228" t="s">
        <v>3220</v>
      </c>
      <c r="S228" t="s">
        <v>2208</v>
      </c>
      <c r="T228" t="s">
        <v>2208</v>
      </c>
    </row>
    <row r="229" spans="1:20">
      <c r="A229" t="s">
        <v>702</v>
      </c>
      <c r="B229" t="s">
        <v>11331</v>
      </c>
      <c r="C229">
        <v>44795</v>
      </c>
      <c r="D229" t="s">
        <v>7263</v>
      </c>
      <c r="E229" t="s">
        <v>11332</v>
      </c>
      <c r="F229">
        <v>45769</v>
      </c>
      <c r="G229" t="s">
        <v>2938</v>
      </c>
      <c r="H229" t="s">
        <v>2916</v>
      </c>
      <c r="I229" t="s">
        <v>15871</v>
      </c>
      <c r="J229">
        <v>149123.66</v>
      </c>
      <c r="K229">
        <v>25895.32</v>
      </c>
      <c r="L229" t="s">
        <v>2917</v>
      </c>
      <c r="M229">
        <v>149123.66</v>
      </c>
      <c r="N229" t="s">
        <v>2918</v>
      </c>
      <c r="O229" t="s">
        <v>2939</v>
      </c>
      <c r="P229" t="s">
        <v>2939</v>
      </c>
      <c r="Q229" t="s">
        <v>2924</v>
      </c>
      <c r="R229" t="s">
        <v>3219</v>
      </c>
      <c r="S229" t="s">
        <v>2208</v>
      </c>
      <c r="T229" t="s">
        <v>2208</v>
      </c>
    </row>
    <row r="230" spans="1:20">
      <c r="A230" t="s">
        <v>702</v>
      </c>
      <c r="B230" t="s">
        <v>11331</v>
      </c>
      <c r="C230">
        <v>44750</v>
      </c>
      <c r="D230" t="s">
        <v>7263</v>
      </c>
      <c r="E230" t="s">
        <v>11332</v>
      </c>
      <c r="F230">
        <v>45770</v>
      </c>
      <c r="G230" t="s">
        <v>15872</v>
      </c>
      <c r="H230" t="s">
        <v>2916</v>
      </c>
      <c r="I230" t="s">
        <v>15873</v>
      </c>
      <c r="J230">
        <v>28394.18</v>
      </c>
      <c r="K230">
        <v>4930.6499999999996</v>
      </c>
      <c r="L230" t="s">
        <v>2917</v>
      </c>
      <c r="M230">
        <v>28394.18</v>
      </c>
      <c r="N230" t="s">
        <v>2918</v>
      </c>
      <c r="O230" t="s">
        <v>15874</v>
      </c>
      <c r="P230" t="s">
        <v>15874</v>
      </c>
      <c r="Q230" t="s">
        <v>2924</v>
      </c>
      <c r="R230" t="s">
        <v>3219</v>
      </c>
      <c r="S230" t="s">
        <v>2208</v>
      </c>
      <c r="T230" t="s">
        <v>2208</v>
      </c>
    </row>
    <row r="231" spans="1:20">
      <c r="A231" t="s">
        <v>702</v>
      </c>
      <c r="B231" t="s">
        <v>11331</v>
      </c>
      <c r="C231">
        <v>45772</v>
      </c>
      <c r="D231" t="s">
        <v>7263</v>
      </c>
      <c r="E231" t="s">
        <v>11332</v>
      </c>
      <c r="F231">
        <v>45772</v>
      </c>
      <c r="G231" t="s">
        <v>15872</v>
      </c>
      <c r="H231" t="s">
        <v>2916</v>
      </c>
      <c r="I231" t="s">
        <v>16168</v>
      </c>
      <c r="J231">
        <v>0</v>
      </c>
      <c r="K231">
        <v>-456.09</v>
      </c>
      <c r="L231" t="s">
        <v>2917</v>
      </c>
      <c r="M231">
        <v>-2626.46</v>
      </c>
      <c r="N231" t="s">
        <v>2918</v>
      </c>
      <c r="O231" t="s">
        <v>16169</v>
      </c>
      <c r="P231" t="s">
        <v>15874</v>
      </c>
      <c r="Q231" t="s">
        <v>2924</v>
      </c>
      <c r="R231" t="s">
        <v>3219</v>
      </c>
      <c r="S231" t="s">
        <v>2208</v>
      </c>
      <c r="T231" t="s">
        <v>2208</v>
      </c>
    </row>
    <row r="232" spans="1:20">
      <c r="A232" t="s">
        <v>702</v>
      </c>
      <c r="B232" t="s">
        <v>11331</v>
      </c>
      <c r="C232">
        <v>45772</v>
      </c>
      <c r="D232" t="s">
        <v>7263</v>
      </c>
      <c r="E232" t="s">
        <v>11332</v>
      </c>
      <c r="F232">
        <v>45772</v>
      </c>
      <c r="G232" t="s">
        <v>2938</v>
      </c>
      <c r="H232" t="s">
        <v>2916</v>
      </c>
      <c r="I232" t="s">
        <v>16170</v>
      </c>
      <c r="J232">
        <v>0</v>
      </c>
      <c r="K232">
        <v>-2395.31</v>
      </c>
      <c r="L232" t="s">
        <v>2917</v>
      </c>
      <c r="M232">
        <v>-13793.94</v>
      </c>
      <c r="N232" t="s">
        <v>2918</v>
      </c>
      <c r="O232" t="s">
        <v>16171</v>
      </c>
      <c r="P232" t="s">
        <v>2939</v>
      </c>
      <c r="Q232" t="s">
        <v>2924</v>
      </c>
      <c r="R232" t="s">
        <v>3219</v>
      </c>
      <c r="S232" t="s">
        <v>2208</v>
      </c>
      <c r="T232" t="s">
        <v>2208</v>
      </c>
    </row>
    <row r="233" spans="1:20">
      <c r="A233" t="s">
        <v>702</v>
      </c>
      <c r="B233" t="s">
        <v>11331</v>
      </c>
      <c r="C233">
        <v>45777</v>
      </c>
      <c r="D233" t="s">
        <v>7263</v>
      </c>
      <c r="E233" t="s">
        <v>11332</v>
      </c>
      <c r="F233">
        <v>45777</v>
      </c>
      <c r="G233" t="s">
        <v>2208</v>
      </c>
      <c r="H233" t="s">
        <v>2916</v>
      </c>
      <c r="I233" t="s">
        <v>16354</v>
      </c>
      <c r="J233">
        <v>0</v>
      </c>
      <c r="K233">
        <v>-0.08</v>
      </c>
      <c r="L233" t="s">
        <v>2917</v>
      </c>
      <c r="M233">
        <v>0</v>
      </c>
      <c r="N233" t="s">
        <v>2918</v>
      </c>
      <c r="O233" t="s">
        <v>2919</v>
      </c>
      <c r="P233" t="s">
        <v>2208</v>
      </c>
      <c r="Q233" t="s">
        <v>2916</v>
      </c>
      <c r="R233" t="s">
        <v>3220</v>
      </c>
      <c r="S233" t="s">
        <v>2208</v>
      </c>
      <c r="T233" t="s">
        <v>2208</v>
      </c>
    </row>
    <row r="234" spans="1:20">
      <c r="A234" t="s">
        <v>702</v>
      </c>
      <c r="B234" t="s">
        <v>16360</v>
      </c>
      <c r="C234">
        <v>45751</v>
      </c>
      <c r="D234" t="s">
        <v>7263</v>
      </c>
      <c r="E234" t="s">
        <v>16361</v>
      </c>
      <c r="F234">
        <v>45800</v>
      </c>
      <c r="G234" t="s">
        <v>17416</v>
      </c>
      <c r="H234" t="s">
        <v>2916</v>
      </c>
      <c r="I234" t="s">
        <v>17417</v>
      </c>
      <c r="J234">
        <v>19806</v>
      </c>
      <c r="K234">
        <v>3515.57</v>
      </c>
      <c r="L234" t="s">
        <v>2917</v>
      </c>
      <c r="M234">
        <v>19806</v>
      </c>
      <c r="N234" t="s">
        <v>2918</v>
      </c>
      <c r="O234" t="s">
        <v>2939</v>
      </c>
      <c r="P234" t="s">
        <v>2939</v>
      </c>
      <c r="Q234" t="s">
        <v>2924</v>
      </c>
      <c r="R234" t="s">
        <v>3219</v>
      </c>
      <c r="S234" t="s">
        <v>2208</v>
      </c>
      <c r="T234" t="s">
        <v>2208</v>
      </c>
    </row>
    <row r="235" spans="1:20">
      <c r="A235" t="s">
        <v>702</v>
      </c>
      <c r="B235" t="s">
        <v>16360</v>
      </c>
      <c r="C235">
        <v>45800</v>
      </c>
      <c r="D235" t="s">
        <v>7263</v>
      </c>
      <c r="E235" t="s">
        <v>16361</v>
      </c>
      <c r="F235">
        <v>45804</v>
      </c>
      <c r="G235" t="s">
        <v>17416</v>
      </c>
      <c r="H235" t="s">
        <v>2916</v>
      </c>
      <c r="I235" t="s">
        <v>17639</v>
      </c>
      <c r="J235">
        <v>0</v>
      </c>
      <c r="K235">
        <v>-325.2</v>
      </c>
      <c r="L235" t="s">
        <v>2917</v>
      </c>
      <c r="M235">
        <v>-1832.06</v>
      </c>
      <c r="N235" t="s">
        <v>2918</v>
      </c>
      <c r="O235" t="s">
        <v>17640</v>
      </c>
      <c r="P235" t="s">
        <v>2939</v>
      </c>
      <c r="Q235" t="s">
        <v>2924</v>
      </c>
      <c r="R235" t="s">
        <v>3219</v>
      </c>
      <c r="S235" t="s">
        <v>2208</v>
      </c>
      <c r="T235" t="s">
        <v>2208</v>
      </c>
    </row>
    <row r="236" spans="1:20">
      <c r="A236" t="s">
        <v>702</v>
      </c>
      <c r="B236" t="s">
        <v>16360</v>
      </c>
      <c r="C236">
        <v>45808</v>
      </c>
      <c r="D236" t="s">
        <v>7263</v>
      </c>
      <c r="E236" t="s">
        <v>16361</v>
      </c>
      <c r="F236">
        <v>45808</v>
      </c>
      <c r="G236" t="s">
        <v>2208</v>
      </c>
      <c r="H236" t="s">
        <v>2916</v>
      </c>
      <c r="I236" t="s">
        <v>17840</v>
      </c>
      <c r="J236">
        <v>0</v>
      </c>
      <c r="K236">
        <v>0.02</v>
      </c>
      <c r="L236" t="s">
        <v>2917</v>
      </c>
      <c r="M236">
        <v>0</v>
      </c>
      <c r="N236" t="s">
        <v>2918</v>
      </c>
      <c r="O236" t="s">
        <v>2919</v>
      </c>
      <c r="P236" t="s">
        <v>2208</v>
      </c>
      <c r="Q236" t="s">
        <v>2916</v>
      </c>
      <c r="R236" t="s">
        <v>3220</v>
      </c>
      <c r="S236" t="s">
        <v>2208</v>
      </c>
      <c r="T236" t="s">
        <v>2208</v>
      </c>
    </row>
    <row r="237" spans="1:20">
      <c r="A237" t="s">
        <v>702</v>
      </c>
      <c r="B237" t="s">
        <v>17897</v>
      </c>
      <c r="C237">
        <v>45587</v>
      </c>
      <c r="D237" t="s">
        <v>7263</v>
      </c>
      <c r="E237" t="s">
        <v>17898</v>
      </c>
      <c r="F237">
        <v>45832</v>
      </c>
      <c r="G237" t="s">
        <v>8613</v>
      </c>
      <c r="H237" t="s">
        <v>2916</v>
      </c>
      <c r="I237" t="s">
        <v>18994</v>
      </c>
      <c r="J237">
        <v>4053.7</v>
      </c>
      <c r="K237">
        <v>714.26</v>
      </c>
      <c r="L237" t="s">
        <v>2917</v>
      </c>
      <c r="M237">
        <v>4053.7</v>
      </c>
      <c r="N237" t="s">
        <v>2918</v>
      </c>
      <c r="O237" t="s">
        <v>2923</v>
      </c>
      <c r="P237" t="s">
        <v>2923</v>
      </c>
      <c r="Q237" t="s">
        <v>2924</v>
      </c>
      <c r="R237" t="s">
        <v>3219</v>
      </c>
      <c r="S237" t="s">
        <v>2208</v>
      </c>
      <c r="T237" t="s">
        <v>2208</v>
      </c>
    </row>
    <row r="238" spans="1:20">
      <c r="A238" t="s">
        <v>702</v>
      </c>
      <c r="B238" t="s">
        <v>17897</v>
      </c>
      <c r="C238">
        <v>45832</v>
      </c>
      <c r="D238" t="s">
        <v>7263</v>
      </c>
      <c r="E238" t="s">
        <v>17898</v>
      </c>
      <c r="F238">
        <v>45832</v>
      </c>
      <c r="G238" t="s">
        <v>8613</v>
      </c>
      <c r="H238" t="s">
        <v>2916</v>
      </c>
      <c r="I238" t="s">
        <v>18995</v>
      </c>
      <c r="J238">
        <v>0</v>
      </c>
      <c r="K238">
        <v>-66.069999999999993</v>
      </c>
      <c r="L238" t="s">
        <v>2917</v>
      </c>
      <c r="M238">
        <v>-374.97</v>
      </c>
      <c r="N238" t="s">
        <v>2918</v>
      </c>
      <c r="O238" t="s">
        <v>18996</v>
      </c>
      <c r="P238" t="s">
        <v>2923</v>
      </c>
      <c r="Q238" t="s">
        <v>2924</v>
      </c>
      <c r="R238" t="s">
        <v>3219</v>
      </c>
      <c r="S238" t="s">
        <v>2208</v>
      </c>
      <c r="T238" t="s">
        <v>2208</v>
      </c>
    </row>
    <row r="239" spans="1:20">
      <c r="A239" t="s">
        <v>702</v>
      </c>
      <c r="B239" t="s">
        <v>17897</v>
      </c>
      <c r="C239">
        <v>45838</v>
      </c>
      <c r="D239" t="s">
        <v>7263</v>
      </c>
      <c r="E239" t="s">
        <v>17898</v>
      </c>
      <c r="F239">
        <v>45838</v>
      </c>
      <c r="G239" t="s">
        <v>2208</v>
      </c>
      <c r="H239" t="s">
        <v>2916</v>
      </c>
      <c r="I239" t="s">
        <v>19240</v>
      </c>
      <c r="J239">
        <v>0</v>
      </c>
      <c r="K239">
        <v>0.05</v>
      </c>
      <c r="L239" t="s">
        <v>2917</v>
      </c>
      <c r="M239">
        <v>0</v>
      </c>
      <c r="N239" t="s">
        <v>2918</v>
      </c>
      <c r="O239" t="s">
        <v>2919</v>
      </c>
      <c r="P239" t="s">
        <v>2208</v>
      </c>
      <c r="Q239" t="s">
        <v>2916</v>
      </c>
      <c r="R239" t="s">
        <v>3220</v>
      </c>
      <c r="S239" t="s">
        <v>2208</v>
      </c>
      <c r="T239" t="s">
        <v>2208</v>
      </c>
    </row>
    <row r="240" spans="1:20">
      <c r="A240" t="s">
        <v>702</v>
      </c>
      <c r="B240" t="s">
        <v>2920</v>
      </c>
      <c r="C240">
        <v>45665</v>
      </c>
      <c r="D240" t="s">
        <v>7263</v>
      </c>
      <c r="E240" t="s">
        <v>2921</v>
      </c>
      <c r="F240">
        <v>45665</v>
      </c>
      <c r="G240" t="s">
        <v>6804</v>
      </c>
      <c r="H240" t="s">
        <v>2916</v>
      </c>
      <c r="I240" t="s">
        <v>7306</v>
      </c>
      <c r="J240">
        <v>12393.6</v>
      </c>
      <c r="K240">
        <v>2006.9</v>
      </c>
      <c r="L240" t="s">
        <v>2917</v>
      </c>
      <c r="M240">
        <v>12393.6</v>
      </c>
      <c r="N240" t="s">
        <v>2918</v>
      </c>
      <c r="O240" t="s">
        <v>3315</v>
      </c>
      <c r="P240" t="s">
        <v>3315</v>
      </c>
      <c r="Q240" t="s">
        <v>2924</v>
      </c>
      <c r="R240" t="s">
        <v>3219</v>
      </c>
      <c r="S240" t="s">
        <v>2208</v>
      </c>
      <c r="T240" t="s">
        <v>2208</v>
      </c>
    </row>
    <row r="241" spans="1:20">
      <c r="A241" t="s">
        <v>702</v>
      </c>
      <c r="B241" t="s">
        <v>2920</v>
      </c>
      <c r="C241">
        <v>45665</v>
      </c>
      <c r="D241" t="s">
        <v>7263</v>
      </c>
      <c r="E241" t="s">
        <v>2921</v>
      </c>
      <c r="F241">
        <v>45665</v>
      </c>
      <c r="G241" t="s">
        <v>6804</v>
      </c>
      <c r="H241" t="s">
        <v>2916</v>
      </c>
      <c r="I241" t="s">
        <v>7307</v>
      </c>
      <c r="J241">
        <v>12393.6</v>
      </c>
      <c r="K241">
        <v>2006.9</v>
      </c>
      <c r="L241" t="s">
        <v>2917</v>
      </c>
      <c r="M241">
        <v>12393.6</v>
      </c>
      <c r="N241" t="s">
        <v>2918</v>
      </c>
      <c r="O241" t="s">
        <v>3315</v>
      </c>
      <c r="P241" t="s">
        <v>3315</v>
      </c>
      <c r="Q241" t="s">
        <v>2924</v>
      </c>
      <c r="R241" t="s">
        <v>3219</v>
      </c>
      <c r="S241" t="s">
        <v>2208</v>
      </c>
      <c r="T241" t="s">
        <v>2208</v>
      </c>
    </row>
    <row r="242" spans="1:20">
      <c r="A242" t="s">
        <v>702</v>
      </c>
      <c r="B242" t="s">
        <v>2920</v>
      </c>
      <c r="C242">
        <v>45665</v>
      </c>
      <c r="D242" t="s">
        <v>7263</v>
      </c>
      <c r="E242" t="s">
        <v>2921</v>
      </c>
      <c r="F242">
        <v>45665</v>
      </c>
      <c r="G242" t="s">
        <v>6804</v>
      </c>
      <c r="H242" t="s">
        <v>2916</v>
      </c>
      <c r="I242" t="s">
        <v>7308</v>
      </c>
      <c r="J242">
        <v>12393.6</v>
      </c>
      <c r="K242">
        <v>2006.9</v>
      </c>
      <c r="L242" t="s">
        <v>2917</v>
      </c>
      <c r="M242">
        <v>12393.6</v>
      </c>
      <c r="N242" t="s">
        <v>2918</v>
      </c>
      <c r="O242" t="s">
        <v>3315</v>
      </c>
      <c r="P242" t="s">
        <v>3315</v>
      </c>
      <c r="Q242" t="s">
        <v>2924</v>
      </c>
      <c r="R242" t="s">
        <v>3219</v>
      </c>
      <c r="S242" t="s">
        <v>2208</v>
      </c>
      <c r="T242" t="s">
        <v>2208</v>
      </c>
    </row>
    <row r="243" spans="1:20">
      <c r="A243" t="s">
        <v>702</v>
      </c>
      <c r="B243" t="s">
        <v>2920</v>
      </c>
      <c r="C243">
        <v>45572</v>
      </c>
      <c r="D243" t="s">
        <v>7263</v>
      </c>
      <c r="E243" t="s">
        <v>2921</v>
      </c>
      <c r="F243">
        <v>45671</v>
      </c>
      <c r="G243" t="s">
        <v>6804</v>
      </c>
      <c r="H243" t="s">
        <v>2916</v>
      </c>
      <c r="I243" t="s">
        <v>7309</v>
      </c>
      <c r="J243">
        <v>0</v>
      </c>
      <c r="K243">
        <v>-185.64</v>
      </c>
      <c r="L243" t="s">
        <v>2917</v>
      </c>
      <c r="M243">
        <v>-1146.4000000000001</v>
      </c>
      <c r="N243" t="s">
        <v>2918</v>
      </c>
      <c r="O243" t="s">
        <v>7310</v>
      </c>
      <c r="P243" t="s">
        <v>3315</v>
      </c>
      <c r="Q243" t="s">
        <v>2924</v>
      </c>
      <c r="R243" t="s">
        <v>3219</v>
      </c>
      <c r="S243" t="s">
        <v>2208</v>
      </c>
      <c r="T243" t="s">
        <v>2208</v>
      </c>
    </row>
    <row r="244" spans="1:20">
      <c r="A244" t="s">
        <v>702</v>
      </c>
      <c r="B244" t="s">
        <v>2920</v>
      </c>
      <c r="C244">
        <v>45538</v>
      </c>
      <c r="D244" t="s">
        <v>7263</v>
      </c>
      <c r="E244" t="s">
        <v>2921</v>
      </c>
      <c r="F244">
        <v>45672</v>
      </c>
      <c r="G244" t="s">
        <v>6804</v>
      </c>
      <c r="H244" t="s">
        <v>2916</v>
      </c>
      <c r="I244" t="s">
        <v>7311</v>
      </c>
      <c r="J244">
        <v>0</v>
      </c>
      <c r="K244">
        <v>-185.64</v>
      </c>
      <c r="L244" t="s">
        <v>2917</v>
      </c>
      <c r="M244">
        <v>-1146.4000000000001</v>
      </c>
      <c r="N244" t="s">
        <v>2918</v>
      </c>
      <c r="O244" t="s">
        <v>7312</v>
      </c>
      <c r="P244" t="s">
        <v>3315</v>
      </c>
      <c r="Q244" t="s">
        <v>2924</v>
      </c>
      <c r="R244" t="s">
        <v>3219</v>
      </c>
      <c r="S244" t="s">
        <v>2208</v>
      </c>
      <c r="T244" t="s">
        <v>2208</v>
      </c>
    </row>
    <row r="245" spans="1:20">
      <c r="A245" t="s">
        <v>702</v>
      </c>
      <c r="B245" t="s">
        <v>2920</v>
      </c>
      <c r="C245">
        <v>45548</v>
      </c>
      <c r="D245" t="s">
        <v>7263</v>
      </c>
      <c r="E245" t="s">
        <v>2921</v>
      </c>
      <c r="F245">
        <v>45672</v>
      </c>
      <c r="G245" t="s">
        <v>6804</v>
      </c>
      <c r="H245" t="s">
        <v>2916</v>
      </c>
      <c r="I245" t="s">
        <v>7313</v>
      </c>
      <c r="J245">
        <v>0</v>
      </c>
      <c r="K245">
        <v>-185.64</v>
      </c>
      <c r="L245" t="s">
        <v>2917</v>
      </c>
      <c r="M245">
        <v>-1146.4000000000001</v>
      </c>
      <c r="N245" t="s">
        <v>2918</v>
      </c>
      <c r="O245" t="s">
        <v>7314</v>
      </c>
      <c r="P245" t="s">
        <v>3315</v>
      </c>
      <c r="Q245" t="s">
        <v>2924</v>
      </c>
      <c r="R245" t="s">
        <v>3219</v>
      </c>
      <c r="S245" t="s">
        <v>2208</v>
      </c>
      <c r="T245" t="s">
        <v>2208</v>
      </c>
    </row>
    <row r="246" spans="1:20">
      <c r="A246" t="s">
        <v>702</v>
      </c>
      <c r="B246" t="s">
        <v>2920</v>
      </c>
      <c r="C246">
        <v>45436</v>
      </c>
      <c r="D246" t="s">
        <v>7263</v>
      </c>
      <c r="E246" t="s">
        <v>2921</v>
      </c>
      <c r="F246">
        <v>45681</v>
      </c>
      <c r="G246" t="s">
        <v>6804</v>
      </c>
      <c r="H246" t="s">
        <v>2916</v>
      </c>
      <c r="I246" t="s">
        <v>7524</v>
      </c>
      <c r="J246">
        <v>12393.6</v>
      </c>
      <c r="K246">
        <v>2006.9</v>
      </c>
      <c r="L246" t="s">
        <v>2917</v>
      </c>
      <c r="M246">
        <v>12393.6</v>
      </c>
      <c r="N246" t="s">
        <v>2918</v>
      </c>
      <c r="O246" t="s">
        <v>3315</v>
      </c>
      <c r="P246" t="s">
        <v>3315</v>
      </c>
      <c r="Q246" t="s">
        <v>2924</v>
      </c>
      <c r="R246" t="s">
        <v>3219</v>
      </c>
      <c r="S246" t="s">
        <v>2208</v>
      </c>
      <c r="T246" t="s">
        <v>2208</v>
      </c>
    </row>
    <row r="247" spans="1:20">
      <c r="A247" t="s">
        <v>702</v>
      </c>
      <c r="B247" t="s">
        <v>2920</v>
      </c>
      <c r="C247">
        <v>45681</v>
      </c>
      <c r="D247" t="s">
        <v>7263</v>
      </c>
      <c r="E247" t="s">
        <v>2921</v>
      </c>
      <c r="F247">
        <v>45684</v>
      </c>
      <c r="G247" t="s">
        <v>6804</v>
      </c>
      <c r="H247" t="s">
        <v>2916</v>
      </c>
      <c r="I247" t="s">
        <v>7525</v>
      </c>
      <c r="J247">
        <v>0</v>
      </c>
      <c r="K247">
        <v>-185.64</v>
      </c>
      <c r="L247" t="s">
        <v>2917</v>
      </c>
      <c r="M247">
        <v>-1146.4000000000001</v>
      </c>
      <c r="N247" t="s">
        <v>2918</v>
      </c>
      <c r="O247" t="s">
        <v>7526</v>
      </c>
      <c r="P247" t="s">
        <v>3315</v>
      </c>
      <c r="Q247" t="s">
        <v>2924</v>
      </c>
      <c r="R247" t="s">
        <v>3219</v>
      </c>
      <c r="S247" t="s">
        <v>2208</v>
      </c>
      <c r="T247" t="s">
        <v>2208</v>
      </c>
    </row>
    <row r="248" spans="1:20">
      <c r="A248" t="s">
        <v>702</v>
      </c>
      <c r="B248" t="s">
        <v>2920</v>
      </c>
      <c r="C248">
        <v>45687</v>
      </c>
      <c r="D248" t="s">
        <v>7263</v>
      </c>
      <c r="E248" t="s">
        <v>2921</v>
      </c>
      <c r="F248">
        <v>45687</v>
      </c>
      <c r="G248" t="s">
        <v>2208</v>
      </c>
      <c r="H248" t="s">
        <v>2916</v>
      </c>
      <c r="I248" t="s">
        <v>7527</v>
      </c>
      <c r="J248">
        <v>0</v>
      </c>
      <c r="K248">
        <v>-135.91</v>
      </c>
      <c r="L248" t="s">
        <v>2917</v>
      </c>
      <c r="M248">
        <v>-839.32</v>
      </c>
      <c r="N248" t="s">
        <v>2918</v>
      </c>
      <c r="O248" t="s">
        <v>7528</v>
      </c>
      <c r="P248" t="s">
        <v>2208</v>
      </c>
      <c r="Q248" t="s">
        <v>2947</v>
      </c>
      <c r="R248" t="s">
        <v>3221</v>
      </c>
      <c r="S248" t="s">
        <v>2208</v>
      </c>
      <c r="T248" t="s">
        <v>2208</v>
      </c>
    </row>
    <row r="249" spans="1:20">
      <c r="A249" t="s">
        <v>702</v>
      </c>
      <c r="B249" t="s">
        <v>2920</v>
      </c>
      <c r="C249">
        <v>45687</v>
      </c>
      <c r="D249" t="s">
        <v>7263</v>
      </c>
      <c r="E249" t="s">
        <v>2921</v>
      </c>
      <c r="F249">
        <v>45687</v>
      </c>
      <c r="G249" t="s">
        <v>2208</v>
      </c>
      <c r="H249" t="s">
        <v>2916</v>
      </c>
      <c r="I249" t="s">
        <v>7527</v>
      </c>
      <c r="J249">
        <v>0</v>
      </c>
      <c r="K249">
        <v>-626.02</v>
      </c>
      <c r="L249" t="s">
        <v>2917</v>
      </c>
      <c r="M249">
        <v>-3865.97</v>
      </c>
      <c r="N249" t="s">
        <v>2918</v>
      </c>
      <c r="O249" t="s">
        <v>7528</v>
      </c>
      <c r="P249" t="s">
        <v>2208</v>
      </c>
      <c r="Q249" t="s">
        <v>2947</v>
      </c>
      <c r="R249" t="s">
        <v>3221</v>
      </c>
      <c r="S249" t="s">
        <v>2208</v>
      </c>
      <c r="T249" t="s">
        <v>2208</v>
      </c>
    </row>
    <row r="250" spans="1:20">
      <c r="A250" t="s">
        <v>702</v>
      </c>
      <c r="B250" t="s">
        <v>2920</v>
      </c>
      <c r="C250">
        <v>45687</v>
      </c>
      <c r="D250" t="s">
        <v>7263</v>
      </c>
      <c r="E250" t="s">
        <v>2921</v>
      </c>
      <c r="F250">
        <v>45687</v>
      </c>
      <c r="G250" t="s">
        <v>2208</v>
      </c>
      <c r="H250" t="s">
        <v>2916</v>
      </c>
      <c r="I250" t="s">
        <v>7529</v>
      </c>
      <c r="J250">
        <v>0</v>
      </c>
      <c r="K250">
        <v>-54.59</v>
      </c>
      <c r="L250" t="s">
        <v>2917</v>
      </c>
      <c r="M250">
        <v>-337.11</v>
      </c>
      <c r="N250" t="s">
        <v>2918</v>
      </c>
      <c r="O250" t="s">
        <v>7528</v>
      </c>
      <c r="P250" t="s">
        <v>2208</v>
      </c>
      <c r="Q250" t="s">
        <v>2947</v>
      </c>
      <c r="R250" t="s">
        <v>3221</v>
      </c>
      <c r="S250" t="s">
        <v>2208</v>
      </c>
      <c r="T250" t="s">
        <v>2208</v>
      </c>
    </row>
    <row r="251" spans="1:20">
      <c r="A251" t="s">
        <v>702</v>
      </c>
      <c r="B251" t="s">
        <v>2920</v>
      </c>
      <c r="C251">
        <v>45687</v>
      </c>
      <c r="D251" t="s">
        <v>7263</v>
      </c>
      <c r="E251" t="s">
        <v>2921</v>
      </c>
      <c r="F251">
        <v>45687</v>
      </c>
      <c r="G251" t="s">
        <v>2208</v>
      </c>
      <c r="H251" t="s">
        <v>2916</v>
      </c>
      <c r="I251" t="s">
        <v>7529</v>
      </c>
      <c r="J251">
        <v>0</v>
      </c>
      <c r="K251">
        <v>-251.44</v>
      </c>
      <c r="L251" t="s">
        <v>2917</v>
      </c>
      <c r="M251">
        <v>-1552.75</v>
      </c>
      <c r="N251" t="s">
        <v>2918</v>
      </c>
      <c r="O251" t="s">
        <v>7528</v>
      </c>
      <c r="P251" t="s">
        <v>2208</v>
      </c>
      <c r="Q251" t="s">
        <v>2947</v>
      </c>
      <c r="R251" t="s">
        <v>3221</v>
      </c>
      <c r="S251" t="s">
        <v>2208</v>
      </c>
      <c r="T251" t="s">
        <v>2208</v>
      </c>
    </row>
    <row r="252" spans="1:20">
      <c r="A252" t="s">
        <v>702</v>
      </c>
      <c r="B252" t="s">
        <v>2920</v>
      </c>
      <c r="C252">
        <v>45688</v>
      </c>
      <c r="D252" t="s">
        <v>7263</v>
      </c>
      <c r="E252" t="s">
        <v>2921</v>
      </c>
      <c r="F252">
        <v>45688</v>
      </c>
      <c r="G252" t="s">
        <v>2208</v>
      </c>
      <c r="H252" t="s">
        <v>2916</v>
      </c>
      <c r="I252" t="s">
        <v>7530</v>
      </c>
      <c r="J252">
        <v>0</v>
      </c>
      <c r="K252">
        <v>0.03</v>
      </c>
      <c r="L252" t="s">
        <v>2917</v>
      </c>
      <c r="M252">
        <v>0</v>
      </c>
      <c r="N252" t="s">
        <v>2918</v>
      </c>
      <c r="O252" t="s">
        <v>2919</v>
      </c>
      <c r="P252" t="s">
        <v>2208</v>
      </c>
      <c r="Q252" t="s">
        <v>2916</v>
      </c>
      <c r="R252" t="s">
        <v>3220</v>
      </c>
      <c r="S252" t="s">
        <v>2208</v>
      </c>
      <c r="T252" t="s">
        <v>2208</v>
      </c>
    </row>
    <row r="253" spans="1:20">
      <c r="A253" t="s">
        <v>702</v>
      </c>
      <c r="B253" t="s">
        <v>2920</v>
      </c>
      <c r="C253">
        <v>45688</v>
      </c>
      <c r="D253" t="s">
        <v>7263</v>
      </c>
      <c r="E253" t="s">
        <v>2921</v>
      </c>
      <c r="F253">
        <v>45688</v>
      </c>
      <c r="G253" t="s">
        <v>2208</v>
      </c>
      <c r="H253" t="s">
        <v>2916</v>
      </c>
      <c r="I253" t="s">
        <v>7531</v>
      </c>
      <c r="J253">
        <v>0</v>
      </c>
      <c r="K253">
        <v>0.03</v>
      </c>
      <c r="L253" t="s">
        <v>2917</v>
      </c>
      <c r="M253">
        <v>0</v>
      </c>
      <c r="N253" t="s">
        <v>2918</v>
      </c>
      <c r="O253" t="s">
        <v>2919</v>
      </c>
      <c r="P253" t="s">
        <v>2208</v>
      </c>
      <c r="Q253" t="s">
        <v>2916</v>
      </c>
      <c r="R253" t="s">
        <v>3220</v>
      </c>
      <c r="S253" t="s">
        <v>2208</v>
      </c>
      <c r="T253" t="s">
        <v>2208</v>
      </c>
    </row>
    <row r="254" spans="1:20">
      <c r="A254" t="s">
        <v>702</v>
      </c>
      <c r="B254" t="s">
        <v>7740</v>
      </c>
      <c r="C254">
        <v>45436</v>
      </c>
      <c r="D254" t="s">
        <v>7263</v>
      </c>
      <c r="E254" t="s">
        <v>2925</v>
      </c>
      <c r="F254">
        <v>45712</v>
      </c>
      <c r="G254" t="s">
        <v>6804</v>
      </c>
      <c r="H254" t="s">
        <v>2916</v>
      </c>
      <c r="I254" t="s">
        <v>8894</v>
      </c>
      <c r="J254">
        <v>12393.4</v>
      </c>
      <c r="K254">
        <v>2131.0500000000002</v>
      </c>
      <c r="L254" t="s">
        <v>2917</v>
      </c>
      <c r="M254">
        <v>12393.4</v>
      </c>
      <c r="N254" t="s">
        <v>2918</v>
      </c>
      <c r="O254" t="s">
        <v>3315</v>
      </c>
      <c r="P254" t="s">
        <v>3315</v>
      </c>
      <c r="Q254" t="s">
        <v>2924</v>
      </c>
      <c r="R254" t="s">
        <v>3219</v>
      </c>
      <c r="S254" t="s">
        <v>2208</v>
      </c>
      <c r="T254" t="s">
        <v>2208</v>
      </c>
    </row>
    <row r="255" spans="1:20">
      <c r="A255" t="s">
        <v>702</v>
      </c>
      <c r="B255" t="s">
        <v>7740</v>
      </c>
      <c r="C255">
        <v>45712</v>
      </c>
      <c r="D255" t="s">
        <v>7263</v>
      </c>
      <c r="E255" t="s">
        <v>2925</v>
      </c>
      <c r="F255">
        <v>45714</v>
      </c>
      <c r="G255" t="s">
        <v>6804</v>
      </c>
      <c r="H255" t="s">
        <v>2916</v>
      </c>
      <c r="I255" t="s">
        <v>8991</v>
      </c>
      <c r="J255">
        <v>0</v>
      </c>
      <c r="K255">
        <v>-197.13</v>
      </c>
      <c r="L255" t="s">
        <v>2917</v>
      </c>
      <c r="M255">
        <v>-1146.3900000000001</v>
      </c>
      <c r="N255" t="s">
        <v>2918</v>
      </c>
      <c r="O255" t="s">
        <v>8992</v>
      </c>
      <c r="P255" t="s">
        <v>3315</v>
      </c>
      <c r="Q255" t="s">
        <v>2924</v>
      </c>
      <c r="R255" t="s">
        <v>3219</v>
      </c>
      <c r="S255" t="s">
        <v>2208</v>
      </c>
      <c r="T255" t="s">
        <v>2208</v>
      </c>
    </row>
    <row r="256" spans="1:20">
      <c r="A256" t="s">
        <v>702</v>
      </c>
      <c r="B256" t="s">
        <v>11331</v>
      </c>
      <c r="C256">
        <v>45436</v>
      </c>
      <c r="D256" t="s">
        <v>7263</v>
      </c>
      <c r="E256" t="s">
        <v>11332</v>
      </c>
      <c r="F256">
        <v>45769</v>
      </c>
      <c r="G256" t="s">
        <v>6804</v>
      </c>
      <c r="H256" t="s">
        <v>2916</v>
      </c>
      <c r="I256" t="s">
        <v>15875</v>
      </c>
      <c r="J256">
        <v>12393.6</v>
      </c>
      <c r="K256">
        <v>2152.15</v>
      </c>
      <c r="L256" t="s">
        <v>2917</v>
      </c>
      <c r="M256">
        <v>12393.6</v>
      </c>
      <c r="N256" t="s">
        <v>2918</v>
      </c>
      <c r="O256" t="s">
        <v>3315</v>
      </c>
      <c r="P256" t="s">
        <v>3315</v>
      </c>
      <c r="Q256" t="s">
        <v>2924</v>
      </c>
      <c r="R256" t="s">
        <v>3219</v>
      </c>
      <c r="S256" t="s">
        <v>2208</v>
      </c>
      <c r="T256" t="s">
        <v>2208</v>
      </c>
    </row>
    <row r="257" spans="1:20">
      <c r="A257" t="s">
        <v>702</v>
      </c>
      <c r="B257" t="s">
        <v>11331</v>
      </c>
      <c r="C257">
        <v>45436</v>
      </c>
      <c r="D257" t="s">
        <v>7263</v>
      </c>
      <c r="E257" t="s">
        <v>11332</v>
      </c>
      <c r="F257">
        <v>45769</v>
      </c>
      <c r="G257" t="s">
        <v>6804</v>
      </c>
      <c r="H257" t="s">
        <v>2916</v>
      </c>
      <c r="I257" t="s">
        <v>15876</v>
      </c>
      <c r="J257">
        <v>12562.08</v>
      </c>
      <c r="K257">
        <v>2181.41</v>
      </c>
      <c r="L257" t="s">
        <v>2917</v>
      </c>
      <c r="M257">
        <v>12562.08</v>
      </c>
      <c r="N257" t="s">
        <v>2918</v>
      </c>
      <c r="O257" t="s">
        <v>3315</v>
      </c>
      <c r="P257" t="s">
        <v>3315</v>
      </c>
      <c r="Q257" t="s">
        <v>2924</v>
      </c>
      <c r="R257" t="s">
        <v>3219</v>
      </c>
      <c r="S257" t="s">
        <v>2208</v>
      </c>
      <c r="T257" t="s">
        <v>2208</v>
      </c>
    </row>
    <row r="258" spans="1:20">
      <c r="A258" t="s">
        <v>702</v>
      </c>
      <c r="B258" t="s">
        <v>11331</v>
      </c>
      <c r="C258">
        <v>45769</v>
      </c>
      <c r="D258" t="s">
        <v>7263</v>
      </c>
      <c r="E258" t="s">
        <v>11332</v>
      </c>
      <c r="F258">
        <v>45771</v>
      </c>
      <c r="G258" t="s">
        <v>6804</v>
      </c>
      <c r="H258" t="s">
        <v>2916</v>
      </c>
      <c r="I258" t="s">
        <v>15953</v>
      </c>
      <c r="J258">
        <v>0</v>
      </c>
      <c r="K258">
        <v>-199.07</v>
      </c>
      <c r="L258" t="s">
        <v>2917</v>
      </c>
      <c r="M258">
        <v>-1146.4000000000001</v>
      </c>
      <c r="N258" t="s">
        <v>2918</v>
      </c>
      <c r="O258" t="s">
        <v>15954</v>
      </c>
      <c r="P258" t="s">
        <v>3315</v>
      </c>
      <c r="Q258" t="s">
        <v>2924</v>
      </c>
      <c r="R258" t="s">
        <v>3219</v>
      </c>
      <c r="S258" t="s">
        <v>2208</v>
      </c>
      <c r="T258" t="s">
        <v>2208</v>
      </c>
    </row>
    <row r="259" spans="1:20">
      <c r="A259" t="s">
        <v>702</v>
      </c>
      <c r="B259" t="s">
        <v>11331</v>
      </c>
      <c r="C259">
        <v>45769</v>
      </c>
      <c r="D259" t="s">
        <v>7263</v>
      </c>
      <c r="E259" t="s">
        <v>11332</v>
      </c>
      <c r="F259">
        <v>45772</v>
      </c>
      <c r="G259" t="s">
        <v>6804</v>
      </c>
      <c r="H259" t="s">
        <v>2916</v>
      </c>
      <c r="I259" t="s">
        <v>16172</v>
      </c>
      <c r="J259">
        <v>0</v>
      </c>
      <c r="K259">
        <v>-201.78</v>
      </c>
      <c r="L259" t="s">
        <v>2917</v>
      </c>
      <c r="M259">
        <v>-1161.99</v>
      </c>
      <c r="N259" t="s">
        <v>2918</v>
      </c>
      <c r="O259" t="s">
        <v>16173</v>
      </c>
      <c r="P259" t="s">
        <v>3315</v>
      </c>
      <c r="Q259" t="s">
        <v>2924</v>
      </c>
      <c r="R259" t="s">
        <v>3219</v>
      </c>
      <c r="S259" t="s">
        <v>2208</v>
      </c>
      <c r="T259" t="s">
        <v>2208</v>
      </c>
    </row>
    <row r="260" spans="1:20">
      <c r="A260" t="s">
        <v>702</v>
      </c>
      <c r="B260" t="s">
        <v>11331</v>
      </c>
      <c r="C260">
        <v>45777</v>
      </c>
      <c r="D260" t="s">
        <v>7263</v>
      </c>
      <c r="E260" t="s">
        <v>11332</v>
      </c>
      <c r="F260">
        <v>45777</v>
      </c>
      <c r="G260" t="s">
        <v>2208</v>
      </c>
      <c r="H260" t="s">
        <v>2916</v>
      </c>
      <c r="I260" t="s">
        <v>16355</v>
      </c>
      <c r="J260">
        <v>0</v>
      </c>
      <c r="K260">
        <v>-0.06</v>
      </c>
      <c r="L260" t="s">
        <v>2917</v>
      </c>
      <c r="M260">
        <v>0</v>
      </c>
      <c r="N260" t="s">
        <v>2918</v>
      </c>
      <c r="O260" t="s">
        <v>2919</v>
      </c>
      <c r="P260" t="s">
        <v>2208</v>
      </c>
      <c r="Q260" t="s">
        <v>2916</v>
      </c>
      <c r="R260" t="s">
        <v>3220</v>
      </c>
      <c r="S260" t="s">
        <v>2208</v>
      </c>
      <c r="T260" t="s">
        <v>2208</v>
      </c>
    </row>
    <row r="261" spans="1:20">
      <c r="A261" t="s">
        <v>702</v>
      </c>
      <c r="B261" t="s">
        <v>16360</v>
      </c>
      <c r="C261">
        <v>45436</v>
      </c>
      <c r="D261" t="s">
        <v>7263</v>
      </c>
      <c r="E261" t="s">
        <v>16361</v>
      </c>
      <c r="F261">
        <v>45798</v>
      </c>
      <c r="G261" t="s">
        <v>6804</v>
      </c>
      <c r="H261" t="s">
        <v>2916</v>
      </c>
      <c r="I261" t="s">
        <v>17299</v>
      </c>
      <c r="J261">
        <v>12393.6</v>
      </c>
      <c r="K261">
        <v>2199.86</v>
      </c>
      <c r="L261" t="s">
        <v>2917</v>
      </c>
      <c r="M261">
        <v>12393.6</v>
      </c>
      <c r="N261" t="s">
        <v>2918</v>
      </c>
      <c r="O261" t="s">
        <v>3315</v>
      </c>
      <c r="P261" t="s">
        <v>3315</v>
      </c>
      <c r="Q261" t="s">
        <v>2924</v>
      </c>
      <c r="R261" t="s">
        <v>3219</v>
      </c>
      <c r="S261" t="s">
        <v>2208</v>
      </c>
      <c r="T261" t="s">
        <v>2208</v>
      </c>
    </row>
    <row r="262" spans="1:20">
      <c r="A262" t="s">
        <v>702</v>
      </c>
      <c r="B262" t="s">
        <v>16360</v>
      </c>
      <c r="C262">
        <v>45799</v>
      </c>
      <c r="D262" t="s">
        <v>7263</v>
      </c>
      <c r="E262" t="s">
        <v>16361</v>
      </c>
      <c r="F262">
        <v>45804</v>
      </c>
      <c r="G262" t="s">
        <v>6804</v>
      </c>
      <c r="H262" t="s">
        <v>2916</v>
      </c>
      <c r="I262" t="s">
        <v>17641</v>
      </c>
      <c r="J262">
        <v>0</v>
      </c>
      <c r="K262">
        <v>-203.48</v>
      </c>
      <c r="L262" t="s">
        <v>2917</v>
      </c>
      <c r="M262">
        <v>-1146.4000000000001</v>
      </c>
      <c r="N262" t="s">
        <v>2918</v>
      </c>
      <c r="O262" t="s">
        <v>17642</v>
      </c>
      <c r="P262" t="s">
        <v>3315</v>
      </c>
      <c r="Q262" t="s">
        <v>2924</v>
      </c>
      <c r="R262" t="s">
        <v>3219</v>
      </c>
      <c r="S262" t="s">
        <v>2208</v>
      </c>
      <c r="T262" t="s">
        <v>2208</v>
      </c>
    </row>
    <row r="263" spans="1:20">
      <c r="A263" t="s">
        <v>702</v>
      </c>
      <c r="B263" t="s">
        <v>16360</v>
      </c>
      <c r="C263">
        <v>45808</v>
      </c>
      <c r="D263" t="s">
        <v>7263</v>
      </c>
      <c r="E263" t="s">
        <v>16361</v>
      </c>
      <c r="F263">
        <v>45808</v>
      </c>
      <c r="G263" t="s">
        <v>2208</v>
      </c>
      <c r="H263" t="s">
        <v>2916</v>
      </c>
      <c r="I263" t="s">
        <v>17841</v>
      </c>
      <c r="J263">
        <v>0</v>
      </c>
      <c r="K263">
        <v>-0.04</v>
      </c>
      <c r="L263" t="s">
        <v>2917</v>
      </c>
      <c r="M263">
        <v>0</v>
      </c>
      <c r="N263" t="s">
        <v>2918</v>
      </c>
      <c r="O263" t="s">
        <v>2919</v>
      </c>
      <c r="P263" t="s">
        <v>2208</v>
      </c>
      <c r="Q263" t="s">
        <v>2916</v>
      </c>
      <c r="R263" t="s">
        <v>3220</v>
      </c>
      <c r="S263" t="s">
        <v>2208</v>
      </c>
      <c r="T263" t="s">
        <v>2208</v>
      </c>
    </row>
    <row r="264" spans="1:20">
      <c r="A264" t="s">
        <v>702</v>
      </c>
      <c r="B264" t="s">
        <v>17897</v>
      </c>
      <c r="C264">
        <v>45436</v>
      </c>
      <c r="D264" t="s">
        <v>7263</v>
      </c>
      <c r="E264" t="s">
        <v>17898</v>
      </c>
      <c r="F264">
        <v>45826</v>
      </c>
      <c r="G264" t="s">
        <v>6804</v>
      </c>
      <c r="H264" t="s">
        <v>2916</v>
      </c>
      <c r="I264" t="s">
        <v>18541</v>
      </c>
      <c r="J264">
        <v>5864.61</v>
      </c>
      <c r="K264">
        <v>1033.3399999999999</v>
      </c>
      <c r="L264" t="s">
        <v>2917</v>
      </c>
      <c r="M264">
        <v>5864.61</v>
      </c>
      <c r="N264" t="s">
        <v>2918</v>
      </c>
      <c r="O264" t="s">
        <v>3315</v>
      </c>
      <c r="P264" t="s">
        <v>3315</v>
      </c>
      <c r="Q264" t="s">
        <v>2924</v>
      </c>
      <c r="R264" t="s">
        <v>3219</v>
      </c>
      <c r="S264" t="s">
        <v>2208</v>
      </c>
      <c r="T264" t="s">
        <v>2208</v>
      </c>
    </row>
    <row r="265" spans="1:20">
      <c r="A265" t="s">
        <v>702</v>
      </c>
      <c r="B265" t="s">
        <v>17897</v>
      </c>
      <c r="C265">
        <v>45831</v>
      </c>
      <c r="D265" t="s">
        <v>7263</v>
      </c>
      <c r="E265" t="s">
        <v>17898</v>
      </c>
      <c r="F265">
        <v>45833</v>
      </c>
      <c r="G265" t="s">
        <v>6804</v>
      </c>
      <c r="H265" t="s">
        <v>2916</v>
      </c>
      <c r="I265" t="s">
        <v>19077</v>
      </c>
      <c r="J265">
        <v>0</v>
      </c>
      <c r="K265">
        <v>-95.58</v>
      </c>
      <c r="L265" t="s">
        <v>2917</v>
      </c>
      <c r="M265">
        <v>-542.48</v>
      </c>
      <c r="N265" t="s">
        <v>2918</v>
      </c>
      <c r="O265" t="s">
        <v>19078</v>
      </c>
      <c r="P265" t="s">
        <v>3315</v>
      </c>
      <c r="Q265" t="s">
        <v>2924</v>
      </c>
      <c r="R265" t="s">
        <v>3219</v>
      </c>
      <c r="S265" t="s">
        <v>2208</v>
      </c>
      <c r="T265" t="s">
        <v>2208</v>
      </c>
    </row>
    <row r="266" spans="1:20">
      <c r="A266" t="s">
        <v>702</v>
      </c>
      <c r="B266" t="s">
        <v>17897</v>
      </c>
      <c r="C266">
        <v>45838</v>
      </c>
      <c r="D266" t="s">
        <v>7263</v>
      </c>
      <c r="E266" t="s">
        <v>17898</v>
      </c>
      <c r="F266">
        <v>45838</v>
      </c>
      <c r="G266" t="s">
        <v>2208</v>
      </c>
      <c r="H266" t="s">
        <v>2916</v>
      </c>
      <c r="I266" t="s">
        <v>19241</v>
      </c>
      <c r="J266">
        <v>0</v>
      </c>
      <c r="K266">
        <v>-0.02</v>
      </c>
      <c r="L266" t="s">
        <v>2917</v>
      </c>
      <c r="M266">
        <v>0</v>
      </c>
      <c r="N266" t="s">
        <v>2918</v>
      </c>
      <c r="O266" t="s">
        <v>2919</v>
      </c>
      <c r="P266" t="s">
        <v>2208</v>
      </c>
      <c r="Q266" t="s">
        <v>2916</v>
      </c>
      <c r="R266" t="s">
        <v>3220</v>
      </c>
      <c r="S266" t="s">
        <v>2208</v>
      </c>
      <c r="T266" t="s">
        <v>2208</v>
      </c>
    </row>
    <row r="267" spans="1:20">
      <c r="A267" t="s">
        <v>755</v>
      </c>
      <c r="B267" t="s">
        <v>2920</v>
      </c>
      <c r="C267">
        <v>44572</v>
      </c>
      <c r="D267" t="s">
        <v>7263</v>
      </c>
      <c r="E267" t="s">
        <v>2921</v>
      </c>
      <c r="F267">
        <v>45665</v>
      </c>
      <c r="G267" t="s">
        <v>7315</v>
      </c>
      <c r="H267" t="s">
        <v>2916</v>
      </c>
      <c r="I267" t="s">
        <v>7316</v>
      </c>
      <c r="J267">
        <v>3020</v>
      </c>
      <c r="K267">
        <v>489.03</v>
      </c>
      <c r="L267" t="s">
        <v>2917</v>
      </c>
      <c r="M267">
        <v>3020</v>
      </c>
      <c r="N267" t="s">
        <v>2918</v>
      </c>
      <c r="O267" t="s">
        <v>2939</v>
      </c>
      <c r="P267" t="s">
        <v>2939</v>
      </c>
      <c r="Q267" t="s">
        <v>2924</v>
      </c>
      <c r="R267" t="s">
        <v>3219</v>
      </c>
      <c r="S267" t="s">
        <v>2208</v>
      </c>
      <c r="T267" t="s">
        <v>2208</v>
      </c>
    </row>
    <row r="268" spans="1:20">
      <c r="A268" t="s">
        <v>755</v>
      </c>
      <c r="B268" t="s">
        <v>9126</v>
      </c>
      <c r="C268">
        <v>45713</v>
      </c>
      <c r="D268" t="s">
        <v>7263</v>
      </c>
      <c r="E268" t="s">
        <v>9127</v>
      </c>
      <c r="F268">
        <v>45719</v>
      </c>
      <c r="G268" t="s">
        <v>9128</v>
      </c>
      <c r="H268" t="s">
        <v>2916</v>
      </c>
      <c r="I268" t="s">
        <v>9129</v>
      </c>
      <c r="J268">
        <v>2</v>
      </c>
      <c r="K268">
        <v>1343.27</v>
      </c>
      <c r="L268" t="s">
        <v>2917</v>
      </c>
      <c r="M268">
        <v>7837.52</v>
      </c>
      <c r="N268" t="s">
        <v>2918</v>
      </c>
      <c r="O268" t="s">
        <v>9130</v>
      </c>
      <c r="P268" t="s">
        <v>9131</v>
      </c>
      <c r="Q268" t="s">
        <v>2924</v>
      </c>
      <c r="R268" t="s">
        <v>3219</v>
      </c>
      <c r="S268" t="s">
        <v>9132</v>
      </c>
      <c r="T268" t="s">
        <v>9133</v>
      </c>
    </row>
    <row r="269" spans="1:20">
      <c r="A269" t="s">
        <v>755</v>
      </c>
      <c r="B269" t="s">
        <v>9126</v>
      </c>
      <c r="C269">
        <v>45713</v>
      </c>
      <c r="D269" t="s">
        <v>7263</v>
      </c>
      <c r="E269" t="s">
        <v>9127</v>
      </c>
      <c r="F269">
        <v>45719</v>
      </c>
      <c r="G269" t="s">
        <v>9128</v>
      </c>
      <c r="H269" t="s">
        <v>2916</v>
      </c>
      <c r="I269" t="s">
        <v>9134</v>
      </c>
      <c r="J269">
        <v>0</v>
      </c>
      <c r="K269">
        <v>-113.32</v>
      </c>
      <c r="L269" t="s">
        <v>2917</v>
      </c>
      <c r="M269">
        <v>-661.17</v>
      </c>
      <c r="N269" t="s">
        <v>2918</v>
      </c>
      <c r="O269" t="s">
        <v>9135</v>
      </c>
      <c r="P269" t="s">
        <v>9131</v>
      </c>
      <c r="Q269" t="s">
        <v>2924</v>
      </c>
      <c r="R269" t="s">
        <v>3219</v>
      </c>
      <c r="S269" t="s">
        <v>9132</v>
      </c>
      <c r="T269" t="s">
        <v>9133</v>
      </c>
    </row>
    <row r="270" spans="1:20">
      <c r="A270" t="s">
        <v>755</v>
      </c>
      <c r="B270" t="s">
        <v>9126</v>
      </c>
      <c r="C270">
        <v>45713</v>
      </c>
      <c r="D270" t="s">
        <v>7263</v>
      </c>
      <c r="E270" t="s">
        <v>9127</v>
      </c>
      <c r="F270">
        <v>45719</v>
      </c>
      <c r="G270" t="s">
        <v>9128</v>
      </c>
      <c r="H270" t="s">
        <v>2916</v>
      </c>
      <c r="I270" t="s">
        <v>10961</v>
      </c>
      <c r="J270">
        <v>0</v>
      </c>
      <c r="K270">
        <v>113.32</v>
      </c>
      <c r="L270" t="s">
        <v>2917</v>
      </c>
      <c r="M270">
        <v>661.17</v>
      </c>
      <c r="N270" t="s">
        <v>2918</v>
      </c>
      <c r="O270" t="s">
        <v>10962</v>
      </c>
      <c r="P270" t="s">
        <v>9131</v>
      </c>
      <c r="Q270" t="s">
        <v>2924</v>
      </c>
      <c r="R270" t="s">
        <v>3219</v>
      </c>
      <c r="S270" t="s">
        <v>9132</v>
      </c>
      <c r="T270" t="s">
        <v>9133</v>
      </c>
    </row>
    <row r="271" spans="1:20">
      <c r="A271" t="s">
        <v>755</v>
      </c>
      <c r="B271" t="s">
        <v>9126</v>
      </c>
      <c r="C271">
        <v>45713</v>
      </c>
      <c r="D271" t="s">
        <v>7263</v>
      </c>
      <c r="E271" t="s">
        <v>9127</v>
      </c>
      <c r="F271">
        <v>45736</v>
      </c>
      <c r="G271" t="s">
        <v>9128</v>
      </c>
      <c r="H271" t="s">
        <v>2916</v>
      </c>
      <c r="I271" t="s">
        <v>10963</v>
      </c>
      <c r="J271">
        <v>0</v>
      </c>
      <c r="K271">
        <v>-231.53</v>
      </c>
      <c r="L271" t="s">
        <v>2917</v>
      </c>
      <c r="M271">
        <v>-1350.89</v>
      </c>
      <c r="N271" t="s">
        <v>2918</v>
      </c>
      <c r="O271" t="s">
        <v>10962</v>
      </c>
      <c r="P271" t="s">
        <v>9131</v>
      </c>
      <c r="Q271" t="s">
        <v>2924</v>
      </c>
      <c r="R271" t="s">
        <v>3219</v>
      </c>
      <c r="S271" t="s">
        <v>9132</v>
      </c>
      <c r="T271" t="s">
        <v>9133</v>
      </c>
    </row>
    <row r="272" spans="1:20">
      <c r="A272" t="s">
        <v>755</v>
      </c>
      <c r="B272" t="s">
        <v>9126</v>
      </c>
      <c r="C272">
        <v>45747</v>
      </c>
      <c r="D272" t="s">
        <v>7263</v>
      </c>
      <c r="E272" t="s">
        <v>9127</v>
      </c>
      <c r="F272">
        <v>45747</v>
      </c>
      <c r="G272" t="s">
        <v>2208</v>
      </c>
      <c r="H272" t="s">
        <v>2916</v>
      </c>
      <c r="I272" t="s">
        <v>11330</v>
      </c>
      <c r="J272">
        <v>0</v>
      </c>
      <c r="K272">
        <v>7.0000000000000007E-2</v>
      </c>
      <c r="L272" t="s">
        <v>2917</v>
      </c>
      <c r="M272">
        <v>0</v>
      </c>
      <c r="N272" t="s">
        <v>2918</v>
      </c>
      <c r="O272" t="s">
        <v>2919</v>
      </c>
      <c r="P272" t="s">
        <v>2208</v>
      </c>
      <c r="Q272" t="s">
        <v>2916</v>
      </c>
      <c r="R272" t="s">
        <v>3220</v>
      </c>
      <c r="S272" t="s">
        <v>2208</v>
      </c>
      <c r="T272" t="s">
        <v>2208</v>
      </c>
    </row>
    <row r="273" spans="1:20">
      <c r="A273" t="s">
        <v>755</v>
      </c>
      <c r="B273" t="s">
        <v>11331</v>
      </c>
      <c r="C273">
        <v>45734</v>
      </c>
      <c r="D273" t="s">
        <v>7263</v>
      </c>
      <c r="E273" t="s">
        <v>11332</v>
      </c>
      <c r="F273">
        <v>45770</v>
      </c>
      <c r="G273" t="s">
        <v>15877</v>
      </c>
      <c r="H273" t="s">
        <v>2916</v>
      </c>
      <c r="I273" t="s">
        <v>15878</v>
      </c>
      <c r="J273">
        <v>34829.279999999999</v>
      </c>
      <c r="K273">
        <v>6048.1</v>
      </c>
      <c r="L273" t="s">
        <v>2917</v>
      </c>
      <c r="M273">
        <v>34829.279999999999</v>
      </c>
      <c r="N273" t="s">
        <v>2918</v>
      </c>
      <c r="O273" t="s">
        <v>2923</v>
      </c>
      <c r="P273" t="s">
        <v>2923</v>
      </c>
      <c r="Q273" t="s">
        <v>2924</v>
      </c>
      <c r="R273" t="s">
        <v>3219</v>
      </c>
      <c r="S273" t="s">
        <v>2208</v>
      </c>
      <c r="T273" t="s">
        <v>2208</v>
      </c>
    </row>
    <row r="274" spans="1:20">
      <c r="A274" t="s">
        <v>755</v>
      </c>
      <c r="B274" t="s">
        <v>11331</v>
      </c>
      <c r="C274">
        <v>45770</v>
      </c>
      <c r="D274" t="s">
        <v>7263</v>
      </c>
      <c r="E274" t="s">
        <v>11332</v>
      </c>
      <c r="F274">
        <v>45775</v>
      </c>
      <c r="G274" t="s">
        <v>15877</v>
      </c>
      <c r="H274" t="s">
        <v>2916</v>
      </c>
      <c r="I274" t="s">
        <v>16174</v>
      </c>
      <c r="J274">
        <v>0</v>
      </c>
      <c r="K274">
        <v>-559.45000000000005</v>
      </c>
      <c r="L274" t="s">
        <v>2917</v>
      </c>
      <c r="M274">
        <v>-3221.71</v>
      </c>
      <c r="N274" t="s">
        <v>2918</v>
      </c>
      <c r="O274" t="s">
        <v>16175</v>
      </c>
      <c r="P274" t="s">
        <v>2923</v>
      </c>
      <c r="Q274" t="s">
        <v>2924</v>
      </c>
      <c r="R274" t="s">
        <v>3219</v>
      </c>
      <c r="S274" t="s">
        <v>2208</v>
      </c>
      <c r="T274" t="s">
        <v>2208</v>
      </c>
    </row>
    <row r="275" spans="1:20">
      <c r="A275" t="s">
        <v>755</v>
      </c>
      <c r="B275" t="s">
        <v>11331</v>
      </c>
      <c r="C275">
        <v>45777</v>
      </c>
      <c r="D275" t="s">
        <v>7263</v>
      </c>
      <c r="E275" t="s">
        <v>11332</v>
      </c>
      <c r="F275">
        <v>45777</v>
      </c>
      <c r="G275" t="s">
        <v>2208</v>
      </c>
      <c r="H275" t="s">
        <v>2916</v>
      </c>
      <c r="I275" t="s">
        <v>16356</v>
      </c>
      <c r="J275">
        <v>0</v>
      </c>
      <c r="K275">
        <v>0.08</v>
      </c>
      <c r="L275" t="s">
        <v>2917</v>
      </c>
      <c r="M275">
        <v>0</v>
      </c>
      <c r="N275" t="s">
        <v>2918</v>
      </c>
      <c r="O275" t="s">
        <v>2919</v>
      </c>
      <c r="P275" t="s">
        <v>2208</v>
      </c>
      <c r="Q275" t="s">
        <v>2916</v>
      </c>
      <c r="R275" t="s">
        <v>3220</v>
      </c>
      <c r="S275" t="s">
        <v>2208</v>
      </c>
      <c r="T275" t="s">
        <v>2208</v>
      </c>
    </row>
    <row r="276" spans="1:20">
      <c r="A276" t="s">
        <v>753</v>
      </c>
      <c r="B276" t="s">
        <v>2920</v>
      </c>
      <c r="C276">
        <v>45233</v>
      </c>
      <c r="D276" t="s">
        <v>7263</v>
      </c>
      <c r="E276" t="s">
        <v>2921</v>
      </c>
      <c r="F276">
        <v>45680</v>
      </c>
      <c r="G276" t="s">
        <v>2943</v>
      </c>
      <c r="H276" t="s">
        <v>2916</v>
      </c>
      <c r="I276" t="s">
        <v>7532</v>
      </c>
      <c r="J276">
        <v>9000</v>
      </c>
      <c r="K276">
        <v>1457.37</v>
      </c>
      <c r="L276" t="s">
        <v>2917</v>
      </c>
      <c r="M276">
        <v>9000</v>
      </c>
      <c r="N276" t="s">
        <v>2918</v>
      </c>
      <c r="O276" t="s">
        <v>2940</v>
      </c>
      <c r="P276" t="s">
        <v>2940</v>
      </c>
      <c r="Q276" t="s">
        <v>2924</v>
      </c>
      <c r="R276" t="s">
        <v>3219</v>
      </c>
      <c r="S276" t="s">
        <v>2208</v>
      </c>
      <c r="T276" t="s">
        <v>2208</v>
      </c>
    </row>
    <row r="277" spans="1:20">
      <c r="A277" t="s">
        <v>753</v>
      </c>
      <c r="B277" t="s">
        <v>2920</v>
      </c>
      <c r="C277">
        <v>45681</v>
      </c>
      <c r="D277" t="s">
        <v>7263</v>
      </c>
      <c r="E277" t="s">
        <v>2921</v>
      </c>
      <c r="F277">
        <v>45686</v>
      </c>
      <c r="G277" t="s">
        <v>2943</v>
      </c>
      <c r="H277" t="s">
        <v>2916</v>
      </c>
      <c r="I277" t="s">
        <v>7533</v>
      </c>
      <c r="J277">
        <v>0</v>
      </c>
      <c r="K277">
        <v>-134.81</v>
      </c>
      <c r="L277" t="s">
        <v>2917</v>
      </c>
      <c r="M277">
        <v>-832.5</v>
      </c>
      <c r="N277" t="s">
        <v>2918</v>
      </c>
      <c r="O277" t="s">
        <v>7534</v>
      </c>
      <c r="P277" t="s">
        <v>2940</v>
      </c>
      <c r="Q277" t="s">
        <v>2924</v>
      </c>
      <c r="R277" t="s">
        <v>3219</v>
      </c>
      <c r="S277" t="s">
        <v>2208</v>
      </c>
      <c r="T277" t="s">
        <v>2208</v>
      </c>
    </row>
    <row r="278" spans="1:20">
      <c r="A278" t="s">
        <v>753</v>
      </c>
      <c r="B278" t="s">
        <v>2920</v>
      </c>
      <c r="C278">
        <v>45688</v>
      </c>
      <c r="D278" t="s">
        <v>7263</v>
      </c>
      <c r="E278" t="s">
        <v>2921</v>
      </c>
      <c r="F278">
        <v>45688</v>
      </c>
      <c r="G278" t="s">
        <v>2208</v>
      </c>
      <c r="H278" t="s">
        <v>2916</v>
      </c>
      <c r="I278" t="s">
        <v>7535</v>
      </c>
      <c r="J278">
        <v>0</v>
      </c>
      <c r="K278">
        <v>0.08</v>
      </c>
      <c r="L278" t="s">
        <v>2917</v>
      </c>
      <c r="M278">
        <v>0</v>
      </c>
      <c r="N278" t="s">
        <v>2918</v>
      </c>
      <c r="O278" t="s">
        <v>2919</v>
      </c>
      <c r="P278" t="s">
        <v>2208</v>
      </c>
      <c r="Q278" t="s">
        <v>2916</v>
      </c>
      <c r="R278" t="s">
        <v>3220</v>
      </c>
      <c r="S278" t="s">
        <v>2208</v>
      </c>
      <c r="T278" t="s">
        <v>2208</v>
      </c>
    </row>
    <row r="279" spans="1:20">
      <c r="A279" t="s">
        <v>807</v>
      </c>
      <c r="B279" t="s">
        <v>16360</v>
      </c>
      <c r="C279">
        <v>45777</v>
      </c>
      <c r="D279" t="s">
        <v>7263</v>
      </c>
      <c r="E279" t="s">
        <v>16361</v>
      </c>
      <c r="F279">
        <v>45798</v>
      </c>
      <c r="G279" t="s">
        <v>2208</v>
      </c>
      <c r="H279" t="s">
        <v>2916</v>
      </c>
      <c r="I279" t="s">
        <v>17728</v>
      </c>
      <c r="J279">
        <v>0</v>
      </c>
      <c r="K279">
        <v>102.22</v>
      </c>
      <c r="L279" t="s">
        <v>2917</v>
      </c>
      <c r="M279">
        <v>575.88</v>
      </c>
      <c r="N279" t="s">
        <v>2918</v>
      </c>
      <c r="O279" t="s">
        <v>17729</v>
      </c>
      <c r="P279" t="s">
        <v>2208</v>
      </c>
      <c r="Q279" t="s">
        <v>11084</v>
      </c>
      <c r="R279" t="s">
        <v>11085</v>
      </c>
      <c r="S279" t="s">
        <v>2208</v>
      </c>
      <c r="T279" t="s">
        <v>2208</v>
      </c>
    </row>
    <row r="280" spans="1:20">
      <c r="A280" t="s">
        <v>807</v>
      </c>
      <c r="B280" t="s">
        <v>16360</v>
      </c>
      <c r="C280">
        <v>45777</v>
      </c>
      <c r="D280" t="s">
        <v>7263</v>
      </c>
      <c r="E280" t="s">
        <v>16361</v>
      </c>
      <c r="F280">
        <v>45798</v>
      </c>
      <c r="G280" t="s">
        <v>2208</v>
      </c>
      <c r="H280" t="s">
        <v>2916</v>
      </c>
      <c r="I280" t="s">
        <v>17728</v>
      </c>
      <c r="J280">
        <v>0</v>
      </c>
      <c r="K280">
        <v>3.07</v>
      </c>
      <c r="L280" t="s">
        <v>2917</v>
      </c>
      <c r="M280">
        <v>17.28</v>
      </c>
      <c r="N280" t="s">
        <v>2918</v>
      </c>
      <c r="O280" t="s">
        <v>17729</v>
      </c>
      <c r="P280" t="s">
        <v>2208</v>
      </c>
      <c r="Q280" t="s">
        <v>11084</v>
      </c>
      <c r="R280" t="s">
        <v>11085</v>
      </c>
      <c r="S280" t="s">
        <v>2208</v>
      </c>
      <c r="T280" t="s">
        <v>2208</v>
      </c>
    </row>
    <row r="281" spans="1:20">
      <c r="A281" t="s">
        <v>807</v>
      </c>
      <c r="B281" t="s">
        <v>16360</v>
      </c>
      <c r="C281">
        <v>45808</v>
      </c>
      <c r="D281" t="s">
        <v>7263</v>
      </c>
      <c r="E281" t="s">
        <v>16361</v>
      </c>
      <c r="F281">
        <v>45808</v>
      </c>
      <c r="G281" t="s">
        <v>2208</v>
      </c>
      <c r="H281" t="s">
        <v>2916</v>
      </c>
      <c r="I281" t="s">
        <v>17842</v>
      </c>
      <c r="J281">
        <v>0</v>
      </c>
      <c r="K281">
        <v>-0.03</v>
      </c>
      <c r="L281" t="s">
        <v>2917</v>
      </c>
      <c r="M281">
        <v>0</v>
      </c>
      <c r="N281" t="s">
        <v>2918</v>
      </c>
      <c r="O281" t="s">
        <v>2919</v>
      </c>
      <c r="P281" t="s">
        <v>2208</v>
      </c>
      <c r="Q281" t="s">
        <v>2916</v>
      </c>
      <c r="R281" t="s">
        <v>3220</v>
      </c>
      <c r="S281" t="s">
        <v>2208</v>
      </c>
      <c r="T281" t="s">
        <v>2208</v>
      </c>
    </row>
    <row r="282" spans="1:20">
      <c r="A282" t="s">
        <v>844</v>
      </c>
      <c r="B282" t="s">
        <v>2920</v>
      </c>
      <c r="C282">
        <v>45656</v>
      </c>
      <c r="D282" t="s">
        <v>7263</v>
      </c>
      <c r="E282" t="s">
        <v>2921</v>
      </c>
      <c r="F282">
        <v>45660</v>
      </c>
      <c r="G282" t="s">
        <v>2208</v>
      </c>
      <c r="H282" t="s">
        <v>2916</v>
      </c>
      <c r="I282" t="s">
        <v>7264</v>
      </c>
      <c r="J282">
        <v>0</v>
      </c>
      <c r="K282">
        <v>-1281708.4099999999</v>
      </c>
      <c r="L282" t="s">
        <v>2917</v>
      </c>
      <c r="M282">
        <v>-7812436.9900000002</v>
      </c>
      <c r="N282" t="s">
        <v>2918</v>
      </c>
      <c r="O282" t="s">
        <v>7241</v>
      </c>
      <c r="P282" t="s">
        <v>2208</v>
      </c>
      <c r="Q282" t="s">
        <v>2949</v>
      </c>
      <c r="R282" t="s">
        <v>3224</v>
      </c>
      <c r="S282" t="s">
        <v>2208</v>
      </c>
      <c r="T282" t="s">
        <v>2208</v>
      </c>
    </row>
    <row r="283" spans="1:20">
      <c r="A283" t="s">
        <v>844</v>
      </c>
      <c r="B283" t="s">
        <v>2920</v>
      </c>
      <c r="C283">
        <v>45688</v>
      </c>
      <c r="D283" t="s">
        <v>7263</v>
      </c>
      <c r="E283" t="s">
        <v>2921</v>
      </c>
      <c r="F283">
        <v>45688</v>
      </c>
      <c r="G283" t="s">
        <v>2208</v>
      </c>
      <c r="H283" t="s">
        <v>2916</v>
      </c>
      <c r="I283" t="s">
        <v>7536</v>
      </c>
      <c r="J283">
        <v>0</v>
      </c>
      <c r="K283">
        <v>16640.490000000002</v>
      </c>
      <c r="L283" t="s">
        <v>2917</v>
      </c>
      <c r="M283">
        <v>0</v>
      </c>
      <c r="N283" t="s">
        <v>2918</v>
      </c>
      <c r="O283" t="s">
        <v>2919</v>
      </c>
      <c r="P283" t="s">
        <v>2208</v>
      </c>
      <c r="Q283" t="s">
        <v>2916</v>
      </c>
      <c r="R283" t="s">
        <v>3220</v>
      </c>
      <c r="S283" t="s">
        <v>2208</v>
      </c>
      <c r="T283" t="s">
        <v>2208</v>
      </c>
    </row>
    <row r="284" spans="1:20">
      <c r="A284" t="s">
        <v>844</v>
      </c>
      <c r="B284" t="s">
        <v>11331</v>
      </c>
      <c r="C284">
        <v>45736</v>
      </c>
      <c r="D284" t="s">
        <v>7263</v>
      </c>
      <c r="E284" t="s">
        <v>11332</v>
      </c>
      <c r="F284">
        <v>45748</v>
      </c>
      <c r="G284" t="s">
        <v>11333</v>
      </c>
      <c r="H284" t="s">
        <v>2916</v>
      </c>
      <c r="I284" t="s">
        <v>11334</v>
      </c>
      <c r="J284">
        <v>0.33300000000000002</v>
      </c>
      <c r="K284">
        <v>487134.31</v>
      </c>
      <c r="L284" t="s">
        <v>2917</v>
      </c>
      <c r="M284">
        <v>2805265.22</v>
      </c>
      <c r="N284" t="s">
        <v>2918</v>
      </c>
      <c r="O284" t="s">
        <v>11335</v>
      </c>
      <c r="P284" t="s">
        <v>11336</v>
      </c>
      <c r="Q284" t="s">
        <v>2927</v>
      </c>
      <c r="R284" t="s">
        <v>3222</v>
      </c>
      <c r="S284" t="s">
        <v>11337</v>
      </c>
      <c r="T284" t="s">
        <v>11336</v>
      </c>
    </row>
    <row r="285" spans="1:20">
      <c r="A285" t="s">
        <v>844</v>
      </c>
      <c r="B285" t="s">
        <v>11331</v>
      </c>
      <c r="C285">
        <v>45736</v>
      </c>
      <c r="D285" t="s">
        <v>7263</v>
      </c>
      <c r="E285" t="s">
        <v>11332</v>
      </c>
      <c r="F285">
        <v>45748</v>
      </c>
      <c r="G285" t="s">
        <v>11333</v>
      </c>
      <c r="H285" t="s">
        <v>2916</v>
      </c>
      <c r="I285" t="s">
        <v>11338</v>
      </c>
      <c r="J285">
        <v>0.33300000000000002</v>
      </c>
      <c r="K285">
        <v>487134.31</v>
      </c>
      <c r="L285" t="s">
        <v>2917</v>
      </c>
      <c r="M285">
        <v>2805265.22</v>
      </c>
      <c r="N285" t="s">
        <v>2918</v>
      </c>
      <c r="O285" t="s">
        <v>11335</v>
      </c>
      <c r="P285" t="s">
        <v>11336</v>
      </c>
      <c r="Q285" t="s">
        <v>2927</v>
      </c>
      <c r="R285" t="s">
        <v>3222</v>
      </c>
      <c r="S285" t="s">
        <v>11337</v>
      </c>
      <c r="T285" t="s">
        <v>11336</v>
      </c>
    </row>
    <row r="286" spans="1:20">
      <c r="A286" t="s">
        <v>844</v>
      </c>
      <c r="B286" t="s">
        <v>11331</v>
      </c>
      <c r="C286">
        <v>45736</v>
      </c>
      <c r="D286" t="s">
        <v>7263</v>
      </c>
      <c r="E286" t="s">
        <v>11332</v>
      </c>
      <c r="F286">
        <v>45748</v>
      </c>
      <c r="G286" t="s">
        <v>11333</v>
      </c>
      <c r="H286" t="s">
        <v>2916</v>
      </c>
      <c r="I286" t="s">
        <v>11339</v>
      </c>
      <c r="J286">
        <v>0.33400000000000002</v>
      </c>
      <c r="K286">
        <v>488597.17</v>
      </c>
      <c r="L286" t="s">
        <v>2917</v>
      </c>
      <c r="M286">
        <v>2813689.44</v>
      </c>
      <c r="N286" t="s">
        <v>2918</v>
      </c>
      <c r="O286" t="s">
        <v>11335</v>
      </c>
      <c r="P286" t="s">
        <v>11336</v>
      </c>
      <c r="Q286" t="s">
        <v>2927</v>
      </c>
      <c r="R286" t="s">
        <v>3222</v>
      </c>
      <c r="S286" t="s">
        <v>11337</v>
      </c>
      <c r="T286" t="s">
        <v>11336</v>
      </c>
    </row>
    <row r="287" spans="1:20">
      <c r="A287" t="s">
        <v>844</v>
      </c>
      <c r="B287" t="s">
        <v>11331</v>
      </c>
      <c r="C287">
        <v>45777</v>
      </c>
      <c r="D287" t="s">
        <v>7263</v>
      </c>
      <c r="E287" t="s">
        <v>11332</v>
      </c>
      <c r="F287">
        <v>45777</v>
      </c>
      <c r="G287" t="s">
        <v>2208</v>
      </c>
      <c r="H287" t="s">
        <v>2916</v>
      </c>
      <c r="I287" t="s">
        <v>16357</v>
      </c>
      <c r="J287">
        <v>0</v>
      </c>
      <c r="K287">
        <v>0.01</v>
      </c>
      <c r="L287" t="s">
        <v>2917</v>
      </c>
      <c r="M287">
        <v>0</v>
      </c>
      <c r="N287" t="s">
        <v>2918</v>
      </c>
      <c r="O287" t="s">
        <v>2919</v>
      </c>
      <c r="P287" t="s">
        <v>2208</v>
      </c>
      <c r="Q287" t="s">
        <v>2916</v>
      </c>
      <c r="R287" t="s">
        <v>3220</v>
      </c>
      <c r="S287" t="s">
        <v>2208</v>
      </c>
      <c r="T287" t="s">
        <v>2208</v>
      </c>
    </row>
    <row r="288" spans="1:20">
      <c r="A288" t="s">
        <v>844</v>
      </c>
      <c r="B288" t="s">
        <v>16360</v>
      </c>
      <c r="C288">
        <v>45804</v>
      </c>
      <c r="D288" t="s">
        <v>7263</v>
      </c>
      <c r="E288" t="s">
        <v>16361</v>
      </c>
      <c r="F288">
        <v>45804</v>
      </c>
      <c r="G288" t="s">
        <v>2208</v>
      </c>
      <c r="H288" t="s">
        <v>2916</v>
      </c>
      <c r="I288" t="s">
        <v>17804</v>
      </c>
      <c r="J288">
        <v>0</v>
      </c>
      <c r="K288">
        <v>300350.46999999997</v>
      </c>
      <c r="L288" t="s">
        <v>2917</v>
      </c>
      <c r="M288">
        <v>1692115.33</v>
      </c>
      <c r="N288" t="s">
        <v>2918</v>
      </c>
      <c r="O288" t="s">
        <v>17805</v>
      </c>
      <c r="P288" t="s">
        <v>2208</v>
      </c>
      <c r="Q288" t="s">
        <v>2927</v>
      </c>
      <c r="R288" t="s">
        <v>3222</v>
      </c>
      <c r="S288" t="s">
        <v>2208</v>
      </c>
      <c r="T288" t="s">
        <v>2208</v>
      </c>
    </row>
    <row r="289" spans="1:20">
      <c r="A289" t="s">
        <v>844</v>
      </c>
      <c r="B289" t="s">
        <v>16360</v>
      </c>
      <c r="C289">
        <v>45808</v>
      </c>
      <c r="D289" t="s">
        <v>7263</v>
      </c>
      <c r="E289" t="s">
        <v>16361</v>
      </c>
      <c r="F289">
        <v>45808</v>
      </c>
      <c r="G289" t="s">
        <v>2208</v>
      </c>
      <c r="H289" t="s">
        <v>2916</v>
      </c>
      <c r="I289" t="s">
        <v>17843</v>
      </c>
      <c r="J289">
        <v>0</v>
      </c>
      <c r="K289">
        <v>-0.06</v>
      </c>
      <c r="L289" t="s">
        <v>2917</v>
      </c>
      <c r="M289">
        <v>0</v>
      </c>
      <c r="N289" t="s">
        <v>2918</v>
      </c>
      <c r="O289" t="s">
        <v>2919</v>
      </c>
      <c r="P289" t="s">
        <v>2208</v>
      </c>
      <c r="Q289" t="s">
        <v>2916</v>
      </c>
      <c r="R289" t="s">
        <v>3220</v>
      </c>
      <c r="S289" t="s">
        <v>2208</v>
      </c>
      <c r="T289" t="s">
        <v>2208</v>
      </c>
    </row>
    <row r="290" spans="1:20">
      <c r="A290" t="s">
        <v>844</v>
      </c>
      <c r="B290" t="s">
        <v>9126</v>
      </c>
      <c r="C290">
        <v>45729</v>
      </c>
      <c r="D290" t="s">
        <v>7263</v>
      </c>
      <c r="E290" t="s">
        <v>9127</v>
      </c>
      <c r="F290">
        <v>45733</v>
      </c>
      <c r="G290" t="s">
        <v>2208</v>
      </c>
      <c r="H290" t="s">
        <v>2916</v>
      </c>
      <c r="I290" t="s">
        <v>10964</v>
      </c>
      <c r="J290">
        <v>0</v>
      </c>
      <c r="K290">
        <v>1236.42</v>
      </c>
      <c r="L290" t="s">
        <v>2917</v>
      </c>
      <c r="M290">
        <v>7214.09</v>
      </c>
      <c r="N290" t="s">
        <v>2918</v>
      </c>
      <c r="O290" t="s">
        <v>10965</v>
      </c>
      <c r="P290" t="s">
        <v>2208</v>
      </c>
      <c r="Q290" t="s">
        <v>9155</v>
      </c>
      <c r="R290" t="s">
        <v>9156</v>
      </c>
      <c r="S290" t="s">
        <v>2208</v>
      </c>
      <c r="T290" t="s">
        <v>2208</v>
      </c>
    </row>
    <row r="291" spans="1:20">
      <c r="A291" t="s">
        <v>844</v>
      </c>
      <c r="B291" t="s">
        <v>9126</v>
      </c>
      <c r="C291">
        <v>45747</v>
      </c>
      <c r="D291" t="s">
        <v>7263</v>
      </c>
      <c r="E291" t="s">
        <v>9127</v>
      </c>
      <c r="F291">
        <v>45747</v>
      </c>
      <c r="G291" t="s">
        <v>2208</v>
      </c>
      <c r="H291" t="s">
        <v>2916</v>
      </c>
      <c r="I291" t="s">
        <v>11340</v>
      </c>
      <c r="J291">
        <v>0</v>
      </c>
      <c r="K291">
        <v>-0.01</v>
      </c>
      <c r="L291" t="s">
        <v>2917</v>
      </c>
      <c r="M291">
        <v>0</v>
      </c>
      <c r="N291" t="s">
        <v>2918</v>
      </c>
      <c r="O291" t="s">
        <v>2919</v>
      </c>
      <c r="P291" t="s">
        <v>2208</v>
      </c>
      <c r="Q291" t="s">
        <v>2916</v>
      </c>
      <c r="R291" t="s">
        <v>3220</v>
      </c>
      <c r="S291" t="s">
        <v>2208</v>
      </c>
      <c r="T291" t="s">
        <v>2208</v>
      </c>
    </row>
    <row r="292" spans="1:20">
      <c r="A292" t="s">
        <v>844</v>
      </c>
      <c r="B292" t="s">
        <v>11331</v>
      </c>
      <c r="C292">
        <v>45734</v>
      </c>
      <c r="D292" t="s">
        <v>7263</v>
      </c>
      <c r="E292" t="s">
        <v>11332</v>
      </c>
      <c r="F292">
        <v>45770</v>
      </c>
      <c r="G292" t="s">
        <v>15879</v>
      </c>
      <c r="H292" t="s">
        <v>2916</v>
      </c>
      <c r="I292" t="s">
        <v>15880</v>
      </c>
      <c r="J292">
        <v>27230</v>
      </c>
      <c r="K292">
        <v>4728.49</v>
      </c>
      <c r="L292" t="s">
        <v>2917</v>
      </c>
      <c r="M292">
        <v>27230</v>
      </c>
      <c r="N292" t="s">
        <v>2918</v>
      </c>
      <c r="O292" t="s">
        <v>2936</v>
      </c>
      <c r="P292" t="s">
        <v>2936</v>
      </c>
      <c r="Q292" t="s">
        <v>2924</v>
      </c>
      <c r="R292" t="s">
        <v>3219</v>
      </c>
      <c r="S292" t="s">
        <v>2208</v>
      </c>
      <c r="T292" t="s">
        <v>2208</v>
      </c>
    </row>
    <row r="293" spans="1:20">
      <c r="A293" t="s">
        <v>844</v>
      </c>
      <c r="B293" t="s">
        <v>11331</v>
      </c>
      <c r="C293">
        <v>45775</v>
      </c>
      <c r="D293" t="s">
        <v>7263</v>
      </c>
      <c r="E293" t="s">
        <v>11332</v>
      </c>
      <c r="F293">
        <v>45775</v>
      </c>
      <c r="G293" t="s">
        <v>2208</v>
      </c>
      <c r="H293" t="s">
        <v>2916</v>
      </c>
      <c r="I293" t="s">
        <v>16166</v>
      </c>
      <c r="J293">
        <v>0</v>
      </c>
      <c r="K293">
        <v>33577.29</v>
      </c>
      <c r="L293" t="s">
        <v>2917</v>
      </c>
      <c r="M293">
        <v>193361.88</v>
      </c>
      <c r="N293" t="s">
        <v>2918</v>
      </c>
      <c r="O293" t="s">
        <v>16167</v>
      </c>
      <c r="P293" t="s">
        <v>2208</v>
      </c>
      <c r="Q293" t="s">
        <v>2949</v>
      </c>
      <c r="R293" t="s">
        <v>3224</v>
      </c>
      <c r="S293" t="s">
        <v>2208</v>
      </c>
      <c r="T293" t="s">
        <v>2208</v>
      </c>
    </row>
    <row r="294" spans="1:20">
      <c r="A294" t="s">
        <v>844</v>
      </c>
      <c r="B294" t="s">
        <v>11331</v>
      </c>
      <c r="C294">
        <v>45775</v>
      </c>
      <c r="D294" t="s">
        <v>7263</v>
      </c>
      <c r="E294" t="s">
        <v>11332</v>
      </c>
      <c r="F294">
        <v>45775</v>
      </c>
      <c r="G294" t="s">
        <v>2208</v>
      </c>
      <c r="H294" t="s">
        <v>2916</v>
      </c>
      <c r="I294" t="s">
        <v>16176</v>
      </c>
      <c r="J294">
        <v>0</v>
      </c>
      <c r="K294">
        <v>514915.5</v>
      </c>
      <c r="L294" t="s">
        <v>2917</v>
      </c>
      <c r="M294">
        <v>2965249.05</v>
      </c>
      <c r="N294" t="s">
        <v>2918</v>
      </c>
      <c r="O294" t="s">
        <v>3313</v>
      </c>
      <c r="P294" t="s">
        <v>2208</v>
      </c>
      <c r="Q294" t="s">
        <v>2929</v>
      </c>
      <c r="R294" t="s">
        <v>3228</v>
      </c>
      <c r="S294" t="s">
        <v>2208</v>
      </c>
      <c r="T294" t="s">
        <v>2208</v>
      </c>
    </row>
    <row r="295" spans="1:20">
      <c r="A295" t="s">
        <v>844</v>
      </c>
      <c r="B295" t="s">
        <v>11331</v>
      </c>
      <c r="C295">
        <v>45777</v>
      </c>
      <c r="D295" t="s">
        <v>7263</v>
      </c>
      <c r="E295" t="s">
        <v>11332</v>
      </c>
      <c r="F295">
        <v>45777</v>
      </c>
      <c r="G295" t="s">
        <v>2208</v>
      </c>
      <c r="H295" t="s">
        <v>2916</v>
      </c>
      <c r="I295" t="s">
        <v>16358</v>
      </c>
      <c r="J295">
        <v>0</v>
      </c>
      <c r="K295">
        <v>0.01</v>
      </c>
      <c r="L295" t="s">
        <v>2917</v>
      </c>
      <c r="M295">
        <v>0</v>
      </c>
      <c r="N295" t="s">
        <v>2918</v>
      </c>
      <c r="O295" t="s">
        <v>2919</v>
      </c>
      <c r="P295" t="s">
        <v>2208</v>
      </c>
      <c r="Q295" t="s">
        <v>2916</v>
      </c>
      <c r="R295" t="s">
        <v>3220</v>
      </c>
      <c r="S295" t="s">
        <v>2208</v>
      </c>
      <c r="T295" t="s">
        <v>2208</v>
      </c>
    </row>
    <row r="296" spans="1:20">
      <c r="A296" t="s">
        <v>844</v>
      </c>
      <c r="B296" t="s">
        <v>16360</v>
      </c>
      <c r="C296">
        <v>45775</v>
      </c>
      <c r="D296" t="s">
        <v>7263</v>
      </c>
      <c r="E296" t="s">
        <v>16361</v>
      </c>
      <c r="F296">
        <v>45803</v>
      </c>
      <c r="G296" t="s">
        <v>2208</v>
      </c>
      <c r="H296" t="s">
        <v>2916</v>
      </c>
      <c r="I296" t="s">
        <v>17418</v>
      </c>
      <c r="J296">
        <v>0</v>
      </c>
      <c r="K296">
        <v>-514915.5</v>
      </c>
      <c r="L296" t="s">
        <v>2917</v>
      </c>
      <c r="M296">
        <v>-2965249.05</v>
      </c>
      <c r="N296" t="s">
        <v>2918</v>
      </c>
      <c r="O296" t="s">
        <v>3313</v>
      </c>
      <c r="P296" t="s">
        <v>2208</v>
      </c>
      <c r="Q296" t="s">
        <v>2929</v>
      </c>
      <c r="R296" t="s">
        <v>3228</v>
      </c>
      <c r="S296" t="s">
        <v>2208</v>
      </c>
      <c r="T296" t="s">
        <v>2208</v>
      </c>
    </row>
    <row r="297" spans="1:20">
      <c r="A297" t="s">
        <v>844</v>
      </c>
      <c r="B297" t="s">
        <v>16360</v>
      </c>
      <c r="C297">
        <v>45808</v>
      </c>
      <c r="D297" t="s">
        <v>7263</v>
      </c>
      <c r="E297" t="s">
        <v>16361</v>
      </c>
      <c r="F297">
        <v>45808</v>
      </c>
      <c r="G297" t="s">
        <v>2208</v>
      </c>
      <c r="H297" t="s">
        <v>2916</v>
      </c>
      <c r="I297" t="s">
        <v>17844</v>
      </c>
      <c r="J297">
        <v>0</v>
      </c>
      <c r="K297">
        <v>-11416.2</v>
      </c>
      <c r="L297" t="s">
        <v>2917</v>
      </c>
      <c r="M297">
        <v>0</v>
      </c>
      <c r="N297" t="s">
        <v>2918</v>
      </c>
      <c r="O297" t="s">
        <v>2919</v>
      </c>
      <c r="P297" t="s">
        <v>2208</v>
      </c>
      <c r="Q297" t="s">
        <v>2916</v>
      </c>
      <c r="R297" t="s">
        <v>3220</v>
      </c>
      <c r="S297" t="s">
        <v>2208</v>
      </c>
      <c r="T297" t="s">
        <v>2208</v>
      </c>
    </row>
    <row r="298" spans="1:20">
      <c r="A298" t="s">
        <v>844</v>
      </c>
      <c r="B298" t="s">
        <v>9126</v>
      </c>
      <c r="C298">
        <v>45737</v>
      </c>
      <c r="D298" t="s">
        <v>7263</v>
      </c>
      <c r="E298" t="s">
        <v>9127</v>
      </c>
      <c r="F298">
        <v>45737</v>
      </c>
      <c r="G298" t="s">
        <v>2208</v>
      </c>
      <c r="H298" t="s">
        <v>2916</v>
      </c>
      <c r="I298" t="s">
        <v>11082</v>
      </c>
      <c r="J298">
        <v>0</v>
      </c>
      <c r="K298">
        <v>1795.32</v>
      </c>
      <c r="L298" t="s">
        <v>2917</v>
      </c>
      <c r="M298">
        <v>10475.06</v>
      </c>
      <c r="N298" t="s">
        <v>2918</v>
      </c>
      <c r="O298" t="s">
        <v>11083</v>
      </c>
      <c r="P298" t="s">
        <v>2208</v>
      </c>
      <c r="Q298" t="s">
        <v>11084</v>
      </c>
      <c r="R298" t="s">
        <v>11085</v>
      </c>
      <c r="S298" t="s">
        <v>2208</v>
      </c>
      <c r="T298" t="s">
        <v>2208</v>
      </c>
    </row>
    <row r="299" spans="1:20">
      <c r="A299" t="s">
        <v>844</v>
      </c>
      <c r="B299" t="s">
        <v>9126</v>
      </c>
      <c r="C299">
        <v>45737</v>
      </c>
      <c r="D299" t="s">
        <v>7263</v>
      </c>
      <c r="E299" t="s">
        <v>9127</v>
      </c>
      <c r="F299">
        <v>45737</v>
      </c>
      <c r="G299" t="s">
        <v>2208</v>
      </c>
      <c r="H299" t="s">
        <v>2916</v>
      </c>
      <c r="I299" t="s">
        <v>11082</v>
      </c>
      <c r="J299">
        <v>0</v>
      </c>
      <c r="K299">
        <v>1586.71</v>
      </c>
      <c r="L299" t="s">
        <v>2917</v>
      </c>
      <c r="M299">
        <v>9257.91</v>
      </c>
      <c r="N299" t="s">
        <v>2918</v>
      </c>
      <c r="O299" t="s">
        <v>11083</v>
      </c>
      <c r="P299" t="s">
        <v>2208</v>
      </c>
      <c r="Q299" t="s">
        <v>11084</v>
      </c>
      <c r="R299" t="s">
        <v>11085</v>
      </c>
      <c r="S299" t="s">
        <v>2208</v>
      </c>
      <c r="T299" t="s">
        <v>2208</v>
      </c>
    </row>
    <row r="300" spans="1:20">
      <c r="A300" t="s">
        <v>844</v>
      </c>
      <c r="B300" t="s">
        <v>9126</v>
      </c>
      <c r="C300">
        <v>45737</v>
      </c>
      <c r="D300" t="s">
        <v>7263</v>
      </c>
      <c r="E300" t="s">
        <v>9127</v>
      </c>
      <c r="F300">
        <v>45737</v>
      </c>
      <c r="G300" t="s">
        <v>2208</v>
      </c>
      <c r="H300" t="s">
        <v>2916</v>
      </c>
      <c r="I300" t="s">
        <v>11086</v>
      </c>
      <c r="J300">
        <v>0</v>
      </c>
      <c r="K300">
        <v>55.51</v>
      </c>
      <c r="L300" t="s">
        <v>2917</v>
      </c>
      <c r="M300">
        <v>323.83</v>
      </c>
      <c r="N300" t="s">
        <v>2918</v>
      </c>
      <c r="O300" t="s">
        <v>11087</v>
      </c>
      <c r="P300" t="s">
        <v>2208</v>
      </c>
      <c r="Q300" t="s">
        <v>11088</v>
      </c>
      <c r="R300" t="s">
        <v>11089</v>
      </c>
      <c r="S300" t="s">
        <v>2208</v>
      </c>
      <c r="T300" t="s">
        <v>2208</v>
      </c>
    </row>
    <row r="301" spans="1:20">
      <c r="A301" t="s">
        <v>844</v>
      </c>
      <c r="B301" t="s">
        <v>9126</v>
      </c>
      <c r="C301">
        <v>45737</v>
      </c>
      <c r="D301" t="s">
        <v>7263</v>
      </c>
      <c r="E301" t="s">
        <v>9127</v>
      </c>
      <c r="F301">
        <v>45737</v>
      </c>
      <c r="G301" t="s">
        <v>2208</v>
      </c>
      <c r="H301" t="s">
        <v>2916</v>
      </c>
      <c r="I301" t="s">
        <v>11086</v>
      </c>
      <c r="J301">
        <v>0</v>
      </c>
      <c r="K301">
        <v>49.05</v>
      </c>
      <c r="L301" t="s">
        <v>2917</v>
      </c>
      <c r="M301">
        <v>286.2</v>
      </c>
      <c r="N301" t="s">
        <v>2918</v>
      </c>
      <c r="O301" t="s">
        <v>11087</v>
      </c>
      <c r="P301" t="s">
        <v>2208</v>
      </c>
      <c r="Q301" t="s">
        <v>11088</v>
      </c>
      <c r="R301" t="s">
        <v>11089</v>
      </c>
      <c r="S301" t="s">
        <v>2208</v>
      </c>
      <c r="T301" t="s">
        <v>2208</v>
      </c>
    </row>
    <row r="302" spans="1:20">
      <c r="A302" t="s">
        <v>844</v>
      </c>
      <c r="B302" t="s">
        <v>17897</v>
      </c>
      <c r="C302">
        <v>45814</v>
      </c>
      <c r="D302" t="s">
        <v>7263</v>
      </c>
      <c r="E302" t="s">
        <v>17898</v>
      </c>
      <c r="F302">
        <v>45814</v>
      </c>
      <c r="G302" t="s">
        <v>18450</v>
      </c>
      <c r="H302" t="s">
        <v>2916</v>
      </c>
      <c r="I302" t="s">
        <v>18451</v>
      </c>
      <c r="J302">
        <v>1</v>
      </c>
      <c r="K302">
        <v>16.510000000000002</v>
      </c>
      <c r="L302" t="s">
        <v>2917</v>
      </c>
      <c r="M302">
        <v>93.68</v>
      </c>
      <c r="N302" t="s">
        <v>2918</v>
      </c>
      <c r="O302" t="s">
        <v>18452</v>
      </c>
      <c r="P302" t="s">
        <v>18453</v>
      </c>
      <c r="Q302" t="s">
        <v>2924</v>
      </c>
      <c r="R302" t="s">
        <v>3219</v>
      </c>
      <c r="S302" t="s">
        <v>18454</v>
      </c>
      <c r="T302" t="s">
        <v>18453</v>
      </c>
    </row>
    <row r="303" spans="1:20">
      <c r="A303" t="s">
        <v>844</v>
      </c>
      <c r="B303" t="s">
        <v>17897</v>
      </c>
      <c r="C303">
        <v>45824</v>
      </c>
      <c r="D303" t="s">
        <v>7263</v>
      </c>
      <c r="E303" t="s">
        <v>17898</v>
      </c>
      <c r="F303">
        <v>45826</v>
      </c>
      <c r="G303" t="s">
        <v>18450</v>
      </c>
      <c r="H303" t="s">
        <v>2916</v>
      </c>
      <c r="I303" t="s">
        <v>18542</v>
      </c>
      <c r="J303">
        <v>5</v>
      </c>
      <c r="K303">
        <v>32.19</v>
      </c>
      <c r="L303" t="s">
        <v>2917</v>
      </c>
      <c r="M303">
        <v>182.7</v>
      </c>
      <c r="N303" t="s">
        <v>2918</v>
      </c>
      <c r="O303" t="s">
        <v>18543</v>
      </c>
      <c r="P303" t="s">
        <v>18445</v>
      </c>
      <c r="Q303" t="s">
        <v>2924</v>
      </c>
      <c r="R303" t="s">
        <v>3219</v>
      </c>
      <c r="S303" t="s">
        <v>18446</v>
      </c>
      <c r="T303" t="s">
        <v>18447</v>
      </c>
    </row>
    <row r="304" spans="1:20">
      <c r="A304" t="s">
        <v>844</v>
      </c>
      <c r="B304" t="s">
        <v>17897</v>
      </c>
      <c r="C304">
        <v>45824</v>
      </c>
      <c r="D304" t="s">
        <v>7263</v>
      </c>
      <c r="E304" t="s">
        <v>17898</v>
      </c>
      <c r="F304">
        <v>45826</v>
      </c>
      <c r="G304" t="s">
        <v>18450</v>
      </c>
      <c r="H304" t="s">
        <v>2916</v>
      </c>
      <c r="I304" t="s">
        <v>18544</v>
      </c>
      <c r="J304">
        <v>0</v>
      </c>
      <c r="K304">
        <v>-3.54</v>
      </c>
      <c r="L304" t="s">
        <v>2917</v>
      </c>
      <c r="M304">
        <v>-20.100000000000001</v>
      </c>
      <c r="N304" t="s">
        <v>2918</v>
      </c>
      <c r="O304" t="s">
        <v>18545</v>
      </c>
      <c r="P304" t="s">
        <v>18445</v>
      </c>
      <c r="Q304" t="s">
        <v>2924</v>
      </c>
      <c r="R304" t="s">
        <v>3219</v>
      </c>
      <c r="S304" t="s">
        <v>18446</v>
      </c>
      <c r="T304" t="s">
        <v>18447</v>
      </c>
    </row>
    <row r="305" spans="1:20">
      <c r="A305" t="s">
        <v>844</v>
      </c>
      <c r="B305" t="s">
        <v>17897</v>
      </c>
      <c r="C305">
        <v>45812</v>
      </c>
      <c r="D305" t="s">
        <v>7263</v>
      </c>
      <c r="E305" t="s">
        <v>17898</v>
      </c>
      <c r="F305">
        <v>45833</v>
      </c>
      <c r="G305" t="s">
        <v>18450</v>
      </c>
      <c r="H305" t="s">
        <v>2916</v>
      </c>
      <c r="I305" t="s">
        <v>19139</v>
      </c>
      <c r="J305">
        <v>0</v>
      </c>
      <c r="K305">
        <v>1.5</v>
      </c>
      <c r="L305" t="s">
        <v>2917</v>
      </c>
      <c r="M305">
        <v>8.5399999999999991</v>
      </c>
      <c r="N305" t="s">
        <v>2918</v>
      </c>
      <c r="O305" t="s">
        <v>19140</v>
      </c>
      <c r="P305" t="s">
        <v>18453</v>
      </c>
      <c r="Q305" t="s">
        <v>19141</v>
      </c>
      <c r="R305" t="s">
        <v>19142</v>
      </c>
      <c r="S305" t="s">
        <v>18454</v>
      </c>
      <c r="T305" t="s">
        <v>18453</v>
      </c>
    </row>
    <row r="306" spans="1:20">
      <c r="A306" t="s">
        <v>844</v>
      </c>
      <c r="B306" t="s">
        <v>17897</v>
      </c>
      <c r="C306">
        <v>45835</v>
      </c>
      <c r="D306" t="s">
        <v>7263</v>
      </c>
      <c r="E306" t="s">
        <v>17898</v>
      </c>
      <c r="F306">
        <v>45835</v>
      </c>
      <c r="G306" t="s">
        <v>2208</v>
      </c>
      <c r="H306" t="s">
        <v>2916</v>
      </c>
      <c r="I306" t="s">
        <v>19152</v>
      </c>
      <c r="J306">
        <v>0</v>
      </c>
      <c r="K306">
        <v>-7.63</v>
      </c>
      <c r="L306" t="s">
        <v>2917</v>
      </c>
      <c r="M306">
        <v>-43.3</v>
      </c>
      <c r="N306" t="s">
        <v>2918</v>
      </c>
      <c r="O306" t="s">
        <v>19153</v>
      </c>
      <c r="P306" t="s">
        <v>2208</v>
      </c>
      <c r="Q306" t="s">
        <v>2933</v>
      </c>
      <c r="R306" t="s">
        <v>3314</v>
      </c>
      <c r="S306" t="s">
        <v>2208</v>
      </c>
      <c r="T306" t="s">
        <v>2208</v>
      </c>
    </row>
    <row r="307" spans="1:20">
      <c r="A307" t="s">
        <v>844</v>
      </c>
      <c r="B307" t="s">
        <v>17897</v>
      </c>
      <c r="C307">
        <v>45838</v>
      </c>
      <c r="D307" t="s">
        <v>7263</v>
      </c>
      <c r="E307" t="s">
        <v>17898</v>
      </c>
      <c r="F307">
        <v>45838</v>
      </c>
      <c r="G307" t="s">
        <v>2208</v>
      </c>
      <c r="H307" t="s">
        <v>2916</v>
      </c>
      <c r="I307" t="s">
        <v>19242</v>
      </c>
      <c r="J307">
        <v>0</v>
      </c>
      <c r="K307">
        <v>0.09</v>
      </c>
      <c r="L307" t="s">
        <v>2917</v>
      </c>
      <c r="M307">
        <v>0</v>
      </c>
      <c r="N307" t="s">
        <v>2918</v>
      </c>
      <c r="O307" t="s">
        <v>2919</v>
      </c>
      <c r="P307" t="s">
        <v>2208</v>
      </c>
      <c r="Q307" t="s">
        <v>2916</v>
      </c>
      <c r="R307" t="s">
        <v>3220</v>
      </c>
      <c r="S307" t="s">
        <v>2208</v>
      </c>
      <c r="T307" t="s">
        <v>2208</v>
      </c>
    </row>
    <row r="308" spans="1:20">
      <c r="A308" t="s">
        <v>844</v>
      </c>
      <c r="B308" t="s">
        <v>19439</v>
      </c>
      <c r="C308">
        <v>45835</v>
      </c>
      <c r="D308" t="s">
        <v>7263</v>
      </c>
      <c r="E308" t="s">
        <v>19440</v>
      </c>
      <c r="F308">
        <v>45842</v>
      </c>
      <c r="G308" t="s">
        <v>18450</v>
      </c>
      <c r="H308" t="s">
        <v>2916</v>
      </c>
      <c r="I308" t="s">
        <v>19965</v>
      </c>
      <c r="J308">
        <v>4</v>
      </c>
      <c r="K308">
        <v>124.16</v>
      </c>
      <c r="L308" t="s">
        <v>2917</v>
      </c>
      <c r="M308">
        <v>679.67</v>
      </c>
      <c r="N308" t="s">
        <v>2918</v>
      </c>
      <c r="O308" t="s">
        <v>19966</v>
      </c>
      <c r="P308" t="s">
        <v>18657</v>
      </c>
      <c r="Q308" t="s">
        <v>2924</v>
      </c>
      <c r="R308" t="s">
        <v>3219</v>
      </c>
      <c r="S308" t="s">
        <v>18658</v>
      </c>
      <c r="T308" t="s">
        <v>18659</v>
      </c>
    </row>
    <row r="309" spans="1:20">
      <c r="A309" t="s">
        <v>844</v>
      </c>
      <c r="B309" t="s">
        <v>19439</v>
      </c>
      <c r="C309">
        <v>45835</v>
      </c>
      <c r="D309" t="s">
        <v>7263</v>
      </c>
      <c r="E309" t="s">
        <v>19440</v>
      </c>
      <c r="F309">
        <v>45842</v>
      </c>
      <c r="G309" t="s">
        <v>18450</v>
      </c>
      <c r="H309" t="s">
        <v>2916</v>
      </c>
      <c r="I309" t="s">
        <v>19965</v>
      </c>
      <c r="J309">
        <v>14</v>
      </c>
      <c r="K309">
        <v>526.54999999999995</v>
      </c>
      <c r="L309" t="s">
        <v>2917</v>
      </c>
      <c r="M309">
        <v>2882.53</v>
      </c>
      <c r="N309" t="s">
        <v>2918</v>
      </c>
      <c r="O309" t="s">
        <v>19966</v>
      </c>
      <c r="P309" t="s">
        <v>19967</v>
      </c>
      <c r="Q309" t="s">
        <v>2924</v>
      </c>
      <c r="R309" t="s">
        <v>3219</v>
      </c>
      <c r="S309" t="s">
        <v>19968</v>
      </c>
      <c r="T309" t="s">
        <v>19969</v>
      </c>
    </row>
    <row r="310" spans="1:20">
      <c r="A310" t="s">
        <v>844</v>
      </c>
      <c r="B310" t="s">
        <v>19439</v>
      </c>
      <c r="C310">
        <v>45835</v>
      </c>
      <c r="D310" t="s">
        <v>7263</v>
      </c>
      <c r="E310" t="s">
        <v>19440</v>
      </c>
      <c r="F310">
        <v>45842</v>
      </c>
      <c r="G310" t="s">
        <v>18450</v>
      </c>
      <c r="H310" t="s">
        <v>2916</v>
      </c>
      <c r="I310" t="s">
        <v>19965</v>
      </c>
      <c r="J310">
        <v>32</v>
      </c>
      <c r="K310">
        <v>272.19</v>
      </c>
      <c r="L310" t="s">
        <v>2917</v>
      </c>
      <c r="M310">
        <v>1490.08</v>
      </c>
      <c r="N310" t="s">
        <v>2918</v>
      </c>
      <c r="O310" t="s">
        <v>19966</v>
      </c>
      <c r="P310" t="s">
        <v>18443</v>
      </c>
      <c r="Q310" t="s">
        <v>2924</v>
      </c>
      <c r="R310" t="s">
        <v>3219</v>
      </c>
      <c r="S310" t="s">
        <v>18444</v>
      </c>
      <c r="T310" t="s">
        <v>18443</v>
      </c>
    </row>
    <row r="311" spans="1:20">
      <c r="A311" t="s">
        <v>844</v>
      </c>
      <c r="B311" t="s">
        <v>19439</v>
      </c>
      <c r="C311">
        <v>45835</v>
      </c>
      <c r="D311" t="s">
        <v>7263</v>
      </c>
      <c r="E311" t="s">
        <v>19440</v>
      </c>
      <c r="F311">
        <v>45842</v>
      </c>
      <c r="G311" t="s">
        <v>18450</v>
      </c>
      <c r="H311" t="s">
        <v>2916</v>
      </c>
      <c r="I311" t="s">
        <v>19965</v>
      </c>
      <c r="J311">
        <v>27</v>
      </c>
      <c r="K311">
        <v>180.22</v>
      </c>
      <c r="L311" t="s">
        <v>2917</v>
      </c>
      <c r="M311">
        <v>986.58</v>
      </c>
      <c r="N311" t="s">
        <v>2918</v>
      </c>
      <c r="O311" t="s">
        <v>19966</v>
      </c>
      <c r="P311" t="s">
        <v>18445</v>
      </c>
      <c r="Q311" t="s">
        <v>2924</v>
      </c>
      <c r="R311" t="s">
        <v>3219</v>
      </c>
      <c r="S311" t="s">
        <v>18446</v>
      </c>
      <c r="T311" t="s">
        <v>18447</v>
      </c>
    </row>
    <row r="312" spans="1:20">
      <c r="A312" t="s">
        <v>844</v>
      </c>
      <c r="B312" t="s">
        <v>19439</v>
      </c>
      <c r="C312">
        <v>45835</v>
      </c>
      <c r="D312" t="s">
        <v>7263</v>
      </c>
      <c r="E312" t="s">
        <v>19440</v>
      </c>
      <c r="F312">
        <v>45842</v>
      </c>
      <c r="G312" t="s">
        <v>18450</v>
      </c>
      <c r="H312" t="s">
        <v>2916</v>
      </c>
      <c r="I312" t="s">
        <v>19965</v>
      </c>
      <c r="J312">
        <v>1</v>
      </c>
      <c r="K312">
        <v>74.42</v>
      </c>
      <c r="L312" t="s">
        <v>2917</v>
      </c>
      <c r="M312">
        <v>407.4</v>
      </c>
      <c r="N312" t="s">
        <v>2918</v>
      </c>
      <c r="O312" t="s">
        <v>19966</v>
      </c>
      <c r="P312" t="s">
        <v>19970</v>
      </c>
      <c r="Q312" t="s">
        <v>2924</v>
      </c>
      <c r="R312" t="s">
        <v>3219</v>
      </c>
      <c r="S312" t="s">
        <v>19971</v>
      </c>
      <c r="T312" t="s">
        <v>19972</v>
      </c>
    </row>
    <row r="313" spans="1:20">
      <c r="A313" t="s">
        <v>844</v>
      </c>
      <c r="B313" t="s">
        <v>19439</v>
      </c>
      <c r="C313">
        <v>45835</v>
      </c>
      <c r="D313" t="s">
        <v>7263</v>
      </c>
      <c r="E313" t="s">
        <v>19440</v>
      </c>
      <c r="F313">
        <v>45842</v>
      </c>
      <c r="G313" t="s">
        <v>18450</v>
      </c>
      <c r="H313" t="s">
        <v>2916</v>
      </c>
      <c r="I313" t="s">
        <v>19973</v>
      </c>
      <c r="J313">
        <v>0</v>
      </c>
      <c r="K313">
        <v>-13.67</v>
      </c>
      <c r="L313" t="s">
        <v>2917</v>
      </c>
      <c r="M313">
        <v>-74.819999999999993</v>
      </c>
      <c r="N313" t="s">
        <v>2918</v>
      </c>
      <c r="O313" t="s">
        <v>19974</v>
      </c>
      <c r="P313" t="s">
        <v>18657</v>
      </c>
      <c r="Q313" t="s">
        <v>2924</v>
      </c>
      <c r="R313" t="s">
        <v>3219</v>
      </c>
      <c r="S313" t="s">
        <v>18658</v>
      </c>
      <c r="T313" t="s">
        <v>18659</v>
      </c>
    </row>
    <row r="314" spans="1:20">
      <c r="A314" t="s">
        <v>844</v>
      </c>
      <c r="B314" t="s">
        <v>19439</v>
      </c>
      <c r="C314">
        <v>45835</v>
      </c>
      <c r="D314" t="s">
        <v>7263</v>
      </c>
      <c r="E314" t="s">
        <v>19440</v>
      </c>
      <c r="F314">
        <v>45842</v>
      </c>
      <c r="G314" t="s">
        <v>18450</v>
      </c>
      <c r="H314" t="s">
        <v>2916</v>
      </c>
      <c r="I314" t="s">
        <v>19973</v>
      </c>
      <c r="J314">
        <v>0</v>
      </c>
      <c r="K314">
        <v>-57.94</v>
      </c>
      <c r="L314" t="s">
        <v>2917</v>
      </c>
      <c r="M314">
        <v>-317.19</v>
      </c>
      <c r="N314" t="s">
        <v>2918</v>
      </c>
      <c r="O314" t="s">
        <v>19974</v>
      </c>
      <c r="P314" t="s">
        <v>19967</v>
      </c>
      <c r="Q314" t="s">
        <v>2924</v>
      </c>
      <c r="R314" t="s">
        <v>3219</v>
      </c>
      <c r="S314" t="s">
        <v>19968</v>
      </c>
      <c r="T314" t="s">
        <v>19969</v>
      </c>
    </row>
    <row r="315" spans="1:20">
      <c r="A315" t="s">
        <v>844</v>
      </c>
      <c r="B315" t="s">
        <v>19439</v>
      </c>
      <c r="C315">
        <v>45835</v>
      </c>
      <c r="D315" t="s">
        <v>7263</v>
      </c>
      <c r="E315" t="s">
        <v>19440</v>
      </c>
      <c r="F315">
        <v>45842</v>
      </c>
      <c r="G315" t="s">
        <v>18450</v>
      </c>
      <c r="H315" t="s">
        <v>2916</v>
      </c>
      <c r="I315" t="s">
        <v>19973</v>
      </c>
      <c r="J315">
        <v>0</v>
      </c>
      <c r="K315">
        <v>-29.93</v>
      </c>
      <c r="L315" t="s">
        <v>2917</v>
      </c>
      <c r="M315">
        <v>-163.89</v>
      </c>
      <c r="N315" t="s">
        <v>2918</v>
      </c>
      <c r="O315" t="s">
        <v>19974</v>
      </c>
      <c r="P315" t="s">
        <v>18443</v>
      </c>
      <c r="Q315" t="s">
        <v>2924</v>
      </c>
      <c r="R315" t="s">
        <v>3219</v>
      </c>
      <c r="S315" t="s">
        <v>18444</v>
      </c>
      <c r="T315" t="s">
        <v>18443</v>
      </c>
    </row>
    <row r="316" spans="1:20">
      <c r="A316" t="s">
        <v>844</v>
      </c>
      <c r="B316" t="s">
        <v>19439</v>
      </c>
      <c r="C316">
        <v>45835</v>
      </c>
      <c r="D316" t="s">
        <v>7263</v>
      </c>
      <c r="E316" t="s">
        <v>19440</v>
      </c>
      <c r="F316">
        <v>45842</v>
      </c>
      <c r="G316" t="s">
        <v>18450</v>
      </c>
      <c r="H316" t="s">
        <v>2916</v>
      </c>
      <c r="I316" t="s">
        <v>19973</v>
      </c>
      <c r="J316">
        <v>0</v>
      </c>
      <c r="K316">
        <v>-19.82</v>
      </c>
      <c r="L316" t="s">
        <v>2917</v>
      </c>
      <c r="M316">
        <v>-108.5</v>
      </c>
      <c r="N316" t="s">
        <v>2918</v>
      </c>
      <c r="O316" t="s">
        <v>19974</v>
      </c>
      <c r="P316" t="s">
        <v>18445</v>
      </c>
      <c r="Q316" t="s">
        <v>2924</v>
      </c>
      <c r="R316" t="s">
        <v>3219</v>
      </c>
      <c r="S316" t="s">
        <v>18446</v>
      </c>
      <c r="T316" t="s">
        <v>18447</v>
      </c>
    </row>
    <row r="317" spans="1:20">
      <c r="A317" t="s">
        <v>844</v>
      </c>
      <c r="B317" t="s">
        <v>19439</v>
      </c>
      <c r="C317">
        <v>45835</v>
      </c>
      <c r="D317" t="s">
        <v>7263</v>
      </c>
      <c r="E317" t="s">
        <v>19440</v>
      </c>
      <c r="F317">
        <v>45842</v>
      </c>
      <c r="G317" t="s">
        <v>18450</v>
      </c>
      <c r="H317" t="s">
        <v>2916</v>
      </c>
      <c r="I317" t="s">
        <v>19973</v>
      </c>
      <c r="J317">
        <v>0</v>
      </c>
      <c r="K317">
        <v>-8.7899999999999991</v>
      </c>
      <c r="L317" t="s">
        <v>2917</v>
      </c>
      <c r="M317">
        <v>-48.11</v>
      </c>
      <c r="N317" t="s">
        <v>2918</v>
      </c>
      <c r="O317" t="s">
        <v>19974</v>
      </c>
      <c r="P317" t="s">
        <v>19970</v>
      </c>
      <c r="Q317" t="s">
        <v>2924</v>
      </c>
      <c r="R317" t="s">
        <v>3219</v>
      </c>
      <c r="S317" t="s">
        <v>19971</v>
      </c>
      <c r="T317" t="s">
        <v>19972</v>
      </c>
    </row>
    <row r="318" spans="1:20">
      <c r="A318" t="s">
        <v>1012</v>
      </c>
      <c r="B318" t="s">
        <v>11331</v>
      </c>
      <c r="C318">
        <v>45763</v>
      </c>
      <c r="D318" t="s">
        <v>7263</v>
      </c>
      <c r="E318" t="s">
        <v>11332</v>
      </c>
      <c r="F318">
        <v>45763</v>
      </c>
      <c r="G318" t="s">
        <v>12278</v>
      </c>
      <c r="H318" t="s">
        <v>2916</v>
      </c>
      <c r="I318" t="s">
        <v>12279</v>
      </c>
      <c r="J318">
        <v>1</v>
      </c>
      <c r="K318">
        <v>605.34</v>
      </c>
      <c r="L318" t="s">
        <v>2917</v>
      </c>
      <c r="M318">
        <v>3486</v>
      </c>
      <c r="N318" t="s">
        <v>2918</v>
      </c>
      <c r="O318" t="s">
        <v>12280</v>
      </c>
      <c r="P318" t="s">
        <v>12281</v>
      </c>
      <c r="Q318" t="s">
        <v>2924</v>
      </c>
      <c r="R318" t="s">
        <v>3219</v>
      </c>
      <c r="S318" t="s">
        <v>12282</v>
      </c>
      <c r="T318" t="s">
        <v>12283</v>
      </c>
    </row>
    <row r="319" spans="1:20">
      <c r="A319" t="s">
        <v>1012</v>
      </c>
      <c r="B319" t="s">
        <v>11331</v>
      </c>
      <c r="C319">
        <v>45763</v>
      </c>
      <c r="D319" t="s">
        <v>7263</v>
      </c>
      <c r="E319" t="s">
        <v>11332</v>
      </c>
      <c r="F319">
        <v>45764</v>
      </c>
      <c r="G319" t="s">
        <v>12284</v>
      </c>
      <c r="H319" t="s">
        <v>2916</v>
      </c>
      <c r="I319" t="s">
        <v>12285</v>
      </c>
      <c r="J319">
        <v>100</v>
      </c>
      <c r="K319">
        <v>3326.46</v>
      </c>
      <c r="L319" t="s">
        <v>2917</v>
      </c>
      <c r="M319">
        <v>19156.099999999999</v>
      </c>
      <c r="N319" t="s">
        <v>2918</v>
      </c>
      <c r="O319" t="s">
        <v>12286</v>
      </c>
      <c r="P319" t="s">
        <v>12287</v>
      </c>
      <c r="Q319" t="s">
        <v>2924</v>
      </c>
      <c r="R319" t="s">
        <v>3219</v>
      </c>
      <c r="S319" t="s">
        <v>12288</v>
      </c>
      <c r="T319" t="s">
        <v>12289</v>
      </c>
    </row>
    <row r="320" spans="1:20">
      <c r="A320" t="s">
        <v>1012</v>
      </c>
      <c r="B320" t="s">
        <v>11331</v>
      </c>
      <c r="C320">
        <v>45763</v>
      </c>
      <c r="D320" t="s">
        <v>7263</v>
      </c>
      <c r="E320" t="s">
        <v>11332</v>
      </c>
      <c r="F320">
        <v>45764</v>
      </c>
      <c r="G320" t="s">
        <v>12284</v>
      </c>
      <c r="H320" t="s">
        <v>2916</v>
      </c>
      <c r="I320" t="s">
        <v>12285</v>
      </c>
      <c r="J320">
        <v>1</v>
      </c>
      <c r="K320">
        <v>216.05</v>
      </c>
      <c r="L320" t="s">
        <v>2917</v>
      </c>
      <c r="M320">
        <v>1244.18</v>
      </c>
      <c r="N320" t="s">
        <v>2918</v>
      </c>
      <c r="O320" t="s">
        <v>12286</v>
      </c>
      <c r="P320" t="s">
        <v>12290</v>
      </c>
      <c r="Q320" t="s">
        <v>2924</v>
      </c>
      <c r="R320" t="s">
        <v>3219</v>
      </c>
      <c r="S320" t="s">
        <v>12291</v>
      </c>
      <c r="T320" t="s">
        <v>12292</v>
      </c>
    </row>
    <row r="321" spans="1:20">
      <c r="A321" t="s">
        <v>1012</v>
      </c>
      <c r="B321" t="s">
        <v>11331</v>
      </c>
      <c r="C321">
        <v>45763</v>
      </c>
      <c r="D321" t="s">
        <v>7263</v>
      </c>
      <c r="E321" t="s">
        <v>11332</v>
      </c>
      <c r="F321">
        <v>45764</v>
      </c>
      <c r="G321" t="s">
        <v>12284</v>
      </c>
      <c r="H321" t="s">
        <v>2916</v>
      </c>
      <c r="I321" t="s">
        <v>12293</v>
      </c>
      <c r="J321">
        <v>0</v>
      </c>
      <c r="K321">
        <v>-18.72</v>
      </c>
      <c r="L321" t="s">
        <v>2917</v>
      </c>
      <c r="M321">
        <v>-107.84</v>
      </c>
      <c r="N321" t="s">
        <v>2918</v>
      </c>
      <c r="O321" t="s">
        <v>12294</v>
      </c>
      <c r="P321" t="s">
        <v>12290</v>
      </c>
      <c r="Q321" t="s">
        <v>2924</v>
      </c>
      <c r="R321" t="s">
        <v>3219</v>
      </c>
      <c r="S321" t="s">
        <v>12291</v>
      </c>
      <c r="T321" t="s">
        <v>12292</v>
      </c>
    </row>
    <row r="322" spans="1:20">
      <c r="A322" t="s">
        <v>1012</v>
      </c>
      <c r="B322" t="s">
        <v>11331</v>
      </c>
      <c r="C322">
        <v>45763</v>
      </c>
      <c r="D322" t="s">
        <v>7263</v>
      </c>
      <c r="E322" t="s">
        <v>11332</v>
      </c>
      <c r="F322">
        <v>45764</v>
      </c>
      <c r="G322" t="s">
        <v>12284</v>
      </c>
      <c r="H322" t="s">
        <v>2916</v>
      </c>
      <c r="I322" t="s">
        <v>12293</v>
      </c>
      <c r="J322">
        <v>0</v>
      </c>
      <c r="K322">
        <v>-624.27</v>
      </c>
      <c r="L322" t="s">
        <v>2917</v>
      </c>
      <c r="M322">
        <v>-3594.99</v>
      </c>
      <c r="N322" t="s">
        <v>2918</v>
      </c>
      <c r="O322" t="s">
        <v>12294</v>
      </c>
      <c r="P322" t="s">
        <v>12287</v>
      </c>
      <c r="Q322" t="s">
        <v>2924</v>
      </c>
      <c r="R322" t="s">
        <v>3219</v>
      </c>
      <c r="S322" t="s">
        <v>12288</v>
      </c>
      <c r="T322" t="s">
        <v>12289</v>
      </c>
    </row>
    <row r="323" spans="1:20">
      <c r="A323" t="s">
        <v>1012</v>
      </c>
      <c r="B323" t="s">
        <v>11331</v>
      </c>
      <c r="C323">
        <v>45763</v>
      </c>
      <c r="D323" t="s">
        <v>7263</v>
      </c>
      <c r="E323" t="s">
        <v>11332</v>
      </c>
      <c r="F323">
        <v>45764</v>
      </c>
      <c r="G323" t="s">
        <v>12284</v>
      </c>
      <c r="H323" t="s">
        <v>2916</v>
      </c>
      <c r="I323" t="s">
        <v>12295</v>
      </c>
      <c r="J323">
        <v>20</v>
      </c>
      <c r="K323">
        <v>20.69</v>
      </c>
      <c r="L323" t="s">
        <v>2917</v>
      </c>
      <c r="M323">
        <v>119.12</v>
      </c>
      <c r="N323" t="s">
        <v>2918</v>
      </c>
      <c r="O323" t="s">
        <v>12296</v>
      </c>
      <c r="P323" t="s">
        <v>12297</v>
      </c>
      <c r="Q323" t="s">
        <v>2924</v>
      </c>
      <c r="R323" t="s">
        <v>3219</v>
      </c>
      <c r="S323" t="s">
        <v>12298</v>
      </c>
      <c r="T323" t="s">
        <v>12299</v>
      </c>
    </row>
    <row r="324" spans="1:20">
      <c r="A324" t="s">
        <v>1012</v>
      </c>
      <c r="B324" t="s">
        <v>11331</v>
      </c>
      <c r="C324">
        <v>45763</v>
      </c>
      <c r="D324" t="s">
        <v>7263</v>
      </c>
      <c r="E324" t="s">
        <v>11332</v>
      </c>
      <c r="F324">
        <v>45764</v>
      </c>
      <c r="G324" t="s">
        <v>12284</v>
      </c>
      <c r="H324" t="s">
        <v>2916</v>
      </c>
      <c r="I324" t="s">
        <v>12300</v>
      </c>
      <c r="J324">
        <v>0</v>
      </c>
      <c r="K324">
        <v>-3.89</v>
      </c>
      <c r="L324" t="s">
        <v>2917</v>
      </c>
      <c r="M324">
        <v>-22.36</v>
      </c>
      <c r="N324" t="s">
        <v>2918</v>
      </c>
      <c r="O324" t="s">
        <v>12301</v>
      </c>
      <c r="P324" t="s">
        <v>12297</v>
      </c>
      <c r="Q324" t="s">
        <v>2924</v>
      </c>
      <c r="R324" t="s">
        <v>3219</v>
      </c>
      <c r="S324" t="s">
        <v>12298</v>
      </c>
      <c r="T324" t="s">
        <v>12299</v>
      </c>
    </row>
    <row r="325" spans="1:20">
      <c r="A325" t="s">
        <v>1012</v>
      </c>
      <c r="B325" t="s">
        <v>11331</v>
      </c>
      <c r="C325">
        <v>45763</v>
      </c>
      <c r="D325" t="s">
        <v>7263</v>
      </c>
      <c r="E325" t="s">
        <v>11332</v>
      </c>
      <c r="F325">
        <v>45764</v>
      </c>
      <c r="G325" t="s">
        <v>12284</v>
      </c>
      <c r="H325" t="s">
        <v>2916</v>
      </c>
      <c r="I325" t="s">
        <v>15881</v>
      </c>
      <c r="J325">
        <v>0</v>
      </c>
      <c r="K325">
        <v>18.72</v>
      </c>
      <c r="L325" t="s">
        <v>2917</v>
      </c>
      <c r="M325">
        <v>107.84</v>
      </c>
      <c r="N325" t="s">
        <v>2918</v>
      </c>
      <c r="O325" t="s">
        <v>15882</v>
      </c>
      <c r="P325" t="s">
        <v>12290</v>
      </c>
      <c r="Q325" t="s">
        <v>2924</v>
      </c>
      <c r="R325" t="s">
        <v>3219</v>
      </c>
      <c r="S325" t="s">
        <v>12291</v>
      </c>
      <c r="T325" t="s">
        <v>12292</v>
      </c>
    </row>
    <row r="326" spans="1:20">
      <c r="A326" t="s">
        <v>1012</v>
      </c>
      <c r="B326" t="s">
        <v>11331</v>
      </c>
      <c r="C326">
        <v>45763</v>
      </c>
      <c r="D326" t="s">
        <v>7263</v>
      </c>
      <c r="E326" t="s">
        <v>11332</v>
      </c>
      <c r="F326">
        <v>45764</v>
      </c>
      <c r="G326" t="s">
        <v>12284</v>
      </c>
      <c r="H326" t="s">
        <v>2916</v>
      </c>
      <c r="I326" t="s">
        <v>15881</v>
      </c>
      <c r="J326">
        <v>0</v>
      </c>
      <c r="K326">
        <v>624.27</v>
      </c>
      <c r="L326" t="s">
        <v>2917</v>
      </c>
      <c r="M326">
        <v>3594.99</v>
      </c>
      <c r="N326" t="s">
        <v>2918</v>
      </c>
      <c r="O326" t="s">
        <v>15882</v>
      </c>
      <c r="P326" t="s">
        <v>12287</v>
      </c>
      <c r="Q326" t="s">
        <v>2924</v>
      </c>
      <c r="R326" t="s">
        <v>3219</v>
      </c>
      <c r="S326" t="s">
        <v>12288</v>
      </c>
      <c r="T326" t="s">
        <v>12289</v>
      </c>
    </row>
    <row r="327" spans="1:20">
      <c r="A327" t="s">
        <v>1012</v>
      </c>
      <c r="B327" t="s">
        <v>11331</v>
      </c>
      <c r="C327">
        <v>45763</v>
      </c>
      <c r="D327" t="s">
        <v>7263</v>
      </c>
      <c r="E327" t="s">
        <v>11332</v>
      </c>
      <c r="F327">
        <v>45770</v>
      </c>
      <c r="G327" t="s">
        <v>12284</v>
      </c>
      <c r="H327" t="s">
        <v>2916</v>
      </c>
      <c r="I327" t="s">
        <v>15883</v>
      </c>
      <c r="J327">
        <v>0</v>
      </c>
      <c r="K327">
        <v>-18.72</v>
      </c>
      <c r="L327" t="s">
        <v>2917</v>
      </c>
      <c r="M327">
        <v>-107.79</v>
      </c>
      <c r="N327" t="s">
        <v>2918</v>
      </c>
      <c r="O327" t="s">
        <v>15882</v>
      </c>
      <c r="P327" t="s">
        <v>12290</v>
      </c>
      <c r="Q327" t="s">
        <v>2924</v>
      </c>
      <c r="R327" t="s">
        <v>3219</v>
      </c>
      <c r="S327" t="s">
        <v>12291</v>
      </c>
      <c r="T327" t="s">
        <v>12292</v>
      </c>
    </row>
    <row r="328" spans="1:20">
      <c r="A328" t="s">
        <v>1012</v>
      </c>
      <c r="B328" t="s">
        <v>11331</v>
      </c>
      <c r="C328">
        <v>45763</v>
      </c>
      <c r="D328" t="s">
        <v>7263</v>
      </c>
      <c r="E328" t="s">
        <v>11332</v>
      </c>
      <c r="F328">
        <v>45764</v>
      </c>
      <c r="G328" t="s">
        <v>12284</v>
      </c>
      <c r="H328" t="s">
        <v>2916</v>
      </c>
      <c r="I328" t="s">
        <v>15884</v>
      </c>
      <c r="J328">
        <v>0</v>
      </c>
      <c r="K328">
        <v>3.89</v>
      </c>
      <c r="L328" t="s">
        <v>2917</v>
      </c>
      <c r="M328">
        <v>22.36</v>
      </c>
      <c r="N328" t="s">
        <v>2918</v>
      </c>
      <c r="O328" t="s">
        <v>15885</v>
      </c>
      <c r="P328" t="s">
        <v>12297</v>
      </c>
      <c r="Q328" t="s">
        <v>2924</v>
      </c>
      <c r="R328" t="s">
        <v>3219</v>
      </c>
      <c r="S328" t="s">
        <v>12298</v>
      </c>
      <c r="T328" t="s">
        <v>12299</v>
      </c>
    </row>
    <row r="329" spans="1:20">
      <c r="A329" t="s">
        <v>1012</v>
      </c>
      <c r="B329" t="s">
        <v>11331</v>
      </c>
      <c r="C329">
        <v>45771</v>
      </c>
      <c r="D329" t="s">
        <v>7263</v>
      </c>
      <c r="E329" t="s">
        <v>11332</v>
      </c>
      <c r="F329">
        <v>45771</v>
      </c>
      <c r="G329" t="s">
        <v>15955</v>
      </c>
      <c r="H329" t="s">
        <v>2916</v>
      </c>
      <c r="I329" t="s">
        <v>15956</v>
      </c>
      <c r="J329">
        <v>3800</v>
      </c>
      <c r="K329">
        <v>65.989999999999995</v>
      </c>
      <c r="L329" t="s">
        <v>2917</v>
      </c>
      <c r="M329">
        <v>380</v>
      </c>
      <c r="N329" t="s">
        <v>2918</v>
      </c>
      <c r="O329" t="s">
        <v>15957</v>
      </c>
      <c r="P329" t="s">
        <v>15958</v>
      </c>
      <c r="Q329" t="s">
        <v>2924</v>
      </c>
      <c r="R329" t="s">
        <v>3219</v>
      </c>
      <c r="S329" t="s">
        <v>15959</v>
      </c>
      <c r="T329" t="s">
        <v>15960</v>
      </c>
    </row>
    <row r="330" spans="1:20">
      <c r="A330" t="s">
        <v>1012</v>
      </c>
      <c r="B330" t="s">
        <v>11331</v>
      </c>
      <c r="C330">
        <v>45771</v>
      </c>
      <c r="D330" t="s">
        <v>7263</v>
      </c>
      <c r="E330" t="s">
        <v>11332</v>
      </c>
      <c r="F330">
        <v>45771</v>
      </c>
      <c r="G330" t="s">
        <v>15955</v>
      </c>
      <c r="H330" t="s">
        <v>2916</v>
      </c>
      <c r="I330" t="s">
        <v>15961</v>
      </c>
      <c r="J330">
        <v>0</v>
      </c>
      <c r="K330">
        <v>-6.11</v>
      </c>
      <c r="L330" t="s">
        <v>2917</v>
      </c>
      <c r="M330">
        <v>-35.15</v>
      </c>
      <c r="N330" t="s">
        <v>2918</v>
      </c>
      <c r="O330" t="s">
        <v>15962</v>
      </c>
      <c r="P330" t="s">
        <v>15958</v>
      </c>
      <c r="Q330" t="s">
        <v>2924</v>
      </c>
      <c r="R330" t="s">
        <v>3219</v>
      </c>
      <c r="S330" t="s">
        <v>15959</v>
      </c>
      <c r="T330" t="s">
        <v>15960</v>
      </c>
    </row>
    <row r="331" spans="1:20">
      <c r="A331" t="s">
        <v>1012</v>
      </c>
      <c r="B331" t="s">
        <v>11331</v>
      </c>
      <c r="C331">
        <v>45771</v>
      </c>
      <c r="D331" t="s">
        <v>7263</v>
      </c>
      <c r="E331" t="s">
        <v>11332</v>
      </c>
      <c r="F331">
        <v>45771</v>
      </c>
      <c r="G331" t="s">
        <v>2208</v>
      </c>
      <c r="H331" t="s">
        <v>2916</v>
      </c>
      <c r="I331" t="s">
        <v>16177</v>
      </c>
      <c r="J331">
        <v>0</v>
      </c>
      <c r="K331">
        <v>65.47</v>
      </c>
      <c r="L331" t="s">
        <v>2917</v>
      </c>
      <c r="M331">
        <v>377.04</v>
      </c>
      <c r="N331" t="s">
        <v>2918</v>
      </c>
      <c r="O331" t="s">
        <v>16178</v>
      </c>
      <c r="P331" t="s">
        <v>2208</v>
      </c>
      <c r="Q331" t="s">
        <v>16179</v>
      </c>
      <c r="R331" t="s">
        <v>16180</v>
      </c>
      <c r="S331" t="s">
        <v>2208</v>
      </c>
      <c r="T331" t="s">
        <v>2208</v>
      </c>
    </row>
    <row r="332" spans="1:20">
      <c r="A332" t="s">
        <v>1012</v>
      </c>
      <c r="B332" t="s">
        <v>11331</v>
      </c>
      <c r="C332">
        <v>45771</v>
      </c>
      <c r="D332" t="s">
        <v>7263</v>
      </c>
      <c r="E332" t="s">
        <v>11332</v>
      </c>
      <c r="F332">
        <v>45771</v>
      </c>
      <c r="G332" t="s">
        <v>15955</v>
      </c>
      <c r="H332" t="s">
        <v>2916</v>
      </c>
      <c r="I332" t="s">
        <v>16181</v>
      </c>
      <c r="J332">
        <v>0</v>
      </c>
      <c r="K332">
        <v>6.11</v>
      </c>
      <c r="L332" t="s">
        <v>2917</v>
      </c>
      <c r="M332">
        <v>35.15</v>
      </c>
      <c r="N332" t="s">
        <v>2918</v>
      </c>
      <c r="O332" t="s">
        <v>16182</v>
      </c>
      <c r="P332" t="s">
        <v>15958</v>
      </c>
      <c r="Q332" t="s">
        <v>2924</v>
      </c>
      <c r="R332" t="s">
        <v>3219</v>
      </c>
      <c r="S332" t="s">
        <v>15959</v>
      </c>
      <c r="T332" t="s">
        <v>15960</v>
      </c>
    </row>
    <row r="333" spans="1:20">
      <c r="A333" t="s">
        <v>1012</v>
      </c>
      <c r="B333" t="s">
        <v>11331</v>
      </c>
      <c r="C333">
        <v>45777</v>
      </c>
      <c r="D333" t="s">
        <v>7263</v>
      </c>
      <c r="E333" t="s">
        <v>11332</v>
      </c>
      <c r="F333">
        <v>45777</v>
      </c>
      <c r="G333" t="s">
        <v>2208</v>
      </c>
      <c r="H333" t="s">
        <v>2916</v>
      </c>
      <c r="I333" t="s">
        <v>16359</v>
      </c>
      <c r="J333">
        <v>0</v>
      </c>
      <c r="K333">
        <v>0.06</v>
      </c>
      <c r="L333" t="s">
        <v>2917</v>
      </c>
      <c r="M333">
        <v>0</v>
      </c>
      <c r="N333" t="s">
        <v>2918</v>
      </c>
      <c r="O333" t="s">
        <v>2919</v>
      </c>
      <c r="P333" t="s">
        <v>2208</v>
      </c>
      <c r="Q333" t="s">
        <v>2916</v>
      </c>
      <c r="R333" t="s">
        <v>3220</v>
      </c>
      <c r="S333" t="s">
        <v>2208</v>
      </c>
      <c r="T333" t="s">
        <v>2208</v>
      </c>
    </row>
    <row r="334" spans="1:20">
      <c r="A334" t="s">
        <v>1012</v>
      </c>
      <c r="B334" t="s">
        <v>16360</v>
      </c>
      <c r="C334">
        <v>45779</v>
      </c>
      <c r="D334" t="s">
        <v>7263</v>
      </c>
      <c r="E334" t="s">
        <v>16361</v>
      </c>
      <c r="F334">
        <v>45779</v>
      </c>
      <c r="G334" t="s">
        <v>2208</v>
      </c>
      <c r="H334" t="s">
        <v>2916</v>
      </c>
      <c r="I334" t="s">
        <v>16362</v>
      </c>
      <c r="J334">
        <v>3</v>
      </c>
      <c r="K334">
        <v>18.18</v>
      </c>
      <c r="L334" t="s">
        <v>2917</v>
      </c>
      <c r="M334">
        <v>112.26</v>
      </c>
      <c r="N334" t="s">
        <v>2918</v>
      </c>
      <c r="O334" t="s">
        <v>11383</v>
      </c>
      <c r="P334" t="s">
        <v>2208</v>
      </c>
      <c r="Q334" t="s">
        <v>11384</v>
      </c>
      <c r="R334" t="s">
        <v>11385</v>
      </c>
      <c r="S334" t="s">
        <v>16363</v>
      </c>
      <c r="T334" t="s">
        <v>16364</v>
      </c>
    </row>
    <row r="335" spans="1:20">
      <c r="A335" t="s">
        <v>1012</v>
      </c>
      <c r="B335" t="s">
        <v>16360</v>
      </c>
      <c r="C335">
        <v>45763</v>
      </c>
      <c r="D335" t="s">
        <v>7263</v>
      </c>
      <c r="E335" t="s">
        <v>16361</v>
      </c>
      <c r="F335">
        <v>45784</v>
      </c>
      <c r="G335" t="s">
        <v>16962</v>
      </c>
      <c r="H335" t="s">
        <v>2916</v>
      </c>
      <c r="I335" t="s">
        <v>16963</v>
      </c>
      <c r="J335">
        <v>2</v>
      </c>
      <c r="K335">
        <v>140.30000000000001</v>
      </c>
      <c r="L335" t="s">
        <v>2917</v>
      </c>
      <c r="M335">
        <v>790.4</v>
      </c>
      <c r="N335" t="s">
        <v>2918</v>
      </c>
      <c r="O335" t="s">
        <v>16964</v>
      </c>
      <c r="P335" t="s">
        <v>16965</v>
      </c>
      <c r="Q335" t="s">
        <v>2924</v>
      </c>
      <c r="R335" t="s">
        <v>3219</v>
      </c>
      <c r="S335" t="s">
        <v>16966</v>
      </c>
      <c r="T335" t="s">
        <v>16967</v>
      </c>
    </row>
    <row r="336" spans="1:20">
      <c r="A336" t="s">
        <v>1012</v>
      </c>
      <c r="B336" t="s">
        <v>16360</v>
      </c>
      <c r="C336">
        <v>45786</v>
      </c>
      <c r="D336" t="s">
        <v>7263</v>
      </c>
      <c r="E336" t="s">
        <v>16361</v>
      </c>
      <c r="F336">
        <v>45786</v>
      </c>
      <c r="G336" t="s">
        <v>12284</v>
      </c>
      <c r="H336" t="s">
        <v>2916</v>
      </c>
      <c r="I336" t="s">
        <v>17020</v>
      </c>
      <c r="J336">
        <v>0</v>
      </c>
      <c r="K336">
        <v>14.34</v>
      </c>
      <c r="L336" t="s">
        <v>2917</v>
      </c>
      <c r="M336">
        <v>107.79</v>
      </c>
      <c r="N336" t="s">
        <v>2918</v>
      </c>
      <c r="O336" t="s">
        <v>12294</v>
      </c>
      <c r="P336" t="s">
        <v>12290</v>
      </c>
      <c r="Q336" t="s">
        <v>2924</v>
      </c>
      <c r="R336" t="s">
        <v>3219</v>
      </c>
      <c r="S336" t="s">
        <v>12291</v>
      </c>
      <c r="T336" t="s">
        <v>12292</v>
      </c>
    </row>
    <row r="337" spans="1:20">
      <c r="A337" t="s">
        <v>1012</v>
      </c>
      <c r="B337" t="s">
        <v>16360</v>
      </c>
      <c r="C337">
        <v>45786</v>
      </c>
      <c r="D337" t="s">
        <v>7263</v>
      </c>
      <c r="E337" t="s">
        <v>16361</v>
      </c>
      <c r="F337">
        <v>45786</v>
      </c>
      <c r="G337" t="s">
        <v>12284</v>
      </c>
      <c r="H337" t="s">
        <v>2916</v>
      </c>
      <c r="I337" t="s">
        <v>17021</v>
      </c>
      <c r="J337">
        <v>0</v>
      </c>
      <c r="K337">
        <v>-14.34</v>
      </c>
      <c r="L337" t="s">
        <v>2917</v>
      </c>
      <c r="M337">
        <v>-107.79</v>
      </c>
      <c r="N337" t="s">
        <v>2918</v>
      </c>
      <c r="O337" t="s">
        <v>12294</v>
      </c>
      <c r="P337" t="s">
        <v>12290</v>
      </c>
      <c r="Q337" t="s">
        <v>2924</v>
      </c>
      <c r="R337" t="s">
        <v>3219</v>
      </c>
      <c r="S337" t="s">
        <v>12291</v>
      </c>
      <c r="T337" t="s">
        <v>12292</v>
      </c>
    </row>
    <row r="338" spans="1:20">
      <c r="A338" t="s">
        <v>1012</v>
      </c>
      <c r="B338" t="s">
        <v>16360</v>
      </c>
      <c r="C338">
        <v>45786</v>
      </c>
      <c r="D338" t="s">
        <v>7263</v>
      </c>
      <c r="E338" t="s">
        <v>16361</v>
      </c>
      <c r="F338">
        <v>45786</v>
      </c>
      <c r="G338" t="s">
        <v>12284</v>
      </c>
      <c r="H338" t="s">
        <v>2916</v>
      </c>
      <c r="I338" t="s">
        <v>17022</v>
      </c>
      <c r="J338">
        <v>0</v>
      </c>
      <c r="K338">
        <v>14.34</v>
      </c>
      <c r="L338" t="s">
        <v>2917</v>
      </c>
      <c r="M338">
        <v>107.79</v>
      </c>
      <c r="N338" t="s">
        <v>2918</v>
      </c>
      <c r="O338" t="s">
        <v>12294</v>
      </c>
      <c r="P338" t="s">
        <v>12290</v>
      </c>
      <c r="Q338" t="s">
        <v>2924</v>
      </c>
      <c r="R338" t="s">
        <v>3219</v>
      </c>
      <c r="S338" t="s">
        <v>12291</v>
      </c>
      <c r="T338" t="s">
        <v>12292</v>
      </c>
    </row>
    <row r="339" spans="1:20">
      <c r="A339" t="s">
        <v>1012</v>
      </c>
      <c r="B339" t="s">
        <v>16360</v>
      </c>
      <c r="C339">
        <v>45763</v>
      </c>
      <c r="D339" t="s">
        <v>7263</v>
      </c>
      <c r="E339" t="s">
        <v>16361</v>
      </c>
      <c r="F339">
        <v>45786</v>
      </c>
      <c r="G339" t="s">
        <v>12284</v>
      </c>
      <c r="H339" t="s">
        <v>2916</v>
      </c>
      <c r="I339" t="s">
        <v>17023</v>
      </c>
      <c r="J339">
        <v>-1</v>
      </c>
      <c r="K339">
        <v>-216.05</v>
      </c>
      <c r="L339" t="s">
        <v>2917</v>
      </c>
      <c r="M339">
        <v>-1244.18</v>
      </c>
      <c r="N339" t="s">
        <v>2918</v>
      </c>
      <c r="O339" t="s">
        <v>17024</v>
      </c>
      <c r="P339" t="s">
        <v>12290</v>
      </c>
      <c r="Q339" t="s">
        <v>2924</v>
      </c>
      <c r="R339" t="s">
        <v>3219</v>
      </c>
      <c r="S339" t="s">
        <v>12291</v>
      </c>
      <c r="T339" t="s">
        <v>12292</v>
      </c>
    </row>
    <row r="340" spans="1:20">
      <c r="A340" t="s">
        <v>1012</v>
      </c>
      <c r="B340" t="s">
        <v>16360</v>
      </c>
      <c r="C340">
        <v>45799</v>
      </c>
      <c r="D340" t="s">
        <v>7263</v>
      </c>
      <c r="E340" t="s">
        <v>16361</v>
      </c>
      <c r="F340">
        <v>45803</v>
      </c>
      <c r="G340" t="s">
        <v>17578</v>
      </c>
      <c r="H340" t="s">
        <v>2916</v>
      </c>
      <c r="I340" t="s">
        <v>17579</v>
      </c>
      <c r="J340">
        <v>1</v>
      </c>
      <c r="K340">
        <v>8705.93</v>
      </c>
      <c r="L340" t="s">
        <v>2917</v>
      </c>
      <c r="M340">
        <v>49047.49</v>
      </c>
      <c r="N340" t="s">
        <v>2918</v>
      </c>
      <c r="O340" t="s">
        <v>17580</v>
      </c>
      <c r="P340" t="s">
        <v>17581</v>
      </c>
      <c r="Q340" t="s">
        <v>2924</v>
      </c>
      <c r="R340" t="s">
        <v>3219</v>
      </c>
      <c r="S340" t="s">
        <v>17582</v>
      </c>
      <c r="T340" t="s">
        <v>17583</v>
      </c>
    </row>
    <row r="341" spans="1:20">
      <c r="A341" t="s">
        <v>1012</v>
      </c>
      <c r="B341" t="s">
        <v>16360</v>
      </c>
      <c r="C341">
        <v>45799</v>
      </c>
      <c r="D341" t="s">
        <v>7263</v>
      </c>
      <c r="E341" t="s">
        <v>16361</v>
      </c>
      <c r="F341">
        <v>45803</v>
      </c>
      <c r="G341" t="s">
        <v>17578</v>
      </c>
      <c r="H341" t="s">
        <v>2916</v>
      </c>
      <c r="I341" t="s">
        <v>17584</v>
      </c>
      <c r="J341">
        <v>0</v>
      </c>
      <c r="K341">
        <v>-1027.8800000000001</v>
      </c>
      <c r="L341" t="s">
        <v>2917</v>
      </c>
      <c r="M341">
        <v>-5790.89</v>
      </c>
      <c r="N341" t="s">
        <v>2918</v>
      </c>
      <c r="O341" t="s">
        <v>17585</v>
      </c>
      <c r="P341" t="s">
        <v>17581</v>
      </c>
      <c r="Q341" t="s">
        <v>2924</v>
      </c>
      <c r="R341" t="s">
        <v>3219</v>
      </c>
      <c r="S341" t="s">
        <v>17582</v>
      </c>
      <c r="T341" t="s">
        <v>17583</v>
      </c>
    </row>
    <row r="342" spans="1:20">
      <c r="A342" t="s">
        <v>1012</v>
      </c>
      <c r="B342" t="s">
        <v>16360</v>
      </c>
      <c r="C342">
        <v>45805</v>
      </c>
      <c r="D342" t="s">
        <v>7263</v>
      </c>
      <c r="E342" t="s">
        <v>16361</v>
      </c>
      <c r="F342">
        <v>45805</v>
      </c>
      <c r="G342" t="s">
        <v>2208</v>
      </c>
      <c r="H342" t="s">
        <v>2916</v>
      </c>
      <c r="I342" t="s">
        <v>17823</v>
      </c>
      <c r="J342">
        <v>0</v>
      </c>
      <c r="K342">
        <v>-725.49</v>
      </c>
      <c r="L342" t="s">
        <v>2917</v>
      </c>
      <c r="M342">
        <v>-4087.29</v>
      </c>
      <c r="N342" t="s">
        <v>2918</v>
      </c>
      <c r="O342" t="s">
        <v>17824</v>
      </c>
      <c r="P342" t="s">
        <v>2208</v>
      </c>
      <c r="Q342" t="s">
        <v>2933</v>
      </c>
      <c r="R342" t="s">
        <v>3314</v>
      </c>
      <c r="S342" t="s">
        <v>2208</v>
      </c>
      <c r="T342" t="s">
        <v>2208</v>
      </c>
    </row>
    <row r="343" spans="1:20">
      <c r="A343" t="s">
        <v>1012</v>
      </c>
      <c r="B343" t="s">
        <v>16360</v>
      </c>
      <c r="C343">
        <v>45808</v>
      </c>
      <c r="D343" t="s">
        <v>7263</v>
      </c>
      <c r="E343" t="s">
        <v>16361</v>
      </c>
      <c r="F343">
        <v>45808</v>
      </c>
      <c r="G343" t="s">
        <v>2208</v>
      </c>
      <c r="H343" t="s">
        <v>2916</v>
      </c>
      <c r="I343" t="s">
        <v>17845</v>
      </c>
      <c r="J343">
        <v>0</v>
      </c>
      <c r="K343">
        <v>1.81</v>
      </c>
      <c r="L343" t="s">
        <v>2917</v>
      </c>
      <c r="M343">
        <v>0</v>
      </c>
      <c r="N343" t="s">
        <v>2918</v>
      </c>
      <c r="O343" t="s">
        <v>2919</v>
      </c>
      <c r="P343" t="s">
        <v>2208</v>
      </c>
      <c r="Q343" t="s">
        <v>2916</v>
      </c>
      <c r="R343" t="s">
        <v>3220</v>
      </c>
      <c r="S343" t="s">
        <v>2208</v>
      </c>
      <c r="T343" t="s">
        <v>2208</v>
      </c>
    </row>
    <row r="344" spans="1:20">
      <c r="A344" t="s">
        <v>1012</v>
      </c>
      <c r="B344" t="s">
        <v>17897</v>
      </c>
      <c r="C344">
        <v>45818</v>
      </c>
      <c r="D344" t="s">
        <v>7263</v>
      </c>
      <c r="E344" t="s">
        <v>17898</v>
      </c>
      <c r="F344">
        <v>45818</v>
      </c>
      <c r="G344" t="s">
        <v>18546</v>
      </c>
      <c r="H344" t="s">
        <v>2916</v>
      </c>
      <c r="I344" t="s">
        <v>18547</v>
      </c>
      <c r="J344">
        <v>2</v>
      </c>
      <c r="K344">
        <v>429.22</v>
      </c>
      <c r="L344" t="s">
        <v>2917</v>
      </c>
      <c r="M344">
        <v>2436</v>
      </c>
      <c r="N344" t="s">
        <v>2918</v>
      </c>
      <c r="O344" t="s">
        <v>18548</v>
      </c>
      <c r="P344" t="s">
        <v>18549</v>
      </c>
      <c r="Q344" t="s">
        <v>2924</v>
      </c>
      <c r="R344" t="s">
        <v>3219</v>
      </c>
      <c r="S344" t="s">
        <v>18550</v>
      </c>
      <c r="T344" t="s">
        <v>18551</v>
      </c>
    </row>
    <row r="345" spans="1:20">
      <c r="A345" t="s">
        <v>1012</v>
      </c>
      <c r="B345" t="s">
        <v>17897</v>
      </c>
      <c r="C345">
        <v>45818</v>
      </c>
      <c r="D345" t="s">
        <v>7263</v>
      </c>
      <c r="E345" t="s">
        <v>17898</v>
      </c>
      <c r="F345">
        <v>45818</v>
      </c>
      <c r="G345" t="s">
        <v>18546</v>
      </c>
      <c r="H345" t="s">
        <v>2916</v>
      </c>
      <c r="I345" t="s">
        <v>18547</v>
      </c>
      <c r="J345">
        <v>8</v>
      </c>
      <c r="K345">
        <v>4321.83</v>
      </c>
      <c r="L345" t="s">
        <v>2917</v>
      </c>
      <c r="M345">
        <v>24528</v>
      </c>
      <c r="N345" t="s">
        <v>2918</v>
      </c>
      <c r="O345" t="s">
        <v>18548</v>
      </c>
      <c r="P345" t="s">
        <v>18552</v>
      </c>
      <c r="Q345" t="s">
        <v>2924</v>
      </c>
      <c r="R345" t="s">
        <v>3219</v>
      </c>
      <c r="S345" t="s">
        <v>18553</v>
      </c>
      <c r="T345" t="s">
        <v>18554</v>
      </c>
    </row>
    <row r="346" spans="1:20">
      <c r="A346" t="s">
        <v>1012</v>
      </c>
      <c r="B346" t="s">
        <v>17897</v>
      </c>
      <c r="C346">
        <v>45818</v>
      </c>
      <c r="D346" t="s">
        <v>7263</v>
      </c>
      <c r="E346" t="s">
        <v>17898</v>
      </c>
      <c r="F346">
        <v>45818</v>
      </c>
      <c r="G346" t="s">
        <v>18546</v>
      </c>
      <c r="H346" t="s">
        <v>2916</v>
      </c>
      <c r="I346" t="s">
        <v>18555</v>
      </c>
      <c r="J346">
        <v>0</v>
      </c>
      <c r="K346">
        <v>-109.81</v>
      </c>
      <c r="L346" t="s">
        <v>2917</v>
      </c>
      <c r="M346">
        <v>-623.25</v>
      </c>
      <c r="N346" t="s">
        <v>2918</v>
      </c>
      <c r="O346" t="s">
        <v>18556</v>
      </c>
      <c r="P346" t="s">
        <v>18549</v>
      </c>
      <c r="Q346" t="s">
        <v>2924</v>
      </c>
      <c r="R346" t="s">
        <v>3219</v>
      </c>
      <c r="S346" t="s">
        <v>18550</v>
      </c>
      <c r="T346" t="s">
        <v>18551</v>
      </c>
    </row>
    <row r="347" spans="1:20">
      <c r="A347" t="s">
        <v>1012</v>
      </c>
      <c r="B347" t="s">
        <v>17897</v>
      </c>
      <c r="C347">
        <v>45818</v>
      </c>
      <c r="D347" t="s">
        <v>7263</v>
      </c>
      <c r="E347" t="s">
        <v>17898</v>
      </c>
      <c r="F347">
        <v>45818</v>
      </c>
      <c r="G347" t="s">
        <v>18546</v>
      </c>
      <c r="H347" t="s">
        <v>2916</v>
      </c>
      <c r="I347" t="s">
        <v>18555</v>
      </c>
      <c r="J347">
        <v>0</v>
      </c>
      <c r="K347">
        <v>-1105.74</v>
      </c>
      <c r="L347" t="s">
        <v>2917</v>
      </c>
      <c r="M347">
        <v>-6275.48</v>
      </c>
      <c r="N347" t="s">
        <v>2918</v>
      </c>
      <c r="O347" t="s">
        <v>18556</v>
      </c>
      <c r="P347" t="s">
        <v>18552</v>
      </c>
      <c r="Q347" t="s">
        <v>2924</v>
      </c>
      <c r="R347" t="s">
        <v>3219</v>
      </c>
      <c r="S347" t="s">
        <v>18553</v>
      </c>
      <c r="T347" t="s">
        <v>18554</v>
      </c>
    </row>
    <row r="348" spans="1:20">
      <c r="A348" t="s">
        <v>1012</v>
      </c>
      <c r="B348" t="s">
        <v>17897</v>
      </c>
      <c r="C348">
        <v>45831</v>
      </c>
      <c r="D348" t="s">
        <v>7263</v>
      </c>
      <c r="E348" t="s">
        <v>17898</v>
      </c>
      <c r="F348">
        <v>45831</v>
      </c>
      <c r="G348" t="s">
        <v>2208</v>
      </c>
      <c r="H348" t="s">
        <v>2916</v>
      </c>
      <c r="I348" t="s">
        <v>19154</v>
      </c>
      <c r="J348">
        <v>0</v>
      </c>
      <c r="K348">
        <v>1215.56</v>
      </c>
      <c r="L348" t="s">
        <v>2917</v>
      </c>
      <c r="M348">
        <v>6898.73</v>
      </c>
      <c r="N348" t="s">
        <v>2918</v>
      </c>
      <c r="O348" t="s">
        <v>19155</v>
      </c>
      <c r="P348" t="s">
        <v>2208</v>
      </c>
      <c r="Q348" t="s">
        <v>11434</v>
      </c>
      <c r="R348" t="s">
        <v>11435</v>
      </c>
      <c r="S348" t="s">
        <v>2208</v>
      </c>
      <c r="T348" t="s">
        <v>2208</v>
      </c>
    </row>
    <row r="349" spans="1:20">
      <c r="A349" t="s">
        <v>1012</v>
      </c>
      <c r="B349" t="s">
        <v>17897</v>
      </c>
      <c r="C349">
        <v>45775</v>
      </c>
      <c r="D349" t="s">
        <v>7263</v>
      </c>
      <c r="E349" t="s">
        <v>17898</v>
      </c>
      <c r="F349">
        <v>45828</v>
      </c>
      <c r="G349" t="s">
        <v>18863</v>
      </c>
      <c r="H349" t="s">
        <v>2916</v>
      </c>
      <c r="I349" t="s">
        <v>18864</v>
      </c>
      <c r="J349">
        <v>94225.09</v>
      </c>
      <c r="K349">
        <v>16602.46</v>
      </c>
      <c r="L349" t="s">
        <v>2917</v>
      </c>
      <c r="M349">
        <v>94225.09</v>
      </c>
      <c r="N349" t="s">
        <v>2918</v>
      </c>
      <c r="O349" t="s">
        <v>2939</v>
      </c>
      <c r="P349" t="s">
        <v>2939</v>
      </c>
      <c r="Q349" t="s">
        <v>2924</v>
      </c>
      <c r="R349" t="s">
        <v>3219</v>
      </c>
      <c r="S349" t="s">
        <v>2208</v>
      </c>
      <c r="T349" t="s">
        <v>2208</v>
      </c>
    </row>
    <row r="350" spans="1:20">
      <c r="A350" t="s">
        <v>1012</v>
      </c>
      <c r="B350" t="s">
        <v>17897</v>
      </c>
      <c r="C350">
        <v>45838</v>
      </c>
      <c r="D350" t="s">
        <v>7263</v>
      </c>
      <c r="E350" t="s">
        <v>17898</v>
      </c>
      <c r="F350">
        <v>45838</v>
      </c>
      <c r="G350" t="s">
        <v>2208</v>
      </c>
      <c r="H350" t="s">
        <v>2916</v>
      </c>
      <c r="I350" t="s">
        <v>19243</v>
      </c>
      <c r="J350">
        <v>0</v>
      </c>
      <c r="K350">
        <v>-0.01</v>
      </c>
      <c r="L350" t="s">
        <v>2917</v>
      </c>
      <c r="M350">
        <v>0</v>
      </c>
      <c r="N350" t="s">
        <v>2918</v>
      </c>
      <c r="O350" t="s">
        <v>2919</v>
      </c>
      <c r="P350" t="s">
        <v>2208</v>
      </c>
      <c r="Q350" t="s">
        <v>2916</v>
      </c>
      <c r="R350" t="s">
        <v>3220</v>
      </c>
      <c r="S350" t="s">
        <v>2208</v>
      </c>
      <c r="T350" t="s">
        <v>2208</v>
      </c>
    </row>
    <row r="351" spans="1:20">
      <c r="A351" t="s">
        <v>1012</v>
      </c>
      <c r="B351" t="s">
        <v>9126</v>
      </c>
      <c r="C351">
        <v>45516</v>
      </c>
      <c r="D351" t="s">
        <v>7263</v>
      </c>
      <c r="E351" t="s">
        <v>9127</v>
      </c>
      <c r="F351">
        <v>45735</v>
      </c>
      <c r="G351" t="s">
        <v>10966</v>
      </c>
      <c r="H351" t="s">
        <v>2916</v>
      </c>
      <c r="I351" t="s">
        <v>10967</v>
      </c>
      <c r="J351">
        <v>4165.3900000000003</v>
      </c>
      <c r="K351">
        <v>713.91</v>
      </c>
      <c r="L351" t="s">
        <v>2917</v>
      </c>
      <c r="M351">
        <v>4165.3900000000003</v>
      </c>
      <c r="N351" t="s">
        <v>2918</v>
      </c>
      <c r="O351" t="s">
        <v>10968</v>
      </c>
      <c r="P351" t="s">
        <v>10968</v>
      </c>
      <c r="Q351" t="s">
        <v>2924</v>
      </c>
      <c r="R351" t="s">
        <v>3219</v>
      </c>
      <c r="S351" t="s">
        <v>2208</v>
      </c>
      <c r="T351" t="s">
        <v>2208</v>
      </c>
    </row>
    <row r="352" spans="1:20">
      <c r="A352" t="s">
        <v>1012</v>
      </c>
      <c r="B352" t="s">
        <v>9126</v>
      </c>
      <c r="C352">
        <v>45747</v>
      </c>
      <c r="D352" t="s">
        <v>7263</v>
      </c>
      <c r="E352" t="s">
        <v>9127</v>
      </c>
      <c r="F352">
        <v>45747</v>
      </c>
      <c r="G352" t="s">
        <v>2208</v>
      </c>
      <c r="H352" t="s">
        <v>2916</v>
      </c>
      <c r="I352" t="s">
        <v>11341</v>
      </c>
      <c r="J352">
        <v>0</v>
      </c>
      <c r="K352">
        <v>-7.0000000000000007E-2</v>
      </c>
      <c r="L352" t="s">
        <v>2917</v>
      </c>
      <c r="M352">
        <v>0</v>
      </c>
      <c r="N352" t="s">
        <v>2918</v>
      </c>
      <c r="O352" t="s">
        <v>2919</v>
      </c>
      <c r="P352" t="s">
        <v>2208</v>
      </c>
      <c r="Q352" t="s">
        <v>2916</v>
      </c>
      <c r="R352" t="s">
        <v>3220</v>
      </c>
      <c r="S352" t="s">
        <v>2208</v>
      </c>
      <c r="T352" t="s">
        <v>2208</v>
      </c>
    </row>
    <row r="353" spans="1:20">
      <c r="A353" t="s">
        <v>1013</v>
      </c>
      <c r="B353" t="s">
        <v>7740</v>
      </c>
      <c r="C353">
        <v>45701</v>
      </c>
      <c r="D353" t="s">
        <v>7263</v>
      </c>
      <c r="E353" t="s">
        <v>2925</v>
      </c>
      <c r="F353">
        <v>45701</v>
      </c>
      <c r="G353" t="s">
        <v>2208</v>
      </c>
      <c r="H353" t="s">
        <v>2916</v>
      </c>
      <c r="I353" t="s">
        <v>8615</v>
      </c>
      <c r="J353">
        <v>0</v>
      </c>
      <c r="K353">
        <v>-390.01</v>
      </c>
      <c r="L353" t="s">
        <v>2917</v>
      </c>
      <c r="M353">
        <v>0</v>
      </c>
      <c r="N353" t="s">
        <v>2918</v>
      </c>
      <c r="O353" t="s">
        <v>2946</v>
      </c>
      <c r="P353" t="s">
        <v>2208</v>
      </c>
      <c r="Q353" t="s">
        <v>2928</v>
      </c>
      <c r="R353" t="s">
        <v>3227</v>
      </c>
      <c r="S353" t="s">
        <v>2208</v>
      </c>
      <c r="T353" t="s">
        <v>2208</v>
      </c>
    </row>
    <row r="354" spans="1:20">
      <c r="A354" t="s">
        <v>1013</v>
      </c>
      <c r="B354" t="s">
        <v>7740</v>
      </c>
      <c r="C354">
        <v>45701</v>
      </c>
      <c r="D354" t="s">
        <v>7263</v>
      </c>
      <c r="E354" t="s">
        <v>2925</v>
      </c>
      <c r="F354">
        <v>45701</v>
      </c>
      <c r="G354" t="s">
        <v>2208</v>
      </c>
      <c r="H354" t="s">
        <v>2916</v>
      </c>
      <c r="I354" t="s">
        <v>8616</v>
      </c>
      <c r="J354">
        <v>0</v>
      </c>
      <c r="K354">
        <v>-10150.200000000001</v>
      </c>
      <c r="L354" t="s">
        <v>2917</v>
      </c>
      <c r="M354">
        <v>0</v>
      </c>
      <c r="N354" t="s">
        <v>2918</v>
      </c>
      <c r="O354" t="s">
        <v>2946</v>
      </c>
      <c r="P354" t="s">
        <v>2208</v>
      </c>
      <c r="Q354" t="s">
        <v>2928</v>
      </c>
      <c r="R354" t="s">
        <v>3227</v>
      </c>
      <c r="S354" t="s">
        <v>2208</v>
      </c>
      <c r="T354" t="s">
        <v>2208</v>
      </c>
    </row>
    <row r="355" spans="1:20">
      <c r="A355" t="s">
        <v>1013</v>
      </c>
      <c r="B355" t="s">
        <v>7740</v>
      </c>
      <c r="C355">
        <v>45701</v>
      </c>
      <c r="D355" t="s">
        <v>7263</v>
      </c>
      <c r="E355" t="s">
        <v>2925</v>
      </c>
      <c r="F355">
        <v>45701</v>
      </c>
      <c r="G355" t="s">
        <v>2208</v>
      </c>
      <c r="H355" t="s">
        <v>2916</v>
      </c>
      <c r="I355" t="s">
        <v>8617</v>
      </c>
      <c r="J355">
        <v>0</v>
      </c>
      <c r="K355">
        <v>-3994.7</v>
      </c>
      <c r="L355" t="s">
        <v>2917</v>
      </c>
      <c r="M355">
        <v>0</v>
      </c>
      <c r="N355" t="s">
        <v>2918</v>
      </c>
      <c r="O355" t="s">
        <v>2946</v>
      </c>
      <c r="P355" t="s">
        <v>2208</v>
      </c>
      <c r="Q355" t="s">
        <v>2928</v>
      </c>
      <c r="R355" t="s">
        <v>3227</v>
      </c>
      <c r="S355" t="s">
        <v>2208</v>
      </c>
      <c r="T355" t="s">
        <v>2208</v>
      </c>
    </row>
    <row r="356" spans="1:20">
      <c r="A356" t="s">
        <v>1024</v>
      </c>
      <c r="B356" t="s">
        <v>2920</v>
      </c>
      <c r="C356">
        <v>45679</v>
      </c>
      <c r="D356" t="s">
        <v>7263</v>
      </c>
      <c r="E356" t="s">
        <v>2921</v>
      </c>
      <c r="F356">
        <v>45681</v>
      </c>
      <c r="G356" t="s">
        <v>7537</v>
      </c>
      <c r="H356" t="s">
        <v>2916</v>
      </c>
      <c r="I356" t="s">
        <v>7538</v>
      </c>
      <c r="J356">
        <v>8</v>
      </c>
      <c r="K356">
        <v>11679.46</v>
      </c>
      <c r="L356" t="s">
        <v>2917</v>
      </c>
      <c r="M356">
        <v>72126.62</v>
      </c>
      <c r="N356" t="s">
        <v>2918</v>
      </c>
      <c r="O356" t="s">
        <v>7539</v>
      </c>
      <c r="P356" t="s">
        <v>7540</v>
      </c>
      <c r="Q356" t="s">
        <v>2924</v>
      </c>
      <c r="R356" t="s">
        <v>3219</v>
      </c>
      <c r="S356" t="s">
        <v>7541</v>
      </c>
      <c r="T356" t="s">
        <v>7542</v>
      </c>
    </row>
    <row r="357" spans="1:20">
      <c r="A357" t="s">
        <v>1024</v>
      </c>
      <c r="B357" t="s">
        <v>2920</v>
      </c>
      <c r="C357">
        <v>45679</v>
      </c>
      <c r="D357" t="s">
        <v>7263</v>
      </c>
      <c r="E357" t="s">
        <v>2921</v>
      </c>
      <c r="F357">
        <v>45681</v>
      </c>
      <c r="G357" t="s">
        <v>7537</v>
      </c>
      <c r="H357" t="s">
        <v>2916</v>
      </c>
      <c r="I357" t="s">
        <v>7543</v>
      </c>
      <c r="J357">
        <v>0</v>
      </c>
      <c r="K357">
        <v>-1378.95</v>
      </c>
      <c r="L357" t="s">
        <v>2917</v>
      </c>
      <c r="M357">
        <v>-8515.76</v>
      </c>
      <c r="N357" t="s">
        <v>2918</v>
      </c>
      <c r="O357" t="s">
        <v>7544</v>
      </c>
      <c r="P357" t="s">
        <v>7540</v>
      </c>
      <c r="Q357" t="s">
        <v>2924</v>
      </c>
      <c r="R357" t="s">
        <v>3219</v>
      </c>
      <c r="S357" t="s">
        <v>7541</v>
      </c>
      <c r="T357" t="s">
        <v>7542</v>
      </c>
    </row>
    <row r="358" spans="1:20">
      <c r="A358" t="s">
        <v>1024</v>
      </c>
      <c r="B358" t="s">
        <v>2920</v>
      </c>
      <c r="C358">
        <v>45687</v>
      </c>
      <c r="D358" t="s">
        <v>7263</v>
      </c>
      <c r="E358" t="s">
        <v>2921</v>
      </c>
      <c r="F358">
        <v>45687</v>
      </c>
      <c r="G358" t="s">
        <v>2208</v>
      </c>
      <c r="H358" t="s">
        <v>2916</v>
      </c>
      <c r="I358" t="s">
        <v>7499</v>
      </c>
      <c r="J358">
        <v>0</v>
      </c>
      <c r="K358">
        <v>-973.29</v>
      </c>
      <c r="L358" t="s">
        <v>2917</v>
      </c>
      <c r="M358">
        <v>-6010.55</v>
      </c>
      <c r="N358" t="s">
        <v>2918</v>
      </c>
      <c r="O358" t="s">
        <v>7500</v>
      </c>
      <c r="P358" t="s">
        <v>2208</v>
      </c>
      <c r="Q358" t="s">
        <v>2933</v>
      </c>
      <c r="R358" t="s">
        <v>3314</v>
      </c>
      <c r="S358" t="s">
        <v>2208</v>
      </c>
      <c r="T358" t="s">
        <v>2208</v>
      </c>
    </row>
    <row r="359" spans="1:20">
      <c r="A359" t="s">
        <v>1024</v>
      </c>
      <c r="B359" t="s">
        <v>2920</v>
      </c>
      <c r="C359">
        <v>45688</v>
      </c>
      <c r="D359" t="s">
        <v>7263</v>
      </c>
      <c r="E359" t="s">
        <v>2921</v>
      </c>
      <c r="F359">
        <v>45688</v>
      </c>
      <c r="G359" t="s">
        <v>2208</v>
      </c>
      <c r="H359" t="s">
        <v>2916</v>
      </c>
      <c r="I359" t="s">
        <v>7545</v>
      </c>
      <c r="J359">
        <v>0</v>
      </c>
      <c r="K359">
        <v>-0.05</v>
      </c>
      <c r="L359" t="s">
        <v>2917</v>
      </c>
      <c r="M359">
        <v>0</v>
      </c>
      <c r="N359" t="s">
        <v>2918</v>
      </c>
      <c r="O359" t="s">
        <v>2919</v>
      </c>
      <c r="P359" t="s">
        <v>2208</v>
      </c>
      <c r="Q359" t="s">
        <v>2916</v>
      </c>
      <c r="R359" t="s">
        <v>3220</v>
      </c>
      <c r="S359" t="s">
        <v>2208</v>
      </c>
      <c r="T359" t="s">
        <v>2208</v>
      </c>
    </row>
    <row r="360" spans="1:20">
      <c r="A360" t="s">
        <v>1024</v>
      </c>
      <c r="B360" t="s">
        <v>11331</v>
      </c>
      <c r="C360">
        <v>45744</v>
      </c>
      <c r="D360" t="s">
        <v>7263</v>
      </c>
      <c r="E360" t="s">
        <v>11332</v>
      </c>
      <c r="F360">
        <v>45751</v>
      </c>
      <c r="G360" t="s">
        <v>7537</v>
      </c>
      <c r="H360" t="s">
        <v>2916</v>
      </c>
      <c r="I360" t="s">
        <v>12121</v>
      </c>
      <c r="J360">
        <v>12</v>
      </c>
      <c r="K360">
        <v>31.37</v>
      </c>
      <c r="L360" t="s">
        <v>2917</v>
      </c>
      <c r="M360">
        <v>180.65</v>
      </c>
      <c r="N360" t="s">
        <v>2918</v>
      </c>
      <c r="O360" t="s">
        <v>12122</v>
      </c>
      <c r="P360" t="s">
        <v>11154</v>
      </c>
      <c r="Q360" t="s">
        <v>2924</v>
      </c>
      <c r="R360" t="s">
        <v>3219</v>
      </c>
      <c r="S360" t="s">
        <v>11155</v>
      </c>
      <c r="T360" t="s">
        <v>11156</v>
      </c>
    </row>
    <row r="361" spans="1:20">
      <c r="A361" t="s">
        <v>1024</v>
      </c>
      <c r="B361" t="s">
        <v>11331</v>
      </c>
      <c r="C361">
        <v>45744</v>
      </c>
      <c r="D361" t="s">
        <v>7263</v>
      </c>
      <c r="E361" t="s">
        <v>11332</v>
      </c>
      <c r="F361">
        <v>45751</v>
      </c>
      <c r="G361" t="s">
        <v>7537</v>
      </c>
      <c r="H361" t="s">
        <v>2916</v>
      </c>
      <c r="I361" t="s">
        <v>12123</v>
      </c>
      <c r="J361">
        <v>0</v>
      </c>
      <c r="K361">
        <v>-3.45</v>
      </c>
      <c r="L361" t="s">
        <v>2917</v>
      </c>
      <c r="M361">
        <v>-19.86</v>
      </c>
      <c r="N361" t="s">
        <v>2918</v>
      </c>
      <c r="O361" t="s">
        <v>12124</v>
      </c>
      <c r="P361" t="s">
        <v>11154</v>
      </c>
      <c r="Q361" t="s">
        <v>2924</v>
      </c>
      <c r="R361" t="s">
        <v>3219</v>
      </c>
      <c r="S361" t="s">
        <v>11155</v>
      </c>
      <c r="T361" t="s">
        <v>11156</v>
      </c>
    </row>
    <row r="362" spans="1:20">
      <c r="A362" t="s">
        <v>1024</v>
      </c>
      <c r="B362" t="s">
        <v>11331</v>
      </c>
      <c r="C362">
        <v>45777</v>
      </c>
      <c r="D362" t="s">
        <v>7263</v>
      </c>
      <c r="E362" t="s">
        <v>11332</v>
      </c>
      <c r="F362">
        <v>45777</v>
      </c>
      <c r="G362" t="s">
        <v>2208</v>
      </c>
      <c r="H362" t="s">
        <v>2916</v>
      </c>
      <c r="I362" t="s">
        <v>16319</v>
      </c>
      <c r="J362">
        <v>0</v>
      </c>
      <c r="K362">
        <v>-4.58</v>
      </c>
      <c r="L362" t="s">
        <v>2917</v>
      </c>
      <c r="M362">
        <v>-26.35</v>
      </c>
      <c r="N362" t="s">
        <v>2918</v>
      </c>
      <c r="O362" t="s">
        <v>16320</v>
      </c>
      <c r="P362" t="s">
        <v>2208</v>
      </c>
      <c r="Q362" t="s">
        <v>2933</v>
      </c>
      <c r="R362" t="s">
        <v>3314</v>
      </c>
      <c r="S362" t="s">
        <v>2208</v>
      </c>
      <c r="T362" t="s">
        <v>2208</v>
      </c>
    </row>
    <row r="363" spans="1:20">
      <c r="A363" t="s">
        <v>1024</v>
      </c>
      <c r="B363" t="s">
        <v>11331</v>
      </c>
      <c r="C363">
        <v>45777</v>
      </c>
      <c r="D363" t="s">
        <v>7263</v>
      </c>
      <c r="E363" t="s">
        <v>11332</v>
      </c>
      <c r="F363">
        <v>45777</v>
      </c>
      <c r="G363" t="s">
        <v>2208</v>
      </c>
      <c r="H363" t="s">
        <v>2916</v>
      </c>
      <c r="I363" t="s">
        <v>16365</v>
      </c>
      <c r="J363">
        <v>0</v>
      </c>
      <c r="K363">
        <v>-7.0000000000000007E-2</v>
      </c>
      <c r="L363" t="s">
        <v>2917</v>
      </c>
      <c r="M363">
        <v>0</v>
      </c>
      <c r="N363" t="s">
        <v>2918</v>
      </c>
      <c r="O363" t="s">
        <v>2919</v>
      </c>
      <c r="P363" t="s">
        <v>2208</v>
      </c>
      <c r="Q363" t="s">
        <v>2916</v>
      </c>
      <c r="R363" t="s">
        <v>3220</v>
      </c>
      <c r="S363" t="s">
        <v>2208</v>
      </c>
      <c r="T363" t="s">
        <v>2208</v>
      </c>
    </row>
    <row r="364" spans="1:20">
      <c r="A364" t="s">
        <v>1024</v>
      </c>
      <c r="B364" t="s">
        <v>16360</v>
      </c>
      <c r="C364">
        <v>45779</v>
      </c>
      <c r="D364" t="s">
        <v>7263</v>
      </c>
      <c r="E364" t="s">
        <v>16361</v>
      </c>
      <c r="F364">
        <v>45786</v>
      </c>
      <c r="G364" t="s">
        <v>7537</v>
      </c>
      <c r="H364" t="s">
        <v>2916</v>
      </c>
      <c r="I364" t="s">
        <v>17025</v>
      </c>
      <c r="J364">
        <v>3</v>
      </c>
      <c r="K364">
        <v>8.02</v>
      </c>
      <c r="L364" t="s">
        <v>2917</v>
      </c>
      <c r="M364">
        <v>45.16</v>
      </c>
      <c r="N364" t="s">
        <v>2918</v>
      </c>
      <c r="O364" t="s">
        <v>17026</v>
      </c>
      <c r="P364" t="s">
        <v>11154</v>
      </c>
      <c r="Q364" t="s">
        <v>2924</v>
      </c>
      <c r="R364" t="s">
        <v>3219</v>
      </c>
      <c r="S364" t="s">
        <v>11155</v>
      </c>
      <c r="T364" t="s">
        <v>11156</v>
      </c>
    </row>
    <row r="365" spans="1:20">
      <c r="A365" t="s">
        <v>1024</v>
      </c>
      <c r="B365" t="s">
        <v>16360</v>
      </c>
      <c r="C365">
        <v>45779</v>
      </c>
      <c r="D365" t="s">
        <v>7263</v>
      </c>
      <c r="E365" t="s">
        <v>16361</v>
      </c>
      <c r="F365">
        <v>45786</v>
      </c>
      <c r="G365" t="s">
        <v>7537</v>
      </c>
      <c r="H365" t="s">
        <v>2916</v>
      </c>
      <c r="I365" t="s">
        <v>17027</v>
      </c>
      <c r="J365">
        <v>0</v>
      </c>
      <c r="K365">
        <v>-0.89</v>
      </c>
      <c r="L365" t="s">
        <v>2917</v>
      </c>
      <c r="M365">
        <v>-4.97</v>
      </c>
      <c r="N365" t="s">
        <v>2918</v>
      </c>
      <c r="O365" t="s">
        <v>17028</v>
      </c>
      <c r="P365" t="s">
        <v>11154</v>
      </c>
      <c r="Q365" t="s">
        <v>2924</v>
      </c>
      <c r="R365" t="s">
        <v>3219</v>
      </c>
      <c r="S365" t="s">
        <v>11155</v>
      </c>
      <c r="T365" t="s">
        <v>11156</v>
      </c>
    </row>
    <row r="366" spans="1:20">
      <c r="A366" t="s">
        <v>1024</v>
      </c>
      <c r="B366" t="s">
        <v>16360</v>
      </c>
      <c r="C366">
        <v>45799</v>
      </c>
      <c r="D366" t="s">
        <v>7263</v>
      </c>
      <c r="E366" t="s">
        <v>16361</v>
      </c>
      <c r="F366">
        <v>45800</v>
      </c>
      <c r="G366" t="s">
        <v>17419</v>
      </c>
      <c r="H366" t="s">
        <v>2916</v>
      </c>
      <c r="I366" t="s">
        <v>17420</v>
      </c>
      <c r="J366">
        <v>12</v>
      </c>
      <c r="K366">
        <v>4582.8999999999996</v>
      </c>
      <c r="L366" t="s">
        <v>2917</v>
      </c>
      <c r="M366">
        <v>25819.13</v>
      </c>
      <c r="N366" t="s">
        <v>2918</v>
      </c>
      <c r="O366" t="s">
        <v>17421</v>
      </c>
      <c r="P366" t="s">
        <v>17422</v>
      </c>
      <c r="Q366" t="s">
        <v>2924</v>
      </c>
      <c r="R366" t="s">
        <v>3219</v>
      </c>
      <c r="S366" t="s">
        <v>17423</v>
      </c>
      <c r="T366" t="s">
        <v>17424</v>
      </c>
    </row>
    <row r="367" spans="1:20">
      <c r="A367" t="s">
        <v>1024</v>
      </c>
      <c r="B367" t="s">
        <v>16360</v>
      </c>
      <c r="C367">
        <v>45799</v>
      </c>
      <c r="D367" t="s">
        <v>7263</v>
      </c>
      <c r="E367" t="s">
        <v>16361</v>
      </c>
      <c r="F367">
        <v>45800</v>
      </c>
      <c r="G367" t="s">
        <v>17419</v>
      </c>
      <c r="H367" t="s">
        <v>2916</v>
      </c>
      <c r="I367" t="s">
        <v>17420</v>
      </c>
      <c r="J367">
        <v>25</v>
      </c>
      <c r="K367">
        <v>503.05</v>
      </c>
      <c r="L367" t="s">
        <v>2917</v>
      </c>
      <c r="M367">
        <v>2834.09</v>
      </c>
      <c r="N367" t="s">
        <v>2918</v>
      </c>
      <c r="O367" t="s">
        <v>17421</v>
      </c>
      <c r="P367" t="s">
        <v>17425</v>
      </c>
      <c r="Q367" t="s">
        <v>2924</v>
      </c>
      <c r="R367" t="s">
        <v>3219</v>
      </c>
      <c r="S367" t="s">
        <v>17426</v>
      </c>
      <c r="T367" t="s">
        <v>17427</v>
      </c>
    </row>
    <row r="368" spans="1:20">
      <c r="A368" t="s">
        <v>1024</v>
      </c>
      <c r="B368" t="s">
        <v>16360</v>
      </c>
      <c r="C368">
        <v>45799</v>
      </c>
      <c r="D368" t="s">
        <v>7263</v>
      </c>
      <c r="E368" t="s">
        <v>16361</v>
      </c>
      <c r="F368">
        <v>45800</v>
      </c>
      <c r="G368" t="s">
        <v>17419</v>
      </c>
      <c r="H368" t="s">
        <v>2916</v>
      </c>
      <c r="I368" t="s">
        <v>17420</v>
      </c>
      <c r="J368">
        <v>12</v>
      </c>
      <c r="K368">
        <v>5319.41</v>
      </c>
      <c r="L368" t="s">
        <v>2917</v>
      </c>
      <c r="M368">
        <v>29968.5</v>
      </c>
      <c r="N368" t="s">
        <v>2918</v>
      </c>
      <c r="O368" t="s">
        <v>17421</v>
      </c>
      <c r="P368" t="s">
        <v>17428</v>
      </c>
      <c r="Q368" t="s">
        <v>2924</v>
      </c>
      <c r="R368" t="s">
        <v>3219</v>
      </c>
      <c r="S368" t="s">
        <v>17429</v>
      </c>
      <c r="T368" t="s">
        <v>17430</v>
      </c>
    </row>
    <row r="369" spans="1:20">
      <c r="A369" t="s">
        <v>1024</v>
      </c>
      <c r="B369" t="s">
        <v>16360</v>
      </c>
      <c r="C369">
        <v>45799</v>
      </c>
      <c r="D369" t="s">
        <v>7263</v>
      </c>
      <c r="E369" t="s">
        <v>16361</v>
      </c>
      <c r="F369">
        <v>45800</v>
      </c>
      <c r="G369" t="s">
        <v>17419</v>
      </c>
      <c r="H369" t="s">
        <v>2916</v>
      </c>
      <c r="I369" t="s">
        <v>17420</v>
      </c>
      <c r="J369">
        <v>25</v>
      </c>
      <c r="K369">
        <v>371.38</v>
      </c>
      <c r="L369" t="s">
        <v>2917</v>
      </c>
      <c r="M369">
        <v>2092.29</v>
      </c>
      <c r="N369" t="s">
        <v>2918</v>
      </c>
      <c r="O369" t="s">
        <v>17421</v>
      </c>
      <c r="P369" t="s">
        <v>17431</v>
      </c>
      <c r="Q369" t="s">
        <v>2924</v>
      </c>
      <c r="R369" t="s">
        <v>3219</v>
      </c>
      <c r="S369" t="s">
        <v>17432</v>
      </c>
      <c r="T369" t="s">
        <v>17433</v>
      </c>
    </row>
    <row r="370" spans="1:20">
      <c r="A370" t="s">
        <v>1024</v>
      </c>
      <c r="B370" t="s">
        <v>16360</v>
      </c>
      <c r="C370">
        <v>45799</v>
      </c>
      <c r="D370" t="s">
        <v>7263</v>
      </c>
      <c r="E370" t="s">
        <v>16361</v>
      </c>
      <c r="F370">
        <v>45800</v>
      </c>
      <c r="G370" t="s">
        <v>17419</v>
      </c>
      <c r="H370" t="s">
        <v>2916</v>
      </c>
      <c r="I370" t="s">
        <v>17420</v>
      </c>
      <c r="J370">
        <v>25</v>
      </c>
      <c r="K370">
        <v>28.52</v>
      </c>
      <c r="L370" t="s">
        <v>2917</v>
      </c>
      <c r="M370">
        <v>160.69999999999999</v>
      </c>
      <c r="N370" t="s">
        <v>2918</v>
      </c>
      <c r="O370" t="s">
        <v>17421</v>
      </c>
      <c r="P370" t="s">
        <v>17434</v>
      </c>
      <c r="Q370" t="s">
        <v>2924</v>
      </c>
      <c r="R370" t="s">
        <v>3219</v>
      </c>
      <c r="S370" t="s">
        <v>17435</v>
      </c>
      <c r="T370" t="s">
        <v>17436</v>
      </c>
    </row>
    <row r="371" spans="1:20">
      <c r="A371" t="s">
        <v>1024</v>
      </c>
      <c r="B371" t="s">
        <v>16360</v>
      </c>
      <c r="C371">
        <v>45799</v>
      </c>
      <c r="D371" t="s">
        <v>7263</v>
      </c>
      <c r="E371" t="s">
        <v>16361</v>
      </c>
      <c r="F371">
        <v>45800</v>
      </c>
      <c r="G371" t="s">
        <v>17419</v>
      </c>
      <c r="H371" t="s">
        <v>2916</v>
      </c>
      <c r="I371" t="s">
        <v>17420</v>
      </c>
      <c r="J371">
        <v>3</v>
      </c>
      <c r="K371">
        <v>6.97</v>
      </c>
      <c r="L371" t="s">
        <v>2917</v>
      </c>
      <c r="M371">
        <v>39.25</v>
      </c>
      <c r="N371" t="s">
        <v>2918</v>
      </c>
      <c r="O371" t="s">
        <v>17421</v>
      </c>
      <c r="P371" t="s">
        <v>17437</v>
      </c>
      <c r="Q371" t="s">
        <v>2924</v>
      </c>
      <c r="R371" t="s">
        <v>3219</v>
      </c>
      <c r="S371" t="s">
        <v>17438</v>
      </c>
      <c r="T371" t="s">
        <v>17439</v>
      </c>
    </row>
    <row r="372" spans="1:20">
      <c r="A372" t="s">
        <v>1024</v>
      </c>
      <c r="B372" t="s">
        <v>16360</v>
      </c>
      <c r="C372">
        <v>45799</v>
      </c>
      <c r="D372" t="s">
        <v>7263</v>
      </c>
      <c r="E372" t="s">
        <v>16361</v>
      </c>
      <c r="F372">
        <v>45800</v>
      </c>
      <c r="G372" t="s">
        <v>17419</v>
      </c>
      <c r="H372" t="s">
        <v>2916</v>
      </c>
      <c r="I372" t="s">
        <v>17420</v>
      </c>
      <c r="J372">
        <v>3</v>
      </c>
      <c r="K372">
        <v>4.4400000000000004</v>
      </c>
      <c r="L372" t="s">
        <v>2917</v>
      </c>
      <c r="M372">
        <v>25.04</v>
      </c>
      <c r="N372" t="s">
        <v>2918</v>
      </c>
      <c r="O372" t="s">
        <v>17421</v>
      </c>
      <c r="P372" t="s">
        <v>17440</v>
      </c>
      <c r="Q372" t="s">
        <v>2924</v>
      </c>
      <c r="R372" t="s">
        <v>3219</v>
      </c>
      <c r="S372" t="s">
        <v>17441</v>
      </c>
      <c r="T372" t="s">
        <v>17439</v>
      </c>
    </row>
    <row r="373" spans="1:20">
      <c r="A373" t="s">
        <v>1024</v>
      </c>
      <c r="B373" t="s">
        <v>16360</v>
      </c>
      <c r="C373">
        <v>45799</v>
      </c>
      <c r="D373" t="s">
        <v>7263</v>
      </c>
      <c r="E373" t="s">
        <v>16361</v>
      </c>
      <c r="F373">
        <v>45800</v>
      </c>
      <c r="G373" t="s">
        <v>17419</v>
      </c>
      <c r="H373" t="s">
        <v>2916</v>
      </c>
      <c r="I373" t="s">
        <v>17420</v>
      </c>
      <c r="J373">
        <v>3</v>
      </c>
      <c r="K373">
        <v>12.74</v>
      </c>
      <c r="L373" t="s">
        <v>2917</v>
      </c>
      <c r="M373">
        <v>71.77</v>
      </c>
      <c r="N373" t="s">
        <v>2918</v>
      </c>
      <c r="O373" t="s">
        <v>17421</v>
      </c>
      <c r="P373" t="s">
        <v>17442</v>
      </c>
      <c r="Q373" t="s">
        <v>2924</v>
      </c>
      <c r="R373" t="s">
        <v>3219</v>
      </c>
      <c r="S373" t="s">
        <v>17443</v>
      </c>
      <c r="T373" t="s">
        <v>17444</v>
      </c>
    </row>
    <row r="374" spans="1:20">
      <c r="A374" t="s">
        <v>1024</v>
      </c>
      <c r="B374" t="s">
        <v>16360</v>
      </c>
      <c r="C374">
        <v>45799</v>
      </c>
      <c r="D374" t="s">
        <v>7263</v>
      </c>
      <c r="E374" t="s">
        <v>16361</v>
      </c>
      <c r="F374">
        <v>45800</v>
      </c>
      <c r="G374" t="s">
        <v>17419</v>
      </c>
      <c r="H374" t="s">
        <v>2916</v>
      </c>
      <c r="I374" t="s">
        <v>17420</v>
      </c>
      <c r="J374">
        <v>3</v>
      </c>
      <c r="K374">
        <v>5.91</v>
      </c>
      <c r="L374" t="s">
        <v>2917</v>
      </c>
      <c r="M374">
        <v>33.299999999999997</v>
      </c>
      <c r="N374" t="s">
        <v>2918</v>
      </c>
      <c r="O374" t="s">
        <v>17421</v>
      </c>
      <c r="P374" t="s">
        <v>17445</v>
      </c>
      <c r="Q374" t="s">
        <v>2924</v>
      </c>
      <c r="R374" t="s">
        <v>3219</v>
      </c>
      <c r="S374" t="s">
        <v>17446</v>
      </c>
      <c r="T374" t="s">
        <v>17447</v>
      </c>
    </row>
    <row r="375" spans="1:20">
      <c r="A375" t="s">
        <v>1024</v>
      </c>
      <c r="B375" t="s">
        <v>16360</v>
      </c>
      <c r="C375">
        <v>45799</v>
      </c>
      <c r="D375" t="s">
        <v>7263</v>
      </c>
      <c r="E375" t="s">
        <v>16361</v>
      </c>
      <c r="F375">
        <v>45800</v>
      </c>
      <c r="G375" t="s">
        <v>17419</v>
      </c>
      <c r="H375" t="s">
        <v>2916</v>
      </c>
      <c r="I375" t="s">
        <v>17420</v>
      </c>
      <c r="J375">
        <v>5</v>
      </c>
      <c r="K375">
        <v>229.98</v>
      </c>
      <c r="L375" t="s">
        <v>2917</v>
      </c>
      <c r="M375">
        <v>1295.67</v>
      </c>
      <c r="N375" t="s">
        <v>2918</v>
      </c>
      <c r="O375" t="s">
        <v>17421</v>
      </c>
      <c r="P375" t="s">
        <v>17448</v>
      </c>
      <c r="Q375" t="s">
        <v>2924</v>
      </c>
      <c r="R375" t="s">
        <v>3219</v>
      </c>
      <c r="S375" t="s">
        <v>17449</v>
      </c>
      <c r="T375" t="s">
        <v>17450</v>
      </c>
    </row>
    <row r="376" spans="1:20">
      <c r="A376" t="s">
        <v>1024</v>
      </c>
      <c r="B376" t="s">
        <v>16360</v>
      </c>
      <c r="C376">
        <v>45799</v>
      </c>
      <c r="D376" t="s">
        <v>7263</v>
      </c>
      <c r="E376" t="s">
        <v>16361</v>
      </c>
      <c r="F376">
        <v>45800</v>
      </c>
      <c r="G376" t="s">
        <v>17419</v>
      </c>
      <c r="H376" t="s">
        <v>2916</v>
      </c>
      <c r="I376" t="s">
        <v>17420</v>
      </c>
      <c r="J376">
        <v>3</v>
      </c>
      <c r="K376">
        <v>70.069999999999993</v>
      </c>
      <c r="L376" t="s">
        <v>2917</v>
      </c>
      <c r="M376">
        <v>394.76</v>
      </c>
      <c r="N376" t="s">
        <v>2918</v>
      </c>
      <c r="O376" t="s">
        <v>17421</v>
      </c>
      <c r="P376" t="s">
        <v>17451</v>
      </c>
      <c r="Q376" t="s">
        <v>2924</v>
      </c>
      <c r="R376" t="s">
        <v>3219</v>
      </c>
      <c r="S376" t="s">
        <v>17452</v>
      </c>
      <c r="T376" t="s">
        <v>17453</v>
      </c>
    </row>
    <row r="377" spans="1:20">
      <c r="A377" t="s">
        <v>1024</v>
      </c>
      <c r="B377" t="s">
        <v>16360</v>
      </c>
      <c r="C377">
        <v>45799</v>
      </c>
      <c r="D377" t="s">
        <v>7263</v>
      </c>
      <c r="E377" t="s">
        <v>16361</v>
      </c>
      <c r="F377">
        <v>45800</v>
      </c>
      <c r="G377" t="s">
        <v>17419</v>
      </c>
      <c r="H377" t="s">
        <v>2916</v>
      </c>
      <c r="I377" t="s">
        <v>17420</v>
      </c>
      <c r="J377">
        <v>3</v>
      </c>
      <c r="K377">
        <v>195.69</v>
      </c>
      <c r="L377" t="s">
        <v>2917</v>
      </c>
      <c r="M377">
        <v>1102.48</v>
      </c>
      <c r="N377" t="s">
        <v>2918</v>
      </c>
      <c r="O377" t="s">
        <v>17421</v>
      </c>
      <c r="P377" t="s">
        <v>17454</v>
      </c>
      <c r="Q377" t="s">
        <v>2924</v>
      </c>
      <c r="R377" t="s">
        <v>3219</v>
      </c>
      <c r="S377" t="s">
        <v>17455</v>
      </c>
      <c r="T377" t="s">
        <v>17456</v>
      </c>
    </row>
    <row r="378" spans="1:20">
      <c r="A378" t="s">
        <v>1024</v>
      </c>
      <c r="B378" t="s">
        <v>16360</v>
      </c>
      <c r="C378">
        <v>45799</v>
      </c>
      <c r="D378" t="s">
        <v>7263</v>
      </c>
      <c r="E378" t="s">
        <v>16361</v>
      </c>
      <c r="F378">
        <v>45800</v>
      </c>
      <c r="G378" t="s">
        <v>17419</v>
      </c>
      <c r="H378" t="s">
        <v>2916</v>
      </c>
      <c r="I378" t="s">
        <v>17420</v>
      </c>
      <c r="J378">
        <v>12</v>
      </c>
      <c r="K378">
        <v>1028.9100000000001</v>
      </c>
      <c r="L378" t="s">
        <v>2917</v>
      </c>
      <c r="M378">
        <v>5796.67</v>
      </c>
      <c r="N378" t="s">
        <v>2918</v>
      </c>
      <c r="O378" t="s">
        <v>17421</v>
      </c>
      <c r="P378" t="s">
        <v>17457</v>
      </c>
      <c r="Q378" t="s">
        <v>2924</v>
      </c>
      <c r="R378" t="s">
        <v>3219</v>
      </c>
      <c r="S378" t="s">
        <v>17458</v>
      </c>
      <c r="T378" t="s">
        <v>17459</v>
      </c>
    </row>
    <row r="379" spans="1:20">
      <c r="A379" t="s">
        <v>1024</v>
      </c>
      <c r="B379" t="s">
        <v>16360</v>
      </c>
      <c r="C379">
        <v>45799</v>
      </c>
      <c r="D379" t="s">
        <v>7263</v>
      </c>
      <c r="E379" t="s">
        <v>16361</v>
      </c>
      <c r="F379">
        <v>45800</v>
      </c>
      <c r="G379" t="s">
        <v>17419</v>
      </c>
      <c r="H379" t="s">
        <v>2916</v>
      </c>
      <c r="I379" t="s">
        <v>17420</v>
      </c>
      <c r="J379">
        <v>8</v>
      </c>
      <c r="K379">
        <v>1108.3900000000001</v>
      </c>
      <c r="L379" t="s">
        <v>2917</v>
      </c>
      <c r="M379">
        <v>6244.45</v>
      </c>
      <c r="N379" t="s">
        <v>2918</v>
      </c>
      <c r="O379" t="s">
        <v>17421</v>
      </c>
      <c r="P379" t="s">
        <v>17460</v>
      </c>
      <c r="Q379" t="s">
        <v>2924</v>
      </c>
      <c r="R379" t="s">
        <v>3219</v>
      </c>
      <c r="S379" t="s">
        <v>17461</v>
      </c>
      <c r="T379" t="s">
        <v>17462</v>
      </c>
    </row>
    <row r="380" spans="1:20">
      <c r="A380" t="s">
        <v>1024</v>
      </c>
      <c r="B380" t="s">
        <v>16360</v>
      </c>
      <c r="C380">
        <v>45799</v>
      </c>
      <c r="D380" t="s">
        <v>7263</v>
      </c>
      <c r="E380" t="s">
        <v>16361</v>
      </c>
      <c r="F380">
        <v>45800</v>
      </c>
      <c r="G380" t="s">
        <v>17419</v>
      </c>
      <c r="H380" t="s">
        <v>2916</v>
      </c>
      <c r="I380" t="s">
        <v>17420</v>
      </c>
      <c r="J380">
        <v>18</v>
      </c>
      <c r="K380">
        <v>704.33</v>
      </c>
      <c r="L380" t="s">
        <v>2917</v>
      </c>
      <c r="M380">
        <v>3968.07</v>
      </c>
      <c r="N380" t="s">
        <v>2918</v>
      </c>
      <c r="O380" t="s">
        <v>17421</v>
      </c>
      <c r="P380" t="s">
        <v>17463</v>
      </c>
      <c r="Q380" t="s">
        <v>2924</v>
      </c>
      <c r="R380" t="s">
        <v>3219</v>
      </c>
      <c r="S380" t="s">
        <v>17464</v>
      </c>
      <c r="T380" t="s">
        <v>17465</v>
      </c>
    </row>
    <row r="381" spans="1:20">
      <c r="A381" t="s">
        <v>1024</v>
      </c>
      <c r="B381" t="s">
        <v>16360</v>
      </c>
      <c r="C381">
        <v>45799</v>
      </c>
      <c r="D381" t="s">
        <v>7263</v>
      </c>
      <c r="E381" t="s">
        <v>16361</v>
      </c>
      <c r="F381">
        <v>45800</v>
      </c>
      <c r="G381" t="s">
        <v>17419</v>
      </c>
      <c r="H381" t="s">
        <v>2916</v>
      </c>
      <c r="I381" t="s">
        <v>17420</v>
      </c>
      <c r="J381">
        <v>21</v>
      </c>
      <c r="K381">
        <v>331.68</v>
      </c>
      <c r="L381" t="s">
        <v>2917</v>
      </c>
      <c r="M381">
        <v>1868.64</v>
      </c>
      <c r="N381" t="s">
        <v>2918</v>
      </c>
      <c r="O381" t="s">
        <v>17421</v>
      </c>
      <c r="P381" t="s">
        <v>17466</v>
      </c>
      <c r="Q381" t="s">
        <v>2924</v>
      </c>
      <c r="R381" t="s">
        <v>3219</v>
      </c>
      <c r="S381" t="s">
        <v>17467</v>
      </c>
      <c r="T381" t="s">
        <v>17468</v>
      </c>
    </row>
    <row r="382" spans="1:20">
      <c r="A382" t="s">
        <v>1024</v>
      </c>
      <c r="B382" t="s">
        <v>16360</v>
      </c>
      <c r="C382">
        <v>45799</v>
      </c>
      <c r="D382" t="s">
        <v>7263</v>
      </c>
      <c r="E382" t="s">
        <v>16361</v>
      </c>
      <c r="F382">
        <v>45800</v>
      </c>
      <c r="G382" t="s">
        <v>17419</v>
      </c>
      <c r="H382" t="s">
        <v>2916</v>
      </c>
      <c r="I382" t="s">
        <v>17420</v>
      </c>
      <c r="J382">
        <v>8</v>
      </c>
      <c r="K382">
        <v>468.27</v>
      </c>
      <c r="L382" t="s">
        <v>2917</v>
      </c>
      <c r="M382">
        <v>2638.13</v>
      </c>
      <c r="N382" t="s">
        <v>2918</v>
      </c>
      <c r="O382" t="s">
        <v>17421</v>
      </c>
      <c r="P382" t="s">
        <v>17469</v>
      </c>
      <c r="Q382" t="s">
        <v>2924</v>
      </c>
      <c r="R382" t="s">
        <v>3219</v>
      </c>
      <c r="S382" t="s">
        <v>17470</v>
      </c>
      <c r="T382" t="s">
        <v>17471</v>
      </c>
    </row>
    <row r="383" spans="1:20">
      <c r="A383" t="s">
        <v>1024</v>
      </c>
      <c r="B383" t="s">
        <v>16360</v>
      </c>
      <c r="C383">
        <v>45799</v>
      </c>
      <c r="D383" t="s">
        <v>7263</v>
      </c>
      <c r="E383" t="s">
        <v>16361</v>
      </c>
      <c r="F383">
        <v>45800</v>
      </c>
      <c r="G383" t="s">
        <v>17419</v>
      </c>
      <c r="H383" t="s">
        <v>2916</v>
      </c>
      <c r="I383" t="s">
        <v>17420</v>
      </c>
      <c r="J383">
        <v>8</v>
      </c>
      <c r="K383">
        <v>764.52</v>
      </c>
      <c r="L383" t="s">
        <v>2917</v>
      </c>
      <c r="M383">
        <v>4307.18</v>
      </c>
      <c r="N383" t="s">
        <v>2918</v>
      </c>
      <c r="O383" t="s">
        <v>17421</v>
      </c>
      <c r="P383" t="s">
        <v>17472</v>
      </c>
      <c r="Q383" t="s">
        <v>2924</v>
      </c>
      <c r="R383" t="s">
        <v>3219</v>
      </c>
      <c r="S383" t="s">
        <v>17473</v>
      </c>
      <c r="T383" t="s">
        <v>17474</v>
      </c>
    </row>
    <row r="384" spans="1:20">
      <c r="A384" t="s">
        <v>1024</v>
      </c>
      <c r="B384" t="s">
        <v>16360</v>
      </c>
      <c r="C384">
        <v>45799</v>
      </c>
      <c r="D384" t="s">
        <v>7263</v>
      </c>
      <c r="E384" t="s">
        <v>16361</v>
      </c>
      <c r="F384">
        <v>45800</v>
      </c>
      <c r="G384" t="s">
        <v>17419</v>
      </c>
      <c r="H384" t="s">
        <v>2916</v>
      </c>
      <c r="I384" t="s">
        <v>17420</v>
      </c>
      <c r="J384">
        <v>8</v>
      </c>
      <c r="K384">
        <v>361.44</v>
      </c>
      <c r="L384" t="s">
        <v>2917</v>
      </c>
      <c r="M384">
        <v>2036.28</v>
      </c>
      <c r="N384" t="s">
        <v>2918</v>
      </c>
      <c r="O384" t="s">
        <v>17421</v>
      </c>
      <c r="P384" t="s">
        <v>17475</v>
      </c>
      <c r="Q384" t="s">
        <v>2924</v>
      </c>
      <c r="R384" t="s">
        <v>3219</v>
      </c>
      <c r="S384" t="s">
        <v>17476</v>
      </c>
      <c r="T384" t="s">
        <v>17477</v>
      </c>
    </row>
    <row r="385" spans="1:20">
      <c r="A385" t="s">
        <v>1024</v>
      </c>
      <c r="B385" t="s">
        <v>16360</v>
      </c>
      <c r="C385">
        <v>45799</v>
      </c>
      <c r="D385" t="s">
        <v>7263</v>
      </c>
      <c r="E385" t="s">
        <v>16361</v>
      </c>
      <c r="F385">
        <v>45800</v>
      </c>
      <c r="G385" t="s">
        <v>17419</v>
      </c>
      <c r="H385" t="s">
        <v>2916</v>
      </c>
      <c r="I385" t="s">
        <v>17420</v>
      </c>
      <c r="J385">
        <v>9</v>
      </c>
      <c r="K385">
        <v>715.31</v>
      </c>
      <c r="L385" t="s">
        <v>2917</v>
      </c>
      <c r="M385">
        <v>4029.93</v>
      </c>
      <c r="N385" t="s">
        <v>2918</v>
      </c>
      <c r="O385" t="s">
        <v>17421</v>
      </c>
      <c r="P385" t="s">
        <v>17478</v>
      </c>
      <c r="Q385" t="s">
        <v>2924</v>
      </c>
      <c r="R385" t="s">
        <v>3219</v>
      </c>
      <c r="S385" t="s">
        <v>17479</v>
      </c>
      <c r="T385" t="s">
        <v>17480</v>
      </c>
    </row>
    <row r="386" spans="1:20">
      <c r="A386" t="s">
        <v>1024</v>
      </c>
      <c r="B386" t="s">
        <v>16360</v>
      </c>
      <c r="C386">
        <v>45799</v>
      </c>
      <c r="D386" t="s">
        <v>7263</v>
      </c>
      <c r="E386" t="s">
        <v>16361</v>
      </c>
      <c r="F386">
        <v>45800</v>
      </c>
      <c r="G386" t="s">
        <v>17419</v>
      </c>
      <c r="H386" t="s">
        <v>2916</v>
      </c>
      <c r="I386" t="s">
        <v>17420</v>
      </c>
      <c r="J386">
        <v>3</v>
      </c>
      <c r="K386">
        <v>14.93</v>
      </c>
      <c r="L386" t="s">
        <v>2917</v>
      </c>
      <c r="M386">
        <v>84.1</v>
      </c>
      <c r="N386" t="s">
        <v>2918</v>
      </c>
      <c r="O386" t="s">
        <v>17421</v>
      </c>
      <c r="P386" t="s">
        <v>17481</v>
      </c>
      <c r="Q386" t="s">
        <v>2924</v>
      </c>
      <c r="R386" t="s">
        <v>3219</v>
      </c>
      <c r="S386" t="s">
        <v>17482</v>
      </c>
      <c r="T386" t="s">
        <v>2208</v>
      </c>
    </row>
    <row r="387" spans="1:20">
      <c r="A387" t="s">
        <v>1024</v>
      </c>
      <c r="B387" t="s">
        <v>16360</v>
      </c>
      <c r="C387">
        <v>45799</v>
      </c>
      <c r="D387" t="s">
        <v>7263</v>
      </c>
      <c r="E387" t="s">
        <v>16361</v>
      </c>
      <c r="F387">
        <v>45800</v>
      </c>
      <c r="G387" t="s">
        <v>17419</v>
      </c>
      <c r="H387" t="s">
        <v>2916</v>
      </c>
      <c r="I387" t="s">
        <v>17420</v>
      </c>
      <c r="J387">
        <v>1</v>
      </c>
      <c r="K387">
        <v>49.51</v>
      </c>
      <c r="L387" t="s">
        <v>2917</v>
      </c>
      <c r="M387">
        <v>278.94</v>
      </c>
      <c r="N387" t="s">
        <v>2918</v>
      </c>
      <c r="O387" t="s">
        <v>17421</v>
      </c>
      <c r="P387" t="s">
        <v>17483</v>
      </c>
      <c r="Q387" t="s">
        <v>2924</v>
      </c>
      <c r="R387" t="s">
        <v>3219</v>
      </c>
      <c r="S387" t="s">
        <v>17484</v>
      </c>
      <c r="T387" t="s">
        <v>17485</v>
      </c>
    </row>
    <row r="388" spans="1:20">
      <c r="A388" t="s">
        <v>1024</v>
      </c>
      <c r="B388" t="s">
        <v>16360</v>
      </c>
      <c r="C388">
        <v>45799</v>
      </c>
      <c r="D388" t="s">
        <v>7263</v>
      </c>
      <c r="E388" t="s">
        <v>16361</v>
      </c>
      <c r="F388">
        <v>45800</v>
      </c>
      <c r="G388" t="s">
        <v>17419</v>
      </c>
      <c r="H388" t="s">
        <v>2916</v>
      </c>
      <c r="I388" t="s">
        <v>17420</v>
      </c>
      <c r="J388">
        <v>3</v>
      </c>
      <c r="K388">
        <v>45.26</v>
      </c>
      <c r="L388" t="s">
        <v>2917</v>
      </c>
      <c r="M388">
        <v>254.97</v>
      </c>
      <c r="N388" t="s">
        <v>2918</v>
      </c>
      <c r="O388" t="s">
        <v>17421</v>
      </c>
      <c r="P388" t="s">
        <v>17486</v>
      </c>
      <c r="Q388" t="s">
        <v>2924</v>
      </c>
      <c r="R388" t="s">
        <v>3219</v>
      </c>
      <c r="S388" t="s">
        <v>17487</v>
      </c>
      <c r="T388" t="s">
        <v>17488</v>
      </c>
    </row>
    <row r="389" spans="1:20">
      <c r="A389" t="s">
        <v>1024</v>
      </c>
      <c r="B389" t="s">
        <v>16360</v>
      </c>
      <c r="C389">
        <v>45799</v>
      </c>
      <c r="D389" t="s">
        <v>7263</v>
      </c>
      <c r="E389" t="s">
        <v>16361</v>
      </c>
      <c r="F389">
        <v>45800</v>
      </c>
      <c r="G389" t="s">
        <v>17419</v>
      </c>
      <c r="H389" t="s">
        <v>2916</v>
      </c>
      <c r="I389" t="s">
        <v>17420</v>
      </c>
      <c r="J389">
        <v>34</v>
      </c>
      <c r="K389">
        <v>997.5</v>
      </c>
      <c r="L389" t="s">
        <v>2917</v>
      </c>
      <c r="M389">
        <v>5619.72</v>
      </c>
      <c r="N389" t="s">
        <v>2918</v>
      </c>
      <c r="O389" t="s">
        <v>17421</v>
      </c>
      <c r="P389" t="s">
        <v>17489</v>
      </c>
      <c r="Q389" t="s">
        <v>2924</v>
      </c>
      <c r="R389" t="s">
        <v>3219</v>
      </c>
      <c r="S389" t="s">
        <v>17490</v>
      </c>
      <c r="T389" t="s">
        <v>17491</v>
      </c>
    </row>
    <row r="390" spans="1:20">
      <c r="A390" t="s">
        <v>1024</v>
      </c>
      <c r="B390" t="s">
        <v>16360</v>
      </c>
      <c r="C390">
        <v>45799</v>
      </c>
      <c r="D390" t="s">
        <v>7263</v>
      </c>
      <c r="E390" t="s">
        <v>16361</v>
      </c>
      <c r="F390">
        <v>45800</v>
      </c>
      <c r="G390" t="s">
        <v>17419</v>
      </c>
      <c r="H390" t="s">
        <v>2916</v>
      </c>
      <c r="I390" t="s">
        <v>17420</v>
      </c>
      <c r="J390">
        <v>16</v>
      </c>
      <c r="K390">
        <v>269.10000000000002</v>
      </c>
      <c r="L390" t="s">
        <v>2917</v>
      </c>
      <c r="M390">
        <v>1516.07</v>
      </c>
      <c r="N390" t="s">
        <v>2918</v>
      </c>
      <c r="O390" t="s">
        <v>17421</v>
      </c>
      <c r="P390" t="s">
        <v>17492</v>
      </c>
      <c r="Q390" t="s">
        <v>2924</v>
      </c>
      <c r="R390" t="s">
        <v>3219</v>
      </c>
      <c r="S390" t="s">
        <v>17493</v>
      </c>
      <c r="T390" t="s">
        <v>17494</v>
      </c>
    </row>
    <row r="391" spans="1:20">
      <c r="A391" t="s">
        <v>1024</v>
      </c>
      <c r="B391" t="s">
        <v>16360</v>
      </c>
      <c r="C391">
        <v>45799</v>
      </c>
      <c r="D391" t="s">
        <v>7263</v>
      </c>
      <c r="E391" t="s">
        <v>16361</v>
      </c>
      <c r="F391">
        <v>45800</v>
      </c>
      <c r="G391" t="s">
        <v>17419</v>
      </c>
      <c r="H391" t="s">
        <v>2916</v>
      </c>
      <c r="I391" t="s">
        <v>17495</v>
      </c>
      <c r="J391">
        <v>0</v>
      </c>
      <c r="K391">
        <v>-387.25</v>
      </c>
      <c r="L391" t="s">
        <v>2917</v>
      </c>
      <c r="M391">
        <v>-2181.67</v>
      </c>
      <c r="N391" t="s">
        <v>2918</v>
      </c>
      <c r="O391" t="s">
        <v>17496</v>
      </c>
      <c r="P391" t="s">
        <v>17422</v>
      </c>
      <c r="Q391" t="s">
        <v>2924</v>
      </c>
      <c r="R391" t="s">
        <v>3219</v>
      </c>
      <c r="S391" t="s">
        <v>17423</v>
      </c>
      <c r="T391" t="s">
        <v>17424</v>
      </c>
    </row>
    <row r="392" spans="1:20">
      <c r="A392" t="s">
        <v>1024</v>
      </c>
      <c r="B392" t="s">
        <v>16360</v>
      </c>
      <c r="C392">
        <v>45799</v>
      </c>
      <c r="D392" t="s">
        <v>7263</v>
      </c>
      <c r="E392" t="s">
        <v>16361</v>
      </c>
      <c r="F392">
        <v>45800</v>
      </c>
      <c r="G392" t="s">
        <v>17419</v>
      </c>
      <c r="H392" t="s">
        <v>2916</v>
      </c>
      <c r="I392" t="s">
        <v>17495</v>
      </c>
      <c r="J392">
        <v>0</v>
      </c>
      <c r="K392">
        <v>-39.51</v>
      </c>
      <c r="L392" t="s">
        <v>2917</v>
      </c>
      <c r="M392">
        <v>-222.57</v>
      </c>
      <c r="N392" t="s">
        <v>2918</v>
      </c>
      <c r="O392" t="s">
        <v>17496</v>
      </c>
      <c r="P392" t="s">
        <v>17425</v>
      </c>
      <c r="Q392" t="s">
        <v>2924</v>
      </c>
      <c r="R392" t="s">
        <v>3219</v>
      </c>
      <c r="S392" t="s">
        <v>17426</v>
      </c>
      <c r="T392" t="s">
        <v>17427</v>
      </c>
    </row>
    <row r="393" spans="1:20">
      <c r="A393" t="s">
        <v>1024</v>
      </c>
      <c r="B393" t="s">
        <v>16360</v>
      </c>
      <c r="C393">
        <v>45799</v>
      </c>
      <c r="D393" t="s">
        <v>7263</v>
      </c>
      <c r="E393" t="s">
        <v>16361</v>
      </c>
      <c r="F393">
        <v>45800</v>
      </c>
      <c r="G393" t="s">
        <v>17419</v>
      </c>
      <c r="H393" t="s">
        <v>2916</v>
      </c>
      <c r="I393" t="s">
        <v>17495</v>
      </c>
      <c r="J393">
        <v>0</v>
      </c>
      <c r="K393">
        <v>-449.48</v>
      </c>
      <c r="L393" t="s">
        <v>2917</v>
      </c>
      <c r="M393">
        <v>-2532.3000000000002</v>
      </c>
      <c r="N393" t="s">
        <v>2918</v>
      </c>
      <c r="O393" t="s">
        <v>17496</v>
      </c>
      <c r="P393" t="s">
        <v>17428</v>
      </c>
      <c r="Q393" t="s">
        <v>2924</v>
      </c>
      <c r="R393" t="s">
        <v>3219</v>
      </c>
      <c r="S393" t="s">
        <v>17429</v>
      </c>
      <c r="T393" t="s">
        <v>17430</v>
      </c>
    </row>
    <row r="394" spans="1:20">
      <c r="A394" t="s">
        <v>1024</v>
      </c>
      <c r="B394" t="s">
        <v>16360</v>
      </c>
      <c r="C394">
        <v>45799</v>
      </c>
      <c r="D394" t="s">
        <v>7263</v>
      </c>
      <c r="E394" t="s">
        <v>16361</v>
      </c>
      <c r="F394">
        <v>45800</v>
      </c>
      <c r="G394" t="s">
        <v>17419</v>
      </c>
      <c r="H394" t="s">
        <v>2916</v>
      </c>
      <c r="I394" t="s">
        <v>17495</v>
      </c>
      <c r="J394">
        <v>0</v>
      </c>
      <c r="K394">
        <v>-29.16</v>
      </c>
      <c r="L394" t="s">
        <v>2917</v>
      </c>
      <c r="M394">
        <v>-164.31</v>
      </c>
      <c r="N394" t="s">
        <v>2918</v>
      </c>
      <c r="O394" t="s">
        <v>17496</v>
      </c>
      <c r="P394" t="s">
        <v>17431</v>
      </c>
      <c r="Q394" t="s">
        <v>2924</v>
      </c>
      <c r="R394" t="s">
        <v>3219</v>
      </c>
      <c r="S394" t="s">
        <v>17432</v>
      </c>
      <c r="T394" t="s">
        <v>17433</v>
      </c>
    </row>
    <row r="395" spans="1:20">
      <c r="A395" t="s">
        <v>1024</v>
      </c>
      <c r="B395" t="s">
        <v>16360</v>
      </c>
      <c r="C395">
        <v>45799</v>
      </c>
      <c r="D395" t="s">
        <v>7263</v>
      </c>
      <c r="E395" t="s">
        <v>16361</v>
      </c>
      <c r="F395">
        <v>45800</v>
      </c>
      <c r="G395" t="s">
        <v>17419</v>
      </c>
      <c r="H395" t="s">
        <v>2916</v>
      </c>
      <c r="I395" t="s">
        <v>17495</v>
      </c>
      <c r="J395">
        <v>0</v>
      </c>
      <c r="K395">
        <v>-2.23</v>
      </c>
      <c r="L395" t="s">
        <v>2917</v>
      </c>
      <c r="M395">
        <v>-12.6</v>
      </c>
      <c r="N395" t="s">
        <v>2918</v>
      </c>
      <c r="O395" t="s">
        <v>17496</v>
      </c>
      <c r="P395" t="s">
        <v>17434</v>
      </c>
      <c r="Q395" t="s">
        <v>2924</v>
      </c>
      <c r="R395" t="s">
        <v>3219</v>
      </c>
      <c r="S395" t="s">
        <v>17435</v>
      </c>
      <c r="T395" t="s">
        <v>17436</v>
      </c>
    </row>
    <row r="396" spans="1:20">
      <c r="A396" t="s">
        <v>1024</v>
      </c>
      <c r="B396" t="s">
        <v>16360</v>
      </c>
      <c r="C396">
        <v>45799</v>
      </c>
      <c r="D396" t="s">
        <v>7263</v>
      </c>
      <c r="E396" t="s">
        <v>16361</v>
      </c>
      <c r="F396">
        <v>45800</v>
      </c>
      <c r="G396" t="s">
        <v>17419</v>
      </c>
      <c r="H396" t="s">
        <v>2916</v>
      </c>
      <c r="I396" t="s">
        <v>17495</v>
      </c>
      <c r="J396">
        <v>0</v>
      </c>
      <c r="K396">
        <v>-0.55000000000000004</v>
      </c>
      <c r="L396" t="s">
        <v>2917</v>
      </c>
      <c r="M396">
        <v>-3.1</v>
      </c>
      <c r="N396" t="s">
        <v>2918</v>
      </c>
      <c r="O396" t="s">
        <v>17496</v>
      </c>
      <c r="P396" t="s">
        <v>17437</v>
      </c>
      <c r="Q396" t="s">
        <v>2924</v>
      </c>
      <c r="R396" t="s">
        <v>3219</v>
      </c>
      <c r="S396" t="s">
        <v>17438</v>
      </c>
      <c r="T396" t="s">
        <v>17439</v>
      </c>
    </row>
    <row r="397" spans="1:20">
      <c r="A397" t="s">
        <v>1024</v>
      </c>
      <c r="B397" t="s">
        <v>16360</v>
      </c>
      <c r="C397">
        <v>45799</v>
      </c>
      <c r="D397" t="s">
        <v>7263</v>
      </c>
      <c r="E397" t="s">
        <v>16361</v>
      </c>
      <c r="F397">
        <v>45800</v>
      </c>
      <c r="G397" t="s">
        <v>17419</v>
      </c>
      <c r="H397" t="s">
        <v>2916</v>
      </c>
      <c r="I397" t="s">
        <v>17495</v>
      </c>
      <c r="J397">
        <v>0</v>
      </c>
      <c r="K397">
        <v>-0.34</v>
      </c>
      <c r="L397" t="s">
        <v>2917</v>
      </c>
      <c r="M397">
        <v>-1.96</v>
      </c>
      <c r="N397" t="s">
        <v>2918</v>
      </c>
      <c r="O397" t="s">
        <v>17496</v>
      </c>
      <c r="P397" t="s">
        <v>17440</v>
      </c>
      <c r="Q397" t="s">
        <v>2924</v>
      </c>
      <c r="R397" t="s">
        <v>3219</v>
      </c>
      <c r="S397" t="s">
        <v>17441</v>
      </c>
      <c r="T397" t="s">
        <v>17439</v>
      </c>
    </row>
    <row r="398" spans="1:20">
      <c r="A398" t="s">
        <v>1024</v>
      </c>
      <c r="B398" t="s">
        <v>16360</v>
      </c>
      <c r="C398">
        <v>45799</v>
      </c>
      <c r="D398" t="s">
        <v>7263</v>
      </c>
      <c r="E398" t="s">
        <v>16361</v>
      </c>
      <c r="F398">
        <v>45800</v>
      </c>
      <c r="G398" t="s">
        <v>17419</v>
      </c>
      <c r="H398" t="s">
        <v>2916</v>
      </c>
      <c r="I398" t="s">
        <v>17495</v>
      </c>
      <c r="J398">
        <v>0</v>
      </c>
      <c r="K398">
        <v>-1</v>
      </c>
      <c r="L398" t="s">
        <v>2917</v>
      </c>
      <c r="M398">
        <v>-5.63</v>
      </c>
      <c r="N398" t="s">
        <v>2918</v>
      </c>
      <c r="O398" t="s">
        <v>17496</v>
      </c>
      <c r="P398" t="s">
        <v>17442</v>
      </c>
      <c r="Q398" t="s">
        <v>2924</v>
      </c>
      <c r="R398" t="s">
        <v>3219</v>
      </c>
      <c r="S398" t="s">
        <v>17443</v>
      </c>
      <c r="T398" t="s">
        <v>17444</v>
      </c>
    </row>
    <row r="399" spans="1:20">
      <c r="A399" t="s">
        <v>1024</v>
      </c>
      <c r="B399" t="s">
        <v>16360</v>
      </c>
      <c r="C399">
        <v>45799</v>
      </c>
      <c r="D399" t="s">
        <v>7263</v>
      </c>
      <c r="E399" t="s">
        <v>16361</v>
      </c>
      <c r="F399">
        <v>45800</v>
      </c>
      <c r="G399" t="s">
        <v>17419</v>
      </c>
      <c r="H399" t="s">
        <v>2916</v>
      </c>
      <c r="I399" t="s">
        <v>17495</v>
      </c>
      <c r="J399">
        <v>0</v>
      </c>
      <c r="K399">
        <v>-0.47</v>
      </c>
      <c r="L399" t="s">
        <v>2917</v>
      </c>
      <c r="M399">
        <v>-2.63</v>
      </c>
      <c r="N399" t="s">
        <v>2918</v>
      </c>
      <c r="O399" t="s">
        <v>17496</v>
      </c>
      <c r="P399" t="s">
        <v>17445</v>
      </c>
      <c r="Q399" t="s">
        <v>2924</v>
      </c>
      <c r="R399" t="s">
        <v>3219</v>
      </c>
      <c r="S399" t="s">
        <v>17446</v>
      </c>
      <c r="T399" t="s">
        <v>17447</v>
      </c>
    </row>
    <row r="400" spans="1:20">
      <c r="A400" t="s">
        <v>1024</v>
      </c>
      <c r="B400" t="s">
        <v>16360</v>
      </c>
      <c r="C400">
        <v>45799</v>
      </c>
      <c r="D400" t="s">
        <v>7263</v>
      </c>
      <c r="E400" t="s">
        <v>16361</v>
      </c>
      <c r="F400">
        <v>45800</v>
      </c>
      <c r="G400" t="s">
        <v>17419</v>
      </c>
      <c r="H400" t="s">
        <v>2916</v>
      </c>
      <c r="I400" t="s">
        <v>17495</v>
      </c>
      <c r="J400">
        <v>0</v>
      </c>
      <c r="K400">
        <v>-19.43</v>
      </c>
      <c r="L400" t="s">
        <v>2917</v>
      </c>
      <c r="M400">
        <v>-109.48</v>
      </c>
      <c r="N400" t="s">
        <v>2918</v>
      </c>
      <c r="O400" t="s">
        <v>17496</v>
      </c>
      <c r="P400" t="s">
        <v>17448</v>
      </c>
      <c r="Q400" t="s">
        <v>2924</v>
      </c>
      <c r="R400" t="s">
        <v>3219</v>
      </c>
      <c r="S400" t="s">
        <v>17449</v>
      </c>
      <c r="T400" t="s">
        <v>17450</v>
      </c>
    </row>
    <row r="401" spans="1:20">
      <c r="A401" t="s">
        <v>1024</v>
      </c>
      <c r="B401" t="s">
        <v>16360</v>
      </c>
      <c r="C401">
        <v>45799</v>
      </c>
      <c r="D401" t="s">
        <v>7263</v>
      </c>
      <c r="E401" t="s">
        <v>16361</v>
      </c>
      <c r="F401">
        <v>45800</v>
      </c>
      <c r="G401" t="s">
        <v>17419</v>
      </c>
      <c r="H401" t="s">
        <v>2916</v>
      </c>
      <c r="I401" t="s">
        <v>17495</v>
      </c>
      <c r="J401">
        <v>0</v>
      </c>
      <c r="K401">
        <v>-5.92</v>
      </c>
      <c r="L401" t="s">
        <v>2917</v>
      </c>
      <c r="M401">
        <v>-33.35</v>
      </c>
      <c r="N401" t="s">
        <v>2918</v>
      </c>
      <c r="O401" t="s">
        <v>17496</v>
      </c>
      <c r="P401" t="s">
        <v>17451</v>
      </c>
      <c r="Q401" t="s">
        <v>2924</v>
      </c>
      <c r="R401" t="s">
        <v>3219</v>
      </c>
      <c r="S401" t="s">
        <v>17452</v>
      </c>
      <c r="T401" t="s">
        <v>17453</v>
      </c>
    </row>
    <row r="402" spans="1:20">
      <c r="A402" t="s">
        <v>1024</v>
      </c>
      <c r="B402" t="s">
        <v>16360</v>
      </c>
      <c r="C402">
        <v>45799</v>
      </c>
      <c r="D402" t="s">
        <v>7263</v>
      </c>
      <c r="E402" t="s">
        <v>16361</v>
      </c>
      <c r="F402">
        <v>45800</v>
      </c>
      <c r="G402" t="s">
        <v>17419</v>
      </c>
      <c r="H402" t="s">
        <v>2916</v>
      </c>
      <c r="I402" t="s">
        <v>17495</v>
      </c>
      <c r="J402">
        <v>0</v>
      </c>
      <c r="K402">
        <v>-16.54</v>
      </c>
      <c r="L402" t="s">
        <v>2917</v>
      </c>
      <c r="M402">
        <v>-93.16</v>
      </c>
      <c r="N402" t="s">
        <v>2918</v>
      </c>
      <c r="O402" t="s">
        <v>17496</v>
      </c>
      <c r="P402" t="s">
        <v>17454</v>
      </c>
      <c r="Q402" t="s">
        <v>2924</v>
      </c>
      <c r="R402" t="s">
        <v>3219</v>
      </c>
      <c r="S402" t="s">
        <v>17455</v>
      </c>
      <c r="T402" t="s">
        <v>17456</v>
      </c>
    </row>
    <row r="403" spans="1:20">
      <c r="A403" t="s">
        <v>1024</v>
      </c>
      <c r="B403" t="s">
        <v>16360</v>
      </c>
      <c r="C403">
        <v>45799</v>
      </c>
      <c r="D403" t="s">
        <v>7263</v>
      </c>
      <c r="E403" t="s">
        <v>16361</v>
      </c>
      <c r="F403">
        <v>45800</v>
      </c>
      <c r="G403" t="s">
        <v>17419</v>
      </c>
      <c r="H403" t="s">
        <v>2916</v>
      </c>
      <c r="I403" t="s">
        <v>17495</v>
      </c>
      <c r="J403">
        <v>0</v>
      </c>
      <c r="K403">
        <v>-86.94</v>
      </c>
      <c r="L403" t="s">
        <v>2917</v>
      </c>
      <c r="M403">
        <v>-489.82</v>
      </c>
      <c r="N403" t="s">
        <v>2918</v>
      </c>
      <c r="O403" t="s">
        <v>17496</v>
      </c>
      <c r="P403" t="s">
        <v>17457</v>
      </c>
      <c r="Q403" t="s">
        <v>2924</v>
      </c>
      <c r="R403" t="s">
        <v>3219</v>
      </c>
      <c r="S403" t="s">
        <v>17458</v>
      </c>
      <c r="T403" t="s">
        <v>17459</v>
      </c>
    </row>
    <row r="404" spans="1:20">
      <c r="A404" t="s">
        <v>1024</v>
      </c>
      <c r="B404" t="s">
        <v>16360</v>
      </c>
      <c r="C404">
        <v>45799</v>
      </c>
      <c r="D404" t="s">
        <v>7263</v>
      </c>
      <c r="E404" t="s">
        <v>16361</v>
      </c>
      <c r="F404">
        <v>45800</v>
      </c>
      <c r="G404" t="s">
        <v>17419</v>
      </c>
      <c r="H404" t="s">
        <v>2916</v>
      </c>
      <c r="I404" t="s">
        <v>17495</v>
      </c>
      <c r="J404">
        <v>0</v>
      </c>
      <c r="K404">
        <v>-93.65</v>
      </c>
      <c r="L404" t="s">
        <v>2917</v>
      </c>
      <c r="M404">
        <v>-527.63</v>
      </c>
      <c r="N404" t="s">
        <v>2918</v>
      </c>
      <c r="O404" t="s">
        <v>17496</v>
      </c>
      <c r="P404" t="s">
        <v>17460</v>
      </c>
      <c r="Q404" t="s">
        <v>2924</v>
      </c>
      <c r="R404" t="s">
        <v>3219</v>
      </c>
      <c r="S404" t="s">
        <v>17461</v>
      </c>
      <c r="T404" t="s">
        <v>17462</v>
      </c>
    </row>
    <row r="405" spans="1:20">
      <c r="A405" t="s">
        <v>1024</v>
      </c>
      <c r="B405" t="s">
        <v>16360</v>
      </c>
      <c r="C405">
        <v>45799</v>
      </c>
      <c r="D405" t="s">
        <v>7263</v>
      </c>
      <c r="E405" t="s">
        <v>16361</v>
      </c>
      <c r="F405">
        <v>45800</v>
      </c>
      <c r="G405" t="s">
        <v>17419</v>
      </c>
      <c r="H405" t="s">
        <v>2916</v>
      </c>
      <c r="I405" t="s">
        <v>17495</v>
      </c>
      <c r="J405">
        <v>0</v>
      </c>
      <c r="K405">
        <v>-59.51</v>
      </c>
      <c r="L405" t="s">
        <v>2917</v>
      </c>
      <c r="M405">
        <v>-335.3</v>
      </c>
      <c r="N405" t="s">
        <v>2918</v>
      </c>
      <c r="O405" t="s">
        <v>17496</v>
      </c>
      <c r="P405" t="s">
        <v>17463</v>
      </c>
      <c r="Q405" t="s">
        <v>2924</v>
      </c>
      <c r="R405" t="s">
        <v>3219</v>
      </c>
      <c r="S405" t="s">
        <v>17464</v>
      </c>
      <c r="T405" t="s">
        <v>17465</v>
      </c>
    </row>
    <row r="406" spans="1:20">
      <c r="A406" t="s">
        <v>1024</v>
      </c>
      <c r="B406" t="s">
        <v>16360</v>
      </c>
      <c r="C406">
        <v>45799</v>
      </c>
      <c r="D406" t="s">
        <v>7263</v>
      </c>
      <c r="E406" t="s">
        <v>16361</v>
      </c>
      <c r="F406">
        <v>45800</v>
      </c>
      <c r="G406" t="s">
        <v>17419</v>
      </c>
      <c r="H406" t="s">
        <v>2916</v>
      </c>
      <c r="I406" t="s">
        <v>17495</v>
      </c>
      <c r="J406">
        <v>0</v>
      </c>
      <c r="K406">
        <v>-28.03</v>
      </c>
      <c r="L406" t="s">
        <v>2917</v>
      </c>
      <c r="M406">
        <v>-157.91</v>
      </c>
      <c r="N406" t="s">
        <v>2918</v>
      </c>
      <c r="O406" t="s">
        <v>17496</v>
      </c>
      <c r="P406" t="s">
        <v>17466</v>
      </c>
      <c r="Q406" t="s">
        <v>2924</v>
      </c>
      <c r="R406" t="s">
        <v>3219</v>
      </c>
      <c r="S406" t="s">
        <v>17467</v>
      </c>
      <c r="T406" t="s">
        <v>17468</v>
      </c>
    </row>
    <row r="407" spans="1:20">
      <c r="A407" t="s">
        <v>1024</v>
      </c>
      <c r="B407" t="s">
        <v>16360</v>
      </c>
      <c r="C407">
        <v>45799</v>
      </c>
      <c r="D407" t="s">
        <v>7263</v>
      </c>
      <c r="E407" t="s">
        <v>16361</v>
      </c>
      <c r="F407">
        <v>45800</v>
      </c>
      <c r="G407" t="s">
        <v>17419</v>
      </c>
      <c r="H407" t="s">
        <v>2916</v>
      </c>
      <c r="I407" t="s">
        <v>17495</v>
      </c>
      <c r="J407">
        <v>0</v>
      </c>
      <c r="K407">
        <v>-36.78</v>
      </c>
      <c r="L407" t="s">
        <v>2917</v>
      </c>
      <c r="M407">
        <v>-207.18</v>
      </c>
      <c r="N407" t="s">
        <v>2918</v>
      </c>
      <c r="O407" t="s">
        <v>17496</v>
      </c>
      <c r="P407" t="s">
        <v>17469</v>
      </c>
      <c r="Q407" t="s">
        <v>2924</v>
      </c>
      <c r="R407" t="s">
        <v>3219</v>
      </c>
      <c r="S407" t="s">
        <v>17470</v>
      </c>
      <c r="T407" t="s">
        <v>17471</v>
      </c>
    </row>
    <row r="408" spans="1:20">
      <c r="A408" t="s">
        <v>1024</v>
      </c>
      <c r="B408" t="s">
        <v>16360</v>
      </c>
      <c r="C408">
        <v>45799</v>
      </c>
      <c r="D408" t="s">
        <v>7263</v>
      </c>
      <c r="E408" t="s">
        <v>16361</v>
      </c>
      <c r="F408">
        <v>45800</v>
      </c>
      <c r="G408" t="s">
        <v>17419</v>
      </c>
      <c r="H408" t="s">
        <v>2916</v>
      </c>
      <c r="I408" t="s">
        <v>17495</v>
      </c>
      <c r="J408">
        <v>0</v>
      </c>
      <c r="K408">
        <v>-60.04</v>
      </c>
      <c r="L408" t="s">
        <v>2917</v>
      </c>
      <c r="M408">
        <v>-338.26</v>
      </c>
      <c r="N408" t="s">
        <v>2918</v>
      </c>
      <c r="O408" t="s">
        <v>17496</v>
      </c>
      <c r="P408" t="s">
        <v>17472</v>
      </c>
      <c r="Q408" t="s">
        <v>2924</v>
      </c>
      <c r="R408" t="s">
        <v>3219</v>
      </c>
      <c r="S408" t="s">
        <v>17473</v>
      </c>
      <c r="T408" t="s">
        <v>17474</v>
      </c>
    </row>
    <row r="409" spans="1:20">
      <c r="A409" t="s">
        <v>1024</v>
      </c>
      <c r="B409" t="s">
        <v>16360</v>
      </c>
      <c r="C409">
        <v>45799</v>
      </c>
      <c r="D409" t="s">
        <v>7263</v>
      </c>
      <c r="E409" t="s">
        <v>16361</v>
      </c>
      <c r="F409">
        <v>45800</v>
      </c>
      <c r="G409" t="s">
        <v>17419</v>
      </c>
      <c r="H409" t="s">
        <v>2916</v>
      </c>
      <c r="I409" t="s">
        <v>17495</v>
      </c>
      <c r="J409">
        <v>0</v>
      </c>
      <c r="K409">
        <v>-28.38</v>
      </c>
      <c r="L409" t="s">
        <v>2917</v>
      </c>
      <c r="M409">
        <v>-159.91</v>
      </c>
      <c r="N409" t="s">
        <v>2918</v>
      </c>
      <c r="O409" t="s">
        <v>17496</v>
      </c>
      <c r="P409" t="s">
        <v>17475</v>
      </c>
      <c r="Q409" t="s">
        <v>2924</v>
      </c>
      <c r="R409" t="s">
        <v>3219</v>
      </c>
      <c r="S409" t="s">
        <v>17476</v>
      </c>
      <c r="T409" t="s">
        <v>17477</v>
      </c>
    </row>
    <row r="410" spans="1:20">
      <c r="A410" t="s">
        <v>1024</v>
      </c>
      <c r="B410" t="s">
        <v>16360</v>
      </c>
      <c r="C410">
        <v>45799</v>
      </c>
      <c r="D410" t="s">
        <v>7263</v>
      </c>
      <c r="E410" t="s">
        <v>16361</v>
      </c>
      <c r="F410">
        <v>45800</v>
      </c>
      <c r="G410" t="s">
        <v>17419</v>
      </c>
      <c r="H410" t="s">
        <v>2916</v>
      </c>
      <c r="I410" t="s">
        <v>17495</v>
      </c>
      <c r="J410">
        <v>0</v>
      </c>
      <c r="K410">
        <v>-60.44</v>
      </c>
      <c r="L410" t="s">
        <v>2917</v>
      </c>
      <c r="M410">
        <v>-340.5</v>
      </c>
      <c r="N410" t="s">
        <v>2918</v>
      </c>
      <c r="O410" t="s">
        <v>17496</v>
      </c>
      <c r="P410" t="s">
        <v>17478</v>
      </c>
      <c r="Q410" t="s">
        <v>2924</v>
      </c>
      <c r="R410" t="s">
        <v>3219</v>
      </c>
      <c r="S410" t="s">
        <v>17479</v>
      </c>
      <c r="T410" t="s">
        <v>17480</v>
      </c>
    </row>
    <row r="411" spans="1:20">
      <c r="A411" t="s">
        <v>1024</v>
      </c>
      <c r="B411" t="s">
        <v>16360</v>
      </c>
      <c r="C411">
        <v>45799</v>
      </c>
      <c r="D411" t="s">
        <v>7263</v>
      </c>
      <c r="E411" t="s">
        <v>16361</v>
      </c>
      <c r="F411">
        <v>45800</v>
      </c>
      <c r="G411" t="s">
        <v>17419</v>
      </c>
      <c r="H411" t="s">
        <v>2916</v>
      </c>
      <c r="I411" t="s">
        <v>17495</v>
      </c>
      <c r="J411">
        <v>0</v>
      </c>
      <c r="K411">
        <v>-1.18</v>
      </c>
      <c r="L411" t="s">
        <v>2917</v>
      </c>
      <c r="M411">
        <v>-6.62</v>
      </c>
      <c r="N411" t="s">
        <v>2918</v>
      </c>
      <c r="O411" t="s">
        <v>17496</v>
      </c>
      <c r="P411" t="s">
        <v>17481</v>
      </c>
      <c r="Q411" t="s">
        <v>2924</v>
      </c>
      <c r="R411" t="s">
        <v>3219</v>
      </c>
      <c r="S411" t="s">
        <v>17482</v>
      </c>
      <c r="T411" t="s">
        <v>2208</v>
      </c>
    </row>
    <row r="412" spans="1:20">
      <c r="A412" t="s">
        <v>1024</v>
      </c>
      <c r="B412" t="s">
        <v>16360</v>
      </c>
      <c r="C412">
        <v>45799</v>
      </c>
      <c r="D412" t="s">
        <v>7263</v>
      </c>
      <c r="E412" t="s">
        <v>16361</v>
      </c>
      <c r="F412">
        <v>45800</v>
      </c>
      <c r="G412" t="s">
        <v>17419</v>
      </c>
      <c r="H412" t="s">
        <v>2916</v>
      </c>
      <c r="I412" t="s">
        <v>17495</v>
      </c>
      <c r="J412">
        <v>0</v>
      </c>
      <c r="K412">
        <v>-4.18</v>
      </c>
      <c r="L412" t="s">
        <v>2917</v>
      </c>
      <c r="M412">
        <v>-23.57</v>
      </c>
      <c r="N412" t="s">
        <v>2918</v>
      </c>
      <c r="O412" t="s">
        <v>17496</v>
      </c>
      <c r="P412" t="s">
        <v>17483</v>
      </c>
      <c r="Q412" t="s">
        <v>2924</v>
      </c>
      <c r="R412" t="s">
        <v>3219</v>
      </c>
      <c r="S412" t="s">
        <v>17484</v>
      </c>
      <c r="T412" t="s">
        <v>17485</v>
      </c>
    </row>
    <row r="413" spans="1:20">
      <c r="A413" t="s">
        <v>1024</v>
      </c>
      <c r="B413" t="s">
        <v>16360</v>
      </c>
      <c r="C413">
        <v>45799</v>
      </c>
      <c r="D413" t="s">
        <v>7263</v>
      </c>
      <c r="E413" t="s">
        <v>16361</v>
      </c>
      <c r="F413">
        <v>45800</v>
      </c>
      <c r="G413" t="s">
        <v>17419</v>
      </c>
      <c r="H413" t="s">
        <v>2916</v>
      </c>
      <c r="I413" t="s">
        <v>17495</v>
      </c>
      <c r="J413">
        <v>0</v>
      </c>
      <c r="K413">
        <v>-3.55</v>
      </c>
      <c r="L413" t="s">
        <v>2917</v>
      </c>
      <c r="M413">
        <v>-20.010000000000002</v>
      </c>
      <c r="N413" t="s">
        <v>2918</v>
      </c>
      <c r="O413" t="s">
        <v>17496</v>
      </c>
      <c r="P413" t="s">
        <v>17486</v>
      </c>
      <c r="Q413" t="s">
        <v>2924</v>
      </c>
      <c r="R413" t="s">
        <v>3219</v>
      </c>
      <c r="S413" t="s">
        <v>17487</v>
      </c>
      <c r="T413" t="s">
        <v>17488</v>
      </c>
    </row>
    <row r="414" spans="1:20">
      <c r="A414" t="s">
        <v>1024</v>
      </c>
      <c r="B414" t="s">
        <v>16360</v>
      </c>
      <c r="C414">
        <v>45799</v>
      </c>
      <c r="D414" t="s">
        <v>7263</v>
      </c>
      <c r="E414" t="s">
        <v>16361</v>
      </c>
      <c r="F414">
        <v>45800</v>
      </c>
      <c r="G414" t="s">
        <v>17419</v>
      </c>
      <c r="H414" t="s">
        <v>2916</v>
      </c>
      <c r="I414" t="s">
        <v>17495</v>
      </c>
      <c r="J414">
        <v>0</v>
      </c>
      <c r="K414">
        <v>-78.34</v>
      </c>
      <c r="L414" t="s">
        <v>2917</v>
      </c>
      <c r="M414">
        <v>-441.34</v>
      </c>
      <c r="N414" t="s">
        <v>2918</v>
      </c>
      <c r="O414" t="s">
        <v>17496</v>
      </c>
      <c r="P414" t="s">
        <v>17489</v>
      </c>
      <c r="Q414" t="s">
        <v>2924</v>
      </c>
      <c r="R414" t="s">
        <v>3219</v>
      </c>
      <c r="S414" t="s">
        <v>17490</v>
      </c>
      <c r="T414" t="s">
        <v>17491</v>
      </c>
    </row>
    <row r="415" spans="1:20">
      <c r="A415" t="s">
        <v>1024</v>
      </c>
      <c r="B415" t="s">
        <v>16360</v>
      </c>
      <c r="C415">
        <v>45799</v>
      </c>
      <c r="D415" t="s">
        <v>7263</v>
      </c>
      <c r="E415" t="s">
        <v>16361</v>
      </c>
      <c r="F415">
        <v>45800</v>
      </c>
      <c r="G415" t="s">
        <v>17419</v>
      </c>
      <c r="H415" t="s">
        <v>2916</v>
      </c>
      <c r="I415" t="s">
        <v>17495</v>
      </c>
      <c r="J415">
        <v>0</v>
      </c>
      <c r="K415">
        <v>-22.74</v>
      </c>
      <c r="L415" t="s">
        <v>2917</v>
      </c>
      <c r="M415">
        <v>-128.1</v>
      </c>
      <c r="N415" t="s">
        <v>2918</v>
      </c>
      <c r="O415" t="s">
        <v>17496</v>
      </c>
      <c r="P415" t="s">
        <v>17492</v>
      </c>
      <c r="Q415" t="s">
        <v>2924</v>
      </c>
      <c r="R415" t="s">
        <v>3219</v>
      </c>
      <c r="S415" t="s">
        <v>17493</v>
      </c>
      <c r="T415" t="s">
        <v>17494</v>
      </c>
    </row>
    <row r="416" spans="1:20">
      <c r="A416" t="s">
        <v>1024</v>
      </c>
      <c r="B416" t="s">
        <v>16360</v>
      </c>
      <c r="C416">
        <v>45805</v>
      </c>
      <c r="D416" t="s">
        <v>7263</v>
      </c>
      <c r="E416" t="s">
        <v>16361</v>
      </c>
      <c r="F416">
        <v>45805</v>
      </c>
      <c r="G416" t="s">
        <v>2208</v>
      </c>
      <c r="H416" t="s">
        <v>2916</v>
      </c>
      <c r="I416" t="s">
        <v>17823</v>
      </c>
      <c r="J416">
        <v>0</v>
      </c>
      <c r="K416">
        <v>-1749.83</v>
      </c>
      <c r="L416" t="s">
        <v>2917</v>
      </c>
      <c r="M416">
        <v>-9858.17</v>
      </c>
      <c r="N416" t="s">
        <v>2918</v>
      </c>
      <c r="O416" t="s">
        <v>17824</v>
      </c>
      <c r="P416" t="s">
        <v>2208</v>
      </c>
      <c r="Q416" t="s">
        <v>2933</v>
      </c>
      <c r="R416" t="s">
        <v>3314</v>
      </c>
      <c r="S416" t="s">
        <v>2208</v>
      </c>
      <c r="T416" t="s">
        <v>2208</v>
      </c>
    </row>
    <row r="417" spans="1:20">
      <c r="A417" t="s">
        <v>1024</v>
      </c>
      <c r="B417" t="s">
        <v>16360</v>
      </c>
      <c r="C417">
        <v>45808</v>
      </c>
      <c r="D417" t="s">
        <v>7263</v>
      </c>
      <c r="E417" t="s">
        <v>16361</v>
      </c>
      <c r="F417">
        <v>45808</v>
      </c>
      <c r="G417" t="s">
        <v>2208</v>
      </c>
      <c r="H417" t="s">
        <v>2916</v>
      </c>
      <c r="I417" t="s">
        <v>17846</v>
      </c>
      <c r="J417">
        <v>0</v>
      </c>
      <c r="K417">
        <v>-0.04</v>
      </c>
      <c r="L417" t="s">
        <v>2917</v>
      </c>
      <c r="M417">
        <v>0</v>
      </c>
      <c r="N417" t="s">
        <v>2918</v>
      </c>
      <c r="O417" t="s">
        <v>2919</v>
      </c>
      <c r="P417" t="s">
        <v>2208</v>
      </c>
      <c r="Q417" t="s">
        <v>2916</v>
      </c>
      <c r="R417" t="s">
        <v>3220</v>
      </c>
      <c r="S417" t="s">
        <v>2208</v>
      </c>
      <c r="T417" t="s">
        <v>2208</v>
      </c>
    </row>
    <row r="418" spans="1:20">
      <c r="A418" t="s">
        <v>1024</v>
      </c>
      <c r="B418" t="s">
        <v>17897</v>
      </c>
      <c r="C418">
        <v>45811</v>
      </c>
      <c r="D418" t="s">
        <v>7263</v>
      </c>
      <c r="E418" t="s">
        <v>17898</v>
      </c>
      <c r="F418">
        <v>45811</v>
      </c>
      <c r="G418" t="s">
        <v>2208</v>
      </c>
      <c r="H418" t="s">
        <v>2916</v>
      </c>
      <c r="I418" t="s">
        <v>18557</v>
      </c>
      <c r="J418">
        <v>0</v>
      </c>
      <c r="K418">
        <v>-55.67</v>
      </c>
      <c r="L418" t="s">
        <v>2917</v>
      </c>
      <c r="M418">
        <v>-315.92</v>
      </c>
      <c r="N418" t="s">
        <v>2918</v>
      </c>
      <c r="O418" t="s">
        <v>17824</v>
      </c>
      <c r="P418" t="s">
        <v>2208</v>
      </c>
      <c r="Q418" t="s">
        <v>2933</v>
      </c>
      <c r="R418" t="s">
        <v>3314</v>
      </c>
      <c r="S418" t="s">
        <v>2208</v>
      </c>
      <c r="T418" t="s">
        <v>2208</v>
      </c>
    </row>
    <row r="419" spans="1:20">
      <c r="A419" t="s">
        <v>1024</v>
      </c>
      <c r="B419" t="s">
        <v>17897</v>
      </c>
      <c r="C419">
        <v>45807</v>
      </c>
      <c r="D419" t="s">
        <v>7263</v>
      </c>
      <c r="E419" t="s">
        <v>17898</v>
      </c>
      <c r="F419">
        <v>45814</v>
      </c>
      <c r="G419" t="s">
        <v>17419</v>
      </c>
      <c r="H419" t="s">
        <v>2916</v>
      </c>
      <c r="I419" t="s">
        <v>18455</v>
      </c>
      <c r="J419">
        <v>2</v>
      </c>
      <c r="K419">
        <v>157.79</v>
      </c>
      <c r="L419" t="s">
        <v>2917</v>
      </c>
      <c r="M419">
        <v>895.54</v>
      </c>
      <c r="N419" t="s">
        <v>2918</v>
      </c>
      <c r="O419" t="s">
        <v>18456</v>
      </c>
      <c r="P419" t="s">
        <v>17478</v>
      </c>
      <c r="Q419" t="s">
        <v>2924</v>
      </c>
      <c r="R419" t="s">
        <v>3219</v>
      </c>
      <c r="S419" t="s">
        <v>17479</v>
      </c>
      <c r="T419" t="s">
        <v>17480</v>
      </c>
    </row>
    <row r="420" spans="1:20">
      <c r="A420" t="s">
        <v>1024</v>
      </c>
      <c r="B420" t="s">
        <v>17897</v>
      </c>
      <c r="C420">
        <v>45807</v>
      </c>
      <c r="D420" t="s">
        <v>7263</v>
      </c>
      <c r="E420" t="s">
        <v>17898</v>
      </c>
      <c r="F420">
        <v>45814</v>
      </c>
      <c r="G420" t="s">
        <v>17419</v>
      </c>
      <c r="H420" t="s">
        <v>2916</v>
      </c>
      <c r="I420" t="s">
        <v>18455</v>
      </c>
      <c r="J420">
        <v>6</v>
      </c>
      <c r="K420">
        <v>174.74</v>
      </c>
      <c r="L420" t="s">
        <v>2917</v>
      </c>
      <c r="M420">
        <v>991.72</v>
      </c>
      <c r="N420" t="s">
        <v>2918</v>
      </c>
      <c r="O420" t="s">
        <v>18456</v>
      </c>
      <c r="P420" t="s">
        <v>17489</v>
      </c>
      <c r="Q420" t="s">
        <v>2924</v>
      </c>
      <c r="R420" t="s">
        <v>3219</v>
      </c>
      <c r="S420" t="s">
        <v>17490</v>
      </c>
      <c r="T420" t="s">
        <v>17491</v>
      </c>
    </row>
    <row r="421" spans="1:20">
      <c r="A421" t="s">
        <v>1024</v>
      </c>
      <c r="B421" t="s">
        <v>17897</v>
      </c>
      <c r="C421">
        <v>45807</v>
      </c>
      <c r="D421" t="s">
        <v>7263</v>
      </c>
      <c r="E421" t="s">
        <v>17898</v>
      </c>
      <c r="F421">
        <v>45814</v>
      </c>
      <c r="G421" t="s">
        <v>17419</v>
      </c>
      <c r="H421" t="s">
        <v>2916</v>
      </c>
      <c r="I421" t="s">
        <v>18457</v>
      </c>
      <c r="J421">
        <v>0</v>
      </c>
      <c r="K421">
        <v>-13.33</v>
      </c>
      <c r="L421" t="s">
        <v>2917</v>
      </c>
      <c r="M421">
        <v>-75.67</v>
      </c>
      <c r="N421" t="s">
        <v>2918</v>
      </c>
      <c r="O421" t="s">
        <v>18458</v>
      </c>
      <c r="P421" t="s">
        <v>17478</v>
      </c>
      <c r="Q421" t="s">
        <v>2924</v>
      </c>
      <c r="R421" t="s">
        <v>3219</v>
      </c>
      <c r="S421" t="s">
        <v>17479</v>
      </c>
      <c r="T421" t="s">
        <v>17480</v>
      </c>
    </row>
    <row r="422" spans="1:20">
      <c r="A422" t="s">
        <v>1024</v>
      </c>
      <c r="B422" t="s">
        <v>17897</v>
      </c>
      <c r="C422">
        <v>45807</v>
      </c>
      <c r="D422" t="s">
        <v>7263</v>
      </c>
      <c r="E422" t="s">
        <v>17898</v>
      </c>
      <c r="F422">
        <v>45814</v>
      </c>
      <c r="G422" t="s">
        <v>17419</v>
      </c>
      <c r="H422" t="s">
        <v>2916</v>
      </c>
      <c r="I422" t="s">
        <v>18457</v>
      </c>
      <c r="J422">
        <v>0</v>
      </c>
      <c r="K422">
        <v>-13.72</v>
      </c>
      <c r="L422" t="s">
        <v>2917</v>
      </c>
      <c r="M422">
        <v>-77.88</v>
      </c>
      <c r="N422" t="s">
        <v>2918</v>
      </c>
      <c r="O422" t="s">
        <v>18458</v>
      </c>
      <c r="P422" t="s">
        <v>17489</v>
      </c>
      <c r="Q422" t="s">
        <v>2924</v>
      </c>
      <c r="R422" t="s">
        <v>3219</v>
      </c>
      <c r="S422" t="s">
        <v>17490</v>
      </c>
      <c r="T422" t="s">
        <v>17491</v>
      </c>
    </row>
    <row r="423" spans="1:20">
      <c r="A423" t="s">
        <v>1024</v>
      </c>
      <c r="B423" t="s">
        <v>17897</v>
      </c>
      <c r="C423">
        <v>45812</v>
      </c>
      <c r="D423" t="s">
        <v>7263</v>
      </c>
      <c r="E423" t="s">
        <v>17898</v>
      </c>
      <c r="F423">
        <v>45814</v>
      </c>
      <c r="G423" t="s">
        <v>17419</v>
      </c>
      <c r="H423" t="s">
        <v>2916</v>
      </c>
      <c r="I423" t="s">
        <v>18459</v>
      </c>
      <c r="J423">
        <v>1</v>
      </c>
      <c r="K423">
        <v>78.900000000000006</v>
      </c>
      <c r="L423" t="s">
        <v>2917</v>
      </c>
      <c r="M423">
        <v>447.77</v>
      </c>
      <c r="N423" t="s">
        <v>2918</v>
      </c>
      <c r="O423" t="s">
        <v>18460</v>
      </c>
      <c r="P423" t="s">
        <v>17478</v>
      </c>
      <c r="Q423" t="s">
        <v>2924</v>
      </c>
      <c r="R423" t="s">
        <v>3219</v>
      </c>
      <c r="S423" t="s">
        <v>17479</v>
      </c>
      <c r="T423" t="s">
        <v>17480</v>
      </c>
    </row>
    <row r="424" spans="1:20">
      <c r="A424" t="s">
        <v>1024</v>
      </c>
      <c r="B424" t="s">
        <v>17897</v>
      </c>
      <c r="C424">
        <v>45812</v>
      </c>
      <c r="D424" t="s">
        <v>7263</v>
      </c>
      <c r="E424" t="s">
        <v>17898</v>
      </c>
      <c r="F424">
        <v>45814</v>
      </c>
      <c r="G424" t="s">
        <v>17419</v>
      </c>
      <c r="H424" t="s">
        <v>2916</v>
      </c>
      <c r="I424" t="s">
        <v>18461</v>
      </c>
      <c r="J424">
        <v>0</v>
      </c>
      <c r="K424">
        <v>-6.67</v>
      </c>
      <c r="L424" t="s">
        <v>2917</v>
      </c>
      <c r="M424">
        <v>-37.840000000000003</v>
      </c>
      <c r="N424" t="s">
        <v>2918</v>
      </c>
      <c r="O424" t="s">
        <v>18462</v>
      </c>
      <c r="P424" t="s">
        <v>17478</v>
      </c>
      <c r="Q424" t="s">
        <v>2924</v>
      </c>
      <c r="R424" t="s">
        <v>3219</v>
      </c>
      <c r="S424" t="s">
        <v>17479</v>
      </c>
      <c r="T424" t="s">
        <v>17480</v>
      </c>
    </row>
    <row r="425" spans="1:20">
      <c r="A425" t="s">
        <v>1024</v>
      </c>
      <c r="B425" t="s">
        <v>17897</v>
      </c>
      <c r="C425">
        <v>45821</v>
      </c>
      <c r="D425" t="s">
        <v>7263</v>
      </c>
      <c r="E425" t="s">
        <v>17898</v>
      </c>
      <c r="F425">
        <v>45826</v>
      </c>
      <c r="G425" t="s">
        <v>17419</v>
      </c>
      <c r="H425" t="s">
        <v>2916</v>
      </c>
      <c r="I425" t="s">
        <v>18558</v>
      </c>
      <c r="J425">
        <v>2</v>
      </c>
      <c r="K425">
        <v>6856.84</v>
      </c>
      <c r="L425" t="s">
        <v>2917</v>
      </c>
      <c r="M425">
        <v>38915.11</v>
      </c>
      <c r="N425" t="s">
        <v>2918</v>
      </c>
      <c r="O425" t="s">
        <v>18559</v>
      </c>
      <c r="P425" t="s">
        <v>18560</v>
      </c>
      <c r="Q425" t="s">
        <v>2924</v>
      </c>
      <c r="R425" t="s">
        <v>3219</v>
      </c>
      <c r="S425" t="s">
        <v>18561</v>
      </c>
      <c r="T425" t="s">
        <v>18560</v>
      </c>
    </row>
    <row r="426" spans="1:20">
      <c r="A426" t="s">
        <v>1024</v>
      </c>
      <c r="B426" t="s">
        <v>17897</v>
      </c>
      <c r="C426">
        <v>45821</v>
      </c>
      <c r="D426" t="s">
        <v>7263</v>
      </c>
      <c r="E426" t="s">
        <v>17898</v>
      </c>
      <c r="F426">
        <v>45826</v>
      </c>
      <c r="G426" t="s">
        <v>17419</v>
      </c>
      <c r="H426" t="s">
        <v>2916</v>
      </c>
      <c r="I426" t="s">
        <v>18558</v>
      </c>
      <c r="J426">
        <v>2</v>
      </c>
      <c r="K426">
        <v>33.770000000000003</v>
      </c>
      <c r="L426" t="s">
        <v>2917</v>
      </c>
      <c r="M426">
        <v>191.64</v>
      </c>
      <c r="N426" t="s">
        <v>2918</v>
      </c>
      <c r="O426" t="s">
        <v>18559</v>
      </c>
      <c r="P426" t="s">
        <v>18562</v>
      </c>
      <c r="Q426" t="s">
        <v>2924</v>
      </c>
      <c r="R426" t="s">
        <v>3219</v>
      </c>
      <c r="S426" t="s">
        <v>18563</v>
      </c>
      <c r="T426" t="s">
        <v>18564</v>
      </c>
    </row>
    <row r="427" spans="1:20">
      <c r="A427" t="s">
        <v>1024</v>
      </c>
      <c r="B427" t="s">
        <v>17897</v>
      </c>
      <c r="C427">
        <v>45821</v>
      </c>
      <c r="D427" t="s">
        <v>7263</v>
      </c>
      <c r="E427" t="s">
        <v>17898</v>
      </c>
      <c r="F427">
        <v>45826</v>
      </c>
      <c r="G427" t="s">
        <v>17419</v>
      </c>
      <c r="H427" t="s">
        <v>2916</v>
      </c>
      <c r="I427" t="s">
        <v>18558</v>
      </c>
      <c r="J427">
        <v>1</v>
      </c>
      <c r="K427">
        <v>162.47999999999999</v>
      </c>
      <c r="L427" t="s">
        <v>2917</v>
      </c>
      <c r="M427">
        <v>922.14</v>
      </c>
      <c r="N427" t="s">
        <v>2918</v>
      </c>
      <c r="O427" t="s">
        <v>18559</v>
      </c>
      <c r="P427" t="s">
        <v>18565</v>
      </c>
      <c r="Q427" t="s">
        <v>2924</v>
      </c>
      <c r="R427" t="s">
        <v>3219</v>
      </c>
      <c r="S427" t="s">
        <v>18566</v>
      </c>
      <c r="T427" t="s">
        <v>18567</v>
      </c>
    </row>
    <row r="428" spans="1:20">
      <c r="A428" t="s">
        <v>1024</v>
      </c>
      <c r="B428" t="s">
        <v>17897</v>
      </c>
      <c r="C428">
        <v>45821</v>
      </c>
      <c r="D428" t="s">
        <v>7263</v>
      </c>
      <c r="E428" t="s">
        <v>17898</v>
      </c>
      <c r="F428">
        <v>45826</v>
      </c>
      <c r="G428" t="s">
        <v>17419</v>
      </c>
      <c r="H428" t="s">
        <v>2916</v>
      </c>
      <c r="I428" t="s">
        <v>18568</v>
      </c>
      <c r="J428">
        <v>0</v>
      </c>
      <c r="K428">
        <v>-538.49</v>
      </c>
      <c r="L428" t="s">
        <v>2917</v>
      </c>
      <c r="M428">
        <v>-3056.12</v>
      </c>
      <c r="N428" t="s">
        <v>2918</v>
      </c>
      <c r="O428" t="s">
        <v>18569</v>
      </c>
      <c r="P428" t="s">
        <v>18560</v>
      </c>
      <c r="Q428" t="s">
        <v>2924</v>
      </c>
      <c r="R428" t="s">
        <v>3219</v>
      </c>
      <c r="S428" t="s">
        <v>18561</v>
      </c>
      <c r="T428" t="s">
        <v>18560</v>
      </c>
    </row>
    <row r="429" spans="1:20">
      <c r="A429" t="s">
        <v>1024</v>
      </c>
      <c r="B429" t="s">
        <v>17897</v>
      </c>
      <c r="C429">
        <v>45821</v>
      </c>
      <c r="D429" t="s">
        <v>7263</v>
      </c>
      <c r="E429" t="s">
        <v>17898</v>
      </c>
      <c r="F429">
        <v>45826</v>
      </c>
      <c r="G429" t="s">
        <v>17419</v>
      </c>
      <c r="H429" t="s">
        <v>2916</v>
      </c>
      <c r="I429" t="s">
        <v>18568</v>
      </c>
      <c r="J429">
        <v>0</v>
      </c>
      <c r="K429">
        <v>-2.86</v>
      </c>
      <c r="L429" t="s">
        <v>2917</v>
      </c>
      <c r="M429">
        <v>-16.190000000000001</v>
      </c>
      <c r="N429" t="s">
        <v>2918</v>
      </c>
      <c r="O429" t="s">
        <v>18569</v>
      </c>
      <c r="P429" t="s">
        <v>18562</v>
      </c>
      <c r="Q429" t="s">
        <v>2924</v>
      </c>
      <c r="R429" t="s">
        <v>3219</v>
      </c>
      <c r="S429" t="s">
        <v>18563</v>
      </c>
      <c r="T429" t="s">
        <v>18564</v>
      </c>
    </row>
    <row r="430" spans="1:20">
      <c r="A430" t="s">
        <v>1024</v>
      </c>
      <c r="B430" t="s">
        <v>17897</v>
      </c>
      <c r="C430">
        <v>45821</v>
      </c>
      <c r="D430" t="s">
        <v>7263</v>
      </c>
      <c r="E430" t="s">
        <v>17898</v>
      </c>
      <c r="F430">
        <v>45826</v>
      </c>
      <c r="G430" t="s">
        <v>17419</v>
      </c>
      <c r="H430" t="s">
        <v>2916</v>
      </c>
      <c r="I430" t="s">
        <v>18568</v>
      </c>
      <c r="J430">
        <v>0</v>
      </c>
      <c r="K430">
        <v>-12.76</v>
      </c>
      <c r="L430" t="s">
        <v>2917</v>
      </c>
      <c r="M430">
        <v>-72.430000000000007</v>
      </c>
      <c r="N430" t="s">
        <v>2918</v>
      </c>
      <c r="O430" t="s">
        <v>18569</v>
      </c>
      <c r="P430" t="s">
        <v>18565</v>
      </c>
      <c r="Q430" t="s">
        <v>2924</v>
      </c>
      <c r="R430" t="s">
        <v>3219</v>
      </c>
      <c r="S430" t="s">
        <v>18566</v>
      </c>
      <c r="T430" t="s">
        <v>18567</v>
      </c>
    </row>
    <row r="431" spans="1:20">
      <c r="A431" t="s">
        <v>1024</v>
      </c>
      <c r="B431" t="s">
        <v>17897</v>
      </c>
      <c r="C431">
        <v>45824</v>
      </c>
      <c r="D431" t="s">
        <v>7263</v>
      </c>
      <c r="E431" t="s">
        <v>17898</v>
      </c>
      <c r="F431">
        <v>45826</v>
      </c>
      <c r="G431" t="s">
        <v>17419</v>
      </c>
      <c r="H431" t="s">
        <v>2916</v>
      </c>
      <c r="I431" t="s">
        <v>18570</v>
      </c>
      <c r="J431">
        <v>2</v>
      </c>
      <c r="K431">
        <v>6487.12</v>
      </c>
      <c r="L431" t="s">
        <v>2917</v>
      </c>
      <c r="M431">
        <v>36816.800000000003</v>
      </c>
      <c r="N431" t="s">
        <v>2918</v>
      </c>
      <c r="O431" t="s">
        <v>18571</v>
      </c>
      <c r="P431" t="s">
        <v>18572</v>
      </c>
      <c r="Q431" t="s">
        <v>2924</v>
      </c>
      <c r="R431" t="s">
        <v>3219</v>
      </c>
      <c r="S431" t="s">
        <v>18573</v>
      </c>
      <c r="T431" t="s">
        <v>18574</v>
      </c>
    </row>
    <row r="432" spans="1:20">
      <c r="A432" t="s">
        <v>1024</v>
      </c>
      <c r="B432" t="s">
        <v>17897</v>
      </c>
      <c r="C432">
        <v>45824</v>
      </c>
      <c r="D432" t="s">
        <v>7263</v>
      </c>
      <c r="E432" t="s">
        <v>17898</v>
      </c>
      <c r="F432">
        <v>45826</v>
      </c>
      <c r="G432" t="s">
        <v>17419</v>
      </c>
      <c r="H432" t="s">
        <v>2916</v>
      </c>
      <c r="I432" t="s">
        <v>18575</v>
      </c>
      <c r="J432">
        <v>0</v>
      </c>
      <c r="K432">
        <v>-509.46</v>
      </c>
      <c r="L432" t="s">
        <v>2917</v>
      </c>
      <c r="M432">
        <v>-2891.35</v>
      </c>
      <c r="N432" t="s">
        <v>2918</v>
      </c>
      <c r="O432" t="s">
        <v>18576</v>
      </c>
      <c r="P432" t="s">
        <v>18572</v>
      </c>
      <c r="Q432" t="s">
        <v>2924</v>
      </c>
      <c r="R432" t="s">
        <v>3219</v>
      </c>
      <c r="S432" t="s">
        <v>18573</v>
      </c>
      <c r="T432" t="s">
        <v>18574</v>
      </c>
    </row>
    <row r="433" spans="1:20">
      <c r="A433" t="s">
        <v>1024</v>
      </c>
      <c r="B433" t="s">
        <v>17897</v>
      </c>
      <c r="C433">
        <v>45835</v>
      </c>
      <c r="D433" t="s">
        <v>7263</v>
      </c>
      <c r="E433" t="s">
        <v>17898</v>
      </c>
      <c r="F433">
        <v>45835</v>
      </c>
      <c r="G433" t="s">
        <v>2208</v>
      </c>
      <c r="H433" t="s">
        <v>2916</v>
      </c>
      <c r="I433" t="s">
        <v>19152</v>
      </c>
      <c r="J433">
        <v>0</v>
      </c>
      <c r="K433">
        <v>-2089.15</v>
      </c>
      <c r="L433" t="s">
        <v>2917</v>
      </c>
      <c r="M433">
        <v>-11856.68</v>
      </c>
      <c r="N433" t="s">
        <v>2918</v>
      </c>
      <c r="O433" t="s">
        <v>19153</v>
      </c>
      <c r="P433" t="s">
        <v>2208</v>
      </c>
      <c r="Q433" t="s">
        <v>2933</v>
      </c>
      <c r="R433" t="s">
        <v>3314</v>
      </c>
      <c r="S433" t="s">
        <v>2208</v>
      </c>
      <c r="T433" t="s">
        <v>2208</v>
      </c>
    </row>
    <row r="434" spans="1:20">
      <c r="A434" t="s">
        <v>1024</v>
      </c>
      <c r="B434" t="s">
        <v>17897</v>
      </c>
      <c r="C434">
        <v>45838</v>
      </c>
      <c r="D434" t="s">
        <v>7263</v>
      </c>
      <c r="E434" t="s">
        <v>17898</v>
      </c>
      <c r="F434">
        <v>45838</v>
      </c>
      <c r="G434" t="s">
        <v>2208</v>
      </c>
      <c r="H434" t="s">
        <v>2916</v>
      </c>
      <c r="I434" t="s">
        <v>19244</v>
      </c>
      <c r="J434">
        <v>0</v>
      </c>
      <c r="K434">
        <v>0.08</v>
      </c>
      <c r="L434" t="s">
        <v>2917</v>
      </c>
      <c r="M434">
        <v>0</v>
      </c>
      <c r="N434" t="s">
        <v>2918</v>
      </c>
      <c r="O434" t="s">
        <v>2919</v>
      </c>
      <c r="P434" t="s">
        <v>2208</v>
      </c>
      <c r="Q434" t="s">
        <v>2916</v>
      </c>
      <c r="R434" t="s">
        <v>3220</v>
      </c>
      <c r="S434" t="s">
        <v>2208</v>
      </c>
      <c r="T434" t="s">
        <v>2208</v>
      </c>
    </row>
    <row r="435" spans="1:20">
      <c r="A435" t="s">
        <v>1024</v>
      </c>
      <c r="B435" t="s">
        <v>19439</v>
      </c>
      <c r="C435">
        <v>45838</v>
      </c>
      <c r="D435" t="s">
        <v>7263</v>
      </c>
      <c r="E435" t="s">
        <v>19440</v>
      </c>
      <c r="F435">
        <v>45842</v>
      </c>
      <c r="G435" t="s">
        <v>17419</v>
      </c>
      <c r="H435" t="s">
        <v>2916</v>
      </c>
      <c r="I435" t="s">
        <v>19975</v>
      </c>
      <c r="J435">
        <v>11</v>
      </c>
      <c r="K435">
        <v>38902.32</v>
      </c>
      <c r="L435" t="s">
        <v>2917</v>
      </c>
      <c r="M435">
        <v>212965</v>
      </c>
      <c r="N435" t="s">
        <v>2918</v>
      </c>
      <c r="O435" t="s">
        <v>19976</v>
      </c>
      <c r="P435" t="s">
        <v>19977</v>
      </c>
      <c r="Q435" t="s">
        <v>2924</v>
      </c>
      <c r="R435" t="s">
        <v>3219</v>
      </c>
      <c r="S435" t="s">
        <v>19978</v>
      </c>
      <c r="T435" t="s">
        <v>19979</v>
      </c>
    </row>
    <row r="436" spans="1:20">
      <c r="A436" t="s">
        <v>1024</v>
      </c>
      <c r="B436" t="s">
        <v>19439</v>
      </c>
      <c r="C436">
        <v>45838</v>
      </c>
      <c r="D436" t="s">
        <v>7263</v>
      </c>
      <c r="E436" t="s">
        <v>19440</v>
      </c>
      <c r="F436">
        <v>45842</v>
      </c>
      <c r="G436" t="s">
        <v>17419</v>
      </c>
      <c r="H436" t="s">
        <v>2916</v>
      </c>
      <c r="I436" t="s">
        <v>19980</v>
      </c>
      <c r="J436">
        <v>0</v>
      </c>
      <c r="K436">
        <v>-3287.18</v>
      </c>
      <c r="L436" t="s">
        <v>2917</v>
      </c>
      <c r="M436">
        <v>-17995.169999999998</v>
      </c>
      <c r="N436" t="s">
        <v>2918</v>
      </c>
      <c r="O436" t="s">
        <v>19981</v>
      </c>
      <c r="P436" t="s">
        <v>19977</v>
      </c>
      <c r="Q436" t="s">
        <v>2924</v>
      </c>
      <c r="R436" t="s">
        <v>3219</v>
      </c>
      <c r="S436" t="s">
        <v>19978</v>
      </c>
      <c r="T436" t="s">
        <v>19979</v>
      </c>
    </row>
    <row r="437" spans="1:20">
      <c r="A437" t="s">
        <v>1024</v>
      </c>
      <c r="B437" t="s">
        <v>19439</v>
      </c>
      <c r="C437">
        <v>45835</v>
      </c>
      <c r="D437" t="s">
        <v>7263</v>
      </c>
      <c r="E437" t="s">
        <v>19440</v>
      </c>
      <c r="F437">
        <v>45842</v>
      </c>
      <c r="G437" t="s">
        <v>17419</v>
      </c>
      <c r="H437" t="s">
        <v>2916</v>
      </c>
      <c r="I437" t="s">
        <v>19982</v>
      </c>
      <c r="J437">
        <v>30</v>
      </c>
      <c r="K437">
        <v>44.74</v>
      </c>
      <c r="L437" t="s">
        <v>2917</v>
      </c>
      <c r="M437">
        <v>244.92</v>
      </c>
      <c r="N437" t="s">
        <v>2918</v>
      </c>
      <c r="O437" t="s">
        <v>19983</v>
      </c>
      <c r="P437" t="s">
        <v>19984</v>
      </c>
      <c r="Q437" t="s">
        <v>2924</v>
      </c>
      <c r="R437" t="s">
        <v>3219</v>
      </c>
      <c r="S437" t="s">
        <v>19985</v>
      </c>
      <c r="T437" t="s">
        <v>19986</v>
      </c>
    </row>
    <row r="438" spans="1:20">
      <c r="A438" t="s">
        <v>1024</v>
      </c>
      <c r="B438" t="s">
        <v>19439</v>
      </c>
      <c r="C438">
        <v>45835</v>
      </c>
      <c r="D438" t="s">
        <v>7263</v>
      </c>
      <c r="E438" t="s">
        <v>19440</v>
      </c>
      <c r="F438">
        <v>45842</v>
      </c>
      <c r="G438" t="s">
        <v>17419</v>
      </c>
      <c r="H438" t="s">
        <v>2916</v>
      </c>
      <c r="I438" t="s">
        <v>19982</v>
      </c>
      <c r="J438">
        <v>50</v>
      </c>
      <c r="K438">
        <v>85.8</v>
      </c>
      <c r="L438" t="s">
        <v>2917</v>
      </c>
      <c r="M438">
        <v>469.7</v>
      </c>
      <c r="N438" t="s">
        <v>2918</v>
      </c>
      <c r="O438" t="s">
        <v>19983</v>
      </c>
      <c r="P438" t="s">
        <v>19987</v>
      </c>
      <c r="Q438" t="s">
        <v>2924</v>
      </c>
      <c r="R438" t="s">
        <v>3219</v>
      </c>
      <c r="S438" t="s">
        <v>19988</v>
      </c>
      <c r="T438" t="s">
        <v>19989</v>
      </c>
    </row>
    <row r="439" spans="1:20">
      <c r="A439" t="s">
        <v>1024</v>
      </c>
      <c r="B439" t="s">
        <v>19439</v>
      </c>
      <c r="C439">
        <v>45835</v>
      </c>
      <c r="D439" t="s">
        <v>7263</v>
      </c>
      <c r="E439" t="s">
        <v>19440</v>
      </c>
      <c r="F439">
        <v>45842</v>
      </c>
      <c r="G439" t="s">
        <v>17419</v>
      </c>
      <c r="H439" t="s">
        <v>2916</v>
      </c>
      <c r="I439" t="s">
        <v>19982</v>
      </c>
      <c r="J439">
        <v>30</v>
      </c>
      <c r="K439">
        <v>44.74</v>
      </c>
      <c r="L439" t="s">
        <v>2917</v>
      </c>
      <c r="M439">
        <v>244.92</v>
      </c>
      <c r="N439" t="s">
        <v>2918</v>
      </c>
      <c r="O439" t="s">
        <v>19983</v>
      </c>
      <c r="P439" t="s">
        <v>19990</v>
      </c>
      <c r="Q439" t="s">
        <v>2924</v>
      </c>
      <c r="R439" t="s">
        <v>3219</v>
      </c>
      <c r="S439" t="s">
        <v>19991</v>
      </c>
      <c r="T439" t="s">
        <v>19992</v>
      </c>
    </row>
    <row r="440" spans="1:20">
      <c r="A440" t="s">
        <v>1024</v>
      </c>
      <c r="B440" t="s">
        <v>19439</v>
      </c>
      <c r="C440">
        <v>45835</v>
      </c>
      <c r="D440" t="s">
        <v>7263</v>
      </c>
      <c r="E440" t="s">
        <v>19440</v>
      </c>
      <c r="F440">
        <v>45842</v>
      </c>
      <c r="G440" t="s">
        <v>17419</v>
      </c>
      <c r="H440" t="s">
        <v>2916</v>
      </c>
      <c r="I440" t="s">
        <v>19982</v>
      </c>
      <c r="J440">
        <v>1</v>
      </c>
      <c r="K440">
        <v>68.13</v>
      </c>
      <c r="L440" t="s">
        <v>2917</v>
      </c>
      <c r="M440">
        <v>372.97</v>
      </c>
      <c r="N440" t="s">
        <v>2918</v>
      </c>
      <c r="O440" t="s">
        <v>19983</v>
      </c>
      <c r="P440" t="s">
        <v>19993</v>
      </c>
      <c r="Q440" t="s">
        <v>2924</v>
      </c>
      <c r="R440" t="s">
        <v>3219</v>
      </c>
      <c r="S440" t="s">
        <v>19994</v>
      </c>
      <c r="T440" t="s">
        <v>19995</v>
      </c>
    </row>
    <row r="441" spans="1:20">
      <c r="A441" t="s">
        <v>1024</v>
      </c>
      <c r="B441" t="s">
        <v>19439</v>
      </c>
      <c r="C441">
        <v>45835</v>
      </c>
      <c r="D441" t="s">
        <v>7263</v>
      </c>
      <c r="E441" t="s">
        <v>19440</v>
      </c>
      <c r="F441">
        <v>45842</v>
      </c>
      <c r="G441" t="s">
        <v>17419</v>
      </c>
      <c r="H441" t="s">
        <v>2916</v>
      </c>
      <c r="I441" t="s">
        <v>19982</v>
      </c>
      <c r="J441">
        <v>1</v>
      </c>
      <c r="K441">
        <v>31.03</v>
      </c>
      <c r="L441" t="s">
        <v>2917</v>
      </c>
      <c r="M441">
        <v>169.88</v>
      </c>
      <c r="N441" t="s">
        <v>2918</v>
      </c>
      <c r="O441" t="s">
        <v>19983</v>
      </c>
      <c r="P441" t="s">
        <v>19996</v>
      </c>
      <c r="Q441" t="s">
        <v>2924</v>
      </c>
      <c r="R441" t="s">
        <v>3219</v>
      </c>
      <c r="S441" t="s">
        <v>19997</v>
      </c>
      <c r="T441" t="s">
        <v>19998</v>
      </c>
    </row>
    <row r="442" spans="1:20">
      <c r="A442" t="s">
        <v>1024</v>
      </c>
      <c r="B442" t="s">
        <v>19439</v>
      </c>
      <c r="C442">
        <v>45835</v>
      </c>
      <c r="D442" t="s">
        <v>7263</v>
      </c>
      <c r="E442" t="s">
        <v>19440</v>
      </c>
      <c r="F442">
        <v>45842</v>
      </c>
      <c r="G442" t="s">
        <v>17419</v>
      </c>
      <c r="H442" t="s">
        <v>2916</v>
      </c>
      <c r="I442" t="s">
        <v>19999</v>
      </c>
      <c r="J442">
        <v>0</v>
      </c>
      <c r="K442">
        <v>-3.51</v>
      </c>
      <c r="L442" t="s">
        <v>2917</v>
      </c>
      <c r="M442">
        <v>-19.23</v>
      </c>
      <c r="N442" t="s">
        <v>2918</v>
      </c>
      <c r="O442" t="s">
        <v>20000</v>
      </c>
      <c r="P442" t="s">
        <v>19984</v>
      </c>
      <c r="Q442" t="s">
        <v>2924</v>
      </c>
      <c r="R442" t="s">
        <v>3219</v>
      </c>
      <c r="S442" t="s">
        <v>19985</v>
      </c>
      <c r="T442" t="s">
        <v>19986</v>
      </c>
    </row>
    <row r="443" spans="1:20">
      <c r="A443" t="s">
        <v>1024</v>
      </c>
      <c r="B443" t="s">
        <v>19439</v>
      </c>
      <c r="C443">
        <v>45835</v>
      </c>
      <c r="D443" t="s">
        <v>7263</v>
      </c>
      <c r="E443" t="s">
        <v>19440</v>
      </c>
      <c r="F443">
        <v>45842</v>
      </c>
      <c r="G443" t="s">
        <v>17419</v>
      </c>
      <c r="H443" t="s">
        <v>2916</v>
      </c>
      <c r="I443" t="s">
        <v>19999</v>
      </c>
      <c r="J443">
        <v>0</v>
      </c>
      <c r="K443">
        <v>-6.74</v>
      </c>
      <c r="L443" t="s">
        <v>2917</v>
      </c>
      <c r="M443">
        <v>-36.89</v>
      </c>
      <c r="N443" t="s">
        <v>2918</v>
      </c>
      <c r="O443" t="s">
        <v>20000</v>
      </c>
      <c r="P443" t="s">
        <v>19987</v>
      </c>
      <c r="Q443" t="s">
        <v>2924</v>
      </c>
      <c r="R443" t="s">
        <v>3219</v>
      </c>
      <c r="S443" t="s">
        <v>19988</v>
      </c>
      <c r="T443" t="s">
        <v>19989</v>
      </c>
    </row>
    <row r="444" spans="1:20">
      <c r="A444" t="s">
        <v>1024</v>
      </c>
      <c r="B444" t="s">
        <v>19439</v>
      </c>
      <c r="C444">
        <v>45835</v>
      </c>
      <c r="D444" t="s">
        <v>7263</v>
      </c>
      <c r="E444" t="s">
        <v>19440</v>
      </c>
      <c r="F444">
        <v>45842</v>
      </c>
      <c r="G444" t="s">
        <v>17419</v>
      </c>
      <c r="H444" t="s">
        <v>2916</v>
      </c>
      <c r="I444" t="s">
        <v>19999</v>
      </c>
      <c r="J444">
        <v>0</v>
      </c>
      <c r="K444">
        <v>-3.51</v>
      </c>
      <c r="L444" t="s">
        <v>2917</v>
      </c>
      <c r="M444">
        <v>-19.23</v>
      </c>
      <c r="N444" t="s">
        <v>2918</v>
      </c>
      <c r="O444" t="s">
        <v>20000</v>
      </c>
      <c r="P444" t="s">
        <v>19990</v>
      </c>
      <c r="Q444" t="s">
        <v>2924</v>
      </c>
      <c r="R444" t="s">
        <v>3219</v>
      </c>
      <c r="S444" t="s">
        <v>19991</v>
      </c>
      <c r="T444" t="s">
        <v>19992</v>
      </c>
    </row>
    <row r="445" spans="1:20">
      <c r="A445" t="s">
        <v>1024</v>
      </c>
      <c r="B445" t="s">
        <v>19439</v>
      </c>
      <c r="C445">
        <v>45835</v>
      </c>
      <c r="D445" t="s">
        <v>7263</v>
      </c>
      <c r="E445" t="s">
        <v>19440</v>
      </c>
      <c r="F445">
        <v>45842</v>
      </c>
      <c r="G445" t="s">
        <v>17419</v>
      </c>
      <c r="H445" t="s">
        <v>2916</v>
      </c>
      <c r="I445" t="s">
        <v>19999</v>
      </c>
      <c r="J445">
        <v>0</v>
      </c>
      <c r="K445">
        <v>-5.35</v>
      </c>
      <c r="L445" t="s">
        <v>2917</v>
      </c>
      <c r="M445">
        <v>-29.29</v>
      </c>
      <c r="N445" t="s">
        <v>2918</v>
      </c>
      <c r="O445" t="s">
        <v>20000</v>
      </c>
      <c r="P445" t="s">
        <v>19993</v>
      </c>
      <c r="Q445" t="s">
        <v>2924</v>
      </c>
      <c r="R445" t="s">
        <v>3219</v>
      </c>
      <c r="S445" t="s">
        <v>19994</v>
      </c>
      <c r="T445" t="s">
        <v>19995</v>
      </c>
    </row>
    <row r="446" spans="1:20">
      <c r="A446" t="s">
        <v>1024</v>
      </c>
      <c r="B446" t="s">
        <v>19439</v>
      </c>
      <c r="C446">
        <v>45835</v>
      </c>
      <c r="D446" t="s">
        <v>7263</v>
      </c>
      <c r="E446" t="s">
        <v>19440</v>
      </c>
      <c r="F446">
        <v>45842</v>
      </c>
      <c r="G446" t="s">
        <v>17419</v>
      </c>
      <c r="H446" t="s">
        <v>2916</v>
      </c>
      <c r="I446" t="s">
        <v>19999</v>
      </c>
      <c r="J446">
        <v>0</v>
      </c>
      <c r="K446">
        <v>-2.4300000000000002</v>
      </c>
      <c r="L446" t="s">
        <v>2917</v>
      </c>
      <c r="M446">
        <v>-13.34</v>
      </c>
      <c r="N446" t="s">
        <v>2918</v>
      </c>
      <c r="O446" t="s">
        <v>20000</v>
      </c>
      <c r="P446" t="s">
        <v>19996</v>
      </c>
      <c r="Q446" t="s">
        <v>2924</v>
      </c>
      <c r="R446" t="s">
        <v>3219</v>
      </c>
      <c r="S446" t="s">
        <v>19997</v>
      </c>
      <c r="T446" t="s">
        <v>19998</v>
      </c>
    </row>
    <row r="447" spans="1:20">
      <c r="A447" t="s">
        <v>1024</v>
      </c>
      <c r="B447" t="s">
        <v>19439</v>
      </c>
      <c r="C447">
        <v>45838</v>
      </c>
      <c r="D447" t="s">
        <v>7263</v>
      </c>
      <c r="E447" t="s">
        <v>19440</v>
      </c>
      <c r="F447">
        <v>45842</v>
      </c>
      <c r="G447" t="s">
        <v>17419</v>
      </c>
      <c r="H447" t="s">
        <v>2916</v>
      </c>
      <c r="I447" t="s">
        <v>20001</v>
      </c>
      <c r="J447">
        <v>7</v>
      </c>
      <c r="K447">
        <v>106.19</v>
      </c>
      <c r="L447" t="s">
        <v>2917</v>
      </c>
      <c r="M447">
        <v>581.32000000000005</v>
      </c>
      <c r="N447" t="s">
        <v>2918</v>
      </c>
      <c r="O447" t="s">
        <v>20002</v>
      </c>
      <c r="P447" t="s">
        <v>20003</v>
      </c>
      <c r="Q447" t="s">
        <v>2924</v>
      </c>
      <c r="R447" t="s">
        <v>3219</v>
      </c>
      <c r="S447" t="s">
        <v>20004</v>
      </c>
      <c r="T447" t="s">
        <v>20005</v>
      </c>
    </row>
    <row r="448" spans="1:20">
      <c r="A448" t="s">
        <v>1024</v>
      </c>
      <c r="B448" t="s">
        <v>19439</v>
      </c>
      <c r="C448">
        <v>45838</v>
      </c>
      <c r="D448" t="s">
        <v>7263</v>
      </c>
      <c r="E448" t="s">
        <v>19440</v>
      </c>
      <c r="F448">
        <v>45842</v>
      </c>
      <c r="G448" t="s">
        <v>17419</v>
      </c>
      <c r="H448" t="s">
        <v>2916</v>
      </c>
      <c r="I448" t="s">
        <v>20001</v>
      </c>
      <c r="J448">
        <v>6</v>
      </c>
      <c r="K448">
        <v>21219.439999999999</v>
      </c>
      <c r="L448" t="s">
        <v>2917</v>
      </c>
      <c r="M448">
        <v>116162.73</v>
      </c>
      <c r="N448" t="s">
        <v>2918</v>
      </c>
      <c r="O448" t="s">
        <v>20002</v>
      </c>
      <c r="P448" t="s">
        <v>19977</v>
      </c>
      <c r="Q448" t="s">
        <v>2924</v>
      </c>
      <c r="R448" t="s">
        <v>3219</v>
      </c>
      <c r="S448" t="s">
        <v>19978</v>
      </c>
      <c r="T448" t="s">
        <v>19979</v>
      </c>
    </row>
    <row r="449" spans="1:20">
      <c r="A449" t="s">
        <v>1024</v>
      </c>
      <c r="B449" t="s">
        <v>19439</v>
      </c>
      <c r="C449">
        <v>45838</v>
      </c>
      <c r="D449" t="s">
        <v>7263</v>
      </c>
      <c r="E449" t="s">
        <v>19440</v>
      </c>
      <c r="F449">
        <v>45842</v>
      </c>
      <c r="G449" t="s">
        <v>17419</v>
      </c>
      <c r="H449" t="s">
        <v>2916</v>
      </c>
      <c r="I449" t="s">
        <v>20001</v>
      </c>
      <c r="J449">
        <v>8</v>
      </c>
      <c r="K449">
        <v>1343.28</v>
      </c>
      <c r="L449" t="s">
        <v>2917</v>
      </c>
      <c r="M449">
        <v>7353.6</v>
      </c>
      <c r="N449" t="s">
        <v>2918</v>
      </c>
      <c r="O449" t="s">
        <v>20002</v>
      </c>
      <c r="P449" t="s">
        <v>20006</v>
      </c>
      <c r="Q449" t="s">
        <v>2924</v>
      </c>
      <c r="R449" t="s">
        <v>3219</v>
      </c>
      <c r="S449" t="s">
        <v>20007</v>
      </c>
      <c r="T449" t="s">
        <v>20008</v>
      </c>
    </row>
    <row r="450" spans="1:20">
      <c r="A450" t="s">
        <v>1024</v>
      </c>
      <c r="B450" t="s">
        <v>19439</v>
      </c>
      <c r="C450">
        <v>45838</v>
      </c>
      <c r="D450" t="s">
        <v>7263</v>
      </c>
      <c r="E450" t="s">
        <v>19440</v>
      </c>
      <c r="F450">
        <v>45842</v>
      </c>
      <c r="G450" t="s">
        <v>17419</v>
      </c>
      <c r="H450" t="s">
        <v>2916</v>
      </c>
      <c r="I450" t="s">
        <v>20009</v>
      </c>
      <c r="J450">
        <v>0</v>
      </c>
      <c r="K450">
        <v>-8.34</v>
      </c>
      <c r="L450" t="s">
        <v>2917</v>
      </c>
      <c r="M450">
        <v>-45.65</v>
      </c>
      <c r="N450" t="s">
        <v>2918</v>
      </c>
      <c r="O450" t="s">
        <v>20010</v>
      </c>
      <c r="P450" t="s">
        <v>20003</v>
      </c>
      <c r="Q450" t="s">
        <v>2924</v>
      </c>
      <c r="R450" t="s">
        <v>3219</v>
      </c>
      <c r="S450" t="s">
        <v>20004</v>
      </c>
      <c r="T450" t="s">
        <v>20005</v>
      </c>
    </row>
    <row r="451" spans="1:20">
      <c r="A451" t="s">
        <v>1024</v>
      </c>
      <c r="B451" t="s">
        <v>19439</v>
      </c>
      <c r="C451">
        <v>45838</v>
      </c>
      <c r="D451" t="s">
        <v>7263</v>
      </c>
      <c r="E451" t="s">
        <v>19440</v>
      </c>
      <c r="F451">
        <v>45842</v>
      </c>
      <c r="G451" t="s">
        <v>17419</v>
      </c>
      <c r="H451" t="s">
        <v>2916</v>
      </c>
      <c r="I451" t="s">
        <v>20009</v>
      </c>
      <c r="J451">
        <v>0</v>
      </c>
      <c r="K451">
        <v>-1793</v>
      </c>
      <c r="L451" t="s">
        <v>2917</v>
      </c>
      <c r="M451">
        <v>-9815.5499999999993</v>
      </c>
      <c r="N451" t="s">
        <v>2918</v>
      </c>
      <c r="O451" t="s">
        <v>20010</v>
      </c>
      <c r="P451" t="s">
        <v>19977</v>
      </c>
      <c r="Q451" t="s">
        <v>2924</v>
      </c>
      <c r="R451" t="s">
        <v>3219</v>
      </c>
      <c r="S451" t="s">
        <v>19978</v>
      </c>
      <c r="T451" t="s">
        <v>19979</v>
      </c>
    </row>
    <row r="452" spans="1:20">
      <c r="A452" t="s">
        <v>1024</v>
      </c>
      <c r="B452" t="s">
        <v>19439</v>
      </c>
      <c r="C452">
        <v>45838</v>
      </c>
      <c r="D452" t="s">
        <v>7263</v>
      </c>
      <c r="E452" t="s">
        <v>19440</v>
      </c>
      <c r="F452">
        <v>45842</v>
      </c>
      <c r="G452" t="s">
        <v>17419</v>
      </c>
      <c r="H452" t="s">
        <v>2916</v>
      </c>
      <c r="I452" t="s">
        <v>20009</v>
      </c>
      <c r="J452">
        <v>0</v>
      </c>
      <c r="K452">
        <v>-105.49</v>
      </c>
      <c r="L452" t="s">
        <v>2917</v>
      </c>
      <c r="M452">
        <v>-577.5</v>
      </c>
      <c r="N452" t="s">
        <v>2918</v>
      </c>
      <c r="O452" t="s">
        <v>20010</v>
      </c>
      <c r="P452" t="s">
        <v>20006</v>
      </c>
      <c r="Q452" t="s">
        <v>2924</v>
      </c>
      <c r="R452" t="s">
        <v>3219</v>
      </c>
      <c r="S452" t="s">
        <v>20007</v>
      </c>
      <c r="T452" t="s">
        <v>20008</v>
      </c>
    </row>
    <row r="453" spans="1:20">
      <c r="A453" t="s">
        <v>1024</v>
      </c>
      <c r="B453" t="s">
        <v>19439</v>
      </c>
      <c r="C453">
        <v>45838</v>
      </c>
      <c r="D453" t="s">
        <v>7263</v>
      </c>
      <c r="E453" t="s">
        <v>19440</v>
      </c>
      <c r="F453">
        <v>45842</v>
      </c>
      <c r="G453" t="s">
        <v>17419</v>
      </c>
      <c r="H453" t="s">
        <v>2916</v>
      </c>
      <c r="I453" t="s">
        <v>20011</v>
      </c>
      <c r="J453">
        <v>17</v>
      </c>
      <c r="K453">
        <v>3965.71</v>
      </c>
      <c r="L453" t="s">
        <v>2917</v>
      </c>
      <c r="M453">
        <v>21709.7</v>
      </c>
      <c r="N453" t="s">
        <v>2918</v>
      </c>
      <c r="O453" t="s">
        <v>20012</v>
      </c>
      <c r="P453" t="s">
        <v>20013</v>
      </c>
      <c r="Q453" t="s">
        <v>2924</v>
      </c>
      <c r="R453" t="s">
        <v>3219</v>
      </c>
      <c r="S453" t="s">
        <v>20014</v>
      </c>
      <c r="T453" t="s">
        <v>20015</v>
      </c>
    </row>
    <row r="454" spans="1:20">
      <c r="A454" t="s">
        <v>1024</v>
      </c>
      <c r="B454" t="s">
        <v>19439</v>
      </c>
      <c r="C454">
        <v>45838</v>
      </c>
      <c r="D454" t="s">
        <v>7263</v>
      </c>
      <c r="E454" t="s">
        <v>19440</v>
      </c>
      <c r="F454">
        <v>45842</v>
      </c>
      <c r="G454" t="s">
        <v>17419</v>
      </c>
      <c r="H454" t="s">
        <v>2916</v>
      </c>
      <c r="I454" t="s">
        <v>20016</v>
      </c>
      <c r="J454">
        <v>0</v>
      </c>
      <c r="K454">
        <v>-311.44</v>
      </c>
      <c r="L454" t="s">
        <v>2917</v>
      </c>
      <c r="M454">
        <v>-1704.93</v>
      </c>
      <c r="N454" t="s">
        <v>2918</v>
      </c>
      <c r="O454" t="s">
        <v>20017</v>
      </c>
      <c r="P454" t="s">
        <v>20013</v>
      </c>
      <c r="Q454" t="s">
        <v>2924</v>
      </c>
      <c r="R454" t="s">
        <v>3219</v>
      </c>
      <c r="S454" t="s">
        <v>20014</v>
      </c>
      <c r="T454" t="s">
        <v>20015</v>
      </c>
    </row>
    <row r="455" spans="1:20">
      <c r="A455" t="s">
        <v>1116</v>
      </c>
      <c r="B455" t="s">
        <v>19439</v>
      </c>
      <c r="C455">
        <v>45839</v>
      </c>
      <c r="D455" t="s">
        <v>7263</v>
      </c>
      <c r="E455" t="s">
        <v>19440</v>
      </c>
      <c r="F455">
        <v>45839</v>
      </c>
      <c r="G455" t="s">
        <v>19522</v>
      </c>
      <c r="H455" t="s">
        <v>2916</v>
      </c>
      <c r="I455" t="s">
        <v>19523</v>
      </c>
      <c r="J455">
        <v>295</v>
      </c>
      <c r="K455">
        <v>434.39</v>
      </c>
      <c r="L455" t="s">
        <v>2917</v>
      </c>
      <c r="M455">
        <v>2377.9899999999998</v>
      </c>
      <c r="N455" t="s">
        <v>2918</v>
      </c>
      <c r="O455" t="s">
        <v>19524</v>
      </c>
      <c r="P455" t="s">
        <v>19525</v>
      </c>
      <c r="Q455" t="s">
        <v>2924</v>
      </c>
      <c r="R455" t="s">
        <v>3219</v>
      </c>
      <c r="S455" t="s">
        <v>19526</v>
      </c>
      <c r="T455" t="s">
        <v>19527</v>
      </c>
    </row>
    <row r="456" spans="1:20">
      <c r="A456" t="s">
        <v>1116</v>
      </c>
      <c r="B456" t="s">
        <v>19439</v>
      </c>
      <c r="C456">
        <v>45839</v>
      </c>
      <c r="D456" t="s">
        <v>7263</v>
      </c>
      <c r="E456" t="s">
        <v>19440</v>
      </c>
      <c r="F456">
        <v>45839</v>
      </c>
      <c r="G456" t="s">
        <v>19522</v>
      </c>
      <c r="H456" t="s">
        <v>2916</v>
      </c>
      <c r="I456" t="s">
        <v>19528</v>
      </c>
      <c r="J456">
        <v>0</v>
      </c>
      <c r="K456">
        <v>-33</v>
      </c>
      <c r="L456" t="s">
        <v>2917</v>
      </c>
      <c r="M456">
        <v>-180.64</v>
      </c>
      <c r="N456" t="s">
        <v>2918</v>
      </c>
      <c r="O456" t="s">
        <v>19529</v>
      </c>
      <c r="P456" t="s">
        <v>19525</v>
      </c>
      <c r="Q456" t="s">
        <v>2924</v>
      </c>
      <c r="R456" t="s">
        <v>3219</v>
      </c>
      <c r="S456" t="s">
        <v>19526</v>
      </c>
      <c r="T456" t="s">
        <v>19527</v>
      </c>
    </row>
    <row r="457" spans="1:20">
      <c r="A457" t="s">
        <v>1116</v>
      </c>
      <c r="B457" t="s">
        <v>19439</v>
      </c>
      <c r="C457">
        <v>45839</v>
      </c>
      <c r="D457" t="s">
        <v>7263</v>
      </c>
      <c r="E457" t="s">
        <v>19440</v>
      </c>
      <c r="F457">
        <v>45839</v>
      </c>
      <c r="G457" t="s">
        <v>19522</v>
      </c>
      <c r="H457" t="s">
        <v>2916</v>
      </c>
      <c r="I457" t="s">
        <v>19530</v>
      </c>
      <c r="J457">
        <v>41</v>
      </c>
      <c r="K457">
        <v>60.37</v>
      </c>
      <c r="L457" t="s">
        <v>2917</v>
      </c>
      <c r="M457">
        <v>330.5</v>
      </c>
      <c r="N457" t="s">
        <v>2918</v>
      </c>
      <c r="O457" t="s">
        <v>19531</v>
      </c>
      <c r="P457" t="s">
        <v>19525</v>
      </c>
      <c r="Q457" t="s">
        <v>2924</v>
      </c>
      <c r="R457" t="s">
        <v>3219</v>
      </c>
      <c r="S457" t="s">
        <v>19526</v>
      </c>
      <c r="T457" t="s">
        <v>19527</v>
      </c>
    </row>
    <row r="458" spans="1:20">
      <c r="A458" t="s">
        <v>1116</v>
      </c>
      <c r="B458" t="s">
        <v>19439</v>
      </c>
      <c r="C458">
        <v>45839</v>
      </c>
      <c r="D458" t="s">
        <v>7263</v>
      </c>
      <c r="E458" t="s">
        <v>19440</v>
      </c>
      <c r="F458">
        <v>45839</v>
      </c>
      <c r="G458" t="s">
        <v>19522</v>
      </c>
      <c r="H458" t="s">
        <v>2916</v>
      </c>
      <c r="I458" t="s">
        <v>19532</v>
      </c>
      <c r="J458">
        <v>0</v>
      </c>
      <c r="K458">
        <v>-4.58</v>
      </c>
      <c r="L458" t="s">
        <v>2917</v>
      </c>
      <c r="M458">
        <v>-25.1</v>
      </c>
      <c r="N458" t="s">
        <v>2918</v>
      </c>
      <c r="O458" t="s">
        <v>19533</v>
      </c>
      <c r="P458" t="s">
        <v>19525</v>
      </c>
      <c r="Q458" t="s">
        <v>2924</v>
      </c>
      <c r="R458" t="s">
        <v>3219</v>
      </c>
      <c r="S458" t="s">
        <v>19526</v>
      </c>
      <c r="T458" t="s">
        <v>19527</v>
      </c>
    </row>
    <row r="459" spans="1:20">
      <c r="A459" t="s">
        <v>1359</v>
      </c>
      <c r="B459" t="s">
        <v>16360</v>
      </c>
      <c r="C459">
        <v>45769</v>
      </c>
      <c r="D459" t="s">
        <v>7263</v>
      </c>
      <c r="E459" t="s">
        <v>16361</v>
      </c>
      <c r="F459">
        <v>45800</v>
      </c>
      <c r="G459" t="s">
        <v>17497</v>
      </c>
      <c r="H459" t="s">
        <v>2916</v>
      </c>
      <c r="I459" t="s">
        <v>17498</v>
      </c>
      <c r="J459">
        <v>181203.3</v>
      </c>
      <c r="K459">
        <v>32163.59</v>
      </c>
      <c r="L459" t="s">
        <v>2917</v>
      </c>
      <c r="M459">
        <v>181203.3</v>
      </c>
      <c r="N459" t="s">
        <v>2918</v>
      </c>
      <c r="O459" t="s">
        <v>2939</v>
      </c>
      <c r="P459" t="s">
        <v>2939</v>
      </c>
      <c r="Q459" t="s">
        <v>2924</v>
      </c>
      <c r="R459" t="s">
        <v>3219</v>
      </c>
      <c r="S459" t="s">
        <v>2208</v>
      </c>
      <c r="T459" t="s">
        <v>2208</v>
      </c>
    </row>
    <row r="460" spans="1:20">
      <c r="A460" t="s">
        <v>1359</v>
      </c>
      <c r="B460" t="s">
        <v>16360</v>
      </c>
      <c r="C460">
        <v>45800</v>
      </c>
      <c r="D460" t="s">
        <v>7263</v>
      </c>
      <c r="E460" t="s">
        <v>16361</v>
      </c>
      <c r="F460">
        <v>45804</v>
      </c>
      <c r="G460" t="s">
        <v>17497</v>
      </c>
      <c r="H460" t="s">
        <v>2916</v>
      </c>
      <c r="I460" t="s">
        <v>17730</v>
      </c>
      <c r="J460">
        <v>0</v>
      </c>
      <c r="K460">
        <v>-2975.14</v>
      </c>
      <c r="L460" t="s">
        <v>2917</v>
      </c>
      <c r="M460">
        <v>-16761.310000000001</v>
      </c>
      <c r="N460" t="s">
        <v>2918</v>
      </c>
      <c r="O460" t="s">
        <v>17731</v>
      </c>
      <c r="P460" t="s">
        <v>2939</v>
      </c>
      <c r="Q460" t="s">
        <v>2924</v>
      </c>
      <c r="R460" t="s">
        <v>3219</v>
      </c>
      <c r="S460" t="s">
        <v>2208</v>
      </c>
      <c r="T460" t="s">
        <v>2208</v>
      </c>
    </row>
    <row r="461" spans="1:20">
      <c r="A461" t="s">
        <v>1359</v>
      </c>
      <c r="B461" t="s">
        <v>16360</v>
      </c>
      <c r="C461">
        <v>45808</v>
      </c>
      <c r="D461" t="s">
        <v>7263</v>
      </c>
      <c r="E461" t="s">
        <v>16361</v>
      </c>
      <c r="F461">
        <v>45808</v>
      </c>
      <c r="G461" t="s">
        <v>2208</v>
      </c>
      <c r="H461" t="s">
        <v>2916</v>
      </c>
      <c r="I461" t="s">
        <v>17847</v>
      </c>
      <c r="J461">
        <v>0</v>
      </c>
      <c r="K461">
        <v>0.01</v>
      </c>
      <c r="L461" t="s">
        <v>2917</v>
      </c>
      <c r="M461">
        <v>0</v>
      </c>
      <c r="N461" t="s">
        <v>2918</v>
      </c>
      <c r="O461" t="s">
        <v>2919</v>
      </c>
      <c r="P461" t="s">
        <v>2208</v>
      </c>
      <c r="Q461" t="s">
        <v>2916</v>
      </c>
      <c r="R461" t="s">
        <v>3220</v>
      </c>
      <c r="S461" t="s">
        <v>2208</v>
      </c>
      <c r="T461" t="s">
        <v>2208</v>
      </c>
    </row>
    <row r="462" spans="1:20">
      <c r="A462" t="s">
        <v>1359</v>
      </c>
      <c r="B462" t="s">
        <v>17897</v>
      </c>
      <c r="C462">
        <v>45769</v>
      </c>
      <c r="D462" t="s">
        <v>7263</v>
      </c>
      <c r="E462" t="s">
        <v>17898</v>
      </c>
      <c r="F462">
        <v>45831</v>
      </c>
      <c r="G462" t="s">
        <v>17497</v>
      </c>
      <c r="H462" t="s">
        <v>2916</v>
      </c>
      <c r="I462" t="s">
        <v>18890</v>
      </c>
      <c r="J462">
        <v>117992.84</v>
      </c>
      <c r="K462">
        <v>20790.34</v>
      </c>
      <c r="L462" t="s">
        <v>2917</v>
      </c>
      <c r="M462">
        <v>117992.84</v>
      </c>
      <c r="N462" t="s">
        <v>2918</v>
      </c>
      <c r="O462" t="s">
        <v>2939</v>
      </c>
      <c r="P462" t="s">
        <v>2939</v>
      </c>
      <c r="Q462" t="s">
        <v>2924</v>
      </c>
      <c r="R462" t="s">
        <v>3219</v>
      </c>
      <c r="S462" t="s">
        <v>2208</v>
      </c>
      <c r="T462" t="s">
        <v>2208</v>
      </c>
    </row>
    <row r="463" spans="1:20">
      <c r="A463" t="s">
        <v>1359</v>
      </c>
      <c r="B463" t="s">
        <v>17897</v>
      </c>
      <c r="C463">
        <v>45831</v>
      </c>
      <c r="D463" t="s">
        <v>7263</v>
      </c>
      <c r="E463" t="s">
        <v>17898</v>
      </c>
      <c r="F463">
        <v>45834</v>
      </c>
      <c r="G463" t="s">
        <v>17497</v>
      </c>
      <c r="H463" t="s">
        <v>2916</v>
      </c>
      <c r="I463" t="s">
        <v>19156</v>
      </c>
      <c r="J463">
        <v>0</v>
      </c>
      <c r="K463">
        <v>-1923.11</v>
      </c>
      <c r="L463" t="s">
        <v>2917</v>
      </c>
      <c r="M463">
        <v>-10914.34</v>
      </c>
      <c r="N463" t="s">
        <v>2918</v>
      </c>
      <c r="O463" t="s">
        <v>19157</v>
      </c>
      <c r="P463" t="s">
        <v>2939</v>
      </c>
      <c r="Q463" t="s">
        <v>2924</v>
      </c>
      <c r="R463" t="s">
        <v>3219</v>
      </c>
      <c r="S463" t="s">
        <v>2208</v>
      </c>
      <c r="T463" t="s">
        <v>2208</v>
      </c>
    </row>
    <row r="464" spans="1:20">
      <c r="A464" t="s">
        <v>1359</v>
      </c>
      <c r="B464" t="s">
        <v>17897</v>
      </c>
      <c r="C464">
        <v>45838</v>
      </c>
      <c r="D464" t="s">
        <v>7263</v>
      </c>
      <c r="E464" t="s">
        <v>17898</v>
      </c>
      <c r="F464">
        <v>45838</v>
      </c>
      <c r="G464" t="s">
        <v>2208</v>
      </c>
      <c r="H464" t="s">
        <v>2916</v>
      </c>
      <c r="I464" t="s">
        <v>19245</v>
      </c>
      <c r="J464">
        <v>0</v>
      </c>
      <c r="K464">
        <v>0.09</v>
      </c>
      <c r="L464" t="s">
        <v>2917</v>
      </c>
      <c r="M464">
        <v>0</v>
      </c>
      <c r="N464" t="s">
        <v>2918</v>
      </c>
      <c r="O464" t="s">
        <v>2919</v>
      </c>
      <c r="P464" t="s">
        <v>2208</v>
      </c>
      <c r="Q464" t="s">
        <v>2916</v>
      </c>
      <c r="R464" t="s">
        <v>3220</v>
      </c>
      <c r="S464" t="s">
        <v>2208</v>
      </c>
      <c r="T464" t="s">
        <v>2208</v>
      </c>
    </row>
    <row r="465" spans="1:20">
      <c r="A465" t="s">
        <v>1360</v>
      </c>
      <c r="B465" t="s">
        <v>16360</v>
      </c>
      <c r="C465">
        <v>45754</v>
      </c>
      <c r="D465" t="s">
        <v>7263</v>
      </c>
      <c r="E465" t="s">
        <v>16361</v>
      </c>
      <c r="F465">
        <v>45800</v>
      </c>
      <c r="G465" t="s">
        <v>17499</v>
      </c>
      <c r="H465" t="s">
        <v>2916</v>
      </c>
      <c r="I465" t="s">
        <v>17500</v>
      </c>
      <c r="J465">
        <v>47163.78</v>
      </c>
      <c r="K465">
        <v>8371.57</v>
      </c>
      <c r="L465" t="s">
        <v>2917</v>
      </c>
      <c r="M465">
        <v>47163.78</v>
      </c>
      <c r="N465" t="s">
        <v>2918</v>
      </c>
      <c r="O465" t="s">
        <v>2939</v>
      </c>
      <c r="P465" t="s">
        <v>2939</v>
      </c>
      <c r="Q465" t="s">
        <v>2924</v>
      </c>
      <c r="R465" t="s">
        <v>3219</v>
      </c>
      <c r="S465" t="s">
        <v>2208</v>
      </c>
      <c r="T465" t="s">
        <v>2208</v>
      </c>
    </row>
    <row r="466" spans="1:20">
      <c r="A466" t="s">
        <v>1360</v>
      </c>
      <c r="B466" t="s">
        <v>16360</v>
      </c>
      <c r="C466">
        <v>45800</v>
      </c>
      <c r="D466" t="s">
        <v>7263</v>
      </c>
      <c r="E466" t="s">
        <v>16361</v>
      </c>
      <c r="F466">
        <v>45804</v>
      </c>
      <c r="G466" t="s">
        <v>17499</v>
      </c>
      <c r="H466" t="s">
        <v>2916</v>
      </c>
      <c r="I466" t="s">
        <v>17732</v>
      </c>
      <c r="J466">
        <v>0</v>
      </c>
      <c r="K466">
        <v>-774.37</v>
      </c>
      <c r="L466" t="s">
        <v>2917</v>
      </c>
      <c r="M466">
        <v>-4362.6499999999996</v>
      </c>
      <c r="N466" t="s">
        <v>2918</v>
      </c>
      <c r="O466" t="s">
        <v>17733</v>
      </c>
      <c r="P466" t="s">
        <v>2939</v>
      </c>
      <c r="Q466" t="s">
        <v>2924</v>
      </c>
      <c r="R466" t="s">
        <v>3219</v>
      </c>
      <c r="S466" t="s">
        <v>2208</v>
      </c>
      <c r="T466" t="s">
        <v>2208</v>
      </c>
    </row>
    <row r="467" spans="1:20">
      <c r="A467" t="s">
        <v>1360</v>
      </c>
      <c r="B467" t="s">
        <v>16360</v>
      </c>
      <c r="C467">
        <v>45808</v>
      </c>
      <c r="D467" t="s">
        <v>7263</v>
      </c>
      <c r="E467" t="s">
        <v>16361</v>
      </c>
      <c r="F467">
        <v>45808</v>
      </c>
      <c r="G467" t="s">
        <v>2208</v>
      </c>
      <c r="H467" t="s">
        <v>2916</v>
      </c>
      <c r="I467" t="s">
        <v>17848</v>
      </c>
      <c r="J467">
        <v>0</v>
      </c>
      <c r="K467">
        <v>-0.02</v>
      </c>
      <c r="L467" t="s">
        <v>2917</v>
      </c>
      <c r="M467">
        <v>0</v>
      </c>
      <c r="N467" t="s">
        <v>2918</v>
      </c>
      <c r="O467" t="s">
        <v>2919</v>
      </c>
      <c r="P467" t="s">
        <v>2208</v>
      </c>
      <c r="Q467" t="s">
        <v>2916</v>
      </c>
      <c r="R467" t="s">
        <v>3220</v>
      </c>
      <c r="S467" t="s">
        <v>2208</v>
      </c>
      <c r="T467" t="s">
        <v>2208</v>
      </c>
    </row>
    <row r="468" spans="1:20">
      <c r="A468" t="s">
        <v>1360</v>
      </c>
      <c r="B468" t="s">
        <v>17897</v>
      </c>
      <c r="C468">
        <v>45813</v>
      </c>
      <c r="D468" t="s">
        <v>7263</v>
      </c>
      <c r="E468" t="s">
        <v>17898</v>
      </c>
      <c r="F468">
        <v>45817</v>
      </c>
      <c r="G468" t="s">
        <v>18577</v>
      </c>
      <c r="H468" t="s">
        <v>2916</v>
      </c>
      <c r="I468" t="s">
        <v>18578</v>
      </c>
      <c r="J468">
        <v>1</v>
      </c>
      <c r="K468">
        <v>2556.2800000000002</v>
      </c>
      <c r="L468" t="s">
        <v>2917</v>
      </c>
      <c r="M468">
        <v>14507.84</v>
      </c>
      <c r="N468" t="s">
        <v>2918</v>
      </c>
      <c r="O468" t="s">
        <v>18579</v>
      </c>
      <c r="P468" t="s">
        <v>18580</v>
      </c>
      <c r="Q468" t="s">
        <v>2944</v>
      </c>
      <c r="R468" t="s">
        <v>3223</v>
      </c>
      <c r="S468" t="s">
        <v>18581</v>
      </c>
      <c r="T468" t="s">
        <v>18580</v>
      </c>
    </row>
    <row r="469" spans="1:20">
      <c r="A469" t="s">
        <v>1360</v>
      </c>
      <c r="B469" t="s">
        <v>17897</v>
      </c>
      <c r="C469">
        <v>45754</v>
      </c>
      <c r="D469" t="s">
        <v>7263</v>
      </c>
      <c r="E469" t="s">
        <v>17898</v>
      </c>
      <c r="F469">
        <v>45826</v>
      </c>
      <c r="G469" t="s">
        <v>17499</v>
      </c>
      <c r="H469" t="s">
        <v>2916</v>
      </c>
      <c r="I469" t="s">
        <v>18582</v>
      </c>
      <c r="J469">
        <v>205805.6</v>
      </c>
      <c r="K469">
        <v>36262.949999999997</v>
      </c>
      <c r="L469" t="s">
        <v>2917</v>
      </c>
      <c r="M469">
        <v>205805.6</v>
      </c>
      <c r="N469" t="s">
        <v>2918</v>
      </c>
      <c r="O469" t="s">
        <v>2939</v>
      </c>
      <c r="P469" t="s">
        <v>2939</v>
      </c>
      <c r="Q469" t="s">
        <v>2924</v>
      </c>
      <c r="R469" t="s">
        <v>3219</v>
      </c>
      <c r="S469" t="s">
        <v>2208</v>
      </c>
      <c r="T469" t="s">
        <v>2208</v>
      </c>
    </row>
    <row r="470" spans="1:20">
      <c r="A470" t="s">
        <v>1360</v>
      </c>
      <c r="B470" t="s">
        <v>17897</v>
      </c>
      <c r="C470">
        <v>45826</v>
      </c>
      <c r="D470" t="s">
        <v>7263</v>
      </c>
      <c r="E470" t="s">
        <v>17898</v>
      </c>
      <c r="F470">
        <v>45831</v>
      </c>
      <c r="G470" t="s">
        <v>17499</v>
      </c>
      <c r="H470" t="s">
        <v>2916</v>
      </c>
      <c r="I470" t="s">
        <v>18891</v>
      </c>
      <c r="J470">
        <v>0</v>
      </c>
      <c r="K470">
        <v>-3354.33</v>
      </c>
      <c r="L470" t="s">
        <v>2917</v>
      </c>
      <c r="M470">
        <v>-19037.02</v>
      </c>
      <c r="N470" t="s">
        <v>2918</v>
      </c>
      <c r="O470" t="s">
        <v>18892</v>
      </c>
      <c r="P470" t="s">
        <v>2939</v>
      </c>
      <c r="Q470" t="s">
        <v>2924</v>
      </c>
      <c r="R470" t="s">
        <v>3219</v>
      </c>
      <c r="S470" t="s">
        <v>2208</v>
      </c>
      <c r="T470" t="s">
        <v>2208</v>
      </c>
    </row>
    <row r="471" spans="1:20">
      <c r="A471" t="s">
        <v>1360</v>
      </c>
      <c r="B471" t="s">
        <v>17897</v>
      </c>
      <c r="C471">
        <v>45838</v>
      </c>
      <c r="D471" t="s">
        <v>7263</v>
      </c>
      <c r="E471" t="s">
        <v>17898</v>
      </c>
      <c r="F471">
        <v>45838</v>
      </c>
      <c r="G471" t="s">
        <v>2208</v>
      </c>
      <c r="H471" t="s">
        <v>2916</v>
      </c>
      <c r="I471" t="s">
        <v>19246</v>
      </c>
      <c r="J471">
        <v>0</v>
      </c>
      <c r="K471">
        <v>-7.0000000000000007E-2</v>
      </c>
      <c r="L471" t="s">
        <v>2917</v>
      </c>
      <c r="M471">
        <v>0</v>
      </c>
      <c r="N471" t="s">
        <v>2918</v>
      </c>
      <c r="O471" t="s">
        <v>2919</v>
      </c>
      <c r="P471" t="s">
        <v>2208</v>
      </c>
      <c r="Q471" t="s">
        <v>2916</v>
      </c>
      <c r="R471" t="s">
        <v>3220</v>
      </c>
      <c r="S471" t="s">
        <v>2208</v>
      </c>
      <c r="T471" t="s">
        <v>2208</v>
      </c>
    </row>
    <row r="472" spans="1:20">
      <c r="A472" t="s">
        <v>1565</v>
      </c>
      <c r="B472" t="s">
        <v>2920</v>
      </c>
      <c r="C472">
        <v>45656</v>
      </c>
      <c r="D472" t="s">
        <v>7263</v>
      </c>
      <c r="E472" t="s">
        <v>2921</v>
      </c>
      <c r="F472">
        <v>45678</v>
      </c>
      <c r="G472" t="s">
        <v>7215</v>
      </c>
      <c r="H472" t="s">
        <v>2916</v>
      </c>
      <c r="I472" t="s">
        <v>7317</v>
      </c>
      <c r="J472">
        <v>0</v>
      </c>
      <c r="K472">
        <v>13.61</v>
      </c>
      <c r="L472" t="s">
        <v>2917</v>
      </c>
      <c r="M472">
        <v>84.05</v>
      </c>
      <c r="N472" t="s">
        <v>2918</v>
      </c>
      <c r="O472" t="s">
        <v>7318</v>
      </c>
      <c r="P472" t="s">
        <v>7216</v>
      </c>
      <c r="Q472" t="s">
        <v>2934</v>
      </c>
      <c r="R472" t="s">
        <v>2935</v>
      </c>
      <c r="S472" t="s">
        <v>7217</v>
      </c>
      <c r="T472" t="s">
        <v>7218</v>
      </c>
    </row>
    <row r="473" spans="1:20">
      <c r="A473" t="s">
        <v>1565</v>
      </c>
      <c r="B473" t="s">
        <v>2920</v>
      </c>
      <c r="C473">
        <v>45656</v>
      </c>
      <c r="D473" t="s">
        <v>7263</v>
      </c>
      <c r="E473" t="s">
        <v>2921</v>
      </c>
      <c r="F473">
        <v>45678</v>
      </c>
      <c r="G473" t="s">
        <v>7215</v>
      </c>
      <c r="H473" t="s">
        <v>2916</v>
      </c>
      <c r="I473" t="s">
        <v>7317</v>
      </c>
      <c r="J473">
        <v>0</v>
      </c>
      <c r="K473">
        <v>34.03</v>
      </c>
      <c r="L473" t="s">
        <v>2917</v>
      </c>
      <c r="M473">
        <v>210.14</v>
      </c>
      <c r="N473" t="s">
        <v>2918</v>
      </c>
      <c r="O473" t="s">
        <v>7318</v>
      </c>
      <c r="P473" t="s">
        <v>7219</v>
      </c>
      <c r="Q473" t="s">
        <v>2934</v>
      </c>
      <c r="R473" t="s">
        <v>2935</v>
      </c>
      <c r="S473" t="s">
        <v>7220</v>
      </c>
      <c r="T473" t="s">
        <v>7221</v>
      </c>
    </row>
    <row r="474" spans="1:20">
      <c r="A474" t="s">
        <v>1565</v>
      </c>
      <c r="B474" t="s">
        <v>2920</v>
      </c>
      <c r="C474">
        <v>45684</v>
      </c>
      <c r="D474" t="s">
        <v>7263</v>
      </c>
      <c r="E474" t="s">
        <v>2921</v>
      </c>
      <c r="F474">
        <v>45684</v>
      </c>
      <c r="G474" t="s">
        <v>2208</v>
      </c>
      <c r="H474" t="s">
        <v>2916</v>
      </c>
      <c r="I474" t="s">
        <v>7546</v>
      </c>
      <c r="J474">
        <v>0</v>
      </c>
      <c r="K474">
        <v>35.840000000000003</v>
      </c>
      <c r="L474" t="s">
        <v>2917</v>
      </c>
      <c r="M474">
        <v>221.36</v>
      </c>
      <c r="N474" t="s">
        <v>2918</v>
      </c>
      <c r="O474" t="s">
        <v>7547</v>
      </c>
      <c r="P474" t="s">
        <v>2208</v>
      </c>
      <c r="Q474" t="s">
        <v>2944</v>
      </c>
      <c r="R474" t="s">
        <v>3223</v>
      </c>
      <c r="S474" t="s">
        <v>7217</v>
      </c>
      <c r="T474" t="s">
        <v>7218</v>
      </c>
    </row>
    <row r="475" spans="1:20">
      <c r="A475" t="s">
        <v>1565</v>
      </c>
      <c r="B475" t="s">
        <v>2920</v>
      </c>
      <c r="C475">
        <v>45684</v>
      </c>
      <c r="D475" t="s">
        <v>7263</v>
      </c>
      <c r="E475" t="s">
        <v>2921</v>
      </c>
      <c r="F475">
        <v>45684</v>
      </c>
      <c r="G475" t="s">
        <v>2208</v>
      </c>
      <c r="H475" t="s">
        <v>2916</v>
      </c>
      <c r="I475" t="s">
        <v>7546</v>
      </c>
      <c r="J475">
        <v>0</v>
      </c>
      <c r="K475">
        <v>250.76</v>
      </c>
      <c r="L475" t="s">
        <v>2917</v>
      </c>
      <c r="M475">
        <v>1548.57</v>
      </c>
      <c r="N475" t="s">
        <v>2918</v>
      </c>
      <c r="O475" t="s">
        <v>7547</v>
      </c>
      <c r="P475" t="s">
        <v>2208</v>
      </c>
      <c r="Q475" t="s">
        <v>2944</v>
      </c>
      <c r="R475" t="s">
        <v>3223</v>
      </c>
      <c r="S475" t="s">
        <v>7220</v>
      </c>
      <c r="T475" t="s">
        <v>7221</v>
      </c>
    </row>
    <row r="476" spans="1:20">
      <c r="A476" t="s">
        <v>1565</v>
      </c>
      <c r="B476" t="s">
        <v>2920</v>
      </c>
      <c r="C476">
        <v>45686</v>
      </c>
      <c r="D476" t="s">
        <v>7263</v>
      </c>
      <c r="E476" t="s">
        <v>2921</v>
      </c>
      <c r="F476">
        <v>45686</v>
      </c>
      <c r="G476" t="s">
        <v>2208</v>
      </c>
      <c r="H476" t="s">
        <v>2916</v>
      </c>
      <c r="I476" t="s">
        <v>7548</v>
      </c>
      <c r="J476">
        <v>0</v>
      </c>
      <c r="K476">
        <v>127.15</v>
      </c>
      <c r="L476" t="s">
        <v>2917</v>
      </c>
      <c r="M476">
        <v>785.22</v>
      </c>
      <c r="N476" t="s">
        <v>2918</v>
      </c>
      <c r="O476" t="s">
        <v>7549</v>
      </c>
      <c r="P476" t="s">
        <v>2208</v>
      </c>
      <c r="Q476" t="s">
        <v>7550</v>
      </c>
      <c r="R476" t="s">
        <v>7551</v>
      </c>
      <c r="S476" t="s">
        <v>2208</v>
      </c>
      <c r="T476" t="s">
        <v>2208</v>
      </c>
    </row>
    <row r="477" spans="1:20">
      <c r="A477" t="s">
        <v>1565</v>
      </c>
      <c r="B477" t="s">
        <v>2920</v>
      </c>
      <c r="C477">
        <v>45685</v>
      </c>
      <c r="D477" t="s">
        <v>7263</v>
      </c>
      <c r="E477" t="s">
        <v>2921</v>
      </c>
      <c r="F477">
        <v>45687</v>
      </c>
      <c r="G477" t="s">
        <v>7552</v>
      </c>
      <c r="H477" t="s">
        <v>2916</v>
      </c>
      <c r="I477" t="s">
        <v>7553</v>
      </c>
      <c r="J477">
        <v>27</v>
      </c>
      <c r="K477">
        <v>12525.79</v>
      </c>
      <c r="L477" t="s">
        <v>2917</v>
      </c>
      <c r="M477">
        <v>77353.11</v>
      </c>
      <c r="N477" t="s">
        <v>2918</v>
      </c>
      <c r="O477" t="s">
        <v>7554</v>
      </c>
      <c r="P477" t="s">
        <v>7555</v>
      </c>
      <c r="Q477" t="s">
        <v>2924</v>
      </c>
      <c r="R477" t="s">
        <v>3219</v>
      </c>
      <c r="S477" t="s">
        <v>7556</v>
      </c>
      <c r="T477" t="s">
        <v>7557</v>
      </c>
    </row>
    <row r="478" spans="1:20">
      <c r="A478" t="s">
        <v>1565</v>
      </c>
      <c r="B478" t="s">
        <v>2920</v>
      </c>
      <c r="C478">
        <v>45685</v>
      </c>
      <c r="D478" t="s">
        <v>7263</v>
      </c>
      <c r="E478" t="s">
        <v>2921</v>
      </c>
      <c r="F478">
        <v>45687</v>
      </c>
      <c r="G478" t="s">
        <v>7552</v>
      </c>
      <c r="H478" t="s">
        <v>2916</v>
      </c>
      <c r="I478" t="s">
        <v>7558</v>
      </c>
      <c r="J478">
        <v>0</v>
      </c>
      <c r="K478">
        <v>-3204.73</v>
      </c>
      <c r="L478" t="s">
        <v>2917</v>
      </c>
      <c r="M478">
        <v>-19790.8</v>
      </c>
      <c r="N478" t="s">
        <v>2918</v>
      </c>
      <c r="O478" t="s">
        <v>7559</v>
      </c>
      <c r="P478" t="s">
        <v>7555</v>
      </c>
      <c r="Q478" t="s">
        <v>2924</v>
      </c>
      <c r="R478" t="s">
        <v>3219</v>
      </c>
      <c r="S478" t="s">
        <v>7556</v>
      </c>
      <c r="T478" t="s">
        <v>7557</v>
      </c>
    </row>
    <row r="479" spans="1:20">
      <c r="A479" t="s">
        <v>1565</v>
      </c>
      <c r="B479" t="s">
        <v>2920</v>
      </c>
      <c r="C479">
        <v>45687</v>
      </c>
      <c r="D479" t="s">
        <v>7263</v>
      </c>
      <c r="E479" t="s">
        <v>2921</v>
      </c>
      <c r="F479">
        <v>45687</v>
      </c>
      <c r="G479" t="s">
        <v>2208</v>
      </c>
      <c r="H479" t="s">
        <v>2916</v>
      </c>
      <c r="I479" t="s">
        <v>7560</v>
      </c>
      <c r="J479">
        <v>0</v>
      </c>
      <c r="K479">
        <v>-85.81</v>
      </c>
      <c r="L479" t="s">
        <v>2917</v>
      </c>
      <c r="M479">
        <v>-529.91</v>
      </c>
      <c r="N479" t="s">
        <v>2918</v>
      </c>
      <c r="O479" t="s">
        <v>7489</v>
      </c>
      <c r="P479" t="s">
        <v>2208</v>
      </c>
      <c r="Q479" t="s">
        <v>7561</v>
      </c>
      <c r="R479" t="s">
        <v>7562</v>
      </c>
      <c r="S479" t="s">
        <v>2208</v>
      </c>
      <c r="T479" t="s">
        <v>2208</v>
      </c>
    </row>
    <row r="480" spans="1:20">
      <c r="A480" t="s">
        <v>1565</v>
      </c>
      <c r="B480" t="s">
        <v>2920</v>
      </c>
      <c r="C480">
        <v>45688</v>
      </c>
      <c r="D480" t="s">
        <v>7263</v>
      </c>
      <c r="E480" t="s">
        <v>2921</v>
      </c>
      <c r="F480">
        <v>45688</v>
      </c>
      <c r="G480" t="s">
        <v>2208</v>
      </c>
      <c r="H480" t="s">
        <v>2916</v>
      </c>
      <c r="I480" t="s">
        <v>7563</v>
      </c>
      <c r="J480">
        <v>0</v>
      </c>
      <c r="K480">
        <v>0.05</v>
      </c>
      <c r="L480" t="s">
        <v>2917</v>
      </c>
      <c r="M480">
        <v>0</v>
      </c>
      <c r="N480" t="s">
        <v>2918</v>
      </c>
      <c r="O480" t="s">
        <v>2919</v>
      </c>
      <c r="P480" t="s">
        <v>2208</v>
      </c>
      <c r="Q480" t="s">
        <v>2916</v>
      </c>
      <c r="R480" t="s">
        <v>3220</v>
      </c>
      <c r="S480" t="s">
        <v>2208</v>
      </c>
      <c r="T480" t="s">
        <v>2208</v>
      </c>
    </row>
    <row r="481" spans="1:20">
      <c r="A481" t="s">
        <v>1565</v>
      </c>
      <c r="B481" t="s">
        <v>11331</v>
      </c>
      <c r="C481">
        <v>45771</v>
      </c>
      <c r="D481" t="s">
        <v>7263</v>
      </c>
      <c r="E481" t="s">
        <v>11332</v>
      </c>
      <c r="F481">
        <v>45771</v>
      </c>
      <c r="G481" t="s">
        <v>15963</v>
      </c>
      <c r="H481" t="s">
        <v>2916</v>
      </c>
      <c r="I481" t="s">
        <v>15964</v>
      </c>
      <c r="J481">
        <v>1</v>
      </c>
      <c r="K481">
        <v>6869.15</v>
      </c>
      <c r="L481" t="s">
        <v>2917</v>
      </c>
      <c r="M481">
        <v>39557.440000000002</v>
      </c>
      <c r="N481" t="s">
        <v>2918</v>
      </c>
      <c r="O481" t="s">
        <v>2939</v>
      </c>
      <c r="P481" t="s">
        <v>2939</v>
      </c>
      <c r="Q481" t="s">
        <v>2924</v>
      </c>
      <c r="R481" t="s">
        <v>3219</v>
      </c>
      <c r="S481" t="s">
        <v>2208</v>
      </c>
      <c r="T481" t="s">
        <v>2208</v>
      </c>
    </row>
    <row r="482" spans="1:20">
      <c r="A482" t="s">
        <v>1565</v>
      </c>
      <c r="B482" t="s">
        <v>11331</v>
      </c>
      <c r="C482">
        <v>45770</v>
      </c>
      <c r="D482" t="s">
        <v>7263</v>
      </c>
      <c r="E482" t="s">
        <v>11332</v>
      </c>
      <c r="F482">
        <v>45772</v>
      </c>
      <c r="G482" t="s">
        <v>15963</v>
      </c>
      <c r="H482" t="s">
        <v>2916</v>
      </c>
      <c r="I482" t="s">
        <v>16183</v>
      </c>
      <c r="J482">
        <v>0</v>
      </c>
      <c r="K482">
        <v>-635.4</v>
      </c>
      <c r="L482" t="s">
        <v>2917</v>
      </c>
      <c r="M482">
        <v>-3659.07</v>
      </c>
      <c r="N482" t="s">
        <v>2918</v>
      </c>
      <c r="O482" t="s">
        <v>16184</v>
      </c>
      <c r="P482" t="s">
        <v>2939</v>
      </c>
      <c r="Q482" t="s">
        <v>2924</v>
      </c>
      <c r="R482" t="s">
        <v>3219</v>
      </c>
      <c r="S482" t="s">
        <v>2208</v>
      </c>
      <c r="T482" t="s">
        <v>2208</v>
      </c>
    </row>
    <row r="483" spans="1:20">
      <c r="A483" t="s">
        <v>1565</v>
      </c>
      <c r="B483" t="s">
        <v>11331</v>
      </c>
      <c r="C483">
        <v>45777</v>
      </c>
      <c r="D483" t="s">
        <v>7263</v>
      </c>
      <c r="E483" t="s">
        <v>11332</v>
      </c>
      <c r="F483">
        <v>45777</v>
      </c>
      <c r="G483" t="s">
        <v>2208</v>
      </c>
      <c r="H483" t="s">
        <v>2916</v>
      </c>
      <c r="I483" t="s">
        <v>16366</v>
      </c>
      <c r="J483">
        <v>0</v>
      </c>
      <c r="K483">
        <v>-0.06</v>
      </c>
      <c r="L483" t="s">
        <v>2917</v>
      </c>
      <c r="M483">
        <v>0</v>
      </c>
      <c r="N483" t="s">
        <v>2918</v>
      </c>
      <c r="O483" t="s">
        <v>2919</v>
      </c>
      <c r="P483" t="s">
        <v>2208</v>
      </c>
      <c r="Q483" t="s">
        <v>2916</v>
      </c>
      <c r="R483" t="s">
        <v>3220</v>
      </c>
      <c r="S483" t="s">
        <v>2208</v>
      </c>
      <c r="T483" t="s">
        <v>2208</v>
      </c>
    </row>
    <row r="484" spans="1:20">
      <c r="A484" t="s">
        <v>1565</v>
      </c>
      <c r="B484" t="s">
        <v>17897</v>
      </c>
      <c r="C484">
        <v>45810</v>
      </c>
      <c r="D484" t="s">
        <v>7263</v>
      </c>
      <c r="E484" t="s">
        <v>17898</v>
      </c>
      <c r="F484">
        <v>45810</v>
      </c>
      <c r="G484" t="s">
        <v>2208</v>
      </c>
      <c r="H484" t="s">
        <v>2916</v>
      </c>
      <c r="I484" t="s">
        <v>17959</v>
      </c>
      <c r="J484">
        <v>1</v>
      </c>
      <c r="K484">
        <v>5987.82</v>
      </c>
      <c r="L484" t="s">
        <v>2917</v>
      </c>
      <c r="M484">
        <v>30194.63</v>
      </c>
      <c r="N484" t="s">
        <v>2918</v>
      </c>
      <c r="O484" t="s">
        <v>11383</v>
      </c>
      <c r="P484" t="s">
        <v>2208</v>
      </c>
      <c r="Q484" t="s">
        <v>11384</v>
      </c>
      <c r="R484" t="s">
        <v>11385</v>
      </c>
      <c r="S484" t="s">
        <v>17960</v>
      </c>
      <c r="T484" t="s">
        <v>17961</v>
      </c>
    </row>
    <row r="485" spans="1:20">
      <c r="A485" t="s">
        <v>1565</v>
      </c>
      <c r="B485" t="s">
        <v>17897</v>
      </c>
      <c r="C485">
        <v>45810</v>
      </c>
      <c r="D485" t="s">
        <v>7263</v>
      </c>
      <c r="E485" t="s">
        <v>17898</v>
      </c>
      <c r="F485">
        <v>45810</v>
      </c>
      <c r="G485" t="s">
        <v>2208</v>
      </c>
      <c r="H485" t="s">
        <v>2916</v>
      </c>
      <c r="I485" t="s">
        <v>17962</v>
      </c>
      <c r="J485">
        <v>64</v>
      </c>
      <c r="K485">
        <v>15185.55</v>
      </c>
      <c r="L485" t="s">
        <v>2917</v>
      </c>
      <c r="M485">
        <v>57062.82</v>
      </c>
      <c r="N485" t="s">
        <v>2918</v>
      </c>
      <c r="O485" t="s">
        <v>11383</v>
      </c>
      <c r="P485" t="s">
        <v>2208</v>
      </c>
      <c r="Q485" t="s">
        <v>11384</v>
      </c>
      <c r="R485" t="s">
        <v>11385</v>
      </c>
      <c r="S485" t="s">
        <v>17963</v>
      </c>
      <c r="T485" t="s">
        <v>17964</v>
      </c>
    </row>
    <row r="486" spans="1:20">
      <c r="A486" t="s">
        <v>1565</v>
      </c>
      <c r="B486" t="s">
        <v>17897</v>
      </c>
      <c r="C486">
        <v>45810</v>
      </c>
      <c r="D486" t="s">
        <v>7263</v>
      </c>
      <c r="E486" t="s">
        <v>17898</v>
      </c>
      <c r="F486">
        <v>45810</v>
      </c>
      <c r="G486" t="s">
        <v>2208</v>
      </c>
      <c r="H486" t="s">
        <v>2916</v>
      </c>
      <c r="I486" t="s">
        <v>17962</v>
      </c>
      <c r="J486">
        <v>64</v>
      </c>
      <c r="K486">
        <v>19542.48</v>
      </c>
      <c r="L486" t="s">
        <v>2917</v>
      </c>
      <c r="M486">
        <v>77251.16</v>
      </c>
      <c r="N486" t="s">
        <v>2918</v>
      </c>
      <c r="O486" t="s">
        <v>11383</v>
      </c>
      <c r="P486" t="s">
        <v>2208</v>
      </c>
      <c r="Q486" t="s">
        <v>11384</v>
      </c>
      <c r="R486" t="s">
        <v>11385</v>
      </c>
      <c r="S486" t="s">
        <v>17965</v>
      </c>
      <c r="T486" t="s">
        <v>17966</v>
      </c>
    </row>
    <row r="487" spans="1:20">
      <c r="A487" t="s">
        <v>1565</v>
      </c>
      <c r="B487" t="s">
        <v>17897</v>
      </c>
      <c r="C487">
        <v>45838</v>
      </c>
      <c r="D487" t="s">
        <v>7263</v>
      </c>
      <c r="E487" t="s">
        <v>17898</v>
      </c>
      <c r="F487">
        <v>45838</v>
      </c>
      <c r="G487" t="s">
        <v>2208</v>
      </c>
      <c r="H487" t="s">
        <v>2916</v>
      </c>
      <c r="I487" t="s">
        <v>19247</v>
      </c>
      <c r="J487">
        <v>0</v>
      </c>
      <c r="K487">
        <v>-11729.36</v>
      </c>
      <c r="L487" t="s">
        <v>2917</v>
      </c>
      <c r="M487">
        <v>0</v>
      </c>
      <c r="N487" t="s">
        <v>2918</v>
      </c>
      <c r="O487" t="s">
        <v>2919</v>
      </c>
      <c r="P487" t="s">
        <v>2208</v>
      </c>
      <c r="Q487" t="s">
        <v>2916</v>
      </c>
      <c r="R487" t="s">
        <v>3220</v>
      </c>
      <c r="S487" t="s">
        <v>2208</v>
      </c>
      <c r="T487" t="s">
        <v>2208</v>
      </c>
    </row>
    <row r="488" spans="1:20">
      <c r="A488" t="s">
        <v>1565</v>
      </c>
      <c r="B488" t="s">
        <v>2920</v>
      </c>
      <c r="C488">
        <v>45649</v>
      </c>
      <c r="D488" t="s">
        <v>7263</v>
      </c>
      <c r="E488" t="s">
        <v>2921</v>
      </c>
      <c r="F488">
        <v>45663</v>
      </c>
      <c r="G488" t="s">
        <v>7222</v>
      </c>
      <c r="H488" t="s">
        <v>2916</v>
      </c>
      <c r="I488" t="s">
        <v>7319</v>
      </c>
      <c r="J488">
        <v>0</v>
      </c>
      <c r="K488">
        <v>-1096.3900000000001</v>
      </c>
      <c r="L488" t="s">
        <v>2917</v>
      </c>
      <c r="M488">
        <v>-5927.8</v>
      </c>
      <c r="N488" t="s">
        <v>2918</v>
      </c>
      <c r="O488" t="s">
        <v>7320</v>
      </c>
      <c r="P488" t="s">
        <v>3315</v>
      </c>
      <c r="Q488" t="s">
        <v>2924</v>
      </c>
      <c r="R488" t="s">
        <v>3219</v>
      </c>
      <c r="S488" t="s">
        <v>2208</v>
      </c>
      <c r="T488" t="s">
        <v>2208</v>
      </c>
    </row>
    <row r="489" spans="1:20">
      <c r="A489" t="s">
        <v>1565</v>
      </c>
      <c r="B489" t="s">
        <v>2920</v>
      </c>
      <c r="C489">
        <v>45688</v>
      </c>
      <c r="D489" t="s">
        <v>7263</v>
      </c>
      <c r="E489" t="s">
        <v>2921</v>
      </c>
      <c r="F489">
        <v>45688</v>
      </c>
      <c r="G489" t="s">
        <v>2208</v>
      </c>
      <c r="H489" t="s">
        <v>2916</v>
      </c>
      <c r="I489" t="s">
        <v>7564</v>
      </c>
      <c r="J489">
        <v>0</v>
      </c>
      <c r="K489">
        <v>136.47</v>
      </c>
      <c r="L489" t="s">
        <v>2917</v>
      </c>
      <c r="M489">
        <v>0</v>
      </c>
      <c r="N489" t="s">
        <v>2918</v>
      </c>
      <c r="O489" t="s">
        <v>2919</v>
      </c>
      <c r="P489" t="s">
        <v>2208</v>
      </c>
      <c r="Q489" t="s">
        <v>2916</v>
      </c>
      <c r="R489" t="s">
        <v>3220</v>
      </c>
      <c r="S489" t="s">
        <v>2208</v>
      </c>
      <c r="T489" t="s">
        <v>2208</v>
      </c>
    </row>
    <row r="490" spans="1:20">
      <c r="A490" t="s">
        <v>1565</v>
      </c>
      <c r="B490" t="s">
        <v>16360</v>
      </c>
      <c r="C490">
        <v>44953</v>
      </c>
      <c r="D490" t="s">
        <v>7263</v>
      </c>
      <c r="E490" t="s">
        <v>16361</v>
      </c>
      <c r="F490">
        <v>45799</v>
      </c>
      <c r="G490" t="s">
        <v>17366</v>
      </c>
      <c r="H490" t="s">
        <v>2916</v>
      </c>
      <c r="I490" t="s">
        <v>17367</v>
      </c>
      <c r="J490">
        <v>44107.55</v>
      </c>
      <c r="K490">
        <v>7829.09</v>
      </c>
      <c r="L490" t="s">
        <v>2917</v>
      </c>
      <c r="M490">
        <v>44107.55</v>
      </c>
      <c r="N490" t="s">
        <v>2918</v>
      </c>
      <c r="O490" t="s">
        <v>2939</v>
      </c>
      <c r="P490" t="s">
        <v>2939</v>
      </c>
      <c r="Q490" t="s">
        <v>2924</v>
      </c>
      <c r="R490" t="s">
        <v>3219</v>
      </c>
      <c r="S490" t="s">
        <v>2208</v>
      </c>
      <c r="T490" t="s">
        <v>2208</v>
      </c>
    </row>
    <row r="491" spans="1:20">
      <c r="A491" t="s">
        <v>1565</v>
      </c>
      <c r="B491" t="s">
        <v>16360</v>
      </c>
      <c r="C491">
        <v>45803</v>
      </c>
      <c r="D491" t="s">
        <v>7263</v>
      </c>
      <c r="E491" t="s">
        <v>16361</v>
      </c>
      <c r="F491">
        <v>45803</v>
      </c>
      <c r="G491" t="s">
        <v>7222</v>
      </c>
      <c r="H491" t="s">
        <v>2916</v>
      </c>
      <c r="I491" t="s">
        <v>17586</v>
      </c>
      <c r="J491">
        <v>163172.99</v>
      </c>
      <c r="K491">
        <v>28963.21</v>
      </c>
      <c r="L491" t="s">
        <v>2917</v>
      </c>
      <c r="M491">
        <v>163172.99</v>
      </c>
      <c r="N491" t="s">
        <v>2918</v>
      </c>
      <c r="O491" t="s">
        <v>3315</v>
      </c>
      <c r="P491" t="s">
        <v>3315</v>
      </c>
      <c r="Q491" t="s">
        <v>2924</v>
      </c>
      <c r="R491" t="s">
        <v>3219</v>
      </c>
      <c r="S491" t="s">
        <v>2208</v>
      </c>
      <c r="T491" t="s">
        <v>2208</v>
      </c>
    </row>
    <row r="492" spans="1:20">
      <c r="A492" t="s">
        <v>1565</v>
      </c>
      <c r="B492" t="s">
        <v>16360</v>
      </c>
      <c r="C492">
        <v>45800</v>
      </c>
      <c r="D492" t="s">
        <v>7263</v>
      </c>
      <c r="E492" t="s">
        <v>16361</v>
      </c>
      <c r="F492">
        <v>45804</v>
      </c>
      <c r="G492" t="s">
        <v>17366</v>
      </c>
      <c r="H492" t="s">
        <v>2916</v>
      </c>
      <c r="I492" t="s">
        <v>17734</v>
      </c>
      <c r="J492">
        <v>0</v>
      </c>
      <c r="K492">
        <v>-724.19</v>
      </c>
      <c r="L492" t="s">
        <v>2917</v>
      </c>
      <c r="M492">
        <v>-4079.94</v>
      </c>
      <c r="N492" t="s">
        <v>2918</v>
      </c>
      <c r="O492" t="s">
        <v>17735</v>
      </c>
      <c r="P492" t="s">
        <v>2939</v>
      </c>
      <c r="Q492" t="s">
        <v>2924</v>
      </c>
      <c r="R492" t="s">
        <v>3219</v>
      </c>
      <c r="S492" t="s">
        <v>2208</v>
      </c>
      <c r="T492" t="s">
        <v>2208</v>
      </c>
    </row>
    <row r="493" spans="1:20">
      <c r="A493" t="s">
        <v>1565</v>
      </c>
      <c r="B493" t="s">
        <v>16360</v>
      </c>
      <c r="C493">
        <v>45808</v>
      </c>
      <c r="D493" t="s">
        <v>7263</v>
      </c>
      <c r="E493" t="s">
        <v>16361</v>
      </c>
      <c r="F493">
        <v>45808</v>
      </c>
      <c r="G493" t="s">
        <v>2208</v>
      </c>
      <c r="H493" t="s">
        <v>2916</v>
      </c>
      <c r="I493" t="s">
        <v>17849</v>
      </c>
      <c r="J493">
        <v>0</v>
      </c>
      <c r="K493">
        <v>7.0000000000000007E-2</v>
      </c>
      <c r="L493" t="s">
        <v>2917</v>
      </c>
      <c r="M493">
        <v>0</v>
      </c>
      <c r="N493" t="s">
        <v>2918</v>
      </c>
      <c r="O493" t="s">
        <v>2919</v>
      </c>
      <c r="P493" t="s">
        <v>2208</v>
      </c>
      <c r="Q493" t="s">
        <v>2916</v>
      </c>
      <c r="R493" t="s">
        <v>3220</v>
      </c>
      <c r="S493" t="s">
        <v>2208</v>
      </c>
      <c r="T493" t="s">
        <v>2208</v>
      </c>
    </row>
    <row r="494" spans="1:20">
      <c r="A494" t="s">
        <v>1565</v>
      </c>
      <c r="B494" t="s">
        <v>17897</v>
      </c>
      <c r="C494">
        <v>45818</v>
      </c>
      <c r="D494" t="s">
        <v>7263</v>
      </c>
      <c r="E494" t="s">
        <v>17898</v>
      </c>
      <c r="F494">
        <v>45831</v>
      </c>
      <c r="G494" t="s">
        <v>7222</v>
      </c>
      <c r="H494" t="s">
        <v>2916</v>
      </c>
      <c r="I494" t="s">
        <v>18893</v>
      </c>
      <c r="J494">
        <v>0</v>
      </c>
      <c r="K494">
        <v>-2871.6</v>
      </c>
      <c r="L494" t="s">
        <v>2917</v>
      </c>
      <c r="M494">
        <v>-15093.5</v>
      </c>
      <c r="N494" t="s">
        <v>2918</v>
      </c>
      <c r="O494" t="s">
        <v>18894</v>
      </c>
      <c r="P494" t="s">
        <v>3315</v>
      </c>
      <c r="Q494" t="s">
        <v>2924</v>
      </c>
      <c r="R494" t="s">
        <v>3219</v>
      </c>
      <c r="S494" t="s">
        <v>2208</v>
      </c>
      <c r="T494" t="s">
        <v>2208</v>
      </c>
    </row>
    <row r="495" spans="1:20">
      <c r="A495" t="s">
        <v>1565</v>
      </c>
      <c r="B495" t="s">
        <v>17897</v>
      </c>
      <c r="C495">
        <v>45838</v>
      </c>
      <c r="D495" t="s">
        <v>7263</v>
      </c>
      <c r="E495" t="s">
        <v>17898</v>
      </c>
      <c r="F495">
        <v>45838</v>
      </c>
      <c r="G495" t="s">
        <v>2208</v>
      </c>
      <c r="H495" t="s">
        <v>2916</v>
      </c>
      <c r="I495" t="s">
        <v>19248</v>
      </c>
      <c r="J495">
        <v>0</v>
      </c>
      <c r="K495">
        <v>212.04</v>
      </c>
      <c r="L495" t="s">
        <v>2917</v>
      </c>
      <c r="M495">
        <v>0</v>
      </c>
      <c r="N495" t="s">
        <v>2918</v>
      </c>
      <c r="O495" t="s">
        <v>2919</v>
      </c>
      <c r="P495" t="s">
        <v>2208</v>
      </c>
      <c r="Q495" t="s">
        <v>2916</v>
      </c>
      <c r="R495" t="s">
        <v>3220</v>
      </c>
      <c r="S495" t="s">
        <v>2208</v>
      </c>
      <c r="T495" t="s">
        <v>2208</v>
      </c>
    </row>
    <row r="496" spans="1:20">
      <c r="A496" t="s">
        <v>1565</v>
      </c>
      <c r="B496" t="s">
        <v>16360</v>
      </c>
      <c r="C496">
        <v>44931</v>
      </c>
      <c r="D496" t="s">
        <v>7263</v>
      </c>
      <c r="E496" t="s">
        <v>16361</v>
      </c>
      <c r="F496">
        <v>45800</v>
      </c>
      <c r="G496" t="s">
        <v>17501</v>
      </c>
      <c r="H496" t="s">
        <v>2916</v>
      </c>
      <c r="I496" t="s">
        <v>17502</v>
      </c>
      <c r="J496">
        <v>80661.3</v>
      </c>
      <c r="K496">
        <v>14317.38</v>
      </c>
      <c r="L496" t="s">
        <v>2917</v>
      </c>
      <c r="M496">
        <v>80661.3</v>
      </c>
      <c r="N496" t="s">
        <v>2918</v>
      </c>
      <c r="O496" t="s">
        <v>2936</v>
      </c>
      <c r="P496" t="s">
        <v>2936</v>
      </c>
      <c r="Q496" t="s">
        <v>2924</v>
      </c>
      <c r="R496" t="s">
        <v>3219</v>
      </c>
      <c r="S496" t="s">
        <v>2208</v>
      </c>
      <c r="T496" t="s">
        <v>2208</v>
      </c>
    </row>
    <row r="497" spans="1:20">
      <c r="A497" t="s">
        <v>1565</v>
      </c>
      <c r="B497" t="s">
        <v>16360</v>
      </c>
      <c r="C497">
        <v>45800</v>
      </c>
      <c r="D497" t="s">
        <v>7263</v>
      </c>
      <c r="E497" t="s">
        <v>16361</v>
      </c>
      <c r="F497">
        <v>45804</v>
      </c>
      <c r="G497" t="s">
        <v>17501</v>
      </c>
      <c r="H497" t="s">
        <v>2916</v>
      </c>
      <c r="I497" t="s">
        <v>17736</v>
      </c>
      <c r="J497">
        <v>0</v>
      </c>
      <c r="K497">
        <v>-1324.36</v>
      </c>
      <c r="L497" t="s">
        <v>2917</v>
      </c>
      <c r="M497">
        <v>-7461.17</v>
      </c>
      <c r="N497" t="s">
        <v>2918</v>
      </c>
      <c r="O497" t="s">
        <v>17737</v>
      </c>
      <c r="P497" t="s">
        <v>2936</v>
      </c>
      <c r="Q497" t="s">
        <v>2924</v>
      </c>
      <c r="R497" t="s">
        <v>3219</v>
      </c>
      <c r="S497" t="s">
        <v>2208</v>
      </c>
      <c r="T497" t="s">
        <v>2208</v>
      </c>
    </row>
    <row r="498" spans="1:20">
      <c r="A498" t="s">
        <v>1565</v>
      </c>
      <c r="B498" t="s">
        <v>16360</v>
      </c>
      <c r="C498">
        <v>45808</v>
      </c>
      <c r="D498" t="s">
        <v>7263</v>
      </c>
      <c r="E498" t="s">
        <v>16361</v>
      </c>
      <c r="F498">
        <v>45808</v>
      </c>
      <c r="G498" t="s">
        <v>2208</v>
      </c>
      <c r="H498" t="s">
        <v>2916</v>
      </c>
      <c r="I498" t="s">
        <v>17850</v>
      </c>
      <c r="J498">
        <v>0</v>
      </c>
      <c r="K498">
        <v>-0.02</v>
      </c>
      <c r="L498" t="s">
        <v>2917</v>
      </c>
      <c r="M498">
        <v>0</v>
      </c>
      <c r="N498" t="s">
        <v>2918</v>
      </c>
      <c r="O498" t="s">
        <v>2919</v>
      </c>
      <c r="P498" t="s">
        <v>2208</v>
      </c>
      <c r="Q498" t="s">
        <v>2916</v>
      </c>
      <c r="R498" t="s">
        <v>3220</v>
      </c>
      <c r="S498" t="s">
        <v>2208</v>
      </c>
      <c r="T498" t="s">
        <v>2208</v>
      </c>
    </row>
    <row r="499" spans="1:20">
      <c r="A499" t="s">
        <v>1566</v>
      </c>
      <c r="B499" t="s">
        <v>16360</v>
      </c>
      <c r="C499">
        <v>45314</v>
      </c>
      <c r="D499" t="s">
        <v>7263</v>
      </c>
      <c r="E499" t="s">
        <v>16361</v>
      </c>
      <c r="F499">
        <v>45797</v>
      </c>
      <c r="G499" t="s">
        <v>17261</v>
      </c>
      <c r="H499" t="s">
        <v>2916</v>
      </c>
      <c r="I499" t="s">
        <v>17262</v>
      </c>
      <c r="J499">
        <v>41613</v>
      </c>
      <c r="K499">
        <v>7386.31</v>
      </c>
      <c r="L499" t="s">
        <v>2917</v>
      </c>
      <c r="M499">
        <v>41613</v>
      </c>
      <c r="N499" t="s">
        <v>2918</v>
      </c>
      <c r="O499" t="s">
        <v>2939</v>
      </c>
      <c r="P499" t="s">
        <v>2939</v>
      </c>
      <c r="Q499" t="s">
        <v>2924</v>
      </c>
      <c r="R499" t="s">
        <v>3219</v>
      </c>
      <c r="S499" t="s">
        <v>2208</v>
      </c>
      <c r="T499" t="s">
        <v>2208</v>
      </c>
    </row>
    <row r="500" spans="1:20">
      <c r="A500" t="s">
        <v>1566</v>
      </c>
      <c r="B500" t="s">
        <v>17897</v>
      </c>
      <c r="C500">
        <v>45314</v>
      </c>
      <c r="D500" t="s">
        <v>7263</v>
      </c>
      <c r="E500" t="s">
        <v>17898</v>
      </c>
      <c r="F500">
        <v>45824</v>
      </c>
      <c r="G500" t="s">
        <v>17261</v>
      </c>
      <c r="H500" t="s">
        <v>2916</v>
      </c>
      <c r="I500" t="s">
        <v>18583</v>
      </c>
      <c r="J500">
        <v>-41613</v>
      </c>
      <c r="K500">
        <v>-7386.31</v>
      </c>
      <c r="L500" t="s">
        <v>2917</v>
      </c>
      <c r="M500">
        <v>-41613</v>
      </c>
      <c r="N500" t="s">
        <v>2918</v>
      </c>
      <c r="O500" t="s">
        <v>2939</v>
      </c>
      <c r="P500" t="s">
        <v>2939</v>
      </c>
      <c r="Q500" t="s">
        <v>2924</v>
      </c>
      <c r="R500" t="s">
        <v>3219</v>
      </c>
      <c r="S500" t="s">
        <v>2208</v>
      </c>
      <c r="T500" t="s">
        <v>2208</v>
      </c>
    </row>
    <row r="501" spans="1:20">
      <c r="A501" t="s">
        <v>1566</v>
      </c>
      <c r="B501" t="s">
        <v>17897</v>
      </c>
      <c r="C501">
        <v>45314</v>
      </c>
      <c r="D501" t="s">
        <v>7263</v>
      </c>
      <c r="E501" t="s">
        <v>17898</v>
      </c>
      <c r="F501">
        <v>45824</v>
      </c>
      <c r="G501" t="s">
        <v>17261</v>
      </c>
      <c r="H501" t="s">
        <v>2916</v>
      </c>
      <c r="I501" t="s">
        <v>18584</v>
      </c>
      <c r="J501">
        <v>41143.360000000001</v>
      </c>
      <c r="K501">
        <v>7249.46</v>
      </c>
      <c r="L501" t="s">
        <v>2917</v>
      </c>
      <c r="M501">
        <v>41143.360000000001</v>
      </c>
      <c r="N501" t="s">
        <v>2918</v>
      </c>
      <c r="O501" t="s">
        <v>2939</v>
      </c>
      <c r="P501" t="s">
        <v>2939</v>
      </c>
      <c r="Q501" t="s">
        <v>2924</v>
      </c>
      <c r="R501" t="s">
        <v>3219</v>
      </c>
      <c r="S501" t="s">
        <v>2208</v>
      </c>
      <c r="T501" t="s">
        <v>2208</v>
      </c>
    </row>
    <row r="502" spans="1:20">
      <c r="A502" t="s">
        <v>1566</v>
      </c>
      <c r="B502" t="s">
        <v>17897</v>
      </c>
      <c r="C502">
        <v>45825</v>
      </c>
      <c r="D502" t="s">
        <v>7263</v>
      </c>
      <c r="E502" t="s">
        <v>17898</v>
      </c>
      <c r="F502">
        <v>45826</v>
      </c>
      <c r="G502" t="s">
        <v>17261</v>
      </c>
      <c r="H502" t="s">
        <v>2916</v>
      </c>
      <c r="I502" t="s">
        <v>18585</v>
      </c>
      <c r="J502">
        <v>0</v>
      </c>
      <c r="K502">
        <v>-670.58</v>
      </c>
      <c r="L502" t="s">
        <v>2917</v>
      </c>
      <c r="M502">
        <v>-3805.77</v>
      </c>
      <c r="N502" t="s">
        <v>2918</v>
      </c>
      <c r="O502" t="s">
        <v>18586</v>
      </c>
      <c r="P502" t="s">
        <v>2939</v>
      </c>
      <c r="Q502" t="s">
        <v>2924</v>
      </c>
      <c r="R502" t="s">
        <v>3219</v>
      </c>
      <c r="S502" t="s">
        <v>2208</v>
      </c>
      <c r="T502" t="s">
        <v>2208</v>
      </c>
    </row>
    <row r="503" spans="1:20">
      <c r="A503" t="s">
        <v>1566</v>
      </c>
      <c r="B503" t="s">
        <v>17897</v>
      </c>
      <c r="C503">
        <v>45838</v>
      </c>
      <c r="D503" t="s">
        <v>7263</v>
      </c>
      <c r="E503" t="s">
        <v>17898</v>
      </c>
      <c r="F503">
        <v>45838</v>
      </c>
      <c r="G503" t="s">
        <v>2208</v>
      </c>
      <c r="H503" t="s">
        <v>2916</v>
      </c>
      <c r="I503" t="s">
        <v>19249</v>
      </c>
      <c r="J503">
        <v>0</v>
      </c>
      <c r="K503">
        <v>54.17</v>
      </c>
      <c r="L503" t="s">
        <v>2917</v>
      </c>
      <c r="M503">
        <v>0</v>
      </c>
      <c r="N503" t="s">
        <v>2918</v>
      </c>
      <c r="O503" t="s">
        <v>2919</v>
      </c>
      <c r="P503" t="s">
        <v>2208</v>
      </c>
      <c r="Q503" t="s">
        <v>2916</v>
      </c>
      <c r="R503" t="s">
        <v>3220</v>
      </c>
      <c r="S503" t="s">
        <v>2208</v>
      </c>
      <c r="T503" t="s">
        <v>2208</v>
      </c>
    </row>
    <row r="504" spans="1:20">
      <c r="A504" t="s">
        <v>1604</v>
      </c>
      <c r="B504" t="s">
        <v>16360</v>
      </c>
      <c r="C504">
        <v>45527</v>
      </c>
      <c r="D504" t="s">
        <v>7263</v>
      </c>
      <c r="E504" t="s">
        <v>16361</v>
      </c>
      <c r="F504">
        <v>45800</v>
      </c>
      <c r="G504" t="s">
        <v>8375</v>
      </c>
      <c r="H504" t="s">
        <v>2916</v>
      </c>
      <c r="I504" t="s">
        <v>17503</v>
      </c>
      <c r="J504">
        <v>19018.87</v>
      </c>
      <c r="K504">
        <v>3375.85</v>
      </c>
      <c r="L504" t="s">
        <v>2917</v>
      </c>
      <c r="M504">
        <v>19018.87</v>
      </c>
      <c r="N504" t="s">
        <v>2918</v>
      </c>
      <c r="O504" t="s">
        <v>2923</v>
      </c>
      <c r="P504" t="s">
        <v>2923</v>
      </c>
      <c r="Q504" t="s">
        <v>2924</v>
      </c>
      <c r="R504" t="s">
        <v>3219</v>
      </c>
      <c r="S504" t="s">
        <v>2208</v>
      </c>
      <c r="T504" t="s">
        <v>2208</v>
      </c>
    </row>
    <row r="505" spans="1:20">
      <c r="A505" t="s">
        <v>1604</v>
      </c>
      <c r="B505" t="s">
        <v>16360</v>
      </c>
      <c r="C505">
        <v>45800</v>
      </c>
      <c r="D505" t="s">
        <v>7263</v>
      </c>
      <c r="E505" t="s">
        <v>16361</v>
      </c>
      <c r="F505">
        <v>45804</v>
      </c>
      <c r="G505" t="s">
        <v>8375</v>
      </c>
      <c r="H505" t="s">
        <v>2916</v>
      </c>
      <c r="I505" t="s">
        <v>17738</v>
      </c>
      <c r="J505">
        <v>0</v>
      </c>
      <c r="K505">
        <v>-312.27</v>
      </c>
      <c r="L505" t="s">
        <v>2917</v>
      </c>
      <c r="M505">
        <v>-1759.24</v>
      </c>
      <c r="N505" t="s">
        <v>2918</v>
      </c>
      <c r="O505" t="s">
        <v>17739</v>
      </c>
      <c r="P505" t="s">
        <v>2923</v>
      </c>
      <c r="Q505" t="s">
        <v>2924</v>
      </c>
      <c r="R505" t="s">
        <v>3219</v>
      </c>
      <c r="S505" t="s">
        <v>2208</v>
      </c>
      <c r="T505" t="s">
        <v>2208</v>
      </c>
    </row>
    <row r="506" spans="1:20">
      <c r="A506" t="s">
        <v>1604</v>
      </c>
      <c r="B506" t="s">
        <v>16360</v>
      </c>
      <c r="C506">
        <v>45808</v>
      </c>
      <c r="D506" t="s">
        <v>7263</v>
      </c>
      <c r="E506" t="s">
        <v>16361</v>
      </c>
      <c r="F506">
        <v>45808</v>
      </c>
      <c r="G506" t="s">
        <v>2208</v>
      </c>
      <c r="H506" t="s">
        <v>2916</v>
      </c>
      <c r="I506" t="s">
        <v>17851</v>
      </c>
      <c r="J506">
        <v>0</v>
      </c>
      <c r="K506">
        <v>7.0000000000000007E-2</v>
      </c>
      <c r="L506" t="s">
        <v>2917</v>
      </c>
      <c r="M506">
        <v>0</v>
      </c>
      <c r="N506" t="s">
        <v>2918</v>
      </c>
      <c r="O506" t="s">
        <v>2919</v>
      </c>
      <c r="P506" t="s">
        <v>2208</v>
      </c>
      <c r="Q506" t="s">
        <v>2916</v>
      </c>
      <c r="R506" t="s">
        <v>3220</v>
      </c>
      <c r="S506" t="s">
        <v>2208</v>
      </c>
      <c r="T506" t="s">
        <v>2208</v>
      </c>
    </row>
    <row r="507" spans="1:20">
      <c r="A507" t="s">
        <v>1608</v>
      </c>
      <c r="B507" t="s">
        <v>2920</v>
      </c>
      <c r="C507">
        <v>45679</v>
      </c>
      <c r="D507" t="s">
        <v>7263</v>
      </c>
      <c r="E507" t="s">
        <v>2921</v>
      </c>
      <c r="F507">
        <v>45679</v>
      </c>
      <c r="G507" t="s">
        <v>2208</v>
      </c>
      <c r="H507" t="s">
        <v>2916</v>
      </c>
      <c r="I507" t="s">
        <v>7565</v>
      </c>
      <c r="J507">
        <v>0</v>
      </c>
      <c r="K507">
        <v>7.46</v>
      </c>
      <c r="L507" t="s">
        <v>2917</v>
      </c>
      <c r="M507">
        <v>0</v>
      </c>
      <c r="N507" t="s">
        <v>2918</v>
      </c>
      <c r="O507" t="s">
        <v>2946</v>
      </c>
      <c r="P507" t="s">
        <v>2208</v>
      </c>
      <c r="Q507" t="s">
        <v>2928</v>
      </c>
      <c r="R507" t="s">
        <v>3227</v>
      </c>
      <c r="S507" t="s">
        <v>2208</v>
      </c>
      <c r="T507" t="s">
        <v>2208</v>
      </c>
    </row>
    <row r="508" spans="1:20">
      <c r="A508" t="s">
        <v>1608</v>
      </c>
      <c r="B508" t="s">
        <v>2920</v>
      </c>
      <c r="C508">
        <v>45679</v>
      </c>
      <c r="D508" t="s">
        <v>7263</v>
      </c>
      <c r="E508" t="s">
        <v>2921</v>
      </c>
      <c r="F508">
        <v>45679</v>
      </c>
      <c r="G508" t="s">
        <v>2208</v>
      </c>
      <c r="H508" t="s">
        <v>2916</v>
      </c>
      <c r="I508" t="s">
        <v>7566</v>
      </c>
      <c r="J508">
        <v>0</v>
      </c>
      <c r="K508">
        <v>0</v>
      </c>
      <c r="L508" t="s">
        <v>2917</v>
      </c>
      <c r="M508">
        <v>-2.9</v>
      </c>
      <c r="N508" t="s">
        <v>2918</v>
      </c>
      <c r="O508" t="s">
        <v>2946</v>
      </c>
      <c r="P508" t="s">
        <v>2208</v>
      </c>
      <c r="Q508" t="s">
        <v>2928</v>
      </c>
      <c r="R508" t="s">
        <v>3227</v>
      </c>
      <c r="S508" t="s">
        <v>2208</v>
      </c>
      <c r="T508" t="s">
        <v>2208</v>
      </c>
    </row>
    <row r="509" spans="1:20">
      <c r="A509" t="s">
        <v>1608</v>
      </c>
      <c r="B509" t="s">
        <v>2920</v>
      </c>
      <c r="C509">
        <v>45688</v>
      </c>
      <c r="D509" t="s">
        <v>7263</v>
      </c>
      <c r="E509" t="s">
        <v>2921</v>
      </c>
      <c r="F509">
        <v>45688</v>
      </c>
      <c r="G509" t="s">
        <v>2208</v>
      </c>
      <c r="H509" t="s">
        <v>2916</v>
      </c>
      <c r="I509" t="s">
        <v>7567</v>
      </c>
      <c r="J509">
        <v>0</v>
      </c>
      <c r="K509">
        <v>-7.95</v>
      </c>
      <c r="L509" t="s">
        <v>2917</v>
      </c>
      <c r="M509">
        <v>0</v>
      </c>
      <c r="N509" t="s">
        <v>2918</v>
      </c>
      <c r="O509" t="s">
        <v>2919</v>
      </c>
      <c r="P509" t="s">
        <v>2208</v>
      </c>
      <c r="Q509" t="s">
        <v>2916</v>
      </c>
      <c r="R509" t="s">
        <v>3220</v>
      </c>
      <c r="S509" t="s">
        <v>2208</v>
      </c>
      <c r="T509" t="s">
        <v>2208</v>
      </c>
    </row>
    <row r="510" spans="1:20">
      <c r="A510" t="s">
        <v>1608</v>
      </c>
      <c r="B510" t="s">
        <v>7740</v>
      </c>
      <c r="C510">
        <v>45699</v>
      </c>
      <c r="D510" t="s">
        <v>7263</v>
      </c>
      <c r="E510" t="s">
        <v>2925</v>
      </c>
      <c r="F510">
        <v>45699</v>
      </c>
      <c r="G510" t="s">
        <v>2208</v>
      </c>
      <c r="H510" t="s">
        <v>2916</v>
      </c>
      <c r="I510" t="s">
        <v>8618</v>
      </c>
      <c r="J510">
        <v>0</v>
      </c>
      <c r="K510">
        <v>7.95</v>
      </c>
      <c r="L510" t="s">
        <v>2917</v>
      </c>
      <c r="M510">
        <v>0</v>
      </c>
      <c r="N510" t="s">
        <v>2918</v>
      </c>
      <c r="O510" t="s">
        <v>2946</v>
      </c>
      <c r="P510" t="s">
        <v>2208</v>
      </c>
      <c r="Q510" t="s">
        <v>2928</v>
      </c>
      <c r="R510" t="s">
        <v>3227</v>
      </c>
      <c r="S510" t="s">
        <v>2208</v>
      </c>
      <c r="T510" t="s">
        <v>2208</v>
      </c>
    </row>
    <row r="511" spans="1:20">
      <c r="A511" t="s">
        <v>1608</v>
      </c>
      <c r="B511" t="s">
        <v>7740</v>
      </c>
      <c r="C511">
        <v>45716</v>
      </c>
      <c r="D511" t="s">
        <v>7263</v>
      </c>
      <c r="E511" t="s">
        <v>2925</v>
      </c>
      <c r="F511">
        <v>45716</v>
      </c>
      <c r="G511" t="s">
        <v>2208</v>
      </c>
      <c r="H511" t="s">
        <v>2916</v>
      </c>
      <c r="I511" t="s">
        <v>9136</v>
      </c>
      <c r="J511">
        <v>0</v>
      </c>
      <c r="K511">
        <v>-7.95</v>
      </c>
      <c r="L511" t="s">
        <v>2917</v>
      </c>
      <c r="M511">
        <v>0</v>
      </c>
      <c r="N511" t="s">
        <v>2918</v>
      </c>
      <c r="O511" t="s">
        <v>2919</v>
      </c>
      <c r="P511" t="s">
        <v>2208</v>
      </c>
      <c r="Q511" t="s">
        <v>2916</v>
      </c>
      <c r="R511" t="s">
        <v>3220</v>
      </c>
      <c r="S511" t="s">
        <v>2208</v>
      </c>
      <c r="T511" t="s">
        <v>2208</v>
      </c>
    </row>
    <row r="512" spans="1:20">
      <c r="A512" t="s">
        <v>1608</v>
      </c>
      <c r="B512" t="s">
        <v>9126</v>
      </c>
      <c r="C512">
        <v>45719</v>
      </c>
      <c r="D512" t="s">
        <v>7263</v>
      </c>
      <c r="E512" t="s">
        <v>9127</v>
      </c>
      <c r="F512">
        <v>45719</v>
      </c>
      <c r="G512" t="s">
        <v>2208</v>
      </c>
      <c r="H512" t="s">
        <v>2916</v>
      </c>
      <c r="I512" t="s">
        <v>9137</v>
      </c>
      <c r="J512">
        <v>0</v>
      </c>
      <c r="K512">
        <v>7.95</v>
      </c>
      <c r="L512" t="s">
        <v>2917</v>
      </c>
      <c r="M512">
        <v>0</v>
      </c>
      <c r="N512" t="s">
        <v>2918</v>
      </c>
      <c r="O512" t="s">
        <v>2946</v>
      </c>
      <c r="P512" t="s">
        <v>2208</v>
      </c>
      <c r="Q512" t="s">
        <v>2928</v>
      </c>
      <c r="R512" t="s">
        <v>3227</v>
      </c>
      <c r="S512" t="s">
        <v>2208</v>
      </c>
      <c r="T512" t="s">
        <v>2208</v>
      </c>
    </row>
    <row r="513" spans="1:20">
      <c r="A513" t="s">
        <v>2298</v>
      </c>
      <c r="B513" t="s">
        <v>9126</v>
      </c>
      <c r="C513">
        <v>45743</v>
      </c>
      <c r="D513" t="s">
        <v>7263</v>
      </c>
      <c r="E513" t="s">
        <v>9127</v>
      </c>
      <c r="F513">
        <v>45743</v>
      </c>
      <c r="G513" t="s">
        <v>2208</v>
      </c>
      <c r="H513" t="s">
        <v>2916</v>
      </c>
      <c r="I513" t="s">
        <v>11342</v>
      </c>
      <c r="J513">
        <v>0</v>
      </c>
      <c r="K513">
        <v>700.35</v>
      </c>
      <c r="L513" t="s">
        <v>2917</v>
      </c>
      <c r="M513">
        <v>4086.25</v>
      </c>
      <c r="N513" t="s">
        <v>2918</v>
      </c>
      <c r="O513" t="s">
        <v>11343</v>
      </c>
      <c r="P513" t="s">
        <v>2208</v>
      </c>
      <c r="Q513" t="s">
        <v>6851</v>
      </c>
      <c r="R513" t="s">
        <v>6852</v>
      </c>
      <c r="S513" t="s">
        <v>2208</v>
      </c>
      <c r="T513" t="s">
        <v>2208</v>
      </c>
    </row>
    <row r="514" spans="1:20">
      <c r="A514" t="s">
        <v>2298</v>
      </c>
      <c r="B514" t="s">
        <v>9126</v>
      </c>
      <c r="C514">
        <v>45747</v>
      </c>
      <c r="D514" t="s">
        <v>7263</v>
      </c>
      <c r="E514" t="s">
        <v>9127</v>
      </c>
      <c r="F514">
        <v>45747</v>
      </c>
      <c r="G514" t="s">
        <v>2208</v>
      </c>
      <c r="H514" t="s">
        <v>2916</v>
      </c>
      <c r="I514" t="s">
        <v>11344</v>
      </c>
      <c r="J514">
        <v>0</v>
      </c>
      <c r="K514">
        <v>-0.05</v>
      </c>
      <c r="L514" t="s">
        <v>2917</v>
      </c>
      <c r="M514">
        <v>0</v>
      </c>
      <c r="N514" t="s">
        <v>2918</v>
      </c>
      <c r="O514" t="s">
        <v>2919</v>
      </c>
      <c r="P514" t="s">
        <v>2208</v>
      </c>
      <c r="Q514" t="s">
        <v>2916</v>
      </c>
      <c r="R514" t="s">
        <v>3220</v>
      </c>
      <c r="S514" t="s">
        <v>2208</v>
      </c>
      <c r="T514" t="s">
        <v>2208</v>
      </c>
    </row>
    <row r="515" spans="1:20">
      <c r="A515" t="s">
        <v>2298</v>
      </c>
      <c r="B515" t="s">
        <v>11331</v>
      </c>
      <c r="C515">
        <v>45568</v>
      </c>
      <c r="D515" t="s">
        <v>7263</v>
      </c>
      <c r="E515" t="s">
        <v>11332</v>
      </c>
      <c r="F515">
        <v>45769</v>
      </c>
      <c r="G515" t="s">
        <v>15828</v>
      </c>
      <c r="H515" t="s">
        <v>2916</v>
      </c>
      <c r="I515" t="s">
        <v>15829</v>
      </c>
      <c r="J515">
        <v>248975.1</v>
      </c>
      <c r="K515">
        <v>43234.53</v>
      </c>
      <c r="L515" t="s">
        <v>2917</v>
      </c>
      <c r="M515">
        <v>248975.1</v>
      </c>
      <c r="N515" t="s">
        <v>2918</v>
      </c>
      <c r="O515" t="s">
        <v>2923</v>
      </c>
      <c r="P515" t="s">
        <v>2923</v>
      </c>
      <c r="Q515" t="s">
        <v>2924</v>
      </c>
      <c r="R515" t="s">
        <v>3219</v>
      </c>
      <c r="S515" t="s">
        <v>2208</v>
      </c>
      <c r="T515" t="s">
        <v>2208</v>
      </c>
    </row>
    <row r="516" spans="1:20">
      <c r="A516" t="s">
        <v>2298</v>
      </c>
      <c r="B516" t="s">
        <v>11331</v>
      </c>
      <c r="C516">
        <v>45777</v>
      </c>
      <c r="D516" t="s">
        <v>7263</v>
      </c>
      <c r="E516" t="s">
        <v>11332</v>
      </c>
      <c r="F516">
        <v>45777</v>
      </c>
      <c r="G516" t="s">
        <v>2208</v>
      </c>
      <c r="H516" t="s">
        <v>2916</v>
      </c>
      <c r="I516" t="s">
        <v>16367</v>
      </c>
      <c r="J516">
        <v>0</v>
      </c>
      <c r="K516">
        <v>-0.02</v>
      </c>
      <c r="L516" t="s">
        <v>2917</v>
      </c>
      <c r="M516">
        <v>0</v>
      </c>
      <c r="N516" t="s">
        <v>2918</v>
      </c>
      <c r="O516" t="s">
        <v>2919</v>
      </c>
      <c r="P516" t="s">
        <v>2208</v>
      </c>
      <c r="Q516" t="s">
        <v>2916</v>
      </c>
      <c r="R516" t="s">
        <v>3220</v>
      </c>
      <c r="S516" t="s">
        <v>2208</v>
      </c>
      <c r="T516" t="s">
        <v>2208</v>
      </c>
    </row>
    <row r="517" spans="1:20">
      <c r="A517" t="s">
        <v>2298</v>
      </c>
      <c r="B517" t="s">
        <v>16360</v>
      </c>
      <c r="C517">
        <v>45568</v>
      </c>
      <c r="D517" t="s">
        <v>7263</v>
      </c>
      <c r="E517" t="s">
        <v>16361</v>
      </c>
      <c r="F517">
        <v>45797</v>
      </c>
      <c r="G517" t="s">
        <v>15828</v>
      </c>
      <c r="H517" t="s">
        <v>2916</v>
      </c>
      <c r="I517" t="s">
        <v>17263</v>
      </c>
      <c r="J517">
        <v>27663.9</v>
      </c>
      <c r="K517">
        <v>4910.34</v>
      </c>
      <c r="L517" t="s">
        <v>2917</v>
      </c>
      <c r="M517">
        <v>27663.9</v>
      </c>
      <c r="N517" t="s">
        <v>2918</v>
      </c>
      <c r="O517" t="s">
        <v>2923</v>
      </c>
      <c r="P517" t="s">
        <v>2923</v>
      </c>
      <c r="Q517" t="s">
        <v>2924</v>
      </c>
      <c r="R517" t="s">
        <v>3219</v>
      </c>
      <c r="S517" t="s">
        <v>2208</v>
      </c>
      <c r="T517" t="s">
        <v>2208</v>
      </c>
    </row>
    <row r="518" spans="1:20">
      <c r="A518" t="s">
        <v>2298</v>
      </c>
      <c r="B518" t="s">
        <v>16360</v>
      </c>
      <c r="C518">
        <v>45808</v>
      </c>
      <c r="D518" t="s">
        <v>7263</v>
      </c>
      <c r="E518" t="s">
        <v>16361</v>
      </c>
      <c r="F518">
        <v>45808</v>
      </c>
      <c r="G518" t="s">
        <v>2208</v>
      </c>
      <c r="H518" t="s">
        <v>2916</v>
      </c>
      <c r="I518" t="s">
        <v>17852</v>
      </c>
      <c r="J518">
        <v>0</v>
      </c>
      <c r="K518">
        <v>0.02</v>
      </c>
      <c r="L518" t="s">
        <v>2917</v>
      </c>
      <c r="M518">
        <v>0</v>
      </c>
      <c r="N518" t="s">
        <v>2918</v>
      </c>
      <c r="O518" t="s">
        <v>2919</v>
      </c>
      <c r="P518" t="s">
        <v>2208</v>
      </c>
      <c r="Q518" t="s">
        <v>2916</v>
      </c>
      <c r="R518" t="s">
        <v>3220</v>
      </c>
      <c r="S518" t="s">
        <v>2208</v>
      </c>
      <c r="T518" t="s">
        <v>2208</v>
      </c>
    </row>
    <row r="519" spans="1:20">
      <c r="A519" t="s">
        <v>1626</v>
      </c>
      <c r="B519" t="s">
        <v>2920</v>
      </c>
      <c r="C519">
        <v>45687</v>
      </c>
      <c r="D519" t="s">
        <v>7263</v>
      </c>
      <c r="E519" t="s">
        <v>2921</v>
      </c>
      <c r="F519">
        <v>45687</v>
      </c>
      <c r="G519" t="s">
        <v>2208</v>
      </c>
      <c r="H519" t="s">
        <v>2916</v>
      </c>
      <c r="I519" t="s">
        <v>7529</v>
      </c>
      <c r="J519">
        <v>0</v>
      </c>
      <c r="K519">
        <v>-1.8</v>
      </c>
      <c r="L519" t="s">
        <v>2917</v>
      </c>
      <c r="M519">
        <v>-11.09</v>
      </c>
      <c r="N519" t="s">
        <v>2918</v>
      </c>
      <c r="O519" t="s">
        <v>7528</v>
      </c>
      <c r="P519" t="s">
        <v>2208</v>
      </c>
      <c r="Q519" t="s">
        <v>2947</v>
      </c>
      <c r="R519" t="s">
        <v>3221</v>
      </c>
      <c r="S519" t="s">
        <v>2208</v>
      </c>
      <c r="T519" t="s">
        <v>2208</v>
      </c>
    </row>
    <row r="520" spans="1:20">
      <c r="A520" t="s">
        <v>1626</v>
      </c>
      <c r="B520" t="s">
        <v>2920</v>
      </c>
      <c r="C520">
        <v>45687</v>
      </c>
      <c r="D520" t="s">
        <v>7263</v>
      </c>
      <c r="E520" t="s">
        <v>2921</v>
      </c>
      <c r="F520">
        <v>45687</v>
      </c>
      <c r="G520" t="s">
        <v>2208</v>
      </c>
      <c r="H520" t="s">
        <v>2916</v>
      </c>
      <c r="I520" t="s">
        <v>7529</v>
      </c>
      <c r="J520">
        <v>0</v>
      </c>
      <c r="K520">
        <v>-8.27</v>
      </c>
      <c r="L520" t="s">
        <v>2917</v>
      </c>
      <c r="M520">
        <v>-51.07</v>
      </c>
      <c r="N520" t="s">
        <v>2918</v>
      </c>
      <c r="O520" t="s">
        <v>7528</v>
      </c>
      <c r="P520" t="s">
        <v>2208</v>
      </c>
      <c r="Q520" t="s">
        <v>2947</v>
      </c>
      <c r="R520" t="s">
        <v>3221</v>
      </c>
      <c r="S520" t="s">
        <v>2208</v>
      </c>
      <c r="T520" t="s">
        <v>2208</v>
      </c>
    </row>
    <row r="521" spans="1:20">
      <c r="A521" t="s">
        <v>1626</v>
      </c>
      <c r="B521" t="s">
        <v>2920</v>
      </c>
      <c r="C521">
        <v>45688</v>
      </c>
      <c r="D521" t="s">
        <v>7263</v>
      </c>
      <c r="E521" t="s">
        <v>2921</v>
      </c>
      <c r="F521">
        <v>45688</v>
      </c>
      <c r="G521" t="s">
        <v>2208</v>
      </c>
      <c r="H521" t="s">
        <v>2916</v>
      </c>
      <c r="I521" t="s">
        <v>7568</v>
      </c>
      <c r="J521">
        <v>0</v>
      </c>
      <c r="K521">
        <v>0.03</v>
      </c>
      <c r="L521" t="s">
        <v>2917</v>
      </c>
      <c r="M521">
        <v>0</v>
      </c>
      <c r="N521" t="s">
        <v>2918</v>
      </c>
      <c r="O521" t="s">
        <v>2919</v>
      </c>
      <c r="P521" t="s">
        <v>2208</v>
      </c>
      <c r="Q521" t="s">
        <v>2916</v>
      </c>
      <c r="R521" t="s">
        <v>3220</v>
      </c>
      <c r="S521" t="s">
        <v>2208</v>
      </c>
      <c r="T521" t="s">
        <v>2208</v>
      </c>
    </row>
    <row r="522" spans="1:20">
      <c r="A522" t="s">
        <v>1626</v>
      </c>
      <c r="B522" t="s">
        <v>2920</v>
      </c>
      <c r="C522">
        <v>45687</v>
      </c>
      <c r="D522" t="s">
        <v>7263</v>
      </c>
      <c r="E522" t="s">
        <v>2921</v>
      </c>
      <c r="F522">
        <v>45687</v>
      </c>
      <c r="G522" t="s">
        <v>2208</v>
      </c>
      <c r="H522" t="s">
        <v>2916</v>
      </c>
      <c r="I522" t="s">
        <v>7529</v>
      </c>
      <c r="J522">
        <v>0</v>
      </c>
      <c r="K522">
        <v>-12.02</v>
      </c>
      <c r="L522" t="s">
        <v>2917</v>
      </c>
      <c r="M522">
        <v>-74.25</v>
      </c>
      <c r="N522" t="s">
        <v>2918</v>
      </c>
      <c r="O522" t="s">
        <v>7528</v>
      </c>
      <c r="P522" t="s">
        <v>2208</v>
      </c>
      <c r="Q522" t="s">
        <v>2947</v>
      </c>
      <c r="R522" t="s">
        <v>3221</v>
      </c>
      <c r="S522" t="s">
        <v>2208</v>
      </c>
      <c r="T522" t="s">
        <v>2208</v>
      </c>
    </row>
    <row r="523" spans="1:20">
      <c r="A523" t="s">
        <v>1626</v>
      </c>
      <c r="B523" t="s">
        <v>2920</v>
      </c>
      <c r="C523">
        <v>45687</v>
      </c>
      <c r="D523" t="s">
        <v>7263</v>
      </c>
      <c r="E523" t="s">
        <v>2921</v>
      </c>
      <c r="F523">
        <v>45687</v>
      </c>
      <c r="G523" t="s">
        <v>2208</v>
      </c>
      <c r="H523" t="s">
        <v>2916</v>
      </c>
      <c r="I523" t="s">
        <v>7529</v>
      </c>
      <c r="J523">
        <v>0</v>
      </c>
      <c r="K523">
        <v>-55.38</v>
      </c>
      <c r="L523" t="s">
        <v>2917</v>
      </c>
      <c r="M523">
        <v>-342</v>
      </c>
      <c r="N523" t="s">
        <v>2918</v>
      </c>
      <c r="O523" t="s">
        <v>7528</v>
      </c>
      <c r="P523" t="s">
        <v>2208</v>
      </c>
      <c r="Q523" t="s">
        <v>2947</v>
      </c>
      <c r="R523" t="s">
        <v>3221</v>
      </c>
      <c r="S523" t="s">
        <v>2208</v>
      </c>
      <c r="T523" t="s">
        <v>2208</v>
      </c>
    </row>
    <row r="524" spans="1:20">
      <c r="A524" t="s">
        <v>1626</v>
      </c>
      <c r="B524" t="s">
        <v>2920</v>
      </c>
      <c r="C524">
        <v>45688</v>
      </c>
      <c r="D524" t="s">
        <v>7263</v>
      </c>
      <c r="E524" t="s">
        <v>2921</v>
      </c>
      <c r="F524">
        <v>45688</v>
      </c>
      <c r="G524" t="s">
        <v>2208</v>
      </c>
      <c r="H524" t="s">
        <v>2916</v>
      </c>
      <c r="I524" t="s">
        <v>7569</v>
      </c>
      <c r="J524">
        <v>0</v>
      </c>
      <c r="K524">
        <v>0.04</v>
      </c>
      <c r="L524" t="s">
        <v>2917</v>
      </c>
      <c r="M524">
        <v>0</v>
      </c>
      <c r="N524" t="s">
        <v>2918</v>
      </c>
      <c r="O524" t="s">
        <v>2919</v>
      </c>
      <c r="P524" t="s">
        <v>2208</v>
      </c>
      <c r="Q524" t="s">
        <v>2916</v>
      </c>
      <c r="R524" t="s">
        <v>3220</v>
      </c>
      <c r="S524" t="s">
        <v>2208</v>
      </c>
      <c r="T524" t="s">
        <v>2208</v>
      </c>
    </row>
    <row r="525" spans="1:20">
      <c r="A525" t="s">
        <v>2239</v>
      </c>
      <c r="B525" t="s">
        <v>9126</v>
      </c>
      <c r="C525">
        <v>45726</v>
      </c>
      <c r="D525" t="s">
        <v>7263</v>
      </c>
      <c r="E525" t="s">
        <v>9127</v>
      </c>
      <c r="F525">
        <v>45730</v>
      </c>
      <c r="G525" t="s">
        <v>10822</v>
      </c>
      <c r="H525" t="s">
        <v>2916</v>
      </c>
      <c r="I525" t="s">
        <v>10823</v>
      </c>
      <c r="J525">
        <v>1</v>
      </c>
      <c r="K525">
        <v>47830.35</v>
      </c>
      <c r="L525" t="s">
        <v>2917</v>
      </c>
      <c r="M525">
        <v>279073.14</v>
      </c>
      <c r="N525" t="s">
        <v>2918</v>
      </c>
      <c r="O525" t="s">
        <v>10824</v>
      </c>
      <c r="P525" t="s">
        <v>10825</v>
      </c>
      <c r="Q525" t="s">
        <v>2924</v>
      </c>
      <c r="R525" t="s">
        <v>3219</v>
      </c>
      <c r="S525" t="s">
        <v>10826</v>
      </c>
      <c r="T525" t="s">
        <v>10827</v>
      </c>
    </row>
    <row r="526" spans="1:20">
      <c r="A526" t="s">
        <v>2239</v>
      </c>
      <c r="B526" t="s">
        <v>9126</v>
      </c>
      <c r="C526">
        <v>45726</v>
      </c>
      <c r="D526" t="s">
        <v>7263</v>
      </c>
      <c r="E526" t="s">
        <v>9127</v>
      </c>
      <c r="F526">
        <v>45730</v>
      </c>
      <c r="G526" t="s">
        <v>10822</v>
      </c>
      <c r="H526" t="s">
        <v>2916</v>
      </c>
      <c r="I526" t="s">
        <v>10828</v>
      </c>
      <c r="J526">
        <v>0</v>
      </c>
      <c r="K526">
        <v>-4424.3100000000004</v>
      </c>
      <c r="L526" t="s">
        <v>2917</v>
      </c>
      <c r="M526">
        <v>-25814.27</v>
      </c>
      <c r="N526" t="s">
        <v>2918</v>
      </c>
      <c r="O526" t="s">
        <v>10829</v>
      </c>
      <c r="P526" t="s">
        <v>10825</v>
      </c>
      <c r="Q526" t="s">
        <v>2924</v>
      </c>
      <c r="R526" t="s">
        <v>3219</v>
      </c>
      <c r="S526" t="s">
        <v>10826</v>
      </c>
      <c r="T526" t="s">
        <v>10827</v>
      </c>
    </row>
    <row r="527" spans="1:20">
      <c r="A527" t="s">
        <v>2239</v>
      </c>
      <c r="B527" t="s">
        <v>9126</v>
      </c>
      <c r="C527">
        <v>45732</v>
      </c>
      <c r="D527" t="s">
        <v>7263</v>
      </c>
      <c r="E527" t="s">
        <v>9127</v>
      </c>
      <c r="F527">
        <v>45735</v>
      </c>
      <c r="G527" t="s">
        <v>10969</v>
      </c>
      <c r="H527" t="s">
        <v>2916</v>
      </c>
      <c r="I527" t="s">
        <v>10970</v>
      </c>
      <c r="J527">
        <v>4</v>
      </c>
      <c r="K527">
        <v>22368.23</v>
      </c>
      <c r="L527" t="s">
        <v>2917</v>
      </c>
      <c r="M527">
        <v>130510.68</v>
      </c>
      <c r="N527" t="s">
        <v>2918</v>
      </c>
      <c r="O527" t="s">
        <v>10971</v>
      </c>
      <c r="P527" t="s">
        <v>10972</v>
      </c>
      <c r="Q527" t="s">
        <v>2924</v>
      </c>
      <c r="R527" t="s">
        <v>3219</v>
      </c>
      <c r="S527" t="s">
        <v>10973</v>
      </c>
      <c r="T527" t="s">
        <v>10974</v>
      </c>
    </row>
    <row r="528" spans="1:20">
      <c r="A528" t="s">
        <v>2239</v>
      </c>
      <c r="B528" t="s">
        <v>9126</v>
      </c>
      <c r="C528">
        <v>45732</v>
      </c>
      <c r="D528" t="s">
        <v>7263</v>
      </c>
      <c r="E528" t="s">
        <v>9127</v>
      </c>
      <c r="F528">
        <v>45735</v>
      </c>
      <c r="G528" t="s">
        <v>10969</v>
      </c>
      <c r="H528" t="s">
        <v>2916</v>
      </c>
      <c r="I528" t="s">
        <v>10970</v>
      </c>
      <c r="J528">
        <v>2</v>
      </c>
      <c r="K528">
        <v>11084.88</v>
      </c>
      <c r="L528" t="s">
        <v>2917</v>
      </c>
      <c r="M528">
        <v>64676.34</v>
      </c>
      <c r="N528" t="s">
        <v>2918</v>
      </c>
      <c r="O528" t="s">
        <v>10971</v>
      </c>
      <c r="P528" t="s">
        <v>10975</v>
      </c>
      <c r="Q528" t="s">
        <v>2924</v>
      </c>
      <c r="R528" t="s">
        <v>3219</v>
      </c>
      <c r="S528" t="s">
        <v>10976</v>
      </c>
      <c r="T528" t="s">
        <v>10977</v>
      </c>
    </row>
    <row r="529" spans="1:20">
      <c r="A529" t="s">
        <v>2239</v>
      </c>
      <c r="B529" t="s">
        <v>9126</v>
      </c>
      <c r="C529">
        <v>45732</v>
      </c>
      <c r="D529" t="s">
        <v>7263</v>
      </c>
      <c r="E529" t="s">
        <v>9127</v>
      </c>
      <c r="F529">
        <v>45735</v>
      </c>
      <c r="G529" t="s">
        <v>10969</v>
      </c>
      <c r="H529" t="s">
        <v>2916</v>
      </c>
      <c r="I529" t="s">
        <v>10970</v>
      </c>
      <c r="J529">
        <v>3</v>
      </c>
      <c r="K529">
        <v>16787.13</v>
      </c>
      <c r="L529" t="s">
        <v>2917</v>
      </c>
      <c r="M529">
        <v>97946.94</v>
      </c>
      <c r="N529" t="s">
        <v>2918</v>
      </c>
      <c r="O529" t="s">
        <v>10971</v>
      </c>
      <c r="P529" t="s">
        <v>10978</v>
      </c>
      <c r="Q529" t="s">
        <v>2924</v>
      </c>
      <c r="R529" t="s">
        <v>3219</v>
      </c>
      <c r="S529" t="s">
        <v>10979</v>
      </c>
      <c r="T529" t="s">
        <v>10980</v>
      </c>
    </row>
    <row r="530" spans="1:20">
      <c r="A530" t="s">
        <v>2239</v>
      </c>
      <c r="B530" t="s">
        <v>9126</v>
      </c>
      <c r="C530">
        <v>45732</v>
      </c>
      <c r="D530" t="s">
        <v>7263</v>
      </c>
      <c r="E530" t="s">
        <v>9127</v>
      </c>
      <c r="F530">
        <v>45735</v>
      </c>
      <c r="G530" t="s">
        <v>10969</v>
      </c>
      <c r="H530" t="s">
        <v>2916</v>
      </c>
      <c r="I530" t="s">
        <v>10970</v>
      </c>
      <c r="J530">
        <v>4</v>
      </c>
      <c r="K530">
        <v>21743.57</v>
      </c>
      <c r="L530" t="s">
        <v>2917</v>
      </c>
      <c r="M530">
        <v>126866.04</v>
      </c>
      <c r="N530" t="s">
        <v>2918</v>
      </c>
      <c r="O530" t="s">
        <v>10971</v>
      </c>
      <c r="P530" t="s">
        <v>10981</v>
      </c>
      <c r="Q530" t="s">
        <v>2924</v>
      </c>
      <c r="R530" t="s">
        <v>3219</v>
      </c>
      <c r="S530" t="s">
        <v>10982</v>
      </c>
      <c r="T530" t="s">
        <v>10983</v>
      </c>
    </row>
    <row r="531" spans="1:20">
      <c r="A531" t="s">
        <v>2239</v>
      </c>
      <c r="B531" t="s">
        <v>9126</v>
      </c>
      <c r="C531">
        <v>45732</v>
      </c>
      <c r="D531" t="s">
        <v>7263</v>
      </c>
      <c r="E531" t="s">
        <v>9127</v>
      </c>
      <c r="F531">
        <v>45735</v>
      </c>
      <c r="G531" t="s">
        <v>10969</v>
      </c>
      <c r="H531" t="s">
        <v>2916</v>
      </c>
      <c r="I531" t="s">
        <v>10984</v>
      </c>
      <c r="J531">
        <v>0</v>
      </c>
      <c r="K531">
        <v>-2069.0700000000002</v>
      </c>
      <c r="L531" t="s">
        <v>2917</v>
      </c>
      <c r="M531">
        <v>-12072.24</v>
      </c>
      <c r="N531" t="s">
        <v>2918</v>
      </c>
      <c r="O531" t="s">
        <v>10985</v>
      </c>
      <c r="P531" t="s">
        <v>10972</v>
      </c>
      <c r="Q531" t="s">
        <v>2924</v>
      </c>
      <c r="R531" t="s">
        <v>3219</v>
      </c>
      <c r="S531" t="s">
        <v>10973</v>
      </c>
      <c r="T531" t="s">
        <v>10974</v>
      </c>
    </row>
    <row r="532" spans="1:20">
      <c r="A532" t="s">
        <v>2239</v>
      </c>
      <c r="B532" t="s">
        <v>9126</v>
      </c>
      <c r="C532">
        <v>45732</v>
      </c>
      <c r="D532" t="s">
        <v>7263</v>
      </c>
      <c r="E532" t="s">
        <v>9127</v>
      </c>
      <c r="F532">
        <v>45735</v>
      </c>
      <c r="G532" t="s">
        <v>10969</v>
      </c>
      <c r="H532" t="s">
        <v>2916</v>
      </c>
      <c r="I532" t="s">
        <v>10984</v>
      </c>
      <c r="J532">
        <v>0</v>
      </c>
      <c r="K532">
        <v>-1025.3499999999999</v>
      </c>
      <c r="L532" t="s">
        <v>2917</v>
      </c>
      <c r="M532">
        <v>-5982.56</v>
      </c>
      <c r="N532" t="s">
        <v>2918</v>
      </c>
      <c r="O532" t="s">
        <v>10985</v>
      </c>
      <c r="P532" t="s">
        <v>10975</v>
      </c>
      <c r="Q532" t="s">
        <v>2924</v>
      </c>
      <c r="R532" t="s">
        <v>3219</v>
      </c>
      <c r="S532" t="s">
        <v>10976</v>
      </c>
      <c r="T532" t="s">
        <v>10977</v>
      </c>
    </row>
    <row r="533" spans="1:20">
      <c r="A533" t="s">
        <v>2239</v>
      </c>
      <c r="B533" t="s">
        <v>9126</v>
      </c>
      <c r="C533">
        <v>45732</v>
      </c>
      <c r="D533" t="s">
        <v>7263</v>
      </c>
      <c r="E533" t="s">
        <v>9127</v>
      </c>
      <c r="F533">
        <v>45735</v>
      </c>
      <c r="G533" t="s">
        <v>10969</v>
      </c>
      <c r="H533" t="s">
        <v>2916</v>
      </c>
      <c r="I533" t="s">
        <v>10984</v>
      </c>
      <c r="J533">
        <v>0</v>
      </c>
      <c r="K533">
        <v>-1552.81</v>
      </c>
      <c r="L533" t="s">
        <v>2917</v>
      </c>
      <c r="M533">
        <v>-9060.09</v>
      </c>
      <c r="N533" t="s">
        <v>2918</v>
      </c>
      <c r="O533" t="s">
        <v>10985</v>
      </c>
      <c r="P533" t="s">
        <v>10978</v>
      </c>
      <c r="Q533" t="s">
        <v>2924</v>
      </c>
      <c r="R533" t="s">
        <v>3219</v>
      </c>
      <c r="S533" t="s">
        <v>10979</v>
      </c>
      <c r="T533" t="s">
        <v>10980</v>
      </c>
    </row>
    <row r="534" spans="1:20">
      <c r="A534" t="s">
        <v>2239</v>
      </c>
      <c r="B534" t="s">
        <v>9126</v>
      </c>
      <c r="C534">
        <v>45732</v>
      </c>
      <c r="D534" t="s">
        <v>7263</v>
      </c>
      <c r="E534" t="s">
        <v>9127</v>
      </c>
      <c r="F534">
        <v>45735</v>
      </c>
      <c r="G534" t="s">
        <v>10969</v>
      </c>
      <c r="H534" t="s">
        <v>2916</v>
      </c>
      <c r="I534" t="s">
        <v>10984</v>
      </c>
      <c r="J534">
        <v>0</v>
      </c>
      <c r="K534">
        <v>-2011.28</v>
      </c>
      <c r="L534" t="s">
        <v>2917</v>
      </c>
      <c r="M534">
        <v>-11735.11</v>
      </c>
      <c r="N534" t="s">
        <v>2918</v>
      </c>
      <c r="O534" t="s">
        <v>10985</v>
      </c>
      <c r="P534" t="s">
        <v>10981</v>
      </c>
      <c r="Q534" t="s">
        <v>2924</v>
      </c>
      <c r="R534" t="s">
        <v>3219</v>
      </c>
      <c r="S534" t="s">
        <v>10982</v>
      </c>
      <c r="T534" t="s">
        <v>10983</v>
      </c>
    </row>
    <row r="535" spans="1:20">
      <c r="A535" t="s">
        <v>2239</v>
      </c>
      <c r="B535" t="s">
        <v>9126</v>
      </c>
      <c r="C535">
        <v>45735</v>
      </c>
      <c r="D535" t="s">
        <v>7263</v>
      </c>
      <c r="E535" t="s">
        <v>9127</v>
      </c>
      <c r="F535">
        <v>45741</v>
      </c>
      <c r="G535" t="s">
        <v>11090</v>
      </c>
      <c r="H535" t="s">
        <v>2916</v>
      </c>
      <c r="I535" t="s">
        <v>11091</v>
      </c>
      <c r="J535">
        <v>15</v>
      </c>
      <c r="K535">
        <v>1913.38</v>
      </c>
      <c r="L535" t="s">
        <v>2917</v>
      </c>
      <c r="M535">
        <v>11163.9</v>
      </c>
      <c r="N535" t="s">
        <v>2918</v>
      </c>
      <c r="O535" t="s">
        <v>11092</v>
      </c>
      <c r="P535" t="s">
        <v>11093</v>
      </c>
      <c r="Q535" t="s">
        <v>2924</v>
      </c>
      <c r="R535" t="s">
        <v>3219</v>
      </c>
      <c r="S535" t="s">
        <v>11094</v>
      </c>
      <c r="T535" t="s">
        <v>11095</v>
      </c>
    </row>
    <row r="536" spans="1:20">
      <c r="A536" t="s">
        <v>2239</v>
      </c>
      <c r="B536" t="s">
        <v>9126</v>
      </c>
      <c r="C536">
        <v>45735</v>
      </c>
      <c r="D536" t="s">
        <v>7263</v>
      </c>
      <c r="E536" t="s">
        <v>9127</v>
      </c>
      <c r="F536">
        <v>45741</v>
      </c>
      <c r="G536" t="s">
        <v>11090</v>
      </c>
      <c r="H536" t="s">
        <v>2916</v>
      </c>
      <c r="I536" t="s">
        <v>11096</v>
      </c>
      <c r="J536">
        <v>0</v>
      </c>
      <c r="K536">
        <v>-145.13</v>
      </c>
      <c r="L536" t="s">
        <v>2917</v>
      </c>
      <c r="M536">
        <v>-846.78</v>
      </c>
      <c r="N536" t="s">
        <v>2918</v>
      </c>
      <c r="O536" t="s">
        <v>11097</v>
      </c>
      <c r="P536" t="s">
        <v>11093</v>
      </c>
      <c r="Q536" t="s">
        <v>2924</v>
      </c>
      <c r="R536" t="s">
        <v>3219</v>
      </c>
      <c r="S536" t="s">
        <v>11094</v>
      </c>
      <c r="T536" t="s">
        <v>11095</v>
      </c>
    </row>
    <row r="537" spans="1:20">
      <c r="A537" t="s">
        <v>2239</v>
      </c>
      <c r="B537" t="s">
        <v>9126</v>
      </c>
      <c r="C537">
        <v>45735</v>
      </c>
      <c r="D537" t="s">
        <v>7263</v>
      </c>
      <c r="E537" t="s">
        <v>9127</v>
      </c>
      <c r="F537">
        <v>45741</v>
      </c>
      <c r="G537" t="s">
        <v>11090</v>
      </c>
      <c r="H537" t="s">
        <v>2916</v>
      </c>
      <c r="I537" t="s">
        <v>11345</v>
      </c>
      <c r="J537">
        <v>0</v>
      </c>
      <c r="K537">
        <v>145.13</v>
      </c>
      <c r="L537" t="s">
        <v>2917</v>
      </c>
      <c r="M537">
        <v>846.78</v>
      </c>
      <c r="N537" t="s">
        <v>2918</v>
      </c>
      <c r="O537" t="s">
        <v>11346</v>
      </c>
      <c r="P537" t="s">
        <v>11093</v>
      </c>
      <c r="Q537" t="s">
        <v>2924</v>
      </c>
      <c r="R537" t="s">
        <v>3219</v>
      </c>
      <c r="S537" t="s">
        <v>11094</v>
      </c>
      <c r="T537" t="s">
        <v>11095</v>
      </c>
    </row>
    <row r="538" spans="1:20">
      <c r="A538" t="s">
        <v>2239</v>
      </c>
      <c r="B538" t="s">
        <v>9126</v>
      </c>
      <c r="C538">
        <v>45735</v>
      </c>
      <c r="D538" t="s">
        <v>7263</v>
      </c>
      <c r="E538" t="s">
        <v>9127</v>
      </c>
      <c r="F538">
        <v>45743</v>
      </c>
      <c r="G538" t="s">
        <v>11090</v>
      </c>
      <c r="H538" t="s">
        <v>2916</v>
      </c>
      <c r="I538" t="s">
        <v>11347</v>
      </c>
      <c r="J538">
        <v>0</v>
      </c>
      <c r="K538">
        <v>-489.54</v>
      </c>
      <c r="L538" t="s">
        <v>2917</v>
      </c>
      <c r="M538">
        <v>-2856.28</v>
      </c>
      <c r="N538" t="s">
        <v>2918</v>
      </c>
      <c r="O538" t="s">
        <v>11346</v>
      </c>
      <c r="P538" t="s">
        <v>11093</v>
      </c>
      <c r="Q538" t="s">
        <v>2924</v>
      </c>
      <c r="R538" t="s">
        <v>3219</v>
      </c>
      <c r="S538" t="s">
        <v>11094</v>
      </c>
      <c r="T538" t="s">
        <v>11095</v>
      </c>
    </row>
    <row r="539" spans="1:20">
      <c r="A539" t="s">
        <v>2239</v>
      </c>
      <c r="B539" t="s">
        <v>9126</v>
      </c>
      <c r="C539">
        <v>45747</v>
      </c>
      <c r="D539" t="s">
        <v>7263</v>
      </c>
      <c r="E539" t="s">
        <v>9127</v>
      </c>
      <c r="F539">
        <v>45747</v>
      </c>
      <c r="G539" t="s">
        <v>2208</v>
      </c>
      <c r="H539" t="s">
        <v>2916</v>
      </c>
      <c r="I539" t="s">
        <v>11348</v>
      </c>
      <c r="J539">
        <v>0</v>
      </c>
      <c r="K539">
        <v>0.02</v>
      </c>
      <c r="L539" t="s">
        <v>2917</v>
      </c>
      <c r="M539">
        <v>0</v>
      </c>
      <c r="N539" t="s">
        <v>2918</v>
      </c>
      <c r="O539" t="s">
        <v>2919</v>
      </c>
      <c r="P539" t="s">
        <v>2208</v>
      </c>
      <c r="Q539" t="s">
        <v>2916</v>
      </c>
      <c r="R539" t="s">
        <v>3220</v>
      </c>
      <c r="S539" t="s">
        <v>2208</v>
      </c>
      <c r="T539" t="s">
        <v>2208</v>
      </c>
    </row>
    <row r="540" spans="1:20">
      <c r="A540" t="s">
        <v>2239</v>
      </c>
      <c r="B540" t="s">
        <v>9126</v>
      </c>
      <c r="C540">
        <v>45747</v>
      </c>
      <c r="D540" t="s">
        <v>7263</v>
      </c>
      <c r="E540" t="s">
        <v>9127</v>
      </c>
      <c r="F540">
        <v>45747</v>
      </c>
      <c r="G540" t="s">
        <v>2208</v>
      </c>
      <c r="H540" t="s">
        <v>2916</v>
      </c>
      <c r="I540" t="s">
        <v>11349</v>
      </c>
      <c r="J540">
        <v>0</v>
      </c>
      <c r="K540">
        <v>7.0000000000000007E-2</v>
      </c>
      <c r="L540" t="s">
        <v>2917</v>
      </c>
      <c r="M540">
        <v>0</v>
      </c>
      <c r="N540" t="s">
        <v>2918</v>
      </c>
      <c r="O540" t="s">
        <v>2919</v>
      </c>
      <c r="P540" t="s">
        <v>2208</v>
      </c>
      <c r="Q540" t="s">
        <v>2916</v>
      </c>
      <c r="R540" t="s">
        <v>3220</v>
      </c>
      <c r="S540" t="s">
        <v>2208</v>
      </c>
      <c r="T540" t="s">
        <v>2208</v>
      </c>
    </row>
    <row r="541" spans="1:20">
      <c r="A541" t="s">
        <v>2239</v>
      </c>
      <c r="B541" t="s">
        <v>11331</v>
      </c>
      <c r="C541">
        <v>45775</v>
      </c>
      <c r="D541" t="s">
        <v>7263</v>
      </c>
      <c r="E541" t="s">
        <v>11332</v>
      </c>
      <c r="F541">
        <v>45775</v>
      </c>
      <c r="G541" t="s">
        <v>2208</v>
      </c>
      <c r="H541" t="s">
        <v>2916</v>
      </c>
      <c r="I541" t="s">
        <v>16185</v>
      </c>
      <c r="J541">
        <v>0</v>
      </c>
      <c r="K541">
        <v>581.16999999999996</v>
      </c>
      <c r="L541" t="s">
        <v>2917</v>
      </c>
      <c r="M541">
        <v>3346.79</v>
      </c>
      <c r="N541" t="s">
        <v>2918</v>
      </c>
      <c r="O541" t="s">
        <v>16186</v>
      </c>
      <c r="P541" t="s">
        <v>2208</v>
      </c>
      <c r="Q541" t="s">
        <v>16187</v>
      </c>
      <c r="R541" t="s">
        <v>16188</v>
      </c>
      <c r="S541" t="s">
        <v>2208</v>
      </c>
      <c r="T541" t="s">
        <v>2208</v>
      </c>
    </row>
    <row r="542" spans="1:20">
      <c r="A542" t="s">
        <v>2239</v>
      </c>
      <c r="B542" t="s">
        <v>11331</v>
      </c>
      <c r="C542">
        <v>45777</v>
      </c>
      <c r="D542" t="s">
        <v>7263</v>
      </c>
      <c r="E542" t="s">
        <v>11332</v>
      </c>
      <c r="F542">
        <v>45777</v>
      </c>
      <c r="G542" t="s">
        <v>2208</v>
      </c>
      <c r="H542" t="s">
        <v>2916</v>
      </c>
      <c r="I542" t="s">
        <v>16368</v>
      </c>
      <c r="J542">
        <v>0</v>
      </c>
      <c r="K542">
        <v>0.04</v>
      </c>
      <c r="L542" t="s">
        <v>2917</v>
      </c>
      <c r="M542">
        <v>0</v>
      </c>
      <c r="N542" t="s">
        <v>2918</v>
      </c>
      <c r="O542" t="s">
        <v>2919</v>
      </c>
      <c r="P542" t="s">
        <v>2208</v>
      </c>
      <c r="Q542" t="s">
        <v>2916</v>
      </c>
      <c r="R542" t="s">
        <v>3220</v>
      </c>
      <c r="S542" t="s">
        <v>2208</v>
      </c>
      <c r="T542" t="s">
        <v>2208</v>
      </c>
    </row>
    <row r="543" spans="1:20">
      <c r="A543" t="s">
        <v>2239</v>
      </c>
      <c r="B543" t="s">
        <v>16360</v>
      </c>
      <c r="C543">
        <v>45775</v>
      </c>
      <c r="D543" t="s">
        <v>7263</v>
      </c>
      <c r="E543" t="s">
        <v>16361</v>
      </c>
      <c r="F543">
        <v>45782</v>
      </c>
      <c r="G543" t="s">
        <v>16921</v>
      </c>
      <c r="H543" t="s">
        <v>2916</v>
      </c>
      <c r="I543" t="s">
        <v>16922</v>
      </c>
      <c r="J543">
        <v>1</v>
      </c>
      <c r="K543">
        <v>43162.33</v>
      </c>
      <c r="L543" t="s">
        <v>2917</v>
      </c>
      <c r="M543">
        <v>243168.06</v>
      </c>
      <c r="N543" t="s">
        <v>2918</v>
      </c>
      <c r="O543" t="s">
        <v>16923</v>
      </c>
      <c r="P543" t="s">
        <v>16924</v>
      </c>
      <c r="Q543" t="s">
        <v>2924</v>
      </c>
      <c r="R543" t="s">
        <v>3219</v>
      </c>
      <c r="S543" t="s">
        <v>16925</v>
      </c>
      <c r="T543" t="s">
        <v>16926</v>
      </c>
    </row>
    <row r="544" spans="1:20">
      <c r="A544" t="s">
        <v>2239</v>
      </c>
      <c r="B544" t="s">
        <v>16360</v>
      </c>
      <c r="C544">
        <v>45775</v>
      </c>
      <c r="D544" t="s">
        <v>7263</v>
      </c>
      <c r="E544" t="s">
        <v>16361</v>
      </c>
      <c r="F544">
        <v>45782</v>
      </c>
      <c r="G544" t="s">
        <v>16921</v>
      </c>
      <c r="H544" t="s">
        <v>2916</v>
      </c>
      <c r="I544" t="s">
        <v>16927</v>
      </c>
      <c r="J544">
        <v>0</v>
      </c>
      <c r="K544">
        <v>-3686.03</v>
      </c>
      <c r="L544" t="s">
        <v>2917</v>
      </c>
      <c r="M544">
        <v>-20766.36</v>
      </c>
      <c r="N544" t="s">
        <v>2918</v>
      </c>
      <c r="O544" t="s">
        <v>16928</v>
      </c>
      <c r="P544" t="s">
        <v>16924</v>
      </c>
      <c r="Q544" t="s">
        <v>2924</v>
      </c>
      <c r="R544" t="s">
        <v>3219</v>
      </c>
      <c r="S544" t="s">
        <v>16925</v>
      </c>
      <c r="T544" t="s">
        <v>16926</v>
      </c>
    </row>
    <row r="545" spans="1:20">
      <c r="A545" t="s">
        <v>2239</v>
      </c>
      <c r="B545" t="s">
        <v>16360</v>
      </c>
      <c r="C545">
        <v>45786</v>
      </c>
      <c r="D545" t="s">
        <v>7263</v>
      </c>
      <c r="E545" t="s">
        <v>16361</v>
      </c>
      <c r="F545">
        <v>45793</v>
      </c>
      <c r="G545" t="s">
        <v>16921</v>
      </c>
      <c r="H545" t="s">
        <v>2916</v>
      </c>
      <c r="I545" t="s">
        <v>17029</v>
      </c>
      <c r="J545">
        <v>1</v>
      </c>
      <c r="K545">
        <v>43162.33</v>
      </c>
      <c r="L545" t="s">
        <v>2917</v>
      </c>
      <c r="M545">
        <v>243168.06</v>
      </c>
      <c r="N545" t="s">
        <v>2918</v>
      </c>
      <c r="O545" t="s">
        <v>17030</v>
      </c>
      <c r="P545" t="s">
        <v>16924</v>
      </c>
      <c r="Q545" t="s">
        <v>2924</v>
      </c>
      <c r="R545" t="s">
        <v>3219</v>
      </c>
      <c r="S545" t="s">
        <v>16925</v>
      </c>
      <c r="T545" t="s">
        <v>16926</v>
      </c>
    </row>
    <row r="546" spans="1:20">
      <c r="A546" t="s">
        <v>2239</v>
      </c>
      <c r="B546" t="s">
        <v>16360</v>
      </c>
      <c r="C546">
        <v>45786</v>
      </c>
      <c r="D546" t="s">
        <v>7263</v>
      </c>
      <c r="E546" t="s">
        <v>16361</v>
      </c>
      <c r="F546">
        <v>45793</v>
      </c>
      <c r="G546" t="s">
        <v>16921</v>
      </c>
      <c r="H546" t="s">
        <v>2916</v>
      </c>
      <c r="I546" t="s">
        <v>17031</v>
      </c>
      <c r="J546">
        <v>0</v>
      </c>
      <c r="K546">
        <v>-3686.03</v>
      </c>
      <c r="L546" t="s">
        <v>2917</v>
      </c>
      <c r="M546">
        <v>-20766.36</v>
      </c>
      <c r="N546" t="s">
        <v>2918</v>
      </c>
      <c r="O546" t="s">
        <v>17032</v>
      </c>
      <c r="P546" t="s">
        <v>16924</v>
      </c>
      <c r="Q546" t="s">
        <v>2924</v>
      </c>
      <c r="R546" t="s">
        <v>3219</v>
      </c>
      <c r="S546" t="s">
        <v>16925</v>
      </c>
      <c r="T546" t="s">
        <v>16926</v>
      </c>
    </row>
    <row r="547" spans="1:20">
      <c r="A547" t="s">
        <v>2239</v>
      </c>
      <c r="B547" t="s">
        <v>16360</v>
      </c>
      <c r="C547">
        <v>45775</v>
      </c>
      <c r="D547" t="s">
        <v>7263</v>
      </c>
      <c r="E547" t="s">
        <v>16361</v>
      </c>
      <c r="F547">
        <v>45782</v>
      </c>
      <c r="G547" t="s">
        <v>16921</v>
      </c>
      <c r="H547" t="s">
        <v>2916</v>
      </c>
      <c r="I547" t="s">
        <v>17368</v>
      </c>
      <c r="J547">
        <v>0</v>
      </c>
      <c r="K547">
        <v>3686.03</v>
      </c>
      <c r="L547" t="s">
        <v>2917</v>
      </c>
      <c r="M547">
        <v>20766.36</v>
      </c>
      <c r="N547" t="s">
        <v>2918</v>
      </c>
      <c r="O547" t="s">
        <v>16928</v>
      </c>
      <c r="P547" t="s">
        <v>16924</v>
      </c>
      <c r="Q547" t="s">
        <v>2924</v>
      </c>
      <c r="R547" t="s">
        <v>3219</v>
      </c>
      <c r="S547" t="s">
        <v>16925</v>
      </c>
      <c r="T547" t="s">
        <v>16926</v>
      </c>
    </row>
    <row r="548" spans="1:20">
      <c r="A548" t="s">
        <v>2239</v>
      </c>
      <c r="B548" t="s">
        <v>16360</v>
      </c>
      <c r="C548">
        <v>45775</v>
      </c>
      <c r="D548" t="s">
        <v>7263</v>
      </c>
      <c r="E548" t="s">
        <v>16361</v>
      </c>
      <c r="F548">
        <v>45799</v>
      </c>
      <c r="G548" t="s">
        <v>16921</v>
      </c>
      <c r="H548" t="s">
        <v>2916</v>
      </c>
      <c r="I548" t="s">
        <v>17369</v>
      </c>
      <c r="J548">
        <v>0</v>
      </c>
      <c r="K548">
        <v>-6999.41</v>
      </c>
      <c r="L548" t="s">
        <v>2917</v>
      </c>
      <c r="M548">
        <v>-39433.300000000003</v>
      </c>
      <c r="N548" t="s">
        <v>2918</v>
      </c>
      <c r="O548" t="s">
        <v>16928</v>
      </c>
      <c r="P548" t="s">
        <v>16924</v>
      </c>
      <c r="Q548" t="s">
        <v>2924</v>
      </c>
      <c r="R548" t="s">
        <v>3219</v>
      </c>
      <c r="S548" t="s">
        <v>16925</v>
      </c>
      <c r="T548" t="s">
        <v>16926</v>
      </c>
    </row>
    <row r="549" spans="1:20">
      <c r="A549" t="s">
        <v>2239</v>
      </c>
      <c r="B549" t="s">
        <v>16360</v>
      </c>
      <c r="C549">
        <v>45786</v>
      </c>
      <c r="D549" t="s">
        <v>7263</v>
      </c>
      <c r="E549" t="s">
        <v>16361</v>
      </c>
      <c r="F549">
        <v>45793</v>
      </c>
      <c r="G549" t="s">
        <v>16921</v>
      </c>
      <c r="H549" t="s">
        <v>2916</v>
      </c>
      <c r="I549" t="s">
        <v>17370</v>
      </c>
      <c r="J549">
        <v>0</v>
      </c>
      <c r="K549">
        <v>6999.41</v>
      </c>
      <c r="L549" t="s">
        <v>2917</v>
      </c>
      <c r="M549">
        <v>39433.300000000003</v>
      </c>
      <c r="N549" t="s">
        <v>2918</v>
      </c>
      <c r="O549" t="s">
        <v>17032</v>
      </c>
      <c r="P549" t="s">
        <v>16924</v>
      </c>
      <c r="Q549" t="s">
        <v>2924</v>
      </c>
      <c r="R549" t="s">
        <v>3219</v>
      </c>
      <c r="S549" t="s">
        <v>16925</v>
      </c>
      <c r="T549" t="s">
        <v>16926</v>
      </c>
    </row>
    <row r="550" spans="1:20">
      <c r="A550" t="s">
        <v>2239</v>
      </c>
      <c r="B550" t="s">
        <v>16360</v>
      </c>
      <c r="C550">
        <v>45786</v>
      </c>
      <c r="D550" t="s">
        <v>7263</v>
      </c>
      <c r="E550" t="s">
        <v>16361</v>
      </c>
      <c r="F550">
        <v>45799</v>
      </c>
      <c r="G550" t="s">
        <v>16921</v>
      </c>
      <c r="H550" t="s">
        <v>2916</v>
      </c>
      <c r="I550" t="s">
        <v>17371</v>
      </c>
      <c r="J550">
        <v>0</v>
      </c>
      <c r="K550">
        <v>-6999.41</v>
      </c>
      <c r="L550" t="s">
        <v>2917</v>
      </c>
      <c r="M550">
        <v>-39433.300000000003</v>
      </c>
      <c r="N550" t="s">
        <v>2918</v>
      </c>
      <c r="O550" t="s">
        <v>17032</v>
      </c>
      <c r="P550" t="s">
        <v>16924</v>
      </c>
      <c r="Q550" t="s">
        <v>2924</v>
      </c>
      <c r="R550" t="s">
        <v>3219</v>
      </c>
      <c r="S550" t="s">
        <v>16925</v>
      </c>
      <c r="T550" t="s">
        <v>16926</v>
      </c>
    </row>
    <row r="551" spans="1:20">
      <c r="A551" t="s">
        <v>2239</v>
      </c>
      <c r="B551" t="s">
        <v>16360</v>
      </c>
      <c r="C551">
        <v>45808</v>
      </c>
      <c r="D551" t="s">
        <v>7263</v>
      </c>
      <c r="E551" t="s">
        <v>16361</v>
      </c>
      <c r="F551">
        <v>45808</v>
      </c>
      <c r="G551" t="s">
        <v>2208</v>
      </c>
      <c r="H551" t="s">
        <v>2916</v>
      </c>
      <c r="I551" t="s">
        <v>17853</v>
      </c>
      <c r="J551">
        <v>0</v>
      </c>
      <c r="K551">
        <v>-0.08</v>
      </c>
      <c r="L551" t="s">
        <v>2917</v>
      </c>
      <c r="M551">
        <v>0</v>
      </c>
      <c r="N551" t="s">
        <v>2918</v>
      </c>
      <c r="O551" t="s">
        <v>2919</v>
      </c>
      <c r="P551" t="s">
        <v>2208</v>
      </c>
      <c r="Q551" t="s">
        <v>2916</v>
      </c>
      <c r="R551" t="s">
        <v>3220</v>
      </c>
      <c r="S551" t="s">
        <v>2208</v>
      </c>
      <c r="T551" t="s">
        <v>2208</v>
      </c>
    </row>
    <row r="552" spans="1:20">
      <c r="A552" t="s">
        <v>2239</v>
      </c>
      <c r="B552" t="s">
        <v>17897</v>
      </c>
      <c r="C552">
        <v>45838</v>
      </c>
      <c r="D552" t="s">
        <v>7263</v>
      </c>
      <c r="E552" t="s">
        <v>17898</v>
      </c>
      <c r="F552">
        <v>45838</v>
      </c>
      <c r="G552" t="s">
        <v>2208</v>
      </c>
      <c r="H552" t="s">
        <v>2916</v>
      </c>
      <c r="I552" t="s">
        <v>19250</v>
      </c>
      <c r="J552">
        <v>0</v>
      </c>
      <c r="K552">
        <v>-3289.11</v>
      </c>
      <c r="L552" t="s">
        <v>2917</v>
      </c>
      <c r="M552">
        <v>-18666.939999999999</v>
      </c>
      <c r="N552" t="s">
        <v>2918</v>
      </c>
      <c r="O552" t="s">
        <v>19251</v>
      </c>
      <c r="P552" t="s">
        <v>2208</v>
      </c>
      <c r="Q552" t="s">
        <v>16179</v>
      </c>
      <c r="R552" t="s">
        <v>16180</v>
      </c>
      <c r="S552" t="s">
        <v>2208</v>
      </c>
      <c r="T552" t="s">
        <v>2208</v>
      </c>
    </row>
    <row r="553" spans="1:20">
      <c r="A553" t="s">
        <v>2239</v>
      </c>
      <c r="B553" t="s">
        <v>17897</v>
      </c>
      <c r="C553">
        <v>45838</v>
      </c>
      <c r="D553" t="s">
        <v>7263</v>
      </c>
      <c r="E553" t="s">
        <v>17898</v>
      </c>
      <c r="F553">
        <v>45838</v>
      </c>
      <c r="G553" t="s">
        <v>2208</v>
      </c>
      <c r="H553" t="s">
        <v>2916</v>
      </c>
      <c r="I553" t="s">
        <v>19252</v>
      </c>
      <c r="J553">
        <v>0</v>
      </c>
      <c r="K553">
        <v>-0.02</v>
      </c>
      <c r="L553" t="s">
        <v>2917</v>
      </c>
      <c r="M553">
        <v>0</v>
      </c>
      <c r="N553" t="s">
        <v>2918</v>
      </c>
      <c r="O553" t="s">
        <v>2919</v>
      </c>
      <c r="P553" t="s">
        <v>2208</v>
      </c>
      <c r="Q553" t="s">
        <v>2916</v>
      </c>
      <c r="R553" t="s">
        <v>3220</v>
      </c>
      <c r="S553" t="s">
        <v>2208</v>
      </c>
      <c r="T553" t="s">
        <v>2208</v>
      </c>
    </row>
    <row r="554" spans="1:20">
      <c r="A554" t="s">
        <v>2239</v>
      </c>
      <c r="B554" t="s">
        <v>2920</v>
      </c>
      <c r="C554">
        <v>45502</v>
      </c>
      <c r="D554" t="s">
        <v>7263</v>
      </c>
      <c r="E554" t="s">
        <v>2921</v>
      </c>
      <c r="F554">
        <v>45680</v>
      </c>
      <c r="G554" t="s">
        <v>7570</v>
      </c>
      <c r="H554" t="s">
        <v>2916</v>
      </c>
      <c r="I554" t="s">
        <v>7571</v>
      </c>
      <c r="J554">
        <v>74975</v>
      </c>
      <c r="K554">
        <v>12140.7</v>
      </c>
      <c r="L554" t="s">
        <v>2917</v>
      </c>
      <c r="M554">
        <v>74975</v>
      </c>
      <c r="N554" t="s">
        <v>2918</v>
      </c>
      <c r="O554" t="s">
        <v>2923</v>
      </c>
      <c r="P554" t="s">
        <v>2923</v>
      </c>
      <c r="Q554" t="s">
        <v>2924</v>
      </c>
      <c r="R554" t="s">
        <v>3219</v>
      </c>
      <c r="S554" t="s">
        <v>2208</v>
      </c>
      <c r="T554" t="s">
        <v>2208</v>
      </c>
    </row>
    <row r="555" spans="1:20">
      <c r="A555" t="s">
        <v>2239</v>
      </c>
      <c r="B555" t="s">
        <v>2920</v>
      </c>
      <c r="C555">
        <v>45502</v>
      </c>
      <c r="D555" t="s">
        <v>7263</v>
      </c>
      <c r="E555" t="s">
        <v>2921</v>
      </c>
      <c r="F555">
        <v>45680</v>
      </c>
      <c r="G555" t="s">
        <v>7570</v>
      </c>
      <c r="H555" t="s">
        <v>2916</v>
      </c>
      <c r="I555" t="s">
        <v>7572</v>
      </c>
      <c r="J555">
        <v>20000</v>
      </c>
      <c r="K555">
        <v>3238.6</v>
      </c>
      <c r="L555" t="s">
        <v>2917</v>
      </c>
      <c r="M555">
        <v>20000</v>
      </c>
      <c r="N555" t="s">
        <v>2918</v>
      </c>
      <c r="O555" t="s">
        <v>2939</v>
      </c>
      <c r="P555" t="s">
        <v>2939</v>
      </c>
      <c r="Q555" t="s">
        <v>2924</v>
      </c>
      <c r="R555" t="s">
        <v>3219</v>
      </c>
      <c r="S555" t="s">
        <v>2208</v>
      </c>
      <c r="T555" t="s">
        <v>2208</v>
      </c>
    </row>
    <row r="556" spans="1:20">
      <c r="A556" t="s">
        <v>2239</v>
      </c>
      <c r="B556" t="s">
        <v>2920</v>
      </c>
      <c r="C556">
        <v>45680</v>
      </c>
      <c r="D556" t="s">
        <v>7263</v>
      </c>
      <c r="E556" t="s">
        <v>2921</v>
      </c>
      <c r="F556">
        <v>45685</v>
      </c>
      <c r="G556" t="s">
        <v>7570</v>
      </c>
      <c r="H556" t="s">
        <v>2916</v>
      </c>
      <c r="I556" t="s">
        <v>7573</v>
      </c>
      <c r="J556">
        <v>0</v>
      </c>
      <c r="K556">
        <v>-1123.01</v>
      </c>
      <c r="L556" t="s">
        <v>2917</v>
      </c>
      <c r="M556">
        <v>-6935.19</v>
      </c>
      <c r="N556" t="s">
        <v>2918</v>
      </c>
      <c r="O556" t="s">
        <v>7574</v>
      </c>
      <c r="P556" t="s">
        <v>2923</v>
      </c>
      <c r="Q556" t="s">
        <v>2924</v>
      </c>
      <c r="R556" t="s">
        <v>3219</v>
      </c>
      <c r="S556" t="s">
        <v>2208</v>
      </c>
      <c r="T556" t="s">
        <v>2208</v>
      </c>
    </row>
    <row r="557" spans="1:20">
      <c r="A557" t="s">
        <v>2239</v>
      </c>
      <c r="B557" t="s">
        <v>2920</v>
      </c>
      <c r="C557">
        <v>45680</v>
      </c>
      <c r="D557" t="s">
        <v>7263</v>
      </c>
      <c r="E557" t="s">
        <v>2921</v>
      </c>
      <c r="F557">
        <v>45685</v>
      </c>
      <c r="G557" t="s">
        <v>7570</v>
      </c>
      <c r="H557" t="s">
        <v>2916</v>
      </c>
      <c r="I557" t="s">
        <v>7575</v>
      </c>
      <c r="J557">
        <v>0</v>
      </c>
      <c r="K557">
        <v>1123.01</v>
      </c>
      <c r="L557" t="s">
        <v>2917</v>
      </c>
      <c r="M557">
        <v>6935.19</v>
      </c>
      <c r="N557" t="s">
        <v>2918</v>
      </c>
      <c r="O557" t="s">
        <v>7576</v>
      </c>
      <c r="P557" t="s">
        <v>2923</v>
      </c>
      <c r="Q557" t="s">
        <v>2924</v>
      </c>
      <c r="R557" t="s">
        <v>3219</v>
      </c>
      <c r="S557" t="s">
        <v>2208</v>
      </c>
      <c r="T557" t="s">
        <v>2208</v>
      </c>
    </row>
    <row r="558" spans="1:20">
      <c r="A558" t="s">
        <v>2239</v>
      </c>
      <c r="B558" t="s">
        <v>2920</v>
      </c>
      <c r="C558">
        <v>45680</v>
      </c>
      <c r="D558" t="s">
        <v>7263</v>
      </c>
      <c r="E558" t="s">
        <v>2921</v>
      </c>
      <c r="F558">
        <v>45686</v>
      </c>
      <c r="G558" t="s">
        <v>7570</v>
      </c>
      <c r="H558" t="s">
        <v>2916</v>
      </c>
      <c r="I558" t="s">
        <v>7577</v>
      </c>
      <c r="J558">
        <v>0</v>
      </c>
      <c r="K558">
        <v>-1123.01</v>
      </c>
      <c r="L558" t="s">
        <v>2917</v>
      </c>
      <c r="M558">
        <v>-6935.19</v>
      </c>
      <c r="N558" t="s">
        <v>2918</v>
      </c>
      <c r="O558" t="s">
        <v>7578</v>
      </c>
      <c r="P558" t="s">
        <v>2923</v>
      </c>
      <c r="Q558" t="s">
        <v>2924</v>
      </c>
      <c r="R558" t="s">
        <v>3219</v>
      </c>
      <c r="S558" t="s">
        <v>2208</v>
      </c>
      <c r="T558" t="s">
        <v>2208</v>
      </c>
    </row>
    <row r="559" spans="1:20">
      <c r="A559" t="s">
        <v>2239</v>
      </c>
      <c r="B559" t="s">
        <v>2920</v>
      </c>
      <c r="C559">
        <v>45688</v>
      </c>
      <c r="D559" t="s">
        <v>7263</v>
      </c>
      <c r="E559" t="s">
        <v>2921</v>
      </c>
      <c r="F559">
        <v>45688</v>
      </c>
      <c r="G559" t="s">
        <v>2208</v>
      </c>
      <c r="H559" t="s">
        <v>2916</v>
      </c>
      <c r="I559" t="s">
        <v>7579</v>
      </c>
      <c r="J559">
        <v>0</v>
      </c>
      <c r="K559">
        <v>0.03</v>
      </c>
      <c r="L559" t="s">
        <v>2917</v>
      </c>
      <c r="M559">
        <v>0</v>
      </c>
      <c r="N559" t="s">
        <v>2918</v>
      </c>
      <c r="O559" t="s">
        <v>2919</v>
      </c>
      <c r="P559" t="s">
        <v>2208</v>
      </c>
      <c r="Q559" t="s">
        <v>2916</v>
      </c>
      <c r="R559" t="s">
        <v>3220</v>
      </c>
      <c r="S559" t="s">
        <v>2208</v>
      </c>
      <c r="T559" t="s">
        <v>2208</v>
      </c>
    </row>
    <row r="560" spans="1:20">
      <c r="A560" t="s">
        <v>2239</v>
      </c>
      <c r="B560" t="s">
        <v>7740</v>
      </c>
      <c r="C560">
        <v>45502</v>
      </c>
      <c r="D560" t="s">
        <v>7263</v>
      </c>
      <c r="E560" t="s">
        <v>2925</v>
      </c>
      <c r="F560">
        <v>45708</v>
      </c>
      <c r="G560" t="s">
        <v>7570</v>
      </c>
      <c r="H560" t="s">
        <v>2916</v>
      </c>
      <c r="I560" t="s">
        <v>8619</v>
      </c>
      <c r="J560">
        <v>5025</v>
      </c>
      <c r="K560">
        <v>864.05</v>
      </c>
      <c r="L560" t="s">
        <v>2917</v>
      </c>
      <c r="M560">
        <v>5025</v>
      </c>
      <c r="N560" t="s">
        <v>2918</v>
      </c>
      <c r="O560" t="s">
        <v>2923</v>
      </c>
      <c r="P560" t="s">
        <v>2923</v>
      </c>
      <c r="Q560" t="s">
        <v>2924</v>
      </c>
      <c r="R560" t="s">
        <v>3219</v>
      </c>
      <c r="S560" t="s">
        <v>2208</v>
      </c>
      <c r="T560" t="s">
        <v>2208</v>
      </c>
    </row>
    <row r="561" spans="1:20">
      <c r="A561" t="s">
        <v>2239</v>
      </c>
      <c r="B561" t="s">
        <v>7740</v>
      </c>
      <c r="C561">
        <v>45716</v>
      </c>
      <c r="D561" t="s">
        <v>7263</v>
      </c>
      <c r="E561" t="s">
        <v>2925</v>
      </c>
      <c r="F561">
        <v>45716</v>
      </c>
      <c r="G561" t="s">
        <v>2208</v>
      </c>
      <c r="H561" t="s">
        <v>2916</v>
      </c>
      <c r="I561" t="s">
        <v>9116</v>
      </c>
      <c r="J561">
        <v>0</v>
      </c>
      <c r="K561">
        <v>3138.02</v>
      </c>
      <c r="L561" t="s">
        <v>2917</v>
      </c>
      <c r="M561">
        <v>18249.580000000002</v>
      </c>
      <c r="N561" t="s">
        <v>2918</v>
      </c>
      <c r="O561" t="s">
        <v>9117</v>
      </c>
      <c r="P561" t="s">
        <v>2208</v>
      </c>
      <c r="Q561" t="s">
        <v>2926</v>
      </c>
      <c r="R561" t="s">
        <v>3312</v>
      </c>
      <c r="S561" t="s">
        <v>2208</v>
      </c>
      <c r="T561" t="s">
        <v>2208</v>
      </c>
    </row>
    <row r="562" spans="1:20">
      <c r="A562" t="s">
        <v>2239</v>
      </c>
      <c r="B562" t="s">
        <v>7740</v>
      </c>
      <c r="C562">
        <v>45716</v>
      </c>
      <c r="D562" t="s">
        <v>7263</v>
      </c>
      <c r="E562" t="s">
        <v>2925</v>
      </c>
      <c r="F562">
        <v>45716</v>
      </c>
      <c r="G562" t="s">
        <v>2208</v>
      </c>
      <c r="H562" t="s">
        <v>2916</v>
      </c>
      <c r="I562" t="s">
        <v>9116</v>
      </c>
      <c r="J562">
        <v>0</v>
      </c>
      <c r="K562">
        <v>3716.44</v>
      </c>
      <c r="L562" t="s">
        <v>2917</v>
      </c>
      <c r="M562">
        <v>21613.52</v>
      </c>
      <c r="N562" t="s">
        <v>2918</v>
      </c>
      <c r="O562" t="s">
        <v>9117</v>
      </c>
      <c r="P562" t="s">
        <v>2208</v>
      </c>
      <c r="Q562" t="s">
        <v>2926</v>
      </c>
      <c r="R562" t="s">
        <v>3312</v>
      </c>
      <c r="S562" t="s">
        <v>2208</v>
      </c>
      <c r="T562" t="s">
        <v>2208</v>
      </c>
    </row>
    <row r="563" spans="1:20">
      <c r="A563" t="s">
        <v>2239</v>
      </c>
      <c r="B563" t="s">
        <v>7740</v>
      </c>
      <c r="C563">
        <v>45716</v>
      </c>
      <c r="D563" t="s">
        <v>7263</v>
      </c>
      <c r="E563" t="s">
        <v>2925</v>
      </c>
      <c r="F563">
        <v>45716</v>
      </c>
      <c r="G563" t="s">
        <v>2208</v>
      </c>
      <c r="H563" t="s">
        <v>2916</v>
      </c>
      <c r="I563" t="s">
        <v>9116</v>
      </c>
      <c r="J563">
        <v>0</v>
      </c>
      <c r="K563">
        <v>3123.87</v>
      </c>
      <c r="L563" t="s">
        <v>2917</v>
      </c>
      <c r="M563">
        <v>18167.34</v>
      </c>
      <c r="N563" t="s">
        <v>2918</v>
      </c>
      <c r="O563" t="s">
        <v>9117</v>
      </c>
      <c r="P563" t="s">
        <v>2208</v>
      </c>
      <c r="Q563" t="s">
        <v>2926</v>
      </c>
      <c r="R563" t="s">
        <v>3312</v>
      </c>
      <c r="S563" t="s">
        <v>2208</v>
      </c>
      <c r="T563" t="s">
        <v>2208</v>
      </c>
    </row>
    <row r="564" spans="1:20">
      <c r="A564" t="s">
        <v>2239</v>
      </c>
      <c r="B564" t="s">
        <v>7740</v>
      </c>
      <c r="C564">
        <v>45716</v>
      </c>
      <c r="D564" t="s">
        <v>7263</v>
      </c>
      <c r="E564" t="s">
        <v>2925</v>
      </c>
      <c r="F564">
        <v>45716</v>
      </c>
      <c r="G564" t="s">
        <v>2208</v>
      </c>
      <c r="H564" t="s">
        <v>2916</v>
      </c>
      <c r="I564" t="s">
        <v>9138</v>
      </c>
      <c r="J564">
        <v>0</v>
      </c>
      <c r="K564">
        <v>-7.0000000000000007E-2</v>
      </c>
      <c r="L564" t="s">
        <v>2917</v>
      </c>
      <c r="M564">
        <v>0</v>
      </c>
      <c r="N564" t="s">
        <v>2918</v>
      </c>
      <c r="O564" t="s">
        <v>2919</v>
      </c>
      <c r="P564" t="s">
        <v>2208</v>
      </c>
      <c r="Q564" t="s">
        <v>2916</v>
      </c>
      <c r="R564" t="s">
        <v>3220</v>
      </c>
      <c r="S564" t="s">
        <v>2208</v>
      </c>
      <c r="T564" t="s">
        <v>2208</v>
      </c>
    </row>
    <row r="565" spans="1:20">
      <c r="A565" t="s">
        <v>2239</v>
      </c>
      <c r="B565" t="s">
        <v>7740</v>
      </c>
      <c r="C565">
        <v>45716</v>
      </c>
      <c r="D565" t="s">
        <v>7263</v>
      </c>
      <c r="E565" t="s">
        <v>2925</v>
      </c>
      <c r="F565">
        <v>45716</v>
      </c>
      <c r="G565" t="s">
        <v>2208</v>
      </c>
      <c r="H565" t="s">
        <v>2916</v>
      </c>
      <c r="I565" t="s">
        <v>9119</v>
      </c>
      <c r="J565">
        <v>0</v>
      </c>
      <c r="K565">
        <v>-3138.02</v>
      </c>
      <c r="L565" t="s">
        <v>2917</v>
      </c>
      <c r="M565">
        <v>-18249.580000000002</v>
      </c>
      <c r="N565" t="s">
        <v>2918</v>
      </c>
      <c r="O565" t="s">
        <v>9117</v>
      </c>
      <c r="P565" t="s">
        <v>2208</v>
      </c>
      <c r="Q565" t="s">
        <v>2926</v>
      </c>
      <c r="R565" t="s">
        <v>3312</v>
      </c>
      <c r="S565" t="s">
        <v>2208</v>
      </c>
      <c r="T565" t="s">
        <v>2208</v>
      </c>
    </row>
    <row r="566" spans="1:20">
      <c r="A566" t="s">
        <v>2239</v>
      </c>
      <c r="B566" t="s">
        <v>7740</v>
      </c>
      <c r="C566">
        <v>45716</v>
      </c>
      <c r="D566" t="s">
        <v>7263</v>
      </c>
      <c r="E566" t="s">
        <v>2925</v>
      </c>
      <c r="F566">
        <v>45716</v>
      </c>
      <c r="G566" t="s">
        <v>2208</v>
      </c>
      <c r="H566" t="s">
        <v>2916</v>
      </c>
      <c r="I566" t="s">
        <v>9119</v>
      </c>
      <c r="J566">
        <v>0</v>
      </c>
      <c r="K566">
        <v>-3716.44</v>
      </c>
      <c r="L566" t="s">
        <v>2917</v>
      </c>
      <c r="M566">
        <v>-21613.52</v>
      </c>
      <c r="N566" t="s">
        <v>2918</v>
      </c>
      <c r="O566" t="s">
        <v>9117</v>
      </c>
      <c r="P566" t="s">
        <v>2208</v>
      </c>
      <c r="Q566" t="s">
        <v>2926</v>
      </c>
      <c r="R566" t="s">
        <v>3312</v>
      </c>
      <c r="S566" t="s">
        <v>2208</v>
      </c>
      <c r="T566" t="s">
        <v>2208</v>
      </c>
    </row>
    <row r="567" spans="1:20">
      <c r="A567" t="s">
        <v>2239</v>
      </c>
      <c r="B567" t="s">
        <v>7740</v>
      </c>
      <c r="C567">
        <v>45716</v>
      </c>
      <c r="D567" t="s">
        <v>7263</v>
      </c>
      <c r="E567" t="s">
        <v>2925</v>
      </c>
      <c r="F567">
        <v>45716</v>
      </c>
      <c r="G567" t="s">
        <v>2208</v>
      </c>
      <c r="H567" t="s">
        <v>2916</v>
      </c>
      <c r="I567" t="s">
        <v>9119</v>
      </c>
      <c r="J567">
        <v>0</v>
      </c>
      <c r="K567">
        <v>-3123.87</v>
      </c>
      <c r="L567" t="s">
        <v>2917</v>
      </c>
      <c r="M567">
        <v>-18167.34</v>
      </c>
      <c r="N567" t="s">
        <v>2918</v>
      </c>
      <c r="O567" t="s">
        <v>9117</v>
      </c>
      <c r="P567" t="s">
        <v>2208</v>
      </c>
      <c r="Q567" t="s">
        <v>2926</v>
      </c>
      <c r="R567" t="s">
        <v>3312</v>
      </c>
      <c r="S567" t="s">
        <v>2208</v>
      </c>
      <c r="T567" t="s">
        <v>2208</v>
      </c>
    </row>
    <row r="568" spans="1:20">
      <c r="A568" t="s">
        <v>2239</v>
      </c>
      <c r="B568" t="s">
        <v>7740</v>
      </c>
      <c r="C568">
        <v>45716</v>
      </c>
      <c r="D568" t="s">
        <v>7263</v>
      </c>
      <c r="E568" t="s">
        <v>2925</v>
      </c>
      <c r="F568">
        <v>45716</v>
      </c>
      <c r="G568" t="s">
        <v>2208</v>
      </c>
      <c r="H568" t="s">
        <v>2916</v>
      </c>
      <c r="I568" t="s">
        <v>9120</v>
      </c>
      <c r="J568">
        <v>0</v>
      </c>
      <c r="K568">
        <v>3138.02</v>
      </c>
      <c r="L568" t="s">
        <v>2917</v>
      </c>
      <c r="M568">
        <v>18249.580000000002</v>
      </c>
      <c r="N568" t="s">
        <v>2918</v>
      </c>
      <c r="O568" t="s">
        <v>9117</v>
      </c>
      <c r="P568" t="s">
        <v>2208</v>
      </c>
      <c r="Q568" t="s">
        <v>2926</v>
      </c>
      <c r="R568" t="s">
        <v>3312</v>
      </c>
      <c r="S568" t="s">
        <v>2208</v>
      </c>
      <c r="T568" t="s">
        <v>2208</v>
      </c>
    </row>
    <row r="569" spans="1:20">
      <c r="A569" t="s">
        <v>2239</v>
      </c>
      <c r="B569" t="s">
        <v>7740</v>
      </c>
      <c r="C569">
        <v>45716</v>
      </c>
      <c r="D569" t="s">
        <v>7263</v>
      </c>
      <c r="E569" t="s">
        <v>2925</v>
      </c>
      <c r="F569">
        <v>45716</v>
      </c>
      <c r="G569" t="s">
        <v>2208</v>
      </c>
      <c r="H569" t="s">
        <v>2916</v>
      </c>
      <c r="I569" t="s">
        <v>9120</v>
      </c>
      <c r="J569">
        <v>0</v>
      </c>
      <c r="K569">
        <v>3716.44</v>
      </c>
      <c r="L569" t="s">
        <v>2917</v>
      </c>
      <c r="M569">
        <v>21613.52</v>
      </c>
      <c r="N569" t="s">
        <v>2918</v>
      </c>
      <c r="O569" t="s">
        <v>9117</v>
      </c>
      <c r="P569" t="s">
        <v>2208</v>
      </c>
      <c r="Q569" t="s">
        <v>2926</v>
      </c>
      <c r="R569" t="s">
        <v>3312</v>
      </c>
      <c r="S569" t="s">
        <v>2208</v>
      </c>
      <c r="T569" t="s">
        <v>2208</v>
      </c>
    </row>
    <row r="570" spans="1:20">
      <c r="A570" t="s">
        <v>2239</v>
      </c>
      <c r="B570" t="s">
        <v>7740</v>
      </c>
      <c r="C570">
        <v>45716</v>
      </c>
      <c r="D570" t="s">
        <v>7263</v>
      </c>
      <c r="E570" t="s">
        <v>2925</v>
      </c>
      <c r="F570">
        <v>45716</v>
      </c>
      <c r="G570" t="s">
        <v>2208</v>
      </c>
      <c r="H570" t="s">
        <v>2916</v>
      </c>
      <c r="I570" t="s">
        <v>9120</v>
      </c>
      <c r="J570">
        <v>0</v>
      </c>
      <c r="K570">
        <v>3123.87</v>
      </c>
      <c r="L570" t="s">
        <v>2917</v>
      </c>
      <c r="M570">
        <v>18167.34</v>
      </c>
      <c r="N570" t="s">
        <v>2918</v>
      </c>
      <c r="O570" t="s">
        <v>9117</v>
      </c>
      <c r="P570" t="s">
        <v>2208</v>
      </c>
      <c r="Q570" t="s">
        <v>2926</v>
      </c>
      <c r="R570" t="s">
        <v>3312</v>
      </c>
      <c r="S570" t="s">
        <v>2208</v>
      </c>
      <c r="T570" t="s">
        <v>2208</v>
      </c>
    </row>
    <row r="571" spans="1:20">
      <c r="A571" t="s">
        <v>2239</v>
      </c>
      <c r="B571" t="s">
        <v>9126</v>
      </c>
      <c r="C571">
        <v>45716</v>
      </c>
      <c r="D571" t="s">
        <v>7263</v>
      </c>
      <c r="E571" t="s">
        <v>9127</v>
      </c>
      <c r="F571">
        <v>45737</v>
      </c>
      <c r="G571" t="s">
        <v>2208</v>
      </c>
      <c r="H571" t="s">
        <v>2916</v>
      </c>
      <c r="I571" t="s">
        <v>10959</v>
      </c>
      <c r="J571">
        <v>0</v>
      </c>
      <c r="K571">
        <v>-3138.02</v>
      </c>
      <c r="L571" t="s">
        <v>2917</v>
      </c>
      <c r="M571">
        <v>-18249.580000000002</v>
      </c>
      <c r="N571" t="s">
        <v>2918</v>
      </c>
      <c r="O571" t="s">
        <v>9117</v>
      </c>
      <c r="P571" t="s">
        <v>2208</v>
      </c>
      <c r="Q571" t="s">
        <v>2926</v>
      </c>
      <c r="R571" t="s">
        <v>3312</v>
      </c>
      <c r="S571" t="s">
        <v>2208</v>
      </c>
      <c r="T571" t="s">
        <v>2208</v>
      </c>
    </row>
    <row r="572" spans="1:20">
      <c r="A572" t="s">
        <v>2239</v>
      </c>
      <c r="B572" t="s">
        <v>9126</v>
      </c>
      <c r="C572">
        <v>45716</v>
      </c>
      <c r="D572" t="s">
        <v>7263</v>
      </c>
      <c r="E572" t="s">
        <v>9127</v>
      </c>
      <c r="F572">
        <v>45737</v>
      </c>
      <c r="G572" t="s">
        <v>2208</v>
      </c>
      <c r="H572" t="s">
        <v>2916</v>
      </c>
      <c r="I572" t="s">
        <v>10959</v>
      </c>
      <c r="J572">
        <v>0</v>
      </c>
      <c r="K572">
        <v>-3716.44</v>
      </c>
      <c r="L572" t="s">
        <v>2917</v>
      </c>
      <c r="M572">
        <v>-21613.52</v>
      </c>
      <c r="N572" t="s">
        <v>2918</v>
      </c>
      <c r="O572" t="s">
        <v>9117</v>
      </c>
      <c r="P572" t="s">
        <v>2208</v>
      </c>
      <c r="Q572" t="s">
        <v>2926</v>
      </c>
      <c r="R572" t="s">
        <v>3312</v>
      </c>
      <c r="S572" t="s">
        <v>2208</v>
      </c>
      <c r="T572" t="s">
        <v>2208</v>
      </c>
    </row>
    <row r="573" spans="1:20">
      <c r="A573" t="s">
        <v>2239</v>
      </c>
      <c r="B573" t="s">
        <v>9126</v>
      </c>
      <c r="C573">
        <v>45716</v>
      </c>
      <c r="D573" t="s">
        <v>7263</v>
      </c>
      <c r="E573" t="s">
        <v>9127</v>
      </c>
      <c r="F573">
        <v>45737</v>
      </c>
      <c r="G573" t="s">
        <v>2208</v>
      </c>
      <c r="H573" t="s">
        <v>2916</v>
      </c>
      <c r="I573" t="s">
        <v>10959</v>
      </c>
      <c r="J573">
        <v>0</v>
      </c>
      <c r="K573">
        <v>-3123.87</v>
      </c>
      <c r="L573" t="s">
        <v>2917</v>
      </c>
      <c r="M573">
        <v>-18167.34</v>
      </c>
      <c r="N573" t="s">
        <v>2918</v>
      </c>
      <c r="O573" t="s">
        <v>9117</v>
      </c>
      <c r="P573" t="s">
        <v>2208</v>
      </c>
      <c r="Q573" t="s">
        <v>2926</v>
      </c>
      <c r="R573" t="s">
        <v>3312</v>
      </c>
      <c r="S573" t="s">
        <v>2208</v>
      </c>
      <c r="T573" t="s">
        <v>2208</v>
      </c>
    </row>
    <row r="574" spans="1:20">
      <c r="A574" t="s">
        <v>2239</v>
      </c>
      <c r="B574" t="s">
        <v>9126</v>
      </c>
      <c r="C574">
        <v>45747</v>
      </c>
      <c r="D574" t="s">
        <v>7263</v>
      </c>
      <c r="E574" t="s">
        <v>9127</v>
      </c>
      <c r="F574">
        <v>45747</v>
      </c>
      <c r="G574" t="s">
        <v>2208</v>
      </c>
      <c r="H574" t="s">
        <v>2916</v>
      </c>
      <c r="I574" t="s">
        <v>11316</v>
      </c>
      <c r="J574">
        <v>0</v>
      </c>
      <c r="K574">
        <v>2613.48</v>
      </c>
      <c r="L574" t="s">
        <v>2917</v>
      </c>
      <c r="M574">
        <v>15248.74</v>
      </c>
      <c r="N574" t="s">
        <v>2918</v>
      </c>
      <c r="O574" t="s">
        <v>11317</v>
      </c>
      <c r="P574" t="s">
        <v>2208</v>
      </c>
      <c r="Q574" t="s">
        <v>2926</v>
      </c>
      <c r="R574" t="s">
        <v>3312</v>
      </c>
      <c r="S574" t="s">
        <v>2208</v>
      </c>
      <c r="T574" t="s">
        <v>2208</v>
      </c>
    </row>
    <row r="575" spans="1:20">
      <c r="A575" t="s">
        <v>2239</v>
      </c>
      <c r="B575" t="s">
        <v>9126</v>
      </c>
      <c r="C575">
        <v>45747</v>
      </c>
      <c r="D575" t="s">
        <v>7263</v>
      </c>
      <c r="E575" t="s">
        <v>9127</v>
      </c>
      <c r="F575">
        <v>45747</v>
      </c>
      <c r="G575" t="s">
        <v>2208</v>
      </c>
      <c r="H575" t="s">
        <v>2916</v>
      </c>
      <c r="I575" t="s">
        <v>11350</v>
      </c>
      <c r="J575">
        <v>0</v>
      </c>
      <c r="K575">
        <v>32.44</v>
      </c>
      <c r="L575" t="s">
        <v>2917</v>
      </c>
      <c r="M575">
        <v>0</v>
      </c>
      <c r="N575" t="s">
        <v>2918</v>
      </c>
      <c r="O575" t="s">
        <v>2919</v>
      </c>
      <c r="P575" t="s">
        <v>2208</v>
      </c>
      <c r="Q575" t="s">
        <v>2916</v>
      </c>
      <c r="R575" t="s">
        <v>3220</v>
      </c>
      <c r="S575" t="s">
        <v>2208</v>
      </c>
      <c r="T575" t="s">
        <v>2208</v>
      </c>
    </row>
    <row r="576" spans="1:20">
      <c r="A576" t="s">
        <v>2239</v>
      </c>
      <c r="B576" t="s">
        <v>11331</v>
      </c>
      <c r="C576">
        <v>45747</v>
      </c>
      <c r="D576" t="s">
        <v>7263</v>
      </c>
      <c r="E576" t="s">
        <v>11332</v>
      </c>
      <c r="F576">
        <v>45757</v>
      </c>
      <c r="G576" t="s">
        <v>2208</v>
      </c>
      <c r="H576" t="s">
        <v>2916</v>
      </c>
      <c r="I576" t="s">
        <v>12252</v>
      </c>
      <c r="J576">
        <v>0</v>
      </c>
      <c r="K576">
        <v>-2613.48</v>
      </c>
      <c r="L576" t="s">
        <v>2917</v>
      </c>
      <c r="M576">
        <v>-15248.74</v>
      </c>
      <c r="N576" t="s">
        <v>2918</v>
      </c>
      <c r="O576" t="s">
        <v>11317</v>
      </c>
      <c r="P576" t="s">
        <v>2208</v>
      </c>
      <c r="Q576" t="s">
        <v>2926</v>
      </c>
      <c r="R576" t="s">
        <v>3312</v>
      </c>
      <c r="S576" t="s">
        <v>2208</v>
      </c>
      <c r="T576" t="s">
        <v>2208</v>
      </c>
    </row>
    <row r="577" spans="1:20">
      <c r="A577" t="s">
        <v>2239</v>
      </c>
      <c r="B577" t="s">
        <v>11331</v>
      </c>
      <c r="C577">
        <v>45777</v>
      </c>
      <c r="D577" t="s">
        <v>7263</v>
      </c>
      <c r="E577" t="s">
        <v>11332</v>
      </c>
      <c r="F577">
        <v>45777</v>
      </c>
      <c r="G577" t="s">
        <v>2208</v>
      </c>
      <c r="H577" t="s">
        <v>2916</v>
      </c>
      <c r="I577" t="s">
        <v>16317</v>
      </c>
      <c r="J577">
        <v>0</v>
      </c>
      <c r="K577">
        <v>2647.94</v>
      </c>
      <c r="L577" t="s">
        <v>2917</v>
      </c>
      <c r="M577">
        <v>15248.74</v>
      </c>
      <c r="N577" t="s">
        <v>2918</v>
      </c>
      <c r="O577" t="s">
        <v>16318</v>
      </c>
      <c r="P577" t="s">
        <v>2208</v>
      </c>
      <c r="Q577" t="s">
        <v>2926</v>
      </c>
      <c r="R577" t="s">
        <v>3312</v>
      </c>
      <c r="S577" t="s">
        <v>2208</v>
      </c>
      <c r="T577" t="s">
        <v>2208</v>
      </c>
    </row>
    <row r="578" spans="1:20">
      <c r="A578" t="s">
        <v>2239</v>
      </c>
      <c r="B578" t="s">
        <v>11331</v>
      </c>
      <c r="C578">
        <v>45777</v>
      </c>
      <c r="D578" t="s">
        <v>7263</v>
      </c>
      <c r="E578" t="s">
        <v>11332</v>
      </c>
      <c r="F578">
        <v>45777</v>
      </c>
      <c r="G578" t="s">
        <v>2208</v>
      </c>
      <c r="H578" t="s">
        <v>2916</v>
      </c>
      <c r="I578" t="s">
        <v>16369</v>
      </c>
      <c r="J578">
        <v>0</v>
      </c>
      <c r="K578">
        <v>-34.46</v>
      </c>
      <c r="L578" t="s">
        <v>2917</v>
      </c>
      <c r="M578">
        <v>0</v>
      </c>
      <c r="N578" t="s">
        <v>2918</v>
      </c>
      <c r="O578" t="s">
        <v>2919</v>
      </c>
      <c r="P578" t="s">
        <v>2208</v>
      </c>
      <c r="Q578" t="s">
        <v>2916</v>
      </c>
      <c r="R578" t="s">
        <v>3220</v>
      </c>
      <c r="S578" t="s">
        <v>2208</v>
      </c>
      <c r="T578" t="s">
        <v>2208</v>
      </c>
    </row>
    <row r="579" spans="1:20">
      <c r="A579" t="s">
        <v>2239</v>
      </c>
      <c r="B579" t="s">
        <v>16360</v>
      </c>
      <c r="C579">
        <v>45708</v>
      </c>
      <c r="D579" t="s">
        <v>7263</v>
      </c>
      <c r="E579" t="s">
        <v>16361</v>
      </c>
      <c r="F579">
        <v>45784</v>
      </c>
      <c r="G579" t="s">
        <v>7570</v>
      </c>
      <c r="H579" t="s">
        <v>2916</v>
      </c>
      <c r="I579" t="s">
        <v>16968</v>
      </c>
      <c r="J579">
        <v>0</v>
      </c>
      <c r="K579">
        <v>-54.62</v>
      </c>
      <c r="L579" t="s">
        <v>2917</v>
      </c>
      <c r="M579">
        <v>-464.81</v>
      </c>
      <c r="N579" t="s">
        <v>2918</v>
      </c>
      <c r="O579" t="s">
        <v>16969</v>
      </c>
      <c r="P579" t="s">
        <v>2923</v>
      </c>
      <c r="Q579" t="s">
        <v>2924</v>
      </c>
      <c r="R579" t="s">
        <v>3219</v>
      </c>
      <c r="S579" t="s">
        <v>2208</v>
      </c>
      <c r="T579" t="s">
        <v>2208</v>
      </c>
    </row>
    <row r="580" spans="1:20">
      <c r="A580" t="s">
        <v>2239</v>
      </c>
      <c r="B580" t="s">
        <v>16360</v>
      </c>
      <c r="C580">
        <v>45777</v>
      </c>
      <c r="D580" t="s">
        <v>7263</v>
      </c>
      <c r="E580" t="s">
        <v>16361</v>
      </c>
      <c r="F580">
        <v>45797</v>
      </c>
      <c r="G580" t="s">
        <v>2208</v>
      </c>
      <c r="H580" t="s">
        <v>2916</v>
      </c>
      <c r="I580" t="s">
        <v>17260</v>
      </c>
      <c r="J580">
        <v>0</v>
      </c>
      <c r="K580">
        <v>-2647.94</v>
      </c>
      <c r="L580" t="s">
        <v>2917</v>
      </c>
      <c r="M580">
        <v>-15248.74</v>
      </c>
      <c r="N580" t="s">
        <v>2918</v>
      </c>
      <c r="O580" t="s">
        <v>16318</v>
      </c>
      <c r="P580" t="s">
        <v>2208</v>
      </c>
      <c r="Q580" t="s">
        <v>2926</v>
      </c>
      <c r="R580" t="s">
        <v>3312</v>
      </c>
      <c r="S580" t="s">
        <v>2208</v>
      </c>
      <c r="T580" t="s">
        <v>2208</v>
      </c>
    </row>
    <row r="581" spans="1:20">
      <c r="A581" t="s">
        <v>2239</v>
      </c>
      <c r="B581" t="s">
        <v>16360</v>
      </c>
      <c r="C581">
        <v>45806</v>
      </c>
      <c r="D581" t="s">
        <v>7263</v>
      </c>
      <c r="E581" t="s">
        <v>16361</v>
      </c>
      <c r="F581">
        <v>45806</v>
      </c>
      <c r="G581" t="s">
        <v>2208</v>
      </c>
      <c r="H581" t="s">
        <v>2916</v>
      </c>
      <c r="I581" t="s">
        <v>17819</v>
      </c>
      <c r="J581">
        <v>0</v>
      </c>
      <c r="K581">
        <v>2706.65</v>
      </c>
      <c r="L581" t="s">
        <v>2917</v>
      </c>
      <c r="M581">
        <v>15248.74</v>
      </c>
      <c r="N581" t="s">
        <v>2918</v>
      </c>
      <c r="O581" t="s">
        <v>17820</v>
      </c>
      <c r="P581" t="s">
        <v>2208</v>
      </c>
      <c r="Q581" t="s">
        <v>2926</v>
      </c>
      <c r="R581" t="s">
        <v>3312</v>
      </c>
      <c r="S581" t="s">
        <v>2208</v>
      </c>
      <c r="T581" t="s">
        <v>2208</v>
      </c>
    </row>
    <row r="582" spans="1:20">
      <c r="A582" t="s">
        <v>2239</v>
      </c>
      <c r="B582" t="s">
        <v>16360</v>
      </c>
      <c r="C582">
        <v>45808</v>
      </c>
      <c r="D582" t="s">
        <v>7263</v>
      </c>
      <c r="E582" t="s">
        <v>16361</v>
      </c>
      <c r="F582">
        <v>45808</v>
      </c>
      <c r="G582" t="s">
        <v>2208</v>
      </c>
      <c r="H582" t="s">
        <v>2916</v>
      </c>
      <c r="I582" t="s">
        <v>17854</v>
      </c>
      <c r="J582">
        <v>0</v>
      </c>
      <c r="K582">
        <v>-58.71</v>
      </c>
      <c r="L582" t="s">
        <v>2917</v>
      </c>
      <c r="M582">
        <v>0</v>
      </c>
      <c r="N582" t="s">
        <v>2918</v>
      </c>
      <c r="O582" t="s">
        <v>2919</v>
      </c>
      <c r="P582" t="s">
        <v>2208</v>
      </c>
      <c r="Q582" t="s">
        <v>2916</v>
      </c>
      <c r="R582" t="s">
        <v>3220</v>
      </c>
      <c r="S582" t="s">
        <v>2208</v>
      </c>
      <c r="T582" t="s">
        <v>2208</v>
      </c>
    </row>
    <row r="583" spans="1:20">
      <c r="A583" t="s">
        <v>2239</v>
      </c>
      <c r="B583" t="s">
        <v>16360</v>
      </c>
      <c r="C583">
        <v>45808</v>
      </c>
      <c r="D583" t="s">
        <v>7263</v>
      </c>
      <c r="E583" t="s">
        <v>16361</v>
      </c>
      <c r="F583">
        <v>45808</v>
      </c>
      <c r="G583" t="s">
        <v>2208</v>
      </c>
      <c r="H583" t="s">
        <v>2916</v>
      </c>
      <c r="I583" t="s">
        <v>17855</v>
      </c>
      <c r="J583">
        <v>0</v>
      </c>
      <c r="K583">
        <v>-27.92</v>
      </c>
      <c r="L583" t="s">
        <v>2917</v>
      </c>
      <c r="M583">
        <v>0</v>
      </c>
      <c r="N583" t="s">
        <v>2918</v>
      </c>
      <c r="O583" t="s">
        <v>2919</v>
      </c>
      <c r="P583" t="s">
        <v>2208</v>
      </c>
      <c r="Q583" t="s">
        <v>2916</v>
      </c>
      <c r="R583" t="s">
        <v>3220</v>
      </c>
      <c r="S583" t="s">
        <v>2208</v>
      </c>
      <c r="T583" t="s">
        <v>2208</v>
      </c>
    </row>
    <row r="584" spans="1:20">
      <c r="A584" t="s">
        <v>2239</v>
      </c>
      <c r="B584" t="s">
        <v>17897</v>
      </c>
      <c r="C584">
        <v>45806</v>
      </c>
      <c r="D584" t="s">
        <v>7263</v>
      </c>
      <c r="E584" t="s">
        <v>17898</v>
      </c>
      <c r="F584">
        <v>45818</v>
      </c>
      <c r="G584" t="s">
        <v>2208</v>
      </c>
      <c r="H584" t="s">
        <v>2916</v>
      </c>
      <c r="I584" t="s">
        <v>18535</v>
      </c>
      <c r="J584">
        <v>0</v>
      </c>
      <c r="K584">
        <v>-2706.65</v>
      </c>
      <c r="L584" t="s">
        <v>2917</v>
      </c>
      <c r="M584">
        <v>-15248.74</v>
      </c>
      <c r="N584" t="s">
        <v>2918</v>
      </c>
      <c r="O584" t="s">
        <v>17820</v>
      </c>
      <c r="P584" t="s">
        <v>2208</v>
      </c>
      <c r="Q584" t="s">
        <v>2926</v>
      </c>
      <c r="R584" t="s">
        <v>3312</v>
      </c>
      <c r="S584" t="s">
        <v>2208</v>
      </c>
      <c r="T584" t="s">
        <v>2208</v>
      </c>
    </row>
    <row r="585" spans="1:20">
      <c r="A585" t="s">
        <v>2239</v>
      </c>
      <c r="B585" t="s">
        <v>17897</v>
      </c>
      <c r="C585">
        <v>45828</v>
      </c>
      <c r="D585" t="s">
        <v>7263</v>
      </c>
      <c r="E585" t="s">
        <v>17898</v>
      </c>
      <c r="F585">
        <v>45832</v>
      </c>
      <c r="G585" t="s">
        <v>19041</v>
      </c>
      <c r="H585" t="s">
        <v>2916</v>
      </c>
      <c r="I585" t="s">
        <v>19042</v>
      </c>
      <c r="J585">
        <v>46</v>
      </c>
      <c r="K585">
        <v>39767.68</v>
      </c>
      <c r="L585" t="s">
        <v>2917</v>
      </c>
      <c r="M585">
        <v>225696.24</v>
      </c>
      <c r="N585" t="s">
        <v>2918</v>
      </c>
      <c r="O585" t="s">
        <v>19043</v>
      </c>
      <c r="P585" t="s">
        <v>19044</v>
      </c>
      <c r="Q585" t="s">
        <v>2924</v>
      </c>
      <c r="R585" t="s">
        <v>3219</v>
      </c>
      <c r="S585" t="s">
        <v>19045</v>
      </c>
      <c r="T585" t="s">
        <v>19046</v>
      </c>
    </row>
    <row r="586" spans="1:20">
      <c r="A586" t="s">
        <v>2239</v>
      </c>
      <c r="B586" t="s">
        <v>17897</v>
      </c>
      <c r="C586">
        <v>45828</v>
      </c>
      <c r="D586" t="s">
        <v>7263</v>
      </c>
      <c r="E586" t="s">
        <v>17898</v>
      </c>
      <c r="F586">
        <v>45832</v>
      </c>
      <c r="G586" t="s">
        <v>19041</v>
      </c>
      <c r="H586" t="s">
        <v>2916</v>
      </c>
      <c r="I586" t="s">
        <v>19047</v>
      </c>
      <c r="J586">
        <v>0</v>
      </c>
      <c r="K586">
        <v>-3678.51</v>
      </c>
      <c r="L586" t="s">
        <v>2917</v>
      </c>
      <c r="M586">
        <v>-20876.900000000001</v>
      </c>
      <c r="N586" t="s">
        <v>2918</v>
      </c>
      <c r="O586" t="s">
        <v>19048</v>
      </c>
      <c r="P586" t="s">
        <v>19044</v>
      </c>
      <c r="Q586" t="s">
        <v>2924</v>
      </c>
      <c r="R586" t="s">
        <v>3219</v>
      </c>
      <c r="S586" t="s">
        <v>19045</v>
      </c>
      <c r="T586" t="s">
        <v>19046</v>
      </c>
    </row>
    <row r="587" spans="1:20">
      <c r="A587" t="s">
        <v>2239</v>
      </c>
      <c r="B587" t="s">
        <v>17897</v>
      </c>
      <c r="C587">
        <v>45833</v>
      </c>
      <c r="D587" t="s">
        <v>7263</v>
      </c>
      <c r="E587" t="s">
        <v>17898</v>
      </c>
      <c r="F587">
        <v>45834</v>
      </c>
      <c r="G587" t="s">
        <v>19041</v>
      </c>
      <c r="H587" t="s">
        <v>2916</v>
      </c>
      <c r="I587" t="s">
        <v>19143</v>
      </c>
      <c r="J587">
        <v>54</v>
      </c>
      <c r="K587">
        <v>46683.79</v>
      </c>
      <c r="L587" t="s">
        <v>2917</v>
      </c>
      <c r="M587">
        <v>264947.76</v>
      </c>
      <c r="N587" t="s">
        <v>2918</v>
      </c>
      <c r="O587" t="s">
        <v>19144</v>
      </c>
      <c r="P587" t="s">
        <v>19044</v>
      </c>
      <c r="Q587" t="s">
        <v>2924</v>
      </c>
      <c r="R587" t="s">
        <v>3219</v>
      </c>
      <c r="S587" t="s">
        <v>19045</v>
      </c>
      <c r="T587" t="s">
        <v>19046</v>
      </c>
    </row>
    <row r="588" spans="1:20">
      <c r="A588" t="s">
        <v>2239</v>
      </c>
      <c r="B588" t="s">
        <v>17897</v>
      </c>
      <c r="C588">
        <v>45833</v>
      </c>
      <c r="D588" t="s">
        <v>7263</v>
      </c>
      <c r="E588" t="s">
        <v>17898</v>
      </c>
      <c r="F588">
        <v>45834</v>
      </c>
      <c r="G588" t="s">
        <v>19041</v>
      </c>
      <c r="H588" t="s">
        <v>2916</v>
      </c>
      <c r="I588" t="s">
        <v>19145</v>
      </c>
      <c r="J588">
        <v>0</v>
      </c>
      <c r="K588">
        <v>-4318.25</v>
      </c>
      <c r="L588" t="s">
        <v>2917</v>
      </c>
      <c r="M588">
        <v>-24507.67</v>
      </c>
      <c r="N588" t="s">
        <v>2918</v>
      </c>
      <c r="O588" t="s">
        <v>19146</v>
      </c>
      <c r="P588" t="s">
        <v>19044</v>
      </c>
      <c r="Q588" t="s">
        <v>2924</v>
      </c>
      <c r="R588" t="s">
        <v>3219</v>
      </c>
      <c r="S588" t="s">
        <v>19045</v>
      </c>
      <c r="T588" t="s">
        <v>19046</v>
      </c>
    </row>
    <row r="589" spans="1:20">
      <c r="A589" t="s">
        <v>2239</v>
      </c>
      <c r="B589" t="s">
        <v>17897</v>
      </c>
      <c r="C589">
        <v>45838</v>
      </c>
      <c r="D589" t="s">
        <v>7263</v>
      </c>
      <c r="E589" t="s">
        <v>17898</v>
      </c>
      <c r="F589">
        <v>45838</v>
      </c>
      <c r="G589" t="s">
        <v>2208</v>
      </c>
      <c r="H589" t="s">
        <v>2916</v>
      </c>
      <c r="I589" t="s">
        <v>19236</v>
      </c>
      <c r="J589">
        <v>0</v>
      </c>
      <c r="K589">
        <v>528.73</v>
      </c>
      <c r="L589" t="s">
        <v>2917</v>
      </c>
      <c r="M589">
        <v>3000.74</v>
      </c>
      <c r="N589" t="s">
        <v>2918</v>
      </c>
      <c r="O589" t="s">
        <v>19237</v>
      </c>
      <c r="P589" t="s">
        <v>2208</v>
      </c>
      <c r="Q589" t="s">
        <v>2926</v>
      </c>
      <c r="R589" t="s">
        <v>3312</v>
      </c>
      <c r="S589" t="s">
        <v>2208</v>
      </c>
      <c r="T589" t="s">
        <v>2208</v>
      </c>
    </row>
    <row r="590" spans="1:20">
      <c r="A590" t="s">
        <v>2239</v>
      </c>
      <c r="B590" t="s">
        <v>17897</v>
      </c>
      <c r="C590">
        <v>45838</v>
      </c>
      <c r="D590" t="s">
        <v>7263</v>
      </c>
      <c r="E590" t="s">
        <v>17898</v>
      </c>
      <c r="F590">
        <v>45838</v>
      </c>
      <c r="G590" t="s">
        <v>2208</v>
      </c>
      <c r="H590" t="s">
        <v>2916</v>
      </c>
      <c r="I590" t="s">
        <v>19253</v>
      </c>
      <c r="J590">
        <v>0</v>
      </c>
      <c r="K590">
        <v>19.82</v>
      </c>
      <c r="L590" t="s">
        <v>2917</v>
      </c>
      <c r="M590">
        <v>0</v>
      </c>
      <c r="N590" t="s">
        <v>2918</v>
      </c>
      <c r="O590" t="s">
        <v>2919</v>
      </c>
      <c r="P590" t="s">
        <v>2208</v>
      </c>
      <c r="Q590" t="s">
        <v>2916</v>
      </c>
      <c r="R590" t="s">
        <v>3220</v>
      </c>
      <c r="S590" t="s">
        <v>2208</v>
      </c>
      <c r="T590" t="s">
        <v>2208</v>
      </c>
    </row>
    <row r="591" spans="1:20">
      <c r="A591" t="s">
        <v>2239</v>
      </c>
      <c r="B591" t="s">
        <v>17897</v>
      </c>
      <c r="C591">
        <v>45838</v>
      </c>
      <c r="D591" t="s">
        <v>7263</v>
      </c>
      <c r="E591" t="s">
        <v>17898</v>
      </c>
      <c r="F591">
        <v>45838</v>
      </c>
      <c r="G591" t="s">
        <v>2208</v>
      </c>
      <c r="H591" t="s">
        <v>2916</v>
      </c>
      <c r="I591" t="s">
        <v>19254</v>
      </c>
      <c r="J591">
        <v>0</v>
      </c>
      <c r="K591">
        <v>-7.0000000000000007E-2</v>
      </c>
      <c r="L591" t="s">
        <v>2917</v>
      </c>
      <c r="M591">
        <v>0</v>
      </c>
      <c r="N591" t="s">
        <v>2918</v>
      </c>
      <c r="O591" t="s">
        <v>2919</v>
      </c>
      <c r="P591" t="s">
        <v>2208</v>
      </c>
      <c r="Q591" t="s">
        <v>2916</v>
      </c>
      <c r="R591" t="s">
        <v>3220</v>
      </c>
      <c r="S591" t="s">
        <v>2208</v>
      </c>
      <c r="T591" t="s">
        <v>2208</v>
      </c>
    </row>
    <row r="592" spans="1:20">
      <c r="A592" t="s">
        <v>2239</v>
      </c>
      <c r="B592" t="s">
        <v>2920</v>
      </c>
      <c r="C592">
        <v>45652</v>
      </c>
      <c r="D592" t="s">
        <v>7263</v>
      </c>
      <c r="E592" t="s">
        <v>2921</v>
      </c>
      <c r="F592">
        <v>45658</v>
      </c>
      <c r="G592" t="s">
        <v>2208</v>
      </c>
      <c r="H592" t="s">
        <v>2916</v>
      </c>
      <c r="I592" t="s">
        <v>7321</v>
      </c>
      <c r="J592">
        <v>0</v>
      </c>
      <c r="K592">
        <v>-71956.44</v>
      </c>
      <c r="L592" t="s">
        <v>2917</v>
      </c>
      <c r="M592">
        <v>-438598.33</v>
      </c>
      <c r="N592" t="s">
        <v>2918</v>
      </c>
      <c r="O592" t="s">
        <v>3313</v>
      </c>
      <c r="P592" t="s">
        <v>2208</v>
      </c>
      <c r="Q592" t="s">
        <v>2929</v>
      </c>
      <c r="R592" t="s">
        <v>3228</v>
      </c>
      <c r="S592" t="s">
        <v>2208</v>
      </c>
      <c r="T592" t="s">
        <v>2208</v>
      </c>
    </row>
    <row r="593" spans="1:20">
      <c r="A593" t="s">
        <v>2239</v>
      </c>
      <c r="B593" t="s">
        <v>2920</v>
      </c>
      <c r="C593">
        <v>45656</v>
      </c>
      <c r="D593" t="s">
        <v>7263</v>
      </c>
      <c r="E593" t="s">
        <v>2921</v>
      </c>
      <c r="F593">
        <v>45660</v>
      </c>
      <c r="G593" t="s">
        <v>2208</v>
      </c>
      <c r="H593" t="s">
        <v>2916</v>
      </c>
      <c r="I593" t="s">
        <v>7264</v>
      </c>
      <c r="J593">
        <v>0</v>
      </c>
      <c r="K593">
        <v>-2540515.31</v>
      </c>
      <c r="L593" t="s">
        <v>2917</v>
      </c>
      <c r="M593">
        <v>-15485281.65</v>
      </c>
      <c r="N593" t="s">
        <v>2918</v>
      </c>
      <c r="O593" t="s">
        <v>2930</v>
      </c>
      <c r="P593" t="s">
        <v>2208</v>
      </c>
      <c r="Q593" t="s">
        <v>2949</v>
      </c>
      <c r="R593" t="s">
        <v>3224</v>
      </c>
      <c r="S593" t="s">
        <v>2208</v>
      </c>
      <c r="T593" t="s">
        <v>2208</v>
      </c>
    </row>
    <row r="594" spans="1:20">
      <c r="A594" t="s">
        <v>2239</v>
      </c>
      <c r="B594" t="s">
        <v>2920</v>
      </c>
      <c r="C594">
        <v>45656</v>
      </c>
      <c r="D594" t="s">
        <v>7263</v>
      </c>
      <c r="E594" t="s">
        <v>2921</v>
      </c>
      <c r="F594">
        <v>45660</v>
      </c>
      <c r="G594" t="s">
        <v>2208</v>
      </c>
      <c r="H594" t="s">
        <v>2916</v>
      </c>
      <c r="I594" t="s">
        <v>7264</v>
      </c>
      <c r="J594">
        <v>0</v>
      </c>
      <c r="K594">
        <v>-2224691.5299999998</v>
      </c>
      <c r="L594" t="s">
        <v>2917</v>
      </c>
      <c r="M594">
        <v>-13560231.189999999</v>
      </c>
      <c r="N594" t="s">
        <v>2918</v>
      </c>
      <c r="O594" t="s">
        <v>7242</v>
      </c>
      <c r="P594" t="s">
        <v>2208</v>
      </c>
      <c r="Q594" t="s">
        <v>2949</v>
      </c>
      <c r="R594" t="s">
        <v>3224</v>
      </c>
      <c r="S594" t="s">
        <v>2208</v>
      </c>
      <c r="T594" t="s">
        <v>2208</v>
      </c>
    </row>
    <row r="595" spans="1:20">
      <c r="A595" t="s">
        <v>2239</v>
      </c>
      <c r="B595" t="s">
        <v>2920</v>
      </c>
      <c r="C595">
        <v>45628</v>
      </c>
      <c r="D595" t="s">
        <v>7263</v>
      </c>
      <c r="E595" t="s">
        <v>2921</v>
      </c>
      <c r="F595">
        <v>45660</v>
      </c>
      <c r="G595" t="s">
        <v>6824</v>
      </c>
      <c r="H595" t="s">
        <v>2916</v>
      </c>
      <c r="I595" t="s">
        <v>7322</v>
      </c>
      <c r="J595">
        <v>0</v>
      </c>
      <c r="K595">
        <v>485.91</v>
      </c>
      <c r="L595" t="s">
        <v>2917</v>
      </c>
      <c r="M595">
        <v>3000.74</v>
      </c>
      <c r="N595" t="s">
        <v>2918</v>
      </c>
      <c r="O595" t="s">
        <v>7323</v>
      </c>
      <c r="P595" t="s">
        <v>6825</v>
      </c>
      <c r="Q595" t="s">
        <v>2931</v>
      </c>
      <c r="R595" t="s">
        <v>2932</v>
      </c>
      <c r="S595" t="s">
        <v>6826</v>
      </c>
      <c r="T595" t="s">
        <v>6825</v>
      </c>
    </row>
    <row r="596" spans="1:20">
      <c r="A596" t="s">
        <v>2239</v>
      </c>
      <c r="B596" t="s">
        <v>2920</v>
      </c>
      <c r="C596">
        <v>45642</v>
      </c>
      <c r="D596" t="s">
        <v>7263</v>
      </c>
      <c r="E596" t="s">
        <v>2921</v>
      </c>
      <c r="F596">
        <v>45660</v>
      </c>
      <c r="G596" t="s">
        <v>6824</v>
      </c>
      <c r="H596" t="s">
        <v>2916</v>
      </c>
      <c r="I596" t="s">
        <v>7324</v>
      </c>
      <c r="J596">
        <v>0</v>
      </c>
      <c r="K596">
        <v>485.91</v>
      </c>
      <c r="L596" t="s">
        <v>2917</v>
      </c>
      <c r="M596">
        <v>3000.74</v>
      </c>
      <c r="N596" t="s">
        <v>2918</v>
      </c>
      <c r="O596" t="s">
        <v>7325</v>
      </c>
      <c r="P596" t="s">
        <v>6825</v>
      </c>
      <c r="Q596" t="s">
        <v>2931</v>
      </c>
      <c r="R596" t="s">
        <v>2932</v>
      </c>
      <c r="S596" t="s">
        <v>6826</v>
      </c>
      <c r="T596" t="s">
        <v>6825</v>
      </c>
    </row>
    <row r="597" spans="1:20">
      <c r="A597" t="s">
        <v>2239</v>
      </c>
      <c r="B597" t="s">
        <v>2920</v>
      </c>
      <c r="C597">
        <v>45642</v>
      </c>
      <c r="D597" t="s">
        <v>7263</v>
      </c>
      <c r="E597" t="s">
        <v>2921</v>
      </c>
      <c r="F597">
        <v>45660</v>
      </c>
      <c r="G597" t="s">
        <v>6824</v>
      </c>
      <c r="H597" t="s">
        <v>2916</v>
      </c>
      <c r="I597" t="s">
        <v>7326</v>
      </c>
      <c r="J597">
        <v>0</v>
      </c>
      <c r="K597">
        <v>485.91</v>
      </c>
      <c r="L597" t="s">
        <v>2917</v>
      </c>
      <c r="M597">
        <v>3000.74</v>
      </c>
      <c r="N597" t="s">
        <v>2918</v>
      </c>
      <c r="O597" t="s">
        <v>7327</v>
      </c>
      <c r="P597" t="s">
        <v>6825</v>
      </c>
      <c r="Q597" t="s">
        <v>2931</v>
      </c>
      <c r="R597" t="s">
        <v>2932</v>
      </c>
      <c r="S597" t="s">
        <v>6826</v>
      </c>
      <c r="T597" t="s">
        <v>6825</v>
      </c>
    </row>
    <row r="598" spans="1:20">
      <c r="A598" t="s">
        <v>2239</v>
      </c>
      <c r="B598" t="s">
        <v>2920</v>
      </c>
      <c r="C598">
        <v>45642</v>
      </c>
      <c r="D598" t="s">
        <v>7263</v>
      </c>
      <c r="E598" t="s">
        <v>2921</v>
      </c>
      <c r="F598">
        <v>45660</v>
      </c>
      <c r="G598" t="s">
        <v>6824</v>
      </c>
      <c r="H598" t="s">
        <v>2916</v>
      </c>
      <c r="I598" t="s">
        <v>7328</v>
      </c>
      <c r="J598">
        <v>0</v>
      </c>
      <c r="K598">
        <v>485.91</v>
      </c>
      <c r="L598" t="s">
        <v>2917</v>
      </c>
      <c r="M598">
        <v>3000.74</v>
      </c>
      <c r="N598" t="s">
        <v>2918</v>
      </c>
      <c r="O598" t="s">
        <v>7329</v>
      </c>
      <c r="P598" t="s">
        <v>6825</v>
      </c>
      <c r="Q598" t="s">
        <v>2931</v>
      </c>
      <c r="R598" t="s">
        <v>2932</v>
      </c>
      <c r="S598" t="s">
        <v>6826</v>
      </c>
      <c r="T598" t="s">
        <v>6825</v>
      </c>
    </row>
    <row r="599" spans="1:20">
      <c r="A599" t="s">
        <v>2239</v>
      </c>
      <c r="B599" t="s">
        <v>2920</v>
      </c>
      <c r="C599">
        <v>45642</v>
      </c>
      <c r="D599" t="s">
        <v>7263</v>
      </c>
      <c r="E599" t="s">
        <v>2921</v>
      </c>
      <c r="F599">
        <v>45660</v>
      </c>
      <c r="G599" t="s">
        <v>6824</v>
      </c>
      <c r="H599" t="s">
        <v>2916</v>
      </c>
      <c r="I599" t="s">
        <v>7330</v>
      </c>
      <c r="J599">
        <v>0</v>
      </c>
      <c r="K599">
        <v>485.91</v>
      </c>
      <c r="L599" t="s">
        <v>2917</v>
      </c>
      <c r="M599">
        <v>3000.74</v>
      </c>
      <c r="N599" t="s">
        <v>2918</v>
      </c>
      <c r="O599" t="s">
        <v>7331</v>
      </c>
      <c r="P599" t="s">
        <v>6825</v>
      </c>
      <c r="Q599" t="s">
        <v>2931</v>
      </c>
      <c r="R599" t="s">
        <v>2932</v>
      </c>
      <c r="S599" t="s">
        <v>6826</v>
      </c>
      <c r="T599" t="s">
        <v>6825</v>
      </c>
    </row>
    <row r="600" spans="1:20">
      <c r="A600" t="s">
        <v>2239</v>
      </c>
      <c r="B600" t="s">
        <v>2920</v>
      </c>
      <c r="C600">
        <v>45642</v>
      </c>
      <c r="D600" t="s">
        <v>7263</v>
      </c>
      <c r="E600" t="s">
        <v>2921</v>
      </c>
      <c r="F600">
        <v>45660</v>
      </c>
      <c r="G600" t="s">
        <v>6824</v>
      </c>
      <c r="H600" t="s">
        <v>2916</v>
      </c>
      <c r="I600" t="s">
        <v>7332</v>
      </c>
      <c r="J600">
        <v>0</v>
      </c>
      <c r="K600">
        <v>485.91</v>
      </c>
      <c r="L600" t="s">
        <v>2917</v>
      </c>
      <c r="M600">
        <v>3000.74</v>
      </c>
      <c r="N600" t="s">
        <v>2918</v>
      </c>
      <c r="O600" t="s">
        <v>7333</v>
      </c>
      <c r="P600" t="s">
        <v>6825</v>
      </c>
      <c r="Q600" t="s">
        <v>2931</v>
      </c>
      <c r="R600" t="s">
        <v>2932</v>
      </c>
      <c r="S600" t="s">
        <v>6826</v>
      </c>
      <c r="T600" t="s">
        <v>6825</v>
      </c>
    </row>
    <row r="601" spans="1:20">
      <c r="A601" t="s">
        <v>2239</v>
      </c>
      <c r="B601" t="s">
        <v>2920</v>
      </c>
      <c r="C601">
        <v>45642</v>
      </c>
      <c r="D601" t="s">
        <v>7263</v>
      </c>
      <c r="E601" t="s">
        <v>2921</v>
      </c>
      <c r="F601">
        <v>45660</v>
      </c>
      <c r="G601" t="s">
        <v>6824</v>
      </c>
      <c r="H601" t="s">
        <v>2916</v>
      </c>
      <c r="I601" t="s">
        <v>7334</v>
      </c>
      <c r="J601">
        <v>0</v>
      </c>
      <c r="K601">
        <v>491.2</v>
      </c>
      <c r="L601" t="s">
        <v>2917</v>
      </c>
      <c r="M601">
        <v>3033.38</v>
      </c>
      <c r="N601" t="s">
        <v>2918</v>
      </c>
      <c r="O601" t="s">
        <v>7335</v>
      </c>
      <c r="P601" t="s">
        <v>6825</v>
      </c>
      <c r="Q601" t="s">
        <v>2931</v>
      </c>
      <c r="R601" t="s">
        <v>2932</v>
      </c>
      <c r="S601" t="s">
        <v>6826</v>
      </c>
      <c r="T601" t="s">
        <v>6825</v>
      </c>
    </row>
    <row r="602" spans="1:20">
      <c r="A602" t="s">
        <v>2239</v>
      </c>
      <c r="B602" t="s">
        <v>2920</v>
      </c>
      <c r="C602">
        <v>45642</v>
      </c>
      <c r="D602" t="s">
        <v>7263</v>
      </c>
      <c r="E602" t="s">
        <v>2921</v>
      </c>
      <c r="F602">
        <v>45660</v>
      </c>
      <c r="G602" t="s">
        <v>6824</v>
      </c>
      <c r="H602" t="s">
        <v>2916</v>
      </c>
      <c r="I602" t="s">
        <v>7336</v>
      </c>
      <c r="J602">
        <v>0</v>
      </c>
      <c r="K602">
        <v>485.91</v>
      </c>
      <c r="L602" t="s">
        <v>2917</v>
      </c>
      <c r="M602">
        <v>3000.74</v>
      </c>
      <c r="N602" t="s">
        <v>2918</v>
      </c>
      <c r="O602" t="s">
        <v>7337</v>
      </c>
      <c r="P602" t="s">
        <v>6825</v>
      </c>
      <c r="Q602" t="s">
        <v>2931</v>
      </c>
      <c r="R602" t="s">
        <v>2932</v>
      </c>
      <c r="S602" t="s">
        <v>6826</v>
      </c>
      <c r="T602" t="s">
        <v>6825</v>
      </c>
    </row>
    <row r="603" spans="1:20">
      <c r="A603" t="s">
        <v>2239</v>
      </c>
      <c r="B603" t="s">
        <v>2920</v>
      </c>
      <c r="C603">
        <v>45670</v>
      </c>
      <c r="D603" t="s">
        <v>7263</v>
      </c>
      <c r="E603" t="s">
        <v>2921</v>
      </c>
      <c r="F603">
        <v>45678</v>
      </c>
      <c r="G603" t="s">
        <v>6824</v>
      </c>
      <c r="H603" t="s">
        <v>2916</v>
      </c>
      <c r="I603" t="s">
        <v>7338</v>
      </c>
      <c r="J603">
        <v>0</v>
      </c>
      <c r="K603">
        <v>485.91</v>
      </c>
      <c r="L603" t="s">
        <v>2917</v>
      </c>
      <c r="M603">
        <v>3000.74</v>
      </c>
      <c r="N603" t="s">
        <v>2918</v>
      </c>
      <c r="O603" t="s">
        <v>7339</v>
      </c>
      <c r="P603" t="s">
        <v>6825</v>
      </c>
      <c r="Q603" t="s">
        <v>2931</v>
      </c>
      <c r="R603" t="s">
        <v>2932</v>
      </c>
      <c r="S603" t="s">
        <v>6826</v>
      </c>
      <c r="T603" t="s">
        <v>6825</v>
      </c>
    </row>
    <row r="604" spans="1:20">
      <c r="A604" t="s">
        <v>2239</v>
      </c>
      <c r="B604" t="s">
        <v>2920</v>
      </c>
      <c r="C604">
        <v>45525</v>
      </c>
      <c r="D604" t="s">
        <v>7263</v>
      </c>
      <c r="E604" t="s">
        <v>2921</v>
      </c>
      <c r="F604">
        <v>45679</v>
      </c>
      <c r="G604" t="s">
        <v>7580</v>
      </c>
      <c r="H604" t="s">
        <v>2916</v>
      </c>
      <c r="I604" t="s">
        <v>7581</v>
      </c>
      <c r="J604">
        <v>15486.5</v>
      </c>
      <c r="K604">
        <v>2507.73</v>
      </c>
      <c r="L604" t="s">
        <v>2917</v>
      </c>
      <c r="M604">
        <v>15486.5</v>
      </c>
      <c r="N604" t="s">
        <v>2918</v>
      </c>
      <c r="O604" t="s">
        <v>2939</v>
      </c>
      <c r="P604" t="s">
        <v>2939</v>
      </c>
      <c r="Q604" t="s">
        <v>2924</v>
      </c>
      <c r="R604" t="s">
        <v>3219</v>
      </c>
      <c r="S604" t="s">
        <v>2208</v>
      </c>
      <c r="T604" t="s">
        <v>2208</v>
      </c>
    </row>
    <row r="605" spans="1:20">
      <c r="A605" t="s">
        <v>2239</v>
      </c>
      <c r="B605" t="s">
        <v>2920</v>
      </c>
      <c r="C605">
        <v>45525</v>
      </c>
      <c r="D605" t="s">
        <v>7263</v>
      </c>
      <c r="E605" t="s">
        <v>2921</v>
      </c>
      <c r="F605">
        <v>45679</v>
      </c>
      <c r="G605" t="s">
        <v>7580</v>
      </c>
      <c r="H605" t="s">
        <v>2916</v>
      </c>
      <c r="I605" t="s">
        <v>7581</v>
      </c>
      <c r="J605">
        <v>15486.5</v>
      </c>
      <c r="K605">
        <v>2507.73</v>
      </c>
      <c r="L605" t="s">
        <v>2917</v>
      </c>
      <c r="M605">
        <v>15486.5</v>
      </c>
      <c r="N605" t="s">
        <v>2918</v>
      </c>
      <c r="O605" t="s">
        <v>2939</v>
      </c>
      <c r="P605" t="s">
        <v>2939</v>
      </c>
      <c r="Q605" t="s">
        <v>2924</v>
      </c>
      <c r="R605" t="s">
        <v>3219</v>
      </c>
      <c r="S605" t="s">
        <v>2208</v>
      </c>
      <c r="T605" t="s">
        <v>2208</v>
      </c>
    </row>
    <row r="606" spans="1:20">
      <c r="A606" t="s">
        <v>2239</v>
      </c>
      <c r="B606" t="s">
        <v>2920</v>
      </c>
      <c r="C606">
        <v>45525</v>
      </c>
      <c r="D606" t="s">
        <v>7263</v>
      </c>
      <c r="E606" t="s">
        <v>2921</v>
      </c>
      <c r="F606">
        <v>45679</v>
      </c>
      <c r="G606" t="s">
        <v>7580</v>
      </c>
      <c r="H606" t="s">
        <v>2916</v>
      </c>
      <c r="I606" t="s">
        <v>7581</v>
      </c>
      <c r="J606">
        <v>15486.5</v>
      </c>
      <c r="K606">
        <v>2507.73</v>
      </c>
      <c r="L606" t="s">
        <v>2917</v>
      </c>
      <c r="M606">
        <v>15486.5</v>
      </c>
      <c r="N606" t="s">
        <v>2918</v>
      </c>
      <c r="O606" t="s">
        <v>2939</v>
      </c>
      <c r="P606" t="s">
        <v>2939</v>
      </c>
      <c r="Q606" t="s">
        <v>2924</v>
      </c>
      <c r="R606" t="s">
        <v>3219</v>
      </c>
      <c r="S606" t="s">
        <v>2208</v>
      </c>
      <c r="T606" t="s">
        <v>2208</v>
      </c>
    </row>
    <row r="607" spans="1:20">
      <c r="A607" t="s">
        <v>2239</v>
      </c>
      <c r="B607" t="s">
        <v>2920</v>
      </c>
      <c r="C607">
        <v>45525</v>
      </c>
      <c r="D607" t="s">
        <v>7263</v>
      </c>
      <c r="E607" t="s">
        <v>2921</v>
      </c>
      <c r="F607">
        <v>45679</v>
      </c>
      <c r="G607" t="s">
        <v>7580</v>
      </c>
      <c r="H607" t="s">
        <v>2916</v>
      </c>
      <c r="I607" t="s">
        <v>7581</v>
      </c>
      <c r="J607">
        <v>15486.5</v>
      </c>
      <c r="K607">
        <v>2507.73</v>
      </c>
      <c r="L607" t="s">
        <v>2917</v>
      </c>
      <c r="M607">
        <v>15486.5</v>
      </c>
      <c r="N607" t="s">
        <v>2918</v>
      </c>
      <c r="O607" t="s">
        <v>2939</v>
      </c>
      <c r="P607" t="s">
        <v>2939</v>
      </c>
      <c r="Q607" t="s">
        <v>2924</v>
      </c>
      <c r="R607" t="s">
        <v>3219</v>
      </c>
      <c r="S607" t="s">
        <v>2208</v>
      </c>
      <c r="T607" t="s">
        <v>2208</v>
      </c>
    </row>
    <row r="608" spans="1:20">
      <c r="A608" t="s">
        <v>2239</v>
      </c>
      <c r="B608" t="s">
        <v>2920</v>
      </c>
      <c r="C608">
        <v>45680</v>
      </c>
      <c r="D608" t="s">
        <v>7263</v>
      </c>
      <c r="E608" t="s">
        <v>2921</v>
      </c>
      <c r="F608">
        <v>45684</v>
      </c>
      <c r="G608" t="s">
        <v>7580</v>
      </c>
      <c r="H608" t="s">
        <v>2916</v>
      </c>
      <c r="I608" t="s">
        <v>7582</v>
      </c>
      <c r="J608">
        <v>0</v>
      </c>
      <c r="K608">
        <v>-231.97</v>
      </c>
      <c r="L608" t="s">
        <v>2917</v>
      </c>
      <c r="M608">
        <v>-1432.5</v>
      </c>
      <c r="N608" t="s">
        <v>2918</v>
      </c>
      <c r="O608" t="s">
        <v>7583</v>
      </c>
      <c r="P608" t="s">
        <v>2939</v>
      </c>
      <c r="Q608" t="s">
        <v>2924</v>
      </c>
      <c r="R608" t="s">
        <v>3219</v>
      </c>
      <c r="S608" t="s">
        <v>2208</v>
      </c>
      <c r="T608" t="s">
        <v>2208</v>
      </c>
    </row>
    <row r="609" spans="1:20">
      <c r="A609" t="s">
        <v>2239</v>
      </c>
      <c r="B609" t="s">
        <v>2920</v>
      </c>
      <c r="C609">
        <v>45680</v>
      </c>
      <c r="D609" t="s">
        <v>7263</v>
      </c>
      <c r="E609" t="s">
        <v>2921</v>
      </c>
      <c r="F609">
        <v>45684</v>
      </c>
      <c r="G609" t="s">
        <v>7580</v>
      </c>
      <c r="H609" t="s">
        <v>2916</v>
      </c>
      <c r="I609" t="s">
        <v>7582</v>
      </c>
      <c r="J609">
        <v>0</v>
      </c>
      <c r="K609">
        <v>-231.97</v>
      </c>
      <c r="L609" t="s">
        <v>2917</v>
      </c>
      <c r="M609">
        <v>-1432.5</v>
      </c>
      <c r="N609" t="s">
        <v>2918</v>
      </c>
      <c r="O609" t="s">
        <v>7583</v>
      </c>
      <c r="P609" t="s">
        <v>2939</v>
      </c>
      <c r="Q609" t="s">
        <v>2924</v>
      </c>
      <c r="R609" t="s">
        <v>3219</v>
      </c>
      <c r="S609" t="s">
        <v>2208</v>
      </c>
      <c r="T609" t="s">
        <v>2208</v>
      </c>
    </row>
    <row r="610" spans="1:20">
      <c r="A610" t="s">
        <v>2239</v>
      </c>
      <c r="B610" t="s">
        <v>2920</v>
      </c>
      <c r="C610">
        <v>45680</v>
      </c>
      <c r="D610" t="s">
        <v>7263</v>
      </c>
      <c r="E610" t="s">
        <v>2921</v>
      </c>
      <c r="F610">
        <v>45684</v>
      </c>
      <c r="G610" t="s">
        <v>7580</v>
      </c>
      <c r="H610" t="s">
        <v>2916</v>
      </c>
      <c r="I610" t="s">
        <v>7582</v>
      </c>
      <c r="J610">
        <v>0</v>
      </c>
      <c r="K610">
        <v>-231.97</v>
      </c>
      <c r="L610" t="s">
        <v>2917</v>
      </c>
      <c r="M610">
        <v>-1432.5</v>
      </c>
      <c r="N610" t="s">
        <v>2918</v>
      </c>
      <c r="O610" t="s">
        <v>7583</v>
      </c>
      <c r="P610" t="s">
        <v>2939</v>
      </c>
      <c r="Q610" t="s">
        <v>2924</v>
      </c>
      <c r="R610" t="s">
        <v>3219</v>
      </c>
      <c r="S610" t="s">
        <v>2208</v>
      </c>
      <c r="T610" t="s">
        <v>2208</v>
      </c>
    </row>
    <row r="611" spans="1:20">
      <c r="A611" t="s">
        <v>2239</v>
      </c>
      <c r="B611" t="s">
        <v>2920</v>
      </c>
      <c r="C611">
        <v>45680</v>
      </c>
      <c r="D611" t="s">
        <v>7263</v>
      </c>
      <c r="E611" t="s">
        <v>2921</v>
      </c>
      <c r="F611">
        <v>45684</v>
      </c>
      <c r="G611" t="s">
        <v>7580</v>
      </c>
      <c r="H611" t="s">
        <v>2916</v>
      </c>
      <c r="I611" t="s">
        <v>7582</v>
      </c>
      <c r="J611">
        <v>0</v>
      </c>
      <c r="K611">
        <v>-231.97</v>
      </c>
      <c r="L611" t="s">
        <v>2917</v>
      </c>
      <c r="M611">
        <v>-1432.5</v>
      </c>
      <c r="N611" t="s">
        <v>2918</v>
      </c>
      <c r="O611" t="s">
        <v>7583</v>
      </c>
      <c r="P611" t="s">
        <v>2939</v>
      </c>
      <c r="Q611" t="s">
        <v>2924</v>
      </c>
      <c r="R611" t="s">
        <v>3219</v>
      </c>
      <c r="S611" t="s">
        <v>2208</v>
      </c>
      <c r="T611" t="s">
        <v>2208</v>
      </c>
    </row>
    <row r="612" spans="1:20">
      <c r="A612" t="s">
        <v>2239</v>
      </c>
      <c r="B612" t="s">
        <v>2920</v>
      </c>
      <c r="C612">
        <v>45684</v>
      </c>
      <c r="D612" t="s">
        <v>7263</v>
      </c>
      <c r="E612" t="s">
        <v>2921</v>
      </c>
      <c r="F612">
        <v>45684</v>
      </c>
      <c r="G612" t="s">
        <v>2208</v>
      </c>
      <c r="H612" t="s">
        <v>2916</v>
      </c>
      <c r="I612" t="s">
        <v>7584</v>
      </c>
      <c r="J612">
        <v>0</v>
      </c>
      <c r="K612">
        <v>64382.19</v>
      </c>
      <c r="L612" t="s">
        <v>2917</v>
      </c>
      <c r="M612">
        <v>397592.74</v>
      </c>
      <c r="N612" t="s">
        <v>2918</v>
      </c>
      <c r="O612" t="s">
        <v>7585</v>
      </c>
      <c r="P612" t="s">
        <v>2208</v>
      </c>
      <c r="Q612" t="s">
        <v>2927</v>
      </c>
      <c r="R612" t="s">
        <v>3222</v>
      </c>
      <c r="S612" t="s">
        <v>6826</v>
      </c>
      <c r="T612" t="s">
        <v>6825</v>
      </c>
    </row>
    <row r="613" spans="1:20">
      <c r="A613" t="s">
        <v>2239</v>
      </c>
      <c r="B613" t="s">
        <v>2920</v>
      </c>
      <c r="C613">
        <v>45686</v>
      </c>
      <c r="D613" t="s">
        <v>7263</v>
      </c>
      <c r="E613" t="s">
        <v>2921</v>
      </c>
      <c r="F613">
        <v>45686</v>
      </c>
      <c r="G613" t="s">
        <v>2208</v>
      </c>
      <c r="H613" t="s">
        <v>2916</v>
      </c>
      <c r="I613" t="s">
        <v>7485</v>
      </c>
      <c r="J613">
        <v>0</v>
      </c>
      <c r="K613">
        <v>514.80999999999995</v>
      </c>
      <c r="L613" t="s">
        <v>2917</v>
      </c>
      <c r="M613">
        <v>3179.24</v>
      </c>
      <c r="N613" t="s">
        <v>2918</v>
      </c>
      <c r="O613" t="s">
        <v>3313</v>
      </c>
      <c r="P613" t="s">
        <v>2208</v>
      </c>
      <c r="Q613" t="s">
        <v>2929</v>
      </c>
      <c r="R613" t="s">
        <v>3228</v>
      </c>
      <c r="S613" t="s">
        <v>2208</v>
      </c>
      <c r="T613" t="s">
        <v>2208</v>
      </c>
    </row>
    <row r="614" spans="1:20">
      <c r="A614" t="s">
        <v>2239</v>
      </c>
      <c r="B614" t="s">
        <v>2920</v>
      </c>
      <c r="C614">
        <v>45687</v>
      </c>
      <c r="D614" t="s">
        <v>7263</v>
      </c>
      <c r="E614" t="s">
        <v>2921</v>
      </c>
      <c r="F614">
        <v>45687</v>
      </c>
      <c r="G614" t="s">
        <v>2208</v>
      </c>
      <c r="H614" t="s">
        <v>2916</v>
      </c>
      <c r="I614" t="s">
        <v>7586</v>
      </c>
      <c r="J614">
        <v>0</v>
      </c>
      <c r="K614">
        <v>-56.41</v>
      </c>
      <c r="L614" t="s">
        <v>2917</v>
      </c>
      <c r="M614">
        <v>-348.33</v>
      </c>
      <c r="N614" t="s">
        <v>2918</v>
      </c>
      <c r="O614" t="s">
        <v>7587</v>
      </c>
      <c r="P614" t="s">
        <v>2208</v>
      </c>
      <c r="Q614" t="s">
        <v>7588</v>
      </c>
      <c r="R614" t="s">
        <v>7589</v>
      </c>
      <c r="S614" t="s">
        <v>2208</v>
      </c>
      <c r="T614" t="s">
        <v>2208</v>
      </c>
    </row>
    <row r="615" spans="1:20">
      <c r="A615" t="s">
        <v>2239</v>
      </c>
      <c r="B615" t="s">
        <v>2920</v>
      </c>
      <c r="C615">
        <v>45687</v>
      </c>
      <c r="D615" t="s">
        <v>7263</v>
      </c>
      <c r="E615" t="s">
        <v>2921</v>
      </c>
      <c r="F615">
        <v>45687</v>
      </c>
      <c r="G615" t="s">
        <v>2208</v>
      </c>
      <c r="H615" t="s">
        <v>2916</v>
      </c>
      <c r="I615" t="s">
        <v>7590</v>
      </c>
      <c r="J615">
        <v>0</v>
      </c>
      <c r="K615">
        <v>-259.81</v>
      </c>
      <c r="L615" t="s">
        <v>2917</v>
      </c>
      <c r="M615">
        <v>-1604.44</v>
      </c>
      <c r="N615" t="s">
        <v>2918</v>
      </c>
      <c r="O615" t="s">
        <v>7591</v>
      </c>
      <c r="P615" t="s">
        <v>2208</v>
      </c>
      <c r="Q615" t="s">
        <v>6851</v>
      </c>
      <c r="R615" t="s">
        <v>6852</v>
      </c>
      <c r="S615" t="s">
        <v>2208</v>
      </c>
      <c r="T615" t="s">
        <v>2208</v>
      </c>
    </row>
    <row r="616" spans="1:20">
      <c r="A616" t="s">
        <v>2239</v>
      </c>
      <c r="B616" t="s">
        <v>2920</v>
      </c>
      <c r="C616">
        <v>45688</v>
      </c>
      <c r="D616" t="s">
        <v>7263</v>
      </c>
      <c r="E616" t="s">
        <v>2921</v>
      </c>
      <c r="F616">
        <v>45688</v>
      </c>
      <c r="G616" t="s">
        <v>2208</v>
      </c>
      <c r="H616" t="s">
        <v>2916</v>
      </c>
      <c r="I616" t="s">
        <v>7475</v>
      </c>
      <c r="J616">
        <v>0</v>
      </c>
      <c r="K616">
        <v>1189.99</v>
      </c>
      <c r="L616" t="s">
        <v>2917</v>
      </c>
      <c r="M616">
        <v>7348.8</v>
      </c>
      <c r="N616" t="s">
        <v>2918</v>
      </c>
      <c r="O616" t="s">
        <v>7476</v>
      </c>
      <c r="P616" t="s">
        <v>2208</v>
      </c>
      <c r="Q616" t="s">
        <v>2926</v>
      </c>
      <c r="R616" t="s">
        <v>3312</v>
      </c>
      <c r="S616" t="s">
        <v>2208</v>
      </c>
      <c r="T616" t="s">
        <v>2208</v>
      </c>
    </row>
    <row r="617" spans="1:20">
      <c r="A617" t="s">
        <v>2239</v>
      </c>
      <c r="B617" t="s">
        <v>2920</v>
      </c>
      <c r="C617">
        <v>45688</v>
      </c>
      <c r="D617" t="s">
        <v>7263</v>
      </c>
      <c r="E617" t="s">
        <v>2921</v>
      </c>
      <c r="F617">
        <v>45688</v>
      </c>
      <c r="G617" t="s">
        <v>2208</v>
      </c>
      <c r="H617" t="s">
        <v>2916</v>
      </c>
      <c r="I617" t="s">
        <v>7477</v>
      </c>
      <c r="J617">
        <v>0</v>
      </c>
      <c r="K617">
        <v>-1189.99</v>
      </c>
      <c r="L617" t="s">
        <v>2917</v>
      </c>
      <c r="M617">
        <v>-7348.8</v>
      </c>
      <c r="N617" t="s">
        <v>2918</v>
      </c>
      <c r="O617" t="s">
        <v>7476</v>
      </c>
      <c r="P617" t="s">
        <v>2208</v>
      </c>
      <c r="Q617" t="s">
        <v>2926</v>
      </c>
      <c r="R617" t="s">
        <v>3312</v>
      </c>
      <c r="S617" t="s">
        <v>2208</v>
      </c>
      <c r="T617" t="s">
        <v>2208</v>
      </c>
    </row>
    <row r="618" spans="1:20">
      <c r="A618" t="s">
        <v>2239</v>
      </c>
      <c r="B618" t="s">
        <v>2920</v>
      </c>
      <c r="C618">
        <v>45688</v>
      </c>
      <c r="D618" t="s">
        <v>7263</v>
      </c>
      <c r="E618" t="s">
        <v>2921</v>
      </c>
      <c r="F618">
        <v>45688</v>
      </c>
      <c r="G618" t="s">
        <v>2208</v>
      </c>
      <c r="H618" t="s">
        <v>2916</v>
      </c>
      <c r="I618" t="s">
        <v>7478</v>
      </c>
      <c r="J618">
        <v>0</v>
      </c>
      <c r="K618">
        <v>1189.99</v>
      </c>
      <c r="L618" t="s">
        <v>2917</v>
      </c>
      <c r="M618">
        <v>7348.8</v>
      </c>
      <c r="N618" t="s">
        <v>2918</v>
      </c>
      <c r="O618" t="s">
        <v>7476</v>
      </c>
      <c r="P618" t="s">
        <v>2208</v>
      </c>
      <c r="Q618" t="s">
        <v>2926</v>
      </c>
      <c r="R618" t="s">
        <v>3312</v>
      </c>
      <c r="S618" t="s">
        <v>2208</v>
      </c>
      <c r="T618" t="s">
        <v>2208</v>
      </c>
    </row>
    <row r="619" spans="1:20">
      <c r="A619" t="s">
        <v>2239</v>
      </c>
      <c r="B619" t="s">
        <v>2920</v>
      </c>
      <c r="C619">
        <v>45688</v>
      </c>
      <c r="D619" t="s">
        <v>7263</v>
      </c>
      <c r="E619" t="s">
        <v>2921</v>
      </c>
      <c r="F619">
        <v>45688</v>
      </c>
      <c r="G619" t="s">
        <v>2208</v>
      </c>
      <c r="H619" t="s">
        <v>2916</v>
      </c>
      <c r="I619" t="s">
        <v>7592</v>
      </c>
      <c r="J619">
        <v>0</v>
      </c>
      <c r="K619">
        <v>62801.13</v>
      </c>
      <c r="L619" t="s">
        <v>2917</v>
      </c>
      <c r="M619">
        <v>0</v>
      </c>
      <c r="N619" t="s">
        <v>2918</v>
      </c>
      <c r="O619" t="s">
        <v>2919</v>
      </c>
      <c r="P619" t="s">
        <v>2208</v>
      </c>
      <c r="Q619" t="s">
        <v>2916</v>
      </c>
      <c r="R619" t="s">
        <v>3220</v>
      </c>
      <c r="S619" t="s">
        <v>2208</v>
      </c>
      <c r="T619" t="s">
        <v>2208</v>
      </c>
    </row>
    <row r="620" spans="1:20">
      <c r="A620" t="s">
        <v>2239</v>
      </c>
      <c r="B620" t="s">
        <v>2920</v>
      </c>
      <c r="C620">
        <v>45688</v>
      </c>
      <c r="D620" t="s">
        <v>7263</v>
      </c>
      <c r="E620" t="s">
        <v>2921</v>
      </c>
      <c r="F620">
        <v>45688</v>
      </c>
      <c r="G620" t="s">
        <v>2208</v>
      </c>
      <c r="H620" t="s">
        <v>2916</v>
      </c>
      <c r="I620" t="s">
        <v>7593</v>
      </c>
      <c r="J620">
        <v>0</v>
      </c>
      <c r="K620">
        <v>0.03</v>
      </c>
      <c r="L620" t="s">
        <v>2917</v>
      </c>
      <c r="M620">
        <v>0</v>
      </c>
      <c r="N620" t="s">
        <v>2918</v>
      </c>
      <c r="O620" t="s">
        <v>2919</v>
      </c>
      <c r="P620" t="s">
        <v>2208</v>
      </c>
      <c r="Q620" t="s">
        <v>2916</v>
      </c>
      <c r="R620" t="s">
        <v>3220</v>
      </c>
      <c r="S620" t="s">
        <v>2208</v>
      </c>
      <c r="T620" t="s">
        <v>2208</v>
      </c>
    </row>
    <row r="621" spans="1:20">
      <c r="A621" t="s">
        <v>2239</v>
      </c>
      <c r="B621" t="s">
        <v>7740</v>
      </c>
      <c r="C621">
        <v>45693</v>
      </c>
      <c r="D621" t="s">
        <v>7263</v>
      </c>
      <c r="E621" t="s">
        <v>2925</v>
      </c>
      <c r="F621">
        <v>45698</v>
      </c>
      <c r="G621" t="s">
        <v>6824</v>
      </c>
      <c r="H621" t="s">
        <v>2916</v>
      </c>
      <c r="I621" t="s">
        <v>8432</v>
      </c>
      <c r="J621">
        <v>6.2E-2</v>
      </c>
      <c r="K621">
        <v>168601.67</v>
      </c>
      <c r="L621" t="s">
        <v>2917</v>
      </c>
      <c r="M621">
        <v>980527.29</v>
      </c>
      <c r="N621" t="s">
        <v>2918</v>
      </c>
      <c r="O621" t="s">
        <v>8433</v>
      </c>
      <c r="P621" t="s">
        <v>6825</v>
      </c>
      <c r="Q621" t="s">
        <v>2927</v>
      </c>
      <c r="R621" t="s">
        <v>3222</v>
      </c>
      <c r="S621" t="s">
        <v>6826</v>
      </c>
      <c r="T621" t="s">
        <v>6825</v>
      </c>
    </row>
    <row r="622" spans="1:20">
      <c r="A622" t="s">
        <v>2239</v>
      </c>
      <c r="B622" t="s">
        <v>7740</v>
      </c>
      <c r="C622">
        <v>45693</v>
      </c>
      <c r="D622" t="s">
        <v>7263</v>
      </c>
      <c r="E622" t="s">
        <v>2925</v>
      </c>
      <c r="F622">
        <v>45698</v>
      </c>
      <c r="G622" t="s">
        <v>6824</v>
      </c>
      <c r="H622" t="s">
        <v>2916</v>
      </c>
      <c r="I622" t="s">
        <v>8434</v>
      </c>
      <c r="J622">
        <v>6.2E-2</v>
      </c>
      <c r="K622">
        <v>168601.67</v>
      </c>
      <c r="L622" t="s">
        <v>2917</v>
      </c>
      <c r="M622">
        <v>980527.29</v>
      </c>
      <c r="N622" t="s">
        <v>2918</v>
      </c>
      <c r="O622" t="s">
        <v>8433</v>
      </c>
      <c r="P622" t="s">
        <v>6825</v>
      </c>
      <c r="Q622" t="s">
        <v>2927</v>
      </c>
      <c r="R622" t="s">
        <v>3222</v>
      </c>
      <c r="S622" t="s">
        <v>6826</v>
      </c>
      <c r="T622" t="s">
        <v>6825</v>
      </c>
    </row>
    <row r="623" spans="1:20">
      <c r="A623" t="s">
        <v>2239</v>
      </c>
      <c r="B623" t="s">
        <v>7740</v>
      </c>
      <c r="C623">
        <v>45693</v>
      </c>
      <c r="D623" t="s">
        <v>7263</v>
      </c>
      <c r="E623" t="s">
        <v>2925</v>
      </c>
      <c r="F623">
        <v>45698</v>
      </c>
      <c r="G623" t="s">
        <v>6824</v>
      </c>
      <c r="H623" t="s">
        <v>2916</v>
      </c>
      <c r="I623" t="s">
        <v>8435</v>
      </c>
      <c r="J623">
        <v>6.2E-2</v>
      </c>
      <c r="K623">
        <v>168601.67</v>
      </c>
      <c r="L623" t="s">
        <v>2917</v>
      </c>
      <c r="M623">
        <v>980527.29</v>
      </c>
      <c r="N623" t="s">
        <v>2918</v>
      </c>
      <c r="O623" t="s">
        <v>8433</v>
      </c>
      <c r="P623" t="s">
        <v>6825</v>
      </c>
      <c r="Q623" t="s">
        <v>2927</v>
      </c>
      <c r="R623" t="s">
        <v>3222</v>
      </c>
      <c r="S623" t="s">
        <v>6826</v>
      </c>
      <c r="T623" t="s">
        <v>6825</v>
      </c>
    </row>
    <row r="624" spans="1:20">
      <c r="A624" t="s">
        <v>2239</v>
      </c>
      <c r="B624" t="s">
        <v>7740</v>
      </c>
      <c r="C624">
        <v>45693</v>
      </c>
      <c r="D624" t="s">
        <v>7263</v>
      </c>
      <c r="E624" t="s">
        <v>2925</v>
      </c>
      <c r="F624">
        <v>45698</v>
      </c>
      <c r="G624" t="s">
        <v>6824</v>
      </c>
      <c r="H624" t="s">
        <v>2916</v>
      </c>
      <c r="I624" t="s">
        <v>8436</v>
      </c>
      <c r="J624">
        <v>6.2E-2</v>
      </c>
      <c r="K624">
        <v>168601.67</v>
      </c>
      <c r="L624" t="s">
        <v>2917</v>
      </c>
      <c r="M624">
        <v>980527.29</v>
      </c>
      <c r="N624" t="s">
        <v>2918</v>
      </c>
      <c r="O624" t="s">
        <v>8433</v>
      </c>
      <c r="P624" t="s">
        <v>6825</v>
      </c>
      <c r="Q624" t="s">
        <v>2927</v>
      </c>
      <c r="R624" t="s">
        <v>3222</v>
      </c>
      <c r="S624" t="s">
        <v>6826</v>
      </c>
      <c r="T624" t="s">
        <v>6825</v>
      </c>
    </row>
    <row r="625" spans="1:20">
      <c r="A625" t="s">
        <v>2239</v>
      </c>
      <c r="B625" t="s">
        <v>7740</v>
      </c>
      <c r="C625">
        <v>45693</v>
      </c>
      <c r="D625" t="s">
        <v>7263</v>
      </c>
      <c r="E625" t="s">
        <v>2925</v>
      </c>
      <c r="F625">
        <v>45699</v>
      </c>
      <c r="G625" t="s">
        <v>6824</v>
      </c>
      <c r="H625" t="s">
        <v>2916</v>
      </c>
      <c r="I625" t="s">
        <v>8620</v>
      </c>
      <c r="J625">
        <v>6.2E-2</v>
      </c>
      <c r="K625">
        <v>168601.67</v>
      </c>
      <c r="L625" t="s">
        <v>2917</v>
      </c>
      <c r="M625">
        <v>980527.29</v>
      </c>
      <c r="N625" t="s">
        <v>2918</v>
      </c>
      <c r="O625" t="s">
        <v>8433</v>
      </c>
      <c r="P625" t="s">
        <v>6825</v>
      </c>
      <c r="Q625" t="s">
        <v>2927</v>
      </c>
      <c r="R625" t="s">
        <v>3222</v>
      </c>
      <c r="S625" t="s">
        <v>6826</v>
      </c>
      <c r="T625" t="s">
        <v>6825</v>
      </c>
    </row>
    <row r="626" spans="1:20">
      <c r="A626" t="s">
        <v>2239</v>
      </c>
      <c r="B626" t="s">
        <v>7740</v>
      </c>
      <c r="C626">
        <v>45693</v>
      </c>
      <c r="D626" t="s">
        <v>7263</v>
      </c>
      <c r="E626" t="s">
        <v>2925</v>
      </c>
      <c r="F626">
        <v>45699</v>
      </c>
      <c r="G626" t="s">
        <v>6824</v>
      </c>
      <c r="H626" t="s">
        <v>2916</v>
      </c>
      <c r="I626" t="s">
        <v>8621</v>
      </c>
      <c r="J626">
        <v>6.2E-2</v>
      </c>
      <c r="K626">
        <v>168601.67</v>
      </c>
      <c r="L626" t="s">
        <v>2917</v>
      </c>
      <c r="M626">
        <v>980527.29</v>
      </c>
      <c r="N626" t="s">
        <v>2918</v>
      </c>
      <c r="O626" t="s">
        <v>8433</v>
      </c>
      <c r="P626" t="s">
        <v>6825</v>
      </c>
      <c r="Q626" t="s">
        <v>2927</v>
      </c>
      <c r="R626" t="s">
        <v>3222</v>
      </c>
      <c r="S626" t="s">
        <v>6826</v>
      </c>
      <c r="T626" t="s">
        <v>6825</v>
      </c>
    </row>
    <row r="627" spans="1:20">
      <c r="A627" t="s">
        <v>2239</v>
      </c>
      <c r="B627" t="s">
        <v>7740</v>
      </c>
      <c r="C627">
        <v>45694</v>
      </c>
      <c r="D627" t="s">
        <v>7263</v>
      </c>
      <c r="E627" t="s">
        <v>2925</v>
      </c>
      <c r="F627">
        <v>45699</v>
      </c>
      <c r="G627" t="s">
        <v>6824</v>
      </c>
      <c r="H627" t="s">
        <v>2916</v>
      </c>
      <c r="I627" t="s">
        <v>8622</v>
      </c>
      <c r="J627">
        <v>6.3E-2</v>
      </c>
      <c r="K627">
        <v>171321.05</v>
      </c>
      <c r="L627" t="s">
        <v>2917</v>
      </c>
      <c r="M627">
        <v>996342.24</v>
      </c>
      <c r="N627" t="s">
        <v>2918</v>
      </c>
      <c r="O627" t="s">
        <v>8433</v>
      </c>
      <c r="P627" t="s">
        <v>6825</v>
      </c>
      <c r="Q627" t="s">
        <v>2927</v>
      </c>
      <c r="R627" t="s">
        <v>3222</v>
      </c>
      <c r="S627" t="s">
        <v>6826</v>
      </c>
      <c r="T627" t="s">
        <v>6825</v>
      </c>
    </row>
    <row r="628" spans="1:20">
      <c r="A628" t="s">
        <v>2239</v>
      </c>
      <c r="B628" t="s">
        <v>7740</v>
      </c>
      <c r="C628">
        <v>45693</v>
      </c>
      <c r="D628" t="s">
        <v>7263</v>
      </c>
      <c r="E628" t="s">
        <v>2925</v>
      </c>
      <c r="F628">
        <v>45699</v>
      </c>
      <c r="G628" t="s">
        <v>6824</v>
      </c>
      <c r="H628" t="s">
        <v>2916</v>
      </c>
      <c r="I628" t="s">
        <v>8623</v>
      </c>
      <c r="J628">
        <v>6.2E-2</v>
      </c>
      <c r="K628">
        <v>168601.67</v>
      </c>
      <c r="L628" t="s">
        <v>2917</v>
      </c>
      <c r="M628">
        <v>980527.29</v>
      </c>
      <c r="N628" t="s">
        <v>2918</v>
      </c>
      <c r="O628" t="s">
        <v>8433</v>
      </c>
      <c r="P628" t="s">
        <v>6825</v>
      </c>
      <c r="Q628" t="s">
        <v>2927</v>
      </c>
      <c r="R628" t="s">
        <v>3222</v>
      </c>
      <c r="S628" t="s">
        <v>6826</v>
      </c>
      <c r="T628" t="s">
        <v>6825</v>
      </c>
    </row>
    <row r="629" spans="1:20">
      <c r="A629" t="s">
        <v>2239</v>
      </c>
      <c r="B629" t="s">
        <v>7740</v>
      </c>
      <c r="C629">
        <v>45693</v>
      </c>
      <c r="D629" t="s">
        <v>7263</v>
      </c>
      <c r="E629" t="s">
        <v>2925</v>
      </c>
      <c r="F629">
        <v>45699</v>
      </c>
      <c r="G629" t="s">
        <v>6824</v>
      </c>
      <c r="H629" t="s">
        <v>2916</v>
      </c>
      <c r="I629" t="s">
        <v>8624</v>
      </c>
      <c r="J629">
        <v>6.2E-2</v>
      </c>
      <c r="K629">
        <v>168601.67</v>
      </c>
      <c r="L629" t="s">
        <v>2917</v>
      </c>
      <c r="M629">
        <v>980527.29</v>
      </c>
      <c r="N629" t="s">
        <v>2918</v>
      </c>
      <c r="O629" t="s">
        <v>8433</v>
      </c>
      <c r="P629" t="s">
        <v>6825</v>
      </c>
      <c r="Q629" t="s">
        <v>2927</v>
      </c>
      <c r="R629" t="s">
        <v>3222</v>
      </c>
      <c r="S629" t="s">
        <v>6826</v>
      </c>
      <c r="T629" t="s">
        <v>6825</v>
      </c>
    </row>
    <row r="630" spans="1:20">
      <c r="A630" t="s">
        <v>2239</v>
      </c>
      <c r="B630" t="s">
        <v>7740</v>
      </c>
      <c r="C630">
        <v>45693</v>
      </c>
      <c r="D630" t="s">
        <v>7263</v>
      </c>
      <c r="E630" t="s">
        <v>2925</v>
      </c>
      <c r="F630">
        <v>45699</v>
      </c>
      <c r="G630" t="s">
        <v>6824</v>
      </c>
      <c r="H630" t="s">
        <v>2916</v>
      </c>
      <c r="I630" t="s">
        <v>8625</v>
      </c>
      <c r="J630">
        <v>6.2E-2</v>
      </c>
      <c r="K630">
        <v>168601.67</v>
      </c>
      <c r="L630" t="s">
        <v>2917</v>
      </c>
      <c r="M630">
        <v>980527.29</v>
      </c>
      <c r="N630" t="s">
        <v>2918</v>
      </c>
      <c r="O630" t="s">
        <v>8433</v>
      </c>
      <c r="P630" t="s">
        <v>6825</v>
      </c>
      <c r="Q630" t="s">
        <v>2927</v>
      </c>
      <c r="R630" t="s">
        <v>3222</v>
      </c>
      <c r="S630" t="s">
        <v>6826</v>
      </c>
      <c r="T630" t="s">
        <v>6825</v>
      </c>
    </row>
    <row r="631" spans="1:20">
      <c r="A631" t="s">
        <v>2239</v>
      </c>
      <c r="B631" t="s">
        <v>7740</v>
      </c>
      <c r="C631">
        <v>45694</v>
      </c>
      <c r="D631" t="s">
        <v>7263</v>
      </c>
      <c r="E631" t="s">
        <v>2925</v>
      </c>
      <c r="F631">
        <v>45700</v>
      </c>
      <c r="G631" t="s">
        <v>6824</v>
      </c>
      <c r="H631" t="s">
        <v>2916</v>
      </c>
      <c r="I631" t="s">
        <v>8626</v>
      </c>
      <c r="J631">
        <v>6.0999999999999999E-2</v>
      </c>
      <c r="K631">
        <v>165882.29</v>
      </c>
      <c r="L631" t="s">
        <v>2917</v>
      </c>
      <c r="M631">
        <v>964712.33</v>
      </c>
      <c r="N631" t="s">
        <v>2918</v>
      </c>
      <c r="O631" t="s">
        <v>8433</v>
      </c>
      <c r="P631" t="s">
        <v>6825</v>
      </c>
      <c r="Q631" t="s">
        <v>2927</v>
      </c>
      <c r="R631" t="s">
        <v>3222</v>
      </c>
      <c r="S631" t="s">
        <v>6826</v>
      </c>
      <c r="T631" t="s">
        <v>6825</v>
      </c>
    </row>
    <row r="632" spans="1:20">
      <c r="A632" t="s">
        <v>2239</v>
      </c>
      <c r="B632" t="s">
        <v>7740</v>
      </c>
      <c r="C632">
        <v>45694</v>
      </c>
      <c r="D632" t="s">
        <v>7263</v>
      </c>
      <c r="E632" t="s">
        <v>2925</v>
      </c>
      <c r="F632">
        <v>45700</v>
      </c>
      <c r="G632" t="s">
        <v>6824</v>
      </c>
      <c r="H632" t="s">
        <v>2916</v>
      </c>
      <c r="I632" t="s">
        <v>8627</v>
      </c>
      <c r="J632">
        <v>6.5000000000000002E-2</v>
      </c>
      <c r="K632">
        <v>176759.81</v>
      </c>
      <c r="L632" t="s">
        <v>2917</v>
      </c>
      <c r="M632">
        <v>1027972.16</v>
      </c>
      <c r="N632" t="s">
        <v>2918</v>
      </c>
      <c r="O632" t="s">
        <v>8433</v>
      </c>
      <c r="P632" t="s">
        <v>6825</v>
      </c>
      <c r="Q632" t="s">
        <v>2927</v>
      </c>
      <c r="R632" t="s">
        <v>3222</v>
      </c>
      <c r="S632" t="s">
        <v>6826</v>
      </c>
      <c r="T632" t="s">
        <v>6825</v>
      </c>
    </row>
    <row r="633" spans="1:20">
      <c r="A633" t="s">
        <v>2239</v>
      </c>
      <c r="B633" t="s">
        <v>7740</v>
      </c>
      <c r="C633">
        <v>45693</v>
      </c>
      <c r="D633" t="s">
        <v>7263</v>
      </c>
      <c r="E633" t="s">
        <v>2925</v>
      </c>
      <c r="F633">
        <v>45700</v>
      </c>
      <c r="G633" t="s">
        <v>6824</v>
      </c>
      <c r="H633" t="s">
        <v>2916</v>
      </c>
      <c r="I633" t="s">
        <v>8628</v>
      </c>
      <c r="J633">
        <v>6.2E-2</v>
      </c>
      <c r="K633">
        <v>168601.67</v>
      </c>
      <c r="L633" t="s">
        <v>2917</v>
      </c>
      <c r="M633">
        <v>980527.29</v>
      </c>
      <c r="N633" t="s">
        <v>2918</v>
      </c>
      <c r="O633" t="s">
        <v>8433</v>
      </c>
      <c r="P633" t="s">
        <v>6825</v>
      </c>
      <c r="Q633" t="s">
        <v>2927</v>
      </c>
      <c r="R633" t="s">
        <v>3222</v>
      </c>
      <c r="S633" t="s">
        <v>6826</v>
      </c>
      <c r="T633" t="s">
        <v>6825</v>
      </c>
    </row>
    <row r="634" spans="1:20">
      <c r="A634" t="s">
        <v>2239</v>
      </c>
      <c r="B634" t="s">
        <v>7740</v>
      </c>
      <c r="C634">
        <v>45693</v>
      </c>
      <c r="D634" t="s">
        <v>7263</v>
      </c>
      <c r="E634" t="s">
        <v>2925</v>
      </c>
      <c r="F634">
        <v>45700</v>
      </c>
      <c r="G634" t="s">
        <v>6824</v>
      </c>
      <c r="H634" t="s">
        <v>2916</v>
      </c>
      <c r="I634" t="s">
        <v>8629</v>
      </c>
      <c r="J634">
        <v>6.2E-2</v>
      </c>
      <c r="K634">
        <v>168601.67</v>
      </c>
      <c r="L634" t="s">
        <v>2917</v>
      </c>
      <c r="M634">
        <v>980527.29</v>
      </c>
      <c r="N634" t="s">
        <v>2918</v>
      </c>
      <c r="O634" t="s">
        <v>8433</v>
      </c>
      <c r="P634" t="s">
        <v>6825</v>
      </c>
      <c r="Q634" t="s">
        <v>2927</v>
      </c>
      <c r="R634" t="s">
        <v>3222</v>
      </c>
      <c r="S634" t="s">
        <v>6826</v>
      </c>
      <c r="T634" t="s">
        <v>6825</v>
      </c>
    </row>
    <row r="635" spans="1:20">
      <c r="A635" t="s">
        <v>2239</v>
      </c>
      <c r="B635" t="s">
        <v>7740</v>
      </c>
      <c r="C635">
        <v>45686</v>
      </c>
      <c r="D635" t="s">
        <v>7263</v>
      </c>
      <c r="E635" t="s">
        <v>2925</v>
      </c>
      <c r="F635">
        <v>45701</v>
      </c>
      <c r="G635" t="s">
        <v>2208</v>
      </c>
      <c r="H635" t="s">
        <v>2916</v>
      </c>
      <c r="I635" t="s">
        <v>8551</v>
      </c>
      <c r="J635">
        <v>0</v>
      </c>
      <c r="K635">
        <v>-514.80999999999995</v>
      </c>
      <c r="L635" t="s">
        <v>2917</v>
      </c>
      <c r="M635">
        <v>-3179.24</v>
      </c>
      <c r="N635" t="s">
        <v>2918</v>
      </c>
      <c r="O635" t="s">
        <v>3313</v>
      </c>
      <c r="P635" t="s">
        <v>2208</v>
      </c>
      <c r="Q635" t="s">
        <v>2929</v>
      </c>
      <c r="R635" t="s">
        <v>3228</v>
      </c>
      <c r="S635" t="s">
        <v>2208</v>
      </c>
      <c r="T635" t="s">
        <v>2208</v>
      </c>
    </row>
    <row r="636" spans="1:20">
      <c r="A636" t="s">
        <v>2239</v>
      </c>
      <c r="B636" t="s">
        <v>7740</v>
      </c>
      <c r="C636">
        <v>45694</v>
      </c>
      <c r="D636" t="s">
        <v>7263</v>
      </c>
      <c r="E636" t="s">
        <v>2925</v>
      </c>
      <c r="F636">
        <v>45701</v>
      </c>
      <c r="G636" t="s">
        <v>6824</v>
      </c>
      <c r="H636" t="s">
        <v>2916</v>
      </c>
      <c r="I636" t="s">
        <v>8630</v>
      </c>
      <c r="J636">
        <v>6.6000000000000003E-2</v>
      </c>
      <c r="K636">
        <v>179479.19</v>
      </c>
      <c r="L636" t="s">
        <v>2917</v>
      </c>
      <c r="M636">
        <v>1043787.11</v>
      </c>
      <c r="N636" t="s">
        <v>2918</v>
      </c>
      <c r="O636" t="s">
        <v>8433</v>
      </c>
      <c r="P636" t="s">
        <v>6825</v>
      </c>
      <c r="Q636" t="s">
        <v>2927</v>
      </c>
      <c r="R636" t="s">
        <v>3222</v>
      </c>
      <c r="S636" t="s">
        <v>6826</v>
      </c>
      <c r="T636" t="s">
        <v>6825</v>
      </c>
    </row>
    <row r="637" spans="1:20">
      <c r="A637" t="s">
        <v>2239</v>
      </c>
      <c r="B637" t="s">
        <v>7740</v>
      </c>
      <c r="C637">
        <v>45694</v>
      </c>
      <c r="D637" t="s">
        <v>7263</v>
      </c>
      <c r="E637" t="s">
        <v>2925</v>
      </c>
      <c r="F637">
        <v>45701</v>
      </c>
      <c r="G637" t="s">
        <v>6824</v>
      </c>
      <c r="H637" t="s">
        <v>2916</v>
      </c>
      <c r="I637" t="s">
        <v>8631</v>
      </c>
      <c r="J637">
        <v>6.3E-2</v>
      </c>
      <c r="K637">
        <v>171321.05</v>
      </c>
      <c r="L637" t="s">
        <v>2917</v>
      </c>
      <c r="M637">
        <v>996342.24</v>
      </c>
      <c r="N637" t="s">
        <v>2918</v>
      </c>
      <c r="O637" t="s">
        <v>8433</v>
      </c>
      <c r="P637" t="s">
        <v>6825</v>
      </c>
      <c r="Q637" t="s">
        <v>2927</v>
      </c>
      <c r="R637" t="s">
        <v>3222</v>
      </c>
      <c r="S637" t="s">
        <v>6826</v>
      </c>
      <c r="T637" t="s">
        <v>6825</v>
      </c>
    </row>
    <row r="638" spans="1:20">
      <c r="A638" t="s">
        <v>2239</v>
      </c>
      <c r="B638" t="s">
        <v>7740</v>
      </c>
      <c r="C638">
        <v>45709</v>
      </c>
      <c r="D638" t="s">
        <v>7263</v>
      </c>
      <c r="E638" t="s">
        <v>2925</v>
      </c>
      <c r="F638">
        <v>45709</v>
      </c>
      <c r="G638" t="s">
        <v>2208</v>
      </c>
      <c r="H638" t="s">
        <v>2916</v>
      </c>
      <c r="I638" t="s">
        <v>8888</v>
      </c>
      <c r="J638">
        <v>0</v>
      </c>
      <c r="K638">
        <v>-1263.6300000000001</v>
      </c>
      <c r="L638" t="s">
        <v>2917</v>
      </c>
      <c r="M638">
        <v>-7348.8</v>
      </c>
      <c r="N638" t="s">
        <v>2918</v>
      </c>
      <c r="O638" t="s">
        <v>7476</v>
      </c>
      <c r="P638" t="s">
        <v>2208</v>
      </c>
      <c r="Q638" t="s">
        <v>2926</v>
      </c>
      <c r="R638" t="s">
        <v>3312</v>
      </c>
      <c r="S638" t="s">
        <v>2208</v>
      </c>
      <c r="T638" t="s">
        <v>2208</v>
      </c>
    </row>
    <row r="639" spans="1:20">
      <c r="A639" t="s">
        <v>2239</v>
      </c>
      <c r="B639" t="s">
        <v>7740</v>
      </c>
      <c r="C639">
        <v>45713</v>
      </c>
      <c r="D639" t="s">
        <v>7263</v>
      </c>
      <c r="E639" t="s">
        <v>2925</v>
      </c>
      <c r="F639">
        <v>45713</v>
      </c>
      <c r="G639" t="s">
        <v>2208</v>
      </c>
      <c r="H639" t="s">
        <v>2916</v>
      </c>
      <c r="I639" t="s">
        <v>8993</v>
      </c>
      <c r="J639">
        <v>0</v>
      </c>
      <c r="K639">
        <v>-32668.81</v>
      </c>
      <c r="L639" t="s">
        <v>2917</v>
      </c>
      <c r="M639">
        <v>-189990.15</v>
      </c>
      <c r="N639" t="s">
        <v>2918</v>
      </c>
      <c r="O639" t="s">
        <v>8994</v>
      </c>
      <c r="P639" t="s">
        <v>2208</v>
      </c>
      <c r="Q639" t="s">
        <v>2949</v>
      </c>
      <c r="R639" t="s">
        <v>3224</v>
      </c>
      <c r="S639" t="s">
        <v>2208</v>
      </c>
      <c r="T639" t="s">
        <v>2208</v>
      </c>
    </row>
    <row r="640" spans="1:20">
      <c r="A640" t="s">
        <v>2239</v>
      </c>
      <c r="B640" t="s">
        <v>7740</v>
      </c>
      <c r="C640">
        <v>45714</v>
      </c>
      <c r="D640" t="s">
        <v>7263</v>
      </c>
      <c r="E640" t="s">
        <v>2925</v>
      </c>
      <c r="F640">
        <v>45714</v>
      </c>
      <c r="G640" t="s">
        <v>2208</v>
      </c>
      <c r="H640" t="s">
        <v>2916</v>
      </c>
      <c r="I640" t="s">
        <v>8982</v>
      </c>
      <c r="J640">
        <v>0</v>
      </c>
      <c r="K640">
        <v>529703.21</v>
      </c>
      <c r="L640" t="s">
        <v>2917</v>
      </c>
      <c r="M640">
        <v>3080565.34</v>
      </c>
      <c r="N640" t="s">
        <v>2918</v>
      </c>
      <c r="O640" t="s">
        <v>3313</v>
      </c>
      <c r="P640" t="s">
        <v>2208</v>
      </c>
      <c r="Q640" t="s">
        <v>2929</v>
      </c>
      <c r="R640" t="s">
        <v>3228</v>
      </c>
      <c r="S640" t="s">
        <v>2208</v>
      </c>
      <c r="T640" t="s">
        <v>2208</v>
      </c>
    </row>
    <row r="641" spans="1:20">
      <c r="A641" t="s">
        <v>2239</v>
      </c>
      <c r="B641" t="s">
        <v>7740</v>
      </c>
      <c r="C641">
        <v>45716</v>
      </c>
      <c r="D641" t="s">
        <v>7263</v>
      </c>
      <c r="E641" t="s">
        <v>2925</v>
      </c>
      <c r="F641">
        <v>45716</v>
      </c>
      <c r="G641" t="s">
        <v>2208</v>
      </c>
      <c r="H641" t="s">
        <v>2916</v>
      </c>
      <c r="I641" t="s">
        <v>9139</v>
      </c>
      <c r="J641">
        <v>0</v>
      </c>
      <c r="K641">
        <v>-4882.3500000000004</v>
      </c>
      <c r="L641" t="s">
        <v>2917</v>
      </c>
      <c r="M641">
        <v>-28393.99</v>
      </c>
      <c r="N641" t="s">
        <v>2918</v>
      </c>
      <c r="O641" t="s">
        <v>7591</v>
      </c>
      <c r="P641" t="s">
        <v>2208</v>
      </c>
      <c r="Q641" t="s">
        <v>6851</v>
      </c>
      <c r="R641" t="s">
        <v>6852</v>
      </c>
      <c r="S641" t="s">
        <v>2208</v>
      </c>
      <c r="T641" t="s">
        <v>2208</v>
      </c>
    </row>
    <row r="642" spans="1:20">
      <c r="A642" t="s">
        <v>2239</v>
      </c>
      <c r="B642" t="s">
        <v>7740</v>
      </c>
      <c r="C642">
        <v>45716</v>
      </c>
      <c r="D642" t="s">
        <v>7263</v>
      </c>
      <c r="E642" t="s">
        <v>2925</v>
      </c>
      <c r="F642">
        <v>45716</v>
      </c>
      <c r="G642" t="s">
        <v>2208</v>
      </c>
      <c r="H642" t="s">
        <v>2916</v>
      </c>
      <c r="I642" t="s">
        <v>9140</v>
      </c>
      <c r="J642">
        <v>0</v>
      </c>
      <c r="K642">
        <v>-1059.98</v>
      </c>
      <c r="L642" t="s">
        <v>2917</v>
      </c>
      <c r="M642">
        <v>-6164.48</v>
      </c>
      <c r="N642" t="s">
        <v>2918</v>
      </c>
      <c r="O642" t="s">
        <v>7587</v>
      </c>
      <c r="P642" t="s">
        <v>2208</v>
      </c>
      <c r="Q642" t="s">
        <v>7588</v>
      </c>
      <c r="R642" t="s">
        <v>7589</v>
      </c>
      <c r="S642" t="s">
        <v>2208</v>
      </c>
      <c r="T642" t="s">
        <v>2208</v>
      </c>
    </row>
    <row r="643" spans="1:20">
      <c r="A643" t="s">
        <v>2239</v>
      </c>
      <c r="B643" t="s">
        <v>7740</v>
      </c>
      <c r="C643">
        <v>45716</v>
      </c>
      <c r="D643" t="s">
        <v>7263</v>
      </c>
      <c r="E643" t="s">
        <v>2925</v>
      </c>
      <c r="F643">
        <v>45716</v>
      </c>
      <c r="G643" t="s">
        <v>2208</v>
      </c>
      <c r="H643" t="s">
        <v>2916</v>
      </c>
      <c r="I643" t="s">
        <v>9141</v>
      </c>
      <c r="J643">
        <v>0</v>
      </c>
      <c r="K643">
        <v>-31.88</v>
      </c>
      <c r="L643" t="s">
        <v>2917</v>
      </c>
      <c r="M643">
        <v>0</v>
      </c>
      <c r="N643" t="s">
        <v>2918</v>
      </c>
      <c r="O643" t="s">
        <v>2919</v>
      </c>
      <c r="P643" t="s">
        <v>2208</v>
      </c>
      <c r="Q643" t="s">
        <v>2916</v>
      </c>
      <c r="R643" t="s">
        <v>3220</v>
      </c>
      <c r="S643" t="s">
        <v>2208</v>
      </c>
      <c r="T643" t="s">
        <v>2208</v>
      </c>
    </row>
    <row r="644" spans="1:20">
      <c r="A644" t="s">
        <v>2239</v>
      </c>
      <c r="B644" t="s">
        <v>7740</v>
      </c>
      <c r="C644">
        <v>45716</v>
      </c>
      <c r="D644" t="s">
        <v>7263</v>
      </c>
      <c r="E644" t="s">
        <v>2925</v>
      </c>
      <c r="F644">
        <v>45716</v>
      </c>
      <c r="G644" t="s">
        <v>2208</v>
      </c>
      <c r="H644" t="s">
        <v>2916</v>
      </c>
      <c r="I644" t="s">
        <v>9142</v>
      </c>
      <c r="J644">
        <v>0</v>
      </c>
      <c r="K644">
        <v>-0.03</v>
      </c>
      <c r="L644" t="s">
        <v>2917</v>
      </c>
      <c r="M644">
        <v>0</v>
      </c>
      <c r="N644" t="s">
        <v>2918</v>
      </c>
      <c r="O644" t="s">
        <v>2919</v>
      </c>
      <c r="P644" t="s">
        <v>2208</v>
      </c>
      <c r="Q644" t="s">
        <v>2916</v>
      </c>
      <c r="R644" t="s">
        <v>3220</v>
      </c>
      <c r="S644" t="s">
        <v>2208</v>
      </c>
      <c r="T644" t="s">
        <v>2208</v>
      </c>
    </row>
    <row r="645" spans="1:20">
      <c r="A645" t="s">
        <v>2239</v>
      </c>
      <c r="B645" t="s">
        <v>7740</v>
      </c>
      <c r="C645">
        <v>45716</v>
      </c>
      <c r="D645" t="s">
        <v>7263</v>
      </c>
      <c r="E645" t="s">
        <v>2925</v>
      </c>
      <c r="F645">
        <v>45716</v>
      </c>
      <c r="G645" t="s">
        <v>2208</v>
      </c>
      <c r="H645" t="s">
        <v>2916</v>
      </c>
      <c r="I645" t="s">
        <v>9143</v>
      </c>
      <c r="J645">
        <v>0</v>
      </c>
      <c r="K645">
        <v>-0.06</v>
      </c>
      <c r="L645" t="s">
        <v>2917</v>
      </c>
      <c r="M645">
        <v>0</v>
      </c>
      <c r="N645" t="s">
        <v>2918</v>
      </c>
      <c r="O645" t="s">
        <v>2919</v>
      </c>
      <c r="P645" t="s">
        <v>2208</v>
      </c>
      <c r="Q645" t="s">
        <v>2916</v>
      </c>
      <c r="R645" t="s">
        <v>3220</v>
      </c>
      <c r="S645" t="s">
        <v>2208</v>
      </c>
      <c r="T645" t="s">
        <v>2208</v>
      </c>
    </row>
    <row r="646" spans="1:20">
      <c r="A646" t="s">
        <v>2239</v>
      </c>
      <c r="B646" t="s">
        <v>7740</v>
      </c>
      <c r="C646">
        <v>45716</v>
      </c>
      <c r="D646" t="s">
        <v>7263</v>
      </c>
      <c r="E646" t="s">
        <v>2925</v>
      </c>
      <c r="F646">
        <v>45716</v>
      </c>
      <c r="G646" t="s">
        <v>2208</v>
      </c>
      <c r="H646" t="s">
        <v>2916</v>
      </c>
      <c r="I646" t="s">
        <v>9144</v>
      </c>
      <c r="J646">
        <v>0</v>
      </c>
      <c r="K646">
        <v>-0.08</v>
      </c>
      <c r="L646" t="s">
        <v>2917</v>
      </c>
      <c r="M646">
        <v>0</v>
      </c>
      <c r="N646" t="s">
        <v>2918</v>
      </c>
      <c r="O646" t="s">
        <v>2919</v>
      </c>
      <c r="P646" t="s">
        <v>2208</v>
      </c>
      <c r="Q646" t="s">
        <v>2916</v>
      </c>
      <c r="R646" t="s">
        <v>3220</v>
      </c>
      <c r="S646" t="s">
        <v>2208</v>
      </c>
      <c r="T646" t="s">
        <v>2208</v>
      </c>
    </row>
    <row r="647" spans="1:20">
      <c r="A647" t="s">
        <v>2239</v>
      </c>
      <c r="B647" t="s">
        <v>9126</v>
      </c>
      <c r="C647">
        <v>45708</v>
      </c>
      <c r="D647" t="s">
        <v>7263</v>
      </c>
      <c r="E647" t="s">
        <v>9127</v>
      </c>
      <c r="F647">
        <v>45726</v>
      </c>
      <c r="G647" t="s">
        <v>6824</v>
      </c>
      <c r="H647" t="s">
        <v>2916</v>
      </c>
      <c r="I647" t="s">
        <v>10782</v>
      </c>
      <c r="J647">
        <v>0</v>
      </c>
      <c r="K647">
        <v>520.58000000000004</v>
      </c>
      <c r="L647" t="s">
        <v>2917</v>
      </c>
      <c r="M647">
        <v>3037.38</v>
      </c>
      <c r="N647" t="s">
        <v>2918</v>
      </c>
      <c r="O647" t="s">
        <v>10783</v>
      </c>
      <c r="P647" t="s">
        <v>6825</v>
      </c>
      <c r="Q647" t="s">
        <v>7371</v>
      </c>
      <c r="R647" t="s">
        <v>7372</v>
      </c>
      <c r="S647" t="s">
        <v>6826</v>
      </c>
      <c r="T647" t="s">
        <v>6825</v>
      </c>
    </row>
    <row r="648" spans="1:20">
      <c r="A648" t="s">
        <v>2239</v>
      </c>
      <c r="B648" t="s">
        <v>9126</v>
      </c>
      <c r="C648">
        <v>45708</v>
      </c>
      <c r="D648" t="s">
        <v>7263</v>
      </c>
      <c r="E648" t="s">
        <v>9127</v>
      </c>
      <c r="F648">
        <v>45726</v>
      </c>
      <c r="G648" t="s">
        <v>6824</v>
      </c>
      <c r="H648" t="s">
        <v>2916</v>
      </c>
      <c r="I648" t="s">
        <v>10784</v>
      </c>
      <c r="J648">
        <v>0</v>
      </c>
      <c r="K648">
        <v>518.95000000000005</v>
      </c>
      <c r="L648" t="s">
        <v>2917</v>
      </c>
      <c r="M648">
        <v>3027.89</v>
      </c>
      <c r="N648" t="s">
        <v>2918</v>
      </c>
      <c r="O648" t="s">
        <v>10785</v>
      </c>
      <c r="P648" t="s">
        <v>6825</v>
      </c>
      <c r="Q648" t="s">
        <v>7371</v>
      </c>
      <c r="R648" t="s">
        <v>7372</v>
      </c>
      <c r="S648" t="s">
        <v>6826</v>
      </c>
      <c r="T648" t="s">
        <v>6825</v>
      </c>
    </row>
    <row r="649" spans="1:20">
      <c r="A649" t="s">
        <v>2239</v>
      </c>
      <c r="B649" t="s">
        <v>9126</v>
      </c>
      <c r="C649">
        <v>45708</v>
      </c>
      <c r="D649" t="s">
        <v>7263</v>
      </c>
      <c r="E649" t="s">
        <v>9127</v>
      </c>
      <c r="F649">
        <v>45726</v>
      </c>
      <c r="G649" t="s">
        <v>6824</v>
      </c>
      <c r="H649" t="s">
        <v>2916</v>
      </c>
      <c r="I649" t="s">
        <v>10786</v>
      </c>
      <c r="J649">
        <v>0</v>
      </c>
      <c r="K649">
        <v>518.41</v>
      </c>
      <c r="L649" t="s">
        <v>2917</v>
      </c>
      <c r="M649">
        <v>3024.72</v>
      </c>
      <c r="N649" t="s">
        <v>2918</v>
      </c>
      <c r="O649" t="s">
        <v>10787</v>
      </c>
      <c r="P649" t="s">
        <v>6825</v>
      </c>
      <c r="Q649" t="s">
        <v>7371</v>
      </c>
      <c r="R649" t="s">
        <v>7372</v>
      </c>
      <c r="S649" t="s">
        <v>6826</v>
      </c>
      <c r="T649" t="s">
        <v>6825</v>
      </c>
    </row>
    <row r="650" spans="1:20">
      <c r="A650" t="s">
        <v>2239</v>
      </c>
      <c r="B650" t="s">
        <v>9126</v>
      </c>
      <c r="C650">
        <v>45708</v>
      </c>
      <c r="D650" t="s">
        <v>7263</v>
      </c>
      <c r="E650" t="s">
        <v>9127</v>
      </c>
      <c r="F650">
        <v>45726</v>
      </c>
      <c r="G650" t="s">
        <v>6824</v>
      </c>
      <c r="H650" t="s">
        <v>2916</v>
      </c>
      <c r="I650" t="s">
        <v>10788</v>
      </c>
      <c r="J650">
        <v>0</v>
      </c>
      <c r="K650">
        <v>518.95000000000005</v>
      </c>
      <c r="L650" t="s">
        <v>2917</v>
      </c>
      <c r="M650">
        <v>3027.89</v>
      </c>
      <c r="N650" t="s">
        <v>2918</v>
      </c>
      <c r="O650" t="s">
        <v>10789</v>
      </c>
      <c r="P650" t="s">
        <v>6825</v>
      </c>
      <c r="Q650" t="s">
        <v>7371</v>
      </c>
      <c r="R650" t="s">
        <v>7372</v>
      </c>
      <c r="S650" t="s">
        <v>6826</v>
      </c>
      <c r="T650" t="s">
        <v>6825</v>
      </c>
    </row>
    <row r="651" spans="1:20">
      <c r="A651" t="s">
        <v>2239</v>
      </c>
      <c r="B651" t="s">
        <v>9126</v>
      </c>
      <c r="C651">
        <v>45708</v>
      </c>
      <c r="D651" t="s">
        <v>7263</v>
      </c>
      <c r="E651" t="s">
        <v>9127</v>
      </c>
      <c r="F651">
        <v>45726</v>
      </c>
      <c r="G651" t="s">
        <v>6824</v>
      </c>
      <c r="H651" t="s">
        <v>2916</v>
      </c>
      <c r="I651" t="s">
        <v>10790</v>
      </c>
      <c r="J651">
        <v>0</v>
      </c>
      <c r="K651">
        <v>521.12</v>
      </c>
      <c r="L651" t="s">
        <v>2917</v>
      </c>
      <c r="M651">
        <v>3040.56</v>
      </c>
      <c r="N651" t="s">
        <v>2918</v>
      </c>
      <c r="O651" t="s">
        <v>10791</v>
      </c>
      <c r="P651" t="s">
        <v>6825</v>
      </c>
      <c r="Q651" t="s">
        <v>7371</v>
      </c>
      <c r="R651" t="s">
        <v>7372</v>
      </c>
      <c r="S651" t="s">
        <v>6826</v>
      </c>
      <c r="T651" t="s">
        <v>6825</v>
      </c>
    </row>
    <row r="652" spans="1:20">
      <c r="A652" t="s">
        <v>2239</v>
      </c>
      <c r="B652" t="s">
        <v>9126</v>
      </c>
      <c r="C652">
        <v>45708</v>
      </c>
      <c r="D652" t="s">
        <v>7263</v>
      </c>
      <c r="E652" t="s">
        <v>9127</v>
      </c>
      <c r="F652">
        <v>45726</v>
      </c>
      <c r="G652" t="s">
        <v>6824</v>
      </c>
      <c r="H652" t="s">
        <v>2916</v>
      </c>
      <c r="I652" t="s">
        <v>10792</v>
      </c>
      <c r="J652">
        <v>0</v>
      </c>
      <c r="K652">
        <v>519.49</v>
      </c>
      <c r="L652" t="s">
        <v>2917</v>
      </c>
      <c r="M652">
        <v>3031.05</v>
      </c>
      <c r="N652" t="s">
        <v>2918</v>
      </c>
      <c r="O652" t="s">
        <v>10793</v>
      </c>
      <c r="P652" t="s">
        <v>6825</v>
      </c>
      <c r="Q652" t="s">
        <v>7371</v>
      </c>
      <c r="R652" t="s">
        <v>7372</v>
      </c>
      <c r="S652" t="s">
        <v>6826</v>
      </c>
      <c r="T652" t="s">
        <v>6825</v>
      </c>
    </row>
    <row r="653" spans="1:20">
      <c r="A653" t="s">
        <v>2239</v>
      </c>
      <c r="B653" t="s">
        <v>9126</v>
      </c>
      <c r="C653">
        <v>45715</v>
      </c>
      <c r="D653" t="s">
        <v>7263</v>
      </c>
      <c r="E653" t="s">
        <v>9127</v>
      </c>
      <c r="F653">
        <v>45727</v>
      </c>
      <c r="G653" t="s">
        <v>6824</v>
      </c>
      <c r="H653" t="s">
        <v>2916</v>
      </c>
      <c r="I653" t="s">
        <v>10794</v>
      </c>
      <c r="J653">
        <v>0</v>
      </c>
      <c r="K653">
        <v>514.29999999999995</v>
      </c>
      <c r="L653" t="s">
        <v>2917</v>
      </c>
      <c r="M653">
        <v>3000.74</v>
      </c>
      <c r="N653" t="s">
        <v>2918</v>
      </c>
      <c r="O653" t="s">
        <v>10795</v>
      </c>
      <c r="P653" t="s">
        <v>6825</v>
      </c>
      <c r="Q653" t="s">
        <v>2931</v>
      </c>
      <c r="R653" t="s">
        <v>2932</v>
      </c>
      <c r="S653" t="s">
        <v>6826</v>
      </c>
      <c r="T653" t="s">
        <v>6825</v>
      </c>
    </row>
    <row r="654" spans="1:20">
      <c r="A654" t="s">
        <v>2239</v>
      </c>
      <c r="B654" t="s">
        <v>9126</v>
      </c>
      <c r="C654">
        <v>45714</v>
      </c>
      <c r="D654" t="s">
        <v>7263</v>
      </c>
      <c r="E654" t="s">
        <v>9127</v>
      </c>
      <c r="F654">
        <v>45734</v>
      </c>
      <c r="G654" t="s">
        <v>2208</v>
      </c>
      <c r="H654" t="s">
        <v>2916</v>
      </c>
      <c r="I654" t="s">
        <v>10894</v>
      </c>
      <c r="J654">
        <v>0</v>
      </c>
      <c r="K654">
        <v>-529703.21</v>
      </c>
      <c r="L654" t="s">
        <v>2917</v>
      </c>
      <c r="M654">
        <v>-3080565.34</v>
      </c>
      <c r="N654" t="s">
        <v>2918</v>
      </c>
      <c r="O654" t="s">
        <v>3313</v>
      </c>
      <c r="P654" t="s">
        <v>2208</v>
      </c>
      <c r="Q654" t="s">
        <v>2929</v>
      </c>
      <c r="R654" t="s">
        <v>3228</v>
      </c>
      <c r="S654" t="s">
        <v>2208</v>
      </c>
      <c r="T654" t="s">
        <v>2208</v>
      </c>
    </row>
    <row r="655" spans="1:20">
      <c r="A655" t="s">
        <v>2239</v>
      </c>
      <c r="B655" t="s">
        <v>9126</v>
      </c>
      <c r="C655">
        <v>45712</v>
      </c>
      <c r="D655" t="s">
        <v>7263</v>
      </c>
      <c r="E655" t="s">
        <v>9127</v>
      </c>
      <c r="F655">
        <v>45734</v>
      </c>
      <c r="G655" t="s">
        <v>6824</v>
      </c>
      <c r="H655" t="s">
        <v>2916</v>
      </c>
      <c r="I655" t="s">
        <v>10932</v>
      </c>
      <c r="J655">
        <v>0</v>
      </c>
      <c r="K655">
        <v>518.95000000000005</v>
      </c>
      <c r="L655" t="s">
        <v>2917</v>
      </c>
      <c r="M655">
        <v>3027.89</v>
      </c>
      <c r="N655" t="s">
        <v>2918</v>
      </c>
      <c r="O655" t="s">
        <v>10933</v>
      </c>
      <c r="P655" t="s">
        <v>6825</v>
      </c>
      <c r="Q655" t="s">
        <v>7371</v>
      </c>
      <c r="R655" t="s">
        <v>7372</v>
      </c>
      <c r="S655" t="s">
        <v>6826</v>
      </c>
      <c r="T655" t="s">
        <v>6825</v>
      </c>
    </row>
    <row r="656" spans="1:20">
      <c r="A656" t="s">
        <v>2239</v>
      </c>
      <c r="B656" t="s">
        <v>9126</v>
      </c>
      <c r="C656">
        <v>45712</v>
      </c>
      <c r="D656" t="s">
        <v>7263</v>
      </c>
      <c r="E656" t="s">
        <v>9127</v>
      </c>
      <c r="F656">
        <v>45734</v>
      </c>
      <c r="G656" t="s">
        <v>6824</v>
      </c>
      <c r="H656" t="s">
        <v>2916</v>
      </c>
      <c r="I656" t="s">
        <v>10934</v>
      </c>
      <c r="J656">
        <v>0</v>
      </c>
      <c r="K656">
        <v>518.95000000000005</v>
      </c>
      <c r="L656" t="s">
        <v>2917</v>
      </c>
      <c r="M656">
        <v>3027.89</v>
      </c>
      <c r="N656" t="s">
        <v>2918</v>
      </c>
      <c r="O656" t="s">
        <v>10935</v>
      </c>
      <c r="P656" t="s">
        <v>6825</v>
      </c>
      <c r="Q656" t="s">
        <v>7371</v>
      </c>
      <c r="R656" t="s">
        <v>7372</v>
      </c>
      <c r="S656" t="s">
        <v>6826</v>
      </c>
      <c r="T656" t="s">
        <v>6825</v>
      </c>
    </row>
    <row r="657" spans="1:20">
      <c r="A657" t="s">
        <v>2239</v>
      </c>
      <c r="B657" t="s">
        <v>9126</v>
      </c>
      <c r="C657">
        <v>45712</v>
      </c>
      <c r="D657" t="s">
        <v>7263</v>
      </c>
      <c r="E657" t="s">
        <v>9127</v>
      </c>
      <c r="F657">
        <v>45734</v>
      </c>
      <c r="G657" t="s">
        <v>6824</v>
      </c>
      <c r="H657" t="s">
        <v>2916</v>
      </c>
      <c r="I657" t="s">
        <v>10936</v>
      </c>
      <c r="J657">
        <v>0</v>
      </c>
      <c r="K657">
        <v>518.95000000000005</v>
      </c>
      <c r="L657" t="s">
        <v>2917</v>
      </c>
      <c r="M657">
        <v>3027.89</v>
      </c>
      <c r="N657" t="s">
        <v>2918</v>
      </c>
      <c r="O657" t="s">
        <v>10937</v>
      </c>
      <c r="P657" t="s">
        <v>6825</v>
      </c>
      <c r="Q657" t="s">
        <v>7371</v>
      </c>
      <c r="R657" t="s">
        <v>7372</v>
      </c>
      <c r="S657" t="s">
        <v>6826</v>
      </c>
      <c r="T657" t="s">
        <v>6825</v>
      </c>
    </row>
    <row r="658" spans="1:20">
      <c r="A658" t="s">
        <v>2239</v>
      </c>
      <c r="B658" t="s">
        <v>9126</v>
      </c>
      <c r="C658">
        <v>45712</v>
      </c>
      <c r="D658" t="s">
        <v>7263</v>
      </c>
      <c r="E658" t="s">
        <v>9127</v>
      </c>
      <c r="F658">
        <v>45734</v>
      </c>
      <c r="G658" t="s">
        <v>6824</v>
      </c>
      <c r="H658" t="s">
        <v>2916</v>
      </c>
      <c r="I658" t="s">
        <v>10938</v>
      </c>
      <c r="J658">
        <v>0</v>
      </c>
      <c r="K658">
        <v>518.95000000000005</v>
      </c>
      <c r="L658" t="s">
        <v>2917</v>
      </c>
      <c r="M658">
        <v>3027.89</v>
      </c>
      <c r="N658" t="s">
        <v>2918</v>
      </c>
      <c r="O658" t="s">
        <v>10939</v>
      </c>
      <c r="P658" t="s">
        <v>6825</v>
      </c>
      <c r="Q658" t="s">
        <v>7371</v>
      </c>
      <c r="R658" t="s">
        <v>7372</v>
      </c>
      <c r="S658" t="s">
        <v>6826</v>
      </c>
      <c r="T658" t="s">
        <v>6825</v>
      </c>
    </row>
    <row r="659" spans="1:20">
      <c r="A659" t="s">
        <v>2239</v>
      </c>
      <c r="B659" t="s">
        <v>9126</v>
      </c>
      <c r="C659">
        <v>45712</v>
      </c>
      <c r="D659" t="s">
        <v>7263</v>
      </c>
      <c r="E659" t="s">
        <v>9127</v>
      </c>
      <c r="F659">
        <v>45734</v>
      </c>
      <c r="G659" t="s">
        <v>6824</v>
      </c>
      <c r="H659" t="s">
        <v>2916</v>
      </c>
      <c r="I659" t="s">
        <v>10940</v>
      </c>
      <c r="J659">
        <v>0</v>
      </c>
      <c r="K659">
        <v>519.49</v>
      </c>
      <c r="L659" t="s">
        <v>2917</v>
      </c>
      <c r="M659">
        <v>3031.05</v>
      </c>
      <c r="N659" t="s">
        <v>2918</v>
      </c>
      <c r="O659" t="s">
        <v>10941</v>
      </c>
      <c r="P659" t="s">
        <v>6825</v>
      </c>
      <c r="Q659" t="s">
        <v>7371</v>
      </c>
      <c r="R659" t="s">
        <v>7372</v>
      </c>
      <c r="S659" t="s">
        <v>6826</v>
      </c>
      <c r="T659" t="s">
        <v>6825</v>
      </c>
    </row>
    <row r="660" spans="1:20">
      <c r="A660" t="s">
        <v>2239</v>
      </c>
      <c r="B660" t="s">
        <v>9126</v>
      </c>
      <c r="C660">
        <v>45712</v>
      </c>
      <c r="D660" t="s">
        <v>7263</v>
      </c>
      <c r="E660" t="s">
        <v>9127</v>
      </c>
      <c r="F660">
        <v>45734</v>
      </c>
      <c r="G660" t="s">
        <v>6824</v>
      </c>
      <c r="H660" t="s">
        <v>2916</v>
      </c>
      <c r="I660" t="s">
        <v>10942</v>
      </c>
      <c r="J660">
        <v>0</v>
      </c>
      <c r="K660">
        <v>518.95000000000005</v>
      </c>
      <c r="L660" t="s">
        <v>2917</v>
      </c>
      <c r="M660">
        <v>3027.89</v>
      </c>
      <c r="N660" t="s">
        <v>2918</v>
      </c>
      <c r="O660" t="s">
        <v>10943</v>
      </c>
      <c r="P660" t="s">
        <v>6825</v>
      </c>
      <c r="Q660" t="s">
        <v>7371</v>
      </c>
      <c r="R660" t="s">
        <v>7372</v>
      </c>
      <c r="S660" t="s">
        <v>6826</v>
      </c>
      <c r="T660" t="s">
        <v>6825</v>
      </c>
    </row>
    <row r="661" spans="1:20">
      <c r="A661" t="s">
        <v>2239</v>
      </c>
      <c r="B661" t="s">
        <v>9126</v>
      </c>
      <c r="C661">
        <v>45712</v>
      </c>
      <c r="D661" t="s">
        <v>7263</v>
      </c>
      <c r="E661" t="s">
        <v>9127</v>
      </c>
      <c r="F661">
        <v>45734</v>
      </c>
      <c r="G661" t="s">
        <v>6824</v>
      </c>
      <c r="H661" t="s">
        <v>2916</v>
      </c>
      <c r="I661" t="s">
        <v>10944</v>
      </c>
      <c r="J661">
        <v>0</v>
      </c>
      <c r="K661">
        <v>518.95000000000005</v>
      </c>
      <c r="L661" t="s">
        <v>2917</v>
      </c>
      <c r="M661">
        <v>3027.89</v>
      </c>
      <c r="N661" t="s">
        <v>2918</v>
      </c>
      <c r="O661" t="s">
        <v>10945</v>
      </c>
      <c r="P661" t="s">
        <v>6825</v>
      </c>
      <c r="Q661" t="s">
        <v>7371</v>
      </c>
      <c r="R661" t="s">
        <v>7372</v>
      </c>
      <c r="S661" t="s">
        <v>6826</v>
      </c>
      <c r="T661" t="s">
        <v>6825</v>
      </c>
    </row>
    <row r="662" spans="1:20">
      <c r="A662" t="s">
        <v>2239</v>
      </c>
      <c r="B662" t="s">
        <v>9126</v>
      </c>
      <c r="C662">
        <v>45712</v>
      </c>
      <c r="D662" t="s">
        <v>7263</v>
      </c>
      <c r="E662" t="s">
        <v>9127</v>
      </c>
      <c r="F662">
        <v>45734</v>
      </c>
      <c r="G662" t="s">
        <v>6824</v>
      </c>
      <c r="H662" t="s">
        <v>2916</v>
      </c>
      <c r="I662" t="s">
        <v>10946</v>
      </c>
      <c r="J662">
        <v>0</v>
      </c>
      <c r="K662">
        <v>518.95000000000005</v>
      </c>
      <c r="L662" t="s">
        <v>2917</v>
      </c>
      <c r="M662">
        <v>3027.89</v>
      </c>
      <c r="N662" t="s">
        <v>2918</v>
      </c>
      <c r="O662" t="s">
        <v>10947</v>
      </c>
      <c r="P662" t="s">
        <v>6825</v>
      </c>
      <c r="Q662" t="s">
        <v>7371</v>
      </c>
      <c r="R662" t="s">
        <v>7372</v>
      </c>
      <c r="S662" t="s">
        <v>6826</v>
      </c>
      <c r="T662" t="s">
        <v>6825</v>
      </c>
    </row>
    <row r="663" spans="1:20">
      <c r="A663" t="s">
        <v>2239</v>
      </c>
      <c r="B663" t="s">
        <v>9126</v>
      </c>
      <c r="C663">
        <v>45712</v>
      </c>
      <c r="D663" t="s">
        <v>7263</v>
      </c>
      <c r="E663" t="s">
        <v>9127</v>
      </c>
      <c r="F663">
        <v>45737</v>
      </c>
      <c r="G663" t="s">
        <v>6824</v>
      </c>
      <c r="H663" t="s">
        <v>2916</v>
      </c>
      <c r="I663" t="s">
        <v>11098</v>
      </c>
      <c r="J663">
        <v>0</v>
      </c>
      <c r="K663">
        <v>518.95000000000005</v>
      </c>
      <c r="L663" t="s">
        <v>2917</v>
      </c>
      <c r="M663">
        <v>3027.89</v>
      </c>
      <c r="N663" t="s">
        <v>2918</v>
      </c>
      <c r="O663" t="s">
        <v>11099</v>
      </c>
      <c r="P663" t="s">
        <v>6825</v>
      </c>
      <c r="Q663" t="s">
        <v>7371</v>
      </c>
      <c r="R663" t="s">
        <v>7372</v>
      </c>
      <c r="S663" t="s">
        <v>6826</v>
      </c>
      <c r="T663" t="s">
        <v>6825</v>
      </c>
    </row>
    <row r="664" spans="1:20">
      <c r="A664" t="s">
        <v>2239</v>
      </c>
      <c r="B664" t="s">
        <v>9126</v>
      </c>
      <c r="C664">
        <v>45712</v>
      </c>
      <c r="D664" t="s">
        <v>7263</v>
      </c>
      <c r="E664" t="s">
        <v>9127</v>
      </c>
      <c r="F664">
        <v>45737</v>
      </c>
      <c r="G664" t="s">
        <v>6824</v>
      </c>
      <c r="H664" t="s">
        <v>2916</v>
      </c>
      <c r="I664" t="s">
        <v>11100</v>
      </c>
      <c r="J664">
        <v>0</v>
      </c>
      <c r="K664">
        <v>518.95000000000005</v>
      </c>
      <c r="L664" t="s">
        <v>2917</v>
      </c>
      <c r="M664">
        <v>3027.89</v>
      </c>
      <c r="N664" t="s">
        <v>2918</v>
      </c>
      <c r="O664" t="s">
        <v>11101</v>
      </c>
      <c r="P664" t="s">
        <v>6825</v>
      </c>
      <c r="Q664" t="s">
        <v>7371</v>
      </c>
      <c r="R664" t="s">
        <v>7372</v>
      </c>
      <c r="S664" t="s">
        <v>6826</v>
      </c>
      <c r="T664" t="s">
        <v>6825</v>
      </c>
    </row>
    <row r="665" spans="1:20">
      <c r="A665" t="s">
        <v>2239</v>
      </c>
      <c r="B665" t="s">
        <v>9126</v>
      </c>
      <c r="C665">
        <v>45525</v>
      </c>
      <c r="D665" t="s">
        <v>7263</v>
      </c>
      <c r="E665" t="s">
        <v>9127</v>
      </c>
      <c r="F665">
        <v>45741</v>
      </c>
      <c r="G665" t="s">
        <v>7580</v>
      </c>
      <c r="H665" t="s">
        <v>2916</v>
      </c>
      <c r="I665" t="s">
        <v>11102</v>
      </c>
      <c r="J665">
        <v>15361.315000000001</v>
      </c>
      <c r="K665">
        <v>2632.78</v>
      </c>
      <c r="L665" t="s">
        <v>2917</v>
      </c>
      <c r="M665">
        <v>15361.32</v>
      </c>
      <c r="N665" t="s">
        <v>2918</v>
      </c>
      <c r="O665" t="s">
        <v>2939</v>
      </c>
      <c r="P665" t="s">
        <v>2939</v>
      </c>
      <c r="Q665" t="s">
        <v>2924</v>
      </c>
      <c r="R665" t="s">
        <v>3219</v>
      </c>
      <c r="S665" t="s">
        <v>2208</v>
      </c>
      <c r="T665" t="s">
        <v>2208</v>
      </c>
    </row>
    <row r="666" spans="1:20">
      <c r="A666" t="s">
        <v>2239</v>
      </c>
      <c r="B666" t="s">
        <v>9126</v>
      </c>
      <c r="C666">
        <v>45525</v>
      </c>
      <c r="D666" t="s">
        <v>7263</v>
      </c>
      <c r="E666" t="s">
        <v>9127</v>
      </c>
      <c r="F666">
        <v>45741</v>
      </c>
      <c r="G666" t="s">
        <v>7580</v>
      </c>
      <c r="H666" t="s">
        <v>2916</v>
      </c>
      <c r="I666" t="s">
        <v>11102</v>
      </c>
      <c r="J666">
        <v>15361.315000000001</v>
      </c>
      <c r="K666">
        <v>2632.78</v>
      </c>
      <c r="L666" t="s">
        <v>2917</v>
      </c>
      <c r="M666">
        <v>15361.32</v>
      </c>
      <c r="N666" t="s">
        <v>2918</v>
      </c>
      <c r="O666" t="s">
        <v>2939</v>
      </c>
      <c r="P666" t="s">
        <v>2939</v>
      </c>
      <c r="Q666" t="s">
        <v>2924</v>
      </c>
      <c r="R666" t="s">
        <v>3219</v>
      </c>
      <c r="S666" t="s">
        <v>2208</v>
      </c>
      <c r="T666" t="s">
        <v>2208</v>
      </c>
    </row>
    <row r="667" spans="1:20">
      <c r="A667" t="s">
        <v>2239</v>
      </c>
      <c r="B667" t="s">
        <v>9126</v>
      </c>
      <c r="C667">
        <v>45525</v>
      </c>
      <c r="D667" t="s">
        <v>7263</v>
      </c>
      <c r="E667" t="s">
        <v>9127</v>
      </c>
      <c r="F667">
        <v>45741</v>
      </c>
      <c r="G667" t="s">
        <v>7580</v>
      </c>
      <c r="H667" t="s">
        <v>2916</v>
      </c>
      <c r="I667" t="s">
        <v>11102</v>
      </c>
      <c r="J667">
        <v>15361.315000000001</v>
      </c>
      <c r="K667">
        <v>2632.78</v>
      </c>
      <c r="L667" t="s">
        <v>2917</v>
      </c>
      <c r="M667">
        <v>15361.32</v>
      </c>
      <c r="N667" t="s">
        <v>2918</v>
      </c>
      <c r="O667" t="s">
        <v>2939</v>
      </c>
      <c r="P667" t="s">
        <v>2939</v>
      </c>
      <c r="Q667" t="s">
        <v>2924</v>
      </c>
      <c r="R667" t="s">
        <v>3219</v>
      </c>
      <c r="S667" t="s">
        <v>2208</v>
      </c>
      <c r="T667" t="s">
        <v>2208</v>
      </c>
    </row>
    <row r="668" spans="1:20">
      <c r="A668" t="s">
        <v>2239</v>
      </c>
      <c r="B668" t="s">
        <v>9126</v>
      </c>
      <c r="C668">
        <v>45525</v>
      </c>
      <c r="D668" t="s">
        <v>7263</v>
      </c>
      <c r="E668" t="s">
        <v>9127</v>
      </c>
      <c r="F668">
        <v>45741</v>
      </c>
      <c r="G668" t="s">
        <v>7580</v>
      </c>
      <c r="H668" t="s">
        <v>2916</v>
      </c>
      <c r="I668" t="s">
        <v>11102</v>
      </c>
      <c r="J668">
        <v>15361.315000000001</v>
      </c>
      <c r="K668">
        <v>2632.77</v>
      </c>
      <c r="L668" t="s">
        <v>2917</v>
      </c>
      <c r="M668">
        <v>15361.3</v>
      </c>
      <c r="N668" t="s">
        <v>2918</v>
      </c>
      <c r="O668" t="s">
        <v>2939</v>
      </c>
      <c r="P668" t="s">
        <v>2939</v>
      </c>
      <c r="Q668" t="s">
        <v>2924</v>
      </c>
      <c r="R668" t="s">
        <v>3219</v>
      </c>
      <c r="S668" t="s">
        <v>2208</v>
      </c>
      <c r="T668" t="s">
        <v>2208</v>
      </c>
    </row>
    <row r="669" spans="1:20">
      <c r="A669" t="s">
        <v>2239</v>
      </c>
      <c r="B669" t="s">
        <v>9126</v>
      </c>
      <c r="C669">
        <v>45741</v>
      </c>
      <c r="D669" t="s">
        <v>7263</v>
      </c>
      <c r="E669" t="s">
        <v>9127</v>
      </c>
      <c r="F669">
        <v>45741</v>
      </c>
      <c r="G669" t="s">
        <v>7580</v>
      </c>
      <c r="H669" t="s">
        <v>2916</v>
      </c>
      <c r="I669" t="s">
        <v>11240</v>
      </c>
      <c r="J669">
        <v>0</v>
      </c>
      <c r="K669">
        <v>-243.53</v>
      </c>
      <c r="L669" t="s">
        <v>2917</v>
      </c>
      <c r="M669">
        <v>-1420.92</v>
      </c>
      <c r="N669" t="s">
        <v>2918</v>
      </c>
      <c r="O669" t="s">
        <v>11241</v>
      </c>
      <c r="P669" t="s">
        <v>2939</v>
      </c>
      <c r="Q669" t="s">
        <v>2924</v>
      </c>
      <c r="R669" t="s">
        <v>3219</v>
      </c>
      <c r="S669" t="s">
        <v>2208</v>
      </c>
      <c r="T669" t="s">
        <v>2208</v>
      </c>
    </row>
    <row r="670" spans="1:20">
      <c r="A670" t="s">
        <v>2239</v>
      </c>
      <c r="B670" t="s">
        <v>9126</v>
      </c>
      <c r="C670">
        <v>45741</v>
      </c>
      <c r="D670" t="s">
        <v>7263</v>
      </c>
      <c r="E670" t="s">
        <v>9127</v>
      </c>
      <c r="F670">
        <v>45741</v>
      </c>
      <c r="G670" t="s">
        <v>7580</v>
      </c>
      <c r="H670" t="s">
        <v>2916</v>
      </c>
      <c r="I670" t="s">
        <v>11240</v>
      </c>
      <c r="J670">
        <v>0</v>
      </c>
      <c r="K670">
        <v>-243.53</v>
      </c>
      <c r="L670" t="s">
        <v>2917</v>
      </c>
      <c r="M670">
        <v>-1420.92</v>
      </c>
      <c r="N670" t="s">
        <v>2918</v>
      </c>
      <c r="O670" t="s">
        <v>11241</v>
      </c>
      <c r="P670" t="s">
        <v>2939</v>
      </c>
      <c r="Q670" t="s">
        <v>2924</v>
      </c>
      <c r="R670" t="s">
        <v>3219</v>
      </c>
      <c r="S670" t="s">
        <v>2208</v>
      </c>
      <c r="T670" t="s">
        <v>2208</v>
      </c>
    </row>
    <row r="671" spans="1:20">
      <c r="A671" t="s">
        <v>2239</v>
      </c>
      <c r="B671" t="s">
        <v>9126</v>
      </c>
      <c r="C671">
        <v>45741</v>
      </c>
      <c r="D671" t="s">
        <v>7263</v>
      </c>
      <c r="E671" t="s">
        <v>9127</v>
      </c>
      <c r="F671">
        <v>45741</v>
      </c>
      <c r="G671" t="s">
        <v>7580</v>
      </c>
      <c r="H671" t="s">
        <v>2916</v>
      </c>
      <c r="I671" t="s">
        <v>11240</v>
      </c>
      <c r="J671">
        <v>0</v>
      </c>
      <c r="K671">
        <v>-243.53</v>
      </c>
      <c r="L671" t="s">
        <v>2917</v>
      </c>
      <c r="M671">
        <v>-1420.92</v>
      </c>
      <c r="N671" t="s">
        <v>2918</v>
      </c>
      <c r="O671" t="s">
        <v>11241</v>
      </c>
      <c r="P671" t="s">
        <v>2939</v>
      </c>
      <c r="Q671" t="s">
        <v>2924</v>
      </c>
      <c r="R671" t="s">
        <v>3219</v>
      </c>
      <c r="S671" t="s">
        <v>2208</v>
      </c>
      <c r="T671" t="s">
        <v>2208</v>
      </c>
    </row>
    <row r="672" spans="1:20">
      <c r="A672" t="s">
        <v>2239</v>
      </c>
      <c r="B672" t="s">
        <v>9126</v>
      </c>
      <c r="C672">
        <v>45741</v>
      </c>
      <c r="D672" t="s">
        <v>7263</v>
      </c>
      <c r="E672" t="s">
        <v>9127</v>
      </c>
      <c r="F672">
        <v>45741</v>
      </c>
      <c r="G672" t="s">
        <v>7580</v>
      </c>
      <c r="H672" t="s">
        <v>2916</v>
      </c>
      <c r="I672" t="s">
        <v>11240</v>
      </c>
      <c r="J672">
        <v>0</v>
      </c>
      <c r="K672">
        <v>-243.53</v>
      </c>
      <c r="L672" t="s">
        <v>2917</v>
      </c>
      <c r="M672">
        <v>-1420.92</v>
      </c>
      <c r="N672" t="s">
        <v>2918</v>
      </c>
      <c r="O672" t="s">
        <v>11241</v>
      </c>
      <c r="P672" t="s">
        <v>2939</v>
      </c>
      <c r="Q672" t="s">
        <v>2924</v>
      </c>
      <c r="R672" t="s">
        <v>3219</v>
      </c>
      <c r="S672" t="s">
        <v>2208</v>
      </c>
      <c r="T672" t="s">
        <v>2208</v>
      </c>
    </row>
    <row r="673" spans="1:20">
      <c r="A673" t="s">
        <v>2239</v>
      </c>
      <c r="B673" t="s">
        <v>9126</v>
      </c>
      <c r="C673">
        <v>45742</v>
      </c>
      <c r="D673" t="s">
        <v>7263</v>
      </c>
      <c r="E673" t="s">
        <v>9127</v>
      </c>
      <c r="F673">
        <v>45742</v>
      </c>
      <c r="G673" t="s">
        <v>2208</v>
      </c>
      <c r="H673" t="s">
        <v>2916</v>
      </c>
      <c r="I673" t="s">
        <v>11276</v>
      </c>
      <c r="J673">
        <v>0</v>
      </c>
      <c r="K673">
        <v>544.89</v>
      </c>
      <c r="L673" t="s">
        <v>2917</v>
      </c>
      <c r="M673">
        <v>3179.24</v>
      </c>
      <c r="N673" t="s">
        <v>2918</v>
      </c>
      <c r="O673" t="s">
        <v>7585</v>
      </c>
      <c r="P673" t="s">
        <v>2208</v>
      </c>
      <c r="Q673" t="s">
        <v>2927</v>
      </c>
      <c r="R673" t="s">
        <v>3222</v>
      </c>
      <c r="S673" t="s">
        <v>6826</v>
      </c>
      <c r="T673" t="s">
        <v>6825</v>
      </c>
    </row>
    <row r="674" spans="1:20">
      <c r="A674" t="s">
        <v>2239</v>
      </c>
      <c r="B674" t="s">
        <v>9126</v>
      </c>
      <c r="C674">
        <v>45743</v>
      </c>
      <c r="D674" t="s">
        <v>7263</v>
      </c>
      <c r="E674" t="s">
        <v>9127</v>
      </c>
      <c r="F674">
        <v>45743</v>
      </c>
      <c r="G674" t="s">
        <v>2208</v>
      </c>
      <c r="H674" t="s">
        <v>2916</v>
      </c>
      <c r="I674" t="s">
        <v>11351</v>
      </c>
      <c r="J674">
        <v>0</v>
      </c>
      <c r="K674">
        <v>-61.7</v>
      </c>
      <c r="L674" t="s">
        <v>2917</v>
      </c>
      <c r="M674">
        <v>-360</v>
      </c>
      <c r="N674" t="s">
        <v>2918</v>
      </c>
      <c r="O674" t="s">
        <v>11352</v>
      </c>
      <c r="P674" t="s">
        <v>2208</v>
      </c>
      <c r="Q674" t="s">
        <v>11353</v>
      </c>
      <c r="R674" t="s">
        <v>11354</v>
      </c>
      <c r="S674" t="s">
        <v>2208</v>
      </c>
      <c r="T674" t="s">
        <v>2208</v>
      </c>
    </row>
    <row r="675" spans="1:20">
      <c r="A675" t="s">
        <v>2239</v>
      </c>
      <c r="B675" t="s">
        <v>9126</v>
      </c>
      <c r="C675">
        <v>45744</v>
      </c>
      <c r="D675" t="s">
        <v>7263</v>
      </c>
      <c r="E675" t="s">
        <v>9127</v>
      </c>
      <c r="F675">
        <v>45744</v>
      </c>
      <c r="G675" t="s">
        <v>2208</v>
      </c>
      <c r="H675" t="s">
        <v>2916</v>
      </c>
      <c r="I675" t="s">
        <v>11319</v>
      </c>
      <c r="J675">
        <v>0</v>
      </c>
      <c r="K675">
        <v>488728.76</v>
      </c>
      <c r="L675" t="s">
        <v>2917</v>
      </c>
      <c r="M675">
        <v>2851559.37</v>
      </c>
      <c r="N675" t="s">
        <v>2918</v>
      </c>
      <c r="O675" t="s">
        <v>11320</v>
      </c>
      <c r="P675" t="s">
        <v>2208</v>
      </c>
      <c r="Q675" t="s">
        <v>2927</v>
      </c>
      <c r="R675" t="s">
        <v>3222</v>
      </c>
      <c r="S675" t="s">
        <v>2208</v>
      </c>
      <c r="T675" t="s">
        <v>2208</v>
      </c>
    </row>
    <row r="676" spans="1:20">
      <c r="A676" t="s">
        <v>2239</v>
      </c>
      <c r="B676" t="s">
        <v>9126</v>
      </c>
      <c r="C676">
        <v>45744</v>
      </c>
      <c r="D676" t="s">
        <v>7263</v>
      </c>
      <c r="E676" t="s">
        <v>9127</v>
      </c>
      <c r="F676">
        <v>45744</v>
      </c>
      <c r="G676" t="s">
        <v>2208</v>
      </c>
      <c r="H676" t="s">
        <v>2916</v>
      </c>
      <c r="I676" t="s">
        <v>11319</v>
      </c>
      <c r="J676">
        <v>0</v>
      </c>
      <c r="K676">
        <v>64645.42</v>
      </c>
      <c r="L676" t="s">
        <v>2917</v>
      </c>
      <c r="M676">
        <v>377183.16</v>
      </c>
      <c r="N676" t="s">
        <v>2918</v>
      </c>
      <c r="O676" t="s">
        <v>11320</v>
      </c>
      <c r="P676" t="s">
        <v>2208</v>
      </c>
      <c r="Q676" t="s">
        <v>2927</v>
      </c>
      <c r="R676" t="s">
        <v>3222</v>
      </c>
      <c r="S676" t="s">
        <v>2208</v>
      </c>
      <c r="T676" t="s">
        <v>2208</v>
      </c>
    </row>
    <row r="677" spans="1:20">
      <c r="A677" t="s">
        <v>2239</v>
      </c>
      <c r="B677" t="s">
        <v>9126</v>
      </c>
      <c r="C677">
        <v>45744</v>
      </c>
      <c r="D677" t="s">
        <v>7263</v>
      </c>
      <c r="E677" t="s">
        <v>9127</v>
      </c>
      <c r="F677">
        <v>45744</v>
      </c>
      <c r="G677" t="s">
        <v>2208</v>
      </c>
      <c r="H677" t="s">
        <v>2916</v>
      </c>
      <c r="I677" t="s">
        <v>11355</v>
      </c>
      <c r="J677">
        <v>0</v>
      </c>
      <c r="K677">
        <v>-5831.33</v>
      </c>
      <c r="L677" t="s">
        <v>2917</v>
      </c>
      <c r="M677">
        <v>-34023.74</v>
      </c>
      <c r="N677" t="s">
        <v>2918</v>
      </c>
      <c r="O677" t="s">
        <v>7591</v>
      </c>
      <c r="P677" t="s">
        <v>2208</v>
      </c>
      <c r="Q677" t="s">
        <v>6851</v>
      </c>
      <c r="R677" t="s">
        <v>6852</v>
      </c>
      <c r="S677" t="s">
        <v>2208</v>
      </c>
      <c r="T677" t="s">
        <v>2208</v>
      </c>
    </row>
    <row r="678" spans="1:20">
      <c r="A678" t="s">
        <v>2239</v>
      </c>
      <c r="B678" t="s">
        <v>9126</v>
      </c>
      <c r="C678">
        <v>45744</v>
      </c>
      <c r="D678" t="s">
        <v>7263</v>
      </c>
      <c r="E678" t="s">
        <v>9127</v>
      </c>
      <c r="F678">
        <v>45744</v>
      </c>
      <c r="G678" t="s">
        <v>2208</v>
      </c>
      <c r="H678" t="s">
        <v>2916</v>
      </c>
      <c r="I678" t="s">
        <v>11356</v>
      </c>
      <c r="J678">
        <v>0</v>
      </c>
      <c r="K678">
        <v>-1266.01</v>
      </c>
      <c r="L678" t="s">
        <v>2917</v>
      </c>
      <c r="M678">
        <v>-7386.73</v>
      </c>
      <c r="N678" t="s">
        <v>2918</v>
      </c>
      <c r="O678" t="s">
        <v>7587</v>
      </c>
      <c r="P678" t="s">
        <v>2208</v>
      </c>
      <c r="Q678" t="s">
        <v>7588</v>
      </c>
      <c r="R678" t="s">
        <v>7589</v>
      </c>
      <c r="S678" t="s">
        <v>2208</v>
      </c>
      <c r="T678" t="s">
        <v>2208</v>
      </c>
    </row>
    <row r="679" spans="1:20">
      <c r="A679" t="s">
        <v>2239</v>
      </c>
      <c r="B679" t="s">
        <v>9126</v>
      </c>
      <c r="C679">
        <v>45747</v>
      </c>
      <c r="D679" t="s">
        <v>7263</v>
      </c>
      <c r="E679" t="s">
        <v>9127</v>
      </c>
      <c r="F679">
        <v>45747</v>
      </c>
      <c r="G679" t="s">
        <v>2208</v>
      </c>
      <c r="H679" t="s">
        <v>2916</v>
      </c>
      <c r="I679" t="s">
        <v>11357</v>
      </c>
      <c r="J679">
        <v>0</v>
      </c>
      <c r="K679">
        <v>-0.08</v>
      </c>
      <c r="L679" t="s">
        <v>2917</v>
      </c>
      <c r="M679">
        <v>0</v>
      </c>
      <c r="N679" t="s">
        <v>2918</v>
      </c>
      <c r="O679" t="s">
        <v>2919</v>
      </c>
      <c r="P679" t="s">
        <v>2208</v>
      </c>
      <c r="Q679" t="s">
        <v>2916</v>
      </c>
      <c r="R679" t="s">
        <v>3220</v>
      </c>
      <c r="S679" t="s">
        <v>2208</v>
      </c>
      <c r="T679" t="s">
        <v>2208</v>
      </c>
    </row>
    <row r="680" spans="1:20">
      <c r="A680" t="s">
        <v>2239</v>
      </c>
      <c r="B680" t="s">
        <v>9126</v>
      </c>
      <c r="C680">
        <v>45747</v>
      </c>
      <c r="D680" t="s">
        <v>7263</v>
      </c>
      <c r="E680" t="s">
        <v>9127</v>
      </c>
      <c r="F680">
        <v>45747</v>
      </c>
      <c r="G680" t="s">
        <v>2208</v>
      </c>
      <c r="H680" t="s">
        <v>2916</v>
      </c>
      <c r="I680" t="s">
        <v>11358</v>
      </c>
      <c r="J680">
        <v>0</v>
      </c>
      <c r="K680">
        <v>-0.06</v>
      </c>
      <c r="L680" t="s">
        <v>2917</v>
      </c>
      <c r="M680">
        <v>0</v>
      </c>
      <c r="N680" t="s">
        <v>2918</v>
      </c>
      <c r="O680" t="s">
        <v>2919</v>
      </c>
      <c r="P680" t="s">
        <v>2208</v>
      </c>
      <c r="Q680" t="s">
        <v>2916</v>
      </c>
      <c r="R680" t="s">
        <v>3220</v>
      </c>
      <c r="S680" t="s">
        <v>2208</v>
      </c>
      <c r="T680" t="s">
        <v>2208</v>
      </c>
    </row>
    <row r="681" spans="1:20">
      <c r="A681" t="s">
        <v>2239</v>
      </c>
      <c r="B681" t="s">
        <v>9126</v>
      </c>
      <c r="C681">
        <v>45747</v>
      </c>
      <c r="D681" t="s">
        <v>7263</v>
      </c>
      <c r="E681" t="s">
        <v>9127</v>
      </c>
      <c r="F681">
        <v>45747</v>
      </c>
      <c r="G681" t="s">
        <v>2208</v>
      </c>
      <c r="H681" t="s">
        <v>2916</v>
      </c>
      <c r="I681" t="s">
        <v>11359</v>
      </c>
      <c r="J681">
        <v>0</v>
      </c>
      <c r="K681">
        <v>1725.1</v>
      </c>
      <c r="L681" t="s">
        <v>2917</v>
      </c>
      <c r="M681">
        <v>0</v>
      </c>
      <c r="N681" t="s">
        <v>2918</v>
      </c>
      <c r="O681" t="s">
        <v>2919</v>
      </c>
      <c r="P681" t="s">
        <v>2208</v>
      </c>
      <c r="Q681" t="s">
        <v>2916</v>
      </c>
      <c r="R681" t="s">
        <v>3220</v>
      </c>
      <c r="S681" t="s">
        <v>2208</v>
      </c>
      <c r="T681" t="s">
        <v>2208</v>
      </c>
    </row>
    <row r="682" spans="1:20">
      <c r="A682" t="s">
        <v>2239</v>
      </c>
      <c r="B682" t="s">
        <v>11331</v>
      </c>
      <c r="C682">
        <v>45525</v>
      </c>
      <c r="D682" t="s">
        <v>7263</v>
      </c>
      <c r="E682" t="s">
        <v>11332</v>
      </c>
      <c r="F682">
        <v>45770</v>
      </c>
      <c r="G682" t="s">
        <v>7580</v>
      </c>
      <c r="H682" t="s">
        <v>2916</v>
      </c>
      <c r="I682" t="s">
        <v>15886</v>
      </c>
      <c r="J682">
        <v>61946</v>
      </c>
      <c r="K682">
        <v>10756.92</v>
      </c>
      <c r="L682" t="s">
        <v>2917</v>
      </c>
      <c r="M682">
        <v>61946</v>
      </c>
      <c r="N682" t="s">
        <v>2918</v>
      </c>
      <c r="O682" t="s">
        <v>2939</v>
      </c>
      <c r="P682" t="s">
        <v>2939</v>
      </c>
      <c r="Q682" t="s">
        <v>2924</v>
      </c>
      <c r="R682" t="s">
        <v>3219</v>
      </c>
      <c r="S682" t="s">
        <v>2208</v>
      </c>
      <c r="T682" t="s">
        <v>2208</v>
      </c>
    </row>
    <row r="683" spans="1:20">
      <c r="A683" t="s">
        <v>2239</v>
      </c>
      <c r="B683" t="s">
        <v>11331</v>
      </c>
      <c r="C683">
        <v>45525</v>
      </c>
      <c r="D683" t="s">
        <v>7263</v>
      </c>
      <c r="E683" t="s">
        <v>11332</v>
      </c>
      <c r="F683">
        <v>45770</v>
      </c>
      <c r="G683" t="s">
        <v>7580</v>
      </c>
      <c r="H683" t="s">
        <v>2916</v>
      </c>
      <c r="I683" t="s">
        <v>15887</v>
      </c>
      <c r="J683">
        <v>63536.764999999999</v>
      </c>
      <c r="K683">
        <v>11033.16</v>
      </c>
      <c r="L683" t="s">
        <v>2917</v>
      </c>
      <c r="M683">
        <v>63536.77</v>
      </c>
      <c r="N683" t="s">
        <v>2918</v>
      </c>
      <c r="O683" t="s">
        <v>2939</v>
      </c>
      <c r="P683" t="s">
        <v>2939</v>
      </c>
      <c r="Q683" t="s">
        <v>2924</v>
      </c>
      <c r="R683" t="s">
        <v>3219</v>
      </c>
      <c r="S683" t="s">
        <v>2208</v>
      </c>
      <c r="T683" t="s">
        <v>2208</v>
      </c>
    </row>
    <row r="684" spans="1:20">
      <c r="A684" t="s">
        <v>2239</v>
      </c>
      <c r="B684" t="s">
        <v>11331</v>
      </c>
      <c r="C684">
        <v>45525</v>
      </c>
      <c r="D684" t="s">
        <v>7263</v>
      </c>
      <c r="E684" t="s">
        <v>11332</v>
      </c>
      <c r="F684">
        <v>45770</v>
      </c>
      <c r="G684" t="s">
        <v>7580</v>
      </c>
      <c r="H684" t="s">
        <v>2916</v>
      </c>
      <c r="I684" t="s">
        <v>15887</v>
      </c>
      <c r="J684">
        <v>63536.764999999999</v>
      </c>
      <c r="K684">
        <v>11033.16</v>
      </c>
      <c r="L684" t="s">
        <v>2917</v>
      </c>
      <c r="M684">
        <v>63536.77</v>
      </c>
      <c r="N684" t="s">
        <v>2918</v>
      </c>
      <c r="O684" t="s">
        <v>2939</v>
      </c>
      <c r="P684" t="s">
        <v>2939</v>
      </c>
      <c r="Q684" t="s">
        <v>2924</v>
      </c>
      <c r="R684" t="s">
        <v>3219</v>
      </c>
      <c r="S684" t="s">
        <v>2208</v>
      </c>
      <c r="T684" t="s">
        <v>2208</v>
      </c>
    </row>
    <row r="685" spans="1:20">
      <c r="A685" t="s">
        <v>2239</v>
      </c>
      <c r="B685" t="s">
        <v>11331</v>
      </c>
      <c r="C685">
        <v>45525</v>
      </c>
      <c r="D685" t="s">
        <v>7263</v>
      </c>
      <c r="E685" t="s">
        <v>11332</v>
      </c>
      <c r="F685">
        <v>45770</v>
      </c>
      <c r="G685" t="s">
        <v>7580</v>
      </c>
      <c r="H685" t="s">
        <v>2916</v>
      </c>
      <c r="I685" t="s">
        <v>15887</v>
      </c>
      <c r="J685">
        <v>63536.764999999999</v>
      </c>
      <c r="K685">
        <v>11033.16</v>
      </c>
      <c r="L685" t="s">
        <v>2917</v>
      </c>
      <c r="M685">
        <v>63536.77</v>
      </c>
      <c r="N685" t="s">
        <v>2918</v>
      </c>
      <c r="O685" t="s">
        <v>2939</v>
      </c>
      <c r="P685" t="s">
        <v>2939</v>
      </c>
      <c r="Q685" t="s">
        <v>2924</v>
      </c>
      <c r="R685" t="s">
        <v>3219</v>
      </c>
      <c r="S685" t="s">
        <v>2208</v>
      </c>
      <c r="T685" t="s">
        <v>2208</v>
      </c>
    </row>
    <row r="686" spans="1:20">
      <c r="A686" t="s">
        <v>2239</v>
      </c>
      <c r="B686" t="s">
        <v>11331</v>
      </c>
      <c r="C686">
        <v>45525</v>
      </c>
      <c r="D686" t="s">
        <v>7263</v>
      </c>
      <c r="E686" t="s">
        <v>11332</v>
      </c>
      <c r="F686">
        <v>45770</v>
      </c>
      <c r="G686" t="s">
        <v>7580</v>
      </c>
      <c r="H686" t="s">
        <v>2916</v>
      </c>
      <c r="I686" t="s">
        <v>15887</v>
      </c>
      <c r="J686">
        <v>63536.764999999999</v>
      </c>
      <c r="K686">
        <v>11033.16</v>
      </c>
      <c r="L686" t="s">
        <v>2917</v>
      </c>
      <c r="M686">
        <v>63536.75</v>
      </c>
      <c r="N686" t="s">
        <v>2918</v>
      </c>
      <c r="O686" t="s">
        <v>2939</v>
      </c>
      <c r="P686" t="s">
        <v>2939</v>
      </c>
      <c r="Q686" t="s">
        <v>2924</v>
      </c>
      <c r="R686" t="s">
        <v>3219</v>
      </c>
      <c r="S686" t="s">
        <v>2208</v>
      </c>
      <c r="T686" t="s">
        <v>2208</v>
      </c>
    </row>
    <row r="687" spans="1:20">
      <c r="A687" t="s">
        <v>2239</v>
      </c>
      <c r="B687" t="s">
        <v>11331</v>
      </c>
      <c r="C687">
        <v>45770</v>
      </c>
      <c r="D687" t="s">
        <v>7263</v>
      </c>
      <c r="E687" t="s">
        <v>11332</v>
      </c>
      <c r="F687">
        <v>45771</v>
      </c>
      <c r="G687" t="s">
        <v>7580</v>
      </c>
      <c r="H687" t="s">
        <v>2916</v>
      </c>
      <c r="I687" t="s">
        <v>15965</v>
      </c>
      <c r="J687">
        <v>0</v>
      </c>
      <c r="K687">
        <v>-1020.57</v>
      </c>
      <c r="L687" t="s">
        <v>2917</v>
      </c>
      <c r="M687">
        <v>-5877.15</v>
      </c>
      <c r="N687" t="s">
        <v>2918</v>
      </c>
      <c r="O687" t="s">
        <v>15966</v>
      </c>
      <c r="P687" t="s">
        <v>2939</v>
      </c>
      <c r="Q687" t="s">
        <v>2924</v>
      </c>
      <c r="R687" t="s">
        <v>3219</v>
      </c>
      <c r="S687" t="s">
        <v>2208</v>
      </c>
      <c r="T687" t="s">
        <v>2208</v>
      </c>
    </row>
    <row r="688" spans="1:20">
      <c r="A688" t="s">
        <v>2239</v>
      </c>
      <c r="B688" t="s">
        <v>11331</v>
      </c>
      <c r="C688">
        <v>45770</v>
      </c>
      <c r="D688" t="s">
        <v>7263</v>
      </c>
      <c r="E688" t="s">
        <v>11332</v>
      </c>
      <c r="F688">
        <v>45771</v>
      </c>
      <c r="G688" t="s">
        <v>7580</v>
      </c>
      <c r="H688" t="s">
        <v>2916</v>
      </c>
      <c r="I688" t="s">
        <v>15965</v>
      </c>
      <c r="J688">
        <v>0</v>
      </c>
      <c r="K688">
        <v>-1020.57</v>
      </c>
      <c r="L688" t="s">
        <v>2917</v>
      </c>
      <c r="M688">
        <v>-5877.15</v>
      </c>
      <c r="N688" t="s">
        <v>2918</v>
      </c>
      <c r="O688" t="s">
        <v>15966</v>
      </c>
      <c r="P688" t="s">
        <v>2939</v>
      </c>
      <c r="Q688" t="s">
        <v>2924</v>
      </c>
      <c r="R688" t="s">
        <v>3219</v>
      </c>
      <c r="S688" t="s">
        <v>2208</v>
      </c>
      <c r="T688" t="s">
        <v>2208</v>
      </c>
    </row>
    <row r="689" spans="1:20">
      <c r="A689" t="s">
        <v>2239</v>
      </c>
      <c r="B689" t="s">
        <v>11331</v>
      </c>
      <c r="C689">
        <v>45770</v>
      </c>
      <c r="D689" t="s">
        <v>7263</v>
      </c>
      <c r="E689" t="s">
        <v>11332</v>
      </c>
      <c r="F689">
        <v>45771</v>
      </c>
      <c r="G689" t="s">
        <v>7580</v>
      </c>
      <c r="H689" t="s">
        <v>2916</v>
      </c>
      <c r="I689" t="s">
        <v>15965</v>
      </c>
      <c r="J689">
        <v>0</v>
      </c>
      <c r="K689">
        <v>-1020.57</v>
      </c>
      <c r="L689" t="s">
        <v>2917</v>
      </c>
      <c r="M689">
        <v>-5877.15</v>
      </c>
      <c r="N689" t="s">
        <v>2918</v>
      </c>
      <c r="O689" t="s">
        <v>15966</v>
      </c>
      <c r="P689" t="s">
        <v>2939</v>
      </c>
      <c r="Q689" t="s">
        <v>2924</v>
      </c>
      <c r="R689" t="s">
        <v>3219</v>
      </c>
      <c r="S689" t="s">
        <v>2208</v>
      </c>
      <c r="T689" t="s">
        <v>2208</v>
      </c>
    </row>
    <row r="690" spans="1:20">
      <c r="A690" t="s">
        <v>2239</v>
      </c>
      <c r="B690" t="s">
        <v>11331</v>
      </c>
      <c r="C690">
        <v>45770</v>
      </c>
      <c r="D690" t="s">
        <v>7263</v>
      </c>
      <c r="E690" t="s">
        <v>11332</v>
      </c>
      <c r="F690">
        <v>45771</v>
      </c>
      <c r="G690" t="s">
        <v>7580</v>
      </c>
      <c r="H690" t="s">
        <v>2916</v>
      </c>
      <c r="I690" t="s">
        <v>15965</v>
      </c>
      <c r="J690">
        <v>0</v>
      </c>
      <c r="K690">
        <v>-1020.57</v>
      </c>
      <c r="L690" t="s">
        <v>2917</v>
      </c>
      <c r="M690">
        <v>-5877.15</v>
      </c>
      <c r="N690" t="s">
        <v>2918</v>
      </c>
      <c r="O690" t="s">
        <v>15966</v>
      </c>
      <c r="P690" t="s">
        <v>2939</v>
      </c>
      <c r="Q690" t="s">
        <v>2924</v>
      </c>
      <c r="R690" t="s">
        <v>3219</v>
      </c>
      <c r="S690" t="s">
        <v>2208</v>
      </c>
      <c r="T690" t="s">
        <v>2208</v>
      </c>
    </row>
    <row r="691" spans="1:20">
      <c r="A691" t="s">
        <v>2239</v>
      </c>
      <c r="B691" t="s">
        <v>11331</v>
      </c>
      <c r="C691">
        <v>45770</v>
      </c>
      <c r="D691" t="s">
        <v>7263</v>
      </c>
      <c r="E691" t="s">
        <v>11332</v>
      </c>
      <c r="F691">
        <v>45771</v>
      </c>
      <c r="G691" t="s">
        <v>7580</v>
      </c>
      <c r="H691" t="s">
        <v>2916</v>
      </c>
      <c r="I691" t="s">
        <v>15967</v>
      </c>
      <c r="J691">
        <v>0</v>
      </c>
      <c r="K691">
        <v>-995.01</v>
      </c>
      <c r="L691" t="s">
        <v>2917</v>
      </c>
      <c r="M691">
        <v>-5730.01</v>
      </c>
      <c r="N691" t="s">
        <v>2918</v>
      </c>
      <c r="O691" t="s">
        <v>7777</v>
      </c>
      <c r="P691" t="s">
        <v>2939</v>
      </c>
      <c r="Q691" t="s">
        <v>2924</v>
      </c>
      <c r="R691" t="s">
        <v>3219</v>
      </c>
      <c r="S691" t="s">
        <v>2208</v>
      </c>
      <c r="T691" t="s">
        <v>2208</v>
      </c>
    </row>
    <row r="692" spans="1:20">
      <c r="A692" t="s">
        <v>2239</v>
      </c>
      <c r="B692" t="s">
        <v>11331</v>
      </c>
      <c r="C692">
        <v>45777</v>
      </c>
      <c r="D692" t="s">
        <v>7263</v>
      </c>
      <c r="E692" t="s">
        <v>11332</v>
      </c>
      <c r="F692">
        <v>45777</v>
      </c>
      <c r="G692" t="s">
        <v>2208</v>
      </c>
      <c r="H692" t="s">
        <v>2916</v>
      </c>
      <c r="I692" t="s">
        <v>16370</v>
      </c>
      <c r="J692">
        <v>0</v>
      </c>
      <c r="K692">
        <v>7.0000000000000007E-2</v>
      </c>
      <c r="L692" t="s">
        <v>2917</v>
      </c>
      <c r="M692">
        <v>0</v>
      </c>
      <c r="N692" t="s">
        <v>2918</v>
      </c>
      <c r="O692" t="s">
        <v>2919</v>
      </c>
      <c r="P692" t="s">
        <v>2208</v>
      </c>
      <c r="Q692" t="s">
        <v>2916</v>
      </c>
      <c r="R692" t="s">
        <v>3220</v>
      </c>
      <c r="S692" t="s">
        <v>2208</v>
      </c>
      <c r="T692" t="s">
        <v>2208</v>
      </c>
    </row>
    <row r="693" spans="1:20">
      <c r="A693" t="s">
        <v>2239</v>
      </c>
      <c r="B693" t="s">
        <v>11331</v>
      </c>
      <c r="C693">
        <v>45777</v>
      </c>
      <c r="D693" t="s">
        <v>7263</v>
      </c>
      <c r="E693" t="s">
        <v>11332</v>
      </c>
      <c r="F693">
        <v>45777</v>
      </c>
      <c r="G693" t="s">
        <v>2208</v>
      </c>
      <c r="H693" t="s">
        <v>2916</v>
      </c>
      <c r="I693" t="s">
        <v>16371</v>
      </c>
      <c r="J693">
        <v>0</v>
      </c>
      <c r="K693">
        <v>7.0000000000000007E-2</v>
      </c>
      <c r="L693" t="s">
        <v>2917</v>
      </c>
      <c r="M693">
        <v>0</v>
      </c>
      <c r="N693" t="s">
        <v>2918</v>
      </c>
      <c r="O693" t="s">
        <v>2919</v>
      </c>
      <c r="P693" t="s">
        <v>2208</v>
      </c>
      <c r="Q693" t="s">
        <v>2916</v>
      </c>
      <c r="R693" t="s">
        <v>3220</v>
      </c>
      <c r="S693" t="s">
        <v>2208</v>
      </c>
      <c r="T693" t="s">
        <v>2208</v>
      </c>
    </row>
    <row r="694" spans="1:20">
      <c r="A694" t="s">
        <v>2239</v>
      </c>
      <c r="B694" t="s">
        <v>11331</v>
      </c>
      <c r="C694">
        <v>45777</v>
      </c>
      <c r="D694" t="s">
        <v>7263</v>
      </c>
      <c r="E694" t="s">
        <v>11332</v>
      </c>
      <c r="F694">
        <v>45777</v>
      </c>
      <c r="G694" t="s">
        <v>2208</v>
      </c>
      <c r="H694" t="s">
        <v>2916</v>
      </c>
      <c r="I694" t="s">
        <v>16372</v>
      </c>
      <c r="J694">
        <v>0</v>
      </c>
      <c r="K694">
        <v>7.0000000000000007E-2</v>
      </c>
      <c r="L694" t="s">
        <v>2917</v>
      </c>
      <c r="M694">
        <v>0</v>
      </c>
      <c r="N694" t="s">
        <v>2918</v>
      </c>
      <c r="O694" t="s">
        <v>2919</v>
      </c>
      <c r="P694" t="s">
        <v>2208</v>
      </c>
      <c r="Q694" t="s">
        <v>2916</v>
      </c>
      <c r="R694" t="s">
        <v>3220</v>
      </c>
      <c r="S694" t="s">
        <v>2208</v>
      </c>
      <c r="T694" t="s">
        <v>2208</v>
      </c>
    </row>
    <row r="695" spans="1:20">
      <c r="A695" t="s">
        <v>2239</v>
      </c>
      <c r="B695" t="s">
        <v>11331</v>
      </c>
      <c r="C695">
        <v>45777</v>
      </c>
      <c r="D695" t="s">
        <v>7263</v>
      </c>
      <c r="E695" t="s">
        <v>11332</v>
      </c>
      <c r="F695">
        <v>45777</v>
      </c>
      <c r="G695" t="s">
        <v>2208</v>
      </c>
      <c r="H695" t="s">
        <v>2916</v>
      </c>
      <c r="I695" t="s">
        <v>16373</v>
      </c>
      <c r="J695">
        <v>0</v>
      </c>
      <c r="K695">
        <v>7.0000000000000007E-2</v>
      </c>
      <c r="L695" t="s">
        <v>2917</v>
      </c>
      <c r="M695">
        <v>0</v>
      </c>
      <c r="N695" t="s">
        <v>2918</v>
      </c>
      <c r="O695" t="s">
        <v>2919</v>
      </c>
      <c r="P695" t="s">
        <v>2208</v>
      </c>
      <c r="Q695" t="s">
        <v>2916</v>
      </c>
      <c r="R695" t="s">
        <v>3220</v>
      </c>
      <c r="S695" t="s">
        <v>2208</v>
      </c>
      <c r="T695" t="s">
        <v>2208</v>
      </c>
    </row>
    <row r="696" spans="1:20">
      <c r="A696" t="s">
        <v>2239</v>
      </c>
      <c r="B696" t="s">
        <v>16360</v>
      </c>
      <c r="C696">
        <v>45525</v>
      </c>
      <c r="D696" t="s">
        <v>7263</v>
      </c>
      <c r="E696" t="s">
        <v>16361</v>
      </c>
      <c r="F696">
        <v>45792</v>
      </c>
      <c r="G696" t="s">
        <v>7580</v>
      </c>
      <c r="H696" t="s">
        <v>2916</v>
      </c>
      <c r="I696" t="s">
        <v>17033</v>
      </c>
      <c r="J696">
        <v>3111.1529999999998</v>
      </c>
      <c r="K696">
        <v>552.23</v>
      </c>
      <c r="L696" t="s">
        <v>2917</v>
      </c>
      <c r="M696">
        <v>3111.15</v>
      </c>
      <c r="N696" t="s">
        <v>2918</v>
      </c>
      <c r="O696" t="s">
        <v>2939</v>
      </c>
      <c r="P696" t="s">
        <v>2939</v>
      </c>
      <c r="Q696" t="s">
        <v>2924</v>
      </c>
      <c r="R696" t="s">
        <v>3219</v>
      </c>
      <c r="S696" t="s">
        <v>2208</v>
      </c>
      <c r="T696" t="s">
        <v>2208</v>
      </c>
    </row>
    <row r="697" spans="1:20">
      <c r="A697" t="s">
        <v>2239</v>
      </c>
      <c r="B697" t="s">
        <v>16360</v>
      </c>
      <c r="C697">
        <v>45525</v>
      </c>
      <c r="D697" t="s">
        <v>7263</v>
      </c>
      <c r="E697" t="s">
        <v>16361</v>
      </c>
      <c r="F697">
        <v>45792</v>
      </c>
      <c r="G697" t="s">
        <v>7580</v>
      </c>
      <c r="H697" t="s">
        <v>2916</v>
      </c>
      <c r="I697" t="s">
        <v>17033</v>
      </c>
      <c r="J697">
        <v>3111.1529999999998</v>
      </c>
      <c r="K697">
        <v>552.23</v>
      </c>
      <c r="L697" t="s">
        <v>2917</v>
      </c>
      <c r="M697">
        <v>3111.15</v>
      </c>
      <c r="N697" t="s">
        <v>2918</v>
      </c>
      <c r="O697" t="s">
        <v>2939</v>
      </c>
      <c r="P697" t="s">
        <v>2939</v>
      </c>
      <c r="Q697" t="s">
        <v>2924</v>
      </c>
      <c r="R697" t="s">
        <v>3219</v>
      </c>
      <c r="S697" t="s">
        <v>2208</v>
      </c>
      <c r="T697" t="s">
        <v>2208</v>
      </c>
    </row>
    <row r="698" spans="1:20">
      <c r="A698" t="s">
        <v>2239</v>
      </c>
      <c r="B698" t="s">
        <v>16360</v>
      </c>
      <c r="C698">
        <v>45525</v>
      </c>
      <c r="D698" t="s">
        <v>7263</v>
      </c>
      <c r="E698" t="s">
        <v>16361</v>
      </c>
      <c r="F698">
        <v>45792</v>
      </c>
      <c r="G698" t="s">
        <v>7580</v>
      </c>
      <c r="H698" t="s">
        <v>2916</v>
      </c>
      <c r="I698" t="s">
        <v>17033</v>
      </c>
      <c r="J698">
        <v>3111.1529999999998</v>
      </c>
      <c r="K698">
        <v>552.23</v>
      </c>
      <c r="L698" t="s">
        <v>2917</v>
      </c>
      <c r="M698">
        <v>3111.15</v>
      </c>
      <c r="N698" t="s">
        <v>2918</v>
      </c>
      <c r="O698" t="s">
        <v>2939</v>
      </c>
      <c r="P698" t="s">
        <v>2939</v>
      </c>
      <c r="Q698" t="s">
        <v>2924</v>
      </c>
      <c r="R698" t="s">
        <v>3219</v>
      </c>
      <c r="S698" t="s">
        <v>2208</v>
      </c>
      <c r="T698" t="s">
        <v>2208</v>
      </c>
    </row>
    <row r="699" spans="1:20">
      <c r="A699" t="s">
        <v>2239</v>
      </c>
      <c r="B699" t="s">
        <v>16360</v>
      </c>
      <c r="C699">
        <v>45525</v>
      </c>
      <c r="D699" t="s">
        <v>7263</v>
      </c>
      <c r="E699" t="s">
        <v>16361</v>
      </c>
      <c r="F699">
        <v>45792</v>
      </c>
      <c r="G699" t="s">
        <v>7580</v>
      </c>
      <c r="H699" t="s">
        <v>2916</v>
      </c>
      <c r="I699" t="s">
        <v>17033</v>
      </c>
      <c r="J699">
        <v>3111.1509999999998</v>
      </c>
      <c r="K699">
        <v>552.23</v>
      </c>
      <c r="L699" t="s">
        <v>2917</v>
      </c>
      <c r="M699">
        <v>3111.16</v>
      </c>
      <c r="N699" t="s">
        <v>2918</v>
      </c>
      <c r="O699" t="s">
        <v>2939</v>
      </c>
      <c r="P699" t="s">
        <v>2939</v>
      </c>
      <c r="Q699" t="s">
        <v>2924</v>
      </c>
      <c r="R699" t="s">
        <v>3219</v>
      </c>
      <c r="S699" t="s">
        <v>2208</v>
      </c>
      <c r="T699" t="s">
        <v>2208</v>
      </c>
    </row>
    <row r="700" spans="1:20">
      <c r="A700" t="s">
        <v>2239</v>
      </c>
      <c r="B700" t="s">
        <v>16360</v>
      </c>
      <c r="C700">
        <v>45525</v>
      </c>
      <c r="D700" t="s">
        <v>7263</v>
      </c>
      <c r="E700" t="s">
        <v>16361</v>
      </c>
      <c r="F700">
        <v>45792</v>
      </c>
      <c r="G700" t="s">
        <v>7580</v>
      </c>
      <c r="H700" t="s">
        <v>2916</v>
      </c>
      <c r="I700" t="s">
        <v>17034</v>
      </c>
      <c r="J700">
        <v>263524</v>
      </c>
      <c r="K700">
        <v>46775.51</v>
      </c>
      <c r="L700" t="s">
        <v>2917</v>
      </c>
      <c r="M700">
        <v>263524</v>
      </c>
      <c r="N700" t="s">
        <v>2918</v>
      </c>
      <c r="O700" t="s">
        <v>2939</v>
      </c>
      <c r="P700" t="s">
        <v>2939</v>
      </c>
      <c r="Q700" t="s">
        <v>2924</v>
      </c>
      <c r="R700" t="s">
        <v>3219</v>
      </c>
      <c r="S700" t="s">
        <v>2208</v>
      </c>
      <c r="T700" t="s">
        <v>2208</v>
      </c>
    </row>
    <row r="701" spans="1:20">
      <c r="A701" t="s">
        <v>2239</v>
      </c>
      <c r="B701" t="s">
        <v>16360</v>
      </c>
      <c r="C701">
        <v>45792</v>
      </c>
      <c r="D701" t="s">
        <v>7263</v>
      </c>
      <c r="E701" t="s">
        <v>16361</v>
      </c>
      <c r="F701">
        <v>45803</v>
      </c>
      <c r="G701" t="s">
        <v>7580</v>
      </c>
      <c r="H701" t="s">
        <v>2916</v>
      </c>
      <c r="I701" t="s">
        <v>17587</v>
      </c>
      <c r="J701">
        <v>0</v>
      </c>
      <c r="K701">
        <v>-51.08</v>
      </c>
      <c r="L701" t="s">
        <v>2917</v>
      </c>
      <c r="M701">
        <v>-287.77999999999997</v>
      </c>
      <c r="N701" t="s">
        <v>2918</v>
      </c>
      <c r="O701" t="s">
        <v>17588</v>
      </c>
      <c r="P701" t="s">
        <v>2939</v>
      </c>
      <c r="Q701" t="s">
        <v>2924</v>
      </c>
      <c r="R701" t="s">
        <v>3219</v>
      </c>
      <c r="S701" t="s">
        <v>2208</v>
      </c>
      <c r="T701" t="s">
        <v>2208</v>
      </c>
    </row>
    <row r="702" spans="1:20">
      <c r="A702" t="s">
        <v>2239</v>
      </c>
      <c r="B702" t="s">
        <v>16360</v>
      </c>
      <c r="C702">
        <v>45792</v>
      </c>
      <c r="D702" t="s">
        <v>7263</v>
      </c>
      <c r="E702" t="s">
        <v>16361</v>
      </c>
      <c r="F702">
        <v>45803</v>
      </c>
      <c r="G702" t="s">
        <v>7580</v>
      </c>
      <c r="H702" t="s">
        <v>2916</v>
      </c>
      <c r="I702" t="s">
        <v>17587</v>
      </c>
      <c r="J702">
        <v>0</v>
      </c>
      <c r="K702">
        <v>-51.08</v>
      </c>
      <c r="L702" t="s">
        <v>2917</v>
      </c>
      <c r="M702">
        <v>-287.77999999999997</v>
      </c>
      <c r="N702" t="s">
        <v>2918</v>
      </c>
      <c r="O702" t="s">
        <v>17588</v>
      </c>
      <c r="P702" t="s">
        <v>2939</v>
      </c>
      <c r="Q702" t="s">
        <v>2924</v>
      </c>
      <c r="R702" t="s">
        <v>3219</v>
      </c>
      <c r="S702" t="s">
        <v>2208</v>
      </c>
      <c r="T702" t="s">
        <v>2208</v>
      </c>
    </row>
    <row r="703" spans="1:20">
      <c r="A703" t="s">
        <v>2239</v>
      </c>
      <c r="B703" t="s">
        <v>16360</v>
      </c>
      <c r="C703">
        <v>45792</v>
      </c>
      <c r="D703" t="s">
        <v>7263</v>
      </c>
      <c r="E703" t="s">
        <v>16361</v>
      </c>
      <c r="F703">
        <v>45803</v>
      </c>
      <c r="G703" t="s">
        <v>7580</v>
      </c>
      <c r="H703" t="s">
        <v>2916</v>
      </c>
      <c r="I703" t="s">
        <v>17587</v>
      </c>
      <c r="J703">
        <v>0</v>
      </c>
      <c r="K703">
        <v>-51.08</v>
      </c>
      <c r="L703" t="s">
        <v>2917</v>
      </c>
      <c r="M703">
        <v>-287.77999999999997</v>
      </c>
      <c r="N703" t="s">
        <v>2918</v>
      </c>
      <c r="O703" t="s">
        <v>17588</v>
      </c>
      <c r="P703" t="s">
        <v>2939</v>
      </c>
      <c r="Q703" t="s">
        <v>2924</v>
      </c>
      <c r="R703" t="s">
        <v>3219</v>
      </c>
      <c r="S703" t="s">
        <v>2208</v>
      </c>
      <c r="T703" t="s">
        <v>2208</v>
      </c>
    </row>
    <row r="704" spans="1:20">
      <c r="A704" t="s">
        <v>2239</v>
      </c>
      <c r="B704" t="s">
        <v>16360</v>
      </c>
      <c r="C704">
        <v>45792</v>
      </c>
      <c r="D704" t="s">
        <v>7263</v>
      </c>
      <c r="E704" t="s">
        <v>16361</v>
      </c>
      <c r="F704">
        <v>45803</v>
      </c>
      <c r="G704" t="s">
        <v>7580</v>
      </c>
      <c r="H704" t="s">
        <v>2916</v>
      </c>
      <c r="I704" t="s">
        <v>17587</v>
      </c>
      <c r="J704">
        <v>0</v>
      </c>
      <c r="K704">
        <v>-51.08</v>
      </c>
      <c r="L704" t="s">
        <v>2917</v>
      </c>
      <c r="M704">
        <v>-287.77999999999997</v>
      </c>
      <c r="N704" t="s">
        <v>2918</v>
      </c>
      <c r="O704" t="s">
        <v>17588</v>
      </c>
      <c r="P704" t="s">
        <v>2939</v>
      </c>
      <c r="Q704" t="s">
        <v>2924</v>
      </c>
      <c r="R704" t="s">
        <v>3219</v>
      </c>
      <c r="S704" t="s">
        <v>2208</v>
      </c>
      <c r="T704" t="s">
        <v>2208</v>
      </c>
    </row>
    <row r="705" spans="1:20">
      <c r="A705" t="s">
        <v>2239</v>
      </c>
      <c r="B705" t="s">
        <v>16360</v>
      </c>
      <c r="C705">
        <v>45792</v>
      </c>
      <c r="D705" t="s">
        <v>7263</v>
      </c>
      <c r="E705" t="s">
        <v>16361</v>
      </c>
      <c r="F705">
        <v>45803</v>
      </c>
      <c r="G705" t="s">
        <v>7580</v>
      </c>
      <c r="H705" t="s">
        <v>2916</v>
      </c>
      <c r="I705" t="s">
        <v>17589</v>
      </c>
      <c r="J705">
        <v>0</v>
      </c>
      <c r="K705">
        <v>-4326.7299999999996</v>
      </c>
      <c r="L705" t="s">
        <v>2917</v>
      </c>
      <c r="M705">
        <v>-24375.97</v>
      </c>
      <c r="N705" t="s">
        <v>2918</v>
      </c>
      <c r="O705" t="s">
        <v>17590</v>
      </c>
      <c r="P705" t="s">
        <v>2939</v>
      </c>
      <c r="Q705" t="s">
        <v>2924</v>
      </c>
      <c r="R705" t="s">
        <v>3219</v>
      </c>
      <c r="S705" t="s">
        <v>2208</v>
      </c>
      <c r="T705" t="s">
        <v>2208</v>
      </c>
    </row>
    <row r="706" spans="1:20">
      <c r="A706" t="s">
        <v>2239</v>
      </c>
      <c r="B706" t="s">
        <v>16360</v>
      </c>
      <c r="C706">
        <v>45806</v>
      </c>
      <c r="D706" t="s">
        <v>7263</v>
      </c>
      <c r="E706" t="s">
        <v>16361</v>
      </c>
      <c r="F706">
        <v>45806</v>
      </c>
      <c r="G706" t="s">
        <v>2208</v>
      </c>
      <c r="H706" t="s">
        <v>2916</v>
      </c>
      <c r="I706" t="s">
        <v>17825</v>
      </c>
      <c r="J706">
        <v>0</v>
      </c>
      <c r="K706">
        <v>762.71</v>
      </c>
      <c r="L706" t="s">
        <v>2917</v>
      </c>
      <c r="M706">
        <v>4296.96</v>
      </c>
      <c r="N706" t="s">
        <v>2918</v>
      </c>
      <c r="O706" t="s">
        <v>3313</v>
      </c>
      <c r="P706" t="s">
        <v>2208</v>
      </c>
      <c r="Q706" t="s">
        <v>2929</v>
      </c>
      <c r="R706" t="s">
        <v>3228</v>
      </c>
      <c r="S706" t="s">
        <v>2208</v>
      </c>
      <c r="T706" t="s">
        <v>2208</v>
      </c>
    </row>
    <row r="707" spans="1:20">
      <c r="A707" t="s">
        <v>2239</v>
      </c>
      <c r="B707" t="s">
        <v>16360</v>
      </c>
      <c r="C707">
        <v>45808</v>
      </c>
      <c r="D707" t="s">
        <v>7263</v>
      </c>
      <c r="E707" t="s">
        <v>16361</v>
      </c>
      <c r="F707">
        <v>45808</v>
      </c>
      <c r="G707" t="s">
        <v>2208</v>
      </c>
      <c r="H707" t="s">
        <v>2916</v>
      </c>
      <c r="I707" t="s">
        <v>17856</v>
      </c>
      <c r="J707">
        <v>0</v>
      </c>
      <c r="K707">
        <v>-7.0000000000000007E-2</v>
      </c>
      <c r="L707" t="s">
        <v>2917</v>
      </c>
      <c r="M707">
        <v>0</v>
      </c>
      <c r="N707" t="s">
        <v>2918</v>
      </c>
      <c r="O707" t="s">
        <v>2919</v>
      </c>
      <c r="P707" t="s">
        <v>2208</v>
      </c>
      <c r="Q707" t="s">
        <v>2916</v>
      </c>
      <c r="R707" t="s">
        <v>3220</v>
      </c>
      <c r="S707" t="s">
        <v>2208</v>
      </c>
      <c r="T707" t="s">
        <v>2208</v>
      </c>
    </row>
    <row r="708" spans="1:20">
      <c r="A708" t="s">
        <v>2239</v>
      </c>
      <c r="B708" t="s">
        <v>16360</v>
      </c>
      <c r="C708">
        <v>45808</v>
      </c>
      <c r="D708" t="s">
        <v>7263</v>
      </c>
      <c r="E708" t="s">
        <v>16361</v>
      </c>
      <c r="F708">
        <v>45808</v>
      </c>
      <c r="G708" t="s">
        <v>2208</v>
      </c>
      <c r="H708" t="s">
        <v>2916</v>
      </c>
      <c r="I708" t="s">
        <v>17857</v>
      </c>
      <c r="J708">
        <v>0</v>
      </c>
      <c r="K708">
        <v>-7.0000000000000007E-2</v>
      </c>
      <c r="L708" t="s">
        <v>2917</v>
      </c>
      <c r="M708">
        <v>0</v>
      </c>
      <c r="N708" t="s">
        <v>2918</v>
      </c>
      <c r="O708" t="s">
        <v>2919</v>
      </c>
      <c r="P708" t="s">
        <v>2208</v>
      </c>
      <c r="Q708" t="s">
        <v>2916</v>
      </c>
      <c r="R708" t="s">
        <v>3220</v>
      </c>
      <c r="S708" t="s">
        <v>2208</v>
      </c>
      <c r="T708" t="s">
        <v>2208</v>
      </c>
    </row>
    <row r="709" spans="1:20">
      <c r="A709" t="s">
        <v>2239</v>
      </c>
      <c r="B709" t="s">
        <v>16360</v>
      </c>
      <c r="C709">
        <v>45808</v>
      </c>
      <c r="D709" t="s">
        <v>7263</v>
      </c>
      <c r="E709" t="s">
        <v>16361</v>
      </c>
      <c r="F709">
        <v>45808</v>
      </c>
      <c r="G709" t="s">
        <v>2208</v>
      </c>
      <c r="H709" t="s">
        <v>2916</v>
      </c>
      <c r="I709" t="s">
        <v>17858</v>
      </c>
      <c r="J709">
        <v>0</v>
      </c>
      <c r="K709">
        <v>-7.0000000000000007E-2</v>
      </c>
      <c r="L709" t="s">
        <v>2917</v>
      </c>
      <c r="M709">
        <v>0</v>
      </c>
      <c r="N709" t="s">
        <v>2918</v>
      </c>
      <c r="O709" t="s">
        <v>2919</v>
      </c>
      <c r="P709" t="s">
        <v>2208</v>
      </c>
      <c r="Q709" t="s">
        <v>2916</v>
      </c>
      <c r="R709" t="s">
        <v>3220</v>
      </c>
      <c r="S709" t="s">
        <v>2208</v>
      </c>
      <c r="T709" t="s">
        <v>2208</v>
      </c>
    </row>
    <row r="710" spans="1:20">
      <c r="A710" t="s">
        <v>2239</v>
      </c>
      <c r="B710" t="s">
        <v>16360</v>
      </c>
      <c r="C710">
        <v>45808</v>
      </c>
      <c r="D710" t="s">
        <v>7263</v>
      </c>
      <c r="E710" t="s">
        <v>16361</v>
      </c>
      <c r="F710">
        <v>45808</v>
      </c>
      <c r="G710" t="s">
        <v>2208</v>
      </c>
      <c r="H710" t="s">
        <v>2916</v>
      </c>
      <c r="I710" t="s">
        <v>17859</v>
      </c>
      <c r="J710">
        <v>0</v>
      </c>
      <c r="K710">
        <v>-7.0000000000000007E-2</v>
      </c>
      <c r="L710" t="s">
        <v>2917</v>
      </c>
      <c r="M710">
        <v>0</v>
      </c>
      <c r="N710" t="s">
        <v>2918</v>
      </c>
      <c r="O710" t="s">
        <v>2919</v>
      </c>
      <c r="P710" t="s">
        <v>2208</v>
      </c>
      <c r="Q710" t="s">
        <v>2916</v>
      </c>
      <c r="R710" t="s">
        <v>3220</v>
      </c>
      <c r="S710" t="s">
        <v>2208</v>
      </c>
      <c r="T710" t="s">
        <v>2208</v>
      </c>
    </row>
    <row r="711" spans="1:20">
      <c r="A711" t="s">
        <v>2239</v>
      </c>
      <c r="B711" t="s">
        <v>17897</v>
      </c>
      <c r="C711">
        <v>45717</v>
      </c>
      <c r="D711" t="s">
        <v>7263</v>
      </c>
      <c r="E711" t="s">
        <v>17898</v>
      </c>
      <c r="F711">
        <v>45810</v>
      </c>
      <c r="G711" t="s">
        <v>6824</v>
      </c>
      <c r="H711" t="s">
        <v>2916</v>
      </c>
      <c r="I711" t="s">
        <v>17967</v>
      </c>
      <c r="J711">
        <v>0</v>
      </c>
      <c r="K711">
        <v>215.81</v>
      </c>
      <c r="L711" t="s">
        <v>2917</v>
      </c>
      <c r="M711">
        <v>1224.8</v>
      </c>
      <c r="N711" t="s">
        <v>2918</v>
      </c>
      <c r="O711" t="s">
        <v>17968</v>
      </c>
      <c r="P711" t="s">
        <v>6825</v>
      </c>
      <c r="Q711" t="s">
        <v>2931</v>
      </c>
      <c r="R711" t="s">
        <v>2932</v>
      </c>
      <c r="S711" t="s">
        <v>6826</v>
      </c>
      <c r="T711" t="s">
        <v>6825</v>
      </c>
    </row>
    <row r="712" spans="1:20">
      <c r="A712" t="s">
        <v>2239</v>
      </c>
      <c r="B712" t="s">
        <v>17897</v>
      </c>
      <c r="C712">
        <v>45717</v>
      </c>
      <c r="D712" t="s">
        <v>7263</v>
      </c>
      <c r="E712" t="s">
        <v>17898</v>
      </c>
      <c r="F712">
        <v>45810</v>
      </c>
      <c r="G712" t="s">
        <v>6824</v>
      </c>
      <c r="H712" t="s">
        <v>2916</v>
      </c>
      <c r="I712" t="s">
        <v>17969</v>
      </c>
      <c r="J712">
        <v>0</v>
      </c>
      <c r="K712">
        <v>215.81</v>
      </c>
      <c r="L712" t="s">
        <v>2917</v>
      </c>
      <c r="M712">
        <v>1224.8</v>
      </c>
      <c r="N712" t="s">
        <v>2918</v>
      </c>
      <c r="O712" t="s">
        <v>17970</v>
      </c>
      <c r="P712" t="s">
        <v>6825</v>
      </c>
      <c r="Q712" t="s">
        <v>2931</v>
      </c>
      <c r="R712" t="s">
        <v>2932</v>
      </c>
      <c r="S712" t="s">
        <v>6826</v>
      </c>
      <c r="T712" t="s">
        <v>6825</v>
      </c>
    </row>
    <row r="713" spans="1:20">
      <c r="A713" t="s">
        <v>2239</v>
      </c>
      <c r="B713" t="s">
        <v>17897</v>
      </c>
      <c r="C713">
        <v>45717</v>
      </c>
      <c r="D713" t="s">
        <v>7263</v>
      </c>
      <c r="E713" t="s">
        <v>17898</v>
      </c>
      <c r="F713">
        <v>45810</v>
      </c>
      <c r="G713" t="s">
        <v>6824</v>
      </c>
      <c r="H713" t="s">
        <v>2916</v>
      </c>
      <c r="I713" t="s">
        <v>17971</v>
      </c>
      <c r="J713">
        <v>0</v>
      </c>
      <c r="K713">
        <v>215.81</v>
      </c>
      <c r="L713" t="s">
        <v>2917</v>
      </c>
      <c r="M713">
        <v>1224.8</v>
      </c>
      <c r="N713" t="s">
        <v>2918</v>
      </c>
      <c r="O713" t="s">
        <v>17972</v>
      </c>
      <c r="P713" t="s">
        <v>6825</v>
      </c>
      <c r="Q713" t="s">
        <v>2931</v>
      </c>
      <c r="R713" t="s">
        <v>2932</v>
      </c>
      <c r="S713" t="s">
        <v>6826</v>
      </c>
      <c r="T713" t="s">
        <v>6825</v>
      </c>
    </row>
    <row r="714" spans="1:20">
      <c r="A714" t="s">
        <v>2239</v>
      </c>
      <c r="B714" t="s">
        <v>17897</v>
      </c>
      <c r="C714">
        <v>45717</v>
      </c>
      <c r="D714" t="s">
        <v>7263</v>
      </c>
      <c r="E714" t="s">
        <v>17898</v>
      </c>
      <c r="F714">
        <v>45810</v>
      </c>
      <c r="G714" t="s">
        <v>6824</v>
      </c>
      <c r="H714" t="s">
        <v>2916</v>
      </c>
      <c r="I714" t="s">
        <v>17973</v>
      </c>
      <c r="J714">
        <v>0</v>
      </c>
      <c r="K714">
        <v>215.81</v>
      </c>
      <c r="L714" t="s">
        <v>2917</v>
      </c>
      <c r="M714">
        <v>1224.8</v>
      </c>
      <c r="N714" t="s">
        <v>2918</v>
      </c>
      <c r="O714" t="s">
        <v>17974</v>
      </c>
      <c r="P714" t="s">
        <v>6825</v>
      </c>
      <c r="Q714" t="s">
        <v>2931</v>
      </c>
      <c r="R714" t="s">
        <v>2932</v>
      </c>
      <c r="S714" t="s">
        <v>6826</v>
      </c>
      <c r="T714" t="s">
        <v>6825</v>
      </c>
    </row>
    <row r="715" spans="1:20">
      <c r="A715" t="s">
        <v>2239</v>
      </c>
      <c r="B715" t="s">
        <v>17897</v>
      </c>
      <c r="C715">
        <v>45717</v>
      </c>
      <c r="D715" t="s">
        <v>7263</v>
      </c>
      <c r="E715" t="s">
        <v>17898</v>
      </c>
      <c r="F715">
        <v>45810</v>
      </c>
      <c r="G715" t="s">
        <v>6824</v>
      </c>
      <c r="H715" t="s">
        <v>2916</v>
      </c>
      <c r="I715" t="s">
        <v>17975</v>
      </c>
      <c r="J715">
        <v>0</v>
      </c>
      <c r="K715">
        <v>215.81</v>
      </c>
      <c r="L715" t="s">
        <v>2917</v>
      </c>
      <c r="M715">
        <v>1224.8</v>
      </c>
      <c r="N715" t="s">
        <v>2918</v>
      </c>
      <c r="O715" t="s">
        <v>17976</v>
      </c>
      <c r="P715" t="s">
        <v>6825</v>
      </c>
      <c r="Q715" t="s">
        <v>2931</v>
      </c>
      <c r="R715" t="s">
        <v>2932</v>
      </c>
      <c r="S715" t="s">
        <v>6826</v>
      </c>
      <c r="T715" t="s">
        <v>6825</v>
      </c>
    </row>
    <row r="716" spans="1:20">
      <c r="A716" t="s">
        <v>2239</v>
      </c>
      <c r="B716" t="s">
        <v>17897</v>
      </c>
      <c r="C716">
        <v>45717</v>
      </c>
      <c r="D716" t="s">
        <v>7263</v>
      </c>
      <c r="E716" t="s">
        <v>17898</v>
      </c>
      <c r="F716">
        <v>45810</v>
      </c>
      <c r="G716" t="s">
        <v>6824</v>
      </c>
      <c r="H716" t="s">
        <v>2916</v>
      </c>
      <c r="I716" t="s">
        <v>17977</v>
      </c>
      <c r="J716">
        <v>0</v>
      </c>
      <c r="K716">
        <v>215.81</v>
      </c>
      <c r="L716" t="s">
        <v>2917</v>
      </c>
      <c r="M716">
        <v>1224.8</v>
      </c>
      <c r="N716" t="s">
        <v>2918</v>
      </c>
      <c r="O716" t="s">
        <v>17978</v>
      </c>
      <c r="P716" t="s">
        <v>6825</v>
      </c>
      <c r="Q716" t="s">
        <v>2931</v>
      </c>
      <c r="R716" t="s">
        <v>2932</v>
      </c>
      <c r="S716" t="s">
        <v>6826</v>
      </c>
      <c r="T716" t="s">
        <v>6825</v>
      </c>
    </row>
    <row r="717" spans="1:20">
      <c r="A717" t="s">
        <v>2239</v>
      </c>
      <c r="B717" t="s">
        <v>17897</v>
      </c>
      <c r="C717">
        <v>45717</v>
      </c>
      <c r="D717" t="s">
        <v>7263</v>
      </c>
      <c r="E717" t="s">
        <v>17898</v>
      </c>
      <c r="F717">
        <v>45810</v>
      </c>
      <c r="G717" t="s">
        <v>6824</v>
      </c>
      <c r="H717" t="s">
        <v>2916</v>
      </c>
      <c r="I717" t="s">
        <v>17979</v>
      </c>
      <c r="J717">
        <v>0</v>
      </c>
      <c r="K717">
        <v>215.81</v>
      </c>
      <c r="L717" t="s">
        <v>2917</v>
      </c>
      <c r="M717">
        <v>1224.8</v>
      </c>
      <c r="N717" t="s">
        <v>2918</v>
      </c>
      <c r="O717" t="s">
        <v>17980</v>
      </c>
      <c r="P717" t="s">
        <v>6825</v>
      </c>
      <c r="Q717" t="s">
        <v>2931</v>
      </c>
      <c r="R717" t="s">
        <v>2932</v>
      </c>
      <c r="S717" t="s">
        <v>6826</v>
      </c>
      <c r="T717" t="s">
        <v>6825</v>
      </c>
    </row>
    <row r="718" spans="1:20">
      <c r="A718" t="s">
        <v>2239</v>
      </c>
      <c r="B718" t="s">
        <v>17897</v>
      </c>
      <c r="C718">
        <v>45717</v>
      </c>
      <c r="D718" t="s">
        <v>7263</v>
      </c>
      <c r="E718" t="s">
        <v>17898</v>
      </c>
      <c r="F718">
        <v>45810</v>
      </c>
      <c r="G718" t="s">
        <v>6824</v>
      </c>
      <c r="H718" t="s">
        <v>2916</v>
      </c>
      <c r="I718" t="s">
        <v>17981</v>
      </c>
      <c r="J718">
        <v>0</v>
      </c>
      <c r="K718">
        <v>215.81</v>
      </c>
      <c r="L718" t="s">
        <v>2917</v>
      </c>
      <c r="M718">
        <v>1224.8</v>
      </c>
      <c r="N718" t="s">
        <v>2918</v>
      </c>
      <c r="O718" t="s">
        <v>17982</v>
      </c>
      <c r="P718" t="s">
        <v>6825</v>
      </c>
      <c r="Q718" t="s">
        <v>2931</v>
      </c>
      <c r="R718" t="s">
        <v>2932</v>
      </c>
      <c r="S718" t="s">
        <v>6826</v>
      </c>
      <c r="T718" t="s">
        <v>6825</v>
      </c>
    </row>
    <row r="719" spans="1:20">
      <c r="A719" t="s">
        <v>2239</v>
      </c>
      <c r="B719" t="s">
        <v>17897</v>
      </c>
      <c r="C719">
        <v>45717</v>
      </c>
      <c r="D719" t="s">
        <v>7263</v>
      </c>
      <c r="E719" t="s">
        <v>17898</v>
      </c>
      <c r="F719">
        <v>45810</v>
      </c>
      <c r="G719" t="s">
        <v>6824</v>
      </c>
      <c r="H719" t="s">
        <v>2916</v>
      </c>
      <c r="I719" t="s">
        <v>17983</v>
      </c>
      <c r="J719">
        <v>0</v>
      </c>
      <c r="K719">
        <v>215.81</v>
      </c>
      <c r="L719" t="s">
        <v>2917</v>
      </c>
      <c r="M719">
        <v>1224.8</v>
      </c>
      <c r="N719" t="s">
        <v>2918</v>
      </c>
      <c r="O719" t="s">
        <v>17984</v>
      </c>
      <c r="P719" t="s">
        <v>6825</v>
      </c>
      <c r="Q719" t="s">
        <v>2931</v>
      </c>
      <c r="R719" t="s">
        <v>2932</v>
      </c>
      <c r="S719" t="s">
        <v>6826</v>
      </c>
      <c r="T719" t="s">
        <v>6825</v>
      </c>
    </row>
    <row r="720" spans="1:20">
      <c r="A720" t="s">
        <v>2239</v>
      </c>
      <c r="B720" t="s">
        <v>17897</v>
      </c>
      <c r="C720">
        <v>45717</v>
      </c>
      <c r="D720" t="s">
        <v>7263</v>
      </c>
      <c r="E720" t="s">
        <v>17898</v>
      </c>
      <c r="F720">
        <v>45810</v>
      </c>
      <c r="G720" t="s">
        <v>6824</v>
      </c>
      <c r="H720" t="s">
        <v>2916</v>
      </c>
      <c r="I720" t="s">
        <v>17985</v>
      </c>
      <c r="J720">
        <v>0</v>
      </c>
      <c r="K720">
        <v>215.81</v>
      </c>
      <c r="L720" t="s">
        <v>2917</v>
      </c>
      <c r="M720">
        <v>1224.8</v>
      </c>
      <c r="N720" t="s">
        <v>2918</v>
      </c>
      <c r="O720" t="s">
        <v>17986</v>
      </c>
      <c r="P720" t="s">
        <v>6825</v>
      </c>
      <c r="Q720" t="s">
        <v>2931</v>
      </c>
      <c r="R720" t="s">
        <v>2932</v>
      </c>
      <c r="S720" t="s">
        <v>6826</v>
      </c>
      <c r="T720" t="s">
        <v>6825</v>
      </c>
    </row>
    <row r="721" spans="1:20">
      <c r="A721" t="s">
        <v>2239</v>
      </c>
      <c r="B721" t="s">
        <v>17897</v>
      </c>
      <c r="C721">
        <v>45832</v>
      </c>
      <c r="D721" t="s">
        <v>7263</v>
      </c>
      <c r="E721" t="s">
        <v>17898</v>
      </c>
      <c r="F721">
        <v>45832</v>
      </c>
      <c r="G721" t="s">
        <v>2208</v>
      </c>
      <c r="H721" t="s">
        <v>2916</v>
      </c>
      <c r="I721" t="s">
        <v>18997</v>
      </c>
      <c r="J721">
        <v>0</v>
      </c>
      <c r="K721">
        <v>-757.12</v>
      </c>
      <c r="L721" t="s">
        <v>2917</v>
      </c>
      <c r="M721">
        <v>-4296.96</v>
      </c>
      <c r="N721" t="s">
        <v>2918</v>
      </c>
      <c r="O721" t="s">
        <v>3313</v>
      </c>
      <c r="P721" t="s">
        <v>2208</v>
      </c>
      <c r="Q721" t="s">
        <v>2929</v>
      </c>
      <c r="R721" t="s">
        <v>3228</v>
      </c>
      <c r="S721" t="s">
        <v>2208</v>
      </c>
      <c r="T721" t="s">
        <v>2208</v>
      </c>
    </row>
    <row r="722" spans="1:20">
      <c r="A722" t="s">
        <v>2239</v>
      </c>
      <c r="B722" t="s">
        <v>17897</v>
      </c>
      <c r="C722">
        <v>45832</v>
      </c>
      <c r="D722" t="s">
        <v>7263</v>
      </c>
      <c r="E722" t="s">
        <v>17898</v>
      </c>
      <c r="F722">
        <v>45832</v>
      </c>
      <c r="G722" t="s">
        <v>2208</v>
      </c>
      <c r="H722" t="s">
        <v>2916</v>
      </c>
      <c r="I722" t="s">
        <v>19049</v>
      </c>
      <c r="J722">
        <v>0</v>
      </c>
      <c r="K722">
        <v>757.12</v>
      </c>
      <c r="L722" t="s">
        <v>2917</v>
      </c>
      <c r="M722">
        <v>4296.96</v>
      </c>
      <c r="N722" t="s">
        <v>2918</v>
      </c>
      <c r="O722" t="s">
        <v>7585</v>
      </c>
      <c r="P722" t="s">
        <v>2208</v>
      </c>
      <c r="Q722" t="s">
        <v>2927</v>
      </c>
      <c r="R722" t="s">
        <v>3222</v>
      </c>
      <c r="S722" t="s">
        <v>6826</v>
      </c>
      <c r="T722" t="s">
        <v>6825</v>
      </c>
    </row>
    <row r="723" spans="1:20">
      <c r="A723" t="s">
        <v>2239</v>
      </c>
      <c r="B723" t="s">
        <v>17897</v>
      </c>
      <c r="C723">
        <v>45838</v>
      </c>
      <c r="D723" t="s">
        <v>7263</v>
      </c>
      <c r="E723" t="s">
        <v>17898</v>
      </c>
      <c r="F723">
        <v>45838</v>
      </c>
      <c r="G723" t="s">
        <v>2208</v>
      </c>
      <c r="H723" t="s">
        <v>2916</v>
      </c>
      <c r="I723" t="s">
        <v>19255</v>
      </c>
      <c r="J723">
        <v>0</v>
      </c>
      <c r="K723">
        <v>-0.01</v>
      </c>
      <c r="L723" t="s">
        <v>2917</v>
      </c>
      <c r="M723">
        <v>0</v>
      </c>
      <c r="N723" t="s">
        <v>2918</v>
      </c>
      <c r="O723" t="s">
        <v>2919</v>
      </c>
      <c r="P723" t="s">
        <v>2208</v>
      </c>
      <c r="Q723" t="s">
        <v>2916</v>
      </c>
      <c r="R723" t="s">
        <v>3220</v>
      </c>
      <c r="S723" t="s">
        <v>2208</v>
      </c>
      <c r="T723" t="s">
        <v>2208</v>
      </c>
    </row>
    <row r="724" spans="1:20">
      <c r="A724" t="s">
        <v>2239</v>
      </c>
      <c r="B724" t="s">
        <v>17897</v>
      </c>
      <c r="C724">
        <v>45838</v>
      </c>
      <c r="D724" t="s">
        <v>7263</v>
      </c>
      <c r="E724" t="s">
        <v>17898</v>
      </c>
      <c r="F724">
        <v>45838</v>
      </c>
      <c r="G724" t="s">
        <v>2208</v>
      </c>
      <c r="H724" t="s">
        <v>2916</v>
      </c>
      <c r="I724" t="s">
        <v>19256</v>
      </c>
      <c r="J724">
        <v>0</v>
      </c>
      <c r="K724">
        <v>0.01</v>
      </c>
      <c r="L724" t="s">
        <v>2917</v>
      </c>
      <c r="M724">
        <v>0</v>
      </c>
      <c r="N724" t="s">
        <v>2918</v>
      </c>
      <c r="O724" t="s">
        <v>2919</v>
      </c>
      <c r="P724" t="s">
        <v>2208</v>
      </c>
      <c r="Q724" t="s">
        <v>2916</v>
      </c>
      <c r="R724" t="s">
        <v>3220</v>
      </c>
      <c r="S724" t="s">
        <v>2208</v>
      </c>
      <c r="T724" t="s">
        <v>2208</v>
      </c>
    </row>
    <row r="725" spans="1:20">
      <c r="A725" t="s">
        <v>2239</v>
      </c>
      <c r="B725" t="s">
        <v>11331</v>
      </c>
      <c r="C725">
        <v>45758</v>
      </c>
      <c r="D725" t="s">
        <v>7263</v>
      </c>
      <c r="E725" t="s">
        <v>11332</v>
      </c>
      <c r="F725">
        <v>45762</v>
      </c>
      <c r="G725" t="s">
        <v>12302</v>
      </c>
      <c r="H725" t="s">
        <v>2916</v>
      </c>
      <c r="I725" t="s">
        <v>12303</v>
      </c>
      <c r="J725">
        <v>10</v>
      </c>
      <c r="K725">
        <v>376.23</v>
      </c>
      <c r="L725" t="s">
        <v>2917</v>
      </c>
      <c r="M725">
        <v>2166.59</v>
      </c>
      <c r="N725" t="s">
        <v>2918</v>
      </c>
      <c r="O725" t="s">
        <v>12304</v>
      </c>
      <c r="P725" t="s">
        <v>12305</v>
      </c>
      <c r="Q725" t="s">
        <v>2924</v>
      </c>
      <c r="R725" t="s">
        <v>3219</v>
      </c>
      <c r="S725" t="s">
        <v>12306</v>
      </c>
      <c r="T725" t="s">
        <v>12305</v>
      </c>
    </row>
    <row r="726" spans="1:20">
      <c r="A726" t="s">
        <v>2239</v>
      </c>
      <c r="B726" t="s">
        <v>11331</v>
      </c>
      <c r="C726">
        <v>45758</v>
      </c>
      <c r="D726" t="s">
        <v>7263</v>
      </c>
      <c r="E726" t="s">
        <v>11332</v>
      </c>
      <c r="F726">
        <v>45762</v>
      </c>
      <c r="G726" t="s">
        <v>12302</v>
      </c>
      <c r="H726" t="s">
        <v>2916</v>
      </c>
      <c r="I726" t="s">
        <v>12307</v>
      </c>
      <c r="J726">
        <v>0</v>
      </c>
      <c r="K726">
        <v>-96.26</v>
      </c>
      <c r="L726" t="s">
        <v>2917</v>
      </c>
      <c r="M726">
        <v>-554.30999999999995</v>
      </c>
      <c r="N726" t="s">
        <v>2918</v>
      </c>
      <c r="O726" t="s">
        <v>12308</v>
      </c>
      <c r="P726" t="s">
        <v>12305</v>
      </c>
      <c r="Q726" t="s">
        <v>2924</v>
      </c>
      <c r="R726" t="s">
        <v>3219</v>
      </c>
      <c r="S726" t="s">
        <v>12306</v>
      </c>
      <c r="T726" t="s">
        <v>12305</v>
      </c>
    </row>
    <row r="727" spans="1:20">
      <c r="A727" t="s">
        <v>2239</v>
      </c>
      <c r="B727" t="s">
        <v>11331</v>
      </c>
      <c r="C727">
        <v>45777</v>
      </c>
      <c r="D727" t="s">
        <v>7263</v>
      </c>
      <c r="E727" t="s">
        <v>11332</v>
      </c>
      <c r="F727">
        <v>45777</v>
      </c>
      <c r="G727" t="s">
        <v>2208</v>
      </c>
      <c r="H727" t="s">
        <v>2916</v>
      </c>
      <c r="I727" t="s">
        <v>16374</v>
      </c>
      <c r="J727">
        <v>0</v>
      </c>
      <c r="K727">
        <v>-0.05</v>
      </c>
      <c r="L727" t="s">
        <v>2917</v>
      </c>
      <c r="M727">
        <v>0</v>
      </c>
      <c r="N727" t="s">
        <v>2918</v>
      </c>
      <c r="O727" t="s">
        <v>2919</v>
      </c>
      <c r="P727" t="s">
        <v>2208</v>
      </c>
      <c r="Q727" t="s">
        <v>2916</v>
      </c>
      <c r="R727" t="s">
        <v>3220</v>
      </c>
      <c r="S727" t="s">
        <v>2208</v>
      </c>
      <c r="T727" t="s">
        <v>2208</v>
      </c>
    </row>
    <row r="728" spans="1:20">
      <c r="A728" t="s">
        <v>2239</v>
      </c>
      <c r="B728" t="s">
        <v>16360</v>
      </c>
      <c r="C728">
        <v>45796</v>
      </c>
      <c r="D728" t="s">
        <v>7263</v>
      </c>
      <c r="E728" t="s">
        <v>16361</v>
      </c>
      <c r="F728">
        <v>45797</v>
      </c>
      <c r="G728" t="s">
        <v>12302</v>
      </c>
      <c r="H728" t="s">
        <v>2916</v>
      </c>
      <c r="I728" t="s">
        <v>17264</v>
      </c>
      <c r="J728">
        <v>4</v>
      </c>
      <c r="K728">
        <v>1386.46</v>
      </c>
      <c r="L728" t="s">
        <v>2917</v>
      </c>
      <c r="M728">
        <v>7811.07</v>
      </c>
      <c r="N728" t="s">
        <v>2918</v>
      </c>
      <c r="O728" t="s">
        <v>17265</v>
      </c>
      <c r="P728" t="s">
        <v>17266</v>
      </c>
      <c r="Q728" t="s">
        <v>2924</v>
      </c>
      <c r="R728" t="s">
        <v>3219</v>
      </c>
      <c r="S728" t="s">
        <v>17267</v>
      </c>
      <c r="T728" t="s">
        <v>17268</v>
      </c>
    </row>
    <row r="729" spans="1:20">
      <c r="A729" t="s">
        <v>2239</v>
      </c>
      <c r="B729" t="s">
        <v>16360</v>
      </c>
      <c r="C729">
        <v>45796</v>
      </c>
      <c r="D729" t="s">
        <v>7263</v>
      </c>
      <c r="E729" t="s">
        <v>16361</v>
      </c>
      <c r="F729">
        <v>45797</v>
      </c>
      <c r="G729" t="s">
        <v>12302</v>
      </c>
      <c r="H729" t="s">
        <v>2916</v>
      </c>
      <c r="I729" t="s">
        <v>17269</v>
      </c>
      <c r="J729">
        <v>0</v>
      </c>
      <c r="K729">
        <v>-354.73</v>
      </c>
      <c r="L729" t="s">
        <v>2917</v>
      </c>
      <c r="M729">
        <v>-1998.48</v>
      </c>
      <c r="N729" t="s">
        <v>2918</v>
      </c>
      <c r="O729" t="s">
        <v>17270</v>
      </c>
      <c r="P729" t="s">
        <v>17266</v>
      </c>
      <c r="Q729" t="s">
        <v>2924</v>
      </c>
      <c r="R729" t="s">
        <v>3219</v>
      </c>
      <c r="S729" t="s">
        <v>17267</v>
      </c>
      <c r="T729" t="s">
        <v>17268</v>
      </c>
    </row>
    <row r="730" spans="1:20">
      <c r="A730" t="s">
        <v>2239</v>
      </c>
      <c r="B730" t="s">
        <v>16360</v>
      </c>
      <c r="C730">
        <v>45808</v>
      </c>
      <c r="D730" t="s">
        <v>7263</v>
      </c>
      <c r="E730" t="s">
        <v>16361</v>
      </c>
      <c r="F730">
        <v>45808</v>
      </c>
      <c r="G730" t="s">
        <v>2208</v>
      </c>
      <c r="H730" t="s">
        <v>2916</v>
      </c>
      <c r="I730" t="s">
        <v>17860</v>
      </c>
      <c r="J730">
        <v>0</v>
      </c>
      <c r="K730">
        <v>0.08</v>
      </c>
      <c r="L730" t="s">
        <v>2917</v>
      </c>
      <c r="M730">
        <v>0</v>
      </c>
      <c r="N730" t="s">
        <v>2918</v>
      </c>
      <c r="O730" t="s">
        <v>2919</v>
      </c>
      <c r="P730" t="s">
        <v>2208</v>
      </c>
      <c r="Q730" t="s">
        <v>2916</v>
      </c>
      <c r="R730" t="s">
        <v>3220</v>
      </c>
      <c r="S730" t="s">
        <v>2208</v>
      </c>
      <c r="T730" t="s">
        <v>2208</v>
      </c>
    </row>
    <row r="731" spans="1:20">
      <c r="A731" t="s">
        <v>2239</v>
      </c>
      <c r="B731" t="s">
        <v>19439</v>
      </c>
      <c r="C731">
        <v>45831</v>
      </c>
      <c r="D731" t="s">
        <v>7263</v>
      </c>
      <c r="E731" t="s">
        <v>19440</v>
      </c>
      <c r="F731">
        <v>45839</v>
      </c>
      <c r="G731" t="s">
        <v>19534</v>
      </c>
      <c r="H731" t="s">
        <v>2916</v>
      </c>
      <c r="I731" t="s">
        <v>19535</v>
      </c>
      <c r="J731">
        <v>15</v>
      </c>
      <c r="K731">
        <v>59.95</v>
      </c>
      <c r="L731" t="s">
        <v>2917</v>
      </c>
      <c r="M731">
        <v>328.17</v>
      </c>
      <c r="N731" t="s">
        <v>2918</v>
      </c>
      <c r="O731" t="s">
        <v>19536</v>
      </c>
      <c r="P731" t="s">
        <v>19537</v>
      </c>
      <c r="Q731" t="s">
        <v>2924</v>
      </c>
      <c r="R731" t="s">
        <v>3219</v>
      </c>
      <c r="S731" t="s">
        <v>19538</v>
      </c>
      <c r="T731" t="s">
        <v>19539</v>
      </c>
    </row>
    <row r="732" spans="1:20">
      <c r="A732" t="s">
        <v>2239</v>
      </c>
      <c r="B732" t="s">
        <v>19439</v>
      </c>
      <c r="C732">
        <v>45831</v>
      </c>
      <c r="D732" t="s">
        <v>7263</v>
      </c>
      <c r="E732" t="s">
        <v>19440</v>
      </c>
      <c r="F732">
        <v>45839</v>
      </c>
      <c r="G732" t="s">
        <v>19534</v>
      </c>
      <c r="H732" t="s">
        <v>2916</v>
      </c>
      <c r="I732" t="s">
        <v>19540</v>
      </c>
      <c r="J732">
        <v>0</v>
      </c>
      <c r="K732">
        <v>-15.34</v>
      </c>
      <c r="L732" t="s">
        <v>2917</v>
      </c>
      <c r="M732">
        <v>-83.94</v>
      </c>
      <c r="N732" t="s">
        <v>2918</v>
      </c>
      <c r="O732" t="s">
        <v>19541</v>
      </c>
      <c r="P732" t="s">
        <v>19537</v>
      </c>
      <c r="Q732" t="s">
        <v>2924</v>
      </c>
      <c r="R732" t="s">
        <v>3219</v>
      </c>
      <c r="S732" t="s">
        <v>19538</v>
      </c>
      <c r="T732" t="s">
        <v>19539</v>
      </c>
    </row>
    <row r="733" spans="1:20">
      <c r="A733" t="s">
        <v>2239</v>
      </c>
      <c r="B733" t="s">
        <v>2920</v>
      </c>
      <c r="C733">
        <v>45618</v>
      </c>
      <c r="D733" t="s">
        <v>7263</v>
      </c>
      <c r="E733" t="s">
        <v>2921</v>
      </c>
      <c r="F733">
        <v>45677</v>
      </c>
      <c r="G733" t="s">
        <v>3940</v>
      </c>
      <c r="H733" t="s">
        <v>2916</v>
      </c>
      <c r="I733" t="s">
        <v>7340</v>
      </c>
      <c r="J733">
        <v>0</v>
      </c>
      <c r="K733">
        <v>-2027.62</v>
      </c>
      <c r="L733" t="s">
        <v>2917</v>
      </c>
      <c r="M733">
        <v>-7059.3</v>
      </c>
      <c r="N733" t="s">
        <v>2918</v>
      </c>
      <c r="O733" t="s">
        <v>7341</v>
      </c>
      <c r="P733" t="s">
        <v>2923</v>
      </c>
      <c r="Q733" t="s">
        <v>2924</v>
      </c>
      <c r="R733" t="s">
        <v>3219</v>
      </c>
      <c r="S733" t="s">
        <v>2208</v>
      </c>
      <c r="T733" t="s">
        <v>2208</v>
      </c>
    </row>
    <row r="734" spans="1:20">
      <c r="A734" t="s">
        <v>2239</v>
      </c>
      <c r="B734" t="s">
        <v>2920</v>
      </c>
      <c r="C734">
        <v>45170</v>
      </c>
      <c r="D734" t="s">
        <v>7263</v>
      </c>
      <c r="E734" t="s">
        <v>2921</v>
      </c>
      <c r="F734">
        <v>45681</v>
      </c>
      <c r="G734" t="s">
        <v>7594</v>
      </c>
      <c r="H734" t="s">
        <v>2916</v>
      </c>
      <c r="I734" t="s">
        <v>7595</v>
      </c>
      <c r="J734">
        <v>77817.55</v>
      </c>
      <c r="K734">
        <v>12601</v>
      </c>
      <c r="L734" t="s">
        <v>2917</v>
      </c>
      <c r="M734">
        <v>77817.55</v>
      </c>
      <c r="N734" t="s">
        <v>2918</v>
      </c>
      <c r="O734" t="s">
        <v>2940</v>
      </c>
      <c r="P734" t="s">
        <v>2940</v>
      </c>
      <c r="Q734" t="s">
        <v>2924</v>
      </c>
      <c r="R734" t="s">
        <v>3219</v>
      </c>
      <c r="S734" t="s">
        <v>2208</v>
      </c>
      <c r="T734" t="s">
        <v>2208</v>
      </c>
    </row>
    <row r="735" spans="1:20">
      <c r="A735" t="s">
        <v>2239</v>
      </c>
      <c r="B735" t="s">
        <v>2920</v>
      </c>
      <c r="C735">
        <v>45170</v>
      </c>
      <c r="D735" t="s">
        <v>7263</v>
      </c>
      <c r="E735" t="s">
        <v>2921</v>
      </c>
      <c r="F735">
        <v>45681</v>
      </c>
      <c r="G735" t="s">
        <v>7594</v>
      </c>
      <c r="H735" t="s">
        <v>2916</v>
      </c>
      <c r="I735" t="s">
        <v>7596</v>
      </c>
      <c r="J735">
        <v>15075.75</v>
      </c>
      <c r="K735">
        <v>2441.2199999999998</v>
      </c>
      <c r="L735" t="s">
        <v>2917</v>
      </c>
      <c r="M735">
        <v>15075.75</v>
      </c>
      <c r="N735" t="s">
        <v>2918</v>
      </c>
      <c r="O735" t="s">
        <v>2940</v>
      </c>
      <c r="P735" t="s">
        <v>2940</v>
      </c>
      <c r="Q735" t="s">
        <v>2924</v>
      </c>
      <c r="R735" t="s">
        <v>3219</v>
      </c>
      <c r="S735" t="s">
        <v>2208</v>
      </c>
      <c r="T735" t="s">
        <v>2208</v>
      </c>
    </row>
    <row r="736" spans="1:20">
      <c r="A736" t="s">
        <v>2239</v>
      </c>
      <c r="B736" t="s">
        <v>2920</v>
      </c>
      <c r="C736">
        <v>45428</v>
      </c>
      <c r="D736" t="s">
        <v>7263</v>
      </c>
      <c r="E736" t="s">
        <v>2921</v>
      </c>
      <c r="F736">
        <v>45684</v>
      </c>
      <c r="G736" t="s">
        <v>3940</v>
      </c>
      <c r="H736" t="s">
        <v>2916</v>
      </c>
      <c r="I736" t="s">
        <v>7597</v>
      </c>
      <c r="J736">
        <v>60483.09</v>
      </c>
      <c r="K736">
        <v>9794.0300000000007</v>
      </c>
      <c r="L736" t="s">
        <v>2917</v>
      </c>
      <c r="M736">
        <v>60483.09</v>
      </c>
      <c r="N736" t="s">
        <v>2918</v>
      </c>
      <c r="O736" t="s">
        <v>2923</v>
      </c>
      <c r="P736" t="s">
        <v>2923</v>
      </c>
      <c r="Q736" t="s">
        <v>2924</v>
      </c>
      <c r="R736" t="s">
        <v>3219</v>
      </c>
      <c r="S736" t="s">
        <v>2208</v>
      </c>
      <c r="T736" t="s">
        <v>2208</v>
      </c>
    </row>
    <row r="737" spans="1:20">
      <c r="A737" t="s">
        <v>2239</v>
      </c>
      <c r="B737" t="s">
        <v>2920</v>
      </c>
      <c r="C737">
        <v>45428</v>
      </c>
      <c r="D737" t="s">
        <v>7263</v>
      </c>
      <c r="E737" t="s">
        <v>2921</v>
      </c>
      <c r="F737">
        <v>45684</v>
      </c>
      <c r="G737" t="s">
        <v>3940</v>
      </c>
      <c r="H737" t="s">
        <v>2916</v>
      </c>
      <c r="I737" t="s">
        <v>7598</v>
      </c>
      <c r="J737">
        <v>43880.69</v>
      </c>
      <c r="K737">
        <v>7105.6</v>
      </c>
      <c r="L737" t="s">
        <v>2917</v>
      </c>
      <c r="M737">
        <v>43880.69</v>
      </c>
      <c r="N737" t="s">
        <v>2918</v>
      </c>
      <c r="O737" t="s">
        <v>2923</v>
      </c>
      <c r="P737" t="s">
        <v>2923</v>
      </c>
      <c r="Q737" t="s">
        <v>2924</v>
      </c>
      <c r="R737" t="s">
        <v>3219</v>
      </c>
      <c r="S737" t="s">
        <v>2208</v>
      </c>
      <c r="T737" t="s">
        <v>2208</v>
      </c>
    </row>
    <row r="738" spans="1:20">
      <c r="A738" t="s">
        <v>2239</v>
      </c>
      <c r="B738" t="s">
        <v>2920</v>
      </c>
      <c r="C738">
        <v>45428</v>
      </c>
      <c r="D738" t="s">
        <v>7263</v>
      </c>
      <c r="E738" t="s">
        <v>2921</v>
      </c>
      <c r="F738">
        <v>45684</v>
      </c>
      <c r="G738" t="s">
        <v>3940</v>
      </c>
      <c r="H738" t="s">
        <v>2916</v>
      </c>
      <c r="I738" t="s">
        <v>7599</v>
      </c>
      <c r="J738">
        <v>81200.320000000007</v>
      </c>
      <c r="K738">
        <v>13148.77</v>
      </c>
      <c r="L738" t="s">
        <v>2917</v>
      </c>
      <c r="M738">
        <v>81200.320000000007</v>
      </c>
      <c r="N738" t="s">
        <v>2918</v>
      </c>
      <c r="O738" t="s">
        <v>2923</v>
      </c>
      <c r="P738" t="s">
        <v>2923</v>
      </c>
      <c r="Q738" t="s">
        <v>2924</v>
      </c>
      <c r="R738" t="s">
        <v>3219</v>
      </c>
      <c r="S738" t="s">
        <v>2208</v>
      </c>
      <c r="T738" t="s">
        <v>2208</v>
      </c>
    </row>
    <row r="739" spans="1:20">
      <c r="A739" t="s">
        <v>2239</v>
      </c>
      <c r="B739" t="s">
        <v>2920</v>
      </c>
      <c r="C739">
        <v>45428</v>
      </c>
      <c r="D739" t="s">
        <v>7263</v>
      </c>
      <c r="E739" t="s">
        <v>2921</v>
      </c>
      <c r="F739">
        <v>45684</v>
      </c>
      <c r="G739" t="s">
        <v>3940</v>
      </c>
      <c r="H739" t="s">
        <v>2916</v>
      </c>
      <c r="I739" t="s">
        <v>7600</v>
      </c>
      <c r="J739">
        <v>115836.16</v>
      </c>
      <c r="K739">
        <v>18757.349999999999</v>
      </c>
      <c r="L739" t="s">
        <v>2917</v>
      </c>
      <c r="M739">
        <v>115836.16</v>
      </c>
      <c r="N739" t="s">
        <v>2918</v>
      </c>
      <c r="O739" t="s">
        <v>2923</v>
      </c>
      <c r="P739" t="s">
        <v>2923</v>
      </c>
      <c r="Q739" t="s">
        <v>2924</v>
      </c>
      <c r="R739" t="s">
        <v>3219</v>
      </c>
      <c r="S739" t="s">
        <v>2208</v>
      </c>
      <c r="T739" t="s">
        <v>2208</v>
      </c>
    </row>
    <row r="740" spans="1:20">
      <c r="A740" t="s">
        <v>2239</v>
      </c>
      <c r="B740" t="s">
        <v>2920</v>
      </c>
      <c r="C740">
        <v>45562</v>
      </c>
      <c r="D740" t="s">
        <v>7263</v>
      </c>
      <c r="E740" t="s">
        <v>2921</v>
      </c>
      <c r="F740">
        <v>45684</v>
      </c>
      <c r="G740" t="s">
        <v>7601</v>
      </c>
      <c r="H740" t="s">
        <v>2916</v>
      </c>
      <c r="I740" t="s">
        <v>7602</v>
      </c>
      <c r="J740">
        <v>215.86</v>
      </c>
      <c r="K740">
        <v>34.950000000000003</v>
      </c>
      <c r="L740" t="s">
        <v>2917</v>
      </c>
      <c r="M740">
        <v>215.86</v>
      </c>
      <c r="N740" t="s">
        <v>2918</v>
      </c>
      <c r="O740" t="s">
        <v>2939</v>
      </c>
      <c r="P740" t="s">
        <v>2939</v>
      </c>
      <c r="Q740" t="s">
        <v>2924</v>
      </c>
      <c r="R740" t="s">
        <v>3219</v>
      </c>
      <c r="S740" t="s">
        <v>2208</v>
      </c>
      <c r="T740" t="s">
        <v>2208</v>
      </c>
    </row>
    <row r="741" spans="1:20">
      <c r="A741" t="s">
        <v>2239</v>
      </c>
      <c r="B741" t="s">
        <v>2920</v>
      </c>
      <c r="C741">
        <v>45562</v>
      </c>
      <c r="D741" t="s">
        <v>7263</v>
      </c>
      <c r="E741" t="s">
        <v>2921</v>
      </c>
      <c r="F741">
        <v>45684</v>
      </c>
      <c r="G741" t="s">
        <v>7601</v>
      </c>
      <c r="H741" t="s">
        <v>2916</v>
      </c>
      <c r="I741" t="s">
        <v>7603</v>
      </c>
      <c r="J741">
        <v>25472.02</v>
      </c>
      <c r="K741">
        <v>4124.68</v>
      </c>
      <c r="L741" t="s">
        <v>2917</v>
      </c>
      <c r="M741">
        <v>25472.02</v>
      </c>
      <c r="N741" t="s">
        <v>2918</v>
      </c>
      <c r="O741" t="s">
        <v>2939</v>
      </c>
      <c r="P741" t="s">
        <v>2939</v>
      </c>
      <c r="Q741" t="s">
        <v>2924</v>
      </c>
      <c r="R741" t="s">
        <v>3219</v>
      </c>
      <c r="S741" t="s">
        <v>2208</v>
      </c>
      <c r="T741" t="s">
        <v>2208</v>
      </c>
    </row>
    <row r="742" spans="1:20">
      <c r="A742" t="s">
        <v>2239</v>
      </c>
      <c r="B742" t="s">
        <v>2920</v>
      </c>
      <c r="C742">
        <v>45562</v>
      </c>
      <c r="D742" t="s">
        <v>7263</v>
      </c>
      <c r="E742" t="s">
        <v>2921</v>
      </c>
      <c r="F742">
        <v>45684</v>
      </c>
      <c r="G742" t="s">
        <v>7601</v>
      </c>
      <c r="H742" t="s">
        <v>2916</v>
      </c>
      <c r="I742" t="s">
        <v>7604</v>
      </c>
      <c r="J742">
        <v>132577.48000000001</v>
      </c>
      <c r="K742">
        <v>21468.27</v>
      </c>
      <c r="L742" t="s">
        <v>2917</v>
      </c>
      <c r="M742">
        <v>132577.48000000001</v>
      </c>
      <c r="N742" t="s">
        <v>2918</v>
      </c>
      <c r="O742" t="s">
        <v>2939</v>
      </c>
      <c r="P742" t="s">
        <v>2939</v>
      </c>
      <c r="Q742" t="s">
        <v>2924</v>
      </c>
      <c r="R742" t="s">
        <v>3219</v>
      </c>
      <c r="S742" t="s">
        <v>2208</v>
      </c>
      <c r="T742" t="s">
        <v>2208</v>
      </c>
    </row>
    <row r="743" spans="1:20">
      <c r="A743" t="s">
        <v>2239</v>
      </c>
      <c r="B743" t="s">
        <v>2920</v>
      </c>
      <c r="C743">
        <v>45562</v>
      </c>
      <c r="D743" t="s">
        <v>7263</v>
      </c>
      <c r="E743" t="s">
        <v>2921</v>
      </c>
      <c r="F743">
        <v>45684</v>
      </c>
      <c r="G743" t="s">
        <v>7601</v>
      </c>
      <c r="H743" t="s">
        <v>2916</v>
      </c>
      <c r="I743" t="s">
        <v>7605</v>
      </c>
      <c r="J743">
        <v>80893.490000000005</v>
      </c>
      <c r="K743">
        <v>13099.08</v>
      </c>
      <c r="L743" t="s">
        <v>2917</v>
      </c>
      <c r="M743">
        <v>80893.490000000005</v>
      </c>
      <c r="N743" t="s">
        <v>2918</v>
      </c>
      <c r="O743" t="s">
        <v>2939</v>
      </c>
      <c r="P743" t="s">
        <v>2939</v>
      </c>
      <c r="Q743" t="s">
        <v>2924</v>
      </c>
      <c r="R743" t="s">
        <v>3219</v>
      </c>
      <c r="S743" t="s">
        <v>2208</v>
      </c>
      <c r="T743" t="s">
        <v>2208</v>
      </c>
    </row>
    <row r="744" spans="1:20">
      <c r="A744" t="s">
        <v>2239</v>
      </c>
      <c r="B744" t="s">
        <v>2920</v>
      </c>
      <c r="C744">
        <v>45385</v>
      </c>
      <c r="D744" t="s">
        <v>7263</v>
      </c>
      <c r="E744" t="s">
        <v>2921</v>
      </c>
      <c r="F744">
        <v>45684</v>
      </c>
      <c r="G744" t="s">
        <v>6995</v>
      </c>
      <c r="H744" t="s">
        <v>2916</v>
      </c>
      <c r="I744" t="s">
        <v>7606</v>
      </c>
      <c r="J744">
        <v>55757.59</v>
      </c>
      <c r="K744">
        <v>9028.83</v>
      </c>
      <c r="L744" t="s">
        <v>2917</v>
      </c>
      <c r="M744">
        <v>55757.59</v>
      </c>
      <c r="N744" t="s">
        <v>2918</v>
      </c>
      <c r="O744" t="s">
        <v>2940</v>
      </c>
      <c r="P744" t="s">
        <v>2940</v>
      </c>
      <c r="Q744" t="s">
        <v>2924</v>
      </c>
      <c r="R744" t="s">
        <v>3219</v>
      </c>
      <c r="S744" t="s">
        <v>2208</v>
      </c>
      <c r="T744" t="s">
        <v>2208</v>
      </c>
    </row>
    <row r="745" spans="1:20">
      <c r="A745" t="s">
        <v>2239</v>
      </c>
      <c r="B745" t="s">
        <v>2920</v>
      </c>
      <c r="C745">
        <v>45562</v>
      </c>
      <c r="D745" t="s">
        <v>7263</v>
      </c>
      <c r="E745" t="s">
        <v>2921</v>
      </c>
      <c r="F745">
        <v>45684</v>
      </c>
      <c r="G745" t="s">
        <v>7601</v>
      </c>
      <c r="H745" t="s">
        <v>2916</v>
      </c>
      <c r="I745" t="s">
        <v>7607</v>
      </c>
      <c r="J745">
        <v>60168.83</v>
      </c>
      <c r="K745">
        <v>9743.14</v>
      </c>
      <c r="L745" t="s">
        <v>2917</v>
      </c>
      <c r="M745">
        <v>60168.83</v>
      </c>
      <c r="N745" t="s">
        <v>2918</v>
      </c>
      <c r="O745" t="s">
        <v>2939</v>
      </c>
      <c r="P745" t="s">
        <v>2939</v>
      </c>
      <c r="Q745" t="s">
        <v>2924</v>
      </c>
      <c r="R745" t="s">
        <v>3219</v>
      </c>
      <c r="S745" t="s">
        <v>2208</v>
      </c>
      <c r="T745" t="s">
        <v>2208</v>
      </c>
    </row>
    <row r="746" spans="1:20">
      <c r="A746" t="s">
        <v>2239</v>
      </c>
      <c r="B746" t="s">
        <v>2920</v>
      </c>
      <c r="C746">
        <v>45385</v>
      </c>
      <c r="D746" t="s">
        <v>7263</v>
      </c>
      <c r="E746" t="s">
        <v>2921</v>
      </c>
      <c r="F746">
        <v>45684</v>
      </c>
      <c r="G746" t="s">
        <v>6995</v>
      </c>
      <c r="H746" t="s">
        <v>2916</v>
      </c>
      <c r="I746" t="s">
        <v>7608</v>
      </c>
      <c r="J746">
        <v>4843.33</v>
      </c>
      <c r="K746">
        <v>784.28</v>
      </c>
      <c r="L746" t="s">
        <v>2917</v>
      </c>
      <c r="M746">
        <v>4843.33</v>
      </c>
      <c r="N746" t="s">
        <v>2918</v>
      </c>
      <c r="O746" t="s">
        <v>2940</v>
      </c>
      <c r="P746" t="s">
        <v>2940</v>
      </c>
      <c r="Q746" t="s">
        <v>2924</v>
      </c>
      <c r="R746" t="s">
        <v>3219</v>
      </c>
      <c r="S746" t="s">
        <v>2208</v>
      </c>
      <c r="T746" t="s">
        <v>2208</v>
      </c>
    </row>
    <row r="747" spans="1:20">
      <c r="A747" t="s">
        <v>2239</v>
      </c>
      <c r="B747" t="s">
        <v>2920</v>
      </c>
      <c r="C747">
        <v>45385</v>
      </c>
      <c r="D747" t="s">
        <v>7263</v>
      </c>
      <c r="E747" t="s">
        <v>2921</v>
      </c>
      <c r="F747">
        <v>45684</v>
      </c>
      <c r="G747" t="s">
        <v>6995</v>
      </c>
      <c r="H747" t="s">
        <v>2916</v>
      </c>
      <c r="I747" t="s">
        <v>7609</v>
      </c>
      <c r="J747">
        <v>24536.9</v>
      </c>
      <c r="K747">
        <v>3973.26</v>
      </c>
      <c r="L747" t="s">
        <v>2917</v>
      </c>
      <c r="M747">
        <v>24536.9</v>
      </c>
      <c r="N747" t="s">
        <v>2918</v>
      </c>
      <c r="O747" t="s">
        <v>2940</v>
      </c>
      <c r="P747" t="s">
        <v>2940</v>
      </c>
      <c r="Q747" t="s">
        <v>2924</v>
      </c>
      <c r="R747" t="s">
        <v>3219</v>
      </c>
      <c r="S747" t="s">
        <v>2208</v>
      </c>
      <c r="T747" t="s">
        <v>2208</v>
      </c>
    </row>
    <row r="748" spans="1:20">
      <c r="A748" t="s">
        <v>2239</v>
      </c>
      <c r="B748" t="s">
        <v>2920</v>
      </c>
      <c r="C748">
        <v>45562</v>
      </c>
      <c r="D748" t="s">
        <v>7263</v>
      </c>
      <c r="E748" t="s">
        <v>2921</v>
      </c>
      <c r="F748">
        <v>45684</v>
      </c>
      <c r="G748" t="s">
        <v>7601</v>
      </c>
      <c r="H748" t="s">
        <v>2916</v>
      </c>
      <c r="I748" t="s">
        <v>7610</v>
      </c>
      <c r="J748">
        <v>5838.46</v>
      </c>
      <c r="K748">
        <v>945.42</v>
      </c>
      <c r="L748" t="s">
        <v>2917</v>
      </c>
      <c r="M748">
        <v>5838.46</v>
      </c>
      <c r="N748" t="s">
        <v>2918</v>
      </c>
      <c r="O748" t="s">
        <v>2939</v>
      </c>
      <c r="P748" t="s">
        <v>2939</v>
      </c>
      <c r="Q748" t="s">
        <v>2924</v>
      </c>
      <c r="R748" t="s">
        <v>3219</v>
      </c>
      <c r="S748" t="s">
        <v>2208</v>
      </c>
      <c r="T748" t="s">
        <v>2208</v>
      </c>
    </row>
    <row r="749" spans="1:20">
      <c r="A749" t="s">
        <v>2239</v>
      </c>
      <c r="B749" t="s">
        <v>2920</v>
      </c>
      <c r="C749">
        <v>45562</v>
      </c>
      <c r="D749" t="s">
        <v>7263</v>
      </c>
      <c r="E749" t="s">
        <v>2921</v>
      </c>
      <c r="F749">
        <v>45684</v>
      </c>
      <c r="G749" t="s">
        <v>7601</v>
      </c>
      <c r="H749" t="s">
        <v>2916</v>
      </c>
      <c r="I749" t="s">
        <v>7611</v>
      </c>
      <c r="J749">
        <v>9045.3799999999992</v>
      </c>
      <c r="K749">
        <v>1464.72</v>
      </c>
      <c r="L749" t="s">
        <v>2917</v>
      </c>
      <c r="M749">
        <v>9045.3799999999992</v>
      </c>
      <c r="N749" t="s">
        <v>2918</v>
      </c>
      <c r="O749" t="s">
        <v>2939</v>
      </c>
      <c r="P749" t="s">
        <v>2939</v>
      </c>
      <c r="Q749" t="s">
        <v>2924</v>
      </c>
      <c r="R749" t="s">
        <v>3219</v>
      </c>
      <c r="S749" t="s">
        <v>2208</v>
      </c>
      <c r="T749" t="s">
        <v>2208</v>
      </c>
    </row>
    <row r="750" spans="1:20">
      <c r="A750" t="s">
        <v>2239</v>
      </c>
      <c r="B750" t="s">
        <v>2920</v>
      </c>
      <c r="C750">
        <v>45562</v>
      </c>
      <c r="D750" t="s">
        <v>7263</v>
      </c>
      <c r="E750" t="s">
        <v>2921</v>
      </c>
      <c r="F750">
        <v>45684</v>
      </c>
      <c r="G750" t="s">
        <v>7601</v>
      </c>
      <c r="H750" t="s">
        <v>2916</v>
      </c>
      <c r="I750" t="s">
        <v>7612</v>
      </c>
      <c r="J750">
        <v>480.44</v>
      </c>
      <c r="K750">
        <v>77.8</v>
      </c>
      <c r="L750" t="s">
        <v>2917</v>
      </c>
      <c r="M750">
        <v>480.44</v>
      </c>
      <c r="N750" t="s">
        <v>2918</v>
      </c>
      <c r="O750" t="s">
        <v>2939</v>
      </c>
      <c r="P750" t="s">
        <v>2939</v>
      </c>
      <c r="Q750" t="s">
        <v>2924</v>
      </c>
      <c r="R750" t="s">
        <v>3219</v>
      </c>
      <c r="S750" t="s">
        <v>2208</v>
      </c>
      <c r="T750" t="s">
        <v>2208</v>
      </c>
    </row>
    <row r="751" spans="1:20">
      <c r="A751" t="s">
        <v>2239</v>
      </c>
      <c r="B751" t="s">
        <v>2920</v>
      </c>
      <c r="C751">
        <v>45385</v>
      </c>
      <c r="D751" t="s">
        <v>7263</v>
      </c>
      <c r="E751" t="s">
        <v>2921</v>
      </c>
      <c r="F751">
        <v>45684</v>
      </c>
      <c r="G751" t="s">
        <v>6995</v>
      </c>
      <c r="H751" t="s">
        <v>2916</v>
      </c>
      <c r="I751" t="s">
        <v>7613</v>
      </c>
      <c r="J751">
        <v>185966.27</v>
      </c>
      <c r="K751">
        <v>30113.52</v>
      </c>
      <c r="L751" t="s">
        <v>2917</v>
      </c>
      <c r="M751">
        <v>185966.27</v>
      </c>
      <c r="N751" t="s">
        <v>2918</v>
      </c>
      <c r="O751" t="s">
        <v>2940</v>
      </c>
      <c r="P751" t="s">
        <v>2940</v>
      </c>
      <c r="Q751" t="s">
        <v>2924</v>
      </c>
      <c r="R751" t="s">
        <v>3219</v>
      </c>
      <c r="S751" t="s">
        <v>2208</v>
      </c>
      <c r="T751" t="s">
        <v>2208</v>
      </c>
    </row>
    <row r="752" spans="1:20">
      <c r="A752" t="s">
        <v>2239</v>
      </c>
      <c r="B752" t="s">
        <v>2920</v>
      </c>
      <c r="C752">
        <v>45385</v>
      </c>
      <c r="D752" t="s">
        <v>7263</v>
      </c>
      <c r="E752" t="s">
        <v>2921</v>
      </c>
      <c r="F752">
        <v>45684</v>
      </c>
      <c r="G752" t="s">
        <v>6995</v>
      </c>
      <c r="H752" t="s">
        <v>2916</v>
      </c>
      <c r="I752" t="s">
        <v>7614</v>
      </c>
      <c r="J752">
        <v>26483.46</v>
      </c>
      <c r="K752">
        <v>4288.47</v>
      </c>
      <c r="L752" t="s">
        <v>2917</v>
      </c>
      <c r="M752">
        <v>26483.46</v>
      </c>
      <c r="N752" t="s">
        <v>2918</v>
      </c>
      <c r="O752" t="s">
        <v>2940</v>
      </c>
      <c r="P752" t="s">
        <v>2940</v>
      </c>
      <c r="Q752" t="s">
        <v>2924</v>
      </c>
      <c r="R752" t="s">
        <v>3219</v>
      </c>
      <c r="S752" t="s">
        <v>2208</v>
      </c>
      <c r="T752" t="s">
        <v>2208</v>
      </c>
    </row>
    <row r="753" spans="1:20">
      <c r="A753" t="s">
        <v>2239</v>
      </c>
      <c r="B753" t="s">
        <v>2920</v>
      </c>
      <c r="C753">
        <v>45684</v>
      </c>
      <c r="D753" t="s">
        <v>7263</v>
      </c>
      <c r="E753" t="s">
        <v>2921</v>
      </c>
      <c r="F753">
        <v>45685</v>
      </c>
      <c r="G753" t="s">
        <v>7601</v>
      </c>
      <c r="H753" t="s">
        <v>2916</v>
      </c>
      <c r="I753" t="s">
        <v>7615</v>
      </c>
      <c r="J753">
        <v>0</v>
      </c>
      <c r="K753">
        <v>-901.24</v>
      </c>
      <c r="L753" t="s">
        <v>2917</v>
      </c>
      <c r="M753">
        <v>-5565.62</v>
      </c>
      <c r="N753" t="s">
        <v>2918</v>
      </c>
      <c r="O753" t="s">
        <v>7616</v>
      </c>
      <c r="P753" t="s">
        <v>2939</v>
      </c>
      <c r="Q753" t="s">
        <v>2924</v>
      </c>
      <c r="R753" t="s">
        <v>3219</v>
      </c>
      <c r="S753" t="s">
        <v>2208</v>
      </c>
      <c r="T753" t="s">
        <v>2208</v>
      </c>
    </row>
    <row r="754" spans="1:20">
      <c r="A754" t="s">
        <v>2239</v>
      </c>
      <c r="B754" t="s">
        <v>2920</v>
      </c>
      <c r="C754">
        <v>45684</v>
      </c>
      <c r="D754" t="s">
        <v>7263</v>
      </c>
      <c r="E754" t="s">
        <v>2921</v>
      </c>
      <c r="F754">
        <v>45685</v>
      </c>
      <c r="G754" t="s">
        <v>6995</v>
      </c>
      <c r="H754" t="s">
        <v>2916</v>
      </c>
      <c r="I754" t="s">
        <v>7617</v>
      </c>
      <c r="J754">
        <v>0</v>
      </c>
      <c r="K754">
        <v>-835.17</v>
      </c>
      <c r="L754" t="s">
        <v>2917</v>
      </c>
      <c r="M754">
        <v>-5157.58</v>
      </c>
      <c r="N754" t="s">
        <v>2918</v>
      </c>
      <c r="O754" t="s">
        <v>7618</v>
      </c>
      <c r="P754" t="s">
        <v>2940</v>
      </c>
      <c r="Q754" t="s">
        <v>2924</v>
      </c>
      <c r="R754" t="s">
        <v>3219</v>
      </c>
      <c r="S754" t="s">
        <v>2208</v>
      </c>
      <c r="T754" t="s">
        <v>2208</v>
      </c>
    </row>
    <row r="755" spans="1:20">
      <c r="A755" t="s">
        <v>2239</v>
      </c>
      <c r="B755" t="s">
        <v>2920</v>
      </c>
      <c r="C755">
        <v>45684</v>
      </c>
      <c r="D755" t="s">
        <v>7263</v>
      </c>
      <c r="E755" t="s">
        <v>2921</v>
      </c>
      <c r="F755">
        <v>45685</v>
      </c>
      <c r="G755" t="s">
        <v>6995</v>
      </c>
      <c r="H755" t="s">
        <v>2916</v>
      </c>
      <c r="I755" t="s">
        <v>7619</v>
      </c>
      <c r="J755">
        <v>0</v>
      </c>
      <c r="K755">
        <v>-72.540000000000006</v>
      </c>
      <c r="L755" t="s">
        <v>2917</v>
      </c>
      <c r="M755">
        <v>-448</v>
      </c>
      <c r="N755" t="s">
        <v>2918</v>
      </c>
      <c r="O755" t="s">
        <v>7620</v>
      </c>
      <c r="P755" t="s">
        <v>2940</v>
      </c>
      <c r="Q755" t="s">
        <v>2924</v>
      </c>
      <c r="R755" t="s">
        <v>3219</v>
      </c>
      <c r="S755" t="s">
        <v>2208</v>
      </c>
      <c r="T755" t="s">
        <v>2208</v>
      </c>
    </row>
    <row r="756" spans="1:20">
      <c r="A756" t="s">
        <v>2239</v>
      </c>
      <c r="B756" t="s">
        <v>2920</v>
      </c>
      <c r="C756">
        <v>45684</v>
      </c>
      <c r="D756" t="s">
        <v>7263</v>
      </c>
      <c r="E756" t="s">
        <v>2921</v>
      </c>
      <c r="F756">
        <v>45685</v>
      </c>
      <c r="G756" t="s">
        <v>6995</v>
      </c>
      <c r="H756" t="s">
        <v>2916</v>
      </c>
      <c r="I756" t="s">
        <v>7621</v>
      </c>
      <c r="J756">
        <v>0</v>
      </c>
      <c r="K756">
        <v>835.17</v>
      </c>
      <c r="L756" t="s">
        <v>2917</v>
      </c>
      <c r="M756">
        <v>5157.58</v>
      </c>
      <c r="N756" t="s">
        <v>2918</v>
      </c>
      <c r="O756" t="s">
        <v>7618</v>
      </c>
      <c r="P756" t="s">
        <v>2940</v>
      </c>
      <c r="Q756" t="s">
        <v>2924</v>
      </c>
      <c r="R756" t="s">
        <v>3219</v>
      </c>
      <c r="S756" t="s">
        <v>2208</v>
      </c>
      <c r="T756" t="s">
        <v>2208</v>
      </c>
    </row>
    <row r="757" spans="1:20">
      <c r="A757" t="s">
        <v>2239</v>
      </c>
      <c r="B757" t="s">
        <v>2920</v>
      </c>
      <c r="C757">
        <v>45684</v>
      </c>
      <c r="D757" t="s">
        <v>7263</v>
      </c>
      <c r="E757" t="s">
        <v>2921</v>
      </c>
      <c r="F757">
        <v>45685</v>
      </c>
      <c r="G757" t="s">
        <v>6995</v>
      </c>
      <c r="H757" t="s">
        <v>2916</v>
      </c>
      <c r="I757" t="s">
        <v>7622</v>
      </c>
      <c r="J757">
        <v>0</v>
      </c>
      <c r="K757">
        <v>-835.17</v>
      </c>
      <c r="L757" t="s">
        <v>2917</v>
      </c>
      <c r="M757">
        <v>-5157.58</v>
      </c>
      <c r="N757" t="s">
        <v>2918</v>
      </c>
      <c r="O757" t="s">
        <v>7618</v>
      </c>
      <c r="P757" t="s">
        <v>2940</v>
      </c>
      <c r="Q757" t="s">
        <v>2924</v>
      </c>
      <c r="R757" t="s">
        <v>3219</v>
      </c>
      <c r="S757" t="s">
        <v>2208</v>
      </c>
      <c r="T757" t="s">
        <v>2208</v>
      </c>
    </row>
    <row r="758" spans="1:20">
      <c r="A758" t="s">
        <v>2239</v>
      </c>
      <c r="B758" t="s">
        <v>2920</v>
      </c>
      <c r="C758">
        <v>45684</v>
      </c>
      <c r="D758" t="s">
        <v>7263</v>
      </c>
      <c r="E758" t="s">
        <v>2921</v>
      </c>
      <c r="F758">
        <v>45685</v>
      </c>
      <c r="G758" t="s">
        <v>7601</v>
      </c>
      <c r="H758" t="s">
        <v>2916</v>
      </c>
      <c r="I758" t="s">
        <v>7623</v>
      </c>
      <c r="J758">
        <v>0</v>
      </c>
      <c r="K758">
        <v>-135.49</v>
      </c>
      <c r="L758" t="s">
        <v>2917</v>
      </c>
      <c r="M758">
        <v>-836.7</v>
      </c>
      <c r="N758" t="s">
        <v>2918</v>
      </c>
      <c r="O758" t="s">
        <v>7624</v>
      </c>
      <c r="P758" t="s">
        <v>2939</v>
      </c>
      <c r="Q758" t="s">
        <v>2924</v>
      </c>
      <c r="R758" t="s">
        <v>3219</v>
      </c>
      <c r="S758" t="s">
        <v>2208</v>
      </c>
      <c r="T758" t="s">
        <v>2208</v>
      </c>
    </row>
    <row r="759" spans="1:20">
      <c r="A759" t="s">
        <v>2239</v>
      </c>
      <c r="B759" t="s">
        <v>2920</v>
      </c>
      <c r="C759">
        <v>45684</v>
      </c>
      <c r="D759" t="s">
        <v>7263</v>
      </c>
      <c r="E759" t="s">
        <v>2921</v>
      </c>
      <c r="F759">
        <v>45685</v>
      </c>
      <c r="G759" t="s">
        <v>7601</v>
      </c>
      <c r="H759" t="s">
        <v>2916</v>
      </c>
      <c r="I759" t="s">
        <v>7625</v>
      </c>
      <c r="J759">
        <v>0</v>
      </c>
      <c r="K759">
        <v>-87.45</v>
      </c>
      <c r="L759" t="s">
        <v>2917</v>
      </c>
      <c r="M759">
        <v>-540.04999999999995</v>
      </c>
      <c r="N759" t="s">
        <v>2918</v>
      </c>
      <c r="O759" t="s">
        <v>7626</v>
      </c>
      <c r="P759" t="s">
        <v>2939</v>
      </c>
      <c r="Q759" t="s">
        <v>2924</v>
      </c>
      <c r="R759" t="s">
        <v>3219</v>
      </c>
      <c r="S759" t="s">
        <v>2208</v>
      </c>
      <c r="T759" t="s">
        <v>2208</v>
      </c>
    </row>
    <row r="760" spans="1:20">
      <c r="A760" t="s">
        <v>2239</v>
      </c>
      <c r="B760" t="s">
        <v>2920</v>
      </c>
      <c r="C760">
        <v>45684</v>
      </c>
      <c r="D760" t="s">
        <v>7263</v>
      </c>
      <c r="E760" t="s">
        <v>2921</v>
      </c>
      <c r="F760">
        <v>45685</v>
      </c>
      <c r="G760" t="s">
        <v>7601</v>
      </c>
      <c r="H760" t="s">
        <v>2916</v>
      </c>
      <c r="I760" t="s">
        <v>7627</v>
      </c>
      <c r="J760">
        <v>0</v>
      </c>
      <c r="K760">
        <v>-381.53</v>
      </c>
      <c r="L760" t="s">
        <v>2917</v>
      </c>
      <c r="M760">
        <v>-2356.16</v>
      </c>
      <c r="N760" t="s">
        <v>2918</v>
      </c>
      <c r="O760" t="s">
        <v>7628</v>
      </c>
      <c r="P760" t="s">
        <v>2939</v>
      </c>
      <c r="Q760" t="s">
        <v>2924</v>
      </c>
      <c r="R760" t="s">
        <v>3219</v>
      </c>
      <c r="S760" t="s">
        <v>2208</v>
      </c>
      <c r="T760" t="s">
        <v>2208</v>
      </c>
    </row>
    <row r="761" spans="1:20">
      <c r="A761" t="s">
        <v>2239</v>
      </c>
      <c r="B761" t="s">
        <v>2920</v>
      </c>
      <c r="C761">
        <v>45684</v>
      </c>
      <c r="D761" t="s">
        <v>7263</v>
      </c>
      <c r="E761" t="s">
        <v>2921</v>
      </c>
      <c r="F761">
        <v>45685</v>
      </c>
      <c r="G761" t="s">
        <v>7601</v>
      </c>
      <c r="H761" t="s">
        <v>2916</v>
      </c>
      <c r="I761" t="s">
        <v>7629</v>
      </c>
      <c r="J761">
        <v>0</v>
      </c>
      <c r="K761">
        <v>-3.23</v>
      </c>
      <c r="L761" t="s">
        <v>2917</v>
      </c>
      <c r="M761">
        <v>-19.97</v>
      </c>
      <c r="N761" t="s">
        <v>2918</v>
      </c>
      <c r="O761" t="s">
        <v>7630</v>
      </c>
      <c r="P761" t="s">
        <v>2939</v>
      </c>
      <c r="Q761" t="s">
        <v>2924</v>
      </c>
      <c r="R761" t="s">
        <v>3219</v>
      </c>
      <c r="S761" t="s">
        <v>2208</v>
      </c>
      <c r="T761" t="s">
        <v>2208</v>
      </c>
    </row>
    <row r="762" spans="1:20">
      <c r="A762" t="s">
        <v>2239</v>
      </c>
      <c r="B762" t="s">
        <v>2920</v>
      </c>
      <c r="C762">
        <v>45684</v>
      </c>
      <c r="D762" t="s">
        <v>7263</v>
      </c>
      <c r="E762" t="s">
        <v>2921</v>
      </c>
      <c r="F762">
        <v>45685</v>
      </c>
      <c r="G762" t="s">
        <v>7601</v>
      </c>
      <c r="H762" t="s">
        <v>2916</v>
      </c>
      <c r="I762" t="s">
        <v>7631</v>
      </c>
      <c r="J762">
        <v>0</v>
      </c>
      <c r="K762">
        <v>-1985.81</v>
      </c>
      <c r="L762" t="s">
        <v>2917</v>
      </c>
      <c r="M762">
        <v>-12263.42</v>
      </c>
      <c r="N762" t="s">
        <v>2918</v>
      </c>
      <c r="O762" t="s">
        <v>7632</v>
      </c>
      <c r="P762" t="s">
        <v>2939</v>
      </c>
      <c r="Q762" t="s">
        <v>2924</v>
      </c>
      <c r="R762" t="s">
        <v>3219</v>
      </c>
      <c r="S762" t="s">
        <v>2208</v>
      </c>
      <c r="T762" t="s">
        <v>2208</v>
      </c>
    </row>
    <row r="763" spans="1:20">
      <c r="A763" t="s">
        <v>2239</v>
      </c>
      <c r="B763" t="s">
        <v>2920</v>
      </c>
      <c r="C763">
        <v>45684</v>
      </c>
      <c r="D763" t="s">
        <v>7263</v>
      </c>
      <c r="E763" t="s">
        <v>2921</v>
      </c>
      <c r="F763">
        <v>45685</v>
      </c>
      <c r="G763" t="s">
        <v>7601</v>
      </c>
      <c r="H763" t="s">
        <v>2916</v>
      </c>
      <c r="I763" t="s">
        <v>7633</v>
      </c>
      <c r="J763">
        <v>0</v>
      </c>
      <c r="K763">
        <v>-7.2</v>
      </c>
      <c r="L763" t="s">
        <v>2917</v>
      </c>
      <c r="M763">
        <v>-44.44</v>
      </c>
      <c r="N763" t="s">
        <v>2918</v>
      </c>
      <c r="O763" t="s">
        <v>7634</v>
      </c>
      <c r="P763" t="s">
        <v>2939</v>
      </c>
      <c r="Q763" t="s">
        <v>2924</v>
      </c>
      <c r="R763" t="s">
        <v>3219</v>
      </c>
      <c r="S763" t="s">
        <v>2208</v>
      </c>
      <c r="T763" t="s">
        <v>2208</v>
      </c>
    </row>
    <row r="764" spans="1:20">
      <c r="A764" t="s">
        <v>2239</v>
      </c>
      <c r="B764" t="s">
        <v>2920</v>
      </c>
      <c r="C764">
        <v>45684</v>
      </c>
      <c r="D764" t="s">
        <v>7263</v>
      </c>
      <c r="E764" t="s">
        <v>2921</v>
      </c>
      <c r="F764">
        <v>45685</v>
      </c>
      <c r="G764" t="s">
        <v>6995</v>
      </c>
      <c r="H764" t="s">
        <v>2916</v>
      </c>
      <c r="I764" t="s">
        <v>7635</v>
      </c>
      <c r="J764">
        <v>0</v>
      </c>
      <c r="K764">
        <v>-367.53</v>
      </c>
      <c r="L764" t="s">
        <v>2917</v>
      </c>
      <c r="M764">
        <v>-2269.66</v>
      </c>
      <c r="N764" t="s">
        <v>2918</v>
      </c>
      <c r="O764" t="s">
        <v>7636</v>
      </c>
      <c r="P764" t="s">
        <v>2940</v>
      </c>
      <c r="Q764" t="s">
        <v>2924</v>
      </c>
      <c r="R764" t="s">
        <v>3219</v>
      </c>
      <c r="S764" t="s">
        <v>2208</v>
      </c>
      <c r="T764" t="s">
        <v>2208</v>
      </c>
    </row>
    <row r="765" spans="1:20">
      <c r="A765" t="s">
        <v>2239</v>
      </c>
      <c r="B765" t="s">
        <v>2920</v>
      </c>
      <c r="C765">
        <v>45681</v>
      </c>
      <c r="D765" t="s">
        <v>7263</v>
      </c>
      <c r="E765" t="s">
        <v>2921</v>
      </c>
      <c r="F765">
        <v>45685</v>
      </c>
      <c r="G765" t="s">
        <v>7594</v>
      </c>
      <c r="H765" t="s">
        <v>2916</v>
      </c>
      <c r="I765" t="s">
        <v>7637</v>
      </c>
      <c r="J765">
        <v>0</v>
      </c>
      <c r="K765">
        <v>-1165.5999999999999</v>
      </c>
      <c r="L765" t="s">
        <v>2917</v>
      </c>
      <c r="M765">
        <v>-7198.12</v>
      </c>
      <c r="N765" t="s">
        <v>2918</v>
      </c>
      <c r="O765" t="s">
        <v>7638</v>
      </c>
      <c r="P765" t="s">
        <v>2940</v>
      </c>
      <c r="Q765" t="s">
        <v>2924</v>
      </c>
      <c r="R765" t="s">
        <v>3219</v>
      </c>
      <c r="S765" t="s">
        <v>2208</v>
      </c>
      <c r="T765" t="s">
        <v>2208</v>
      </c>
    </row>
    <row r="766" spans="1:20">
      <c r="A766" t="s">
        <v>2239</v>
      </c>
      <c r="B766" t="s">
        <v>2920</v>
      </c>
      <c r="C766">
        <v>45681</v>
      </c>
      <c r="D766" t="s">
        <v>7263</v>
      </c>
      <c r="E766" t="s">
        <v>2921</v>
      </c>
      <c r="F766">
        <v>45685</v>
      </c>
      <c r="G766" t="s">
        <v>7594</v>
      </c>
      <c r="H766" t="s">
        <v>2916</v>
      </c>
      <c r="I766" t="s">
        <v>7639</v>
      </c>
      <c r="J766">
        <v>0</v>
      </c>
      <c r="K766">
        <v>-225.82</v>
      </c>
      <c r="L766" t="s">
        <v>2917</v>
      </c>
      <c r="M766">
        <v>-1394.51</v>
      </c>
      <c r="N766" t="s">
        <v>2918</v>
      </c>
      <c r="O766" t="s">
        <v>7640</v>
      </c>
      <c r="P766" t="s">
        <v>2940</v>
      </c>
      <c r="Q766" t="s">
        <v>2924</v>
      </c>
      <c r="R766" t="s">
        <v>3219</v>
      </c>
      <c r="S766" t="s">
        <v>2208</v>
      </c>
      <c r="T766" t="s">
        <v>2208</v>
      </c>
    </row>
    <row r="767" spans="1:20">
      <c r="A767" t="s">
        <v>2239</v>
      </c>
      <c r="B767" t="s">
        <v>2920</v>
      </c>
      <c r="C767">
        <v>45684</v>
      </c>
      <c r="D767" t="s">
        <v>7263</v>
      </c>
      <c r="E767" t="s">
        <v>2921</v>
      </c>
      <c r="F767">
        <v>45685</v>
      </c>
      <c r="G767" t="s">
        <v>3940</v>
      </c>
      <c r="H767" t="s">
        <v>2916</v>
      </c>
      <c r="I767" t="s">
        <v>7641</v>
      </c>
      <c r="J767">
        <v>0</v>
      </c>
      <c r="K767">
        <v>-1735.06</v>
      </c>
      <c r="L767" t="s">
        <v>2917</v>
      </c>
      <c r="M767">
        <v>-10714.85</v>
      </c>
      <c r="N767" t="s">
        <v>2918</v>
      </c>
      <c r="O767" t="s">
        <v>7642</v>
      </c>
      <c r="P767" t="s">
        <v>2923</v>
      </c>
      <c r="Q767" t="s">
        <v>2924</v>
      </c>
      <c r="R767" t="s">
        <v>3219</v>
      </c>
      <c r="S767" t="s">
        <v>2208</v>
      </c>
      <c r="T767" t="s">
        <v>2208</v>
      </c>
    </row>
    <row r="768" spans="1:20">
      <c r="A768" t="s">
        <v>2239</v>
      </c>
      <c r="B768" t="s">
        <v>2920</v>
      </c>
      <c r="C768">
        <v>45684</v>
      </c>
      <c r="D768" t="s">
        <v>7263</v>
      </c>
      <c r="E768" t="s">
        <v>2921</v>
      </c>
      <c r="F768">
        <v>45685</v>
      </c>
      <c r="G768" t="s">
        <v>3940</v>
      </c>
      <c r="H768" t="s">
        <v>2916</v>
      </c>
      <c r="I768" t="s">
        <v>7643</v>
      </c>
      <c r="J768">
        <v>0</v>
      </c>
      <c r="K768">
        <v>-905.95</v>
      </c>
      <c r="L768" t="s">
        <v>2917</v>
      </c>
      <c r="M768">
        <v>-5594.68</v>
      </c>
      <c r="N768" t="s">
        <v>2918</v>
      </c>
      <c r="O768" t="s">
        <v>7644</v>
      </c>
      <c r="P768" t="s">
        <v>2923</v>
      </c>
      <c r="Q768" t="s">
        <v>2924</v>
      </c>
      <c r="R768" t="s">
        <v>3219</v>
      </c>
      <c r="S768" t="s">
        <v>2208</v>
      </c>
      <c r="T768" t="s">
        <v>2208</v>
      </c>
    </row>
    <row r="769" spans="1:20">
      <c r="A769" t="s">
        <v>2239</v>
      </c>
      <c r="B769" t="s">
        <v>2920</v>
      </c>
      <c r="C769">
        <v>45684</v>
      </c>
      <c r="D769" t="s">
        <v>7263</v>
      </c>
      <c r="E769" t="s">
        <v>2921</v>
      </c>
      <c r="F769">
        <v>45686</v>
      </c>
      <c r="G769" t="s">
        <v>3940</v>
      </c>
      <c r="H769" t="s">
        <v>2916</v>
      </c>
      <c r="I769" t="s">
        <v>7645</v>
      </c>
      <c r="J769">
        <v>0</v>
      </c>
      <c r="K769">
        <v>-657.27</v>
      </c>
      <c r="L769" t="s">
        <v>2917</v>
      </c>
      <c r="M769">
        <v>-4058.96</v>
      </c>
      <c r="N769" t="s">
        <v>2918</v>
      </c>
      <c r="O769" t="s">
        <v>7646</v>
      </c>
      <c r="P769" t="s">
        <v>2923</v>
      </c>
      <c r="Q769" t="s">
        <v>2924</v>
      </c>
      <c r="R769" t="s">
        <v>3219</v>
      </c>
      <c r="S769" t="s">
        <v>2208</v>
      </c>
      <c r="T769" t="s">
        <v>2208</v>
      </c>
    </row>
    <row r="770" spans="1:20">
      <c r="A770" t="s">
        <v>2239</v>
      </c>
      <c r="B770" t="s">
        <v>2920</v>
      </c>
      <c r="C770">
        <v>45684</v>
      </c>
      <c r="D770" t="s">
        <v>7263</v>
      </c>
      <c r="E770" t="s">
        <v>2921</v>
      </c>
      <c r="F770">
        <v>45686</v>
      </c>
      <c r="G770" t="s">
        <v>3940</v>
      </c>
      <c r="H770" t="s">
        <v>2916</v>
      </c>
      <c r="I770" t="s">
        <v>7647</v>
      </c>
      <c r="J770">
        <v>0</v>
      </c>
      <c r="K770">
        <v>-1216.26</v>
      </c>
      <c r="L770" t="s">
        <v>2917</v>
      </c>
      <c r="M770">
        <v>-7511.03</v>
      </c>
      <c r="N770" t="s">
        <v>2918</v>
      </c>
      <c r="O770" t="s">
        <v>7648</v>
      </c>
      <c r="P770" t="s">
        <v>2923</v>
      </c>
      <c r="Q770" t="s">
        <v>2924</v>
      </c>
      <c r="R770" t="s">
        <v>3219</v>
      </c>
      <c r="S770" t="s">
        <v>2208</v>
      </c>
      <c r="T770" t="s">
        <v>2208</v>
      </c>
    </row>
    <row r="771" spans="1:20">
      <c r="A771" t="s">
        <v>2239</v>
      </c>
      <c r="B771" t="s">
        <v>2920</v>
      </c>
      <c r="C771">
        <v>45684</v>
      </c>
      <c r="D771" t="s">
        <v>7263</v>
      </c>
      <c r="E771" t="s">
        <v>2921</v>
      </c>
      <c r="F771">
        <v>45686</v>
      </c>
      <c r="G771" t="s">
        <v>7601</v>
      </c>
      <c r="H771" t="s">
        <v>2916</v>
      </c>
      <c r="I771" t="s">
        <v>7649</v>
      </c>
      <c r="J771">
        <v>0</v>
      </c>
      <c r="K771">
        <v>-1211.6600000000001</v>
      </c>
      <c r="L771" t="s">
        <v>2917</v>
      </c>
      <c r="M771">
        <v>-7482.65</v>
      </c>
      <c r="N771" t="s">
        <v>2918</v>
      </c>
      <c r="O771" t="s">
        <v>7650</v>
      </c>
      <c r="P771" t="s">
        <v>2939</v>
      </c>
      <c r="Q771" t="s">
        <v>2924</v>
      </c>
      <c r="R771" t="s">
        <v>3219</v>
      </c>
      <c r="S771" t="s">
        <v>2208</v>
      </c>
      <c r="T771" t="s">
        <v>2208</v>
      </c>
    </row>
    <row r="772" spans="1:20">
      <c r="A772" t="s">
        <v>2239</v>
      </c>
      <c r="B772" t="s">
        <v>2920</v>
      </c>
      <c r="C772">
        <v>45688</v>
      </c>
      <c r="D772" t="s">
        <v>7263</v>
      </c>
      <c r="E772" t="s">
        <v>2921</v>
      </c>
      <c r="F772">
        <v>45688</v>
      </c>
      <c r="G772" t="s">
        <v>2208</v>
      </c>
      <c r="H772" t="s">
        <v>2916</v>
      </c>
      <c r="I772" t="s">
        <v>7651</v>
      </c>
      <c r="J772">
        <v>0</v>
      </c>
      <c r="K772">
        <v>0.01</v>
      </c>
      <c r="L772" t="s">
        <v>2917</v>
      </c>
      <c r="M772">
        <v>0</v>
      </c>
      <c r="N772" t="s">
        <v>2918</v>
      </c>
      <c r="O772" t="s">
        <v>2919</v>
      </c>
      <c r="P772" t="s">
        <v>2208</v>
      </c>
      <c r="Q772" t="s">
        <v>2916</v>
      </c>
      <c r="R772" t="s">
        <v>3220</v>
      </c>
      <c r="S772" t="s">
        <v>2208</v>
      </c>
      <c r="T772" t="s">
        <v>2208</v>
      </c>
    </row>
    <row r="773" spans="1:20">
      <c r="A773" t="s">
        <v>2239</v>
      </c>
      <c r="B773" t="s">
        <v>2920</v>
      </c>
      <c r="C773">
        <v>45688</v>
      </c>
      <c r="D773" t="s">
        <v>7263</v>
      </c>
      <c r="E773" t="s">
        <v>2921</v>
      </c>
      <c r="F773">
        <v>45688</v>
      </c>
      <c r="G773" t="s">
        <v>2208</v>
      </c>
      <c r="H773" t="s">
        <v>2916</v>
      </c>
      <c r="I773" t="s">
        <v>7652</v>
      </c>
      <c r="J773">
        <v>0</v>
      </c>
      <c r="K773">
        <v>0.01</v>
      </c>
      <c r="L773" t="s">
        <v>2917</v>
      </c>
      <c r="M773">
        <v>0</v>
      </c>
      <c r="N773" t="s">
        <v>2918</v>
      </c>
      <c r="O773" t="s">
        <v>2919</v>
      </c>
      <c r="P773" t="s">
        <v>2208</v>
      </c>
      <c r="Q773" t="s">
        <v>2916</v>
      </c>
      <c r="R773" t="s">
        <v>3220</v>
      </c>
      <c r="S773" t="s">
        <v>2208</v>
      </c>
      <c r="T773" t="s">
        <v>2208</v>
      </c>
    </row>
    <row r="774" spans="1:20">
      <c r="A774" t="s">
        <v>2239</v>
      </c>
      <c r="B774" t="s">
        <v>2920</v>
      </c>
      <c r="C774">
        <v>45688</v>
      </c>
      <c r="D774" t="s">
        <v>7263</v>
      </c>
      <c r="E774" t="s">
        <v>2921</v>
      </c>
      <c r="F774">
        <v>45688</v>
      </c>
      <c r="G774" t="s">
        <v>2208</v>
      </c>
      <c r="H774" t="s">
        <v>2916</v>
      </c>
      <c r="I774" t="s">
        <v>7653</v>
      </c>
      <c r="J774">
        <v>0</v>
      </c>
      <c r="K774">
        <v>884.44</v>
      </c>
      <c r="L774" t="s">
        <v>2917</v>
      </c>
      <c r="M774">
        <v>0</v>
      </c>
      <c r="N774" t="s">
        <v>2918</v>
      </c>
      <c r="O774" t="s">
        <v>2919</v>
      </c>
      <c r="P774" t="s">
        <v>2208</v>
      </c>
      <c r="Q774" t="s">
        <v>2916</v>
      </c>
      <c r="R774" t="s">
        <v>3220</v>
      </c>
      <c r="S774" t="s">
        <v>2208</v>
      </c>
      <c r="T774" t="s">
        <v>2208</v>
      </c>
    </row>
    <row r="775" spans="1:20">
      <c r="A775" t="s">
        <v>2239</v>
      </c>
      <c r="B775" t="s">
        <v>7740</v>
      </c>
      <c r="C775">
        <v>45684</v>
      </c>
      <c r="D775" t="s">
        <v>7263</v>
      </c>
      <c r="E775" t="s">
        <v>2925</v>
      </c>
      <c r="F775">
        <v>45700</v>
      </c>
      <c r="G775" t="s">
        <v>6995</v>
      </c>
      <c r="H775" t="s">
        <v>2916</v>
      </c>
      <c r="I775" t="s">
        <v>8632</v>
      </c>
      <c r="J775">
        <v>0</v>
      </c>
      <c r="K775">
        <v>-1094.48</v>
      </c>
      <c r="L775" t="s">
        <v>2917</v>
      </c>
      <c r="M775">
        <v>-17201.88</v>
      </c>
      <c r="N775" t="s">
        <v>2918</v>
      </c>
      <c r="O775" t="s">
        <v>8633</v>
      </c>
      <c r="P775" t="s">
        <v>2940</v>
      </c>
      <c r="Q775" t="s">
        <v>2924</v>
      </c>
      <c r="R775" t="s">
        <v>3219</v>
      </c>
      <c r="S775" t="s">
        <v>2208</v>
      </c>
      <c r="T775" t="s">
        <v>2208</v>
      </c>
    </row>
    <row r="776" spans="1:20">
      <c r="A776" t="s">
        <v>2239</v>
      </c>
      <c r="B776" t="s">
        <v>7740</v>
      </c>
      <c r="C776">
        <v>45684</v>
      </c>
      <c r="D776" t="s">
        <v>7263</v>
      </c>
      <c r="E776" t="s">
        <v>2925</v>
      </c>
      <c r="F776">
        <v>45700</v>
      </c>
      <c r="G776" t="s">
        <v>6995</v>
      </c>
      <c r="H776" t="s">
        <v>2916</v>
      </c>
      <c r="I776" t="s">
        <v>8634</v>
      </c>
      <c r="J776">
        <v>0</v>
      </c>
      <c r="K776">
        <v>-155.87</v>
      </c>
      <c r="L776" t="s">
        <v>2917</v>
      </c>
      <c r="M776">
        <v>-2449.7199999999998</v>
      </c>
      <c r="N776" t="s">
        <v>2918</v>
      </c>
      <c r="O776" t="s">
        <v>8635</v>
      </c>
      <c r="P776" t="s">
        <v>2940</v>
      </c>
      <c r="Q776" t="s">
        <v>2924</v>
      </c>
      <c r="R776" t="s">
        <v>3219</v>
      </c>
      <c r="S776" t="s">
        <v>2208</v>
      </c>
      <c r="T776" t="s">
        <v>2208</v>
      </c>
    </row>
    <row r="777" spans="1:20">
      <c r="A777" t="s">
        <v>2239</v>
      </c>
      <c r="B777" t="s">
        <v>7740</v>
      </c>
      <c r="C777">
        <v>45170</v>
      </c>
      <c r="D777" t="s">
        <v>7263</v>
      </c>
      <c r="E777" t="s">
        <v>2925</v>
      </c>
      <c r="F777">
        <v>45708</v>
      </c>
      <c r="G777" t="s">
        <v>7594</v>
      </c>
      <c r="H777" t="s">
        <v>2916</v>
      </c>
      <c r="I777" t="s">
        <v>8636</v>
      </c>
      <c r="J777">
        <v>154991.79999999999</v>
      </c>
      <c r="K777">
        <v>26650.84</v>
      </c>
      <c r="L777" t="s">
        <v>2917</v>
      </c>
      <c r="M777">
        <v>154991.79999999999</v>
      </c>
      <c r="N777" t="s">
        <v>2918</v>
      </c>
      <c r="O777" t="s">
        <v>2940</v>
      </c>
      <c r="P777" t="s">
        <v>2940</v>
      </c>
      <c r="Q777" t="s">
        <v>2924</v>
      </c>
      <c r="R777" t="s">
        <v>3219</v>
      </c>
      <c r="S777" t="s">
        <v>2208</v>
      </c>
      <c r="T777" t="s">
        <v>2208</v>
      </c>
    </row>
    <row r="778" spans="1:20">
      <c r="A778" t="s">
        <v>2239</v>
      </c>
      <c r="B778" t="s">
        <v>7740</v>
      </c>
      <c r="C778">
        <v>45170</v>
      </c>
      <c r="D778" t="s">
        <v>7263</v>
      </c>
      <c r="E778" t="s">
        <v>2925</v>
      </c>
      <c r="F778">
        <v>45708</v>
      </c>
      <c r="G778" t="s">
        <v>7594</v>
      </c>
      <c r="H778" t="s">
        <v>2916</v>
      </c>
      <c r="I778" t="s">
        <v>8637</v>
      </c>
      <c r="J778">
        <v>11306.81</v>
      </c>
      <c r="K778">
        <v>1944.21</v>
      </c>
      <c r="L778" t="s">
        <v>2917</v>
      </c>
      <c r="M778">
        <v>11306.81</v>
      </c>
      <c r="N778" t="s">
        <v>2918</v>
      </c>
      <c r="O778" t="s">
        <v>2940</v>
      </c>
      <c r="P778" t="s">
        <v>2940</v>
      </c>
      <c r="Q778" t="s">
        <v>2924</v>
      </c>
      <c r="R778" t="s">
        <v>3219</v>
      </c>
      <c r="S778" t="s">
        <v>2208</v>
      </c>
      <c r="T778" t="s">
        <v>2208</v>
      </c>
    </row>
    <row r="779" spans="1:20">
      <c r="A779" t="s">
        <v>2239</v>
      </c>
      <c r="B779" t="s">
        <v>7740</v>
      </c>
      <c r="C779">
        <v>45502</v>
      </c>
      <c r="D779" t="s">
        <v>7263</v>
      </c>
      <c r="E779" t="s">
        <v>2925</v>
      </c>
      <c r="F779">
        <v>45708</v>
      </c>
      <c r="G779" t="s">
        <v>8638</v>
      </c>
      <c r="H779" t="s">
        <v>2916</v>
      </c>
      <c r="I779" t="s">
        <v>8639</v>
      </c>
      <c r="J779">
        <v>47310.48</v>
      </c>
      <c r="K779">
        <v>8135.04</v>
      </c>
      <c r="L779" t="s">
        <v>2917</v>
      </c>
      <c r="M779">
        <v>47310.48</v>
      </c>
      <c r="N779" t="s">
        <v>2918</v>
      </c>
      <c r="O779" t="s">
        <v>3315</v>
      </c>
      <c r="P779" t="s">
        <v>3315</v>
      </c>
      <c r="Q779" t="s">
        <v>2924</v>
      </c>
      <c r="R779" t="s">
        <v>3219</v>
      </c>
      <c r="S779" t="s">
        <v>2208</v>
      </c>
      <c r="T779" t="s">
        <v>2208</v>
      </c>
    </row>
    <row r="780" spans="1:20">
      <c r="A780" t="s">
        <v>2239</v>
      </c>
      <c r="B780" t="s">
        <v>7740</v>
      </c>
      <c r="C780">
        <v>45428</v>
      </c>
      <c r="D780" t="s">
        <v>7263</v>
      </c>
      <c r="E780" t="s">
        <v>2925</v>
      </c>
      <c r="F780">
        <v>45709</v>
      </c>
      <c r="G780" t="s">
        <v>3940</v>
      </c>
      <c r="H780" t="s">
        <v>2916</v>
      </c>
      <c r="I780" t="s">
        <v>8640</v>
      </c>
      <c r="J780">
        <v>105719.66</v>
      </c>
      <c r="K780">
        <v>18178.5</v>
      </c>
      <c r="L780" t="s">
        <v>2917</v>
      </c>
      <c r="M780">
        <v>105719.66</v>
      </c>
      <c r="N780" t="s">
        <v>2918</v>
      </c>
      <c r="O780" t="s">
        <v>2923</v>
      </c>
      <c r="P780" t="s">
        <v>2923</v>
      </c>
      <c r="Q780" t="s">
        <v>2924</v>
      </c>
      <c r="R780" t="s">
        <v>3219</v>
      </c>
      <c r="S780" t="s">
        <v>2208</v>
      </c>
      <c r="T780" t="s">
        <v>2208</v>
      </c>
    </row>
    <row r="781" spans="1:20">
      <c r="A781" t="s">
        <v>2239</v>
      </c>
      <c r="B781" t="s">
        <v>7740</v>
      </c>
      <c r="C781">
        <v>45428</v>
      </c>
      <c r="D781" t="s">
        <v>7263</v>
      </c>
      <c r="E781" t="s">
        <v>2925</v>
      </c>
      <c r="F781">
        <v>45709</v>
      </c>
      <c r="G781" t="s">
        <v>3940</v>
      </c>
      <c r="H781" t="s">
        <v>2916</v>
      </c>
      <c r="I781" t="s">
        <v>8641</v>
      </c>
      <c r="J781">
        <v>107258.59</v>
      </c>
      <c r="K781">
        <v>18443.11</v>
      </c>
      <c r="L781" t="s">
        <v>2917</v>
      </c>
      <c r="M781">
        <v>107258.59</v>
      </c>
      <c r="N781" t="s">
        <v>2918</v>
      </c>
      <c r="O781" t="s">
        <v>2923</v>
      </c>
      <c r="P781" t="s">
        <v>2923</v>
      </c>
      <c r="Q781" t="s">
        <v>2924</v>
      </c>
      <c r="R781" t="s">
        <v>3219</v>
      </c>
      <c r="S781" t="s">
        <v>2208</v>
      </c>
      <c r="T781" t="s">
        <v>2208</v>
      </c>
    </row>
    <row r="782" spans="1:20">
      <c r="A782" t="s">
        <v>2239</v>
      </c>
      <c r="B782" t="s">
        <v>7740</v>
      </c>
      <c r="C782">
        <v>45428</v>
      </c>
      <c r="D782" t="s">
        <v>7263</v>
      </c>
      <c r="E782" t="s">
        <v>2925</v>
      </c>
      <c r="F782">
        <v>45709</v>
      </c>
      <c r="G782" t="s">
        <v>3940</v>
      </c>
      <c r="H782" t="s">
        <v>2916</v>
      </c>
      <c r="I782" t="s">
        <v>8642</v>
      </c>
      <c r="J782">
        <v>118760</v>
      </c>
      <c r="K782">
        <v>20420.78</v>
      </c>
      <c r="L782" t="s">
        <v>2917</v>
      </c>
      <c r="M782">
        <v>118760</v>
      </c>
      <c r="N782" t="s">
        <v>2918</v>
      </c>
      <c r="O782" t="s">
        <v>2923</v>
      </c>
      <c r="P782" t="s">
        <v>2923</v>
      </c>
      <c r="Q782" t="s">
        <v>2924</v>
      </c>
      <c r="R782" t="s">
        <v>3219</v>
      </c>
      <c r="S782" t="s">
        <v>2208</v>
      </c>
      <c r="T782" t="s">
        <v>2208</v>
      </c>
    </row>
    <row r="783" spans="1:20">
      <c r="A783" t="s">
        <v>2239</v>
      </c>
      <c r="B783" t="s">
        <v>7740</v>
      </c>
      <c r="C783">
        <v>45385</v>
      </c>
      <c r="D783" t="s">
        <v>7263</v>
      </c>
      <c r="E783" t="s">
        <v>2925</v>
      </c>
      <c r="F783">
        <v>45709</v>
      </c>
      <c r="G783" t="s">
        <v>6995</v>
      </c>
      <c r="H783" t="s">
        <v>2916</v>
      </c>
      <c r="I783" t="s">
        <v>8643</v>
      </c>
      <c r="J783">
        <v>42699.83</v>
      </c>
      <c r="K783">
        <v>7342.24</v>
      </c>
      <c r="L783" t="s">
        <v>2917</v>
      </c>
      <c r="M783">
        <v>42699.83</v>
      </c>
      <c r="N783" t="s">
        <v>2918</v>
      </c>
      <c r="O783" t="s">
        <v>2940</v>
      </c>
      <c r="P783" t="s">
        <v>2940</v>
      </c>
      <c r="Q783" t="s">
        <v>2924</v>
      </c>
      <c r="R783" t="s">
        <v>3219</v>
      </c>
      <c r="S783" t="s">
        <v>2208</v>
      </c>
      <c r="T783" t="s">
        <v>2208</v>
      </c>
    </row>
    <row r="784" spans="1:20">
      <c r="A784" t="s">
        <v>2239</v>
      </c>
      <c r="B784" t="s">
        <v>7740</v>
      </c>
      <c r="C784">
        <v>45385</v>
      </c>
      <c r="D784" t="s">
        <v>7263</v>
      </c>
      <c r="E784" t="s">
        <v>2925</v>
      </c>
      <c r="F784">
        <v>45709</v>
      </c>
      <c r="G784" t="s">
        <v>6995</v>
      </c>
      <c r="H784" t="s">
        <v>2916</v>
      </c>
      <c r="I784" t="s">
        <v>8644</v>
      </c>
      <c r="J784">
        <v>69789.490000000005</v>
      </c>
      <c r="K784">
        <v>12000.3</v>
      </c>
      <c r="L784" t="s">
        <v>2917</v>
      </c>
      <c r="M784">
        <v>69789.490000000005</v>
      </c>
      <c r="N784" t="s">
        <v>2918</v>
      </c>
      <c r="O784" t="s">
        <v>2940</v>
      </c>
      <c r="P784" t="s">
        <v>2940</v>
      </c>
      <c r="Q784" t="s">
        <v>2924</v>
      </c>
      <c r="R784" t="s">
        <v>3219</v>
      </c>
      <c r="S784" t="s">
        <v>2208</v>
      </c>
      <c r="T784" t="s">
        <v>2208</v>
      </c>
    </row>
    <row r="785" spans="1:20">
      <c r="A785" t="s">
        <v>2239</v>
      </c>
      <c r="B785" t="s">
        <v>7740</v>
      </c>
      <c r="C785">
        <v>45385</v>
      </c>
      <c r="D785" t="s">
        <v>7263</v>
      </c>
      <c r="E785" t="s">
        <v>2925</v>
      </c>
      <c r="F785">
        <v>45709</v>
      </c>
      <c r="G785" t="s">
        <v>6995</v>
      </c>
      <c r="H785" t="s">
        <v>2916</v>
      </c>
      <c r="I785" t="s">
        <v>8645</v>
      </c>
      <c r="J785">
        <v>331195.62</v>
      </c>
      <c r="K785">
        <v>56949.09</v>
      </c>
      <c r="L785" t="s">
        <v>2917</v>
      </c>
      <c r="M785">
        <v>331195.62</v>
      </c>
      <c r="N785" t="s">
        <v>2918</v>
      </c>
      <c r="O785" t="s">
        <v>2940</v>
      </c>
      <c r="P785" t="s">
        <v>2940</v>
      </c>
      <c r="Q785" t="s">
        <v>2924</v>
      </c>
      <c r="R785" t="s">
        <v>3219</v>
      </c>
      <c r="S785" t="s">
        <v>2208</v>
      </c>
      <c r="T785" t="s">
        <v>2208</v>
      </c>
    </row>
    <row r="786" spans="1:20">
      <c r="A786" t="s">
        <v>2239</v>
      </c>
      <c r="B786" t="s">
        <v>7740</v>
      </c>
      <c r="C786">
        <v>45665</v>
      </c>
      <c r="D786" t="s">
        <v>7263</v>
      </c>
      <c r="E786" t="s">
        <v>2925</v>
      </c>
      <c r="F786">
        <v>45709</v>
      </c>
      <c r="G786" t="s">
        <v>8646</v>
      </c>
      <c r="H786" t="s">
        <v>2916</v>
      </c>
      <c r="I786" t="s">
        <v>8647</v>
      </c>
      <c r="J786">
        <v>900</v>
      </c>
      <c r="K786">
        <v>154.76</v>
      </c>
      <c r="L786" t="s">
        <v>2917</v>
      </c>
      <c r="M786">
        <v>900</v>
      </c>
      <c r="N786" t="s">
        <v>2918</v>
      </c>
      <c r="O786" t="s">
        <v>8648</v>
      </c>
      <c r="P786" t="s">
        <v>8648</v>
      </c>
      <c r="Q786" t="s">
        <v>2924</v>
      </c>
      <c r="R786" t="s">
        <v>3219</v>
      </c>
      <c r="S786" t="s">
        <v>2208</v>
      </c>
      <c r="T786" t="s">
        <v>2208</v>
      </c>
    </row>
    <row r="787" spans="1:20">
      <c r="A787" t="s">
        <v>2239</v>
      </c>
      <c r="B787" t="s">
        <v>7740</v>
      </c>
      <c r="C787">
        <v>45562</v>
      </c>
      <c r="D787" t="s">
        <v>7263</v>
      </c>
      <c r="E787" t="s">
        <v>2925</v>
      </c>
      <c r="F787">
        <v>45712</v>
      </c>
      <c r="G787" t="s">
        <v>7601</v>
      </c>
      <c r="H787" t="s">
        <v>2916</v>
      </c>
      <c r="I787" t="s">
        <v>8895</v>
      </c>
      <c r="J787">
        <v>4852.6400000000003</v>
      </c>
      <c r="K787">
        <v>834.41</v>
      </c>
      <c r="L787" t="s">
        <v>2917</v>
      </c>
      <c r="M787">
        <v>4852.6400000000003</v>
      </c>
      <c r="N787" t="s">
        <v>2918</v>
      </c>
      <c r="O787" t="s">
        <v>2939</v>
      </c>
      <c r="P787" t="s">
        <v>2939</v>
      </c>
      <c r="Q787" t="s">
        <v>2924</v>
      </c>
      <c r="R787" t="s">
        <v>3219</v>
      </c>
      <c r="S787" t="s">
        <v>2208</v>
      </c>
      <c r="T787" t="s">
        <v>2208</v>
      </c>
    </row>
    <row r="788" spans="1:20">
      <c r="A788" t="s">
        <v>2239</v>
      </c>
      <c r="B788" t="s">
        <v>7740</v>
      </c>
      <c r="C788">
        <v>45562</v>
      </c>
      <c r="D788" t="s">
        <v>7263</v>
      </c>
      <c r="E788" t="s">
        <v>2925</v>
      </c>
      <c r="F788">
        <v>45712</v>
      </c>
      <c r="G788" t="s">
        <v>7601</v>
      </c>
      <c r="H788" t="s">
        <v>2916</v>
      </c>
      <c r="I788" t="s">
        <v>8896</v>
      </c>
      <c r="J788">
        <v>36766.58</v>
      </c>
      <c r="K788">
        <v>6322.01</v>
      </c>
      <c r="L788" t="s">
        <v>2917</v>
      </c>
      <c r="M788">
        <v>36766.58</v>
      </c>
      <c r="N788" t="s">
        <v>2918</v>
      </c>
      <c r="O788" t="s">
        <v>2939</v>
      </c>
      <c r="P788" t="s">
        <v>2939</v>
      </c>
      <c r="Q788" t="s">
        <v>2924</v>
      </c>
      <c r="R788" t="s">
        <v>3219</v>
      </c>
      <c r="S788" t="s">
        <v>2208</v>
      </c>
      <c r="T788" t="s">
        <v>2208</v>
      </c>
    </row>
    <row r="789" spans="1:20">
      <c r="A789" t="s">
        <v>2239</v>
      </c>
      <c r="B789" t="s">
        <v>7740</v>
      </c>
      <c r="C789">
        <v>45562</v>
      </c>
      <c r="D789" t="s">
        <v>7263</v>
      </c>
      <c r="E789" t="s">
        <v>2925</v>
      </c>
      <c r="F789">
        <v>45712</v>
      </c>
      <c r="G789" t="s">
        <v>7601</v>
      </c>
      <c r="H789" t="s">
        <v>2916</v>
      </c>
      <c r="I789" t="s">
        <v>8897</v>
      </c>
      <c r="J789">
        <v>16905.91</v>
      </c>
      <c r="K789">
        <v>2906.97</v>
      </c>
      <c r="L789" t="s">
        <v>2917</v>
      </c>
      <c r="M789">
        <v>16905.91</v>
      </c>
      <c r="N789" t="s">
        <v>2918</v>
      </c>
      <c r="O789" t="s">
        <v>2939</v>
      </c>
      <c r="P789" t="s">
        <v>2939</v>
      </c>
      <c r="Q789" t="s">
        <v>2924</v>
      </c>
      <c r="R789" t="s">
        <v>3219</v>
      </c>
      <c r="S789" t="s">
        <v>2208</v>
      </c>
      <c r="T789" t="s">
        <v>2208</v>
      </c>
    </row>
    <row r="790" spans="1:20">
      <c r="A790" t="s">
        <v>2239</v>
      </c>
      <c r="B790" t="s">
        <v>7740</v>
      </c>
      <c r="C790">
        <v>45562</v>
      </c>
      <c r="D790" t="s">
        <v>7263</v>
      </c>
      <c r="E790" t="s">
        <v>2925</v>
      </c>
      <c r="F790">
        <v>45712</v>
      </c>
      <c r="G790" t="s">
        <v>7601</v>
      </c>
      <c r="H790" t="s">
        <v>2916</v>
      </c>
      <c r="I790" t="s">
        <v>8898</v>
      </c>
      <c r="J790">
        <v>264209.59999999998</v>
      </c>
      <c r="K790">
        <v>45430.84</v>
      </c>
      <c r="L790" t="s">
        <v>2917</v>
      </c>
      <c r="M790">
        <v>264209.59999999998</v>
      </c>
      <c r="N790" t="s">
        <v>2918</v>
      </c>
      <c r="O790" t="s">
        <v>2939</v>
      </c>
      <c r="P790" t="s">
        <v>2939</v>
      </c>
      <c r="Q790" t="s">
        <v>2924</v>
      </c>
      <c r="R790" t="s">
        <v>3219</v>
      </c>
      <c r="S790" t="s">
        <v>2208</v>
      </c>
      <c r="T790" t="s">
        <v>2208</v>
      </c>
    </row>
    <row r="791" spans="1:20">
      <c r="A791" t="s">
        <v>2239</v>
      </c>
      <c r="B791" t="s">
        <v>7740</v>
      </c>
      <c r="C791">
        <v>45562</v>
      </c>
      <c r="D791" t="s">
        <v>7263</v>
      </c>
      <c r="E791" t="s">
        <v>2925</v>
      </c>
      <c r="F791">
        <v>45712</v>
      </c>
      <c r="G791" t="s">
        <v>7601</v>
      </c>
      <c r="H791" t="s">
        <v>2916</v>
      </c>
      <c r="I791" t="s">
        <v>8899</v>
      </c>
      <c r="J791">
        <v>4021.01</v>
      </c>
      <c r="K791">
        <v>691.41</v>
      </c>
      <c r="L791" t="s">
        <v>2917</v>
      </c>
      <c r="M791">
        <v>4021.01</v>
      </c>
      <c r="N791" t="s">
        <v>2918</v>
      </c>
      <c r="O791" t="s">
        <v>2939</v>
      </c>
      <c r="P791" t="s">
        <v>2939</v>
      </c>
      <c r="Q791" t="s">
        <v>2924</v>
      </c>
      <c r="R791" t="s">
        <v>3219</v>
      </c>
      <c r="S791" t="s">
        <v>2208</v>
      </c>
      <c r="T791" t="s">
        <v>2208</v>
      </c>
    </row>
    <row r="792" spans="1:20">
      <c r="A792" t="s">
        <v>2239</v>
      </c>
      <c r="B792" t="s">
        <v>7740</v>
      </c>
      <c r="C792">
        <v>45562</v>
      </c>
      <c r="D792" t="s">
        <v>7263</v>
      </c>
      <c r="E792" t="s">
        <v>2925</v>
      </c>
      <c r="F792">
        <v>45712</v>
      </c>
      <c r="G792" t="s">
        <v>7601</v>
      </c>
      <c r="H792" t="s">
        <v>2916</v>
      </c>
      <c r="I792" t="s">
        <v>8900</v>
      </c>
      <c r="J792">
        <v>163654.6</v>
      </c>
      <c r="K792">
        <v>28140.41</v>
      </c>
      <c r="L792" t="s">
        <v>2917</v>
      </c>
      <c r="M792">
        <v>163654.6</v>
      </c>
      <c r="N792" t="s">
        <v>2918</v>
      </c>
      <c r="O792" t="s">
        <v>2939</v>
      </c>
      <c r="P792" t="s">
        <v>2939</v>
      </c>
      <c r="Q792" t="s">
        <v>2924</v>
      </c>
      <c r="R792" t="s">
        <v>3219</v>
      </c>
      <c r="S792" t="s">
        <v>2208</v>
      </c>
      <c r="T792" t="s">
        <v>2208</v>
      </c>
    </row>
    <row r="793" spans="1:20">
      <c r="A793" t="s">
        <v>2239</v>
      </c>
      <c r="B793" t="s">
        <v>7740</v>
      </c>
      <c r="C793">
        <v>45562</v>
      </c>
      <c r="D793" t="s">
        <v>7263</v>
      </c>
      <c r="E793" t="s">
        <v>2925</v>
      </c>
      <c r="F793">
        <v>45712</v>
      </c>
      <c r="G793" t="s">
        <v>7601</v>
      </c>
      <c r="H793" t="s">
        <v>2916</v>
      </c>
      <c r="I793" t="s">
        <v>8901</v>
      </c>
      <c r="J793">
        <v>762.99</v>
      </c>
      <c r="K793">
        <v>131.19999999999999</v>
      </c>
      <c r="L793" t="s">
        <v>2917</v>
      </c>
      <c r="M793">
        <v>762.99</v>
      </c>
      <c r="N793" t="s">
        <v>2918</v>
      </c>
      <c r="O793" t="s">
        <v>2939</v>
      </c>
      <c r="P793" t="s">
        <v>2939</v>
      </c>
      <c r="Q793" t="s">
        <v>2924</v>
      </c>
      <c r="R793" t="s">
        <v>3219</v>
      </c>
      <c r="S793" t="s">
        <v>2208</v>
      </c>
      <c r="T793" t="s">
        <v>2208</v>
      </c>
    </row>
    <row r="794" spans="1:20">
      <c r="A794" t="s">
        <v>2239</v>
      </c>
      <c r="B794" t="s">
        <v>7740</v>
      </c>
      <c r="C794">
        <v>45562</v>
      </c>
      <c r="D794" t="s">
        <v>7263</v>
      </c>
      <c r="E794" t="s">
        <v>2925</v>
      </c>
      <c r="F794">
        <v>45712</v>
      </c>
      <c r="G794" t="s">
        <v>7601</v>
      </c>
      <c r="H794" t="s">
        <v>2916</v>
      </c>
      <c r="I794" t="s">
        <v>8902</v>
      </c>
      <c r="J794">
        <v>44191.74</v>
      </c>
      <c r="K794">
        <v>7598.77</v>
      </c>
      <c r="L794" t="s">
        <v>2917</v>
      </c>
      <c r="M794">
        <v>44191.74</v>
      </c>
      <c r="N794" t="s">
        <v>2918</v>
      </c>
      <c r="O794" t="s">
        <v>2939</v>
      </c>
      <c r="P794" t="s">
        <v>2939</v>
      </c>
      <c r="Q794" t="s">
        <v>2924</v>
      </c>
      <c r="R794" t="s">
        <v>3219</v>
      </c>
      <c r="S794" t="s">
        <v>2208</v>
      </c>
      <c r="T794" t="s">
        <v>2208</v>
      </c>
    </row>
    <row r="795" spans="1:20">
      <c r="A795" t="s">
        <v>2239</v>
      </c>
      <c r="B795" t="s">
        <v>7740</v>
      </c>
      <c r="C795">
        <v>45709</v>
      </c>
      <c r="D795" t="s">
        <v>7263</v>
      </c>
      <c r="E795" t="s">
        <v>2925</v>
      </c>
      <c r="F795">
        <v>45713</v>
      </c>
      <c r="G795" t="s">
        <v>3940</v>
      </c>
      <c r="H795" t="s">
        <v>2916</v>
      </c>
      <c r="I795" t="s">
        <v>8995</v>
      </c>
      <c r="J795">
        <v>0</v>
      </c>
      <c r="K795">
        <v>-1705.98</v>
      </c>
      <c r="L795" t="s">
        <v>2917</v>
      </c>
      <c r="M795">
        <v>-9921.42</v>
      </c>
      <c r="N795" t="s">
        <v>2918</v>
      </c>
      <c r="O795" t="s">
        <v>8996</v>
      </c>
      <c r="P795" t="s">
        <v>2923</v>
      </c>
      <c r="Q795" t="s">
        <v>2924</v>
      </c>
      <c r="R795" t="s">
        <v>3219</v>
      </c>
      <c r="S795" t="s">
        <v>2208</v>
      </c>
      <c r="T795" t="s">
        <v>2208</v>
      </c>
    </row>
    <row r="796" spans="1:20">
      <c r="A796" t="s">
        <v>2239</v>
      </c>
      <c r="B796" t="s">
        <v>7740</v>
      </c>
      <c r="C796">
        <v>45709</v>
      </c>
      <c r="D796" t="s">
        <v>7263</v>
      </c>
      <c r="E796" t="s">
        <v>2925</v>
      </c>
      <c r="F796">
        <v>45713</v>
      </c>
      <c r="G796" t="s">
        <v>3940</v>
      </c>
      <c r="H796" t="s">
        <v>2916</v>
      </c>
      <c r="I796" t="s">
        <v>8997</v>
      </c>
      <c r="J796">
        <v>0</v>
      </c>
      <c r="K796">
        <v>-1888.92</v>
      </c>
      <c r="L796" t="s">
        <v>2917</v>
      </c>
      <c r="M796">
        <v>-10985.3</v>
      </c>
      <c r="N796" t="s">
        <v>2918</v>
      </c>
      <c r="O796" t="s">
        <v>8998</v>
      </c>
      <c r="P796" t="s">
        <v>2923</v>
      </c>
      <c r="Q796" t="s">
        <v>2924</v>
      </c>
      <c r="R796" t="s">
        <v>3219</v>
      </c>
      <c r="S796" t="s">
        <v>2208</v>
      </c>
      <c r="T796" t="s">
        <v>2208</v>
      </c>
    </row>
    <row r="797" spans="1:20">
      <c r="A797" t="s">
        <v>2239</v>
      </c>
      <c r="B797" t="s">
        <v>7740</v>
      </c>
      <c r="C797">
        <v>45708</v>
      </c>
      <c r="D797" t="s">
        <v>7263</v>
      </c>
      <c r="E797" t="s">
        <v>2925</v>
      </c>
      <c r="F797">
        <v>45714</v>
      </c>
      <c r="G797" t="s">
        <v>8638</v>
      </c>
      <c r="H797" t="s">
        <v>2916</v>
      </c>
      <c r="I797" t="s">
        <v>8999</v>
      </c>
      <c r="J797">
        <v>0</v>
      </c>
      <c r="K797">
        <v>-752.49</v>
      </c>
      <c r="L797" t="s">
        <v>2917</v>
      </c>
      <c r="M797">
        <v>-4376.22</v>
      </c>
      <c r="N797" t="s">
        <v>2918</v>
      </c>
      <c r="O797" t="s">
        <v>9000</v>
      </c>
      <c r="P797" t="s">
        <v>3315</v>
      </c>
      <c r="Q797" t="s">
        <v>2924</v>
      </c>
      <c r="R797" t="s">
        <v>3219</v>
      </c>
      <c r="S797" t="s">
        <v>2208</v>
      </c>
      <c r="T797" t="s">
        <v>2208</v>
      </c>
    </row>
    <row r="798" spans="1:20">
      <c r="A798" t="s">
        <v>2239</v>
      </c>
      <c r="B798" t="s">
        <v>7740</v>
      </c>
      <c r="C798">
        <v>45709</v>
      </c>
      <c r="D798" t="s">
        <v>7263</v>
      </c>
      <c r="E798" t="s">
        <v>2925</v>
      </c>
      <c r="F798">
        <v>45714</v>
      </c>
      <c r="G798" t="s">
        <v>6995</v>
      </c>
      <c r="H798" t="s">
        <v>2916</v>
      </c>
      <c r="I798" t="s">
        <v>9001</v>
      </c>
      <c r="J798">
        <v>0</v>
      </c>
      <c r="K798">
        <v>-679.16</v>
      </c>
      <c r="L798" t="s">
        <v>2917</v>
      </c>
      <c r="M798">
        <v>-3949.74</v>
      </c>
      <c r="N798" t="s">
        <v>2918</v>
      </c>
      <c r="O798" t="s">
        <v>9002</v>
      </c>
      <c r="P798" t="s">
        <v>2940</v>
      </c>
      <c r="Q798" t="s">
        <v>2924</v>
      </c>
      <c r="R798" t="s">
        <v>3219</v>
      </c>
      <c r="S798" t="s">
        <v>2208</v>
      </c>
      <c r="T798" t="s">
        <v>2208</v>
      </c>
    </row>
    <row r="799" spans="1:20">
      <c r="A799" t="s">
        <v>2239</v>
      </c>
      <c r="B799" t="s">
        <v>7740</v>
      </c>
      <c r="C799">
        <v>45709</v>
      </c>
      <c r="D799" t="s">
        <v>7263</v>
      </c>
      <c r="E799" t="s">
        <v>2925</v>
      </c>
      <c r="F799">
        <v>45714</v>
      </c>
      <c r="G799" t="s">
        <v>6995</v>
      </c>
      <c r="H799" t="s">
        <v>2916</v>
      </c>
      <c r="I799" t="s">
        <v>9003</v>
      </c>
      <c r="J799">
        <v>0</v>
      </c>
      <c r="K799">
        <v>-1110.03</v>
      </c>
      <c r="L799" t="s">
        <v>2917</v>
      </c>
      <c r="M799">
        <v>-6455.53</v>
      </c>
      <c r="N799" t="s">
        <v>2918</v>
      </c>
      <c r="O799" t="s">
        <v>9004</v>
      </c>
      <c r="P799" t="s">
        <v>2940</v>
      </c>
      <c r="Q799" t="s">
        <v>2924</v>
      </c>
      <c r="R799" t="s">
        <v>3219</v>
      </c>
      <c r="S799" t="s">
        <v>2208</v>
      </c>
      <c r="T799" t="s">
        <v>2208</v>
      </c>
    </row>
    <row r="800" spans="1:20">
      <c r="A800" t="s">
        <v>2239</v>
      </c>
      <c r="B800" t="s">
        <v>7740</v>
      </c>
      <c r="C800">
        <v>45709</v>
      </c>
      <c r="D800" t="s">
        <v>7263</v>
      </c>
      <c r="E800" t="s">
        <v>2925</v>
      </c>
      <c r="F800">
        <v>45714</v>
      </c>
      <c r="G800" t="s">
        <v>6995</v>
      </c>
      <c r="H800" t="s">
        <v>2916</v>
      </c>
      <c r="I800" t="s">
        <v>9005</v>
      </c>
      <c r="J800">
        <v>0</v>
      </c>
      <c r="K800">
        <v>-5267.79</v>
      </c>
      <c r="L800" t="s">
        <v>2917</v>
      </c>
      <c r="M800">
        <v>-30635.599999999999</v>
      </c>
      <c r="N800" t="s">
        <v>2918</v>
      </c>
      <c r="O800" t="s">
        <v>9006</v>
      </c>
      <c r="P800" t="s">
        <v>2940</v>
      </c>
      <c r="Q800" t="s">
        <v>2924</v>
      </c>
      <c r="R800" t="s">
        <v>3219</v>
      </c>
      <c r="S800" t="s">
        <v>2208</v>
      </c>
      <c r="T800" t="s">
        <v>2208</v>
      </c>
    </row>
    <row r="801" spans="1:20">
      <c r="A801" t="s">
        <v>2239</v>
      </c>
      <c r="B801" t="s">
        <v>7740</v>
      </c>
      <c r="C801">
        <v>45708</v>
      </c>
      <c r="D801" t="s">
        <v>7263</v>
      </c>
      <c r="E801" t="s">
        <v>2925</v>
      </c>
      <c r="F801">
        <v>45714</v>
      </c>
      <c r="G801" t="s">
        <v>7594</v>
      </c>
      <c r="H801" t="s">
        <v>2916</v>
      </c>
      <c r="I801" t="s">
        <v>9007</v>
      </c>
      <c r="J801">
        <v>0</v>
      </c>
      <c r="K801">
        <v>-2465.1999999999998</v>
      </c>
      <c r="L801" t="s">
        <v>2917</v>
      </c>
      <c r="M801">
        <v>-14336.74</v>
      </c>
      <c r="N801" t="s">
        <v>2918</v>
      </c>
      <c r="O801" t="s">
        <v>9008</v>
      </c>
      <c r="P801" t="s">
        <v>2940</v>
      </c>
      <c r="Q801" t="s">
        <v>2924</v>
      </c>
      <c r="R801" t="s">
        <v>3219</v>
      </c>
      <c r="S801" t="s">
        <v>2208</v>
      </c>
      <c r="T801" t="s">
        <v>2208</v>
      </c>
    </row>
    <row r="802" spans="1:20">
      <c r="A802" t="s">
        <v>2239</v>
      </c>
      <c r="B802" t="s">
        <v>7740</v>
      </c>
      <c r="C802">
        <v>45708</v>
      </c>
      <c r="D802" t="s">
        <v>7263</v>
      </c>
      <c r="E802" t="s">
        <v>2925</v>
      </c>
      <c r="F802">
        <v>45714</v>
      </c>
      <c r="G802" t="s">
        <v>7594</v>
      </c>
      <c r="H802" t="s">
        <v>2916</v>
      </c>
      <c r="I802" t="s">
        <v>9009</v>
      </c>
      <c r="J802">
        <v>0</v>
      </c>
      <c r="K802">
        <v>-179.84</v>
      </c>
      <c r="L802" t="s">
        <v>2917</v>
      </c>
      <c r="M802">
        <v>-1045.8800000000001</v>
      </c>
      <c r="N802" t="s">
        <v>2918</v>
      </c>
      <c r="O802" t="s">
        <v>9010</v>
      </c>
      <c r="P802" t="s">
        <v>2940</v>
      </c>
      <c r="Q802" t="s">
        <v>2924</v>
      </c>
      <c r="R802" t="s">
        <v>3219</v>
      </c>
      <c r="S802" t="s">
        <v>2208</v>
      </c>
      <c r="T802" t="s">
        <v>2208</v>
      </c>
    </row>
    <row r="803" spans="1:20">
      <c r="A803" t="s">
        <v>2239</v>
      </c>
      <c r="B803" t="s">
        <v>7740</v>
      </c>
      <c r="C803">
        <v>45709</v>
      </c>
      <c r="D803" t="s">
        <v>7263</v>
      </c>
      <c r="E803" t="s">
        <v>2925</v>
      </c>
      <c r="F803">
        <v>45714</v>
      </c>
      <c r="G803" t="s">
        <v>3940</v>
      </c>
      <c r="H803" t="s">
        <v>2916</v>
      </c>
      <c r="I803" t="s">
        <v>9011</v>
      </c>
      <c r="J803">
        <v>0</v>
      </c>
      <c r="K803">
        <v>-1681.51</v>
      </c>
      <c r="L803" t="s">
        <v>2917</v>
      </c>
      <c r="M803">
        <v>-9779.06</v>
      </c>
      <c r="N803" t="s">
        <v>2918</v>
      </c>
      <c r="O803" t="s">
        <v>9012</v>
      </c>
      <c r="P803" t="s">
        <v>2923</v>
      </c>
      <c r="Q803" t="s">
        <v>2924</v>
      </c>
      <c r="R803" t="s">
        <v>3219</v>
      </c>
      <c r="S803" t="s">
        <v>2208</v>
      </c>
      <c r="T803" t="s">
        <v>2208</v>
      </c>
    </row>
    <row r="804" spans="1:20">
      <c r="A804" t="s">
        <v>2239</v>
      </c>
      <c r="B804" t="s">
        <v>7740</v>
      </c>
      <c r="C804">
        <v>45716</v>
      </c>
      <c r="D804" t="s">
        <v>7263</v>
      </c>
      <c r="E804" t="s">
        <v>2925</v>
      </c>
      <c r="F804">
        <v>45716</v>
      </c>
      <c r="G804" t="s">
        <v>2208</v>
      </c>
      <c r="H804" t="s">
        <v>2916</v>
      </c>
      <c r="I804" t="s">
        <v>9145</v>
      </c>
      <c r="J804">
        <v>0</v>
      </c>
      <c r="K804">
        <v>-0.01</v>
      </c>
      <c r="L804" t="s">
        <v>2917</v>
      </c>
      <c r="M804">
        <v>0</v>
      </c>
      <c r="N804" t="s">
        <v>2918</v>
      </c>
      <c r="O804" t="s">
        <v>2919</v>
      </c>
      <c r="P804" t="s">
        <v>2208</v>
      </c>
      <c r="Q804" t="s">
        <v>2916</v>
      </c>
      <c r="R804" t="s">
        <v>3220</v>
      </c>
      <c r="S804" t="s">
        <v>2208</v>
      </c>
      <c r="T804" t="s">
        <v>2208</v>
      </c>
    </row>
    <row r="805" spans="1:20">
      <c r="A805" t="s">
        <v>2239</v>
      </c>
      <c r="B805" t="s">
        <v>7740</v>
      </c>
      <c r="C805">
        <v>45716</v>
      </c>
      <c r="D805" t="s">
        <v>7263</v>
      </c>
      <c r="E805" t="s">
        <v>2925</v>
      </c>
      <c r="F805">
        <v>45716</v>
      </c>
      <c r="G805" t="s">
        <v>2208</v>
      </c>
      <c r="H805" t="s">
        <v>2916</v>
      </c>
      <c r="I805" t="s">
        <v>9146</v>
      </c>
      <c r="J805">
        <v>0</v>
      </c>
      <c r="K805">
        <v>-0.05</v>
      </c>
      <c r="L805" t="s">
        <v>2917</v>
      </c>
      <c r="M805">
        <v>0</v>
      </c>
      <c r="N805" t="s">
        <v>2918</v>
      </c>
      <c r="O805" t="s">
        <v>2919</v>
      </c>
      <c r="P805" t="s">
        <v>2208</v>
      </c>
      <c r="Q805" t="s">
        <v>2916</v>
      </c>
      <c r="R805" t="s">
        <v>3220</v>
      </c>
      <c r="S805" t="s">
        <v>2208</v>
      </c>
      <c r="T805" t="s">
        <v>2208</v>
      </c>
    </row>
    <row r="806" spans="1:20">
      <c r="A806" t="s">
        <v>2239</v>
      </c>
      <c r="B806" t="s">
        <v>7740</v>
      </c>
      <c r="C806">
        <v>45716</v>
      </c>
      <c r="D806" t="s">
        <v>7263</v>
      </c>
      <c r="E806" t="s">
        <v>2925</v>
      </c>
      <c r="F806">
        <v>45716</v>
      </c>
      <c r="G806" t="s">
        <v>2208</v>
      </c>
      <c r="H806" t="s">
        <v>2916</v>
      </c>
      <c r="I806" t="s">
        <v>9147</v>
      </c>
      <c r="J806">
        <v>0</v>
      </c>
      <c r="K806">
        <v>-2128.83</v>
      </c>
      <c r="L806" t="s">
        <v>2917</v>
      </c>
      <c r="M806">
        <v>0</v>
      </c>
      <c r="N806" t="s">
        <v>2918</v>
      </c>
      <c r="O806" t="s">
        <v>2919</v>
      </c>
      <c r="P806" t="s">
        <v>2208</v>
      </c>
      <c r="Q806" t="s">
        <v>2916</v>
      </c>
      <c r="R806" t="s">
        <v>3220</v>
      </c>
      <c r="S806" t="s">
        <v>2208</v>
      </c>
      <c r="T806" t="s">
        <v>2208</v>
      </c>
    </row>
    <row r="807" spans="1:20">
      <c r="A807" t="s">
        <v>2239</v>
      </c>
      <c r="B807" t="s">
        <v>7740</v>
      </c>
      <c r="C807">
        <v>45716</v>
      </c>
      <c r="D807" t="s">
        <v>7263</v>
      </c>
      <c r="E807" t="s">
        <v>2925</v>
      </c>
      <c r="F807">
        <v>45716</v>
      </c>
      <c r="G807" t="s">
        <v>2208</v>
      </c>
      <c r="H807" t="s">
        <v>2916</v>
      </c>
      <c r="I807" t="s">
        <v>9148</v>
      </c>
      <c r="J807">
        <v>0</v>
      </c>
      <c r="K807">
        <v>-0.09</v>
      </c>
      <c r="L807" t="s">
        <v>2917</v>
      </c>
      <c r="M807">
        <v>0</v>
      </c>
      <c r="N807" t="s">
        <v>2918</v>
      </c>
      <c r="O807" t="s">
        <v>2919</v>
      </c>
      <c r="P807" t="s">
        <v>2208</v>
      </c>
      <c r="Q807" t="s">
        <v>2916</v>
      </c>
      <c r="R807" t="s">
        <v>3220</v>
      </c>
      <c r="S807" t="s">
        <v>2208</v>
      </c>
      <c r="T807" t="s">
        <v>2208</v>
      </c>
    </row>
    <row r="808" spans="1:20">
      <c r="A808" t="s">
        <v>2239</v>
      </c>
      <c r="B808" t="s">
        <v>9126</v>
      </c>
      <c r="C808">
        <v>45736</v>
      </c>
      <c r="D808" t="s">
        <v>7263</v>
      </c>
      <c r="E808" t="s">
        <v>9127</v>
      </c>
      <c r="F808">
        <v>45736</v>
      </c>
      <c r="G808" t="s">
        <v>10986</v>
      </c>
      <c r="H808" t="s">
        <v>2916</v>
      </c>
      <c r="I808" t="s">
        <v>10987</v>
      </c>
      <c r="J808">
        <v>12</v>
      </c>
      <c r="K808">
        <v>2241.7800000000002</v>
      </c>
      <c r="L808" t="s">
        <v>2917</v>
      </c>
      <c r="M808">
        <v>13080</v>
      </c>
      <c r="N808" t="s">
        <v>2918</v>
      </c>
      <c r="O808" t="s">
        <v>10988</v>
      </c>
      <c r="P808" t="s">
        <v>10989</v>
      </c>
      <c r="Q808" t="s">
        <v>2924</v>
      </c>
      <c r="R808" t="s">
        <v>3219</v>
      </c>
      <c r="S808" t="s">
        <v>10990</v>
      </c>
      <c r="T808" t="s">
        <v>10991</v>
      </c>
    </row>
    <row r="809" spans="1:20">
      <c r="A809" t="s">
        <v>2239</v>
      </c>
      <c r="B809" t="s">
        <v>9126</v>
      </c>
      <c r="C809">
        <v>45736</v>
      </c>
      <c r="D809" t="s">
        <v>7263</v>
      </c>
      <c r="E809" t="s">
        <v>9127</v>
      </c>
      <c r="F809">
        <v>45736</v>
      </c>
      <c r="G809" t="s">
        <v>10986</v>
      </c>
      <c r="H809" t="s">
        <v>2916</v>
      </c>
      <c r="I809" t="s">
        <v>10992</v>
      </c>
      <c r="J809">
        <v>0</v>
      </c>
      <c r="K809">
        <v>-207.36</v>
      </c>
      <c r="L809" t="s">
        <v>2917</v>
      </c>
      <c r="M809">
        <v>-1209.9000000000001</v>
      </c>
      <c r="N809" t="s">
        <v>2918</v>
      </c>
      <c r="O809" t="s">
        <v>10993</v>
      </c>
      <c r="P809" t="s">
        <v>10989</v>
      </c>
      <c r="Q809" t="s">
        <v>2924</v>
      </c>
      <c r="R809" t="s">
        <v>3219</v>
      </c>
      <c r="S809" t="s">
        <v>10990</v>
      </c>
      <c r="T809" t="s">
        <v>10991</v>
      </c>
    </row>
    <row r="810" spans="1:20">
      <c r="A810" t="s">
        <v>2239</v>
      </c>
      <c r="B810" t="s">
        <v>9126</v>
      </c>
      <c r="C810">
        <v>45428</v>
      </c>
      <c r="D810" t="s">
        <v>7263</v>
      </c>
      <c r="E810" t="s">
        <v>9127</v>
      </c>
      <c r="F810">
        <v>45736</v>
      </c>
      <c r="G810" t="s">
        <v>3940</v>
      </c>
      <c r="H810" t="s">
        <v>2916</v>
      </c>
      <c r="I810" t="s">
        <v>10994</v>
      </c>
      <c r="J810">
        <v>49441.73</v>
      </c>
      <c r="K810">
        <v>8473.82</v>
      </c>
      <c r="L810" t="s">
        <v>2917</v>
      </c>
      <c r="M810">
        <v>49441.73</v>
      </c>
      <c r="N810" t="s">
        <v>2918</v>
      </c>
      <c r="O810" t="s">
        <v>2923</v>
      </c>
      <c r="P810" t="s">
        <v>2923</v>
      </c>
      <c r="Q810" t="s">
        <v>2924</v>
      </c>
      <c r="R810" t="s">
        <v>3219</v>
      </c>
      <c r="S810" t="s">
        <v>2208</v>
      </c>
      <c r="T810" t="s">
        <v>2208</v>
      </c>
    </row>
    <row r="811" spans="1:20">
      <c r="A811" t="s">
        <v>2239</v>
      </c>
      <c r="B811" t="s">
        <v>9126</v>
      </c>
      <c r="C811">
        <v>45428</v>
      </c>
      <c r="D811" t="s">
        <v>7263</v>
      </c>
      <c r="E811" t="s">
        <v>9127</v>
      </c>
      <c r="F811">
        <v>45736</v>
      </c>
      <c r="G811" t="s">
        <v>3940</v>
      </c>
      <c r="H811" t="s">
        <v>2916</v>
      </c>
      <c r="I811" t="s">
        <v>10995</v>
      </c>
      <c r="J811">
        <v>46152.51</v>
      </c>
      <c r="K811">
        <v>7910.08</v>
      </c>
      <c r="L811" t="s">
        <v>2917</v>
      </c>
      <c r="M811">
        <v>46152.51</v>
      </c>
      <c r="N811" t="s">
        <v>2918</v>
      </c>
      <c r="O811" t="s">
        <v>2923</v>
      </c>
      <c r="P811" t="s">
        <v>2923</v>
      </c>
      <c r="Q811" t="s">
        <v>2924</v>
      </c>
      <c r="R811" t="s">
        <v>3219</v>
      </c>
      <c r="S811" t="s">
        <v>2208</v>
      </c>
      <c r="T811" t="s">
        <v>2208</v>
      </c>
    </row>
    <row r="812" spans="1:20">
      <c r="A812" t="s">
        <v>2239</v>
      </c>
      <c r="B812" t="s">
        <v>9126</v>
      </c>
      <c r="C812">
        <v>45428</v>
      </c>
      <c r="D812" t="s">
        <v>7263</v>
      </c>
      <c r="E812" t="s">
        <v>9127</v>
      </c>
      <c r="F812">
        <v>45736</v>
      </c>
      <c r="G812" t="s">
        <v>3940</v>
      </c>
      <c r="H812" t="s">
        <v>2916</v>
      </c>
      <c r="I812" t="s">
        <v>10996</v>
      </c>
      <c r="J812">
        <v>27813.82</v>
      </c>
      <c r="K812">
        <v>4767.01</v>
      </c>
      <c r="L812" t="s">
        <v>2917</v>
      </c>
      <c r="M812">
        <v>27813.82</v>
      </c>
      <c r="N812" t="s">
        <v>2918</v>
      </c>
      <c r="O812" t="s">
        <v>2923</v>
      </c>
      <c r="P812" t="s">
        <v>2923</v>
      </c>
      <c r="Q812" t="s">
        <v>2924</v>
      </c>
      <c r="R812" t="s">
        <v>3219</v>
      </c>
      <c r="S812" t="s">
        <v>2208</v>
      </c>
      <c r="T812" t="s">
        <v>2208</v>
      </c>
    </row>
    <row r="813" spans="1:20">
      <c r="A813" t="s">
        <v>2239</v>
      </c>
      <c r="B813" t="s">
        <v>9126</v>
      </c>
      <c r="C813">
        <v>45428</v>
      </c>
      <c r="D813" t="s">
        <v>7263</v>
      </c>
      <c r="E813" t="s">
        <v>9127</v>
      </c>
      <c r="F813">
        <v>45736</v>
      </c>
      <c r="G813" t="s">
        <v>3940</v>
      </c>
      <c r="H813" t="s">
        <v>2916</v>
      </c>
      <c r="I813" t="s">
        <v>10997</v>
      </c>
      <c r="J813">
        <v>49136.79</v>
      </c>
      <c r="K813">
        <v>8421.5499999999993</v>
      </c>
      <c r="L813" t="s">
        <v>2917</v>
      </c>
      <c r="M813">
        <v>49136.79</v>
      </c>
      <c r="N813" t="s">
        <v>2918</v>
      </c>
      <c r="O813" t="s">
        <v>2923</v>
      </c>
      <c r="P813" t="s">
        <v>2923</v>
      </c>
      <c r="Q813" t="s">
        <v>2924</v>
      </c>
      <c r="R813" t="s">
        <v>3219</v>
      </c>
      <c r="S813" t="s">
        <v>2208</v>
      </c>
      <c r="T813" t="s">
        <v>2208</v>
      </c>
    </row>
    <row r="814" spans="1:20">
      <c r="A814" t="s">
        <v>2239</v>
      </c>
      <c r="B814" t="s">
        <v>9126</v>
      </c>
      <c r="C814">
        <v>45428</v>
      </c>
      <c r="D814" t="s">
        <v>7263</v>
      </c>
      <c r="E814" t="s">
        <v>9127</v>
      </c>
      <c r="F814">
        <v>45737</v>
      </c>
      <c r="G814" t="s">
        <v>3940</v>
      </c>
      <c r="H814" t="s">
        <v>2916</v>
      </c>
      <c r="I814" t="s">
        <v>10998</v>
      </c>
      <c r="J814">
        <v>83191.009999999995</v>
      </c>
      <c r="K814">
        <v>14258.11</v>
      </c>
      <c r="L814" t="s">
        <v>2917</v>
      </c>
      <c r="M814">
        <v>83191.009999999995</v>
      </c>
      <c r="N814" t="s">
        <v>2918</v>
      </c>
      <c r="O814" t="s">
        <v>2923</v>
      </c>
      <c r="P814" t="s">
        <v>2923</v>
      </c>
      <c r="Q814" t="s">
        <v>2924</v>
      </c>
      <c r="R814" t="s">
        <v>3219</v>
      </c>
      <c r="S814" t="s">
        <v>2208</v>
      </c>
      <c r="T814" t="s">
        <v>2208</v>
      </c>
    </row>
    <row r="815" spans="1:20">
      <c r="A815" t="s">
        <v>2239</v>
      </c>
      <c r="B815" t="s">
        <v>9126</v>
      </c>
      <c r="C815">
        <v>45170</v>
      </c>
      <c r="D815" t="s">
        <v>7263</v>
      </c>
      <c r="E815" t="s">
        <v>9127</v>
      </c>
      <c r="F815">
        <v>45740</v>
      </c>
      <c r="G815" t="s">
        <v>7594</v>
      </c>
      <c r="H815" t="s">
        <v>2916</v>
      </c>
      <c r="I815" t="s">
        <v>11103</v>
      </c>
      <c r="J815">
        <v>51786.22</v>
      </c>
      <c r="K815">
        <v>8875.64</v>
      </c>
      <c r="L815" t="s">
        <v>2917</v>
      </c>
      <c r="M815">
        <v>51786.22</v>
      </c>
      <c r="N815" t="s">
        <v>2918</v>
      </c>
      <c r="O815" t="s">
        <v>2940</v>
      </c>
      <c r="P815" t="s">
        <v>2940</v>
      </c>
      <c r="Q815" t="s">
        <v>2924</v>
      </c>
      <c r="R815" t="s">
        <v>3219</v>
      </c>
      <c r="S815" t="s">
        <v>2208</v>
      </c>
      <c r="T815" t="s">
        <v>2208</v>
      </c>
    </row>
    <row r="816" spans="1:20">
      <c r="A816" t="s">
        <v>2239</v>
      </c>
      <c r="B816" t="s">
        <v>9126</v>
      </c>
      <c r="C816">
        <v>45170</v>
      </c>
      <c r="D816" t="s">
        <v>7263</v>
      </c>
      <c r="E816" t="s">
        <v>9127</v>
      </c>
      <c r="F816">
        <v>45740</v>
      </c>
      <c r="G816" t="s">
        <v>7594</v>
      </c>
      <c r="H816" t="s">
        <v>2916</v>
      </c>
      <c r="I816" t="s">
        <v>11104</v>
      </c>
      <c r="J816">
        <v>166124.16</v>
      </c>
      <c r="K816">
        <v>28472.02</v>
      </c>
      <c r="L816" t="s">
        <v>2917</v>
      </c>
      <c r="M816">
        <v>166124.16</v>
      </c>
      <c r="N816" t="s">
        <v>2918</v>
      </c>
      <c r="O816" t="s">
        <v>2940</v>
      </c>
      <c r="P816" t="s">
        <v>2940</v>
      </c>
      <c r="Q816" t="s">
        <v>2924</v>
      </c>
      <c r="R816" t="s">
        <v>3219</v>
      </c>
      <c r="S816" t="s">
        <v>2208</v>
      </c>
      <c r="T816" t="s">
        <v>2208</v>
      </c>
    </row>
    <row r="817" spans="1:20">
      <c r="A817" t="s">
        <v>2239</v>
      </c>
      <c r="B817" t="s">
        <v>9126</v>
      </c>
      <c r="C817">
        <v>45385</v>
      </c>
      <c r="D817" t="s">
        <v>7263</v>
      </c>
      <c r="E817" t="s">
        <v>9127</v>
      </c>
      <c r="F817">
        <v>45740</v>
      </c>
      <c r="G817" t="s">
        <v>6995</v>
      </c>
      <c r="H817" t="s">
        <v>2916</v>
      </c>
      <c r="I817" t="s">
        <v>11105</v>
      </c>
      <c r="J817">
        <v>164947.1</v>
      </c>
      <c r="K817">
        <v>28270.28</v>
      </c>
      <c r="L817" t="s">
        <v>2917</v>
      </c>
      <c r="M817">
        <v>164947.1</v>
      </c>
      <c r="N817" t="s">
        <v>2918</v>
      </c>
      <c r="O817" t="s">
        <v>2940</v>
      </c>
      <c r="P817" t="s">
        <v>2940</v>
      </c>
      <c r="Q817" t="s">
        <v>2924</v>
      </c>
      <c r="R817" t="s">
        <v>3219</v>
      </c>
      <c r="S817" t="s">
        <v>2208</v>
      </c>
      <c r="T817" t="s">
        <v>2208</v>
      </c>
    </row>
    <row r="818" spans="1:20">
      <c r="A818" t="s">
        <v>2239</v>
      </c>
      <c r="B818" t="s">
        <v>9126</v>
      </c>
      <c r="C818">
        <v>45385</v>
      </c>
      <c r="D818" t="s">
        <v>7263</v>
      </c>
      <c r="E818" t="s">
        <v>9127</v>
      </c>
      <c r="F818">
        <v>45740</v>
      </c>
      <c r="G818" t="s">
        <v>6995</v>
      </c>
      <c r="H818" t="s">
        <v>2916</v>
      </c>
      <c r="I818" t="s">
        <v>11106</v>
      </c>
      <c r="J818">
        <v>163690.01999999999</v>
      </c>
      <c r="K818">
        <v>28054.83</v>
      </c>
      <c r="L818" t="s">
        <v>2917</v>
      </c>
      <c r="M818">
        <v>163690.01999999999</v>
      </c>
      <c r="N818" t="s">
        <v>2918</v>
      </c>
      <c r="O818" t="s">
        <v>2940</v>
      </c>
      <c r="P818" t="s">
        <v>2940</v>
      </c>
      <c r="Q818" t="s">
        <v>2924</v>
      </c>
      <c r="R818" t="s">
        <v>3219</v>
      </c>
      <c r="S818" t="s">
        <v>2208</v>
      </c>
      <c r="T818" t="s">
        <v>2208</v>
      </c>
    </row>
    <row r="819" spans="1:20">
      <c r="A819" t="s">
        <v>2239</v>
      </c>
      <c r="B819" t="s">
        <v>9126</v>
      </c>
      <c r="C819">
        <v>45385</v>
      </c>
      <c r="D819" t="s">
        <v>7263</v>
      </c>
      <c r="E819" t="s">
        <v>9127</v>
      </c>
      <c r="F819">
        <v>45740</v>
      </c>
      <c r="G819" t="s">
        <v>6995</v>
      </c>
      <c r="H819" t="s">
        <v>2916</v>
      </c>
      <c r="I819" t="s">
        <v>11107</v>
      </c>
      <c r="J819">
        <v>147139.20000000001</v>
      </c>
      <c r="K819">
        <v>25218.19</v>
      </c>
      <c r="L819" t="s">
        <v>2917</v>
      </c>
      <c r="M819">
        <v>147139.20000000001</v>
      </c>
      <c r="N819" t="s">
        <v>2918</v>
      </c>
      <c r="O819" t="s">
        <v>2940</v>
      </c>
      <c r="P819" t="s">
        <v>2940</v>
      </c>
      <c r="Q819" t="s">
        <v>2924</v>
      </c>
      <c r="R819" t="s">
        <v>3219</v>
      </c>
      <c r="S819" t="s">
        <v>2208</v>
      </c>
      <c r="T819" t="s">
        <v>2208</v>
      </c>
    </row>
    <row r="820" spans="1:20">
      <c r="A820" t="s">
        <v>2239</v>
      </c>
      <c r="B820" t="s">
        <v>9126</v>
      </c>
      <c r="C820">
        <v>45733</v>
      </c>
      <c r="D820" t="s">
        <v>7263</v>
      </c>
      <c r="E820" t="s">
        <v>9127</v>
      </c>
      <c r="F820">
        <v>45740</v>
      </c>
      <c r="G820" t="s">
        <v>8646</v>
      </c>
      <c r="H820" t="s">
        <v>2916</v>
      </c>
      <c r="I820" t="s">
        <v>11108</v>
      </c>
      <c r="J820">
        <v>0</v>
      </c>
      <c r="K820">
        <v>-0.51</v>
      </c>
      <c r="L820" t="s">
        <v>2917</v>
      </c>
      <c r="M820">
        <v>0</v>
      </c>
      <c r="N820" t="s">
        <v>2918</v>
      </c>
      <c r="O820" t="s">
        <v>11109</v>
      </c>
      <c r="P820" t="s">
        <v>8648</v>
      </c>
      <c r="Q820" t="s">
        <v>2924</v>
      </c>
      <c r="R820" t="s">
        <v>3219</v>
      </c>
      <c r="S820" t="s">
        <v>2208</v>
      </c>
      <c r="T820" t="s">
        <v>2208</v>
      </c>
    </row>
    <row r="821" spans="1:20">
      <c r="A821" t="s">
        <v>2239</v>
      </c>
      <c r="B821" t="s">
        <v>9126</v>
      </c>
      <c r="C821">
        <v>45562</v>
      </c>
      <c r="D821" t="s">
        <v>7263</v>
      </c>
      <c r="E821" t="s">
        <v>9127</v>
      </c>
      <c r="F821">
        <v>45741</v>
      </c>
      <c r="G821" t="s">
        <v>7601</v>
      </c>
      <c r="H821" t="s">
        <v>2916</v>
      </c>
      <c r="I821" t="s">
        <v>11110</v>
      </c>
      <c r="J821">
        <v>35892.97</v>
      </c>
      <c r="K821">
        <v>6151.7</v>
      </c>
      <c r="L821" t="s">
        <v>2917</v>
      </c>
      <c r="M821">
        <v>35892.97</v>
      </c>
      <c r="N821" t="s">
        <v>2918</v>
      </c>
      <c r="O821" t="s">
        <v>2939</v>
      </c>
      <c r="P821" t="s">
        <v>2939</v>
      </c>
      <c r="Q821" t="s">
        <v>2924</v>
      </c>
      <c r="R821" t="s">
        <v>3219</v>
      </c>
      <c r="S821" t="s">
        <v>2208</v>
      </c>
      <c r="T821" t="s">
        <v>2208</v>
      </c>
    </row>
    <row r="822" spans="1:20">
      <c r="A822" t="s">
        <v>2239</v>
      </c>
      <c r="B822" t="s">
        <v>9126</v>
      </c>
      <c r="C822">
        <v>45562</v>
      </c>
      <c r="D822" t="s">
        <v>7263</v>
      </c>
      <c r="E822" t="s">
        <v>9127</v>
      </c>
      <c r="F822">
        <v>45741</v>
      </c>
      <c r="G822" t="s">
        <v>7601</v>
      </c>
      <c r="H822" t="s">
        <v>2916</v>
      </c>
      <c r="I822" t="s">
        <v>11111</v>
      </c>
      <c r="J822">
        <v>127993.42</v>
      </c>
      <c r="K822">
        <v>21936.79</v>
      </c>
      <c r="L822" t="s">
        <v>2917</v>
      </c>
      <c r="M822">
        <v>127993.42</v>
      </c>
      <c r="N822" t="s">
        <v>2918</v>
      </c>
      <c r="O822" t="s">
        <v>2939</v>
      </c>
      <c r="P822" t="s">
        <v>2939</v>
      </c>
      <c r="Q822" t="s">
        <v>2924</v>
      </c>
      <c r="R822" t="s">
        <v>3219</v>
      </c>
      <c r="S822" t="s">
        <v>2208</v>
      </c>
      <c r="T822" t="s">
        <v>2208</v>
      </c>
    </row>
    <row r="823" spans="1:20">
      <c r="A823" t="s">
        <v>2239</v>
      </c>
      <c r="B823" t="s">
        <v>9126</v>
      </c>
      <c r="C823">
        <v>45562</v>
      </c>
      <c r="D823" t="s">
        <v>7263</v>
      </c>
      <c r="E823" t="s">
        <v>9127</v>
      </c>
      <c r="F823">
        <v>45741</v>
      </c>
      <c r="G823" t="s">
        <v>7601</v>
      </c>
      <c r="H823" t="s">
        <v>2916</v>
      </c>
      <c r="I823" t="s">
        <v>11112</v>
      </c>
      <c r="J823">
        <v>1597</v>
      </c>
      <c r="K823">
        <v>273.70999999999998</v>
      </c>
      <c r="L823" t="s">
        <v>2917</v>
      </c>
      <c r="M823">
        <v>1597</v>
      </c>
      <c r="N823" t="s">
        <v>2918</v>
      </c>
      <c r="O823" t="s">
        <v>2939</v>
      </c>
      <c r="P823" t="s">
        <v>2939</v>
      </c>
      <c r="Q823" t="s">
        <v>2924</v>
      </c>
      <c r="R823" t="s">
        <v>3219</v>
      </c>
      <c r="S823" t="s">
        <v>2208</v>
      </c>
      <c r="T823" t="s">
        <v>2208</v>
      </c>
    </row>
    <row r="824" spans="1:20">
      <c r="A824" t="s">
        <v>2239</v>
      </c>
      <c r="B824" t="s">
        <v>9126</v>
      </c>
      <c r="C824">
        <v>45562</v>
      </c>
      <c r="D824" t="s">
        <v>7263</v>
      </c>
      <c r="E824" t="s">
        <v>9127</v>
      </c>
      <c r="F824">
        <v>45741</v>
      </c>
      <c r="G824" t="s">
        <v>7601</v>
      </c>
      <c r="H824" t="s">
        <v>2916</v>
      </c>
      <c r="I824" t="s">
        <v>11113</v>
      </c>
      <c r="J824">
        <v>38357.86</v>
      </c>
      <c r="K824">
        <v>6574.15</v>
      </c>
      <c r="L824" t="s">
        <v>2917</v>
      </c>
      <c r="M824">
        <v>38357.86</v>
      </c>
      <c r="N824" t="s">
        <v>2918</v>
      </c>
      <c r="O824" t="s">
        <v>2939</v>
      </c>
      <c r="P824" t="s">
        <v>2939</v>
      </c>
      <c r="Q824" t="s">
        <v>2924</v>
      </c>
      <c r="R824" t="s">
        <v>3219</v>
      </c>
      <c r="S824" t="s">
        <v>2208</v>
      </c>
      <c r="T824" t="s">
        <v>2208</v>
      </c>
    </row>
    <row r="825" spans="1:20">
      <c r="A825" t="s">
        <v>2239</v>
      </c>
      <c r="B825" t="s">
        <v>9126</v>
      </c>
      <c r="C825">
        <v>45562</v>
      </c>
      <c r="D825" t="s">
        <v>7263</v>
      </c>
      <c r="E825" t="s">
        <v>9127</v>
      </c>
      <c r="F825">
        <v>45741</v>
      </c>
      <c r="G825" t="s">
        <v>7601</v>
      </c>
      <c r="H825" t="s">
        <v>2916</v>
      </c>
      <c r="I825" t="s">
        <v>11114</v>
      </c>
      <c r="J825">
        <v>6749.81</v>
      </c>
      <c r="K825">
        <v>1156.8499999999999</v>
      </c>
      <c r="L825" t="s">
        <v>2917</v>
      </c>
      <c r="M825">
        <v>6749.81</v>
      </c>
      <c r="N825" t="s">
        <v>2918</v>
      </c>
      <c r="O825" t="s">
        <v>2939</v>
      </c>
      <c r="P825" t="s">
        <v>2939</v>
      </c>
      <c r="Q825" t="s">
        <v>2924</v>
      </c>
      <c r="R825" t="s">
        <v>3219</v>
      </c>
      <c r="S825" t="s">
        <v>2208</v>
      </c>
      <c r="T825" t="s">
        <v>2208</v>
      </c>
    </row>
    <row r="826" spans="1:20">
      <c r="A826" t="s">
        <v>2239</v>
      </c>
      <c r="B826" t="s">
        <v>9126</v>
      </c>
      <c r="C826">
        <v>45562</v>
      </c>
      <c r="D826" t="s">
        <v>7263</v>
      </c>
      <c r="E826" t="s">
        <v>9127</v>
      </c>
      <c r="F826">
        <v>45741</v>
      </c>
      <c r="G826" t="s">
        <v>7601</v>
      </c>
      <c r="H826" t="s">
        <v>2916</v>
      </c>
      <c r="I826" t="s">
        <v>11115</v>
      </c>
      <c r="J826">
        <v>849.16</v>
      </c>
      <c r="K826">
        <v>145.54</v>
      </c>
      <c r="L826" t="s">
        <v>2917</v>
      </c>
      <c r="M826">
        <v>849.16</v>
      </c>
      <c r="N826" t="s">
        <v>2918</v>
      </c>
      <c r="O826" t="s">
        <v>2939</v>
      </c>
      <c r="P826" t="s">
        <v>2939</v>
      </c>
      <c r="Q826" t="s">
        <v>2924</v>
      </c>
      <c r="R826" t="s">
        <v>3219</v>
      </c>
      <c r="S826" t="s">
        <v>2208</v>
      </c>
      <c r="T826" t="s">
        <v>2208</v>
      </c>
    </row>
    <row r="827" spans="1:20">
      <c r="A827" t="s">
        <v>2239</v>
      </c>
      <c r="B827" t="s">
        <v>9126</v>
      </c>
      <c r="C827">
        <v>45562</v>
      </c>
      <c r="D827" t="s">
        <v>7263</v>
      </c>
      <c r="E827" t="s">
        <v>9127</v>
      </c>
      <c r="F827">
        <v>45741</v>
      </c>
      <c r="G827" t="s">
        <v>7601</v>
      </c>
      <c r="H827" t="s">
        <v>2916</v>
      </c>
      <c r="I827" t="s">
        <v>11116</v>
      </c>
      <c r="J827">
        <v>59191.34</v>
      </c>
      <c r="K827">
        <v>10144.799999999999</v>
      </c>
      <c r="L827" t="s">
        <v>2917</v>
      </c>
      <c r="M827">
        <v>59191.34</v>
      </c>
      <c r="N827" t="s">
        <v>2918</v>
      </c>
      <c r="O827" t="s">
        <v>2939</v>
      </c>
      <c r="P827" t="s">
        <v>2939</v>
      </c>
      <c r="Q827" t="s">
        <v>2924</v>
      </c>
      <c r="R827" t="s">
        <v>3219</v>
      </c>
      <c r="S827" t="s">
        <v>2208</v>
      </c>
      <c r="T827" t="s">
        <v>2208</v>
      </c>
    </row>
    <row r="828" spans="1:20">
      <c r="A828" t="s">
        <v>2239</v>
      </c>
      <c r="B828" t="s">
        <v>9126</v>
      </c>
      <c r="C828">
        <v>45740</v>
      </c>
      <c r="D828" t="s">
        <v>7263</v>
      </c>
      <c r="E828" t="s">
        <v>9127</v>
      </c>
      <c r="F828">
        <v>45741</v>
      </c>
      <c r="G828" t="s">
        <v>7594</v>
      </c>
      <c r="H828" t="s">
        <v>2916</v>
      </c>
      <c r="I828" t="s">
        <v>11117</v>
      </c>
      <c r="J828">
        <v>0</v>
      </c>
      <c r="K828">
        <v>-821</v>
      </c>
      <c r="L828" t="s">
        <v>2917</v>
      </c>
      <c r="M828">
        <v>-4790.22</v>
      </c>
      <c r="N828" t="s">
        <v>2918</v>
      </c>
      <c r="O828" t="s">
        <v>11118</v>
      </c>
      <c r="P828" t="s">
        <v>2940</v>
      </c>
      <c r="Q828" t="s">
        <v>2924</v>
      </c>
      <c r="R828" t="s">
        <v>3219</v>
      </c>
      <c r="S828" t="s">
        <v>2208</v>
      </c>
      <c r="T828" t="s">
        <v>2208</v>
      </c>
    </row>
    <row r="829" spans="1:20">
      <c r="A829" t="s">
        <v>2239</v>
      </c>
      <c r="B829" t="s">
        <v>9126</v>
      </c>
      <c r="C829">
        <v>45741</v>
      </c>
      <c r="D829" t="s">
        <v>7263</v>
      </c>
      <c r="E829" t="s">
        <v>9127</v>
      </c>
      <c r="F829">
        <v>45741</v>
      </c>
      <c r="G829" t="s">
        <v>7601</v>
      </c>
      <c r="H829" t="s">
        <v>2916</v>
      </c>
      <c r="I829" t="s">
        <v>11242</v>
      </c>
      <c r="J829">
        <v>0</v>
      </c>
      <c r="K829">
        <v>-938.39</v>
      </c>
      <c r="L829" t="s">
        <v>2917</v>
      </c>
      <c r="M829">
        <v>-5475.2</v>
      </c>
      <c r="N829" t="s">
        <v>2918</v>
      </c>
      <c r="O829" t="s">
        <v>11243</v>
      </c>
      <c r="P829" t="s">
        <v>2939</v>
      </c>
      <c r="Q829" t="s">
        <v>2924</v>
      </c>
      <c r="R829" t="s">
        <v>3219</v>
      </c>
      <c r="S829" t="s">
        <v>2208</v>
      </c>
      <c r="T829" t="s">
        <v>2208</v>
      </c>
    </row>
    <row r="830" spans="1:20">
      <c r="A830" t="s">
        <v>2239</v>
      </c>
      <c r="B830" t="s">
        <v>9126</v>
      </c>
      <c r="C830">
        <v>45741</v>
      </c>
      <c r="D830" t="s">
        <v>7263</v>
      </c>
      <c r="E830" t="s">
        <v>9127</v>
      </c>
      <c r="F830">
        <v>45741</v>
      </c>
      <c r="G830" t="s">
        <v>7601</v>
      </c>
      <c r="H830" t="s">
        <v>2916</v>
      </c>
      <c r="I830" t="s">
        <v>11244</v>
      </c>
      <c r="J830">
        <v>0</v>
      </c>
      <c r="K830">
        <v>-2029.15</v>
      </c>
      <c r="L830" t="s">
        <v>2917</v>
      </c>
      <c r="M830">
        <v>-11839.39</v>
      </c>
      <c r="N830" t="s">
        <v>2918</v>
      </c>
      <c r="O830" t="s">
        <v>11245</v>
      </c>
      <c r="P830" t="s">
        <v>2939</v>
      </c>
      <c r="Q830" t="s">
        <v>2924</v>
      </c>
      <c r="R830" t="s">
        <v>3219</v>
      </c>
      <c r="S830" t="s">
        <v>2208</v>
      </c>
      <c r="T830" t="s">
        <v>2208</v>
      </c>
    </row>
    <row r="831" spans="1:20">
      <c r="A831" t="s">
        <v>2239</v>
      </c>
      <c r="B831" t="s">
        <v>9126</v>
      </c>
      <c r="C831">
        <v>45741</v>
      </c>
      <c r="D831" t="s">
        <v>7263</v>
      </c>
      <c r="E831" t="s">
        <v>9127</v>
      </c>
      <c r="F831">
        <v>45741</v>
      </c>
      <c r="G831" t="s">
        <v>7601</v>
      </c>
      <c r="H831" t="s">
        <v>2916</v>
      </c>
      <c r="I831" t="s">
        <v>11246</v>
      </c>
      <c r="J831">
        <v>0</v>
      </c>
      <c r="K831">
        <v>-569.04</v>
      </c>
      <c r="L831" t="s">
        <v>2917</v>
      </c>
      <c r="M831">
        <v>-3320.1</v>
      </c>
      <c r="N831" t="s">
        <v>2918</v>
      </c>
      <c r="O831" t="s">
        <v>11247</v>
      </c>
      <c r="P831" t="s">
        <v>2939</v>
      </c>
      <c r="Q831" t="s">
        <v>2924</v>
      </c>
      <c r="R831" t="s">
        <v>3219</v>
      </c>
      <c r="S831" t="s">
        <v>2208</v>
      </c>
      <c r="T831" t="s">
        <v>2208</v>
      </c>
    </row>
    <row r="832" spans="1:20">
      <c r="A832" t="s">
        <v>2239</v>
      </c>
      <c r="B832" t="s">
        <v>9126</v>
      </c>
      <c r="C832">
        <v>45741</v>
      </c>
      <c r="D832" t="s">
        <v>7263</v>
      </c>
      <c r="E832" t="s">
        <v>9127</v>
      </c>
      <c r="F832">
        <v>45741</v>
      </c>
      <c r="G832" t="s">
        <v>7601</v>
      </c>
      <c r="H832" t="s">
        <v>2916</v>
      </c>
      <c r="I832" t="s">
        <v>11248</v>
      </c>
      <c r="J832">
        <v>0</v>
      </c>
      <c r="K832">
        <v>-25.32</v>
      </c>
      <c r="L832" t="s">
        <v>2917</v>
      </c>
      <c r="M832">
        <v>-147.72</v>
      </c>
      <c r="N832" t="s">
        <v>2918</v>
      </c>
      <c r="O832" t="s">
        <v>11249</v>
      </c>
      <c r="P832" t="s">
        <v>2939</v>
      </c>
      <c r="Q832" t="s">
        <v>2924</v>
      </c>
      <c r="R832" t="s">
        <v>3219</v>
      </c>
      <c r="S832" t="s">
        <v>2208</v>
      </c>
      <c r="T832" t="s">
        <v>2208</v>
      </c>
    </row>
    <row r="833" spans="1:20">
      <c r="A833" t="s">
        <v>2239</v>
      </c>
      <c r="B833" t="s">
        <v>9126</v>
      </c>
      <c r="C833">
        <v>45741</v>
      </c>
      <c r="D833" t="s">
        <v>7263</v>
      </c>
      <c r="E833" t="s">
        <v>9127</v>
      </c>
      <c r="F833">
        <v>45741</v>
      </c>
      <c r="G833" t="s">
        <v>7601</v>
      </c>
      <c r="H833" t="s">
        <v>2916</v>
      </c>
      <c r="I833" t="s">
        <v>11250</v>
      </c>
      <c r="J833">
        <v>0</v>
      </c>
      <c r="K833">
        <v>-13.47</v>
      </c>
      <c r="L833" t="s">
        <v>2917</v>
      </c>
      <c r="M833">
        <v>-78.55</v>
      </c>
      <c r="N833" t="s">
        <v>2918</v>
      </c>
      <c r="O833" t="s">
        <v>11251</v>
      </c>
      <c r="P833" t="s">
        <v>2939</v>
      </c>
      <c r="Q833" t="s">
        <v>2924</v>
      </c>
      <c r="R833" t="s">
        <v>3219</v>
      </c>
      <c r="S833" t="s">
        <v>2208</v>
      </c>
      <c r="T833" t="s">
        <v>2208</v>
      </c>
    </row>
    <row r="834" spans="1:20">
      <c r="A834" t="s">
        <v>2239</v>
      </c>
      <c r="B834" t="s">
        <v>9126</v>
      </c>
      <c r="C834">
        <v>45741</v>
      </c>
      <c r="D834" t="s">
        <v>7263</v>
      </c>
      <c r="E834" t="s">
        <v>9127</v>
      </c>
      <c r="F834">
        <v>45741</v>
      </c>
      <c r="G834" t="s">
        <v>7601</v>
      </c>
      <c r="H834" t="s">
        <v>2916</v>
      </c>
      <c r="I834" t="s">
        <v>11252</v>
      </c>
      <c r="J834">
        <v>0</v>
      </c>
      <c r="K834">
        <v>-107.01</v>
      </c>
      <c r="L834" t="s">
        <v>2917</v>
      </c>
      <c r="M834">
        <v>-624.36</v>
      </c>
      <c r="N834" t="s">
        <v>2918</v>
      </c>
      <c r="O834" t="s">
        <v>11253</v>
      </c>
      <c r="P834" t="s">
        <v>2939</v>
      </c>
      <c r="Q834" t="s">
        <v>2924</v>
      </c>
      <c r="R834" t="s">
        <v>3219</v>
      </c>
      <c r="S834" t="s">
        <v>2208</v>
      </c>
      <c r="T834" t="s">
        <v>2208</v>
      </c>
    </row>
    <row r="835" spans="1:20">
      <c r="A835" t="s">
        <v>2239</v>
      </c>
      <c r="B835" t="s">
        <v>9126</v>
      </c>
      <c r="C835">
        <v>45741</v>
      </c>
      <c r="D835" t="s">
        <v>7263</v>
      </c>
      <c r="E835" t="s">
        <v>9127</v>
      </c>
      <c r="F835">
        <v>45741</v>
      </c>
      <c r="G835" t="s">
        <v>7601</v>
      </c>
      <c r="H835" t="s">
        <v>2916</v>
      </c>
      <c r="I835" t="s">
        <v>11254</v>
      </c>
      <c r="J835">
        <v>0</v>
      </c>
      <c r="K835">
        <v>-608.11</v>
      </c>
      <c r="L835" t="s">
        <v>2917</v>
      </c>
      <c r="M835">
        <v>-3548.1</v>
      </c>
      <c r="N835" t="s">
        <v>2918</v>
      </c>
      <c r="O835" t="s">
        <v>11255</v>
      </c>
      <c r="P835" t="s">
        <v>2939</v>
      </c>
      <c r="Q835" t="s">
        <v>2924</v>
      </c>
      <c r="R835" t="s">
        <v>3219</v>
      </c>
      <c r="S835" t="s">
        <v>2208</v>
      </c>
      <c r="T835" t="s">
        <v>2208</v>
      </c>
    </row>
    <row r="836" spans="1:20">
      <c r="A836" t="s">
        <v>2239</v>
      </c>
      <c r="B836" t="s">
        <v>9126</v>
      </c>
      <c r="C836">
        <v>45740</v>
      </c>
      <c r="D836" t="s">
        <v>7263</v>
      </c>
      <c r="E836" t="s">
        <v>9127</v>
      </c>
      <c r="F836">
        <v>45742</v>
      </c>
      <c r="G836" t="s">
        <v>7594</v>
      </c>
      <c r="H836" t="s">
        <v>2916</v>
      </c>
      <c r="I836" t="s">
        <v>11277</v>
      </c>
      <c r="J836">
        <v>0</v>
      </c>
      <c r="K836">
        <v>-2633.66</v>
      </c>
      <c r="L836" t="s">
        <v>2917</v>
      </c>
      <c r="M836">
        <v>-15366.49</v>
      </c>
      <c r="N836" t="s">
        <v>2918</v>
      </c>
      <c r="O836" t="s">
        <v>11278</v>
      </c>
      <c r="P836" t="s">
        <v>2940</v>
      </c>
      <c r="Q836" t="s">
        <v>2924</v>
      </c>
      <c r="R836" t="s">
        <v>3219</v>
      </c>
      <c r="S836" t="s">
        <v>2208</v>
      </c>
      <c r="T836" t="s">
        <v>2208</v>
      </c>
    </row>
    <row r="837" spans="1:20">
      <c r="A837" t="s">
        <v>2239</v>
      </c>
      <c r="B837" t="s">
        <v>9126</v>
      </c>
      <c r="C837">
        <v>45740</v>
      </c>
      <c r="D837" t="s">
        <v>7263</v>
      </c>
      <c r="E837" t="s">
        <v>9127</v>
      </c>
      <c r="F837">
        <v>45742</v>
      </c>
      <c r="G837" t="s">
        <v>6995</v>
      </c>
      <c r="H837" t="s">
        <v>2916</v>
      </c>
      <c r="I837" t="s">
        <v>11279</v>
      </c>
      <c r="J837">
        <v>0</v>
      </c>
      <c r="K837">
        <v>-2615</v>
      </c>
      <c r="L837" t="s">
        <v>2917</v>
      </c>
      <c r="M837">
        <v>-15257.61</v>
      </c>
      <c r="N837" t="s">
        <v>2918</v>
      </c>
      <c r="O837" t="s">
        <v>11280</v>
      </c>
      <c r="P837" t="s">
        <v>2940</v>
      </c>
      <c r="Q837" t="s">
        <v>2924</v>
      </c>
      <c r="R837" t="s">
        <v>3219</v>
      </c>
      <c r="S837" t="s">
        <v>2208</v>
      </c>
      <c r="T837" t="s">
        <v>2208</v>
      </c>
    </row>
    <row r="838" spans="1:20">
      <c r="A838" t="s">
        <v>2239</v>
      </c>
      <c r="B838" t="s">
        <v>9126</v>
      </c>
      <c r="C838">
        <v>45740</v>
      </c>
      <c r="D838" t="s">
        <v>7263</v>
      </c>
      <c r="E838" t="s">
        <v>9127</v>
      </c>
      <c r="F838">
        <v>45742</v>
      </c>
      <c r="G838" t="s">
        <v>6995</v>
      </c>
      <c r="H838" t="s">
        <v>2916</v>
      </c>
      <c r="I838" t="s">
        <v>11281</v>
      </c>
      <c r="J838">
        <v>0</v>
      </c>
      <c r="K838">
        <v>-2332.69</v>
      </c>
      <c r="L838" t="s">
        <v>2917</v>
      </c>
      <c r="M838">
        <v>-13610.38</v>
      </c>
      <c r="N838" t="s">
        <v>2918</v>
      </c>
      <c r="O838" t="s">
        <v>11282</v>
      </c>
      <c r="P838" t="s">
        <v>2940</v>
      </c>
      <c r="Q838" t="s">
        <v>2924</v>
      </c>
      <c r="R838" t="s">
        <v>3219</v>
      </c>
      <c r="S838" t="s">
        <v>2208</v>
      </c>
      <c r="T838" t="s">
        <v>2208</v>
      </c>
    </row>
    <row r="839" spans="1:20">
      <c r="A839" t="s">
        <v>2239</v>
      </c>
      <c r="B839" t="s">
        <v>9126</v>
      </c>
      <c r="C839">
        <v>45740</v>
      </c>
      <c r="D839" t="s">
        <v>7263</v>
      </c>
      <c r="E839" t="s">
        <v>9127</v>
      </c>
      <c r="F839">
        <v>45742</v>
      </c>
      <c r="G839" t="s">
        <v>6995</v>
      </c>
      <c r="H839" t="s">
        <v>2916</v>
      </c>
      <c r="I839" t="s">
        <v>11283</v>
      </c>
      <c r="J839">
        <v>0</v>
      </c>
      <c r="K839">
        <v>-2595.0700000000002</v>
      </c>
      <c r="L839" t="s">
        <v>2917</v>
      </c>
      <c r="M839">
        <v>-15141.33</v>
      </c>
      <c r="N839" t="s">
        <v>2918</v>
      </c>
      <c r="O839" t="s">
        <v>11284</v>
      </c>
      <c r="P839" t="s">
        <v>2940</v>
      </c>
      <c r="Q839" t="s">
        <v>2924</v>
      </c>
      <c r="R839" t="s">
        <v>3219</v>
      </c>
      <c r="S839" t="s">
        <v>2208</v>
      </c>
      <c r="T839" t="s">
        <v>2208</v>
      </c>
    </row>
    <row r="840" spans="1:20">
      <c r="A840" t="s">
        <v>2239</v>
      </c>
      <c r="B840" t="s">
        <v>9126</v>
      </c>
      <c r="C840">
        <v>45736</v>
      </c>
      <c r="D840" t="s">
        <v>7263</v>
      </c>
      <c r="E840" t="s">
        <v>9127</v>
      </c>
      <c r="F840">
        <v>45743</v>
      </c>
      <c r="G840" t="s">
        <v>3940</v>
      </c>
      <c r="H840" t="s">
        <v>2916</v>
      </c>
      <c r="I840" t="s">
        <v>11285</v>
      </c>
      <c r="J840">
        <v>0</v>
      </c>
      <c r="K840">
        <v>-440.99</v>
      </c>
      <c r="L840" t="s">
        <v>2917</v>
      </c>
      <c r="M840">
        <v>-2573.0500000000002</v>
      </c>
      <c r="N840" t="s">
        <v>2918</v>
      </c>
      <c r="O840" t="s">
        <v>11286</v>
      </c>
      <c r="P840" t="s">
        <v>2923</v>
      </c>
      <c r="Q840" t="s">
        <v>2924</v>
      </c>
      <c r="R840" t="s">
        <v>3219</v>
      </c>
      <c r="S840" t="s">
        <v>2208</v>
      </c>
      <c r="T840" t="s">
        <v>2208</v>
      </c>
    </row>
    <row r="841" spans="1:20">
      <c r="A841" t="s">
        <v>2239</v>
      </c>
      <c r="B841" t="s">
        <v>9126</v>
      </c>
      <c r="C841">
        <v>45736</v>
      </c>
      <c r="D841" t="s">
        <v>7263</v>
      </c>
      <c r="E841" t="s">
        <v>9127</v>
      </c>
      <c r="F841">
        <v>45743</v>
      </c>
      <c r="G841" t="s">
        <v>3940</v>
      </c>
      <c r="H841" t="s">
        <v>2916</v>
      </c>
      <c r="I841" t="s">
        <v>11287</v>
      </c>
      <c r="J841">
        <v>0</v>
      </c>
      <c r="K841">
        <v>-779.07</v>
      </c>
      <c r="L841" t="s">
        <v>2917</v>
      </c>
      <c r="M841">
        <v>-4545.6400000000003</v>
      </c>
      <c r="N841" t="s">
        <v>2918</v>
      </c>
      <c r="O841" t="s">
        <v>11288</v>
      </c>
      <c r="P841" t="s">
        <v>2923</v>
      </c>
      <c r="Q841" t="s">
        <v>2924</v>
      </c>
      <c r="R841" t="s">
        <v>3219</v>
      </c>
      <c r="S841" t="s">
        <v>2208</v>
      </c>
      <c r="T841" t="s">
        <v>2208</v>
      </c>
    </row>
    <row r="842" spans="1:20">
      <c r="A842" t="s">
        <v>2239</v>
      </c>
      <c r="B842" t="s">
        <v>9126</v>
      </c>
      <c r="C842">
        <v>45736</v>
      </c>
      <c r="D842" t="s">
        <v>7263</v>
      </c>
      <c r="E842" t="s">
        <v>9127</v>
      </c>
      <c r="F842">
        <v>45743</v>
      </c>
      <c r="G842" t="s">
        <v>3940</v>
      </c>
      <c r="H842" t="s">
        <v>2916</v>
      </c>
      <c r="I842" t="s">
        <v>11289</v>
      </c>
      <c r="J842">
        <v>0</v>
      </c>
      <c r="K842">
        <v>-783.83</v>
      </c>
      <c r="L842" t="s">
        <v>2917</v>
      </c>
      <c r="M842">
        <v>-4573.3599999999997</v>
      </c>
      <c r="N842" t="s">
        <v>2918</v>
      </c>
      <c r="O842" t="s">
        <v>11290</v>
      </c>
      <c r="P842" t="s">
        <v>2923</v>
      </c>
      <c r="Q842" t="s">
        <v>2924</v>
      </c>
      <c r="R842" t="s">
        <v>3219</v>
      </c>
      <c r="S842" t="s">
        <v>2208</v>
      </c>
      <c r="T842" t="s">
        <v>2208</v>
      </c>
    </row>
    <row r="843" spans="1:20">
      <c r="A843" t="s">
        <v>2239</v>
      </c>
      <c r="B843" t="s">
        <v>9126</v>
      </c>
      <c r="C843">
        <v>45736</v>
      </c>
      <c r="D843" t="s">
        <v>7263</v>
      </c>
      <c r="E843" t="s">
        <v>9127</v>
      </c>
      <c r="F843">
        <v>45743</v>
      </c>
      <c r="G843" t="s">
        <v>3940</v>
      </c>
      <c r="H843" t="s">
        <v>2916</v>
      </c>
      <c r="I843" t="s">
        <v>11291</v>
      </c>
      <c r="J843">
        <v>0</v>
      </c>
      <c r="K843">
        <v>440.99</v>
      </c>
      <c r="L843" t="s">
        <v>2917</v>
      </c>
      <c r="M843">
        <v>2573.0500000000002</v>
      </c>
      <c r="N843" t="s">
        <v>2918</v>
      </c>
      <c r="O843" t="s">
        <v>11286</v>
      </c>
      <c r="P843" t="s">
        <v>2923</v>
      </c>
      <c r="Q843" t="s">
        <v>2924</v>
      </c>
      <c r="R843" t="s">
        <v>3219</v>
      </c>
      <c r="S843" t="s">
        <v>2208</v>
      </c>
      <c r="T843" t="s">
        <v>2208</v>
      </c>
    </row>
    <row r="844" spans="1:20">
      <c r="A844" t="s">
        <v>2239</v>
      </c>
      <c r="B844" t="s">
        <v>9126</v>
      </c>
      <c r="C844">
        <v>45736</v>
      </c>
      <c r="D844" t="s">
        <v>7263</v>
      </c>
      <c r="E844" t="s">
        <v>9127</v>
      </c>
      <c r="F844">
        <v>45743</v>
      </c>
      <c r="G844" t="s">
        <v>3940</v>
      </c>
      <c r="H844" t="s">
        <v>2916</v>
      </c>
      <c r="I844" t="s">
        <v>11292</v>
      </c>
      <c r="J844">
        <v>0</v>
      </c>
      <c r="K844">
        <v>-440.99</v>
      </c>
      <c r="L844" t="s">
        <v>2917</v>
      </c>
      <c r="M844">
        <v>-2573.0500000000002</v>
      </c>
      <c r="N844" t="s">
        <v>2918</v>
      </c>
      <c r="O844" t="s">
        <v>11286</v>
      </c>
      <c r="P844" t="s">
        <v>2923</v>
      </c>
      <c r="Q844" t="s">
        <v>2924</v>
      </c>
      <c r="R844" t="s">
        <v>3219</v>
      </c>
      <c r="S844" t="s">
        <v>2208</v>
      </c>
      <c r="T844" t="s">
        <v>2208</v>
      </c>
    </row>
    <row r="845" spans="1:20">
      <c r="A845" t="s">
        <v>2239</v>
      </c>
      <c r="B845" t="s">
        <v>9126</v>
      </c>
      <c r="C845">
        <v>45736</v>
      </c>
      <c r="D845" t="s">
        <v>7263</v>
      </c>
      <c r="E845" t="s">
        <v>9127</v>
      </c>
      <c r="F845">
        <v>45743</v>
      </c>
      <c r="G845" t="s">
        <v>3940</v>
      </c>
      <c r="H845" t="s">
        <v>2916</v>
      </c>
      <c r="I845" t="s">
        <v>11293</v>
      </c>
      <c r="J845">
        <v>0</v>
      </c>
      <c r="K845">
        <v>779.07</v>
      </c>
      <c r="L845" t="s">
        <v>2917</v>
      </c>
      <c r="M845">
        <v>4545.6400000000003</v>
      </c>
      <c r="N845" t="s">
        <v>2918</v>
      </c>
      <c r="O845" t="s">
        <v>11288</v>
      </c>
      <c r="P845" t="s">
        <v>2923</v>
      </c>
      <c r="Q845" t="s">
        <v>2924</v>
      </c>
      <c r="R845" t="s">
        <v>3219</v>
      </c>
      <c r="S845" t="s">
        <v>2208</v>
      </c>
      <c r="T845" t="s">
        <v>2208</v>
      </c>
    </row>
    <row r="846" spans="1:20">
      <c r="A846" t="s">
        <v>2239</v>
      </c>
      <c r="B846" t="s">
        <v>9126</v>
      </c>
      <c r="C846">
        <v>45736</v>
      </c>
      <c r="D846" t="s">
        <v>7263</v>
      </c>
      <c r="E846" t="s">
        <v>9127</v>
      </c>
      <c r="F846">
        <v>45743</v>
      </c>
      <c r="G846" t="s">
        <v>3940</v>
      </c>
      <c r="H846" t="s">
        <v>2916</v>
      </c>
      <c r="I846" t="s">
        <v>11360</v>
      </c>
      <c r="J846">
        <v>0</v>
      </c>
      <c r="K846">
        <v>-778.99</v>
      </c>
      <c r="L846" t="s">
        <v>2917</v>
      </c>
      <c r="M846">
        <v>-4545.16</v>
      </c>
      <c r="N846" t="s">
        <v>2918</v>
      </c>
      <c r="O846" t="s">
        <v>11288</v>
      </c>
      <c r="P846" t="s">
        <v>2923</v>
      </c>
      <c r="Q846" t="s">
        <v>2924</v>
      </c>
      <c r="R846" t="s">
        <v>3219</v>
      </c>
      <c r="S846" t="s">
        <v>2208</v>
      </c>
      <c r="T846" t="s">
        <v>2208</v>
      </c>
    </row>
    <row r="847" spans="1:20">
      <c r="A847" t="s">
        <v>2239</v>
      </c>
      <c r="B847" t="s">
        <v>9126</v>
      </c>
      <c r="C847">
        <v>45737</v>
      </c>
      <c r="D847" t="s">
        <v>7263</v>
      </c>
      <c r="E847" t="s">
        <v>9127</v>
      </c>
      <c r="F847">
        <v>45743</v>
      </c>
      <c r="G847" t="s">
        <v>3940</v>
      </c>
      <c r="H847" t="s">
        <v>2916</v>
      </c>
      <c r="I847" t="s">
        <v>11361</v>
      </c>
      <c r="J847">
        <v>0</v>
      </c>
      <c r="K847">
        <v>-1318.88</v>
      </c>
      <c r="L847" t="s">
        <v>2917</v>
      </c>
      <c r="M847">
        <v>-7695.17</v>
      </c>
      <c r="N847" t="s">
        <v>2918</v>
      </c>
      <c r="O847" t="s">
        <v>11362</v>
      </c>
      <c r="P847" t="s">
        <v>2923</v>
      </c>
      <c r="Q847" t="s">
        <v>2924</v>
      </c>
      <c r="R847" t="s">
        <v>3219</v>
      </c>
      <c r="S847" t="s">
        <v>2208</v>
      </c>
      <c r="T847" t="s">
        <v>2208</v>
      </c>
    </row>
    <row r="848" spans="1:20">
      <c r="A848" t="s">
        <v>2239</v>
      </c>
      <c r="B848" t="s">
        <v>9126</v>
      </c>
      <c r="C848">
        <v>45736</v>
      </c>
      <c r="D848" t="s">
        <v>7263</v>
      </c>
      <c r="E848" t="s">
        <v>9127</v>
      </c>
      <c r="F848">
        <v>45743</v>
      </c>
      <c r="G848" t="s">
        <v>3940</v>
      </c>
      <c r="H848" t="s">
        <v>2916</v>
      </c>
      <c r="I848" t="s">
        <v>11363</v>
      </c>
      <c r="J848">
        <v>0</v>
      </c>
      <c r="K848">
        <v>-731.68</v>
      </c>
      <c r="L848" t="s">
        <v>2917</v>
      </c>
      <c r="M848">
        <v>-4269.1099999999997</v>
      </c>
      <c r="N848" t="s">
        <v>2918</v>
      </c>
      <c r="O848" t="s">
        <v>11364</v>
      </c>
      <c r="P848" t="s">
        <v>2923</v>
      </c>
      <c r="Q848" t="s">
        <v>2924</v>
      </c>
      <c r="R848" t="s">
        <v>3219</v>
      </c>
      <c r="S848" t="s">
        <v>2208</v>
      </c>
      <c r="T848" t="s">
        <v>2208</v>
      </c>
    </row>
    <row r="849" spans="1:20">
      <c r="A849" t="s">
        <v>2239</v>
      </c>
      <c r="B849" t="s">
        <v>9126</v>
      </c>
      <c r="C849">
        <v>45747</v>
      </c>
      <c r="D849" t="s">
        <v>7263</v>
      </c>
      <c r="E849" t="s">
        <v>9127</v>
      </c>
      <c r="F849">
        <v>45747</v>
      </c>
      <c r="G849" t="s">
        <v>2208</v>
      </c>
      <c r="H849" t="s">
        <v>2916</v>
      </c>
      <c r="I849" t="s">
        <v>11365</v>
      </c>
      <c r="J849">
        <v>0</v>
      </c>
      <c r="K849">
        <v>-0.01</v>
      </c>
      <c r="L849" t="s">
        <v>2917</v>
      </c>
      <c r="M849">
        <v>0</v>
      </c>
      <c r="N849" t="s">
        <v>2918</v>
      </c>
      <c r="O849" t="s">
        <v>2919</v>
      </c>
      <c r="P849" t="s">
        <v>2208</v>
      </c>
      <c r="Q849" t="s">
        <v>2916</v>
      </c>
      <c r="R849" t="s">
        <v>3220</v>
      </c>
      <c r="S849" t="s">
        <v>2208</v>
      </c>
      <c r="T849" t="s">
        <v>2208</v>
      </c>
    </row>
    <row r="850" spans="1:20">
      <c r="A850" t="s">
        <v>2239</v>
      </c>
      <c r="B850" t="s">
        <v>9126</v>
      </c>
      <c r="C850">
        <v>45747</v>
      </c>
      <c r="D850" t="s">
        <v>7263</v>
      </c>
      <c r="E850" t="s">
        <v>9127</v>
      </c>
      <c r="F850">
        <v>45747</v>
      </c>
      <c r="G850" t="s">
        <v>2208</v>
      </c>
      <c r="H850" t="s">
        <v>2916</v>
      </c>
      <c r="I850" t="s">
        <v>11366</v>
      </c>
      <c r="J850">
        <v>0</v>
      </c>
      <c r="K850">
        <v>0.5</v>
      </c>
      <c r="L850" t="s">
        <v>2917</v>
      </c>
      <c r="M850">
        <v>0</v>
      </c>
      <c r="N850" t="s">
        <v>2918</v>
      </c>
      <c r="O850" t="s">
        <v>2919</v>
      </c>
      <c r="P850" t="s">
        <v>2208</v>
      </c>
      <c r="Q850" t="s">
        <v>2916</v>
      </c>
      <c r="R850" t="s">
        <v>3220</v>
      </c>
      <c r="S850" t="s">
        <v>2208</v>
      </c>
      <c r="T850" t="s">
        <v>2208</v>
      </c>
    </row>
    <row r="851" spans="1:20">
      <c r="A851" t="s">
        <v>2239</v>
      </c>
      <c r="B851" t="s">
        <v>9126</v>
      </c>
      <c r="C851">
        <v>45747</v>
      </c>
      <c r="D851" t="s">
        <v>7263</v>
      </c>
      <c r="E851" t="s">
        <v>9127</v>
      </c>
      <c r="F851">
        <v>45747</v>
      </c>
      <c r="G851" t="s">
        <v>2208</v>
      </c>
      <c r="H851" t="s">
        <v>2916</v>
      </c>
      <c r="I851" t="s">
        <v>11367</v>
      </c>
      <c r="J851">
        <v>0</v>
      </c>
      <c r="K851">
        <v>0.04</v>
      </c>
      <c r="L851" t="s">
        <v>2917</v>
      </c>
      <c r="M851">
        <v>0</v>
      </c>
      <c r="N851" t="s">
        <v>2918</v>
      </c>
      <c r="O851" t="s">
        <v>2919</v>
      </c>
      <c r="P851" t="s">
        <v>2208</v>
      </c>
      <c r="Q851" t="s">
        <v>2916</v>
      </c>
      <c r="R851" t="s">
        <v>3220</v>
      </c>
      <c r="S851" t="s">
        <v>2208</v>
      </c>
      <c r="T851" t="s">
        <v>2208</v>
      </c>
    </row>
    <row r="852" spans="1:20">
      <c r="A852" t="s">
        <v>2239</v>
      </c>
      <c r="B852" t="s">
        <v>11331</v>
      </c>
      <c r="C852">
        <v>45618</v>
      </c>
      <c r="D852" t="s">
        <v>7263</v>
      </c>
      <c r="E852" t="s">
        <v>11332</v>
      </c>
      <c r="F852">
        <v>45757</v>
      </c>
      <c r="G852" t="s">
        <v>7601</v>
      </c>
      <c r="H852" t="s">
        <v>2916</v>
      </c>
      <c r="I852" t="s">
        <v>12309</v>
      </c>
      <c r="J852">
        <v>0</v>
      </c>
      <c r="K852">
        <v>-46.37</v>
      </c>
      <c r="L852" t="s">
        <v>2917</v>
      </c>
      <c r="M852">
        <v>-269.18</v>
      </c>
      <c r="N852" t="s">
        <v>2918</v>
      </c>
      <c r="O852" t="s">
        <v>12310</v>
      </c>
      <c r="P852" t="s">
        <v>2939</v>
      </c>
      <c r="Q852" t="s">
        <v>2924</v>
      </c>
      <c r="R852" t="s">
        <v>3219</v>
      </c>
      <c r="S852" t="s">
        <v>2208</v>
      </c>
      <c r="T852" t="s">
        <v>2208</v>
      </c>
    </row>
    <row r="853" spans="1:20">
      <c r="A853" t="s">
        <v>2239</v>
      </c>
      <c r="B853" t="s">
        <v>11331</v>
      </c>
      <c r="C853">
        <v>45712</v>
      </c>
      <c r="D853" t="s">
        <v>7263</v>
      </c>
      <c r="E853" t="s">
        <v>11332</v>
      </c>
      <c r="F853">
        <v>45761</v>
      </c>
      <c r="G853" t="s">
        <v>7601</v>
      </c>
      <c r="H853" t="s">
        <v>2916</v>
      </c>
      <c r="I853" t="s">
        <v>12311</v>
      </c>
      <c r="J853">
        <v>0</v>
      </c>
      <c r="K853">
        <v>-10.96</v>
      </c>
      <c r="L853" t="s">
        <v>2917</v>
      </c>
      <c r="M853">
        <v>-70.58</v>
      </c>
      <c r="N853" t="s">
        <v>2918</v>
      </c>
      <c r="O853" t="s">
        <v>12312</v>
      </c>
      <c r="P853" t="s">
        <v>2939</v>
      </c>
      <c r="Q853" t="s">
        <v>2924</v>
      </c>
      <c r="R853" t="s">
        <v>3219</v>
      </c>
      <c r="S853" t="s">
        <v>2208</v>
      </c>
      <c r="T853" t="s">
        <v>2208</v>
      </c>
    </row>
    <row r="854" spans="1:20">
      <c r="A854" t="s">
        <v>2239</v>
      </c>
      <c r="B854" t="s">
        <v>11331</v>
      </c>
      <c r="C854">
        <v>45712</v>
      </c>
      <c r="D854" t="s">
        <v>7263</v>
      </c>
      <c r="E854" t="s">
        <v>11332</v>
      </c>
      <c r="F854">
        <v>45761</v>
      </c>
      <c r="G854" t="s">
        <v>7601</v>
      </c>
      <c r="H854" t="s">
        <v>2916</v>
      </c>
      <c r="I854" t="s">
        <v>12313</v>
      </c>
      <c r="J854">
        <v>0</v>
      </c>
      <c r="K854">
        <v>-57.75</v>
      </c>
      <c r="L854" t="s">
        <v>2917</v>
      </c>
      <c r="M854">
        <v>-371.95</v>
      </c>
      <c r="N854" t="s">
        <v>2918</v>
      </c>
      <c r="O854" t="s">
        <v>11044</v>
      </c>
      <c r="P854" t="s">
        <v>2939</v>
      </c>
      <c r="Q854" t="s">
        <v>2924</v>
      </c>
      <c r="R854" t="s">
        <v>3219</v>
      </c>
      <c r="S854" t="s">
        <v>2208</v>
      </c>
      <c r="T854" t="s">
        <v>2208</v>
      </c>
    </row>
    <row r="855" spans="1:20">
      <c r="A855" t="s">
        <v>2239</v>
      </c>
      <c r="B855" t="s">
        <v>11331</v>
      </c>
      <c r="C855">
        <v>45712</v>
      </c>
      <c r="D855" t="s">
        <v>7263</v>
      </c>
      <c r="E855" t="s">
        <v>11332</v>
      </c>
      <c r="F855">
        <v>45761</v>
      </c>
      <c r="G855" t="s">
        <v>7601</v>
      </c>
      <c r="H855" t="s">
        <v>2916</v>
      </c>
      <c r="I855" t="s">
        <v>12314</v>
      </c>
      <c r="J855">
        <v>0</v>
      </c>
      <c r="K855">
        <v>-528.05999999999995</v>
      </c>
      <c r="L855" t="s">
        <v>2917</v>
      </c>
      <c r="M855">
        <v>-3400.91</v>
      </c>
      <c r="N855" t="s">
        <v>2918</v>
      </c>
      <c r="O855" t="s">
        <v>12315</v>
      </c>
      <c r="P855" t="s">
        <v>2939</v>
      </c>
      <c r="Q855" t="s">
        <v>2924</v>
      </c>
      <c r="R855" t="s">
        <v>3219</v>
      </c>
      <c r="S855" t="s">
        <v>2208</v>
      </c>
      <c r="T855" t="s">
        <v>2208</v>
      </c>
    </row>
    <row r="856" spans="1:20">
      <c r="A856" t="s">
        <v>2239</v>
      </c>
      <c r="B856" t="s">
        <v>11331</v>
      </c>
      <c r="C856">
        <v>45712</v>
      </c>
      <c r="D856" t="s">
        <v>7263</v>
      </c>
      <c r="E856" t="s">
        <v>11332</v>
      </c>
      <c r="F856">
        <v>45761</v>
      </c>
      <c r="G856" t="s">
        <v>7601</v>
      </c>
      <c r="H856" t="s">
        <v>2916</v>
      </c>
      <c r="I856" t="s">
        <v>12316</v>
      </c>
      <c r="J856">
        <v>0</v>
      </c>
      <c r="K856">
        <v>-69.7</v>
      </c>
      <c r="L856" t="s">
        <v>2917</v>
      </c>
      <c r="M856">
        <v>-448.87</v>
      </c>
      <c r="N856" t="s">
        <v>2918</v>
      </c>
      <c r="O856" t="s">
        <v>12317</v>
      </c>
      <c r="P856" t="s">
        <v>2939</v>
      </c>
      <c r="Q856" t="s">
        <v>2924</v>
      </c>
      <c r="R856" t="s">
        <v>3219</v>
      </c>
      <c r="S856" t="s">
        <v>2208</v>
      </c>
      <c r="T856" t="s">
        <v>2208</v>
      </c>
    </row>
    <row r="857" spans="1:20">
      <c r="A857" t="s">
        <v>2239</v>
      </c>
      <c r="B857" t="s">
        <v>11331</v>
      </c>
      <c r="C857">
        <v>45712</v>
      </c>
      <c r="D857" t="s">
        <v>7263</v>
      </c>
      <c r="E857" t="s">
        <v>11332</v>
      </c>
      <c r="F857">
        <v>45761</v>
      </c>
      <c r="G857" t="s">
        <v>7601</v>
      </c>
      <c r="H857" t="s">
        <v>2916</v>
      </c>
      <c r="I857" t="s">
        <v>12318</v>
      </c>
      <c r="J857">
        <v>0</v>
      </c>
      <c r="K857">
        <v>-242.81</v>
      </c>
      <c r="L857" t="s">
        <v>2917</v>
      </c>
      <c r="M857">
        <v>-1563.8</v>
      </c>
      <c r="N857" t="s">
        <v>2918</v>
      </c>
      <c r="O857" t="s">
        <v>11042</v>
      </c>
      <c r="P857" t="s">
        <v>2939</v>
      </c>
      <c r="Q857" t="s">
        <v>2924</v>
      </c>
      <c r="R857" t="s">
        <v>3219</v>
      </c>
      <c r="S857" t="s">
        <v>2208</v>
      </c>
      <c r="T857" t="s">
        <v>2208</v>
      </c>
    </row>
    <row r="858" spans="1:20">
      <c r="A858" t="s">
        <v>2239</v>
      </c>
      <c r="B858" t="s">
        <v>11331</v>
      </c>
      <c r="C858">
        <v>45712</v>
      </c>
      <c r="D858" t="s">
        <v>7263</v>
      </c>
      <c r="E858" t="s">
        <v>11332</v>
      </c>
      <c r="F858">
        <v>45761</v>
      </c>
      <c r="G858" t="s">
        <v>7601</v>
      </c>
      <c r="H858" t="s">
        <v>2916</v>
      </c>
      <c r="I858" t="s">
        <v>12319</v>
      </c>
      <c r="J858">
        <v>0</v>
      </c>
      <c r="K858">
        <v>-2350.5100000000002</v>
      </c>
      <c r="L858" t="s">
        <v>2917</v>
      </c>
      <c r="M858">
        <v>-15138.05</v>
      </c>
      <c r="N858" t="s">
        <v>2918</v>
      </c>
      <c r="O858" t="s">
        <v>12320</v>
      </c>
      <c r="P858" t="s">
        <v>2939</v>
      </c>
      <c r="Q858" t="s">
        <v>2924</v>
      </c>
      <c r="R858" t="s">
        <v>3219</v>
      </c>
      <c r="S858" t="s">
        <v>2208</v>
      </c>
      <c r="T858" t="s">
        <v>2208</v>
      </c>
    </row>
    <row r="859" spans="1:20">
      <c r="A859" t="s">
        <v>2239</v>
      </c>
      <c r="B859" t="s">
        <v>11331</v>
      </c>
      <c r="C859">
        <v>45712</v>
      </c>
      <c r="D859" t="s">
        <v>7263</v>
      </c>
      <c r="E859" t="s">
        <v>11332</v>
      </c>
      <c r="F859">
        <v>45761</v>
      </c>
      <c r="G859" t="s">
        <v>7601</v>
      </c>
      <c r="H859" t="s">
        <v>2916</v>
      </c>
      <c r="I859" t="s">
        <v>12321</v>
      </c>
      <c r="J859">
        <v>0</v>
      </c>
      <c r="K859">
        <v>-3794.74</v>
      </c>
      <c r="L859" t="s">
        <v>2917</v>
      </c>
      <c r="M859">
        <v>-24439.39</v>
      </c>
      <c r="N859" t="s">
        <v>2918</v>
      </c>
      <c r="O859" t="s">
        <v>12322</v>
      </c>
      <c r="P859" t="s">
        <v>2939</v>
      </c>
      <c r="Q859" t="s">
        <v>2924</v>
      </c>
      <c r="R859" t="s">
        <v>3219</v>
      </c>
      <c r="S859" t="s">
        <v>2208</v>
      </c>
      <c r="T859" t="s">
        <v>2208</v>
      </c>
    </row>
    <row r="860" spans="1:20">
      <c r="A860" t="s">
        <v>2239</v>
      </c>
      <c r="B860" t="s">
        <v>11331</v>
      </c>
      <c r="C860">
        <v>45712</v>
      </c>
      <c r="D860" t="s">
        <v>7263</v>
      </c>
      <c r="E860" t="s">
        <v>11332</v>
      </c>
      <c r="F860">
        <v>45761</v>
      </c>
      <c r="G860" t="s">
        <v>7601</v>
      </c>
      <c r="H860" t="s">
        <v>2916</v>
      </c>
      <c r="I860" t="s">
        <v>12323</v>
      </c>
      <c r="J860">
        <v>0</v>
      </c>
      <c r="K860">
        <v>-634.71</v>
      </c>
      <c r="L860" t="s">
        <v>2917</v>
      </c>
      <c r="M860">
        <v>-4087.73</v>
      </c>
      <c r="N860" t="s">
        <v>2918</v>
      </c>
      <c r="O860" t="s">
        <v>12324</v>
      </c>
      <c r="P860" t="s">
        <v>2939</v>
      </c>
      <c r="Q860" t="s">
        <v>2924</v>
      </c>
      <c r="R860" t="s">
        <v>3219</v>
      </c>
      <c r="S860" t="s">
        <v>2208</v>
      </c>
      <c r="T860" t="s">
        <v>2208</v>
      </c>
    </row>
    <row r="861" spans="1:20">
      <c r="A861" t="s">
        <v>2239</v>
      </c>
      <c r="B861" t="s">
        <v>11331</v>
      </c>
      <c r="C861">
        <v>45730</v>
      </c>
      <c r="D861" t="s">
        <v>7263</v>
      </c>
      <c r="E861" t="s">
        <v>11332</v>
      </c>
      <c r="F861">
        <v>45761</v>
      </c>
      <c r="G861" t="s">
        <v>12325</v>
      </c>
      <c r="H861" t="s">
        <v>2916</v>
      </c>
      <c r="I861" t="s">
        <v>12326</v>
      </c>
      <c r="J861">
        <v>29200</v>
      </c>
      <c r="K861">
        <v>5070.58</v>
      </c>
      <c r="L861" t="s">
        <v>2917</v>
      </c>
      <c r="M861">
        <v>29200</v>
      </c>
      <c r="N861" t="s">
        <v>2918</v>
      </c>
      <c r="O861" t="s">
        <v>2923</v>
      </c>
      <c r="P861" t="s">
        <v>2923</v>
      </c>
      <c r="Q861" t="s">
        <v>2924</v>
      </c>
      <c r="R861" t="s">
        <v>3219</v>
      </c>
      <c r="S861" t="s">
        <v>2208</v>
      </c>
      <c r="T861" t="s">
        <v>2208</v>
      </c>
    </row>
    <row r="862" spans="1:20">
      <c r="A862" t="s">
        <v>2239</v>
      </c>
      <c r="B862" t="s">
        <v>11331</v>
      </c>
      <c r="C862">
        <v>45428</v>
      </c>
      <c r="D862" t="s">
        <v>7263</v>
      </c>
      <c r="E862" t="s">
        <v>11332</v>
      </c>
      <c r="F862">
        <v>45764</v>
      </c>
      <c r="G862" t="s">
        <v>3940</v>
      </c>
      <c r="H862" t="s">
        <v>2916</v>
      </c>
      <c r="I862" t="s">
        <v>12327</v>
      </c>
      <c r="J862">
        <v>184820.7</v>
      </c>
      <c r="K862">
        <v>32094.11</v>
      </c>
      <c r="L862" t="s">
        <v>2917</v>
      </c>
      <c r="M862">
        <v>184820.7</v>
      </c>
      <c r="N862" t="s">
        <v>2918</v>
      </c>
      <c r="O862" t="s">
        <v>2923</v>
      </c>
      <c r="P862" t="s">
        <v>2923</v>
      </c>
      <c r="Q862" t="s">
        <v>2924</v>
      </c>
      <c r="R862" t="s">
        <v>3219</v>
      </c>
      <c r="S862" t="s">
        <v>2208</v>
      </c>
      <c r="T862" t="s">
        <v>2208</v>
      </c>
    </row>
    <row r="863" spans="1:20">
      <c r="A863" t="s">
        <v>2239</v>
      </c>
      <c r="B863" t="s">
        <v>11331</v>
      </c>
      <c r="C863">
        <v>45428</v>
      </c>
      <c r="D863" t="s">
        <v>7263</v>
      </c>
      <c r="E863" t="s">
        <v>11332</v>
      </c>
      <c r="F863">
        <v>45764</v>
      </c>
      <c r="G863" t="s">
        <v>3940</v>
      </c>
      <c r="H863" t="s">
        <v>2916</v>
      </c>
      <c r="I863" t="s">
        <v>12328</v>
      </c>
      <c r="J863">
        <v>74162.600000000006</v>
      </c>
      <c r="K863">
        <v>12878.34</v>
      </c>
      <c r="L863" t="s">
        <v>2917</v>
      </c>
      <c r="M863">
        <v>74162.600000000006</v>
      </c>
      <c r="N863" t="s">
        <v>2918</v>
      </c>
      <c r="O863" t="s">
        <v>2923</v>
      </c>
      <c r="P863" t="s">
        <v>2923</v>
      </c>
      <c r="Q863" t="s">
        <v>2924</v>
      </c>
      <c r="R863" t="s">
        <v>3219</v>
      </c>
      <c r="S863" t="s">
        <v>2208</v>
      </c>
      <c r="T863" t="s">
        <v>2208</v>
      </c>
    </row>
    <row r="864" spans="1:20">
      <c r="A864" t="s">
        <v>2239</v>
      </c>
      <c r="B864" t="s">
        <v>11331</v>
      </c>
      <c r="C864">
        <v>45428</v>
      </c>
      <c r="D864" t="s">
        <v>7263</v>
      </c>
      <c r="E864" t="s">
        <v>11332</v>
      </c>
      <c r="F864">
        <v>45764</v>
      </c>
      <c r="G864" t="s">
        <v>3940</v>
      </c>
      <c r="H864" t="s">
        <v>2916</v>
      </c>
      <c r="I864" t="s">
        <v>12329</v>
      </c>
      <c r="J864">
        <v>118298.8</v>
      </c>
      <c r="K864">
        <v>20542.59</v>
      </c>
      <c r="L864" t="s">
        <v>2917</v>
      </c>
      <c r="M864">
        <v>118298.8</v>
      </c>
      <c r="N864" t="s">
        <v>2918</v>
      </c>
      <c r="O864" t="s">
        <v>2923</v>
      </c>
      <c r="P864" t="s">
        <v>2923</v>
      </c>
      <c r="Q864" t="s">
        <v>2924</v>
      </c>
      <c r="R864" t="s">
        <v>3219</v>
      </c>
      <c r="S864" t="s">
        <v>2208</v>
      </c>
      <c r="T864" t="s">
        <v>2208</v>
      </c>
    </row>
    <row r="865" spans="1:20">
      <c r="A865" t="s">
        <v>2239</v>
      </c>
      <c r="B865" t="s">
        <v>11331</v>
      </c>
      <c r="C865">
        <v>45428</v>
      </c>
      <c r="D865" t="s">
        <v>7263</v>
      </c>
      <c r="E865" t="s">
        <v>11332</v>
      </c>
      <c r="F865">
        <v>45764</v>
      </c>
      <c r="G865" t="s">
        <v>3940</v>
      </c>
      <c r="H865" t="s">
        <v>2916</v>
      </c>
      <c r="I865" t="s">
        <v>12330</v>
      </c>
      <c r="J865">
        <v>16617.64</v>
      </c>
      <c r="K865">
        <v>2885.65</v>
      </c>
      <c r="L865" t="s">
        <v>2917</v>
      </c>
      <c r="M865">
        <v>16617.64</v>
      </c>
      <c r="N865" t="s">
        <v>2918</v>
      </c>
      <c r="O865" t="s">
        <v>2923</v>
      </c>
      <c r="P865" t="s">
        <v>2923</v>
      </c>
      <c r="Q865" t="s">
        <v>2924</v>
      </c>
      <c r="R865" t="s">
        <v>3219</v>
      </c>
      <c r="S865" t="s">
        <v>2208</v>
      </c>
      <c r="T865" t="s">
        <v>2208</v>
      </c>
    </row>
    <row r="866" spans="1:20">
      <c r="A866" t="s">
        <v>2239</v>
      </c>
      <c r="B866" t="s">
        <v>11331</v>
      </c>
      <c r="C866">
        <v>45170</v>
      </c>
      <c r="D866" t="s">
        <v>7263</v>
      </c>
      <c r="E866" t="s">
        <v>11332</v>
      </c>
      <c r="F866">
        <v>45770</v>
      </c>
      <c r="G866" t="s">
        <v>7594</v>
      </c>
      <c r="H866" t="s">
        <v>2916</v>
      </c>
      <c r="I866" t="s">
        <v>15888</v>
      </c>
      <c r="J866">
        <v>8318.7099999999991</v>
      </c>
      <c r="K866">
        <v>1444.54</v>
      </c>
      <c r="L866" t="s">
        <v>2917</v>
      </c>
      <c r="M866">
        <v>8318.7099999999991</v>
      </c>
      <c r="N866" t="s">
        <v>2918</v>
      </c>
      <c r="O866" t="s">
        <v>2940</v>
      </c>
      <c r="P866" t="s">
        <v>2940</v>
      </c>
      <c r="Q866" t="s">
        <v>2924</v>
      </c>
      <c r="R866" t="s">
        <v>3219</v>
      </c>
      <c r="S866" t="s">
        <v>2208</v>
      </c>
      <c r="T866" t="s">
        <v>2208</v>
      </c>
    </row>
    <row r="867" spans="1:20">
      <c r="A867" t="s">
        <v>2239</v>
      </c>
      <c r="B867" t="s">
        <v>11331</v>
      </c>
      <c r="C867">
        <v>45170</v>
      </c>
      <c r="D867" t="s">
        <v>7263</v>
      </c>
      <c r="E867" t="s">
        <v>11332</v>
      </c>
      <c r="F867">
        <v>45770</v>
      </c>
      <c r="G867" t="s">
        <v>7594</v>
      </c>
      <c r="H867" t="s">
        <v>2916</v>
      </c>
      <c r="I867" t="s">
        <v>15889</v>
      </c>
      <c r="J867">
        <v>78675.179999999993</v>
      </c>
      <c r="K867">
        <v>13661.95</v>
      </c>
      <c r="L867" t="s">
        <v>2917</v>
      </c>
      <c r="M867">
        <v>78675.179999999993</v>
      </c>
      <c r="N867" t="s">
        <v>2918</v>
      </c>
      <c r="O867" t="s">
        <v>2940</v>
      </c>
      <c r="P867" t="s">
        <v>2940</v>
      </c>
      <c r="Q867" t="s">
        <v>2924</v>
      </c>
      <c r="R867" t="s">
        <v>3219</v>
      </c>
      <c r="S867" t="s">
        <v>2208</v>
      </c>
      <c r="T867" t="s">
        <v>2208</v>
      </c>
    </row>
    <row r="868" spans="1:20">
      <c r="A868" t="s">
        <v>2239</v>
      </c>
      <c r="B868" t="s">
        <v>11331</v>
      </c>
      <c r="C868">
        <v>45170</v>
      </c>
      <c r="D868" t="s">
        <v>7263</v>
      </c>
      <c r="E868" t="s">
        <v>11332</v>
      </c>
      <c r="F868">
        <v>45770</v>
      </c>
      <c r="G868" t="s">
        <v>7594</v>
      </c>
      <c r="H868" t="s">
        <v>2916</v>
      </c>
      <c r="I868" t="s">
        <v>15890</v>
      </c>
      <c r="J868">
        <v>52353.27</v>
      </c>
      <c r="K868">
        <v>9091.15</v>
      </c>
      <c r="L868" t="s">
        <v>2917</v>
      </c>
      <c r="M868">
        <v>52353.27</v>
      </c>
      <c r="N868" t="s">
        <v>2918</v>
      </c>
      <c r="O868" t="s">
        <v>2940</v>
      </c>
      <c r="P868" t="s">
        <v>2940</v>
      </c>
      <c r="Q868" t="s">
        <v>2924</v>
      </c>
      <c r="R868" t="s">
        <v>3219</v>
      </c>
      <c r="S868" t="s">
        <v>2208</v>
      </c>
      <c r="T868" t="s">
        <v>2208</v>
      </c>
    </row>
    <row r="869" spans="1:20">
      <c r="A869" t="s">
        <v>2239</v>
      </c>
      <c r="B869" t="s">
        <v>11331</v>
      </c>
      <c r="C869">
        <v>45170</v>
      </c>
      <c r="D869" t="s">
        <v>7263</v>
      </c>
      <c r="E869" t="s">
        <v>11332</v>
      </c>
      <c r="F869">
        <v>45770</v>
      </c>
      <c r="G869" t="s">
        <v>7594</v>
      </c>
      <c r="H869" t="s">
        <v>2916</v>
      </c>
      <c r="I869" t="s">
        <v>15891</v>
      </c>
      <c r="J869">
        <v>12972</v>
      </c>
      <c r="K869">
        <v>2252.59</v>
      </c>
      <c r="L869" t="s">
        <v>2917</v>
      </c>
      <c r="M869">
        <v>12972</v>
      </c>
      <c r="N869" t="s">
        <v>2918</v>
      </c>
      <c r="O869" t="s">
        <v>2940</v>
      </c>
      <c r="P869" t="s">
        <v>2940</v>
      </c>
      <c r="Q869" t="s">
        <v>2924</v>
      </c>
      <c r="R869" t="s">
        <v>3219</v>
      </c>
      <c r="S869" t="s">
        <v>2208</v>
      </c>
      <c r="T869" t="s">
        <v>2208</v>
      </c>
    </row>
    <row r="870" spans="1:20">
      <c r="A870" t="s">
        <v>2239</v>
      </c>
      <c r="B870" t="s">
        <v>11331</v>
      </c>
      <c r="C870">
        <v>45170</v>
      </c>
      <c r="D870" t="s">
        <v>7263</v>
      </c>
      <c r="E870" t="s">
        <v>11332</v>
      </c>
      <c r="F870">
        <v>45770</v>
      </c>
      <c r="G870" t="s">
        <v>7594</v>
      </c>
      <c r="H870" t="s">
        <v>2916</v>
      </c>
      <c r="I870" t="s">
        <v>15892</v>
      </c>
      <c r="J870">
        <v>572755.06000000006</v>
      </c>
      <c r="K870">
        <v>99458.92</v>
      </c>
      <c r="L870" t="s">
        <v>2917</v>
      </c>
      <c r="M870">
        <v>572755.06000000006</v>
      </c>
      <c r="N870" t="s">
        <v>2918</v>
      </c>
      <c r="O870" t="s">
        <v>2940</v>
      </c>
      <c r="P870" t="s">
        <v>2940</v>
      </c>
      <c r="Q870" t="s">
        <v>2924</v>
      </c>
      <c r="R870" t="s">
        <v>3219</v>
      </c>
      <c r="S870" t="s">
        <v>2208</v>
      </c>
      <c r="T870" t="s">
        <v>2208</v>
      </c>
    </row>
    <row r="871" spans="1:20">
      <c r="A871" t="s">
        <v>2239</v>
      </c>
      <c r="B871" t="s">
        <v>11331</v>
      </c>
      <c r="C871">
        <v>45170</v>
      </c>
      <c r="D871" t="s">
        <v>7263</v>
      </c>
      <c r="E871" t="s">
        <v>11332</v>
      </c>
      <c r="F871">
        <v>45770</v>
      </c>
      <c r="G871" t="s">
        <v>7594</v>
      </c>
      <c r="H871" t="s">
        <v>2916</v>
      </c>
      <c r="I871" t="s">
        <v>15893</v>
      </c>
      <c r="J871">
        <v>217095</v>
      </c>
      <c r="K871">
        <v>37698.550000000003</v>
      </c>
      <c r="L871" t="s">
        <v>2917</v>
      </c>
      <c r="M871">
        <v>217095</v>
      </c>
      <c r="N871" t="s">
        <v>2918</v>
      </c>
      <c r="O871" t="s">
        <v>2940</v>
      </c>
      <c r="P871" t="s">
        <v>2940</v>
      </c>
      <c r="Q871" t="s">
        <v>2924</v>
      </c>
      <c r="R871" t="s">
        <v>3219</v>
      </c>
      <c r="S871" t="s">
        <v>2208</v>
      </c>
      <c r="T871" t="s">
        <v>2208</v>
      </c>
    </row>
    <row r="872" spans="1:20">
      <c r="A872" t="s">
        <v>2239</v>
      </c>
      <c r="B872" t="s">
        <v>11331</v>
      </c>
      <c r="C872">
        <v>45559</v>
      </c>
      <c r="D872" t="s">
        <v>7263</v>
      </c>
      <c r="E872" t="s">
        <v>11332</v>
      </c>
      <c r="F872">
        <v>45770</v>
      </c>
      <c r="G872" t="s">
        <v>15894</v>
      </c>
      <c r="H872" t="s">
        <v>2916</v>
      </c>
      <c r="I872" t="s">
        <v>15895</v>
      </c>
      <c r="J872">
        <v>21655.919999999998</v>
      </c>
      <c r="K872">
        <v>3760.55</v>
      </c>
      <c r="L872" t="s">
        <v>2917</v>
      </c>
      <c r="M872">
        <v>21655.919999999998</v>
      </c>
      <c r="N872" t="s">
        <v>2918</v>
      </c>
      <c r="O872" t="s">
        <v>2923</v>
      </c>
      <c r="P872" t="s">
        <v>2923</v>
      </c>
      <c r="Q872" t="s">
        <v>2924</v>
      </c>
      <c r="R872" t="s">
        <v>3219</v>
      </c>
      <c r="S872" t="s">
        <v>2208</v>
      </c>
      <c r="T872" t="s">
        <v>2208</v>
      </c>
    </row>
    <row r="873" spans="1:20">
      <c r="A873" t="s">
        <v>2239</v>
      </c>
      <c r="B873" t="s">
        <v>11331</v>
      </c>
      <c r="C873">
        <v>45385</v>
      </c>
      <c r="D873" t="s">
        <v>7263</v>
      </c>
      <c r="E873" t="s">
        <v>11332</v>
      </c>
      <c r="F873">
        <v>45771</v>
      </c>
      <c r="G873" t="s">
        <v>6995</v>
      </c>
      <c r="H873" t="s">
        <v>2916</v>
      </c>
      <c r="I873" t="s">
        <v>15968</v>
      </c>
      <c r="J873">
        <v>98282.97</v>
      </c>
      <c r="K873">
        <v>17066.84</v>
      </c>
      <c r="L873" t="s">
        <v>2917</v>
      </c>
      <c r="M873">
        <v>98282.97</v>
      </c>
      <c r="N873" t="s">
        <v>2918</v>
      </c>
      <c r="O873" t="s">
        <v>2940</v>
      </c>
      <c r="P873" t="s">
        <v>2940</v>
      </c>
      <c r="Q873" t="s">
        <v>2924</v>
      </c>
      <c r="R873" t="s">
        <v>3219</v>
      </c>
      <c r="S873" t="s">
        <v>2208</v>
      </c>
      <c r="T873" t="s">
        <v>2208</v>
      </c>
    </row>
    <row r="874" spans="1:20">
      <c r="A874" t="s">
        <v>2239</v>
      </c>
      <c r="B874" t="s">
        <v>11331</v>
      </c>
      <c r="C874">
        <v>45385</v>
      </c>
      <c r="D874" t="s">
        <v>7263</v>
      </c>
      <c r="E874" t="s">
        <v>11332</v>
      </c>
      <c r="F874">
        <v>45771</v>
      </c>
      <c r="G874" t="s">
        <v>6995</v>
      </c>
      <c r="H874" t="s">
        <v>2916</v>
      </c>
      <c r="I874" t="s">
        <v>15969</v>
      </c>
      <c r="J874">
        <v>78661.89</v>
      </c>
      <c r="K874">
        <v>13659.64</v>
      </c>
      <c r="L874" t="s">
        <v>2917</v>
      </c>
      <c r="M874">
        <v>78661.89</v>
      </c>
      <c r="N874" t="s">
        <v>2918</v>
      </c>
      <c r="O874" t="s">
        <v>2940</v>
      </c>
      <c r="P874" t="s">
        <v>2940</v>
      </c>
      <c r="Q874" t="s">
        <v>2924</v>
      </c>
      <c r="R874" t="s">
        <v>3219</v>
      </c>
      <c r="S874" t="s">
        <v>2208</v>
      </c>
      <c r="T874" t="s">
        <v>2208</v>
      </c>
    </row>
    <row r="875" spans="1:20">
      <c r="A875" t="s">
        <v>2239</v>
      </c>
      <c r="B875" t="s">
        <v>11331</v>
      </c>
      <c r="C875">
        <v>45385</v>
      </c>
      <c r="D875" t="s">
        <v>7263</v>
      </c>
      <c r="E875" t="s">
        <v>11332</v>
      </c>
      <c r="F875">
        <v>45771</v>
      </c>
      <c r="G875" t="s">
        <v>6995</v>
      </c>
      <c r="H875" t="s">
        <v>2916</v>
      </c>
      <c r="I875" t="s">
        <v>15970</v>
      </c>
      <c r="J875">
        <v>66734.53</v>
      </c>
      <c r="K875">
        <v>11588.45</v>
      </c>
      <c r="L875" t="s">
        <v>2917</v>
      </c>
      <c r="M875">
        <v>66734.53</v>
      </c>
      <c r="N875" t="s">
        <v>2918</v>
      </c>
      <c r="O875" t="s">
        <v>2940</v>
      </c>
      <c r="P875" t="s">
        <v>2940</v>
      </c>
      <c r="Q875" t="s">
        <v>2924</v>
      </c>
      <c r="R875" t="s">
        <v>3219</v>
      </c>
      <c r="S875" t="s">
        <v>2208</v>
      </c>
      <c r="T875" t="s">
        <v>2208</v>
      </c>
    </row>
    <row r="876" spans="1:20">
      <c r="A876" t="s">
        <v>2239</v>
      </c>
      <c r="B876" t="s">
        <v>11331</v>
      </c>
      <c r="C876">
        <v>45385</v>
      </c>
      <c r="D876" t="s">
        <v>7263</v>
      </c>
      <c r="E876" t="s">
        <v>11332</v>
      </c>
      <c r="F876">
        <v>45771</v>
      </c>
      <c r="G876" t="s">
        <v>6995</v>
      </c>
      <c r="H876" t="s">
        <v>2916</v>
      </c>
      <c r="I876" t="s">
        <v>15971</v>
      </c>
      <c r="J876">
        <v>2409</v>
      </c>
      <c r="K876">
        <v>418.32</v>
      </c>
      <c r="L876" t="s">
        <v>2917</v>
      </c>
      <c r="M876">
        <v>2409</v>
      </c>
      <c r="N876" t="s">
        <v>2918</v>
      </c>
      <c r="O876" t="s">
        <v>2940</v>
      </c>
      <c r="P876" t="s">
        <v>2940</v>
      </c>
      <c r="Q876" t="s">
        <v>2924</v>
      </c>
      <c r="R876" t="s">
        <v>3219</v>
      </c>
      <c r="S876" t="s">
        <v>2208</v>
      </c>
      <c r="T876" t="s">
        <v>2208</v>
      </c>
    </row>
    <row r="877" spans="1:20">
      <c r="A877" t="s">
        <v>2239</v>
      </c>
      <c r="B877" t="s">
        <v>11331</v>
      </c>
      <c r="C877">
        <v>45674</v>
      </c>
      <c r="D877" t="s">
        <v>7263</v>
      </c>
      <c r="E877" t="s">
        <v>11332</v>
      </c>
      <c r="F877">
        <v>45772</v>
      </c>
      <c r="G877" t="s">
        <v>16189</v>
      </c>
      <c r="H877" t="s">
        <v>2916</v>
      </c>
      <c r="I877" t="s">
        <v>16190</v>
      </c>
      <c r="J877">
        <v>41350</v>
      </c>
      <c r="K877">
        <v>7180.43</v>
      </c>
      <c r="L877" t="s">
        <v>2917</v>
      </c>
      <c r="M877">
        <v>41350</v>
      </c>
      <c r="N877" t="s">
        <v>2918</v>
      </c>
      <c r="O877" t="s">
        <v>2941</v>
      </c>
      <c r="P877" t="s">
        <v>2941</v>
      </c>
      <c r="Q877" t="s">
        <v>2924</v>
      </c>
      <c r="R877" t="s">
        <v>3219</v>
      </c>
      <c r="S877" t="s">
        <v>2208</v>
      </c>
      <c r="T877" t="s">
        <v>2208</v>
      </c>
    </row>
    <row r="878" spans="1:20">
      <c r="A878" t="s">
        <v>2239</v>
      </c>
      <c r="B878" t="s">
        <v>11331</v>
      </c>
      <c r="C878">
        <v>45764</v>
      </c>
      <c r="D878" t="s">
        <v>7263</v>
      </c>
      <c r="E878" t="s">
        <v>11332</v>
      </c>
      <c r="F878">
        <v>45772</v>
      </c>
      <c r="G878" t="s">
        <v>3940</v>
      </c>
      <c r="H878" t="s">
        <v>2916</v>
      </c>
      <c r="I878" t="s">
        <v>16191</v>
      </c>
      <c r="J878">
        <v>0</v>
      </c>
      <c r="K878">
        <v>-266.92</v>
      </c>
      <c r="L878" t="s">
        <v>2917</v>
      </c>
      <c r="M878">
        <v>-1537.13</v>
      </c>
      <c r="N878" t="s">
        <v>2918</v>
      </c>
      <c r="O878" t="s">
        <v>16192</v>
      </c>
      <c r="P878" t="s">
        <v>2923</v>
      </c>
      <c r="Q878" t="s">
        <v>2924</v>
      </c>
      <c r="R878" t="s">
        <v>3219</v>
      </c>
      <c r="S878" t="s">
        <v>2208</v>
      </c>
      <c r="T878" t="s">
        <v>2208</v>
      </c>
    </row>
    <row r="879" spans="1:20">
      <c r="A879" t="s">
        <v>2239</v>
      </c>
      <c r="B879" t="s">
        <v>11331</v>
      </c>
      <c r="C879">
        <v>45772</v>
      </c>
      <c r="D879" t="s">
        <v>7263</v>
      </c>
      <c r="E879" t="s">
        <v>11332</v>
      </c>
      <c r="F879">
        <v>45772</v>
      </c>
      <c r="G879" t="s">
        <v>7601</v>
      </c>
      <c r="H879" t="s">
        <v>2916</v>
      </c>
      <c r="I879" t="s">
        <v>16193</v>
      </c>
      <c r="J879">
        <v>9483.2900000000009</v>
      </c>
      <c r="K879">
        <v>1646.77</v>
      </c>
      <c r="L879" t="s">
        <v>2917</v>
      </c>
      <c r="M879">
        <v>9483.2900000000009</v>
      </c>
      <c r="N879" t="s">
        <v>2918</v>
      </c>
      <c r="O879" t="s">
        <v>2939</v>
      </c>
      <c r="P879" t="s">
        <v>2939</v>
      </c>
      <c r="Q879" t="s">
        <v>2924</v>
      </c>
      <c r="R879" t="s">
        <v>3219</v>
      </c>
      <c r="S879" t="s">
        <v>2208</v>
      </c>
      <c r="T879" t="s">
        <v>2208</v>
      </c>
    </row>
    <row r="880" spans="1:20">
      <c r="A880" t="s">
        <v>2239</v>
      </c>
      <c r="B880" t="s">
        <v>11331</v>
      </c>
      <c r="C880">
        <v>45771</v>
      </c>
      <c r="D880" t="s">
        <v>7263</v>
      </c>
      <c r="E880" t="s">
        <v>11332</v>
      </c>
      <c r="F880">
        <v>45772</v>
      </c>
      <c r="G880" t="s">
        <v>6995</v>
      </c>
      <c r="H880" t="s">
        <v>2916</v>
      </c>
      <c r="I880" t="s">
        <v>16194</v>
      </c>
      <c r="J880">
        <v>0</v>
      </c>
      <c r="K880">
        <v>-1071.93</v>
      </c>
      <c r="L880" t="s">
        <v>2917</v>
      </c>
      <c r="M880">
        <v>-6172.94</v>
      </c>
      <c r="N880" t="s">
        <v>2918</v>
      </c>
      <c r="O880" t="s">
        <v>16195</v>
      </c>
      <c r="P880" t="s">
        <v>2940</v>
      </c>
      <c r="Q880" t="s">
        <v>2924</v>
      </c>
      <c r="R880" t="s">
        <v>3219</v>
      </c>
      <c r="S880" t="s">
        <v>2208</v>
      </c>
      <c r="T880" t="s">
        <v>2208</v>
      </c>
    </row>
    <row r="881" spans="1:20">
      <c r="A881" t="s">
        <v>2239</v>
      </c>
      <c r="B881" t="s">
        <v>11331</v>
      </c>
      <c r="C881">
        <v>45771</v>
      </c>
      <c r="D881" t="s">
        <v>7263</v>
      </c>
      <c r="E881" t="s">
        <v>11332</v>
      </c>
      <c r="F881">
        <v>45772</v>
      </c>
      <c r="G881" t="s">
        <v>6995</v>
      </c>
      <c r="H881" t="s">
        <v>2916</v>
      </c>
      <c r="I881" t="s">
        <v>16196</v>
      </c>
      <c r="J881">
        <v>0</v>
      </c>
      <c r="K881">
        <v>-1263.52</v>
      </c>
      <c r="L881" t="s">
        <v>2917</v>
      </c>
      <c r="M881">
        <v>-7276.22</v>
      </c>
      <c r="N881" t="s">
        <v>2918</v>
      </c>
      <c r="O881" t="s">
        <v>16197</v>
      </c>
      <c r="P881" t="s">
        <v>2940</v>
      </c>
      <c r="Q881" t="s">
        <v>2924</v>
      </c>
      <c r="R881" t="s">
        <v>3219</v>
      </c>
      <c r="S881" t="s">
        <v>2208</v>
      </c>
      <c r="T881" t="s">
        <v>2208</v>
      </c>
    </row>
    <row r="882" spans="1:20">
      <c r="A882" t="s">
        <v>2239</v>
      </c>
      <c r="B882" t="s">
        <v>11331</v>
      </c>
      <c r="C882">
        <v>45771</v>
      </c>
      <c r="D882" t="s">
        <v>7263</v>
      </c>
      <c r="E882" t="s">
        <v>11332</v>
      </c>
      <c r="F882">
        <v>45772</v>
      </c>
      <c r="G882" t="s">
        <v>6995</v>
      </c>
      <c r="H882" t="s">
        <v>2916</v>
      </c>
      <c r="I882" t="s">
        <v>16198</v>
      </c>
      <c r="J882">
        <v>0</v>
      </c>
      <c r="K882">
        <v>-38.69</v>
      </c>
      <c r="L882" t="s">
        <v>2917</v>
      </c>
      <c r="M882">
        <v>-222.83</v>
      </c>
      <c r="N882" t="s">
        <v>2918</v>
      </c>
      <c r="O882" t="s">
        <v>16199</v>
      </c>
      <c r="P882" t="s">
        <v>2940</v>
      </c>
      <c r="Q882" t="s">
        <v>2924</v>
      </c>
      <c r="R882" t="s">
        <v>3219</v>
      </c>
      <c r="S882" t="s">
        <v>2208</v>
      </c>
      <c r="T882" t="s">
        <v>2208</v>
      </c>
    </row>
    <row r="883" spans="1:20">
      <c r="A883" t="s">
        <v>2239</v>
      </c>
      <c r="B883" t="s">
        <v>11331</v>
      </c>
      <c r="C883">
        <v>45771</v>
      </c>
      <c r="D883" t="s">
        <v>7263</v>
      </c>
      <c r="E883" t="s">
        <v>11332</v>
      </c>
      <c r="F883">
        <v>45772</v>
      </c>
      <c r="G883" t="s">
        <v>6995</v>
      </c>
      <c r="H883" t="s">
        <v>2916</v>
      </c>
      <c r="I883" t="s">
        <v>16200</v>
      </c>
      <c r="J883">
        <v>0</v>
      </c>
      <c r="K883">
        <v>-1578.69</v>
      </c>
      <c r="L883" t="s">
        <v>2917</v>
      </c>
      <c r="M883">
        <v>-9091.18</v>
      </c>
      <c r="N883" t="s">
        <v>2918</v>
      </c>
      <c r="O883" t="s">
        <v>16201</v>
      </c>
      <c r="P883" t="s">
        <v>2940</v>
      </c>
      <c r="Q883" t="s">
        <v>2924</v>
      </c>
      <c r="R883" t="s">
        <v>3219</v>
      </c>
      <c r="S883" t="s">
        <v>2208</v>
      </c>
      <c r="T883" t="s">
        <v>2208</v>
      </c>
    </row>
    <row r="884" spans="1:20">
      <c r="A884" t="s">
        <v>2239</v>
      </c>
      <c r="B884" t="s">
        <v>11331</v>
      </c>
      <c r="C884">
        <v>45770</v>
      </c>
      <c r="D884" t="s">
        <v>7263</v>
      </c>
      <c r="E884" t="s">
        <v>11332</v>
      </c>
      <c r="F884">
        <v>45772</v>
      </c>
      <c r="G884" t="s">
        <v>7594</v>
      </c>
      <c r="H884" t="s">
        <v>2916</v>
      </c>
      <c r="I884" t="s">
        <v>16202</v>
      </c>
      <c r="J884">
        <v>0</v>
      </c>
      <c r="K884">
        <v>-208.37</v>
      </c>
      <c r="L884" t="s">
        <v>2917</v>
      </c>
      <c r="M884">
        <v>-1199.9100000000001</v>
      </c>
      <c r="N884" t="s">
        <v>2918</v>
      </c>
      <c r="O884" t="s">
        <v>16203</v>
      </c>
      <c r="P884" t="s">
        <v>2940</v>
      </c>
      <c r="Q884" t="s">
        <v>2924</v>
      </c>
      <c r="R884" t="s">
        <v>3219</v>
      </c>
      <c r="S884" t="s">
        <v>2208</v>
      </c>
      <c r="T884" t="s">
        <v>2208</v>
      </c>
    </row>
    <row r="885" spans="1:20">
      <c r="A885" t="s">
        <v>2239</v>
      </c>
      <c r="B885" t="s">
        <v>11331</v>
      </c>
      <c r="C885">
        <v>45770</v>
      </c>
      <c r="D885" t="s">
        <v>7263</v>
      </c>
      <c r="E885" t="s">
        <v>11332</v>
      </c>
      <c r="F885">
        <v>45772</v>
      </c>
      <c r="G885" t="s">
        <v>7594</v>
      </c>
      <c r="H885" t="s">
        <v>2916</v>
      </c>
      <c r="I885" t="s">
        <v>16204</v>
      </c>
      <c r="J885">
        <v>0</v>
      </c>
      <c r="K885">
        <v>-3487.12</v>
      </c>
      <c r="L885" t="s">
        <v>2917</v>
      </c>
      <c r="M885">
        <v>-20081.29</v>
      </c>
      <c r="N885" t="s">
        <v>2918</v>
      </c>
      <c r="O885" t="s">
        <v>16205</v>
      </c>
      <c r="P885" t="s">
        <v>2940</v>
      </c>
      <c r="Q885" t="s">
        <v>2924</v>
      </c>
      <c r="R885" t="s">
        <v>3219</v>
      </c>
      <c r="S885" t="s">
        <v>2208</v>
      </c>
      <c r="T885" t="s">
        <v>2208</v>
      </c>
    </row>
    <row r="886" spans="1:20">
      <c r="A886" t="s">
        <v>2239</v>
      </c>
      <c r="B886" t="s">
        <v>11331</v>
      </c>
      <c r="C886">
        <v>45772</v>
      </c>
      <c r="D886" t="s">
        <v>7263</v>
      </c>
      <c r="E886" t="s">
        <v>11332</v>
      </c>
      <c r="F886">
        <v>45772</v>
      </c>
      <c r="G886" t="s">
        <v>16189</v>
      </c>
      <c r="H886" t="s">
        <v>2916</v>
      </c>
      <c r="I886" t="s">
        <v>16206</v>
      </c>
      <c r="J886">
        <v>0</v>
      </c>
      <c r="K886">
        <v>-664.19</v>
      </c>
      <c r="L886" t="s">
        <v>2917</v>
      </c>
      <c r="M886">
        <v>-3824.88</v>
      </c>
      <c r="N886" t="s">
        <v>2918</v>
      </c>
      <c r="O886" t="s">
        <v>16207</v>
      </c>
      <c r="P886" t="s">
        <v>2941</v>
      </c>
      <c r="Q886" t="s">
        <v>2924</v>
      </c>
      <c r="R886" t="s">
        <v>3219</v>
      </c>
      <c r="S886" t="s">
        <v>2208</v>
      </c>
      <c r="T886" t="s">
        <v>2208</v>
      </c>
    </row>
    <row r="887" spans="1:20">
      <c r="A887" t="s">
        <v>2239</v>
      </c>
      <c r="B887" t="s">
        <v>11331</v>
      </c>
      <c r="C887">
        <v>45762</v>
      </c>
      <c r="D887" t="s">
        <v>7263</v>
      </c>
      <c r="E887" t="s">
        <v>11332</v>
      </c>
      <c r="F887">
        <v>45775</v>
      </c>
      <c r="G887" t="s">
        <v>12325</v>
      </c>
      <c r="H887" t="s">
        <v>2916</v>
      </c>
      <c r="I887" t="s">
        <v>16208</v>
      </c>
      <c r="J887">
        <v>0</v>
      </c>
      <c r="K887">
        <v>-469.03</v>
      </c>
      <c r="L887" t="s">
        <v>2917</v>
      </c>
      <c r="M887">
        <v>-2701</v>
      </c>
      <c r="N887" t="s">
        <v>2918</v>
      </c>
      <c r="O887" t="s">
        <v>16209</v>
      </c>
      <c r="P887" t="s">
        <v>2923</v>
      </c>
      <c r="Q887" t="s">
        <v>2924</v>
      </c>
      <c r="R887" t="s">
        <v>3219</v>
      </c>
      <c r="S887" t="s">
        <v>2208</v>
      </c>
      <c r="T887" t="s">
        <v>2208</v>
      </c>
    </row>
    <row r="888" spans="1:20">
      <c r="A888" t="s">
        <v>2239</v>
      </c>
      <c r="B888" t="s">
        <v>11331</v>
      </c>
      <c r="C888">
        <v>45764</v>
      </c>
      <c r="D888" t="s">
        <v>7263</v>
      </c>
      <c r="E888" t="s">
        <v>11332</v>
      </c>
      <c r="F888">
        <v>45775</v>
      </c>
      <c r="G888" t="s">
        <v>3940</v>
      </c>
      <c r="H888" t="s">
        <v>2916</v>
      </c>
      <c r="I888" t="s">
        <v>16210</v>
      </c>
      <c r="J888">
        <v>0</v>
      </c>
      <c r="K888">
        <v>-1900.19</v>
      </c>
      <c r="L888" t="s">
        <v>2917</v>
      </c>
      <c r="M888">
        <v>-10942.64</v>
      </c>
      <c r="N888" t="s">
        <v>2918</v>
      </c>
      <c r="O888" t="s">
        <v>16211</v>
      </c>
      <c r="P888" t="s">
        <v>2923</v>
      </c>
      <c r="Q888" t="s">
        <v>2924</v>
      </c>
      <c r="R888" t="s">
        <v>3219</v>
      </c>
      <c r="S888" t="s">
        <v>2208</v>
      </c>
      <c r="T888" t="s">
        <v>2208</v>
      </c>
    </row>
    <row r="889" spans="1:20">
      <c r="A889" t="s">
        <v>2239</v>
      </c>
      <c r="B889" t="s">
        <v>11331</v>
      </c>
      <c r="C889">
        <v>45764</v>
      </c>
      <c r="D889" t="s">
        <v>7263</v>
      </c>
      <c r="E889" t="s">
        <v>11332</v>
      </c>
      <c r="F889">
        <v>45775</v>
      </c>
      <c r="G889" t="s">
        <v>3940</v>
      </c>
      <c r="H889" t="s">
        <v>2916</v>
      </c>
      <c r="I889" t="s">
        <v>16212</v>
      </c>
      <c r="J889">
        <v>0</v>
      </c>
      <c r="K889">
        <v>-1191.25</v>
      </c>
      <c r="L889" t="s">
        <v>2917</v>
      </c>
      <c r="M889">
        <v>-6860.04</v>
      </c>
      <c r="N889" t="s">
        <v>2918</v>
      </c>
      <c r="O889" t="s">
        <v>16213</v>
      </c>
      <c r="P889" t="s">
        <v>2923</v>
      </c>
      <c r="Q889" t="s">
        <v>2924</v>
      </c>
      <c r="R889" t="s">
        <v>3219</v>
      </c>
      <c r="S889" t="s">
        <v>2208</v>
      </c>
      <c r="T889" t="s">
        <v>2208</v>
      </c>
    </row>
    <row r="890" spans="1:20">
      <c r="A890" t="s">
        <v>2239</v>
      </c>
      <c r="B890" t="s">
        <v>11331</v>
      </c>
      <c r="C890">
        <v>45764</v>
      </c>
      <c r="D890" t="s">
        <v>7263</v>
      </c>
      <c r="E890" t="s">
        <v>11332</v>
      </c>
      <c r="F890">
        <v>45775</v>
      </c>
      <c r="G890" t="s">
        <v>3940</v>
      </c>
      <c r="H890" t="s">
        <v>2916</v>
      </c>
      <c r="I890" t="s">
        <v>16214</v>
      </c>
      <c r="J890">
        <v>0</v>
      </c>
      <c r="K890">
        <v>-2968.7</v>
      </c>
      <c r="L890" t="s">
        <v>2917</v>
      </c>
      <c r="M890">
        <v>-17095.91</v>
      </c>
      <c r="N890" t="s">
        <v>2918</v>
      </c>
      <c r="O890" t="s">
        <v>16215</v>
      </c>
      <c r="P890" t="s">
        <v>2923</v>
      </c>
      <c r="Q890" t="s">
        <v>2924</v>
      </c>
      <c r="R890" t="s">
        <v>3219</v>
      </c>
      <c r="S890" t="s">
        <v>2208</v>
      </c>
      <c r="T890" t="s">
        <v>2208</v>
      </c>
    </row>
    <row r="891" spans="1:20">
      <c r="A891" t="s">
        <v>2239</v>
      </c>
      <c r="B891" t="s">
        <v>11331</v>
      </c>
      <c r="C891">
        <v>45770</v>
      </c>
      <c r="D891" t="s">
        <v>7263</v>
      </c>
      <c r="E891" t="s">
        <v>11332</v>
      </c>
      <c r="F891">
        <v>45775</v>
      </c>
      <c r="G891" t="s">
        <v>15894</v>
      </c>
      <c r="H891" t="s">
        <v>2916</v>
      </c>
      <c r="I891" t="s">
        <v>16216</v>
      </c>
      <c r="J891">
        <v>0</v>
      </c>
      <c r="K891">
        <v>-347.85</v>
      </c>
      <c r="L891" t="s">
        <v>2917</v>
      </c>
      <c r="M891">
        <v>-2003.17</v>
      </c>
      <c r="N891" t="s">
        <v>2918</v>
      </c>
      <c r="O891" t="s">
        <v>16217</v>
      </c>
      <c r="P891" t="s">
        <v>2923</v>
      </c>
      <c r="Q891" t="s">
        <v>2924</v>
      </c>
      <c r="R891" t="s">
        <v>3219</v>
      </c>
      <c r="S891" t="s">
        <v>2208</v>
      </c>
      <c r="T891" t="s">
        <v>2208</v>
      </c>
    </row>
    <row r="892" spans="1:20">
      <c r="A892" t="s">
        <v>2239</v>
      </c>
      <c r="B892" t="s">
        <v>11331</v>
      </c>
      <c r="C892">
        <v>45562</v>
      </c>
      <c r="D892" t="s">
        <v>7263</v>
      </c>
      <c r="E892" t="s">
        <v>11332</v>
      </c>
      <c r="F892">
        <v>45775</v>
      </c>
      <c r="G892" t="s">
        <v>7601</v>
      </c>
      <c r="H892" t="s">
        <v>2916</v>
      </c>
      <c r="I892" t="s">
        <v>16218</v>
      </c>
      <c r="J892">
        <v>-9483.2900000000009</v>
      </c>
      <c r="K892">
        <v>-1645.54</v>
      </c>
      <c r="L892" t="s">
        <v>2917</v>
      </c>
      <c r="M892">
        <v>-9483.2900000000009</v>
      </c>
      <c r="N892" t="s">
        <v>2918</v>
      </c>
      <c r="O892" t="s">
        <v>2939</v>
      </c>
      <c r="P892" t="s">
        <v>2939</v>
      </c>
      <c r="Q892" t="s">
        <v>2924</v>
      </c>
      <c r="R892" t="s">
        <v>3219</v>
      </c>
      <c r="S892" t="s">
        <v>2208</v>
      </c>
      <c r="T892" t="s">
        <v>2208</v>
      </c>
    </row>
    <row r="893" spans="1:20">
      <c r="A893" t="s">
        <v>2239</v>
      </c>
      <c r="B893" t="s">
        <v>11331</v>
      </c>
      <c r="C893">
        <v>45621</v>
      </c>
      <c r="D893" t="s">
        <v>7263</v>
      </c>
      <c r="E893" t="s">
        <v>11332</v>
      </c>
      <c r="F893">
        <v>45775</v>
      </c>
      <c r="G893" t="s">
        <v>7601</v>
      </c>
      <c r="H893" t="s">
        <v>2916</v>
      </c>
      <c r="I893" t="s">
        <v>16219</v>
      </c>
      <c r="J893">
        <v>0</v>
      </c>
      <c r="K893">
        <v>-152.32</v>
      </c>
      <c r="L893" t="s">
        <v>2917</v>
      </c>
      <c r="M893">
        <v>-877.2</v>
      </c>
      <c r="N893" t="s">
        <v>2918</v>
      </c>
      <c r="O893" t="s">
        <v>16220</v>
      </c>
      <c r="P893" t="s">
        <v>2939</v>
      </c>
      <c r="Q893" t="s">
        <v>2924</v>
      </c>
      <c r="R893" t="s">
        <v>3219</v>
      </c>
      <c r="S893" t="s">
        <v>2208</v>
      </c>
      <c r="T893" t="s">
        <v>2208</v>
      </c>
    </row>
    <row r="894" spans="1:20">
      <c r="A894" t="s">
        <v>2239</v>
      </c>
      <c r="B894" t="s">
        <v>11331</v>
      </c>
      <c r="C894">
        <v>45770</v>
      </c>
      <c r="D894" t="s">
        <v>7263</v>
      </c>
      <c r="E894" t="s">
        <v>11332</v>
      </c>
      <c r="F894">
        <v>45775</v>
      </c>
      <c r="G894" t="s">
        <v>7594</v>
      </c>
      <c r="H894" t="s">
        <v>2916</v>
      </c>
      <c r="I894" t="s">
        <v>16221</v>
      </c>
      <c r="J894">
        <v>0</v>
      </c>
      <c r="K894">
        <v>-9199.9500000000007</v>
      </c>
      <c r="L894" t="s">
        <v>2917</v>
      </c>
      <c r="M894">
        <v>-52979.839999999997</v>
      </c>
      <c r="N894" t="s">
        <v>2918</v>
      </c>
      <c r="O894" t="s">
        <v>16222</v>
      </c>
      <c r="P894" t="s">
        <v>2940</v>
      </c>
      <c r="Q894" t="s">
        <v>2924</v>
      </c>
      <c r="R894" t="s">
        <v>3219</v>
      </c>
      <c r="S894" t="s">
        <v>2208</v>
      </c>
      <c r="T894" t="s">
        <v>2208</v>
      </c>
    </row>
    <row r="895" spans="1:20">
      <c r="A895" t="s">
        <v>2239</v>
      </c>
      <c r="B895" t="s">
        <v>11331</v>
      </c>
      <c r="C895">
        <v>45770</v>
      </c>
      <c r="D895" t="s">
        <v>7263</v>
      </c>
      <c r="E895" t="s">
        <v>11332</v>
      </c>
      <c r="F895">
        <v>45775</v>
      </c>
      <c r="G895" t="s">
        <v>7594</v>
      </c>
      <c r="H895" t="s">
        <v>2916</v>
      </c>
      <c r="I895" t="s">
        <v>16223</v>
      </c>
      <c r="J895">
        <v>0</v>
      </c>
      <c r="K895">
        <v>9199.9500000000007</v>
      </c>
      <c r="L895" t="s">
        <v>2917</v>
      </c>
      <c r="M895">
        <v>52979.839999999997</v>
      </c>
      <c r="N895" t="s">
        <v>2918</v>
      </c>
      <c r="O895" t="s">
        <v>16222</v>
      </c>
      <c r="P895" t="s">
        <v>2940</v>
      </c>
      <c r="Q895" t="s">
        <v>2924</v>
      </c>
      <c r="R895" t="s">
        <v>3219</v>
      </c>
      <c r="S895" t="s">
        <v>2208</v>
      </c>
      <c r="T895" t="s">
        <v>2208</v>
      </c>
    </row>
    <row r="896" spans="1:20">
      <c r="A896" t="s">
        <v>2239</v>
      </c>
      <c r="B896" t="s">
        <v>11331</v>
      </c>
      <c r="C896">
        <v>45770</v>
      </c>
      <c r="D896" t="s">
        <v>7263</v>
      </c>
      <c r="E896" t="s">
        <v>11332</v>
      </c>
      <c r="F896">
        <v>45775</v>
      </c>
      <c r="G896" t="s">
        <v>7594</v>
      </c>
      <c r="H896" t="s">
        <v>2916</v>
      </c>
      <c r="I896" t="s">
        <v>16224</v>
      </c>
      <c r="J896">
        <v>0</v>
      </c>
      <c r="K896">
        <v>-9199.9500000000007</v>
      </c>
      <c r="L896" t="s">
        <v>2917</v>
      </c>
      <c r="M896">
        <v>-52979.839999999997</v>
      </c>
      <c r="N896" t="s">
        <v>2918</v>
      </c>
      <c r="O896" t="s">
        <v>16222</v>
      </c>
      <c r="P896" t="s">
        <v>2940</v>
      </c>
      <c r="Q896" t="s">
        <v>2924</v>
      </c>
      <c r="R896" t="s">
        <v>3219</v>
      </c>
      <c r="S896" t="s">
        <v>2208</v>
      </c>
      <c r="T896" t="s">
        <v>2208</v>
      </c>
    </row>
    <row r="897" spans="1:20">
      <c r="A897" t="s">
        <v>2239</v>
      </c>
      <c r="B897" t="s">
        <v>11331</v>
      </c>
      <c r="C897">
        <v>45770</v>
      </c>
      <c r="D897" t="s">
        <v>7263</v>
      </c>
      <c r="E897" t="s">
        <v>11332</v>
      </c>
      <c r="F897">
        <v>45775</v>
      </c>
      <c r="G897" t="s">
        <v>7594</v>
      </c>
      <c r="H897" t="s">
        <v>2916</v>
      </c>
      <c r="I897" t="s">
        <v>16225</v>
      </c>
      <c r="J897">
        <v>0</v>
      </c>
      <c r="K897">
        <v>-840.94</v>
      </c>
      <c r="L897" t="s">
        <v>2917</v>
      </c>
      <c r="M897">
        <v>-4842.68</v>
      </c>
      <c r="N897" t="s">
        <v>2918</v>
      </c>
      <c r="O897" t="s">
        <v>16226</v>
      </c>
      <c r="P897" t="s">
        <v>2940</v>
      </c>
      <c r="Q897" t="s">
        <v>2924</v>
      </c>
      <c r="R897" t="s">
        <v>3219</v>
      </c>
      <c r="S897" t="s">
        <v>2208</v>
      </c>
      <c r="T897" t="s">
        <v>2208</v>
      </c>
    </row>
    <row r="898" spans="1:20">
      <c r="A898" t="s">
        <v>2239</v>
      </c>
      <c r="B898" t="s">
        <v>11331</v>
      </c>
      <c r="C898">
        <v>45770</v>
      </c>
      <c r="D898" t="s">
        <v>7263</v>
      </c>
      <c r="E898" t="s">
        <v>11332</v>
      </c>
      <c r="F898">
        <v>45775</v>
      </c>
      <c r="G898" t="s">
        <v>7594</v>
      </c>
      <c r="H898" t="s">
        <v>2916</v>
      </c>
      <c r="I898" t="s">
        <v>16227</v>
      </c>
      <c r="J898">
        <v>0</v>
      </c>
      <c r="K898">
        <v>-1263.73</v>
      </c>
      <c r="L898" t="s">
        <v>2917</v>
      </c>
      <c r="M898">
        <v>-7277.45</v>
      </c>
      <c r="N898" t="s">
        <v>2918</v>
      </c>
      <c r="O898" t="s">
        <v>16228</v>
      </c>
      <c r="P898" t="s">
        <v>2940</v>
      </c>
      <c r="Q898" t="s">
        <v>2924</v>
      </c>
      <c r="R898" t="s">
        <v>3219</v>
      </c>
      <c r="S898" t="s">
        <v>2208</v>
      </c>
      <c r="T898" t="s">
        <v>2208</v>
      </c>
    </row>
    <row r="899" spans="1:20">
      <c r="A899" t="s">
        <v>2239</v>
      </c>
      <c r="B899" t="s">
        <v>11331</v>
      </c>
      <c r="C899">
        <v>45770</v>
      </c>
      <c r="D899" t="s">
        <v>7263</v>
      </c>
      <c r="E899" t="s">
        <v>11332</v>
      </c>
      <c r="F899">
        <v>45775</v>
      </c>
      <c r="G899" t="s">
        <v>7594</v>
      </c>
      <c r="H899" t="s">
        <v>2916</v>
      </c>
      <c r="I899" t="s">
        <v>16229</v>
      </c>
      <c r="J899">
        <v>0</v>
      </c>
      <c r="K899">
        <v>-133.62</v>
      </c>
      <c r="L899" t="s">
        <v>2917</v>
      </c>
      <c r="M899">
        <v>-769.48</v>
      </c>
      <c r="N899" t="s">
        <v>2918</v>
      </c>
      <c r="O899" t="s">
        <v>16230</v>
      </c>
      <c r="P899" t="s">
        <v>2940</v>
      </c>
      <c r="Q899" t="s">
        <v>2924</v>
      </c>
      <c r="R899" t="s">
        <v>3219</v>
      </c>
      <c r="S899" t="s">
        <v>2208</v>
      </c>
      <c r="T899" t="s">
        <v>2208</v>
      </c>
    </row>
    <row r="900" spans="1:20">
      <c r="A900" t="s">
        <v>2239</v>
      </c>
      <c r="B900" t="s">
        <v>11331</v>
      </c>
      <c r="C900">
        <v>45777</v>
      </c>
      <c r="D900" t="s">
        <v>7263</v>
      </c>
      <c r="E900" t="s">
        <v>11332</v>
      </c>
      <c r="F900">
        <v>45777</v>
      </c>
      <c r="G900" t="s">
        <v>2208</v>
      </c>
      <c r="H900" t="s">
        <v>2916</v>
      </c>
      <c r="I900" t="s">
        <v>16375</v>
      </c>
      <c r="J900">
        <v>0</v>
      </c>
      <c r="K900">
        <v>-911.78</v>
      </c>
      <c r="L900" t="s">
        <v>2917</v>
      </c>
      <c r="M900">
        <v>0</v>
      </c>
      <c r="N900" t="s">
        <v>2918</v>
      </c>
      <c r="O900" t="s">
        <v>2919</v>
      </c>
      <c r="P900" t="s">
        <v>2208</v>
      </c>
      <c r="Q900" t="s">
        <v>2916</v>
      </c>
      <c r="R900" t="s">
        <v>3220</v>
      </c>
      <c r="S900" t="s">
        <v>2208</v>
      </c>
      <c r="T900" t="s">
        <v>2208</v>
      </c>
    </row>
    <row r="901" spans="1:20">
      <c r="A901" t="s">
        <v>2239</v>
      </c>
      <c r="B901" t="s">
        <v>11331</v>
      </c>
      <c r="C901">
        <v>45777</v>
      </c>
      <c r="D901" t="s">
        <v>7263</v>
      </c>
      <c r="E901" t="s">
        <v>11332</v>
      </c>
      <c r="F901">
        <v>45777</v>
      </c>
      <c r="G901" t="s">
        <v>2208</v>
      </c>
      <c r="H901" t="s">
        <v>2916</v>
      </c>
      <c r="I901" t="s">
        <v>16376</v>
      </c>
      <c r="J901">
        <v>0</v>
      </c>
      <c r="K901">
        <v>0.05</v>
      </c>
      <c r="L901" t="s">
        <v>2917</v>
      </c>
      <c r="M901">
        <v>0</v>
      </c>
      <c r="N901" t="s">
        <v>2918</v>
      </c>
      <c r="O901" t="s">
        <v>2919</v>
      </c>
      <c r="P901" t="s">
        <v>2208</v>
      </c>
      <c r="Q901" t="s">
        <v>2916</v>
      </c>
      <c r="R901" t="s">
        <v>3220</v>
      </c>
      <c r="S901" t="s">
        <v>2208</v>
      </c>
      <c r="T901" t="s">
        <v>2208</v>
      </c>
    </row>
    <row r="902" spans="1:20">
      <c r="A902" t="s">
        <v>2239</v>
      </c>
      <c r="B902" t="s">
        <v>11331</v>
      </c>
      <c r="C902">
        <v>45777</v>
      </c>
      <c r="D902" t="s">
        <v>7263</v>
      </c>
      <c r="E902" t="s">
        <v>11332</v>
      </c>
      <c r="F902">
        <v>45777</v>
      </c>
      <c r="G902" t="s">
        <v>2208</v>
      </c>
      <c r="H902" t="s">
        <v>2916</v>
      </c>
      <c r="I902" t="s">
        <v>16377</v>
      </c>
      <c r="J902">
        <v>0</v>
      </c>
      <c r="K902">
        <v>-0.01</v>
      </c>
      <c r="L902" t="s">
        <v>2917</v>
      </c>
      <c r="M902">
        <v>0</v>
      </c>
      <c r="N902" t="s">
        <v>2918</v>
      </c>
      <c r="O902" t="s">
        <v>2919</v>
      </c>
      <c r="P902" t="s">
        <v>2208</v>
      </c>
      <c r="Q902" t="s">
        <v>2916</v>
      </c>
      <c r="R902" t="s">
        <v>3220</v>
      </c>
      <c r="S902" t="s">
        <v>2208</v>
      </c>
      <c r="T902" t="s">
        <v>2208</v>
      </c>
    </row>
    <row r="903" spans="1:20">
      <c r="A903" t="s">
        <v>2239</v>
      </c>
      <c r="B903" t="s">
        <v>16360</v>
      </c>
      <c r="C903">
        <v>45777</v>
      </c>
      <c r="D903" t="s">
        <v>7263</v>
      </c>
      <c r="E903" t="s">
        <v>16361</v>
      </c>
      <c r="F903">
        <v>45779</v>
      </c>
      <c r="G903" t="s">
        <v>16378</v>
      </c>
      <c r="H903" t="s">
        <v>2916</v>
      </c>
      <c r="I903" t="s">
        <v>16379</v>
      </c>
      <c r="J903">
        <v>1</v>
      </c>
      <c r="K903">
        <v>252.82</v>
      </c>
      <c r="L903" t="s">
        <v>2917</v>
      </c>
      <c r="M903">
        <v>1424.35</v>
      </c>
      <c r="N903" t="s">
        <v>2918</v>
      </c>
      <c r="O903" t="s">
        <v>16380</v>
      </c>
      <c r="P903" t="s">
        <v>16381</v>
      </c>
      <c r="Q903" t="s">
        <v>2924</v>
      </c>
      <c r="R903" t="s">
        <v>3219</v>
      </c>
      <c r="S903" t="s">
        <v>16382</v>
      </c>
      <c r="T903" t="s">
        <v>16383</v>
      </c>
    </row>
    <row r="904" spans="1:20">
      <c r="A904" t="s">
        <v>2239</v>
      </c>
      <c r="B904" t="s">
        <v>16360</v>
      </c>
      <c r="C904">
        <v>45777</v>
      </c>
      <c r="D904" t="s">
        <v>7263</v>
      </c>
      <c r="E904" t="s">
        <v>16361</v>
      </c>
      <c r="F904">
        <v>45779</v>
      </c>
      <c r="G904" t="s">
        <v>16378</v>
      </c>
      <c r="H904" t="s">
        <v>2916</v>
      </c>
      <c r="I904" t="s">
        <v>16384</v>
      </c>
      <c r="J904">
        <v>0</v>
      </c>
      <c r="K904">
        <v>-64.680000000000007</v>
      </c>
      <c r="L904" t="s">
        <v>2917</v>
      </c>
      <c r="M904">
        <v>-364.42</v>
      </c>
      <c r="N904" t="s">
        <v>2918</v>
      </c>
      <c r="O904" t="s">
        <v>16385</v>
      </c>
      <c r="P904" t="s">
        <v>16381</v>
      </c>
      <c r="Q904" t="s">
        <v>2924</v>
      </c>
      <c r="R904" t="s">
        <v>3219</v>
      </c>
      <c r="S904" t="s">
        <v>16382</v>
      </c>
      <c r="T904" t="s">
        <v>16383</v>
      </c>
    </row>
    <row r="905" spans="1:20">
      <c r="A905" t="s">
        <v>2239</v>
      </c>
      <c r="B905" t="s">
        <v>16360</v>
      </c>
      <c r="C905">
        <v>45772</v>
      </c>
      <c r="D905" t="s">
        <v>7263</v>
      </c>
      <c r="E905" t="s">
        <v>16361</v>
      </c>
      <c r="F905">
        <v>45779</v>
      </c>
      <c r="G905" t="s">
        <v>16386</v>
      </c>
      <c r="H905" t="s">
        <v>2916</v>
      </c>
      <c r="I905" t="s">
        <v>16387</v>
      </c>
      <c r="J905">
        <v>350</v>
      </c>
      <c r="K905">
        <v>4998.58</v>
      </c>
      <c r="L905" t="s">
        <v>2917</v>
      </c>
      <c r="M905">
        <v>28161</v>
      </c>
      <c r="N905" t="s">
        <v>2918</v>
      </c>
      <c r="O905" t="s">
        <v>16388</v>
      </c>
      <c r="P905" t="s">
        <v>16389</v>
      </c>
      <c r="Q905" t="s">
        <v>2924</v>
      </c>
      <c r="R905" t="s">
        <v>3219</v>
      </c>
      <c r="S905" t="s">
        <v>16390</v>
      </c>
      <c r="T905" t="s">
        <v>16391</v>
      </c>
    </row>
    <row r="906" spans="1:20">
      <c r="A906" t="s">
        <v>2239</v>
      </c>
      <c r="B906" t="s">
        <v>16360</v>
      </c>
      <c r="C906">
        <v>45772</v>
      </c>
      <c r="D906" t="s">
        <v>7263</v>
      </c>
      <c r="E906" t="s">
        <v>16361</v>
      </c>
      <c r="F906">
        <v>45779</v>
      </c>
      <c r="G906" t="s">
        <v>16386</v>
      </c>
      <c r="H906" t="s">
        <v>2916</v>
      </c>
      <c r="I906" t="s">
        <v>16392</v>
      </c>
      <c r="J906">
        <v>0</v>
      </c>
      <c r="K906">
        <v>-1278.8900000000001</v>
      </c>
      <c r="L906" t="s">
        <v>2917</v>
      </c>
      <c r="M906">
        <v>-7204.99</v>
      </c>
      <c r="N906" t="s">
        <v>2918</v>
      </c>
      <c r="O906" t="s">
        <v>16393</v>
      </c>
      <c r="P906" t="s">
        <v>16389</v>
      </c>
      <c r="Q906" t="s">
        <v>2924</v>
      </c>
      <c r="R906" t="s">
        <v>3219</v>
      </c>
      <c r="S906" t="s">
        <v>16390</v>
      </c>
      <c r="T906" t="s">
        <v>16391</v>
      </c>
    </row>
    <row r="907" spans="1:20">
      <c r="A907" t="s">
        <v>2239</v>
      </c>
      <c r="B907" t="s">
        <v>16360</v>
      </c>
      <c r="C907">
        <v>45777</v>
      </c>
      <c r="D907" t="s">
        <v>7263</v>
      </c>
      <c r="E907" t="s">
        <v>16361</v>
      </c>
      <c r="F907">
        <v>45779</v>
      </c>
      <c r="G907" t="s">
        <v>16386</v>
      </c>
      <c r="H907" t="s">
        <v>2916</v>
      </c>
      <c r="I907" t="s">
        <v>16394</v>
      </c>
      <c r="J907">
        <v>11</v>
      </c>
      <c r="K907">
        <v>157.1</v>
      </c>
      <c r="L907" t="s">
        <v>2917</v>
      </c>
      <c r="M907">
        <v>885.06</v>
      </c>
      <c r="N907" t="s">
        <v>2918</v>
      </c>
      <c r="O907" t="s">
        <v>16395</v>
      </c>
      <c r="P907" t="s">
        <v>16396</v>
      </c>
      <c r="Q907" t="s">
        <v>2924</v>
      </c>
      <c r="R907" t="s">
        <v>3219</v>
      </c>
      <c r="S907" t="s">
        <v>16397</v>
      </c>
      <c r="T907" t="s">
        <v>16398</v>
      </c>
    </row>
    <row r="908" spans="1:20">
      <c r="A908" t="s">
        <v>2239</v>
      </c>
      <c r="B908" t="s">
        <v>16360</v>
      </c>
      <c r="C908">
        <v>45777</v>
      </c>
      <c r="D908" t="s">
        <v>7263</v>
      </c>
      <c r="E908" t="s">
        <v>16361</v>
      </c>
      <c r="F908">
        <v>45779</v>
      </c>
      <c r="G908" t="s">
        <v>16386</v>
      </c>
      <c r="H908" t="s">
        <v>2916</v>
      </c>
      <c r="I908" t="s">
        <v>16399</v>
      </c>
      <c r="J908">
        <v>0</v>
      </c>
      <c r="K908">
        <v>-40.19</v>
      </c>
      <c r="L908" t="s">
        <v>2917</v>
      </c>
      <c r="M908">
        <v>-226.44</v>
      </c>
      <c r="N908" t="s">
        <v>2918</v>
      </c>
      <c r="O908" t="s">
        <v>16400</v>
      </c>
      <c r="P908" t="s">
        <v>16396</v>
      </c>
      <c r="Q908" t="s">
        <v>2924</v>
      </c>
      <c r="R908" t="s">
        <v>3219</v>
      </c>
      <c r="S908" t="s">
        <v>16397</v>
      </c>
      <c r="T908" t="s">
        <v>16398</v>
      </c>
    </row>
    <row r="909" spans="1:20">
      <c r="A909" t="s">
        <v>2239</v>
      </c>
      <c r="B909" t="s">
        <v>16360</v>
      </c>
      <c r="C909">
        <v>45782</v>
      </c>
      <c r="D909" t="s">
        <v>7263</v>
      </c>
      <c r="E909" t="s">
        <v>16361</v>
      </c>
      <c r="F909">
        <v>45782</v>
      </c>
      <c r="G909" t="s">
        <v>16401</v>
      </c>
      <c r="H909" t="s">
        <v>2916</v>
      </c>
      <c r="I909" t="s">
        <v>16402</v>
      </c>
      <c r="J909">
        <v>120</v>
      </c>
      <c r="K909">
        <v>1725.3</v>
      </c>
      <c r="L909" t="s">
        <v>2917</v>
      </c>
      <c r="M909">
        <v>9720</v>
      </c>
      <c r="N909" t="s">
        <v>2918</v>
      </c>
      <c r="O909" t="s">
        <v>16403</v>
      </c>
      <c r="P909" t="s">
        <v>16396</v>
      </c>
      <c r="Q909" t="s">
        <v>2924</v>
      </c>
      <c r="R909" t="s">
        <v>3219</v>
      </c>
      <c r="S909" t="s">
        <v>16397</v>
      </c>
      <c r="T909" t="s">
        <v>16398</v>
      </c>
    </row>
    <row r="910" spans="1:20">
      <c r="A910" t="s">
        <v>2239</v>
      </c>
      <c r="B910" t="s">
        <v>16360</v>
      </c>
      <c r="C910">
        <v>45782</v>
      </c>
      <c r="D910" t="s">
        <v>7263</v>
      </c>
      <c r="E910" t="s">
        <v>16361</v>
      </c>
      <c r="F910">
        <v>45782</v>
      </c>
      <c r="G910" t="s">
        <v>16401</v>
      </c>
      <c r="H910" t="s">
        <v>2916</v>
      </c>
      <c r="I910" t="s">
        <v>16404</v>
      </c>
      <c r="J910">
        <v>0</v>
      </c>
      <c r="K910">
        <v>-130.86000000000001</v>
      </c>
      <c r="L910" t="s">
        <v>2917</v>
      </c>
      <c r="M910">
        <v>-737.26</v>
      </c>
      <c r="N910" t="s">
        <v>2918</v>
      </c>
      <c r="O910" t="s">
        <v>16405</v>
      </c>
      <c r="P910" t="s">
        <v>16396</v>
      </c>
      <c r="Q910" t="s">
        <v>2924</v>
      </c>
      <c r="R910" t="s">
        <v>3219</v>
      </c>
      <c r="S910" t="s">
        <v>16397</v>
      </c>
      <c r="T910" t="s">
        <v>16398</v>
      </c>
    </row>
    <row r="911" spans="1:20">
      <c r="A911" t="s">
        <v>2239</v>
      </c>
      <c r="B911" t="s">
        <v>16360</v>
      </c>
      <c r="C911">
        <v>45411</v>
      </c>
      <c r="D911" t="s">
        <v>7263</v>
      </c>
      <c r="E911" t="s">
        <v>16361</v>
      </c>
      <c r="F911">
        <v>45784</v>
      </c>
      <c r="G911" t="s">
        <v>16970</v>
      </c>
      <c r="H911" t="s">
        <v>2916</v>
      </c>
      <c r="I911" t="s">
        <v>16971</v>
      </c>
      <c r="J911">
        <v>149989.51999999999</v>
      </c>
      <c r="K911">
        <v>26623.14</v>
      </c>
      <c r="L911" t="s">
        <v>2917</v>
      </c>
      <c r="M911">
        <v>149989.51999999999</v>
      </c>
      <c r="N911" t="s">
        <v>2918</v>
      </c>
      <c r="O911" t="s">
        <v>11179</v>
      </c>
      <c r="P911" t="s">
        <v>11179</v>
      </c>
      <c r="Q911" t="s">
        <v>2924</v>
      </c>
      <c r="R911" t="s">
        <v>3219</v>
      </c>
      <c r="S911" t="s">
        <v>2208</v>
      </c>
      <c r="T911" t="s">
        <v>2208</v>
      </c>
    </row>
    <row r="912" spans="1:20">
      <c r="A912" t="s">
        <v>2239</v>
      </c>
      <c r="B912" t="s">
        <v>16360</v>
      </c>
      <c r="C912">
        <v>45796</v>
      </c>
      <c r="D912" t="s">
        <v>7263</v>
      </c>
      <c r="E912" t="s">
        <v>16361</v>
      </c>
      <c r="F912">
        <v>45797</v>
      </c>
      <c r="G912" t="s">
        <v>16378</v>
      </c>
      <c r="H912" t="s">
        <v>2916</v>
      </c>
      <c r="I912" t="s">
        <v>17271</v>
      </c>
      <c r="J912">
        <v>2</v>
      </c>
      <c r="K912">
        <v>505.65</v>
      </c>
      <c r="L912" t="s">
        <v>2917</v>
      </c>
      <c r="M912">
        <v>2848.71</v>
      </c>
      <c r="N912" t="s">
        <v>2918</v>
      </c>
      <c r="O912" t="s">
        <v>17272</v>
      </c>
      <c r="P912" t="s">
        <v>16381</v>
      </c>
      <c r="Q912" t="s">
        <v>2924</v>
      </c>
      <c r="R912" t="s">
        <v>3219</v>
      </c>
      <c r="S912" t="s">
        <v>16382</v>
      </c>
      <c r="T912" t="s">
        <v>16383</v>
      </c>
    </row>
    <row r="913" spans="1:20">
      <c r="A913" t="s">
        <v>2239</v>
      </c>
      <c r="B913" t="s">
        <v>16360</v>
      </c>
      <c r="C913">
        <v>45796</v>
      </c>
      <c r="D913" t="s">
        <v>7263</v>
      </c>
      <c r="E913" t="s">
        <v>16361</v>
      </c>
      <c r="F913">
        <v>45797</v>
      </c>
      <c r="G913" t="s">
        <v>16378</v>
      </c>
      <c r="H913" t="s">
        <v>2916</v>
      </c>
      <c r="I913" t="s">
        <v>17273</v>
      </c>
      <c r="J913">
        <v>0</v>
      </c>
      <c r="K913">
        <v>-129.37</v>
      </c>
      <c r="L913" t="s">
        <v>2917</v>
      </c>
      <c r="M913">
        <v>-728.85</v>
      </c>
      <c r="N913" t="s">
        <v>2918</v>
      </c>
      <c r="O913" t="s">
        <v>17274</v>
      </c>
      <c r="P913" t="s">
        <v>16381</v>
      </c>
      <c r="Q913" t="s">
        <v>2924</v>
      </c>
      <c r="R913" t="s">
        <v>3219</v>
      </c>
      <c r="S913" t="s">
        <v>16382</v>
      </c>
      <c r="T913" t="s">
        <v>16383</v>
      </c>
    </row>
    <row r="914" spans="1:20">
      <c r="A914" t="s">
        <v>2239</v>
      </c>
      <c r="B914" t="s">
        <v>16360</v>
      </c>
      <c r="C914">
        <v>45796</v>
      </c>
      <c r="D914" t="s">
        <v>7263</v>
      </c>
      <c r="E914" t="s">
        <v>16361</v>
      </c>
      <c r="F914">
        <v>45797</v>
      </c>
      <c r="G914" t="s">
        <v>16386</v>
      </c>
      <c r="H914" t="s">
        <v>2916</v>
      </c>
      <c r="I914" t="s">
        <v>17275</v>
      </c>
      <c r="J914">
        <v>109</v>
      </c>
      <c r="K914">
        <v>1556.7</v>
      </c>
      <c r="L914" t="s">
        <v>2917</v>
      </c>
      <c r="M914">
        <v>8770.14</v>
      </c>
      <c r="N914" t="s">
        <v>2918</v>
      </c>
      <c r="O914" t="s">
        <v>17276</v>
      </c>
      <c r="P914" t="s">
        <v>16396</v>
      </c>
      <c r="Q914" t="s">
        <v>2924</v>
      </c>
      <c r="R914" t="s">
        <v>3219</v>
      </c>
      <c r="S914" t="s">
        <v>16397</v>
      </c>
      <c r="T914" t="s">
        <v>16398</v>
      </c>
    </row>
    <row r="915" spans="1:20">
      <c r="A915" t="s">
        <v>2239</v>
      </c>
      <c r="B915" t="s">
        <v>16360</v>
      </c>
      <c r="C915">
        <v>45796</v>
      </c>
      <c r="D915" t="s">
        <v>7263</v>
      </c>
      <c r="E915" t="s">
        <v>16361</v>
      </c>
      <c r="F915">
        <v>45797</v>
      </c>
      <c r="G915" t="s">
        <v>16386</v>
      </c>
      <c r="H915" t="s">
        <v>2916</v>
      </c>
      <c r="I915" t="s">
        <v>17277</v>
      </c>
      <c r="J915">
        <v>0</v>
      </c>
      <c r="K915">
        <v>-398.28</v>
      </c>
      <c r="L915" t="s">
        <v>2917</v>
      </c>
      <c r="M915">
        <v>-2243.84</v>
      </c>
      <c r="N915" t="s">
        <v>2918</v>
      </c>
      <c r="O915" t="s">
        <v>17278</v>
      </c>
      <c r="P915" t="s">
        <v>16396</v>
      </c>
      <c r="Q915" t="s">
        <v>2924</v>
      </c>
      <c r="R915" t="s">
        <v>3219</v>
      </c>
      <c r="S915" t="s">
        <v>16397</v>
      </c>
      <c r="T915" t="s">
        <v>16398</v>
      </c>
    </row>
    <row r="916" spans="1:20">
      <c r="A916" t="s">
        <v>2239</v>
      </c>
      <c r="B916" t="s">
        <v>16360</v>
      </c>
      <c r="C916">
        <v>45562</v>
      </c>
      <c r="D916" t="s">
        <v>7263</v>
      </c>
      <c r="E916" t="s">
        <v>16361</v>
      </c>
      <c r="F916">
        <v>45798</v>
      </c>
      <c r="G916" t="s">
        <v>7601</v>
      </c>
      <c r="H916" t="s">
        <v>2916</v>
      </c>
      <c r="I916" t="s">
        <v>17300</v>
      </c>
      <c r="J916">
        <v>8880.33</v>
      </c>
      <c r="K916">
        <v>1576.26</v>
      </c>
      <c r="L916" t="s">
        <v>2917</v>
      </c>
      <c r="M916">
        <v>8880.33</v>
      </c>
      <c r="N916" t="s">
        <v>2918</v>
      </c>
      <c r="O916" t="s">
        <v>2939</v>
      </c>
      <c r="P916" t="s">
        <v>2939</v>
      </c>
      <c r="Q916" t="s">
        <v>2924</v>
      </c>
      <c r="R916" t="s">
        <v>3219</v>
      </c>
      <c r="S916" t="s">
        <v>2208</v>
      </c>
      <c r="T916" t="s">
        <v>2208</v>
      </c>
    </row>
    <row r="917" spans="1:20">
      <c r="A917" t="s">
        <v>2239</v>
      </c>
      <c r="B917" t="s">
        <v>16360</v>
      </c>
      <c r="C917">
        <v>45562</v>
      </c>
      <c r="D917" t="s">
        <v>7263</v>
      </c>
      <c r="E917" t="s">
        <v>16361</v>
      </c>
      <c r="F917">
        <v>45798</v>
      </c>
      <c r="G917" t="s">
        <v>7601</v>
      </c>
      <c r="H917" t="s">
        <v>2916</v>
      </c>
      <c r="I917" t="s">
        <v>17301</v>
      </c>
      <c r="J917">
        <v>5294.64</v>
      </c>
      <c r="K917">
        <v>939.8</v>
      </c>
      <c r="L917" t="s">
        <v>2917</v>
      </c>
      <c r="M917">
        <v>5294.64</v>
      </c>
      <c r="N917" t="s">
        <v>2918</v>
      </c>
      <c r="O917" t="s">
        <v>2939</v>
      </c>
      <c r="P917" t="s">
        <v>2939</v>
      </c>
      <c r="Q917" t="s">
        <v>2924</v>
      </c>
      <c r="R917" t="s">
        <v>3219</v>
      </c>
      <c r="S917" t="s">
        <v>2208</v>
      </c>
      <c r="T917" t="s">
        <v>2208</v>
      </c>
    </row>
    <row r="918" spans="1:20">
      <c r="A918" t="s">
        <v>2239</v>
      </c>
      <c r="B918" t="s">
        <v>16360</v>
      </c>
      <c r="C918">
        <v>45562</v>
      </c>
      <c r="D918" t="s">
        <v>7263</v>
      </c>
      <c r="E918" t="s">
        <v>16361</v>
      </c>
      <c r="F918">
        <v>45798</v>
      </c>
      <c r="G918" t="s">
        <v>7601</v>
      </c>
      <c r="H918" t="s">
        <v>2916</v>
      </c>
      <c r="I918" t="s">
        <v>17302</v>
      </c>
      <c r="J918">
        <v>3501.86</v>
      </c>
      <c r="K918">
        <v>621.58000000000004</v>
      </c>
      <c r="L918" t="s">
        <v>2917</v>
      </c>
      <c r="M918">
        <v>3501.86</v>
      </c>
      <c r="N918" t="s">
        <v>2918</v>
      </c>
      <c r="O918" t="s">
        <v>2939</v>
      </c>
      <c r="P918" t="s">
        <v>2939</v>
      </c>
      <c r="Q918" t="s">
        <v>2924</v>
      </c>
      <c r="R918" t="s">
        <v>3219</v>
      </c>
      <c r="S918" t="s">
        <v>2208</v>
      </c>
      <c r="T918" t="s">
        <v>2208</v>
      </c>
    </row>
    <row r="919" spans="1:20">
      <c r="A919" t="s">
        <v>2239</v>
      </c>
      <c r="B919" t="s">
        <v>16360</v>
      </c>
      <c r="C919">
        <v>45562</v>
      </c>
      <c r="D919" t="s">
        <v>7263</v>
      </c>
      <c r="E919" t="s">
        <v>16361</v>
      </c>
      <c r="F919">
        <v>45798</v>
      </c>
      <c r="G919" t="s">
        <v>7601</v>
      </c>
      <c r="H919" t="s">
        <v>2916</v>
      </c>
      <c r="I919" t="s">
        <v>17303</v>
      </c>
      <c r="J919">
        <v>163939.26999999999</v>
      </c>
      <c r="K919">
        <v>29099.22</v>
      </c>
      <c r="L919" t="s">
        <v>2917</v>
      </c>
      <c r="M919">
        <v>163939.26999999999</v>
      </c>
      <c r="N919" t="s">
        <v>2918</v>
      </c>
      <c r="O919" t="s">
        <v>2939</v>
      </c>
      <c r="P919" t="s">
        <v>2939</v>
      </c>
      <c r="Q919" t="s">
        <v>2924</v>
      </c>
      <c r="R919" t="s">
        <v>3219</v>
      </c>
      <c r="S919" t="s">
        <v>2208</v>
      </c>
      <c r="T919" t="s">
        <v>2208</v>
      </c>
    </row>
    <row r="920" spans="1:20">
      <c r="A920" t="s">
        <v>2239</v>
      </c>
      <c r="B920" t="s">
        <v>16360</v>
      </c>
      <c r="C920">
        <v>45562</v>
      </c>
      <c r="D920" t="s">
        <v>7263</v>
      </c>
      <c r="E920" t="s">
        <v>16361</v>
      </c>
      <c r="F920">
        <v>45798</v>
      </c>
      <c r="G920" t="s">
        <v>7601</v>
      </c>
      <c r="H920" t="s">
        <v>2916</v>
      </c>
      <c r="I920" t="s">
        <v>17304</v>
      </c>
      <c r="J920">
        <v>11315.29</v>
      </c>
      <c r="K920">
        <v>2008.46</v>
      </c>
      <c r="L920" t="s">
        <v>2917</v>
      </c>
      <c r="M920">
        <v>11315.29</v>
      </c>
      <c r="N920" t="s">
        <v>2918</v>
      </c>
      <c r="O920" t="s">
        <v>2939</v>
      </c>
      <c r="P920" t="s">
        <v>2939</v>
      </c>
      <c r="Q920" t="s">
        <v>2924</v>
      </c>
      <c r="R920" t="s">
        <v>3219</v>
      </c>
      <c r="S920" t="s">
        <v>2208</v>
      </c>
      <c r="T920" t="s">
        <v>2208</v>
      </c>
    </row>
    <row r="921" spans="1:20">
      <c r="A921" t="s">
        <v>2239</v>
      </c>
      <c r="B921" t="s">
        <v>16360</v>
      </c>
      <c r="C921">
        <v>45562</v>
      </c>
      <c r="D921" t="s">
        <v>7263</v>
      </c>
      <c r="E921" t="s">
        <v>16361</v>
      </c>
      <c r="F921">
        <v>45799</v>
      </c>
      <c r="G921" t="s">
        <v>7601</v>
      </c>
      <c r="H921" t="s">
        <v>2916</v>
      </c>
      <c r="I921" t="s">
        <v>17372</v>
      </c>
      <c r="J921">
        <v>48927.45</v>
      </c>
      <c r="K921">
        <v>8684.6200000000008</v>
      </c>
      <c r="L921" t="s">
        <v>2917</v>
      </c>
      <c r="M921">
        <v>48927.45</v>
      </c>
      <c r="N921" t="s">
        <v>2918</v>
      </c>
      <c r="O921" t="s">
        <v>2939</v>
      </c>
      <c r="P921" t="s">
        <v>2939</v>
      </c>
      <c r="Q921" t="s">
        <v>2924</v>
      </c>
      <c r="R921" t="s">
        <v>3219</v>
      </c>
      <c r="S921" t="s">
        <v>2208</v>
      </c>
      <c r="T921" t="s">
        <v>2208</v>
      </c>
    </row>
    <row r="922" spans="1:20">
      <c r="A922" t="s">
        <v>2239</v>
      </c>
      <c r="B922" t="s">
        <v>16360</v>
      </c>
      <c r="C922">
        <v>45385</v>
      </c>
      <c r="D922" t="s">
        <v>7263</v>
      </c>
      <c r="E922" t="s">
        <v>16361</v>
      </c>
      <c r="F922">
        <v>45799</v>
      </c>
      <c r="G922" t="s">
        <v>6995</v>
      </c>
      <c r="H922" t="s">
        <v>2916</v>
      </c>
      <c r="I922" t="s">
        <v>17373</v>
      </c>
      <c r="J922">
        <v>115731.3</v>
      </c>
      <c r="K922">
        <v>20542.310000000001</v>
      </c>
      <c r="L922" t="s">
        <v>2917</v>
      </c>
      <c r="M922">
        <v>115731.3</v>
      </c>
      <c r="N922" t="s">
        <v>2918</v>
      </c>
      <c r="O922" t="s">
        <v>2940</v>
      </c>
      <c r="P922" t="s">
        <v>2940</v>
      </c>
      <c r="Q922" t="s">
        <v>2924</v>
      </c>
      <c r="R922" t="s">
        <v>3219</v>
      </c>
      <c r="S922" t="s">
        <v>2208</v>
      </c>
      <c r="T922" t="s">
        <v>2208</v>
      </c>
    </row>
    <row r="923" spans="1:20">
      <c r="A923" t="s">
        <v>2239</v>
      </c>
      <c r="B923" t="s">
        <v>16360</v>
      </c>
      <c r="C923">
        <v>45385</v>
      </c>
      <c r="D923" t="s">
        <v>7263</v>
      </c>
      <c r="E923" t="s">
        <v>16361</v>
      </c>
      <c r="F923">
        <v>45799</v>
      </c>
      <c r="G923" t="s">
        <v>6995</v>
      </c>
      <c r="H923" t="s">
        <v>2916</v>
      </c>
      <c r="I923" t="s">
        <v>17374</v>
      </c>
      <c r="J923">
        <v>833.35</v>
      </c>
      <c r="K923">
        <v>147.91999999999999</v>
      </c>
      <c r="L923" t="s">
        <v>2917</v>
      </c>
      <c r="M923">
        <v>833.35</v>
      </c>
      <c r="N923" t="s">
        <v>2918</v>
      </c>
      <c r="O923" t="s">
        <v>2940</v>
      </c>
      <c r="P923" t="s">
        <v>2940</v>
      </c>
      <c r="Q923" t="s">
        <v>2924</v>
      </c>
      <c r="R923" t="s">
        <v>3219</v>
      </c>
      <c r="S923" t="s">
        <v>2208</v>
      </c>
      <c r="T923" t="s">
        <v>2208</v>
      </c>
    </row>
    <row r="924" spans="1:20">
      <c r="A924" t="s">
        <v>2239</v>
      </c>
      <c r="B924" t="s">
        <v>16360</v>
      </c>
      <c r="C924">
        <v>45385</v>
      </c>
      <c r="D924" t="s">
        <v>7263</v>
      </c>
      <c r="E924" t="s">
        <v>16361</v>
      </c>
      <c r="F924">
        <v>45799</v>
      </c>
      <c r="G924" t="s">
        <v>6995</v>
      </c>
      <c r="H924" t="s">
        <v>2916</v>
      </c>
      <c r="I924" t="s">
        <v>17375</v>
      </c>
      <c r="J924">
        <v>7655</v>
      </c>
      <c r="K924">
        <v>1358.76</v>
      </c>
      <c r="L924" t="s">
        <v>2917</v>
      </c>
      <c r="M924">
        <v>7655</v>
      </c>
      <c r="N924" t="s">
        <v>2918</v>
      </c>
      <c r="O924" t="s">
        <v>2940</v>
      </c>
      <c r="P924" t="s">
        <v>2940</v>
      </c>
      <c r="Q924" t="s">
        <v>2924</v>
      </c>
      <c r="R924" t="s">
        <v>3219</v>
      </c>
      <c r="S924" t="s">
        <v>2208</v>
      </c>
      <c r="T924" t="s">
        <v>2208</v>
      </c>
    </row>
    <row r="925" spans="1:20">
      <c r="A925" t="s">
        <v>2239</v>
      </c>
      <c r="B925" t="s">
        <v>16360</v>
      </c>
      <c r="C925">
        <v>45385</v>
      </c>
      <c r="D925" t="s">
        <v>7263</v>
      </c>
      <c r="E925" t="s">
        <v>16361</v>
      </c>
      <c r="F925">
        <v>45799</v>
      </c>
      <c r="G925" t="s">
        <v>6995</v>
      </c>
      <c r="H925" t="s">
        <v>2916</v>
      </c>
      <c r="I925" t="s">
        <v>17376</v>
      </c>
      <c r="J925">
        <v>55720.25</v>
      </c>
      <c r="K925">
        <v>9890.34</v>
      </c>
      <c r="L925" t="s">
        <v>2917</v>
      </c>
      <c r="M925">
        <v>55720.25</v>
      </c>
      <c r="N925" t="s">
        <v>2918</v>
      </c>
      <c r="O925" t="s">
        <v>2940</v>
      </c>
      <c r="P925" t="s">
        <v>2940</v>
      </c>
      <c r="Q925" t="s">
        <v>2924</v>
      </c>
      <c r="R925" t="s">
        <v>3219</v>
      </c>
      <c r="S925" t="s">
        <v>2208</v>
      </c>
      <c r="T925" t="s">
        <v>2208</v>
      </c>
    </row>
    <row r="926" spans="1:20">
      <c r="A926" t="s">
        <v>2239</v>
      </c>
      <c r="B926" t="s">
        <v>16360</v>
      </c>
      <c r="C926">
        <v>45385</v>
      </c>
      <c r="D926" t="s">
        <v>7263</v>
      </c>
      <c r="E926" t="s">
        <v>16361</v>
      </c>
      <c r="F926">
        <v>45799</v>
      </c>
      <c r="G926" t="s">
        <v>6995</v>
      </c>
      <c r="H926" t="s">
        <v>2916</v>
      </c>
      <c r="I926" t="s">
        <v>17377</v>
      </c>
      <c r="J926">
        <v>5838</v>
      </c>
      <c r="K926">
        <v>1036.25</v>
      </c>
      <c r="L926" t="s">
        <v>2917</v>
      </c>
      <c r="M926">
        <v>5838</v>
      </c>
      <c r="N926" t="s">
        <v>2918</v>
      </c>
      <c r="O926" t="s">
        <v>2940</v>
      </c>
      <c r="P926" t="s">
        <v>2940</v>
      </c>
      <c r="Q926" t="s">
        <v>2924</v>
      </c>
      <c r="R926" t="s">
        <v>3219</v>
      </c>
      <c r="S926" t="s">
        <v>2208</v>
      </c>
      <c r="T926" t="s">
        <v>2208</v>
      </c>
    </row>
    <row r="927" spans="1:20">
      <c r="A927" t="s">
        <v>2239</v>
      </c>
      <c r="B927" t="s">
        <v>16360</v>
      </c>
      <c r="C927">
        <v>45385</v>
      </c>
      <c r="D927" t="s">
        <v>7263</v>
      </c>
      <c r="E927" t="s">
        <v>16361</v>
      </c>
      <c r="F927">
        <v>45799</v>
      </c>
      <c r="G927" t="s">
        <v>6995</v>
      </c>
      <c r="H927" t="s">
        <v>2916</v>
      </c>
      <c r="I927" t="s">
        <v>17378</v>
      </c>
      <c r="J927">
        <v>11906</v>
      </c>
      <c r="K927">
        <v>2113.3200000000002</v>
      </c>
      <c r="L927" t="s">
        <v>2917</v>
      </c>
      <c r="M927">
        <v>11906</v>
      </c>
      <c r="N927" t="s">
        <v>2918</v>
      </c>
      <c r="O927" t="s">
        <v>2940</v>
      </c>
      <c r="P927" t="s">
        <v>2940</v>
      </c>
      <c r="Q927" t="s">
        <v>2924</v>
      </c>
      <c r="R927" t="s">
        <v>3219</v>
      </c>
      <c r="S927" t="s">
        <v>2208</v>
      </c>
      <c r="T927" t="s">
        <v>2208</v>
      </c>
    </row>
    <row r="928" spans="1:20">
      <c r="A928" t="s">
        <v>2239</v>
      </c>
      <c r="B928" t="s">
        <v>16360</v>
      </c>
      <c r="C928">
        <v>45428</v>
      </c>
      <c r="D928" t="s">
        <v>7263</v>
      </c>
      <c r="E928" t="s">
        <v>16361</v>
      </c>
      <c r="F928">
        <v>45799</v>
      </c>
      <c r="G928" t="s">
        <v>3940</v>
      </c>
      <c r="H928" t="s">
        <v>2916</v>
      </c>
      <c r="I928" t="s">
        <v>17379</v>
      </c>
      <c r="J928">
        <v>47901.83</v>
      </c>
      <c r="K928">
        <v>8502.57</v>
      </c>
      <c r="L928" t="s">
        <v>2917</v>
      </c>
      <c r="M928">
        <v>47901.83</v>
      </c>
      <c r="N928" t="s">
        <v>2918</v>
      </c>
      <c r="O928" t="s">
        <v>2923</v>
      </c>
      <c r="P928" t="s">
        <v>2923</v>
      </c>
      <c r="Q928" t="s">
        <v>2924</v>
      </c>
      <c r="R928" t="s">
        <v>3219</v>
      </c>
      <c r="S928" t="s">
        <v>2208</v>
      </c>
      <c r="T928" t="s">
        <v>2208</v>
      </c>
    </row>
    <row r="929" spans="1:20">
      <c r="A929" t="s">
        <v>2239</v>
      </c>
      <c r="B929" t="s">
        <v>16360</v>
      </c>
      <c r="C929">
        <v>45428</v>
      </c>
      <c r="D929" t="s">
        <v>7263</v>
      </c>
      <c r="E929" t="s">
        <v>16361</v>
      </c>
      <c r="F929">
        <v>45799</v>
      </c>
      <c r="G929" t="s">
        <v>3940</v>
      </c>
      <c r="H929" t="s">
        <v>2916</v>
      </c>
      <c r="I929" t="s">
        <v>17380</v>
      </c>
      <c r="J929">
        <v>6715.58</v>
      </c>
      <c r="K929">
        <v>1192.02</v>
      </c>
      <c r="L929" t="s">
        <v>2917</v>
      </c>
      <c r="M929">
        <v>6715.58</v>
      </c>
      <c r="N929" t="s">
        <v>2918</v>
      </c>
      <c r="O929" t="s">
        <v>2923</v>
      </c>
      <c r="P929" t="s">
        <v>2923</v>
      </c>
      <c r="Q929" t="s">
        <v>2924</v>
      </c>
      <c r="R929" t="s">
        <v>3219</v>
      </c>
      <c r="S929" t="s">
        <v>2208</v>
      </c>
      <c r="T929" t="s">
        <v>2208</v>
      </c>
    </row>
    <row r="930" spans="1:20">
      <c r="A930" t="s">
        <v>2239</v>
      </c>
      <c r="B930" t="s">
        <v>16360</v>
      </c>
      <c r="C930">
        <v>45428</v>
      </c>
      <c r="D930" t="s">
        <v>7263</v>
      </c>
      <c r="E930" t="s">
        <v>16361</v>
      </c>
      <c r="F930">
        <v>45799</v>
      </c>
      <c r="G930" t="s">
        <v>3940</v>
      </c>
      <c r="H930" t="s">
        <v>2916</v>
      </c>
      <c r="I930" t="s">
        <v>17381</v>
      </c>
      <c r="J930">
        <v>17156.02</v>
      </c>
      <c r="K930">
        <v>3045.19</v>
      </c>
      <c r="L930" t="s">
        <v>2917</v>
      </c>
      <c r="M930">
        <v>17156.02</v>
      </c>
      <c r="N930" t="s">
        <v>2918</v>
      </c>
      <c r="O930" t="s">
        <v>2923</v>
      </c>
      <c r="P930" t="s">
        <v>2923</v>
      </c>
      <c r="Q930" t="s">
        <v>2924</v>
      </c>
      <c r="R930" t="s">
        <v>3219</v>
      </c>
      <c r="S930" t="s">
        <v>2208</v>
      </c>
      <c r="T930" t="s">
        <v>2208</v>
      </c>
    </row>
    <row r="931" spans="1:20">
      <c r="A931" t="s">
        <v>2239</v>
      </c>
      <c r="B931" t="s">
        <v>16360</v>
      </c>
      <c r="C931">
        <v>45428</v>
      </c>
      <c r="D931" t="s">
        <v>7263</v>
      </c>
      <c r="E931" t="s">
        <v>16361</v>
      </c>
      <c r="F931">
        <v>45799</v>
      </c>
      <c r="G931" t="s">
        <v>3940</v>
      </c>
      <c r="H931" t="s">
        <v>2916</v>
      </c>
      <c r="I931" t="s">
        <v>17382</v>
      </c>
      <c r="J931">
        <v>75958.95</v>
      </c>
      <c r="K931">
        <v>13482.71</v>
      </c>
      <c r="L931" t="s">
        <v>2917</v>
      </c>
      <c r="M931">
        <v>75958.95</v>
      </c>
      <c r="N931" t="s">
        <v>2918</v>
      </c>
      <c r="O931" t="s">
        <v>2923</v>
      </c>
      <c r="P931" t="s">
        <v>2923</v>
      </c>
      <c r="Q931" t="s">
        <v>2924</v>
      </c>
      <c r="R931" t="s">
        <v>3219</v>
      </c>
      <c r="S931" t="s">
        <v>2208</v>
      </c>
      <c r="T931" t="s">
        <v>2208</v>
      </c>
    </row>
    <row r="932" spans="1:20">
      <c r="A932" t="s">
        <v>2239</v>
      </c>
      <c r="B932" t="s">
        <v>16360</v>
      </c>
      <c r="C932">
        <v>45428</v>
      </c>
      <c r="D932" t="s">
        <v>7263</v>
      </c>
      <c r="E932" t="s">
        <v>16361</v>
      </c>
      <c r="F932">
        <v>45799</v>
      </c>
      <c r="G932" t="s">
        <v>3940</v>
      </c>
      <c r="H932" t="s">
        <v>2916</v>
      </c>
      <c r="I932" t="s">
        <v>17383</v>
      </c>
      <c r="J932">
        <v>15036.04</v>
      </c>
      <c r="K932">
        <v>2668.9</v>
      </c>
      <c r="L932" t="s">
        <v>2917</v>
      </c>
      <c r="M932">
        <v>15036.04</v>
      </c>
      <c r="N932" t="s">
        <v>2918</v>
      </c>
      <c r="O932" t="s">
        <v>2923</v>
      </c>
      <c r="P932" t="s">
        <v>2923</v>
      </c>
      <c r="Q932" t="s">
        <v>2924</v>
      </c>
      <c r="R932" t="s">
        <v>3219</v>
      </c>
      <c r="S932" t="s">
        <v>2208</v>
      </c>
      <c r="T932" t="s">
        <v>2208</v>
      </c>
    </row>
    <row r="933" spans="1:20">
      <c r="A933" t="s">
        <v>2239</v>
      </c>
      <c r="B933" t="s">
        <v>16360</v>
      </c>
      <c r="C933">
        <v>45428</v>
      </c>
      <c r="D933" t="s">
        <v>7263</v>
      </c>
      <c r="E933" t="s">
        <v>16361</v>
      </c>
      <c r="F933">
        <v>45799</v>
      </c>
      <c r="G933" t="s">
        <v>3940</v>
      </c>
      <c r="H933" t="s">
        <v>2916</v>
      </c>
      <c r="I933" t="s">
        <v>17384</v>
      </c>
      <c r="J933">
        <v>16551</v>
      </c>
      <c r="K933">
        <v>2937.8</v>
      </c>
      <c r="L933" t="s">
        <v>2917</v>
      </c>
      <c r="M933">
        <v>16551</v>
      </c>
      <c r="N933" t="s">
        <v>2918</v>
      </c>
      <c r="O933" t="s">
        <v>2923</v>
      </c>
      <c r="P933" t="s">
        <v>2923</v>
      </c>
      <c r="Q933" t="s">
        <v>2924</v>
      </c>
      <c r="R933" t="s">
        <v>3219</v>
      </c>
      <c r="S933" t="s">
        <v>2208</v>
      </c>
      <c r="T933" t="s">
        <v>2208</v>
      </c>
    </row>
    <row r="934" spans="1:20">
      <c r="A934" t="s">
        <v>2239</v>
      </c>
      <c r="B934" t="s">
        <v>16360</v>
      </c>
      <c r="C934">
        <v>45798</v>
      </c>
      <c r="D934" t="s">
        <v>7263</v>
      </c>
      <c r="E934" t="s">
        <v>16361</v>
      </c>
      <c r="F934">
        <v>45799</v>
      </c>
      <c r="G934" t="s">
        <v>17385</v>
      </c>
      <c r="H934" t="s">
        <v>2916</v>
      </c>
      <c r="I934" t="s">
        <v>17386</v>
      </c>
      <c r="J934">
        <v>100</v>
      </c>
      <c r="K934">
        <v>844.37</v>
      </c>
      <c r="L934" t="s">
        <v>2917</v>
      </c>
      <c r="M934">
        <v>4757</v>
      </c>
      <c r="N934" t="s">
        <v>2918</v>
      </c>
      <c r="O934" t="s">
        <v>17387</v>
      </c>
      <c r="P934" t="s">
        <v>17388</v>
      </c>
      <c r="Q934" t="s">
        <v>2924</v>
      </c>
      <c r="R934" t="s">
        <v>3219</v>
      </c>
      <c r="S934" t="s">
        <v>17389</v>
      </c>
      <c r="T934" t="s">
        <v>17390</v>
      </c>
    </row>
    <row r="935" spans="1:20">
      <c r="A935" t="s">
        <v>2239</v>
      </c>
      <c r="B935" t="s">
        <v>16360</v>
      </c>
      <c r="C935">
        <v>45798</v>
      </c>
      <c r="D935" t="s">
        <v>7263</v>
      </c>
      <c r="E935" t="s">
        <v>16361</v>
      </c>
      <c r="F935">
        <v>45799</v>
      </c>
      <c r="G935" t="s">
        <v>17385</v>
      </c>
      <c r="H935" t="s">
        <v>2916</v>
      </c>
      <c r="I935" t="s">
        <v>17391</v>
      </c>
      <c r="J935">
        <v>0</v>
      </c>
      <c r="K935">
        <v>-78.11</v>
      </c>
      <c r="L935" t="s">
        <v>2917</v>
      </c>
      <c r="M935">
        <v>-440.02</v>
      </c>
      <c r="N935" t="s">
        <v>2918</v>
      </c>
      <c r="O935" t="s">
        <v>17392</v>
      </c>
      <c r="P935" t="s">
        <v>17388</v>
      </c>
      <c r="Q935" t="s">
        <v>2924</v>
      </c>
      <c r="R935" t="s">
        <v>3219</v>
      </c>
      <c r="S935" t="s">
        <v>17389</v>
      </c>
      <c r="T935" t="s">
        <v>17390</v>
      </c>
    </row>
    <row r="936" spans="1:20">
      <c r="A936" t="s">
        <v>2239</v>
      </c>
      <c r="B936" t="s">
        <v>16360</v>
      </c>
      <c r="C936">
        <v>45170</v>
      </c>
      <c r="D936" t="s">
        <v>7263</v>
      </c>
      <c r="E936" t="s">
        <v>16361</v>
      </c>
      <c r="F936">
        <v>45800</v>
      </c>
      <c r="G936" t="s">
        <v>7594</v>
      </c>
      <c r="H936" t="s">
        <v>2916</v>
      </c>
      <c r="I936" t="s">
        <v>17393</v>
      </c>
      <c r="J936">
        <v>5464.22</v>
      </c>
      <c r="K936">
        <v>969.9</v>
      </c>
      <c r="L936" t="s">
        <v>2917</v>
      </c>
      <c r="M936">
        <v>5464.22</v>
      </c>
      <c r="N936" t="s">
        <v>2918</v>
      </c>
      <c r="O936" t="s">
        <v>2940</v>
      </c>
      <c r="P936" t="s">
        <v>2940</v>
      </c>
      <c r="Q936" t="s">
        <v>2924</v>
      </c>
      <c r="R936" t="s">
        <v>3219</v>
      </c>
      <c r="S936" t="s">
        <v>2208</v>
      </c>
      <c r="T936" t="s">
        <v>2208</v>
      </c>
    </row>
    <row r="937" spans="1:20">
      <c r="A937" t="s">
        <v>2239</v>
      </c>
      <c r="B937" t="s">
        <v>16360</v>
      </c>
      <c r="C937">
        <v>45170</v>
      </c>
      <c r="D937" t="s">
        <v>7263</v>
      </c>
      <c r="E937" t="s">
        <v>16361</v>
      </c>
      <c r="F937">
        <v>45800</v>
      </c>
      <c r="G937" t="s">
        <v>7594</v>
      </c>
      <c r="H937" t="s">
        <v>2916</v>
      </c>
      <c r="I937" t="s">
        <v>17394</v>
      </c>
      <c r="J937">
        <v>27147.5</v>
      </c>
      <c r="K937">
        <v>4818.68</v>
      </c>
      <c r="L937" t="s">
        <v>2917</v>
      </c>
      <c r="M937">
        <v>27147.5</v>
      </c>
      <c r="N937" t="s">
        <v>2918</v>
      </c>
      <c r="O937" t="s">
        <v>2940</v>
      </c>
      <c r="P937" t="s">
        <v>2940</v>
      </c>
      <c r="Q937" t="s">
        <v>2924</v>
      </c>
      <c r="R937" t="s">
        <v>3219</v>
      </c>
      <c r="S937" t="s">
        <v>2208</v>
      </c>
      <c r="T937" t="s">
        <v>2208</v>
      </c>
    </row>
    <row r="938" spans="1:20">
      <c r="A938" t="s">
        <v>2239</v>
      </c>
      <c r="B938" t="s">
        <v>16360</v>
      </c>
      <c r="C938">
        <v>45170</v>
      </c>
      <c r="D938" t="s">
        <v>7263</v>
      </c>
      <c r="E938" t="s">
        <v>16361</v>
      </c>
      <c r="F938">
        <v>45800</v>
      </c>
      <c r="G938" t="s">
        <v>7594</v>
      </c>
      <c r="H938" t="s">
        <v>2916</v>
      </c>
      <c r="I938" t="s">
        <v>17395</v>
      </c>
      <c r="J938">
        <v>19237.759999999998</v>
      </c>
      <c r="K938">
        <v>3414.7</v>
      </c>
      <c r="L938" t="s">
        <v>2917</v>
      </c>
      <c r="M938">
        <v>19237.759999999998</v>
      </c>
      <c r="N938" t="s">
        <v>2918</v>
      </c>
      <c r="O938" t="s">
        <v>2940</v>
      </c>
      <c r="P938" t="s">
        <v>2940</v>
      </c>
      <c r="Q938" t="s">
        <v>2924</v>
      </c>
      <c r="R938" t="s">
        <v>3219</v>
      </c>
      <c r="S938" t="s">
        <v>2208</v>
      </c>
      <c r="T938" t="s">
        <v>2208</v>
      </c>
    </row>
    <row r="939" spans="1:20">
      <c r="A939" t="s">
        <v>2239</v>
      </c>
      <c r="B939" t="s">
        <v>16360</v>
      </c>
      <c r="C939">
        <v>45170</v>
      </c>
      <c r="D939" t="s">
        <v>7263</v>
      </c>
      <c r="E939" t="s">
        <v>16361</v>
      </c>
      <c r="F939">
        <v>45800</v>
      </c>
      <c r="G939" t="s">
        <v>7594</v>
      </c>
      <c r="H939" t="s">
        <v>2916</v>
      </c>
      <c r="I939" t="s">
        <v>17396</v>
      </c>
      <c r="J939">
        <v>108547.5</v>
      </c>
      <c r="K939">
        <v>19267.18</v>
      </c>
      <c r="L939" t="s">
        <v>2917</v>
      </c>
      <c r="M939">
        <v>108547.5</v>
      </c>
      <c r="N939" t="s">
        <v>2918</v>
      </c>
      <c r="O939" t="s">
        <v>2940</v>
      </c>
      <c r="P939" t="s">
        <v>2940</v>
      </c>
      <c r="Q939" t="s">
        <v>2924</v>
      </c>
      <c r="R939" t="s">
        <v>3219</v>
      </c>
      <c r="S939" t="s">
        <v>2208</v>
      </c>
      <c r="T939" t="s">
        <v>2208</v>
      </c>
    </row>
    <row r="940" spans="1:20">
      <c r="A940" t="s">
        <v>2239</v>
      </c>
      <c r="B940" t="s">
        <v>16360</v>
      </c>
      <c r="C940">
        <v>45562</v>
      </c>
      <c r="D940" t="s">
        <v>7263</v>
      </c>
      <c r="E940" t="s">
        <v>16361</v>
      </c>
      <c r="F940">
        <v>45803</v>
      </c>
      <c r="G940" t="s">
        <v>7601</v>
      </c>
      <c r="H940" t="s">
        <v>2916</v>
      </c>
      <c r="I940" t="s">
        <v>17591</v>
      </c>
      <c r="J940">
        <v>177.18</v>
      </c>
      <c r="K940">
        <v>31.45</v>
      </c>
      <c r="L940" t="s">
        <v>2917</v>
      </c>
      <c r="M940">
        <v>177.18</v>
      </c>
      <c r="N940" t="s">
        <v>2918</v>
      </c>
      <c r="O940" t="s">
        <v>2939</v>
      </c>
      <c r="P940" t="s">
        <v>2939</v>
      </c>
      <c r="Q940" t="s">
        <v>2924</v>
      </c>
      <c r="R940" t="s">
        <v>3219</v>
      </c>
      <c r="S940" t="s">
        <v>2208</v>
      </c>
      <c r="T940" t="s">
        <v>2208</v>
      </c>
    </row>
    <row r="941" spans="1:20">
      <c r="A941" t="s">
        <v>2239</v>
      </c>
      <c r="B941" t="s">
        <v>16360</v>
      </c>
      <c r="C941">
        <v>45562</v>
      </c>
      <c r="D941" t="s">
        <v>7263</v>
      </c>
      <c r="E941" t="s">
        <v>16361</v>
      </c>
      <c r="F941">
        <v>45803</v>
      </c>
      <c r="G941" t="s">
        <v>7601</v>
      </c>
      <c r="H941" t="s">
        <v>2916</v>
      </c>
      <c r="I941" t="s">
        <v>17592</v>
      </c>
      <c r="J941">
        <v>18669.98</v>
      </c>
      <c r="K941">
        <v>3313.92</v>
      </c>
      <c r="L941" t="s">
        <v>2917</v>
      </c>
      <c r="M941">
        <v>18669.98</v>
      </c>
      <c r="N941" t="s">
        <v>2918</v>
      </c>
      <c r="O941" t="s">
        <v>2939</v>
      </c>
      <c r="P941" t="s">
        <v>2939</v>
      </c>
      <c r="Q941" t="s">
        <v>2924</v>
      </c>
      <c r="R941" t="s">
        <v>3219</v>
      </c>
      <c r="S941" t="s">
        <v>2208</v>
      </c>
      <c r="T941" t="s">
        <v>2208</v>
      </c>
    </row>
    <row r="942" spans="1:20">
      <c r="A942" t="s">
        <v>2239</v>
      </c>
      <c r="B942" t="s">
        <v>16360</v>
      </c>
      <c r="C942">
        <v>45562</v>
      </c>
      <c r="D942" t="s">
        <v>7263</v>
      </c>
      <c r="E942" t="s">
        <v>16361</v>
      </c>
      <c r="F942">
        <v>45803</v>
      </c>
      <c r="G942" t="s">
        <v>7601</v>
      </c>
      <c r="H942" t="s">
        <v>2916</v>
      </c>
      <c r="I942" t="s">
        <v>17593</v>
      </c>
      <c r="J942">
        <v>73.91</v>
      </c>
      <c r="K942">
        <v>13.12</v>
      </c>
      <c r="L942" t="s">
        <v>2917</v>
      </c>
      <c r="M942">
        <v>73.91</v>
      </c>
      <c r="N942" t="s">
        <v>2918</v>
      </c>
      <c r="O942" t="s">
        <v>2939</v>
      </c>
      <c r="P942" t="s">
        <v>2939</v>
      </c>
      <c r="Q942" t="s">
        <v>2924</v>
      </c>
      <c r="R942" t="s">
        <v>3219</v>
      </c>
      <c r="S942" t="s">
        <v>2208</v>
      </c>
      <c r="T942" t="s">
        <v>2208</v>
      </c>
    </row>
    <row r="943" spans="1:20">
      <c r="A943" t="s">
        <v>2239</v>
      </c>
      <c r="B943" t="s">
        <v>16360</v>
      </c>
      <c r="C943">
        <v>45562</v>
      </c>
      <c r="D943" t="s">
        <v>7263</v>
      </c>
      <c r="E943" t="s">
        <v>16361</v>
      </c>
      <c r="F943">
        <v>45803</v>
      </c>
      <c r="G943" t="s">
        <v>7601</v>
      </c>
      <c r="H943" t="s">
        <v>2916</v>
      </c>
      <c r="I943" t="s">
        <v>17594</v>
      </c>
      <c r="J943">
        <v>64314.720000000001</v>
      </c>
      <c r="K943">
        <v>11415.86</v>
      </c>
      <c r="L943" t="s">
        <v>2917</v>
      </c>
      <c r="M943">
        <v>64314.720000000001</v>
      </c>
      <c r="N943" t="s">
        <v>2918</v>
      </c>
      <c r="O943" t="s">
        <v>2939</v>
      </c>
      <c r="P943" t="s">
        <v>2939</v>
      </c>
      <c r="Q943" t="s">
        <v>2924</v>
      </c>
      <c r="R943" t="s">
        <v>3219</v>
      </c>
      <c r="S943" t="s">
        <v>2208</v>
      </c>
      <c r="T943" t="s">
        <v>2208</v>
      </c>
    </row>
    <row r="944" spans="1:20">
      <c r="A944" t="s">
        <v>2239</v>
      </c>
      <c r="B944" t="s">
        <v>16360</v>
      </c>
      <c r="C944">
        <v>45562</v>
      </c>
      <c r="D944" t="s">
        <v>7263</v>
      </c>
      <c r="E944" t="s">
        <v>16361</v>
      </c>
      <c r="F944">
        <v>45803</v>
      </c>
      <c r="G944" t="s">
        <v>7601</v>
      </c>
      <c r="H944" t="s">
        <v>2916</v>
      </c>
      <c r="I944" t="s">
        <v>17595</v>
      </c>
      <c r="J944">
        <v>2418.7600000000002</v>
      </c>
      <c r="K944">
        <v>429.33</v>
      </c>
      <c r="L944" t="s">
        <v>2917</v>
      </c>
      <c r="M944">
        <v>2418.7600000000002</v>
      </c>
      <c r="N944" t="s">
        <v>2918</v>
      </c>
      <c r="O944" t="s">
        <v>2939</v>
      </c>
      <c r="P944" t="s">
        <v>2939</v>
      </c>
      <c r="Q944" t="s">
        <v>2924</v>
      </c>
      <c r="R944" t="s">
        <v>3219</v>
      </c>
      <c r="S944" t="s">
        <v>2208</v>
      </c>
      <c r="T944" t="s">
        <v>2208</v>
      </c>
    </row>
    <row r="945" spans="1:20">
      <c r="A945" t="s">
        <v>2239</v>
      </c>
      <c r="B945" t="s">
        <v>16360</v>
      </c>
      <c r="C945">
        <v>45562</v>
      </c>
      <c r="D945" t="s">
        <v>7263</v>
      </c>
      <c r="E945" t="s">
        <v>16361</v>
      </c>
      <c r="F945">
        <v>45803</v>
      </c>
      <c r="G945" t="s">
        <v>7601</v>
      </c>
      <c r="H945" t="s">
        <v>2916</v>
      </c>
      <c r="I945" t="s">
        <v>17596</v>
      </c>
      <c r="J945">
        <v>6171.93</v>
      </c>
      <c r="K945">
        <v>1095.52</v>
      </c>
      <c r="L945" t="s">
        <v>2917</v>
      </c>
      <c r="M945">
        <v>6171.93</v>
      </c>
      <c r="N945" t="s">
        <v>2918</v>
      </c>
      <c r="O945" t="s">
        <v>2939</v>
      </c>
      <c r="P945" t="s">
        <v>2939</v>
      </c>
      <c r="Q945" t="s">
        <v>2924</v>
      </c>
      <c r="R945" t="s">
        <v>3219</v>
      </c>
      <c r="S945" t="s">
        <v>2208</v>
      </c>
      <c r="T945" t="s">
        <v>2208</v>
      </c>
    </row>
    <row r="946" spans="1:20">
      <c r="A946" t="s">
        <v>2239</v>
      </c>
      <c r="B946" t="s">
        <v>16360</v>
      </c>
      <c r="C946">
        <v>45562</v>
      </c>
      <c r="D946" t="s">
        <v>7263</v>
      </c>
      <c r="E946" t="s">
        <v>16361</v>
      </c>
      <c r="F946">
        <v>45803</v>
      </c>
      <c r="G946" t="s">
        <v>7601</v>
      </c>
      <c r="H946" t="s">
        <v>2916</v>
      </c>
      <c r="I946" t="s">
        <v>17597</v>
      </c>
      <c r="J946">
        <v>3383.09</v>
      </c>
      <c r="K946">
        <v>600.5</v>
      </c>
      <c r="L946" t="s">
        <v>2917</v>
      </c>
      <c r="M946">
        <v>3383.09</v>
      </c>
      <c r="N946" t="s">
        <v>2918</v>
      </c>
      <c r="O946" t="s">
        <v>2939</v>
      </c>
      <c r="P946" t="s">
        <v>2939</v>
      </c>
      <c r="Q946" t="s">
        <v>2924</v>
      </c>
      <c r="R946" t="s">
        <v>3219</v>
      </c>
      <c r="S946" t="s">
        <v>2208</v>
      </c>
      <c r="T946" t="s">
        <v>2208</v>
      </c>
    </row>
    <row r="947" spans="1:20">
      <c r="A947" t="s">
        <v>2239</v>
      </c>
      <c r="B947" t="s">
        <v>16360</v>
      </c>
      <c r="C947">
        <v>45799</v>
      </c>
      <c r="D947" t="s">
        <v>7263</v>
      </c>
      <c r="E947" t="s">
        <v>16361</v>
      </c>
      <c r="F947">
        <v>45803</v>
      </c>
      <c r="G947" t="s">
        <v>7601</v>
      </c>
      <c r="H947" t="s">
        <v>2916</v>
      </c>
      <c r="I947" t="s">
        <v>17598</v>
      </c>
      <c r="J947">
        <v>0</v>
      </c>
      <c r="K947">
        <v>-145.81</v>
      </c>
      <c r="L947" t="s">
        <v>2917</v>
      </c>
      <c r="M947">
        <v>-821.44</v>
      </c>
      <c r="N947" t="s">
        <v>2918</v>
      </c>
      <c r="O947" t="s">
        <v>17599</v>
      </c>
      <c r="P947" t="s">
        <v>2939</v>
      </c>
      <c r="Q947" t="s">
        <v>2924</v>
      </c>
      <c r="R947" t="s">
        <v>3219</v>
      </c>
      <c r="S947" t="s">
        <v>2208</v>
      </c>
      <c r="T947" t="s">
        <v>2208</v>
      </c>
    </row>
    <row r="948" spans="1:20">
      <c r="A948" t="s">
        <v>2239</v>
      </c>
      <c r="B948" t="s">
        <v>16360</v>
      </c>
      <c r="C948">
        <v>45799</v>
      </c>
      <c r="D948" t="s">
        <v>7263</v>
      </c>
      <c r="E948" t="s">
        <v>16361</v>
      </c>
      <c r="F948">
        <v>45803</v>
      </c>
      <c r="G948" t="s">
        <v>7601</v>
      </c>
      <c r="H948" t="s">
        <v>2916</v>
      </c>
      <c r="I948" t="s">
        <v>17600</v>
      </c>
      <c r="J948">
        <v>0</v>
      </c>
      <c r="K948">
        <v>-86.93</v>
      </c>
      <c r="L948" t="s">
        <v>2917</v>
      </c>
      <c r="M948">
        <v>-489.75</v>
      </c>
      <c r="N948" t="s">
        <v>2918</v>
      </c>
      <c r="O948" t="s">
        <v>17601</v>
      </c>
      <c r="P948" t="s">
        <v>2939</v>
      </c>
      <c r="Q948" t="s">
        <v>2924</v>
      </c>
      <c r="R948" t="s">
        <v>3219</v>
      </c>
      <c r="S948" t="s">
        <v>2208</v>
      </c>
      <c r="T948" t="s">
        <v>2208</v>
      </c>
    </row>
    <row r="949" spans="1:20">
      <c r="A949" t="s">
        <v>2239</v>
      </c>
      <c r="B949" t="s">
        <v>16360</v>
      </c>
      <c r="C949">
        <v>45799</v>
      </c>
      <c r="D949" t="s">
        <v>7263</v>
      </c>
      <c r="E949" t="s">
        <v>16361</v>
      </c>
      <c r="F949">
        <v>45803</v>
      </c>
      <c r="G949" t="s">
        <v>7601</v>
      </c>
      <c r="H949" t="s">
        <v>2916</v>
      </c>
      <c r="I949" t="s">
        <v>17602</v>
      </c>
      <c r="J949">
        <v>0</v>
      </c>
      <c r="K949">
        <v>-57.5</v>
      </c>
      <c r="L949" t="s">
        <v>2917</v>
      </c>
      <c r="M949">
        <v>-323.92</v>
      </c>
      <c r="N949" t="s">
        <v>2918</v>
      </c>
      <c r="O949" t="s">
        <v>11265</v>
      </c>
      <c r="P949" t="s">
        <v>2939</v>
      </c>
      <c r="Q949" t="s">
        <v>2924</v>
      </c>
      <c r="R949" t="s">
        <v>3219</v>
      </c>
      <c r="S949" t="s">
        <v>2208</v>
      </c>
      <c r="T949" t="s">
        <v>2208</v>
      </c>
    </row>
    <row r="950" spans="1:20">
      <c r="A950" t="s">
        <v>2239</v>
      </c>
      <c r="B950" t="s">
        <v>16360</v>
      </c>
      <c r="C950">
        <v>45799</v>
      </c>
      <c r="D950" t="s">
        <v>7263</v>
      </c>
      <c r="E950" t="s">
        <v>16361</v>
      </c>
      <c r="F950">
        <v>45803</v>
      </c>
      <c r="G950" t="s">
        <v>6995</v>
      </c>
      <c r="H950" t="s">
        <v>2916</v>
      </c>
      <c r="I950" t="s">
        <v>17603</v>
      </c>
      <c r="J950">
        <v>0</v>
      </c>
      <c r="K950">
        <v>-1900.17</v>
      </c>
      <c r="L950" t="s">
        <v>2917</v>
      </c>
      <c r="M950">
        <v>-10705.15</v>
      </c>
      <c r="N950" t="s">
        <v>2918</v>
      </c>
      <c r="O950" t="s">
        <v>17604</v>
      </c>
      <c r="P950" t="s">
        <v>2940</v>
      </c>
      <c r="Q950" t="s">
        <v>2924</v>
      </c>
      <c r="R950" t="s">
        <v>3219</v>
      </c>
      <c r="S950" t="s">
        <v>2208</v>
      </c>
      <c r="T950" t="s">
        <v>2208</v>
      </c>
    </row>
    <row r="951" spans="1:20">
      <c r="A951" t="s">
        <v>2239</v>
      </c>
      <c r="B951" t="s">
        <v>16360</v>
      </c>
      <c r="C951">
        <v>45799</v>
      </c>
      <c r="D951" t="s">
        <v>7263</v>
      </c>
      <c r="E951" t="s">
        <v>16361</v>
      </c>
      <c r="F951">
        <v>45803</v>
      </c>
      <c r="G951" t="s">
        <v>7601</v>
      </c>
      <c r="H951" t="s">
        <v>2916</v>
      </c>
      <c r="I951" t="s">
        <v>17605</v>
      </c>
      <c r="J951">
        <v>0</v>
      </c>
      <c r="K951">
        <v>-2691.68</v>
      </c>
      <c r="L951" t="s">
        <v>2917</v>
      </c>
      <c r="M951">
        <v>-15164.38</v>
      </c>
      <c r="N951" t="s">
        <v>2918</v>
      </c>
      <c r="O951" t="s">
        <v>11426</v>
      </c>
      <c r="P951" t="s">
        <v>2939</v>
      </c>
      <c r="Q951" t="s">
        <v>2924</v>
      </c>
      <c r="R951" t="s">
        <v>3219</v>
      </c>
      <c r="S951" t="s">
        <v>2208</v>
      </c>
      <c r="T951" t="s">
        <v>2208</v>
      </c>
    </row>
    <row r="952" spans="1:20">
      <c r="A952" t="s">
        <v>2239</v>
      </c>
      <c r="B952" t="s">
        <v>16360</v>
      </c>
      <c r="C952">
        <v>45799</v>
      </c>
      <c r="D952" t="s">
        <v>7263</v>
      </c>
      <c r="E952" t="s">
        <v>16361</v>
      </c>
      <c r="F952">
        <v>45803</v>
      </c>
      <c r="G952" t="s">
        <v>7601</v>
      </c>
      <c r="H952" t="s">
        <v>2916</v>
      </c>
      <c r="I952" t="s">
        <v>17606</v>
      </c>
      <c r="J952">
        <v>0</v>
      </c>
      <c r="K952">
        <v>-185.78</v>
      </c>
      <c r="L952" t="s">
        <v>2917</v>
      </c>
      <c r="M952">
        <v>-1046.6600000000001</v>
      </c>
      <c r="N952" t="s">
        <v>2918</v>
      </c>
      <c r="O952" t="s">
        <v>17607</v>
      </c>
      <c r="P952" t="s">
        <v>2939</v>
      </c>
      <c r="Q952" t="s">
        <v>2924</v>
      </c>
      <c r="R952" t="s">
        <v>3219</v>
      </c>
      <c r="S952" t="s">
        <v>2208</v>
      </c>
      <c r="T952" t="s">
        <v>2208</v>
      </c>
    </row>
    <row r="953" spans="1:20">
      <c r="A953" t="s">
        <v>2239</v>
      </c>
      <c r="B953" t="s">
        <v>16360</v>
      </c>
      <c r="C953">
        <v>45799</v>
      </c>
      <c r="D953" t="s">
        <v>7263</v>
      </c>
      <c r="E953" t="s">
        <v>16361</v>
      </c>
      <c r="F953">
        <v>45803</v>
      </c>
      <c r="G953" t="s">
        <v>6995</v>
      </c>
      <c r="H953" t="s">
        <v>2916</v>
      </c>
      <c r="I953" t="s">
        <v>17608</v>
      </c>
      <c r="J953">
        <v>0</v>
      </c>
      <c r="K953">
        <v>-13.68</v>
      </c>
      <c r="L953" t="s">
        <v>2917</v>
      </c>
      <c r="M953">
        <v>-77.08</v>
      </c>
      <c r="N953" t="s">
        <v>2918</v>
      </c>
      <c r="O953" t="s">
        <v>17609</v>
      </c>
      <c r="P953" t="s">
        <v>2940</v>
      </c>
      <c r="Q953" t="s">
        <v>2924</v>
      </c>
      <c r="R953" t="s">
        <v>3219</v>
      </c>
      <c r="S953" t="s">
        <v>2208</v>
      </c>
      <c r="T953" t="s">
        <v>2208</v>
      </c>
    </row>
    <row r="954" spans="1:20">
      <c r="A954" t="s">
        <v>2239</v>
      </c>
      <c r="B954" t="s">
        <v>16360</v>
      </c>
      <c r="C954">
        <v>45799</v>
      </c>
      <c r="D954" t="s">
        <v>7263</v>
      </c>
      <c r="E954" t="s">
        <v>16361</v>
      </c>
      <c r="F954">
        <v>45803</v>
      </c>
      <c r="G954" t="s">
        <v>6995</v>
      </c>
      <c r="H954" t="s">
        <v>2916</v>
      </c>
      <c r="I954" t="s">
        <v>17610</v>
      </c>
      <c r="J954">
        <v>0</v>
      </c>
      <c r="K954">
        <v>-125.68</v>
      </c>
      <c r="L954" t="s">
        <v>2917</v>
      </c>
      <c r="M954">
        <v>-708.09</v>
      </c>
      <c r="N954" t="s">
        <v>2918</v>
      </c>
      <c r="O954" t="s">
        <v>17611</v>
      </c>
      <c r="P954" t="s">
        <v>2940</v>
      </c>
      <c r="Q954" t="s">
        <v>2924</v>
      </c>
      <c r="R954" t="s">
        <v>3219</v>
      </c>
      <c r="S954" t="s">
        <v>2208</v>
      </c>
      <c r="T954" t="s">
        <v>2208</v>
      </c>
    </row>
    <row r="955" spans="1:20">
      <c r="A955" t="s">
        <v>2239</v>
      </c>
      <c r="B955" t="s">
        <v>16360</v>
      </c>
      <c r="C955">
        <v>45799</v>
      </c>
      <c r="D955" t="s">
        <v>7263</v>
      </c>
      <c r="E955" t="s">
        <v>16361</v>
      </c>
      <c r="F955">
        <v>45803</v>
      </c>
      <c r="G955" t="s">
        <v>6995</v>
      </c>
      <c r="H955" t="s">
        <v>2916</v>
      </c>
      <c r="I955" t="s">
        <v>17612</v>
      </c>
      <c r="J955">
        <v>0</v>
      </c>
      <c r="K955">
        <v>-914.85</v>
      </c>
      <c r="L955" t="s">
        <v>2917</v>
      </c>
      <c r="M955">
        <v>-5154.12</v>
      </c>
      <c r="N955" t="s">
        <v>2918</v>
      </c>
      <c r="O955" t="s">
        <v>17613</v>
      </c>
      <c r="P955" t="s">
        <v>2940</v>
      </c>
      <c r="Q955" t="s">
        <v>2924</v>
      </c>
      <c r="R955" t="s">
        <v>3219</v>
      </c>
      <c r="S955" t="s">
        <v>2208</v>
      </c>
      <c r="T955" t="s">
        <v>2208</v>
      </c>
    </row>
    <row r="956" spans="1:20">
      <c r="A956" t="s">
        <v>2239</v>
      </c>
      <c r="B956" t="s">
        <v>16360</v>
      </c>
      <c r="C956">
        <v>45799</v>
      </c>
      <c r="D956" t="s">
        <v>7263</v>
      </c>
      <c r="E956" t="s">
        <v>16361</v>
      </c>
      <c r="F956">
        <v>45803</v>
      </c>
      <c r="G956" t="s">
        <v>6995</v>
      </c>
      <c r="H956" t="s">
        <v>2916</v>
      </c>
      <c r="I956" t="s">
        <v>17614</v>
      </c>
      <c r="J956">
        <v>0</v>
      </c>
      <c r="K956">
        <v>-95.86</v>
      </c>
      <c r="L956" t="s">
        <v>2917</v>
      </c>
      <c r="M956">
        <v>-540.02</v>
      </c>
      <c r="N956" t="s">
        <v>2918</v>
      </c>
      <c r="O956" t="s">
        <v>17615</v>
      </c>
      <c r="P956" t="s">
        <v>2940</v>
      </c>
      <c r="Q956" t="s">
        <v>2924</v>
      </c>
      <c r="R956" t="s">
        <v>3219</v>
      </c>
      <c r="S956" t="s">
        <v>2208</v>
      </c>
      <c r="T956" t="s">
        <v>2208</v>
      </c>
    </row>
    <row r="957" spans="1:20">
      <c r="A957" t="s">
        <v>2239</v>
      </c>
      <c r="B957" t="s">
        <v>16360</v>
      </c>
      <c r="C957">
        <v>45799</v>
      </c>
      <c r="D957" t="s">
        <v>7263</v>
      </c>
      <c r="E957" t="s">
        <v>16361</v>
      </c>
      <c r="F957">
        <v>45803</v>
      </c>
      <c r="G957" t="s">
        <v>6995</v>
      </c>
      <c r="H957" t="s">
        <v>2916</v>
      </c>
      <c r="I957" t="s">
        <v>17616</v>
      </c>
      <c r="J957">
        <v>0</v>
      </c>
      <c r="K957">
        <v>-195.49</v>
      </c>
      <c r="L957" t="s">
        <v>2917</v>
      </c>
      <c r="M957">
        <v>-1101.31</v>
      </c>
      <c r="N957" t="s">
        <v>2918</v>
      </c>
      <c r="O957" t="s">
        <v>17617</v>
      </c>
      <c r="P957" t="s">
        <v>2940</v>
      </c>
      <c r="Q957" t="s">
        <v>2924</v>
      </c>
      <c r="R957" t="s">
        <v>3219</v>
      </c>
      <c r="S957" t="s">
        <v>2208</v>
      </c>
      <c r="T957" t="s">
        <v>2208</v>
      </c>
    </row>
    <row r="958" spans="1:20">
      <c r="A958" t="s">
        <v>2239</v>
      </c>
      <c r="B958" t="s">
        <v>16360</v>
      </c>
      <c r="C958">
        <v>45674</v>
      </c>
      <c r="D958" t="s">
        <v>7263</v>
      </c>
      <c r="E958" t="s">
        <v>16361</v>
      </c>
      <c r="F958">
        <v>45803</v>
      </c>
      <c r="G958" t="s">
        <v>17643</v>
      </c>
      <c r="H958" t="s">
        <v>2916</v>
      </c>
      <c r="I958" t="s">
        <v>17644</v>
      </c>
      <c r="J958">
        <v>90350</v>
      </c>
      <c r="K958">
        <v>16037.13</v>
      </c>
      <c r="L958" t="s">
        <v>2917</v>
      </c>
      <c r="M958">
        <v>90350</v>
      </c>
      <c r="N958" t="s">
        <v>2918</v>
      </c>
      <c r="O958" t="s">
        <v>2941</v>
      </c>
      <c r="P958" t="s">
        <v>2941</v>
      </c>
      <c r="Q958" t="s">
        <v>2924</v>
      </c>
      <c r="R958" t="s">
        <v>3219</v>
      </c>
      <c r="S958" t="s">
        <v>2208</v>
      </c>
      <c r="T958" t="s">
        <v>2208</v>
      </c>
    </row>
    <row r="959" spans="1:20">
      <c r="A959" t="s">
        <v>2239</v>
      </c>
      <c r="B959" t="s">
        <v>16360</v>
      </c>
      <c r="C959">
        <v>45803</v>
      </c>
      <c r="D959" t="s">
        <v>7263</v>
      </c>
      <c r="E959" t="s">
        <v>16361</v>
      </c>
      <c r="F959">
        <v>45803</v>
      </c>
      <c r="G959" t="s">
        <v>7601</v>
      </c>
      <c r="H959" t="s">
        <v>2916</v>
      </c>
      <c r="I959" t="s">
        <v>17645</v>
      </c>
      <c r="J959">
        <v>0</v>
      </c>
      <c r="K959">
        <v>-2.91</v>
      </c>
      <c r="L959" t="s">
        <v>2917</v>
      </c>
      <c r="M959">
        <v>-16.39</v>
      </c>
      <c r="N959" t="s">
        <v>2918</v>
      </c>
      <c r="O959" t="s">
        <v>17646</v>
      </c>
      <c r="P959" t="s">
        <v>2939</v>
      </c>
      <c r="Q959" t="s">
        <v>2924</v>
      </c>
      <c r="R959" t="s">
        <v>3219</v>
      </c>
      <c r="S959" t="s">
        <v>2208</v>
      </c>
      <c r="T959" t="s">
        <v>2208</v>
      </c>
    </row>
    <row r="960" spans="1:20">
      <c r="A960" t="s">
        <v>2239</v>
      </c>
      <c r="B960" t="s">
        <v>16360</v>
      </c>
      <c r="C960">
        <v>45799</v>
      </c>
      <c r="D960" t="s">
        <v>7263</v>
      </c>
      <c r="E960" t="s">
        <v>16361</v>
      </c>
      <c r="F960">
        <v>45803</v>
      </c>
      <c r="G960" t="s">
        <v>3940</v>
      </c>
      <c r="H960" t="s">
        <v>2916</v>
      </c>
      <c r="I960" t="s">
        <v>17647</v>
      </c>
      <c r="J960">
        <v>0</v>
      </c>
      <c r="K960">
        <v>-786.48</v>
      </c>
      <c r="L960" t="s">
        <v>2917</v>
      </c>
      <c r="M960">
        <v>-4430.92</v>
      </c>
      <c r="N960" t="s">
        <v>2918</v>
      </c>
      <c r="O960" t="s">
        <v>17648</v>
      </c>
      <c r="P960" t="s">
        <v>2923</v>
      </c>
      <c r="Q960" t="s">
        <v>2924</v>
      </c>
      <c r="R960" t="s">
        <v>3219</v>
      </c>
      <c r="S960" t="s">
        <v>2208</v>
      </c>
      <c r="T960" t="s">
        <v>2208</v>
      </c>
    </row>
    <row r="961" spans="1:20">
      <c r="A961" t="s">
        <v>2239</v>
      </c>
      <c r="B961" t="s">
        <v>16360</v>
      </c>
      <c r="C961">
        <v>45799</v>
      </c>
      <c r="D961" t="s">
        <v>7263</v>
      </c>
      <c r="E961" t="s">
        <v>16361</v>
      </c>
      <c r="F961">
        <v>45803</v>
      </c>
      <c r="G961" t="s">
        <v>3940</v>
      </c>
      <c r="H961" t="s">
        <v>2916</v>
      </c>
      <c r="I961" t="s">
        <v>17649</v>
      </c>
      <c r="J961">
        <v>0</v>
      </c>
      <c r="K961">
        <v>-110.27</v>
      </c>
      <c r="L961" t="s">
        <v>2917</v>
      </c>
      <c r="M961">
        <v>-621.19000000000005</v>
      </c>
      <c r="N961" t="s">
        <v>2918</v>
      </c>
      <c r="O961" t="s">
        <v>17650</v>
      </c>
      <c r="P961" t="s">
        <v>2923</v>
      </c>
      <c r="Q961" t="s">
        <v>2924</v>
      </c>
      <c r="R961" t="s">
        <v>3219</v>
      </c>
      <c r="S961" t="s">
        <v>2208</v>
      </c>
      <c r="T961" t="s">
        <v>2208</v>
      </c>
    </row>
    <row r="962" spans="1:20">
      <c r="A962" t="s">
        <v>2239</v>
      </c>
      <c r="B962" t="s">
        <v>16360</v>
      </c>
      <c r="C962">
        <v>45799</v>
      </c>
      <c r="D962" t="s">
        <v>7263</v>
      </c>
      <c r="E962" t="s">
        <v>16361</v>
      </c>
      <c r="F962">
        <v>45803</v>
      </c>
      <c r="G962" t="s">
        <v>3940</v>
      </c>
      <c r="H962" t="s">
        <v>2916</v>
      </c>
      <c r="I962" t="s">
        <v>17651</v>
      </c>
      <c r="J962">
        <v>0</v>
      </c>
      <c r="K962">
        <v>-281.68</v>
      </c>
      <c r="L962" t="s">
        <v>2917</v>
      </c>
      <c r="M962">
        <v>-1586.93</v>
      </c>
      <c r="N962" t="s">
        <v>2918</v>
      </c>
      <c r="O962" t="s">
        <v>17652</v>
      </c>
      <c r="P962" t="s">
        <v>2923</v>
      </c>
      <c r="Q962" t="s">
        <v>2924</v>
      </c>
      <c r="R962" t="s">
        <v>3219</v>
      </c>
      <c r="S962" t="s">
        <v>2208</v>
      </c>
      <c r="T962" t="s">
        <v>2208</v>
      </c>
    </row>
    <row r="963" spans="1:20">
      <c r="A963" t="s">
        <v>2239</v>
      </c>
      <c r="B963" t="s">
        <v>16360</v>
      </c>
      <c r="C963">
        <v>45799</v>
      </c>
      <c r="D963" t="s">
        <v>7263</v>
      </c>
      <c r="E963" t="s">
        <v>16361</v>
      </c>
      <c r="F963">
        <v>45803</v>
      </c>
      <c r="G963" t="s">
        <v>3940</v>
      </c>
      <c r="H963" t="s">
        <v>2916</v>
      </c>
      <c r="I963" t="s">
        <v>17653</v>
      </c>
      <c r="J963">
        <v>0</v>
      </c>
      <c r="K963">
        <v>-1247.1500000000001</v>
      </c>
      <c r="L963" t="s">
        <v>2917</v>
      </c>
      <c r="M963">
        <v>-7026.2</v>
      </c>
      <c r="N963" t="s">
        <v>2918</v>
      </c>
      <c r="O963" t="s">
        <v>17654</v>
      </c>
      <c r="P963" t="s">
        <v>2923</v>
      </c>
      <c r="Q963" t="s">
        <v>2924</v>
      </c>
      <c r="R963" t="s">
        <v>3219</v>
      </c>
      <c r="S963" t="s">
        <v>2208</v>
      </c>
      <c r="T963" t="s">
        <v>2208</v>
      </c>
    </row>
    <row r="964" spans="1:20">
      <c r="A964" t="s">
        <v>2239</v>
      </c>
      <c r="B964" t="s">
        <v>16360</v>
      </c>
      <c r="C964">
        <v>45800</v>
      </c>
      <c r="D964" t="s">
        <v>7263</v>
      </c>
      <c r="E964" t="s">
        <v>16361</v>
      </c>
      <c r="F964">
        <v>45803</v>
      </c>
      <c r="G964" t="s">
        <v>3940</v>
      </c>
      <c r="H964" t="s">
        <v>2916</v>
      </c>
      <c r="I964" t="s">
        <v>17655</v>
      </c>
      <c r="J964">
        <v>0</v>
      </c>
      <c r="K964">
        <v>-246.88</v>
      </c>
      <c r="L964" t="s">
        <v>2917</v>
      </c>
      <c r="M964">
        <v>-1390.83</v>
      </c>
      <c r="N964" t="s">
        <v>2918</v>
      </c>
      <c r="O964" t="s">
        <v>17656</v>
      </c>
      <c r="P964" t="s">
        <v>2923</v>
      </c>
      <c r="Q964" t="s">
        <v>2924</v>
      </c>
      <c r="R964" t="s">
        <v>3219</v>
      </c>
      <c r="S964" t="s">
        <v>2208</v>
      </c>
      <c r="T964" t="s">
        <v>2208</v>
      </c>
    </row>
    <row r="965" spans="1:20">
      <c r="A965" t="s">
        <v>2239</v>
      </c>
      <c r="B965" t="s">
        <v>16360</v>
      </c>
      <c r="C965">
        <v>45800</v>
      </c>
      <c r="D965" t="s">
        <v>7263</v>
      </c>
      <c r="E965" t="s">
        <v>16361</v>
      </c>
      <c r="F965">
        <v>45803</v>
      </c>
      <c r="G965" t="s">
        <v>3940</v>
      </c>
      <c r="H965" t="s">
        <v>2916</v>
      </c>
      <c r="I965" t="s">
        <v>17657</v>
      </c>
      <c r="J965">
        <v>0</v>
      </c>
      <c r="K965">
        <v>-271.74</v>
      </c>
      <c r="L965" t="s">
        <v>2917</v>
      </c>
      <c r="M965">
        <v>-1530.97</v>
      </c>
      <c r="N965" t="s">
        <v>2918</v>
      </c>
      <c r="O965" t="s">
        <v>17658</v>
      </c>
      <c r="P965" t="s">
        <v>2923</v>
      </c>
      <c r="Q965" t="s">
        <v>2924</v>
      </c>
      <c r="R965" t="s">
        <v>3219</v>
      </c>
      <c r="S965" t="s">
        <v>2208</v>
      </c>
      <c r="T965" t="s">
        <v>2208</v>
      </c>
    </row>
    <row r="966" spans="1:20">
      <c r="A966" t="s">
        <v>2239</v>
      </c>
      <c r="B966" t="s">
        <v>16360</v>
      </c>
      <c r="C966">
        <v>45803</v>
      </c>
      <c r="D966" t="s">
        <v>7263</v>
      </c>
      <c r="E966" t="s">
        <v>16361</v>
      </c>
      <c r="F966">
        <v>45804</v>
      </c>
      <c r="G966" t="s">
        <v>7601</v>
      </c>
      <c r="H966" t="s">
        <v>2916</v>
      </c>
      <c r="I966" t="s">
        <v>17659</v>
      </c>
      <c r="J966">
        <v>0</v>
      </c>
      <c r="K966">
        <v>-55.55</v>
      </c>
      <c r="L966" t="s">
        <v>2917</v>
      </c>
      <c r="M966">
        <v>-312.93</v>
      </c>
      <c r="N966" t="s">
        <v>2918</v>
      </c>
      <c r="O966" t="s">
        <v>17660</v>
      </c>
      <c r="P966" t="s">
        <v>2939</v>
      </c>
      <c r="Q966" t="s">
        <v>2924</v>
      </c>
      <c r="R966" t="s">
        <v>3219</v>
      </c>
      <c r="S966" t="s">
        <v>2208</v>
      </c>
      <c r="T966" t="s">
        <v>2208</v>
      </c>
    </row>
    <row r="967" spans="1:20">
      <c r="A967" t="s">
        <v>2239</v>
      </c>
      <c r="B967" t="s">
        <v>16360</v>
      </c>
      <c r="C967">
        <v>45803</v>
      </c>
      <c r="D967" t="s">
        <v>7263</v>
      </c>
      <c r="E967" t="s">
        <v>16361</v>
      </c>
      <c r="F967">
        <v>45804</v>
      </c>
      <c r="G967" t="s">
        <v>7601</v>
      </c>
      <c r="H967" t="s">
        <v>2916</v>
      </c>
      <c r="I967" t="s">
        <v>17661</v>
      </c>
      <c r="J967">
        <v>0</v>
      </c>
      <c r="K967">
        <v>-101.34</v>
      </c>
      <c r="L967" t="s">
        <v>2917</v>
      </c>
      <c r="M967">
        <v>-570.91</v>
      </c>
      <c r="N967" t="s">
        <v>2918</v>
      </c>
      <c r="O967" t="s">
        <v>17662</v>
      </c>
      <c r="P967" t="s">
        <v>2939</v>
      </c>
      <c r="Q967" t="s">
        <v>2924</v>
      </c>
      <c r="R967" t="s">
        <v>3219</v>
      </c>
      <c r="S967" t="s">
        <v>2208</v>
      </c>
      <c r="T967" t="s">
        <v>2208</v>
      </c>
    </row>
    <row r="968" spans="1:20">
      <c r="A968" t="s">
        <v>2239</v>
      </c>
      <c r="B968" t="s">
        <v>16360</v>
      </c>
      <c r="C968">
        <v>45803</v>
      </c>
      <c r="D968" t="s">
        <v>7263</v>
      </c>
      <c r="E968" t="s">
        <v>16361</v>
      </c>
      <c r="F968">
        <v>45804</v>
      </c>
      <c r="G968" t="s">
        <v>7601</v>
      </c>
      <c r="H968" t="s">
        <v>2916</v>
      </c>
      <c r="I968" t="s">
        <v>17663</v>
      </c>
      <c r="J968">
        <v>0</v>
      </c>
      <c r="K968">
        <v>-39.71</v>
      </c>
      <c r="L968" t="s">
        <v>2917</v>
      </c>
      <c r="M968">
        <v>-223.74</v>
      </c>
      <c r="N968" t="s">
        <v>2918</v>
      </c>
      <c r="O968" t="s">
        <v>17664</v>
      </c>
      <c r="P968" t="s">
        <v>2939</v>
      </c>
      <c r="Q968" t="s">
        <v>2924</v>
      </c>
      <c r="R968" t="s">
        <v>3219</v>
      </c>
      <c r="S968" t="s">
        <v>2208</v>
      </c>
      <c r="T968" t="s">
        <v>2208</v>
      </c>
    </row>
    <row r="969" spans="1:20">
      <c r="A969" t="s">
        <v>2239</v>
      </c>
      <c r="B969" t="s">
        <v>16360</v>
      </c>
      <c r="C969">
        <v>45803</v>
      </c>
      <c r="D969" t="s">
        <v>7263</v>
      </c>
      <c r="E969" t="s">
        <v>16361</v>
      </c>
      <c r="F969">
        <v>45804</v>
      </c>
      <c r="G969" t="s">
        <v>7601</v>
      </c>
      <c r="H969" t="s">
        <v>2916</v>
      </c>
      <c r="I969" t="s">
        <v>17665</v>
      </c>
      <c r="J969">
        <v>0</v>
      </c>
      <c r="K969">
        <v>-1055.96</v>
      </c>
      <c r="L969" t="s">
        <v>2917</v>
      </c>
      <c r="M969">
        <v>-5949.11</v>
      </c>
      <c r="N969" t="s">
        <v>2918</v>
      </c>
      <c r="O969" t="s">
        <v>17666</v>
      </c>
      <c r="P969" t="s">
        <v>2939</v>
      </c>
      <c r="Q969" t="s">
        <v>2924</v>
      </c>
      <c r="R969" t="s">
        <v>3219</v>
      </c>
      <c r="S969" t="s">
        <v>2208</v>
      </c>
      <c r="T969" t="s">
        <v>2208</v>
      </c>
    </row>
    <row r="970" spans="1:20">
      <c r="A970" t="s">
        <v>2239</v>
      </c>
      <c r="B970" t="s">
        <v>16360</v>
      </c>
      <c r="C970">
        <v>45803</v>
      </c>
      <c r="D970" t="s">
        <v>7263</v>
      </c>
      <c r="E970" t="s">
        <v>16361</v>
      </c>
      <c r="F970">
        <v>45804</v>
      </c>
      <c r="G970" t="s">
        <v>7601</v>
      </c>
      <c r="H970" t="s">
        <v>2916</v>
      </c>
      <c r="I970" t="s">
        <v>17667</v>
      </c>
      <c r="J970">
        <v>0</v>
      </c>
      <c r="K970">
        <v>-1.22</v>
      </c>
      <c r="L970" t="s">
        <v>2917</v>
      </c>
      <c r="M970">
        <v>-6.84</v>
      </c>
      <c r="N970" t="s">
        <v>2918</v>
      </c>
      <c r="O970" t="s">
        <v>17668</v>
      </c>
      <c r="P970" t="s">
        <v>2939</v>
      </c>
      <c r="Q970" t="s">
        <v>2924</v>
      </c>
      <c r="R970" t="s">
        <v>3219</v>
      </c>
      <c r="S970" t="s">
        <v>2208</v>
      </c>
      <c r="T970" t="s">
        <v>2208</v>
      </c>
    </row>
    <row r="971" spans="1:20">
      <c r="A971" t="s">
        <v>2239</v>
      </c>
      <c r="B971" t="s">
        <v>16360</v>
      </c>
      <c r="C971">
        <v>45803</v>
      </c>
      <c r="D971" t="s">
        <v>7263</v>
      </c>
      <c r="E971" t="s">
        <v>16361</v>
      </c>
      <c r="F971">
        <v>45804</v>
      </c>
      <c r="G971" t="s">
        <v>7601</v>
      </c>
      <c r="H971" t="s">
        <v>2916</v>
      </c>
      <c r="I971" t="s">
        <v>17669</v>
      </c>
      <c r="J971">
        <v>0</v>
      </c>
      <c r="K971">
        <v>-306.54000000000002</v>
      </c>
      <c r="L971" t="s">
        <v>2917</v>
      </c>
      <c r="M971">
        <v>-1726.97</v>
      </c>
      <c r="N971" t="s">
        <v>2918</v>
      </c>
      <c r="O971" t="s">
        <v>17670</v>
      </c>
      <c r="P971" t="s">
        <v>2939</v>
      </c>
      <c r="Q971" t="s">
        <v>2924</v>
      </c>
      <c r="R971" t="s">
        <v>3219</v>
      </c>
      <c r="S971" t="s">
        <v>2208</v>
      </c>
      <c r="T971" t="s">
        <v>2208</v>
      </c>
    </row>
    <row r="972" spans="1:20">
      <c r="A972" t="s">
        <v>2239</v>
      </c>
      <c r="B972" t="s">
        <v>16360</v>
      </c>
      <c r="C972">
        <v>45803</v>
      </c>
      <c r="D972" t="s">
        <v>7263</v>
      </c>
      <c r="E972" t="s">
        <v>16361</v>
      </c>
      <c r="F972">
        <v>45804</v>
      </c>
      <c r="G972" t="s">
        <v>17643</v>
      </c>
      <c r="H972" t="s">
        <v>2916</v>
      </c>
      <c r="I972" t="s">
        <v>17671</v>
      </c>
      <c r="J972">
        <v>0</v>
      </c>
      <c r="K972">
        <v>-1483.44</v>
      </c>
      <c r="L972" t="s">
        <v>2917</v>
      </c>
      <c r="M972">
        <v>-8357.3799999999992</v>
      </c>
      <c r="N972" t="s">
        <v>2918</v>
      </c>
      <c r="O972" t="s">
        <v>17672</v>
      </c>
      <c r="P972" t="s">
        <v>2941</v>
      </c>
      <c r="Q972" t="s">
        <v>2924</v>
      </c>
      <c r="R972" t="s">
        <v>3219</v>
      </c>
      <c r="S972" t="s">
        <v>2208</v>
      </c>
      <c r="T972" t="s">
        <v>2208</v>
      </c>
    </row>
    <row r="973" spans="1:20">
      <c r="A973" t="s">
        <v>2239</v>
      </c>
      <c r="B973" t="s">
        <v>16360</v>
      </c>
      <c r="C973">
        <v>45800</v>
      </c>
      <c r="D973" t="s">
        <v>7263</v>
      </c>
      <c r="E973" t="s">
        <v>16361</v>
      </c>
      <c r="F973">
        <v>45804</v>
      </c>
      <c r="G973" t="s">
        <v>7594</v>
      </c>
      <c r="H973" t="s">
        <v>2916</v>
      </c>
      <c r="I973" t="s">
        <v>17740</v>
      </c>
      <c r="J973">
        <v>0</v>
      </c>
      <c r="K973">
        <v>-1782.21</v>
      </c>
      <c r="L973" t="s">
        <v>2917</v>
      </c>
      <c r="M973">
        <v>-10040.64</v>
      </c>
      <c r="N973" t="s">
        <v>2918</v>
      </c>
      <c r="O973" t="s">
        <v>17741</v>
      </c>
      <c r="P973" t="s">
        <v>2940</v>
      </c>
      <c r="Q973" t="s">
        <v>2924</v>
      </c>
      <c r="R973" t="s">
        <v>3219</v>
      </c>
      <c r="S973" t="s">
        <v>2208</v>
      </c>
      <c r="T973" t="s">
        <v>2208</v>
      </c>
    </row>
    <row r="974" spans="1:20">
      <c r="A974" t="s">
        <v>2239</v>
      </c>
      <c r="B974" t="s">
        <v>16360</v>
      </c>
      <c r="C974">
        <v>45800</v>
      </c>
      <c r="D974" t="s">
        <v>7263</v>
      </c>
      <c r="E974" t="s">
        <v>16361</v>
      </c>
      <c r="F974">
        <v>45804</v>
      </c>
      <c r="G974" t="s">
        <v>7594</v>
      </c>
      <c r="H974" t="s">
        <v>2916</v>
      </c>
      <c r="I974" t="s">
        <v>17742</v>
      </c>
      <c r="J974">
        <v>0</v>
      </c>
      <c r="K974">
        <v>-315.86</v>
      </c>
      <c r="L974" t="s">
        <v>2917</v>
      </c>
      <c r="M974">
        <v>-1779.49</v>
      </c>
      <c r="N974" t="s">
        <v>2918</v>
      </c>
      <c r="O974" t="s">
        <v>17743</v>
      </c>
      <c r="P974" t="s">
        <v>2940</v>
      </c>
      <c r="Q974" t="s">
        <v>2924</v>
      </c>
      <c r="R974" t="s">
        <v>3219</v>
      </c>
      <c r="S974" t="s">
        <v>2208</v>
      </c>
      <c r="T974" t="s">
        <v>2208</v>
      </c>
    </row>
    <row r="975" spans="1:20">
      <c r="A975" t="s">
        <v>2239</v>
      </c>
      <c r="B975" t="s">
        <v>16360</v>
      </c>
      <c r="C975">
        <v>45800</v>
      </c>
      <c r="D975" t="s">
        <v>7263</v>
      </c>
      <c r="E975" t="s">
        <v>16361</v>
      </c>
      <c r="F975">
        <v>45804</v>
      </c>
      <c r="G975" t="s">
        <v>7594</v>
      </c>
      <c r="H975" t="s">
        <v>2916</v>
      </c>
      <c r="I975" t="s">
        <v>17744</v>
      </c>
      <c r="J975">
        <v>0</v>
      </c>
      <c r="K975">
        <v>-445.73</v>
      </c>
      <c r="L975" t="s">
        <v>2917</v>
      </c>
      <c r="M975">
        <v>-2511.14</v>
      </c>
      <c r="N975" t="s">
        <v>2918</v>
      </c>
      <c r="O975" t="s">
        <v>17745</v>
      </c>
      <c r="P975" t="s">
        <v>2940</v>
      </c>
      <c r="Q975" t="s">
        <v>2924</v>
      </c>
      <c r="R975" t="s">
        <v>3219</v>
      </c>
      <c r="S975" t="s">
        <v>2208</v>
      </c>
      <c r="T975" t="s">
        <v>2208</v>
      </c>
    </row>
    <row r="976" spans="1:20">
      <c r="A976" t="s">
        <v>2239</v>
      </c>
      <c r="B976" t="s">
        <v>16360</v>
      </c>
      <c r="C976">
        <v>45800</v>
      </c>
      <c r="D976" t="s">
        <v>7263</v>
      </c>
      <c r="E976" t="s">
        <v>16361</v>
      </c>
      <c r="F976">
        <v>45804</v>
      </c>
      <c r="G976" t="s">
        <v>7594</v>
      </c>
      <c r="H976" t="s">
        <v>2916</v>
      </c>
      <c r="I976" t="s">
        <v>17746</v>
      </c>
      <c r="J976">
        <v>0</v>
      </c>
      <c r="K976">
        <v>-89.72</v>
      </c>
      <c r="L976" t="s">
        <v>2917</v>
      </c>
      <c r="M976">
        <v>-505.44</v>
      </c>
      <c r="N976" t="s">
        <v>2918</v>
      </c>
      <c r="O976" t="s">
        <v>17747</v>
      </c>
      <c r="P976" t="s">
        <v>2940</v>
      </c>
      <c r="Q976" t="s">
        <v>2924</v>
      </c>
      <c r="R976" t="s">
        <v>3219</v>
      </c>
      <c r="S976" t="s">
        <v>2208</v>
      </c>
      <c r="T976" t="s">
        <v>2208</v>
      </c>
    </row>
    <row r="977" spans="1:20">
      <c r="A977" t="s">
        <v>2239</v>
      </c>
      <c r="B977" t="s">
        <v>16360</v>
      </c>
      <c r="C977">
        <v>45784</v>
      </c>
      <c r="D977" t="s">
        <v>7263</v>
      </c>
      <c r="E977" t="s">
        <v>16361</v>
      </c>
      <c r="F977">
        <v>45805</v>
      </c>
      <c r="G977" t="s">
        <v>16970</v>
      </c>
      <c r="H977" t="s">
        <v>2916</v>
      </c>
      <c r="I977" t="s">
        <v>17793</v>
      </c>
      <c r="J977">
        <v>0</v>
      </c>
      <c r="K977">
        <v>-2462.64</v>
      </c>
      <c r="L977" t="s">
        <v>2917</v>
      </c>
      <c r="M977">
        <v>-13874.03</v>
      </c>
      <c r="N977" t="s">
        <v>2918</v>
      </c>
      <c r="O977" t="s">
        <v>17794</v>
      </c>
      <c r="P977" t="s">
        <v>11179</v>
      </c>
      <c r="Q977" t="s">
        <v>2924</v>
      </c>
      <c r="R977" t="s">
        <v>3219</v>
      </c>
      <c r="S977" t="s">
        <v>2208</v>
      </c>
      <c r="T977" t="s">
        <v>2208</v>
      </c>
    </row>
    <row r="978" spans="1:20">
      <c r="A978" t="s">
        <v>2239</v>
      </c>
      <c r="B978" t="s">
        <v>16360</v>
      </c>
      <c r="C978">
        <v>45808</v>
      </c>
      <c r="D978" t="s">
        <v>7263</v>
      </c>
      <c r="E978" t="s">
        <v>16361</v>
      </c>
      <c r="F978">
        <v>45808</v>
      </c>
      <c r="G978" t="s">
        <v>2208</v>
      </c>
      <c r="H978" t="s">
        <v>2916</v>
      </c>
      <c r="I978" t="s">
        <v>17861</v>
      </c>
      <c r="J978">
        <v>0</v>
      </c>
      <c r="K978">
        <v>-7.0000000000000007E-2</v>
      </c>
      <c r="L978" t="s">
        <v>2917</v>
      </c>
      <c r="M978">
        <v>0</v>
      </c>
      <c r="N978" t="s">
        <v>2918</v>
      </c>
      <c r="O978" t="s">
        <v>2919</v>
      </c>
      <c r="P978" t="s">
        <v>2208</v>
      </c>
      <c r="Q978" t="s">
        <v>2916</v>
      </c>
      <c r="R978" t="s">
        <v>3220</v>
      </c>
      <c r="S978" t="s">
        <v>2208</v>
      </c>
      <c r="T978" t="s">
        <v>2208</v>
      </c>
    </row>
    <row r="979" spans="1:20">
      <c r="A979" t="s">
        <v>2239</v>
      </c>
      <c r="B979" t="s">
        <v>16360</v>
      </c>
      <c r="C979">
        <v>45808</v>
      </c>
      <c r="D979" t="s">
        <v>7263</v>
      </c>
      <c r="E979" t="s">
        <v>16361</v>
      </c>
      <c r="F979">
        <v>45808</v>
      </c>
      <c r="G979" t="s">
        <v>2208</v>
      </c>
      <c r="H979" t="s">
        <v>2916</v>
      </c>
      <c r="I979" t="s">
        <v>17862</v>
      </c>
      <c r="J979">
        <v>0</v>
      </c>
      <c r="K979">
        <v>-0.06</v>
      </c>
      <c r="L979" t="s">
        <v>2917</v>
      </c>
      <c r="M979">
        <v>0</v>
      </c>
      <c r="N979" t="s">
        <v>2918</v>
      </c>
      <c r="O979" t="s">
        <v>2919</v>
      </c>
      <c r="P979" t="s">
        <v>2208</v>
      </c>
      <c r="Q979" t="s">
        <v>2916</v>
      </c>
      <c r="R979" t="s">
        <v>3220</v>
      </c>
      <c r="S979" t="s">
        <v>2208</v>
      </c>
      <c r="T979" t="s">
        <v>2208</v>
      </c>
    </row>
    <row r="980" spans="1:20">
      <c r="A980" t="s">
        <v>2239</v>
      </c>
      <c r="B980" t="s">
        <v>16360</v>
      </c>
      <c r="C980">
        <v>45808</v>
      </c>
      <c r="D980" t="s">
        <v>7263</v>
      </c>
      <c r="E980" t="s">
        <v>16361</v>
      </c>
      <c r="F980">
        <v>45808</v>
      </c>
      <c r="G980" t="s">
        <v>2208</v>
      </c>
      <c r="H980" t="s">
        <v>2916</v>
      </c>
      <c r="I980" t="s">
        <v>17863</v>
      </c>
      <c r="J980">
        <v>0</v>
      </c>
      <c r="K980">
        <v>-0.06</v>
      </c>
      <c r="L980" t="s">
        <v>2917</v>
      </c>
      <c r="M980">
        <v>0</v>
      </c>
      <c r="N980" t="s">
        <v>2918</v>
      </c>
      <c r="O980" t="s">
        <v>2919</v>
      </c>
      <c r="P980" t="s">
        <v>2208</v>
      </c>
      <c r="Q980" t="s">
        <v>2916</v>
      </c>
      <c r="R980" t="s">
        <v>3220</v>
      </c>
      <c r="S980" t="s">
        <v>2208</v>
      </c>
      <c r="T980" t="s">
        <v>2208</v>
      </c>
    </row>
    <row r="981" spans="1:20">
      <c r="A981" t="s">
        <v>2239</v>
      </c>
      <c r="B981" t="s">
        <v>16360</v>
      </c>
      <c r="C981">
        <v>45808</v>
      </c>
      <c r="D981" t="s">
        <v>7263</v>
      </c>
      <c r="E981" t="s">
        <v>16361</v>
      </c>
      <c r="F981">
        <v>45808</v>
      </c>
      <c r="G981" t="s">
        <v>2208</v>
      </c>
      <c r="H981" t="s">
        <v>2916</v>
      </c>
      <c r="I981" t="s">
        <v>17864</v>
      </c>
      <c r="J981">
        <v>0</v>
      </c>
      <c r="K981">
        <v>-0.09</v>
      </c>
      <c r="L981" t="s">
        <v>2917</v>
      </c>
      <c r="M981">
        <v>0</v>
      </c>
      <c r="N981" t="s">
        <v>2918</v>
      </c>
      <c r="O981" t="s">
        <v>2919</v>
      </c>
      <c r="P981" t="s">
        <v>2208</v>
      </c>
      <c r="Q981" t="s">
        <v>2916</v>
      </c>
      <c r="R981" t="s">
        <v>3220</v>
      </c>
      <c r="S981" t="s">
        <v>2208</v>
      </c>
      <c r="T981" t="s">
        <v>2208</v>
      </c>
    </row>
    <row r="982" spans="1:20">
      <c r="A982" t="s">
        <v>2239</v>
      </c>
      <c r="B982" t="s">
        <v>17897</v>
      </c>
      <c r="C982">
        <v>45814</v>
      </c>
      <c r="D982" t="s">
        <v>7263</v>
      </c>
      <c r="E982" t="s">
        <v>17898</v>
      </c>
      <c r="F982">
        <v>45814</v>
      </c>
      <c r="G982" t="s">
        <v>18463</v>
      </c>
      <c r="H982" t="s">
        <v>2916</v>
      </c>
      <c r="I982" t="s">
        <v>18464</v>
      </c>
      <c r="J982">
        <v>6</v>
      </c>
      <c r="K982">
        <v>145.88999999999999</v>
      </c>
      <c r="L982" t="s">
        <v>2917</v>
      </c>
      <c r="M982">
        <v>828</v>
      </c>
      <c r="N982" t="s">
        <v>2918</v>
      </c>
      <c r="O982" t="s">
        <v>18465</v>
      </c>
      <c r="P982" t="s">
        <v>18466</v>
      </c>
      <c r="Q982" t="s">
        <v>2924</v>
      </c>
      <c r="R982" t="s">
        <v>3219</v>
      </c>
      <c r="S982" t="s">
        <v>18467</v>
      </c>
      <c r="T982" t="s">
        <v>18468</v>
      </c>
    </row>
    <row r="983" spans="1:20">
      <c r="A983" t="s">
        <v>2239</v>
      </c>
      <c r="B983" t="s">
        <v>17897</v>
      </c>
      <c r="C983">
        <v>45814</v>
      </c>
      <c r="D983" t="s">
        <v>7263</v>
      </c>
      <c r="E983" t="s">
        <v>17898</v>
      </c>
      <c r="F983">
        <v>45814</v>
      </c>
      <c r="G983" t="s">
        <v>18463</v>
      </c>
      <c r="H983" t="s">
        <v>2916</v>
      </c>
      <c r="I983" t="s">
        <v>18464</v>
      </c>
      <c r="J983">
        <v>27</v>
      </c>
      <c r="K983">
        <v>818.27</v>
      </c>
      <c r="L983" t="s">
        <v>2917</v>
      </c>
      <c r="M983">
        <v>4644</v>
      </c>
      <c r="N983" t="s">
        <v>2918</v>
      </c>
      <c r="O983" t="s">
        <v>18465</v>
      </c>
      <c r="P983" t="s">
        <v>18469</v>
      </c>
      <c r="Q983" t="s">
        <v>2924</v>
      </c>
      <c r="R983" t="s">
        <v>3219</v>
      </c>
      <c r="S983" t="s">
        <v>18470</v>
      </c>
      <c r="T983" t="s">
        <v>18471</v>
      </c>
    </row>
    <row r="984" spans="1:20">
      <c r="A984" t="s">
        <v>2239</v>
      </c>
      <c r="B984" t="s">
        <v>17897</v>
      </c>
      <c r="C984">
        <v>45814</v>
      </c>
      <c r="D984" t="s">
        <v>7263</v>
      </c>
      <c r="E984" t="s">
        <v>17898</v>
      </c>
      <c r="F984">
        <v>45814</v>
      </c>
      <c r="G984" t="s">
        <v>18463</v>
      </c>
      <c r="H984" t="s">
        <v>2916</v>
      </c>
      <c r="I984" t="s">
        <v>18464</v>
      </c>
      <c r="J984">
        <v>4</v>
      </c>
      <c r="K984">
        <v>1113.58</v>
      </c>
      <c r="L984" t="s">
        <v>2917</v>
      </c>
      <c r="M984">
        <v>6320</v>
      </c>
      <c r="N984" t="s">
        <v>2918</v>
      </c>
      <c r="O984" t="s">
        <v>18465</v>
      </c>
      <c r="P984" t="s">
        <v>17198</v>
      </c>
      <c r="Q984" t="s">
        <v>2924</v>
      </c>
      <c r="R984" t="s">
        <v>3219</v>
      </c>
      <c r="S984" t="s">
        <v>17199</v>
      </c>
      <c r="T984" t="s">
        <v>17200</v>
      </c>
    </row>
    <row r="985" spans="1:20">
      <c r="A985" t="s">
        <v>2239</v>
      </c>
      <c r="B985" t="s">
        <v>17897</v>
      </c>
      <c r="C985">
        <v>45814</v>
      </c>
      <c r="D985" t="s">
        <v>7263</v>
      </c>
      <c r="E985" t="s">
        <v>17898</v>
      </c>
      <c r="F985">
        <v>45814</v>
      </c>
      <c r="G985" t="s">
        <v>18463</v>
      </c>
      <c r="H985" t="s">
        <v>2916</v>
      </c>
      <c r="I985" t="s">
        <v>18472</v>
      </c>
      <c r="J985">
        <v>0</v>
      </c>
      <c r="K985">
        <v>-13.49</v>
      </c>
      <c r="L985" t="s">
        <v>2917</v>
      </c>
      <c r="M985">
        <v>-76.59</v>
      </c>
      <c r="N985" t="s">
        <v>2918</v>
      </c>
      <c r="O985" t="s">
        <v>18473</v>
      </c>
      <c r="P985" t="s">
        <v>18466</v>
      </c>
      <c r="Q985" t="s">
        <v>2924</v>
      </c>
      <c r="R985" t="s">
        <v>3219</v>
      </c>
      <c r="S985" t="s">
        <v>18467</v>
      </c>
      <c r="T985" t="s">
        <v>18468</v>
      </c>
    </row>
    <row r="986" spans="1:20">
      <c r="A986" t="s">
        <v>2239</v>
      </c>
      <c r="B986" t="s">
        <v>17897</v>
      </c>
      <c r="C986">
        <v>45814</v>
      </c>
      <c r="D986" t="s">
        <v>7263</v>
      </c>
      <c r="E986" t="s">
        <v>17898</v>
      </c>
      <c r="F986">
        <v>45814</v>
      </c>
      <c r="G986" t="s">
        <v>18463</v>
      </c>
      <c r="H986" t="s">
        <v>2916</v>
      </c>
      <c r="I986" t="s">
        <v>18472</v>
      </c>
      <c r="J986">
        <v>0</v>
      </c>
      <c r="K986">
        <v>-75.69</v>
      </c>
      <c r="L986" t="s">
        <v>2917</v>
      </c>
      <c r="M986">
        <v>-429.57</v>
      </c>
      <c r="N986" t="s">
        <v>2918</v>
      </c>
      <c r="O986" t="s">
        <v>18473</v>
      </c>
      <c r="P986" t="s">
        <v>18469</v>
      </c>
      <c r="Q986" t="s">
        <v>2924</v>
      </c>
      <c r="R986" t="s">
        <v>3219</v>
      </c>
      <c r="S986" t="s">
        <v>18470</v>
      </c>
      <c r="T986" t="s">
        <v>18471</v>
      </c>
    </row>
    <row r="987" spans="1:20">
      <c r="A987" t="s">
        <v>2239</v>
      </c>
      <c r="B987" t="s">
        <v>17897</v>
      </c>
      <c r="C987">
        <v>45814</v>
      </c>
      <c r="D987" t="s">
        <v>7263</v>
      </c>
      <c r="E987" t="s">
        <v>17898</v>
      </c>
      <c r="F987">
        <v>45814</v>
      </c>
      <c r="G987" t="s">
        <v>18463</v>
      </c>
      <c r="H987" t="s">
        <v>2916</v>
      </c>
      <c r="I987" t="s">
        <v>18472</v>
      </c>
      <c r="J987">
        <v>0</v>
      </c>
      <c r="K987">
        <v>-103</v>
      </c>
      <c r="L987" t="s">
        <v>2917</v>
      </c>
      <c r="M987">
        <v>-584.6</v>
      </c>
      <c r="N987" t="s">
        <v>2918</v>
      </c>
      <c r="O987" t="s">
        <v>18473</v>
      </c>
      <c r="P987" t="s">
        <v>17198</v>
      </c>
      <c r="Q987" t="s">
        <v>2924</v>
      </c>
      <c r="R987" t="s">
        <v>3219</v>
      </c>
      <c r="S987" t="s">
        <v>17199</v>
      </c>
      <c r="T987" t="s">
        <v>17200</v>
      </c>
    </row>
    <row r="988" spans="1:20">
      <c r="A988" t="s">
        <v>2239</v>
      </c>
      <c r="B988" t="s">
        <v>17897</v>
      </c>
      <c r="C988">
        <v>45799</v>
      </c>
      <c r="D988" t="s">
        <v>7263</v>
      </c>
      <c r="E988" t="s">
        <v>17898</v>
      </c>
      <c r="F988">
        <v>45817</v>
      </c>
      <c r="G988" t="s">
        <v>7601</v>
      </c>
      <c r="H988" t="s">
        <v>2916</v>
      </c>
      <c r="I988" t="s">
        <v>18587</v>
      </c>
      <c r="J988">
        <v>0</v>
      </c>
      <c r="K988">
        <v>-861.05</v>
      </c>
      <c r="L988" t="s">
        <v>2917</v>
      </c>
      <c r="M988">
        <v>-4525.79</v>
      </c>
      <c r="N988" t="s">
        <v>2918</v>
      </c>
      <c r="O988" t="s">
        <v>18588</v>
      </c>
      <c r="P988" t="s">
        <v>2939</v>
      </c>
      <c r="Q988" t="s">
        <v>2924</v>
      </c>
      <c r="R988" t="s">
        <v>3219</v>
      </c>
      <c r="S988" t="s">
        <v>2208</v>
      </c>
      <c r="T988" t="s">
        <v>2208</v>
      </c>
    </row>
    <row r="989" spans="1:20">
      <c r="A989" t="s">
        <v>2239</v>
      </c>
      <c r="B989" t="s">
        <v>17897</v>
      </c>
      <c r="C989">
        <v>45818</v>
      </c>
      <c r="D989" t="s">
        <v>7263</v>
      </c>
      <c r="E989" t="s">
        <v>17898</v>
      </c>
      <c r="F989">
        <v>45824</v>
      </c>
      <c r="G989" t="s">
        <v>18589</v>
      </c>
      <c r="H989" t="s">
        <v>2916</v>
      </c>
      <c r="I989" t="s">
        <v>18590</v>
      </c>
      <c r="J989">
        <v>1</v>
      </c>
      <c r="K989">
        <v>160.34</v>
      </c>
      <c r="L989" t="s">
        <v>2917</v>
      </c>
      <c r="M989">
        <v>910</v>
      </c>
      <c r="N989" t="s">
        <v>2918</v>
      </c>
      <c r="O989" t="s">
        <v>18591</v>
      </c>
      <c r="P989" t="s">
        <v>18592</v>
      </c>
      <c r="Q989" t="s">
        <v>2924</v>
      </c>
      <c r="R989" t="s">
        <v>3219</v>
      </c>
      <c r="S989" t="s">
        <v>18593</v>
      </c>
      <c r="T989" t="s">
        <v>18594</v>
      </c>
    </row>
    <row r="990" spans="1:20">
      <c r="A990" t="s">
        <v>2239</v>
      </c>
      <c r="B990" t="s">
        <v>17897</v>
      </c>
      <c r="C990">
        <v>45818</v>
      </c>
      <c r="D990" t="s">
        <v>7263</v>
      </c>
      <c r="E990" t="s">
        <v>17898</v>
      </c>
      <c r="F990">
        <v>45824</v>
      </c>
      <c r="G990" t="s">
        <v>18589</v>
      </c>
      <c r="H990" t="s">
        <v>2916</v>
      </c>
      <c r="I990" t="s">
        <v>18595</v>
      </c>
      <c r="J990">
        <v>0</v>
      </c>
      <c r="K990">
        <v>-14.83</v>
      </c>
      <c r="L990" t="s">
        <v>2917</v>
      </c>
      <c r="M990">
        <v>-84.18</v>
      </c>
      <c r="N990" t="s">
        <v>2918</v>
      </c>
      <c r="O990" t="s">
        <v>18596</v>
      </c>
      <c r="P990" t="s">
        <v>18592</v>
      </c>
      <c r="Q990" t="s">
        <v>2924</v>
      </c>
      <c r="R990" t="s">
        <v>3219</v>
      </c>
      <c r="S990" t="s">
        <v>18593</v>
      </c>
      <c r="T990" t="s">
        <v>18594</v>
      </c>
    </row>
    <row r="991" spans="1:20">
      <c r="A991" t="s">
        <v>2239</v>
      </c>
      <c r="B991" t="s">
        <v>17897</v>
      </c>
      <c r="C991">
        <v>45814</v>
      </c>
      <c r="D991" t="s">
        <v>7263</v>
      </c>
      <c r="E991" t="s">
        <v>17898</v>
      </c>
      <c r="F991">
        <v>45814</v>
      </c>
      <c r="G991" t="s">
        <v>18463</v>
      </c>
      <c r="H991" t="s">
        <v>2916</v>
      </c>
      <c r="I991" t="s">
        <v>18597</v>
      </c>
      <c r="J991">
        <v>0</v>
      </c>
      <c r="K991">
        <v>13.49</v>
      </c>
      <c r="L991" t="s">
        <v>2917</v>
      </c>
      <c r="M991">
        <v>76.59</v>
      </c>
      <c r="N991" t="s">
        <v>2918</v>
      </c>
      <c r="O991" t="s">
        <v>18598</v>
      </c>
      <c r="P991" t="s">
        <v>18466</v>
      </c>
      <c r="Q991" t="s">
        <v>2924</v>
      </c>
      <c r="R991" t="s">
        <v>3219</v>
      </c>
      <c r="S991" t="s">
        <v>18467</v>
      </c>
      <c r="T991" t="s">
        <v>18468</v>
      </c>
    </row>
    <row r="992" spans="1:20">
      <c r="A992" t="s">
        <v>2239</v>
      </c>
      <c r="B992" t="s">
        <v>17897</v>
      </c>
      <c r="C992">
        <v>45814</v>
      </c>
      <c r="D992" t="s">
        <v>7263</v>
      </c>
      <c r="E992" t="s">
        <v>17898</v>
      </c>
      <c r="F992">
        <v>45814</v>
      </c>
      <c r="G992" t="s">
        <v>18463</v>
      </c>
      <c r="H992" t="s">
        <v>2916</v>
      </c>
      <c r="I992" t="s">
        <v>18597</v>
      </c>
      <c r="J992">
        <v>0</v>
      </c>
      <c r="K992">
        <v>75.69</v>
      </c>
      <c r="L992" t="s">
        <v>2917</v>
      </c>
      <c r="M992">
        <v>429.57</v>
      </c>
      <c r="N992" t="s">
        <v>2918</v>
      </c>
      <c r="O992" t="s">
        <v>18598</v>
      </c>
      <c r="P992" t="s">
        <v>18469</v>
      </c>
      <c r="Q992" t="s">
        <v>2924</v>
      </c>
      <c r="R992" t="s">
        <v>3219</v>
      </c>
      <c r="S992" t="s">
        <v>18470</v>
      </c>
      <c r="T992" t="s">
        <v>18471</v>
      </c>
    </row>
    <row r="993" spans="1:20">
      <c r="A993" t="s">
        <v>2239</v>
      </c>
      <c r="B993" t="s">
        <v>17897</v>
      </c>
      <c r="C993">
        <v>45814</v>
      </c>
      <c r="D993" t="s">
        <v>7263</v>
      </c>
      <c r="E993" t="s">
        <v>17898</v>
      </c>
      <c r="F993">
        <v>45814</v>
      </c>
      <c r="G993" t="s">
        <v>18463</v>
      </c>
      <c r="H993" t="s">
        <v>2916</v>
      </c>
      <c r="I993" t="s">
        <v>18597</v>
      </c>
      <c r="J993">
        <v>0</v>
      </c>
      <c r="K993">
        <v>103</v>
      </c>
      <c r="L993" t="s">
        <v>2917</v>
      </c>
      <c r="M993">
        <v>584.6</v>
      </c>
      <c r="N993" t="s">
        <v>2918</v>
      </c>
      <c r="O993" t="s">
        <v>18598</v>
      </c>
      <c r="P993" t="s">
        <v>17198</v>
      </c>
      <c r="Q993" t="s">
        <v>2924</v>
      </c>
      <c r="R993" t="s">
        <v>3219</v>
      </c>
      <c r="S993" t="s">
        <v>17199</v>
      </c>
      <c r="T993" t="s">
        <v>17200</v>
      </c>
    </row>
    <row r="994" spans="1:20">
      <c r="A994" t="s">
        <v>2239</v>
      </c>
      <c r="B994" t="s">
        <v>17897</v>
      </c>
      <c r="C994">
        <v>45818</v>
      </c>
      <c r="D994" t="s">
        <v>7263</v>
      </c>
      <c r="E994" t="s">
        <v>17898</v>
      </c>
      <c r="F994">
        <v>45824</v>
      </c>
      <c r="G994" t="s">
        <v>18589</v>
      </c>
      <c r="H994" t="s">
        <v>2916</v>
      </c>
      <c r="I994" t="s">
        <v>18599</v>
      </c>
      <c r="J994">
        <v>0</v>
      </c>
      <c r="K994">
        <v>14.83</v>
      </c>
      <c r="L994" t="s">
        <v>2917</v>
      </c>
      <c r="M994">
        <v>84.18</v>
      </c>
      <c r="N994" t="s">
        <v>2918</v>
      </c>
      <c r="O994" t="s">
        <v>18600</v>
      </c>
      <c r="P994" t="s">
        <v>18592</v>
      </c>
      <c r="Q994" t="s">
        <v>2924</v>
      </c>
      <c r="R994" t="s">
        <v>3219</v>
      </c>
      <c r="S994" t="s">
        <v>18593</v>
      </c>
      <c r="T994" t="s">
        <v>18594</v>
      </c>
    </row>
    <row r="995" spans="1:20">
      <c r="A995" t="s">
        <v>2239</v>
      </c>
      <c r="B995" t="s">
        <v>17897</v>
      </c>
      <c r="C995">
        <v>45821</v>
      </c>
      <c r="D995" t="s">
        <v>7263</v>
      </c>
      <c r="E995" t="s">
        <v>17898</v>
      </c>
      <c r="F995">
        <v>45826</v>
      </c>
      <c r="G995" t="s">
        <v>18601</v>
      </c>
      <c r="H995" t="s">
        <v>2916</v>
      </c>
      <c r="I995" t="s">
        <v>18602</v>
      </c>
      <c r="J995">
        <v>20000</v>
      </c>
      <c r="K995">
        <v>1010.79</v>
      </c>
      <c r="L995" t="s">
        <v>2917</v>
      </c>
      <c r="M995">
        <v>5736.59</v>
      </c>
      <c r="N995" t="s">
        <v>2918</v>
      </c>
      <c r="O995" t="s">
        <v>18603</v>
      </c>
      <c r="P995" t="s">
        <v>18604</v>
      </c>
      <c r="Q995" t="s">
        <v>2924</v>
      </c>
      <c r="R995" t="s">
        <v>3219</v>
      </c>
      <c r="S995" t="s">
        <v>18605</v>
      </c>
      <c r="T995" t="s">
        <v>18606</v>
      </c>
    </row>
    <row r="996" spans="1:20">
      <c r="A996" t="s">
        <v>2239</v>
      </c>
      <c r="B996" t="s">
        <v>17897</v>
      </c>
      <c r="C996">
        <v>45821</v>
      </c>
      <c r="D996" t="s">
        <v>7263</v>
      </c>
      <c r="E996" t="s">
        <v>17898</v>
      </c>
      <c r="F996">
        <v>45826</v>
      </c>
      <c r="G996" t="s">
        <v>18601</v>
      </c>
      <c r="H996" t="s">
        <v>2916</v>
      </c>
      <c r="I996" t="s">
        <v>18607</v>
      </c>
      <c r="J996">
        <v>0</v>
      </c>
      <c r="K996">
        <v>-111.21</v>
      </c>
      <c r="L996" t="s">
        <v>2917</v>
      </c>
      <c r="M996">
        <v>-631.12</v>
      </c>
      <c r="N996" t="s">
        <v>2918</v>
      </c>
      <c r="O996" t="s">
        <v>18608</v>
      </c>
      <c r="P996" t="s">
        <v>18604</v>
      </c>
      <c r="Q996" t="s">
        <v>2924</v>
      </c>
      <c r="R996" t="s">
        <v>3219</v>
      </c>
      <c r="S996" t="s">
        <v>18605</v>
      </c>
      <c r="T996" t="s">
        <v>18606</v>
      </c>
    </row>
    <row r="997" spans="1:20">
      <c r="A997" t="s">
        <v>2239</v>
      </c>
      <c r="B997" t="s">
        <v>17897</v>
      </c>
      <c r="C997">
        <v>45797</v>
      </c>
      <c r="D997" t="s">
        <v>7263</v>
      </c>
      <c r="E997" t="s">
        <v>17898</v>
      </c>
      <c r="F997">
        <v>45828</v>
      </c>
      <c r="G997" t="s">
        <v>18609</v>
      </c>
      <c r="H997" t="s">
        <v>2916</v>
      </c>
      <c r="I997" t="s">
        <v>18610</v>
      </c>
      <c r="J997">
        <v>9300</v>
      </c>
      <c r="K997">
        <v>1638.66</v>
      </c>
      <c r="L997" t="s">
        <v>2917</v>
      </c>
      <c r="M997">
        <v>9300</v>
      </c>
      <c r="N997" t="s">
        <v>2918</v>
      </c>
      <c r="O997" t="s">
        <v>2939</v>
      </c>
      <c r="P997" t="s">
        <v>2939</v>
      </c>
      <c r="Q997" t="s">
        <v>2924</v>
      </c>
      <c r="R997" t="s">
        <v>3219</v>
      </c>
      <c r="S997" t="s">
        <v>2208</v>
      </c>
      <c r="T997" t="s">
        <v>2208</v>
      </c>
    </row>
    <row r="998" spans="1:20">
      <c r="A998" t="s">
        <v>2239</v>
      </c>
      <c r="B998" t="s">
        <v>17897</v>
      </c>
      <c r="C998">
        <v>45428</v>
      </c>
      <c r="D998" t="s">
        <v>7263</v>
      </c>
      <c r="E998" t="s">
        <v>17898</v>
      </c>
      <c r="F998">
        <v>45828</v>
      </c>
      <c r="G998" t="s">
        <v>3940</v>
      </c>
      <c r="H998" t="s">
        <v>2916</v>
      </c>
      <c r="I998" t="s">
        <v>18865</v>
      </c>
      <c r="J998">
        <v>15075.8</v>
      </c>
      <c r="K998">
        <v>2656.36</v>
      </c>
      <c r="L998" t="s">
        <v>2917</v>
      </c>
      <c r="M998">
        <v>15075.8</v>
      </c>
      <c r="N998" t="s">
        <v>2918</v>
      </c>
      <c r="O998" t="s">
        <v>2923</v>
      </c>
      <c r="P998" t="s">
        <v>2923</v>
      </c>
      <c r="Q998" t="s">
        <v>2924</v>
      </c>
      <c r="R998" t="s">
        <v>3219</v>
      </c>
      <c r="S998" t="s">
        <v>2208</v>
      </c>
      <c r="T998" t="s">
        <v>2208</v>
      </c>
    </row>
    <row r="999" spans="1:20">
      <c r="A999" t="s">
        <v>2239</v>
      </c>
      <c r="B999" t="s">
        <v>17897</v>
      </c>
      <c r="C999">
        <v>45428</v>
      </c>
      <c r="D999" t="s">
        <v>7263</v>
      </c>
      <c r="E999" t="s">
        <v>17898</v>
      </c>
      <c r="F999">
        <v>45828</v>
      </c>
      <c r="G999" t="s">
        <v>3940</v>
      </c>
      <c r="H999" t="s">
        <v>2916</v>
      </c>
      <c r="I999" t="s">
        <v>18866</v>
      </c>
      <c r="J999">
        <v>3366.04</v>
      </c>
      <c r="K999">
        <v>593.1</v>
      </c>
      <c r="L999" t="s">
        <v>2917</v>
      </c>
      <c r="M999">
        <v>3366.04</v>
      </c>
      <c r="N999" t="s">
        <v>2918</v>
      </c>
      <c r="O999" t="s">
        <v>2923</v>
      </c>
      <c r="P999" t="s">
        <v>2923</v>
      </c>
      <c r="Q999" t="s">
        <v>2924</v>
      </c>
      <c r="R999" t="s">
        <v>3219</v>
      </c>
      <c r="S999" t="s">
        <v>2208</v>
      </c>
      <c r="T999" t="s">
        <v>2208</v>
      </c>
    </row>
    <row r="1000" spans="1:20">
      <c r="A1000" t="s">
        <v>2239</v>
      </c>
      <c r="B1000" t="s">
        <v>17897</v>
      </c>
      <c r="C1000">
        <v>45428</v>
      </c>
      <c r="D1000" t="s">
        <v>7263</v>
      </c>
      <c r="E1000" t="s">
        <v>17898</v>
      </c>
      <c r="F1000">
        <v>45828</v>
      </c>
      <c r="G1000" t="s">
        <v>3940</v>
      </c>
      <c r="H1000" t="s">
        <v>2916</v>
      </c>
      <c r="I1000" t="s">
        <v>18867</v>
      </c>
      <c r="J1000">
        <v>14567.82</v>
      </c>
      <c r="K1000">
        <v>2566.85</v>
      </c>
      <c r="L1000" t="s">
        <v>2917</v>
      </c>
      <c r="M1000">
        <v>14567.82</v>
      </c>
      <c r="N1000" t="s">
        <v>2918</v>
      </c>
      <c r="O1000" t="s">
        <v>2923</v>
      </c>
      <c r="P1000" t="s">
        <v>2923</v>
      </c>
      <c r="Q1000" t="s">
        <v>2924</v>
      </c>
      <c r="R1000" t="s">
        <v>3219</v>
      </c>
      <c r="S1000" t="s">
        <v>2208</v>
      </c>
      <c r="T1000" t="s">
        <v>2208</v>
      </c>
    </row>
    <row r="1001" spans="1:20">
      <c r="A1001" t="s">
        <v>2239</v>
      </c>
      <c r="B1001" t="s">
        <v>17897</v>
      </c>
      <c r="C1001">
        <v>45428</v>
      </c>
      <c r="D1001" t="s">
        <v>7263</v>
      </c>
      <c r="E1001" t="s">
        <v>17898</v>
      </c>
      <c r="F1001">
        <v>45828</v>
      </c>
      <c r="G1001" t="s">
        <v>3940</v>
      </c>
      <c r="H1001" t="s">
        <v>2916</v>
      </c>
      <c r="I1001" t="s">
        <v>18868</v>
      </c>
      <c r="J1001">
        <v>192931.7</v>
      </c>
      <c r="K1001">
        <v>33994.57</v>
      </c>
      <c r="L1001" t="s">
        <v>2917</v>
      </c>
      <c r="M1001">
        <v>192931.7</v>
      </c>
      <c r="N1001" t="s">
        <v>2918</v>
      </c>
      <c r="O1001" t="s">
        <v>2923</v>
      </c>
      <c r="P1001" t="s">
        <v>2923</v>
      </c>
      <c r="Q1001" t="s">
        <v>2924</v>
      </c>
      <c r="R1001" t="s">
        <v>3219</v>
      </c>
      <c r="S1001" t="s">
        <v>2208</v>
      </c>
      <c r="T1001" t="s">
        <v>2208</v>
      </c>
    </row>
    <row r="1002" spans="1:20">
      <c r="A1002" t="s">
        <v>2239</v>
      </c>
      <c r="B1002" t="s">
        <v>17897</v>
      </c>
      <c r="C1002">
        <v>45428</v>
      </c>
      <c r="D1002" t="s">
        <v>7263</v>
      </c>
      <c r="E1002" t="s">
        <v>17898</v>
      </c>
      <c r="F1002">
        <v>45831</v>
      </c>
      <c r="G1002" t="s">
        <v>3940</v>
      </c>
      <c r="H1002" t="s">
        <v>2916</v>
      </c>
      <c r="I1002" t="s">
        <v>18895</v>
      </c>
      <c r="J1002">
        <v>9193.9500000000007</v>
      </c>
      <c r="K1002">
        <v>1619.97</v>
      </c>
      <c r="L1002" t="s">
        <v>2917</v>
      </c>
      <c r="M1002">
        <v>9193.9500000000007</v>
      </c>
      <c r="N1002" t="s">
        <v>2918</v>
      </c>
      <c r="O1002" t="s">
        <v>2923</v>
      </c>
      <c r="P1002" t="s">
        <v>2923</v>
      </c>
      <c r="Q1002" t="s">
        <v>2924</v>
      </c>
      <c r="R1002" t="s">
        <v>3219</v>
      </c>
      <c r="S1002" t="s">
        <v>2208</v>
      </c>
      <c r="T1002" t="s">
        <v>2208</v>
      </c>
    </row>
    <row r="1003" spans="1:20">
      <c r="A1003" t="s">
        <v>2239</v>
      </c>
      <c r="B1003" t="s">
        <v>17897</v>
      </c>
      <c r="C1003">
        <v>45770</v>
      </c>
      <c r="D1003" t="s">
        <v>7263</v>
      </c>
      <c r="E1003" t="s">
        <v>17898</v>
      </c>
      <c r="F1003">
        <v>45831</v>
      </c>
      <c r="G1003" t="s">
        <v>18896</v>
      </c>
      <c r="H1003" t="s">
        <v>2916</v>
      </c>
      <c r="I1003" t="s">
        <v>18897</v>
      </c>
      <c r="J1003">
        <v>25500</v>
      </c>
      <c r="K1003">
        <v>4493.1000000000004</v>
      </c>
      <c r="L1003" t="s">
        <v>2917</v>
      </c>
      <c r="M1003">
        <v>25500</v>
      </c>
      <c r="N1003" t="s">
        <v>2918</v>
      </c>
      <c r="O1003" t="s">
        <v>17358</v>
      </c>
      <c r="P1003" t="s">
        <v>17358</v>
      </c>
      <c r="Q1003" t="s">
        <v>2924</v>
      </c>
      <c r="R1003" t="s">
        <v>3219</v>
      </c>
      <c r="S1003" t="s">
        <v>2208</v>
      </c>
      <c r="T1003" t="s">
        <v>2208</v>
      </c>
    </row>
    <row r="1004" spans="1:20">
      <c r="A1004" t="s">
        <v>2239</v>
      </c>
      <c r="B1004" t="s">
        <v>17897</v>
      </c>
      <c r="C1004">
        <v>45170</v>
      </c>
      <c r="D1004" t="s">
        <v>7263</v>
      </c>
      <c r="E1004" t="s">
        <v>17898</v>
      </c>
      <c r="F1004">
        <v>45831</v>
      </c>
      <c r="G1004" t="s">
        <v>7594</v>
      </c>
      <c r="H1004" t="s">
        <v>2916</v>
      </c>
      <c r="I1004" t="s">
        <v>18898</v>
      </c>
      <c r="J1004">
        <v>56444.7</v>
      </c>
      <c r="K1004">
        <v>9945.56</v>
      </c>
      <c r="L1004" t="s">
        <v>2917</v>
      </c>
      <c r="M1004">
        <v>56444.7</v>
      </c>
      <c r="N1004" t="s">
        <v>2918</v>
      </c>
      <c r="O1004" t="s">
        <v>2940</v>
      </c>
      <c r="P1004" t="s">
        <v>2940</v>
      </c>
      <c r="Q1004" t="s">
        <v>2924</v>
      </c>
      <c r="R1004" t="s">
        <v>3219</v>
      </c>
      <c r="S1004" t="s">
        <v>2208</v>
      </c>
      <c r="T1004" t="s">
        <v>2208</v>
      </c>
    </row>
    <row r="1005" spans="1:20">
      <c r="A1005" t="s">
        <v>2239</v>
      </c>
      <c r="B1005" t="s">
        <v>17897</v>
      </c>
      <c r="C1005">
        <v>45170</v>
      </c>
      <c r="D1005" t="s">
        <v>7263</v>
      </c>
      <c r="E1005" t="s">
        <v>17898</v>
      </c>
      <c r="F1005">
        <v>45831</v>
      </c>
      <c r="G1005" t="s">
        <v>7594</v>
      </c>
      <c r="H1005" t="s">
        <v>2916</v>
      </c>
      <c r="I1005" t="s">
        <v>18899</v>
      </c>
      <c r="J1005">
        <v>89625.03</v>
      </c>
      <c r="K1005">
        <v>15791.93</v>
      </c>
      <c r="L1005" t="s">
        <v>2917</v>
      </c>
      <c r="M1005">
        <v>89625.03</v>
      </c>
      <c r="N1005" t="s">
        <v>2918</v>
      </c>
      <c r="O1005" t="s">
        <v>2940</v>
      </c>
      <c r="P1005" t="s">
        <v>2940</v>
      </c>
      <c r="Q1005" t="s">
        <v>2924</v>
      </c>
      <c r="R1005" t="s">
        <v>3219</v>
      </c>
      <c r="S1005" t="s">
        <v>2208</v>
      </c>
      <c r="T1005" t="s">
        <v>2208</v>
      </c>
    </row>
    <row r="1006" spans="1:20">
      <c r="A1006" t="s">
        <v>2239</v>
      </c>
      <c r="B1006" t="s">
        <v>17897</v>
      </c>
      <c r="C1006">
        <v>45170</v>
      </c>
      <c r="D1006" t="s">
        <v>7263</v>
      </c>
      <c r="E1006" t="s">
        <v>17898</v>
      </c>
      <c r="F1006">
        <v>45831</v>
      </c>
      <c r="G1006" t="s">
        <v>7594</v>
      </c>
      <c r="H1006" t="s">
        <v>2916</v>
      </c>
      <c r="I1006" t="s">
        <v>18900</v>
      </c>
      <c r="J1006">
        <v>28644</v>
      </c>
      <c r="K1006">
        <v>5047.07</v>
      </c>
      <c r="L1006" t="s">
        <v>2917</v>
      </c>
      <c r="M1006">
        <v>28644</v>
      </c>
      <c r="N1006" t="s">
        <v>2918</v>
      </c>
      <c r="O1006" t="s">
        <v>2940</v>
      </c>
      <c r="P1006" t="s">
        <v>2940</v>
      </c>
      <c r="Q1006" t="s">
        <v>2924</v>
      </c>
      <c r="R1006" t="s">
        <v>3219</v>
      </c>
      <c r="S1006" t="s">
        <v>2208</v>
      </c>
      <c r="T1006" t="s">
        <v>2208</v>
      </c>
    </row>
    <row r="1007" spans="1:20">
      <c r="A1007" t="s">
        <v>2239</v>
      </c>
      <c r="B1007" t="s">
        <v>17897</v>
      </c>
      <c r="C1007">
        <v>45170</v>
      </c>
      <c r="D1007" t="s">
        <v>7263</v>
      </c>
      <c r="E1007" t="s">
        <v>17898</v>
      </c>
      <c r="F1007">
        <v>45831</v>
      </c>
      <c r="G1007" t="s">
        <v>7594</v>
      </c>
      <c r="H1007" t="s">
        <v>2916</v>
      </c>
      <c r="I1007" t="s">
        <v>18901</v>
      </c>
      <c r="J1007">
        <v>98786.03</v>
      </c>
      <c r="K1007">
        <v>17406.099999999999</v>
      </c>
      <c r="L1007" t="s">
        <v>2917</v>
      </c>
      <c r="M1007">
        <v>98786.03</v>
      </c>
      <c r="N1007" t="s">
        <v>2918</v>
      </c>
      <c r="O1007" t="s">
        <v>2940</v>
      </c>
      <c r="P1007" t="s">
        <v>2940</v>
      </c>
      <c r="Q1007" t="s">
        <v>2924</v>
      </c>
      <c r="R1007" t="s">
        <v>3219</v>
      </c>
      <c r="S1007" t="s">
        <v>2208</v>
      </c>
      <c r="T1007" t="s">
        <v>2208</v>
      </c>
    </row>
    <row r="1008" spans="1:20">
      <c r="A1008" t="s">
        <v>2239</v>
      </c>
      <c r="B1008" t="s">
        <v>17897</v>
      </c>
      <c r="C1008">
        <v>45385</v>
      </c>
      <c r="D1008" t="s">
        <v>7263</v>
      </c>
      <c r="E1008" t="s">
        <v>17898</v>
      </c>
      <c r="F1008">
        <v>45832</v>
      </c>
      <c r="G1008" t="s">
        <v>6995</v>
      </c>
      <c r="H1008" t="s">
        <v>2916</v>
      </c>
      <c r="I1008" t="s">
        <v>18902</v>
      </c>
      <c r="J1008">
        <v>55720.25</v>
      </c>
      <c r="K1008">
        <v>9817.91</v>
      </c>
      <c r="L1008" t="s">
        <v>2917</v>
      </c>
      <c r="M1008">
        <v>55720.25</v>
      </c>
      <c r="N1008" t="s">
        <v>2918</v>
      </c>
      <c r="O1008" t="s">
        <v>2940</v>
      </c>
      <c r="P1008" t="s">
        <v>2940</v>
      </c>
      <c r="Q1008" t="s">
        <v>2924</v>
      </c>
      <c r="R1008" t="s">
        <v>3219</v>
      </c>
      <c r="S1008" t="s">
        <v>2208</v>
      </c>
      <c r="T1008" t="s">
        <v>2208</v>
      </c>
    </row>
    <row r="1009" spans="1:20">
      <c r="A1009" t="s">
        <v>2239</v>
      </c>
      <c r="B1009" t="s">
        <v>17897</v>
      </c>
      <c r="C1009">
        <v>45562</v>
      </c>
      <c r="D1009" t="s">
        <v>7263</v>
      </c>
      <c r="E1009" t="s">
        <v>17898</v>
      </c>
      <c r="F1009">
        <v>45832</v>
      </c>
      <c r="G1009" t="s">
        <v>7601</v>
      </c>
      <c r="H1009" t="s">
        <v>2916</v>
      </c>
      <c r="I1009" t="s">
        <v>18998</v>
      </c>
      <c r="J1009">
        <v>8392.89</v>
      </c>
      <c r="K1009">
        <v>1478.83</v>
      </c>
      <c r="L1009" t="s">
        <v>2917</v>
      </c>
      <c r="M1009">
        <v>8392.89</v>
      </c>
      <c r="N1009" t="s">
        <v>2918</v>
      </c>
      <c r="O1009" t="s">
        <v>2939</v>
      </c>
      <c r="P1009" t="s">
        <v>2939</v>
      </c>
      <c r="Q1009" t="s">
        <v>2924</v>
      </c>
      <c r="R1009" t="s">
        <v>3219</v>
      </c>
      <c r="S1009" t="s">
        <v>2208</v>
      </c>
      <c r="T1009" t="s">
        <v>2208</v>
      </c>
    </row>
    <row r="1010" spans="1:20">
      <c r="A1010" t="s">
        <v>2239</v>
      </c>
      <c r="B1010" t="s">
        <v>17897</v>
      </c>
      <c r="C1010">
        <v>45562</v>
      </c>
      <c r="D1010" t="s">
        <v>7263</v>
      </c>
      <c r="E1010" t="s">
        <v>17898</v>
      </c>
      <c r="F1010">
        <v>45832</v>
      </c>
      <c r="G1010" t="s">
        <v>7601</v>
      </c>
      <c r="H1010" t="s">
        <v>2916</v>
      </c>
      <c r="I1010" t="s">
        <v>18999</v>
      </c>
      <c r="J1010">
        <v>28156.75</v>
      </c>
      <c r="K1010">
        <v>4961.22</v>
      </c>
      <c r="L1010" t="s">
        <v>2917</v>
      </c>
      <c r="M1010">
        <v>28156.75</v>
      </c>
      <c r="N1010" t="s">
        <v>2918</v>
      </c>
      <c r="O1010" t="s">
        <v>2939</v>
      </c>
      <c r="P1010" t="s">
        <v>2939</v>
      </c>
      <c r="Q1010" t="s">
        <v>2924</v>
      </c>
      <c r="R1010" t="s">
        <v>3219</v>
      </c>
      <c r="S1010" t="s">
        <v>2208</v>
      </c>
      <c r="T1010" t="s">
        <v>2208</v>
      </c>
    </row>
    <row r="1011" spans="1:20">
      <c r="A1011" t="s">
        <v>2239</v>
      </c>
      <c r="B1011" t="s">
        <v>17897</v>
      </c>
      <c r="C1011">
        <v>45562</v>
      </c>
      <c r="D1011" t="s">
        <v>7263</v>
      </c>
      <c r="E1011" t="s">
        <v>17898</v>
      </c>
      <c r="F1011">
        <v>45832</v>
      </c>
      <c r="G1011" t="s">
        <v>7601</v>
      </c>
      <c r="H1011" t="s">
        <v>2916</v>
      </c>
      <c r="I1011" t="s">
        <v>19000</v>
      </c>
      <c r="J1011">
        <v>19420.5</v>
      </c>
      <c r="K1011">
        <v>3421.89</v>
      </c>
      <c r="L1011" t="s">
        <v>2917</v>
      </c>
      <c r="M1011">
        <v>19420.5</v>
      </c>
      <c r="N1011" t="s">
        <v>2918</v>
      </c>
      <c r="O1011" t="s">
        <v>2939</v>
      </c>
      <c r="P1011" t="s">
        <v>2939</v>
      </c>
      <c r="Q1011" t="s">
        <v>2924</v>
      </c>
      <c r="R1011" t="s">
        <v>3219</v>
      </c>
      <c r="S1011" t="s">
        <v>2208</v>
      </c>
      <c r="T1011" t="s">
        <v>2208</v>
      </c>
    </row>
    <row r="1012" spans="1:20">
      <c r="A1012" t="s">
        <v>2239</v>
      </c>
      <c r="B1012" t="s">
        <v>17897</v>
      </c>
      <c r="C1012">
        <v>45562</v>
      </c>
      <c r="D1012" t="s">
        <v>7263</v>
      </c>
      <c r="E1012" t="s">
        <v>17898</v>
      </c>
      <c r="F1012">
        <v>45832</v>
      </c>
      <c r="G1012" t="s">
        <v>7601</v>
      </c>
      <c r="H1012" t="s">
        <v>2916</v>
      </c>
      <c r="I1012" t="s">
        <v>19001</v>
      </c>
      <c r="J1012">
        <v>325.25</v>
      </c>
      <c r="K1012">
        <v>57.31</v>
      </c>
      <c r="L1012" t="s">
        <v>2917</v>
      </c>
      <c r="M1012">
        <v>325.25</v>
      </c>
      <c r="N1012" t="s">
        <v>2918</v>
      </c>
      <c r="O1012" t="s">
        <v>2939</v>
      </c>
      <c r="P1012" t="s">
        <v>2939</v>
      </c>
      <c r="Q1012" t="s">
        <v>2924</v>
      </c>
      <c r="R1012" t="s">
        <v>3219</v>
      </c>
      <c r="S1012" t="s">
        <v>2208</v>
      </c>
      <c r="T1012" t="s">
        <v>2208</v>
      </c>
    </row>
    <row r="1013" spans="1:20">
      <c r="A1013" t="s">
        <v>2239</v>
      </c>
      <c r="B1013" t="s">
        <v>17897</v>
      </c>
      <c r="C1013">
        <v>45562</v>
      </c>
      <c r="D1013" t="s">
        <v>7263</v>
      </c>
      <c r="E1013" t="s">
        <v>17898</v>
      </c>
      <c r="F1013">
        <v>45832</v>
      </c>
      <c r="G1013" t="s">
        <v>7601</v>
      </c>
      <c r="H1013" t="s">
        <v>2916</v>
      </c>
      <c r="I1013" t="s">
        <v>19002</v>
      </c>
      <c r="J1013">
        <v>13897.67</v>
      </c>
      <c r="K1013">
        <v>2448.77</v>
      </c>
      <c r="L1013" t="s">
        <v>2917</v>
      </c>
      <c r="M1013">
        <v>13897.67</v>
      </c>
      <c r="N1013" t="s">
        <v>2918</v>
      </c>
      <c r="O1013" t="s">
        <v>2939</v>
      </c>
      <c r="P1013" t="s">
        <v>2939</v>
      </c>
      <c r="Q1013" t="s">
        <v>2924</v>
      </c>
      <c r="R1013" t="s">
        <v>3219</v>
      </c>
      <c r="S1013" t="s">
        <v>2208</v>
      </c>
      <c r="T1013" t="s">
        <v>2208</v>
      </c>
    </row>
    <row r="1014" spans="1:20">
      <c r="A1014" t="s">
        <v>2239</v>
      </c>
      <c r="B1014" t="s">
        <v>17897</v>
      </c>
      <c r="C1014">
        <v>45562</v>
      </c>
      <c r="D1014" t="s">
        <v>7263</v>
      </c>
      <c r="E1014" t="s">
        <v>17898</v>
      </c>
      <c r="F1014">
        <v>45832</v>
      </c>
      <c r="G1014" t="s">
        <v>7601</v>
      </c>
      <c r="H1014" t="s">
        <v>2916</v>
      </c>
      <c r="I1014" t="s">
        <v>19003</v>
      </c>
      <c r="J1014">
        <v>2576.54</v>
      </c>
      <c r="K1014">
        <v>453.99</v>
      </c>
      <c r="L1014" t="s">
        <v>2917</v>
      </c>
      <c r="M1014">
        <v>2576.54</v>
      </c>
      <c r="N1014" t="s">
        <v>2918</v>
      </c>
      <c r="O1014" t="s">
        <v>2939</v>
      </c>
      <c r="P1014" t="s">
        <v>2939</v>
      </c>
      <c r="Q1014" t="s">
        <v>2924</v>
      </c>
      <c r="R1014" t="s">
        <v>3219</v>
      </c>
      <c r="S1014" t="s">
        <v>2208</v>
      </c>
      <c r="T1014" t="s">
        <v>2208</v>
      </c>
    </row>
    <row r="1015" spans="1:20">
      <c r="A1015" t="s">
        <v>2239</v>
      </c>
      <c r="B1015" t="s">
        <v>17897</v>
      </c>
      <c r="C1015">
        <v>45562</v>
      </c>
      <c r="D1015" t="s">
        <v>7263</v>
      </c>
      <c r="E1015" t="s">
        <v>17898</v>
      </c>
      <c r="F1015">
        <v>45832</v>
      </c>
      <c r="G1015" t="s">
        <v>7601</v>
      </c>
      <c r="H1015" t="s">
        <v>2916</v>
      </c>
      <c r="I1015" t="s">
        <v>19004</v>
      </c>
      <c r="J1015">
        <v>181.87</v>
      </c>
      <c r="K1015">
        <v>32.049999999999997</v>
      </c>
      <c r="L1015" t="s">
        <v>2917</v>
      </c>
      <c r="M1015">
        <v>181.87</v>
      </c>
      <c r="N1015" t="s">
        <v>2918</v>
      </c>
      <c r="O1015" t="s">
        <v>2939</v>
      </c>
      <c r="P1015" t="s">
        <v>2939</v>
      </c>
      <c r="Q1015" t="s">
        <v>2924</v>
      </c>
      <c r="R1015" t="s">
        <v>3219</v>
      </c>
      <c r="S1015" t="s">
        <v>2208</v>
      </c>
      <c r="T1015" t="s">
        <v>2208</v>
      </c>
    </row>
    <row r="1016" spans="1:20">
      <c r="A1016" t="s">
        <v>2239</v>
      </c>
      <c r="B1016" t="s">
        <v>17897</v>
      </c>
      <c r="C1016">
        <v>45831</v>
      </c>
      <c r="D1016" t="s">
        <v>7263</v>
      </c>
      <c r="E1016" t="s">
        <v>17898</v>
      </c>
      <c r="F1016">
        <v>45832</v>
      </c>
      <c r="G1016" t="s">
        <v>3940</v>
      </c>
      <c r="H1016" t="s">
        <v>2916</v>
      </c>
      <c r="I1016" t="s">
        <v>19005</v>
      </c>
      <c r="J1016">
        <v>0</v>
      </c>
      <c r="K1016">
        <v>-149.84</v>
      </c>
      <c r="L1016" t="s">
        <v>2917</v>
      </c>
      <c r="M1016">
        <v>-850.44</v>
      </c>
      <c r="N1016" t="s">
        <v>2918</v>
      </c>
      <c r="O1016" t="s">
        <v>19006</v>
      </c>
      <c r="P1016" t="s">
        <v>2923</v>
      </c>
      <c r="Q1016" t="s">
        <v>2924</v>
      </c>
      <c r="R1016" t="s">
        <v>3219</v>
      </c>
      <c r="S1016" t="s">
        <v>2208</v>
      </c>
      <c r="T1016" t="s">
        <v>2208</v>
      </c>
    </row>
    <row r="1017" spans="1:20">
      <c r="A1017" t="s">
        <v>2239</v>
      </c>
      <c r="B1017" t="s">
        <v>17897</v>
      </c>
      <c r="C1017">
        <v>45831</v>
      </c>
      <c r="D1017" t="s">
        <v>7263</v>
      </c>
      <c r="E1017" t="s">
        <v>17898</v>
      </c>
      <c r="F1017">
        <v>45832</v>
      </c>
      <c r="G1017" t="s">
        <v>3940</v>
      </c>
      <c r="H1017" t="s">
        <v>2916</v>
      </c>
      <c r="I1017" t="s">
        <v>19007</v>
      </c>
      <c r="J1017">
        <v>0</v>
      </c>
      <c r="K1017">
        <v>-245.72</v>
      </c>
      <c r="L1017" t="s">
        <v>2917</v>
      </c>
      <c r="M1017">
        <v>-1394.51</v>
      </c>
      <c r="N1017" t="s">
        <v>2918</v>
      </c>
      <c r="O1017" t="s">
        <v>19008</v>
      </c>
      <c r="P1017" t="s">
        <v>2923</v>
      </c>
      <c r="Q1017" t="s">
        <v>2924</v>
      </c>
      <c r="R1017" t="s">
        <v>3219</v>
      </c>
      <c r="S1017" t="s">
        <v>2208</v>
      </c>
      <c r="T1017" t="s">
        <v>2208</v>
      </c>
    </row>
    <row r="1018" spans="1:20">
      <c r="A1018" t="s">
        <v>2239</v>
      </c>
      <c r="B1018" t="s">
        <v>17897</v>
      </c>
      <c r="C1018">
        <v>45831</v>
      </c>
      <c r="D1018" t="s">
        <v>7263</v>
      </c>
      <c r="E1018" t="s">
        <v>17898</v>
      </c>
      <c r="F1018">
        <v>45832</v>
      </c>
      <c r="G1018" t="s">
        <v>3940</v>
      </c>
      <c r="H1018" t="s">
        <v>2916</v>
      </c>
      <c r="I1018" t="s">
        <v>19009</v>
      </c>
      <c r="J1018">
        <v>0</v>
      </c>
      <c r="K1018">
        <v>-54.87</v>
      </c>
      <c r="L1018" t="s">
        <v>2917</v>
      </c>
      <c r="M1018">
        <v>-311.36</v>
      </c>
      <c r="N1018" t="s">
        <v>2918</v>
      </c>
      <c r="O1018" t="s">
        <v>19010</v>
      </c>
      <c r="P1018" t="s">
        <v>2923</v>
      </c>
      <c r="Q1018" t="s">
        <v>2924</v>
      </c>
      <c r="R1018" t="s">
        <v>3219</v>
      </c>
      <c r="S1018" t="s">
        <v>2208</v>
      </c>
      <c r="T1018" t="s">
        <v>2208</v>
      </c>
    </row>
    <row r="1019" spans="1:20">
      <c r="A1019" t="s">
        <v>2239</v>
      </c>
      <c r="B1019" t="s">
        <v>17897</v>
      </c>
      <c r="C1019">
        <v>45831</v>
      </c>
      <c r="D1019" t="s">
        <v>7263</v>
      </c>
      <c r="E1019" t="s">
        <v>17898</v>
      </c>
      <c r="F1019">
        <v>45832</v>
      </c>
      <c r="G1019" t="s">
        <v>3940</v>
      </c>
      <c r="H1019" t="s">
        <v>2916</v>
      </c>
      <c r="I1019" t="s">
        <v>19011</v>
      </c>
      <c r="J1019">
        <v>0</v>
      </c>
      <c r="K1019">
        <v>-237.43</v>
      </c>
      <c r="L1019" t="s">
        <v>2917</v>
      </c>
      <c r="M1019">
        <v>-1347.52</v>
      </c>
      <c r="N1019" t="s">
        <v>2918</v>
      </c>
      <c r="O1019" t="s">
        <v>19012</v>
      </c>
      <c r="P1019" t="s">
        <v>2923</v>
      </c>
      <c r="Q1019" t="s">
        <v>2924</v>
      </c>
      <c r="R1019" t="s">
        <v>3219</v>
      </c>
      <c r="S1019" t="s">
        <v>2208</v>
      </c>
      <c r="T1019" t="s">
        <v>2208</v>
      </c>
    </row>
    <row r="1020" spans="1:20">
      <c r="A1020" t="s">
        <v>2239</v>
      </c>
      <c r="B1020" t="s">
        <v>17897</v>
      </c>
      <c r="C1020">
        <v>45831</v>
      </c>
      <c r="D1020" t="s">
        <v>7263</v>
      </c>
      <c r="E1020" t="s">
        <v>17898</v>
      </c>
      <c r="F1020">
        <v>45832</v>
      </c>
      <c r="G1020" t="s">
        <v>3940</v>
      </c>
      <c r="H1020" t="s">
        <v>2916</v>
      </c>
      <c r="I1020" t="s">
        <v>19013</v>
      </c>
      <c r="J1020">
        <v>0</v>
      </c>
      <c r="K1020">
        <v>-3144.5</v>
      </c>
      <c r="L1020" t="s">
        <v>2917</v>
      </c>
      <c r="M1020">
        <v>-17846.18</v>
      </c>
      <c r="N1020" t="s">
        <v>2918</v>
      </c>
      <c r="O1020" t="s">
        <v>19014</v>
      </c>
      <c r="P1020" t="s">
        <v>2923</v>
      </c>
      <c r="Q1020" t="s">
        <v>2924</v>
      </c>
      <c r="R1020" t="s">
        <v>3219</v>
      </c>
      <c r="S1020" t="s">
        <v>2208</v>
      </c>
      <c r="T1020" t="s">
        <v>2208</v>
      </c>
    </row>
    <row r="1021" spans="1:20">
      <c r="A1021" t="s">
        <v>2239</v>
      </c>
      <c r="B1021" t="s">
        <v>17897</v>
      </c>
      <c r="C1021">
        <v>45832</v>
      </c>
      <c r="D1021" t="s">
        <v>7263</v>
      </c>
      <c r="E1021" t="s">
        <v>17898</v>
      </c>
      <c r="F1021">
        <v>45833</v>
      </c>
      <c r="G1021" t="s">
        <v>18896</v>
      </c>
      <c r="H1021" t="s">
        <v>2916</v>
      </c>
      <c r="I1021" t="s">
        <v>19050</v>
      </c>
      <c r="J1021">
        <v>0</v>
      </c>
      <c r="K1021">
        <v>-415.61</v>
      </c>
      <c r="L1021" t="s">
        <v>2917</v>
      </c>
      <c r="M1021">
        <v>-2358.75</v>
      </c>
      <c r="N1021" t="s">
        <v>2918</v>
      </c>
      <c r="O1021" t="s">
        <v>19051</v>
      </c>
      <c r="P1021" t="s">
        <v>17358</v>
      </c>
      <c r="Q1021" t="s">
        <v>2924</v>
      </c>
      <c r="R1021" t="s">
        <v>3219</v>
      </c>
      <c r="S1021" t="s">
        <v>2208</v>
      </c>
      <c r="T1021" t="s">
        <v>2208</v>
      </c>
    </row>
    <row r="1022" spans="1:20">
      <c r="A1022" t="s">
        <v>2239</v>
      </c>
      <c r="B1022" t="s">
        <v>17897</v>
      </c>
      <c r="C1022">
        <v>45832</v>
      </c>
      <c r="D1022" t="s">
        <v>7263</v>
      </c>
      <c r="E1022" t="s">
        <v>17898</v>
      </c>
      <c r="F1022">
        <v>45833</v>
      </c>
      <c r="G1022" t="s">
        <v>7601</v>
      </c>
      <c r="H1022" t="s">
        <v>2916</v>
      </c>
      <c r="I1022" t="s">
        <v>19079</v>
      </c>
      <c r="J1022">
        <v>0</v>
      </c>
      <c r="K1022">
        <v>-136.79</v>
      </c>
      <c r="L1022" t="s">
        <v>2917</v>
      </c>
      <c r="M1022">
        <v>-776.34</v>
      </c>
      <c r="N1022" t="s">
        <v>2918</v>
      </c>
      <c r="O1022" t="s">
        <v>19080</v>
      </c>
      <c r="P1022" t="s">
        <v>2939</v>
      </c>
      <c r="Q1022" t="s">
        <v>2924</v>
      </c>
      <c r="R1022" t="s">
        <v>3219</v>
      </c>
      <c r="S1022" t="s">
        <v>2208</v>
      </c>
      <c r="T1022" t="s">
        <v>2208</v>
      </c>
    </row>
    <row r="1023" spans="1:20">
      <c r="A1023" t="s">
        <v>2239</v>
      </c>
      <c r="B1023" t="s">
        <v>17897</v>
      </c>
      <c r="C1023">
        <v>45832</v>
      </c>
      <c r="D1023" t="s">
        <v>7263</v>
      </c>
      <c r="E1023" t="s">
        <v>17898</v>
      </c>
      <c r="F1023">
        <v>45833</v>
      </c>
      <c r="G1023" t="s">
        <v>7601</v>
      </c>
      <c r="H1023" t="s">
        <v>2916</v>
      </c>
      <c r="I1023" t="s">
        <v>19081</v>
      </c>
      <c r="J1023">
        <v>0</v>
      </c>
      <c r="K1023">
        <v>-458.91</v>
      </c>
      <c r="L1023" t="s">
        <v>2917</v>
      </c>
      <c r="M1023">
        <v>-2604.5</v>
      </c>
      <c r="N1023" t="s">
        <v>2918</v>
      </c>
      <c r="O1023" t="s">
        <v>19082</v>
      </c>
      <c r="P1023" t="s">
        <v>2939</v>
      </c>
      <c r="Q1023" t="s">
        <v>2924</v>
      </c>
      <c r="R1023" t="s">
        <v>3219</v>
      </c>
      <c r="S1023" t="s">
        <v>2208</v>
      </c>
      <c r="T1023" t="s">
        <v>2208</v>
      </c>
    </row>
    <row r="1024" spans="1:20">
      <c r="A1024" t="s">
        <v>2239</v>
      </c>
      <c r="B1024" t="s">
        <v>17897</v>
      </c>
      <c r="C1024">
        <v>45832</v>
      </c>
      <c r="D1024" t="s">
        <v>7263</v>
      </c>
      <c r="E1024" t="s">
        <v>17898</v>
      </c>
      <c r="F1024">
        <v>45833</v>
      </c>
      <c r="G1024" t="s">
        <v>7601</v>
      </c>
      <c r="H1024" t="s">
        <v>2916</v>
      </c>
      <c r="I1024" t="s">
        <v>19083</v>
      </c>
      <c r="J1024">
        <v>0</v>
      </c>
      <c r="K1024">
        <v>-316.52</v>
      </c>
      <c r="L1024" t="s">
        <v>2917</v>
      </c>
      <c r="M1024">
        <v>-1796.4</v>
      </c>
      <c r="N1024" t="s">
        <v>2918</v>
      </c>
      <c r="O1024" t="s">
        <v>19084</v>
      </c>
      <c r="P1024" t="s">
        <v>2939</v>
      </c>
      <c r="Q1024" t="s">
        <v>2924</v>
      </c>
      <c r="R1024" t="s">
        <v>3219</v>
      </c>
      <c r="S1024" t="s">
        <v>2208</v>
      </c>
      <c r="T1024" t="s">
        <v>2208</v>
      </c>
    </row>
    <row r="1025" spans="1:20">
      <c r="A1025" t="s">
        <v>2239</v>
      </c>
      <c r="B1025" t="s">
        <v>17897</v>
      </c>
      <c r="C1025">
        <v>45832</v>
      </c>
      <c r="D1025" t="s">
        <v>7263</v>
      </c>
      <c r="E1025" t="s">
        <v>17898</v>
      </c>
      <c r="F1025">
        <v>45833</v>
      </c>
      <c r="G1025" t="s">
        <v>7601</v>
      </c>
      <c r="H1025" t="s">
        <v>2916</v>
      </c>
      <c r="I1025" t="s">
        <v>19085</v>
      </c>
      <c r="J1025">
        <v>0</v>
      </c>
      <c r="K1025">
        <v>-5.3</v>
      </c>
      <c r="L1025" t="s">
        <v>2917</v>
      </c>
      <c r="M1025">
        <v>-30.09</v>
      </c>
      <c r="N1025" t="s">
        <v>2918</v>
      </c>
      <c r="O1025" t="s">
        <v>19086</v>
      </c>
      <c r="P1025" t="s">
        <v>2939</v>
      </c>
      <c r="Q1025" t="s">
        <v>2924</v>
      </c>
      <c r="R1025" t="s">
        <v>3219</v>
      </c>
      <c r="S1025" t="s">
        <v>2208</v>
      </c>
      <c r="T1025" t="s">
        <v>2208</v>
      </c>
    </row>
    <row r="1026" spans="1:20">
      <c r="A1026" t="s">
        <v>2239</v>
      </c>
      <c r="B1026" t="s">
        <v>17897</v>
      </c>
      <c r="C1026">
        <v>45832</v>
      </c>
      <c r="D1026" t="s">
        <v>7263</v>
      </c>
      <c r="E1026" t="s">
        <v>17898</v>
      </c>
      <c r="F1026">
        <v>45833</v>
      </c>
      <c r="G1026" t="s">
        <v>7601</v>
      </c>
      <c r="H1026" t="s">
        <v>2916</v>
      </c>
      <c r="I1026" t="s">
        <v>19087</v>
      </c>
      <c r="J1026">
        <v>0</v>
      </c>
      <c r="K1026">
        <v>-2.97</v>
      </c>
      <c r="L1026" t="s">
        <v>2917</v>
      </c>
      <c r="M1026">
        <v>-16.82</v>
      </c>
      <c r="N1026" t="s">
        <v>2918</v>
      </c>
      <c r="O1026" t="s">
        <v>19088</v>
      </c>
      <c r="P1026" t="s">
        <v>2939</v>
      </c>
      <c r="Q1026" t="s">
        <v>2924</v>
      </c>
      <c r="R1026" t="s">
        <v>3219</v>
      </c>
      <c r="S1026" t="s">
        <v>2208</v>
      </c>
      <c r="T1026" t="s">
        <v>2208</v>
      </c>
    </row>
    <row r="1027" spans="1:20">
      <c r="A1027" t="s">
        <v>2239</v>
      </c>
      <c r="B1027" t="s">
        <v>17897</v>
      </c>
      <c r="C1027">
        <v>45832</v>
      </c>
      <c r="D1027" t="s">
        <v>7263</v>
      </c>
      <c r="E1027" t="s">
        <v>17898</v>
      </c>
      <c r="F1027">
        <v>45833</v>
      </c>
      <c r="G1027" t="s">
        <v>7601</v>
      </c>
      <c r="H1027" t="s">
        <v>2916</v>
      </c>
      <c r="I1027" t="s">
        <v>19089</v>
      </c>
      <c r="J1027">
        <v>0</v>
      </c>
      <c r="K1027">
        <v>-42</v>
      </c>
      <c r="L1027" t="s">
        <v>2917</v>
      </c>
      <c r="M1027">
        <v>-238.33</v>
      </c>
      <c r="N1027" t="s">
        <v>2918</v>
      </c>
      <c r="O1027" t="s">
        <v>19090</v>
      </c>
      <c r="P1027" t="s">
        <v>2939</v>
      </c>
      <c r="Q1027" t="s">
        <v>2924</v>
      </c>
      <c r="R1027" t="s">
        <v>3219</v>
      </c>
      <c r="S1027" t="s">
        <v>2208</v>
      </c>
      <c r="T1027" t="s">
        <v>2208</v>
      </c>
    </row>
    <row r="1028" spans="1:20">
      <c r="A1028" t="s">
        <v>2239</v>
      </c>
      <c r="B1028" t="s">
        <v>17897</v>
      </c>
      <c r="C1028">
        <v>45832</v>
      </c>
      <c r="D1028" t="s">
        <v>7263</v>
      </c>
      <c r="E1028" t="s">
        <v>17898</v>
      </c>
      <c r="F1028">
        <v>45833</v>
      </c>
      <c r="G1028" t="s">
        <v>7601</v>
      </c>
      <c r="H1028" t="s">
        <v>2916</v>
      </c>
      <c r="I1028" t="s">
        <v>19091</v>
      </c>
      <c r="J1028">
        <v>0</v>
      </c>
      <c r="K1028">
        <v>-226.51</v>
      </c>
      <c r="L1028" t="s">
        <v>2917</v>
      </c>
      <c r="M1028">
        <v>-1285.53</v>
      </c>
      <c r="N1028" t="s">
        <v>2918</v>
      </c>
      <c r="O1028" t="s">
        <v>19092</v>
      </c>
      <c r="P1028" t="s">
        <v>2939</v>
      </c>
      <c r="Q1028" t="s">
        <v>2924</v>
      </c>
      <c r="R1028" t="s">
        <v>3219</v>
      </c>
      <c r="S1028" t="s">
        <v>2208</v>
      </c>
      <c r="T1028" t="s">
        <v>2208</v>
      </c>
    </row>
    <row r="1029" spans="1:20">
      <c r="A1029" t="s">
        <v>2239</v>
      </c>
      <c r="B1029" t="s">
        <v>17897</v>
      </c>
      <c r="C1029">
        <v>45832</v>
      </c>
      <c r="D1029" t="s">
        <v>7263</v>
      </c>
      <c r="E1029" t="s">
        <v>17898</v>
      </c>
      <c r="F1029">
        <v>45833</v>
      </c>
      <c r="G1029" t="s">
        <v>7594</v>
      </c>
      <c r="H1029" t="s">
        <v>2916</v>
      </c>
      <c r="I1029" t="s">
        <v>19093</v>
      </c>
      <c r="J1029">
        <v>0</v>
      </c>
      <c r="K1029">
        <v>-466.85</v>
      </c>
      <c r="L1029" t="s">
        <v>2917</v>
      </c>
      <c r="M1029">
        <v>-2649.57</v>
      </c>
      <c r="N1029" t="s">
        <v>2918</v>
      </c>
      <c r="O1029" t="s">
        <v>19094</v>
      </c>
      <c r="P1029" t="s">
        <v>2940</v>
      </c>
      <c r="Q1029" t="s">
        <v>2924</v>
      </c>
      <c r="R1029" t="s">
        <v>3219</v>
      </c>
      <c r="S1029" t="s">
        <v>2208</v>
      </c>
      <c r="T1029" t="s">
        <v>2208</v>
      </c>
    </row>
    <row r="1030" spans="1:20">
      <c r="A1030" t="s">
        <v>2239</v>
      </c>
      <c r="B1030" t="s">
        <v>17897</v>
      </c>
      <c r="C1030">
        <v>45832</v>
      </c>
      <c r="D1030" t="s">
        <v>7263</v>
      </c>
      <c r="E1030" t="s">
        <v>17898</v>
      </c>
      <c r="F1030">
        <v>45833</v>
      </c>
      <c r="G1030" t="s">
        <v>7594</v>
      </c>
      <c r="H1030" t="s">
        <v>2916</v>
      </c>
      <c r="I1030" t="s">
        <v>19095</v>
      </c>
      <c r="J1030">
        <v>0</v>
      </c>
      <c r="K1030">
        <v>-919.97</v>
      </c>
      <c r="L1030" t="s">
        <v>2917</v>
      </c>
      <c r="M1030">
        <v>-5221.1400000000003</v>
      </c>
      <c r="N1030" t="s">
        <v>2918</v>
      </c>
      <c r="O1030" t="s">
        <v>19096</v>
      </c>
      <c r="P1030" t="s">
        <v>2940</v>
      </c>
      <c r="Q1030" t="s">
        <v>2924</v>
      </c>
      <c r="R1030" t="s">
        <v>3219</v>
      </c>
      <c r="S1030" t="s">
        <v>2208</v>
      </c>
      <c r="T1030" t="s">
        <v>2208</v>
      </c>
    </row>
    <row r="1031" spans="1:20">
      <c r="A1031" t="s">
        <v>2239</v>
      </c>
      <c r="B1031" t="s">
        <v>17897</v>
      </c>
      <c r="C1031">
        <v>45832</v>
      </c>
      <c r="D1031" t="s">
        <v>7263</v>
      </c>
      <c r="E1031" t="s">
        <v>17898</v>
      </c>
      <c r="F1031">
        <v>45833</v>
      </c>
      <c r="G1031" t="s">
        <v>6995</v>
      </c>
      <c r="H1031" t="s">
        <v>2916</v>
      </c>
      <c r="I1031" t="s">
        <v>19097</v>
      </c>
      <c r="J1031">
        <v>0</v>
      </c>
      <c r="K1031">
        <v>-908.16</v>
      </c>
      <c r="L1031" t="s">
        <v>2917</v>
      </c>
      <c r="M1031">
        <v>-5154.12</v>
      </c>
      <c r="N1031" t="s">
        <v>2918</v>
      </c>
      <c r="O1031" t="s">
        <v>19098</v>
      </c>
      <c r="P1031" t="s">
        <v>2940</v>
      </c>
      <c r="Q1031" t="s">
        <v>2924</v>
      </c>
      <c r="R1031" t="s">
        <v>3219</v>
      </c>
      <c r="S1031" t="s">
        <v>2208</v>
      </c>
      <c r="T1031" t="s">
        <v>2208</v>
      </c>
    </row>
    <row r="1032" spans="1:20">
      <c r="A1032" t="s">
        <v>2239</v>
      </c>
      <c r="B1032" t="s">
        <v>17897</v>
      </c>
      <c r="C1032">
        <v>45832</v>
      </c>
      <c r="D1032" t="s">
        <v>7263</v>
      </c>
      <c r="E1032" t="s">
        <v>17898</v>
      </c>
      <c r="F1032">
        <v>45833</v>
      </c>
      <c r="G1032" t="s">
        <v>7594</v>
      </c>
      <c r="H1032" t="s">
        <v>2916</v>
      </c>
      <c r="I1032" t="s">
        <v>19099</v>
      </c>
      <c r="J1032">
        <v>0</v>
      </c>
      <c r="K1032">
        <v>-1610.07</v>
      </c>
      <c r="L1032" t="s">
        <v>2917</v>
      </c>
      <c r="M1032">
        <v>-9137.7099999999991</v>
      </c>
      <c r="N1032" t="s">
        <v>2918</v>
      </c>
      <c r="O1032" t="s">
        <v>19100</v>
      </c>
      <c r="P1032" t="s">
        <v>2940</v>
      </c>
      <c r="Q1032" t="s">
        <v>2924</v>
      </c>
      <c r="R1032" t="s">
        <v>3219</v>
      </c>
      <c r="S1032" t="s">
        <v>2208</v>
      </c>
      <c r="T1032" t="s">
        <v>2208</v>
      </c>
    </row>
    <row r="1033" spans="1:20">
      <c r="A1033" t="s">
        <v>2239</v>
      </c>
      <c r="B1033" t="s">
        <v>17897</v>
      </c>
      <c r="C1033">
        <v>45832</v>
      </c>
      <c r="D1033" t="s">
        <v>7263</v>
      </c>
      <c r="E1033" t="s">
        <v>17898</v>
      </c>
      <c r="F1033">
        <v>45833</v>
      </c>
      <c r="G1033" t="s">
        <v>7594</v>
      </c>
      <c r="H1033" t="s">
        <v>2916</v>
      </c>
      <c r="I1033" t="s">
        <v>19101</v>
      </c>
      <c r="J1033">
        <v>0</v>
      </c>
      <c r="K1033">
        <v>-1460.75</v>
      </c>
      <c r="L1033" t="s">
        <v>2917</v>
      </c>
      <c r="M1033">
        <v>-8290.31</v>
      </c>
      <c r="N1033" t="s">
        <v>2918</v>
      </c>
      <c r="O1033" t="s">
        <v>19102</v>
      </c>
      <c r="P1033" t="s">
        <v>2940</v>
      </c>
      <c r="Q1033" t="s">
        <v>2924</v>
      </c>
      <c r="R1033" t="s">
        <v>3219</v>
      </c>
      <c r="S1033" t="s">
        <v>2208</v>
      </c>
      <c r="T1033" t="s">
        <v>2208</v>
      </c>
    </row>
    <row r="1034" spans="1:20">
      <c r="A1034" t="s">
        <v>2239</v>
      </c>
      <c r="B1034" t="s">
        <v>17897</v>
      </c>
      <c r="C1034">
        <v>45835</v>
      </c>
      <c r="D1034" t="s">
        <v>7263</v>
      </c>
      <c r="E1034" t="s">
        <v>17898</v>
      </c>
      <c r="F1034">
        <v>45835</v>
      </c>
      <c r="G1034" t="s">
        <v>2208</v>
      </c>
      <c r="H1034" t="s">
        <v>2916</v>
      </c>
      <c r="I1034" t="s">
        <v>19152</v>
      </c>
      <c r="J1034">
        <v>0</v>
      </c>
      <c r="K1034">
        <v>-147.41</v>
      </c>
      <c r="L1034" t="s">
        <v>2917</v>
      </c>
      <c r="M1034">
        <v>-836.59</v>
      </c>
      <c r="N1034" t="s">
        <v>2918</v>
      </c>
      <c r="O1034" t="s">
        <v>19153</v>
      </c>
      <c r="P1034" t="s">
        <v>2208</v>
      </c>
      <c r="Q1034" t="s">
        <v>2933</v>
      </c>
      <c r="R1034" t="s">
        <v>3314</v>
      </c>
      <c r="S1034" t="s">
        <v>2208</v>
      </c>
      <c r="T1034" t="s">
        <v>2208</v>
      </c>
    </row>
    <row r="1035" spans="1:20">
      <c r="A1035" t="s">
        <v>2239</v>
      </c>
      <c r="B1035" t="s">
        <v>17897</v>
      </c>
      <c r="C1035">
        <v>45838</v>
      </c>
      <c r="D1035" t="s">
        <v>7263</v>
      </c>
      <c r="E1035" t="s">
        <v>17898</v>
      </c>
      <c r="F1035">
        <v>45838</v>
      </c>
      <c r="G1035" t="s">
        <v>2208</v>
      </c>
      <c r="H1035" t="s">
        <v>2916</v>
      </c>
      <c r="I1035" t="s">
        <v>19257</v>
      </c>
      <c r="J1035">
        <v>0</v>
      </c>
      <c r="K1035">
        <v>-0.02</v>
      </c>
      <c r="L1035" t="s">
        <v>2917</v>
      </c>
      <c r="M1035">
        <v>0</v>
      </c>
      <c r="N1035" t="s">
        <v>2918</v>
      </c>
      <c r="O1035" t="s">
        <v>2919</v>
      </c>
      <c r="P1035" t="s">
        <v>2208</v>
      </c>
      <c r="Q1035" t="s">
        <v>2916</v>
      </c>
      <c r="R1035" t="s">
        <v>3220</v>
      </c>
      <c r="S1035" t="s">
        <v>2208</v>
      </c>
      <c r="T1035" t="s">
        <v>2208</v>
      </c>
    </row>
    <row r="1036" spans="1:20">
      <c r="A1036" t="s">
        <v>2239</v>
      </c>
      <c r="B1036" t="s">
        <v>17897</v>
      </c>
      <c r="C1036">
        <v>45838</v>
      </c>
      <c r="D1036" t="s">
        <v>7263</v>
      </c>
      <c r="E1036" t="s">
        <v>17898</v>
      </c>
      <c r="F1036">
        <v>45838</v>
      </c>
      <c r="G1036" t="s">
        <v>2208</v>
      </c>
      <c r="H1036" t="s">
        <v>2916</v>
      </c>
      <c r="I1036" t="s">
        <v>19258</v>
      </c>
      <c r="J1036">
        <v>0</v>
      </c>
      <c r="K1036">
        <v>-7.0000000000000007E-2</v>
      </c>
      <c r="L1036" t="s">
        <v>2917</v>
      </c>
      <c r="M1036">
        <v>0</v>
      </c>
      <c r="N1036" t="s">
        <v>2918</v>
      </c>
      <c r="O1036" t="s">
        <v>2919</v>
      </c>
      <c r="P1036" t="s">
        <v>2208</v>
      </c>
      <c r="Q1036" t="s">
        <v>2916</v>
      </c>
      <c r="R1036" t="s">
        <v>3220</v>
      </c>
      <c r="S1036" t="s">
        <v>2208</v>
      </c>
      <c r="T1036" t="s">
        <v>2208</v>
      </c>
    </row>
    <row r="1037" spans="1:20">
      <c r="A1037" t="s">
        <v>2239</v>
      </c>
      <c r="B1037" t="s">
        <v>17897</v>
      </c>
      <c r="C1037">
        <v>45838</v>
      </c>
      <c r="D1037" t="s">
        <v>7263</v>
      </c>
      <c r="E1037" t="s">
        <v>17898</v>
      </c>
      <c r="F1037">
        <v>45838</v>
      </c>
      <c r="G1037" t="s">
        <v>2208</v>
      </c>
      <c r="H1037" t="s">
        <v>2916</v>
      </c>
      <c r="I1037" t="s">
        <v>19259</v>
      </c>
      <c r="J1037">
        <v>0</v>
      </c>
      <c r="K1037">
        <v>-0.05</v>
      </c>
      <c r="L1037" t="s">
        <v>2917</v>
      </c>
      <c r="M1037">
        <v>0</v>
      </c>
      <c r="N1037" t="s">
        <v>2918</v>
      </c>
      <c r="O1037" t="s">
        <v>2919</v>
      </c>
      <c r="P1037" t="s">
        <v>2208</v>
      </c>
      <c r="Q1037" t="s">
        <v>2916</v>
      </c>
      <c r="R1037" t="s">
        <v>3220</v>
      </c>
      <c r="S1037" t="s">
        <v>2208</v>
      </c>
      <c r="T1037" t="s">
        <v>2208</v>
      </c>
    </row>
    <row r="1038" spans="1:20">
      <c r="A1038" t="s">
        <v>2239</v>
      </c>
      <c r="B1038" t="s">
        <v>17897</v>
      </c>
      <c r="C1038">
        <v>45838</v>
      </c>
      <c r="D1038" t="s">
        <v>7263</v>
      </c>
      <c r="E1038" t="s">
        <v>17898</v>
      </c>
      <c r="F1038">
        <v>45838</v>
      </c>
      <c r="G1038" t="s">
        <v>2208</v>
      </c>
      <c r="H1038" t="s">
        <v>2916</v>
      </c>
      <c r="I1038" t="s">
        <v>19260</v>
      </c>
      <c r="J1038">
        <v>0</v>
      </c>
      <c r="K1038">
        <v>63.53</v>
      </c>
      <c r="L1038" t="s">
        <v>2917</v>
      </c>
      <c r="M1038">
        <v>0</v>
      </c>
      <c r="N1038" t="s">
        <v>2918</v>
      </c>
      <c r="O1038" t="s">
        <v>2919</v>
      </c>
      <c r="P1038" t="s">
        <v>2208</v>
      </c>
      <c r="Q1038" t="s">
        <v>2916</v>
      </c>
      <c r="R1038" t="s">
        <v>3220</v>
      </c>
      <c r="S1038" t="s">
        <v>2208</v>
      </c>
      <c r="T1038" t="s">
        <v>2208</v>
      </c>
    </row>
    <row r="1039" spans="1:20">
      <c r="A1039" t="s">
        <v>2239</v>
      </c>
      <c r="B1039" t="s">
        <v>17897</v>
      </c>
      <c r="C1039">
        <v>45838</v>
      </c>
      <c r="D1039" t="s">
        <v>7263</v>
      </c>
      <c r="E1039" t="s">
        <v>17898</v>
      </c>
      <c r="F1039">
        <v>45838</v>
      </c>
      <c r="G1039" t="s">
        <v>2208</v>
      </c>
      <c r="H1039" t="s">
        <v>2916</v>
      </c>
      <c r="I1039" t="s">
        <v>19261</v>
      </c>
      <c r="J1039">
        <v>0</v>
      </c>
      <c r="K1039">
        <v>0.01</v>
      </c>
      <c r="L1039" t="s">
        <v>2917</v>
      </c>
      <c r="M1039">
        <v>0</v>
      </c>
      <c r="N1039" t="s">
        <v>2918</v>
      </c>
      <c r="O1039" t="s">
        <v>2919</v>
      </c>
      <c r="P1039" t="s">
        <v>2208</v>
      </c>
      <c r="Q1039" t="s">
        <v>2916</v>
      </c>
      <c r="R1039" t="s">
        <v>3220</v>
      </c>
      <c r="S1039" t="s">
        <v>2208</v>
      </c>
      <c r="T1039" t="s">
        <v>2208</v>
      </c>
    </row>
    <row r="1040" spans="1:20">
      <c r="A1040" t="s">
        <v>2239</v>
      </c>
      <c r="B1040" t="s">
        <v>19439</v>
      </c>
      <c r="C1040">
        <v>45832</v>
      </c>
      <c r="D1040" t="s">
        <v>7263</v>
      </c>
      <c r="E1040" t="s">
        <v>19440</v>
      </c>
      <c r="F1040">
        <v>45841</v>
      </c>
      <c r="G1040" t="s">
        <v>19885</v>
      </c>
      <c r="H1040" t="s">
        <v>2916</v>
      </c>
      <c r="I1040" t="s">
        <v>19886</v>
      </c>
      <c r="J1040">
        <v>33</v>
      </c>
      <c r="K1040">
        <v>7603.24</v>
      </c>
      <c r="L1040" t="s">
        <v>2917</v>
      </c>
      <c r="M1040">
        <v>41622.82</v>
      </c>
      <c r="N1040" t="s">
        <v>2918</v>
      </c>
      <c r="O1040" t="s">
        <v>19887</v>
      </c>
      <c r="P1040" t="s">
        <v>19888</v>
      </c>
      <c r="Q1040" t="s">
        <v>2924</v>
      </c>
      <c r="R1040" t="s">
        <v>3219</v>
      </c>
      <c r="S1040" t="s">
        <v>19889</v>
      </c>
      <c r="T1040" t="s">
        <v>19890</v>
      </c>
    </row>
    <row r="1041" spans="1:20">
      <c r="A1041" t="s">
        <v>2239</v>
      </c>
      <c r="B1041" t="s">
        <v>19439</v>
      </c>
      <c r="C1041">
        <v>45832</v>
      </c>
      <c r="D1041" t="s">
        <v>7263</v>
      </c>
      <c r="E1041" t="s">
        <v>19440</v>
      </c>
      <c r="F1041">
        <v>45841</v>
      </c>
      <c r="G1041" t="s">
        <v>19885</v>
      </c>
      <c r="H1041" t="s">
        <v>2916</v>
      </c>
      <c r="I1041" t="s">
        <v>19891</v>
      </c>
      <c r="J1041">
        <v>0</v>
      </c>
      <c r="K1041">
        <v>-1426.89</v>
      </c>
      <c r="L1041" t="s">
        <v>2917</v>
      </c>
      <c r="M1041">
        <v>-7811.28</v>
      </c>
      <c r="N1041" t="s">
        <v>2918</v>
      </c>
      <c r="O1041" t="s">
        <v>19892</v>
      </c>
      <c r="P1041" t="s">
        <v>19888</v>
      </c>
      <c r="Q1041" t="s">
        <v>2924</v>
      </c>
      <c r="R1041" t="s">
        <v>3219</v>
      </c>
      <c r="S1041" t="s">
        <v>19889</v>
      </c>
      <c r="T1041" t="s">
        <v>19890</v>
      </c>
    </row>
    <row r="1042" spans="1:20">
      <c r="A1042" t="s">
        <v>2239</v>
      </c>
      <c r="B1042" t="s">
        <v>2920</v>
      </c>
      <c r="C1042">
        <v>45491</v>
      </c>
      <c r="D1042" t="s">
        <v>7263</v>
      </c>
      <c r="E1042" t="s">
        <v>2921</v>
      </c>
      <c r="F1042">
        <v>45680</v>
      </c>
      <c r="G1042" t="s">
        <v>7654</v>
      </c>
      <c r="H1042" t="s">
        <v>2916</v>
      </c>
      <c r="I1042" t="s">
        <v>7655</v>
      </c>
      <c r="J1042">
        <v>13618.15</v>
      </c>
      <c r="K1042">
        <v>2205.19</v>
      </c>
      <c r="L1042" t="s">
        <v>2917</v>
      </c>
      <c r="M1042">
        <v>13618.15</v>
      </c>
      <c r="N1042" t="s">
        <v>2918</v>
      </c>
      <c r="O1042" t="s">
        <v>3315</v>
      </c>
      <c r="P1042" t="s">
        <v>3315</v>
      </c>
      <c r="Q1042" t="s">
        <v>2924</v>
      </c>
      <c r="R1042" t="s">
        <v>3219</v>
      </c>
      <c r="S1042" t="s">
        <v>2208</v>
      </c>
      <c r="T1042" t="s">
        <v>2208</v>
      </c>
    </row>
    <row r="1043" spans="1:20">
      <c r="A1043" t="s">
        <v>2239</v>
      </c>
      <c r="B1043" t="s">
        <v>2920</v>
      </c>
      <c r="C1043">
        <v>45684</v>
      </c>
      <c r="D1043" t="s">
        <v>7263</v>
      </c>
      <c r="E1043" t="s">
        <v>2921</v>
      </c>
      <c r="F1043">
        <v>45684</v>
      </c>
      <c r="G1043" t="s">
        <v>2208</v>
      </c>
      <c r="H1043" t="s">
        <v>2916</v>
      </c>
      <c r="I1043" t="s">
        <v>7656</v>
      </c>
      <c r="J1043">
        <v>0</v>
      </c>
      <c r="K1043">
        <v>41.46</v>
      </c>
      <c r="L1043" t="s">
        <v>2917</v>
      </c>
      <c r="M1043">
        <v>256.01</v>
      </c>
      <c r="N1043" t="s">
        <v>2918</v>
      </c>
      <c r="O1043" t="s">
        <v>7657</v>
      </c>
      <c r="P1043" t="s">
        <v>2208</v>
      </c>
      <c r="Q1043" t="s">
        <v>7658</v>
      </c>
      <c r="R1043" t="s">
        <v>7659</v>
      </c>
      <c r="S1043" t="s">
        <v>2208</v>
      </c>
      <c r="T1043" t="s">
        <v>2208</v>
      </c>
    </row>
    <row r="1044" spans="1:20">
      <c r="A1044" t="s">
        <v>2239</v>
      </c>
      <c r="B1044" t="s">
        <v>2920</v>
      </c>
      <c r="C1044">
        <v>45684</v>
      </c>
      <c r="D1044" t="s">
        <v>7263</v>
      </c>
      <c r="E1044" t="s">
        <v>2921</v>
      </c>
      <c r="F1044">
        <v>45684</v>
      </c>
      <c r="G1044" t="s">
        <v>2208</v>
      </c>
      <c r="H1044" t="s">
        <v>2916</v>
      </c>
      <c r="I1044" t="s">
        <v>7656</v>
      </c>
      <c r="J1044">
        <v>0</v>
      </c>
      <c r="K1044">
        <v>41.46</v>
      </c>
      <c r="L1044" t="s">
        <v>2917</v>
      </c>
      <c r="M1044">
        <v>256.01</v>
      </c>
      <c r="N1044" t="s">
        <v>2918</v>
      </c>
      <c r="O1044" t="s">
        <v>7657</v>
      </c>
      <c r="P1044" t="s">
        <v>2208</v>
      </c>
      <c r="Q1044" t="s">
        <v>7658</v>
      </c>
      <c r="R1044" t="s">
        <v>7659</v>
      </c>
      <c r="S1044" t="s">
        <v>2208</v>
      </c>
      <c r="T1044" t="s">
        <v>2208</v>
      </c>
    </row>
    <row r="1045" spans="1:20">
      <c r="A1045" t="s">
        <v>2239</v>
      </c>
      <c r="B1045" t="s">
        <v>2920</v>
      </c>
      <c r="C1045">
        <v>45684</v>
      </c>
      <c r="D1045" t="s">
        <v>7263</v>
      </c>
      <c r="E1045" t="s">
        <v>2921</v>
      </c>
      <c r="F1045">
        <v>45684</v>
      </c>
      <c r="G1045" t="s">
        <v>2208</v>
      </c>
      <c r="H1045" t="s">
        <v>2916</v>
      </c>
      <c r="I1045" t="s">
        <v>7656</v>
      </c>
      <c r="J1045">
        <v>0</v>
      </c>
      <c r="K1045">
        <v>41.46</v>
      </c>
      <c r="L1045" t="s">
        <v>2917</v>
      </c>
      <c r="M1045">
        <v>256.01</v>
      </c>
      <c r="N1045" t="s">
        <v>2918</v>
      </c>
      <c r="O1045" t="s">
        <v>7657</v>
      </c>
      <c r="P1045" t="s">
        <v>2208</v>
      </c>
      <c r="Q1045" t="s">
        <v>7658</v>
      </c>
      <c r="R1045" t="s">
        <v>7659</v>
      </c>
      <c r="S1045" t="s">
        <v>2208</v>
      </c>
      <c r="T1045" t="s">
        <v>2208</v>
      </c>
    </row>
    <row r="1046" spans="1:20">
      <c r="A1046" t="s">
        <v>2239</v>
      </c>
      <c r="B1046" t="s">
        <v>2920</v>
      </c>
      <c r="C1046">
        <v>45237</v>
      </c>
      <c r="D1046" t="s">
        <v>7263</v>
      </c>
      <c r="E1046" t="s">
        <v>2921</v>
      </c>
      <c r="F1046">
        <v>45684</v>
      </c>
      <c r="G1046" t="s">
        <v>7660</v>
      </c>
      <c r="H1046" t="s">
        <v>2916</v>
      </c>
      <c r="I1046" t="s">
        <v>7661</v>
      </c>
      <c r="J1046">
        <v>9991.2000000000007</v>
      </c>
      <c r="K1046">
        <v>1617.88</v>
      </c>
      <c r="L1046" t="s">
        <v>2917</v>
      </c>
      <c r="M1046">
        <v>9991.2000000000007</v>
      </c>
      <c r="N1046" t="s">
        <v>2918</v>
      </c>
      <c r="O1046" t="s">
        <v>2939</v>
      </c>
      <c r="P1046" t="s">
        <v>2939</v>
      </c>
      <c r="Q1046" t="s">
        <v>2924</v>
      </c>
      <c r="R1046" t="s">
        <v>3219</v>
      </c>
      <c r="S1046" t="s">
        <v>2208</v>
      </c>
      <c r="T1046" t="s">
        <v>2208</v>
      </c>
    </row>
    <row r="1047" spans="1:20">
      <c r="A1047" t="s">
        <v>2239</v>
      </c>
      <c r="B1047" t="s">
        <v>2920</v>
      </c>
      <c r="C1047">
        <v>45681</v>
      </c>
      <c r="D1047" t="s">
        <v>7263</v>
      </c>
      <c r="E1047" t="s">
        <v>2921</v>
      </c>
      <c r="F1047">
        <v>45685</v>
      </c>
      <c r="G1047" t="s">
        <v>7654</v>
      </c>
      <c r="H1047" t="s">
        <v>2916</v>
      </c>
      <c r="I1047" t="s">
        <v>7662</v>
      </c>
      <c r="J1047">
        <v>0</v>
      </c>
      <c r="K1047">
        <v>-203.98</v>
      </c>
      <c r="L1047" t="s">
        <v>2917</v>
      </c>
      <c r="M1047">
        <v>-1259.68</v>
      </c>
      <c r="N1047" t="s">
        <v>2918</v>
      </c>
      <c r="O1047" t="s">
        <v>7663</v>
      </c>
      <c r="P1047" t="s">
        <v>3315</v>
      </c>
      <c r="Q1047" t="s">
        <v>2924</v>
      </c>
      <c r="R1047" t="s">
        <v>3219</v>
      </c>
      <c r="S1047" t="s">
        <v>2208</v>
      </c>
      <c r="T1047" t="s">
        <v>2208</v>
      </c>
    </row>
    <row r="1048" spans="1:20">
      <c r="A1048" t="s">
        <v>2239</v>
      </c>
      <c r="B1048" t="s">
        <v>2920</v>
      </c>
      <c r="C1048">
        <v>45688</v>
      </c>
      <c r="D1048" t="s">
        <v>7263</v>
      </c>
      <c r="E1048" t="s">
        <v>2921</v>
      </c>
      <c r="F1048">
        <v>45688</v>
      </c>
      <c r="G1048" t="s">
        <v>2208</v>
      </c>
      <c r="H1048" t="s">
        <v>2916</v>
      </c>
      <c r="I1048" t="s">
        <v>7664</v>
      </c>
      <c r="J1048">
        <v>0</v>
      </c>
      <c r="K1048">
        <v>-0.04</v>
      </c>
      <c r="L1048" t="s">
        <v>2917</v>
      </c>
      <c r="M1048">
        <v>0</v>
      </c>
      <c r="N1048" t="s">
        <v>2918</v>
      </c>
      <c r="O1048" t="s">
        <v>2919</v>
      </c>
      <c r="P1048" t="s">
        <v>2208</v>
      </c>
      <c r="Q1048" t="s">
        <v>2916</v>
      </c>
      <c r="R1048" t="s">
        <v>3220</v>
      </c>
      <c r="S1048" t="s">
        <v>2208</v>
      </c>
      <c r="T1048" t="s">
        <v>2208</v>
      </c>
    </row>
    <row r="1049" spans="1:20">
      <c r="A1049" t="s">
        <v>2239</v>
      </c>
      <c r="B1049" t="s">
        <v>2920</v>
      </c>
      <c r="C1049">
        <v>45688</v>
      </c>
      <c r="D1049" t="s">
        <v>7263</v>
      </c>
      <c r="E1049" t="s">
        <v>2921</v>
      </c>
      <c r="F1049">
        <v>45688</v>
      </c>
      <c r="G1049" t="s">
        <v>2208</v>
      </c>
      <c r="H1049" t="s">
        <v>2916</v>
      </c>
      <c r="I1049" t="s">
        <v>7665</v>
      </c>
      <c r="J1049">
        <v>0</v>
      </c>
      <c r="K1049">
        <v>-0.08</v>
      </c>
      <c r="L1049" t="s">
        <v>2917</v>
      </c>
      <c r="M1049">
        <v>0</v>
      </c>
      <c r="N1049" t="s">
        <v>2918</v>
      </c>
      <c r="O1049" t="s">
        <v>2919</v>
      </c>
      <c r="P1049" t="s">
        <v>2208</v>
      </c>
      <c r="Q1049" t="s">
        <v>2916</v>
      </c>
      <c r="R1049" t="s">
        <v>3220</v>
      </c>
      <c r="S1049" t="s">
        <v>2208</v>
      </c>
      <c r="T1049" t="s">
        <v>2208</v>
      </c>
    </row>
    <row r="1050" spans="1:20">
      <c r="A1050" t="s">
        <v>2239</v>
      </c>
      <c r="B1050" t="s">
        <v>2920</v>
      </c>
      <c r="C1050">
        <v>45688</v>
      </c>
      <c r="D1050" t="s">
        <v>7263</v>
      </c>
      <c r="E1050" t="s">
        <v>2921</v>
      </c>
      <c r="F1050">
        <v>45688</v>
      </c>
      <c r="G1050" t="s">
        <v>2208</v>
      </c>
      <c r="H1050" t="s">
        <v>2916</v>
      </c>
      <c r="I1050" t="s">
        <v>7666</v>
      </c>
      <c r="J1050">
        <v>0</v>
      </c>
      <c r="K1050">
        <v>-0.01</v>
      </c>
      <c r="L1050" t="s">
        <v>2917</v>
      </c>
      <c r="M1050">
        <v>0</v>
      </c>
      <c r="N1050" t="s">
        <v>2918</v>
      </c>
      <c r="O1050" t="s">
        <v>2919</v>
      </c>
      <c r="P1050" t="s">
        <v>2208</v>
      </c>
      <c r="Q1050" t="s">
        <v>2916</v>
      </c>
      <c r="R1050" t="s">
        <v>3220</v>
      </c>
      <c r="S1050" t="s">
        <v>2208</v>
      </c>
      <c r="T1050" t="s">
        <v>2208</v>
      </c>
    </row>
    <row r="1051" spans="1:20">
      <c r="A1051" t="s">
        <v>2239</v>
      </c>
      <c r="B1051" t="s">
        <v>7740</v>
      </c>
      <c r="C1051">
        <v>45491</v>
      </c>
      <c r="D1051" t="s">
        <v>7263</v>
      </c>
      <c r="E1051" t="s">
        <v>2925</v>
      </c>
      <c r="F1051">
        <v>45708</v>
      </c>
      <c r="G1051" t="s">
        <v>7654</v>
      </c>
      <c r="H1051" t="s">
        <v>2916</v>
      </c>
      <c r="I1051" t="s">
        <v>8649</v>
      </c>
      <c r="J1051">
        <v>13618.15</v>
      </c>
      <c r="K1051">
        <v>2341.64</v>
      </c>
      <c r="L1051" t="s">
        <v>2917</v>
      </c>
      <c r="M1051">
        <v>13618.15</v>
      </c>
      <c r="N1051" t="s">
        <v>2918</v>
      </c>
      <c r="O1051" t="s">
        <v>3315</v>
      </c>
      <c r="P1051" t="s">
        <v>3315</v>
      </c>
      <c r="Q1051" t="s">
        <v>2924</v>
      </c>
      <c r="R1051" t="s">
        <v>3219</v>
      </c>
      <c r="S1051" t="s">
        <v>2208</v>
      </c>
      <c r="T1051" t="s">
        <v>2208</v>
      </c>
    </row>
    <row r="1052" spans="1:20">
      <c r="A1052" t="s">
        <v>2239</v>
      </c>
      <c r="B1052" t="s">
        <v>7740</v>
      </c>
      <c r="C1052">
        <v>45348</v>
      </c>
      <c r="D1052" t="s">
        <v>7263</v>
      </c>
      <c r="E1052" t="s">
        <v>2925</v>
      </c>
      <c r="F1052">
        <v>45709</v>
      </c>
      <c r="G1052" t="s">
        <v>8650</v>
      </c>
      <c r="H1052" t="s">
        <v>2916</v>
      </c>
      <c r="I1052" t="s">
        <v>8651</v>
      </c>
      <c r="J1052">
        <v>6800</v>
      </c>
      <c r="K1052">
        <v>1169.26</v>
      </c>
      <c r="L1052" t="s">
        <v>2917</v>
      </c>
      <c r="M1052">
        <v>6800</v>
      </c>
      <c r="N1052" t="s">
        <v>2918</v>
      </c>
      <c r="O1052" t="s">
        <v>2939</v>
      </c>
      <c r="P1052" t="s">
        <v>2939</v>
      </c>
      <c r="Q1052" t="s">
        <v>2924</v>
      </c>
      <c r="R1052" t="s">
        <v>3219</v>
      </c>
      <c r="S1052" t="s">
        <v>2208</v>
      </c>
      <c r="T1052" t="s">
        <v>2208</v>
      </c>
    </row>
    <row r="1053" spans="1:20">
      <c r="A1053" t="s">
        <v>2239</v>
      </c>
      <c r="B1053" t="s">
        <v>7740</v>
      </c>
      <c r="C1053">
        <v>45460</v>
      </c>
      <c r="D1053" t="s">
        <v>7263</v>
      </c>
      <c r="E1053" t="s">
        <v>2925</v>
      </c>
      <c r="F1053">
        <v>45712</v>
      </c>
      <c r="G1053" t="s">
        <v>8903</v>
      </c>
      <c r="H1053" t="s">
        <v>2916</v>
      </c>
      <c r="I1053" t="s">
        <v>8904</v>
      </c>
      <c r="J1053">
        <v>3468.75</v>
      </c>
      <c r="K1053">
        <v>596.45000000000005</v>
      </c>
      <c r="L1053" t="s">
        <v>2917</v>
      </c>
      <c r="M1053">
        <v>3468.75</v>
      </c>
      <c r="N1053" t="s">
        <v>2918</v>
      </c>
      <c r="O1053" t="s">
        <v>2948</v>
      </c>
      <c r="P1053" t="s">
        <v>2948</v>
      </c>
      <c r="Q1053" t="s">
        <v>2924</v>
      </c>
      <c r="R1053" t="s">
        <v>3219</v>
      </c>
      <c r="S1053" t="s">
        <v>2208</v>
      </c>
      <c r="T1053" t="s">
        <v>2208</v>
      </c>
    </row>
    <row r="1054" spans="1:20">
      <c r="A1054" t="s">
        <v>2239</v>
      </c>
      <c r="B1054" t="s">
        <v>7740</v>
      </c>
      <c r="C1054">
        <v>45713</v>
      </c>
      <c r="D1054" t="s">
        <v>7263</v>
      </c>
      <c r="E1054" t="s">
        <v>2925</v>
      </c>
      <c r="F1054">
        <v>45713</v>
      </c>
      <c r="G1054" t="s">
        <v>2208</v>
      </c>
      <c r="H1054" t="s">
        <v>2916</v>
      </c>
      <c r="I1054" t="s">
        <v>9013</v>
      </c>
      <c r="J1054">
        <v>0</v>
      </c>
      <c r="K1054">
        <v>44.02</v>
      </c>
      <c r="L1054" t="s">
        <v>2917</v>
      </c>
      <c r="M1054">
        <v>256.01</v>
      </c>
      <c r="N1054" t="s">
        <v>2918</v>
      </c>
      <c r="O1054" t="s">
        <v>9014</v>
      </c>
      <c r="P1054" t="s">
        <v>2208</v>
      </c>
      <c r="Q1054" t="s">
        <v>7658</v>
      </c>
      <c r="R1054" t="s">
        <v>7659</v>
      </c>
      <c r="S1054" t="s">
        <v>2208</v>
      </c>
      <c r="T1054" t="s">
        <v>2208</v>
      </c>
    </row>
    <row r="1055" spans="1:20">
      <c r="A1055" t="s">
        <v>2239</v>
      </c>
      <c r="B1055" t="s">
        <v>7740</v>
      </c>
      <c r="C1055">
        <v>45713</v>
      </c>
      <c r="D1055" t="s">
        <v>7263</v>
      </c>
      <c r="E1055" t="s">
        <v>2925</v>
      </c>
      <c r="F1055">
        <v>45713</v>
      </c>
      <c r="G1055" t="s">
        <v>2208</v>
      </c>
      <c r="H1055" t="s">
        <v>2916</v>
      </c>
      <c r="I1055" t="s">
        <v>9013</v>
      </c>
      <c r="J1055">
        <v>0</v>
      </c>
      <c r="K1055">
        <v>44.02</v>
      </c>
      <c r="L1055" t="s">
        <v>2917</v>
      </c>
      <c r="M1055">
        <v>256.01</v>
      </c>
      <c r="N1055" t="s">
        <v>2918</v>
      </c>
      <c r="O1055" t="s">
        <v>9014</v>
      </c>
      <c r="P1055" t="s">
        <v>2208</v>
      </c>
      <c r="Q1055" t="s">
        <v>7658</v>
      </c>
      <c r="R1055" t="s">
        <v>7659</v>
      </c>
      <c r="S1055" t="s">
        <v>2208</v>
      </c>
      <c r="T1055" t="s">
        <v>2208</v>
      </c>
    </row>
    <row r="1056" spans="1:20">
      <c r="A1056" t="s">
        <v>2239</v>
      </c>
      <c r="B1056" t="s">
        <v>7740</v>
      </c>
      <c r="C1056">
        <v>45713</v>
      </c>
      <c r="D1056" t="s">
        <v>7263</v>
      </c>
      <c r="E1056" t="s">
        <v>2925</v>
      </c>
      <c r="F1056">
        <v>45713</v>
      </c>
      <c r="G1056" t="s">
        <v>2208</v>
      </c>
      <c r="H1056" t="s">
        <v>2916</v>
      </c>
      <c r="I1056" t="s">
        <v>9013</v>
      </c>
      <c r="J1056">
        <v>0</v>
      </c>
      <c r="K1056">
        <v>44.02</v>
      </c>
      <c r="L1056" t="s">
        <v>2917</v>
      </c>
      <c r="M1056">
        <v>256.01</v>
      </c>
      <c r="N1056" t="s">
        <v>2918</v>
      </c>
      <c r="O1056" t="s">
        <v>9014</v>
      </c>
      <c r="P1056" t="s">
        <v>2208</v>
      </c>
      <c r="Q1056" t="s">
        <v>7658</v>
      </c>
      <c r="R1056" t="s">
        <v>7659</v>
      </c>
      <c r="S1056" t="s">
        <v>2208</v>
      </c>
      <c r="T1056" t="s">
        <v>2208</v>
      </c>
    </row>
    <row r="1057" spans="1:20">
      <c r="A1057" t="s">
        <v>2239</v>
      </c>
      <c r="B1057" t="s">
        <v>7740</v>
      </c>
      <c r="C1057">
        <v>45709</v>
      </c>
      <c r="D1057" t="s">
        <v>7263</v>
      </c>
      <c r="E1057" t="s">
        <v>2925</v>
      </c>
      <c r="F1057">
        <v>45714</v>
      </c>
      <c r="G1057" t="s">
        <v>7654</v>
      </c>
      <c r="H1057" t="s">
        <v>2916</v>
      </c>
      <c r="I1057" t="s">
        <v>9015</v>
      </c>
      <c r="J1057">
        <v>0</v>
      </c>
      <c r="K1057">
        <v>-216.6</v>
      </c>
      <c r="L1057" t="s">
        <v>2917</v>
      </c>
      <c r="M1057">
        <v>-1259.68</v>
      </c>
      <c r="N1057" t="s">
        <v>2918</v>
      </c>
      <c r="O1057" t="s">
        <v>9016</v>
      </c>
      <c r="P1057" t="s">
        <v>3315</v>
      </c>
      <c r="Q1057" t="s">
        <v>2924</v>
      </c>
      <c r="R1057" t="s">
        <v>3219</v>
      </c>
      <c r="S1057" t="s">
        <v>2208</v>
      </c>
      <c r="T1057" t="s">
        <v>2208</v>
      </c>
    </row>
    <row r="1058" spans="1:20">
      <c r="A1058" t="s">
        <v>2239</v>
      </c>
      <c r="B1058" t="s">
        <v>7740</v>
      </c>
      <c r="C1058">
        <v>45716</v>
      </c>
      <c r="D1058" t="s">
        <v>7263</v>
      </c>
      <c r="E1058" t="s">
        <v>2925</v>
      </c>
      <c r="F1058">
        <v>45716</v>
      </c>
      <c r="G1058" t="s">
        <v>2208</v>
      </c>
      <c r="H1058" t="s">
        <v>2916</v>
      </c>
      <c r="I1058" t="s">
        <v>9149</v>
      </c>
      <c r="J1058">
        <v>0</v>
      </c>
      <c r="K1058">
        <v>-0.08</v>
      </c>
      <c r="L1058" t="s">
        <v>2917</v>
      </c>
      <c r="M1058">
        <v>0</v>
      </c>
      <c r="N1058" t="s">
        <v>2918</v>
      </c>
      <c r="O1058" t="s">
        <v>2919</v>
      </c>
      <c r="P1058" t="s">
        <v>2208</v>
      </c>
      <c r="Q1058" t="s">
        <v>2916</v>
      </c>
      <c r="R1058" t="s">
        <v>3220</v>
      </c>
      <c r="S1058" t="s">
        <v>2208</v>
      </c>
      <c r="T1058" t="s">
        <v>2208</v>
      </c>
    </row>
    <row r="1059" spans="1:20">
      <c r="A1059" t="s">
        <v>2239</v>
      </c>
      <c r="B1059" t="s">
        <v>7740</v>
      </c>
      <c r="C1059">
        <v>45716</v>
      </c>
      <c r="D1059" t="s">
        <v>7263</v>
      </c>
      <c r="E1059" t="s">
        <v>2925</v>
      </c>
      <c r="F1059">
        <v>45716</v>
      </c>
      <c r="G1059" t="s">
        <v>2208</v>
      </c>
      <c r="H1059" t="s">
        <v>2916</v>
      </c>
      <c r="I1059" t="s">
        <v>9150</v>
      </c>
      <c r="J1059">
        <v>0</v>
      </c>
      <c r="K1059">
        <v>0.04</v>
      </c>
      <c r="L1059" t="s">
        <v>2917</v>
      </c>
      <c r="M1059">
        <v>0</v>
      </c>
      <c r="N1059" t="s">
        <v>2918</v>
      </c>
      <c r="O1059" t="s">
        <v>2919</v>
      </c>
      <c r="P1059" t="s">
        <v>2208</v>
      </c>
      <c r="Q1059" t="s">
        <v>2916</v>
      </c>
      <c r="R1059" t="s">
        <v>3220</v>
      </c>
      <c r="S1059" t="s">
        <v>2208</v>
      </c>
      <c r="T1059" t="s">
        <v>2208</v>
      </c>
    </row>
    <row r="1060" spans="1:20">
      <c r="A1060" t="s">
        <v>2239</v>
      </c>
      <c r="B1060" t="s">
        <v>9126</v>
      </c>
      <c r="C1060">
        <v>45348</v>
      </c>
      <c r="D1060" t="s">
        <v>7263</v>
      </c>
      <c r="E1060" t="s">
        <v>9127</v>
      </c>
      <c r="F1060">
        <v>45734</v>
      </c>
      <c r="G1060" t="s">
        <v>8650</v>
      </c>
      <c r="H1060" t="s">
        <v>2916</v>
      </c>
      <c r="I1060" t="s">
        <v>10895</v>
      </c>
      <c r="J1060">
        <v>17000</v>
      </c>
      <c r="K1060">
        <v>2913.63</v>
      </c>
      <c r="L1060" t="s">
        <v>2917</v>
      </c>
      <c r="M1060">
        <v>17000</v>
      </c>
      <c r="N1060" t="s">
        <v>2918</v>
      </c>
      <c r="O1060" t="s">
        <v>2939</v>
      </c>
      <c r="P1060" t="s">
        <v>2939</v>
      </c>
      <c r="Q1060" t="s">
        <v>2924</v>
      </c>
      <c r="R1060" t="s">
        <v>3219</v>
      </c>
      <c r="S1060" t="s">
        <v>2208</v>
      </c>
      <c r="T1060" t="s">
        <v>2208</v>
      </c>
    </row>
    <row r="1061" spans="1:20">
      <c r="A1061" t="s">
        <v>2239</v>
      </c>
      <c r="B1061" t="s">
        <v>9126</v>
      </c>
      <c r="C1061">
        <v>45491</v>
      </c>
      <c r="D1061" t="s">
        <v>7263</v>
      </c>
      <c r="E1061" t="s">
        <v>9127</v>
      </c>
      <c r="F1061">
        <v>45736</v>
      </c>
      <c r="G1061" t="s">
        <v>7654</v>
      </c>
      <c r="H1061" t="s">
        <v>2916</v>
      </c>
      <c r="I1061" t="s">
        <v>10999</v>
      </c>
      <c r="J1061">
        <v>11348.45</v>
      </c>
      <c r="K1061">
        <v>1945.01</v>
      </c>
      <c r="L1061" t="s">
        <v>2917</v>
      </c>
      <c r="M1061">
        <v>11348.45</v>
      </c>
      <c r="N1061" t="s">
        <v>2918</v>
      </c>
      <c r="O1061" t="s">
        <v>3315</v>
      </c>
      <c r="P1061" t="s">
        <v>3315</v>
      </c>
      <c r="Q1061" t="s">
        <v>2924</v>
      </c>
      <c r="R1061" t="s">
        <v>3219</v>
      </c>
      <c r="S1061" t="s">
        <v>2208</v>
      </c>
      <c r="T1061" t="s">
        <v>2208</v>
      </c>
    </row>
    <row r="1062" spans="1:20">
      <c r="A1062" t="s">
        <v>2239</v>
      </c>
      <c r="B1062" t="s">
        <v>9126</v>
      </c>
      <c r="C1062">
        <v>45460</v>
      </c>
      <c r="D1062" t="s">
        <v>7263</v>
      </c>
      <c r="E1062" t="s">
        <v>9127</v>
      </c>
      <c r="F1062">
        <v>45740</v>
      </c>
      <c r="G1062" t="s">
        <v>8903</v>
      </c>
      <c r="H1062" t="s">
        <v>2916</v>
      </c>
      <c r="I1062" t="s">
        <v>11119</v>
      </c>
      <c r="J1062">
        <v>17156.25</v>
      </c>
      <c r="K1062">
        <v>2940.41</v>
      </c>
      <c r="L1062" t="s">
        <v>2917</v>
      </c>
      <c r="M1062">
        <v>17156.25</v>
      </c>
      <c r="N1062" t="s">
        <v>2918</v>
      </c>
      <c r="O1062" t="s">
        <v>2948</v>
      </c>
      <c r="P1062" t="s">
        <v>2948</v>
      </c>
      <c r="Q1062" t="s">
        <v>2924</v>
      </c>
      <c r="R1062" t="s">
        <v>3219</v>
      </c>
      <c r="S1062" t="s">
        <v>2208</v>
      </c>
      <c r="T1062" t="s">
        <v>2208</v>
      </c>
    </row>
    <row r="1063" spans="1:20">
      <c r="A1063" t="s">
        <v>2239</v>
      </c>
      <c r="B1063" t="s">
        <v>9126</v>
      </c>
      <c r="C1063">
        <v>45737</v>
      </c>
      <c r="D1063" t="s">
        <v>7263</v>
      </c>
      <c r="E1063" t="s">
        <v>9127</v>
      </c>
      <c r="F1063">
        <v>45740</v>
      </c>
      <c r="G1063" t="s">
        <v>7654</v>
      </c>
      <c r="H1063" t="s">
        <v>2916</v>
      </c>
      <c r="I1063" t="s">
        <v>11120</v>
      </c>
      <c r="J1063">
        <v>0</v>
      </c>
      <c r="K1063">
        <v>-179.91</v>
      </c>
      <c r="L1063" t="s">
        <v>2917</v>
      </c>
      <c r="M1063">
        <v>-1049.73</v>
      </c>
      <c r="N1063" t="s">
        <v>2918</v>
      </c>
      <c r="O1063" t="s">
        <v>11121</v>
      </c>
      <c r="P1063" t="s">
        <v>3315</v>
      </c>
      <c r="Q1063" t="s">
        <v>2924</v>
      </c>
      <c r="R1063" t="s">
        <v>3219</v>
      </c>
      <c r="S1063" t="s">
        <v>2208</v>
      </c>
      <c r="T1063" t="s">
        <v>2208</v>
      </c>
    </row>
    <row r="1064" spans="1:20">
      <c r="A1064" t="s">
        <v>2239</v>
      </c>
      <c r="B1064" t="s">
        <v>9126</v>
      </c>
      <c r="C1064">
        <v>45743</v>
      </c>
      <c r="D1064" t="s">
        <v>7263</v>
      </c>
      <c r="E1064" t="s">
        <v>9127</v>
      </c>
      <c r="F1064">
        <v>45743</v>
      </c>
      <c r="G1064" t="s">
        <v>2208</v>
      </c>
      <c r="H1064" t="s">
        <v>2916</v>
      </c>
      <c r="I1064" t="s">
        <v>11368</v>
      </c>
      <c r="J1064">
        <v>0</v>
      </c>
      <c r="K1064">
        <v>43.88</v>
      </c>
      <c r="L1064" t="s">
        <v>2917</v>
      </c>
      <c r="M1064">
        <v>256.01</v>
      </c>
      <c r="N1064" t="s">
        <v>2918</v>
      </c>
      <c r="O1064" t="s">
        <v>11369</v>
      </c>
      <c r="P1064" t="s">
        <v>2208</v>
      </c>
      <c r="Q1064" t="s">
        <v>7658</v>
      </c>
      <c r="R1064" t="s">
        <v>7659</v>
      </c>
      <c r="S1064" t="s">
        <v>2208</v>
      </c>
      <c r="T1064" t="s">
        <v>2208</v>
      </c>
    </row>
    <row r="1065" spans="1:20">
      <c r="A1065" t="s">
        <v>2239</v>
      </c>
      <c r="B1065" t="s">
        <v>9126</v>
      </c>
      <c r="C1065">
        <v>45743</v>
      </c>
      <c r="D1065" t="s">
        <v>7263</v>
      </c>
      <c r="E1065" t="s">
        <v>9127</v>
      </c>
      <c r="F1065">
        <v>45743</v>
      </c>
      <c r="G1065" t="s">
        <v>2208</v>
      </c>
      <c r="H1065" t="s">
        <v>2916</v>
      </c>
      <c r="I1065" t="s">
        <v>11368</v>
      </c>
      <c r="J1065">
        <v>0</v>
      </c>
      <c r="K1065">
        <v>43.88</v>
      </c>
      <c r="L1065" t="s">
        <v>2917</v>
      </c>
      <c r="M1065">
        <v>256.01</v>
      </c>
      <c r="N1065" t="s">
        <v>2918</v>
      </c>
      <c r="O1065" t="s">
        <v>11369</v>
      </c>
      <c r="P1065" t="s">
        <v>2208</v>
      </c>
      <c r="Q1065" t="s">
        <v>7658</v>
      </c>
      <c r="R1065" t="s">
        <v>7659</v>
      </c>
      <c r="S1065" t="s">
        <v>2208</v>
      </c>
      <c r="T1065" t="s">
        <v>2208</v>
      </c>
    </row>
    <row r="1066" spans="1:20">
      <c r="A1066" t="s">
        <v>2239</v>
      </c>
      <c r="B1066" t="s">
        <v>9126</v>
      </c>
      <c r="C1066">
        <v>45743</v>
      </c>
      <c r="D1066" t="s">
        <v>7263</v>
      </c>
      <c r="E1066" t="s">
        <v>9127</v>
      </c>
      <c r="F1066">
        <v>45743</v>
      </c>
      <c r="G1066" t="s">
        <v>2208</v>
      </c>
      <c r="H1066" t="s">
        <v>2916</v>
      </c>
      <c r="I1066" t="s">
        <v>11368</v>
      </c>
      <c r="J1066">
        <v>0</v>
      </c>
      <c r="K1066">
        <v>43.88</v>
      </c>
      <c r="L1066" t="s">
        <v>2917</v>
      </c>
      <c r="M1066">
        <v>256.01</v>
      </c>
      <c r="N1066" t="s">
        <v>2918</v>
      </c>
      <c r="O1066" t="s">
        <v>11369</v>
      </c>
      <c r="P1066" t="s">
        <v>2208</v>
      </c>
      <c r="Q1066" t="s">
        <v>7658</v>
      </c>
      <c r="R1066" t="s">
        <v>7659</v>
      </c>
      <c r="S1066" t="s">
        <v>2208</v>
      </c>
      <c r="T1066" t="s">
        <v>2208</v>
      </c>
    </row>
    <row r="1067" spans="1:20">
      <c r="A1067" t="s">
        <v>2239</v>
      </c>
      <c r="B1067" t="s">
        <v>9126</v>
      </c>
      <c r="C1067">
        <v>45747</v>
      </c>
      <c r="D1067" t="s">
        <v>7263</v>
      </c>
      <c r="E1067" t="s">
        <v>9127</v>
      </c>
      <c r="F1067">
        <v>45747</v>
      </c>
      <c r="G1067" t="s">
        <v>2208</v>
      </c>
      <c r="H1067" t="s">
        <v>2916</v>
      </c>
      <c r="I1067" t="s">
        <v>11370</v>
      </c>
      <c r="J1067">
        <v>0</v>
      </c>
      <c r="K1067">
        <v>0.04</v>
      </c>
      <c r="L1067" t="s">
        <v>2917</v>
      </c>
      <c r="M1067">
        <v>0</v>
      </c>
      <c r="N1067" t="s">
        <v>2918</v>
      </c>
      <c r="O1067" t="s">
        <v>2919</v>
      </c>
      <c r="P1067" t="s">
        <v>2208</v>
      </c>
      <c r="Q1067" t="s">
        <v>2916</v>
      </c>
      <c r="R1067" t="s">
        <v>3220</v>
      </c>
      <c r="S1067" t="s">
        <v>2208</v>
      </c>
      <c r="T1067" t="s">
        <v>2208</v>
      </c>
    </row>
    <row r="1068" spans="1:20">
      <c r="A1068" t="s">
        <v>2239</v>
      </c>
      <c r="B1068" t="s">
        <v>9126</v>
      </c>
      <c r="C1068">
        <v>45747</v>
      </c>
      <c r="D1068" t="s">
        <v>7263</v>
      </c>
      <c r="E1068" t="s">
        <v>9127</v>
      </c>
      <c r="F1068">
        <v>45747</v>
      </c>
      <c r="G1068" t="s">
        <v>2208</v>
      </c>
      <c r="H1068" t="s">
        <v>2916</v>
      </c>
      <c r="I1068" t="s">
        <v>11371</v>
      </c>
      <c r="J1068">
        <v>0</v>
      </c>
      <c r="K1068">
        <v>-0.04</v>
      </c>
      <c r="L1068" t="s">
        <v>2917</v>
      </c>
      <c r="M1068">
        <v>0</v>
      </c>
      <c r="N1068" t="s">
        <v>2918</v>
      </c>
      <c r="O1068" t="s">
        <v>2919</v>
      </c>
      <c r="P1068" t="s">
        <v>2208</v>
      </c>
      <c r="Q1068" t="s">
        <v>2916</v>
      </c>
      <c r="R1068" t="s">
        <v>3220</v>
      </c>
      <c r="S1068" t="s">
        <v>2208</v>
      </c>
      <c r="T1068" t="s">
        <v>2208</v>
      </c>
    </row>
    <row r="1069" spans="1:20">
      <c r="A1069" t="s">
        <v>2239</v>
      </c>
      <c r="B1069" t="s">
        <v>11331</v>
      </c>
      <c r="C1069">
        <v>45348</v>
      </c>
      <c r="D1069" t="s">
        <v>7263</v>
      </c>
      <c r="E1069" t="s">
        <v>11332</v>
      </c>
      <c r="F1069">
        <v>45762</v>
      </c>
      <c r="G1069" t="s">
        <v>8650</v>
      </c>
      <c r="H1069" t="s">
        <v>2916</v>
      </c>
      <c r="I1069" t="s">
        <v>12331</v>
      </c>
      <c r="J1069">
        <v>17000</v>
      </c>
      <c r="K1069">
        <v>2952.05</v>
      </c>
      <c r="L1069" t="s">
        <v>2917</v>
      </c>
      <c r="M1069">
        <v>17000</v>
      </c>
      <c r="N1069" t="s">
        <v>2918</v>
      </c>
      <c r="O1069" t="s">
        <v>2939</v>
      </c>
      <c r="P1069" t="s">
        <v>2939</v>
      </c>
      <c r="Q1069" t="s">
        <v>2924</v>
      </c>
      <c r="R1069" t="s">
        <v>3219</v>
      </c>
      <c r="S1069" t="s">
        <v>2208</v>
      </c>
      <c r="T1069" t="s">
        <v>2208</v>
      </c>
    </row>
    <row r="1070" spans="1:20">
      <c r="A1070" t="s">
        <v>2239</v>
      </c>
      <c r="B1070" t="s">
        <v>11331</v>
      </c>
      <c r="C1070">
        <v>45762</v>
      </c>
      <c r="D1070" t="s">
        <v>7263</v>
      </c>
      <c r="E1070" t="s">
        <v>11332</v>
      </c>
      <c r="F1070">
        <v>45762</v>
      </c>
      <c r="G1070" t="s">
        <v>2208</v>
      </c>
      <c r="H1070" t="s">
        <v>2916</v>
      </c>
      <c r="I1070" t="s">
        <v>12332</v>
      </c>
      <c r="J1070">
        <v>0</v>
      </c>
      <c r="K1070">
        <v>74728.17</v>
      </c>
      <c r="L1070" t="s">
        <v>2917</v>
      </c>
      <c r="M1070">
        <v>430337.88</v>
      </c>
      <c r="N1070" t="s">
        <v>2918</v>
      </c>
      <c r="O1070" t="s">
        <v>12333</v>
      </c>
      <c r="P1070" t="s">
        <v>2208</v>
      </c>
      <c r="Q1070" t="s">
        <v>11084</v>
      </c>
      <c r="R1070" t="s">
        <v>11085</v>
      </c>
      <c r="S1070" t="s">
        <v>2208</v>
      </c>
      <c r="T1070" t="s">
        <v>2208</v>
      </c>
    </row>
    <row r="1071" spans="1:20">
      <c r="A1071" t="s">
        <v>2239</v>
      </c>
      <c r="B1071" t="s">
        <v>11331</v>
      </c>
      <c r="C1071">
        <v>45762</v>
      </c>
      <c r="D1071" t="s">
        <v>7263</v>
      </c>
      <c r="E1071" t="s">
        <v>11332</v>
      </c>
      <c r="F1071">
        <v>45762</v>
      </c>
      <c r="G1071" t="s">
        <v>2208</v>
      </c>
      <c r="H1071" t="s">
        <v>2916</v>
      </c>
      <c r="I1071" t="s">
        <v>12332</v>
      </c>
      <c r="J1071">
        <v>0</v>
      </c>
      <c r="K1071">
        <v>2241.85</v>
      </c>
      <c r="L1071" t="s">
        <v>2917</v>
      </c>
      <c r="M1071">
        <v>12910.15</v>
      </c>
      <c r="N1071" t="s">
        <v>2918</v>
      </c>
      <c r="O1071" t="s">
        <v>12333</v>
      </c>
      <c r="P1071" t="s">
        <v>2208</v>
      </c>
      <c r="Q1071" t="s">
        <v>11084</v>
      </c>
      <c r="R1071" t="s">
        <v>11085</v>
      </c>
      <c r="S1071" t="s">
        <v>2208</v>
      </c>
      <c r="T1071" t="s">
        <v>2208</v>
      </c>
    </row>
    <row r="1072" spans="1:20">
      <c r="A1072" t="s">
        <v>2239</v>
      </c>
      <c r="B1072" t="s">
        <v>11331</v>
      </c>
      <c r="C1072">
        <v>45491</v>
      </c>
      <c r="D1072" t="s">
        <v>7263</v>
      </c>
      <c r="E1072" t="s">
        <v>11332</v>
      </c>
      <c r="F1072">
        <v>45769</v>
      </c>
      <c r="G1072" t="s">
        <v>7654</v>
      </c>
      <c r="H1072" t="s">
        <v>2916</v>
      </c>
      <c r="I1072" t="s">
        <v>15830</v>
      </c>
      <c r="J1072">
        <v>13618.15</v>
      </c>
      <c r="K1072">
        <v>2364.79</v>
      </c>
      <c r="L1072" t="s">
        <v>2917</v>
      </c>
      <c r="M1072">
        <v>13618.15</v>
      </c>
      <c r="N1072" t="s">
        <v>2918</v>
      </c>
      <c r="O1072" t="s">
        <v>3315</v>
      </c>
      <c r="P1072" t="s">
        <v>3315</v>
      </c>
      <c r="Q1072" t="s">
        <v>2924</v>
      </c>
      <c r="R1072" t="s">
        <v>3219</v>
      </c>
      <c r="S1072" t="s">
        <v>2208</v>
      </c>
      <c r="T1072" t="s">
        <v>2208</v>
      </c>
    </row>
    <row r="1073" spans="1:20">
      <c r="A1073" t="s">
        <v>2239</v>
      </c>
      <c r="B1073" t="s">
        <v>11331</v>
      </c>
      <c r="C1073">
        <v>45460</v>
      </c>
      <c r="D1073" t="s">
        <v>7263</v>
      </c>
      <c r="E1073" t="s">
        <v>11332</v>
      </c>
      <c r="F1073">
        <v>45770</v>
      </c>
      <c r="G1073" t="s">
        <v>8903</v>
      </c>
      <c r="H1073" t="s">
        <v>2916</v>
      </c>
      <c r="I1073" t="s">
        <v>15896</v>
      </c>
      <c r="J1073">
        <v>20620.330000000002</v>
      </c>
      <c r="K1073">
        <v>3580.72</v>
      </c>
      <c r="L1073" t="s">
        <v>2917</v>
      </c>
      <c r="M1073">
        <v>20620.330000000002</v>
      </c>
      <c r="N1073" t="s">
        <v>2918</v>
      </c>
      <c r="O1073" t="s">
        <v>2948</v>
      </c>
      <c r="P1073" t="s">
        <v>2948</v>
      </c>
      <c r="Q1073" t="s">
        <v>2924</v>
      </c>
      <c r="R1073" t="s">
        <v>3219</v>
      </c>
      <c r="S1073" t="s">
        <v>2208</v>
      </c>
      <c r="T1073" t="s">
        <v>2208</v>
      </c>
    </row>
    <row r="1074" spans="1:20">
      <c r="A1074" t="s">
        <v>2239</v>
      </c>
      <c r="B1074" t="s">
        <v>11331</v>
      </c>
      <c r="C1074">
        <v>45771</v>
      </c>
      <c r="D1074" t="s">
        <v>7263</v>
      </c>
      <c r="E1074" t="s">
        <v>11332</v>
      </c>
      <c r="F1074">
        <v>45775</v>
      </c>
      <c r="G1074" t="s">
        <v>7654</v>
      </c>
      <c r="H1074" t="s">
        <v>2916</v>
      </c>
      <c r="I1074" t="s">
        <v>16231</v>
      </c>
      <c r="J1074">
        <v>0</v>
      </c>
      <c r="K1074">
        <v>-218.74</v>
      </c>
      <c r="L1074" t="s">
        <v>2917</v>
      </c>
      <c r="M1074">
        <v>-1259.68</v>
      </c>
      <c r="N1074" t="s">
        <v>2918</v>
      </c>
      <c r="O1074" t="s">
        <v>16232</v>
      </c>
      <c r="P1074" t="s">
        <v>3315</v>
      </c>
      <c r="Q1074" t="s">
        <v>2924</v>
      </c>
      <c r="R1074" t="s">
        <v>3219</v>
      </c>
      <c r="S1074" t="s">
        <v>2208</v>
      </c>
      <c r="T1074" t="s">
        <v>2208</v>
      </c>
    </row>
    <row r="1075" spans="1:20">
      <c r="A1075" t="s">
        <v>2239</v>
      </c>
      <c r="B1075" t="s">
        <v>11331</v>
      </c>
      <c r="C1075">
        <v>45775</v>
      </c>
      <c r="D1075" t="s">
        <v>7263</v>
      </c>
      <c r="E1075" t="s">
        <v>11332</v>
      </c>
      <c r="F1075">
        <v>45775</v>
      </c>
      <c r="G1075" t="s">
        <v>2208</v>
      </c>
      <c r="H1075" t="s">
        <v>2916</v>
      </c>
      <c r="I1075" t="s">
        <v>16233</v>
      </c>
      <c r="J1075">
        <v>0</v>
      </c>
      <c r="K1075">
        <v>44.46</v>
      </c>
      <c r="L1075" t="s">
        <v>2917</v>
      </c>
      <c r="M1075">
        <v>256.01</v>
      </c>
      <c r="N1075" t="s">
        <v>2918</v>
      </c>
      <c r="O1075" t="s">
        <v>16234</v>
      </c>
      <c r="P1075" t="s">
        <v>2208</v>
      </c>
      <c r="Q1075" t="s">
        <v>7658</v>
      </c>
      <c r="R1075" t="s">
        <v>7659</v>
      </c>
      <c r="S1075" t="s">
        <v>2208</v>
      </c>
      <c r="T1075" t="s">
        <v>2208</v>
      </c>
    </row>
    <row r="1076" spans="1:20">
      <c r="A1076" t="s">
        <v>2239</v>
      </c>
      <c r="B1076" t="s">
        <v>11331</v>
      </c>
      <c r="C1076">
        <v>45775</v>
      </c>
      <c r="D1076" t="s">
        <v>7263</v>
      </c>
      <c r="E1076" t="s">
        <v>11332</v>
      </c>
      <c r="F1076">
        <v>45775</v>
      </c>
      <c r="G1076" t="s">
        <v>2208</v>
      </c>
      <c r="H1076" t="s">
        <v>2916</v>
      </c>
      <c r="I1076" t="s">
        <v>16233</v>
      </c>
      <c r="J1076">
        <v>0</v>
      </c>
      <c r="K1076">
        <v>44.46</v>
      </c>
      <c r="L1076" t="s">
        <v>2917</v>
      </c>
      <c r="M1076">
        <v>256.01</v>
      </c>
      <c r="N1076" t="s">
        <v>2918</v>
      </c>
      <c r="O1076" t="s">
        <v>16234</v>
      </c>
      <c r="P1076" t="s">
        <v>2208</v>
      </c>
      <c r="Q1076" t="s">
        <v>7658</v>
      </c>
      <c r="R1076" t="s">
        <v>7659</v>
      </c>
      <c r="S1076" t="s">
        <v>2208</v>
      </c>
      <c r="T1076" t="s">
        <v>2208</v>
      </c>
    </row>
    <row r="1077" spans="1:20">
      <c r="A1077" t="s">
        <v>2239</v>
      </c>
      <c r="B1077" t="s">
        <v>11331</v>
      </c>
      <c r="C1077">
        <v>45775</v>
      </c>
      <c r="D1077" t="s">
        <v>7263</v>
      </c>
      <c r="E1077" t="s">
        <v>11332</v>
      </c>
      <c r="F1077">
        <v>45775</v>
      </c>
      <c r="G1077" t="s">
        <v>2208</v>
      </c>
      <c r="H1077" t="s">
        <v>2916</v>
      </c>
      <c r="I1077" t="s">
        <v>16233</v>
      </c>
      <c r="J1077">
        <v>0</v>
      </c>
      <c r="K1077">
        <v>44.46</v>
      </c>
      <c r="L1077" t="s">
        <v>2917</v>
      </c>
      <c r="M1077">
        <v>256.01</v>
      </c>
      <c r="N1077" t="s">
        <v>2918</v>
      </c>
      <c r="O1077" t="s">
        <v>16234</v>
      </c>
      <c r="P1077" t="s">
        <v>2208</v>
      </c>
      <c r="Q1077" t="s">
        <v>7658</v>
      </c>
      <c r="R1077" t="s">
        <v>7659</v>
      </c>
      <c r="S1077" t="s">
        <v>2208</v>
      </c>
      <c r="T1077" t="s">
        <v>2208</v>
      </c>
    </row>
    <row r="1078" spans="1:20">
      <c r="A1078" t="s">
        <v>2239</v>
      </c>
      <c r="B1078" t="s">
        <v>11331</v>
      </c>
      <c r="C1078">
        <v>45777</v>
      </c>
      <c r="D1078" t="s">
        <v>7263</v>
      </c>
      <c r="E1078" t="s">
        <v>11332</v>
      </c>
      <c r="F1078">
        <v>45777</v>
      </c>
      <c r="G1078" t="s">
        <v>2208</v>
      </c>
      <c r="H1078" t="s">
        <v>2916</v>
      </c>
      <c r="I1078" t="s">
        <v>16406</v>
      </c>
      <c r="J1078">
        <v>0</v>
      </c>
      <c r="K1078">
        <v>-0.09</v>
      </c>
      <c r="L1078" t="s">
        <v>2917</v>
      </c>
      <c r="M1078">
        <v>0</v>
      </c>
      <c r="N1078" t="s">
        <v>2918</v>
      </c>
      <c r="O1078" t="s">
        <v>2919</v>
      </c>
      <c r="P1078" t="s">
        <v>2208</v>
      </c>
      <c r="Q1078" t="s">
        <v>2916</v>
      </c>
      <c r="R1078" t="s">
        <v>3220</v>
      </c>
      <c r="S1078" t="s">
        <v>2208</v>
      </c>
      <c r="T1078" t="s">
        <v>2208</v>
      </c>
    </row>
    <row r="1079" spans="1:20">
      <c r="A1079" t="s">
        <v>2239</v>
      </c>
      <c r="B1079" t="s">
        <v>11331</v>
      </c>
      <c r="C1079">
        <v>45777</v>
      </c>
      <c r="D1079" t="s">
        <v>7263</v>
      </c>
      <c r="E1079" t="s">
        <v>11332</v>
      </c>
      <c r="F1079">
        <v>45777</v>
      </c>
      <c r="G1079" t="s">
        <v>2208</v>
      </c>
      <c r="H1079" t="s">
        <v>2916</v>
      </c>
      <c r="I1079" t="s">
        <v>16407</v>
      </c>
      <c r="J1079">
        <v>0</v>
      </c>
      <c r="K1079">
        <v>-0.01</v>
      </c>
      <c r="L1079" t="s">
        <v>2917</v>
      </c>
      <c r="M1079">
        <v>0</v>
      </c>
      <c r="N1079" t="s">
        <v>2918</v>
      </c>
      <c r="O1079" t="s">
        <v>2919</v>
      </c>
      <c r="P1079" t="s">
        <v>2208</v>
      </c>
      <c r="Q1079" t="s">
        <v>2916</v>
      </c>
      <c r="R1079" t="s">
        <v>3220</v>
      </c>
      <c r="S1079" t="s">
        <v>2208</v>
      </c>
      <c r="T1079" t="s">
        <v>2208</v>
      </c>
    </row>
    <row r="1080" spans="1:20">
      <c r="A1080" t="s">
        <v>2239</v>
      </c>
      <c r="B1080" t="s">
        <v>11331</v>
      </c>
      <c r="C1080">
        <v>45777</v>
      </c>
      <c r="D1080" t="s">
        <v>7263</v>
      </c>
      <c r="E1080" t="s">
        <v>11332</v>
      </c>
      <c r="F1080">
        <v>45777</v>
      </c>
      <c r="G1080" t="s">
        <v>2208</v>
      </c>
      <c r="H1080" t="s">
        <v>2916</v>
      </c>
      <c r="I1080" t="s">
        <v>16408</v>
      </c>
      <c r="J1080">
        <v>0</v>
      </c>
      <c r="K1080">
        <v>-0.01</v>
      </c>
      <c r="L1080" t="s">
        <v>2917</v>
      </c>
      <c r="M1080">
        <v>0</v>
      </c>
      <c r="N1080" t="s">
        <v>2918</v>
      </c>
      <c r="O1080" t="s">
        <v>2919</v>
      </c>
      <c r="P1080" t="s">
        <v>2208</v>
      </c>
      <c r="Q1080" t="s">
        <v>2916</v>
      </c>
      <c r="R1080" t="s">
        <v>3220</v>
      </c>
      <c r="S1080" t="s">
        <v>2208</v>
      </c>
      <c r="T1080" t="s">
        <v>2208</v>
      </c>
    </row>
    <row r="1081" spans="1:20">
      <c r="A1081" t="s">
        <v>2239</v>
      </c>
      <c r="B1081" t="s">
        <v>11331</v>
      </c>
      <c r="C1081">
        <v>45777</v>
      </c>
      <c r="D1081" t="s">
        <v>7263</v>
      </c>
      <c r="E1081" t="s">
        <v>11332</v>
      </c>
      <c r="F1081">
        <v>45777</v>
      </c>
      <c r="G1081" t="s">
        <v>2208</v>
      </c>
      <c r="H1081" t="s">
        <v>2916</v>
      </c>
      <c r="I1081" t="s">
        <v>16409</v>
      </c>
      <c r="J1081">
        <v>0</v>
      </c>
      <c r="K1081">
        <v>-0.06</v>
      </c>
      <c r="L1081" t="s">
        <v>2917</v>
      </c>
      <c r="M1081">
        <v>0</v>
      </c>
      <c r="N1081" t="s">
        <v>2918</v>
      </c>
      <c r="O1081" t="s">
        <v>2919</v>
      </c>
      <c r="P1081" t="s">
        <v>2208</v>
      </c>
      <c r="Q1081" t="s">
        <v>2916</v>
      </c>
      <c r="R1081" t="s">
        <v>3220</v>
      </c>
      <c r="S1081" t="s">
        <v>2208</v>
      </c>
      <c r="T1081" t="s">
        <v>2208</v>
      </c>
    </row>
    <row r="1082" spans="1:20">
      <c r="A1082" t="s">
        <v>2239</v>
      </c>
      <c r="B1082" t="s">
        <v>16360</v>
      </c>
      <c r="C1082">
        <v>45348</v>
      </c>
      <c r="D1082" t="s">
        <v>7263</v>
      </c>
      <c r="E1082" t="s">
        <v>16361</v>
      </c>
      <c r="F1082">
        <v>45790</v>
      </c>
      <c r="G1082" t="s">
        <v>8650</v>
      </c>
      <c r="H1082" t="s">
        <v>2916</v>
      </c>
      <c r="I1082" t="s">
        <v>17035</v>
      </c>
      <c r="J1082">
        <v>17000</v>
      </c>
      <c r="K1082">
        <v>3017.5</v>
      </c>
      <c r="L1082" t="s">
        <v>2917</v>
      </c>
      <c r="M1082">
        <v>17000</v>
      </c>
      <c r="N1082" t="s">
        <v>2918</v>
      </c>
      <c r="O1082" t="s">
        <v>2939</v>
      </c>
      <c r="P1082" t="s">
        <v>2939</v>
      </c>
      <c r="Q1082" t="s">
        <v>2924</v>
      </c>
      <c r="R1082" t="s">
        <v>3219</v>
      </c>
      <c r="S1082" t="s">
        <v>2208</v>
      </c>
      <c r="T1082" t="s">
        <v>2208</v>
      </c>
    </row>
    <row r="1083" spans="1:20">
      <c r="A1083" t="s">
        <v>2239</v>
      </c>
      <c r="B1083" t="s">
        <v>16360</v>
      </c>
      <c r="C1083">
        <v>45797</v>
      </c>
      <c r="D1083" t="s">
        <v>7263</v>
      </c>
      <c r="E1083" t="s">
        <v>16361</v>
      </c>
      <c r="F1083">
        <v>45797</v>
      </c>
      <c r="G1083" t="s">
        <v>2208</v>
      </c>
      <c r="H1083" t="s">
        <v>2916</v>
      </c>
      <c r="I1083" t="s">
        <v>17279</v>
      </c>
      <c r="J1083">
        <v>0</v>
      </c>
      <c r="K1083">
        <v>45.45</v>
      </c>
      <c r="L1083" t="s">
        <v>2917</v>
      </c>
      <c r="M1083">
        <v>256.01</v>
      </c>
      <c r="N1083" t="s">
        <v>2918</v>
      </c>
      <c r="O1083" t="s">
        <v>17280</v>
      </c>
      <c r="P1083" t="s">
        <v>2208</v>
      </c>
      <c r="Q1083" t="s">
        <v>7658</v>
      </c>
      <c r="R1083" t="s">
        <v>7659</v>
      </c>
      <c r="S1083" t="s">
        <v>2208</v>
      </c>
      <c r="T1083" t="s">
        <v>2208</v>
      </c>
    </row>
    <row r="1084" spans="1:20">
      <c r="A1084" t="s">
        <v>2239</v>
      </c>
      <c r="B1084" t="s">
        <v>16360</v>
      </c>
      <c r="C1084">
        <v>45797</v>
      </c>
      <c r="D1084" t="s">
        <v>7263</v>
      </c>
      <c r="E1084" t="s">
        <v>16361</v>
      </c>
      <c r="F1084">
        <v>45797</v>
      </c>
      <c r="G1084" t="s">
        <v>2208</v>
      </c>
      <c r="H1084" t="s">
        <v>2916</v>
      </c>
      <c r="I1084" t="s">
        <v>17279</v>
      </c>
      <c r="J1084">
        <v>0</v>
      </c>
      <c r="K1084">
        <v>45.44</v>
      </c>
      <c r="L1084" t="s">
        <v>2917</v>
      </c>
      <c r="M1084">
        <v>256.01</v>
      </c>
      <c r="N1084" t="s">
        <v>2918</v>
      </c>
      <c r="O1084" t="s">
        <v>17280</v>
      </c>
      <c r="P1084" t="s">
        <v>2208</v>
      </c>
      <c r="Q1084" t="s">
        <v>7658</v>
      </c>
      <c r="R1084" t="s">
        <v>7659</v>
      </c>
      <c r="S1084" t="s">
        <v>2208</v>
      </c>
      <c r="T1084" t="s">
        <v>2208</v>
      </c>
    </row>
    <row r="1085" spans="1:20">
      <c r="A1085" t="s">
        <v>2239</v>
      </c>
      <c r="B1085" t="s">
        <v>16360</v>
      </c>
      <c r="C1085">
        <v>45797</v>
      </c>
      <c r="D1085" t="s">
        <v>7263</v>
      </c>
      <c r="E1085" t="s">
        <v>16361</v>
      </c>
      <c r="F1085">
        <v>45797</v>
      </c>
      <c r="G1085" t="s">
        <v>2208</v>
      </c>
      <c r="H1085" t="s">
        <v>2916</v>
      </c>
      <c r="I1085" t="s">
        <v>17279</v>
      </c>
      <c r="J1085">
        <v>0</v>
      </c>
      <c r="K1085">
        <v>45.44</v>
      </c>
      <c r="L1085" t="s">
        <v>2917</v>
      </c>
      <c r="M1085">
        <v>256.01</v>
      </c>
      <c r="N1085" t="s">
        <v>2918</v>
      </c>
      <c r="O1085" t="s">
        <v>17280</v>
      </c>
      <c r="P1085" t="s">
        <v>2208</v>
      </c>
      <c r="Q1085" t="s">
        <v>7658</v>
      </c>
      <c r="R1085" t="s">
        <v>7659</v>
      </c>
      <c r="S1085" t="s">
        <v>2208</v>
      </c>
      <c r="T1085" t="s">
        <v>2208</v>
      </c>
    </row>
    <row r="1086" spans="1:20">
      <c r="A1086" t="s">
        <v>2239</v>
      </c>
      <c r="B1086" t="s">
        <v>16360</v>
      </c>
      <c r="C1086">
        <v>45790</v>
      </c>
      <c r="D1086" t="s">
        <v>7263</v>
      </c>
      <c r="E1086" t="s">
        <v>16361</v>
      </c>
      <c r="F1086">
        <v>45798</v>
      </c>
      <c r="G1086" t="s">
        <v>8650</v>
      </c>
      <c r="H1086" t="s">
        <v>2916</v>
      </c>
      <c r="I1086" t="s">
        <v>17305</v>
      </c>
      <c r="J1086">
        <v>0</v>
      </c>
      <c r="K1086">
        <v>-279.12</v>
      </c>
      <c r="L1086" t="s">
        <v>2917</v>
      </c>
      <c r="M1086">
        <v>-1572.5</v>
      </c>
      <c r="N1086" t="s">
        <v>2918</v>
      </c>
      <c r="O1086" t="s">
        <v>17306</v>
      </c>
      <c r="P1086" t="s">
        <v>2939</v>
      </c>
      <c r="Q1086" t="s">
        <v>2924</v>
      </c>
      <c r="R1086" t="s">
        <v>3219</v>
      </c>
      <c r="S1086" t="s">
        <v>2208</v>
      </c>
      <c r="T1086" t="s">
        <v>2208</v>
      </c>
    </row>
    <row r="1087" spans="1:20">
      <c r="A1087" t="s">
        <v>2239</v>
      </c>
      <c r="B1087" t="s">
        <v>16360</v>
      </c>
      <c r="C1087">
        <v>45491</v>
      </c>
      <c r="D1087" t="s">
        <v>7263</v>
      </c>
      <c r="E1087" t="s">
        <v>16361</v>
      </c>
      <c r="F1087">
        <v>45799</v>
      </c>
      <c r="G1087" t="s">
        <v>7654</v>
      </c>
      <c r="H1087" t="s">
        <v>2916</v>
      </c>
      <c r="I1087" t="s">
        <v>17397</v>
      </c>
      <c r="J1087">
        <v>13618.15</v>
      </c>
      <c r="K1087">
        <v>2417.2199999999998</v>
      </c>
      <c r="L1087" t="s">
        <v>2917</v>
      </c>
      <c r="M1087">
        <v>13618.15</v>
      </c>
      <c r="N1087" t="s">
        <v>2918</v>
      </c>
      <c r="O1087" t="s">
        <v>3315</v>
      </c>
      <c r="P1087" t="s">
        <v>3315</v>
      </c>
      <c r="Q1087" t="s">
        <v>2924</v>
      </c>
      <c r="R1087" t="s">
        <v>3219</v>
      </c>
      <c r="S1087" t="s">
        <v>2208</v>
      </c>
      <c r="T1087" t="s">
        <v>2208</v>
      </c>
    </row>
    <row r="1088" spans="1:20">
      <c r="A1088" t="s">
        <v>2239</v>
      </c>
      <c r="B1088" t="s">
        <v>16360</v>
      </c>
      <c r="C1088">
        <v>45460</v>
      </c>
      <c r="D1088" t="s">
        <v>7263</v>
      </c>
      <c r="E1088" t="s">
        <v>16361</v>
      </c>
      <c r="F1088">
        <v>45799</v>
      </c>
      <c r="G1088" t="s">
        <v>8903</v>
      </c>
      <c r="H1088" t="s">
        <v>2916</v>
      </c>
      <c r="I1088" t="s">
        <v>17398</v>
      </c>
      <c r="J1088">
        <v>15553.13</v>
      </c>
      <c r="K1088">
        <v>2760.68</v>
      </c>
      <c r="L1088" t="s">
        <v>2917</v>
      </c>
      <c r="M1088">
        <v>15553.13</v>
      </c>
      <c r="N1088" t="s">
        <v>2918</v>
      </c>
      <c r="O1088" t="s">
        <v>2948</v>
      </c>
      <c r="P1088" t="s">
        <v>2948</v>
      </c>
      <c r="Q1088" t="s">
        <v>2924</v>
      </c>
      <c r="R1088" t="s">
        <v>3219</v>
      </c>
      <c r="S1088" t="s">
        <v>2208</v>
      </c>
      <c r="T1088" t="s">
        <v>2208</v>
      </c>
    </row>
    <row r="1089" spans="1:20">
      <c r="A1089" t="s">
        <v>2239</v>
      </c>
      <c r="B1089" t="s">
        <v>16360</v>
      </c>
      <c r="C1089">
        <v>45800</v>
      </c>
      <c r="D1089" t="s">
        <v>7263</v>
      </c>
      <c r="E1089" t="s">
        <v>16361</v>
      </c>
      <c r="F1089">
        <v>45804</v>
      </c>
      <c r="G1089" t="s">
        <v>7654</v>
      </c>
      <c r="H1089" t="s">
        <v>2916</v>
      </c>
      <c r="I1089" t="s">
        <v>17748</v>
      </c>
      <c r="J1089">
        <v>0</v>
      </c>
      <c r="K1089">
        <v>-223.59</v>
      </c>
      <c r="L1089" t="s">
        <v>2917</v>
      </c>
      <c r="M1089">
        <v>-1259.68</v>
      </c>
      <c r="N1089" t="s">
        <v>2918</v>
      </c>
      <c r="O1089" t="s">
        <v>17749</v>
      </c>
      <c r="P1089" t="s">
        <v>3315</v>
      </c>
      <c r="Q1089" t="s">
        <v>2924</v>
      </c>
      <c r="R1089" t="s">
        <v>3219</v>
      </c>
      <c r="S1089" t="s">
        <v>2208</v>
      </c>
      <c r="T1089" t="s">
        <v>2208</v>
      </c>
    </row>
    <row r="1090" spans="1:20">
      <c r="A1090" t="s">
        <v>2239</v>
      </c>
      <c r="B1090" t="s">
        <v>16360</v>
      </c>
      <c r="C1090">
        <v>45808</v>
      </c>
      <c r="D1090" t="s">
        <v>7263</v>
      </c>
      <c r="E1090" t="s">
        <v>16361</v>
      </c>
      <c r="F1090">
        <v>45808</v>
      </c>
      <c r="G1090" t="s">
        <v>2208</v>
      </c>
      <c r="H1090" t="s">
        <v>2916</v>
      </c>
      <c r="I1090" t="s">
        <v>17865</v>
      </c>
      <c r="J1090">
        <v>0</v>
      </c>
      <c r="K1090">
        <v>-0.08</v>
      </c>
      <c r="L1090" t="s">
        <v>2917</v>
      </c>
      <c r="M1090">
        <v>0</v>
      </c>
      <c r="N1090" t="s">
        <v>2918</v>
      </c>
      <c r="O1090" t="s">
        <v>2919</v>
      </c>
      <c r="P1090" t="s">
        <v>2208</v>
      </c>
      <c r="Q1090" t="s">
        <v>2916</v>
      </c>
      <c r="R1090" t="s">
        <v>3220</v>
      </c>
      <c r="S1090" t="s">
        <v>2208</v>
      </c>
      <c r="T1090" t="s">
        <v>2208</v>
      </c>
    </row>
    <row r="1091" spans="1:20">
      <c r="A1091" t="s">
        <v>2239</v>
      </c>
      <c r="B1091" t="s">
        <v>16360</v>
      </c>
      <c r="C1091">
        <v>45808</v>
      </c>
      <c r="D1091" t="s">
        <v>7263</v>
      </c>
      <c r="E1091" t="s">
        <v>16361</v>
      </c>
      <c r="F1091">
        <v>45808</v>
      </c>
      <c r="G1091" t="s">
        <v>2208</v>
      </c>
      <c r="H1091" t="s">
        <v>2916</v>
      </c>
      <c r="I1091" t="s">
        <v>17866</v>
      </c>
      <c r="J1091">
        <v>0</v>
      </c>
      <c r="K1091">
        <v>0.09</v>
      </c>
      <c r="L1091" t="s">
        <v>2917</v>
      </c>
      <c r="M1091">
        <v>0</v>
      </c>
      <c r="N1091" t="s">
        <v>2918</v>
      </c>
      <c r="O1091" t="s">
        <v>2919</v>
      </c>
      <c r="P1091" t="s">
        <v>2208</v>
      </c>
      <c r="Q1091" t="s">
        <v>2916</v>
      </c>
      <c r="R1091" t="s">
        <v>3220</v>
      </c>
      <c r="S1091" t="s">
        <v>2208</v>
      </c>
      <c r="T1091" t="s">
        <v>2208</v>
      </c>
    </row>
    <row r="1092" spans="1:20">
      <c r="A1092" t="s">
        <v>2239</v>
      </c>
      <c r="B1092" t="s">
        <v>16360</v>
      </c>
      <c r="C1092">
        <v>45808</v>
      </c>
      <c r="D1092" t="s">
        <v>7263</v>
      </c>
      <c r="E1092" t="s">
        <v>16361</v>
      </c>
      <c r="F1092">
        <v>45808</v>
      </c>
      <c r="G1092" t="s">
        <v>2208</v>
      </c>
      <c r="H1092" t="s">
        <v>2916</v>
      </c>
      <c r="I1092" t="s">
        <v>17867</v>
      </c>
      <c r="J1092">
        <v>0</v>
      </c>
      <c r="K1092">
        <v>-0.01</v>
      </c>
      <c r="L1092" t="s">
        <v>2917</v>
      </c>
      <c r="M1092">
        <v>0</v>
      </c>
      <c r="N1092" t="s">
        <v>2918</v>
      </c>
      <c r="O1092" t="s">
        <v>2919</v>
      </c>
      <c r="P1092" t="s">
        <v>2208</v>
      </c>
      <c r="Q1092" t="s">
        <v>2916</v>
      </c>
      <c r="R1092" t="s">
        <v>3220</v>
      </c>
      <c r="S1092" t="s">
        <v>2208</v>
      </c>
      <c r="T1092" t="s">
        <v>2208</v>
      </c>
    </row>
    <row r="1093" spans="1:20">
      <c r="A1093" t="s">
        <v>2239</v>
      </c>
      <c r="B1093" t="s">
        <v>16360</v>
      </c>
      <c r="C1093">
        <v>45808</v>
      </c>
      <c r="D1093" t="s">
        <v>7263</v>
      </c>
      <c r="E1093" t="s">
        <v>16361</v>
      </c>
      <c r="F1093">
        <v>45808</v>
      </c>
      <c r="G1093" t="s">
        <v>2208</v>
      </c>
      <c r="H1093" t="s">
        <v>2916</v>
      </c>
      <c r="I1093" t="s">
        <v>17868</v>
      </c>
      <c r="J1093">
        <v>0</v>
      </c>
      <c r="K1093">
        <v>-0.02</v>
      </c>
      <c r="L1093" t="s">
        <v>2917</v>
      </c>
      <c r="M1093">
        <v>0</v>
      </c>
      <c r="N1093" t="s">
        <v>2918</v>
      </c>
      <c r="O1093" t="s">
        <v>2919</v>
      </c>
      <c r="P1093" t="s">
        <v>2208</v>
      </c>
      <c r="Q1093" t="s">
        <v>2916</v>
      </c>
      <c r="R1093" t="s">
        <v>3220</v>
      </c>
      <c r="S1093" t="s">
        <v>2208</v>
      </c>
      <c r="T1093" t="s">
        <v>2208</v>
      </c>
    </row>
    <row r="1094" spans="1:20">
      <c r="A1094" t="s">
        <v>2239</v>
      </c>
      <c r="B1094" t="s">
        <v>17897</v>
      </c>
      <c r="C1094">
        <v>45491</v>
      </c>
      <c r="D1094" t="s">
        <v>7263</v>
      </c>
      <c r="E1094" t="s">
        <v>17898</v>
      </c>
      <c r="F1094">
        <v>45826</v>
      </c>
      <c r="G1094" t="s">
        <v>7654</v>
      </c>
      <c r="H1094" t="s">
        <v>2916</v>
      </c>
      <c r="I1094" t="s">
        <v>18611</v>
      </c>
      <c r="J1094">
        <v>13618.15</v>
      </c>
      <c r="K1094">
        <v>2399.52</v>
      </c>
      <c r="L1094" t="s">
        <v>2917</v>
      </c>
      <c r="M1094">
        <v>13618.15</v>
      </c>
      <c r="N1094" t="s">
        <v>2918</v>
      </c>
      <c r="O1094" t="s">
        <v>3315</v>
      </c>
      <c r="P1094" t="s">
        <v>3315</v>
      </c>
      <c r="Q1094" t="s">
        <v>2924</v>
      </c>
      <c r="R1094" t="s">
        <v>3219</v>
      </c>
      <c r="S1094" t="s">
        <v>2208</v>
      </c>
      <c r="T1094" t="s">
        <v>2208</v>
      </c>
    </row>
    <row r="1095" spans="1:20">
      <c r="A1095" t="s">
        <v>2239</v>
      </c>
      <c r="B1095" t="s">
        <v>17897</v>
      </c>
      <c r="C1095">
        <v>45348</v>
      </c>
      <c r="D1095" t="s">
        <v>7263</v>
      </c>
      <c r="E1095" t="s">
        <v>17898</v>
      </c>
      <c r="F1095">
        <v>45826</v>
      </c>
      <c r="G1095" t="s">
        <v>8650</v>
      </c>
      <c r="H1095" t="s">
        <v>2916</v>
      </c>
      <c r="I1095" t="s">
        <v>18612</v>
      </c>
      <c r="J1095">
        <v>17000</v>
      </c>
      <c r="K1095">
        <v>2995.4</v>
      </c>
      <c r="L1095" t="s">
        <v>2917</v>
      </c>
      <c r="M1095">
        <v>17000</v>
      </c>
      <c r="N1095" t="s">
        <v>2918</v>
      </c>
      <c r="O1095" t="s">
        <v>2939</v>
      </c>
      <c r="P1095" t="s">
        <v>2939</v>
      </c>
      <c r="Q1095" t="s">
        <v>2924</v>
      </c>
      <c r="R1095" t="s">
        <v>3219</v>
      </c>
      <c r="S1095" t="s">
        <v>2208</v>
      </c>
      <c r="T1095" t="s">
        <v>2208</v>
      </c>
    </row>
    <row r="1096" spans="1:20">
      <c r="A1096" t="s">
        <v>2239</v>
      </c>
      <c r="B1096" t="s">
        <v>17897</v>
      </c>
      <c r="C1096">
        <v>45828</v>
      </c>
      <c r="D1096" t="s">
        <v>7263</v>
      </c>
      <c r="E1096" t="s">
        <v>17898</v>
      </c>
      <c r="F1096">
        <v>45833</v>
      </c>
      <c r="G1096" t="s">
        <v>7654</v>
      </c>
      <c r="H1096" t="s">
        <v>2916</v>
      </c>
      <c r="I1096" t="s">
        <v>19103</v>
      </c>
      <c r="J1096">
        <v>0</v>
      </c>
      <c r="K1096">
        <v>-221.96</v>
      </c>
      <c r="L1096" t="s">
        <v>2917</v>
      </c>
      <c r="M1096">
        <v>-1259.68</v>
      </c>
      <c r="N1096" t="s">
        <v>2918</v>
      </c>
      <c r="O1096" t="s">
        <v>19104</v>
      </c>
      <c r="P1096" t="s">
        <v>3315</v>
      </c>
      <c r="Q1096" t="s">
        <v>2924</v>
      </c>
      <c r="R1096" t="s">
        <v>3219</v>
      </c>
      <c r="S1096" t="s">
        <v>2208</v>
      </c>
      <c r="T1096" t="s">
        <v>2208</v>
      </c>
    </row>
    <row r="1097" spans="1:20">
      <c r="A1097" t="s">
        <v>2239</v>
      </c>
      <c r="B1097" t="s">
        <v>17897</v>
      </c>
      <c r="C1097">
        <v>45835</v>
      </c>
      <c r="D1097" t="s">
        <v>7263</v>
      </c>
      <c r="E1097" t="s">
        <v>17898</v>
      </c>
      <c r="F1097">
        <v>45835</v>
      </c>
      <c r="G1097" t="s">
        <v>2208</v>
      </c>
      <c r="H1097" t="s">
        <v>2916</v>
      </c>
      <c r="I1097" t="s">
        <v>19158</v>
      </c>
      <c r="J1097">
        <v>0</v>
      </c>
      <c r="K1097">
        <v>45.11</v>
      </c>
      <c r="L1097" t="s">
        <v>2917</v>
      </c>
      <c r="M1097">
        <v>256.01</v>
      </c>
      <c r="N1097" t="s">
        <v>2918</v>
      </c>
      <c r="O1097" t="s">
        <v>19159</v>
      </c>
      <c r="P1097" t="s">
        <v>2208</v>
      </c>
      <c r="Q1097" t="s">
        <v>7658</v>
      </c>
      <c r="R1097" t="s">
        <v>7659</v>
      </c>
      <c r="S1097" t="s">
        <v>2208</v>
      </c>
      <c r="T1097" t="s">
        <v>2208</v>
      </c>
    </row>
    <row r="1098" spans="1:20">
      <c r="A1098" t="s">
        <v>2239</v>
      </c>
      <c r="B1098" t="s">
        <v>17897</v>
      </c>
      <c r="C1098">
        <v>45835</v>
      </c>
      <c r="D1098" t="s">
        <v>7263</v>
      </c>
      <c r="E1098" t="s">
        <v>17898</v>
      </c>
      <c r="F1098">
        <v>45835</v>
      </c>
      <c r="G1098" t="s">
        <v>2208</v>
      </c>
      <c r="H1098" t="s">
        <v>2916</v>
      </c>
      <c r="I1098" t="s">
        <v>19158</v>
      </c>
      <c r="J1098">
        <v>0</v>
      </c>
      <c r="K1098">
        <v>45.11</v>
      </c>
      <c r="L1098" t="s">
        <v>2917</v>
      </c>
      <c r="M1098">
        <v>256.01</v>
      </c>
      <c r="N1098" t="s">
        <v>2918</v>
      </c>
      <c r="O1098" t="s">
        <v>19159</v>
      </c>
      <c r="P1098" t="s">
        <v>2208</v>
      </c>
      <c r="Q1098" t="s">
        <v>7658</v>
      </c>
      <c r="R1098" t="s">
        <v>7659</v>
      </c>
      <c r="S1098" t="s">
        <v>2208</v>
      </c>
      <c r="T1098" t="s">
        <v>2208</v>
      </c>
    </row>
    <row r="1099" spans="1:20">
      <c r="A1099" t="s">
        <v>2239</v>
      </c>
      <c r="B1099" t="s">
        <v>17897</v>
      </c>
      <c r="C1099">
        <v>45835</v>
      </c>
      <c r="D1099" t="s">
        <v>7263</v>
      </c>
      <c r="E1099" t="s">
        <v>17898</v>
      </c>
      <c r="F1099">
        <v>45835</v>
      </c>
      <c r="G1099" t="s">
        <v>2208</v>
      </c>
      <c r="H1099" t="s">
        <v>2916</v>
      </c>
      <c r="I1099" t="s">
        <v>19158</v>
      </c>
      <c r="J1099">
        <v>0</v>
      </c>
      <c r="K1099">
        <v>45.11</v>
      </c>
      <c r="L1099" t="s">
        <v>2917</v>
      </c>
      <c r="M1099">
        <v>256.01</v>
      </c>
      <c r="N1099" t="s">
        <v>2918</v>
      </c>
      <c r="O1099" t="s">
        <v>19159</v>
      </c>
      <c r="P1099" t="s">
        <v>2208</v>
      </c>
      <c r="Q1099" t="s">
        <v>7658</v>
      </c>
      <c r="R1099" t="s">
        <v>7659</v>
      </c>
      <c r="S1099" t="s">
        <v>2208</v>
      </c>
      <c r="T1099" t="s">
        <v>2208</v>
      </c>
    </row>
    <row r="1100" spans="1:20">
      <c r="A1100" t="s">
        <v>2239</v>
      </c>
      <c r="B1100" t="s">
        <v>17897</v>
      </c>
      <c r="C1100">
        <v>45838</v>
      </c>
      <c r="D1100" t="s">
        <v>7263</v>
      </c>
      <c r="E1100" t="s">
        <v>17898</v>
      </c>
      <c r="F1100">
        <v>45838</v>
      </c>
      <c r="G1100" t="s">
        <v>2208</v>
      </c>
      <c r="H1100" t="s">
        <v>2916</v>
      </c>
      <c r="I1100" t="s">
        <v>19262</v>
      </c>
      <c r="J1100">
        <v>0</v>
      </c>
      <c r="K1100">
        <v>-0.08</v>
      </c>
      <c r="L1100" t="s">
        <v>2917</v>
      </c>
      <c r="M1100">
        <v>0</v>
      </c>
      <c r="N1100" t="s">
        <v>2918</v>
      </c>
      <c r="O1100" t="s">
        <v>2919</v>
      </c>
      <c r="P1100" t="s">
        <v>2208</v>
      </c>
      <c r="Q1100" t="s">
        <v>2916</v>
      </c>
      <c r="R1100" t="s">
        <v>3220</v>
      </c>
      <c r="S1100" t="s">
        <v>2208</v>
      </c>
      <c r="T1100" t="s">
        <v>2208</v>
      </c>
    </row>
    <row r="1101" spans="1:20">
      <c r="A1101" t="s">
        <v>2339</v>
      </c>
      <c r="B1101" t="s">
        <v>2920</v>
      </c>
      <c r="C1101">
        <v>45523</v>
      </c>
      <c r="D1101" t="s">
        <v>7263</v>
      </c>
      <c r="E1101" t="s">
        <v>2921</v>
      </c>
      <c r="F1101">
        <v>45681</v>
      </c>
      <c r="G1101" t="s">
        <v>6878</v>
      </c>
      <c r="H1101" t="s">
        <v>2916</v>
      </c>
      <c r="I1101" t="s">
        <v>7667</v>
      </c>
      <c r="J1101">
        <v>32075</v>
      </c>
      <c r="K1101">
        <v>5193.8999999999996</v>
      </c>
      <c r="L1101" t="s">
        <v>2917</v>
      </c>
      <c r="M1101">
        <v>32075</v>
      </c>
      <c r="N1101" t="s">
        <v>2918</v>
      </c>
      <c r="O1101" t="s">
        <v>2940</v>
      </c>
      <c r="P1101" t="s">
        <v>2940</v>
      </c>
      <c r="Q1101" t="s">
        <v>2924</v>
      </c>
      <c r="R1101" t="s">
        <v>3219</v>
      </c>
      <c r="S1101" t="s">
        <v>2208</v>
      </c>
      <c r="T1101" t="s">
        <v>2208</v>
      </c>
    </row>
    <row r="1102" spans="1:20">
      <c r="A1102" t="s">
        <v>2339</v>
      </c>
      <c r="B1102" t="s">
        <v>2920</v>
      </c>
      <c r="C1102">
        <v>45523</v>
      </c>
      <c r="D1102" t="s">
        <v>7263</v>
      </c>
      <c r="E1102" t="s">
        <v>2921</v>
      </c>
      <c r="F1102">
        <v>45681</v>
      </c>
      <c r="G1102" t="s">
        <v>6878</v>
      </c>
      <c r="H1102" t="s">
        <v>2916</v>
      </c>
      <c r="I1102" t="s">
        <v>7668</v>
      </c>
      <c r="J1102">
        <v>20790</v>
      </c>
      <c r="K1102">
        <v>3366.52</v>
      </c>
      <c r="L1102" t="s">
        <v>2917</v>
      </c>
      <c r="M1102">
        <v>20790</v>
      </c>
      <c r="N1102" t="s">
        <v>2918</v>
      </c>
      <c r="O1102" t="s">
        <v>2940</v>
      </c>
      <c r="P1102" t="s">
        <v>2940</v>
      </c>
      <c r="Q1102" t="s">
        <v>2924</v>
      </c>
      <c r="R1102" t="s">
        <v>3219</v>
      </c>
      <c r="S1102" t="s">
        <v>2208</v>
      </c>
      <c r="T1102" t="s">
        <v>2208</v>
      </c>
    </row>
    <row r="1103" spans="1:20">
      <c r="A1103" t="s">
        <v>2339</v>
      </c>
      <c r="B1103" t="s">
        <v>2920</v>
      </c>
      <c r="C1103">
        <v>45681</v>
      </c>
      <c r="D1103" t="s">
        <v>7263</v>
      </c>
      <c r="E1103" t="s">
        <v>2921</v>
      </c>
      <c r="F1103">
        <v>45684</v>
      </c>
      <c r="G1103" t="s">
        <v>6878</v>
      </c>
      <c r="H1103" t="s">
        <v>2916</v>
      </c>
      <c r="I1103" t="s">
        <v>7669</v>
      </c>
      <c r="J1103">
        <v>0</v>
      </c>
      <c r="K1103">
        <v>-311.39999999999998</v>
      </c>
      <c r="L1103" t="s">
        <v>2917</v>
      </c>
      <c r="M1103">
        <v>-1923.08</v>
      </c>
      <c r="N1103" t="s">
        <v>2918</v>
      </c>
      <c r="O1103" t="s">
        <v>7670</v>
      </c>
      <c r="P1103" t="s">
        <v>2940</v>
      </c>
      <c r="Q1103" t="s">
        <v>2924</v>
      </c>
      <c r="R1103" t="s">
        <v>3219</v>
      </c>
      <c r="S1103" t="s">
        <v>2208</v>
      </c>
      <c r="T1103" t="s">
        <v>2208</v>
      </c>
    </row>
    <row r="1104" spans="1:20">
      <c r="A1104" t="s">
        <v>2339</v>
      </c>
      <c r="B1104" t="s">
        <v>2920</v>
      </c>
      <c r="C1104">
        <v>45681</v>
      </c>
      <c r="D1104" t="s">
        <v>7263</v>
      </c>
      <c r="E1104" t="s">
        <v>2921</v>
      </c>
      <c r="F1104">
        <v>45686</v>
      </c>
      <c r="G1104" t="s">
        <v>6878</v>
      </c>
      <c r="H1104" t="s">
        <v>2916</v>
      </c>
      <c r="I1104" t="s">
        <v>7671</v>
      </c>
      <c r="J1104">
        <v>0</v>
      </c>
      <c r="K1104">
        <v>-480.43</v>
      </c>
      <c r="L1104" t="s">
        <v>2917</v>
      </c>
      <c r="M1104">
        <v>-2966.94</v>
      </c>
      <c r="N1104" t="s">
        <v>2918</v>
      </c>
      <c r="O1104" t="s">
        <v>7672</v>
      </c>
      <c r="P1104" t="s">
        <v>2940</v>
      </c>
      <c r="Q1104" t="s">
        <v>2924</v>
      </c>
      <c r="R1104" t="s">
        <v>3219</v>
      </c>
      <c r="S1104" t="s">
        <v>2208</v>
      </c>
      <c r="T1104" t="s">
        <v>2208</v>
      </c>
    </row>
    <row r="1105" spans="1:20">
      <c r="A1105" t="s">
        <v>2339</v>
      </c>
      <c r="B1105" t="s">
        <v>2920</v>
      </c>
      <c r="C1105">
        <v>45688</v>
      </c>
      <c r="D1105" t="s">
        <v>7263</v>
      </c>
      <c r="E1105" t="s">
        <v>2921</v>
      </c>
      <c r="F1105">
        <v>45688</v>
      </c>
      <c r="G1105" t="s">
        <v>2208</v>
      </c>
      <c r="H1105" t="s">
        <v>2916</v>
      </c>
      <c r="I1105" t="s">
        <v>7673</v>
      </c>
      <c r="J1105">
        <v>0</v>
      </c>
      <c r="K1105">
        <v>-0.02</v>
      </c>
      <c r="L1105" t="s">
        <v>2917</v>
      </c>
      <c r="M1105">
        <v>0</v>
      </c>
      <c r="N1105" t="s">
        <v>2918</v>
      </c>
      <c r="O1105" t="s">
        <v>2919</v>
      </c>
      <c r="P1105" t="s">
        <v>2208</v>
      </c>
      <c r="Q1105" t="s">
        <v>2916</v>
      </c>
      <c r="R1105" t="s">
        <v>3220</v>
      </c>
      <c r="S1105" t="s">
        <v>2208</v>
      </c>
      <c r="T1105" t="s">
        <v>2208</v>
      </c>
    </row>
    <row r="1106" spans="1:20">
      <c r="A1106" t="s">
        <v>2341</v>
      </c>
      <c r="B1106" t="s">
        <v>11331</v>
      </c>
      <c r="C1106">
        <v>45748</v>
      </c>
      <c r="D1106" t="s">
        <v>7263</v>
      </c>
      <c r="E1106" t="s">
        <v>11332</v>
      </c>
      <c r="F1106">
        <v>45763</v>
      </c>
      <c r="G1106" t="s">
        <v>12334</v>
      </c>
      <c r="H1106" t="s">
        <v>2916</v>
      </c>
      <c r="I1106" t="s">
        <v>12335</v>
      </c>
      <c r="J1106">
        <v>1</v>
      </c>
      <c r="K1106">
        <v>66097.119999999995</v>
      </c>
      <c r="L1106" t="s">
        <v>2917</v>
      </c>
      <c r="M1106">
        <v>380634.15</v>
      </c>
      <c r="N1106" t="s">
        <v>2918</v>
      </c>
      <c r="O1106" t="s">
        <v>12336</v>
      </c>
      <c r="P1106" t="s">
        <v>12337</v>
      </c>
      <c r="Q1106" t="s">
        <v>2924</v>
      </c>
      <c r="R1106" t="s">
        <v>3219</v>
      </c>
      <c r="S1106" t="s">
        <v>12338</v>
      </c>
      <c r="T1106" t="s">
        <v>12339</v>
      </c>
    </row>
    <row r="1107" spans="1:20">
      <c r="A1107" t="s">
        <v>2341</v>
      </c>
      <c r="B1107" t="s">
        <v>11331</v>
      </c>
      <c r="C1107">
        <v>45748</v>
      </c>
      <c r="D1107" t="s">
        <v>7263</v>
      </c>
      <c r="E1107" t="s">
        <v>11332</v>
      </c>
      <c r="F1107">
        <v>45763</v>
      </c>
      <c r="G1107" t="s">
        <v>12334</v>
      </c>
      <c r="H1107" t="s">
        <v>2916</v>
      </c>
      <c r="I1107" t="s">
        <v>12340</v>
      </c>
      <c r="J1107">
        <v>0</v>
      </c>
      <c r="K1107">
        <v>-16910.95</v>
      </c>
      <c r="L1107" t="s">
        <v>2917</v>
      </c>
      <c r="M1107">
        <v>-97385.26</v>
      </c>
      <c r="N1107" t="s">
        <v>2918</v>
      </c>
      <c r="O1107" t="s">
        <v>12341</v>
      </c>
      <c r="P1107" t="s">
        <v>12337</v>
      </c>
      <c r="Q1107" t="s">
        <v>2924</v>
      </c>
      <c r="R1107" t="s">
        <v>3219</v>
      </c>
      <c r="S1107" t="s">
        <v>12338</v>
      </c>
      <c r="T1107" t="s">
        <v>12339</v>
      </c>
    </row>
    <row r="1108" spans="1:20">
      <c r="A1108" t="s">
        <v>2341</v>
      </c>
      <c r="B1108" t="s">
        <v>11331</v>
      </c>
      <c r="C1108">
        <v>45777</v>
      </c>
      <c r="D1108" t="s">
        <v>7263</v>
      </c>
      <c r="E1108" t="s">
        <v>11332</v>
      </c>
      <c r="F1108">
        <v>45777</v>
      </c>
      <c r="G1108" t="s">
        <v>2208</v>
      </c>
      <c r="H1108" t="s">
        <v>2916</v>
      </c>
      <c r="I1108" t="s">
        <v>16410</v>
      </c>
      <c r="J1108">
        <v>0</v>
      </c>
      <c r="K1108">
        <v>0.02</v>
      </c>
      <c r="L1108" t="s">
        <v>2917</v>
      </c>
      <c r="M1108">
        <v>0</v>
      </c>
      <c r="N1108" t="s">
        <v>2918</v>
      </c>
      <c r="O1108" t="s">
        <v>2919</v>
      </c>
      <c r="P1108" t="s">
        <v>2208</v>
      </c>
      <c r="Q1108" t="s">
        <v>2916</v>
      </c>
      <c r="R1108" t="s">
        <v>3220</v>
      </c>
      <c r="S1108" t="s">
        <v>2208</v>
      </c>
      <c r="T1108" t="s">
        <v>2208</v>
      </c>
    </row>
    <row r="1109" spans="1:20">
      <c r="A1109" t="s">
        <v>2341</v>
      </c>
      <c r="B1109" t="s">
        <v>16360</v>
      </c>
      <c r="C1109">
        <v>45778</v>
      </c>
      <c r="D1109" t="s">
        <v>7263</v>
      </c>
      <c r="E1109" t="s">
        <v>16361</v>
      </c>
      <c r="F1109">
        <v>45778</v>
      </c>
      <c r="G1109" t="s">
        <v>2208</v>
      </c>
      <c r="H1109" t="s">
        <v>16411</v>
      </c>
      <c r="I1109" t="s">
        <v>16412</v>
      </c>
      <c r="J1109">
        <v>0</v>
      </c>
      <c r="K1109">
        <v>18.05</v>
      </c>
      <c r="L1109" t="s">
        <v>2917</v>
      </c>
      <c r="M1109">
        <v>103.95</v>
      </c>
      <c r="N1109" t="s">
        <v>2918</v>
      </c>
      <c r="O1109" t="s">
        <v>16413</v>
      </c>
      <c r="P1109" t="s">
        <v>2208</v>
      </c>
      <c r="Q1109" t="s">
        <v>16414</v>
      </c>
      <c r="R1109" t="s">
        <v>16415</v>
      </c>
      <c r="S1109" t="s">
        <v>2208</v>
      </c>
      <c r="T1109" t="s">
        <v>2208</v>
      </c>
    </row>
    <row r="1110" spans="1:20">
      <c r="A1110" t="s">
        <v>2341</v>
      </c>
      <c r="B1110" t="s">
        <v>16360</v>
      </c>
      <c r="C1110">
        <v>45778</v>
      </c>
      <c r="D1110" t="s">
        <v>7263</v>
      </c>
      <c r="E1110" t="s">
        <v>16361</v>
      </c>
      <c r="F1110">
        <v>45778</v>
      </c>
      <c r="G1110" t="s">
        <v>2208</v>
      </c>
      <c r="H1110" t="s">
        <v>16411</v>
      </c>
      <c r="I1110" t="s">
        <v>16412</v>
      </c>
      <c r="J1110">
        <v>0</v>
      </c>
      <c r="K1110">
        <v>2.34</v>
      </c>
      <c r="L1110" t="s">
        <v>2917</v>
      </c>
      <c r="M1110">
        <v>13.49</v>
      </c>
      <c r="N1110" t="s">
        <v>2918</v>
      </c>
      <c r="O1110" t="s">
        <v>16413</v>
      </c>
      <c r="P1110" t="s">
        <v>2208</v>
      </c>
      <c r="Q1110" t="s">
        <v>16414</v>
      </c>
      <c r="R1110" t="s">
        <v>16415</v>
      </c>
      <c r="S1110" t="s">
        <v>2208</v>
      </c>
      <c r="T1110" t="s">
        <v>2208</v>
      </c>
    </row>
    <row r="1111" spans="1:20">
      <c r="A1111" t="s">
        <v>2341</v>
      </c>
      <c r="B1111" t="s">
        <v>16360</v>
      </c>
      <c r="C1111">
        <v>45778</v>
      </c>
      <c r="D1111" t="s">
        <v>7263</v>
      </c>
      <c r="E1111" t="s">
        <v>16361</v>
      </c>
      <c r="F1111">
        <v>45778</v>
      </c>
      <c r="G1111" t="s">
        <v>2208</v>
      </c>
      <c r="H1111" t="s">
        <v>16411</v>
      </c>
      <c r="I1111" t="s">
        <v>16412</v>
      </c>
      <c r="J1111">
        <v>0</v>
      </c>
      <c r="K1111">
        <v>4.3099999999999996</v>
      </c>
      <c r="L1111" t="s">
        <v>2917</v>
      </c>
      <c r="M1111">
        <v>24.8</v>
      </c>
      <c r="N1111" t="s">
        <v>2918</v>
      </c>
      <c r="O1111" t="s">
        <v>16413</v>
      </c>
      <c r="P1111" t="s">
        <v>2208</v>
      </c>
      <c r="Q1111" t="s">
        <v>16414</v>
      </c>
      <c r="R1111" t="s">
        <v>16415</v>
      </c>
      <c r="S1111" t="s">
        <v>2208</v>
      </c>
      <c r="T1111" t="s">
        <v>2208</v>
      </c>
    </row>
    <row r="1112" spans="1:20">
      <c r="A1112" t="s">
        <v>2341</v>
      </c>
      <c r="B1112" t="s">
        <v>16360</v>
      </c>
      <c r="C1112">
        <v>45778</v>
      </c>
      <c r="D1112" t="s">
        <v>7263</v>
      </c>
      <c r="E1112" t="s">
        <v>16361</v>
      </c>
      <c r="F1112">
        <v>45778</v>
      </c>
      <c r="G1112" t="s">
        <v>2208</v>
      </c>
      <c r="H1112" t="s">
        <v>16416</v>
      </c>
      <c r="I1112" t="s">
        <v>16412</v>
      </c>
      <c r="J1112">
        <v>0</v>
      </c>
      <c r="K1112">
        <v>0.69</v>
      </c>
      <c r="L1112" t="s">
        <v>2917</v>
      </c>
      <c r="M1112">
        <v>4</v>
      </c>
      <c r="N1112" t="s">
        <v>2918</v>
      </c>
      <c r="O1112" t="s">
        <v>16417</v>
      </c>
      <c r="P1112" t="s">
        <v>2208</v>
      </c>
      <c r="Q1112" t="s">
        <v>16414</v>
      </c>
      <c r="R1112" t="s">
        <v>16415</v>
      </c>
      <c r="S1112" t="s">
        <v>2208</v>
      </c>
      <c r="T1112" t="s">
        <v>2208</v>
      </c>
    </row>
    <row r="1113" spans="1:20">
      <c r="A1113" t="s">
        <v>2341</v>
      </c>
      <c r="B1113" t="s">
        <v>16360</v>
      </c>
      <c r="C1113">
        <v>45806</v>
      </c>
      <c r="D1113" t="s">
        <v>7263</v>
      </c>
      <c r="E1113" t="s">
        <v>16361</v>
      </c>
      <c r="F1113">
        <v>45806</v>
      </c>
      <c r="G1113" t="s">
        <v>2208</v>
      </c>
      <c r="H1113" t="s">
        <v>16411</v>
      </c>
      <c r="I1113" t="s">
        <v>17806</v>
      </c>
      <c r="J1113">
        <v>0</v>
      </c>
      <c r="K1113">
        <v>-25.25</v>
      </c>
      <c r="L1113" t="s">
        <v>2917</v>
      </c>
      <c r="M1113">
        <v>-142.24</v>
      </c>
      <c r="N1113" t="s">
        <v>2918</v>
      </c>
      <c r="O1113" t="s">
        <v>17807</v>
      </c>
      <c r="P1113" t="s">
        <v>2208</v>
      </c>
      <c r="Q1113" t="s">
        <v>2916</v>
      </c>
      <c r="R1113" t="s">
        <v>3220</v>
      </c>
      <c r="S1113" t="s">
        <v>2208</v>
      </c>
      <c r="T1113" t="s">
        <v>2208</v>
      </c>
    </row>
    <row r="1114" spans="1:20">
      <c r="A1114" t="s">
        <v>2341</v>
      </c>
      <c r="B1114" t="s">
        <v>16360</v>
      </c>
      <c r="C1114">
        <v>45806</v>
      </c>
      <c r="D1114" t="s">
        <v>7263</v>
      </c>
      <c r="E1114" t="s">
        <v>16361</v>
      </c>
      <c r="F1114">
        <v>45806</v>
      </c>
      <c r="G1114" t="s">
        <v>2208</v>
      </c>
      <c r="H1114" t="s">
        <v>16416</v>
      </c>
      <c r="I1114" t="s">
        <v>17806</v>
      </c>
      <c r="J1114">
        <v>0</v>
      </c>
      <c r="K1114">
        <v>-0.71</v>
      </c>
      <c r="L1114" t="s">
        <v>2917</v>
      </c>
      <c r="M1114">
        <v>-4</v>
      </c>
      <c r="N1114" t="s">
        <v>2918</v>
      </c>
      <c r="O1114" t="s">
        <v>17807</v>
      </c>
      <c r="P1114" t="s">
        <v>2208</v>
      </c>
      <c r="Q1114" t="s">
        <v>2916</v>
      </c>
      <c r="R1114" t="s">
        <v>3220</v>
      </c>
      <c r="S1114" t="s">
        <v>2208</v>
      </c>
      <c r="T1114" t="s">
        <v>2208</v>
      </c>
    </row>
    <row r="1115" spans="1:20">
      <c r="A1115" t="s">
        <v>2341</v>
      </c>
      <c r="B1115" t="s">
        <v>16360</v>
      </c>
      <c r="C1115">
        <v>45806</v>
      </c>
      <c r="D1115" t="s">
        <v>7263</v>
      </c>
      <c r="E1115" t="s">
        <v>16361</v>
      </c>
      <c r="F1115">
        <v>45806</v>
      </c>
      <c r="G1115" t="s">
        <v>2208</v>
      </c>
      <c r="H1115" t="s">
        <v>2916</v>
      </c>
      <c r="I1115" t="s">
        <v>17806</v>
      </c>
      <c r="J1115">
        <v>0</v>
      </c>
      <c r="K1115">
        <v>25.96</v>
      </c>
      <c r="L1115" t="s">
        <v>2917</v>
      </c>
      <c r="M1115">
        <v>146.24</v>
      </c>
      <c r="N1115" t="s">
        <v>2918</v>
      </c>
      <c r="O1115" t="s">
        <v>17807</v>
      </c>
      <c r="P1115" t="s">
        <v>2208</v>
      </c>
      <c r="Q1115" t="s">
        <v>16411</v>
      </c>
      <c r="R1115" t="s">
        <v>17808</v>
      </c>
      <c r="S1115" t="s">
        <v>2208</v>
      </c>
      <c r="T1115" t="s">
        <v>2208</v>
      </c>
    </row>
    <row r="1116" spans="1:20">
      <c r="A1116" t="s">
        <v>2341</v>
      </c>
      <c r="B1116" t="s">
        <v>17897</v>
      </c>
      <c r="C1116">
        <v>45812</v>
      </c>
      <c r="D1116" t="s">
        <v>7263</v>
      </c>
      <c r="E1116" t="s">
        <v>17898</v>
      </c>
      <c r="F1116">
        <v>45832</v>
      </c>
      <c r="G1116" t="s">
        <v>12334</v>
      </c>
      <c r="H1116" t="s">
        <v>2916</v>
      </c>
      <c r="I1116" t="s">
        <v>19015</v>
      </c>
      <c r="J1116">
        <v>1</v>
      </c>
      <c r="K1116">
        <v>67067.740000000005</v>
      </c>
      <c r="L1116" t="s">
        <v>2917</v>
      </c>
      <c r="M1116">
        <v>380634.15</v>
      </c>
      <c r="N1116" t="s">
        <v>2918</v>
      </c>
      <c r="O1116" t="s">
        <v>19016</v>
      </c>
      <c r="P1116" t="s">
        <v>12337</v>
      </c>
      <c r="Q1116" t="s">
        <v>2924</v>
      </c>
      <c r="R1116" t="s">
        <v>3219</v>
      </c>
      <c r="S1116" t="s">
        <v>12338</v>
      </c>
      <c r="T1116" t="s">
        <v>12339</v>
      </c>
    </row>
    <row r="1117" spans="1:20">
      <c r="A1117" t="s">
        <v>2341</v>
      </c>
      <c r="B1117" t="s">
        <v>17897</v>
      </c>
      <c r="C1117">
        <v>45812</v>
      </c>
      <c r="D1117" t="s">
        <v>7263</v>
      </c>
      <c r="E1117" t="s">
        <v>17898</v>
      </c>
      <c r="F1117">
        <v>45832</v>
      </c>
      <c r="G1117" t="s">
        <v>12334</v>
      </c>
      <c r="H1117" t="s">
        <v>2916</v>
      </c>
      <c r="I1117" t="s">
        <v>19017</v>
      </c>
      <c r="J1117">
        <v>0</v>
      </c>
      <c r="K1117">
        <v>-17159.29</v>
      </c>
      <c r="L1117" t="s">
        <v>2917</v>
      </c>
      <c r="M1117">
        <v>-97385.26</v>
      </c>
      <c r="N1117" t="s">
        <v>2918</v>
      </c>
      <c r="O1117" t="s">
        <v>19018</v>
      </c>
      <c r="P1117" t="s">
        <v>12337</v>
      </c>
      <c r="Q1117" t="s">
        <v>2924</v>
      </c>
      <c r="R1117" t="s">
        <v>3219</v>
      </c>
      <c r="S1117" t="s">
        <v>12338</v>
      </c>
      <c r="T1117" t="s">
        <v>12339</v>
      </c>
    </row>
    <row r="1118" spans="1:20">
      <c r="A1118" t="s">
        <v>2341</v>
      </c>
      <c r="B1118" t="s">
        <v>17897</v>
      </c>
      <c r="C1118">
        <v>45838</v>
      </c>
      <c r="D1118" t="s">
        <v>7263</v>
      </c>
      <c r="E1118" t="s">
        <v>17898</v>
      </c>
      <c r="F1118">
        <v>45838</v>
      </c>
      <c r="G1118" t="s">
        <v>2208</v>
      </c>
      <c r="H1118" t="s">
        <v>2916</v>
      </c>
      <c r="I1118" t="s">
        <v>19263</v>
      </c>
      <c r="J1118">
        <v>0</v>
      </c>
      <c r="K1118">
        <v>0.02</v>
      </c>
      <c r="L1118" t="s">
        <v>2917</v>
      </c>
      <c r="M1118">
        <v>0</v>
      </c>
      <c r="N1118" t="s">
        <v>2918</v>
      </c>
      <c r="O1118" t="s">
        <v>2919</v>
      </c>
      <c r="P1118" t="s">
        <v>2208</v>
      </c>
      <c r="Q1118" t="s">
        <v>2916</v>
      </c>
      <c r="R1118" t="s">
        <v>3220</v>
      </c>
      <c r="S1118" t="s">
        <v>2208</v>
      </c>
      <c r="T1118" t="s">
        <v>2208</v>
      </c>
    </row>
    <row r="1119" spans="1:20">
      <c r="A1119" t="s">
        <v>2341</v>
      </c>
      <c r="B1119" t="s">
        <v>7740</v>
      </c>
      <c r="C1119">
        <v>45537</v>
      </c>
      <c r="D1119" t="s">
        <v>7263</v>
      </c>
      <c r="E1119" t="s">
        <v>2925</v>
      </c>
      <c r="F1119">
        <v>45712</v>
      </c>
      <c r="G1119" t="s">
        <v>8905</v>
      </c>
      <c r="H1119" t="s">
        <v>2916</v>
      </c>
      <c r="I1119" t="s">
        <v>8906</v>
      </c>
      <c r="J1119">
        <v>3111.36</v>
      </c>
      <c r="K1119">
        <v>535</v>
      </c>
      <c r="L1119" t="s">
        <v>2917</v>
      </c>
      <c r="M1119">
        <v>3111.36</v>
      </c>
      <c r="N1119" t="s">
        <v>2918</v>
      </c>
      <c r="O1119" t="s">
        <v>2923</v>
      </c>
      <c r="P1119" t="s">
        <v>2923</v>
      </c>
      <c r="Q1119" t="s">
        <v>2924</v>
      </c>
      <c r="R1119" t="s">
        <v>3219</v>
      </c>
      <c r="S1119" t="s">
        <v>2208</v>
      </c>
      <c r="T1119" t="s">
        <v>2208</v>
      </c>
    </row>
    <row r="1120" spans="1:20">
      <c r="A1120" t="s">
        <v>2341</v>
      </c>
      <c r="B1120" t="s">
        <v>7740</v>
      </c>
      <c r="C1120">
        <v>45712</v>
      </c>
      <c r="D1120" t="s">
        <v>7263</v>
      </c>
      <c r="E1120" t="s">
        <v>2925</v>
      </c>
      <c r="F1120">
        <v>45714</v>
      </c>
      <c r="G1120" t="s">
        <v>8905</v>
      </c>
      <c r="H1120" t="s">
        <v>2916</v>
      </c>
      <c r="I1120" t="s">
        <v>9017</v>
      </c>
      <c r="J1120">
        <v>0</v>
      </c>
      <c r="K1120">
        <v>-49.49</v>
      </c>
      <c r="L1120" t="s">
        <v>2917</v>
      </c>
      <c r="M1120">
        <v>-287.8</v>
      </c>
      <c r="N1120" t="s">
        <v>2918</v>
      </c>
      <c r="O1120" t="s">
        <v>9018</v>
      </c>
      <c r="P1120" t="s">
        <v>2923</v>
      </c>
      <c r="Q1120" t="s">
        <v>2924</v>
      </c>
      <c r="R1120" t="s">
        <v>3219</v>
      </c>
      <c r="S1120" t="s">
        <v>2208</v>
      </c>
      <c r="T1120" t="s">
        <v>2208</v>
      </c>
    </row>
    <row r="1121" spans="1:20">
      <c r="A1121" t="s">
        <v>2341</v>
      </c>
      <c r="B1121" t="s">
        <v>7740</v>
      </c>
      <c r="C1121">
        <v>45716</v>
      </c>
      <c r="D1121" t="s">
        <v>7263</v>
      </c>
      <c r="E1121" t="s">
        <v>2925</v>
      </c>
      <c r="F1121">
        <v>45716</v>
      </c>
      <c r="G1121" t="s">
        <v>2208</v>
      </c>
      <c r="H1121" t="s">
        <v>2916</v>
      </c>
      <c r="I1121" t="s">
        <v>9151</v>
      </c>
      <c r="J1121">
        <v>0</v>
      </c>
      <c r="K1121">
        <v>0.08</v>
      </c>
      <c r="L1121" t="s">
        <v>2917</v>
      </c>
      <c r="M1121">
        <v>0</v>
      </c>
      <c r="N1121" t="s">
        <v>2918</v>
      </c>
      <c r="O1121" t="s">
        <v>2919</v>
      </c>
      <c r="P1121" t="s">
        <v>2208</v>
      </c>
      <c r="Q1121" t="s">
        <v>2916</v>
      </c>
      <c r="R1121" t="s">
        <v>3220</v>
      </c>
      <c r="S1121" t="s">
        <v>2208</v>
      </c>
      <c r="T1121" t="s">
        <v>2208</v>
      </c>
    </row>
    <row r="1122" spans="1:20">
      <c r="A1122" t="s">
        <v>2341</v>
      </c>
      <c r="B1122" t="s">
        <v>11331</v>
      </c>
      <c r="C1122">
        <v>45751</v>
      </c>
      <c r="D1122" t="s">
        <v>7263</v>
      </c>
      <c r="E1122" t="s">
        <v>11332</v>
      </c>
      <c r="F1122">
        <v>45754</v>
      </c>
      <c r="G1122" t="s">
        <v>12125</v>
      </c>
      <c r="H1122" t="s">
        <v>2916</v>
      </c>
      <c r="I1122" t="s">
        <v>12126</v>
      </c>
      <c r="J1122">
        <v>4</v>
      </c>
      <c r="K1122">
        <v>372.75</v>
      </c>
      <c r="L1122" t="s">
        <v>2917</v>
      </c>
      <c r="M1122">
        <v>2146.56</v>
      </c>
      <c r="N1122" t="s">
        <v>2918</v>
      </c>
      <c r="O1122" t="s">
        <v>12127</v>
      </c>
      <c r="P1122" t="s">
        <v>12128</v>
      </c>
      <c r="Q1122" t="s">
        <v>2924</v>
      </c>
      <c r="R1122" t="s">
        <v>3219</v>
      </c>
      <c r="S1122" t="s">
        <v>12129</v>
      </c>
      <c r="T1122" t="s">
        <v>12130</v>
      </c>
    </row>
    <row r="1123" spans="1:20">
      <c r="A1123" t="s">
        <v>2341</v>
      </c>
      <c r="B1123" t="s">
        <v>11331</v>
      </c>
      <c r="C1123">
        <v>45751</v>
      </c>
      <c r="D1123" t="s">
        <v>7263</v>
      </c>
      <c r="E1123" t="s">
        <v>11332</v>
      </c>
      <c r="F1123">
        <v>45754</v>
      </c>
      <c r="G1123" t="s">
        <v>12125</v>
      </c>
      <c r="H1123" t="s">
        <v>2916</v>
      </c>
      <c r="I1123" t="s">
        <v>12131</v>
      </c>
      <c r="J1123">
        <v>0</v>
      </c>
      <c r="K1123">
        <v>-34.479999999999997</v>
      </c>
      <c r="L1123" t="s">
        <v>2917</v>
      </c>
      <c r="M1123">
        <v>-198.56</v>
      </c>
      <c r="N1123" t="s">
        <v>2918</v>
      </c>
      <c r="O1123" t="s">
        <v>12132</v>
      </c>
      <c r="P1123" t="s">
        <v>12128</v>
      </c>
      <c r="Q1123" t="s">
        <v>2924</v>
      </c>
      <c r="R1123" t="s">
        <v>3219</v>
      </c>
      <c r="S1123" t="s">
        <v>12129</v>
      </c>
      <c r="T1123" t="s">
        <v>12130</v>
      </c>
    </row>
    <row r="1124" spans="1:20">
      <c r="A1124" t="s">
        <v>2341</v>
      </c>
      <c r="B1124" t="s">
        <v>11331</v>
      </c>
      <c r="C1124">
        <v>45769</v>
      </c>
      <c r="D1124" t="s">
        <v>7263</v>
      </c>
      <c r="E1124" t="s">
        <v>11332</v>
      </c>
      <c r="F1124">
        <v>45770</v>
      </c>
      <c r="G1124" t="s">
        <v>12125</v>
      </c>
      <c r="H1124" t="s">
        <v>2916</v>
      </c>
      <c r="I1124" t="s">
        <v>15897</v>
      </c>
      <c r="J1124">
        <v>2</v>
      </c>
      <c r="K1124">
        <v>176.58</v>
      </c>
      <c r="L1124" t="s">
        <v>2917</v>
      </c>
      <c r="M1124">
        <v>1016.86</v>
      </c>
      <c r="N1124" t="s">
        <v>2918</v>
      </c>
      <c r="O1124" t="s">
        <v>15898</v>
      </c>
      <c r="P1124" t="s">
        <v>15899</v>
      </c>
      <c r="Q1124" t="s">
        <v>2924</v>
      </c>
      <c r="R1124" t="s">
        <v>3219</v>
      </c>
      <c r="S1124" t="s">
        <v>15900</v>
      </c>
      <c r="T1124" t="s">
        <v>15901</v>
      </c>
    </row>
    <row r="1125" spans="1:20">
      <c r="A1125" t="s">
        <v>2341</v>
      </c>
      <c r="B1125" t="s">
        <v>11331</v>
      </c>
      <c r="C1125">
        <v>45769</v>
      </c>
      <c r="D1125" t="s">
        <v>7263</v>
      </c>
      <c r="E1125" t="s">
        <v>11332</v>
      </c>
      <c r="F1125">
        <v>45770</v>
      </c>
      <c r="G1125" t="s">
        <v>12125</v>
      </c>
      <c r="H1125" t="s">
        <v>2916</v>
      </c>
      <c r="I1125" t="s">
        <v>15902</v>
      </c>
      <c r="J1125">
        <v>0</v>
      </c>
      <c r="K1125">
        <v>-16.34</v>
      </c>
      <c r="L1125" t="s">
        <v>2917</v>
      </c>
      <c r="M1125">
        <v>-94.06</v>
      </c>
      <c r="N1125" t="s">
        <v>2918</v>
      </c>
      <c r="O1125" t="s">
        <v>15903</v>
      </c>
      <c r="P1125" t="s">
        <v>15899</v>
      </c>
      <c r="Q1125" t="s">
        <v>2924</v>
      </c>
      <c r="R1125" t="s">
        <v>3219</v>
      </c>
      <c r="S1125" t="s">
        <v>15900</v>
      </c>
      <c r="T1125" t="s">
        <v>15901</v>
      </c>
    </row>
    <row r="1126" spans="1:20">
      <c r="A1126" t="s">
        <v>2341</v>
      </c>
      <c r="B1126" t="s">
        <v>11331</v>
      </c>
      <c r="C1126">
        <v>45777</v>
      </c>
      <c r="D1126" t="s">
        <v>7263</v>
      </c>
      <c r="E1126" t="s">
        <v>11332</v>
      </c>
      <c r="F1126">
        <v>45777</v>
      </c>
      <c r="G1126" t="s">
        <v>2208</v>
      </c>
      <c r="H1126" t="s">
        <v>2916</v>
      </c>
      <c r="I1126" t="s">
        <v>16418</v>
      </c>
      <c r="J1126">
        <v>0</v>
      </c>
      <c r="K1126">
        <v>0.04</v>
      </c>
      <c r="L1126" t="s">
        <v>2917</v>
      </c>
      <c r="M1126">
        <v>0</v>
      </c>
      <c r="N1126" t="s">
        <v>2918</v>
      </c>
      <c r="O1126" t="s">
        <v>2919</v>
      </c>
      <c r="P1126" t="s">
        <v>2208</v>
      </c>
      <c r="Q1126" t="s">
        <v>2916</v>
      </c>
      <c r="R1126" t="s">
        <v>3220</v>
      </c>
      <c r="S1126" t="s">
        <v>2208</v>
      </c>
      <c r="T1126" t="s">
        <v>2208</v>
      </c>
    </row>
    <row r="1127" spans="1:20">
      <c r="A1127" t="s">
        <v>2344</v>
      </c>
      <c r="B1127" t="s">
        <v>7740</v>
      </c>
      <c r="C1127">
        <v>45448</v>
      </c>
      <c r="D1127" t="s">
        <v>7263</v>
      </c>
      <c r="E1127" t="s">
        <v>2925</v>
      </c>
      <c r="F1127">
        <v>45709</v>
      </c>
      <c r="G1127" t="s">
        <v>8652</v>
      </c>
      <c r="H1127" t="s">
        <v>2916</v>
      </c>
      <c r="I1127" t="s">
        <v>8653</v>
      </c>
      <c r="J1127">
        <v>29847.26</v>
      </c>
      <c r="K1127">
        <v>5132.24</v>
      </c>
      <c r="L1127" t="s">
        <v>2917</v>
      </c>
      <c r="M1127">
        <v>29847.26</v>
      </c>
      <c r="N1127" t="s">
        <v>2918</v>
      </c>
      <c r="O1127" t="s">
        <v>2939</v>
      </c>
      <c r="P1127" t="s">
        <v>2939</v>
      </c>
      <c r="Q1127" t="s">
        <v>2924</v>
      </c>
      <c r="R1127" t="s">
        <v>3219</v>
      </c>
      <c r="S1127" t="s">
        <v>2208</v>
      </c>
      <c r="T1127" t="s">
        <v>2208</v>
      </c>
    </row>
    <row r="1128" spans="1:20">
      <c r="A1128" t="s">
        <v>2344</v>
      </c>
      <c r="B1128" t="s">
        <v>7740</v>
      </c>
      <c r="C1128">
        <v>45709</v>
      </c>
      <c r="D1128" t="s">
        <v>7263</v>
      </c>
      <c r="E1128" t="s">
        <v>2925</v>
      </c>
      <c r="F1128">
        <v>45714</v>
      </c>
      <c r="G1128" t="s">
        <v>8652</v>
      </c>
      <c r="H1128" t="s">
        <v>2916</v>
      </c>
      <c r="I1128" t="s">
        <v>9019</v>
      </c>
      <c r="J1128">
        <v>0</v>
      </c>
      <c r="K1128">
        <v>-474.74</v>
      </c>
      <c r="L1128" t="s">
        <v>2917</v>
      </c>
      <c r="M1128">
        <v>-2760.87</v>
      </c>
      <c r="N1128" t="s">
        <v>2918</v>
      </c>
      <c r="O1128" t="s">
        <v>9020</v>
      </c>
      <c r="P1128" t="s">
        <v>2939</v>
      </c>
      <c r="Q1128" t="s">
        <v>2924</v>
      </c>
      <c r="R1128" t="s">
        <v>3219</v>
      </c>
      <c r="S1128" t="s">
        <v>2208</v>
      </c>
      <c r="T1128" t="s">
        <v>2208</v>
      </c>
    </row>
    <row r="1129" spans="1:20">
      <c r="A1129" t="s">
        <v>2344</v>
      </c>
      <c r="B1129" t="s">
        <v>7740</v>
      </c>
      <c r="C1129">
        <v>45716</v>
      </c>
      <c r="D1129" t="s">
        <v>7263</v>
      </c>
      <c r="E1129" t="s">
        <v>2925</v>
      </c>
      <c r="F1129">
        <v>45716</v>
      </c>
      <c r="G1129" t="s">
        <v>2208</v>
      </c>
      <c r="H1129" t="s">
        <v>2916</v>
      </c>
      <c r="I1129" t="s">
        <v>9152</v>
      </c>
      <c r="J1129">
        <v>0</v>
      </c>
      <c r="K1129">
        <v>-0.06</v>
      </c>
      <c r="L1129" t="s">
        <v>2917</v>
      </c>
      <c r="M1129">
        <v>0</v>
      </c>
      <c r="N1129" t="s">
        <v>2918</v>
      </c>
      <c r="O1129" t="s">
        <v>2919</v>
      </c>
      <c r="P1129" t="s">
        <v>2208</v>
      </c>
      <c r="Q1129" t="s">
        <v>2916</v>
      </c>
      <c r="R1129" t="s">
        <v>3220</v>
      </c>
      <c r="S1129" t="s">
        <v>2208</v>
      </c>
      <c r="T1129" t="s">
        <v>2208</v>
      </c>
    </row>
    <row r="1130" spans="1:20">
      <c r="A1130" t="s">
        <v>2348</v>
      </c>
      <c r="B1130" t="s">
        <v>2920</v>
      </c>
      <c r="C1130">
        <v>45680</v>
      </c>
      <c r="D1130" t="s">
        <v>7263</v>
      </c>
      <c r="E1130" t="s">
        <v>2921</v>
      </c>
      <c r="F1130">
        <v>45685</v>
      </c>
      <c r="G1130" t="s">
        <v>7674</v>
      </c>
      <c r="H1130" t="s">
        <v>2916</v>
      </c>
      <c r="I1130" t="s">
        <v>7675</v>
      </c>
      <c r="J1130">
        <v>3</v>
      </c>
      <c r="K1130">
        <v>36434.089999999997</v>
      </c>
      <c r="L1130" t="s">
        <v>2917</v>
      </c>
      <c r="M1130">
        <v>224999.01</v>
      </c>
      <c r="N1130" t="s">
        <v>2918</v>
      </c>
      <c r="O1130" t="s">
        <v>7676</v>
      </c>
      <c r="P1130" t="s">
        <v>7677</v>
      </c>
      <c r="Q1130" t="s">
        <v>2924</v>
      </c>
      <c r="R1130" t="s">
        <v>3219</v>
      </c>
      <c r="S1130" t="s">
        <v>7678</v>
      </c>
      <c r="T1130" t="s">
        <v>7677</v>
      </c>
    </row>
    <row r="1131" spans="1:20">
      <c r="A1131" t="s">
        <v>2348</v>
      </c>
      <c r="B1131" t="s">
        <v>2920</v>
      </c>
      <c r="C1131">
        <v>45680</v>
      </c>
      <c r="D1131" t="s">
        <v>7263</v>
      </c>
      <c r="E1131" t="s">
        <v>2921</v>
      </c>
      <c r="F1131">
        <v>45685</v>
      </c>
      <c r="G1131" t="s">
        <v>7674</v>
      </c>
      <c r="H1131" t="s">
        <v>2916</v>
      </c>
      <c r="I1131" t="s">
        <v>7675</v>
      </c>
      <c r="J1131">
        <v>3</v>
      </c>
      <c r="K1131">
        <v>58.29</v>
      </c>
      <c r="L1131" t="s">
        <v>2917</v>
      </c>
      <c r="M1131">
        <v>360</v>
      </c>
      <c r="N1131" t="s">
        <v>2918</v>
      </c>
      <c r="O1131" t="s">
        <v>7676</v>
      </c>
      <c r="P1131" t="s">
        <v>7679</v>
      </c>
      <c r="Q1131" t="s">
        <v>2924</v>
      </c>
      <c r="R1131" t="s">
        <v>3219</v>
      </c>
      <c r="S1131" t="s">
        <v>7680</v>
      </c>
      <c r="T1131" t="s">
        <v>7681</v>
      </c>
    </row>
    <row r="1132" spans="1:20">
      <c r="A1132" t="s">
        <v>2348</v>
      </c>
      <c r="B1132" t="s">
        <v>2920</v>
      </c>
      <c r="C1132">
        <v>45680</v>
      </c>
      <c r="D1132" t="s">
        <v>7263</v>
      </c>
      <c r="E1132" t="s">
        <v>2921</v>
      </c>
      <c r="F1132">
        <v>45685</v>
      </c>
      <c r="G1132" t="s">
        <v>7674</v>
      </c>
      <c r="H1132" t="s">
        <v>2916</v>
      </c>
      <c r="I1132" t="s">
        <v>7675</v>
      </c>
      <c r="J1132">
        <v>3</v>
      </c>
      <c r="K1132">
        <v>1991.74</v>
      </c>
      <c r="L1132" t="s">
        <v>2917</v>
      </c>
      <c r="M1132">
        <v>12300</v>
      </c>
      <c r="N1132" t="s">
        <v>2918</v>
      </c>
      <c r="O1132" t="s">
        <v>7676</v>
      </c>
      <c r="P1132" t="s">
        <v>7682</v>
      </c>
      <c r="Q1132" t="s">
        <v>2924</v>
      </c>
      <c r="R1132" t="s">
        <v>3219</v>
      </c>
      <c r="S1132" t="s">
        <v>7683</v>
      </c>
      <c r="T1132" t="s">
        <v>7684</v>
      </c>
    </row>
    <row r="1133" spans="1:20">
      <c r="A1133" t="s">
        <v>2348</v>
      </c>
      <c r="B1133" t="s">
        <v>2920</v>
      </c>
      <c r="C1133">
        <v>45680</v>
      </c>
      <c r="D1133" t="s">
        <v>7263</v>
      </c>
      <c r="E1133" t="s">
        <v>2921</v>
      </c>
      <c r="F1133">
        <v>45685</v>
      </c>
      <c r="G1133" t="s">
        <v>7674</v>
      </c>
      <c r="H1133" t="s">
        <v>2916</v>
      </c>
      <c r="I1133" t="s">
        <v>7675</v>
      </c>
      <c r="J1133">
        <v>6</v>
      </c>
      <c r="K1133">
        <v>2428.9499999999998</v>
      </c>
      <c r="L1133" t="s">
        <v>2917</v>
      </c>
      <c r="M1133">
        <v>15000</v>
      </c>
      <c r="N1133" t="s">
        <v>2918</v>
      </c>
      <c r="O1133" t="s">
        <v>7676</v>
      </c>
      <c r="P1133" t="s">
        <v>7685</v>
      </c>
      <c r="Q1133" t="s">
        <v>2924</v>
      </c>
      <c r="R1133" t="s">
        <v>3219</v>
      </c>
      <c r="S1133" t="s">
        <v>7686</v>
      </c>
      <c r="T1133" t="s">
        <v>7687</v>
      </c>
    </row>
    <row r="1134" spans="1:20">
      <c r="A1134" t="s">
        <v>2348</v>
      </c>
      <c r="B1134" t="s">
        <v>2920</v>
      </c>
      <c r="C1134">
        <v>45680</v>
      </c>
      <c r="D1134" t="s">
        <v>7263</v>
      </c>
      <c r="E1134" t="s">
        <v>2921</v>
      </c>
      <c r="F1134">
        <v>45685</v>
      </c>
      <c r="G1134" t="s">
        <v>7674</v>
      </c>
      <c r="H1134" t="s">
        <v>2916</v>
      </c>
      <c r="I1134" t="s">
        <v>7675</v>
      </c>
      <c r="J1134">
        <v>3</v>
      </c>
      <c r="K1134">
        <v>1603.11</v>
      </c>
      <c r="L1134" t="s">
        <v>2917</v>
      </c>
      <c r="M1134">
        <v>9900</v>
      </c>
      <c r="N1134" t="s">
        <v>2918</v>
      </c>
      <c r="O1134" t="s">
        <v>7676</v>
      </c>
      <c r="P1134" t="s">
        <v>7688</v>
      </c>
      <c r="Q1134" t="s">
        <v>2924</v>
      </c>
      <c r="R1134" t="s">
        <v>3219</v>
      </c>
      <c r="S1134" t="s">
        <v>7689</v>
      </c>
      <c r="T1134" t="s">
        <v>7690</v>
      </c>
    </row>
    <row r="1135" spans="1:20">
      <c r="A1135" t="s">
        <v>2348</v>
      </c>
      <c r="B1135" t="s">
        <v>2920</v>
      </c>
      <c r="C1135">
        <v>45680</v>
      </c>
      <c r="D1135" t="s">
        <v>7263</v>
      </c>
      <c r="E1135" t="s">
        <v>2921</v>
      </c>
      <c r="F1135">
        <v>45685</v>
      </c>
      <c r="G1135" t="s">
        <v>7674</v>
      </c>
      <c r="H1135" t="s">
        <v>2916</v>
      </c>
      <c r="I1135" t="s">
        <v>7675</v>
      </c>
      <c r="J1135">
        <v>3</v>
      </c>
      <c r="K1135">
        <v>58.29</v>
      </c>
      <c r="L1135" t="s">
        <v>2917</v>
      </c>
      <c r="M1135">
        <v>360</v>
      </c>
      <c r="N1135" t="s">
        <v>2918</v>
      </c>
      <c r="O1135" t="s">
        <v>7676</v>
      </c>
      <c r="P1135" t="s">
        <v>7679</v>
      </c>
      <c r="Q1135" t="s">
        <v>2924</v>
      </c>
      <c r="R1135" t="s">
        <v>3219</v>
      </c>
      <c r="S1135" t="s">
        <v>7691</v>
      </c>
      <c r="T1135" t="s">
        <v>7681</v>
      </c>
    </row>
    <row r="1136" spans="1:20">
      <c r="A1136" t="s">
        <v>2348</v>
      </c>
      <c r="B1136" t="s">
        <v>2920</v>
      </c>
      <c r="C1136">
        <v>45680</v>
      </c>
      <c r="D1136" t="s">
        <v>7263</v>
      </c>
      <c r="E1136" t="s">
        <v>2921</v>
      </c>
      <c r="F1136">
        <v>45685</v>
      </c>
      <c r="G1136" t="s">
        <v>7674</v>
      </c>
      <c r="H1136" t="s">
        <v>2916</v>
      </c>
      <c r="I1136" t="s">
        <v>7675</v>
      </c>
      <c r="J1136">
        <v>3</v>
      </c>
      <c r="K1136">
        <v>335.2</v>
      </c>
      <c r="L1136" t="s">
        <v>2917</v>
      </c>
      <c r="M1136">
        <v>2070</v>
      </c>
      <c r="N1136" t="s">
        <v>2918</v>
      </c>
      <c r="O1136" t="s">
        <v>7676</v>
      </c>
      <c r="P1136" t="s">
        <v>7692</v>
      </c>
      <c r="Q1136" t="s">
        <v>2924</v>
      </c>
      <c r="R1136" t="s">
        <v>3219</v>
      </c>
      <c r="S1136" t="s">
        <v>7693</v>
      </c>
      <c r="T1136" t="s">
        <v>7694</v>
      </c>
    </row>
    <row r="1137" spans="1:20">
      <c r="A1137" t="s">
        <v>2348</v>
      </c>
      <c r="B1137" t="s">
        <v>2920</v>
      </c>
      <c r="C1137">
        <v>45680</v>
      </c>
      <c r="D1137" t="s">
        <v>7263</v>
      </c>
      <c r="E1137" t="s">
        <v>2921</v>
      </c>
      <c r="F1137">
        <v>45685</v>
      </c>
      <c r="G1137" t="s">
        <v>7674</v>
      </c>
      <c r="H1137" t="s">
        <v>2916</v>
      </c>
      <c r="I1137" t="s">
        <v>7695</v>
      </c>
      <c r="J1137">
        <v>0</v>
      </c>
      <c r="K1137">
        <v>-6279.85</v>
      </c>
      <c r="L1137" t="s">
        <v>2917</v>
      </c>
      <c r="M1137">
        <v>-38781.24</v>
      </c>
      <c r="N1137" t="s">
        <v>2918</v>
      </c>
      <c r="O1137" t="s">
        <v>7696</v>
      </c>
      <c r="P1137" t="s">
        <v>7677</v>
      </c>
      <c r="Q1137" t="s">
        <v>2924</v>
      </c>
      <c r="R1137" t="s">
        <v>3219</v>
      </c>
      <c r="S1137" t="s">
        <v>7678</v>
      </c>
      <c r="T1137" t="s">
        <v>7677</v>
      </c>
    </row>
    <row r="1138" spans="1:20">
      <c r="A1138" t="s">
        <v>2348</v>
      </c>
      <c r="B1138" t="s">
        <v>2920</v>
      </c>
      <c r="C1138">
        <v>45680</v>
      </c>
      <c r="D1138" t="s">
        <v>7263</v>
      </c>
      <c r="E1138" t="s">
        <v>2921</v>
      </c>
      <c r="F1138">
        <v>45685</v>
      </c>
      <c r="G1138" t="s">
        <v>7674</v>
      </c>
      <c r="H1138" t="s">
        <v>2916</v>
      </c>
      <c r="I1138" t="s">
        <v>7695</v>
      </c>
      <c r="J1138">
        <v>0</v>
      </c>
      <c r="K1138">
        <v>-10.039999999999999</v>
      </c>
      <c r="L1138" t="s">
        <v>2917</v>
      </c>
      <c r="M1138">
        <v>-62.05</v>
      </c>
      <c r="N1138" t="s">
        <v>2918</v>
      </c>
      <c r="O1138" t="s">
        <v>7696</v>
      </c>
      <c r="P1138" t="s">
        <v>7679</v>
      </c>
      <c r="Q1138" t="s">
        <v>2924</v>
      </c>
      <c r="R1138" t="s">
        <v>3219</v>
      </c>
      <c r="S1138" t="s">
        <v>7680</v>
      </c>
      <c r="T1138" t="s">
        <v>7681</v>
      </c>
    </row>
    <row r="1139" spans="1:20">
      <c r="A1139" t="s">
        <v>2348</v>
      </c>
      <c r="B1139" t="s">
        <v>2920</v>
      </c>
      <c r="C1139">
        <v>45680</v>
      </c>
      <c r="D1139" t="s">
        <v>7263</v>
      </c>
      <c r="E1139" t="s">
        <v>2921</v>
      </c>
      <c r="F1139">
        <v>45685</v>
      </c>
      <c r="G1139" t="s">
        <v>7674</v>
      </c>
      <c r="H1139" t="s">
        <v>2916</v>
      </c>
      <c r="I1139" t="s">
        <v>7695</v>
      </c>
      <c r="J1139">
        <v>0</v>
      </c>
      <c r="K1139">
        <v>-509.59</v>
      </c>
      <c r="L1139" t="s">
        <v>2917</v>
      </c>
      <c r="M1139">
        <v>-3146.97</v>
      </c>
      <c r="N1139" t="s">
        <v>2918</v>
      </c>
      <c r="O1139" t="s">
        <v>7696</v>
      </c>
      <c r="P1139" t="s">
        <v>7682</v>
      </c>
      <c r="Q1139" t="s">
        <v>2924</v>
      </c>
      <c r="R1139" t="s">
        <v>3219</v>
      </c>
      <c r="S1139" t="s">
        <v>7683</v>
      </c>
      <c r="T1139" t="s">
        <v>7684</v>
      </c>
    </row>
    <row r="1140" spans="1:20">
      <c r="A1140" t="s">
        <v>2348</v>
      </c>
      <c r="B1140" t="s">
        <v>2920</v>
      </c>
      <c r="C1140">
        <v>45680</v>
      </c>
      <c r="D1140" t="s">
        <v>7263</v>
      </c>
      <c r="E1140" t="s">
        <v>2921</v>
      </c>
      <c r="F1140">
        <v>45685</v>
      </c>
      <c r="G1140" t="s">
        <v>7674</v>
      </c>
      <c r="H1140" t="s">
        <v>2916</v>
      </c>
      <c r="I1140" t="s">
        <v>7695</v>
      </c>
      <c r="J1140">
        <v>0</v>
      </c>
      <c r="K1140">
        <v>-489.19</v>
      </c>
      <c r="L1140" t="s">
        <v>2917</v>
      </c>
      <c r="M1140">
        <v>-3021</v>
      </c>
      <c r="N1140" t="s">
        <v>2918</v>
      </c>
      <c r="O1140" t="s">
        <v>7696</v>
      </c>
      <c r="P1140" t="s">
        <v>7685</v>
      </c>
      <c r="Q1140" t="s">
        <v>2924</v>
      </c>
      <c r="R1140" t="s">
        <v>3219</v>
      </c>
      <c r="S1140" t="s">
        <v>7686</v>
      </c>
      <c r="T1140" t="s">
        <v>7687</v>
      </c>
    </row>
    <row r="1141" spans="1:20">
      <c r="A1141" t="s">
        <v>2348</v>
      </c>
      <c r="B1141" t="s">
        <v>2920</v>
      </c>
      <c r="C1141">
        <v>45680</v>
      </c>
      <c r="D1141" t="s">
        <v>7263</v>
      </c>
      <c r="E1141" t="s">
        <v>2921</v>
      </c>
      <c r="F1141">
        <v>45685</v>
      </c>
      <c r="G1141" t="s">
        <v>7674</v>
      </c>
      <c r="H1141" t="s">
        <v>2916</v>
      </c>
      <c r="I1141" t="s">
        <v>7695</v>
      </c>
      <c r="J1141">
        <v>0</v>
      </c>
      <c r="K1141">
        <v>-410.16</v>
      </c>
      <c r="L1141" t="s">
        <v>2917</v>
      </c>
      <c r="M1141">
        <v>-2532.9299999999998</v>
      </c>
      <c r="N1141" t="s">
        <v>2918</v>
      </c>
      <c r="O1141" t="s">
        <v>7696</v>
      </c>
      <c r="P1141" t="s">
        <v>7688</v>
      </c>
      <c r="Q1141" t="s">
        <v>2924</v>
      </c>
      <c r="R1141" t="s">
        <v>3219</v>
      </c>
      <c r="S1141" t="s">
        <v>7689</v>
      </c>
      <c r="T1141" t="s">
        <v>7690</v>
      </c>
    </row>
    <row r="1142" spans="1:20">
      <c r="A1142" t="s">
        <v>2348</v>
      </c>
      <c r="B1142" t="s">
        <v>2920</v>
      </c>
      <c r="C1142">
        <v>45680</v>
      </c>
      <c r="D1142" t="s">
        <v>7263</v>
      </c>
      <c r="E1142" t="s">
        <v>2921</v>
      </c>
      <c r="F1142">
        <v>45685</v>
      </c>
      <c r="G1142" t="s">
        <v>7674</v>
      </c>
      <c r="H1142" t="s">
        <v>2916</v>
      </c>
      <c r="I1142" t="s">
        <v>7695</v>
      </c>
      <c r="J1142">
        <v>0</v>
      </c>
      <c r="K1142">
        <v>-10.039999999999999</v>
      </c>
      <c r="L1142" t="s">
        <v>2917</v>
      </c>
      <c r="M1142">
        <v>-62.05</v>
      </c>
      <c r="N1142" t="s">
        <v>2918</v>
      </c>
      <c r="O1142" t="s">
        <v>7696</v>
      </c>
      <c r="P1142" t="s">
        <v>7679</v>
      </c>
      <c r="Q1142" t="s">
        <v>2924</v>
      </c>
      <c r="R1142" t="s">
        <v>3219</v>
      </c>
      <c r="S1142" t="s">
        <v>7691</v>
      </c>
      <c r="T1142" t="s">
        <v>7681</v>
      </c>
    </row>
    <row r="1143" spans="1:20">
      <c r="A1143" t="s">
        <v>2348</v>
      </c>
      <c r="B1143" t="s">
        <v>2920</v>
      </c>
      <c r="C1143">
        <v>45680</v>
      </c>
      <c r="D1143" t="s">
        <v>7263</v>
      </c>
      <c r="E1143" t="s">
        <v>2921</v>
      </c>
      <c r="F1143">
        <v>45685</v>
      </c>
      <c r="G1143" t="s">
        <v>7674</v>
      </c>
      <c r="H1143" t="s">
        <v>2916</v>
      </c>
      <c r="I1143" t="s">
        <v>7695</v>
      </c>
      <c r="J1143">
        <v>0</v>
      </c>
      <c r="K1143">
        <v>-57.78</v>
      </c>
      <c r="L1143" t="s">
        <v>2917</v>
      </c>
      <c r="M1143">
        <v>-356.79</v>
      </c>
      <c r="N1143" t="s">
        <v>2918</v>
      </c>
      <c r="O1143" t="s">
        <v>7696</v>
      </c>
      <c r="P1143" t="s">
        <v>7692</v>
      </c>
      <c r="Q1143" t="s">
        <v>2924</v>
      </c>
      <c r="R1143" t="s">
        <v>3219</v>
      </c>
      <c r="S1143" t="s">
        <v>7693</v>
      </c>
      <c r="T1143" t="s">
        <v>7694</v>
      </c>
    </row>
    <row r="1144" spans="1:20">
      <c r="A1144" t="s">
        <v>2348</v>
      </c>
      <c r="B1144" t="s">
        <v>7740</v>
      </c>
      <c r="C1144">
        <v>45653</v>
      </c>
      <c r="D1144" t="s">
        <v>7263</v>
      </c>
      <c r="E1144" t="s">
        <v>2925</v>
      </c>
      <c r="F1144">
        <v>45709</v>
      </c>
      <c r="G1144" t="s">
        <v>8654</v>
      </c>
      <c r="H1144" t="s">
        <v>2916</v>
      </c>
      <c r="I1144" t="s">
        <v>8655</v>
      </c>
      <c r="J1144">
        <v>3182</v>
      </c>
      <c r="K1144">
        <v>547.14</v>
      </c>
      <c r="L1144" t="s">
        <v>2917</v>
      </c>
      <c r="M1144">
        <v>3182</v>
      </c>
      <c r="N1144" t="s">
        <v>2918</v>
      </c>
      <c r="O1144" t="s">
        <v>8648</v>
      </c>
      <c r="P1144" t="s">
        <v>8648</v>
      </c>
      <c r="Q1144" t="s">
        <v>2924</v>
      </c>
      <c r="R1144" t="s">
        <v>3219</v>
      </c>
      <c r="S1144" t="s">
        <v>2208</v>
      </c>
      <c r="T1144" t="s">
        <v>2208</v>
      </c>
    </row>
    <row r="1145" spans="1:20">
      <c r="A1145" t="s">
        <v>2348</v>
      </c>
      <c r="B1145" t="s">
        <v>11331</v>
      </c>
      <c r="C1145">
        <v>45712</v>
      </c>
      <c r="D1145" t="s">
        <v>7263</v>
      </c>
      <c r="E1145" t="s">
        <v>11332</v>
      </c>
      <c r="F1145">
        <v>45764</v>
      </c>
      <c r="G1145" t="s">
        <v>8654</v>
      </c>
      <c r="H1145" t="s">
        <v>2916</v>
      </c>
      <c r="I1145" t="s">
        <v>12342</v>
      </c>
      <c r="J1145">
        <v>0</v>
      </c>
      <c r="K1145">
        <v>5.41</v>
      </c>
      <c r="L1145" t="s">
        <v>2917</v>
      </c>
      <c r="M1145">
        <v>0</v>
      </c>
      <c r="N1145" t="s">
        <v>2918</v>
      </c>
      <c r="O1145" t="s">
        <v>12343</v>
      </c>
      <c r="P1145" t="s">
        <v>8648</v>
      </c>
      <c r="Q1145" t="s">
        <v>12344</v>
      </c>
      <c r="R1145" t="s">
        <v>12345</v>
      </c>
      <c r="S1145" t="s">
        <v>2208</v>
      </c>
      <c r="T1145" t="s">
        <v>2208</v>
      </c>
    </row>
    <row r="1146" spans="1:20">
      <c r="A1146" t="s">
        <v>2348</v>
      </c>
      <c r="B1146" t="s">
        <v>11331</v>
      </c>
      <c r="C1146">
        <v>45777</v>
      </c>
      <c r="D1146" t="s">
        <v>7263</v>
      </c>
      <c r="E1146" t="s">
        <v>11332</v>
      </c>
      <c r="F1146">
        <v>45777</v>
      </c>
      <c r="G1146" t="s">
        <v>2208</v>
      </c>
      <c r="H1146" t="s">
        <v>2916</v>
      </c>
      <c r="I1146" t="s">
        <v>16419</v>
      </c>
      <c r="J1146">
        <v>0</v>
      </c>
      <c r="K1146">
        <v>-5.41</v>
      </c>
      <c r="L1146" t="s">
        <v>2917</v>
      </c>
      <c r="M1146">
        <v>0</v>
      </c>
      <c r="N1146" t="s">
        <v>2918</v>
      </c>
      <c r="O1146" t="s">
        <v>2919</v>
      </c>
      <c r="P1146" t="s">
        <v>2208</v>
      </c>
      <c r="Q1146" t="s">
        <v>2916</v>
      </c>
      <c r="R1146" t="s">
        <v>3220</v>
      </c>
      <c r="S1146" t="s">
        <v>2208</v>
      </c>
      <c r="T1146" t="s">
        <v>2208</v>
      </c>
    </row>
    <row r="1147" spans="1:20">
      <c r="A1147" t="s">
        <v>2348</v>
      </c>
      <c r="B1147" t="s">
        <v>11331</v>
      </c>
      <c r="C1147">
        <v>45751</v>
      </c>
      <c r="D1147" t="s">
        <v>7263</v>
      </c>
      <c r="E1147" t="s">
        <v>11332</v>
      </c>
      <c r="F1147">
        <v>45761</v>
      </c>
      <c r="G1147" t="s">
        <v>12346</v>
      </c>
      <c r="H1147" t="s">
        <v>2916</v>
      </c>
      <c r="I1147" t="s">
        <v>12347</v>
      </c>
      <c r="J1147">
        <v>1</v>
      </c>
      <c r="K1147">
        <v>198167.49</v>
      </c>
      <c r="L1147" t="s">
        <v>2917</v>
      </c>
      <c r="M1147">
        <v>1141189.1399999999</v>
      </c>
      <c r="N1147" t="s">
        <v>2918</v>
      </c>
      <c r="O1147" t="s">
        <v>12348</v>
      </c>
      <c r="P1147" t="s">
        <v>12349</v>
      </c>
      <c r="Q1147" t="s">
        <v>2944</v>
      </c>
      <c r="R1147" t="s">
        <v>3223</v>
      </c>
      <c r="S1147" t="s">
        <v>12350</v>
      </c>
      <c r="T1147" t="s">
        <v>12349</v>
      </c>
    </row>
    <row r="1148" spans="1:20">
      <c r="A1148" t="s">
        <v>2348</v>
      </c>
      <c r="B1148" t="s">
        <v>11331</v>
      </c>
      <c r="C1148">
        <v>45771</v>
      </c>
      <c r="D1148" t="s">
        <v>7263</v>
      </c>
      <c r="E1148" t="s">
        <v>11332</v>
      </c>
      <c r="F1148">
        <v>45771</v>
      </c>
      <c r="G1148" t="s">
        <v>2208</v>
      </c>
      <c r="H1148" t="s">
        <v>2916</v>
      </c>
      <c r="I1148" t="s">
        <v>15972</v>
      </c>
      <c r="J1148">
        <v>0</v>
      </c>
      <c r="K1148">
        <v>73.08</v>
      </c>
      <c r="L1148" t="s">
        <v>2917</v>
      </c>
      <c r="M1148">
        <v>420.83</v>
      </c>
      <c r="N1148" t="s">
        <v>2918</v>
      </c>
      <c r="O1148" t="s">
        <v>15973</v>
      </c>
      <c r="P1148" t="s">
        <v>2208</v>
      </c>
      <c r="Q1148" t="s">
        <v>2944</v>
      </c>
      <c r="R1148" t="s">
        <v>3223</v>
      </c>
      <c r="S1148" t="s">
        <v>12350</v>
      </c>
      <c r="T1148" t="s">
        <v>12349</v>
      </c>
    </row>
    <row r="1149" spans="1:20">
      <c r="A1149" t="s">
        <v>2348</v>
      </c>
      <c r="B1149" t="s">
        <v>11331</v>
      </c>
      <c r="C1149">
        <v>45775</v>
      </c>
      <c r="D1149" t="s">
        <v>7263</v>
      </c>
      <c r="E1149" t="s">
        <v>11332</v>
      </c>
      <c r="F1149">
        <v>45775</v>
      </c>
      <c r="G1149" t="s">
        <v>2208</v>
      </c>
      <c r="H1149" t="s">
        <v>2916</v>
      </c>
      <c r="I1149" t="s">
        <v>16176</v>
      </c>
      <c r="J1149">
        <v>0</v>
      </c>
      <c r="K1149">
        <v>1559.78</v>
      </c>
      <c r="L1149" t="s">
        <v>2917</v>
      </c>
      <c r="M1149">
        <v>8982.32</v>
      </c>
      <c r="N1149" t="s">
        <v>2918</v>
      </c>
      <c r="O1149" t="s">
        <v>3313</v>
      </c>
      <c r="P1149" t="s">
        <v>2208</v>
      </c>
      <c r="Q1149" t="s">
        <v>2929</v>
      </c>
      <c r="R1149" t="s">
        <v>3228</v>
      </c>
      <c r="S1149" t="s">
        <v>2208</v>
      </c>
      <c r="T1149" t="s">
        <v>2208</v>
      </c>
    </row>
    <row r="1150" spans="1:20">
      <c r="A1150" t="s">
        <v>2348</v>
      </c>
      <c r="B1150" t="s">
        <v>11331</v>
      </c>
      <c r="C1150">
        <v>45776</v>
      </c>
      <c r="D1150" t="s">
        <v>7263</v>
      </c>
      <c r="E1150" t="s">
        <v>11332</v>
      </c>
      <c r="F1150">
        <v>45776</v>
      </c>
      <c r="G1150" t="s">
        <v>2208</v>
      </c>
      <c r="H1150" t="s">
        <v>2916</v>
      </c>
      <c r="I1150" t="s">
        <v>16235</v>
      </c>
      <c r="J1150">
        <v>0</v>
      </c>
      <c r="K1150">
        <v>125.9</v>
      </c>
      <c r="L1150" t="s">
        <v>2917</v>
      </c>
      <c r="M1150">
        <v>725</v>
      </c>
      <c r="N1150" t="s">
        <v>2918</v>
      </c>
      <c r="O1150" t="s">
        <v>16236</v>
      </c>
      <c r="P1150" t="s">
        <v>2208</v>
      </c>
      <c r="Q1150" t="s">
        <v>16237</v>
      </c>
      <c r="R1150" t="s">
        <v>16238</v>
      </c>
      <c r="S1150" t="s">
        <v>2208</v>
      </c>
      <c r="T1150" t="s">
        <v>2208</v>
      </c>
    </row>
    <row r="1151" spans="1:20">
      <c r="A1151" t="s">
        <v>2348</v>
      </c>
      <c r="B1151" t="s">
        <v>11331</v>
      </c>
      <c r="C1151">
        <v>45777</v>
      </c>
      <c r="D1151" t="s">
        <v>7263</v>
      </c>
      <c r="E1151" t="s">
        <v>11332</v>
      </c>
      <c r="F1151">
        <v>45777</v>
      </c>
      <c r="G1151" t="s">
        <v>2208</v>
      </c>
      <c r="H1151" t="s">
        <v>2916</v>
      </c>
      <c r="I1151" t="s">
        <v>16317</v>
      </c>
      <c r="J1151">
        <v>0</v>
      </c>
      <c r="K1151">
        <v>88.52</v>
      </c>
      <c r="L1151" t="s">
        <v>2917</v>
      </c>
      <c r="M1151">
        <v>509.77</v>
      </c>
      <c r="N1151" t="s">
        <v>2918</v>
      </c>
      <c r="O1151" t="s">
        <v>16318</v>
      </c>
      <c r="P1151" t="s">
        <v>2208</v>
      </c>
      <c r="Q1151" t="s">
        <v>2926</v>
      </c>
      <c r="R1151" t="s">
        <v>3312</v>
      </c>
      <c r="S1151" t="s">
        <v>2208</v>
      </c>
      <c r="T1151" t="s">
        <v>2208</v>
      </c>
    </row>
    <row r="1152" spans="1:20">
      <c r="A1152" t="s">
        <v>2348</v>
      </c>
      <c r="B1152" t="s">
        <v>11331</v>
      </c>
      <c r="C1152">
        <v>45777</v>
      </c>
      <c r="D1152" t="s">
        <v>7263</v>
      </c>
      <c r="E1152" t="s">
        <v>11332</v>
      </c>
      <c r="F1152">
        <v>45777</v>
      </c>
      <c r="G1152" t="s">
        <v>2208</v>
      </c>
      <c r="H1152" t="s">
        <v>2916</v>
      </c>
      <c r="I1152" t="s">
        <v>16420</v>
      </c>
      <c r="J1152">
        <v>0</v>
      </c>
      <c r="K1152">
        <v>-0.01</v>
      </c>
      <c r="L1152" t="s">
        <v>2917</v>
      </c>
      <c r="M1152">
        <v>0</v>
      </c>
      <c r="N1152" t="s">
        <v>2918</v>
      </c>
      <c r="O1152" t="s">
        <v>2919</v>
      </c>
      <c r="P1152" t="s">
        <v>2208</v>
      </c>
      <c r="Q1152" t="s">
        <v>2916</v>
      </c>
      <c r="R1152" t="s">
        <v>3220</v>
      </c>
      <c r="S1152" t="s">
        <v>2208</v>
      </c>
      <c r="T1152" t="s">
        <v>2208</v>
      </c>
    </row>
    <row r="1153" spans="1:20">
      <c r="A1153" t="s">
        <v>2348</v>
      </c>
      <c r="B1153" t="s">
        <v>16360</v>
      </c>
      <c r="C1153">
        <v>45777</v>
      </c>
      <c r="D1153" t="s">
        <v>7263</v>
      </c>
      <c r="E1153" t="s">
        <v>16361</v>
      </c>
      <c r="F1153">
        <v>45797</v>
      </c>
      <c r="G1153" t="s">
        <v>2208</v>
      </c>
      <c r="H1153" t="s">
        <v>2916</v>
      </c>
      <c r="I1153" t="s">
        <v>17260</v>
      </c>
      <c r="J1153">
        <v>0</v>
      </c>
      <c r="K1153">
        <v>-88.52</v>
      </c>
      <c r="L1153" t="s">
        <v>2917</v>
      </c>
      <c r="M1153">
        <v>-509.77</v>
      </c>
      <c r="N1153" t="s">
        <v>2918</v>
      </c>
      <c r="O1153" t="s">
        <v>16318</v>
      </c>
      <c r="P1153" t="s">
        <v>2208</v>
      </c>
      <c r="Q1153" t="s">
        <v>2926</v>
      </c>
      <c r="R1153" t="s">
        <v>3312</v>
      </c>
      <c r="S1153" t="s">
        <v>2208</v>
      </c>
      <c r="T1153" t="s">
        <v>2208</v>
      </c>
    </row>
    <row r="1154" spans="1:20">
      <c r="A1154" t="s">
        <v>2348</v>
      </c>
      <c r="B1154" t="s">
        <v>16360</v>
      </c>
      <c r="C1154">
        <v>45775</v>
      </c>
      <c r="D1154" t="s">
        <v>7263</v>
      </c>
      <c r="E1154" t="s">
        <v>16361</v>
      </c>
      <c r="F1154">
        <v>45803</v>
      </c>
      <c r="G1154" t="s">
        <v>2208</v>
      </c>
      <c r="H1154" t="s">
        <v>2916</v>
      </c>
      <c r="I1154" t="s">
        <v>17418</v>
      </c>
      <c r="J1154">
        <v>0</v>
      </c>
      <c r="K1154">
        <v>-1559.78</v>
      </c>
      <c r="L1154" t="s">
        <v>2917</v>
      </c>
      <c r="M1154">
        <v>-8982.32</v>
      </c>
      <c r="N1154" t="s">
        <v>2918</v>
      </c>
      <c r="O1154" t="s">
        <v>3313</v>
      </c>
      <c r="P1154" t="s">
        <v>2208</v>
      </c>
      <c r="Q1154" t="s">
        <v>2929</v>
      </c>
      <c r="R1154" t="s">
        <v>3228</v>
      </c>
      <c r="S1154" t="s">
        <v>2208</v>
      </c>
      <c r="T1154" t="s">
        <v>2208</v>
      </c>
    </row>
    <row r="1155" spans="1:20">
      <c r="A1155" t="s">
        <v>2348</v>
      </c>
      <c r="B1155" t="s">
        <v>16360</v>
      </c>
      <c r="C1155">
        <v>45803</v>
      </c>
      <c r="D1155" t="s">
        <v>7263</v>
      </c>
      <c r="E1155" t="s">
        <v>16361</v>
      </c>
      <c r="F1155">
        <v>45803</v>
      </c>
      <c r="G1155" t="s">
        <v>2208</v>
      </c>
      <c r="H1155" t="s">
        <v>2916</v>
      </c>
      <c r="I1155" t="s">
        <v>17673</v>
      </c>
      <c r="J1155">
        <v>0</v>
      </c>
      <c r="K1155">
        <v>1455.57</v>
      </c>
      <c r="L1155" t="s">
        <v>2917</v>
      </c>
      <c r="M1155">
        <v>8200.3799999999992</v>
      </c>
      <c r="N1155" t="s">
        <v>2918</v>
      </c>
      <c r="O1155" t="s">
        <v>15973</v>
      </c>
      <c r="P1155" t="s">
        <v>2208</v>
      </c>
      <c r="Q1155" t="s">
        <v>2944</v>
      </c>
      <c r="R1155" t="s">
        <v>3223</v>
      </c>
      <c r="S1155" t="s">
        <v>12350</v>
      </c>
      <c r="T1155" t="s">
        <v>12349</v>
      </c>
    </row>
    <row r="1156" spans="1:20">
      <c r="A1156" t="s">
        <v>2348</v>
      </c>
      <c r="B1156" t="s">
        <v>16360</v>
      </c>
      <c r="C1156">
        <v>45804</v>
      </c>
      <c r="D1156" t="s">
        <v>7263</v>
      </c>
      <c r="E1156" t="s">
        <v>16361</v>
      </c>
      <c r="F1156">
        <v>45804</v>
      </c>
      <c r="G1156" t="s">
        <v>2208</v>
      </c>
      <c r="H1156" t="s">
        <v>2916</v>
      </c>
      <c r="I1156" t="s">
        <v>17750</v>
      </c>
      <c r="J1156">
        <v>0</v>
      </c>
      <c r="K1156">
        <v>-118.66</v>
      </c>
      <c r="L1156" t="s">
        <v>2917</v>
      </c>
      <c r="M1156">
        <v>-668.53</v>
      </c>
      <c r="N1156" t="s">
        <v>2918</v>
      </c>
      <c r="O1156" t="s">
        <v>17751</v>
      </c>
      <c r="P1156" t="s">
        <v>2208</v>
      </c>
      <c r="Q1156" t="s">
        <v>7561</v>
      </c>
      <c r="R1156" t="s">
        <v>7562</v>
      </c>
      <c r="S1156" t="s">
        <v>2208</v>
      </c>
      <c r="T1156" t="s">
        <v>2208</v>
      </c>
    </row>
    <row r="1157" spans="1:20">
      <c r="A1157" t="s">
        <v>2348</v>
      </c>
      <c r="B1157" t="s">
        <v>16360</v>
      </c>
      <c r="C1157">
        <v>45804</v>
      </c>
      <c r="D1157" t="s">
        <v>7263</v>
      </c>
      <c r="E1157" t="s">
        <v>16361</v>
      </c>
      <c r="F1157">
        <v>45804</v>
      </c>
      <c r="G1157" t="s">
        <v>2208</v>
      </c>
      <c r="H1157" t="s">
        <v>2916</v>
      </c>
      <c r="I1157" t="s">
        <v>17752</v>
      </c>
      <c r="J1157">
        <v>0</v>
      </c>
      <c r="K1157">
        <v>118.66</v>
      </c>
      <c r="L1157" t="s">
        <v>2917</v>
      </c>
      <c r="M1157">
        <v>668.53</v>
      </c>
      <c r="N1157" t="s">
        <v>2918</v>
      </c>
      <c r="O1157" t="s">
        <v>17753</v>
      </c>
      <c r="P1157" t="s">
        <v>2208</v>
      </c>
      <c r="Q1157" t="s">
        <v>7550</v>
      </c>
      <c r="R1157" t="s">
        <v>7551</v>
      </c>
      <c r="S1157" t="s">
        <v>2208</v>
      </c>
      <c r="T1157" t="s">
        <v>2208</v>
      </c>
    </row>
    <row r="1158" spans="1:20">
      <c r="A1158" t="s">
        <v>2348</v>
      </c>
      <c r="B1158" t="s">
        <v>16360</v>
      </c>
      <c r="C1158">
        <v>45806</v>
      </c>
      <c r="D1158" t="s">
        <v>7263</v>
      </c>
      <c r="E1158" t="s">
        <v>16361</v>
      </c>
      <c r="F1158">
        <v>45806</v>
      </c>
      <c r="G1158" t="s">
        <v>2208</v>
      </c>
      <c r="H1158" t="s">
        <v>2916</v>
      </c>
      <c r="I1158" t="s">
        <v>17809</v>
      </c>
      <c r="J1158">
        <v>0</v>
      </c>
      <c r="K1158">
        <v>3.34</v>
      </c>
      <c r="L1158" t="s">
        <v>2917</v>
      </c>
      <c r="M1158">
        <v>18.829999999999998</v>
      </c>
      <c r="N1158" t="s">
        <v>2918</v>
      </c>
      <c r="O1158" t="s">
        <v>7587</v>
      </c>
      <c r="P1158" t="s">
        <v>2208</v>
      </c>
      <c r="Q1158" t="s">
        <v>17810</v>
      </c>
      <c r="R1158" t="s">
        <v>17811</v>
      </c>
      <c r="S1158" t="s">
        <v>2208</v>
      </c>
      <c r="T1158" t="s">
        <v>2208</v>
      </c>
    </row>
    <row r="1159" spans="1:20">
      <c r="A1159" t="s">
        <v>2348</v>
      </c>
      <c r="B1159" t="s">
        <v>16360</v>
      </c>
      <c r="C1159">
        <v>45806</v>
      </c>
      <c r="D1159" t="s">
        <v>7263</v>
      </c>
      <c r="E1159" t="s">
        <v>16361</v>
      </c>
      <c r="F1159">
        <v>45806</v>
      </c>
      <c r="G1159" t="s">
        <v>2208</v>
      </c>
      <c r="H1159" t="s">
        <v>2916</v>
      </c>
      <c r="I1159" t="s">
        <v>17812</v>
      </c>
      <c r="J1159">
        <v>0</v>
      </c>
      <c r="K1159">
        <v>15.39</v>
      </c>
      <c r="L1159" t="s">
        <v>2917</v>
      </c>
      <c r="M1159">
        <v>86.73</v>
      </c>
      <c r="N1159" t="s">
        <v>2918</v>
      </c>
      <c r="O1159" t="s">
        <v>7591</v>
      </c>
      <c r="P1159" t="s">
        <v>2208</v>
      </c>
      <c r="Q1159" t="s">
        <v>17810</v>
      </c>
      <c r="R1159" t="s">
        <v>17811</v>
      </c>
      <c r="S1159" t="s">
        <v>2208</v>
      </c>
      <c r="T1159" t="s">
        <v>2208</v>
      </c>
    </row>
    <row r="1160" spans="1:20">
      <c r="A1160" t="s">
        <v>2348</v>
      </c>
      <c r="B1160" t="s">
        <v>16360</v>
      </c>
      <c r="C1160">
        <v>45806</v>
      </c>
      <c r="D1160" t="s">
        <v>7263</v>
      </c>
      <c r="E1160" t="s">
        <v>16361</v>
      </c>
      <c r="F1160">
        <v>45806</v>
      </c>
      <c r="G1160" t="s">
        <v>2208</v>
      </c>
      <c r="H1160" t="s">
        <v>2916</v>
      </c>
      <c r="I1160" t="s">
        <v>17825</v>
      </c>
      <c r="J1160">
        <v>0</v>
      </c>
      <c r="K1160">
        <v>11.74</v>
      </c>
      <c r="L1160" t="s">
        <v>2917</v>
      </c>
      <c r="M1160">
        <v>66.16</v>
      </c>
      <c r="N1160" t="s">
        <v>2918</v>
      </c>
      <c r="O1160" t="s">
        <v>3313</v>
      </c>
      <c r="P1160" t="s">
        <v>2208</v>
      </c>
      <c r="Q1160" t="s">
        <v>2929</v>
      </c>
      <c r="R1160" t="s">
        <v>3228</v>
      </c>
      <c r="S1160" t="s">
        <v>2208</v>
      </c>
      <c r="T1160" t="s">
        <v>2208</v>
      </c>
    </row>
    <row r="1161" spans="1:20">
      <c r="A1161" t="s">
        <v>2348</v>
      </c>
      <c r="B1161" t="s">
        <v>16360</v>
      </c>
      <c r="C1161">
        <v>45806</v>
      </c>
      <c r="D1161" t="s">
        <v>7263</v>
      </c>
      <c r="E1161" t="s">
        <v>16361</v>
      </c>
      <c r="F1161">
        <v>45806</v>
      </c>
      <c r="G1161" t="s">
        <v>2208</v>
      </c>
      <c r="H1161" t="s">
        <v>2916</v>
      </c>
      <c r="I1161" t="s">
        <v>17819</v>
      </c>
      <c r="J1161">
        <v>0</v>
      </c>
      <c r="K1161">
        <v>90.48</v>
      </c>
      <c r="L1161" t="s">
        <v>2917</v>
      </c>
      <c r="M1161">
        <v>509.77</v>
      </c>
      <c r="N1161" t="s">
        <v>2918</v>
      </c>
      <c r="O1161" t="s">
        <v>17820</v>
      </c>
      <c r="P1161" t="s">
        <v>2208</v>
      </c>
      <c r="Q1161" t="s">
        <v>2926</v>
      </c>
      <c r="R1161" t="s">
        <v>3312</v>
      </c>
      <c r="S1161" t="s">
        <v>2208</v>
      </c>
      <c r="T1161" t="s">
        <v>2208</v>
      </c>
    </row>
    <row r="1162" spans="1:20">
      <c r="A1162" t="s">
        <v>2348</v>
      </c>
      <c r="B1162" t="s">
        <v>16360</v>
      </c>
      <c r="C1162">
        <v>45808</v>
      </c>
      <c r="D1162" t="s">
        <v>7263</v>
      </c>
      <c r="E1162" t="s">
        <v>16361</v>
      </c>
      <c r="F1162">
        <v>45808</v>
      </c>
      <c r="G1162" t="s">
        <v>2208</v>
      </c>
      <c r="H1162" t="s">
        <v>2916</v>
      </c>
      <c r="I1162" t="s">
        <v>17869</v>
      </c>
      <c r="J1162">
        <v>0</v>
      </c>
      <c r="K1162">
        <v>-36.5</v>
      </c>
      <c r="L1162" t="s">
        <v>2917</v>
      </c>
      <c r="M1162">
        <v>0</v>
      </c>
      <c r="N1162" t="s">
        <v>2918</v>
      </c>
      <c r="O1162" t="s">
        <v>2919</v>
      </c>
      <c r="P1162" t="s">
        <v>2208</v>
      </c>
      <c r="Q1162" t="s">
        <v>2916</v>
      </c>
      <c r="R1162" t="s">
        <v>3220</v>
      </c>
      <c r="S1162" t="s">
        <v>2208</v>
      </c>
      <c r="T1162" t="s">
        <v>2208</v>
      </c>
    </row>
    <row r="1163" spans="1:20">
      <c r="A1163" t="s">
        <v>2348</v>
      </c>
      <c r="B1163" t="s">
        <v>17897</v>
      </c>
      <c r="C1163">
        <v>45806</v>
      </c>
      <c r="D1163" t="s">
        <v>7263</v>
      </c>
      <c r="E1163" t="s">
        <v>17898</v>
      </c>
      <c r="F1163">
        <v>45818</v>
      </c>
      <c r="G1163" t="s">
        <v>2208</v>
      </c>
      <c r="H1163" t="s">
        <v>2916</v>
      </c>
      <c r="I1163" t="s">
        <v>18535</v>
      </c>
      <c r="J1163">
        <v>0</v>
      </c>
      <c r="K1163">
        <v>-90.48</v>
      </c>
      <c r="L1163" t="s">
        <v>2917</v>
      </c>
      <c r="M1163">
        <v>-509.77</v>
      </c>
      <c r="N1163" t="s">
        <v>2918</v>
      </c>
      <c r="O1163" t="s">
        <v>17820</v>
      </c>
      <c r="P1163" t="s">
        <v>2208</v>
      </c>
      <c r="Q1163" t="s">
        <v>2926</v>
      </c>
      <c r="R1163" t="s">
        <v>3312</v>
      </c>
      <c r="S1163" t="s">
        <v>2208</v>
      </c>
      <c r="T1163" t="s">
        <v>2208</v>
      </c>
    </row>
    <row r="1164" spans="1:20">
      <c r="A1164" t="s">
        <v>2348</v>
      </c>
      <c r="B1164" t="s">
        <v>17897</v>
      </c>
      <c r="C1164">
        <v>45832</v>
      </c>
      <c r="D1164" t="s">
        <v>7263</v>
      </c>
      <c r="E1164" t="s">
        <v>17898</v>
      </c>
      <c r="F1164">
        <v>45832</v>
      </c>
      <c r="G1164" t="s">
        <v>2208</v>
      </c>
      <c r="H1164" t="s">
        <v>2916</v>
      </c>
      <c r="I1164" t="s">
        <v>18997</v>
      </c>
      <c r="J1164">
        <v>0</v>
      </c>
      <c r="K1164">
        <v>-11.66</v>
      </c>
      <c r="L1164" t="s">
        <v>2917</v>
      </c>
      <c r="M1164">
        <v>-66.16</v>
      </c>
      <c r="N1164" t="s">
        <v>2918</v>
      </c>
      <c r="O1164" t="s">
        <v>3313</v>
      </c>
      <c r="P1164" t="s">
        <v>2208</v>
      </c>
      <c r="Q1164" t="s">
        <v>2929</v>
      </c>
      <c r="R1164" t="s">
        <v>3228</v>
      </c>
      <c r="S1164" t="s">
        <v>2208</v>
      </c>
      <c r="T1164" t="s">
        <v>2208</v>
      </c>
    </row>
    <row r="1165" spans="1:20">
      <c r="A1165" t="s">
        <v>2348</v>
      </c>
      <c r="B1165" t="s">
        <v>17897</v>
      </c>
      <c r="C1165">
        <v>45834</v>
      </c>
      <c r="D1165" t="s">
        <v>7263</v>
      </c>
      <c r="E1165" t="s">
        <v>17898</v>
      </c>
      <c r="F1165">
        <v>45835</v>
      </c>
      <c r="G1165" t="s">
        <v>2208</v>
      </c>
      <c r="H1165" t="s">
        <v>2916</v>
      </c>
      <c r="I1165" t="s">
        <v>19160</v>
      </c>
      <c r="J1165">
        <v>0</v>
      </c>
      <c r="K1165">
        <v>2424.04</v>
      </c>
      <c r="L1165" t="s">
        <v>2917</v>
      </c>
      <c r="M1165">
        <v>13757.33</v>
      </c>
      <c r="N1165" t="s">
        <v>2918</v>
      </c>
      <c r="O1165" t="s">
        <v>3313</v>
      </c>
      <c r="P1165" t="s">
        <v>2208</v>
      </c>
      <c r="Q1165" t="s">
        <v>2929</v>
      </c>
      <c r="R1165" t="s">
        <v>3228</v>
      </c>
      <c r="S1165" t="s">
        <v>2208</v>
      </c>
      <c r="T1165" t="s">
        <v>2208</v>
      </c>
    </row>
    <row r="1166" spans="1:20">
      <c r="A1166" t="s">
        <v>2348</v>
      </c>
      <c r="B1166" t="s">
        <v>17897</v>
      </c>
      <c r="C1166">
        <v>45838</v>
      </c>
      <c r="D1166" t="s">
        <v>7263</v>
      </c>
      <c r="E1166" t="s">
        <v>17898</v>
      </c>
      <c r="F1166">
        <v>45838</v>
      </c>
      <c r="G1166" t="s">
        <v>2208</v>
      </c>
      <c r="H1166" t="s">
        <v>2916</v>
      </c>
      <c r="I1166" t="s">
        <v>19236</v>
      </c>
      <c r="J1166">
        <v>0</v>
      </c>
      <c r="K1166">
        <v>89.82</v>
      </c>
      <c r="L1166" t="s">
        <v>2917</v>
      </c>
      <c r="M1166">
        <v>509.77</v>
      </c>
      <c r="N1166" t="s">
        <v>2918</v>
      </c>
      <c r="O1166" t="s">
        <v>19237</v>
      </c>
      <c r="P1166" t="s">
        <v>2208</v>
      </c>
      <c r="Q1166" t="s">
        <v>2926</v>
      </c>
      <c r="R1166" t="s">
        <v>3312</v>
      </c>
      <c r="S1166" t="s">
        <v>2208</v>
      </c>
      <c r="T1166" t="s">
        <v>2208</v>
      </c>
    </row>
    <row r="1167" spans="1:20">
      <c r="A1167" t="s">
        <v>2348</v>
      </c>
      <c r="B1167" t="s">
        <v>17897</v>
      </c>
      <c r="C1167">
        <v>45838</v>
      </c>
      <c r="D1167" t="s">
        <v>7263</v>
      </c>
      <c r="E1167" t="s">
        <v>17898</v>
      </c>
      <c r="F1167">
        <v>45838</v>
      </c>
      <c r="G1167" t="s">
        <v>2208</v>
      </c>
      <c r="H1167" t="s">
        <v>2916</v>
      </c>
      <c r="I1167" t="s">
        <v>19264</v>
      </c>
      <c r="J1167">
        <v>0</v>
      </c>
      <c r="K1167">
        <v>0.63</v>
      </c>
      <c r="L1167" t="s">
        <v>2917</v>
      </c>
      <c r="M1167">
        <v>0</v>
      </c>
      <c r="N1167" t="s">
        <v>2918</v>
      </c>
      <c r="O1167" t="s">
        <v>2919</v>
      </c>
      <c r="P1167" t="s">
        <v>2208</v>
      </c>
      <c r="Q1167" t="s">
        <v>2916</v>
      </c>
      <c r="R1167" t="s">
        <v>3220</v>
      </c>
      <c r="S1167" t="s">
        <v>2208</v>
      </c>
      <c r="T1167" t="s">
        <v>2208</v>
      </c>
    </row>
    <row r="1168" spans="1:20">
      <c r="A1168" t="s">
        <v>2348</v>
      </c>
      <c r="B1168" t="s">
        <v>11331</v>
      </c>
      <c r="C1168">
        <v>45551</v>
      </c>
      <c r="D1168" t="s">
        <v>7263</v>
      </c>
      <c r="E1168" t="s">
        <v>11332</v>
      </c>
      <c r="F1168">
        <v>45761</v>
      </c>
      <c r="G1168" t="s">
        <v>12351</v>
      </c>
      <c r="H1168" t="s">
        <v>2916</v>
      </c>
      <c r="I1168" t="s">
        <v>12352</v>
      </c>
      <c r="J1168">
        <v>9559</v>
      </c>
      <c r="K1168">
        <v>1659.92</v>
      </c>
      <c r="L1168" t="s">
        <v>2917</v>
      </c>
      <c r="M1168">
        <v>9559</v>
      </c>
      <c r="N1168" t="s">
        <v>2918</v>
      </c>
      <c r="O1168" t="s">
        <v>2941</v>
      </c>
      <c r="P1168" t="s">
        <v>2941</v>
      </c>
      <c r="Q1168" t="s">
        <v>2924</v>
      </c>
      <c r="R1168" t="s">
        <v>3219</v>
      </c>
      <c r="S1168" t="s">
        <v>2208</v>
      </c>
      <c r="T1168" t="s">
        <v>2208</v>
      </c>
    </row>
    <row r="1169" spans="1:20">
      <c r="A1169" t="s">
        <v>2348</v>
      </c>
      <c r="B1169" t="s">
        <v>11331</v>
      </c>
      <c r="C1169">
        <v>45551</v>
      </c>
      <c r="D1169" t="s">
        <v>7263</v>
      </c>
      <c r="E1169" t="s">
        <v>11332</v>
      </c>
      <c r="F1169">
        <v>45761</v>
      </c>
      <c r="G1169" t="s">
        <v>12351</v>
      </c>
      <c r="H1169" t="s">
        <v>2916</v>
      </c>
      <c r="I1169" t="s">
        <v>12353</v>
      </c>
      <c r="J1169">
        <v>9559</v>
      </c>
      <c r="K1169">
        <v>1659.92</v>
      </c>
      <c r="L1169" t="s">
        <v>2917</v>
      </c>
      <c r="M1169">
        <v>9559</v>
      </c>
      <c r="N1169" t="s">
        <v>2918</v>
      </c>
      <c r="O1169" t="s">
        <v>2941</v>
      </c>
      <c r="P1169" t="s">
        <v>2941</v>
      </c>
      <c r="Q1169" t="s">
        <v>2924</v>
      </c>
      <c r="R1169" t="s">
        <v>3219</v>
      </c>
      <c r="S1169" t="s">
        <v>2208</v>
      </c>
      <c r="T1169" t="s">
        <v>2208</v>
      </c>
    </row>
    <row r="1170" spans="1:20">
      <c r="A1170" t="s">
        <v>2348</v>
      </c>
      <c r="B1170" t="s">
        <v>9126</v>
      </c>
      <c r="C1170">
        <v>45712</v>
      </c>
      <c r="D1170" t="s">
        <v>7263</v>
      </c>
      <c r="E1170" t="s">
        <v>9127</v>
      </c>
      <c r="F1170">
        <v>45720</v>
      </c>
      <c r="G1170" t="s">
        <v>2208</v>
      </c>
      <c r="H1170" t="s">
        <v>2916</v>
      </c>
      <c r="I1170" t="s">
        <v>9153</v>
      </c>
      <c r="J1170">
        <v>0</v>
      </c>
      <c r="K1170">
        <v>2326.34</v>
      </c>
      <c r="L1170" t="s">
        <v>2917</v>
      </c>
      <c r="M1170">
        <v>13573.38</v>
      </c>
      <c r="N1170" t="s">
        <v>2918</v>
      </c>
      <c r="O1170" t="s">
        <v>9154</v>
      </c>
      <c r="P1170" t="s">
        <v>2208</v>
      </c>
      <c r="Q1170" t="s">
        <v>9155</v>
      </c>
      <c r="R1170" t="s">
        <v>9156</v>
      </c>
      <c r="S1170" t="s">
        <v>2208</v>
      </c>
      <c r="T1170" t="s">
        <v>2208</v>
      </c>
    </row>
    <row r="1171" spans="1:20">
      <c r="A1171" t="s">
        <v>2348</v>
      </c>
      <c r="B1171" t="s">
        <v>9126</v>
      </c>
      <c r="C1171">
        <v>45747</v>
      </c>
      <c r="D1171" t="s">
        <v>7263</v>
      </c>
      <c r="E1171" t="s">
        <v>9127</v>
      </c>
      <c r="F1171">
        <v>45747</v>
      </c>
      <c r="G1171" t="s">
        <v>2208</v>
      </c>
      <c r="H1171" t="s">
        <v>2916</v>
      </c>
      <c r="I1171" t="s">
        <v>11372</v>
      </c>
      <c r="J1171">
        <v>0</v>
      </c>
      <c r="K1171">
        <v>-0.06</v>
      </c>
      <c r="L1171" t="s">
        <v>2917</v>
      </c>
      <c r="M1171">
        <v>0</v>
      </c>
      <c r="N1171" t="s">
        <v>2918</v>
      </c>
      <c r="O1171" t="s">
        <v>2919</v>
      </c>
      <c r="P1171" t="s">
        <v>2208</v>
      </c>
      <c r="Q1171" t="s">
        <v>2916</v>
      </c>
      <c r="R1171" t="s">
        <v>3220</v>
      </c>
      <c r="S1171" t="s">
        <v>2208</v>
      </c>
      <c r="T1171" t="s">
        <v>2208</v>
      </c>
    </row>
    <row r="1172" spans="1:20">
      <c r="A1172" t="s">
        <v>2348</v>
      </c>
      <c r="B1172" t="s">
        <v>2920</v>
      </c>
      <c r="C1172">
        <v>45503</v>
      </c>
      <c r="D1172" t="s">
        <v>7263</v>
      </c>
      <c r="E1172" t="s">
        <v>2921</v>
      </c>
      <c r="F1172">
        <v>45680</v>
      </c>
      <c r="G1172" t="s">
        <v>7145</v>
      </c>
      <c r="H1172" t="s">
        <v>2916</v>
      </c>
      <c r="I1172" t="s">
        <v>7697</v>
      </c>
      <c r="J1172">
        <v>154036.45000000001</v>
      </c>
      <c r="K1172">
        <v>24943.119999999999</v>
      </c>
      <c r="L1172" t="s">
        <v>2917</v>
      </c>
      <c r="M1172">
        <v>154036.45000000001</v>
      </c>
      <c r="N1172" t="s">
        <v>2918</v>
      </c>
      <c r="O1172" t="s">
        <v>2940</v>
      </c>
      <c r="P1172" t="s">
        <v>2940</v>
      </c>
      <c r="Q1172" t="s">
        <v>2924</v>
      </c>
      <c r="R1172" t="s">
        <v>3219</v>
      </c>
      <c r="S1172" t="s">
        <v>2208</v>
      </c>
      <c r="T1172" t="s">
        <v>2208</v>
      </c>
    </row>
    <row r="1173" spans="1:20">
      <c r="A1173" t="s">
        <v>2348</v>
      </c>
      <c r="B1173" t="s">
        <v>2920</v>
      </c>
      <c r="C1173">
        <v>45503</v>
      </c>
      <c r="D1173" t="s">
        <v>7263</v>
      </c>
      <c r="E1173" t="s">
        <v>2921</v>
      </c>
      <c r="F1173">
        <v>45680</v>
      </c>
      <c r="G1173" t="s">
        <v>7145</v>
      </c>
      <c r="H1173" t="s">
        <v>2916</v>
      </c>
      <c r="I1173" t="s">
        <v>7698</v>
      </c>
      <c r="J1173">
        <v>407299.3</v>
      </c>
      <c r="K1173">
        <v>65953.98</v>
      </c>
      <c r="L1173" t="s">
        <v>2917</v>
      </c>
      <c r="M1173">
        <v>407299.3</v>
      </c>
      <c r="N1173" t="s">
        <v>2918</v>
      </c>
      <c r="O1173" t="s">
        <v>2940</v>
      </c>
      <c r="P1173" t="s">
        <v>2940</v>
      </c>
      <c r="Q1173" t="s">
        <v>2924</v>
      </c>
      <c r="R1173" t="s">
        <v>3219</v>
      </c>
      <c r="S1173" t="s">
        <v>2208</v>
      </c>
      <c r="T1173" t="s">
        <v>2208</v>
      </c>
    </row>
    <row r="1174" spans="1:20">
      <c r="A1174" t="s">
        <v>2348</v>
      </c>
      <c r="B1174" t="s">
        <v>2920</v>
      </c>
      <c r="C1174">
        <v>45503</v>
      </c>
      <c r="D1174" t="s">
        <v>7263</v>
      </c>
      <c r="E1174" t="s">
        <v>2921</v>
      </c>
      <c r="F1174">
        <v>45680</v>
      </c>
      <c r="G1174" t="s">
        <v>7145</v>
      </c>
      <c r="H1174" t="s">
        <v>2916</v>
      </c>
      <c r="I1174" t="s">
        <v>7699</v>
      </c>
      <c r="J1174">
        <v>92510.84</v>
      </c>
      <c r="K1174">
        <v>14980.28</v>
      </c>
      <c r="L1174" t="s">
        <v>2917</v>
      </c>
      <c r="M1174">
        <v>92510.84</v>
      </c>
      <c r="N1174" t="s">
        <v>2918</v>
      </c>
      <c r="O1174" t="s">
        <v>2940</v>
      </c>
      <c r="P1174" t="s">
        <v>2940</v>
      </c>
      <c r="Q1174" t="s">
        <v>2924</v>
      </c>
      <c r="R1174" t="s">
        <v>3219</v>
      </c>
      <c r="S1174" t="s">
        <v>2208</v>
      </c>
      <c r="T1174" t="s">
        <v>2208</v>
      </c>
    </row>
    <row r="1175" spans="1:20">
      <c r="A1175" t="s">
        <v>2348</v>
      </c>
      <c r="B1175" t="s">
        <v>2920</v>
      </c>
      <c r="C1175">
        <v>45503</v>
      </c>
      <c r="D1175" t="s">
        <v>7263</v>
      </c>
      <c r="E1175" t="s">
        <v>2921</v>
      </c>
      <c r="F1175">
        <v>45681</v>
      </c>
      <c r="G1175" t="s">
        <v>7145</v>
      </c>
      <c r="H1175" t="s">
        <v>2916</v>
      </c>
      <c r="I1175" t="s">
        <v>7700</v>
      </c>
      <c r="J1175">
        <v>445563.72</v>
      </c>
      <c r="K1175">
        <v>72150.13</v>
      </c>
      <c r="L1175" t="s">
        <v>2917</v>
      </c>
      <c r="M1175">
        <v>445563.72</v>
      </c>
      <c r="N1175" t="s">
        <v>2918</v>
      </c>
      <c r="O1175" t="s">
        <v>2940</v>
      </c>
      <c r="P1175" t="s">
        <v>2940</v>
      </c>
      <c r="Q1175" t="s">
        <v>2924</v>
      </c>
      <c r="R1175" t="s">
        <v>3219</v>
      </c>
      <c r="S1175" t="s">
        <v>2208</v>
      </c>
      <c r="T1175" t="s">
        <v>2208</v>
      </c>
    </row>
    <row r="1176" spans="1:20">
      <c r="A1176" t="s">
        <v>2348</v>
      </c>
      <c r="B1176" t="s">
        <v>2920</v>
      </c>
      <c r="C1176">
        <v>45680</v>
      </c>
      <c r="D1176" t="s">
        <v>7263</v>
      </c>
      <c r="E1176" t="s">
        <v>2921</v>
      </c>
      <c r="F1176">
        <v>45685</v>
      </c>
      <c r="G1176" t="s">
        <v>7145</v>
      </c>
      <c r="H1176" t="s">
        <v>2916</v>
      </c>
      <c r="I1176" t="s">
        <v>7701</v>
      </c>
      <c r="J1176">
        <v>0</v>
      </c>
      <c r="K1176">
        <v>-1385.68</v>
      </c>
      <c r="L1176" t="s">
        <v>2917</v>
      </c>
      <c r="M1176">
        <v>-8557.25</v>
      </c>
      <c r="N1176" t="s">
        <v>2918</v>
      </c>
      <c r="O1176" t="s">
        <v>7702</v>
      </c>
      <c r="P1176" t="s">
        <v>2940</v>
      </c>
      <c r="Q1176" t="s">
        <v>2924</v>
      </c>
      <c r="R1176" t="s">
        <v>3219</v>
      </c>
      <c r="S1176" t="s">
        <v>2208</v>
      </c>
      <c r="T1176" t="s">
        <v>2208</v>
      </c>
    </row>
    <row r="1177" spans="1:20">
      <c r="A1177" t="s">
        <v>2348</v>
      </c>
      <c r="B1177" t="s">
        <v>2920</v>
      </c>
      <c r="C1177">
        <v>45680</v>
      </c>
      <c r="D1177" t="s">
        <v>7263</v>
      </c>
      <c r="E1177" t="s">
        <v>2921</v>
      </c>
      <c r="F1177">
        <v>45685</v>
      </c>
      <c r="G1177" t="s">
        <v>7145</v>
      </c>
      <c r="H1177" t="s">
        <v>2916</v>
      </c>
      <c r="I1177" t="s">
        <v>7703</v>
      </c>
      <c r="J1177">
        <v>0</v>
      </c>
      <c r="K1177">
        <v>-6100.75</v>
      </c>
      <c r="L1177" t="s">
        <v>2917</v>
      </c>
      <c r="M1177">
        <v>-37675.19</v>
      </c>
      <c r="N1177" t="s">
        <v>2918</v>
      </c>
      <c r="O1177" t="s">
        <v>7704</v>
      </c>
      <c r="P1177" t="s">
        <v>2940</v>
      </c>
      <c r="Q1177" t="s">
        <v>2924</v>
      </c>
      <c r="R1177" t="s">
        <v>3219</v>
      </c>
      <c r="S1177" t="s">
        <v>2208</v>
      </c>
      <c r="T1177" t="s">
        <v>2208</v>
      </c>
    </row>
    <row r="1178" spans="1:20">
      <c r="A1178" t="s">
        <v>2348</v>
      </c>
      <c r="B1178" t="s">
        <v>2920</v>
      </c>
      <c r="C1178">
        <v>45680</v>
      </c>
      <c r="D1178" t="s">
        <v>7263</v>
      </c>
      <c r="E1178" t="s">
        <v>2921</v>
      </c>
      <c r="F1178">
        <v>45685</v>
      </c>
      <c r="G1178" t="s">
        <v>7145</v>
      </c>
      <c r="H1178" t="s">
        <v>2916</v>
      </c>
      <c r="I1178" t="s">
        <v>7705</v>
      </c>
      <c r="J1178">
        <v>0</v>
      </c>
      <c r="K1178">
        <v>-2307.2399999999998</v>
      </c>
      <c r="L1178" t="s">
        <v>2917</v>
      </c>
      <c r="M1178">
        <v>-14248.37</v>
      </c>
      <c r="N1178" t="s">
        <v>2918</v>
      </c>
      <c r="O1178" t="s">
        <v>7706</v>
      </c>
      <c r="P1178" t="s">
        <v>2940</v>
      </c>
      <c r="Q1178" t="s">
        <v>2924</v>
      </c>
      <c r="R1178" t="s">
        <v>3219</v>
      </c>
      <c r="S1178" t="s">
        <v>2208</v>
      </c>
      <c r="T1178" t="s">
        <v>2208</v>
      </c>
    </row>
    <row r="1179" spans="1:20">
      <c r="A1179" t="s">
        <v>2348</v>
      </c>
      <c r="B1179" t="s">
        <v>2920</v>
      </c>
      <c r="C1179">
        <v>45680</v>
      </c>
      <c r="D1179" t="s">
        <v>7263</v>
      </c>
      <c r="E1179" t="s">
        <v>2921</v>
      </c>
      <c r="F1179">
        <v>45685</v>
      </c>
      <c r="G1179" t="s">
        <v>7145</v>
      </c>
      <c r="H1179" t="s">
        <v>2916</v>
      </c>
      <c r="I1179" t="s">
        <v>7707</v>
      </c>
      <c r="J1179">
        <v>0</v>
      </c>
      <c r="K1179">
        <v>-6673.88</v>
      </c>
      <c r="L1179" t="s">
        <v>2917</v>
      </c>
      <c r="M1179">
        <v>-41214.639999999999</v>
      </c>
      <c r="N1179" t="s">
        <v>2918</v>
      </c>
      <c r="O1179" t="s">
        <v>7708</v>
      </c>
      <c r="P1179" t="s">
        <v>2940</v>
      </c>
      <c r="Q1179" t="s">
        <v>2924</v>
      </c>
      <c r="R1179" t="s">
        <v>3219</v>
      </c>
      <c r="S1179" t="s">
        <v>2208</v>
      </c>
      <c r="T1179" t="s">
        <v>2208</v>
      </c>
    </row>
    <row r="1180" spans="1:20">
      <c r="A1180" t="s">
        <v>2348</v>
      </c>
      <c r="B1180" t="s">
        <v>2920</v>
      </c>
      <c r="C1180">
        <v>45688</v>
      </c>
      <c r="D1180" t="s">
        <v>7263</v>
      </c>
      <c r="E1180" t="s">
        <v>2921</v>
      </c>
      <c r="F1180">
        <v>45688</v>
      </c>
      <c r="G1180" t="s">
        <v>2208</v>
      </c>
      <c r="H1180" t="s">
        <v>2916</v>
      </c>
      <c r="I1180" t="s">
        <v>7709</v>
      </c>
      <c r="J1180">
        <v>0</v>
      </c>
      <c r="K1180">
        <v>0.03</v>
      </c>
      <c r="L1180" t="s">
        <v>2917</v>
      </c>
      <c r="M1180">
        <v>0</v>
      </c>
      <c r="N1180" t="s">
        <v>2918</v>
      </c>
      <c r="O1180" t="s">
        <v>2919</v>
      </c>
      <c r="P1180" t="s">
        <v>2208</v>
      </c>
      <c r="Q1180" t="s">
        <v>2916</v>
      </c>
      <c r="R1180" t="s">
        <v>3220</v>
      </c>
      <c r="S1180" t="s">
        <v>2208</v>
      </c>
      <c r="T1180" t="s">
        <v>2208</v>
      </c>
    </row>
    <row r="1181" spans="1:20">
      <c r="A1181" t="s">
        <v>2348</v>
      </c>
      <c r="B1181" t="s">
        <v>7740</v>
      </c>
      <c r="C1181">
        <v>45702</v>
      </c>
      <c r="D1181" t="s">
        <v>7263</v>
      </c>
      <c r="E1181" t="s">
        <v>2925</v>
      </c>
      <c r="F1181">
        <v>45705</v>
      </c>
      <c r="G1181" t="s">
        <v>8656</v>
      </c>
      <c r="H1181" t="s">
        <v>2916</v>
      </c>
      <c r="I1181" t="s">
        <v>8657</v>
      </c>
      <c r="J1181">
        <v>1</v>
      </c>
      <c r="K1181">
        <v>78689.59</v>
      </c>
      <c r="L1181" t="s">
        <v>2917</v>
      </c>
      <c r="M1181">
        <v>457630.66</v>
      </c>
      <c r="N1181" t="s">
        <v>2918</v>
      </c>
      <c r="O1181" t="s">
        <v>8658</v>
      </c>
      <c r="P1181" t="s">
        <v>8659</v>
      </c>
      <c r="Q1181" t="s">
        <v>2924</v>
      </c>
      <c r="R1181" t="s">
        <v>3219</v>
      </c>
      <c r="S1181" t="s">
        <v>8660</v>
      </c>
      <c r="T1181" t="s">
        <v>8661</v>
      </c>
    </row>
    <row r="1182" spans="1:20">
      <c r="A1182" t="s">
        <v>2348</v>
      </c>
      <c r="B1182" t="s">
        <v>7740</v>
      </c>
      <c r="C1182">
        <v>45702</v>
      </c>
      <c r="D1182" t="s">
        <v>7263</v>
      </c>
      <c r="E1182" t="s">
        <v>2925</v>
      </c>
      <c r="F1182">
        <v>45705</v>
      </c>
      <c r="G1182" t="s">
        <v>8656</v>
      </c>
      <c r="H1182" t="s">
        <v>2916</v>
      </c>
      <c r="I1182" t="s">
        <v>8662</v>
      </c>
      <c r="J1182">
        <v>0</v>
      </c>
      <c r="K1182">
        <v>-7278.79</v>
      </c>
      <c r="L1182" t="s">
        <v>2917</v>
      </c>
      <c r="M1182">
        <v>-42330.84</v>
      </c>
      <c r="N1182" t="s">
        <v>2918</v>
      </c>
      <c r="O1182" t="s">
        <v>8663</v>
      </c>
      <c r="P1182" t="s">
        <v>8659</v>
      </c>
      <c r="Q1182" t="s">
        <v>2924</v>
      </c>
      <c r="R1182" t="s">
        <v>3219</v>
      </c>
      <c r="S1182" t="s">
        <v>8660</v>
      </c>
      <c r="T1182" t="s">
        <v>8661</v>
      </c>
    </row>
    <row r="1183" spans="1:20">
      <c r="A1183" t="s">
        <v>2348</v>
      </c>
      <c r="B1183" t="s">
        <v>7740</v>
      </c>
      <c r="C1183">
        <v>45503</v>
      </c>
      <c r="D1183" t="s">
        <v>7263</v>
      </c>
      <c r="E1183" t="s">
        <v>2925</v>
      </c>
      <c r="F1183">
        <v>45709</v>
      </c>
      <c r="G1183" t="s">
        <v>7145</v>
      </c>
      <c r="H1183" t="s">
        <v>2916</v>
      </c>
      <c r="I1183" t="s">
        <v>8664</v>
      </c>
      <c r="J1183">
        <v>135588.98000000001</v>
      </c>
      <c r="K1183">
        <v>23314.53</v>
      </c>
      <c r="L1183" t="s">
        <v>2917</v>
      </c>
      <c r="M1183">
        <v>135588.98000000001</v>
      </c>
      <c r="N1183" t="s">
        <v>2918</v>
      </c>
      <c r="O1183" t="s">
        <v>2940</v>
      </c>
      <c r="P1183" t="s">
        <v>2940</v>
      </c>
      <c r="Q1183" t="s">
        <v>2924</v>
      </c>
      <c r="R1183" t="s">
        <v>3219</v>
      </c>
      <c r="S1183" t="s">
        <v>2208</v>
      </c>
      <c r="T1183" t="s">
        <v>2208</v>
      </c>
    </row>
    <row r="1184" spans="1:20">
      <c r="A1184" t="s">
        <v>2348</v>
      </c>
      <c r="B1184" t="s">
        <v>7740</v>
      </c>
      <c r="C1184">
        <v>45503</v>
      </c>
      <c r="D1184" t="s">
        <v>7263</v>
      </c>
      <c r="E1184" t="s">
        <v>2925</v>
      </c>
      <c r="F1184">
        <v>45709</v>
      </c>
      <c r="G1184" t="s">
        <v>7145</v>
      </c>
      <c r="H1184" t="s">
        <v>2916</v>
      </c>
      <c r="I1184" t="s">
        <v>8665</v>
      </c>
      <c r="J1184">
        <v>224773.52</v>
      </c>
      <c r="K1184">
        <v>38649.81</v>
      </c>
      <c r="L1184" t="s">
        <v>2917</v>
      </c>
      <c r="M1184">
        <v>224773.52</v>
      </c>
      <c r="N1184" t="s">
        <v>2918</v>
      </c>
      <c r="O1184" t="s">
        <v>2940</v>
      </c>
      <c r="P1184" t="s">
        <v>2940</v>
      </c>
      <c r="Q1184" t="s">
        <v>2924</v>
      </c>
      <c r="R1184" t="s">
        <v>3219</v>
      </c>
      <c r="S1184" t="s">
        <v>2208</v>
      </c>
      <c r="T1184" t="s">
        <v>2208</v>
      </c>
    </row>
    <row r="1185" spans="1:20">
      <c r="A1185" t="s">
        <v>2348</v>
      </c>
      <c r="B1185" t="s">
        <v>7740</v>
      </c>
      <c r="C1185">
        <v>45503</v>
      </c>
      <c r="D1185" t="s">
        <v>7263</v>
      </c>
      <c r="E1185" t="s">
        <v>2925</v>
      </c>
      <c r="F1185">
        <v>45709</v>
      </c>
      <c r="G1185" t="s">
        <v>7145</v>
      </c>
      <c r="H1185" t="s">
        <v>2916</v>
      </c>
      <c r="I1185" t="s">
        <v>8666</v>
      </c>
      <c r="J1185">
        <v>412865.22</v>
      </c>
      <c r="K1185">
        <v>70992.17</v>
      </c>
      <c r="L1185" t="s">
        <v>2917</v>
      </c>
      <c r="M1185">
        <v>412865.22</v>
      </c>
      <c r="N1185" t="s">
        <v>2918</v>
      </c>
      <c r="O1185" t="s">
        <v>2940</v>
      </c>
      <c r="P1185" t="s">
        <v>2940</v>
      </c>
      <c r="Q1185" t="s">
        <v>2924</v>
      </c>
      <c r="R1185" t="s">
        <v>3219</v>
      </c>
      <c r="S1185" t="s">
        <v>2208</v>
      </c>
      <c r="T1185" t="s">
        <v>2208</v>
      </c>
    </row>
    <row r="1186" spans="1:20">
      <c r="A1186" t="s">
        <v>2348</v>
      </c>
      <c r="B1186" t="s">
        <v>7740</v>
      </c>
      <c r="C1186">
        <v>45709</v>
      </c>
      <c r="D1186" t="s">
        <v>7263</v>
      </c>
      <c r="E1186" t="s">
        <v>2925</v>
      </c>
      <c r="F1186">
        <v>45713</v>
      </c>
      <c r="G1186" t="s">
        <v>7145</v>
      </c>
      <c r="H1186" t="s">
        <v>2916</v>
      </c>
      <c r="I1186" t="s">
        <v>9021</v>
      </c>
      <c r="J1186">
        <v>0</v>
      </c>
      <c r="K1186">
        <v>-6566.77</v>
      </c>
      <c r="L1186" t="s">
        <v>2917</v>
      </c>
      <c r="M1186">
        <v>-38190.03</v>
      </c>
      <c r="N1186" t="s">
        <v>2918</v>
      </c>
      <c r="O1186" t="s">
        <v>9022</v>
      </c>
      <c r="P1186" t="s">
        <v>2940</v>
      </c>
      <c r="Q1186" t="s">
        <v>2924</v>
      </c>
      <c r="R1186" t="s">
        <v>3219</v>
      </c>
      <c r="S1186" t="s">
        <v>2208</v>
      </c>
      <c r="T1186" t="s">
        <v>2208</v>
      </c>
    </row>
    <row r="1187" spans="1:20">
      <c r="A1187" t="s">
        <v>2348</v>
      </c>
      <c r="B1187" t="s">
        <v>7740</v>
      </c>
      <c r="C1187">
        <v>45709</v>
      </c>
      <c r="D1187" t="s">
        <v>7263</v>
      </c>
      <c r="E1187" t="s">
        <v>2925</v>
      </c>
      <c r="F1187">
        <v>45713</v>
      </c>
      <c r="G1187" t="s">
        <v>7145</v>
      </c>
      <c r="H1187" t="s">
        <v>2916</v>
      </c>
      <c r="I1187" t="s">
        <v>9023</v>
      </c>
      <c r="J1187">
        <v>0</v>
      </c>
      <c r="K1187">
        <v>-3575.11</v>
      </c>
      <c r="L1187" t="s">
        <v>2917</v>
      </c>
      <c r="M1187">
        <v>-20791.55</v>
      </c>
      <c r="N1187" t="s">
        <v>2918</v>
      </c>
      <c r="O1187" t="s">
        <v>9024</v>
      </c>
      <c r="P1187" t="s">
        <v>2940</v>
      </c>
      <c r="Q1187" t="s">
        <v>2924</v>
      </c>
      <c r="R1187" t="s">
        <v>3219</v>
      </c>
      <c r="S1187" t="s">
        <v>2208</v>
      </c>
      <c r="T1187" t="s">
        <v>2208</v>
      </c>
    </row>
    <row r="1188" spans="1:20">
      <c r="A1188" t="s">
        <v>2348</v>
      </c>
      <c r="B1188" t="s">
        <v>7740</v>
      </c>
      <c r="C1188">
        <v>45709</v>
      </c>
      <c r="D1188" t="s">
        <v>7263</v>
      </c>
      <c r="E1188" t="s">
        <v>2925</v>
      </c>
      <c r="F1188">
        <v>45713</v>
      </c>
      <c r="G1188" t="s">
        <v>7145</v>
      </c>
      <c r="H1188" t="s">
        <v>2916</v>
      </c>
      <c r="I1188" t="s">
        <v>9025</v>
      </c>
      <c r="J1188">
        <v>0</v>
      </c>
      <c r="K1188">
        <v>-2156.6</v>
      </c>
      <c r="L1188" t="s">
        <v>2917</v>
      </c>
      <c r="M1188">
        <v>-12541.98</v>
      </c>
      <c r="N1188" t="s">
        <v>2918</v>
      </c>
      <c r="O1188" t="s">
        <v>9026</v>
      </c>
      <c r="P1188" t="s">
        <v>2940</v>
      </c>
      <c r="Q1188" t="s">
        <v>2924</v>
      </c>
      <c r="R1188" t="s">
        <v>3219</v>
      </c>
      <c r="S1188" t="s">
        <v>2208</v>
      </c>
      <c r="T1188" t="s">
        <v>2208</v>
      </c>
    </row>
    <row r="1189" spans="1:20">
      <c r="A1189" t="s">
        <v>2348</v>
      </c>
      <c r="B1189" t="s">
        <v>7740</v>
      </c>
      <c r="C1189">
        <v>45716</v>
      </c>
      <c r="D1189" t="s">
        <v>7263</v>
      </c>
      <c r="E1189" t="s">
        <v>2925</v>
      </c>
      <c r="F1189">
        <v>45716</v>
      </c>
      <c r="G1189" t="s">
        <v>2208</v>
      </c>
      <c r="H1189" t="s">
        <v>2916</v>
      </c>
      <c r="I1189" t="s">
        <v>9157</v>
      </c>
      <c r="J1189">
        <v>0</v>
      </c>
      <c r="K1189">
        <v>-0.03</v>
      </c>
      <c r="L1189" t="s">
        <v>2917</v>
      </c>
      <c r="M1189">
        <v>0</v>
      </c>
      <c r="N1189" t="s">
        <v>2918</v>
      </c>
      <c r="O1189" t="s">
        <v>2919</v>
      </c>
      <c r="P1189" t="s">
        <v>2208</v>
      </c>
      <c r="Q1189" t="s">
        <v>2916</v>
      </c>
      <c r="R1189" t="s">
        <v>3220</v>
      </c>
      <c r="S1189" t="s">
        <v>2208</v>
      </c>
      <c r="T1189" t="s">
        <v>2208</v>
      </c>
    </row>
    <row r="1190" spans="1:20">
      <c r="A1190" t="s">
        <v>2348</v>
      </c>
      <c r="B1190" t="s">
        <v>7740</v>
      </c>
      <c r="C1190">
        <v>45716</v>
      </c>
      <c r="D1190" t="s">
        <v>7263</v>
      </c>
      <c r="E1190" t="s">
        <v>2925</v>
      </c>
      <c r="F1190">
        <v>45716</v>
      </c>
      <c r="G1190" t="s">
        <v>2208</v>
      </c>
      <c r="H1190" t="s">
        <v>2916</v>
      </c>
      <c r="I1190" t="s">
        <v>9158</v>
      </c>
      <c r="J1190">
        <v>0</v>
      </c>
      <c r="K1190">
        <v>0.04</v>
      </c>
      <c r="L1190" t="s">
        <v>2917</v>
      </c>
      <c r="M1190">
        <v>0</v>
      </c>
      <c r="N1190" t="s">
        <v>2918</v>
      </c>
      <c r="O1190" t="s">
        <v>2919</v>
      </c>
      <c r="P1190" t="s">
        <v>2208</v>
      </c>
      <c r="Q1190" t="s">
        <v>2916</v>
      </c>
      <c r="R1190" t="s">
        <v>3220</v>
      </c>
      <c r="S1190" t="s">
        <v>2208</v>
      </c>
      <c r="T1190" t="s">
        <v>2208</v>
      </c>
    </row>
    <row r="1191" spans="1:20">
      <c r="A1191" t="s">
        <v>2348</v>
      </c>
      <c r="B1191" t="s">
        <v>9126</v>
      </c>
      <c r="C1191">
        <v>45721</v>
      </c>
      <c r="D1191" t="s">
        <v>7263</v>
      </c>
      <c r="E1191" t="s">
        <v>9127</v>
      </c>
      <c r="F1191">
        <v>45721</v>
      </c>
      <c r="G1191" t="s">
        <v>9619</v>
      </c>
      <c r="H1191" t="s">
        <v>2916</v>
      </c>
      <c r="I1191" t="s">
        <v>9620</v>
      </c>
      <c r="J1191">
        <v>2</v>
      </c>
      <c r="K1191">
        <v>11716.84</v>
      </c>
      <c r="L1191" t="s">
        <v>2917</v>
      </c>
      <c r="M1191">
        <v>68363.600000000006</v>
      </c>
      <c r="N1191" t="s">
        <v>2918</v>
      </c>
      <c r="O1191" t="s">
        <v>9621</v>
      </c>
      <c r="P1191" t="s">
        <v>9622</v>
      </c>
      <c r="Q1191" t="s">
        <v>2924</v>
      </c>
      <c r="R1191" t="s">
        <v>3219</v>
      </c>
      <c r="S1191" t="s">
        <v>9623</v>
      </c>
      <c r="T1191" t="s">
        <v>9624</v>
      </c>
    </row>
    <row r="1192" spans="1:20">
      <c r="A1192" t="s">
        <v>2348</v>
      </c>
      <c r="B1192" t="s">
        <v>9126</v>
      </c>
      <c r="C1192">
        <v>45721</v>
      </c>
      <c r="D1192" t="s">
        <v>7263</v>
      </c>
      <c r="E1192" t="s">
        <v>9127</v>
      </c>
      <c r="F1192">
        <v>45721</v>
      </c>
      <c r="G1192" t="s">
        <v>9619</v>
      </c>
      <c r="H1192" t="s">
        <v>2916</v>
      </c>
      <c r="I1192" t="s">
        <v>9620</v>
      </c>
      <c r="J1192">
        <v>2</v>
      </c>
      <c r="K1192">
        <v>12096.73</v>
      </c>
      <c r="L1192" t="s">
        <v>2917</v>
      </c>
      <c r="M1192">
        <v>70580.12</v>
      </c>
      <c r="N1192" t="s">
        <v>2918</v>
      </c>
      <c r="O1192" t="s">
        <v>9621</v>
      </c>
      <c r="P1192" t="s">
        <v>9625</v>
      </c>
      <c r="Q1192" t="s">
        <v>2924</v>
      </c>
      <c r="R1192" t="s">
        <v>3219</v>
      </c>
      <c r="S1192" t="s">
        <v>9626</v>
      </c>
      <c r="T1192" t="s">
        <v>9627</v>
      </c>
    </row>
    <row r="1193" spans="1:20">
      <c r="A1193" t="s">
        <v>2348</v>
      </c>
      <c r="B1193" t="s">
        <v>9126</v>
      </c>
      <c r="C1193">
        <v>45721</v>
      </c>
      <c r="D1193" t="s">
        <v>7263</v>
      </c>
      <c r="E1193" t="s">
        <v>9127</v>
      </c>
      <c r="F1193">
        <v>45721</v>
      </c>
      <c r="G1193" t="s">
        <v>9619</v>
      </c>
      <c r="H1193" t="s">
        <v>2916</v>
      </c>
      <c r="I1193" t="s">
        <v>9620</v>
      </c>
      <c r="J1193">
        <v>4</v>
      </c>
      <c r="K1193">
        <v>24424.53</v>
      </c>
      <c r="L1193" t="s">
        <v>2917</v>
      </c>
      <c r="M1193">
        <v>142508.48000000001</v>
      </c>
      <c r="N1193" t="s">
        <v>2918</v>
      </c>
      <c r="O1193" t="s">
        <v>9621</v>
      </c>
      <c r="P1193" t="s">
        <v>9628</v>
      </c>
      <c r="Q1193" t="s">
        <v>2924</v>
      </c>
      <c r="R1193" t="s">
        <v>3219</v>
      </c>
      <c r="S1193" t="s">
        <v>9629</v>
      </c>
      <c r="T1193" t="s">
        <v>9630</v>
      </c>
    </row>
    <row r="1194" spans="1:20">
      <c r="A1194" t="s">
        <v>2348</v>
      </c>
      <c r="B1194" t="s">
        <v>9126</v>
      </c>
      <c r="C1194">
        <v>45721</v>
      </c>
      <c r="D1194" t="s">
        <v>7263</v>
      </c>
      <c r="E1194" t="s">
        <v>9127</v>
      </c>
      <c r="F1194">
        <v>45721</v>
      </c>
      <c r="G1194" t="s">
        <v>9619</v>
      </c>
      <c r="H1194" t="s">
        <v>2916</v>
      </c>
      <c r="I1194" t="s">
        <v>9620</v>
      </c>
      <c r="J1194">
        <v>2</v>
      </c>
      <c r="K1194">
        <v>12212.26</v>
      </c>
      <c r="L1194" t="s">
        <v>2917</v>
      </c>
      <c r="M1194">
        <v>71254.240000000005</v>
      </c>
      <c r="N1194" t="s">
        <v>2918</v>
      </c>
      <c r="O1194" t="s">
        <v>9621</v>
      </c>
      <c r="P1194" t="s">
        <v>9631</v>
      </c>
      <c r="Q1194" t="s">
        <v>2924</v>
      </c>
      <c r="R1194" t="s">
        <v>3219</v>
      </c>
      <c r="S1194" t="s">
        <v>9632</v>
      </c>
      <c r="T1194" t="s">
        <v>9633</v>
      </c>
    </row>
    <row r="1195" spans="1:20">
      <c r="A1195" t="s">
        <v>2348</v>
      </c>
      <c r="B1195" t="s">
        <v>9126</v>
      </c>
      <c r="C1195">
        <v>45721</v>
      </c>
      <c r="D1195" t="s">
        <v>7263</v>
      </c>
      <c r="E1195" t="s">
        <v>9127</v>
      </c>
      <c r="F1195">
        <v>45721</v>
      </c>
      <c r="G1195" t="s">
        <v>9619</v>
      </c>
      <c r="H1195" t="s">
        <v>2916</v>
      </c>
      <c r="I1195" t="s">
        <v>9620</v>
      </c>
      <c r="J1195">
        <v>1</v>
      </c>
      <c r="K1195">
        <v>7260.86</v>
      </c>
      <c r="L1195" t="s">
        <v>2917</v>
      </c>
      <c r="M1195">
        <v>42364.55</v>
      </c>
      <c r="N1195" t="s">
        <v>2918</v>
      </c>
      <c r="O1195" t="s">
        <v>9621</v>
      </c>
      <c r="P1195" t="s">
        <v>9634</v>
      </c>
      <c r="Q1195" t="s">
        <v>2924</v>
      </c>
      <c r="R1195" t="s">
        <v>3219</v>
      </c>
      <c r="S1195" t="s">
        <v>9635</v>
      </c>
      <c r="T1195" t="s">
        <v>9636</v>
      </c>
    </row>
    <row r="1196" spans="1:20">
      <c r="A1196" t="s">
        <v>2348</v>
      </c>
      <c r="B1196" t="s">
        <v>9126</v>
      </c>
      <c r="C1196">
        <v>45721</v>
      </c>
      <c r="D1196" t="s">
        <v>7263</v>
      </c>
      <c r="E1196" t="s">
        <v>9127</v>
      </c>
      <c r="F1196">
        <v>45721</v>
      </c>
      <c r="G1196" t="s">
        <v>9619</v>
      </c>
      <c r="H1196" t="s">
        <v>2916</v>
      </c>
      <c r="I1196" t="s">
        <v>9620</v>
      </c>
      <c r="J1196">
        <v>2</v>
      </c>
      <c r="K1196">
        <v>12212.26</v>
      </c>
      <c r="L1196" t="s">
        <v>2917</v>
      </c>
      <c r="M1196">
        <v>71254.240000000005</v>
      </c>
      <c r="N1196" t="s">
        <v>2918</v>
      </c>
      <c r="O1196" t="s">
        <v>9621</v>
      </c>
      <c r="P1196" t="s">
        <v>9631</v>
      </c>
      <c r="Q1196" t="s">
        <v>2924</v>
      </c>
      <c r="R1196" t="s">
        <v>3219</v>
      </c>
      <c r="S1196" t="s">
        <v>9632</v>
      </c>
      <c r="T1196" t="s">
        <v>9633</v>
      </c>
    </row>
    <row r="1197" spans="1:20">
      <c r="A1197" t="s">
        <v>2348</v>
      </c>
      <c r="B1197" t="s">
        <v>9126</v>
      </c>
      <c r="C1197">
        <v>45721</v>
      </c>
      <c r="D1197" t="s">
        <v>7263</v>
      </c>
      <c r="E1197" t="s">
        <v>9127</v>
      </c>
      <c r="F1197">
        <v>45721</v>
      </c>
      <c r="G1197" t="s">
        <v>9619</v>
      </c>
      <c r="H1197" t="s">
        <v>2916</v>
      </c>
      <c r="I1197" t="s">
        <v>9620</v>
      </c>
      <c r="J1197">
        <v>1</v>
      </c>
      <c r="K1197">
        <v>5558.48</v>
      </c>
      <c r="L1197" t="s">
        <v>2917</v>
      </c>
      <c r="M1197">
        <v>32431.77</v>
      </c>
      <c r="N1197" t="s">
        <v>2918</v>
      </c>
      <c r="O1197" t="s">
        <v>9621</v>
      </c>
      <c r="P1197" t="s">
        <v>9637</v>
      </c>
      <c r="Q1197" t="s">
        <v>2924</v>
      </c>
      <c r="R1197" t="s">
        <v>3219</v>
      </c>
      <c r="S1197" t="s">
        <v>9638</v>
      </c>
      <c r="T1197" t="s">
        <v>9639</v>
      </c>
    </row>
    <row r="1198" spans="1:20">
      <c r="A1198" t="s">
        <v>2348</v>
      </c>
      <c r="B1198" t="s">
        <v>9126</v>
      </c>
      <c r="C1198">
        <v>45503</v>
      </c>
      <c r="D1198" t="s">
        <v>7263</v>
      </c>
      <c r="E1198" t="s">
        <v>9127</v>
      </c>
      <c r="F1198">
        <v>45741</v>
      </c>
      <c r="G1198" t="s">
        <v>7145</v>
      </c>
      <c r="H1198" t="s">
        <v>2916</v>
      </c>
      <c r="I1198" t="s">
        <v>11122</v>
      </c>
      <c r="J1198">
        <v>154036.45000000001</v>
      </c>
      <c r="K1198">
        <v>26400.31</v>
      </c>
      <c r="L1198" t="s">
        <v>2917</v>
      </c>
      <c r="M1198">
        <v>154036.45000000001</v>
      </c>
      <c r="N1198" t="s">
        <v>2918</v>
      </c>
      <c r="O1198" t="s">
        <v>2940</v>
      </c>
      <c r="P1198" t="s">
        <v>2940</v>
      </c>
      <c r="Q1198" t="s">
        <v>2924</v>
      </c>
      <c r="R1198" t="s">
        <v>3219</v>
      </c>
      <c r="S1198" t="s">
        <v>2208</v>
      </c>
      <c r="T1198" t="s">
        <v>2208</v>
      </c>
    </row>
    <row r="1199" spans="1:20">
      <c r="A1199" t="s">
        <v>2348</v>
      </c>
      <c r="B1199" t="s">
        <v>9126</v>
      </c>
      <c r="C1199">
        <v>45503</v>
      </c>
      <c r="D1199" t="s">
        <v>7263</v>
      </c>
      <c r="E1199" t="s">
        <v>9127</v>
      </c>
      <c r="F1199">
        <v>45741</v>
      </c>
      <c r="G1199" t="s">
        <v>7145</v>
      </c>
      <c r="H1199" t="s">
        <v>2916</v>
      </c>
      <c r="I1199" t="s">
        <v>11123</v>
      </c>
      <c r="J1199">
        <v>91616.55</v>
      </c>
      <c r="K1199">
        <v>15702.16</v>
      </c>
      <c r="L1199" t="s">
        <v>2917</v>
      </c>
      <c r="M1199">
        <v>91616.55</v>
      </c>
      <c r="N1199" t="s">
        <v>2918</v>
      </c>
      <c r="O1199" t="s">
        <v>2940</v>
      </c>
      <c r="P1199" t="s">
        <v>2940</v>
      </c>
      <c r="Q1199" t="s">
        <v>2924</v>
      </c>
      <c r="R1199" t="s">
        <v>3219</v>
      </c>
      <c r="S1199" t="s">
        <v>2208</v>
      </c>
      <c r="T1199" t="s">
        <v>2208</v>
      </c>
    </row>
    <row r="1200" spans="1:20">
      <c r="A1200" t="s">
        <v>2348</v>
      </c>
      <c r="B1200" t="s">
        <v>9126</v>
      </c>
      <c r="C1200">
        <v>45503</v>
      </c>
      <c r="D1200" t="s">
        <v>7263</v>
      </c>
      <c r="E1200" t="s">
        <v>9127</v>
      </c>
      <c r="F1200">
        <v>45741</v>
      </c>
      <c r="G1200" t="s">
        <v>7145</v>
      </c>
      <c r="H1200" t="s">
        <v>2916</v>
      </c>
      <c r="I1200" t="s">
        <v>11124</v>
      </c>
      <c r="J1200">
        <v>1713588.9</v>
      </c>
      <c r="K1200">
        <v>293692</v>
      </c>
      <c r="L1200" t="s">
        <v>2917</v>
      </c>
      <c r="M1200">
        <v>1713588.9</v>
      </c>
      <c r="N1200" t="s">
        <v>2918</v>
      </c>
      <c r="O1200" t="s">
        <v>2940</v>
      </c>
      <c r="P1200" t="s">
        <v>2940</v>
      </c>
      <c r="Q1200" t="s">
        <v>2924</v>
      </c>
      <c r="R1200" t="s">
        <v>3219</v>
      </c>
      <c r="S1200" t="s">
        <v>2208</v>
      </c>
      <c r="T1200" t="s">
        <v>2208</v>
      </c>
    </row>
    <row r="1201" spans="1:20">
      <c r="A1201" t="s">
        <v>2348</v>
      </c>
      <c r="B1201" t="s">
        <v>9126</v>
      </c>
      <c r="C1201">
        <v>45503</v>
      </c>
      <c r="D1201" t="s">
        <v>7263</v>
      </c>
      <c r="E1201" t="s">
        <v>9127</v>
      </c>
      <c r="F1201">
        <v>45741</v>
      </c>
      <c r="G1201" t="s">
        <v>7145</v>
      </c>
      <c r="H1201" t="s">
        <v>2916</v>
      </c>
      <c r="I1201" t="s">
        <v>11125</v>
      </c>
      <c r="J1201">
        <v>66003.539999999994</v>
      </c>
      <c r="K1201">
        <v>11312.35</v>
      </c>
      <c r="L1201" t="s">
        <v>2917</v>
      </c>
      <c r="M1201">
        <v>66003.539999999994</v>
      </c>
      <c r="N1201" t="s">
        <v>2918</v>
      </c>
      <c r="O1201" t="s">
        <v>2940</v>
      </c>
      <c r="P1201" t="s">
        <v>2940</v>
      </c>
      <c r="Q1201" t="s">
        <v>2924</v>
      </c>
      <c r="R1201" t="s">
        <v>3219</v>
      </c>
      <c r="S1201" t="s">
        <v>2208</v>
      </c>
      <c r="T1201" t="s">
        <v>2208</v>
      </c>
    </row>
    <row r="1202" spans="1:20">
      <c r="A1202" t="s">
        <v>2348</v>
      </c>
      <c r="B1202" t="s">
        <v>9126</v>
      </c>
      <c r="C1202">
        <v>45503</v>
      </c>
      <c r="D1202" t="s">
        <v>7263</v>
      </c>
      <c r="E1202" t="s">
        <v>9127</v>
      </c>
      <c r="F1202">
        <v>45741</v>
      </c>
      <c r="G1202" t="s">
        <v>7145</v>
      </c>
      <c r="H1202" t="s">
        <v>2916</v>
      </c>
      <c r="I1202" t="s">
        <v>11126</v>
      </c>
      <c r="J1202">
        <v>111722.36</v>
      </c>
      <c r="K1202">
        <v>19148.099999999999</v>
      </c>
      <c r="L1202" t="s">
        <v>2917</v>
      </c>
      <c r="M1202">
        <v>111722.36</v>
      </c>
      <c r="N1202" t="s">
        <v>2918</v>
      </c>
      <c r="O1202" t="s">
        <v>2940</v>
      </c>
      <c r="P1202" t="s">
        <v>2940</v>
      </c>
      <c r="Q1202" t="s">
        <v>2924</v>
      </c>
      <c r="R1202" t="s">
        <v>3219</v>
      </c>
      <c r="S1202" t="s">
        <v>2208</v>
      </c>
      <c r="T1202" t="s">
        <v>2208</v>
      </c>
    </row>
    <row r="1203" spans="1:20">
      <c r="A1203" t="s">
        <v>2348</v>
      </c>
      <c r="B1203" t="s">
        <v>9126</v>
      </c>
      <c r="C1203">
        <v>45503</v>
      </c>
      <c r="D1203" t="s">
        <v>7263</v>
      </c>
      <c r="E1203" t="s">
        <v>9127</v>
      </c>
      <c r="F1203">
        <v>45741</v>
      </c>
      <c r="G1203" t="s">
        <v>7145</v>
      </c>
      <c r="H1203" t="s">
        <v>2916</v>
      </c>
      <c r="I1203" t="s">
        <v>11127</v>
      </c>
      <c r="J1203">
        <v>310669.88</v>
      </c>
      <c r="K1203">
        <v>53245.71</v>
      </c>
      <c r="L1203" t="s">
        <v>2917</v>
      </c>
      <c r="M1203">
        <v>310669.88</v>
      </c>
      <c r="N1203" t="s">
        <v>2918</v>
      </c>
      <c r="O1203" t="s">
        <v>2940</v>
      </c>
      <c r="P1203" t="s">
        <v>2940</v>
      </c>
      <c r="Q1203" t="s">
        <v>2924</v>
      </c>
      <c r="R1203" t="s">
        <v>3219</v>
      </c>
      <c r="S1203" t="s">
        <v>2208</v>
      </c>
      <c r="T1203" t="s">
        <v>2208</v>
      </c>
    </row>
    <row r="1204" spans="1:20">
      <c r="A1204" t="s">
        <v>2348</v>
      </c>
      <c r="B1204" t="s">
        <v>9126</v>
      </c>
      <c r="C1204">
        <v>45503</v>
      </c>
      <c r="D1204" t="s">
        <v>7263</v>
      </c>
      <c r="E1204" t="s">
        <v>9127</v>
      </c>
      <c r="F1204">
        <v>45741</v>
      </c>
      <c r="G1204" t="s">
        <v>7145</v>
      </c>
      <c r="H1204" t="s">
        <v>2916</v>
      </c>
      <c r="I1204" t="s">
        <v>11128</v>
      </c>
      <c r="J1204">
        <v>109945.74</v>
      </c>
      <c r="K1204">
        <v>18843.599999999999</v>
      </c>
      <c r="L1204" t="s">
        <v>2917</v>
      </c>
      <c r="M1204">
        <v>109945.74</v>
      </c>
      <c r="N1204" t="s">
        <v>2918</v>
      </c>
      <c r="O1204" t="s">
        <v>2940</v>
      </c>
      <c r="P1204" t="s">
        <v>2940</v>
      </c>
      <c r="Q1204" t="s">
        <v>2924</v>
      </c>
      <c r="R1204" t="s">
        <v>3219</v>
      </c>
      <c r="S1204" t="s">
        <v>2208</v>
      </c>
      <c r="T1204" t="s">
        <v>2208</v>
      </c>
    </row>
    <row r="1205" spans="1:20">
      <c r="A1205" t="s">
        <v>2348</v>
      </c>
      <c r="B1205" t="s">
        <v>9126</v>
      </c>
      <c r="C1205">
        <v>45741</v>
      </c>
      <c r="D1205" t="s">
        <v>7263</v>
      </c>
      <c r="E1205" t="s">
        <v>9127</v>
      </c>
      <c r="F1205">
        <v>45741</v>
      </c>
      <c r="G1205" t="s">
        <v>7145</v>
      </c>
      <c r="H1205" t="s">
        <v>2916</v>
      </c>
      <c r="I1205" t="s">
        <v>11256</v>
      </c>
      <c r="J1205">
        <v>0</v>
      </c>
      <c r="K1205">
        <v>-2442.0300000000002</v>
      </c>
      <c r="L1205" t="s">
        <v>2917</v>
      </c>
      <c r="M1205">
        <v>-14248.37</v>
      </c>
      <c r="N1205" t="s">
        <v>2918</v>
      </c>
      <c r="O1205" t="s">
        <v>11257</v>
      </c>
      <c r="P1205" t="s">
        <v>2940</v>
      </c>
      <c r="Q1205" t="s">
        <v>2924</v>
      </c>
      <c r="R1205" t="s">
        <v>3219</v>
      </c>
      <c r="S1205" t="s">
        <v>2208</v>
      </c>
      <c r="T1205" t="s">
        <v>2208</v>
      </c>
    </row>
    <row r="1206" spans="1:20">
      <c r="A1206" t="s">
        <v>2348</v>
      </c>
      <c r="B1206" t="s">
        <v>9126</v>
      </c>
      <c r="C1206">
        <v>45741</v>
      </c>
      <c r="D1206" t="s">
        <v>7263</v>
      </c>
      <c r="E1206" t="s">
        <v>9127</v>
      </c>
      <c r="F1206">
        <v>45741</v>
      </c>
      <c r="G1206" t="s">
        <v>7145</v>
      </c>
      <c r="H1206" t="s">
        <v>2916</v>
      </c>
      <c r="I1206" t="s">
        <v>11258</v>
      </c>
      <c r="J1206">
        <v>0</v>
      </c>
      <c r="K1206">
        <v>-1452.45</v>
      </c>
      <c r="L1206" t="s">
        <v>2917</v>
      </c>
      <c r="M1206">
        <v>-8474.5300000000007</v>
      </c>
      <c r="N1206" t="s">
        <v>2918</v>
      </c>
      <c r="O1206" t="s">
        <v>11259</v>
      </c>
      <c r="P1206" t="s">
        <v>2940</v>
      </c>
      <c r="Q1206" t="s">
        <v>2924</v>
      </c>
      <c r="R1206" t="s">
        <v>3219</v>
      </c>
      <c r="S1206" t="s">
        <v>2208</v>
      </c>
      <c r="T1206" t="s">
        <v>2208</v>
      </c>
    </row>
    <row r="1207" spans="1:20">
      <c r="A1207" t="s">
        <v>2348</v>
      </c>
      <c r="B1207" t="s">
        <v>9126</v>
      </c>
      <c r="C1207">
        <v>45741</v>
      </c>
      <c r="D1207" t="s">
        <v>7263</v>
      </c>
      <c r="E1207" t="s">
        <v>9127</v>
      </c>
      <c r="F1207">
        <v>45741</v>
      </c>
      <c r="G1207" t="s">
        <v>7145</v>
      </c>
      <c r="H1207" t="s">
        <v>2916</v>
      </c>
      <c r="I1207" t="s">
        <v>11260</v>
      </c>
      <c r="J1207">
        <v>0</v>
      </c>
      <c r="K1207">
        <v>-27166.51</v>
      </c>
      <c r="L1207" t="s">
        <v>2917</v>
      </c>
      <c r="M1207">
        <v>-158506.98000000001</v>
      </c>
      <c r="N1207" t="s">
        <v>2918</v>
      </c>
      <c r="O1207" t="s">
        <v>11261</v>
      </c>
      <c r="P1207" t="s">
        <v>2940</v>
      </c>
      <c r="Q1207" t="s">
        <v>2924</v>
      </c>
      <c r="R1207" t="s">
        <v>3219</v>
      </c>
      <c r="S1207" t="s">
        <v>2208</v>
      </c>
      <c r="T1207" t="s">
        <v>2208</v>
      </c>
    </row>
    <row r="1208" spans="1:20">
      <c r="A1208" t="s">
        <v>2348</v>
      </c>
      <c r="B1208" t="s">
        <v>9126</v>
      </c>
      <c r="C1208">
        <v>45741</v>
      </c>
      <c r="D1208" t="s">
        <v>7263</v>
      </c>
      <c r="E1208" t="s">
        <v>9127</v>
      </c>
      <c r="F1208">
        <v>45741</v>
      </c>
      <c r="G1208" t="s">
        <v>7145</v>
      </c>
      <c r="H1208" t="s">
        <v>2916</v>
      </c>
      <c r="I1208" t="s">
        <v>11262</v>
      </c>
      <c r="J1208">
        <v>0</v>
      </c>
      <c r="K1208">
        <v>-1046.4000000000001</v>
      </c>
      <c r="L1208" t="s">
        <v>2917</v>
      </c>
      <c r="M1208">
        <v>-6105.33</v>
      </c>
      <c r="N1208" t="s">
        <v>2918</v>
      </c>
      <c r="O1208" t="s">
        <v>11263</v>
      </c>
      <c r="P1208" t="s">
        <v>2940</v>
      </c>
      <c r="Q1208" t="s">
        <v>2924</v>
      </c>
      <c r="R1208" t="s">
        <v>3219</v>
      </c>
      <c r="S1208" t="s">
        <v>2208</v>
      </c>
      <c r="T1208" t="s">
        <v>2208</v>
      </c>
    </row>
    <row r="1209" spans="1:20">
      <c r="A1209" t="s">
        <v>2348</v>
      </c>
      <c r="B1209" t="s">
        <v>9126</v>
      </c>
      <c r="C1209">
        <v>45741</v>
      </c>
      <c r="D1209" t="s">
        <v>7263</v>
      </c>
      <c r="E1209" t="s">
        <v>9127</v>
      </c>
      <c r="F1209">
        <v>45742</v>
      </c>
      <c r="G1209" t="s">
        <v>7145</v>
      </c>
      <c r="H1209" t="s">
        <v>2916</v>
      </c>
      <c r="I1209" t="s">
        <v>11294</v>
      </c>
      <c r="J1209">
        <v>0</v>
      </c>
      <c r="K1209">
        <v>-4925.2299999999996</v>
      </c>
      <c r="L1209" t="s">
        <v>2917</v>
      </c>
      <c r="M1209">
        <v>-28736.959999999999</v>
      </c>
      <c r="N1209" t="s">
        <v>2918</v>
      </c>
      <c r="O1209" t="s">
        <v>11295</v>
      </c>
      <c r="P1209" t="s">
        <v>2940</v>
      </c>
      <c r="Q1209" t="s">
        <v>2924</v>
      </c>
      <c r="R1209" t="s">
        <v>3219</v>
      </c>
      <c r="S1209" t="s">
        <v>2208</v>
      </c>
      <c r="T1209" t="s">
        <v>2208</v>
      </c>
    </row>
    <row r="1210" spans="1:20">
      <c r="A1210" t="s">
        <v>2348</v>
      </c>
      <c r="B1210" t="s">
        <v>9126</v>
      </c>
      <c r="C1210">
        <v>45741</v>
      </c>
      <c r="D1210" t="s">
        <v>7263</v>
      </c>
      <c r="E1210" t="s">
        <v>9127</v>
      </c>
      <c r="F1210">
        <v>45743</v>
      </c>
      <c r="G1210" t="s">
        <v>7145</v>
      </c>
      <c r="H1210" t="s">
        <v>2916</v>
      </c>
      <c r="I1210" t="s">
        <v>11373</v>
      </c>
      <c r="J1210">
        <v>0</v>
      </c>
      <c r="K1210">
        <v>-1743.03</v>
      </c>
      <c r="L1210" t="s">
        <v>2917</v>
      </c>
      <c r="M1210">
        <v>-10169.98</v>
      </c>
      <c r="N1210" t="s">
        <v>2918</v>
      </c>
      <c r="O1210" t="s">
        <v>11374</v>
      </c>
      <c r="P1210" t="s">
        <v>2940</v>
      </c>
      <c r="Q1210" t="s">
        <v>2924</v>
      </c>
      <c r="R1210" t="s">
        <v>3219</v>
      </c>
      <c r="S1210" t="s">
        <v>2208</v>
      </c>
      <c r="T1210" t="s">
        <v>2208</v>
      </c>
    </row>
    <row r="1211" spans="1:20">
      <c r="A1211" t="s">
        <v>2348</v>
      </c>
      <c r="B1211" t="s">
        <v>9126</v>
      </c>
      <c r="C1211">
        <v>45741</v>
      </c>
      <c r="D1211" t="s">
        <v>7263</v>
      </c>
      <c r="E1211" t="s">
        <v>9127</v>
      </c>
      <c r="F1211">
        <v>45743</v>
      </c>
      <c r="G1211" t="s">
        <v>7145</v>
      </c>
      <c r="H1211" t="s">
        <v>2916</v>
      </c>
      <c r="I1211" t="s">
        <v>11375</v>
      </c>
      <c r="J1211">
        <v>0</v>
      </c>
      <c r="K1211">
        <v>-1771.2</v>
      </c>
      <c r="L1211" t="s">
        <v>2917</v>
      </c>
      <c r="M1211">
        <v>-10334.32</v>
      </c>
      <c r="N1211" t="s">
        <v>2918</v>
      </c>
      <c r="O1211" t="s">
        <v>11376</v>
      </c>
      <c r="P1211" t="s">
        <v>2940</v>
      </c>
      <c r="Q1211" t="s">
        <v>2924</v>
      </c>
      <c r="R1211" t="s">
        <v>3219</v>
      </c>
      <c r="S1211" t="s">
        <v>2208</v>
      </c>
      <c r="T1211" t="s">
        <v>2208</v>
      </c>
    </row>
    <row r="1212" spans="1:20">
      <c r="A1212" t="s">
        <v>2348</v>
      </c>
      <c r="B1212" t="s">
        <v>9126</v>
      </c>
      <c r="C1212">
        <v>45747</v>
      </c>
      <c r="D1212" t="s">
        <v>7263</v>
      </c>
      <c r="E1212" t="s">
        <v>9127</v>
      </c>
      <c r="F1212">
        <v>45747</v>
      </c>
      <c r="G1212" t="s">
        <v>2208</v>
      </c>
      <c r="H1212" t="s">
        <v>2916</v>
      </c>
      <c r="I1212" t="s">
        <v>11377</v>
      </c>
      <c r="J1212">
        <v>0</v>
      </c>
      <c r="K1212">
        <v>0.01</v>
      </c>
      <c r="L1212" t="s">
        <v>2917</v>
      </c>
      <c r="M1212">
        <v>0</v>
      </c>
      <c r="N1212" t="s">
        <v>2918</v>
      </c>
      <c r="O1212" t="s">
        <v>2919</v>
      </c>
      <c r="P1212" t="s">
        <v>2208</v>
      </c>
      <c r="Q1212" t="s">
        <v>2916</v>
      </c>
      <c r="R1212" t="s">
        <v>3220</v>
      </c>
      <c r="S1212" t="s">
        <v>2208</v>
      </c>
      <c r="T1212" t="s">
        <v>2208</v>
      </c>
    </row>
    <row r="1213" spans="1:20">
      <c r="A1213" t="s">
        <v>2348</v>
      </c>
      <c r="B1213" t="s">
        <v>11331</v>
      </c>
      <c r="C1213">
        <v>45748</v>
      </c>
      <c r="D1213" t="s">
        <v>7263</v>
      </c>
      <c r="E1213" t="s">
        <v>11332</v>
      </c>
      <c r="F1213">
        <v>45750</v>
      </c>
      <c r="G1213" t="s">
        <v>8656</v>
      </c>
      <c r="H1213" t="s">
        <v>2916</v>
      </c>
      <c r="I1213" t="s">
        <v>11937</v>
      </c>
      <c r="J1213">
        <v>1</v>
      </c>
      <c r="K1213">
        <v>40325.480000000003</v>
      </c>
      <c r="L1213" t="s">
        <v>2917</v>
      </c>
      <c r="M1213">
        <v>232222.76</v>
      </c>
      <c r="N1213" t="s">
        <v>2918</v>
      </c>
      <c r="O1213" t="s">
        <v>11938</v>
      </c>
      <c r="P1213" t="s">
        <v>11939</v>
      </c>
      <c r="Q1213" t="s">
        <v>2924</v>
      </c>
      <c r="R1213" t="s">
        <v>3219</v>
      </c>
      <c r="S1213" t="s">
        <v>11940</v>
      </c>
      <c r="T1213" t="s">
        <v>11941</v>
      </c>
    </row>
    <row r="1214" spans="1:20">
      <c r="A1214" t="s">
        <v>2348</v>
      </c>
      <c r="B1214" t="s">
        <v>11331</v>
      </c>
      <c r="C1214">
        <v>45748</v>
      </c>
      <c r="D1214" t="s">
        <v>7263</v>
      </c>
      <c r="E1214" t="s">
        <v>11332</v>
      </c>
      <c r="F1214">
        <v>45750</v>
      </c>
      <c r="G1214" t="s">
        <v>8656</v>
      </c>
      <c r="H1214" t="s">
        <v>2916</v>
      </c>
      <c r="I1214" t="s">
        <v>11942</v>
      </c>
      <c r="J1214">
        <v>0</v>
      </c>
      <c r="K1214">
        <v>-3730.11</v>
      </c>
      <c r="L1214" t="s">
        <v>2917</v>
      </c>
      <c r="M1214">
        <v>-21480.61</v>
      </c>
      <c r="N1214" t="s">
        <v>2918</v>
      </c>
      <c r="O1214" t="s">
        <v>11943</v>
      </c>
      <c r="P1214" t="s">
        <v>11939</v>
      </c>
      <c r="Q1214" t="s">
        <v>2924</v>
      </c>
      <c r="R1214" t="s">
        <v>3219</v>
      </c>
      <c r="S1214" t="s">
        <v>11940</v>
      </c>
      <c r="T1214" t="s">
        <v>11941</v>
      </c>
    </row>
    <row r="1215" spans="1:20">
      <c r="A1215" t="s">
        <v>2348</v>
      </c>
      <c r="B1215" t="s">
        <v>11331</v>
      </c>
      <c r="C1215">
        <v>45748</v>
      </c>
      <c r="D1215" t="s">
        <v>7263</v>
      </c>
      <c r="E1215" t="s">
        <v>11332</v>
      </c>
      <c r="F1215">
        <v>45750</v>
      </c>
      <c r="G1215" t="s">
        <v>8656</v>
      </c>
      <c r="H1215" t="s">
        <v>2916</v>
      </c>
      <c r="I1215" t="s">
        <v>11944</v>
      </c>
      <c r="J1215">
        <v>1</v>
      </c>
      <c r="K1215">
        <v>22246.06</v>
      </c>
      <c r="L1215" t="s">
        <v>2917</v>
      </c>
      <c r="M1215">
        <v>128108.61</v>
      </c>
      <c r="N1215" t="s">
        <v>2918</v>
      </c>
      <c r="O1215" t="s">
        <v>11945</v>
      </c>
      <c r="P1215" t="s">
        <v>11946</v>
      </c>
      <c r="Q1215" t="s">
        <v>2924</v>
      </c>
      <c r="R1215" t="s">
        <v>3219</v>
      </c>
      <c r="S1215" t="s">
        <v>11947</v>
      </c>
      <c r="T1215" t="s">
        <v>11948</v>
      </c>
    </row>
    <row r="1216" spans="1:20">
      <c r="A1216" t="s">
        <v>2348</v>
      </c>
      <c r="B1216" t="s">
        <v>11331</v>
      </c>
      <c r="C1216">
        <v>45748</v>
      </c>
      <c r="D1216" t="s">
        <v>7263</v>
      </c>
      <c r="E1216" t="s">
        <v>11332</v>
      </c>
      <c r="F1216">
        <v>45750</v>
      </c>
      <c r="G1216" t="s">
        <v>8656</v>
      </c>
      <c r="H1216" t="s">
        <v>2916</v>
      </c>
      <c r="I1216" t="s">
        <v>11949</v>
      </c>
      <c r="J1216">
        <v>0</v>
      </c>
      <c r="K1216">
        <v>-2057.7600000000002</v>
      </c>
      <c r="L1216" t="s">
        <v>2917</v>
      </c>
      <c r="M1216">
        <v>-11850.04</v>
      </c>
      <c r="N1216" t="s">
        <v>2918</v>
      </c>
      <c r="O1216" t="s">
        <v>11950</v>
      </c>
      <c r="P1216" t="s">
        <v>11946</v>
      </c>
      <c r="Q1216" t="s">
        <v>2924</v>
      </c>
      <c r="R1216" t="s">
        <v>3219</v>
      </c>
      <c r="S1216" t="s">
        <v>11947</v>
      </c>
      <c r="T1216" t="s">
        <v>11948</v>
      </c>
    </row>
    <row r="1217" spans="1:20">
      <c r="A1217" t="s">
        <v>2348</v>
      </c>
      <c r="B1217" t="s">
        <v>11331</v>
      </c>
      <c r="C1217">
        <v>45749</v>
      </c>
      <c r="D1217" t="s">
        <v>7263</v>
      </c>
      <c r="E1217" t="s">
        <v>11332</v>
      </c>
      <c r="F1217">
        <v>45751</v>
      </c>
      <c r="G1217" t="s">
        <v>12133</v>
      </c>
      <c r="H1217" t="s">
        <v>2916</v>
      </c>
      <c r="I1217" t="s">
        <v>12134</v>
      </c>
      <c r="J1217">
        <v>2</v>
      </c>
      <c r="K1217">
        <v>10293.549999999999</v>
      </c>
      <c r="L1217" t="s">
        <v>2917</v>
      </c>
      <c r="M1217">
        <v>59277.56</v>
      </c>
      <c r="N1217" t="s">
        <v>2918</v>
      </c>
      <c r="O1217" t="s">
        <v>12135</v>
      </c>
      <c r="P1217" t="s">
        <v>12136</v>
      </c>
      <c r="Q1217" t="s">
        <v>2924</v>
      </c>
      <c r="R1217" t="s">
        <v>3219</v>
      </c>
      <c r="S1217" t="s">
        <v>12137</v>
      </c>
      <c r="T1217" t="s">
        <v>12138</v>
      </c>
    </row>
    <row r="1218" spans="1:20">
      <c r="A1218" t="s">
        <v>2348</v>
      </c>
      <c r="B1218" t="s">
        <v>11331</v>
      </c>
      <c r="C1218">
        <v>45749</v>
      </c>
      <c r="D1218" t="s">
        <v>7263</v>
      </c>
      <c r="E1218" t="s">
        <v>11332</v>
      </c>
      <c r="F1218">
        <v>45751</v>
      </c>
      <c r="G1218" t="s">
        <v>12133</v>
      </c>
      <c r="H1218" t="s">
        <v>2916</v>
      </c>
      <c r="I1218" t="s">
        <v>12134</v>
      </c>
      <c r="J1218">
        <v>2</v>
      </c>
      <c r="K1218">
        <v>10804.12</v>
      </c>
      <c r="L1218" t="s">
        <v>2917</v>
      </c>
      <c r="M1218">
        <v>62217.8</v>
      </c>
      <c r="N1218" t="s">
        <v>2918</v>
      </c>
      <c r="O1218" t="s">
        <v>12135</v>
      </c>
      <c r="P1218" t="s">
        <v>12139</v>
      </c>
      <c r="Q1218" t="s">
        <v>2924</v>
      </c>
      <c r="R1218" t="s">
        <v>3219</v>
      </c>
      <c r="S1218" t="s">
        <v>12140</v>
      </c>
      <c r="T1218" t="s">
        <v>12141</v>
      </c>
    </row>
    <row r="1219" spans="1:20">
      <c r="A1219" t="s">
        <v>2348</v>
      </c>
      <c r="B1219" t="s">
        <v>11331</v>
      </c>
      <c r="C1219">
        <v>45749</v>
      </c>
      <c r="D1219" t="s">
        <v>7263</v>
      </c>
      <c r="E1219" t="s">
        <v>11332</v>
      </c>
      <c r="F1219">
        <v>45751</v>
      </c>
      <c r="G1219" t="s">
        <v>12133</v>
      </c>
      <c r="H1219" t="s">
        <v>2916</v>
      </c>
      <c r="I1219" t="s">
        <v>12134</v>
      </c>
      <c r="J1219">
        <v>4</v>
      </c>
      <c r="K1219">
        <v>22140.45</v>
      </c>
      <c r="L1219" t="s">
        <v>2917</v>
      </c>
      <c r="M1219">
        <v>127500.44</v>
      </c>
      <c r="N1219" t="s">
        <v>2918</v>
      </c>
      <c r="O1219" t="s">
        <v>12135</v>
      </c>
      <c r="P1219" t="s">
        <v>9628</v>
      </c>
      <c r="Q1219" t="s">
        <v>2924</v>
      </c>
      <c r="R1219" t="s">
        <v>3219</v>
      </c>
      <c r="S1219" t="s">
        <v>9629</v>
      </c>
      <c r="T1219" t="s">
        <v>9630</v>
      </c>
    </row>
    <row r="1220" spans="1:20">
      <c r="A1220" t="s">
        <v>2348</v>
      </c>
      <c r="B1220" t="s">
        <v>11331</v>
      </c>
      <c r="C1220">
        <v>45749</v>
      </c>
      <c r="D1220" t="s">
        <v>7263</v>
      </c>
      <c r="E1220" t="s">
        <v>11332</v>
      </c>
      <c r="F1220">
        <v>45751</v>
      </c>
      <c r="G1220" t="s">
        <v>12133</v>
      </c>
      <c r="H1220" t="s">
        <v>2916</v>
      </c>
      <c r="I1220" t="s">
        <v>12134</v>
      </c>
      <c r="J1220">
        <v>2</v>
      </c>
      <c r="K1220">
        <v>11483.44</v>
      </c>
      <c r="L1220" t="s">
        <v>2917</v>
      </c>
      <c r="M1220">
        <v>66129.820000000007</v>
      </c>
      <c r="N1220" t="s">
        <v>2918</v>
      </c>
      <c r="O1220" t="s">
        <v>12135</v>
      </c>
      <c r="P1220" t="s">
        <v>12142</v>
      </c>
      <c r="Q1220" t="s">
        <v>2924</v>
      </c>
      <c r="R1220" t="s">
        <v>3219</v>
      </c>
      <c r="S1220" t="s">
        <v>12143</v>
      </c>
      <c r="T1220" t="s">
        <v>12144</v>
      </c>
    </row>
    <row r="1221" spans="1:20">
      <c r="A1221" t="s">
        <v>2348</v>
      </c>
      <c r="B1221" t="s">
        <v>11331</v>
      </c>
      <c r="C1221">
        <v>45749</v>
      </c>
      <c r="D1221" t="s">
        <v>7263</v>
      </c>
      <c r="E1221" t="s">
        <v>11332</v>
      </c>
      <c r="F1221">
        <v>45751</v>
      </c>
      <c r="G1221" t="s">
        <v>12133</v>
      </c>
      <c r="H1221" t="s">
        <v>2916</v>
      </c>
      <c r="I1221" t="s">
        <v>12134</v>
      </c>
      <c r="J1221">
        <v>2</v>
      </c>
      <c r="K1221">
        <v>9300.5300000000007</v>
      </c>
      <c r="L1221" t="s">
        <v>2917</v>
      </c>
      <c r="M1221">
        <v>53559.040000000001</v>
      </c>
      <c r="N1221" t="s">
        <v>2918</v>
      </c>
      <c r="O1221" t="s">
        <v>12135</v>
      </c>
      <c r="P1221" t="s">
        <v>12145</v>
      </c>
      <c r="Q1221" t="s">
        <v>2924</v>
      </c>
      <c r="R1221" t="s">
        <v>3219</v>
      </c>
      <c r="S1221" t="s">
        <v>12146</v>
      </c>
      <c r="T1221" t="s">
        <v>12147</v>
      </c>
    </row>
    <row r="1222" spans="1:20">
      <c r="A1222" t="s">
        <v>2348</v>
      </c>
      <c r="B1222" t="s">
        <v>11331</v>
      </c>
      <c r="C1222">
        <v>45749</v>
      </c>
      <c r="D1222" t="s">
        <v>7263</v>
      </c>
      <c r="E1222" t="s">
        <v>11332</v>
      </c>
      <c r="F1222">
        <v>45751</v>
      </c>
      <c r="G1222" t="s">
        <v>12133</v>
      </c>
      <c r="H1222" t="s">
        <v>2916</v>
      </c>
      <c r="I1222" t="s">
        <v>12134</v>
      </c>
      <c r="J1222">
        <v>3</v>
      </c>
      <c r="K1222">
        <v>12750.08</v>
      </c>
      <c r="L1222" t="s">
        <v>2917</v>
      </c>
      <c r="M1222">
        <v>73424.009999999995</v>
      </c>
      <c r="N1222" t="s">
        <v>2918</v>
      </c>
      <c r="O1222" t="s">
        <v>12135</v>
      </c>
      <c r="P1222" t="s">
        <v>12148</v>
      </c>
      <c r="Q1222" t="s">
        <v>2924</v>
      </c>
      <c r="R1222" t="s">
        <v>3219</v>
      </c>
      <c r="S1222" t="s">
        <v>12149</v>
      </c>
      <c r="T1222" t="s">
        <v>12150</v>
      </c>
    </row>
    <row r="1223" spans="1:20">
      <c r="A1223" t="s">
        <v>2348</v>
      </c>
      <c r="B1223" t="s">
        <v>11331</v>
      </c>
      <c r="C1223">
        <v>45749</v>
      </c>
      <c r="D1223" t="s">
        <v>7263</v>
      </c>
      <c r="E1223" t="s">
        <v>11332</v>
      </c>
      <c r="F1223">
        <v>45751</v>
      </c>
      <c r="G1223" t="s">
        <v>12133</v>
      </c>
      <c r="H1223" t="s">
        <v>2916</v>
      </c>
      <c r="I1223" t="s">
        <v>12134</v>
      </c>
      <c r="J1223">
        <v>1</v>
      </c>
      <c r="K1223">
        <v>6579.83</v>
      </c>
      <c r="L1223" t="s">
        <v>2917</v>
      </c>
      <c r="M1223">
        <v>37891.33</v>
      </c>
      <c r="N1223" t="s">
        <v>2918</v>
      </c>
      <c r="O1223" t="s">
        <v>12135</v>
      </c>
      <c r="P1223" t="s">
        <v>12151</v>
      </c>
      <c r="Q1223" t="s">
        <v>2924</v>
      </c>
      <c r="R1223" t="s">
        <v>3219</v>
      </c>
      <c r="S1223" t="s">
        <v>12152</v>
      </c>
      <c r="T1223" t="s">
        <v>12153</v>
      </c>
    </row>
    <row r="1224" spans="1:20">
      <c r="A1224" t="s">
        <v>2348</v>
      </c>
      <c r="B1224" t="s">
        <v>11331</v>
      </c>
      <c r="C1224">
        <v>45764</v>
      </c>
      <c r="D1224" t="s">
        <v>7263</v>
      </c>
      <c r="E1224" t="s">
        <v>11332</v>
      </c>
      <c r="F1224">
        <v>45764</v>
      </c>
      <c r="G1224" t="s">
        <v>15831</v>
      </c>
      <c r="H1224" t="s">
        <v>2916</v>
      </c>
      <c r="I1224" t="s">
        <v>15832</v>
      </c>
      <c r="J1224">
        <v>1</v>
      </c>
      <c r="K1224">
        <v>67306.59</v>
      </c>
      <c r="L1224" t="s">
        <v>2917</v>
      </c>
      <c r="M1224">
        <v>387599.15</v>
      </c>
      <c r="N1224" t="s">
        <v>2918</v>
      </c>
      <c r="O1224" t="s">
        <v>15833</v>
      </c>
      <c r="P1224" t="s">
        <v>15834</v>
      </c>
      <c r="Q1224" t="s">
        <v>2924</v>
      </c>
      <c r="R1224" t="s">
        <v>3219</v>
      </c>
      <c r="S1224" t="s">
        <v>15835</v>
      </c>
      <c r="T1224" t="s">
        <v>15836</v>
      </c>
    </row>
    <row r="1225" spans="1:20">
      <c r="A1225" t="s">
        <v>2348</v>
      </c>
      <c r="B1225" t="s">
        <v>11331</v>
      </c>
      <c r="C1225">
        <v>45764</v>
      </c>
      <c r="D1225" t="s">
        <v>7263</v>
      </c>
      <c r="E1225" t="s">
        <v>11332</v>
      </c>
      <c r="F1225">
        <v>45764</v>
      </c>
      <c r="G1225" t="s">
        <v>15837</v>
      </c>
      <c r="H1225" t="s">
        <v>2916</v>
      </c>
      <c r="I1225" t="s">
        <v>15838</v>
      </c>
      <c r="J1225">
        <v>2</v>
      </c>
      <c r="K1225">
        <v>4403.59</v>
      </c>
      <c r="L1225" t="s">
        <v>2917</v>
      </c>
      <c r="M1225">
        <v>25359.02</v>
      </c>
      <c r="N1225" t="s">
        <v>2918</v>
      </c>
      <c r="O1225" t="s">
        <v>15839</v>
      </c>
      <c r="P1225" t="s">
        <v>15840</v>
      </c>
      <c r="Q1225" t="s">
        <v>2924</v>
      </c>
      <c r="R1225" t="s">
        <v>3219</v>
      </c>
      <c r="S1225" t="s">
        <v>15841</v>
      </c>
      <c r="T1225" t="s">
        <v>15842</v>
      </c>
    </row>
    <row r="1226" spans="1:20">
      <c r="A1226" t="s">
        <v>2348</v>
      </c>
      <c r="B1226" t="s">
        <v>11331</v>
      </c>
      <c r="C1226">
        <v>45762</v>
      </c>
      <c r="D1226" t="s">
        <v>7263</v>
      </c>
      <c r="E1226" t="s">
        <v>11332</v>
      </c>
      <c r="F1226">
        <v>45764</v>
      </c>
      <c r="G1226" t="s">
        <v>8656</v>
      </c>
      <c r="H1226" t="s">
        <v>2916</v>
      </c>
      <c r="I1226" t="s">
        <v>15843</v>
      </c>
      <c r="J1226">
        <v>1</v>
      </c>
      <c r="K1226">
        <v>181856.46</v>
      </c>
      <c r="L1226" t="s">
        <v>2917</v>
      </c>
      <c r="M1226">
        <v>1047258.63</v>
      </c>
      <c r="N1226" t="s">
        <v>2918</v>
      </c>
      <c r="O1226" t="s">
        <v>15844</v>
      </c>
      <c r="P1226" t="s">
        <v>15845</v>
      </c>
      <c r="Q1226" t="s">
        <v>2924</v>
      </c>
      <c r="R1226" t="s">
        <v>3219</v>
      </c>
      <c r="S1226" t="s">
        <v>15846</v>
      </c>
      <c r="T1226" t="s">
        <v>15847</v>
      </c>
    </row>
    <row r="1227" spans="1:20">
      <c r="A1227" t="s">
        <v>2348</v>
      </c>
      <c r="B1227" t="s">
        <v>11331</v>
      </c>
      <c r="C1227">
        <v>45762</v>
      </c>
      <c r="D1227" t="s">
        <v>7263</v>
      </c>
      <c r="E1227" t="s">
        <v>11332</v>
      </c>
      <c r="F1227">
        <v>45764</v>
      </c>
      <c r="G1227" t="s">
        <v>8656</v>
      </c>
      <c r="H1227" t="s">
        <v>2916</v>
      </c>
      <c r="I1227" t="s">
        <v>15848</v>
      </c>
      <c r="J1227">
        <v>0</v>
      </c>
      <c r="K1227">
        <v>-16821.72</v>
      </c>
      <c r="L1227" t="s">
        <v>2917</v>
      </c>
      <c r="M1227">
        <v>-96871.43</v>
      </c>
      <c r="N1227" t="s">
        <v>2918</v>
      </c>
      <c r="O1227" t="s">
        <v>15849</v>
      </c>
      <c r="P1227" t="s">
        <v>15845</v>
      </c>
      <c r="Q1227" t="s">
        <v>2924</v>
      </c>
      <c r="R1227" t="s">
        <v>3219</v>
      </c>
      <c r="S1227" t="s">
        <v>15846</v>
      </c>
      <c r="T1227" t="s">
        <v>15847</v>
      </c>
    </row>
    <row r="1228" spans="1:20">
      <c r="A1228" t="s">
        <v>2348</v>
      </c>
      <c r="B1228" t="s">
        <v>11331</v>
      </c>
      <c r="C1228">
        <v>45503</v>
      </c>
      <c r="D1228" t="s">
        <v>7263</v>
      </c>
      <c r="E1228" t="s">
        <v>11332</v>
      </c>
      <c r="F1228">
        <v>45764</v>
      </c>
      <c r="G1228" t="s">
        <v>7145</v>
      </c>
      <c r="H1228" t="s">
        <v>2916</v>
      </c>
      <c r="I1228" t="s">
        <v>15850</v>
      </c>
      <c r="J1228">
        <v>135588.98000000001</v>
      </c>
      <c r="K1228">
        <v>23545.03</v>
      </c>
      <c r="L1228" t="s">
        <v>2917</v>
      </c>
      <c r="M1228">
        <v>135588.98000000001</v>
      </c>
      <c r="N1228" t="s">
        <v>2918</v>
      </c>
      <c r="O1228" t="s">
        <v>2940</v>
      </c>
      <c r="P1228" t="s">
        <v>2940</v>
      </c>
      <c r="Q1228" t="s">
        <v>2924</v>
      </c>
      <c r="R1228" t="s">
        <v>3219</v>
      </c>
      <c r="S1228" t="s">
        <v>2208</v>
      </c>
      <c r="T1228" t="s">
        <v>2208</v>
      </c>
    </row>
    <row r="1229" spans="1:20">
      <c r="A1229" t="s">
        <v>2348</v>
      </c>
      <c r="B1229" t="s">
        <v>11331</v>
      </c>
      <c r="C1229">
        <v>45503</v>
      </c>
      <c r="D1229" t="s">
        <v>7263</v>
      </c>
      <c r="E1229" t="s">
        <v>11332</v>
      </c>
      <c r="F1229">
        <v>45764</v>
      </c>
      <c r="G1229" t="s">
        <v>7145</v>
      </c>
      <c r="H1229" t="s">
        <v>2916</v>
      </c>
      <c r="I1229" t="s">
        <v>15851</v>
      </c>
      <c r="J1229">
        <v>917742.2</v>
      </c>
      <c r="K1229">
        <v>159365.93</v>
      </c>
      <c r="L1229" t="s">
        <v>2917</v>
      </c>
      <c r="M1229">
        <v>917742.2</v>
      </c>
      <c r="N1229" t="s">
        <v>2918</v>
      </c>
      <c r="O1229" t="s">
        <v>2940</v>
      </c>
      <c r="P1229" t="s">
        <v>2940</v>
      </c>
      <c r="Q1229" t="s">
        <v>2924</v>
      </c>
      <c r="R1229" t="s">
        <v>3219</v>
      </c>
      <c r="S1229" t="s">
        <v>2208</v>
      </c>
      <c r="T1229" t="s">
        <v>2208</v>
      </c>
    </row>
    <row r="1230" spans="1:20">
      <c r="A1230" t="s">
        <v>2348</v>
      </c>
      <c r="B1230" t="s">
        <v>11331</v>
      </c>
      <c r="C1230">
        <v>45503</v>
      </c>
      <c r="D1230" t="s">
        <v>7263</v>
      </c>
      <c r="E1230" t="s">
        <v>11332</v>
      </c>
      <c r="F1230">
        <v>45764</v>
      </c>
      <c r="G1230" t="s">
        <v>7145</v>
      </c>
      <c r="H1230" t="s">
        <v>2916</v>
      </c>
      <c r="I1230" t="s">
        <v>15852</v>
      </c>
      <c r="J1230">
        <v>24280.79</v>
      </c>
      <c r="K1230">
        <v>4216.3599999999997</v>
      </c>
      <c r="L1230" t="s">
        <v>2917</v>
      </c>
      <c r="M1230">
        <v>24280.79</v>
      </c>
      <c r="N1230" t="s">
        <v>2918</v>
      </c>
      <c r="O1230" t="s">
        <v>2940</v>
      </c>
      <c r="P1230" t="s">
        <v>2940</v>
      </c>
      <c r="Q1230" t="s">
        <v>2924</v>
      </c>
      <c r="R1230" t="s">
        <v>3219</v>
      </c>
      <c r="S1230" t="s">
        <v>2208</v>
      </c>
      <c r="T1230" t="s">
        <v>2208</v>
      </c>
    </row>
    <row r="1231" spans="1:20">
      <c r="A1231" t="s">
        <v>2348</v>
      </c>
      <c r="B1231" t="s">
        <v>11331</v>
      </c>
      <c r="C1231">
        <v>45503</v>
      </c>
      <c r="D1231" t="s">
        <v>7263</v>
      </c>
      <c r="E1231" t="s">
        <v>11332</v>
      </c>
      <c r="F1231">
        <v>45764</v>
      </c>
      <c r="G1231" t="s">
        <v>7145</v>
      </c>
      <c r="H1231" t="s">
        <v>2916</v>
      </c>
      <c r="I1231" t="s">
        <v>15853</v>
      </c>
      <c r="J1231">
        <v>102372.83</v>
      </c>
      <c r="K1231">
        <v>17777.04</v>
      </c>
      <c r="L1231" t="s">
        <v>2917</v>
      </c>
      <c r="M1231">
        <v>102372.83</v>
      </c>
      <c r="N1231" t="s">
        <v>2918</v>
      </c>
      <c r="O1231" t="s">
        <v>2940</v>
      </c>
      <c r="P1231" t="s">
        <v>2940</v>
      </c>
      <c r="Q1231" t="s">
        <v>2924</v>
      </c>
      <c r="R1231" t="s">
        <v>3219</v>
      </c>
      <c r="S1231" t="s">
        <v>2208</v>
      </c>
      <c r="T1231" t="s">
        <v>2208</v>
      </c>
    </row>
    <row r="1232" spans="1:20">
      <c r="A1232" t="s">
        <v>2348</v>
      </c>
      <c r="B1232" t="s">
        <v>11331</v>
      </c>
      <c r="C1232">
        <v>45503</v>
      </c>
      <c r="D1232" t="s">
        <v>7263</v>
      </c>
      <c r="E1232" t="s">
        <v>11332</v>
      </c>
      <c r="F1232">
        <v>45764</v>
      </c>
      <c r="G1232" t="s">
        <v>7145</v>
      </c>
      <c r="H1232" t="s">
        <v>2916</v>
      </c>
      <c r="I1232" t="s">
        <v>15854</v>
      </c>
      <c r="J1232">
        <v>171073.48</v>
      </c>
      <c r="K1232">
        <v>29706.91</v>
      </c>
      <c r="L1232" t="s">
        <v>2917</v>
      </c>
      <c r="M1232">
        <v>171073.48</v>
      </c>
      <c r="N1232" t="s">
        <v>2918</v>
      </c>
      <c r="O1232" t="s">
        <v>2940</v>
      </c>
      <c r="P1232" t="s">
        <v>2940</v>
      </c>
      <c r="Q1232" t="s">
        <v>2924</v>
      </c>
      <c r="R1232" t="s">
        <v>3219</v>
      </c>
      <c r="S1232" t="s">
        <v>2208</v>
      </c>
      <c r="T1232" t="s">
        <v>2208</v>
      </c>
    </row>
    <row r="1233" spans="1:20">
      <c r="A1233" t="s">
        <v>2348</v>
      </c>
      <c r="B1233" t="s">
        <v>11331</v>
      </c>
      <c r="C1233">
        <v>45503</v>
      </c>
      <c r="D1233" t="s">
        <v>7263</v>
      </c>
      <c r="E1233" t="s">
        <v>11332</v>
      </c>
      <c r="F1233">
        <v>45764</v>
      </c>
      <c r="G1233" t="s">
        <v>7145</v>
      </c>
      <c r="H1233" t="s">
        <v>2916</v>
      </c>
      <c r="I1233" t="s">
        <v>15855</v>
      </c>
      <c r="J1233">
        <v>22831.54</v>
      </c>
      <c r="K1233">
        <v>3964.7</v>
      </c>
      <c r="L1233" t="s">
        <v>2917</v>
      </c>
      <c r="M1233">
        <v>22831.54</v>
      </c>
      <c r="N1233" t="s">
        <v>2918</v>
      </c>
      <c r="O1233" t="s">
        <v>2940</v>
      </c>
      <c r="P1233" t="s">
        <v>2940</v>
      </c>
      <c r="Q1233" t="s">
        <v>2924</v>
      </c>
      <c r="R1233" t="s">
        <v>3219</v>
      </c>
      <c r="S1233" t="s">
        <v>2208</v>
      </c>
      <c r="T1233" t="s">
        <v>2208</v>
      </c>
    </row>
    <row r="1234" spans="1:20">
      <c r="A1234" t="s">
        <v>2348</v>
      </c>
      <c r="B1234" t="s">
        <v>11331</v>
      </c>
      <c r="C1234">
        <v>45747</v>
      </c>
      <c r="D1234" t="s">
        <v>7263</v>
      </c>
      <c r="E1234" t="s">
        <v>11332</v>
      </c>
      <c r="F1234">
        <v>45769</v>
      </c>
      <c r="G1234" t="s">
        <v>15837</v>
      </c>
      <c r="H1234" t="s">
        <v>2916</v>
      </c>
      <c r="I1234" t="s">
        <v>15856</v>
      </c>
      <c r="J1234">
        <v>0</v>
      </c>
      <c r="K1234">
        <v>-407.33</v>
      </c>
      <c r="L1234" t="s">
        <v>2917</v>
      </c>
      <c r="M1234">
        <v>-2345.71</v>
      </c>
      <c r="N1234" t="s">
        <v>2918</v>
      </c>
      <c r="O1234" t="s">
        <v>15857</v>
      </c>
      <c r="P1234" t="s">
        <v>15840</v>
      </c>
      <c r="Q1234" t="s">
        <v>2924</v>
      </c>
      <c r="R1234" t="s">
        <v>3219</v>
      </c>
      <c r="S1234" t="s">
        <v>15841</v>
      </c>
      <c r="T1234" t="s">
        <v>15842</v>
      </c>
    </row>
    <row r="1235" spans="1:20">
      <c r="A1235" t="s">
        <v>2348</v>
      </c>
      <c r="B1235" t="s">
        <v>11331</v>
      </c>
      <c r="C1235">
        <v>45747</v>
      </c>
      <c r="D1235" t="s">
        <v>7263</v>
      </c>
      <c r="E1235" t="s">
        <v>11332</v>
      </c>
      <c r="F1235">
        <v>45769</v>
      </c>
      <c r="G1235" t="s">
        <v>15831</v>
      </c>
      <c r="H1235" t="s">
        <v>2916</v>
      </c>
      <c r="I1235" t="s">
        <v>15858</v>
      </c>
      <c r="J1235">
        <v>0</v>
      </c>
      <c r="K1235">
        <v>-6225.86</v>
      </c>
      <c r="L1235" t="s">
        <v>2917</v>
      </c>
      <c r="M1235">
        <v>-35852.93</v>
      </c>
      <c r="N1235" t="s">
        <v>2918</v>
      </c>
      <c r="O1235" t="s">
        <v>15859</v>
      </c>
      <c r="P1235" t="s">
        <v>15834</v>
      </c>
      <c r="Q1235" t="s">
        <v>2924</v>
      </c>
      <c r="R1235" t="s">
        <v>3219</v>
      </c>
      <c r="S1235" t="s">
        <v>15835</v>
      </c>
      <c r="T1235" t="s">
        <v>15836</v>
      </c>
    </row>
    <row r="1236" spans="1:20">
      <c r="A1236" t="s">
        <v>2348</v>
      </c>
      <c r="B1236" t="s">
        <v>11331</v>
      </c>
      <c r="C1236">
        <v>45769</v>
      </c>
      <c r="D1236" t="s">
        <v>7263</v>
      </c>
      <c r="E1236" t="s">
        <v>11332</v>
      </c>
      <c r="F1236">
        <v>45769</v>
      </c>
      <c r="G1236" t="s">
        <v>15904</v>
      </c>
      <c r="H1236" t="s">
        <v>2916</v>
      </c>
      <c r="I1236" t="s">
        <v>15905</v>
      </c>
      <c r="J1236">
        <v>2</v>
      </c>
      <c r="K1236">
        <v>7356.04</v>
      </c>
      <c r="L1236" t="s">
        <v>2917</v>
      </c>
      <c r="M1236">
        <v>42361.33</v>
      </c>
      <c r="N1236" t="s">
        <v>2918</v>
      </c>
      <c r="O1236" t="s">
        <v>15906</v>
      </c>
      <c r="P1236" t="s">
        <v>15907</v>
      </c>
      <c r="Q1236" t="s">
        <v>2924</v>
      </c>
      <c r="R1236" t="s">
        <v>3219</v>
      </c>
      <c r="S1236" t="s">
        <v>15908</v>
      </c>
      <c r="T1236" t="s">
        <v>15907</v>
      </c>
    </row>
    <row r="1237" spans="1:20">
      <c r="A1237" t="s">
        <v>2348</v>
      </c>
      <c r="B1237" t="s">
        <v>11331</v>
      </c>
      <c r="C1237">
        <v>45764</v>
      </c>
      <c r="D1237" t="s">
        <v>7263</v>
      </c>
      <c r="E1237" t="s">
        <v>11332</v>
      </c>
      <c r="F1237">
        <v>45769</v>
      </c>
      <c r="G1237" t="s">
        <v>15904</v>
      </c>
      <c r="H1237" t="s">
        <v>2916</v>
      </c>
      <c r="I1237" t="s">
        <v>15909</v>
      </c>
      <c r="J1237">
        <v>0</v>
      </c>
      <c r="K1237">
        <v>-1042.28</v>
      </c>
      <c r="L1237" t="s">
        <v>2917</v>
      </c>
      <c r="M1237">
        <v>-6002.21</v>
      </c>
      <c r="N1237" t="s">
        <v>2918</v>
      </c>
      <c r="O1237" t="s">
        <v>15910</v>
      </c>
      <c r="P1237" t="s">
        <v>15907</v>
      </c>
      <c r="Q1237" t="s">
        <v>2924</v>
      </c>
      <c r="R1237" t="s">
        <v>3219</v>
      </c>
      <c r="S1237" t="s">
        <v>15908</v>
      </c>
      <c r="T1237" t="s">
        <v>15907</v>
      </c>
    </row>
    <row r="1238" spans="1:20">
      <c r="A1238" t="s">
        <v>2348</v>
      </c>
      <c r="B1238" t="s">
        <v>11331</v>
      </c>
      <c r="C1238">
        <v>45769</v>
      </c>
      <c r="D1238" t="s">
        <v>7263</v>
      </c>
      <c r="E1238" t="s">
        <v>11332</v>
      </c>
      <c r="F1238">
        <v>45772</v>
      </c>
      <c r="G1238" t="s">
        <v>7145</v>
      </c>
      <c r="H1238" t="s">
        <v>2916</v>
      </c>
      <c r="I1238" t="s">
        <v>16239</v>
      </c>
      <c r="J1238">
        <v>0</v>
      </c>
      <c r="K1238">
        <v>-14741.35</v>
      </c>
      <c r="L1238" t="s">
        <v>2917</v>
      </c>
      <c r="M1238">
        <v>-84891.16</v>
      </c>
      <c r="N1238" t="s">
        <v>2918</v>
      </c>
      <c r="O1238" t="s">
        <v>16240</v>
      </c>
      <c r="P1238" t="s">
        <v>2940</v>
      </c>
      <c r="Q1238" t="s">
        <v>2924</v>
      </c>
      <c r="R1238" t="s">
        <v>3219</v>
      </c>
      <c r="S1238" t="s">
        <v>2208</v>
      </c>
      <c r="T1238" t="s">
        <v>2208</v>
      </c>
    </row>
    <row r="1239" spans="1:20">
      <c r="A1239" t="s">
        <v>2348</v>
      </c>
      <c r="B1239" t="s">
        <v>11331</v>
      </c>
      <c r="C1239">
        <v>45769</v>
      </c>
      <c r="D1239" t="s">
        <v>7263</v>
      </c>
      <c r="E1239" t="s">
        <v>11332</v>
      </c>
      <c r="F1239">
        <v>45772</v>
      </c>
      <c r="G1239" t="s">
        <v>7145</v>
      </c>
      <c r="H1239" t="s">
        <v>2916</v>
      </c>
      <c r="I1239" t="s">
        <v>16241</v>
      </c>
      <c r="J1239">
        <v>0</v>
      </c>
      <c r="K1239">
        <v>-366.74</v>
      </c>
      <c r="L1239" t="s">
        <v>2917</v>
      </c>
      <c r="M1239">
        <v>-2111.92</v>
      </c>
      <c r="N1239" t="s">
        <v>2918</v>
      </c>
      <c r="O1239" t="s">
        <v>16242</v>
      </c>
      <c r="P1239" t="s">
        <v>2940</v>
      </c>
      <c r="Q1239" t="s">
        <v>2924</v>
      </c>
      <c r="R1239" t="s">
        <v>3219</v>
      </c>
      <c r="S1239" t="s">
        <v>2208</v>
      </c>
      <c r="T1239" t="s">
        <v>2208</v>
      </c>
    </row>
    <row r="1240" spans="1:20">
      <c r="A1240" t="s">
        <v>2348</v>
      </c>
      <c r="B1240" t="s">
        <v>11331</v>
      </c>
      <c r="C1240">
        <v>45769</v>
      </c>
      <c r="D1240" t="s">
        <v>7263</v>
      </c>
      <c r="E1240" t="s">
        <v>11332</v>
      </c>
      <c r="F1240">
        <v>45772</v>
      </c>
      <c r="G1240" t="s">
        <v>7145</v>
      </c>
      <c r="H1240" t="s">
        <v>2916</v>
      </c>
      <c r="I1240" t="s">
        <v>16243</v>
      </c>
      <c r="J1240">
        <v>0</v>
      </c>
      <c r="K1240">
        <v>-390.01</v>
      </c>
      <c r="L1240" t="s">
        <v>2917</v>
      </c>
      <c r="M1240">
        <v>-2245.9699999999998</v>
      </c>
      <c r="N1240" t="s">
        <v>2918</v>
      </c>
      <c r="O1240" t="s">
        <v>16244</v>
      </c>
      <c r="P1240" t="s">
        <v>2940</v>
      </c>
      <c r="Q1240" t="s">
        <v>2924</v>
      </c>
      <c r="R1240" t="s">
        <v>3219</v>
      </c>
      <c r="S1240" t="s">
        <v>2208</v>
      </c>
      <c r="T1240" t="s">
        <v>2208</v>
      </c>
    </row>
    <row r="1241" spans="1:20">
      <c r="A1241" t="s">
        <v>2348</v>
      </c>
      <c r="B1241" t="s">
        <v>11331</v>
      </c>
      <c r="C1241">
        <v>45769</v>
      </c>
      <c r="D1241" t="s">
        <v>7263</v>
      </c>
      <c r="E1241" t="s">
        <v>11332</v>
      </c>
      <c r="F1241">
        <v>45772</v>
      </c>
      <c r="G1241" t="s">
        <v>7145</v>
      </c>
      <c r="H1241" t="s">
        <v>2916</v>
      </c>
      <c r="I1241" t="s">
        <v>16245</v>
      </c>
      <c r="J1241">
        <v>0</v>
      </c>
      <c r="K1241">
        <v>-1644.38</v>
      </c>
      <c r="L1241" t="s">
        <v>2917</v>
      </c>
      <c r="M1241">
        <v>-9469.49</v>
      </c>
      <c r="N1241" t="s">
        <v>2918</v>
      </c>
      <c r="O1241" t="s">
        <v>16246</v>
      </c>
      <c r="P1241" t="s">
        <v>2940</v>
      </c>
      <c r="Q1241" t="s">
        <v>2924</v>
      </c>
      <c r="R1241" t="s">
        <v>3219</v>
      </c>
      <c r="S1241" t="s">
        <v>2208</v>
      </c>
      <c r="T1241" t="s">
        <v>2208</v>
      </c>
    </row>
    <row r="1242" spans="1:20">
      <c r="A1242" t="s">
        <v>2348</v>
      </c>
      <c r="B1242" t="s">
        <v>11331</v>
      </c>
      <c r="C1242">
        <v>45769</v>
      </c>
      <c r="D1242" t="s">
        <v>7263</v>
      </c>
      <c r="E1242" t="s">
        <v>11332</v>
      </c>
      <c r="F1242">
        <v>45772</v>
      </c>
      <c r="G1242" t="s">
        <v>7145</v>
      </c>
      <c r="H1242" t="s">
        <v>2916</v>
      </c>
      <c r="I1242" t="s">
        <v>16247</v>
      </c>
      <c r="J1242">
        <v>0</v>
      </c>
      <c r="K1242">
        <v>-2747.89</v>
      </c>
      <c r="L1242" t="s">
        <v>2917</v>
      </c>
      <c r="M1242">
        <v>-15824.29</v>
      </c>
      <c r="N1242" t="s">
        <v>2918</v>
      </c>
      <c r="O1242" t="s">
        <v>16248</v>
      </c>
      <c r="P1242" t="s">
        <v>2940</v>
      </c>
      <c r="Q1242" t="s">
        <v>2924</v>
      </c>
      <c r="R1242" t="s">
        <v>3219</v>
      </c>
      <c r="S1242" t="s">
        <v>2208</v>
      </c>
      <c r="T1242" t="s">
        <v>2208</v>
      </c>
    </row>
    <row r="1243" spans="1:20">
      <c r="A1243" t="s">
        <v>2348</v>
      </c>
      <c r="B1243" t="s">
        <v>11331</v>
      </c>
      <c r="C1243">
        <v>45769</v>
      </c>
      <c r="D1243" t="s">
        <v>7263</v>
      </c>
      <c r="E1243" t="s">
        <v>11332</v>
      </c>
      <c r="F1243">
        <v>45772</v>
      </c>
      <c r="G1243" t="s">
        <v>7145</v>
      </c>
      <c r="H1243" t="s">
        <v>2916</v>
      </c>
      <c r="I1243" t="s">
        <v>16249</v>
      </c>
      <c r="J1243">
        <v>0</v>
      </c>
      <c r="K1243">
        <v>-2177.92</v>
      </c>
      <c r="L1243" t="s">
        <v>2917</v>
      </c>
      <c r="M1243">
        <v>-12541.98</v>
      </c>
      <c r="N1243" t="s">
        <v>2918</v>
      </c>
      <c r="O1243" t="s">
        <v>16250</v>
      </c>
      <c r="P1243" t="s">
        <v>2940</v>
      </c>
      <c r="Q1243" t="s">
        <v>2924</v>
      </c>
      <c r="R1243" t="s">
        <v>3219</v>
      </c>
      <c r="S1243" t="s">
        <v>2208</v>
      </c>
      <c r="T1243" t="s">
        <v>2208</v>
      </c>
    </row>
    <row r="1244" spans="1:20">
      <c r="A1244" t="s">
        <v>2348</v>
      </c>
      <c r="B1244" t="s">
        <v>11331</v>
      </c>
      <c r="C1244">
        <v>45777</v>
      </c>
      <c r="D1244" t="s">
        <v>7263</v>
      </c>
      <c r="E1244" t="s">
        <v>11332</v>
      </c>
      <c r="F1244">
        <v>45777</v>
      </c>
      <c r="G1244" t="s">
        <v>2208</v>
      </c>
      <c r="H1244" t="s">
        <v>2916</v>
      </c>
      <c r="I1244" t="s">
        <v>16319</v>
      </c>
      <c r="J1244">
        <v>0</v>
      </c>
      <c r="K1244">
        <v>-591.41</v>
      </c>
      <c r="L1244" t="s">
        <v>2917</v>
      </c>
      <c r="M1244">
        <v>-3405.76</v>
      </c>
      <c r="N1244" t="s">
        <v>2918</v>
      </c>
      <c r="O1244" t="s">
        <v>16320</v>
      </c>
      <c r="P1244" t="s">
        <v>2208</v>
      </c>
      <c r="Q1244" t="s">
        <v>2933</v>
      </c>
      <c r="R1244" t="s">
        <v>3314</v>
      </c>
      <c r="S1244" t="s">
        <v>2208</v>
      </c>
      <c r="T1244" t="s">
        <v>2208</v>
      </c>
    </row>
    <row r="1245" spans="1:20">
      <c r="A1245" t="s">
        <v>2348</v>
      </c>
      <c r="B1245" t="s">
        <v>11331</v>
      </c>
      <c r="C1245">
        <v>45777</v>
      </c>
      <c r="D1245" t="s">
        <v>7263</v>
      </c>
      <c r="E1245" t="s">
        <v>11332</v>
      </c>
      <c r="F1245">
        <v>45777</v>
      </c>
      <c r="G1245" t="s">
        <v>2208</v>
      </c>
      <c r="H1245" t="s">
        <v>2916</v>
      </c>
      <c r="I1245" t="s">
        <v>16421</v>
      </c>
      <c r="J1245">
        <v>0</v>
      </c>
      <c r="K1245">
        <v>0.02</v>
      </c>
      <c r="L1245" t="s">
        <v>2917</v>
      </c>
      <c r="M1245">
        <v>0</v>
      </c>
      <c r="N1245" t="s">
        <v>2918</v>
      </c>
      <c r="O1245" t="s">
        <v>2919</v>
      </c>
      <c r="P1245" t="s">
        <v>2208</v>
      </c>
      <c r="Q1245" t="s">
        <v>2916</v>
      </c>
      <c r="R1245" t="s">
        <v>3220</v>
      </c>
      <c r="S1245" t="s">
        <v>2208</v>
      </c>
      <c r="T1245" t="s">
        <v>2208</v>
      </c>
    </row>
    <row r="1246" spans="1:20">
      <c r="A1246" t="s">
        <v>2348</v>
      </c>
      <c r="B1246" t="s">
        <v>11331</v>
      </c>
      <c r="C1246">
        <v>45777</v>
      </c>
      <c r="D1246" t="s">
        <v>7263</v>
      </c>
      <c r="E1246" t="s">
        <v>11332</v>
      </c>
      <c r="F1246">
        <v>45777</v>
      </c>
      <c r="G1246" t="s">
        <v>2208</v>
      </c>
      <c r="H1246" t="s">
        <v>2916</v>
      </c>
      <c r="I1246" t="s">
        <v>16422</v>
      </c>
      <c r="J1246">
        <v>0</v>
      </c>
      <c r="K1246">
        <v>-0.04</v>
      </c>
      <c r="L1246" t="s">
        <v>2917</v>
      </c>
      <c r="M1246">
        <v>0</v>
      </c>
      <c r="N1246" t="s">
        <v>2918</v>
      </c>
      <c r="O1246" t="s">
        <v>2919</v>
      </c>
      <c r="P1246" t="s">
        <v>2208</v>
      </c>
      <c r="Q1246" t="s">
        <v>2916</v>
      </c>
      <c r="R1246" t="s">
        <v>3220</v>
      </c>
      <c r="S1246" t="s">
        <v>2208</v>
      </c>
      <c r="T1246" t="s">
        <v>2208</v>
      </c>
    </row>
    <row r="1247" spans="1:20">
      <c r="A1247" t="s">
        <v>2348</v>
      </c>
      <c r="B1247" t="s">
        <v>11331</v>
      </c>
      <c r="C1247">
        <v>45777</v>
      </c>
      <c r="D1247" t="s">
        <v>7263</v>
      </c>
      <c r="E1247" t="s">
        <v>11332</v>
      </c>
      <c r="F1247">
        <v>45777</v>
      </c>
      <c r="G1247" t="s">
        <v>2208</v>
      </c>
      <c r="H1247" t="s">
        <v>2916</v>
      </c>
      <c r="I1247" t="s">
        <v>16423</v>
      </c>
      <c r="J1247">
        <v>0</v>
      </c>
      <c r="K1247">
        <v>0.06</v>
      </c>
      <c r="L1247" t="s">
        <v>2917</v>
      </c>
      <c r="M1247">
        <v>0</v>
      </c>
      <c r="N1247" t="s">
        <v>2918</v>
      </c>
      <c r="O1247" t="s">
        <v>2919</v>
      </c>
      <c r="P1247" t="s">
        <v>2208</v>
      </c>
      <c r="Q1247" t="s">
        <v>2916</v>
      </c>
      <c r="R1247" t="s">
        <v>3220</v>
      </c>
      <c r="S1247" t="s">
        <v>2208</v>
      </c>
      <c r="T1247" t="s">
        <v>2208</v>
      </c>
    </row>
    <row r="1248" spans="1:20">
      <c r="A1248" t="s">
        <v>2348</v>
      </c>
      <c r="B1248" t="s">
        <v>11331</v>
      </c>
      <c r="C1248">
        <v>45777</v>
      </c>
      <c r="D1248" t="s">
        <v>7263</v>
      </c>
      <c r="E1248" t="s">
        <v>11332</v>
      </c>
      <c r="F1248">
        <v>45777</v>
      </c>
      <c r="G1248" t="s">
        <v>2208</v>
      </c>
      <c r="H1248" t="s">
        <v>2916</v>
      </c>
      <c r="I1248" t="s">
        <v>16424</v>
      </c>
      <c r="J1248">
        <v>0</v>
      </c>
      <c r="K1248">
        <v>0.01</v>
      </c>
      <c r="L1248" t="s">
        <v>2917</v>
      </c>
      <c r="M1248">
        <v>0</v>
      </c>
      <c r="N1248" t="s">
        <v>2918</v>
      </c>
      <c r="O1248" t="s">
        <v>2919</v>
      </c>
      <c r="P1248" t="s">
        <v>2208</v>
      </c>
      <c r="Q1248" t="s">
        <v>2916</v>
      </c>
      <c r="R1248" t="s">
        <v>3220</v>
      </c>
      <c r="S1248" t="s">
        <v>2208</v>
      </c>
      <c r="T1248" t="s">
        <v>2208</v>
      </c>
    </row>
    <row r="1249" spans="1:20">
      <c r="A1249" t="s">
        <v>2348</v>
      </c>
      <c r="B1249" t="s">
        <v>16360</v>
      </c>
      <c r="C1249">
        <v>45503</v>
      </c>
      <c r="D1249" t="s">
        <v>7263</v>
      </c>
      <c r="E1249" t="s">
        <v>16361</v>
      </c>
      <c r="F1249">
        <v>45798</v>
      </c>
      <c r="G1249" t="s">
        <v>7145</v>
      </c>
      <c r="H1249" t="s">
        <v>2916</v>
      </c>
      <c r="I1249" t="s">
        <v>17307</v>
      </c>
      <c r="J1249">
        <v>135588.98000000001</v>
      </c>
      <c r="K1249">
        <v>24067.040000000001</v>
      </c>
      <c r="L1249" t="s">
        <v>2917</v>
      </c>
      <c r="M1249">
        <v>135588.98000000001</v>
      </c>
      <c r="N1249" t="s">
        <v>2918</v>
      </c>
      <c r="O1249" t="s">
        <v>2940</v>
      </c>
      <c r="P1249" t="s">
        <v>2940</v>
      </c>
      <c r="Q1249" t="s">
        <v>2924</v>
      </c>
      <c r="R1249" t="s">
        <v>3219</v>
      </c>
      <c r="S1249" t="s">
        <v>2208</v>
      </c>
      <c r="T1249" t="s">
        <v>2208</v>
      </c>
    </row>
    <row r="1250" spans="1:20">
      <c r="A1250" t="s">
        <v>2348</v>
      </c>
      <c r="B1250" t="s">
        <v>16360</v>
      </c>
      <c r="C1250">
        <v>45503</v>
      </c>
      <c r="D1250" t="s">
        <v>7263</v>
      </c>
      <c r="E1250" t="s">
        <v>16361</v>
      </c>
      <c r="F1250">
        <v>45798</v>
      </c>
      <c r="G1250" t="s">
        <v>7145</v>
      </c>
      <c r="H1250" t="s">
        <v>2916</v>
      </c>
      <c r="I1250" t="s">
        <v>17308</v>
      </c>
      <c r="J1250">
        <v>1776597.9</v>
      </c>
      <c r="K1250">
        <v>315346.13</v>
      </c>
      <c r="L1250" t="s">
        <v>2917</v>
      </c>
      <c r="M1250">
        <v>1776597.9</v>
      </c>
      <c r="N1250" t="s">
        <v>2918</v>
      </c>
      <c r="O1250" t="s">
        <v>2940</v>
      </c>
      <c r="P1250" t="s">
        <v>2940</v>
      </c>
      <c r="Q1250" t="s">
        <v>2924</v>
      </c>
      <c r="R1250" t="s">
        <v>3219</v>
      </c>
      <c r="S1250" t="s">
        <v>2208</v>
      </c>
      <c r="T1250" t="s">
        <v>2208</v>
      </c>
    </row>
    <row r="1251" spans="1:20">
      <c r="A1251" t="s">
        <v>2348</v>
      </c>
      <c r="B1251" t="s">
        <v>16360</v>
      </c>
      <c r="C1251">
        <v>45503</v>
      </c>
      <c r="D1251" t="s">
        <v>7263</v>
      </c>
      <c r="E1251" t="s">
        <v>16361</v>
      </c>
      <c r="F1251">
        <v>45798</v>
      </c>
      <c r="G1251" t="s">
        <v>7145</v>
      </c>
      <c r="H1251" t="s">
        <v>2916</v>
      </c>
      <c r="I1251" t="s">
        <v>17309</v>
      </c>
      <c r="J1251">
        <v>13874.74</v>
      </c>
      <c r="K1251">
        <v>2462.77</v>
      </c>
      <c r="L1251" t="s">
        <v>2917</v>
      </c>
      <c r="M1251">
        <v>13874.74</v>
      </c>
      <c r="N1251" t="s">
        <v>2918</v>
      </c>
      <c r="O1251" t="s">
        <v>2940</v>
      </c>
      <c r="P1251" t="s">
        <v>2940</v>
      </c>
      <c r="Q1251" t="s">
        <v>2924</v>
      </c>
      <c r="R1251" t="s">
        <v>3219</v>
      </c>
      <c r="S1251" t="s">
        <v>2208</v>
      </c>
      <c r="T1251" t="s">
        <v>2208</v>
      </c>
    </row>
    <row r="1252" spans="1:20">
      <c r="A1252" t="s">
        <v>2348</v>
      </c>
      <c r="B1252" t="s">
        <v>16360</v>
      </c>
      <c r="C1252">
        <v>45503</v>
      </c>
      <c r="D1252" t="s">
        <v>7263</v>
      </c>
      <c r="E1252" t="s">
        <v>16361</v>
      </c>
      <c r="F1252">
        <v>45798</v>
      </c>
      <c r="G1252" t="s">
        <v>7145</v>
      </c>
      <c r="H1252" t="s">
        <v>2916</v>
      </c>
      <c r="I1252" t="s">
        <v>17310</v>
      </c>
      <c r="J1252">
        <v>28062.73</v>
      </c>
      <c r="K1252">
        <v>4981.13</v>
      </c>
      <c r="L1252" t="s">
        <v>2917</v>
      </c>
      <c r="M1252">
        <v>28062.73</v>
      </c>
      <c r="N1252" t="s">
        <v>2918</v>
      </c>
      <c r="O1252" t="s">
        <v>2940</v>
      </c>
      <c r="P1252" t="s">
        <v>2940</v>
      </c>
      <c r="Q1252" t="s">
        <v>2924</v>
      </c>
      <c r="R1252" t="s">
        <v>3219</v>
      </c>
      <c r="S1252" t="s">
        <v>2208</v>
      </c>
      <c r="T1252" t="s">
        <v>2208</v>
      </c>
    </row>
    <row r="1253" spans="1:20">
      <c r="A1253" t="s">
        <v>2348</v>
      </c>
      <c r="B1253" t="s">
        <v>16360</v>
      </c>
      <c r="C1253">
        <v>45503</v>
      </c>
      <c r="D1253" t="s">
        <v>7263</v>
      </c>
      <c r="E1253" t="s">
        <v>16361</v>
      </c>
      <c r="F1253">
        <v>45798</v>
      </c>
      <c r="G1253" t="s">
        <v>7145</v>
      </c>
      <c r="H1253" t="s">
        <v>2916</v>
      </c>
      <c r="I1253" t="s">
        <v>17311</v>
      </c>
      <c r="J1253">
        <v>307825.96999999997</v>
      </c>
      <c r="K1253">
        <v>54639.11</v>
      </c>
      <c r="L1253" t="s">
        <v>2917</v>
      </c>
      <c r="M1253">
        <v>307825.96999999997</v>
      </c>
      <c r="N1253" t="s">
        <v>2918</v>
      </c>
      <c r="O1253" t="s">
        <v>2940</v>
      </c>
      <c r="P1253" t="s">
        <v>2940</v>
      </c>
      <c r="Q1253" t="s">
        <v>2924</v>
      </c>
      <c r="R1253" t="s">
        <v>3219</v>
      </c>
      <c r="S1253" t="s">
        <v>2208</v>
      </c>
      <c r="T1253" t="s">
        <v>2208</v>
      </c>
    </row>
    <row r="1254" spans="1:20">
      <c r="A1254" t="s">
        <v>2348</v>
      </c>
      <c r="B1254" t="s">
        <v>16360</v>
      </c>
      <c r="C1254">
        <v>45503</v>
      </c>
      <c r="D1254" t="s">
        <v>7263</v>
      </c>
      <c r="E1254" t="s">
        <v>16361</v>
      </c>
      <c r="F1254">
        <v>45798</v>
      </c>
      <c r="G1254" t="s">
        <v>7145</v>
      </c>
      <c r="H1254" t="s">
        <v>2916</v>
      </c>
      <c r="I1254" t="s">
        <v>17312</v>
      </c>
      <c r="J1254">
        <v>50834.01</v>
      </c>
      <c r="K1254">
        <v>9023.0400000000009</v>
      </c>
      <c r="L1254" t="s">
        <v>2917</v>
      </c>
      <c r="M1254">
        <v>50834.01</v>
      </c>
      <c r="N1254" t="s">
        <v>2918</v>
      </c>
      <c r="O1254" t="s">
        <v>2940</v>
      </c>
      <c r="P1254" t="s">
        <v>2940</v>
      </c>
      <c r="Q1254" t="s">
        <v>2924</v>
      </c>
      <c r="R1254" t="s">
        <v>3219</v>
      </c>
      <c r="S1254" t="s">
        <v>2208</v>
      </c>
      <c r="T1254" t="s">
        <v>2208</v>
      </c>
    </row>
    <row r="1255" spans="1:20">
      <c r="A1255" t="s">
        <v>2348</v>
      </c>
      <c r="B1255" t="s">
        <v>16360</v>
      </c>
      <c r="C1255">
        <v>45799</v>
      </c>
      <c r="D1255" t="s">
        <v>7263</v>
      </c>
      <c r="E1255" t="s">
        <v>16361</v>
      </c>
      <c r="F1255">
        <v>45803</v>
      </c>
      <c r="G1255" t="s">
        <v>7145</v>
      </c>
      <c r="H1255" t="s">
        <v>2916</v>
      </c>
      <c r="I1255" t="s">
        <v>17618</v>
      </c>
      <c r="J1255">
        <v>0</v>
      </c>
      <c r="K1255">
        <v>-29169.52</v>
      </c>
      <c r="L1255" t="s">
        <v>2917</v>
      </c>
      <c r="M1255">
        <v>-164335.31</v>
      </c>
      <c r="N1255" t="s">
        <v>2918</v>
      </c>
      <c r="O1255" t="s">
        <v>17619</v>
      </c>
      <c r="P1255" t="s">
        <v>2940</v>
      </c>
      <c r="Q1255" t="s">
        <v>2924</v>
      </c>
      <c r="R1255" t="s">
        <v>3219</v>
      </c>
      <c r="S1255" t="s">
        <v>2208</v>
      </c>
      <c r="T1255" t="s">
        <v>2208</v>
      </c>
    </row>
    <row r="1256" spans="1:20">
      <c r="A1256" t="s">
        <v>2348</v>
      </c>
      <c r="B1256" t="s">
        <v>16360</v>
      </c>
      <c r="C1256">
        <v>45799</v>
      </c>
      <c r="D1256" t="s">
        <v>7263</v>
      </c>
      <c r="E1256" t="s">
        <v>16361</v>
      </c>
      <c r="F1256">
        <v>45803</v>
      </c>
      <c r="G1256" t="s">
        <v>7145</v>
      </c>
      <c r="H1256" t="s">
        <v>2916</v>
      </c>
      <c r="I1256" t="s">
        <v>17620</v>
      </c>
      <c r="J1256">
        <v>0</v>
      </c>
      <c r="K1256">
        <v>-227.81</v>
      </c>
      <c r="L1256" t="s">
        <v>2917</v>
      </c>
      <c r="M1256">
        <v>-1283.4100000000001</v>
      </c>
      <c r="N1256" t="s">
        <v>2918</v>
      </c>
      <c r="O1256" t="s">
        <v>17621</v>
      </c>
      <c r="P1256" t="s">
        <v>2940</v>
      </c>
      <c r="Q1256" t="s">
        <v>2924</v>
      </c>
      <c r="R1256" t="s">
        <v>3219</v>
      </c>
      <c r="S1256" t="s">
        <v>2208</v>
      </c>
      <c r="T1256" t="s">
        <v>2208</v>
      </c>
    </row>
    <row r="1257" spans="1:20">
      <c r="A1257" t="s">
        <v>2348</v>
      </c>
      <c r="B1257" t="s">
        <v>16360</v>
      </c>
      <c r="C1257">
        <v>45799</v>
      </c>
      <c r="D1257" t="s">
        <v>7263</v>
      </c>
      <c r="E1257" t="s">
        <v>16361</v>
      </c>
      <c r="F1257">
        <v>45803</v>
      </c>
      <c r="G1257" t="s">
        <v>7145</v>
      </c>
      <c r="H1257" t="s">
        <v>2916</v>
      </c>
      <c r="I1257" t="s">
        <v>17622</v>
      </c>
      <c r="J1257">
        <v>0</v>
      </c>
      <c r="K1257">
        <v>-460.75</v>
      </c>
      <c r="L1257" t="s">
        <v>2917</v>
      </c>
      <c r="M1257">
        <v>-2595.81</v>
      </c>
      <c r="N1257" t="s">
        <v>2918</v>
      </c>
      <c r="O1257" t="s">
        <v>17623</v>
      </c>
      <c r="P1257" t="s">
        <v>2940</v>
      </c>
      <c r="Q1257" t="s">
        <v>2924</v>
      </c>
      <c r="R1257" t="s">
        <v>3219</v>
      </c>
      <c r="S1257" t="s">
        <v>2208</v>
      </c>
      <c r="T1257" t="s">
        <v>2208</v>
      </c>
    </row>
    <row r="1258" spans="1:20">
      <c r="A1258" t="s">
        <v>2348</v>
      </c>
      <c r="B1258" t="s">
        <v>16360</v>
      </c>
      <c r="C1258">
        <v>45799</v>
      </c>
      <c r="D1258" t="s">
        <v>7263</v>
      </c>
      <c r="E1258" t="s">
        <v>16361</v>
      </c>
      <c r="F1258">
        <v>45803</v>
      </c>
      <c r="G1258" t="s">
        <v>7145</v>
      </c>
      <c r="H1258" t="s">
        <v>2916</v>
      </c>
      <c r="I1258" t="s">
        <v>17624</v>
      </c>
      <c r="J1258">
        <v>0</v>
      </c>
      <c r="K1258">
        <v>-5054.12</v>
      </c>
      <c r="L1258" t="s">
        <v>2917</v>
      </c>
      <c r="M1258">
        <v>-28473.9</v>
      </c>
      <c r="N1258" t="s">
        <v>2918</v>
      </c>
      <c r="O1258" t="s">
        <v>17625</v>
      </c>
      <c r="P1258" t="s">
        <v>2940</v>
      </c>
      <c r="Q1258" t="s">
        <v>2924</v>
      </c>
      <c r="R1258" t="s">
        <v>3219</v>
      </c>
      <c r="S1258" t="s">
        <v>2208</v>
      </c>
      <c r="T1258" t="s">
        <v>2208</v>
      </c>
    </row>
    <row r="1259" spans="1:20">
      <c r="A1259" t="s">
        <v>2348</v>
      </c>
      <c r="B1259" t="s">
        <v>16360</v>
      </c>
      <c r="C1259">
        <v>45799</v>
      </c>
      <c r="D1259" t="s">
        <v>7263</v>
      </c>
      <c r="E1259" t="s">
        <v>16361</v>
      </c>
      <c r="F1259">
        <v>45804</v>
      </c>
      <c r="G1259" t="s">
        <v>7145</v>
      </c>
      <c r="H1259" t="s">
        <v>2916</v>
      </c>
      <c r="I1259" t="s">
        <v>17754</v>
      </c>
      <c r="J1259">
        <v>0</v>
      </c>
      <c r="K1259">
        <v>-2226.1999999999998</v>
      </c>
      <c r="L1259" t="s">
        <v>2917</v>
      </c>
      <c r="M1259">
        <v>-12541.98</v>
      </c>
      <c r="N1259" t="s">
        <v>2918</v>
      </c>
      <c r="O1259" t="s">
        <v>17755</v>
      </c>
      <c r="P1259" t="s">
        <v>2940</v>
      </c>
      <c r="Q1259" t="s">
        <v>2924</v>
      </c>
      <c r="R1259" t="s">
        <v>3219</v>
      </c>
      <c r="S1259" t="s">
        <v>2208</v>
      </c>
      <c r="T1259" t="s">
        <v>2208</v>
      </c>
    </row>
    <row r="1260" spans="1:20">
      <c r="A1260" t="s">
        <v>2348</v>
      </c>
      <c r="B1260" t="s">
        <v>16360</v>
      </c>
      <c r="C1260">
        <v>45808</v>
      </c>
      <c r="D1260" t="s">
        <v>7263</v>
      </c>
      <c r="E1260" t="s">
        <v>16361</v>
      </c>
      <c r="F1260">
        <v>45808</v>
      </c>
      <c r="G1260" t="s">
        <v>2208</v>
      </c>
      <c r="H1260" t="s">
        <v>2916</v>
      </c>
      <c r="I1260" t="s">
        <v>17870</v>
      </c>
      <c r="J1260">
        <v>0</v>
      </c>
      <c r="K1260">
        <v>0.02</v>
      </c>
      <c r="L1260" t="s">
        <v>2917</v>
      </c>
      <c r="M1260">
        <v>0</v>
      </c>
      <c r="N1260" t="s">
        <v>2918</v>
      </c>
      <c r="O1260" t="s">
        <v>2919</v>
      </c>
      <c r="P1260" t="s">
        <v>2208</v>
      </c>
      <c r="Q1260" t="s">
        <v>2916</v>
      </c>
      <c r="R1260" t="s">
        <v>3220</v>
      </c>
      <c r="S1260" t="s">
        <v>2208</v>
      </c>
      <c r="T1260" t="s">
        <v>2208</v>
      </c>
    </row>
    <row r="1261" spans="1:20">
      <c r="A1261" t="s">
        <v>2348</v>
      </c>
      <c r="B1261" t="s">
        <v>17897</v>
      </c>
      <c r="C1261">
        <v>45805</v>
      </c>
      <c r="D1261" t="s">
        <v>7263</v>
      </c>
      <c r="E1261" t="s">
        <v>17898</v>
      </c>
      <c r="F1261">
        <v>45812</v>
      </c>
      <c r="G1261" t="s">
        <v>7145</v>
      </c>
      <c r="H1261" t="s">
        <v>2916</v>
      </c>
      <c r="I1261" t="s">
        <v>18474</v>
      </c>
      <c r="J1261">
        <v>0</v>
      </c>
      <c r="K1261">
        <v>-894.6</v>
      </c>
      <c r="L1261" t="s">
        <v>2917</v>
      </c>
      <c r="M1261">
        <v>-4702.1400000000003</v>
      </c>
      <c r="N1261" t="s">
        <v>2918</v>
      </c>
      <c r="O1261" t="s">
        <v>18475</v>
      </c>
      <c r="P1261" t="s">
        <v>2940</v>
      </c>
      <c r="Q1261" t="s">
        <v>2924</v>
      </c>
      <c r="R1261" t="s">
        <v>3219</v>
      </c>
      <c r="S1261" t="s">
        <v>2208</v>
      </c>
      <c r="T1261" t="s">
        <v>2208</v>
      </c>
    </row>
    <row r="1262" spans="1:20">
      <c r="A1262" t="s">
        <v>2348</v>
      </c>
      <c r="B1262" t="s">
        <v>17897</v>
      </c>
      <c r="C1262">
        <v>45807</v>
      </c>
      <c r="D1262" t="s">
        <v>7263</v>
      </c>
      <c r="E1262" t="s">
        <v>17898</v>
      </c>
      <c r="F1262">
        <v>45824</v>
      </c>
      <c r="G1262" t="s">
        <v>15904</v>
      </c>
      <c r="H1262" t="s">
        <v>2916</v>
      </c>
      <c r="I1262" t="s">
        <v>18613</v>
      </c>
      <c r="J1262">
        <v>1</v>
      </c>
      <c r="K1262">
        <v>23282.79</v>
      </c>
      <c r="L1262" t="s">
        <v>2917</v>
      </c>
      <c r="M1262">
        <v>132138.41</v>
      </c>
      <c r="N1262" t="s">
        <v>2918</v>
      </c>
      <c r="O1262" t="s">
        <v>18614</v>
      </c>
      <c r="P1262" t="s">
        <v>18615</v>
      </c>
      <c r="Q1262" t="s">
        <v>2924</v>
      </c>
      <c r="R1262" t="s">
        <v>3219</v>
      </c>
      <c r="S1262" t="s">
        <v>18616</v>
      </c>
      <c r="T1262" t="s">
        <v>18617</v>
      </c>
    </row>
    <row r="1263" spans="1:20">
      <c r="A1263" t="s">
        <v>2348</v>
      </c>
      <c r="B1263" t="s">
        <v>17897</v>
      </c>
      <c r="C1263">
        <v>45807</v>
      </c>
      <c r="D1263" t="s">
        <v>7263</v>
      </c>
      <c r="E1263" t="s">
        <v>17898</v>
      </c>
      <c r="F1263">
        <v>45824</v>
      </c>
      <c r="G1263" t="s">
        <v>15904</v>
      </c>
      <c r="H1263" t="s">
        <v>2916</v>
      </c>
      <c r="I1263" t="s">
        <v>18618</v>
      </c>
      <c r="J1263">
        <v>0</v>
      </c>
      <c r="K1263">
        <v>-217.85</v>
      </c>
      <c r="L1263" t="s">
        <v>2917</v>
      </c>
      <c r="M1263">
        <v>-1236.3599999999999</v>
      </c>
      <c r="N1263" t="s">
        <v>2918</v>
      </c>
      <c r="O1263" t="s">
        <v>18619</v>
      </c>
      <c r="P1263" t="s">
        <v>18615</v>
      </c>
      <c r="Q1263" t="s">
        <v>2924</v>
      </c>
      <c r="R1263" t="s">
        <v>3219</v>
      </c>
      <c r="S1263" t="s">
        <v>18616</v>
      </c>
      <c r="T1263" t="s">
        <v>18617</v>
      </c>
    </row>
    <row r="1264" spans="1:20">
      <c r="A1264" t="s">
        <v>2348</v>
      </c>
      <c r="B1264" t="s">
        <v>17897</v>
      </c>
      <c r="C1264">
        <v>45503</v>
      </c>
      <c r="D1264" t="s">
        <v>7263</v>
      </c>
      <c r="E1264" t="s">
        <v>17898</v>
      </c>
      <c r="F1264">
        <v>45828</v>
      </c>
      <c r="G1264" t="s">
        <v>7145</v>
      </c>
      <c r="H1264" t="s">
        <v>2916</v>
      </c>
      <c r="I1264" t="s">
        <v>18869</v>
      </c>
      <c r="J1264">
        <v>1775807.4</v>
      </c>
      <c r="K1264">
        <v>312897.26</v>
      </c>
      <c r="L1264" t="s">
        <v>2917</v>
      </c>
      <c r="M1264">
        <v>1775807.4</v>
      </c>
      <c r="N1264" t="s">
        <v>2918</v>
      </c>
      <c r="O1264" t="s">
        <v>2940</v>
      </c>
      <c r="P1264" t="s">
        <v>2940</v>
      </c>
      <c r="Q1264" t="s">
        <v>2924</v>
      </c>
      <c r="R1264" t="s">
        <v>3219</v>
      </c>
      <c r="S1264" t="s">
        <v>2208</v>
      </c>
      <c r="T1264" t="s">
        <v>2208</v>
      </c>
    </row>
    <row r="1265" spans="1:20">
      <c r="A1265" t="s">
        <v>2348</v>
      </c>
      <c r="B1265" t="s">
        <v>17897</v>
      </c>
      <c r="C1265">
        <v>45503</v>
      </c>
      <c r="D1265" t="s">
        <v>7263</v>
      </c>
      <c r="E1265" t="s">
        <v>17898</v>
      </c>
      <c r="F1265">
        <v>45828</v>
      </c>
      <c r="G1265" t="s">
        <v>7145</v>
      </c>
      <c r="H1265" t="s">
        <v>2916</v>
      </c>
      <c r="I1265" t="s">
        <v>18870</v>
      </c>
      <c r="J1265">
        <v>28948.53</v>
      </c>
      <c r="K1265">
        <v>5100.7299999999996</v>
      </c>
      <c r="L1265" t="s">
        <v>2917</v>
      </c>
      <c r="M1265">
        <v>28948.53</v>
      </c>
      <c r="N1265" t="s">
        <v>2918</v>
      </c>
      <c r="O1265" t="s">
        <v>2940</v>
      </c>
      <c r="P1265" t="s">
        <v>2940</v>
      </c>
      <c r="Q1265" t="s">
        <v>2924</v>
      </c>
      <c r="R1265" t="s">
        <v>3219</v>
      </c>
      <c r="S1265" t="s">
        <v>2208</v>
      </c>
      <c r="T1265" t="s">
        <v>2208</v>
      </c>
    </row>
    <row r="1266" spans="1:20">
      <c r="A1266" t="s">
        <v>2348</v>
      </c>
      <c r="B1266" t="s">
        <v>17897</v>
      </c>
      <c r="C1266">
        <v>45503</v>
      </c>
      <c r="D1266" t="s">
        <v>7263</v>
      </c>
      <c r="E1266" t="s">
        <v>17898</v>
      </c>
      <c r="F1266">
        <v>45828</v>
      </c>
      <c r="G1266" t="s">
        <v>7145</v>
      </c>
      <c r="H1266" t="s">
        <v>2916</v>
      </c>
      <c r="I1266" t="s">
        <v>18871</v>
      </c>
      <c r="J1266">
        <v>84188.18</v>
      </c>
      <c r="K1266">
        <v>14833.96</v>
      </c>
      <c r="L1266" t="s">
        <v>2917</v>
      </c>
      <c r="M1266">
        <v>84188.18</v>
      </c>
      <c r="N1266" t="s">
        <v>2918</v>
      </c>
      <c r="O1266" t="s">
        <v>2940</v>
      </c>
      <c r="P1266" t="s">
        <v>2940</v>
      </c>
      <c r="Q1266" t="s">
        <v>2924</v>
      </c>
      <c r="R1266" t="s">
        <v>3219</v>
      </c>
      <c r="S1266" t="s">
        <v>2208</v>
      </c>
      <c r="T1266" t="s">
        <v>2208</v>
      </c>
    </row>
    <row r="1267" spans="1:20">
      <c r="A1267" t="s">
        <v>2348</v>
      </c>
      <c r="B1267" t="s">
        <v>17897</v>
      </c>
      <c r="C1267">
        <v>45503</v>
      </c>
      <c r="D1267" t="s">
        <v>7263</v>
      </c>
      <c r="E1267" t="s">
        <v>17898</v>
      </c>
      <c r="F1267">
        <v>45828</v>
      </c>
      <c r="G1267" t="s">
        <v>7145</v>
      </c>
      <c r="H1267" t="s">
        <v>2916</v>
      </c>
      <c r="I1267" t="s">
        <v>18872</v>
      </c>
      <c r="J1267">
        <v>58653.760000000002</v>
      </c>
      <c r="K1267">
        <v>10334.790000000001</v>
      </c>
      <c r="L1267" t="s">
        <v>2917</v>
      </c>
      <c r="M1267">
        <v>58653.760000000002</v>
      </c>
      <c r="N1267" t="s">
        <v>2918</v>
      </c>
      <c r="O1267" t="s">
        <v>2940</v>
      </c>
      <c r="P1267" t="s">
        <v>2940</v>
      </c>
      <c r="Q1267" t="s">
        <v>2924</v>
      </c>
      <c r="R1267" t="s">
        <v>3219</v>
      </c>
      <c r="S1267" t="s">
        <v>2208</v>
      </c>
      <c r="T1267" t="s">
        <v>2208</v>
      </c>
    </row>
    <row r="1268" spans="1:20">
      <c r="A1268" t="s">
        <v>2348</v>
      </c>
      <c r="B1268" t="s">
        <v>17897</v>
      </c>
      <c r="C1268">
        <v>45503</v>
      </c>
      <c r="D1268" t="s">
        <v>7263</v>
      </c>
      <c r="E1268" t="s">
        <v>17898</v>
      </c>
      <c r="F1268">
        <v>45828</v>
      </c>
      <c r="G1268" t="s">
        <v>7145</v>
      </c>
      <c r="H1268" t="s">
        <v>2916</v>
      </c>
      <c r="I1268" t="s">
        <v>18873</v>
      </c>
      <c r="J1268">
        <v>141117.06</v>
      </c>
      <c r="K1268">
        <v>24864.83</v>
      </c>
      <c r="L1268" t="s">
        <v>2917</v>
      </c>
      <c r="M1268">
        <v>141117.06</v>
      </c>
      <c r="N1268" t="s">
        <v>2918</v>
      </c>
      <c r="O1268" t="s">
        <v>2940</v>
      </c>
      <c r="P1268" t="s">
        <v>2940</v>
      </c>
      <c r="Q1268" t="s">
        <v>2924</v>
      </c>
      <c r="R1268" t="s">
        <v>3219</v>
      </c>
      <c r="S1268" t="s">
        <v>2208</v>
      </c>
      <c r="T1268" t="s">
        <v>2208</v>
      </c>
    </row>
    <row r="1269" spans="1:20">
      <c r="A1269" t="s">
        <v>2348</v>
      </c>
      <c r="B1269" t="s">
        <v>17897</v>
      </c>
      <c r="C1269">
        <v>45831</v>
      </c>
      <c r="D1269" t="s">
        <v>7263</v>
      </c>
      <c r="E1269" t="s">
        <v>17898</v>
      </c>
      <c r="F1269">
        <v>45832</v>
      </c>
      <c r="G1269" t="s">
        <v>7145</v>
      </c>
      <c r="H1269" t="s">
        <v>2916</v>
      </c>
      <c r="I1269" t="s">
        <v>19019</v>
      </c>
      <c r="J1269">
        <v>0</v>
      </c>
      <c r="K1269">
        <v>-28942.99</v>
      </c>
      <c r="L1269" t="s">
        <v>2917</v>
      </c>
      <c r="M1269">
        <v>-164262.18</v>
      </c>
      <c r="N1269" t="s">
        <v>2918</v>
      </c>
      <c r="O1269" t="s">
        <v>19020</v>
      </c>
      <c r="P1269" t="s">
        <v>2940</v>
      </c>
      <c r="Q1269" t="s">
        <v>2924</v>
      </c>
      <c r="R1269" t="s">
        <v>3219</v>
      </c>
      <c r="S1269" t="s">
        <v>2208</v>
      </c>
      <c r="T1269" t="s">
        <v>2208</v>
      </c>
    </row>
    <row r="1270" spans="1:20">
      <c r="A1270" t="s">
        <v>2348</v>
      </c>
      <c r="B1270" t="s">
        <v>17897</v>
      </c>
      <c r="C1270">
        <v>45831</v>
      </c>
      <c r="D1270" t="s">
        <v>7263</v>
      </c>
      <c r="E1270" t="s">
        <v>17898</v>
      </c>
      <c r="F1270">
        <v>45833</v>
      </c>
      <c r="G1270" t="s">
        <v>7145</v>
      </c>
      <c r="H1270" t="s">
        <v>2916</v>
      </c>
      <c r="I1270" t="s">
        <v>19105</v>
      </c>
      <c r="J1270">
        <v>0</v>
      </c>
      <c r="K1270">
        <v>-2300</v>
      </c>
      <c r="L1270" t="s">
        <v>2917</v>
      </c>
      <c r="M1270">
        <v>-13053.33</v>
      </c>
      <c r="N1270" t="s">
        <v>2918</v>
      </c>
      <c r="O1270" t="s">
        <v>19106</v>
      </c>
      <c r="P1270" t="s">
        <v>2940</v>
      </c>
      <c r="Q1270" t="s">
        <v>2924</v>
      </c>
      <c r="R1270" t="s">
        <v>3219</v>
      </c>
      <c r="S1270" t="s">
        <v>2208</v>
      </c>
      <c r="T1270" t="s">
        <v>2208</v>
      </c>
    </row>
    <row r="1271" spans="1:20">
      <c r="A1271" t="s">
        <v>2348</v>
      </c>
      <c r="B1271" t="s">
        <v>17897</v>
      </c>
      <c r="C1271">
        <v>45831</v>
      </c>
      <c r="D1271" t="s">
        <v>7263</v>
      </c>
      <c r="E1271" t="s">
        <v>17898</v>
      </c>
      <c r="F1271">
        <v>45833</v>
      </c>
      <c r="G1271" t="s">
        <v>7145</v>
      </c>
      <c r="H1271" t="s">
        <v>2916</v>
      </c>
      <c r="I1271" t="s">
        <v>19107</v>
      </c>
      <c r="J1271">
        <v>0</v>
      </c>
      <c r="K1271">
        <v>-1372.14</v>
      </c>
      <c r="L1271" t="s">
        <v>2917</v>
      </c>
      <c r="M1271">
        <v>-7787.4</v>
      </c>
      <c r="N1271" t="s">
        <v>2918</v>
      </c>
      <c r="O1271" t="s">
        <v>19108</v>
      </c>
      <c r="P1271" t="s">
        <v>2940</v>
      </c>
      <c r="Q1271" t="s">
        <v>2924</v>
      </c>
      <c r="R1271" t="s">
        <v>3219</v>
      </c>
      <c r="S1271" t="s">
        <v>2208</v>
      </c>
      <c r="T1271" t="s">
        <v>2208</v>
      </c>
    </row>
    <row r="1272" spans="1:20">
      <c r="A1272" t="s">
        <v>2348</v>
      </c>
      <c r="B1272" t="s">
        <v>17897</v>
      </c>
      <c r="C1272">
        <v>45831</v>
      </c>
      <c r="D1272" t="s">
        <v>7263</v>
      </c>
      <c r="E1272" t="s">
        <v>17898</v>
      </c>
      <c r="F1272">
        <v>45833</v>
      </c>
      <c r="G1272" t="s">
        <v>7145</v>
      </c>
      <c r="H1272" t="s">
        <v>2916</v>
      </c>
      <c r="I1272" t="s">
        <v>19109</v>
      </c>
      <c r="J1272">
        <v>0</v>
      </c>
      <c r="K1272">
        <v>-955.97</v>
      </c>
      <c r="L1272" t="s">
        <v>2917</v>
      </c>
      <c r="M1272">
        <v>-5425.48</v>
      </c>
      <c r="N1272" t="s">
        <v>2918</v>
      </c>
      <c r="O1272" t="s">
        <v>19110</v>
      </c>
      <c r="P1272" t="s">
        <v>2940</v>
      </c>
      <c r="Q1272" t="s">
        <v>2924</v>
      </c>
      <c r="R1272" t="s">
        <v>3219</v>
      </c>
      <c r="S1272" t="s">
        <v>2208</v>
      </c>
      <c r="T1272" t="s">
        <v>2208</v>
      </c>
    </row>
    <row r="1273" spans="1:20">
      <c r="A1273" t="s">
        <v>2348</v>
      </c>
      <c r="B1273" t="s">
        <v>17897</v>
      </c>
      <c r="C1273">
        <v>45831</v>
      </c>
      <c r="D1273" t="s">
        <v>7263</v>
      </c>
      <c r="E1273" t="s">
        <v>17898</v>
      </c>
      <c r="F1273">
        <v>45833</v>
      </c>
      <c r="G1273" t="s">
        <v>7145</v>
      </c>
      <c r="H1273" t="s">
        <v>2916</v>
      </c>
      <c r="I1273" t="s">
        <v>19111</v>
      </c>
      <c r="J1273">
        <v>0</v>
      </c>
      <c r="K1273">
        <v>-471.82</v>
      </c>
      <c r="L1273" t="s">
        <v>2917</v>
      </c>
      <c r="M1273">
        <v>-2677.74</v>
      </c>
      <c r="N1273" t="s">
        <v>2918</v>
      </c>
      <c r="O1273" t="s">
        <v>19112</v>
      </c>
      <c r="P1273" t="s">
        <v>2940</v>
      </c>
      <c r="Q1273" t="s">
        <v>2924</v>
      </c>
      <c r="R1273" t="s">
        <v>3219</v>
      </c>
      <c r="S1273" t="s">
        <v>2208</v>
      </c>
      <c r="T1273" t="s">
        <v>2208</v>
      </c>
    </row>
    <row r="1274" spans="1:20">
      <c r="A1274" t="s">
        <v>2348</v>
      </c>
      <c r="B1274" t="s">
        <v>17897</v>
      </c>
      <c r="C1274">
        <v>45835</v>
      </c>
      <c r="D1274" t="s">
        <v>7263</v>
      </c>
      <c r="E1274" t="s">
        <v>17898</v>
      </c>
      <c r="F1274">
        <v>45835</v>
      </c>
      <c r="G1274" t="s">
        <v>2208</v>
      </c>
      <c r="H1274" t="s">
        <v>2916</v>
      </c>
      <c r="I1274" t="s">
        <v>19152</v>
      </c>
      <c r="J1274">
        <v>0</v>
      </c>
      <c r="K1274">
        <v>-1935.92</v>
      </c>
      <c r="L1274" t="s">
        <v>2917</v>
      </c>
      <c r="M1274">
        <v>-10987.06</v>
      </c>
      <c r="N1274" t="s">
        <v>2918</v>
      </c>
      <c r="O1274" t="s">
        <v>19153</v>
      </c>
      <c r="P1274" t="s">
        <v>2208</v>
      </c>
      <c r="Q1274" t="s">
        <v>2933</v>
      </c>
      <c r="R1274" t="s">
        <v>3314</v>
      </c>
      <c r="S1274" t="s">
        <v>2208</v>
      </c>
      <c r="T1274" t="s">
        <v>2208</v>
      </c>
    </row>
    <row r="1275" spans="1:20">
      <c r="A1275" t="s">
        <v>2348</v>
      </c>
      <c r="B1275" t="s">
        <v>17897</v>
      </c>
      <c r="C1275">
        <v>45838</v>
      </c>
      <c r="D1275" t="s">
        <v>7263</v>
      </c>
      <c r="E1275" t="s">
        <v>17898</v>
      </c>
      <c r="F1275">
        <v>45838</v>
      </c>
      <c r="G1275" t="s">
        <v>2208</v>
      </c>
      <c r="H1275" t="s">
        <v>2916</v>
      </c>
      <c r="I1275" t="s">
        <v>19265</v>
      </c>
      <c r="J1275">
        <v>0</v>
      </c>
      <c r="K1275">
        <v>0.01</v>
      </c>
      <c r="L1275" t="s">
        <v>2917</v>
      </c>
      <c r="M1275">
        <v>0</v>
      </c>
      <c r="N1275" t="s">
        <v>2918</v>
      </c>
      <c r="O1275" t="s">
        <v>2919</v>
      </c>
      <c r="P1275" t="s">
        <v>2208</v>
      </c>
      <c r="Q1275" t="s">
        <v>2916</v>
      </c>
      <c r="R1275" t="s">
        <v>3220</v>
      </c>
      <c r="S1275" t="s">
        <v>2208</v>
      </c>
      <c r="T1275" t="s">
        <v>2208</v>
      </c>
    </row>
    <row r="1276" spans="1:20">
      <c r="A1276" t="s">
        <v>2348</v>
      </c>
      <c r="B1276" t="s">
        <v>17897</v>
      </c>
      <c r="C1276">
        <v>45838</v>
      </c>
      <c r="D1276" t="s">
        <v>7263</v>
      </c>
      <c r="E1276" t="s">
        <v>17898</v>
      </c>
      <c r="F1276">
        <v>45838</v>
      </c>
      <c r="G1276" t="s">
        <v>2208</v>
      </c>
      <c r="H1276" t="s">
        <v>2916</v>
      </c>
      <c r="I1276" t="s">
        <v>19266</v>
      </c>
      <c r="J1276">
        <v>0</v>
      </c>
      <c r="K1276">
        <v>66.14</v>
      </c>
      <c r="L1276" t="s">
        <v>2917</v>
      </c>
      <c r="M1276">
        <v>0</v>
      </c>
      <c r="N1276" t="s">
        <v>2918</v>
      </c>
      <c r="O1276" t="s">
        <v>2919</v>
      </c>
      <c r="P1276" t="s">
        <v>2208</v>
      </c>
      <c r="Q1276" t="s">
        <v>2916</v>
      </c>
      <c r="R1276" t="s">
        <v>3220</v>
      </c>
      <c r="S1276" t="s">
        <v>2208</v>
      </c>
      <c r="T1276" t="s">
        <v>2208</v>
      </c>
    </row>
    <row r="1277" spans="1:20">
      <c r="A1277" t="s">
        <v>2348</v>
      </c>
      <c r="B1277" t="s">
        <v>17897</v>
      </c>
      <c r="C1277">
        <v>45838</v>
      </c>
      <c r="D1277" t="s">
        <v>7263</v>
      </c>
      <c r="E1277" t="s">
        <v>17898</v>
      </c>
      <c r="F1277">
        <v>45838</v>
      </c>
      <c r="G1277" t="s">
        <v>2208</v>
      </c>
      <c r="H1277" t="s">
        <v>2916</v>
      </c>
      <c r="I1277" t="s">
        <v>19267</v>
      </c>
      <c r="J1277">
        <v>0</v>
      </c>
      <c r="K1277">
        <v>-0.01</v>
      </c>
      <c r="L1277" t="s">
        <v>2917</v>
      </c>
      <c r="M1277">
        <v>0</v>
      </c>
      <c r="N1277" t="s">
        <v>2918</v>
      </c>
      <c r="O1277" t="s">
        <v>2919</v>
      </c>
      <c r="P1277" t="s">
        <v>2208</v>
      </c>
      <c r="Q1277" t="s">
        <v>2916</v>
      </c>
      <c r="R1277" t="s">
        <v>3220</v>
      </c>
      <c r="S1277" t="s">
        <v>2208</v>
      </c>
      <c r="T1277" t="s">
        <v>2208</v>
      </c>
    </row>
    <row r="1278" spans="1:20">
      <c r="A1278" t="s">
        <v>2348</v>
      </c>
      <c r="B1278" t="s">
        <v>2920</v>
      </c>
      <c r="C1278">
        <v>45566</v>
      </c>
      <c r="D1278" t="s">
        <v>7263</v>
      </c>
      <c r="E1278" t="s">
        <v>2921</v>
      </c>
      <c r="F1278">
        <v>45684</v>
      </c>
      <c r="G1278" t="s">
        <v>7710</v>
      </c>
      <c r="H1278" t="s">
        <v>2916</v>
      </c>
      <c r="I1278" t="s">
        <v>7711</v>
      </c>
      <c r="J1278">
        <v>10458.36</v>
      </c>
      <c r="K1278">
        <v>1693.52</v>
      </c>
      <c r="L1278" t="s">
        <v>2917</v>
      </c>
      <c r="M1278">
        <v>10458.36</v>
      </c>
      <c r="N1278" t="s">
        <v>2918</v>
      </c>
      <c r="O1278" t="s">
        <v>2939</v>
      </c>
      <c r="P1278" t="s">
        <v>2939</v>
      </c>
      <c r="Q1278" t="s">
        <v>2924</v>
      </c>
      <c r="R1278" t="s">
        <v>3219</v>
      </c>
      <c r="S1278" t="s">
        <v>2208</v>
      </c>
      <c r="T1278" t="s">
        <v>2208</v>
      </c>
    </row>
    <row r="1279" spans="1:20">
      <c r="A1279" t="s">
        <v>2348</v>
      </c>
      <c r="B1279" t="s">
        <v>2920</v>
      </c>
      <c r="C1279">
        <v>45538</v>
      </c>
      <c r="D1279" t="s">
        <v>7263</v>
      </c>
      <c r="E1279" t="s">
        <v>2921</v>
      </c>
      <c r="F1279">
        <v>45684</v>
      </c>
      <c r="G1279" t="s">
        <v>7712</v>
      </c>
      <c r="H1279" t="s">
        <v>2916</v>
      </c>
      <c r="I1279" t="s">
        <v>7713</v>
      </c>
      <c r="J1279">
        <v>17750</v>
      </c>
      <c r="K1279">
        <v>2874.26</v>
      </c>
      <c r="L1279" t="s">
        <v>2917</v>
      </c>
      <c r="M1279">
        <v>17750</v>
      </c>
      <c r="N1279" t="s">
        <v>2918</v>
      </c>
      <c r="O1279" t="s">
        <v>2939</v>
      </c>
      <c r="P1279" t="s">
        <v>2939</v>
      </c>
      <c r="Q1279" t="s">
        <v>2924</v>
      </c>
      <c r="R1279" t="s">
        <v>3219</v>
      </c>
      <c r="S1279" t="s">
        <v>2208</v>
      </c>
      <c r="T1279" t="s">
        <v>2208</v>
      </c>
    </row>
    <row r="1280" spans="1:20">
      <c r="A1280" t="s">
        <v>2348</v>
      </c>
      <c r="B1280" t="s">
        <v>2920</v>
      </c>
      <c r="C1280">
        <v>45684</v>
      </c>
      <c r="D1280" t="s">
        <v>7263</v>
      </c>
      <c r="E1280" t="s">
        <v>2921</v>
      </c>
      <c r="F1280">
        <v>45685</v>
      </c>
      <c r="G1280" t="s">
        <v>7712</v>
      </c>
      <c r="H1280" t="s">
        <v>2916</v>
      </c>
      <c r="I1280" t="s">
        <v>7714</v>
      </c>
      <c r="J1280">
        <v>0</v>
      </c>
      <c r="K1280">
        <v>-265.87</v>
      </c>
      <c r="L1280" t="s">
        <v>2917</v>
      </c>
      <c r="M1280">
        <v>-1641.88</v>
      </c>
      <c r="N1280" t="s">
        <v>2918</v>
      </c>
      <c r="O1280" t="s">
        <v>7715</v>
      </c>
      <c r="P1280" t="s">
        <v>2939</v>
      </c>
      <c r="Q1280" t="s">
        <v>2924</v>
      </c>
      <c r="R1280" t="s">
        <v>3219</v>
      </c>
      <c r="S1280" t="s">
        <v>2208</v>
      </c>
      <c r="T1280" t="s">
        <v>2208</v>
      </c>
    </row>
    <row r="1281" spans="1:20">
      <c r="A1281" t="s">
        <v>2348</v>
      </c>
      <c r="B1281" t="s">
        <v>2920</v>
      </c>
      <c r="C1281">
        <v>45688</v>
      </c>
      <c r="D1281" t="s">
        <v>7263</v>
      </c>
      <c r="E1281" t="s">
        <v>2921</v>
      </c>
      <c r="F1281">
        <v>45688</v>
      </c>
      <c r="G1281" t="s">
        <v>2208</v>
      </c>
      <c r="H1281" t="s">
        <v>2916</v>
      </c>
      <c r="I1281" t="s">
        <v>7716</v>
      </c>
      <c r="J1281">
        <v>0</v>
      </c>
      <c r="K1281">
        <v>-0.02</v>
      </c>
      <c r="L1281" t="s">
        <v>2917</v>
      </c>
      <c r="M1281">
        <v>0</v>
      </c>
      <c r="N1281" t="s">
        <v>2918</v>
      </c>
      <c r="O1281" t="s">
        <v>2919</v>
      </c>
      <c r="P1281" t="s">
        <v>2208</v>
      </c>
      <c r="Q1281" t="s">
        <v>2916</v>
      </c>
      <c r="R1281" t="s">
        <v>3220</v>
      </c>
      <c r="S1281" t="s">
        <v>2208</v>
      </c>
      <c r="T1281" t="s">
        <v>2208</v>
      </c>
    </row>
    <row r="1282" spans="1:20">
      <c r="A1282" t="s">
        <v>2348</v>
      </c>
      <c r="B1282" t="s">
        <v>2920</v>
      </c>
      <c r="C1282">
        <v>45688</v>
      </c>
      <c r="D1282" t="s">
        <v>7263</v>
      </c>
      <c r="E1282" t="s">
        <v>2921</v>
      </c>
      <c r="F1282">
        <v>45688</v>
      </c>
      <c r="G1282" t="s">
        <v>2208</v>
      </c>
      <c r="H1282" t="s">
        <v>2916</v>
      </c>
      <c r="I1282" t="s">
        <v>7717</v>
      </c>
      <c r="J1282">
        <v>0</v>
      </c>
      <c r="K1282">
        <v>-0.06</v>
      </c>
      <c r="L1282" t="s">
        <v>2917</v>
      </c>
      <c r="M1282">
        <v>0</v>
      </c>
      <c r="N1282" t="s">
        <v>2918</v>
      </c>
      <c r="O1282" t="s">
        <v>2919</v>
      </c>
      <c r="P1282" t="s">
        <v>2208</v>
      </c>
      <c r="Q1282" t="s">
        <v>2916</v>
      </c>
      <c r="R1282" t="s">
        <v>3220</v>
      </c>
      <c r="S1282" t="s">
        <v>2208</v>
      </c>
      <c r="T1282" t="s">
        <v>2208</v>
      </c>
    </row>
    <row r="1283" spans="1:20">
      <c r="A1283" t="s">
        <v>2348</v>
      </c>
      <c r="B1283" t="s">
        <v>7740</v>
      </c>
      <c r="C1283">
        <v>45566</v>
      </c>
      <c r="D1283" t="s">
        <v>7263</v>
      </c>
      <c r="E1283" t="s">
        <v>2925</v>
      </c>
      <c r="F1283">
        <v>45709</v>
      </c>
      <c r="G1283" t="s">
        <v>7710</v>
      </c>
      <c r="H1283" t="s">
        <v>2916</v>
      </c>
      <c r="I1283" t="s">
        <v>8667</v>
      </c>
      <c r="J1283">
        <v>10458.36</v>
      </c>
      <c r="K1283">
        <v>1798.32</v>
      </c>
      <c r="L1283" t="s">
        <v>2917</v>
      </c>
      <c r="M1283">
        <v>10458.36</v>
      </c>
      <c r="N1283" t="s">
        <v>2918</v>
      </c>
      <c r="O1283" t="s">
        <v>2939</v>
      </c>
      <c r="P1283" t="s">
        <v>2939</v>
      </c>
      <c r="Q1283" t="s">
        <v>2924</v>
      </c>
      <c r="R1283" t="s">
        <v>3219</v>
      </c>
      <c r="S1283" t="s">
        <v>2208</v>
      </c>
      <c r="T1283" t="s">
        <v>2208</v>
      </c>
    </row>
    <row r="1284" spans="1:20">
      <c r="A1284" t="s">
        <v>2348</v>
      </c>
      <c r="B1284" t="s">
        <v>7740</v>
      </c>
      <c r="C1284">
        <v>45538</v>
      </c>
      <c r="D1284" t="s">
        <v>7263</v>
      </c>
      <c r="E1284" t="s">
        <v>2925</v>
      </c>
      <c r="F1284">
        <v>45709</v>
      </c>
      <c r="G1284" t="s">
        <v>7712</v>
      </c>
      <c r="H1284" t="s">
        <v>2916</v>
      </c>
      <c r="I1284" t="s">
        <v>8668</v>
      </c>
      <c r="J1284">
        <v>17750</v>
      </c>
      <c r="K1284">
        <v>3052.11</v>
      </c>
      <c r="L1284" t="s">
        <v>2917</v>
      </c>
      <c r="M1284">
        <v>17750</v>
      </c>
      <c r="N1284" t="s">
        <v>2918</v>
      </c>
      <c r="O1284" t="s">
        <v>2939</v>
      </c>
      <c r="P1284" t="s">
        <v>2939</v>
      </c>
      <c r="Q1284" t="s">
        <v>2924</v>
      </c>
      <c r="R1284" t="s">
        <v>3219</v>
      </c>
      <c r="S1284" t="s">
        <v>2208</v>
      </c>
      <c r="T1284" t="s">
        <v>2208</v>
      </c>
    </row>
    <row r="1285" spans="1:20">
      <c r="A1285" t="s">
        <v>2348</v>
      </c>
      <c r="B1285" t="s">
        <v>7740</v>
      </c>
      <c r="C1285">
        <v>45716</v>
      </c>
      <c r="D1285" t="s">
        <v>7263</v>
      </c>
      <c r="E1285" t="s">
        <v>2925</v>
      </c>
      <c r="F1285">
        <v>45716</v>
      </c>
      <c r="G1285" t="s">
        <v>2208</v>
      </c>
      <c r="H1285" t="s">
        <v>2916</v>
      </c>
      <c r="I1285" t="s">
        <v>9159</v>
      </c>
      <c r="J1285">
        <v>0</v>
      </c>
      <c r="K1285">
        <v>-7.0000000000000007E-2</v>
      </c>
      <c r="L1285" t="s">
        <v>2917</v>
      </c>
      <c r="M1285">
        <v>0</v>
      </c>
      <c r="N1285" t="s">
        <v>2918</v>
      </c>
      <c r="O1285" t="s">
        <v>2919</v>
      </c>
      <c r="P1285" t="s">
        <v>2208</v>
      </c>
      <c r="Q1285" t="s">
        <v>2916</v>
      </c>
      <c r="R1285" t="s">
        <v>3220</v>
      </c>
      <c r="S1285" t="s">
        <v>2208</v>
      </c>
      <c r="T1285" t="s">
        <v>2208</v>
      </c>
    </row>
    <row r="1286" spans="1:20">
      <c r="A1286" t="s">
        <v>2348</v>
      </c>
      <c r="B1286" t="s">
        <v>9126</v>
      </c>
      <c r="C1286">
        <v>45538</v>
      </c>
      <c r="D1286" t="s">
        <v>7263</v>
      </c>
      <c r="E1286" t="s">
        <v>9127</v>
      </c>
      <c r="F1286">
        <v>45734</v>
      </c>
      <c r="G1286" t="s">
        <v>7712</v>
      </c>
      <c r="H1286" t="s">
        <v>2916</v>
      </c>
      <c r="I1286" t="s">
        <v>10896</v>
      </c>
      <c r="J1286">
        <v>17750</v>
      </c>
      <c r="K1286">
        <v>3042.17</v>
      </c>
      <c r="L1286" t="s">
        <v>2917</v>
      </c>
      <c r="M1286">
        <v>17750</v>
      </c>
      <c r="N1286" t="s">
        <v>2918</v>
      </c>
      <c r="O1286" t="s">
        <v>2939</v>
      </c>
      <c r="P1286" t="s">
        <v>2939</v>
      </c>
      <c r="Q1286" t="s">
        <v>2924</v>
      </c>
      <c r="R1286" t="s">
        <v>3219</v>
      </c>
      <c r="S1286" t="s">
        <v>2208</v>
      </c>
      <c r="T1286" t="s">
        <v>2208</v>
      </c>
    </row>
    <row r="1287" spans="1:20">
      <c r="A1287" t="s">
        <v>2348</v>
      </c>
      <c r="B1287" t="s">
        <v>9126</v>
      </c>
      <c r="C1287">
        <v>45566</v>
      </c>
      <c r="D1287" t="s">
        <v>7263</v>
      </c>
      <c r="E1287" t="s">
        <v>9127</v>
      </c>
      <c r="F1287">
        <v>45734</v>
      </c>
      <c r="G1287" t="s">
        <v>7710</v>
      </c>
      <c r="H1287" t="s">
        <v>2916</v>
      </c>
      <c r="I1287" t="s">
        <v>10931</v>
      </c>
      <c r="J1287">
        <v>6395</v>
      </c>
      <c r="K1287">
        <v>1096.04</v>
      </c>
      <c r="L1287" t="s">
        <v>2917</v>
      </c>
      <c r="M1287">
        <v>6395</v>
      </c>
      <c r="N1287" t="s">
        <v>2918</v>
      </c>
      <c r="O1287" t="s">
        <v>2939</v>
      </c>
      <c r="P1287" t="s">
        <v>2939</v>
      </c>
      <c r="Q1287" t="s">
        <v>2924</v>
      </c>
      <c r="R1287" t="s">
        <v>3219</v>
      </c>
      <c r="S1287" t="s">
        <v>2208</v>
      </c>
      <c r="T1287" t="s">
        <v>2208</v>
      </c>
    </row>
    <row r="1288" spans="1:20">
      <c r="A1288" t="s">
        <v>2348</v>
      </c>
      <c r="B1288" t="s">
        <v>9126</v>
      </c>
      <c r="C1288">
        <v>45674</v>
      </c>
      <c r="D1288" t="s">
        <v>7263</v>
      </c>
      <c r="E1288" t="s">
        <v>9127</v>
      </c>
      <c r="F1288">
        <v>45735</v>
      </c>
      <c r="G1288" t="s">
        <v>11000</v>
      </c>
      <c r="H1288" t="s">
        <v>2916</v>
      </c>
      <c r="I1288" t="s">
        <v>11001</v>
      </c>
      <c r="J1288">
        <v>18015.5</v>
      </c>
      <c r="K1288">
        <v>3087.68</v>
      </c>
      <c r="L1288" t="s">
        <v>2917</v>
      </c>
      <c r="M1288">
        <v>18015.5</v>
      </c>
      <c r="N1288" t="s">
        <v>2918</v>
      </c>
      <c r="O1288" t="s">
        <v>8443</v>
      </c>
      <c r="P1288" t="s">
        <v>8443</v>
      </c>
      <c r="Q1288" t="s">
        <v>2924</v>
      </c>
      <c r="R1288" t="s">
        <v>3219</v>
      </c>
      <c r="S1288" t="s">
        <v>2208</v>
      </c>
      <c r="T1288" t="s">
        <v>2208</v>
      </c>
    </row>
    <row r="1289" spans="1:20">
      <c r="A1289" t="s">
        <v>2348</v>
      </c>
      <c r="B1289" t="s">
        <v>9126</v>
      </c>
      <c r="C1289">
        <v>45674</v>
      </c>
      <c r="D1289" t="s">
        <v>7263</v>
      </c>
      <c r="E1289" t="s">
        <v>9127</v>
      </c>
      <c r="F1289">
        <v>45740</v>
      </c>
      <c r="G1289" t="s">
        <v>11000</v>
      </c>
      <c r="H1289" t="s">
        <v>2916</v>
      </c>
      <c r="I1289" t="s">
        <v>11129</v>
      </c>
      <c r="J1289">
        <v>1864.5</v>
      </c>
      <c r="K1289">
        <v>319.56</v>
      </c>
      <c r="L1289" t="s">
        <v>2917</v>
      </c>
      <c r="M1289">
        <v>1864.5</v>
      </c>
      <c r="N1289" t="s">
        <v>2918</v>
      </c>
      <c r="O1289" t="s">
        <v>8443</v>
      </c>
      <c r="P1289" t="s">
        <v>8443</v>
      </c>
      <c r="Q1289" t="s">
        <v>2924</v>
      </c>
      <c r="R1289" t="s">
        <v>3219</v>
      </c>
      <c r="S1289" t="s">
        <v>2208</v>
      </c>
      <c r="T1289" t="s">
        <v>2208</v>
      </c>
    </row>
    <row r="1290" spans="1:20">
      <c r="A1290" t="s">
        <v>2348</v>
      </c>
      <c r="B1290" t="s">
        <v>9126</v>
      </c>
      <c r="C1290">
        <v>45740</v>
      </c>
      <c r="D1290" t="s">
        <v>7263</v>
      </c>
      <c r="E1290" t="s">
        <v>9127</v>
      </c>
      <c r="F1290">
        <v>45741</v>
      </c>
      <c r="G1290" t="s">
        <v>11000</v>
      </c>
      <c r="H1290" t="s">
        <v>2916</v>
      </c>
      <c r="I1290" t="s">
        <v>11130</v>
      </c>
      <c r="J1290">
        <v>0</v>
      </c>
      <c r="K1290">
        <v>-29.56</v>
      </c>
      <c r="L1290" t="s">
        <v>2917</v>
      </c>
      <c r="M1290">
        <v>-172.46</v>
      </c>
      <c r="N1290" t="s">
        <v>2918</v>
      </c>
      <c r="O1290" t="s">
        <v>11131</v>
      </c>
      <c r="P1290" t="s">
        <v>8443</v>
      </c>
      <c r="Q1290" t="s">
        <v>2924</v>
      </c>
      <c r="R1290" t="s">
        <v>3219</v>
      </c>
      <c r="S1290" t="s">
        <v>2208</v>
      </c>
      <c r="T1290" t="s">
        <v>2208</v>
      </c>
    </row>
    <row r="1291" spans="1:20">
      <c r="A1291" t="s">
        <v>2348</v>
      </c>
      <c r="B1291" t="s">
        <v>9126</v>
      </c>
      <c r="C1291">
        <v>45740</v>
      </c>
      <c r="D1291" t="s">
        <v>7263</v>
      </c>
      <c r="E1291" t="s">
        <v>9127</v>
      </c>
      <c r="F1291">
        <v>45741</v>
      </c>
      <c r="G1291" t="s">
        <v>11000</v>
      </c>
      <c r="H1291" t="s">
        <v>2916</v>
      </c>
      <c r="I1291" t="s">
        <v>11132</v>
      </c>
      <c r="J1291">
        <v>0</v>
      </c>
      <c r="K1291">
        <v>-285.61</v>
      </c>
      <c r="L1291" t="s">
        <v>2917</v>
      </c>
      <c r="M1291">
        <v>-1666.44</v>
      </c>
      <c r="N1291" t="s">
        <v>2918</v>
      </c>
      <c r="O1291" t="s">
        <v>11133</v>
      </c>
      <c r="P1291" t="s">
        <v>8443</v>
      </c>
      <c r="Q1291" t="s">
        <v>2924</v>
      </c>
      <c r="R1291" t="s">
        <v>3219</v>
      </c>
      <c r="S1291" t="s">
        <v>2208</v>
      </c>
      <c r="T1291" t="s">
        <v>2208</v>
      </c>
    </row>
    <row r="1292" spans="1:20">
      <c r="A1292" t="s">
        <v>2348</v>
      </c>
      <c r="B1292" t="s">
        <v>9126</v>
      </c>
      <c r="C1292">
        <v>45735</v>
      </c>
      <c r="D1292" t="s">
        <v>7263</v>
      </c>
      <c r="E1292" t="s">
        <v>9127</v>
      </c>
      <c r="F1292">
        <v>45743</v>
      </c>
      <c r="G1292" t="s">
        <v>7712</v>
      </c>
      <c r="H1292" t="s">
        <v>2916</v>
      </c>
      <c r="I1292" t="s">
        <v>11378</v>
      </c>
      <c r="J1292">
        <v>0</v>
      </c>
      <c r="K1292">
        <v>-281.39999999999998</v>
      </c>
      <c r="L1292" t="s">
        <v>2917</v>
      </c>
      <c r="M1292">
        <v>-1641.88</v>
      </c>
      <c r="N1292" t="s">
        <v>2918</v>
      </c>
      <c r="O1292" t="s">
        <v>11379</v>
      </c>
      <c r="P1292" t="s">
        <v>2939</v>
      </c>
      <c r="Q1292" t="s">
        <v>2924</v>
      </c>
      <c r="R1292" t="s">
        <v>3219</v>
      </c>
      <c r="S1292" t="s">
        <v>2208</v>
      </c>
      <c r="T1292" t="s">
        <v>2208</v>
      </c>
    </row>
    <row r="1293" spans="1:20">
      <c r="A1293" t="s">
        <v>2348</v>
      </c>
      <c r="B1293" t="s">
        <v>9126</v>
      </c>
      <c r="C1293">
        <v>45747</v>
      </c>
      <c r="D1293" t="s">
        <v>7263</v>
      </c>
      <c r="E1293" t="s">
        <v>9127</v>
      </c>
      <c r="F1293">
        <v>45747</v>
      </c>
      <c r="G1293" t="s">
        <v>2208</v>
      </c>
      <c r="H1293" t="s">
        <v>2916</v>
      </c>
      <c r="I1293" t="s">
        <v>11380</v>
      </c>
      <c r="J1293">
        <v>0</v>
      </c>
      <c r="K1293">
        <v>-0.02</v>
      </c>
      <c r="L1293" t="s">
        <v>2917</v>
      </c>
      <c r="M1293">
        <v>0</v>
      </c>
      <c r="N1293" t="s">
        <v>2918</v>
      </c>
      <c r="O1293" t="s">
        <v>2919</v>
      </c>
      <c r="P1293" t="s">
        <v>2208</v>
      </c>
      <c r="Q1293" t="s">
        <v>2916</v>
      </c>
      <c r="R1293" t="s">
        <v>3220</v>
      </c>
      <c r="S1293" t="s">
        <v>2208</v>
      </c>
      <c r="T1293" t="s">
        <v>2208</v>
      </c>
    </row>
    <row r="1294" spans="1:20">
      <c r="A1294" t="s">
        <v>2348</v>
      </c>
      <c r="B1294" t="s">
        <v>9126</v>
      </c>
      <c r="C1294">
        <v>45747</v>
      </c>
      <c r="D1294" t="s">
        <v>7263</v>
      </c>
      <c r="E1294" t="s">
        <v>9127</v>
      </c>
      <c r="F1294">
        <v>45747</v>
      </c>
      <c r="G1294" t="s">
        <v>2208</v>
      </c>
      <c r="H1294" t="s">
        <v>2916</v>
      </c>
      <c r="I1294" t="s">
        <v>11381</v>
      </c>
      <c r="J1294">
        <v>0</v>
      </c>
      <c r="K1294">
        <v>-0.02</v>
      </c>
      <c r="L1294" t="s">
        <v>2917</v>
      </c>
      <c r="M1294">
        <v>0</v>
      </c>
      <c r="N1294" t="s">
        <v>2918</v>
      </c>
      <c r="O1294" t="s">
        <v>2919</v>
      </c>
      <c r="P1294" t="s">
        <v>2208</v>
      </c>
      <c r="Q1294" t="s">
        <v>2916</v>
      </c>
      <c r="R1294" t="s">
        <v>3220</v>
      </c>
      <c r="S1294" t="s">
        <v>2208</v>
      </c>
      <c r="T1294" t="s">
        <v>2208</v>
      </c>
    </row>
    <row r="1295" spans="1:20">
      <c r="A1295" t="s">
        <v>2348</v>
      </c>
      <c r="B1295" t="s">
        <v>11331</v>
      </c>
      <c r="C1295">
        <v>45538</v>
      </c>
      <c r="D1295" t="s">
        <v>7263</v>
      </c>
      <c r="E1295" t="s">
        <v>11332</v>
      </c>
      <c r="F1295">
        <v>45762</v>
      </c>
      <c r="G1295" t="s">
        <v>7712</v>
      </c>
      <c r="H1295" t="s">
        <v>2916</v>
      </c>
      <c r="I1295" t="s">
        <v>12354</v>
      </c>
      <c r="J1295">
        <v>17750</v>
      </c>
      <c r="K1295">
        <v>3082.29</v>
      </c>
      <c r="L1295" t="s">
        <v>2917</v>
      </c>
      <c r="M1295">
        <v>17750</v>
      </c>
      <c r="N1295" t="s">
        <v>2918</v>
      </c>
      <c r="O1295" t="s">
        <v>2939</v>
      </c>
      <c r="P1295" t="s">
        <v>2939</v>
      </c>
      <c r="Q1295" t="s">
        <v>2924</v>
      </c>
      <c r="R1295" t="s">
        <v>3219</v>
      </c>
      <c r="S1295" t="s">
        <v>2208</v>
      </c>
      <c r="T1295" t="s">
        <v>2208</v>
      </c>
    </row>
    <row r="1296" spans="1:20">
      <c r="A1296" t="s">
        <v>2348</v>
      </c>
      <c r="B1296" t="s">
        <v>11331</v>
      </c>
      <c r="C1296">
        <v>45566</v>
      </c>
      <c r="D1296" t="s">
        <v>7263</v>
      </c>
      <c r="E1296" t="s">
        <v>11332</v>
      </c>
      <c r="F1296">
        <v>45762</v>
      </c>
      <c r="G1296" t="s">
        <v>7710</v>
      </c>
      <c r="H1296" t="s">
        <v>2916</v>
      </c>
      <c r="I1296" t="s">
        <v>12355</v>
      </c>
      <c r="J1296">
        <v>10458.36</v>
      </c>
      <c r="K1296">
        <v>1816.09</v>
      </c>
      <c r="L1296" t="s">
        <v>2917</v>
      </c>
      <c r="M1296">
        <v>10458.36</v>
      </c>
      <c r="N1296" t="s">
        <v>2918</v>
      </c>
      <c r="O1296" t="s">
        <v>2939</v>
      </c>
      <c r="P1296" t="s">
        <v>2939</v>
      </c>
      <c r="Q1296" t="s">
        <v>2924</v>
      </c>
      <c r="R1296" t="s">
        <v>3219</v>
      </c>
      <c r="S1296" t="s">
        <v>2208</v>
      </c>
      <c r="T1296" t="s">
        <v>2208</v>
      </c>
    </row>
    <row r="1297" spans="1:20">
      <c r="A1297" t="s">
        <v>2348</v>
      </c>
      <c r="B1297" t="s">
        <v>11331</v>
      </c>
      <c r="C1297">
        <v>45763</v>
      </c>
      <c r="D1297" t="s">
        <v>7263</v>
      </c>
      <c r="E1297" t="s">
        <v>11332</v>
      </c>
      <c r="F1297">
        <v>45772</v>
      </c>
      <c r="G1297" t="s">
        <v>7712</v>
      </c>
      <c r="H1297" t="s">
        <v>2916</v>
      </c>
      <c r="I1297" t="s">
        <v>16251</v>
      </c>
      <c r="J1297">
        <v>0</v>
      </c>
      <c r="K1297">
        <v>-285.11</v>
      </c>
      <c r="L1297" t="s">
        <v>2917</v>
      </c>
      <c r="M1297">
        <v>-1641.88</v>
      </c>
      <c r="N1297" t="s">
        <v>2918</v>
      </c>
      <c r="O1297" t="s">
        <v>16252</v>
      </c>
      <c r="P1297" t="s">
        <v>2939</v>
      </c>
      <c r="Q1297" t="s">
        <v>2924</v>
      </c>
      <c r="R1297" t="s">
        <v>3219</v>
      </c>
      <c r="S1297" t="s">
        <v>2208</v>
      </c>
      <c r="T1297" t="s">
        <v>2208</v>
      </c>
    </row>
    <row r="1298" spans="1:20">
      <c r="A1298" t="s">
        <v>2348</v>
      </c>
      <c r="B1298" t="s">
        <v>11331</v>
      </c>
      <c r="C1298">
        <v>45777</v>
      </c>
      <c r="D1298" t="s">
        <v>7263</v>
      </c>
      <c r="E1298" t="s">
        <v>11332</v>
      </c>
      <c r="F1298">
        <v>45777</v>
      </c>
      <c r="G1298" t="s">
        <v>2208</v>
      </c>
      <c r="H1298" t="s">
        <v>2916</v>
      </c>
      <c r="I1298" t="s">
        <v>16425</v>
      </c>
      <c r="J1298">
        <v>0</v>
      </c>
      <c r="K1298">
        <v>-0.03</v>
      </c>
      <c r="L1298" t="s">
        <v>2917</v>
      </c>
      <c r="M1298">
        <v>0</v>
      </c>
      <c r="N1298" t="s">
        <v>2918</v>
      </c>
      <c r="O1298" t="s">
        <v>2919</v>
      </c>
      <c r="P1298" t="s">
        <v>2208</v>
      </c>
      <c r="Q1298" t="s">
        <v>2916</v>
      </c>
      <c r="R1298" t="s">
        <v>3220</v>
      </c>
      <c r="S1298" t="s">
        <v>2208</v>
      </c>
      <c r="T1298" t="s">
        <v>2208</v>
      </c>
    </row>
    <row r="1299" spans="1:20">
      <c r="A1299" t="s">
        <v>2348</v>
      </c>
      <c r="B1299" t="s">
        <v>11331</v>
      </c>
      <c r="C1299">
        <v>45777</v>
      </c>
      <c r="D1299" t="s">
        <v>7263</v>
      </c>
      <c r="E1299" t="s">
        <v>11332</v>
      </c>
      <c r="F1299">
        <v>45777</v>
      </c>
      <c r="G1299" t="s">
        <v>2208</v>
      </c>
      <c r="H1299" t="s">
        <v>2916</v>
      </c>
      <c r="I1299" t="s">
        <v>16426</v>
      </c>
      <c r="J1299">
        <v>0</v>
      </c>
      <c r="K1299">
        <v>-0.06</v>
      </c>
      <c r="L1299" t="s">
        <v>2917</v>
      </c>
      <c r="M1299">
        <v>0</v>
      </c>
      <c r="N1299" t="s">
        <v>2918</v>
      </c>
      <c r="O1299" t="s">
        <v>2919</v>
      </c>
      <c r="P1299" t="s">
        <v>2208</v>
      </c>
      <c r="Q1299" t="s">
        <v>2916</v>
      </c>
      <c r="R1299" t="s">
        <v>3220</v>
      </c>
      <c r="S1299" t="s">
        <v>2208</v>
      </c>
      <c r="T1299" t="s">
        <v>2208</v>
      </c>
    </row>
    <row r="1300" spans="1:20">
      <c r="A1300" t="s">
        <v>2348</v>
      </c>
      <c r="B1300" t="s">
        <v>16360</v>
      </c>
      <c r="C1300">
        <v>45566</v>
      </c>
      <c r="D1300" t="s">
        <v>7263</v>
      </c>
      <c r="E1300" t="s">
        <v>16361</v>
      </c>
      <c r="F1300">
        <v>45790</v>
      </c>
      <c r="G1300" t="s">
        <v>7710</v>
      </c>
      <c r="H1300" t="s">
        <v>2916</v>
      </c>
      <c r="I1300" t="s">
        <v>17036</v>
      </c>
      <c r="J1300">
        <v>10458.36</v>
      </c>
      <c r="K1300">
        <v>1856.36</v>
      </c>
      <c r="L1300" t="s">
        <v>2917</v>
      </c>
      <c r="M1300">
        <v>10458.36</v>
      </c>
      <c r="N1300" t="s">
        <v>2918</v>
      </c>
      <c r="O1300" t="s">
        <v>2939</v>
      </c>
      <c r="P1300" t="s">
        <v>2939</v>
      </c>
      <c r="Q1300" t="s">
        <v>2924</v>
      </c>
      <c r="R1300" t="s">
        <v>3219</v>
      </c>
      <c r="S1300" t="s">
        <v>2208</v>
      </c>
      <c r="T1300" t="s">
        <v>2208</v>
      </c>
    </row>
    <row r="1301" spans="1:20">
      <c r="A1301" t="s">
        <v>2348</v>
      </c>
      <c r="B1301" t="s">
        <v>16360</v>
      </c>
      <c r="C1301">
        <v>45538</v>
      </c>
      <c r="D1301" t="s">
        <v>7263</v>
      </c>
      <c r="E1301" t="s">
        <v>16361</v>
      </c>
      <c r="F1301">
        <v>45790</v>
      </c>
      <c r="G1301" t="s">
        <v>7712</v>
      </c>
      <c r="H1301" t="s">
        <v>2916</v>
      </c>
      <c r="I1301" t="s">
        <v>17037</v>
      </c>
      <c r="J1301">
        <v>17750</v>
      </c>
      <c r="K1301">
        <v>3150.63</v>
      </c>
      <c r="L1301" t="s">
        <v>2917</v>
      </c>
      <c r="M1301">
        <v>17750</v>
      </c>
      <c r="N1301" t="s">
        <v>2918</v>
      </c>
      <c r="O1301" t="s">
        <v>2939</v>
      </c>
      <c r="P1301" t="s">
        <v>2939</v>
      </c>
      <c r="Q1301" t="s">
        <v>2924</v>
      </c>
      <c r="R1301" t="s">
        <v>3219</v>
      </c>
      <c r="S1301" t="s">
        <v>2208</v>
      </c>
      <c r="T1301" t="s">
        <v>2208</v>
      </c>
    </row>
    <row r="1302" spans="1:20">
      <c r="A1302" t="s">
        <v>2348</v>
      </c>
      <c r="B1302" t="s">
        <v>16360</v>
      </c>
      <c r="C1302">
        <v>45790</v>
      </c>
      <c r="D1302" t="s">
        <v>7263</v>
      </c>
      <c r="E1302" t="s">
        <v>16361</v>
      </c>
      <c r="F1302">
        <v>45798</v>
      </c>
      <c r="G1302" t="s">
        <v>7712</v>
      </c>
      <c r="H1302" t="s">
        <v>2916</v>
      </c>
      <c r="I1302" t="s">
        <v>17313</v>
      </c>
      <c r="J1302">
        <v>0</v>
      </c>
      <c r="K1302">
        <v>-291.44</v>
      </c>
      <c r="L1302" t="s">
        <v>2917</v>
      </c>
      <c r="M1302">
        <v>-1641.88</v>
      </c>
      <c r="N1302" t="s">
        <v>2918</v>
      </c>
      <c r="O1302" t="s">
        <v>17314</v>
      </c>
      <c r="P1302" t="s">
        <v>2939</v>
      </c>
      <c r="Q1302" t="s">
        <v>2924</v>
      </c>
      <c r="R1302" t="s">
        <v>3219</v>
      </c>
      <c r="S1302" t="s">
        <v>2208</v>
      </c>
      <c r="T1302" t="s">
        <v>2208</v>
      </c>
    </row>
    <row r="1303" spans="1:20">
      <c r="A1303" t="s">
        <v>2348</v>
      </c>
      <c r="B1303" t="s">
        <v>16360</v>
      </c>
      <c r="C1303">
        <v>45790</v>
      </c>
      <c r="D1303" t="s">
        <v>7263</v>
      </c>
      <c r="E1303" t="s">
        <v>16361</v>
      </c>
      <c r="F1303">
        <v>45799</v>
      </c>
      <c r="G1303" t="s">
        <v>7710</v>
      </c>
      <c r="H1303" t="s">
        <v>2916</v>
      </c>
      <c r="I1303" t="s">
        <v>17399</v>
      </c>
      <c r="J1303">
        <v>0</v>
      </c>
      <c r="K1303">
        <v>-171.71</v>
      </c>
      <c r="L1303" t="s">
        <v>2917</v>
      </c>
      <c r="M1303">
        <v>-967.4</v>
      </c>
      <c r="N1303" t="s">
        <v>2918</v>
      </c>
      <c r="O1303" t="s">
        <v>17400</v>
      </c>
      <c r="P1303" t="s">
        <v>2939</v>
      </c>
      <c r="Q1303" t="s">
        <v>2924</v>
      </c>
      <c r="R1303" t="s">
        <v>3219</v>
      </c>
      <c r="S1303" t="s">
        <v>2208</v>
      </c>
      <c r="T1303" t="s">
        <v>2208</v>
      </c>
    </row>
    <row r="1304" spans="1:20">
      <c r="A1304" t="s">
        <v>2348</v>
      </c>
      <c r="B1304" t="s">
        <v>16360</v>
      </c>
      <c r="C1304">
        <v>45808</v>
      </c>
      <c r="D1304" t="s">
        <v>7263</v>
      </c>
      <c r="E1304" t="s">
        <v>16361</v>
      </c>
      <c r="F1304">
        <v>45808</v>
      </c>
      <c r="G1304" t="s">
        <v>2208</v>
      </c>
      <c r="H1304" t="s">
        <v>2916</v>
      </c>
      <c r="I1304" t="s">
        <v>17871</v>
      </c>
      <c r="J1304">
        <v>0</v>
      </c>
      <c r="K1304">
        <v>-0.02</v>
      </c>
      <c r="L1304" t="s">
        <v>2917</v>
      </c>
      <c r="M1304">
        <v>0</v>
      </c>
      <c r="N1304" t="s">
        <v>2918</v>
      </c>
      <c r="O1304" t="s">
        <v>2919</v>
      </c>
      <c r="P1304" t="s">
        <v>2208</v>
      </c>
      <c r="Q1304" t="s">
        <v>2916</v>
      </c>
      <c r="R1304" t="s">
        <v>3220</v>
      </c>
      <c r="S1304" t="s">
        <v>2208</v>
      </c>
      <c r="T1304" t="s">
        <v>2208</v>
      </c>
    </row>
    <row r="1305" spans="1:20">
      <c r="A1305" t="s">
        <v>2348</v>
      </c>
      <c r="B1305" t="s">
        <v>17897</v>
      </c>
      <c r="C1305">
        <v>45566</v>
      </c>
      <c r="D1305" t="s">
        <v>7263</v>
      </c>
      <c r="E1305" t="s">
        <v>17898</v>
      </c>
      <c r="F1305">
        <v>45826</v>
      </c>
      <c r="G1305" t="s">
        <v>7710</v>
      </c>
      <c r="H1305" t="s">
        <v>2916</v>
      </c>
      <c r="I1305" t="s">
        <v>18620</v>
      </c>
      <c r="J1305">
        <v>10458.36</v>
      </c>
      <c r="K1305">
        <v>1842.76</v>
      </c>
      <c r="L1305" t="s">
        <v>2917</v>
      </c>
      <c r="M1305">
        <v>10458.36</v>
      </c>
      <c r="N1305" t="s">
        <v>2918</v>
      </c>
      <c r="O1305" t="s">
        <v>2939</v>
      </c>
      <c r="P1305" t="s">
        <v>2939</v>
      </c>
      <c r="Q1305" t="s">
        <v>2924</v>
      </c>
      <c r="R1305" t="s">
        <v>3219</v>
      </c>
      <c r="S1305" t="s">
        <v>2208</v>
      </c>
      <c r="T1305" t="s">
        <v>2208</v>
      </c>
    </row>
    <row r="1306" spans="1:20">
      <c r="A1306" t="s">
        <v>2348</v>
      </c>
      <c r="B1306" t="s">
        <v>17897</v>
      </c>
      <c r="C1306">
        <v>45538</v>
      </c>
      <c r="D1306" t="s">
        <v>7263</v>
      </c>
      <c r="E1306" t="s">
        <v>17898</v>
      </c>
      <c r="F1306">
        <v>45826</v>
      </c>
      <c r="G1306" t="s">
        <v>7712</v>
      </c>
      <c r="H1306" t="s">
        <v>2916</v>
      </c>
      <c r="I1306" t="s">
        <v>18621</v>
      </c>
      <c r="J1306">
        <v>17750</v>
      </c>
      <c r="K1306">
        <v>3127.55</v>
      </c>
      <c r="L1306" t="s">
        <v>2917</v>
      </c>
      <c r="M1306">
        <v>17750</v>
      </c>
      <c r="N1306" t="s">
        <v>2918</v>
      </c>
      <c r="O1306" t="s">
        <v>2939</v>
      </c>
      <c r="P1306" t="s">
        <v>2939</v>
      </c>
      <c r="Q1306" t="s">
        <v>2924</v>
      </c>
      <c r="R1306" t="s">
        <v>3219</v>
      </c>
      <c r="S1306" t="s">
        <v>2208</v>
      </c>
      <c r="T1306" t="s">
        <v>2208</v>
      </c>
    </row>
    <row r="1307" spans="1:20">
      <c r="A1307" t="s">
        <v>2348</v>
      </c>
      <c r="B1307" t="s">
        <v>17897</v>
      </c>
      <c r="C1307">
        <v>45637</v>
      </c>
      <c r="D1307" t="s">
        <v>7263</v>
      </c>
      <c r="E1307" t="s">
        <v>17898</v>
      </c>
      <c r="F1307">
        <v>45831</v>
      </c>
      <c r="G1307" t="s">
        <v>18903</v>
      </c>
      <c r="H1307" t="s">
        <v>2916</v>
      </c>
      <c r="I1307" t="s">
        <v>18904</v>
      </c>
      <c r="J1307">
        <v>2929.38</v>
      </c>
      <c r="K1307">
        <v>516.16</v>
      </c>
      <c r="L1307" t="s">
        <v>2917</v>
      </c>
      <c r="M1307">
        <v>2929.38</v>
      </c>
      <c r="N1307" t="s">
        <v>2918</v>
      </c>
      <c r="O1307" t="s">
        <v>3315</v>
      </c>
      <c r="P1307" t="s">
        <v>3315</v>
      </c>
      <c r="Q1307" t="s">
        <v>2924</v>
      </c>
      <c r="R1307" t="s">
        <v>3219</v>
      </c>
      <c r="S1307" t="s">
        <v>2208</v>
      </c>
      <c r="T1307" t="s">
        <v>2208</v>
      </c>
    </row>
    <row r="1308" spans="1:20">
      <c r="A1308" t="s">
        <v>2348</v>
      </c>
      <c r="B1308" t="s">
        <v>17897</v>
      </c>
      <c r="C1308">
        <v>45831</v>
      </c>
      <c r="D1308" t="s">
        <v>7263</v>
      </c>
      <c r="E1308" t="s">
        <v>17898</v>
      </c>
      <c r="F1308">
        <v>45832</v>
      </c>
      <c r="G1308" t="s">
        <v>18903</v>
      </c>
      <c r="H1308" t="s">
        <v>2916</v>
      </c>
      <c r="I1308" t="s">
        <v>18981</v>
      </c>
      <c r="J1308">
        <v>0</v>
      </c>
      <c r="K1308">
        <v>-47.75</v>
      </c>
      <c r="L1308" t="s">
        <v>2917</v>
      </c>
      <c r="M1308">
        <v>-270.95999999999998</v>
      </c>
      <c r="N1308" t="s">
        <v>2918</v>
      </c>
      <c r="O1308" t="s">
        <v>18982</v>
      </c>
      <c r="P1308" t="s">
        <v>3315</v>
      </c>
      <c r="Q1308" t="s">
        <v>2924</v>
      </c>
      <c r="R1308" t="s">
        <v>3219</v>
      </c>
      <c r="S1308" t="s">
        <v>2208</v>
      </c>
      <c r="T1308" t="s">
        <v>2208</v>
      </c>
    </row>
    <row r="1309" spans="1:20">
      <c r="A1309" t="s">
        <v>2348</v>
      </c>
      <c r="B1309" t="s">
        <v>17897</v>
      </c>
      <c r="C1309">
        <v>45838</v>
      </c>
      <c r="D1309" t="s">
        <v>7263</v>
      </c>
      <c r="E1309" t="s">
        <v>17898</v>
      </c>
      <c r="F1309">
        <v>45838</v>
      </c>
      <c r="G1309" t="s">
        <v>2208</v>
      </c>
      <c r="H1309" t="s">
        <v>2916</v>
      </c>
      <c r="I1309" t="s">
        <v>19268</v>
      </c>
      <c r="J1309">
        <v>0</v>
      </c>
      <c r="K1309">
        <v>-0.06</v>
      </c>
      <c r="L1309" t="s">
        <v>2917</v>
      </c>
      <c r="M1309">
        <v>0</v>
      </c>
      <c r="N1309" t="s">
        <v>2918</v>
      </c>
      <c r="O1309" t="s">
        <v>2919</v>
      </c>
      <c r="P1309" t="s">
        <v>2208</v>
      </c>
      <c r="Q1309" t="s">
        <v>2916</v>
      </c>
      <c r="R1309" t="s">
        <v>3220</v>
      </c>
      <c r="S1309" t="s">
        <v>2208</v>
      </c>
      <c r="T1309" t="s">
        <v>2208</v>
      </c>
    </row>
    <row r="1310" spans="1:20">
      <c r="A1310" t="s">
        <v>2348</v>
      </c>
      <c r="B1310" t="s">
        <v>17897</v>
      </c>
      <c r="C1310">
        <v>45838</v>
      </c>
      <c r="D1310" t="s">
        <v>7263</v>
      </c>
      <c r="E1310" t="s">
        <v>17898</v>
      </c>
      <c r="F1310">
        <v>45838</v>
      </c>
      <c r="G1310" t="s">
        <v>2208</v>
      </c>
      <c r="H1310" t="s">
        <v>2916</v>
      </c>
      <c r="I1310" t="s">
        <v>19269</v>
      </c>
      <c r="J1310">
        <v>0</v>
      </c>
      <c r="K1310">
        <v>-7.0000000000000007E-2</v>
      </c>
      <c r="L1310" t="s">
        <v>2917</v>
      </c>
      <c r="M1310">
        <v>0</v>
      </c>
      <c r="N1310" t="s">
        <v>2918</v>
      </c>
      <c r="O1310" t="s">
        <v>2919</v>
      </c>
      <c r="P1310" t="s">
        <v>2208</v>
      </c>
      <c r="Q1310" t="s">
        <v>2916</v>
      </c>
      <c r="R1310" t="s">
        <v>3220</v>
      </c>
      <c r="S1310" t="s">
        <v>2208</v>
      </c>
      <c r="T1310" t="s">
        <v>2208</v>
      </c>
    </row>
    <row r="1311" spans="1:20">
      <c r="A1311" t="s">
        <v>2349</v>
      </c>
      <c r="B1311" t="s">
        <v>17897</v>
      </c>
      <c r="C1311">
        <v>45813</v>
      </c>
      <c r="D1311" t="s">
        <v>7263</v>
      </c>
      <c r="E1311" t="s">
        <v>17898</v>
      </c>
      <c r="F1311">
        <v>45828</v>
      </c>
      <c r="G1311" t="s">
        <v>18874</v>
      </c>
      <c r="H1311" t="s">
        <v>2916</v>
      </c>
      <c r="I1311" t="s">
        <v>18875</v>
      </c>
      <c r="J1311">
        <v>1</v>
      </c>
      <c r="K1311">
        <v>125390.99</v>
      </c>
      <c r="L1311" t="s">
        <v>2917</v>
      </c>
      <c r="M1311">
        <v>711640.14</v>
      </c>
      <c r="N1311" t="s">
        <v>2918</v>
      </c>
      <c r="O1311" t="s">
        <v>18876</v>
      </c>
      <c r="P1311" t="s">
        <v>18877</v>
      </c>
      <c r="Q1311" t="s">
        <v>2927</v>
      </c>
      <c r="R1311" t="s">
        <v>3222</v>
      </c>
      <c r="S1311" t="s">
        <v>18878</v>
      </c>
      <c r="T1311" t="s">
        <v>18877</v>
      </c>
    </row>
    <row r="1312" spans="1:20">
      <c r="A1312" t="s">
        <v>2349</v>
      </c>
      <c r="B1312" t="s">
        <v>17897</v>
      </c>
      <c r="C1312">
        <v>45838</v>
      </c>
      <c r="D1312" t="s">
        <v>7263</v>
      </c>
      <c r="E1312" t="s">
        <v>17898</v>
      </c>
      <c r="F1312">
        <v>45838</v>
      </c>
      <c r="G1312" t="s">
        <v>2208</v>
      </c>
      <c r="H1312" t="s">
        <v>2916</v>
      </c>
      <c r="I1312" t="s">
        <v>19270</v>
      </c>
      <c r="J1312">
        <v>0</v>
      </c>
      <c r="K1312">
        <v>-0.02</v>
      </c>
      <c r="L1312" t="s">
        <v>2917</v>
      </c>
      <c r="M1312">
        <v>0</v>
      </c>
      <c r="N1312" t="s">
        <v>2918</v>
      </c>
      <c r="O1312" t="s">
        <v>2919</v>
      </c>
      <c r="P1312" t="s">
        <v>2208</v>
      </c>
      <c r="Q1312" t="s">
        <v>2916</v>
      </c>
      <c r="R1312" t="s">
        <v>3220</v>
      </c>
      <c r="S1312" t="s">
        <v>2208</v>
      </c>
      <c r="T1312" t="s">
        <v>2208</v>
      </c>
    </row>
    <row r="1313" spans="1:20">
      <c r="A1313" t="s">
        <v>2349</v>
      </c>
      <c r="B1313" t="s">
        <v>17897</v>
      </c>
      <c r="C1313">
        <v>45835</v>
      </c>
      <c r="D1313" t="s">
        <v>7263</v>
      </c>
      <c r="E1313" t="s">
        <v>17898</v>
      </c>
      <c r="F1313">
        <v>45835</v>
      </c>
      <c r="G1313" t="s">
        <v>2208</v>
      </c>
      <c r="H1313" t="s">
        <v>2916</v>
      </c>
      <c r="I1313" t="s">
        <v>19161</v>
      </c>
      <c r="J1313">
        <v>0</v>
      </c>
      <c r="K1313">
        <v>153.29</v>
      </c>
      <c r="L1313" t="s">
        <v>2917</v>
      </c>
      <c r="M1313">
        <v>870</v>
      </c>
      <c r="N1313" t="s">
        <v>2918</v>
      </c>
      <c r="O1313" t="s">
        <v>19162</v>
      </c>
      <c r="P1313" t="s">
        <v>2208</v>
      </c>
      <c r="Q1313" t="s">
        <v>16237</v>
      </c>
      <c r="R1313" t="s">
        <v>16238</v>
      </c>
      <c r="S1313" t="s">
        <v>2208</v>
      </c>
      <c r="T1313" t="s">
        <v>2208</v>
      </c>
    </row>
    <row r="1314" spans="1:20">
      <c r="A1314" t="s">
        <v>2349</v>
      </c>
      <c r="B1314" t="s">
        <v>17897</v>
      </c>
      <c r="C1314">
        <v>45838</v>
      </c>
      <c r="D1314" t="s">
        <v>7263</v>
      </c>
      <c r="E1314" t="s">
        <v>17898</v>
      </c>
      <c r="F1314">
        <v>45838</v>
      </c>
      <c r="G1314" t="s">
        <v>2208</v>
      </c>
      <c r="H1314" t="s">
        <v>2916</v>
      </c>
      <c r="I1314" t="s">
        <v>19236</v>
      </c>
      <c r="J1314">
        <v>0</v>
      </c>
      <c r="K1314">
        <v>70.260000000000005</v>
      </c>
      <c r="L1314" t="s">
        <v>2917</v>
      </c>
      <c r="M1314">
        <v>398.75</v>
      </c>
      <c r="N1314" t="s">
        <v>2918</v>
      </c>
      <c r="O1314" t="s">
        <v>19237</v>
      </c>
      <c r="P1314" t="s">
        <v>2208</v>
      </c>
      <c r="Q1314" t="s">
        <v>2926</v>
      </c>
      <c r="R1314" t="s">
        <v>3312</v>
      </c>
      <c r="S1314" t="s">
        <v>2208</v>
      </c>
      <c r="T1314" t="s">
        <v>2208</v>
      </c>
    </row>
    <row r="1315" spans="1:20">
      <c r="A1315" t="s">
        <v>2349</v>
      </c>
      <c r="B1315" t="s">
        <v>17897</v>
      </c>
      <c r="C1315">
        <v>45838</v>
      </c>
      <c r="D1315" t="s">
        <v>7263</v>
      </c>
      <c r="E1315" t="s">
        <v>17898</v>
      </c>
      <c r="F1315">
        <v>45838</v>
      </c>
      <c r="G1315" t="s">
        <v>2208</v>
      </c>
      <c r="H1315" t="s">
        <v>2916</v>
      </c>
      <c r="I1315" t="s">
        <v>19271</v>
      </c>
      <c r="J1315">
        <v>0</v>
      </c>
      <c r="K1315">
        <v>0.04</v>
      </c>
      <c r="L1315" t="s">
        <v>2917</v>
      </c>
      <c r="M1315">
        <v>0</v>
      </c>
      <c r="N1315" t="s">
        <v>2918</v>
      </c>
      <c r="O1315" t="s">
        <v>2919</v>
      </c>
      <c r="P1315" t="s">
        <v>2208</v>
      </c>
      <c r="Q1315" t="s">
        <v>2916</v>
      </c>
      <c r="R1315" t="s">
        <v>3220</v>
      </c>
      <c r="S1315" t="s">
        <v>2208</v>
      </c>
      <c r="T1315" t="s">
        <v>2208</v>
      </c>
    </row>
    <row r="1316" spans="1:20">
      <c r="A1316" t="s">
        <v>2351</v>
      </c>
      <c r="B1316" t="s">
        <v>11331</v>
      </c>
      <c r="C1316">
        <v>45748</v>
      </c>
      <c r="D1316" t="s">
        <v>7263</v>
      </c>
      <c r="E1316" t="s">
        <v>11332</v>
      </c>
      <c r="F1316">
        <v>45748</v>
      </c>
      <c r="G1316" t="s">
        <v>2208</v>
      </c>
      <c r="H1316" t="s">
        <v>2916</v>
      </c>
      <c r="I1316" t="s">
        <v>11382</v>
      </c>
      <c r="J1316">
        <v>1</v>
      </c>
      <c r="K1316">
        <v>15621.55</v>
      </c>
      <c r="L1316" t="s">
        <v>2917</v>
      </c>
      <c r="M1316">
        <v>76083.899999999994</v>
      </c>
      <c r="N1316" t="s">
        <v>2918</v>
      </c>
      <c r="O1316" t="s">
        <v>11383</v>
      </c>
      <c r="P1316" t="s">
        <v>2208</v>
      </c>
      <c r="Q1316" t="s">
        <v>11384</v>
      </c>
      <c r="R1316" t="s">
        <v>11385</v>
      </c>
      <c r="S1316" t="s">
        <v>11386</v>
      </c>
      <c r="T1316" t="s">
        <v>11387</v>
      </c>
    </row>
    <row r="1317" spans="1:20">
      <c r="A1317" t="s">
        <v>2351</v>
      </c>
      <c r="B1317" t="s">
        <v>11331</v>
      </c>
      <c r="C1317">
        <v>45748</v>
      </c>
      <c r="D1317" t="s">
        <v>7263</v>
      </c>
      <c r="E1317" t="s">
        <v>11332</v>
      </c>
      <c r="F1317">
        <v>45748</v>
      </c>
      <c r="G1317" t="s">
        <v>2208</v>
      </c>
      <c r="H1317" t="s">
        <v>2916</v>
      </c>
      <c r="I1317" t="s">
        <v>11382</v>
      </c>
      <c r="J1317">
        <v>1</v>
      </c>
      <c r="K1317">
        <v>6490.64</v>
      </c>
      <c r="L1317" t="s">
        <v>2917</v>
      </c>
      <c r="M1317">
        <v>33941.5</v>
      </c>
      <c r="N1317" t="s">
        <v>2918</v>
      </c>
      <c r="O1317" t="s">
        <v>11383</v>
      </c>
      <c r="P1317" t="s">
        <v>2208</v>
      </c>
      <c r="Q1317" t="s">
        <v>11384</v>
      </c>
      <c r="R1317" t="s">
        <v>11385</v>
      </c>
      <c r="S1317" t="s">
        <v>11388</v>
      </c>
      <c r="T1317" t="s">
        <v>11389</v>
      </c>
    </row>
    <row r="1318" spans="1:20">
      <c r="A1318" t="s">
        <v>2351</v>
      </c>
      <c r="B1318" t="s">
        <v>11331</v>
      </c>
      <c r="C1318">
        <v>45777</v>
      </c>
      <c r="D1318" t="s">
        <v>7263</v>
      </c>
      <c r="E1318" t="s">
        <v>11332</v>
      </c>
      <c r="F1318">
        <v>45777</v>
      </c>
      <c r="G1318" t="s">
        <v>2208</v>
      </c>
      <c r="H1318" t="s">
        <v>2916</v>
      </c>
      <c r="I1318" t="s">
        <v>16427</v>
      </c>
      <c r="J1318">
        <v>0</v>
      </c>
      <c r="K1318">
        <v>-3006.35</v>
      </c>
      <c r="L1318" t="s">
        <v>2917</v>
      </c>
      <c r="M1318">
        <v>0</v>
      </c>
      <c r="N1318" t="s">
        <v>2918</v>
      </c>
      <c r="O1318" t="s">
        <v>2919</v>
      </c>
      <c r="P1318" t="s">
        <v>2208</v>
      </c>
      <c r="Q1318" t="s">
        <v>2916</v>
      </c>
      <c r="R1318" t="s">
        <v>3220</v>
      </c>
      <c r="S1318" t="s">
        <v>2208</v>
      </c>
      <c r="T1318" t="s">
        <v>2208</v>
      </c>
    </row>
    <row r="1319" spans="1:20">
      <c r="A1319" t="s">
        <v>2351</v>
      </c>
      <c r="B1319" t="s">
        <v>9126</v>
      </c>
      <c r="C1319">
        <v>45527</v>
      </c>
      <c r="D1319" t="s">
        <v>7263</v>
      </c>
      <c r="E1319" t="s">
        <v>9127</v>
      </c>
      <c r="F1319">
        <v>45729</v>
      </c>
      <c r="G1319" t="s">
        <v>10830</v>
      </c>
      <c r="H1319" t="s">
        <v>2916</v>
      </c>
      <c r="I1319" t="s">
        <v>10831</v>
      </c>
      <c r="J1319">
        <v>21000</v>
      </c>
      <c r="K1319">
        <v>3599.19</v>
      </c>
      <c r="L1319" t="s">
        <v>2917</v>
      </c>
      <c r="M1319">
        <v>21000</v>
      </c>
      <c r="N1319" t="s">
        <v>2918</v>
      </c>
      <c r="O1319" t="s">
        <v>3315</v>
      </c>
      <c r="P1319" t="s">
        <v>3315</v>
      </c>
      <c r="Q1319" t="s">
        <v>2924</v>
      </c>
      <c r="R1319" t="s">
        <v>3219</v>
      </c>
      <c r="S1319" t="s">
        <v>2208</v>
      </c>
      <c r="T1319" t="s">
        <v>2208</v>
      </c>
    </row>
    <row r="1320" spans="1:20">
      <c r="A1320" t="s">
        <v>2351</v>
      </c>
      <c r="B1320" t="s">
        <v>11331</v>
      </c>
      <c r="C1320">
        <v>45562</v>
      </c>
      <c r="D1320" t="s">
        <v>7263</v>
      </c>
      <c r="E1320" t="s">
        <v>11332</v>
      </c>
      <c r="F1320">
        <v>45761</v>
      </c>
      <c r="G1320" t="s">
        <v>10830</v>
      </c>
      <c r="H1320" t="s">
        <v>2916</v>
      </c>
      <c r="I1320" t="s">
        <v>12356</v>
      </c>
      <c r="J1320">
        <v>0</v>
      </c>
      <c r="K1320">
        <v>-289.86</v>
      </c>
      <c r="L1320" t="s">
        <v>2917</v>
      </c>
      <c r="M1320">
        <v>-1942.5</v>
      </c>
      <c r="N1320" t="s">
        <v>2918</v>
      </c>
      <c r="O1320" t="s">
        <v>12357</v>
      </c>
      <c r="P1320" t="s">
        <v>3315</v>
      </c>
      <c r="Q1320" t="s">
        <v>2924</v>
      </c>
      <c r="R1320" t="s">
        <v>3219</v>
      </c>
      <c r="S1320" t="s">
        <v>2208</v>
      </c>
      <c r="T1320" t="s">
        <v>2208</v>
      </c>
    </row>
    <row r="1321" spans="1:20">
      <c r="A1321" t="s">
        <v>2351</v>
      </c>
      <c r="B1321" t="s">
        <v>11331</v>
      </c>
      <c r="C1321">
        <v>45777</v>
      </c>
      <c r="D1321" t="s">
        <v>7263</v>
      </c>
      <c r="E1321" t="s">
        <v>11332</v>
      </c>
      <c r="F1321">
        <v>45777</v>
      </c>
      <c r="G1321" t="s">
        <v>2208</v>
      </c>
      <c r="H1321" t="s">
        <v>2916</v>
      </c>
      <c r="I1321" t="s">
        <v>16428</v>
      </c>
      <c r="J1321">
        <v>0</v>
      </c>
      <c r="K1321">
        <v>-47.54</v>
      </c>
      <c r="L1321" t="s">
        <v>2917</v>
      </c>
      <c r="M1321">
        <v>0</v>
      </c>
      <c r="N1321" t="s">
        <v>2918</v>
      </c>
      <c r="O1321" t="s">
        <v>2919</v>
      </c>
      <c r="P1321" t="s">
        <v>2208</v>
      </c>
      <c r="Q1321" t="s">
        <v>2916</v>
      </c>
      <c r="R1321" t="s">
        <v>3220</v>
      </c>
      <c r="S1321" t="s">
        <v>2208</v>
      </c>
      <c r="T1321" t="s">
        <v>2208</v>
      </c>
    </row>
    <row r="1322" spans="1:20">
      <c r="A1322" t="s">
        <v>2357</v>
      </c>
      <c r="B1322" t="s">
        <v>9126</v>
      </c>
      <c r="C1322">
        <v>45743</v>
      </c>
      <c r="D1322" t="s">
        <v>7263</v>
      </c>
      <c r="E1322" t="s">
        <v>9127</v>
      </c>
      <c r="F1322">
        <v>45743</v>
      </c>
      <c r="G1322" t="s">
        <v>2208</v>
      </c>
      <c r="H1322" t="s">
        <v>2916</v>
      </c>
      <c r="I1322" t="s">
        <v>11390</v>
      </c>
      <c r="J1322">
        <v>0</v>
      </c>
      <c r="K1322">
        <v>937.94</v>
      </c>
      <c r="L1322" t="s">
        <v>2917</v>
      </c>
      <c r="M1322">
        <v>5472.57</v>
      </c>
      <c r="N1322" t="s">
        <v>2918</v>
      </c>
      <c r="O1322" t="s">
        <v>11391</v>
      </c>
      <c r="P1322" t="s">
        <v>2208</v>
      </c>
      <c r="Q1322" t="s">
        <v>6851</v>
      </c>
      <c r="R1322" t="s">
        <v>6852</v>
      </c>
      <c r="S1322" t="s">
        <v>2208</v>
      </c>
      <c r="T1322" t="s">
        <v>2208</v>
      </c>
    </row>
    <row r="1323" spans="1:20">
      <c r="A1323" t="s">
        <v>2357</v>
      </c>
      <c r="B1323" t="s">
        <v>9126</v>
      </c>
      <c r="C1323">
        <v>45747</v>
      </c>
      <c r="D1323" t="s">
        <v>7263</v>
      </c>
      <c r="E1323" t="s">
        <v>9127</v>
      </c>
      <c r="F1323">
        <v>45747</v>
      </c>
      <c r="G1323" t="s">
        <v>2208</v>
      </c>
      <c r="H1323" t="s">
        <v>2916</v>
      </c>
      <c r="I1323" t="s">
        <v>11392</v>
      </c>
      <c r="J1323">
        <v>0</v>
      </c>
      <c r="K1323">
        <v>0.08</v>
      </c>
      <c r="L1323" t="s">
        <v>2917</v>
      </c>
      <c r="M1323">
        <v>0</v>
      </c>
      <c r="N1323" t="s">
        <v>2918</v>
      </c>
      <c r="O1323" t="s">
        <v>2919</v>
      </c>
      <c r="P1323" t="s">
        <v>2208</v>
      </c>
      <c r="Q1323" t="s">
        <v>2916</v>
      </c>
      <c r="R1323" t="s">
        <v>3220</v>
      </c>
      <c r="S1323" t="s">
        <v>2208</v>
      </c>
      <c r="T1323" t="s">
        <v>2208</v>
      </c>
    </row>
    <row r="1324" spans="1:20">
      <c r="A1324" t="s">
        <v>2371</v>
      </c>
      <c r="B1324" t="s">
        <v>2920</v>
      </c>
      <c r="C1324">
        <v>45686</v>
      </c>
      <c r="D1324" t="s">
        <v>7263</v>
      </c>
      <c r="E1324" t="s">
        <v>2921</v>
      </c>
      <c r="F1324">
        <v>45686</v>
      </c>
      <c r="G1324" t="s">
        <v>2208</v>
      </c>
      <c r="H1324" t="s">
        <v>2916</v>
      </c>
      <c r="I1324" t="s">
        <v>7718</v>
      </c>
      <c r="J1324">
        <v>0</v>
      </c>
      <c r="K1324">
        <v>31090.560000000001</v>
      </c>
      <c r="L1324" t="s">
        <v>2917</v>
      </c>
      <c r="M1324">
        <v>192000</v>
      </c>
      <c r="N1324" t="s">
        <v>2918</v>
      </c>
      <c r="O1324" t="s">
        <v>7719</v>
      </c>
      <c r="P1324" t="s">
        <v>2208</v>
      </c>
      <c r="Q1324" t="s">
        <v>7720</v>
      </c>
      <c r="R1324" t="s">
        <v>7721</v>
      </c>
      <c r="S1324" t="s">
        <v>2208</v>
      </c>
      <c r="T1324" t="s">
        <v>2208</v>
      </c>
    </row>
    <row r="1325" spans="1:20">
      <c r="A1325" t="s">
        <v>2371</v>
      </c>
      <c r="B1325" t="s">
        <v>16360</v>
      </c>
      <c r="C1325">
        <v>45797</v>
      </c>
      <c r="D1325" t="s">
        <v>7263</v>
      </c>
      <c r="E1325" t="s">
        <v>16361</v>
      </c>
      <c r="F1325">
        <v>45800</v>
      </c>
      <c r="G1325" t="s">
        <v>17504</v>
      </c>
      <c r="H1325" t="s">
        <v>2916</v>
      </c>
      <c r="I1325" t="s">
        <v>17505</v>
      </c>
      <c r="J1325">
        <v>1</v>
      </c>
      <c r="K1325">
        <v>103602.97</v>
      </c>
      <c r="L1325" t="s">
        <v>2917</v>
      </c>
      <c r="M1325">
        <v>583678.71999999997</v>
      </c>
      <c r="N1325" t="s">
        <v>2918</v>
      </c>
      <c r="O1325" t="s">
        <v>17506</v>
      </c>
      <c r="P1325" t="s">
        <v>17507</v>
      </c>
      <c r="Q1325" t="s">
        <v>2924</v>
      </c>
      <c r="R1325" t="s">
        <v>3219</v>
      </c>
      <c r="S1325" t="s">
        <v>17508</v>
      </c>
      <c r="T1325" t="s">
        <v>17509</v>
      </c>
    </row>
    <row r="1326" spans="1:20">
      <c r="A1326" t="s">
        <v>2371</v>
      </c>
      <c r="B1326" t="s">
        <v>16360</v>
      </c>
      <c r="C1326">
        <v>45797</v>
      </c>
      <c r="D1326" t="s">
        <v>7263</v>
      </c>
      <c r="E1326" t="s">
        <v>16361</v>
      </c>
      <c r="F1326">
        <v>45800</v>
      </c>
      <c r="G1326" t="s">
        <v>17504</v>
      </c>
      <c r="H1326" t="s">
        <v>2916</v>
      </c>
      <c r="I1326" t="s">
        <v>17510</v>
      </c>
      <c r="J1326">
        <v>0</v>
      </c>
      <c r="K1326">
        <v>-9583.07</v>
      </c>
      <c r="L1326" t="s">
        <v>2917</v>
      </c>
      <c r="M1326">
        <v>-53989.13</v>
      </c>
      <c r="N1326" t="s">
        <v>2918</v>
      </c>
      <c r="O1326" t="s">
        <v>17511</v>
      </c>
      <c r="P1326" t="s">
        <v>17507</v>
      </c>
      <c r="Q1326" t="s">
        <v>2924</v>
      </c>
      <c r="R1326" t="s">
        <v>3219</v>
      </c>
      <c r="S1326" t="s">
        <v>17508</v>
      </c>
      <c r="T1326" t="s">
        <v>17509</v>
      </c>
    </row>
    <row r="1327" spans="1:20">
      <c r="A1327" t="s">
        <v>2371</v>
      </c>
      <c r="B1327" t="s">
        <v>16360</v>
      </c>
      <c r="C1327">
        <v>45808</v>
      </c>
      <c r="D1327" t="s">
        <v>7263</v>
      </c>
      <c r="E1327" t="s">
        <v>16361</v>
      </c>
      <c r="F1327">
        <v>45808</v>
      </c>
      <c r="G1327" t="s">
        <v>2208</v>
      </c>
      <c r="H1327" t="s">
        <v>2916</v>
      </c>
      <c r="I1327" t="s">
        <v>17872</v>
      </c>
      <c r="J1327">
        <v>0</v>
      </c>
      <c r="K1327">
        <v>0.08</v>
      </c>
      <c r="L1327" t="s">
        <v>2917</v>
      </c>
      <c r="M1327">
        <v>0</v>
      </c>
      <c r="N1327" t="s">
        <v>2918</v>
      </c>
      <c r="O1327" t="s">
        <v>2919</v>
      </c>
      <c r="P1327" t="s">
        <v>2208</v>
      </c>
      <c r="Q1327" t="s">
        <v>2916</v>
      </c>
      <c r="R1327" t="s">
        <v>3220</v>
      </c>
      <c r="S1327" t="s">
        <v>2208</v>
      </c>
      <c r="T1327" t="s">
        <v>2208</v>
      </c>
    </row>
    <row r="1328" spans="1:20">
      <c r="A1328" t="s">
        <v>2371</v>
      </c>
      <c r="B1328" t="s">
        <v>17897</v>
      </c>
      <c r="C1328">
        <v>45686</v>
      </c>
      <c r="D1328" t="s">
        <v>7263</v>
      </c>
      <c r="E1328" t="s">
        <v>17898</v>
      </c>
      <c r="F1328">
        <v>45833</v>
      </c>
      <c r="G1328" t="s">
        <v>2208</v>
      </c>
      <c r="H1328" t="s">
        <v>2916</v>
      </c>
      <c r="I1328" t="s">
        <v>19052</v>
      </c>
      <c r="J1328">
        <v>0</v>
      </c>
      <c r="K1328">
        <v>-31090.560000000001</v>
      </c>
      <c r="L1328" t="s">
        <v>2917</v>
      </c>
      <c r="M1328">
        <v>-192000</v>
      </c>
      <c r="N1328" t="s">
        <v>2918</v>
      </c>
      <c r="O1328" t="s">
        <v>7719</v>
      </c>
      <c r="P1328" t="s">
        <v>2208</v>
      </c>
      <c r="Q1328" t="s">
        <v>7720</v>
      </c>
      <c r="R1328" t="s">
        <v>7721</v>
      </c>
      <c r="S1328" t="s">
        <v>2208</v>
      </c>
      <c r="T1328" t="s">
        <v>2208</v>
      </c>
    </row>
    <row r="1329" spans="1:20">
      <c r="A1329" t="s">
        <v>2371</v>
      </c>
      <c r="B1329" t="s">
        <v>17897</v>
      </c>
      <c r="C1329">
        <v>45838</v>
      </c>
      <c r="D1329" t="s">
        <v>7263</v>
      </c>
      <c r="E1329" t="s">
        <v>17898</v>
      </c>
      <c r="F1329">
        <v>45838</v>
      </c>
      <c r="G1329" t="s">
        <v>2208</v>
      </c>
      <c r="H1329" t="s">
        <v>2916</v>
      </c>
      <c r="I1329" t="s">
        <v>19272</v>
      </c>
      <c r="J1329">
        <v>0</v>
      </c>
      <c r="K1329">
        <v>-2739.84</v>
      </c>
      <c r="L1329" t="s">
        <v>2917</v>
      </c>
      <c r="M1329">
        <v>0</v>
      </c>
      <c r="N1329" t="s">
        <v>2918</v>
      </c>
      <c r="O1329" t="s">
        <v>2919</v>
      </c>
      <c r="P1329" t="s">
        <v>2208</v>
      </c>
      <c r="Q1329" t="s">
        <v>2916</v>
      </c>
      <c r="R1329" t="s">
        <v>3220</v>
      </c>
      <c r="S1329" t="s">
        <v>2208</v>
      </c>
      <c r="T1329" t="s">
        <v>2208</v>
      </c>
    </row>
    <row r="1330" spans="1:20">
      <c r="A1330" t="s">
        <v>2380</v>
      </c>
      <c r="B1330" t="s">
        <v>9126</v>
      </c>
      <c r="C1330">
        <v>45747</v>
      </c>
      <c r="D1330" t="s">
        <v>7263</v>
      </c>
      <c r="E1330" t="s">
        <v>9127</v>
      </c>
      <c r="F1330">
        <v>45747</v>
      </c>
      <c r="G1330" t="s">
        <v>2208</v>
      </c>
      <c r="H1330" t="s">
        <v>2916</v>
      </c>
      <c r="I1330" t="s">
        <v>11393</v>
      </c>
      <c r="J1330">
        <v>0</v>
      </c>
      <c r="K1330">
        <v>-6512.82</v>
      </c>
      <c r="L1330" t="s">
        <v>2917</v>
      </c>
      <c r="M1330">
        <v>-38000</v>
      </c>
      <c r="N1330" t="s">
        <v>2918</v>
      </c>
      <c r="O1330" t="s">
        <v>11394</v>
      </c>
      <c r="P1330" t="s">
        <v>2208</v>
      </c>
      <c r="Q1330" t="s">
        <v>11395</v>
      </c>
      <c r="R1330" t="s">
        <v>11396</v>
      </c>
      <c r="S1330" t="s">
        <v>2208</v>
      </c>
      <c r="T1330" t="s">
        <v>2208</v>
      </c>
    </row>
    <row r="1331" spans="1:20">
      <c r="A1331" t="s">
        <v>2380</v>
      </c>
      <c r="B1331" t="s">
        <v>9126</v>
      </c>
      <c r="C1331">
        <v>45747</v>
      </c>
      <c r="D1331" t="s">
        <v>7263</v>
      </c>
      <c r="E1331" t="s">
        <v>9127</v>
      </c>
      <c r="F1331">
        <v>45747</v>
      </c>
      <c r="G1331" t="s">
        <v>2208</v>
      </c>
      <c r="H1331" t="s">
        <v>2916</v>
      </c>
      <c r="I1331" t="s">
        <v>11397</v>
      </c>
      <c r="J1331">
        <v>0</v>
      </c>
      <c r="K1331">
        <v>1100.8599999999999</v>
      </c>
      <c r="L1331" t="s">
        <v>2917</v>
      </c>
      <c r="M1331">
        <v>0</v>
      </c>
      <c r="N1331" t="s">
        <v>2918</v>
      </c>
      <c r="O1331" t="s">
        <v>2946</v>
      </c>
      <c r="P1331" t="s">
        <v>2208</v>
      </c>
      <c r="Q1331" t="s">
        <v>2928</v>
      </c>
      <c r="R1331" t="s">
        <v>3227</v>
      </c>
      <c r="S1331" t="s">
        <v>2208</v>
      </c>
      <c r="T1331" t="s">
        <v>2208</v>
      </c>
    </row>
    <row r="1332" spans="1:20">
      <c r="A1332" t="s">
        <v>2380</v>
      </c>
      <c r="B1332" t="s">
        <v>9126</v>
      </c>
      <c r="C1332">
        <v>45747</v>
      </c>
      <c r="D1332" t="s">
        <v>7263</v>
      </c>
      <c r="E1332" t="s">
        <v>9127</v>
      </c>
      <c r="F1332">
        <v>45747</v>
      </c>
      <c r="G1332" t="s">
        <v>2208</v>
      </c>
      <c r="H1332" t="s">
        <v>2916</v>
      </c>
      <c r="I1332" t="s">
        <v>11398</v>
      </c>
      <c r="J1332">
        <v>0</v>
      </c>
      <c r="K1332">
        <v>-2201.7199999999998</v>
      </c>
      <c r="L1332" t="s">
        <v>2917</v>
      </c>
      <c r="M1332">
        <v>0</v>
      </c>
      <c r="N1332" t="s">
        <v>2918</v>
      </c>
      <c r="O1332" t="s">
        <v>2946</v>
      </c>
      <c r="P1332" t="s">
        <v>2208</v>
      </c>
      <c r="Q1332" t="s">
        <v>2928</v>
      </c>
      <c r="R1332" t="s">
        <v>3227</v>
      </c>
      <c r="S1332" t="s">
        <v>2208</v>
      </c>
      <c r="T1332" t="s">
        <v>2208</v>
      </c>
    </row>
    <row r="1333" spans="1:20">
      <c r="A1333" t="s">
        <v>2382</v>
      </c>
      <c r="B1333" t="s">
        <v>2920</v>
      </c>
      <c r="C1333">
        <v>45656</v>
      </c>
      <c r="D1333" t="s">
        <v>7263</v>
      </c>
      <c r="E1333" t="s">
        <v>2921</v>
      </c>
      <c r="F1333">
        <v>45663</v>
      </c>
      <c r="G1333" t="s">
        <v>7202</v>
      </c>
      <c r="H1333" t="s">
        <v>2916</v>
      </c>
      <c r="I1333" t="s">
        <v>7342</v>
      </c>
      <c r="J1333">
        <v>14</v>
      </c>
      <c r="K1333">
        <v>46718.46</v>
      </c>
      <c r="L1333" t="s">
        <v>2917</v>
      </c>
      <c r="M1333">
        <v>288510.19</v>
      </c>
      <c r="N1333" t="s">
        <v>2918</v>
      </c>
      <c r="O1333" t="s">
        <v>7343</v>
      </c>
      <c r="P1333" t="s">
        <v>7344</v>
      </c>
      <c r="Q1333" t="s">
        <v>2924</v>
      </c>
      <c r="R1333" t="s">
        <v>3219</v>
      </c>
      <c r="S1333" t="s">
        <v>7345</v>
      </c>
      <c r="T1333" t="s">
        <v>7346</v>
      </c>
    </row>
    <row r="1334" spans="1:20">
      <c r="A1334" t="s">
        <v>2382</v>
      </c>
      <c r="B1334" t="s">
        <v>2920</v>
      </c>
      <c r="C1334">
        <v>45656</v>
      </c>
      <c r="D1334" t="s">
        <v>7263</v>
      </c>
      <c r="E1334" t="s">
        <v>2921</v>
      </c>
      <c r="F1334">
        <v>45663</v>
      </c>
      <c r="G1334" t="s">
        <v>7202</v>
      </c>
      <c r="H1334" t="s">
        <v>2916</v>
      </c>
      <c r="I1334" t="s">
        <v>7342</v>
      </c>
      <c r="J1334">
        <v>14</v>
      </c>
      <c r="K1334">
        <v>232.08</v>
      </c>
      <c r="L1334" t="s">
        <v>2917</v>
      </c>
      <c r="M1334">
        <v>1433.23</v>
      </c>
      <c r="N1334" t="s">
        <v>2918</v>
      </c>
      <c r="O1334" t="s">
        <v>7343</v>
      </c>
      <c r="P1334" t="s">
        <v>7347</v>
      </c>
      <c r="Q1334" t="s">
        <v>2924</v>
      </c>
      <c r="R1334" t="s">
        <v>3219</v>
      </c>
      <c r="S1334" t="s">
        <v>7348</v>
      </c>
      <c r="T1334" t="s">
        <v>7347</v>
      </c>
    </row>
    <row r="1335" spans="1:20">
      <c r="A1335" t="s">
        <v>2382</v>
      </c>
      <c r="B1335" t="s">
        <v>2920</v>
      </c>
      <c r="C1335">
        <v>45656</v>
      </c>
      <c r="D1335" t="s">
        <v>7263</v>
      </c>
      <c r="E1335" t="s">
        <v>2921</v>
      </c>
      <c r="F1335">
        <v>45663</v>
      </c>
      <c r="G1335" t="s">
        <v>7202</v>
      </c>
      <c r="H1335" t="s">
        <v>2916</v>
      </c>
      <c r="I1335" t="s">
        <v>7342</v>
      </c>
      <c r="J1335">
        <v>10</v>
      </c>
      <c r="K1335">
        <v>575.33000000000004</v>
      </c>
      <c r="L1335" t="s">
        <v>2917</v>
      </c>
      <c r="M1335">
        <v>3552.94</v>
      </c>
      <c r="N1335" t="s">
        <v>2918</v>
      </c>
      <c r="O1335" t="s">
        <v>7343</v>
      </c>
      <c r="P1335" t="s">
        <v>7203</v>
      </c>
      <c r="Q1335" t="s">
        <v>2924</v>
      </c>
      <c r="R1335" t="s">
        <v>3219</v>
      </c>
      <c r="S1335" t="s">
        <v>7204</v>
      </c>
      <c r="T1335" t="s">
        <v>7205</v>
      </c>
    </row>
    <row r="1336" spans="1:20">
      <c r="A1336" t="s">
        <v>2382</v>
      </c>
      <c r="B1336" t="s">
        <v>2920</v>
      </c>
      <c r="C1336">
        <v>45656</v>
      </c>
      <c r="D1336" t="s">
        <v>7263</v>
      </c>
      <c r="E1336" t="s">
        <v>2921</v>
      </c>
      <c r="F1336">
        <v>45663</v>
      </c>
      <c r="G1336" t="s">
        <v>7202</v>
      </c>
      <c r="H1336" t="s">
        <v>2916</v>
      </c>
      <c r="I1336" t="s">
        <v>7349</v>
      </c>
      <c r="J1336">
        <v>0</v>
      </c>
      <c r="K1336">
        <v>-5139.8100000000004</v>
      </c>
      <c r="L1336" t="s">
        <v>2917</v>
      </c>
      <c r="M1336">
        <v>-31740.93</v>
      </c>
      <c r="N1336" t="s">
        <v>2918</v>
      </c>
      <c r="O1336" t="s">
        <v>7350</v>
      </c>
      <c r="P1336" t="s">
        <v>7344</v>
      </c>
      <c r="Q1336" t="s">
        <v>2924</v>
      </c>
      <c r="R1336" t="s">
        <v>3219</v>
      </c>
      <c r="S1336" t="s">
        <v>7345</v>
      </c>
      <c r="T1336" t="s">
        <v>7346</v>
      </c>
    </row>
    <row r="1337" spans="1:20">
      <c r="A1337" t="s">
        <v>2382</v>
      </c>
      <c r="B1337" t="s">
        <v>2920</v>
      </c>
      <c r="C1337">
        <v>45656</v>
      </c>
      <c r="D1337" t="s">
        <v>7263</v>
      </c>
      <c r="E1337" t="s">
        <v>2921</v>
      </c>
      <c r="F1337">
        <v>45663</v>
      </c>
      <c r="G1337" t="s">
        <v>7202</v>
      </c>
      <c r="H1337" t="s">
        <v>2916</v>
      </c>
      <c r="I1337" t="s">
        <v>7349</v>
      </c>
      <c r="J1337">
        <v>0</v>
      </c>
      <c r="K1337">
        <v>-27.4</v>
      </c>
      <c r="L1337" t="s">
        <v>2917</v>
      </c>
      <c r="M1337">
        <v>-169.2</v>
      </c>
      <c r="N1337" t="s">
        <v>2918</v>
      </c>
      <c r="O1337" t="s">
        <v>7350</v>
      </c>
      <c r="P1337" t="s">
        <v>7347</v>
      </c>
      <c r="Q1337" t="s">
        <v>2924</v>
      </c>
      <c r="R1337" t="s">
        <v>3219</v>
      </c>
      <c r="S1337" t="s">
        <v>7348</v>
      </c>
      <c r="T1337" t="s">
        <v>7347</v>
      </c>
    </row>
    <row r="1338" spans="1:20">
      <c r="A1338" t="s">
        <v>2382</v>
      </c>
      <c r="B1338" t="s">
        <v>2920</v>
      </c>
      <c r="C1338">
        <v>45656</v>
      </c>
      <c r="D1338" t="s">
        <v>7263</v>
      </c>
      <c r="E1338" t="s">
        <v>2921</v>
      </c>
      <c r="F1338">
        <v>45663</v>
      </c>
      <c r="G1338" t="s">
        <v>7202</v>
      </c>
      <c r="H1338" t="s">
        <v>2916</v>
      </c>
      <c r="I1338" t="s">
        <v>7349</v>
      </c>
      <c r="J1338">
        <v>0</v>
      </c>
      <c r="K1338">
        <v>-67.930000000000007</v>
      </c>
      <c r="L1338" t="s">
        <v>2917</v>
      </c>
      <c r="M1338">
        <v>-419.5</v>
      </c>
      <c r="N1338" t="s">
        <v>2918</v>
      </c>
      <c r="O1338" t="s">
        <v>7350</v>
      </c>
      <c r="P1338" t="s">
        <v>7203</v>
      </c>
      <c r="Q1338" t="s">
        <v>2924</v>
      </c>
      <c r="R1338" t="s">
        <v>3219</v>
      </c>
      <c r="S1338" t="s">
        <v>7204</v>
      </c>
      <c r="T1338" t="s">
        <v>7205</v>
      </c>
    </row>
    <row r="1339" spans="1:20">
      <c r="A1339" t="s">
        <v>2382</v>
      </c>
      <c r="B1339" t="s">
        <v>2920</v>
      </c>
      <c r="C1339">
        <v>45687</v>
      </c>
      <c r="D1339" t="s">
        <v>7263</v>
      </c>
      <c r="E1339" t="s">
        <v>2921</v>
      </c>
      <c r="F1339">
        <v>45687</v>
      </c>
      <c r="G1339" t="s">
        <v>2208</v>
      </c>
      <c r="H1339" t="s">
        <v>2916</v>
      </c>
      <c r="I1339" t="s">
        <v>7499</v>
      </c>
      <c r="J1339">
        <v>0</v>
      </c>
      <c r="K1339">
        <v>-6880.39</v>
      </c>
      <c r="L1339" t="s">
        <v>2917</v>
      </c>
      <c r="M1339">
        <v>-42489.919999999998</v>
      </c>
      <c r="N1339" t="s">
        <v>2918</v>
      </c>
      <c r="O1339" t="s">
        <v>7500</v>
      </c>
      <c r="P1339" t="s">
        <v>2208</v>
      </c>
      <c r="Q1339" t="s">
        <v>2933</v>
      </c>
      <c r="R1339" t="s">
        <v>3314</v>
      </c>
      <c r="S1339" t="s">
        <v>2208</v>
      </c>
      <c r="T1339" t="s">
        <v>2208</v>
      </c>
    </row>
    <row r="1340" spans="1:20">
      <c r="A1340" t="s">
        <v>2382</v>
      </c>
      <c r="B1340" t="s">
        <v>2920</v>
      </c>
      <c r="C1340">
        <v>45688</v>
      </c>
      <c r="D1340" t="s">
        <v>7263</v>
      </c>
      <c r="E1340" t="s">
        <v>2921</v>
      </c>
      <c r="F1340">
        <v>45688</v>
      </c>
      <c r="G1340" t="s">
        <v>2208</v>
      </c>
      <c r="H1340" t="s">
        <v>2916</v>
      </c>
      <c r="I1340" t="s">
        <v>7722</v>
      </c>
      <c r="J1340">
        <v>0</v>
      </c>
      <c r="K1340">
        <v>0.03</v>
      </c>
      <c r="L1340" t="s">
        <v>2917</v>
      </c>
      <c r="M1340">
        <v>0</v>
      </c>
      <c r="N1340" t="s">
        <v>2918</v>
      </c>
      <c r="O1340" t="s">
        <v>2919</v>
      </c>
      <c r="P1340" t="s">
        <v>2208</v>
      </c>
      <c r="Q1340" t="s">
        <v>2916</v>
      </c>
      <c r="R1340" t="s">
        <v>3220</v>
      </c>
      <c r="S1340" t="s">
        <v>2208</v>
      </c>
      <c r="T1340" t="s">
        <v>2208</v>
      </c>
    </row>
    <row r="1341" spans="1:20">
      <c r="A1341" t="s">
        <v>2382</v>
      </c>
      <c r="B1341" t="s">
        <v>7740</v>
      </c>
      <c r="C1341">
        <v>45698</v>
      </c>
      <c r="D1341" t="s">
        <v>7263</v>
      </c>
      <c r="E1341" t="s">
        <v>2925</v>
      </c>
      <c r="F1341">
        <v>45702</v>
      </c>
      <c r="G1341" t="s">
        <v>8669</v>
      </c>
      <c r="H1341" t="s">
        <v>2916</v>
      </c>
      <c r="I1341" t="s">
        <v>8670</v>
      </c>
      <c r="J1341">
        <v>6</v>
      </c>
      <c r="K1341">
        <v>21866.81</v>
      </c>
      <c r="L1341" t="s">
        <v>2917</v>
      </c>
      <c r="M1341">
        <v>127169.56</v>
      </c>
      <c r="N1341" t="s">
        <v>2918</v>
      </c>
      <c r="O1341" t="s">
        <v>8671</v>
      </c>
      <c r="P1341" t="s">
        <v>8672</v>
      </c>
      <c r="Q1341" t="s">
        <v>2924</v>
      </c>
      <c r="R1341" t="s">
        <v>3219</v>
      </c>
      <c r="S1341" t="s">
        <v>8673</v>
      </c>
      <c r="T1341" t="s">
        <v>8674</v>
      </c>
    </row>
    <row r="1342" spans="1:20">
      <c r="A1342" t="s">
        <v>2382</v>
      </c>
      <c r="B1342" t="s">
        <v>7740</v>
      </c>
      <c r="C1342">
        <v>45698</v>
      </c>
      <c r="D1342" t="s">
        <v>7263</v>
      </c>
      <c r="E1342" t="s">
        <v>2925</v>
      </c>
      <c r="F1342">
        <v>45702</v>
      </c>
      <c r="G1342" t="s">
        <v>8669</v>
      </c>
      <c r="H1342" t="s">
        <v>2916</v>
      </c>
      <c r="I1342" t="s">
        <v>8675</v>
      </c>
      <c r="J1342">
        <v>0</v>
      </c>
      <c r="K1342">
        <v>-2581.7399999999998</v>
      </c>
      <c r="L1342" t="s">
        <v>2917</v>
      </c>
      <c r="M1342">
        <v>-15014.45</v>
      </c>
      <c r="N1342" t="s">
        <v>2918</v>
      </c>
      <c r="O1342" t="s">
        <v>8676</v>
      </c>
      <c r="P1342" t="s">
        <v>8672</v>
      </c>
      <c r="Q1342" t="s">
        <v>2924</v>
      </c>
      <c r="R1342" t="s">
        <v>3219</v>
      </c>
      <c r="S1342" t="s">
        <v>8673</v>
      </c>
      <c r="T1342" t="s">
        <v>8674</v>
      </c>
    </row>
    <row r="1343" spans="1:20">
      <c r="A1343" t="s">
        <v>2382</v>
      </c>
      <c r="B1343" t="s">
        <v>7740</v>
      </c>
      <c r="C1343">
        <v>45709</v>
      </c>
      <c r="D1343" t="s">
        <v>7263</v>
      </c>
      <c r="E1343" t="s">
        <v>2925</v>
      </c>
      <c r="F1343">
        <v>45713</v>
      </c>
      <c r="G1343" t="s">
        <v>9027</v>
      </c>
      <c r="H1343" t="s">
        <v>2916</v>
      </c>
      <c r="I1343" t="s">
        <v>9028</v>
      </c>
      <c r="J1343">
        <v>8</v>
      </c>
      <c r="K1343">
        <v>2072.11</v>
      </c>
      <c r="L1343" t="s">
        <v>2917</v>
      </c>
      <c r="M1343">
        <v>12050.64</v>
      </c>
      <c r="N1343" t="s">
        <v>2918</v>
      </c>
      <c r="O1343" t="s">
        <v>9029</v>
      </c>
      <c r="P1343" t="s">
        <v>9030</v>
      </c>
      <c r="Q1343" t="s">
        <v>2924</v>
      </c>
      <c r="R1343" t="s">
        <v>3219</v>
      </c>
      <c r="S1343" t="s">
        <v>9031</v>
      </c>
      <c r="T1343" t="s">
        <v>2208</v>
      </c>
    </row>
    <row r="1344" spans="1:20">
      <c r="A1344" t="s">
        <v>2382</v>
      </c>
      <c r="B1344" t="s">
        <v>7740</v>
      </c>
      <c r="C1344">
        <v>45709</v>
      </c>
      <c r="D1344" t="s">
        <v>7263</v>
      </c>
      <c r="E1344" t="s">
        <v>2925</v>
      </c>
      <c r="F1344">
        <v>45713</v>
      </c>
      <c r="G1344" t="s">
        <v>9027</v>
      </c>
      <c r="H1344" t="s">
        <v>2916</v>
      </c>
      <c r="I1344" t="s">
        <v>9032</v>
      </c>
      <c r="J1344">
        <v>0</v>
      </c>
      <c r="K1344">
        <v>-168.67</v>
      </c>
      <c r="L1344" t="s">
        <v>2917</v>
      </c>
      <c r="M1344">
        <v>-980.93</v>
      </c>
      <c r="N1344" t="s">
        <v>2918</v>
      </c>
      <c r="O1344" t="s">
        <v>9033</v>
      </c>
      <c r="P1344" t="s">
        <v>9030</v>
      </c>
      <c r="Q1344" t="s">
        <v>2924</v>
      </c>
      <c r="R1344" t="s">
        <v>3219</v>
      </c>
      <c r="S1344" t="s">
        <v>9031</v>
      </c>
      <c r="T1344" t="s">
        <v>2208</v>
      </c>
    </row>
    <row r="1345" spans="1:20">
      <c r="A1345" t="s">
        <v>2382</v>
      </c>
      <c r="B1345" t="s">
        <v>7740</v>
      </c>
      <c r="C1345">
        <v>45714</v>
      </c>
      <c r="D1345" t="s">
        <v>7263</v>
      </c>
      <c r="E1345" t="s">
        <v>2925</v>
      </c>
      <c r="F1345">
        <v>45714</v>
      </c>
      <c r="G1345" t="s">
        <v>2208</v>
      </c>
      <c r="H1345" t="s">
        <v>2916</v>
      </c>
      <c r="I1345" t="s">
        <v>9034</v>
      </c>
      <c r="J1345">
        <v>0</v>
      </c>
      <c r="K1345">
        <v>-1822.23</v>
      </c>
      <c r="L1345" t="s">
        <v>2917</v>
      </c>
      <c r="M1345">
        <v>-10597.47</v>
      </c>
      <c r="N1345" t="s">
        <v>2918</v>
      </c>
      <c r="O1345" t="s">
        <v>9035</v>
      </c>
      <c r="P1345" t="s">
        <v>2208</v>
      </c>
      <c r="Q1345" t="s">
        <v>2933</v>
      </c>
      <c r="R1345" t="s">
        <v>3314</v>
      </c>
      <c r="S1345" t="s">
        <v>2208</v>
      </c>
      <c r="T1345" t="s">
        <v>2208</v>
      </c>
    </row>
    <row r="1346" spans="1:20">
      <c r="A1346" t="s">
        <v>2382</v>
      </c>
      <c r="B1346" t="s">
        <v>7740</v>
      </c>
      <c r="C1346">
        <v>45709</v>
      </c>
      <c r="D1346" t="s">
        <v>7263</v>
      </c>
      <c r="E1346" t="s">
        <v>2925</v>
      </c>
      <c r="F1346">
        <v>45713</v>
      </c>
      <c r="G1346" t="s">
        <v>9027</v>
      </c>
      <c r="H1346" t="s">
        <v>2916</v>
      </c>
      <c r="I1346" t="s">
        <v>9036</v>
      </c>
      <c r="J1346">
        <v>0</v>
      </c>
      <c r="K1346">
        <v>168.67</v>
      </c>
      <c r="L1346" t="s">
        <v>2917</v>
      </c>
      <c r="M1346">
        <v>980.93</v>
      </c>
      <c r="N1346" t="s">
        <v>2918</v>
      </c>
      <c r="O1346" t="s">
        <v>9037</v>
      </c>
      <c r="P1346" t="s">
        <v>9030</v>
      </c>
      <c r="Q1346" t="s">
        <v>2924</v>
      </c>
      <c r="R1346" t="s">
        <v>3219</v>
      </c>
      <c r="S1346" t="s">
        <v>9031</v>
      </c>
      <c r="T1346" t="s">
        <v>2208</v>
      </c>
    </row>
    <row r="1347" spans="1:20">
      <c r="A1347" t="s">
        <v>2382</v>
      </c>
      <c r="B1347" t="s">
        <v>7740</v>
      </c>
      <c r="C1347">
        <v>45709</v>
      </c>
      <c r="D1347" t="s">
        <v>7263</v>
      </c>
      <c r="E1347" t="s">
        <v>2925</v>
      </c>
      <c r="F1347">
        <v>45714</v>
      </c>
      <c r="G1347" t="s">
        <v>9027</v>
      </c>
      <c r="H1347" t="s">
        <v>2916</v>
      </c>
      <c r="I1347" t="s">
        <v>9038</v>
      </c>
      <c r="J1347">
        <v>0</v>
      </c>
      <c r="K1347">
        <v>-417.33</v>
      </c>
      <c r="L1347" t="s">
        <v>2917</v>
      </c>
      <c r="M1347">
        <v>-2427.0100000000002</v>
      </c>
      <c r="N1347" t="s">
        <v>2918</v>
      </c>
      <c r="O1347" t="s">
        <v>9037</v>
      </c>
      <c r="P1347" t="s">
        <v>9030</v>
      </c>
      <c r="Q1347" t="s">
        <v>2924</v>
      </c>
      <c r="R1347" t="s">
        <v>3219</v>
      </c>
      <c r="S1347" t="s">
        <v>9031</v>
      </c>
      <c r="T1347" t="s">
        <v>2208</v>
      </c>
    </row>
    <row r="1348" spans="1:20">
      <c r="A1348" t="s">
        <v>2382</v>
      </c>
      <c r="B1348" t="s">
        <v>7740</v>
      </c>
      <c r="C1348">
        <v>45715</v>
      </c>
      <c r="D1348" t="s">
        <v>7263</v>
      </c>
      <c r="E1348" t="s">
        <v>2925</v>
      </c>
      <c r="F1348">
        <v>45715</v>
      </c>
      <c r="G1348" t="s">
        <v>2208</v>
      </c>
      <c r="H1348" t="s">
        <v>2916</v>
      </c>
      <c r="I1348" t="s">
        <v>9160</v>
      </c>
      <c r="J1348">
        <v>0</v>
      </c>
      <c r="K1348">
        <v>-7307.25</v>
      </c>
      <c r="L1348" t="s">
        <v>2917</v>
      </c>
      <c r="M1348">
        <v>-42496.36</v>
      </c>
      <c r="N1348" t="s">
        <v>2918</v>
      </c>
      <c r="O1348" t="s">
        <v>9161</v>
      </c>
      <c r="P1348" t="s">
        <v>2208</v>
      </c>
      <c r="Q1348" t="s">
        <v>2916</v>
      </c>
      <c r="R1348" t="s">
        <v>3220</v>
      </c>
      <c r="S1348" t="s">
        <v>2208</v>
      </c>
      <c r="T1348" t="s">
        <v>2208</v>
      </c>
    </row>
    <row r="1349" spans="1:20">
      <c r="A1349" t="s">
        <v>2382</v>
      </c>
      <c r="B1349" t="s">
        <v>7740</v>
      </c>
      <c r="C1349">
        <v>45716</v>
      </c>
      <c r="D1349" t="s">
        <v>7263</v>
      </c>
      <c r="E1349" t="s">
        <v>2925</v>
      </c>
      <c r="F1349">
        <v>45716</v>
      </c>
      <c r="G1349" t="s">
        <v>2208</v>
      </c>
      <c r="H1349" t="s">
        <v>2916</v>
      </c>
      <c r="I1349" t="s">
        <v>9162</v>
      </c>
      <c r="J1349">
        <v>0</v>
      </c>
      <c r="K1349">
        <v>0.02</v>
      </c>
      <c r="L1349" t="s">
        <v>2917</v>
      </c>
      <c r="M1349">
        <v>0</v>
      </c>
      <c r="N1349" t="s">
        <v>2918</v>
      </c>
      <c r="O1349" t="s">
        <v>2919</v>
      </c>
      <c r="P1349" t="s">
        <v>2208</v>
      </c>
      <c r="Q1349" t="s">
        <v>2916</v>
      </c>
      <c r="R1349" t="s">
        <v>3220</v>
      </c>
      <c r="S1349" t="s">
        <v>2208</v>
      </c>
      <c r="T1349" t="s">
        <v>2208</v>
      </c>
    </row>
    <row r="1350" spans="1:20">
      <c r="A1350" t="s">
        <v>2382</v>
      </c>
      <c r="B1350" t="s">
        <v>9126</v>
      </c>
      <c r="C1350">
        <v>45677</v>
      </c>
      <c r="D1350" t="s">
        <v>7263</v>
      </c>
      <c r="E1350" t="s">
        <v>9127</v>
      </c>
      <c r="F1350">
        <v>45741</v>
      </c>
      <c r="G1350" t="s">
        <v>11134</v>
      </c>
      <c r="H1350" t="s">
        <v>2916</v>
      </c>
      <c r="I1350" t="s">
        <v>11135</v>
      </c>
      <c r="J1350">
        <v>125957.46</v>
      </c>
      <c r="K1350">
        <v>21587.85</v>
      </c>
      <c r="L1350" t="s">
        <v>2917</v>
      </c>
      <c r="M1350">
        <v>125957.46</v>
      </c>
      <c r="N1350" t="s">
        <v>2918</v>
      </c>
      <c r="O1350" t="s">
        <v>2939</v>
      </c>
      <c r="P1350" t="s">
        <v>2939</v>
      </c>
      <c r="Q1350" t="s">
        <v>2924</v>
      </c>
      <c r="R1350" t="s">
        <v>3219</v>
      </c>
      <c r="S1350" t="s">
        <v>2208</v>
      </c>
      <c r="T1350" t="s">
        <v>2208</v>
      </c>
    </row>
    <row r="1351" spans="1:20">
      <c r="A1351" t="s">
        <v>2382</v>
      </c>
      <c r="B1351" t="s">
        <v>9126</v>
      </c>
      <c r="C1351">
        <v>45741</v>
      </c>
      <c r="D1351" t="s">
        <v>7263</v>
      </c>
      <c r="E1351" t="s">
        <v>9127</v>
      </c>
      <c r="F1351">
        <v>45742</v>
      </c>
      <c r="G1351" t="s">
        <v>11134</v>
      </c>
      <c r="H1351" t="s">
        <v>2916</v>
      </c>
      <c r="I1351" t="s">
        <v>11296</v>
      </c>
      <c r="J1351">
        <v>0</v>
      </c>
      <c r="K1351">
        <v>-1996.88</v>
      </c>
      <c r="L1351" t="s">
        <v>2917</v>
      </c>
      <c r="M1351">
        <v>-11651.07</v>
      </c>
      <c r="N1351" t="s">
        <v>2918</v>
      </c>
      <c r="O1351" t="s">
        <v>11297</v>
      </c>
      <c r="P1351" t="s">
        <v>2939</v>
      </c>
      <c r="Q1351" t="s">
        <v>2924</v>
      </c>
      <c r="R1351" t="s">
        <v>3219</v>
      </c>
      <c r="S1351" t="s">
        <v>2208</v>
      </c>
      <c r="T1351" t="s">
        <v>2208</v>
      </c>
    </row>
    <row r="1352" spans="1:20">
      <c r="A1352" t="s">
        <v>2382</v>
      </c>
      <c r="B1352" t="s">
        <v>9126</v>
      </c>
      <c r="C1352">
        <v>45747</v>
      </c>
      <c r="D1352" t="s">
        <v>7263</v>
      </c>
      <c r="E1352" t="s">
        <v>9127</v>
      </c>
      <c r="F1352">
        <v>45747</v>
      </c>
      <c r="G1352" t="s">
        <v>2208</v>
      </c>
      <c r="H1352" t="s">
        <v>2916</v>
      </c>
      <c r="I1352" t="s">
        <v>11399</v>
      </c>
      <c r="J1352">
        <v>0</v>
      </c>
      <c r="K1352">
        <v>-0.06</v>
      </c>
      <c r="L1352" t="s">
        <v>2917</v>
      </c>
      <c r="M1352">
        <v>0</v>
      </c>
      <c r="N1352" t="s">
        <v>2918</v>
      </c>
      <c r="O1352" t="s">
        <v>2919</v>
      </c>
      <c r="P1352" t="s">
        <v>2208</v>
      </c>
      <c r="Q1352" t="s">
        <v>2916</v>
      </c>
      <c r="R1352" t="s">
        <v>3220</v>
      </c>
      <c r="S1352" t="s">
        <v>2208</v>
      </c>
      <c r="T1352" t="s">
        <v>2208</v>
      </c>
    </row>
    <row r="1353" spans="1:20">
      <c r="A1353" t="s">
        <v>2382</v>
      </c>
      <c r="B1353" t="s">
        <v>11331</v>
      </c>
      <c r="C1353">
        <v>45373</v>
      </c>
      <c r="D1353" t="s">
        <v>7263</v>
      </c>
      <c r="E1353" t="s">
        <v>11332</v>
      </c>
      <c r="F1353">
        <v>45771</v>
      </c>
      <c r="G1353" t="s">
        <v>15974</v>
      </c>
      <c r="H1353" t="s">
        <v>2916</v>
      </c>
      <c r="I1353" t="s">
        <v>15975</v>
      </c>
      <c r="J1353">
        <v>64493.94</v>
      </c>
      <c r="K1353">
        <v>11199.37</v>
      </c>
      <c r="L1353" t="s">
        <v>2917</v>
      </c>
      <c r="M1353">
        <v>64493.94</v>
      </c>
      <c r="N1353" t="s">
        <v>2918</v>
      </c>
      <c r="O1353" t="s">
        <v>8443</v>
      </c>
      <c r="P1353" t="s">
        <v>8443</v>
      </c>
      <c r="Q1353" t="s">
        <v>2924</v>
      </c>
      <c r="R1353" t="s">
        <v>3219</v>
      </c>
      <c r="S1353" t="s">
        <v>2208</v>
      </c>
      <c r="T1353" t="s">
        <v>2208</v>
      </c>
    </row>
    <row r="1354" spans="1:20">
      <c r="A1354" t="s">
        <v>2382</v>
      </c>
      <c r="B1354" t="s">
        <v>11331</v>
      </c>
      <c r="C1354">
        <v>45373</v>
      </c>
      <c r="D1354" t="s">
        <v>7263</v>
      </c>
      <c r="E1354" t="s">
        <v>11332</v>
      </c>
      <c r="F1354">
        <v>45771</v>
      </c>
      <c r="G1354" t="s">
        <v>15974</v>
      </c>
      <c r="H1354" t="s">
        <v>2916</v>
      </c>
      <c r="I1354" t="s">
        <v>15976</v>
      </c>
      <c r="J1354">
        <v>396048.34</v>
      </c>
      <c r="K1354">
        <v>68773.789999999994</v>
      </c>
      <c r="L1354" t="s">
        <v>2917</v>
      </c>
      <c r="M1354">
        <v>396048.34</v>
      </c>
      <c r="N1354" t="s">
        <v>2918</v>
      </c>
      <c r="O1354" t="s">
        <v>8443</v>
      </c>
      <c r="P1354" t="s">
        <v>8443</v>
      </c>
      <c r="Q1354" t="s">
        <v>2924</v>
      </c>
      <c r="R1354" t="s">
        <v>3219</v>
      </c>
      <c r="S1354" t="s">
        <v>2208</v>
      </c>
      <c r="T1354" t="s">
        <v>2208</v>
      </c>
    </row>
    <row r="1355" spans="1:20">
      <c r="A1355" t="s">
        <v>2382</v>
      </c>
      <c r="B1355" t="s">
        <v>11331</v>
      </c>
      <c r="C1355">
        <v>45677</v>
      </c>
      <c r="D1355" t="s">
        <v>7263</v>
      </c>
      <c r="E1355" t="s">
        <v>11332</v>
      </c>
      <c r="F1355">
        <v>45771</v>
      </c>
      <c r="G1355" t="s">
        <v>11134</v>
      </c>
      <c r="H1355" t="s">
        <v>2916</v>
      </c>
      <c r="I1355" t="s">
        <v>15977</v>
      </c>
      <c r="J1355">
        <v>54692.06</v>
      </c>
      <c r="K1355">
        <v>9497.2800000000007</v>
      </c>
      <c r="L1355" t="s">
        <v>2917</v>
      </c>
      <c r="M1355">
        <v>54692.06</v>
      </c>
      <c r="N1355" t="s">
        <v>2918</v>
      </c>
      <c r="O1355" t="s">
        <v>2939</v>
      </c>
      <c r="P1355" t="s">
        <v>2939</v>
      </c>
      <c r="Q1355" t="s">
        <v>2924</v>
      </c>
      <c r="R1355" t="s">
        <v>3219</v>
      </c>
      <c r="S1355" t="s">
        <v>2208</v>
      </c>
      <c r="T1355" t="s">
        <v>2208</v>
      </c>
    </row>
    <row r="1356" spans="1:20">
      <c r="A1356" t="s">
        <v>2382</v>
      </c>
      <c r="B1356" t="s">
        <v>11331</v>
      </c>
      <c r="C1356">
        <v>45771</v>
      </c>
      <c r="D1356" t="s">
        <v>7263</v>
      </c>
      <c r="E1356" t="s">
        <v>11332</v>
      </c>
      <c r="F1356">
        <v>45772</v>
      </c>
      <c r="G1356" t="s">
        <v>11134</v>
      </c>
      <c r="H1356" t="s">
        <v>2916</v>
      </c>
      <c r="I1356" t="s">
        <v>16253</v>
      </c>
      <c r="J1356">
        <v>0</v>
      </c>
      <c r="K1356">
        <v>-878.5</v>
      </c>
      <c r="L1356" t="s">
        <v>2917</v>
      </c>
      <c r="M1356">
        <v>-5059.0200000000004</v>
      </c>
      <c r="N1356" t="s">
        <v>2918</v>
      </c>
      <c r="O1356" t="s">
        <v>16254</v>
      </c>
      <c r="P1356" t="s">
        <v>2939</v>
      </c>
      <c r="Q1356" t="s">
        <v>2924</v>
      </c>
      <c r="R1356" t="s">
        <v>3219</v>
      </c>
      <c r="S1356" t="s">
        <v>2208</v>
      </c>
      <c r="T1356" t="s">
        <v>2208</v>
      </c>
    </row>
    <row r="1357" spans="1:20">
      <c r="A1357" t="s">
        <v>2382</v>
      </c>
      <c r="B1357" t="s">
        <v>11331</v>
      </c>
      <c r="C1357">
        <v>45771</v>
      </c>
      <c r="D1357" t="s">
        <v>7263</v>
      </c>
      <c r="E1357" t="s">
        <v>11332</v>
      </c>
      <c r="F1357">
        <v>45772</v>
      </c>
      <c r="G1357" t="s">
        <v>15974</v>
      </c>
      <c r="H1357" t="s">
        <v>2916</v>
      </c>
      <c r="I1357" t="s">
        <v>16255</v>
      </c>
      <c r="J1357">
        <v>0</v>
      </c>
      <c r="K1357">
        <v>-6361.57</v>
      </c>
      <c r="L1357" t="s">
        <v>2917</v>
      </c>
      <c r="M1357">
        <v>-36634.47</v>
      </c>
      <c r="N1357" t="s">
        <v>2918</v>
      </c>
      <c r="O1357" t="s">
        <v>16256</v>
      </c>
      <c r="P1357" t="s">
        <v>8443</v>
      </c>
      <c r="Q1357" t="s">
        <v>2924</v>
      </c>
      <c r="R1357" t="s">
        <v>3219</v>
      </c>
      <c r="S1357" t="s">
        <v>2208</v>
      </c>
      <c r="T1357" t="s">
        <v>2208</v>
      </c>
    </row>
    <row r="1358" spans="1:20">
      <c r="A1358" t="s">
        <v>2382</v>
      </c>
      <c r="B1358" t="s">
        <v>11331</v>
      </c>
      <c r="C1358">
        <v>45771</v>
      </c>
      <c r="D1358" t="s">
        <v>7263</v>
      </c>
      <c r="E1358" t="s">
        <v>11332</v>
      </c>
      <c r="F1358">
        <v>45772</v>
      </c>
      <c r="G1358" t="s">
        <v>15974</v>
      </c>
      <c r="H1358" t="s">
        <v>2916</v>
      </c>
      <c r="I1358" t="s">
        <v>16257</v>
      </c>
      <c r="J1358">
        <v>0</v>
      </c>
      <c r="K1358">
        <v>-1035.94</v>
      </c>
      <c r="L1358" t="s">
        <v>2917</v>
      </c>
      <c r="M1358">
        <v>-5965.69</v>
      </c>
      <c r="N1358" t="s">
        <v>2918</v>
      </c>
      <c r="O1358" t="s">
        <v>16258</v>
      </c>
      <c r="P1358" t="s">
        <v>8443</v>
      </c>
      <c r="Q1358" t="s">
        <v>2924</v>
      </c>
      <c r="R1358" t="s">
        <v>3219</v>
      </c>
      <c r="S1358" t="s">
        <v>2208</v>
      </c>
      <c r="T1358" t="s">
        <v>2208</v>
      </c>
    </row>
    <row r="1359" spans="1:20">
      <c r="A1359" t="s">
        <v>2382</v>
      </c>
      <c r="B1359" t="s">
        <v>11331</v>
      </c>
      <c r="C1359">
        <v>45777</v>
      </c>
      <c r="D1359" t="s">
        <v>7263</v>
      </c>
      <c r="E1359" t="s">
        <v>11332</v>
      </c>
      <c r="F1359">
        <v>45777</v>
      </c>
      <c r="G1359" t="s">
        <v>2208</v>
      </c>
      <c r="H1359" t="s">
        <v>2916</v>
      </c>
      <c r="I1359" t="s">
        <v>16429</v>
      </c>
      <c r="J1359">
        <v>0</v>
      </c>
      <c r="K1359">
        <v>-0.03</v>
      </c>
      <c r="L1359" t="s">
        <v>2917</v>
      </c>
      <c r="M1359">
        <v>0</v>
      </c>
      <c r="N1359" t="s">
        <v>2918</v>
      </c>
      <c r="O1359" t="s">
        <v>2919</v>
      </c>
      <c r="P1359" t="s">
        <v>2208</v>
      </c>
      <c r="Q1359" t="s">
        <v>2916</v>
      </c>
      <c r="R1359" t="s">
        <v>3220</v>
      </c>
      <c r="S1359" t="s">
        <v>2208</v>
      </c>
      <c r="T1359" t="s">
        <v>2208</v>
      </c>
    </row>
    <row r="1360" spans="1:20">
      <c r="A1360" t="s">
        <v>2382</v>
      </c>
      <c r="B1360" t="s">
        <v>16360</v>
      </c>
      <c r="C1360">
        <v>45677</v>
      </c>
      <c r="D1360" t="s">
        <v>7263</v>
      </c>
      <c r="E1360" t="s">
        <v>16361</v>
      </c>
      <c r="F1360">
        <v>45800</v>
      </c>
      <c r="G1360" t="s">
        <v>11134</v>
      </c>
      <c r="H1360" t="s">
        <v>2916</v>
      </c>
      <c r="I1360" t="s">
        <v>17512</v>
      </c>
      <c r="J1360">
        <v>62978.73</v>
      </c>
      <c r="K1360">
        <v>11178.72</v>
      </c>
      <c r="L1360" t="s">
        <v>2917</v>
      </c>
      <c r="M1360">
        <v>62978.73</v>
      </c>
      <c r="N1360" t="s">
        <v>2918</v>
      </c>
      <c r="O1360" t="s">
        <v>2939</v>
      </c>
      <c r="P1360" t="s">
        <v>2939</v>
      </c>
      <c r="Q1360" t="s">
        <v>2924</v>
      </c>
      <c r="R1360" t="s">
        <v>3219</v>
      </c>
      <c r="S1360" t="s">
        <v>2208</v>
      </c>
      <c r="T1360" t="s">
        <v>2208</v>
      </c>
    </row>
    <row r="1361" spans="1:20">
      <c r="A1361" t="s">
        <v>2382</v>
      </c>
      <c r="B1361" t="s">
        <v>16360</v>
      </c>
      <c r="C1361">
        <v>45800</v>
      </c>
      <c r="D1361" t="s">
        <v>7263</v>
      </c>
      <c r="E1361" t="s">
        <v>16361</v>
      </c>
      <c r="F1361">
        <v>45804</v>
      </c>
      <c r="G1361" t="s">
        <v>11134</v>
      </c>
      <c r="H1361" t="s">
        <v>2916</v>
      </c>
      <c r="I1361" t="s">
        <v>17756</v>
      </c>
      <c r="J1361">
        <v>0</v>
      </c>
      <c r="K1361">
        <v>-1034.03</v>
      </c>
      <c r="L1361" t="s">
        <v>2917</v>
      </c>
      <c r="M1361">
        <v>-5825.53</v>
      </c>
      <c r="N1361" t="s">
        <v>2918</v>
      </c>
      <c r="O1361" t="s">
        <v>17757</v>
      </c>
      <c r="P1361" t="s">
        <v>2939</v>
      </c>
      <c r="Q1361" t="s">
        <v>2924</v>
      </c>
      <c r="R1361" t="s">
        <v>3219</v>
      </c>
      <c r="S1361" t="s">
        <v>2208</v>
      </c>
      <c r="T1361" t="s">
        <v>2208</v>
      </c>
    </row>
    <row r="1362" spans="1:20">
      <c r="A1362" t="s">
        <v>2382</v>
      </c>
      <c r="B1362" t="s">
        <v>16360</v>
      </c>
      <c r="C1362">
        <v>45808</v>
      </c>
      <c r="D1362" t="s">
        <v>7263</v>
      </c>
      <c r="E1362" t="s">
        <v>16361</v>
      </c>
      <c r="F1362">
        <v>45808</v>
      </c>
      <c r="G1362" t="s">
        <v>2208</v>
      </c>
      <c r="H1362" t="s">
        <v>2916</v>
      </c>
      <c r="I1362" t="s">
        <v>17873</v>
      </c>
      <c r="J1362">
        <v>0</v>
      </c>
      <c r="K1362">
        <v>-0.03</v>
      </c>
      <c r="L1362" t="s">
        <v>2917</v>
      </c>
      <c r="M1362">
        <v>0</v>
      </c>
      <c r="N1362" t="s">
        <v>2918</v>
      </c>
      <c r="O1362" t="s">
        <v>2919</v>
      </c>
      <c r="P1362" t="s">
        <v>2208</v>
      </c>
      <c r="Q1362" t="s">
        <v>2916</v>
      </c>
      <c r="R1362" t="s">
        <v>3220</v>
      </c>
      <c r="S1362" t="s">
        <v>2208</v>
      </c>
      <c r="T1362" t="s">
        <v>2208</v>
      </c>
    </row>
    <row r="1363" spans="1:20">
      <c r="A1363" t="s">
        <v>2382</v>
      </c>
      <c r="B1363" t="s">
        <v>17897</v>
      </c>
      <c r="C1363">
        <v>45608</v>
      </c>
      <c r="D1363" t="s">
        <v>7263</v>
      </c>
      <c r="E1363" t="s">
        <v>17898</v>
      </c>
      <c r="F1363">
        <v>45827</v>
      </c>
      <c r="G1363" t="s">
        <v>18622</v>
      </c>
      <c r="H1363" t="s">
        <v>2916</v>
      </c>
      <c r="I1363" t="s">
        <v>18623</v>
      </c>
      <c r="J1363">
        <v>192500</v>
      </c>
      <c r="K1363">
        <v>33918.5</v>
      </c>
      <c r="L1363" t="s">
        <v>2917</v>
      </c>
      <c r="M1363">
        <v>192500</v>
      </c>
      <c r="N1363" t="s">
        <v>2918</v>
      </c>
      <c r="O1363" t="s">
        <v>2939</v>
      </c>
      <c r="P1363" t="s">
        <v>2939</v>
      </c>
      <c r="Q1363" t="s">
        <v>2924</v>
      </c>
      <c r="R1363" t="s">
        <v>3219</v>
      </c>
      <c r="S1363" t="s">
        <v>2208</v>
      </c>
      <c r="T1363" t="s">
        <v>2208</v>
      </c>
    </row>
    <row r="1364" spans="1:20">
      <c r="A1364" t="s">
        <v>2382</v>
      </c>
      <c r="B1364" t="s">
        <v>17897</v>
      </c>
      <c r="C1364">
        <v>45677</v>
      </c>
      <c r="D1364" t="s">
        <v>7263</v>
      </c>
      <c r="E1364" t="s">
        <v>17898</v>
      </c>
      <c r="F1364">
        <v>45832</v>
      </c>
      <c r="G1364" t="s">
        <v>11134</v>
      </c>
      <c r="H1364" t="s">
        <v>2916</v>
      </c>
      <c r="I1364" t="s">
        <v>19021</v>
      </c>
      <c r="J1364">
        <v>28174.7</v>
      </c>
      <c r="K1364">
        <v>4964.38</v>
      </c>
      <c r="L1364" t="s">
        <v>2917</v>
      </c>
      <c r="M1364">
        <v>28174.7</v>
      </c>
      <c r="N1364" t="s">
        <v>2918</v>
      </c>
      <c r="O1364" t="s">
        <v>2939</v>
      </c>
      <c r="P1364" t="s">
        <v>2939</v>
      </c>
      <c r="Q1364" t="s">
        <v>2924</v>
      </c>
      <c r="R1364" t="s">
        <v>3219</v>
      </c>
      <c r="S1364" t="s">
        <v>2208</v>
      </c>
      <c r="T1364" t="s">
        <v>2208</v>
      </c>
    </row>
    <row r="1365" spans="1:20">
      <c r="A1365" t="s">
        <v>2382</v>
      </c>
      <c r="B1365" t="s">
        <v>17897</v>
      </c>
      <c r="C1365">
        <v>45832</v>
      </c>
      <c r="D1365" t="s">
        <v>7263</v>
      </c>
      <c r="E1365" t="s">
        <v>17898</v>
      </c>
      <c r="F1365">
        <v>45833</v>
      </c>
      <c r="G1365" t="s">
        <v>11134</v>
      </c>
      <c r="H1365" t="s">
        <v>2916</v>
      </c>
      <c r="I1365" t="s">
        <v>19113</v>
      </c>
      <c r="J1365">
        <v>0</v>
      </c>
      <c r="K1365">
        <v>-459.2</v>
      </c>
      <c r="L1365" t="s">
        <v>2917</v>
      </c>
      <c r="M1365">
        <v>-2606.16</v>
      </c>
      <c r="N1365" t="s">
        <v>2918</v>
      </c>
      <c r="O1365" t="s">
        <v>19114</v>
      </c>
      <c r="P1365" t="s">
        <v>2939</v>
      </c>
      <c r="Q1365" t="s">
        <v>2924</v>
      </c>
      <c r="R1365" t="s">
        <v>3219</v>
      </c>
      <c r="S1365" t="s">
        <v>2208</v>
      </c>
      <c r="T1365" t="s">
        <v>2208</v>
      </c>
    </row>
    <row r="1366" spans="1:20">
      <c r="A1366" t="s">
        <v>2382</v>
      </c>
      <c r="B1366" t="s">
        <v>17897</v>
      </c>
      <c r="C1366">
        <v>45608</v>
      </c>
      <c r="D1366" t="s">
        <v>7263</v>
      </c>
      <c r="E1366" t="s">
        <v>17898</v>
      </c>
      <c r="F1366">
        <v>45827</v>
      </c>
      <c r="G1366" t="s">
        <v>18622</v>
      </c>
      <c r="H1366" t="s">
        <v>2916</v>
      </c>
      <c r="I1366" t="s">
        <v>19163</v>
      </c>
      <c r="J1366">
        <v>-192500</v>
      </c>
      <c r="K1366">
        <v>-33918.5</v>
      </c>
      <c r="L1366" t="s">
        <v>2917</v>
      </c>
      <c r="M1366">
        <v>-192500</v>
      </c>
      <c r="N1366" t="s">
        <v>2918</v>
      </c>
      <c r="O1366" t="s">
        <v>2939</v>
      </c>
      <c r="P1366" t="s">
        <v>2939</v>
      </c>
      <c r="Q1366" t="s">
        <v>2924</v>
      </c>
      <c r="R1366" t="s">
        <v>3219</v>
      </c>
      <c r="S1366" t="s">
        <v>2208</v>
      </c>
      <c r="T1366" t="s">
        <v>2208</v>
      </c>
    </row>
    <row r="1367" spans="1:20">
      <c r="A1367" t="s">
        <v>2382</v>
      </c>
      <c r="B1367" t="s">
        <v>17897</v>
      </c>
      <c r="C1367">
        <v>45838</v>
      </c>
      <c r="D1367" t="s">
        <v>7263</v>
      </c>
      <c r="E1367" t="s">
        <v>17898</v>
      </c>
      <c r="F1367">
        <v>45838</v>
      </c>
      <c r="G1367" t="s">
        <v>2208</v>
      </c>
      <c r="H1367" t="s">
        <v>2916</v>
      </c>
      <c r="I1367" t="s">
        <v>19273</v>
      </c>
      <c r="J1367">
        <v>0</v>
      </c>
      <c r="K1367">
        <v>0.08</v>
      </c>
      <c r="L1367" t="s">
        <v>2917</v>
      </c>
      <c r="M1367">
        <v>0</v>
      </c>
      <c r="N1367" t="s">
        <v>2918</v>
      </c>
      <c r="O1367" t="s">
        <v>2919</v>
      </c>
      <c r="P1367" t="s">
        <v>2208</v>
      </c>
      <c r="Q1367" t="s">
        <v>2916</v>
      </c>
      <c r="R1367" t="s">
        <v>3220</v>
      </c>
      <c r="S1367" t="s">
        <v>2208</v>
      </c>
      <c r="T1367" t="s">
        <v>2208</v>
      </c>
    </row>
    <row r="1368" spans="1:20">
      <c r="A1368" t="s">
        <v>2384</v>
      </c>
      <c r="B1368" t="s">
        <v>16360</v>
      </c>
      <c r="C1368">
        <v>45454</v>
      </c>
      <c r="D1368" t="s">
        <v>7263</v>
      </c>
      <c r="E1368" t="s">
        <v>16361</v>
      </c>
      <c r="F1368">
        <v>45791</v>
      </c>
      <c r="G1368" t="s">
        <v>17038</v>
      </c>
      <c r="H1368" t="s">
        <v>2916</v>
      </c>
      <c r="I1368" t="s">
        <v>17039</v>
      </c>
      <c r="J1368">
        <v>158850.56</v>
      </c>
      <c r="K1368">
        <v>28195.97</v>
      </c>
      <c r="L1368" t="s">
        <v>2917</v>
      </c>
      <c r="M1368">
        <v>158850.56</v>
      </c>
      <c r="N1368" t="s">
        <v>2918</v>
      </c>
      <c r="O1368" t="s">
        <v>2923</v>
      </c>
      <c r="P1368" t="s">
        <v>2923</v>
      </c>
      <c r="Q1368" t="s">
        <v>2924</v>
      </c>
      <c r="R1368" t="s">
        <v>3219</v>
      </c>
      <c r="S1368" t="s">
        <v>2208</v>
      </c>
      <c r="T1368" t="s">
        <v>2208</v>
      </c>
    </row>
    <row r="1369" spans="1:20">
      <c r="A1369" t="s">
        <v>2384</v>
      </c>
      <c r="B1369" t="s">
        <v>16360</v>
      </c>
      <c r="C1369">
        <v>45791</v>
      </c>
      <c r="D1369" t="s">
        <v>7263</v>
      </c>
      <c r="E1369" t="s">
        <v>16361</v>
      </c>
      <c r="F1369">
        <v>45799</v>
      </c>
      <c r="G1369" t="s">
        <v>17038</v>
      </c>
      <c r="H1369" t="s">
        <v>2916</v>
      </c>
      <c r="I1369" t="s">
        <v>17401</v>
      </c>
      <c r="J1369">
        <v>0</v>
      </c>
      <c r="K1369">
        <v>-2608.12</v>
      </c>
      <c r="L1369" t="s">
        <v>2917</v>
      </c>
      <c r="M1369">
        <v>-14693.67</v>
      </c>
      <c r="N1369" t="s">
        <v>2918</v>
      </c>
      <c r="O1369" t="s">
        <v>17402</v>
      </c>
      <c r="P1369" t="s">
        <v>2923</v>
      </c>
      <c r="Q1369" t="s">
        <v>2924</v>
      </c>
      <c r="R1369" t="s">
        <v>3219</v>
      </c>
      <c r="S1369" t="s">
        <v>2208</v>
      </c>
      <c r="T1369" t="s">
        <v>2208</v>
      </c>
    </row>
    <row r="1370" spans="1:20">
      <c r="A1370" t="s">
        <v>2384</v>
      </c>
      <c r="B1370" t="s">
        <v>16360</v>
      </c>
      <c r="C1370">
        <v>45808</v>
      </c>
      <c r="D1370" t="s">
        <v>7263</v>
      </c>
      <c r="E1370" t="s">
        <v>16361</v>
      </c>
      <c r="F1370">
        <v>45808</v>
      </c>
      <c r="G1370" t="s">
        <v>2208</v>
      </c>
      <c r="H1370" t="s">
        <v>2916</v>
      </c>
      <c r="I1370" t="s">
        <v>17874</v>
      </c>
      <c r="J1370">
        <v>0</v>
      </c>
      <c r="K1370">
        <v>0.02</v>
      </c>
      <c r="L1370" t="s">
        <v>2917</v>
      </c>
      <c r="M1370">
        <v>0</v>
      </c>
      <c r="N1370" t="s">
        <v>2918</v>
      </c>
      <c r="O1370" t="s">
        <v>2919</v>
      </c>
      <c r="P1370" t="s">
        <v>2208</v>
      </c>
      <c r="Q1370" t="s">
        <v>2916</v>
      </c>
      <c r="R1370" t="s">
        <v>3220</v>
      </c>
      <c r="S1370" t="s">
        <v>2208</v>
      </c>
      <c r="T1370" t="s">
        <v>2208</v>
      </c>
    </row>
    <row r="1371" spans="1:20">
      <c r="A1371" t="s">
        <v>2384</v>
      </c>
      <c r="B1371" t="s">
        <v>9126</v>
      </c>
      <c r="C1371">
        <v>45722</v>
      </c>
      <c r="D1371" t="s">
        <v>7263</v>
      </c>
      <c r="E1371" t="s">
        <v>9127</v>
      </c>
      <c r="F1371">
        <v>45723</v>
      </c>
      <c r="G1371" t="s">
        <v>10707</v>
      </c>
      <c r="H1371" t="s">
        <v>2916</v>
      </c>
      <c r="I1371" t="s">
        <v>10708</v>
      </c>
      <c r="J1371">
        <v>1</v>
      </c>
      <c r="K1371">
        <v>835.25</v>
      </c>
      <c r="L1371" t="s">
        <v>2917</v>
      </c>
      <c r="M1371">
        <v>4873.3900000000003</v>
      </c>
      <c r="N1371" t="s">
        <v>2918</v>
      </c>
      <c r="O1371" t="s">
        <v>10709</v>
      </c>
      <c r="P1371" t="s">
        <v>10710</v>
      </c>
      <c r="Q1371" t="s">
        <v>2924</v>
      </c>
      <c r="R1371" t="s">
        <v>3219</v>
      </c>
      <c r="S1371" t="s">
        <v>10711</v>
      </c>
      <c r="T1371" t="s">
        <v>10712</v>
      </c>
    </row>
    <row r="1372" spans="1:20">
      <c r="A1372" t="s">
        <v>2384</v>
      </c>
      <c r="B1372" t="s">
        <v>9126</v>
      </c>
      <c r="C1372">
        <v>45722</v>
      </c>
      <c r="D1372" t="s">
        <v>7263</v>
      </c>
      <c r="E1372" t="s">
        <v>9127</v>
      </c>
      <c r="F1372">
        <v>45723</v>
      </c>
      <c r="G1372" t="s">
        <v>10707</v>
      </c>
      <c r="H1372" t="s">
        <v>2916</v>
      </c>
      <c r="I1372" t="s">
        <v>10708</v>
      </c>
      <c r="J1372">
        <v>4</v>
      </c>
      <c r="K1372">
        <v>273.27</v>
      </c>
      <c r="L1372" t="s">
        <v>2917</v>
      </c>
      <c r="M1372">
        <v>1594.43</v>
      </c>
      <c r="N1372" t="s">
        <v>2918</v>
      </c>
      <c r="O1372" t="s">
        <v>10709</v>
      </c>
      <c r="P1372" t="s">
        <v>10713</v>
      </c>
      <c r="Q1372" t="s">
        <v>2924</v>
      </c>
      <c r="R1372" t="s">
        <v>3219</v>
      </c>
      <c r="S1372" t="s">
        <v>10714</v>
      </c>
      <c r="T1372" t="s">
        <v>10715</v>
      </c>
    </row>
    <row r="1373" spans="1:20">
      <c r="A1373" t="s">
        <v>2384</v>
      </c>
      <c r="B1373" t="s">
        <v>9126</v>
      </c>
      <c r="C1373">
        <v>45722</v>
      </c>
      <c r="D1373" t="s">
        <v>7263</v>
      </c>
      <c r="E1373" t="s">
        <v>9127</v>
      </c>
      <c r="F1373">
        <v>45723</v>
      </c>
      <c r="G1373" t="s">
        <v>10707</v>
      </c>
      <c r="H1373" t="s">
        <v>2916</v>
      </c>
      <c r="I1373" t="s">
        <v>10708</v>
      </c>
      <c r="J1373">
        <v>4</v>
      </c>
      <c r="K1373">
        <v>184.42</v>
      </c>
      <c r="L1373" t="s">
        <v>2917</v>
      </c>
      <c r="M1373">
        <v>1076</v>
      </c>
      <c r="N1373" t="s">
        <v>2918</v>
      </c>
      <c r="O1373" t="s">
        <v>10709</v>
      </c>
      <c r="P1373" t="s">
        <v>10716</v>
      </c>
      <c r="Q1373" t="s">
        <v>2924</v>
      </c>
      <c r="R1373" t="s">
        <v>3219</v>
      </c>
      <c r="S1373" t="s">
        <v>10717</v>
      </c>
      <c r="T1373" t="s">
        <v>10718</v>
      </c>
    </row>
    <row r="1374" spans="1:20">
      <c r="A1374" t="s">
        <v>2384</v>
      </c>
      <c r="B1374" t="s">
        <v>9126</v>
      </c>
      <c r="C1374">
        <v>45722</v>
      </c>
      <c r="D1374" t="s">
        <v>7263</v>
      </c>
      <c r="E1374" t="s">
        <v>9127</v>
      </c>
      <c r="F1374">
        <v>45723</v>
      </c>
      <c r="G1374" t="s">
        <v>10707</v>
      </c>
      <c r="H1374" t="s">
        <v>2916</v>
      </c>
      <c r="I1374" t="s">
        <v>10708</v>
      </c>
      <c r="J1374">
        <v>2</v>
      </c>
      <c r="K1374">
        <v>475.27</v>
      </c>
      <c r="L1374" t="s">
        <v>2917</v>
      </c>
      <c r="M1374">
        <v>2773.06</v>
      </c>
      <c r="N1374" t="s">
        <v>2918</v>
      </c>
      <c r="O1374" t="s">
        <v>10709</v>
      </c>
      <c r="P1374" t="s">
        <v>10719</v>
      </c>
      <c r="Q1374" t="s">
        <v>2924</v>
      </c>
      <c r="R1374" t="s">
        <v>3219</v>
      </c>
      <c r="S1374" t="s">
        <v>10720</v>
      </c>
      <c r="T1374" t="s">
        <v>10721</v>
      </c>
    </row>
    <row r="1375" spans="1:20">
      <c r="A1375" t="s">
        <v>2384</v>
      </c>
      <c r="B1375" t="s">
        <v>9126</v>
      </c>
      <c r="C1375">
        <v>45722</v>
      </c>
      <c r="D1375" t="s">
        <v>7263</v>
      </c>
      <c r="E1375" t="s">
        <v>9127</v>
      </c>
      <c r="F1375">
        <v>45723</v>
      </c>
      <c r="G1375" t="s">
        <v>10707</v>
      </c>
      <c r="H1375" t="s">
        <v>2916</v>
      </c>
      <c r="I1375" t="s">
        <v>10708</v>
      </c>
      <c r="J1375">
        <v>2</v>
      </c>
      <c r="K1375">
        <v>228.36</v>
      </c>
      <c r="L1375" t="s">
        <v>2917</v>
      </c>
      <c r="M1375">
        <v>1332.41</v>
      </c>
      <c r="N1375" t="s">
        <v>2918</v>
      </c>
      <c r="O1375" t="s">
        <v>10709</v>
      </c>
      <c r="P1375" t="s">
        <v>10722</v>
      </c>
      <c r="Q1375" t="s">
        <v>2924</v>
      </c>
      <c r="R1375" t="s">
        <v>3219</v>
      </c>
      <c r="S1375" t="s">
        <v>10723</v>
      </c>
      <c r="T1375" t="s">
        <v>10724</v>
      </c>
    </row>
    <row r="1376" spans="1:20">
      <c r="A1376" t="s">
        <v>2384</v>
      </c>
      <c r="B1376" t="s">
        <v>9126</v>
      </c>
      <c r="C1376">
        <v>45722</v>
      </c>
      <c r="D1376" t="s">
        <v>7263</v>
      </c>
      <c r="E1376" t="s">
        <v>9127</v>
      </c>
      <c r="F1376">
        <v>45723</v>
      </c>
      <c r="G1376" t="s">
        <v>10707</v>
      </c>
      <c r="H1376" t="s">
        <v>2916</v>
      </c>
      <c r="I1376" t="s">
        <v>10708</v>
      </c>
      <c r="J1376">
        <v>8</v>
      </c>
      <c r="K1376">
        <v>2371.86</v>
      </c>
      <c r="L1376" t="s">
        <v>2917</v>
      </c>
      <c r="M1376">
        <v>13838.99</v>
      </c>
      <c r="N1376" t="s">
        <v>2918</v>
      </c>
      <c r="O1376" t="s">
        <v>10709</v>
      </c>
      <c r="P1376" t="s">
        <v>10725</v>
      </c>
      <c r="Q1376" t="s">
        <v>2924</v>
      </c>
      <c r="R1376" t="s">
        <v>3219</v>
      </c>
      <c r="S1376" t="s">
        <v>10726</v>
      </c>
      <c r="T1376" t="s">
        <v>10727</v>
      </c>
    </row>
    <row r="1377" spans="1:20">
      <c r="A1377" t="s">
        <v>2384</v>
      </c>
      <c r="B1377" t="s">
        <v>9126</v>
      </c>
      <c r="C1377">
        <v>45722</v>
      </c>
      <c r="D1377" t="s">
        <v>7263</v>
      </c>
      <c r="E1377" t="s">
        <v>9127</v>
      </c>
      <c r="F1377">
        <v>45723</v>
      </c>
      <c r="G1377" t="s">
        <v>10707</v>
      </c>
      <c r="H1377" t="s">
        <v>2916</v>
      </c>
      <c r="I1377" t="s">
        <v>10708</v>
      </c>
      <c r="J1377">
        <v>8</v>
      </c>
      <c r="K1377">
        <v>397.66</v>
      </c>
      <c r="L1377" t="s">
        <v>2917</v>
      </c>
      <c r="M1377">
        <v>2320.21</v>
      </c>
      <c r="N1377" t="s">
        <v>2918</v>
      </c>
      <c r="O1377" t="s">
        <v>10709</v>
      </c>
      <c r="P1377" t="s">
        <v>10728</v>
      </c>
      <c r="Q1377" t="s">
        <v>2924</v>
      </c>
      <c r="R1377" t="s">
        <v>3219</v>
      </c>
      <c r="S1377" t="s">
        <v>10729</v>
      </c>
      <c r="T1377" t="s">
        <v>10730</v>
      </c>
    </row>
    <row r="1378" spans="1:20">
      <c r="A1378" t="s">
        <v>2384</v>
      </c>
      <c r="B1378" t="s">
        <v>9126</v>
      </c>
      <c r="C1378">
        <v>45722</v>
      </c>
      <c r="D1378" t="s">
        <v>7263</v>
      </c>
      <c r="E1378" t="s">
        <v>9127</v>
      </c>
      <c r="F1378">
        <v>45723</v>
      </c>
      <c r="G1378" t="s">
        <v>10707</v>
      </c>
      <c r="H1378" t="s">
        <v>2916</v>
      </c>
      <c r="I1378" t="s">
        <v>10708</v>
      </c>
      <c r="J1378">
        <v>8</v>
      </c>
      <c r="K1378">
        <v>481.79</v>
      </c>
      <c r="L1378" t="s">
        <v>2917</v>
      </c>
      <c r="M1378">
        <v>2811.09</v>
      </c>
      <c r="N1378" t="s">
        <v>2918</v>
      </c>
      <c r="O1378" t="s">
        <v>10709</v>
      </c>
      <c r="P1378" t="s">
        <v>10731</v>
      </c>
      <c r="Q1378" t="s">
        <v>2924</v>
      </c>
      <c r="R1378" t="s">
        <v>3219</v>
      </c>
      <c r="S1378" t="s">
        <v>10732</v>
      </c>
      <c r="T1378" t="s">
        <v>10733</v>
      </c>
    </row>
    <row r="1379" spans="1:20">
      <c r="A1379" t="s">
        <v>2384</v>
      </c>
      <c r="B1379" t="s">
        <v>9126</v>
      </c>
      <c r="C1379">
        <v>45722</v>
      </c>
      <c r="D1379" t="s">
        <v>7263</v>
      </c>
      <c r="E1379" t="s">
        <v>9127</v>
      </c>
      <c r="F1379">
        <v>45723</v>
      </c>
      <c r="G1379" t="s">
        <v>10707</v>
      </c>
      <c r="H1379" t="s">
        <v>2916</v>
      </c>
      <c r="I1379" t="s">
        <v>10708</v>
      </c>
      <c r="J1379">
        <v>4</v>
      </c>
      <c r="K1379">
        <v>240.9</v>
      </c>
      <c r="L1379" t="s">
        <v>2917</v>
      </c>
      <c r="M1379">
        <v>1405.55</v>
      </c>
      <c r="N1379" t="s">
        <v>2918</v>
      </c>
      <c r="O1379" t="s">
        <v>10709</v>
      </c>
      <c r="P1379" t="s">
        <v>10734</v>
      </c>
      <c r="Q1379" t="s">
        <v>2924</v>
      </c>
      <c r="R1379" t="s">
        <v>3219</v>
      </c>
      <c r="S1379" t="s">
        <v>10735</v>
      </c>
      <c r="T1379" t="s">
        <v>10736</v>
      </c>
    </row>
    <row r="1380" spans="1:20">
      <c r="A1380" t="s">
        <v>2384</v>
      </c>
      <c r="B1380" t="s">
        <v>9126</v>
      </c>
      <c r="C1380">
        <v>45722</v>
      </c>
      <c r="D1380" t="s">
        <v>7263</v>
      </c>
      <c r="E1380" t="s">
        <v>9127</v>
      </c>
      <c r="F1380">
        <v>45723</v>
      </c>
      <c r="G1380" t="s">
        <v>10707</v>
      </c>
      <c r="H1380" t="s">
        <v>2916</v>
      </c>
      <c r="I1380" t="s">
        <v>10737</v>
      </c>
      <c r="J1380">
        <v>0</v>
      </c>
      <c r="K1380">
        <v>-91.9</v>
      </c>
      <c r="L1380" t="s">
        <v>2917</v>
      </c>
      <c r="M1380">
        <v>-536.17999999999995</v>
      </c>
      <c r="N1380" t="s">
        <v>2918</v>
      </c>
      <c r="O1380" t="s">
        <v>10738</v>
      </c>
      <c r="P1380" t="s">
        <v>10710</v>
      </c>
      <c r="Q1380" t="s">
        <v>2924</v>
      </c>
      <c r="R1380" t="s">
        <v>3219</v>
      </c>
      <c r="S1380" t="s">
        <v>10711</v>
      </c>
      <c r="T1380" t="s">
        <v>10712</v>
      </c>
    </row>
    <row r="1381" spans="1:20">
      <c r="A1381" t="s">
        <v>2384</v>
      </c>
      <c r="B1381" t="s">
        <v>9126</v>
      </c>
      <c r="C1381">
        <v>45722</v>
      </c>
      <c r="D1381" t="s">
        <v>7263</v>
      </c>
      <c r="E1381" t="s">
        <v>9127</v>
      </c>
      <c r="F1381">
        <v>45723</v>
      </c>
      <c r="G1381" t="s">
        <v>10707</v>
      </c>
      <c r="H1381" t="s">
        <v>2916</v>
      </c>
      <c r="I1381" t="s">
        <v>10737</v>
      </c>
      <c r="J1381">
        <v>0</v>
      </c>
      <c r="K1381">
        <v>-32.26</v>
      </c>
      <c r="L1381" t="s">
        <v>2917</v>
      </c>
      <c r="M1381">
        <v>-188.25</v>
      </c>
      <c r="N1381" t="s">
        <v>2918</v>
      </c>
      <c r="O1381" t="s">
        <v>10738</v>
      </c>
      <c r="P1381" t="s">
        <v>10713</v>
      </c>
      <c r="Q1381" t="s">
        <v>2924</v>
      </c>
      <c r="R1381" t="s">
        <v>3219</v>
      </c>
      <c r="S1381" t="s">
        <v>10714</v>
      </c>
      <c r="T1381" t="s">
        <v>10715</v>
      </c>
    </row>
    <row r="1382" spans="1:20">
      <c r="A1382" t="s">
        <v>2384</v>
      </c>
      <c r="B1382" t="s">
        <v>9126</v>
      </c>
      <c r="C1382">
        <v>45722</v>
      </c>
      <c r="D1382" t="s">
        <v>7263</v>
      </c>
      <c r="E1382" t="s">
        <v>9127</v>
      </c>
      <c r="F1382">
        <v>45723</v>
      </c>
      <c r="G1382" t="s">
        <v>10707</v>
      </c>
      <c r="H1382" t="s">
        <v>2916</v>
      </c>
      <c r="I1382" t="s">
        <v>10737</v>
      </c>
      <c r="J1382">
        <v>0</v>
      </c>
      <c r="K1382">
        <v>-21.78</v>
      </c>
      <c r="L1382" t="s">
        <v>2917</v>
      </c>
      <c r="M1382">
        <v>-127.03</v>
      </c>
      <c r="N1382" t="s">
        <v>2918</v>
      </c>
      <c r="O1382" t="s">
        <v>10738</v>
      </c>
      <c r="P1382" t="s">
        <v>10716</v>
      </c>
      <c r="Q1382" t="s">
        <v>2924</v>
      </c>
      <c r="R1382" t="s">
        <v>3219</v>
      </c>
      <c r="S1382" t="s">
        <v>10717</v>
      </c>
      <c r="T1382" t="s">
        <v>10718</v>
      </c>
    </row>
    <row r="1383" spans="1:20">
      <c r="A1383" t="s">
        <v>2384</v>
      </c>
      <c r="B1383" t="s">
        <v>9126</v>
      </c>
      <c r="C1383">
        <v>45722</v>
      </c>
      <c r="D1383" t="s">
        <v>7263</v>
      </c>
      <c r="E1383" t="s">
        <v>9127</v>
      </c>
      <c r="F1383">
        <v>45723</v>
      </c>
      <c r="G1383" t="s">
        <v>10707</v>
      </c>
      <c r="H1383" t="s">
        <v>2916</v>
      </c>
      <c r="I1383" t="s">
        <v>10737</v>
      </c>
      <c r="J1383">
        <v>0</v>
      </c>
      <c r="K1383">
        <v>-56.11</v>
      </c>
      <c r="L1383" t="s">
        <v>2917</v>
      </c>
      <c r="M1383">
        <v>-327.41000000000003</v>
      </c>
      <c r="N1383" t="s">
        <v>2918</v>
      </c>
      <c r="O1383" t="s">
        <v>10738</v>
      </c>
      <c r="P1383" t="s">
        <v>10719</v>
      </c>
      <c r="Q1383" t="s">
        <v>2924</v>
      </c>
      <c r="R1383" t="s">
        <v>3219</v>
      </c>
      <c r="S1383" t="s">
        <v>10720</v>
      </c>
      <c r="T1383" t="s">
        <v>10721</v>
      </c>
    </row>
    <row r="1384" spans="1:20">
      <c r="A1384" t="s">
        <v>2384</v>
      </c>
      <c r="B1384" t="s">
        <v>9126</v>
      </c>
      <c r="C1384">
        <v>45722</v>
      </c>
      <c r="D1384" t="s">
        <v>7263</v>
      </c>
      <c r="E1384" t="s">
        <v>9127</v>
      </c>
      <c r="F1384">
        <v>45723</v>
      </c>
      <c r="G1384" t="s">
        <v>10707</v>
      </c>
      <c r="H1384" t="s">
        <v>2916</v>
      </c>
      <c r="I1384" t="s">
        <v>10737</v>
      </c>
      <c r="J1384">
        <v>0</v>
      </c>
      <c r="K1384">
        <v>-26.96</v>
      </c>
      <c r="L1384" t="s">
        <v>2917</v>
      </c>
      <c r="M1384">
        <v>-157.31</v>
      </c>
      <c r="N1384" t="s">
        <v>2918</v>
      </c>
      <c r="O1384" t="s">
        <v>10738</v>
      </c>
      <c r="P1384" t="s">
        <v>10722</v>
      </c>
      <c r="Q1384" t="s">
        <v>2924</v>
      </c>
      <c r="R1384" t="s">
        <v>3219</v>
      </c>
      <c r="S1384" t="s">
        <v>10723</v>
      </c>
      <c r="T1384" t="s">
        <v>10724</v>
      </c>
    </row>
    <row r="1385" spans="1:20">
      <c r="A1385" t="s">
        <v>2384</v>
      </c>
      <c r="B1385" t="s">
        <v>9126</v>
      </c>
      <c r="C1385">
        <v>45722</v>
      </c>
      <c r="D1385" t="s">
        <v>7263</v>
      </c>
      <c r="E1385" t="s">
        <v>9127</v>
      </c>
      <c r="F1385">
        <v>45723</v>
      </c>
      <c r="G1385" t="s">
        <v>10707</v>
      </c>
      <c r="H1385" t="s">
        <v>2916</v>
      </c>
      <c r="I1385" t="s">
        <v>10737</v>
      </c>
      <c r="J1385">
        <v>0</v>
      </c>
      <c r="K1385">
        <v>-477.69</v>
      </c>
      <c r="L1385" t="s">
        <v>2917</v>
      </c>
      <c r="M1385">
        <v>-2787.17</v>
      </c>
      <c r="N1385" t="s">
        <v>2918</v>
      </c>
      <c r="O1385" t="s">
        <v>10738</v>
      </c>
      <c r="P1385" t="s">
        <v>10725</v>
      </c>
      <c r="Q1385" t="s">
        <v>2924</v>
      </c>
      <c r="R1385" t="s">
        <v>3219</v>
      </c>
      <c r="S1385" t="s">
        <v>10726</v>
      </c>
      <c r="T1385" t="s">
        <v>10727</v>
      </c>
    </row>
    <row r="1386" spans="1:20">
      <c r="A1386" t="s">
        <v>2384</v>
      </c>
      <c r="B1386" t="s">
        <v>9126</v>
      </c>
      <c r="C1386">
        <v>45722</v>
      </c>
      <c r="D1386" t="s">
        <v>7263</v>
      </c>
      <c r="E1386" t="s">
        <v>9127</v>
      </c>
      <c r="F1386">
        <v>45723</v>
      </c>
      <c r="G1386" t="s">
        <v>10707</v>
      </c>
      <c r="H1386" t="s">
        <v>2916</v>
      </c>
      <c r="I1386" t="s">
        <v>10737</v>
      </c>
      <c r="J1386">
        <v>0</v>
      </c>
      <c r="K1386">
        <v>-46.95</v>
      </c>
      <c r="L1386" t="s">
        <v>2917</v>
      </c>
      <c r="M1386">
        <v>-273.94</v>
      </c>
      <c r="N1386" t="s">
        <v>2918</v>
      </c>
      <c r="O1386" t="s">
        <v>10738</v>
      </c>
      <c r="P1386" t="s">
        <v>10728</v>
      </c>
      <c r="Q1386" t="s">
        <v>2924</v>
      </c>
      <c r="R1386" t="s">
        <v>3219</v>
      </c>
      <c r="S1386" t="s">
        <v>10729</v>
      </c>
      <c r="T1386" t="s">
        <v>10730</v>
      </c>
    </row>
    <row r="1387" spans="1:20">
      <c r="A1387" t="s">
        <v>2384</v>
      </c>
      <c r="B1387" t="s">
        <v>9126</v>
      </c>
      <c r="C1387">
        <v>45722</v>
      </c>
      <c r="D1387" t="s">
        <v>7263</v>
      </c>
      <c r="E1387" t="s">
        <v>9127</v>
      </c>
      <c r="F1387">
        <v>45723</v>
      </c>
      <c r="G1387" t="s">
        <v>10707</v>
      </c>
      <c r="H1387" t="s">
        <v>2916</v>
      </c>
      <c r="I1387" t="s">
        <v>10737</v>
      </c>
      <c r="J1387">
        <v>0</v>
      </c>
      <c r="K1387">
        <v>-56.88</v>
      </c>
      <c r="L1387" t="s">
        <v>2917</v>
      </c>
      <c r="M1387">
        <v>-331.89</v>
      </c>
      <c r="N1387" t="s">
        <v>2918</v>
      </c>
      <c r="O1387" t="s">
        <v>10738</v>
      </c>
      <c r="P1387" t="s">
        <v>10731</v>
      </c>
      <c r="Q1387" t="s">
        <v>2924</v>
      </c>
      <c r="R1387" t="s">
        <v>3219</v>
      </c>
      <c r="S1387" t="s">
        <v>10732</v>
      </c>
      <c r="T1387" t="s">
        <v>10733</v>
      </c>
    </row>
    <row r="1388" spans="1:20">
      <c r="A1388" t="s">
        <v>2384</v>
      </c>
      <c r="B1388" t="s">
        <v>9126</v>
      </c>
      <c r="C1388">
        <v>45722</v>
      </c>
      <c r="D1388" t="s">
        <v>7263</v>
      </c>
      <c r="E1388" t="s">
        <v>9127</v>
      </c>
      <c r="F1388">
        <v>45723</v>
      </c>
      <c r="G1388" t="s">
        <v>10707</v>
      </c>
      <c r="H1388" t="s">
        <v>2916</v>
      </c>
      <c r="I1388" t="s">
        <v>10737</v>
      </c>
      <c r="J1388">
        <v>0</v>
      </c>
      <c r="K1388">
        <v>-28.44</v>
      </c>
      <c r="L1388" t="s">
        <v>2917</v>
      </c>
      <c r="M1388">
        <v>-165.94</v>
      </c>
      <c r="N1388" t="s">
        <v>2918</v>
      </c>
      <c r="O1388" t="s">
        <v>10738</v>
      </c>
      <c r="P1388" t="s">
        <v>10734</v>
      </c>
      <c r="Q1388" t="s">
        <v>2924</v>
      </c>
      <c r="R1388" t="s">
        <v>3219</v>
      </c>
      <c r="S1388" t="s">
        <v>10735</v>
      </c>
      <c r="T1388" t="s">
        <v>10736</v>
      </c>
    </row>
    <row r="1389" spans="1:20">
      <c r="A1389" t="s">
        <v>2384</v>
      </c>
      <c r="B1389" t="s">
        <v>9126</v>
      </c>
      <c r="C1389">
        <v>45736</v>
      </c>
      <c r="D1389" t="s">
        <v>7263</v>
      </c>
      <c r="E1389" t="s">
        <v>9127</v>
      </c>
      <c r="F1389">
        <v>45737</v>
      </c>
      <c r="G1389" t="s">
        <v>10707</v>
      </c>
      <c r="H1389" t="s">
        <v>2916</v>
      </c>
      <c r="I1389" t="s">
        <v>11136</v>
      </c>
      <c r="J1389">
        <v>9</v>
      </c>
      <c r="K1389">
        <v>337.22</v>
      </c>
      <c r="L1389" t="s">
        <v>2917</v>
      </c>
      <c r="M1389">
        <v>1967.59</v>
      </c>
      <c r="N1389" t="s">
        <v>2918</v>
      </c>
      <c r="O1389" t="s">
        <v>11137</v>
      </c>
      <c r="P1389" t="s">
        <v>11138</v>
      </c>
      <c r="Q1389" t="s">
        <v>2924</v>
      </c>
      <c r="R1389" t="s">
        <v>3219</v>
      </c>
      <c r="S1389" t="s">
        <v>11139</v>
      </c>
      <c r="T1389" t="s">
        <v>11140</v>
      </c>
    </row>
    <row r="1390" spans="1:20">
      <c r="A1390" t="s">
        <v>2384</v>
      </c>
      <c r="B1390" t="s">
        <v>9126</v>
      </c>
      <c r="C1390">
        <v>45736</v>
      </c>
      <c r="D1390" t="s">
        <v>7263</v>
      </c>
      <c r="E1390" t="s">
        <v>9127</v>
      </c>
      <c r="F1390">
        <v>45737</v>
      </c>
      <c r="G1390" t="s">
        <v>10707</v>
      </c>
      <c r="H1390" t="s">
        <v>2916</v>
      </c>
      <c r="I1390" t="s">
        <v>11141</v>
      </c>
      <c r="J1390">
        <v>0</v>
      </c>
      <c r="K1390">
        <v>-39.81</v>
      </c>
      <c r="L1390" t="s">
        <v>2917</v>
      </c>
      <c r="M1390">
        <v>-232.3</v>
      </c>
      <c r="N1390" t="s">
        <v>2918</v>
      </c>
      <c r="O1390" t="s">
        <v>11142</v>
      </c>
      <c r="P1390" t="s">
        <v>11138</v>
      </c>
      <c r="Q1390" t="s">
        <v>2924</v>
      </c>
      <c r="R1390" t="s">
        <v>3219</v>
      </c>
      <c r="S1390" t="s">
        <v>11139</v>
      </c>
      <c r="T1390" t="s">
        <v>11140</v>
      </c>
    </row>
    <row r="1391" spans="1:20">
      <c r="A1391" t="s">
        <v>2384</v>
      </c>
      <c r="B1391" t="s">
        <v>9126</v>
      </c>
      <c r="C1391">
        <v>45743</v>
      </c>
      <c r="D1391" t="s">
        <v>7263</v>
      </c>
      <c r="E1391" t="s">
        <v>9127</v>
      </c>
      <c r="F1391">
        <v>45743</v>
      </c>
      <c r="G1391" t="s">
        <v>2208</v>
      </c>
      <c r="H1391" t="s">
        <v>2916</v>
      </c>
      <c r="I1391" t="s">
        <v>11324</v>
      </c>
      <c r="J1391">
        <v>0</v>
      </c>
      <c r="K1391">
        <v>-340.05</v>
      </c>
      <c r="L1391" t="s">
        <v>2917</v>
      </c>
      <c r="M1391">
        <v>-1984.07</v>
      </c>
      <c r="N1391" t="s">
        <v>2918</v>
      </c>
      <c r="O1391" t="s">
        <v>11325</v>
      </c>
      <c r="P1391" t="s">
        <v>2208</v>
      </c>
      <c r="Q1391" t="s">
        <v>2933</v>
      </c>
      <c r="R1391" t="s">
        <v>3314</v>
      </c>
      <c r="S1391" t="s">
        <v>2208</v>
      </c>
      <c r="T1391" t="s">
        <v>2208</v>
      </c>
    </row>
    <row r="1392" spans="1:20">
      <c r="A1392" t="s">
        <v>2384</v>
      </c>
      <c r="B1392" t="s">
        <v>9126</v>
      </c>
      <c r="C1392">
        <v>45747</v>
      </c>
      <c r="D1392" t="s">
        <v>7263</v>
      </c>
      <c r="E1392" t="s">
        <v>9127</v>
      </c>
      <c r="F1392">
        <v>45747</v>
      </c>
      <c r="G1392" t="s">
        <v>2208</v>
      </c>
      <c r="H1392" t="s">
        <v>2916</v>
      </c>
      <c r="I1392" t="s">
        <v>11400</v>
      </c>
      <c r="J1392">
        <v>0</v>
      </c>
      <c r="K1392">
        <v>-0.04</v>
      </c>
      <c r="L1392" t="s">
        <v>2917</v>
      </c>
      <c r="M1392">
        <v>0</v>
      </c>
      <c r="N1392" t="s">
        <v>2918</v>
      </c>
      <c r="O1392" t="s">
        <v>2919</v>
      </c>
      <c r="P1392" t="s">
        <v>2208</v>
      </c>
      <c r="Q1392" t="s">
        <v>2916</v>
      </c>
      <c r="R1392" t="s">
        <v>3220</v>
      </c>
      <c r="S1392" t="s">
        <v>2208</v>
      </c>
      <c r="T1392" t="s">
        <v>2208</v>
      </c>
    </row>
    <row r="1393" spans="1:20">
      <c r="A1393" t="s">
        <v>2384</v>
      </c>
      <c r="B1393" t="s">
        <v>11331</v>
      </c>
      <c r="C1393">
        <v>45747</v>
      </c>
      <c r="D1393" t="s">
        <v>7263</v>
      </c>
      <c r="E1393" t="s">
        <v>11332</v>
      </c>
      <c r="F1393">
        <v>45751</v>
      </c>
      <c r="G1393" t="s">
        <v>10707</v>
      </c>
      <c r="H1393" t="s">
        <v>2916</v>
      </c>
      <c r="I1393" t="s">
        <v>12154</v>
      </c>
      <c r="J1393">
        <v>4</v>
      </c>
      <c r="K1393">
        <v>293.12</v>
      </c>
      <c r="L1393" t="s">
        <v>2917</v>
      </c>
      <c r="M1393">
        <v>1687.97</v>
      </c>
      <c r="N1393" t="s">
        <v>2918</v>
      </c>
      <c r="O1393" t="s">
        <v>12155</v>
      </c>
      <c r="P1393" t="s">
        <v>12156</v>
      </c>
      <c r="Q1393" t="s">
        <v>2924</v>
      </c>
      <c r="R1393" t="s">
        <v>3219</v>
      </c>
      <c r="S1393" t="s">
        <v>12157</v>
      </c>
      <c r="T1393" t="s">
        <v>12158</v>
      </c>
    </row>
    <row r="1394" spans="1:20">
      <c r="A1394" t="s">
        <v>2384</v>
      </c>
      <c r="B1394" t="s">
        <v>11331</v>
      </c>
      <c r="C1394">
        <v>45747</v>
      </c>
      <c r="D1394" t="s">
        <v>7263</v>
      </c>
      <c r="E1394" t="s">
        <v>11332</v>
      </c>
      <c r="F1394">
        <v>45751</v>
      </c>
      <c r="G1394" t="s">
        <v>10707</v>
      </c>
      <c r="H1394" t="s">
        <v>2916</v>
      </c>
      <c r="I1394" t="s">
        <v>12154</v>
      </c>
      <c r="J1394">
        <v>8</v>
      </c>
      <c r="K1394">
        <v>402.58</v>
      </c>
      <c r="L1394" t="s">
        <v>2917</v>
      </c>
      <c r="M1394">
        <v>2318.33</v>
      </c>
      <c r="N1394" t="s">
        <v>2918</v>
      </c>
      <c r="O1394" t="s">
        <v>12155</v>
      </c>
      <c r="P1394" t="s">
        <v>12159</v>
      </c>
      <c r="Q1394" t="s">
        <v>2924</v>
      </c>
      <c r="R1394" t="s">
        <v>3219</v>
      </c>
      <c r="S1394" t="s">
        <v>12160</v>
      </c>
      <c r="T1394" t="s">
        <v>12161</v>
      </c>
    </row>
    <row r="1395" spans="1:20">
      <c r="A1395" t="s">
        <v>2384</v>
      </c>
      <c r="B1395" t="s">
        <v>11331</v>
      </c>
      <c r="C1395">
        <v>45747</v>
      </c>
      <c r="D1395" t="s">
        <v>7263</v>
      </c>
      <c r="E1395" t="s">
        <v>11332</v>
      </c>
      <c r="F1395">
        <v>45751</v>
      </c>
      <c r="G1395" t="s">
        <v>10707</v>
      </c>
      <c r="H1395" t="s">
        <v>2916</v>
      </c>
      <c r="I1395" t="s">
        <v>12162</v>
      </c>
      <c r="J1395">
        <v>0</v>
      </c>
      <c r="K1395">
        <v>-32.25</v>
      </c>
      <c r="L1395" t="s">
        <v>2917</v>
      </c>
      <c r="M1395">
        <v>-185.7</v>
      </c>
      <c r="N1395" t="s">
        <v>2918</v>
      </c>
      <c r="O1395" t="s">
        <v>12163</v>
      </c>
      <c r="P1395" t="s">
        <v>12156</v>
      </c>
      <c r="Q1395" t="s">
        <v>2924</v>
      </c>
      <c r="R1395" t="s">
        <v>3219</v>
      </c>
      <c r="S1395" t="s">
        <v>12157</v>
      </c>
      <c r="T1395" t="s">
        <v>12158</v>
      </c>
    </row>
    <row r="1396" spans="1:20">
      <c r="A1396" t="s">
        <v>2384</v>
      </c>
      <c r="B1396" t="s">
        <v>11331</v>
      </c>
      <c r="C1396">
        <v>45747</v>
      </c>
      <c r="D1396" t="s">
        <v>7263</v>
      </c>
      <c r="E1396" t="s">
        <v>11332</v>
      </c>
      <c r="F1396">
        <v>45751</v>
      </c>
      <c r="G1396" t="s">
        <v>10707</v>
      </c>
      <c r="H1396" t="s">
        <v>2916</v>
      </c>
      <c r="I1396" t="s">
        <v>12162</v>
      </c>
      <c r="J1396">
        <v>0</v>
      </c>
      <c r="K1396">
        <v>-47.61</v>
      </c>
      <c r="L1396" t="s">
        <v>2917</v>
      </c>
      <c r="M1396">
        <v>-274.18</v>
      </c>
      <c r="N1396" t="s">
        <v>2918</v>
      </c>
      <c r="O1396" t="s">
        <v>12163</v>
      </c>
      <c r="P1396" t="s">
        <v>12159</v>
      </c>
      <c r="Q1396" t="s">
        <v>2924</v>
      </c>
      <c r="R1396" t="s">
        <v>3219</v>
      </c>
      <c r="S1396" t="s">
        <v>12160</v>
      </c>
      <c r="T1396" t="s">
        <v>12161</v>
      </c>
    </row>
    <row r="1397" spans="1:20">
      <c r="A1397" t="s">
        <v>2384</v>
      </c>
      <c r="B1397" t="s">
        <v>11331</v>
      </c>
      <c r="C1397">
        <v>45744</v>
      </c>
      <c r="D1397" t="s">
        <v>7263</v>
      </c>
      <c r="E1397" t="s">
        <v>11332</v>
      </c>
      <c r="F1397">
        <v>45751</v>
      </c>
      <c r="G1397" t="s">
        <v>10707</v>
      </c>
      <c r="H1397" t="s">
        <v>2916</v>
      </c>
      <c r="I1397" t="s">
        <v>12164</v>
      </c>
      <c r="J1397">
        <v>8</v>
      </c>
      <c r="K1397">
        <v>356.33</v>
      </c>
      <c r="L1397" t="s">
        <v>2917</v>
      </c>
      <c r="M1397">
        <v>2052.02</v>
      </c>
      <c r="N1397" t="s">
        <v>2918</v>
      </c>
      <c r="O1397" t="s">
        <v>12165</v>
      </c>
      <c r="P1397" t="s">
        <v>12166</v>
      </c>
      <c r="Q1397" t="s">
        <v>2924</v>
      </c>
      <c r="R1397" t="s">
        <v>3219</v>
      </c>
      <c r="S1397" t="s">
        <v>12167</v>
      </c>
      <c r="T1397" t="s">
        <v>12168</v>
      </c>
    </row>
    <row r="1398" spans="1:20">
      <c r="A1398" t="s">
        <v>2384</v>
      </c>
      <c r="B1398" t="s">
        <v>11331</v>
      </c>
      <c r="C1398">
        <v>45744</v>
      </c>
      <c r="D1398" t="s">
        <v>7263</v>
      </c>
      <c r="E1398" t="s">
        <v>11332</v>
      </c>
      <c r="F1398">
        <v>45751</v>
      </c>
      <c r="G1398" t="s">
        <v>10707</v>
      </c>
      <c r="H1398" t="s">
        <v>2916</v>
      </c>
      <c r="I1398" t="s">
        <v>12169</v>
      </c>
      <c r="J1398">
        <v>0</v>
      </c>
      <c r="K1398">
        <v>-39.200000000000003</v>
      </c>
      <c r="L1398" t="s">
        <v>2917</v>
      </c>
      <c r="M1398">
        <v>-225.75</v>
      </c>
      <c r="N1398" t="s">
        <v>2918</v>
      </c>
      <c r="O1398" t="s">
        <v>12170</v>
      </c>
      <c r="P1398" t="s">
        <v>12166</v>
      </c>
      <c r="Q1398" t="s">
        <v>2924</v>
      </c>
      <c r="R1398" t="s">
        <v>3219</v>
      </c>
      <c r="S1398" t="s">
        <v>12167</v>
      </c>
      <c r="T1398" t="s">
        <v>12168</v>
      </c>
    </row>
    <row r="1399" spans="1:20">
      <c r="A1399" t="s">
        <v>2384</v>
      </c>
      <c r="B1399" t="s">
        <v>11331</v>
      </c>
      <c r="C1399">
        <v>45754</v>
      </c>
      <c r="D1399" t="s">
        <v>7263</v>
      </c>
      <c r="E1399" t="s">
        <v>11332</v>
      </c>
      <c r="F1399">
        <v>45754</v>
      </c>
      <c r="G1399" t="s">
        <v>12171</v>
      </c>
      <c r="H1399" t="s">
        <v>2916</v>
      </c>
      <c r="I1399" t="s">
        <v>12172</v>
      </c>
      <c r="J1399">
        <v>1</v>
      </c>
      <c r="K1399">
        <v>91526.3</v>
      </c>
      <c r="L1399" t="s">
        <v>2917</v>
      </c>
      <c r="M1399">
        <v>527073.42000000004</v>
      </c>
      <c r="N1399" t="s">
        <v>2918</v>
      </c>
      <c r="O1399" t="s">
        <v>12173</v>
      </c>
      <c r="P1399" t="s">
        <v>12174</v>
      </c>
      <c r="Q1399" t="s">
        <v>2924</v>
      </c>
      <c r="R1399" t="s">
        <v>3219</v>
      </c>
      <c r="S1399" t="s">
        <v>12175</v>
      </c>
      <c r="T1399" t="s">
        <v>12176</v>
      </c>
    </row>
    <row r="1400" spans="1:20">
      <c r="A1400" t="s">
        <v>2384</v>
      </c>
      <c r="B1400" t="s">
        <v>11331</v>
      </c>
      <c r="C1400">
        <v>45754</v>
      </c>
      <c r="D1400" t="s">
        <v>7263</v>
      </c>
      <c r="E1400" t="s">
        <v>11332</v>
      </c>
      <c r="F1400">
        <v>45754</v>
      </c>
      <c r="G1400" t="s">
        <v>12171</v>
      </c>
      <c r="H1400" t="s">
        <v>2916</v>
      </c>
      <c r="I1400" t="s">
        <v>12172</v>
      </c>
      <c r="J1400">
        <v>1</v>
      </c>
      <c r="K1400">
        <v>92574.92</v>
      </c>
      <c r="L1400" t="s">
        <v>2917</v>
      </c>
      <c r="M1400">
        <v>533112.12</v>
      </c>
      <c r="N1400" t="s">
        <v>2918</v>
      </c>
      <c r="O1400" t="s">
        <v>12173</v>
      </c>
      <c r="P1400" t="s">
        <v>12177</v>
      </c>
      <c r="Q1400" t="s">
        <v>2924</v>
      </c>
      <c r="R1400" t="s">
        <v>3219</v>
      </c>
      <c r="S1400" t="s">
        <v>12178</v>
      </c>
      <c r="T1400" t="s">
        <v>12179</v>
      </c>
    </row>
    <row r="1401" spans="1:20">
      <c r="A1401" t="s">
        <v>2384</v>
      </c>
      <c r="B1401" t="s">
        <v>11331</v>
      </c>
      <c r="C1401">
        <v>45754</v>
      </c>
      <c r="D1401" t="s">
        <v>7263</v>
      </c>
      <c r="E1401" t="s">
        <v>11332</v>
      </c>
      <c r="F1401">
        <v>45754</v>
      </c>
      <c r="G1401" t="s">
        <v>12171</v>
      </c>
      <c r="H1401" t="s">
        <v>2916</v>
      </c>
      <c r="I1401" t="s">
        <v>12180</v>
      </c>
      <c r="J1401">
        <v>1</v>
      </c>
      <c r="K1401">
        <v>6842.76</v>
      </c>
      <c r="L1401" t="s">
        <v>2917</v>
      </c>
      <c r="M1401">
        <v>39405.49</v>
      </c>
      <c r="N1401" t="s">
        <v>2918</v>
      </c>
      <c r="O1401" t="s">
        <v>12181</v>
      </c>
      <c r="P1401" t="s">
        <v>12182</v>
      </c>
      <c r="Q1401" t="s">
        <v>2924</v>
      </c>
      <c r="R1401" t="s">
        <v>3219</v>
      </c>
      <c r="S1401" t="s">
        <v>12183</v>
      </c>
      <c r="T1401" t="s">
        <v>12184</v>
      </c>
    </row>
    <row r="1402" spans="1:20">
      <c r="A1402" t="s">
        <v>2384</v>
      </c>
      <c r="B1402" t="s">
        <v>11331</v>
      </c>
      <c r="C1402">
        <v>45754</v>
      </c>
      <c r="D1402" t="s">
        <v>7263</v>
      </c>
      <c r="E1402" t="s">
        <v>11332</v>
      </c>
      <c r="F1402">
        <v>45754</v>
      </c>
      <c r="G1402" t="s">
        <v>12171</v>
      </c>
      <c r="H1402" t="s">
        <v>2916</v>
      </c>
      <c r="I1402" t="s">
        <v>12180</v>
      </c>
      <c r="J1402">
        <v>1</v>
      </c>
      <c r="K1402">
        <v>8563.24</v>
      </c>
      <c r="L1402" t="s">
        <v>2917</v>
      </c>
      <c r="M1402">
        <v>49313.24</v>
      </c>
      <c r="N1402" t="s">
        <v>2918</v>
      </c>
      <c r="O1402" t="s">
        <v>12181</v>
      </c>
      <c r="P1402" t="s">
        <v>12185</v>
      </c>
      <c r="Q1402" t="s">
        <v>2924</v>
      </c>
      <c r="R1402" t="s">
        <v>3219</v>
      </c>
      <c r="S1402" t="s">
        <v>12186</v>
      </c>
      <c r="T1402" t="s">
        <v>12187</v>
      </c>
    </row>
    <row r="1403" spans="1:20">
      <c r="A1403" t="s">
        <v>2384</v>
      </c>
      <c r="B1403" t="s">
        <v>11331</v>
      </c>
      <c r="C1403">
        <v>45748</v>
      </c>
      <c r="D1403" t="s">
        <v>7263</v>
      </c>
      <c r="E1403" t="s">
        <v>11332</v>
      </c>
      <c r="F1403">
        <v>45756</v>
      </c>
      <c r="G1403" t="s">
        <v>12171</v>
      </c>
      <c r="H1403" t="s">
        <v>2916</v>
      </c>
      <c r="I1403" t="s">
        <v>12358</v>
      </c>
      <c r="J1403">
        <v>0</v>
      </c>
      <c r="K1403">
        <v>15.04</v>
      </c>
      <c r="L1403" t="s">
        <v>2917</v>
      </c>
      <c r="M1403">
        <v>86.57</v>
      </c>
      <c r="N1403" t="s">
        <v>2918</v>
      </c>
      <c r="O1403" t="s">
        <v>12359</v>
      </c>
      <c r="P1403" t="s">
        <v>12182</v>
      </c>
      <c r="Q1403" t="s">
        <v>12360</v>
      </c>
      <c r="R1403" t="s">
        <v>12361</v>
      </c>
      <c r="S1403" t="s">
        <v>12183</v>
      </c>
      <c r="T1403" t="s">
        <v>12184</v>
      </c>
    </row>
    <row r="1404" spans="1:20">
      <c r="A1404" t="s">
        <v>2384</v>
      </c>
      <c r="B1404" t="s">
        <v>11331</v>
      </c>
      <c r="C1404">
        <v>45748</v>
      </c>
      <c r="D1404" t="s">
        <v>7263</v>
      </c>
      <c r="E1404" t="s">
        <v>11332</v>
      </c>
      <c r="F1404">
        <v>45756</v>
      </c>
      <c r="G1404" t="s">
        <v>12171</v>
      </c>
      <c r="H1404" t="s">
        <v>2916</v>
      </c>
      <c r="I1404" t="s">
        <v>12358</v>
      </c>
      <c r="J1404">
        <v>0</v>
      </c>
      <c r="K1404">
        <v>18.82</v>
      </c>
      <c r="L1404" t="s">
        <v>2917</v>
      </c>
      <c r="M1404">
        <v>108.33</v>
      </c>
      <c r="N1404" t="s">
        <v>2918</v>
      </c>
      <c r="O1404" t="s">
        <v>12359</v>
      </c>
      <c r="P1404" t="s">
        <v>12185</v>
      </c>
      <c r="Q1404" t="s">
        <v>12360</v>
      </c>
      <c r="R1404" t="s">
        <v>12361</v>
      </c>
      <c r="S1404" t="s">
        <v>12186</v>
      </c>
      <c r="T1404" t="s">
        <v>12187</v>
      </c>
    </row>
    <row r="1405" spans="1:20">
      <c r="A1405" t="s">
        <v>2384</v>
      </c>
      <c r="B1405" t="s">
        <v>11331</v>
      </c>
      <c r="C1405">
        <v>45748</v>
      </c>
      <c r="D1405" t="s">
        <v>7263</v>
      </c>
      <c r="E1405" t="s">
        <v>11332</v>
      </c>
      <c r="F1405">
        <v>45756</v>
      </c>
      <c r="G1405" t="s">
        <v>12171</v>
      </c>
      <c r="H1405" t="s">
        <v>2916</v>
      </c>
      <c r="I1405" t="s">
        <v>12362</v>
      </c>
      <c r="J1405">
        <v>0</v>
      </c>
      <c r="K1405">
        <v>201.08</v>
      </c>
      <c r="L1405" t="s">
        <v>2917</v>
      </c>
      <c r="M1405">
        <v>1157.97</v>
      </c>
      <c r="N1405" t="s">
        <v>2918</v>
      </c>
      <c r="O1405" t="s">
        <v>12363</v>
      </c>
      <c r="P1405" t="s">
        <v>12174</v>
      </c>
      <c r="Q1405" t="s">
        <v>12360</v>
      </c>
      <c r="R1405" t="s">
        <v>12361</v>
      </c>
      <c r="S1405" t="s">
        <v>12175</v>
      </c>
      <c r="T1405" t="s">
        <v>12176</v>
      </c>
    </row>
    <row r="1406" spans="1:20">
      <c r="A1406" t="s">
        <v>2384</v>
      </c>
      <c r="B1406" t="s">
        <v>11331</v>
      </c>
      <c r="C1406">
        <v>45748</v>
      </c>
      <c r="D1406" t="s">
        <v>7263</v>
      </c>
      <c r="E1406" t="s">
        <v>11332</v>
      </c>
      <c r="F1406">
        <v>45756</v>
      </c>
      <c r="G1406" t="s">
        <v>12171</v>
      </c>
      <c r="H1406" t="s">
        <v>2916</v>
      </c>
      <c r="I1406" t="s">
        <v>12362</v>
      </c>
      <c r="J1406">
        <v>0</v>
      </c>
      <c r="K1406">
        <v>203.38</v>
      </c>
      <c r="L1406" t="s">
        <v>2917</v>
      </c>
      <c r="M1406">
        <v>1171.23</v>
      </c>
      <c r="N1406" t="s">
        <v>2918</v>
      </c>
      <c r="O1406" t="s">
        <v>12363</v>
      </c>
      <c r="P1406" t="s">
        <v>12177</v>
      </c>
      <c r="Q1406" t="s">
        <v>12360</v>
      </c>
      <c r="R1406" t="s">
        <v>12361</v>
      </c>
      <c r="S1406" t="s">
        <v>12178</v>
      </c>
      <c r="T1406" t="s">
        <v>12179</v>
      </c>
    </row>
    <row r="1407" spans="1:20">
      <c r="A1407" t="s">
        <v>2384</v>
      </c>
      <c r="B1407" t="s">
        <v>11331</v>
      </c>
      <c r="C1407">
        <v>45754</v>
      </c>
      <c r="D1407" t="s">
        <v>7263</v>
      </c>
      <c r="E1407" t="s">
        <v>11332</v>
      </c>
      <c r="F1407">
        <v>45761</v>
      </c>
      <c r="G1407" t="s">
        <v>12171</v>
      </c>
      <c r="H1407" t="s">
        <v>2916</v>
      </c>
      <c r="I1407" t="s">
        <v>12364</v>
      </c>
      <c r="J1407">
        <v>1</v>
      </c>
      <c r="K1407">
        <v>48530.52</v>
      </c>
      <c r="L1407" t="s">
        <v>2917</v>
      </c>
      <c r="M1407">
        <v>279473.21999999997</v>
      </c>
      <c r="N1407" t="s">
        <v>2918</v>
      </c>
      <c r="O1407" t="s">
        <v>12365</v>
      </c>
      <c r="P1407" t="s">
        <v>12366</v>
      </c>
      <c r="Q1407" t="s">
        <v>2924</v>
      </c>
      <c r="R1407" t="s">
        <v>3219</v>
      </c>
      <c r="S1407" t="s">
        <v>12367</v>
      </c>
      <c r="T1407" t="s">
        <v>12368</v>
      </c>
    </row>
    <row r="1408" spans="1:20">
      <c r="A1408" t="s">
        <v>2384</v>
      </c>
      <c r="B1408" t="s">
        <v>11331</v>
      </c>
      <c r="C1408">
        <v>45754</v>
      </c>
      <c r="D1408" t="s">
        <v>7263</v>
      </c>
      <c r="E1408" t="s">
        <v>11332</v>
      </c>
      <c r="F1408">
        <v>45761</v>
      </c>
      <c r="G1408" t="s">
        <v>12171</v>
      </c>
      <c r="H1408" t="s">
        <v>2916</v>
      </c>
      <c r="I1408" t="s">
        <v>12369</v>
      </c>
      <c r="J1408">
        <v>0</v>
      </c>
      <c r="K1408">
        <v>4141.87</v>
      </c>
      <c r="L1408" t="s">
        <v>2917</v>
      </c>
      <c r="M1408">
        <v>23851.79</v>
      </c>
      <c r="N1408" t="s">
        <v>2918</v>
      </c>
      <c r="O1408" t="s">
        <v>12370</v>
      </c>
      <c r="P1408" t="s">
        <v>12366</v>
      </c>
      <c r="Q1408" t="s">
        <v>12360</v>
      </c>
      <c r="R1408" t="s">
        <v>12361</v>
      </c>
      <c r="S1408" t="s">
        <v>12367</v>
      </c>
      <c r="T1408" t="s">
        <v>12368</v>
      </c>
    </row>
    <row r="1409" spans="1:20">
      <c r="A1409" t="s">
        <v>2384</v>
      </c>
      <c r="B1409" t="s">
        <v>11331</v>
      </c>
      <c r="C1409">
        <v>45762</v>
      </c>
      <c r="D1409" t="s">
        <v>7263</v>
      </c>
      <c r="E1409" t="s">
        <v>11332</v>
      </c>
      <c r="F1409">
        <v>45764</v>
      </c>
      <c r="G1409" t="s">
        <v>10707</v>
      </c>
      <c r="H1409" t="s">
        <v>2916</v>
      </c>
      <c r="I1409" t="s">
        <v>12371</v>
      </c>
      <c r="J1409">
        <v>3</v>
      </c>
      <c r="K1409">
        <v>113.89</v>
      </c>
      <c r="L1409" t="s">
        <v>2917</v>
      </c>
      <c r="M1409">
        <v>655.86</v>
      </c>
      <c r="N1409" t="s">
        <v>2918</v>
      </c>
      <c r="O1409" t="s">
        <v>12372</v>
      </c>
      <c r="P1409" t="s">
        <v>11138</v>
      </c>
      <c r="Q1409" t="s">
        <v>2924</v>
      </c>
      <c r="R1409" t="s">
        <v>3219</v>
      </c>
      <c r="S1409" t="s">
        <v>11139</v>
      </c>
      <c r="T1409" t="s">
        <v>11140</v>
      </c>
    </row>
    <row r="1410" spans="1:20">
      <c r="A1410" t="s">
        <v>2384</v>
      </c>
      <c r="B1410" t="s">
        <v>11331</v>
      </c>
      <c r="C1410">
        <v>45762</v>
      </c>
      <c r="D1410" t="s">
        <v>7263</v>
      </c>
      <c r="E1410" t="s">
        <v>11332</v>
      </c>
      <c r="F1410">
        <v>45764</v>
      </c>
      <c r="G1410" t="s">
        <v>10707</v>
      </c>
      <c r="H1410" t="s">
        <v>2916</v>
      </c>
      <c r="I1410" t="s">
        <v>12373</v>
      </c>
      <c r="J1410">
        <v>0</v>
      </c>
      <c r="K1410">
        <v>-13.44</v>
      </c>
      <c r="L1410" t="s">
        <v>2917</v>
      </c>
      <c r="M1410">
        <v>-77.42</v>
      </c>
      <c r="N1410" t="s">
        <v>2918</v>
      </c>
      <c r="O1410" t="s">
        <v>12374</v>
      </c>
      <c r="P1410" t="s">
        <v>11138</v>
      </c>
      <c r="Q1410" t="s">
        <v>2924</v>
      </c>
      <c r="R1410" t="s">
        <v>3219</v>
      </c>
      <c r="S1410" t="s">
        <v>11139</v>
      </c>
      <c r="T1410" t="s">
        <v>11140</v>
      </c>
    </row>
    <row r="1411" spans="1:20">
      <c r="A1411" t="s">
        <v>2384</v>
      </c>
      <c r="B1411" t="s">
        <v>11331</v>
      </c>
      <c r="C1411">
        <v>45754</v>
      </c>
      <c r="D1411" t="s">
        <v>7263</v>
      </c>
      <c r="E1411" t="s">
        <v>11332</v>
      </c>
      <c r="F1411">
        <v>45761</v>
      </c>
      <c r="G1411" t="s">
        <v>12171</v>
      </c>
      <c r="H1411" t="s">
        <v>2916</v>
      </c>
      <c r="I1411" t="s">
        <v>15911</v>
      </c>
      <c r="J1411">
        <v>0</v>
      </c>
      <c r="K1411">
        <v>-4141.87</v>
      </c>
      <c r="L1411" t="s">
        <v>2917</v>
      </c>
      <c r="M1411">
        <v>-23851.79</v>
      </c>
      <c r="N1411" t="s">
        <v>2918</v>
      </c>
      <c r="O1411" t="s">
        <v>12370</v>
      </c>
      <c r="P1411" t="s">
        <v>12366</v>
      </c>
      <c r="Q1411" t="s">
        <v>12360</v>
      </c>
      <c r="R1411" t="s">
        <v>12361</v>
      </c>
      <c r="S1411" t="s">
        <v>12367</v>
      </c>
      <c r="T1411" t="s">
        <v>12368</v>
      </c>
    </row>
    <row r="1412" spans="1:20">
      <c r="A1412" t="s">
        <v>2384</v>
      </c>
      <c r="B1412" t="s">
        <v>11331</v>
      </c>
      <c r="C1412">
        <v>45754</v>
      </c>
      <c r="D1412" t="s">
        <v>7263</v>
      </c>
      <c r="E1412" t="s">
        <v>11332</v>
      </c>
      <c r="F1412">
        <v>45770</v>
      </c>
      <c r="G1412" t="s">
        <v>12171</v>
      </c>
      <c r="H1412" t="s">
        <v>2916</v>
      </c>
      <c r="I1412" t="s">
        <v>15912</v>
      </c>
      <c r="J1412">
        <v>0</v>
      </c>
      <c r="K1412">
        <v>442.9</v>
      </c>
      <c r="L1412" t="s">
        <v>2917</v>
      </c>
      <c r="M1412">
        <v>2550.48</v>
      </c>
      <c r="N1412" t="s">
        <v>2918</v>
      </c>
      <c r="O1412" t="s">
        <v>12370</v>
      </c>
      <c r="P1412" t="s">
        <v>12366</v>
      </c>
      <c r="Q1412" t="s">
        <v>12360</v>
      </c>
      <c r="R1412" t="s">
        <v>12361</v>
      </c>
      <c r="S1412" t="s">
        <v>12367</v>
      </c>
      <c r="T1412" t="s">
        <v>12368</v>
      </c>
    </row>
    <row r="1413" spans="1:20">
      <c r="A1413" t="s">
        <v>2384</v>
      </c>
      <c r="B1413" t="s">
        <v>11331</v>
      </c>
      <c r="C1413">
        <v>45754</v>
      </c>
      <c r="D1413" t="s">
        <v>7263</v>
      </c>
      <c r="E1413" t="s">
        <v>11332</v>
      </c>
      <c r="F1413">
        <v>45770</v>
      </c>
      <c r="G1413" t="s">
        <v>12171</v>
      </c>
      <c r="H1413" t="s">
        <v>2916</v>
      </c>
      <c r="I1413" t="s">
        <v>16259</v>
      </c>
      <c r="J1413">
        <v>0</v>
      </c>
      <c r="K1413">
        <v>-442.9</v>
      </c>
      <c r="L1413" t="s">
        <v>2917</v>
      </c>
      <c r="M1413">
        <v>-2550.48</v>
      </c>
      <c r="N1413" t="s">
        <v>2918</v>
      </c>
      <c r="O1413" t="s">
        <v>12370</v>
      </c>
      <c r="P1413" t="s">
        <v>12366</v>
      </c>
      <c r="Q1413" t="s">
        <v>12360</v>
      </c>
      <c r="R1413" t="s">
        <v>12361</v>
      </c>
      <c r="S1413" t="s">
        <v>12367</v>
      </c>
      <c r="T1413" t="s">
        <v>12368</v>
      </c>
    </row>
    <row r="1414" spans="1:20">
      <c r="A1414" t="s">
        <v>2384</v>
      </c>
      <c r="B1414" t="s">
        <v>11331</v>
      </c>
      <c r="C1414">
        <v>45754</v>
      </c>
      <c r="D1414" t="s">
        <v>7263</v>
      </c>
      <c r="E1414" t="s">
        <v>11332</v>
      </c>
      <c r="F1414">
        <v>45776</v>
      </c>
      <c r="G1414" t="s">
        <v>12171</v>
      </c>
      <c r="H1414" t="s">
        <v>2916</v>
      </c>
      <c r="I1414" t="s">
        <v>16260</v>
      </c>
      <c r="J1414">
        <v>0</v>
      </c>
      <c r="K1414">
        <v>106.63</v>
      </c>
      <c r="L1414" t="s">
        <v>2917</v>
      </c>
      <c r="M1414">
        <v>614</v>
      </c>
      <c r="N1414" t="s">
        <v>2918</v>
      </c>
      <c r="O1414" t="s">
        <v>12370</v>
      </c>
      <c r="P1414" t="s">
        <v>12366</v>
      </c>
      <c r="Q1414" t="s">
        <v>12360</v>
      </c>
      <c r="R1414" t="s">
        <v>12361</v>
      </c>
      <c r="S1414" t="s">
        <v>12367</v>
      </c>
      <c r="T1414" t="s">
        <v>12368</v>
      </c>
    </row>
    <row r="1415" spans="1:20">
      <c r="A1415" t="s">
        <v>2384</v>
      </c>
      <c r="B1415" t="s">
        <v>11331</v>
      </c>
      <c r="C1415">
        <v>45777</v>
      </c>
      <c r="D1415" t="s">
        <v>7263</v>
      </c>
      <c r="E1415" t="s">
        <v>11332</v>
      </c>
      <c r="F1415">
        <v>45777</v>
      </c>
      <c r="G1415" t="s">
        <v>2208</v>
      </c>
      <c r="H1415" t="s">
        <v>2916</v>
      </c>
      <c r="I1415" t="s">
        <v>16319</v>
      </c>
      <c r="J1415">
        <v>0</v>
      </c>
      <c r="K1415">
        <v>-23650.79</v>
      </c>
      <c r="L1415" t="s">
        <v>2917</v>
      </c>
      <c r="M1415">
        <v>-136198.04999999999</v>
      </c>
      <c r="N1415" t="s">
        <v>2918</v>
      </c>
      <c r="O1415" t="s">
        <v>16320</v>
      </c>
      <c r="P1415" t="s">
        <v>2208</v>
      </c>
      <c r="Q1415" t="s">
        <v>2933</v>
      </c>
      <c r="R1415" t="s">
        <v>3314</v>
      </c>
      <c r="S1415" t="s">
        <v>2208</v>
      </c>
      <c r="T1415" t="s">
        <v>2208</v>
      </c>
    </row>
    <row r="1416" spans="1:20">
      <c r="A1416" t="s">
        <v>2384</v>
      </c>
      <c r="B1416" t="s">
        <v>11331</v>
      </c>
      <c r="C1416">
        <v>45777</v>
      </c>
      <c r="D1416" t="s">
        <v>7263</v>
      </c>
      <c r="E1416" t="s">
        <v>11332</v>
      </c>
      <c r="F1416">
        <v>45777</v>
      </c>
      <c r="G1416" t="s">
        <v>2208</v>
      </c>
      <c r="H1416" t="s">
        <v>2916</v>
      </c>
      <c r="I1416" t="s">
        <v>16430</v>
      </c>
      <c r="J1416">
        <v>0</v>
      </c>
      <c r="K1416">
        <v>0.04</v>
      </c>
      <c r="L1416" t="s">
        <v>2917</v>
      </c>
      <c r="M1416">
        <v>0</v>
      </c>
      <c r="N1416" t="s">
        <v>2918</v>
      </c>
      <c r="O1416" t="s">
        <v>2919</v>
      </c>
      <c r="P1416" t="s">
        <v>2208</v>
      </c>
      <c r="Q1416" t="s">
        <v>2916</v>
      </c>
      <c r="R1416" t="s">
        <v>3220</v>
      </c>
      <c r="S1416" t="s">
        <v>2208</v>
      </c>
      <c r="T1416" t="s">
        <v>2208</v>
      </c>
    </row>
    <row r="1417" spans="1:20">
      <c r="A1417" t="s">
        <v>2384</v>
      </c>
      <c r="B1417" t="s">
        <v>16360</v>
      </c>
      <c r="C1417">
        <v>45777</v>
      </c>
      <c r="D1417" t="s">
        <v>7263</v>
      </c>
      <c r="E1417" t="s">
        <v>16361</v>
      </c>
      <c r="F1417">
        <v>45779</v>
      </c>
      <c r="G1417" t="s">
        <v>10707</v>
      </c>
      <c r="H1417" t="s">
        <v>2916</v>
      </c>
      <c r="I1417" t="s">
        <v>16431</v>
      </c>
      <c r="J1417">
        <v>2</v>
      </c>
      <c r="K1417">
        <v>3478.8</v>
      </c>
      <c r="L1417" t="s">
        <v>2917</v>
      </c>
      <c r="M1417">
        <v>19598.88</v>
      </c>
      <c r="N1417" t="s">
        <v>2918</v>
      </c>
      <c r="O1417" t="s">
        <v>16432</v>
      </c>
      <c r="P1417" t="s">
        <v>7540</v>
      </c>
      <c r="Q1417" t="s">
        <v>2924</v>
      </c>
      <c r="R1417" t="s">
        <v>3219</v>
      </c>
      <c r="S1417" t="s">
        <v>7541</v>
      </c>
      <c r="T1417" t="s">
        <v>7542</v>
      </c>
    </row>
    <row r="1418" spans="1:20">
      <c r="A1418" t="s">
        <v>2384</v>
      </c>
      <c r="B1418" t="s">
        <v>16360</v>
      </c>
      <c r="C1418">
        <v>45777</v>
      </c>
      <c r="D1418" t="s">
        <v>7263</v>
      </c>
      <c r="E1418" t="s">
        <v>16361</v>
      </c>
      <c r="F1418">
        <v>45779</v>
      </c>
      <c r="G1418" t="s">
        <v>10707</v>
      </c>
      <c r="H1418" t="s">
        <v>2916</v>
      </c>
      <c r="I1418" t="s">
        <v>16431</v>
      </c>
      <c r="J1418">
        <v>2</v>
      </c>
      <c r="K1418">
        <v>2550.0300000000002</v>
      </c>
      <c r="L1418" t="s">
        <v>2917</v>
      </c>
      <c r="M1418">
        <v>14366.35</v>
      </c>
      <c r="N1418" t="s">
        <v>2918</v>
      </c>
      <c r="O1418" t="s">
        <v>16432</v>
      </c>
      <c r="P1418" t="s">
        <v>16433</v>
      </c>
      <c r="Q1418" t="s">
        <v>2924</v>
      </c>
      <c r="R1418" t="s">
        <v>3219</v>
      </c>
      <c r="S1418" t="s">
        <v>16434</v>
      </c>
      <c r="T1418" t="s">
        <v>16435</v>
      </c>
    </row>
    <row r="1419" spans="1:20">
      <c r="A1419" t="s">
        <v>2384</v>
      </c>
      <c r="B1419" t="s">
        <v>16360</v>
      </c>
      <c r="C1419">
        <v>45777</v>
      </c>
      <c r="D1419" t="s">
        <v>7263</v>
      </c>
      <c r="E1419" t="s">
        <v>16361</v>
      </c>
      <c r="F1419">
        <v>45779</v>
      </c>
      <c r="G1419" t="s">
        <v>10707</v>
      </c>
      <c r="H1419" t="s">
        <v>2916</v>
      </c>
      <c r="I1419" t="s">
        <v>16431</v>
      </c>
      <c r="J1419">
        <v>4</v>
      </c>
      <c r="K1419">
        <v>329.66</v>
      </c>
      <c r="L1419" t="s">
        <v>2917</v>
      </c>
      <c r="M1419">
        <v>1857.26</v>
      </c>
      <c r="N1419" t="s">
        <v>2918</v>
      </c>
      <c r="O1419" t="s">
        <v>16432</v>
      </c>
      <c r="P1419" t="s">
        <v>16436</v>
      </c>
      <c r="Q1419" t="s">
        <v>2924</v>
      </c>
      <c r="R1419" t="s">
        <v>3219</v>
      </c>
      <c r="S1419" t="s">
        <v>16437</v>
      </c>
      <c r="T1419" t="s">
        <v>16438</v>
      </c>
    </row>
    <row r="1420" spans="1:20">
      <c r="A1420" t="s">
        <v>2384</v>
      </c>
      <c r="B1420" t="s">
        <v>16360</v>
      </c>
      <c r="C1420">
        <v>45777</v>
      </c>
      <c r="D1420" t="s">
        <v>7263</v>
      </c>
      <c r="E1420" t="s">
        <v>16361</v>
      </c>
      <c r="F1420">
        <v>45779</v>
      </c>
      <c r="G1420" t="s">
        <v>10707</v>
      </c>
      <c r="H1420" t="s">
        <v>2916</v>
      </c>
      <c r="I1420" t="s">
        <v>16439</v>
      </c>
      <c r="J1420">
        <v>0</v>
      </c>
      <c r="K1420">
        <v>-410.73</v>
      </c>
      <c r="L1420" t="s">
        <v>2917</v>
      </c>
      <c r="M1420">
        <v>-2313.98</v>
      </c>
      <c r="N1420" t="s">
        <v>2918</v>
      </c>
      <c r="O1420" t="s">
        <v>16440</v>
      </c>
      <c r="P1420" t="s">
        <v>7540</v>
      </c>
      <c r="Q1420" t="s">
        <v>2924</v>
      </c>
      <c r="R1420" t="s">
        <v>3219</v>
      </c>
      <c r="S1420" t="s">
        <v>7541</v>
      </c>
      <c r="T1420" t="s">
        <v>7542</v>
      </c>
    </row>
    <row r="1421" spans="1:20">
      <c r="A1421" t="s">
        <v>2384</v>
      </c>
      <c r="B1421" t="s">
        <v>16360</v>
      </c>
      <c r="C1421">
        <v>45777</v>
      </c>
      <c r="D1421" t="s">
        <v>7263</v>
      </c>
      <c r="E1421" t="s">
        <v>16361</v>
      </c>
      <c r="F1421">
        <v>45779</v>
      </c>
      <c r="G1421" t="s">
        <v>10707</v>
      </c>
      <c r="H1421" t="s">
        <v>2916</v>
      </c>
      <c r="I1421" t="s">
        <v>16439</v>
      </c>
      <c r="J1421">
        <v>0</v>
      </c>
      <c r="K1421">
        <v>-280.55</v>
      </c>
      <c r="L1421" t="s">
        <v>2917</v>
      </c>
      <c r="M1421">
        <v>-1580.55</v>
      </c>
      <c r="N1421" t="s">
        <v>2918</v>
      </c>
      <c r="O1421" t="s">
        <v>16440</v>
      </c>
      <c r="P1421" t="s">
        <v>16433</v>
      </c>
      <c r="Q1421" t="s">
        <v>2924</v>
      </c>
      <c r="R1421" t="s">
        <v>3219</v>
      </c>
      <c r="S1421" t="s">
        <v>16434</v>
      </c>
      <c r="T1421" t="s">
        <v>16435</v>
      </c>
    </row>
    <row r="1422" spans="1:20">
      <c r="A1422" t="s">
        <v>2384</v>
      </c>
      <c r="B1422" t="s">
        <v>16360</v>
      </c>
      <c r="C1422">
        <v>45777</v>
      </c>
      <c r="D1422" t="s">
        <v>7263</v>
      </c>
      <c r="E1422" t="s">
        <v>16361</v>
      </c>
      <c r="F1422">
        <v>45779</v>
      </c>
      <c r="G1422" t="s">
        <v>10707</v>
      </c>
      <c r="H1422" t="s">
        <v>2916</v>
      </c>
      <c r="I1422" t="s">
        <v>16439</v>
      </c>
      <c r="J1422">
        <v>0</v>
      </c>
      <c r="K1422">
        <v>-38.92</v>
      </c>
      <c r="L1422" t="s">
        <v>2917</v>
      </c>
      <c r="M1422">
        <v>-219.28</v>
      </c>
      <c r="N1422" t="s">
        <v>2918</v>
      </c>
      <c r="O1422" t="s">
        <v>16440</v>
      </c>
      <c r="P1422" t="s">
        <v>16436</v>
      </c>
      <c r="Q1422" t="s">
        <v>2924</v>
      </c>
      <c r="R1422" t="s">
        <v>3219</v>
      </c>
      <c r="S1422" t="s">
        <v>16437</v>
      </c>
      <c r="T1422" t="s">
        <v>16438</v>
      </c>
    </row>
    <row r="1423" spans="1:20">
      <c r="A1423" t="s">
        <v>2384</v>
      </c>
      <c r="B1423" t="s">
        <v>16360</v>
      </c>
      <c r="C1423">
        <v>45777</v>
      </c>
      <c r="D1423" t="s">
        <v>7263</v>
      </c>
      <c r="E1423" t="s">
        <v>16361</v>
      </c>
      <c r="F1423">
        <v>45779</v>
      </c>
      <c r="G1423" t="s">
        <v>10707</v>
      </c>
      <c r="H1423" t="s">
        <v>2916</v>
      </c>
      <c r="I1423" t="s">
        <v>16441</v>
      </c>
      <c r="J1423">
        <v>3</v>
      </c>
      <c r="K1423">
        <v>8.9</v>
      </c>
      <c r="L1423" t="s">
        <v>2917</v>
      </c>
      <c r="M1423">
        <v>50.15</v>
      </c>
      <c r="N1423" t="s">
        <v>2918</v>
      </c>
      <c r="O1423" t="s">
        <v>16442</v>
      </c>
      <c r="P1423" t="s">
        <v>11154</v>
      </c>
      <c r="Q1423" t="s">
        <v>2924</v>
      </c>
      <c r="R1423" t="s">
        <v>3219</v>
      </c>
      <c r="S1423" t="s">
        <v>11155</v>
      </c>
      <c r="T1423" t="s">
        <v>11156</v>
      </c>
    </row>
    <row r="1424" spans="1:20">
      <c r="A1424" t="s">
        <v>2384</v>
      </c>
      <c r="B1424" t="s">
        <v>16360</v>
      </c>
      <c r="C1424">
        <v>45777</v>
      </c>
      <c r="D1424" t="s">
        <v>7263</v>
      </c>
      <c r="E1424" t="s">
        <v>16361</v>
      </c>
      <c r="F1424">
        <v>45779</v>
      </c>
      <c r="G1424" t="s">
        <v>10707</v>
      </c>
      <c r="H1424" t="s">
        <v>2916</v>
      </c>
      <c r="I1424" t="s">
        <v>16443</v>
      </c>
      <c r="J1424">
        <v>0</v>
      </c>
      <c r="K1424">
        <v>-0.98</v>
      </c>
      <c r="L1424" t="s">
        <v>2917</v>
      </c>
      <c r="M1424">
        <v>-5.52</v>
      </c>
      <c r="N1424" t="s">
        <v>2918</v>
      </c>
      <c r="O1424" t="s">
        <v>16444</v>
      </c>
      <c r="P1424" t="s">
        <v>11154</v>
      </c>
      <c r="Q1424" t="s">
        <v>2924</v>
      </c>
      <c r="R1424" t="s">
        <v>3219</v>
      </c>
      <c r="S1424" t="s">
        <v>11155</v>
      </c>
      <c r="T1424" t="s">
        <v>11156</v>
      </c>
    </row>
    <row r="1425" spans="1:20">
      <c r="A1425" t="s">
        <v>2384</v>
      </c>
      <c r="B1425" t="s">
        <v>16360</v>
      </c>
      <c r="C1425">
        <v>45777</v>
      </c>
      <c r="D1425" t="s">
        <v>7263</v>
      </c>
      <c r="E1425" t="s">
        <v>16361</v>
      </c>
      <c r="F1425">
        <v>45786</v>
      </c>
      <c r="G1425" t="s">
        <v>10707</v>
      </c>
      <c r="H1425" t="s">
        <v>2916</v>
      </c>
      <c r="I1425" t="s">
        <v>17040</v>
      </c>
      <c r="J1425">
        <v>7</v>
      </c>
      <c r="K1425">
        <v>235.55</v>
      </c>
      <c r="L1425" t="s">
        <v>2917</v>
      </c>
      <c r="M1425">
        <v>1327.06</v>
      </c>
      <c r="N1425" t="s">
        <v>2918</v>
      </c>
      <c r="O1425" t="s">
        <v>17041</v>
      </c>
      <c r="P1425" t="s">
        <v>17042</v>
      </c>
      <c r="Q1425" t="s">
        <v>2924</v>
      </c>
      <c r="R1425" t="s">
        <v>3219</v>
      </c>
      <c r="S1425" t="s">
        <v>17043</v>
      </c>
      <c r="T1425" t="s">
        <v>17044</v>
      </c>
    </row>
    <row r="1426" spans="1:20">
      <c r="A1426" t="s">
        <v>2384</v>
      </c>
      <c r="B1426" t="s">
        <v>16360</v>
      </c>
      <c r="C1426">
        <v>45777</v>
      </c>
      <c r="D1426" t="s">
        <v>7263</v>
      </c>
      <c r="E1426" t="s">
        <v>16361</v>
      </c>
      <c r="F1426">
        <v>45786</v>
      </c>
      <c r="G1426" t="s">
        <v>10707</v>
      </c>
      <c r="H1426" t="s">
        <v>2916</v>
      </c>
      <c r="I1426" t="s">
        <v>17040</v>
      </c>
      <c r="J1426">
        <v>7</v>
      </c>
      <c r="K1426">
        <v>547.42999999999995</v>
      </c>
      <c r="L1426" t="s">
        <v>2917</v>
      </c>
      <c r="M1426">
        <v>3084.1</v>
      </c>
      <c r="N1426" t="s">
        <v>2918</v>
      </c>
      <c r="O1426" t="s">
        <v>17041</v>
      </c>
      <c r="P1426" t="s">
        <v>17045</v>
      </c>
      <c r="Q1426" t="s">
        <v>2924</v>
      </c>
      <c r="R1426" t="s">
        <v>3219</v>
      </c>
      <c r="S1426" t="s">
        <v>17046</v>
      </c>
      <c r="T1426" t="s">
        <v>17047</v>
      </c>
    </row>
    <row r="1427" spans="1:20">
      <c r="A1427" t="s">
        <v>2384</v>
      </c>
      <c r="B1427" t="s">
        <v>16360</v>
      </c>
      <c r="C1427">
        <v>45777</v>
      </c>
      <c r="D1427" t="s">
        <v>7263</v>
      </c>
      <c r="E1427" t="s">
        <v>16361</v>
      </c>
      <c r="F1427">
        <v>45786</v>
      </c>
      <c r="G1427" t="s">
        <v>10707</v>
      </c>
      <c r="H1427" t="s">
        <v>2916</v>
      </c>
      <c r="I1427" t="s">
        <v>17040</v>
      </c>
      <c r="J1427">
        <v>1</v>
      </c>
      <c r="K1427">
        <v>219.7</v>
      </c>
      <c r="L1427" t="s">
        <v>2917</v>
      </c>
      <c r="M1427">
        <v>1237.76</v>
      </c>
      <c r="N1427" t="s">
        <v>2918</v>
      </c>
      <c r="O1427" t="s">
        <v>17041</v>
      </c>
      <c r="P1427" t="s">
        <v>17048</v>
      </c>
      <c r="Q1427" t="s">
        <v>2924</v>
      </c>
      <c r="R1427" t="s">
        <v>3219</v>
      </c>
      <c r="S1427" t="s">
        <v>17049</v>
      </c>
      <c r="T1427" t="s">
        <v>17050</v>
      </c>
    </row>
    <row r="1428" spans="1:20">
      <c r="A1428" t="s">
        <v>2384</v>
      </c>
      <c r="B1428" t="s">
        <v>16360</v>
      </c>
      <c r="C1428">
        <v>45777</v>
      </c>
      <c r="D1428" t="s">
        <v>7263</v>
      </c>
      <c r="E1428" t="s">
        <v>16361</v>
      </c>
      <c r="F1428">
        <v>45786</v>
      </c>
      <c r="G1428" t="s">
        <v>10707</v>
      </c>
      <c r="H1428" t="s">
        <v>2916</v>
      </c>
      <c r="I1428" t="s">
        <v>17040</v>
      </c>
      <c r="J1428">
        <v>5</v>
      </c>
      <c r="K1428">
        <v>14.84</v>
      </c>
      <c r="L1428" t="s">
        <v>2917</v>
      </c>
      <c r="M1428">
        <v>83.59</v>
      </c>
      <c r="N1428" t="s">
        <v>2918</v>
      </c>
      <c r="O1428" t="s">
        <v>17041</v>
      </c>
      <c r="P1428" t="s">
        <v>11154</v>
      </c>
      <c r="Q1428" t="s">
        <v>2924</v>
      </c>
      <c r="R1428" t="s">
        <v>3219</v>
      </c>
      <c r="S1428" t="s">
        <v>11155</v>
      </c>
      <c r="T1428" t="s">
        <v>11156</v>
      </c>
    </row>
    <row r="1429" spans="1:20">
      <c r="A1429" t="s">
        <v>2384</v>
      </c>
      <c r="B1429" t="s">
        <v>16360</v>
      </c>
      <c r="C1429">
        <v>45777</v>
      </c>
      <c r="D1429" t="s">
        <v>7263</v>
      </c>
      <c r="E1429" t="s">
        <v>16361</v>
      </c>
      <c r="F1429">
        <v>45786</v>
      </c>
      <c r="G1429" t="s">
        <v>10707</v>
      </c>
      <c r="H1429" t="s">
        <v>2916</v>
      </c>
      <c r="I1429" t="s">
        <v>17051</v>
      </c>
      <c r="J1429">
        <v>0</v>
      </c>
      <c r="K1429">
        <v>-25.91</v>
      </c>
      <c r="L1429" t="s">
        <v>2917</v>
      </c>
      <c r="M1429">
        <v>-146</v>
      </c>
      <c r="N1429" t="s">
        <v>2918</v>
      </c>
      <c r="O1429" t="s">
        <v>17052</v>
      </c>
      <c r="P1429" t="s">
        <v>17042</v>
      </c>
      <c r="Q1429" t="s">
        <v>2924</v>
      </c>
      <c r="R1429" t="s">
        <v>3219</v>
      </c>
      <c r="S1429" t="s">
        <v>17043</v>
      </c>
      <c r="T1429" t="s">
        <v>17044</v>
      </c>
    </row>
    <row r="1430" spans="1:20">
      <c r="A1430" t="s">
        <v>2384</v>
      </c>
      <c r="B1430" t="s">
        <v>16360</v>
      </c>
      <c r="C1430">
        <v>45777</v>
      </c>
      <c r="D1430" t="s">
        <v>7263</v>
      </c>
      <c r="E1430" t="s">
        <v>16361</v>
      </c>
      <c r="F1430">
        <v>45786</v>
      </c>
      <c r="G1430" t="s">
        <v>10707</v>
      </c>
      <c r="H1430" t="s">
        <v>2916</v>
      </c>
      <c r="I1430" t="s">
        <v>17051</v>
      </c>
      <c r="J1430">
        <v>0</v>
      </c>
      <c r="K1430">
        <v>-64.63</v>
      </c>
      <c r="L1430" t="s">
        <v>2917</v>
      </c>
      <c r="M1430">
        <v>-364.11</v>
      </c>
      <c r="N1430" t="s">
        <v>2918</v>
      </c>
      <c r="O1430" t="s">
        <v>17052</v>
      </c>
      <c r="P1430" t="s">
        <v>17045</v>
      </c>
      <c r="Q1430" t="s">
        <v>2924</v>
      </c>
      <c r="R1430" t="s">
        <v>3219</v>
      </c>
      <c r="S1430" t="s">
        <v>17046</v>
      </c>
      <c r="T1430" t="s">
        <v>17047</v>
      </c>
    </row>
    <row r="1431" spans="1:20">
      <c r="A1431" t="s">
        <v>2384</v>
      </c>
      <c r="B1431" t="s">
        <v>16360</v>
      </c>
      <c r="C1431">
        <v>45777</v>
      </c>
      <c r="D1431" t="s">
        <v>7263</v>
      </c>
      <c r="E1431" t="s">
        <v>16361</v>
      </c>
      <c r="F1431">
        <v>45786</v>
      </c>
      <c r="G1431" t="s">
        <v>10707</v>
      </c>
      <c r="H1431" t="s">
        <v>2916</v>
      </c>
      <c r="I1431" t="s">
        <v>17051</v>
      </c>
      <c r="J1431">
        <v>0</v>
      </c>
      <c r="K1431">
        <v>-24.17</v>
      </c>
      <c r="L1431" t="s">
        <v>2917</v>
      </c>
      <c r="M1431">
        <v>-136.16999999999999</v>
      </c>
      <c r="N1431" t="s">
        <v>2918</v>
      </c>
      <c r="O1431" t="s">
        <v>17052</v>
      </c>
      <c r="P1431" t="s">
        <v>17048</v>
      </c>
      <c r="Q1431" t="s">
        <v>2924</v>
      </c>
      <c r="R1431" t="s">
        <v>3219</v>
      </c>
      <c r="S1431" t="s">
        <v>17049</v>
      </c>
      <c r="T1431" t="s">
        <v>17050</v>
      </c>
    </row>
    <row r="1432" spans="1:20">
      <c r="A1432" t="s">
        <v>2384</v>
      </c>
      <c r="B1432" t="s">
        <v>16360</v>
      </c>
      <c r="C1432">
        <v>45777</v>
      </c>
      <c r="D1432" t="s">
        <v>7263</v>
      </c>
      <c r="E1432" t="s">
        <v>16361</v>
      </c>
      <c r="F1432">
        <v>45786</v>
      </c>
      <c r="G1432" t="s">
        <v>10707</v>
      </c>
      <c r="H1432" t="s">
        <v>2916</v>
      </c>
      <c r="I1432" t="s">
        <v>17051</v>
      </c>
      <c r="J1432">
        <v>0</v>
      </c>
      <c r="K1432">
        <v>-1.63</v>
      </c>
      <c r="L1432" t="s">
        <v>2917</v>
      </c>
      <c r="M1432">
        <v>-9.19</v>
      </c>
      <c r="N1432" t="s">
        <v>2918</v>
      </c>
      <c r="O1432" t="s">
        <v>17052</v>
      </c>
      <c r="P1432" t="s">
        <v>11154</v>
      </c>
      <c r="Q1432" t="s">
        <v>2924</v>
      </c>
      <c r="R1432" t="s">
        <v>3219</v>
      </c>
      <c r="S1432" t="s">
        <v>11155</v>
      </c>
      <c r="T1432" t="s">
        <v>11156</v>
      </c>
    </row>
    <row r="1433" spans="1:20">
      <c r="A1433" t="s">
        <v>2384</v>
      </c>
      <c r="B1433" t="s">
        <v>16360</v>
      </c>
      <c r="C1433">
        <v>45798</v>
      </c>
      <c r="D1433" t="s">
        <v>7263</v>
      </c>
      <c r="E1433" t="s">
        <v>16361</v>
      </c>
      <c r="F1433">
        <v>45800</v>
      </c>
      <c r="G1433" t="s">
        <v>10707</v>
      </c>
      <c r="H1433" t="s">
        <v>2916</v>
      </c>
      <c r="I1433" t="s">
        <v>17513</v>
      </c>
      <c r="J1433">
        <v>1</v>
      </c>
      <c r="K1433">
        <v>39.68</v>
      </c>
      <c r="L1433" t="s">
        <v>2917</v>
      </c>
      <c r="M1433">
        <v>223.53</v>
      </c>
      <c r="N1433" t="s">
        <v>2918</v>
      </c>
      <c r="O1433" t="s">
        <v>17514</v>
      </c>
      <c r="P1433" t="s">
        <v>17515</v>
      </c>
      <c r="Q1433" t="s">
        <v>2924</v>
      </c>
      <c r="R1433" t="s">
        <v>3219</v>
      </c>
      <c r="S1433" t="s">
        <v>17516</v>
      </c>
      <c r="T1433" t="s">
        <v>17517</v>
      </c>
    </row>
    <row r="1434" spans="1:20">
      <c r="A1434" t="s">
        <v>2384</v>
      </c>
      <c r="B1434" t="s">
        <v>16360</v>
      </c>
      <c r="C1434">
        <v>45798</v>
      </c>
      <c r="D1434" t="s">
        <v>7263</v>
      </c>
      <c r="E1434" t="s">
        <v>16361</v>
      </c>
      <c r="F1434">
        <v>45800</v>
      </c>
      <c r="G1434" t="s">
        <v>10707</v>
      </c>
      <c r="H1434" t="s">
        <v>2916</v>
      </c>
      <c r="I1434" t="s">
        <v>17518</v>
      </c>
      <c r="J1434">
        <v>0</v>
      </c>
      <c r="K1434">
        <v>-4.6900000000000004</v>
      </c>
      <c r="L1434" t="s">
        <v>2917</v>
      </c>
      <c r="M1434">
        <v>-26.4</v>
      </c>
      <c r="N1434" t="s">
        <v>2918</v>
      </c>
      <c r="O1434" t="s">
        <v>17519</v>
      </c>
      <c r="P1434" t="s">
        <v>17515</v>
      </c>
      <c r="Q1434" t="s">
        <v>2924</v>
      </c>
      <c r="R1434" t="s">
        <v>3219</v>
      </c>
      <c r="S1434" t="s">
        <v>17516</v>
      </c>
      <c r="T1434" t="s">
        <v>17517</v>
      </c>
    </row>
    <row r="1435" spans="1:20">
      <c r="A1435" t="s">
        <v>2384</v>
      </c>
      <c r="B1435" t="s">
        <v>16360</v>
      </c>
      <c r="C1435">
        <v>45443</v>
      </c>
      <c r="D1435" t="s">
        <v>7263</v>
      </c>
      <c r="E1435" t="s">
        <v>16361</v>
      </c>
      <c r="F1435">
        <v>45804</v>
      </c>
      <c r="G1435" t="s">
        <v>2208</v>
      </c>
      <c r="H1435" t="s">
        <v>2916</v>
      </c>
      <c r="I1435" t="s">
        <v>17758</v>
      </c>
      <c r="J1435">
        <v>0</v>
      </c>
      <c r="K1435">
        <v>-74162.89</v>
      </c>
      <c r="L1435" t="s">
        <v>2917</v>
      </c>
      <c r="M1435">
        <v>-382223.81</v>
      </c>
      <c r="N1435" t="s">
        <v>2918</v>
      </c>
      <c r="O1435" t="s">
        <v>17759</v>
      </c>
      <c r="P1435" t="s">
        <v>2208</v>
      </c>
      <c r="Q1435" t="s">
        <v>7720</v>
      </c>
      <c r="R1435" t="s">
        <v>7721</v>
      </c>
      <c r="S1435" t="s">
        <v>2208</v>
      </c>
      <c r="T1435" t="s">
        <v>2208</v>
      </c>
    </row>
    <row r="1436" spans="1:20">
      <c r="A1436" t="s">
        <v>2384</v>
      </c>
      <c r="B1436" t="s">
        <v>16360</v>
      </c>
      <c r="C1436">
        <v>45805</v>
      </c>
      <c r="D1436" t="s">
        <v>7263</v>
      </c>
      <c r="E1436" t="s">
        <v>16361</v>
      </c>
      <c r="F1436">
        <v>45805</v>
      </c>
      <c r="G1436" t="s">
        <v>2208</v>
      </c>
      <c r="H1436" t="s">
        <v>2916</v>
      </c>
      <c r="I1436" t="s">
        <v>17823</v>
      </c>
      <c r="J1436">
        <v>0</v>
      </c>
      <c r="K1436">
        <v>-808.03</v>
      </c>
      <c r="L1436" t="s">
        <v>2917</v>
      </c>
      <c r="M1436">
        <v>-4552.28</v>
      </c>
      <c r="N1436" t="s">
        <v>2918</v>
      </c>
      <c r="O1436" t="s">
        <v>17824</v>
      </c>
      <c r="P1436" t="s">
        <v>2208</v>
      </c>
      <c r="Q1436" t="s">
        <v>2933</v>
      </c>
      <c r="R1436" t="s">
        <v>3314</v>
      </c>
      <c r="S1436" t="s">
        <v>2208</v>
      </c>
      <c r="T1436" t="s">
        <v>2208</v>
      </c>
    </row>
    <row r="1437" spans="1:20">
      <c r="A1437" t="s">
        <v>2384</v>
      </c>
      <c r="B1437" t="s">
        <v>16360</v>
      </c>
      <c r="C1437">
        <v>45808</v>
      </c>
      <c r="D1437" t="s">
        <v>7263</v>
      </c>
      <c r="E1437" t="s">
        <v>16361</v>
      </c>
      <c r="F1437">
        <v>45808</v>
      </c>
      <c r="G1437" t="s">
        <v>2208</v>
      </c>
      <c r="H1437" t="s">
        <v>2916</v>
      </c>
      <c r="I1437" t="s">
        <v>17875</v>
      </c>
      <c r="J1437">
        <v>0</v>
      </c>
      <c r="K1437">
        <v>6318.09</v>
      </c>
      <c r="L1437" t="s">
        <v>2917</v>
      </c>
      <c r="M1437">
        <v>0</v>
      </c>
      <c r="N1437" t="s">
        <v>2918</v>
      </c>
      <c r="O1437" t="s">
        <v>2919</v>
      </c>
      <c r="P1437" t="s">
        <v>2208</v>
      </c>
      <c r="Q1437" t="s">
        <v>2916</v>
      </c>
      <c r="R1437" t="s">
        <v>3220</v>
      </c>
      <c r="S1437" t="s">
        <v>2208</v>
      </c>
      <c r="T1437" t="s">
        <v>2208</v>
      </c>
    </row>
    <row r="1438" spans="1:20">
      <c r="A1438" t="s">
        <v>2384</v>
      </c>
      <c r="B1438" t="s">
        <v>19439</v>
      </c>
      <c r="C1438">
        <v>45838</v>
      </c>
      <c r="D1438" t="s">
        <v>7263</v>
      </c>
      <c r="E1438" t="s">
        <v>19440</v>
      </c>
      <c r="F1438">
        <v>45842</v>
      </c>
      <c r="G1438" t="s">
        <v>10707</v>
      </c>
      <c r="H1438" t="s">
        <v>2916</v>
      </c>
      <c r="I1438" t="s">
        <v>20018</v>
      </c>
      <c r="J1438">
        <v>5</v>
      </c>
      <c r="K1438">
        <v>8950.31</v>
      </c>
      <c r="L1438" t="s">
        <v>2917</v>
      </c>
      <c r="M1438">
        <v>48997.19</v>
      </c>
      <c r="N1438" t="s">
        <v>2918</v>
      </c>
      <c r="O1438" t="s">
        <v>20019</v>
      </c>
      <c r="P1438" t="s">
        <v>7540</v>
      </c>
      <c r="Q1438" t="s">
        <v>2924</v>
      </c>
      <c r="R1438" t="s">
        <v>3219</v>
      </c>
      <c r="S1438" t="s">
        <v>7541</v>
      </c>
      <c r="T1438" t="s">
        <v>7542</v>
      </c>
    </row>
    <row r="1439" spans="1:20">
      <c r="A1439" t="s">
        <v>2384</v>
      </c>
      <c r="B1439" t="s">
        <v>19439</v>
      </c>
      <c r="C1439">
        <v>45838</v>
      </c>
      <c r="D1439" t="s">
        <v>7263</v>
      </c>
      <c r="E1439" t="s">
        <v>19440</v>
      </c>
      <c r="F1439">
        <v>45842</v>
      </c>
      <c r="G1439" t="s">
        <v>10707</v>
      </c>
      <c r="H1439" t="s">
        <v>2916</v>
      </c>
      <c r="I1439" t="s">
        <v>20020</v>
      </c>
      <c r="J1439">
        <v>0</v>
      </c>
      <c r="K1439">
        <v>-1056.73</v>
      </c>
      <c r="L1439" t="s">
        <v>2917</v>
      </c>
      <c r="M1439">
        <v>-5784.93</v>
      </c>
      <c r="N1439" t="s">
        <v>2918</v>
      </c>
      <c r="O1439" t="s">
        <v>20021</v>
      </c>
      <c r="P1439" t="s">
        <v>7540</v>
      </c>
      <c r="Q1439" t="s">
        <v>2924</v>
      </c>
      <c r="R1439" t="s">
        <v>3219</v>
      </c>
      <c r="S1439" t="s">
        <v>7541</v>
      </c>
      <c r="T1439" t="s">
        <v>7542</v>
      </c>
    </row>
    <row r="1440" spans="1:20">
      <c r="A1440" t="s">
        <v>2386</v>
      </c>
      <c r="B1440" t="s">
        <v>2920</v>
      </c>
      <c r="C1440">
        <v>45448</v>
      </c>
      <c r="D1440" t="s">
        <v>7263</v>
      </c>
      <c r="E1440" t="s">
        <v>2921</v>
      </c>
      <c r="F1440">
        <v>45672</v>
      </c>
      <c r="G1440" t="s">
        <v>7351</v>
      </c>
      <c r="H1440" t="s">
        <v>2916</v>
      </c>
      <c r="I1440" t="s">
        <v>7352</v>
      </c>
      <c r="J1440">
        <v>142076.10999999999</v>
      </c>
      <c r="K1440">
        <v>23006.38</v>
      </c>
      <c r="L1440" t="s">
        <v>2917</v>
      </c>
      <c r="M1440">
        <v>142076.10999999999</v>
      </c>
      <c r="N1440" t="s">
        <v>2918</v>
      </c>
      <c r="O1440" t="s">
        <v>2923</v>
      </c>
      <c r="P1440" t="s">
        <v>2923</v>
      </c>
      <c r="Q1440" t="s">
        <v>2924</v>
      </c>
      <c r="R1440" t="s">
        <v>3219</v>
      </c>
      <c r="S1440" t="s">
        <v>2208</v>
      </c>
      <c r="T1440" t="s">
        <v>2208</v>
      </c>
    </row>
    <row r="1441" spans="1:20">
      <c r="A1441" t="s">
        <v>2386</v>
      </c>
      <c r="B1441" t="s">
        <v>2920</v>
      </c>
      <c r="C1441">
        <v>45672</v>
      </c>
      <c r="D1441" t="s">
        <v>7263</v>
      </c>
      <c r="E1441" t="s">
        <v>2921</v>
      </c>
      <c r="F1441">
        <v>45685</v>
      </c>
      <c r="G1441" t="s">
        <v>7351</v>
      </c>
      <c r="H1441" t="s">
        <v>2916</v>
      </c>
      <c r="I1441" t="s">
        <v>7723</v>
      </c>
      <c r="J1441">
        <v>0</v>
      </c>
      <c r="K1441">
        <v>-2128.09</v>
      </c>
      <c r="L1441" t="s">
        <v>2917</v>
      </c>
      <c r="M1441">
        <v>-13142.04</v>
      </c>
      <c r="N1441" t="s">
        <v>2918</v>
      </c>
      <c r="O1441" t="s">
        <v>7724</v>
      </c>
      <c r="P1441" t="s">
        <v>2923</v>
      </c>
      <c r="Q1441" t="s">
        <v>2924</v>
      </c>
      <c r="R1441" t="s">
        <v>3219</v>
      </c>
      <c r="S1441" t="s">
        <v>2208</v>
      </c>
      <c r="T1441" t="s">
        <v>2208</v>
      </c>
    </row>
    <row r="1442" spans="1:20">
      <c r="A1442" t="s">
        <v>2386</v>
      </c>
      <c r="B1442" t="s">
        <v>2920</v>
      </c>
      <c r="C1442">
        <v>45688</v>
      </c>
      <c r="D1442" t="s">
        <v>7263</v>
      </c>
      <c r="E1442" t="s">
        <v>2921</v>
      </c>
      <c r="F1442">
        <v>45688</v>
      </c>
      <c r="G1442" t="s">
        <v>2208</v>
      </c>
      <c r="H1442" t="s">
        <v>2916</v>
      </c>
      <c r="I1442" t="s">
        <v>7725</v>
      </c>
      <c r="J1442">
        <v>0</v>
      </c>
      <c r="K1442">
        <v>-0.01</v>
      </c>
      <c r="L1442" t="s">
        <v>2917</v>
      </c>
      <c r="M1442">
        <v>0</v>
      </c>
      <c r="N1442" t="s">
        <v>2918</v>
      </c>
      <c r="O1442" t="s">
        <v>2919</v>
      </c>
      <c r="P1442" t="s">
        <v>2208</v>
      </c>
      <c r="Q1442" t="s">
        <v>2916</v>
      </c>
      <c r="R1442" t="s">
        <v>3220</v>
      </c>
      <c r="S1442" t="s">
        <v>2208</v>
      </c>
      <c r="T1442" t="s">
        <v>2208</v>
      </c>
    </row>
    <row r="1443" spans="1:20">
      <c r="A1443" t="s">
        <v>2386</v>
      </c>
      <c r="B1443" t="s">
        <v>16360</v>
      </c>
      <c r="C1443">
        <v>45376</v>
      </c>
      <c r="D1443" t="s">
        <v>7263</v>
      </c>
      <c r="E1443" t="s">
        <v>16361</v>
      </c>
      <c r="F1443">
        <v>45799</v>
      </c>
      <c r="G1443" t="s">
        <v>17403</v>
      </c>
      <c r="H1443" t="s">
        <v>2916</v>
      </c>
      <c r="I1443" t="s">
        <v>17404</v>
      </c>
      <c r="J1443">
        <v>104909</v>
      </c>
      <c r="K1443">
        <v>18621.349999999999</v>
      </c>
      <c r="L1443" t="s">
        <v>2917</v>
      </c>
      <c r="M1443">
        <v>104909</v>
      </c>
      <c r="N1443" t="s">
        <v>2918</v>
      </c>
      <c r="O1443" t="s">
        <v>17405</v>
      </c>
      <c r="P1443" t="s">
        <v>17405</v>
      </c>
      <c r="Q1443" t="s">
        <v>2924</v>
      </c>
      <c r="R1443" t="s">
        <v>3219</v>
      </c>
      <c r="S1443" t="s">
        <v>2208</v>
      </c>
      <c r="T1443" t="s">
        <v>2208</v>
      </c>
    </row>
    <row r="1444" spans="1:20">
      <c r="A1444" t="s">
        <v>2386</v>
      </c>
      <c r="B1444" t="s">
        <v>16360</v>
      </c>
      <c r="C1444">
        <v>45799</v>
      </c>
      <c r="D1444" t="s">
        <v>7263</v>
      </c>
      <c r="E1444" t="s">
        <v>16361</v>
      </c>
      <c r="F1444">
        <v>45804</v>
      </c>
      <c r="G1444" t="s">
        <v>17403</v>
      </c>
      <c r="H1444" t="s">
        <v>2916</v>
      </c>
      <c r="I1444" t="s">
        <v>17760</v>
      </c>
      <c r="J1444">
        <v>0</v>
      </c>
      <c r="K1444">
        <v>-1722.48</v>
      </c>
      <c r="L1444" t="s">
        <v>2917</v>
      </c>
      <c r="M1444">
        <v>-9704.08</v>
      </c>
      <c r="N1444" t="s">
        <v>2918</v>
      </c>
      <c r="O1444" t="s">
        <v>17761</v>
      </c>
      <c r="P1444" t="s">
        <v>17405</v>
      </c>
      <c r="Q1444" t="s">
        <v>2924</v>
      </c>
      <c r="R1444" t="s">
        <v>3219</v>
      </c>
      <c r="S1444" t="s">
        <v>2208</v>
      </c>
      <c r="T1444" t="s">
        <v>2208</v>
      </c>
    </row>
    <row r="1445" spans="1:20">
      <c r="A1445" t="s">
        <v>2386</v>
      </c>
      <c r="B1445" t="s">
        <v>16360</v>
      </c>
      <c r="C1445">
        <v>45808</v>
      </c>
      <c r="D1445" t="s">
        <v>7263</v>
      </c>
      <c r="E1445" t="s">
        <v>16361</v>
      </c>
      <c r="F1445">
        <v>45808</v>
      </c>
      <c r="G1445" t="s">
        <v>2208</v>
      </c>
      <c r="H1445" t="s">
        <v>2916</v>
      </c>
      <c r="I1445" t="s">
        <v>17876</v>
      </c>
      <c r="J1445">
        <v>0</v>
      </c>
      <c r="K1445">
        <v>0.02</v>
      </c>
      <c r="L1445" t="s">
        <v>2917</v>
      </c>
      <c r="M1445">
        <v>0</v>
      </c>
      <c r="N1445" t="s">
        <v>2918</v>
      </c>
      <c r="O1445" t="s">
        <v>2919</v>
      </c>
      <c r="P1445" t="s">
        <v>2208</v>
      </c>
      <c r="Q1445" t="s">
        <v>2916</v>
      </c>
      <c r="R1445" t="s">
        <v>3220</v>
      </c>
      <c r="S1445" t="s">
        <v>2208</v>
      </c>
      <c r="T1445" t="s">
        <v>2208</v>
      </c>
    </row>
    <row r="1446" spans="1:20">
      <c r="A1446" t="s">
        <v>2386</v>
      </c>
      <c r="B1446" t="s">
        <v>17897</v>
      </c>
      <c r="C1446">
        <v>45687</v>
      </c>
      <c r="D1446" t="s">
        <v>7263</v>
      </c>
      <c r="E1446" t="s">
        <v>17898</v>
      </c>
      <c r="F1446">
        <v>45831</v>
      </c>
      <c r="G1446" t="s">
        <v>17520</v>
      </c>
      <c r="H1446" t="s">
        <v>2916</v>
      </c>
      <c r="I1446" t="s">
        <v>18905</v>
      </c>
      <c r="J1446">
        <v>3750</v>
      </c>
      <c r="K1446">
        <v>660.75</v>
      </c>
      <c r="L1446" t="s">
        <v>2917</v>
      </c>
      <c r="M1446">
        <v>3750</v>
      </c>
      <c r="N1446" t="s">
        <v>2918</v>
      </c>
      <c r="O1446" t="s">
        <v>2939</v>
      </c>
      <c r="P1446" t="s">
        <v>2939</v>
      </c>
      <c r="Q1446" t="s">
        <v>2924</v>
      </c>
      <c r="R1446" t="s">
        <v>3219</v>
      </c>
      <c r="S1446" t="s">
        <v>2208</v>
      </c>
      <c r="T1446" t="s">
        <v>2208</v>
      </c>
    </row>
    <row r="1447" spans="1:20">
      <c r="A1447" t="s">
        <v>2386</v>
      </c>
      <c r="B1447" t="s">
        <v>2920</v>
      </c>
      <c r="C1447">
        <v>45665</v>
      </c>
      <c r="D1447" t="s">
        <v>7263</v>
      </c>
      <c r="E1447" t="s">
        <v>2921</v>
      </c>
      <c r="F1447">
        <v>45667</v>
      </c>
      <c r="G1447" t="s">
        <v>7353</v>
      </c>
      <c r="H1447" t="s">
        <v>2916</v>
      </c>
      <c r="I1447" t="s">
        <v>7354</v>
      </c>
      <c r="J1447">
        <v>46</v>
      </c>
      <c r="K1447">
        <v>1558.38</v>
      </c>
      <c r="L1447" t="s">
        <v>2917</v>
      </c>
      <c r="M1447">
        <v>9623.7900000000009</v>
      </c>
      <c r="N1447" t="s">
        <v>2918</v>
      </c>
      <c r="O1447" t="s">
        <v>7355</v>
      </c>
      <c r="P1447" t="s">
        <v>2950</v>
      </c>
      <c r="Q1447" t="s">
        <v>2924</v>
      </c>
      <c r="R1447" t="s">
        <v>3219</v>
      </c>
      <c r="S1447" t="s">
        <v>2951</v>
      </c>
      <c r="T1447" t="s">
        <v>3229</v>
      </c>
    </row>
    <row r="1448" spans="1:20">
      <c r="A1448" t="s">
        <v>2386</v>
      </c>
      <c r="B1448" t="s">
        <v>2920</v>
      </c>
      <c r="C1448">
        <v>45665</v>
      </c>
      <c r="D1448" t="s">
        <v>7263</v>
      </c>
      <c r="E1448" t="s">
        <v>2921</v>
      </c>
      <c r="F1448">
        <v>45667</v>
      </c>
      <c r="G1448" t="s">
        <v>7353</v>
      </c>
      <c r="H1448" t="s">
        <v>2916</v>
      </c>
      <c r="I1448" t="s">
        <v>7354</v>
      </c>
      <c r="J1448">
        <v>15</v>
      </c>
      <c r="K1448">
        <v>510.54</v>
      </c>
      <c r="L1448" t="s">
        <v>2917</v>
      </c>
      <c r="M1448">
        <v>3152.81</v>
      </c>
      <c r="N1448" t="s">
        <v>2918</v>
      </c>
      <c r="O1448" t="s">
        <v>7355</v>
      </c>
      <c r="P1448" t="s">
        <v>7356</v>
      </c>
      <c r="Q1448" t="s">
        <v>2924</v>
      </c>
      <c r="R1448" t="s">
        <v>3219</v>
      </c>
      <c r="S1448" t="s">
        <v>7357</v>
      </c>
      <c r="T1448" t="s">
        <v>7358</v>
      </c>
    </row>
    <row r="1449" spans="1:20">
      <c r="A1449" t="s">
        <v>2386</v>
      </c>
      <c r="B1449" t="s">
        <v>2920</v>
      </c>
      <c r="C1449">
        <v>45665</v>
      </c>
      <c r="D1449" t="s">
        <v>7263</v>
      </c>
      <c r="E1449" t="s">
        <v>2921</v>
      </c>
      <c r="F1449">
        <v>45667</v>
      </c>
      <c r="G1449" t="s">
        <v>7353</v>
      </c>
      <c r="H1449" t="s">
        <v>2916</v>
      </c>
      <c r="I1449" t="s">
        <v>7359</v>
      </c>
      <c r="J1449">
        <v>0</v>
      </c>
      <c r="K1449">
        <v>-183.96</v>
      </c>
      <c r="L1449" t="s">
        <v>2917</v>
      </c>
      <c r="M1449">
        <v>-1136.06</v>
      </c>
      <c r="N1449" t="s">
        <v>2918</v>
      </c>
      <c r="O1449" t="s">
        <v>7360</v>
      </c>
      <c r="P1449" t="s">
        <v>2950</v>
      </c>
      <c r="Q1449" t="s">
        <v>2924</v>
      </c>
      <c r="R1449" t="s">
        <v>3219</v>
      </c>
      <c r="S1449" t="s">
        <v>2951</v>
      </c>
      <c r="T1449" t="s">
        <v>3229</v>
      </c>
    </row>
    <row r="1450" spans="1:20">
      <c r="A1450" t="s">
        <v>2386</v>
      </c>
      <c r="B1450" t="s">
        <v>2920</v>
      </c>
      <c r="C1450">
        <v>45665</v>
      </c>
      <c r="D1450" t="s">
        <v>7263</v>
      </c>
      <c r="E1450" t="s">
        <v>2921</v>
      </c>
      <c r="F1450">
        <v>45667</v>
      </c>
      <c r="G1450" t="s">
        <v>7353</v>
      </c>
      <c r="H1450" t="s">
        <v>2916</v>
      </c>
      <c r="I1450" t="s">
        <v>7359</v>
      </c>
      <c r="J1450">
        <v>0</v>
      </c>
      <c r="K1450">
        <v>-60.29</v>
      </c>
      <c r="L1450" t="s">
        <v>2917</v>
      </c>
      <c r="M1450">
        <v>-372.28</v>
      </c>
      <c r="N1450" t="s">
        <v>2918</v>
      </c>
      <c r="O1450" t="s">
        <v>7360</v>
      </c>
      <c r="P1450" t="s">
        <v>7356</v>
      </c>
      <c r="Q1450" t="s">
        <v>2924</v>
      </c>
      <c r="R1450" t="s">
        <v>3219</v>
      </c>
      <c r="S1450" t="s">
        <v>7357</v>
      </c>
      <c r="T1450" t="s">
        <v>7358</v>
      </c>
    </row>
    <row r="1451" spans="1:20">
      <c r="A1451" t="s">
        <v>2386</v>
      </c>
      <c r="B1451" t="s">
        <v>2920</v>
      </c>
      <c r="C1451">
        <v>45687</v>
      </c>
      <c r="D1451" t="s">
        <v>7263</v>
      </c>
      <c r="E1451" t="s">
        <v>2921</v>
      </c>
      <c r="F1451">
        <v>45687</v>
      </c>
      <c r="G1451" t="s">
        <v>2208</v>
      </c>
      <c r="H1451" t="s">
        <v>2916</v>
      </c>
      <c r="I1451" t="s">
        <v>7499</v>
      </c>
      <c r="J1451">
        <v>0</v>
      </c>
      <c r="K1451">
        <v>-172.41</v>
      </c>
      <c r="L1451" t="s">
        <v>2917</v>
      </c>
      <c r="M1451">
        <v>-1064.73</v>
      </c>
      <c r="N1451" t="s">
        <v>2918</v>
      </c>
      <c r="O1451" t="s">
        <v>7500</v>
      </c>
      <c r="P1451" t="s">
        <v>2208</v>
      </c>
      <c r="Q1451" t="s">
        <v>2933</v>
      </c>
      <c r="R1451" t="s">
        <v>3314</v>
      </c>
      <c r="S1451" t="s">
        <v>2208</v>
      </c>
      <c r="T1451" t="s">
        <v>2208</v>
      </c>
    </row>
    <row r="1452" spans="1:20">
      <c r="A1452" t="s">
        <v>2386</v>
      </c>
      <c r="B1452" t="s">
        <v>2920</v>
      </c>
      <c r="C1452">
        <v>45688</v>
      </c>
      <c r="D1452" t="s">
        <v>7263</v>
      </c>
      <c r="E1452" t="s">
        <v>2921</v>
      </c>
      <c r="F1452">
        <v>45688</v>
      </c>
      <c r="G1452" t="s">
        <v>2208</v>
      </c>
      <c r="H1452" t="s">
        <v>2916</v>
      </c>
      <c r="I1452" t="s">
        <v>7726</v>
      </c>
      <c r="J1452">
        <v>0</v>
      </c>
      <c r="K1452">
        <v>7.0000000000000007E-2</v>
      </c>
      <c r="L1452" t="s">
        <v>2917</v>
      </c>
      <c r="M1452">
        <v>0</v>
      </c>
      <c r="N1452" t="s">
        <v>2918</v>
      </c>
      <c r="O1452" t="s">
        <v>2919</v>
      </c>
      <c r="P1452" t="s">
        <v>2208</v>
      </c>
      <c r="Q1452" t="s">
        <v>2916</v>
      </c>
      <c r="R1452" t="s">
        <v>3220</v>
      </c>
      <c r="S1452" t="s">
        <v>2208</v>
      </c>
      <c r="T1452" t="s">
        <v>2208</v>
      </c>
    </row>
    <row r="1453" spans="1:20">
      <c r="A1453" t="s">
        <v>2386</v>
      </c>
      <c r="B1453" t="s">
        <v>7740</v>
      </c>
      <c r="C1453">
        <v>45700</v>
      </c>
      <c r="D1453" t="s">
        <v>7263</v>
      </c>
      <c r="E1453" t="s">
        <v>2925</v>
      </c>
      <c r="F1453">
        <v>45702</v>
      </c>
      <c r="G1453" t="s">
        <v>7353</v>
      </c>
      <c r="H1453" t="s">
        <v>2916</v>
      </c>
      <c r="I1453" t="s">
        <v>8677</v>
      </c>
      <c r="J1453">
        <v>14</v>
      </c>
      <c r="K1453">
        <v>503.64</v>
      </c>
      <c r="L1453" t="s">
        <v>2917</v>
      </c>
      <c r="M1453">
        <v>2928.98</v>
      </c>
      <c r="N1453" t="s">
        <v>2918</v>
      </c>
      <c r="O1453" t="s">
        <v>8678</v>
      </c>
      <c r="P1453" t="s">
        <v>2950</v>
      </c>
      <c r="Q1453" t="s">
        <v>2924</v>
      </c>
      <c r="R1453" t="s">
        <v>3219</v>
      </c>
      <c r="S1453" t="s">
        <v>2951</v>
      </c>
      <c r="T1453" t="s">
        <v>3229</v>
      </c>
    </row>
    <row r="1454" spans="1:20">
      <c r="A1454" t="s">
        <v>2386</v>
      </c>
      <c r="B1454" t="s">
        <v>7740</v>
      </c>
      <c r="C1454">
        <v>45700</v>
      </c>
      <c r="D1454" t="s">
        <v>7263</v>
      </c>
      <c r="E1454" t="s">
        <v>2925</v>
      </c>
      <c r="F1454">
        <v>45702</v>
      </c>
      <c r="G1454" t="s">
        <v>7353</v>
      </c>
      <c r="H1454" t="s">
        <v>2916</v>
      </c>
      <c r="I1454" t="s">
        <v>8677</v>
      </c>
      <c r="J1454">
        <v>45</v>
      </c>
      <c r="K1454">
        <v>1626.38</v>
      </c>
      <c r="L1454" t="s">
        <v>2917</v>
      </c>
      <c r="M1454">
        <v>9458.43</v>
      </c>
      <c r="N1454" t="s">
        <v>2918</v>
      </c>
      <c r="O1454" t="s">
        <v>8678</v>
      </c>
      <c r="P1454" t="s">
        <v>7356</v>
      </c>
      <c r="Q1454" t="s">
        <v>2924</v>
      </c>
      <c r="R1454" t="s">
        <v>3219</v>
      </c>
      <c r="S1454" t="s">
        <v>7357</v>
      </c>
      <c r="T1454" t="s">
        <v>7358</v>
      </c>
    </row>
    <row r="1455" spans="1:20">
      <c r="A1455" t="s">
        <v>2386</v>
      </c>
      <c r="B1455" t="s">
        <v>7740</v>
      </c>
      <c r="C1455">
        <v>45700</v>
      </c>
      <c r="D1455" t="s">
        <v>7263</v>
      </c>
      <c r="E1455" t="s">
        <v>2925</v>
      </c>
      <c r="F1455">
        <v>45702</v>
      </c>
      <c r="G1455" t="s">
        <v>7353</v>
      </c>
      <c r="H1455" t="s">
        <v>2916</v>
      </c>
      <c r="I1455" t="s">
        <v>8679</v>
      </c>
      <c r="J1455">
        <v>0</v>
      </c>
      <c r="K1455">
        <v>-59.45</v>
      </c>
      <c r="L1455" t="s">
        <v>2917</v>
      </c>
      <c r="M1455">
        <v>-345.75</v>
      </c>
      <c r="N1455" t="s">
        <v>2918</v>
      </c>
      <c r="O1455" t="s">
        <v>8680</v>
      </c>
      <c r="P1455" t="s">
        <v>2950</v>
      </c>
      <c r="Q1455" t="s">
        <v>2924</v>
      </c>
      <c r="R1455" t="s">
        <v>3219</v>
      </c>
      <c r="S1455" t="s">
        <v>2951</v>
      </c>
      <c r="T1455" t="s">
        <v>3229</v>
      </c>
    </row>
    <row r="1456" spans="1:20">
      <c r="A1456" t="s">
        <v>2386</v>
      </c>
      <c r="B1456" t="s">
        <v>7740</v>
      </c>
      <c r="C1456">
        <v>45700</v>
      </c>
      <c r="D1456" t="s">
        <v>7263</v>
      </c>
      <c r="E1456" t="s">
        <v>2925</v>
      </c>
      <c r="F1456">
        <v>45702</v>
      </c>
      <c r="G1456" t="s">
        <v>7353</v>
      </c>
      <c r="H1456" t="s">
        <v>2916</v>
      </c>
      <c r="I1456" t="s">
        <v>8679</v>
      </c>
      <c r="J1456">
        <v>0</v>
      </c>
      <c r="K1456">
        <v>-192.04</v>
      </c>
      <c r="L1456" t="s">
        <v>2917</v>
      </c>
      <c r="M1456">
        <v>-1116.82</v>
      </c>
      <c r="N1456" t="s">
        <v>2918</v>
      </c>
      <c r="O1456" t="s">
        <v>8680</v>
      </c>
      <c r="P1456" t="s">
        <v>7356</v>
      </c>
      <c r="Q1456" t="s">
        <v>2924</v>
      </c>
      <c r="R1456" t="s">
        <v>3219</v>
      </c>
      <c r="S1456" t="s">
        <v>7357</v>
      </c>
      <c r="T1456" t="s">
        <v>7358</v>
      </c>
    </row>
    <row r="1457" spans="1:20">
      <c r="A1457" t="s">
        <v>2386</v>
      </c>
      <c r="B1457" t="s">
        <v>7740</v>
      </c>
      <c r="C1457">
        <v>45714</v>
      </c>
      <c r="D1457" t="s">
        <v>7263</v>
      </c>
      <c r="E1457" t="s">
        <v>2925</v>
      </c>
      <c r="F1457">
        <v>45714</v>
      </c>
      <c r="G1457" t="s">
        <v>2208</v>
      </c>
      <c r="H1457" t="s">
        <v>2916</v>
      </c>
      <c r="I1457" t="s">
        <v>9034</v>
      </c>
      <c r="J1457">
        <v>0</v>
      </c>
      <c r="K1457">
        <v>-177.5</v>
      </c>
      <c r="L1457" t="s">
        <v>2917</v>
      </c>
      <c r="M1457">
        <v>-1032.28</v>
      </c>
      <c r="N1457" t="s">
        <v>2918</v>
      </c>
      <c r="O1457" t="s">
        <v>9035</v>
      </c>
      <c r="P1457" t="s">
        <v>2208</v>
      </c>
      <c r="Q1457" t="s">
        <v>2933</v>
      </c>
      <c r="R1457" t="s">
        <v>3314</v>
      </c>
      <c r="S1457" t="s">
        <v>2208</v>
      </c>
      <c r="T1457" t="s">
        <v>2208</v>
      </c>
    </row>
    <row r="1458" spans="1:20">
      <c r="A1458" t="s">
        <v>2386</v>
      </c>
      <c r="B1458" t="s">
        <v>7740</v>
      </c>
      <c r="C1458">
        <v>45716</v>
      </c>
      <c r="D1458" t="s">
        <v>7263</v>
      </c>
      <c r="E1458" t="s">
        <v>2925</v>
      </c>
      <c r="F1458">
        <v>45716</v>
      </c>
      <c r="G1458" t="s">
        <v>2208</v>
      </c>
      <c r="H1458" t="s">
        <v>2916</v>
      </c>
      <c r="I1458" t="s">
        <v>9163</v>
      </c>
      <c r="J1458">
        <v>0</v>
      </c>
      <c r="K1458">
        <v>7.0000000000000007E-2</v>
      </c>
      <c r="L1458" t="s">
        <v>2917</v>
      </c>
      <c r="M1458">
        <v>0</v>
      </c>
      <c r="N1458" t="s">
        <v>2918</v>
      </c>
      <c r="O1458" t="s">
        <v>2919</v>
      </c>
      <c r="P1458" t="s">
        <v>2208</v>
      </c>
      <c r="Q1458" t="s">
        <v>2916</v>
      </c>
      <c r="R1458" t="s">
        <v>3220</v>
      </c>
      <c r="S1458" t="s">
        <v>2208</v>
      </c>
      <c r="T1458" t="s">
        <v>2208</v>
      </c>
    </row>
    <row r="1459" spans="1:20">
      <c r="A1459" t="s">
        <v>2386</v>
      </c>
      <c r="B1459" t="s">
        <v>11331</v>
      </c>
      <c r="C1459">
        <v>45728</v>
      </c>
      <c r="D1459" t="s">
        <v>7263</v>
      </c>
      <c r="E1459" t="s">
        <v>11332</v>
      </c>
      <c r="F1459">
        <v>45748</v>
      </c>
      <c r="G1459" t="s">
        <v>11401</v>
      </c>
      <c r="H1459" t="s">
        <v>2916</v>
      </c>
      <c r="I1459" t="s">
        <v>11402</v>
      </c>
      <c r="J1459">
        <v>1</v>
      </c>
      <c r="K1459">
        <v>6572.26</v>
      </c>
      <c r="L1459" t="s">
        <v>2917</v>
      </c>
      <c r="M1459">
        <v>37847.74</v>
      </c>
      <c r="N1459" t="s">
        <v>2918</v>
      </c>
      <c r="O1459" t="s">
        <v>11403</v>
      </c>
      <c r="P1459" t="s">
        <v>11404</v>
      </c>
      <c r="Q1459" t="s">
        <v>2924</v>
      </c>
      <c r="R1459" t="s">
        <v>3219</v>
      </c>
      <c r="S1459" t="s">
        <v>11405</v>
      </c>
      <c r="T1459" t="s">
        <v>11406</v>
      </c>
    </row>
    <row r="1460" spans="1:20">
      <c r="A1460" t="s">
        <v>2386</v>
      </c>
      <c r="B1460" t="s">
        <v>11331</v>
      </c>
      <c r="C1460">
        <v>45728</v>
      </c>
      <c r="D1460" t="s">
        <v>7263</v>
      </c>
      <c r="E1460" t="s">
        <v>11332</v>
      </c>
      <c r="F1460">
        <v>45748</v>
      </c>
      <c r="G1460" t="s">
        <v>11401</v>
      </c>
      <c r="H1460" t="s">
        <v>2916</v>
      </c>
      <c r="I1460" t="s">
        <v>11402</v>
      </c>
      <c r="J1460">
        <v>1</v>
      </c>
      <c r="K1460">
        <v>534.03</v>
      </c>
      <c r="L1460" t="s">
        <v>2917</v>
      </c>
      <c r="M1460">
        <v>3075.34</v>
      </c>
      <c r="N1460" t="s">
        <v>2918</v>
      </c>
      <c r="O1460" t="s">
        <v>11403</v>
      </c>
      <c r="P1460" t="s">
        <v>11407</v>
      </c>
      <c r="Q1460" t="s">
        <v>2924</v>
      </c>
      <c r="R1460" t="s">
        <v>3219</v>
      </c>
      <c r="S1460" t="s">
        <v>11408</v>
      </c>
      <c r="T1460" t="s">
        <v>11409</v>
      </c>
    </row>
    <row r="1461" spans="1:20">
      <c r="A1461" t="s">
        <v>2386</v>
      </c>
      <c r="B1461" t="s">
        <v>11331</v>
      </c>
      <c r="C1461">
        <v>45728</v>
      </c>
      <c r="D1461" t="s">
        <v>7263</v>
      </c>
      <c r="E1461" t="s">
        <v>11332</v>
      </c>
      <c r="F1461">
        <v>45748</v>
      </c>
      <c r="G1461" t="s">
        <v>11401</v>
      </c>
      <c r="H1461" t="s">
        <v>2916</v>
      </c>
      <c r="I1461" t="s">
        <v>11402</v>
      </c>
      <c r="J1461">
        <v>1</v>
      </c>
      <c r="K1461">
        <v>1928.03</v>
      </c>
      <c r="L1461" t="s">
        <v>2917</v>
      </c>
      <c r="M1461">
        <v>11102.97</v>
      </c>
      <c r="N1461" t="s">
        <v>2918</v>
      </c>
      <c r="O1461" t="s">
        <v>11403</v>
      </c>
      <c r="P1461" t="s">
        <v>11410</v>
      </c>
      <c r="Q1461" t="s">
        <v>2924</v>
      </c>
      <c r="R1461" t="s">
        <v>3219</v>
      </c>
      <c r="S1461" t="s">
        <v>11411</v>
      </c>
      <c r="T1461" t="s">
        <v>11412</v>
      </c>
    </row>
    <row r="1462" spans="1:20">
      <c r="A1462" t="s">
        <v>2386</v>
      </c>
      <c r="B1462" t="s">
        <v>11331</v>
      </c>
      <c r="C1462">
        <v>45728</v>
      </c>
      <c r="D1462" t="s">
        <v>7263</v>
      </c>
      <c r="E1462" t="s">
        <v>11332</v>
      </c>
      <c r="F1462">
        <v>45748</v>
      </c>
      <c r="G1462" t="s">
        <v>11401</v>
      </c>
      <c r="H1462" t="s">
        <v>2916</v>
      </c>
      <c r="I1462" t="s">
        <v>11402</v>
      </c>
      <c r="J1462">
        <v>1</v>
      </c>
      <c r="K1462">
        <v>677.64</v>
      </c>
      <c r="L1462" t="s">
        <v>2917</v>
      </c>
      <c r="M1462">
        <v>3902.34</v>
      </c>
      <c r="N1462" t="s">
        <v>2918</v>
      </c>
      <c r="O1462" t="s">
        <v>11403</v>
      </c>
      <c r="P1462" t="s">
        <v>11413</v>
      </c>
      <c r="Q1462" t="s">
        <v>2924</v>
      </c>
      <c r="R1462" t="s">
        <v>3219</v>
      </c>
      <c r="S1462" t="s">
        <v>11414</v>
      </c>
      <c r="T1462" t="s">
        <v>11415</v>
      </c>
    </row>
    <row r="1463" spans="1:20">
      <c r="A1463" t="s">
        <v>2386</v>
      </c>
      <c r="B1463" t="s">
        <v>11331</v>
      </c>
      <c r="C1463">
        <v>45728</v>
      </c>
      <c r="D1463" t="s">
        <v>7263</v>
      </c>
      <c r="E1463" t="s">
        <v>11332</v>
      </c>
      <c r="F1463">
        <v>45748</v>
      </c>
      <c r="G1463" t="s">
        <v>11401</v>
      </c>
      <c r="H1463" t="s">
        <v>2916</v>
      </c>
      <c r="I1463" t="s">
        <v>11416</v>
      </c>
      <c r="J1463">
        <v>0</v>
      </c>
      <c r="K1463">
        <v>-723.06</v>
      </c>
      <c r="L1463" t="s">
        <v>2917</v>
      </c>
      <c r="M1463">
        <v>-4163.88</v>
      </c>
      <c r="N1463" t="s">
        <v>2918</v>
      </c>
      <c r="O1463" t="s">
        <v>11417</v>
      </c>
      <c r="P1463" t="s">
        <v>11404</v>
      </c>
      <c r="Q1463" t="s">
        <v>2924</v>
      </c>
      <c r="R1463" t="s">
        <v>3219</v>
      </c>
      <c r="S1463" t="s">
        <v>11405</v>
      </c>
      <c r="T1463" t="s">
        <v>11406</v>
      </c>
    </row>
    <row r="1464" spans="1:20">
      <c r="A1464" t="s">
        <v>2386</v>
      </c>
      <c r="B1464" t="s">
        <v>11331</v>
      </c>
      <c r="C1464">
        <v>45728</v>
      </c>
      <c r="D1464" t="s">
        <v>7263</v>
      </c>
      <c r="E1464" t="s">
        <v>11332</v>
      </c>
      <c r="F1464">
        <v>45748</v>
      </c>
      <c r="G1464" t="s">
        <v>11401</v>
      </c>
      <c r="H1464" t="s">
        <v>2916</v>
      </c>
      <c r="I1464" t="s">
        <v>11416</v>
      </c>
      <c r="J1464">
        <v>0</v>
      </c>
      <c r="K1464">
        <v>-76.64</v>
      </c>
      <c r="L1464" t="s">
        <v>2917</v>
      </c>
      <c r="M1464">
        <v>-441.39</v>
      </c>
      <c r="N1464" t="s">
        <v>2918</v>
      </c>
      <c r="O1464" t="s">
        <v>11417</v>
      </c>
      <c r="P1464" t="s">
        <v>11407</v>
      </c>
      <c r="Q1464" t="s">
        <v>2924</v>
      </c>
      <c r="R1464" t="s">
        <v>3219</v>
      </c>
      <c r="S1464" t="s">
        <v>11408</v>
      </c>
      <c r="T1464" t="s">
        <v>11409</v>
      </c>
    </row>
    <row r="1465" spans="1:20">
      <c r="A1465" t="s">
        <v>2386</v>
      </c>
      <c r="B1465" t="s">
        <v>11331</v>
      </c>
      <c r="C1465">
        <v>45728</v>
      </c>
      <c r="D1465" t="s">
        <v>7263</v>
      </c>
      <c r="E1465" t="s">
        <v>11332</v>
      </c>
      <c r="F1465">
        <v>45748</v>
      </c>
      <c r="G1465" t="s">
        <v>11401</v>
      </c>
      <c r="H1465" t="s">
        <v>2916</v>
      </c>
      <c r="I1465" t="s">
        <v>11416</v>
      </c>
      <c r="J1465">
        <v>0</v>
      </c>
      <c r="K1465">
        <v>-212.11</v>
      </c>
      <c r="L1465" t="s">
        <v>2917</v>
      </c>
      <c r="M1465">
        <v>-1221.51</v>
      </c>
      <c r="N1465" t="s">
        <v>2918</v>
      </c>
      <c r="O1465" t="s">
        <v>11417</v>
      </c>
      <c r="P1465" t="s">
        <v>11410</v>
      </c>
      <c r="Q1465" t="s">
        <v>2924</v>
      </c>
      <c r="R1465" t="s">
        <v>3219</v>
      </c>
      <c r="S1465" t="s">
        <v>11411</v>
      </c>
      <c r="T1465" t="s">
        <v>11412</v>
      </c>
    </row>
    <row r="1466" spans="1:20">
      <c r="A1466" t="s">
        <v>2386</v>
      </c>
      <c r="B1466" t="s">
        <v>11331</v>
      </c>
      <c r="C1466">
        <v>45728</v>
      </c>
      <c r="D1466" t="s">
        <v>7263</v>
      </c>
      <c r="E1466" t="s">
        <v>11332</v>
      </c>
      <c r="F1466">
        <v>45748</v>
      </c>
      <c r="G1466" t="s">
        <v>11401</v>
      </c>
      <c r="H1466" t="s">
        <v>2916</v>
      </c>
      <c r="I1466" t="s">
        <v>11416</v>
      </c>
      <c r="J1466">
        <v>0</v>
      </c>
      <c r="K1466">
        <v>-74.55</v>
      </c>
      <c r="L1466" t="s">
        <v>2917</v>
      </c>
      <c r="M1466">
        <v>-429.32</v>
      </c>
      <c r="N1466" t="s">
        <v>2918</v>
      </c>
      <c r="O1466" t="s">
        <v>11417</v>
      </c>
      <c r="P1466" t="s">
        <v>11413</v>
      </c>
      <c r="Q1466" t="s">
        <v>2924</v>
      </c>
      <c r="R1466" t="s">
        <v>3219</v>
      </c>
      <c r="S1466" t="s">
        <v>11414</v>
      </c>
      <c r="T1466" t="s">
        <v>11415</v>
      </c>
    </row>
    <row r="1467" spans="1:20">
      <c r="A1467" t="s">
        <v>2386</v>
      </c>
      <c r="B1467" t="s">
        <v>11331</v>
      </c>
      <c r="C1467">
        <v>45754</v>
      </c>
      <c r="D1467" t="s">
        <v>7263</v>
      </c>
      <c r="E1467" t="s">
        <v>11332</v>
      </c>
      <c r="F1467">
        <v>45754</v>
      </c>
      <c r="G1467" t="s">
        <v>12188</v>
      </c>
      <c r="H1467" t="s">
        <v>2916</v>
      </c>
      <c r="I1467" t="s">
        <v>12189</v>
      </c>
      <c r="J1467">
        <v>1</v>
      </c>
      <c r="K1467">
        <v>56976.62</v>
      </c>
      <c r="L1467" t="s">
        <v>2917</v>
      </c>
      <c r="M1467">
        <v>328111.82</v>
      </c>
      <c r="N1467" t="s">
        <v>2918</v>
      </c>
      <c r="O1467" t="s">
        <v>12190</v>
      </c>
      <c r="P1467" t="s">
        <v>12174</v>
      </c>
      <c r="Q1467" t="s">
        <v>2924</v>
      </c>
      <c r="R1467" t="s">
        <v>3219</v>
      </c>
      <c r="S1467" t="s">
        <v>12175</v>
      </c>
      <c r="T1467" t="s">
        <v>12176</v>
      </c>
    </row>
    <row r="1468" spans="1:20">
      <c r="A1468" t="s">
        <v>2386</v>
      </c>
      <c r="B1468" t="s">
        <v>11331</v>
      </c>
      <c r="C1468">
        <v>45754</v>
      </c>
      <c r="D1468" t="s">
        <v>7263</v>
      </c>
      <c r="E1468" t="s">
        <v>11332</v>
      </c>
      <c r="F1468">
        <v>45754</v>
      </c>
      <c r="G1468" t="s">
        <v>12188</v>
      </c>
      <c r="H1468" t="s">
        <v>2916</v>
      </c>
      <c r="I1468" t="s">
        <v>12189</v>
      </c>
      <c r="J1468">
        <v>1</v>
      </c>
      <c r="K1468">
        <v>23870.37</v>
      </c>
      <c r="L1468" t="s">
        <v>2917</v>
      </c>
      <c r="M1468">
        <v>137462.54999999999</v>
      </c>
      <c r="N1468" t="s">
        <v>2918</v>
      </c>
      <c r="O1468" t="s">
        <v>12190</v>
      </c>
      <c r="P1468" t="s">
        <v>12177</v>
      </c>
      <c r="Q1468" t="s">
        <v>2924</v>
      </c>
      <c r="R1468" t="s">
        <v>3219</v>
      </c>
      <c r="S1468" t="s">
        <v>12178</v>
      </c>
      <c r="T1468" t="s">
        <v>12179</v>
      </c>
    </row>
    <row r="1469" spans="1:20">
      <c r="A1469" t="s">
        <v>2386</v>
      </c>
      <c r="B1469" t="s">
        <v>11331</v>
      </c>
      <c r="C1469">
        <v>45754</v>
      </c>
      <c r="D1469" t="s">
        <v>7263</v>
      </c>
      <c r="E1469" t="s">
        <v>11332</v>
      </c>
      <c r="F1469">
        <v>45754</v>
      </c>
      <c r="G1469" t="s">
        <v>12188</v>
      </c>
      <c r="H1469" t="s">
        <v>2916</v>
      </c>
      <c r="I1469" t="s">
        <v>12191</v>
      </c>
      <c r="J1469">
        <v>1</v>
      </c>
      <c r="K1469">
        <v>2132.66</v>
      </c>
      <c r="L1469" t="s">
        <v>2917</v>
      </c>
      <c r="M1469">
        <v>12281.35</v>
      </c>
      <c r="N1469" t="s">
        <v>2918</v>
      </c>
      <c r="O1469" t="s">
        <v>12192</v>
      </c>
      <c r="P1469" t="s">
        <v>12182</v>
      </c>
      <c r="Q1469" t="s">
        <v>2924</v>
      </c>
      <c r="R1469" t="s">
        <v>3219</v>
      </c>
      <c r="S1469" t="s">
        <v>12183</v>
      </c>
      <c r="T1469" t="s">
        <v>12184</v>
      </c>
    </row>
    <row r="1470" spans="1:20">
      <c r="A1470" t="s">
        <v>2386</v>
      </c>
      <c r="B1470" t="s">
        <v>11331</v>
      </c>
      <c r="C1470">
        <v>45754</v>
      </c>
      <c r="D1470" t="s">
        <v>7263</v>
      </c>
      <c r="E1470" t="s">
        <v>11332</v>
      </c>
      <c r="F1470">
        <v>45754</v>
      </c>
      <c r="G1470" t="s">
        <v>12188</v>
      </c>
      <c r="H1470" t="s">
        <v>2916</v>
      </c>
      <c r="I1470" t="s">
        <v>12191</v>
      </c>
      <c r="J1470">
        <v>1</v>
      </c>
      <c r="K1470">
        <v>1277.75</v>
      </c>
      <c r="L1470" t="s">
        <v>2917</v>
      </c>
      <c r="M1470">
        <v>7358.21</v>
      </c>
      <c r="N1470" t="s">
        <v>2918</v>
      </c>
      <c r="O1470" t="s">
        <v>12192</v>
      </c>
      <c r="P1470" t="s">
        <v>12185</v>
      </c>
      <c r="Q1470" t="s">
        <v>2924</v>
      </c>
      <c r="R1470" t="s">
        <v>3219</v>
      </c>
      <c r="S1470" t="s">
        <v>12186</v>
      </c>
      <c r="T1470" t="s">
        <v>12187</v>
      </c>
    </row>
    <row r="1471" spans="1:20">
      <c r="A1471" t="s">
        <v>2386</v>
      </c>
      <c r="B1471" t="s">
        <v>11331</v>
      </c>
      <c r="C1471">
        <v>45748</v>
      </c>
      <c r="D1471" t="s">
        <v>7263</v>
      </c>
      <c r="E1471" t="s">
        <v>11332</v>
      </c>
      <c r="F1471">
        <v>45756</v>
      </c>
      <c r="G1471" t="s">
        <v>12188</v>
      </c>
      <c r="H1471" t="s">
        <v>2916</v>
      </c>
      <c r="I1471" t="s">
        <v>12375</v>
      </c>
      <c r="J1471">
        <v>0</v>
      </c>
      <c r="K1471">
        <v>4.68</v>
      </c>
      <c r="L1471" t="s">
        <v>2917</v>
      </c>
      <c r="M1471">
        <v>26.99</v>
      </c>
      <c r="N1471" t="s">
        <v>2918</v>
      </c>
      <c r="O1471" t="s">
        <v>12376</v>
      </c>
      <c r="P1471" t="s">
        <v>12182</v>
      </c>
      <c r="Q1471" t="s">
        <v>12360</v>
      </c>
      <c r="R1471" t="s">
        <v>12361</v>
      </c>
      <c r="S1471" t="s">
        <v>12183</v>
      </c>
      <c r="T1471" t="s">
        <v>12184</v>
      </c>
    </row>
    <row r="1472" spans="1:20">
      <c r="A1472" t="s">
        <v>2386</v>
      </c>
      <c r="B1472" t="s">
        <v>11331</v>
      </c>
      <c r="C1472">
        <v>45748</v>
      </c>
      <c r="D1472" t="s">
        <v>7263</v>
      </c>
      <c r="E1472" t="s">
        <v>11332</v>
      </c>
      <c r="F1472">
        <v>45756</v>
      </c>
      <c r="G1472" t="s">
        <v>12188</v>
      </c>
      <c r="H1472" t="s">
        <v>2916</v>
      </c>
      <c r="I1472" t="s">
        <v>12375</v>
      </c>
      <c r="J1472">
        <v>0</v>
      </c>
      <c r="K1472">
        <v>2.81</v>
      </c>
      <c r="L1472" t="s">
        <v>2917</v>
      </c>
      <c r="M1472">
        <v>16.170000000000002</v>
      </c>
      <c r="N1472" t="s">
        <v>2918</v>
      </c>
      <c r="O1472" t="s">
        <v>12376</v>
      </c>
      <c r="P1472" t="s">
        <v>12185</v>
      </c>
      <c r="Q1472" t="s">
        <v>12360</v>
      </c>
      <c r="R1472" t="s">
        <v>12361</v>
      </c>
      <c r="S1472" t="s">
        <v>12186</v>
      </c>
      <c r="T1472" t="s">
        <v>12187</v>
      </c>
    </row>
    <row r="1473" spans="1:20">
      <c r="A1473" t="s">
        <v>2386</v>
      </c>
      <c r="B1473" t="s">
        <v>11331</v>
      </c>
      <c r="C1473">
        <v>45748</v>
      </c>
      <c r="D1473" t="s">
        <v>7263</v>
      </c>
      <c r="E1473" t="s">
        <v>11332</v>
      </c>
      <c r="F1473">
        <v>45756</v>
      </c>
      <c r="G1473" t="s">
        <v>12188</v>
      </c>
      <c r="H1473" t="s">
        <v>2916</v>
      </c>
      <c r="I1473" t="s">
        <v>12377</v>
      </c>
      <c r="J1473">
        <v>0</v>
      </c>
      <c r="K1473">
        <v>125.17</v>
      </c>
      <c r="L1473" t="s">
        <v>2917</v>
      </c>
      <c r="M1473">
        <v>720.85</v>
      </c>
      <c r="N1473" t="s">
        <v>2918</v>
      </c>
      <c r="O1473" t="s">
        <v>12378</v>
      </c>
      <c r="P1473" t="s">
        <v>12174</v>
      </c>
      <c r="Q1473" t="s">
        <v>12360</v>
      </c>
      <c r="R1473" t="s">
        <v>12361</v>
      </c>
      <c r="S1473" t="s">
        <v>12175</v>
      </c>
      <c r="T1473" t="s">
        <v>12176</v>
      </c>
    </row>
    <row r="1474" spans="1:20">
      <c r="A1474" t="s">
        <v>2386</v>
      </c>
      <c r="B1474" t="s">
        <v>11331</v>
      </c>
      <c r="C1474">
        <v>45748</v>
      </c>
      <c r="D1474" t="s">
        <v>7263</v>
      </c>
      <c r="E1474" t="s">
        <v>11332</v>
      </c>
      <c r="F1474">
        <v>45756</v>
      </c>
      <c r="G1474" t="s">
        <v>12188</v>
      </c>
      <c r="H1474" t="s">
        <v>2916</v>
      </c>
      <c r="I1474" t="s">
        <v>12377</v>
      </c>
      <c r="J1474">
        <v>0</v>
      </c>
      <c r="K1474">
        <v>52.45</v>
      </c>
      <c r="L1474" t="s">
        <v>2917</v>
      </c>
      <c r="M1474">
        <v>302.01</v>
      </c>
      <c r="N1474" t="s">
        <v>2918</v>
      </c>
      <c r="O1474" t="s">
        <v>12378</v>
      </c>
      <c r="P1474" t="s">
        <v>12177</v>
      </c>
      <c r="Q1474" t="s">
        <v>12360</v>
      </c>
      <c r="R1474" t="s">
        <v>12361</v>
      </c>
      <c r="S1474" t="s">
        <v>12178</v>
      </c>
      <c r="T1474" t="s">
        <v>12179</v>
      </c>
    </row>
    <row r="1475" spans="1:20">
      <c r="A1475" t="s">
        <v>2386</v>
      </c>
      <c r="B1475" t="s">
        <v>11331</v>
      </c>
      <c r="C1475">
        <v>45754</v>
      </c>
      <c r="D1475" t="s">
        <v>7263</v>
      </c>
      <c r="E1475" t="s">
        <v>11332</v>
      </c>
      <c r="F1475">
        <v>45761</v>
      </c>
      <c r="G1475" t="s">
        <v>12188</v>
      </c>
      <c r="H1475" t="s">
        <v>2916</v>
      </c>
      <c r="I1475" t="s">
        <v>12379</v>
      </c>
      <c r="J1475">
        <v>1</v>
      </c>
      <c r="K1475">
        <v>15924.01</v>
      </c>
      <c r="L1475" t="s">
        <v>2917</v>
      </c>
      <c r="M1475">
        <v>91701.74</v>
      </c>
      <c r="N1475" t="s">
        <v>2918</v>
      </c>
      <c r="O1475" t="s">
        <v>12380</v>
      </c>
      <c r="P1475" t="s">
        <v>12366</v>
      </c>
      <c r="Q1475" t="s">
        <v>2924</v>
      </c>
      <c r="R1475" t="s">
        <v>3219</v>
      </c>
      <c r="S1475" t="s">
        <v>12367</v>
      </c>
      <c r="T1475" t="s">
        <v>12368</v>
      </c>
    </row>
    <row r="1476" spans="1:20">
      <c r="A1476" t="s">
        <v>2386</v>
      </c>
      <c r="B1476" t="s">
        <v>11331</v>
      </c>
      <c r="C1476">
        <v>45754</v>
      </c>
      <c r="D1476" t="s">
        <v>7263</v>
      </c>
      <c r="E1476" t="s">
        <v>11332</v>
      </c>
      <c r="F1476">
        <v>45761</v>
      </c>
      <c r="G1476" t="s">
        <v>12188</v>
      </c>
      <c r="H1476" t="s">
        <v>2916</v>
      </c>
      <c r="I1476" t="s">
        <v>12381</v>
      </c>
      <c r="J1476">
        <v>0</v>
      </c>
      <c r="K1476">
        <v>1359.04</v>
      </c>
      <c r="L1476" t="s">
        <v>2917</v>
      </c>
      <c r="M1476">
        <v>7826.34</v>
      </c>
      <c r="N1476" t="s">
        <v>2918</v>
      </c>
      <c r="O1476" t="s">
        <v>12382</v>
      </c>
      <c r="P1476" t="s">
        <v>12366</v>
      </c>
      <c r="Q1476" t="s">
        <v>12360</v>
      </c>
      <c r="R1476" t="s">
        <v>12361</v>
      </c>
      <c r="S1476" t="s">
        <v>12367</v>
      </c>
      <c r="T1476" t="s">
        <v>12368</v>
      </c>
    </row>
    <row r="1477" spans="1:20">
      <c r="A1477" t="s">
        <v>2386</v>
      </c>
      <c r="B1477" t="s">
        <v>11331</v>
      </c>
      <c r="C1477">
        <v>45728</v>
      </c>
      <c r="D1477" t="s">
        <v>7263</v>
      </c>
      <c r="E1477" t="s">
        <v>11332</v>
      </c>
      <c r="F1477">
        <v>45748</v>
      </c>
      <c r="G1477" t="s">
        <v>11401</v>
      </c>
      <c r="H1477" t="s">
        <v>2916</v>
      </c>
      <c r="I1477" t="s">
        <v>15913</v>
      </c>
      <c r="J1477">
        <v>0</v>
      </c>
      <c r="K1477">
        <v>723.06</v>
      </c>
      <c r="L1477" t="s">
        <v>2917</v>
      </c>
      <c r="M1477">
        <v>4163.88</v>
      </c>
      <c r="N1477" t="s">
        <v>2918</v>
      </c>
      <c r="O1477" t="s">
        <v>11417</v>
      </c>
      <c r="P1477" t="s">
        <v>11404</v>
      </c>
      <c r="Q1477" t="s">
        <v>2924</v>
      </c>
      <c r="R1477" t="s">
        <v>3219</v>
      </c>
      <c r="S1477" t="s">
        <v>11405</v>
      </c>
      <c r="T1477" t="s">
        <v>11406</v>
      </c>
    </row>
    <row r="1478" spans="1:20">
      <c r="A1478" t="s">
        <v>2386</v>
      </c>
      <c r="B1478" t="s">
        <v>11331</v>
      </c>
      <c r="C1478">
        <v>45728</v>
      </c>
      <c r="D1478" t="s">
        <v>7263</v>
      </c>
      <c r="E1478" t="s">
        <v>11332</v>
      </c>
      <c r="F1478">
        <v>45748</v>
      </c>
      <c r="G1478" t="s">
        <v>11401</v>
      </c>
      <c r="H1478" t="s">
        <v>2916</v>
      </c>
      <c r="I1478" t="s">
        <v>15913</v>
      </c>
      <c r="J1478">
        <v>0</v>
      </c>
      <c r="K1478">
        <v>76.64</v>
      </c>
      <c r="L1478" t="s">
        <v>2917</v>
      </c>
      <c r="M1478">
        <v>441.39</v>
      </c>
      <c r="N1478" t="s">
        <v>2918</v>
      </c>
      <c r="O1478" t="s">
        <v>11417</v>
      </c>
      <c r="P1478" t="s">
        <v>11407</v>
      </c>
      <c r="Q1478" t="s">
        <v>2924</v>
      </c>
      <c r="R1478" t="s">
        <v>3219</v>
      </c>
      <c r="S1478" t="s">
        <v>11408</v>
      </c>
      <c r="T1478" t="s">
        <v>11409</v>
      </c>
    </row>
    <row r="1479" spans="1:20">
      <c r="A1479" t="s">
        <v>2386</v>
      </c>
      <c r="B1479" t="s">
        <v>11331</v>
      </c>
      <c r="C1479">
        <v>45728</v>
      </c>
      <c r="D1479" t="s">
        <v>7263</v>
      </c>
      <c r="E1479" t="s">
        <v>11332</v>
      </c>
      <c r="F1479">
        <v>45748</v>
      </c>
      <c r="G1479" t="s">
        <v>11401</v>
      </c>
      <c r="H1479" t="s">
        <v>2916</v>
      </c>
      <c r="I1479" t="s">
        <v>15913</v>
      </c>
      <c r="J1479">
        <v>0</v>
      </c>
      <c r="K1479">
        <v>212.11</v>
      </c>
      <c r="L1479" t="s">
        <v>2917</v>
      </c>
      <c r="M1479">
        <v>1221.51</v>
      </c>
      <c r="N1479" t="s">
        <v>2918</v>
      </c>
      <c r="O1479" t="s">
        <v>11417</v>
      </c>
      <c r="P1479" t="s">
        <v>11410</v>
      </c>
      <c r="Q1479" t="s">
        <v>2924</v>
      </c>
      <c r="R1479" t="s">
        <v>3219</v>
      </c>
      <c r="S1479" t="s">
        <v>11411</v>
      </c>
      <c r="T1479" t="s">
        <v>11412</v>
      </c>
    </row>
    <row r="1480" spans="1:20">
      <c r="A1480" t="s">
        <v>2386</v>
      </c>
      <c r="B1480" t="s">
        <v>11331</v>
      </c>
      <c r="C1480">
        <v>45728</v>
      </c>
      <c r="D1480" t="s">
        <v>7263</v>
      </c>
      <c r="E1480" t="s">
        <v>11332</v>
      </c>
      <c r="F1480">
        <v>45748</v>
      </c>
      <c r="G1480" t="s">
        <v>11401</v>
      </c>
      <c r="H1480" t="s">
        <v>2916</v>
      </c>
      <c r="I1480" t="s">
        <v>15913</v>
      </c>
      <c r="J1480">
        <v>0</v>
      </c>
      <c r="K1480">
        <v>74.55</v>
      </c>
      <c r="L1480" t="s">
        <v>2917</v>
      </c>
      <c r="M1480">
        <v>429.32</v>
      </c>
      <c r="N1480" t="s">
        <v>2918</v>
      </c>
      <c r="O1480" t="s">
        <v>11417</v>
      </c>
      <c r="P1480" t="s">
        <v>11413</v>
      </c>
      <c r="Q1480" t="s">
        <v>2924</v>
      </c>
      <c r="R1480" t="s">
        <v>3219</v>
      </c>
      <c r="S1480" t="s">
        <v>11414</v>
      </c>
      <c r="T1480" t="s">
        <v>11415</v>
      </c>
    </row>
    <row r="1481" spans="1:20">
      <c r="A1481" t="s">
        <v>2386</v>
      </c>
      <c r="B1481" t="s">
        <v>11331</v>
      </c>
      <c r="C1481">
        <v>45728</v>
      </c>
      <c r="D1481" t="s">
        <v>7263</v>
      </c>
      <c r="E1481" t="s">
        <v>11332</v>
      </c>
      <c r="F1481">
        <v>45770</v>
      </c>
      <c r="G1481" t="s">
        <v>11401</v>
      </c>
      <c r="H1481" t="s">
        <v>2916</v>
      </c>
      <c r="I1481" t="s">
        <v>15914</v>
      </c>
      <c r="J1481">
        <v>0</v>
      </c>
      <c r="K1481">
        <v>-723.06</v>
      </c>
      <c r="L1481" t="s">
        <v>2917</v>
      </c>
      <c r="M1481">
        <v>-4163.88</v>
      </c>
      <c r="N1481" t="s">
        <v>2918</v>
      </c>
      <c r="O1481" t="s">
        <v>11417</v>
      </c>
      <c r="P1481" t="s">
        <v>11404</v>
      </c>
      <c r="Q1481" t="s">
        <v>2924</v>
      </c>
      <c r="R1481" t="s">
        <v>3219</v>
      </c>
      <c r="S1481" t="s">
        <v>11405</v>
      </c>
      <c r="T1481" t="s">
        <v>11406</v>
      </c>
    </row>
    <row r="1482" spans="1:20">
      <c r="A1482" t="s">
        <v>2386</v>
      </c>
      <c r="B1482" t="s">
        <v>11331</v>
      </c>
      <c r="C1482">
        <v>45728</v>
      </c>
      <c r="D1482" t="s">
        <v>7263</v>
      </c>
      <c r="E1482" t="s">
        <v>11332</v>
      </c>
      <c r="F1482">
        <v>45770</v>
      </c>
      <c r="G1482" t="s">
        <v>11401</v>
      </c>
      <c r="H1482" t="s">
        <v>2916</v>
      </c>
      <c r="I1482" t="s">
        <v>15914</v>
      </c>
      <c r="J1482">
        <v>0</v>
      </c>
      <c r="K1482">
        <v>-76.64</v>
      </c>
      <c r="L1482" t="s">
        <v>2917</v>
      </c>
      <c r="M1482">
        <v>-441.39</v>
      </c>
      <c r="N1482" t="s">
        <v>2918</v>
      </c>
      <c r="O1482" t="s">
        <v>11417</v>
      </c>
      <c r="P1482" t="s">
        <v>11407</v>
      </c>
      <c r="Q1482" t="s">
        <v>2924</v>
      </c>
      <c r="R1482" t="s">
        <v>3219</v>
      </c>
      <c r="S1482" t="s">
        <v>11408</v>
      </c>
      <c r="T1482" t="s">
        <v>11409</v>
      </c>
    </row>
    <row r="1483" spans="1:20">
      <c r="A1483" t="s">
        <v>2386</v>
      </c>
      <c r="B1483" t="s">
        <v>11331</v>
      </c>
      <c r="C1483">
        <v>45728</v>
      </c>
      <c r="D1483" t="s">
        <v>7263</v>
      </c>
      <c r="E1483" t="s">
        <v>11332</v>
      </c>
      <c r="F1483">
        <v>45770</v>
      </c>
      <c r="G1483" t="s">
        <v>11401</v>
      </c>
      <c r="H1483" t="s">
        <v>2916</v>
      </c>
      <c r="I1483" t="s">
        <v>15914</v>
      </c>
      <c r="J1483">
        <v>0</v>
      </c>
      <c r="K1483">
        <v>-332.62</v>
      </c>
      <c r="L1483" t="s">
        <v>2917</v>
      </c>
      <c r="M1483">
        <v>-1915.44</v>
      </c>
      <c r="N1483" t="s">
        <v>2918</v>
      </c>
      <c r="O1483" t="s">
        <v>11417</v>
      </c>
      <c r="P1483" t="s">
        <v>11410</v>
      </c>
      <c r="Q1483" t="s">
        <v>2924</v>
      </c>
      <c r="R1483" t="s">
        <v>3219</v>
      </c>
      <c r="S1483" t="s">
        <v>11411</v>
      </c>
      <c r="T1483" t="s">
        <v>11412</v>
      </c>
    </row>
    <row r="1484" spans="1:20">
      <c r="A1484" t="s">
        <v>2386</v>
      </c>
      <c r="B1484" t="s">
        <v>11331</v>
      </c>
      <c r="C1484">
        <v>45728</v>
      </c>
      <c r="D1484" t="s">
        <v>7263</v>
      </c>
      <c r="E1484" t="s">
        <v>11332</v>
      </c>
      <c r="F1484">
        <v>45770</v>
      </c>
      <c r="G1484" t="s">
        <v>11401</v>
      </c>
      <c r="H1484" t="s">
        <v>2916</v>
      </c>
      <c r="I1484" t="s">
        <v>15914</v>
      </c>
      <c r="J1484">
        <v>0</v>
      </c>
      <c r="K1484">
        <v>-74.55</v>
      </c>
      <c r="L1484" t="s">
        <v>2917</v>
      </c>
      <c r="M1484">
        <v>-429.32</v>
      </c>
      <c r="N1484" t="s">
        <v>2918</v>
      </c>
      <c r="O1484" t="s">
        <v>11417</v>
      </c>
      <c r="P1484" t="s">
        <v>11413</v>
      </c>
      <c r="Q1484" t="s">
        <v>2924</v>
      </c>
      <c r="R1484" t="s">
        <v>3219</v>
      </c>
      <c r="S1484" t="s">
        <v>11414</v>
      </c>
      <c r="T1484" t="s">
        <v>11415</v>
      </c>
    </row>
    <row r="1485" spans="1:20">
      <c r="A1485" t="s">
        <v>2386</v>
      </c>
      <c r="B1485" t="s">
        <v>11331</v>
      </c>
      <c r="C1485">
        <v>45754</v>
      </c>
      <c r="D1485" t="s">
        <v>7263</v>
      </c>
      <c r="E1485" t="s">
        <v>11332</v>
      </c>
      <c r="F1485">
        <v>45761</v>
      </c>
      <c r="G1485" t="s">
        <v>12188</v>
      </c>
      <c r="H1485" t="s">
        <v>2916</v>
      </c>
      <c r="I1485" t="s">
        <v>15915</v>
      </c>
      <c r="J1485">
        <v>0</v>
      </c>
      <c r="K1485">
        <v>-1359.04</v>
      </c>
      <c r="L1485" t="s">
        <v>2917</v>
      </c>
      <c r="M1485">
        <v>-7826.34</v>
      </c>
      <c r="N1485" t="s">
        <v>2918</v>
      </c>
      <c r="O1485" t="s">
        <v>12382</v>
      </c>
      <c r="P1485" t="s">
        <v>12366</v>
      </c>
      <c r="Q1485" t="s">
        <v>12360</v>
      </c>
      <c r="R1485" t="s">
        <v>12361</v>
      </c>
      <c r="S1485" t="s">
        <v>12367</v>
      </c>
      <c r="T1485" t="s">
        <v>12368</v>
      </c>
    </row>
    <row r="1486" spans="1:20">
      <c r="A1486" t="s">
        <v>2386</v>
      </c>
      <c r="B1486" t="s">
        <v>11331</v>
      </c>
      <c r="C1486">
        <v>45754</v>
      </c>
      <c r="D1486" t="s">
        <v>7263</v>
      </c>
      <c r="E1486" t="s">
        <v>11332</v>
      </c>
      <c r="F1486">
        <v>45770</v>
      </c>
      <c r="G1486" t="s">
        <v>12188</v>
      </c>
      <c r="H1486" t="s">
        <v>2916</v>
      </c>
      <c r="I1486" t="s">
        <v>15916</v>
      </c>
      <c r="J1486">
        <v>0</v>
      </c>
      <c r="K1486">
        <v>145.32</v>
      </c>
      <c r="L1486" t="s">
        <v>2917</v>
      </c>
      <c r="M1486">
        <v>836.87</v>
      </c>
      <c r="N1486" t="s">
        <v>2918</v>
      </c>
      <c r="O1486" t="s">
        <v>12382</v>
      </c>
      <c r="P1486" t="s">
        <v>12366</v>
      </c>
      <c r="Q1486" t="s">
        <v>12360</v>
      </c>
      <c r="R1486" t="s">
        <v>12361</v>
      </c>
      <c r="S1486" t="s">
        <v>12367</v>
      </c>
      <c r="T1486" t="s">
        <v>12368</v>
      </c>
    </row>
    <row r="1487" spans="1:20">
      <c r="A1487" t="s">
        <v>2386</v>
      </c>
      <c r="B1487" t="s">
        <v>11331</v>
      </c>
      <c r="C1487">
        <v>45728</v>
      </c>
      <c r="D1487" t="s">
        <v>7263</v>
      </c>
      <c r="E1487" t="s">
        <v>11332</v>
      </c>
      <c r="F1487">
        <v>45770</v>
      </c>
      <c r="G1487" t="s">
        <v>11401</v>
      </c>
      <c r="H1487" t="s">
        <v>2916</v>
      </c>
      <c r="I1487" t="s">
        <v>16261</v>
      </c>
      <c r="J1487">
        <v>0</v>
      </c>
      <c r="K1487">
        <v>723.06</v>
      </c>
      <c r="L1487" t="s">
        <v>2917</v>
      </c>
      <c r="M1487">
        <v>4163.88</v>
      </c>
      <c r="N1487" t="s">
        <v>2918</v>
      </c>
      <c r="O1487" t="s">
        <v>11417</v>
      </c>
      <c r="P1487" t="s">
        <v>11404</v>
      </c>
      <c r="Q1487" t="s">
        <v>2924</v>
      </c>
      <c r="R1487" t="s">
        <v>3219</v>
      </c>
      <c r="S1487" t="s">
        <v>11405</v>
      </c>
      <c r="T1487" t="s">
        <v>11406</v>
      </c>
    </row>
    <row r="1488" spans="1:20">
      <c r="A1488" t="s">
        <v>2386</v>
      </c>
      <c r="B1488" t="s">
        <v>11331</v>
      </c>
      <c r="C1488">
        <v>45728</v>
      </c>
      <c r="D1488" t="s">
        <v>7263</v>
      </c>
      <c r="E1488" t="s">
        <v>11332</v>
      </c>
      <c r="F1488">
        <v>45770</v>
      </c>
      <c r="G1488" t="s">
        <v>11401</v>
      </c>
      <c r="H1488" t="s">
        <v>2916</v>
      </c>
      <c r="I1488" t="s">
        <v>16261</v>
      </c>
      <c r="J1488">
        <v>0</v>
      </c>
      <c r="K1488">
        <v>76.64</v>
      </c>
      <c r="L1488" t="s">
        <v>2917</v>
      </c>
      <c r="M1488">
        <v>441.39</v>
      </c>
      <c r="N1488" t="s">
        <v>2918</v>
      </c>
      <c r="O1488" t="s">
        <v>11417</v>
      </c>
      <c r="P1488" t="s">
        <v>11407</v>
      </c>
      <c r="Q1488" t="s">
        <v>2924</v>
      </c>
      <c r="R1488" t="s">
        <v>3219</v>
      </c>
      <c r="S1488" t="s">
        <v>11408</v>
      </c>
      <c r="T1488" t="s">
        <v>11409</v>
      </c>
    </row>
    <row r="1489" spans="1:20">
      <c r="A1489" t="s">
        <v>2386</v>
      </c>
      <c r="B1489" t="s">
        <v>11331</v>
      </c>
      <c r="C1489">
        <v>45728</v>
      </c>
      <c r="D1489" t="s">
        <v>7263</v>
      </c>
      <c r="E1489" t="s">
        <v>11332</v>
      </c>
      <c r="F1489">
        <v>45770</v>
      </c>
      <c r="G1489" t="s">
        <v>11401</v>
      </c>
      <c r="H1489" t="s">
        <v>2916</v>
      </c>
      <c r="I1489" t="s">
        <v>16261</v>
      </c>
      <c r="J1489">
        <v>0</v>
      </c>
      <c r="K1489">
        <v>332.62</v>
      </c>
      <c r="L1489" t="s">
        <v>2917</v>
      </c>
      <c r="M1489">
        <v>1915.44</v>
      </c>
      <c r="N1489" t="s">
        <v>2918</v>
      </c>
      <c r="O1489" t="s">
        <v>11417</v>
      </c>
      <c r="P1489" t="s">
        <v>11410</v>
      </c>
      <c r="Q1489" t="s">
        <v>2924</v>
      </c>
      <c r="R1489" t="s">
        <v>3219</v>
      </c>
      <c r="S1489" t="s">
        <v>11411</v>
      </c>
      <c r="T1489" t="s">
        <v>11412</v>
      </c>
    </row>
    <row r="1490" spans="1:20">
      <c r="A1490" t="s">
        <v>2386</v>
      </c>
      <c r="B1490" t="s">
        <v>11331</v>
      </c>
      <c r="C1490">
        <v>45728</v>
      </c>
      <c r="D1490" t="s">
        <v>7263</v>
      </c>
      <c r="E1490" t="s">
        <v>11332</v>
      </c>
      <c r="F1490">
        <v>45770</v>
      </c>
      <c r="G1490" t="s">
        <v>11401</v>
      </c>
      <c r="H1490" t="s">
        <v>2916</v>
      </c>
      <c r="I1490" t="s">
        <v>16261</v>
      </c>
      <c r="J1490">
        <v>0</v>
      </c>
      <c r="K1490">
        <v>74.55</v>
      </c>
      <c r="L1490" t="s">
        <v>2917</v>
      </c>
      <c r="M1490">
        <v>429.32</v>
      </c>
      <c r="N1490" t="s">
        <v>2918</v>
      </c>
      <c r="O1490" t="s">
        <v>11417</v>
      </c>
      <c r="P1490" t="s">
        <v>11413</v>
      </c>
      <c r="Q1490" t="s">
        <v>2924</v>
      </c>
      <c r="R1490" t="s">
        <v>3219</v>
      </c>
      <c r="S1490" t="s">
        <v>11414</v>
      </c>
      <c r="T1490" t="s">
        <v>11415</v>
      </c>
    </row>
    <row r="1491" spans="1:20">
      <c r="A1491" t="s">
        <v>2386</v>
      </c>
      <c r="B1491" t="s">
        <v>11331</v>
      </c>
      <c r="C1491">
        <v>45728</v>
      </c>
      <c r="D1491" t="s">
        <v>7263</v>
      </c>
      <c r="E1491" t="s">
        <v>11332</v>
      </c>
      <c r="F1491">
        <v>45776</v>
      </c>
      <c r="G1491" t="s">
        <v>11401</v>
      </c>
      <c r="H1491" t="s">
        <v>2916</v>
      </c>
      <c r="I1491" t="s">
        <v>16262</v>
      </c>
      <c r="J1491">
        <v>0</v>
      </c>
      <c r="K1491">
        <v>-723.06</v>
      </c>
      <c r="L1491" t="s">
        <v>2917</v>
      </c>
      <c r="M1491">
        <v>-4163.88</v>
      </c>
      <c r="N1491" t="s">
        <v>2918</v>
      </c>
      <c r="O1491" t="s">
        <v>11417</v>
      </c>
      <c r="P1491" t="s">
        <v>11404</v>
      </c>
      <c r="Q1491" t="s">
        <v>2924</v>
      </c>
      <c r="R1491" t="s">
        <v>3219</v>
      </c>
      <c r="S1491" t="s">
        <v>11405</v>
      </c>
      <c r="T1491" t="s">
        <v>11406</v>
      </c>
    </row>
    <row r="1492" spans="1:20">
      <c r="A1492" t="s">
        <v>2386</v>
      </c>
      <c r="B1492" t="s">
        <v>11331</v>
      </c>
      <c r="C1492">
        <v>45728</v>
      </c>
      <c r="D1492" t="s">
        <v>7263</v>
      </c>
      <c r="E1492" t="s">
        <v>11332</v>
      </c>
      <c r="F1492">
        <v>45776</v>
      </c>
      <c r="G1492" t="s">
        <v>11401</v>
      </c>
      <c r="H1492" t="s">
        <v>2916</v>
      </c>
      <c r="I1492" t="s">
        <v>16262</v>
      </c>
      <c r="J1492">
        <v>0</v>
      </c>
      <c r="K1492">
        <v>-76.64</v>
      </c>
      <c r="L1492" t="s">
        <v>2917</v>
      </c>
      <c r="M1492">
        <v>-441.39</v>
      </c>
      <c r="N1492" t="s">
        <v>2918</v>
      </c>
      <c r="O1492" t="s">
        <v>11417</v>
      </c>
      <c r="P1492" t="s">
        <v>11407</v>
      </c>
      <c r="Q1492" t="s">
        <v>2924</v>
      </c>
      <c r="R1492" t="s">
        <v>3219</v>
      </c>
      <c r="S1492" t="s">
        <v>11408</v>
      </c>
      <c r="T1492" t="s">
        <v>11409</v>
      </c>
    </row>
    <row r="1493" spans="1:20">
      <c r="A1493" t="s">
        <v>2386</v>
      </c>
      <c r="B1493" t="s">
        <v>11331</v>
      </c>
      <c r="C1493">
        <v>45728</v>
      </c>
      <c r="D1493" t="s">
        <v>7263</v>
      </c>
      <c r="E1493" t="s">
        <v>11332</v>
      </c>
      <c r="F1493">
        <v>45776</v>
      </c>
      <c r="G1493" t="s">
        <v>11401</v>
      </c>
      <c r="H1493" t="s">
        <v>2916</v>
      </c>
      <c r="I1493" t="s">
        <v>16262</v>
      </c>
      <c r="J1493">
        <v>0</v>
      </c>
      <c r="K1493">
        <v>-343.57</v>
      </c>
      <c r="L1493" t="s">
        <v>2917</v>
      </c>
      <c r="M1493">
        <v>-1978.53</v>
      </c>
      <c r="N1493" t="s">
        <v>2918</v>
      </c>
      <c r="O1493" t="s">
        <v>11417</v>
      </c>
      <c r="P1493" t="s">
        <v>11410</v>
      </c>
      <c r="Q1493" t="s">
        <v>2924</v>
      </c>
      <c r="R1493" t="s">
        <v>3219</v>
      </c>
      <c r="S1493" t="s">
        <v>11411</v>
      </c>
      <c r="T1493" t="s">
        <v>11412</v>
      </c>
    </row>
    <row r="1494" spans="1:20">
      <c r="A1494" t="s">
        <v>2386</v>
      </c>
      <c r="B1494" t="s">
        <v>11331</v>
      </c>
      <c r="C1494">
        <v>45728</v>
      </c>
      <c r="D1494" t="s">
        <v>7263</v>
      </c>
      <c r="E1494" t="s">
        <v>11332</v>
      </c>
      <c r="F1494">
        <v>45776</v>
      </c>
      <c r="G1494" t="s">
        <v>11401</v>
      </c>
      <c r="H1494" t="s">
        <v>2916</v>
      </c>
      <c r="I1494" t="s">
        <v>16262</v>
      </c>
      <c r="J1494">
        <v>0</v>
      </c>
      <c r="K1494">
        <v>-74.55</v>
      </c>
      <c r="L1494" t="s">
        <v>2917</v>
      </c>
      <c r="M1494">
        <v>-429.32</v>
      </c>
      <c r="N1494" t="s">
        <v>2918</v>
      </c>
      <c r="O1494" t="s">
        <v>11417</v>
      </c>
      <c r="P1494" t="s">
        <v>11413</v>
      </c>
      <c r="Q1494" t="s">
        <v>2924</v>
      </c>
      <c r="R1494" t="s">
        <v>3219</v>
      </c>
      <c r="S1494" t="s">
        <v>11414</v>
      </c>
      <c r="T1494" t="s">
        <v>11415</v>
      </c>
    </row>
    <row r="1495" spans="1:20">
      <c r="A1495" t="s">
        <v>2386</v>
      </c>
      <c r="B1495" t="s">
        <v>11331</v>
      </c>
      <c r="C1495">
        <v>45754</v>
      </c>
      <c r="D1495" t="s">
        <v>7263</v>
      </c>
      <c r="E1495" t="s">
        <v>11332</v>
      </c>
      <c r="F1495">
        <v>45770</v>
      </c>
      <c r="G1495" t="s">
        <v>12188</v>
      </c>
      <c r="H1495" t="s">
        <v>2916</v>
      </c>
      <c r="I1495" t="s">
        <v>16263</v>
      </c>
      <c r="J1495">
        <v>0</v>
      </c>
      <c r="K1495">
        <v>-145.32</v>
      </c>
      <c r="L1495" t="s">
        <v>2917</v>
      </c>
      <c r="M1495">
        <v>-836.87</v>
      </c>
      <c r="N1495" t="s">
        <v>2918</v>
      </c>
      <c r="O1495" t="s">
        <v>12382</v>
      </c>
      <c r="P1495" t="s">
        <v>12366</v>
      </c>
      <c r="Q1495" t="s">
        <v>12360</v>
      </c>
      <c r="R1495" t="s">
        <v>12361</v>
      </c>
      <c r="S1495" t="s">
        <v>12367</v>
      </c>
      <c r="T1495" t="s">
        <v>12368</v>
      </c>
    </row>
    <row r="1496" spans="1:20">
      <c r="A1496" t="s">
        <v>2386</v>
      </c>
      <c r="B1496" t="s">
        <v>11331</v>
      </c>
      <c r="C1496">
        <v>45754</v>
      </c>
      <c r="D1496" t="s">
        <v>7263</v>
      </c>
      <c r="E1496" t="s">
        <v>11332</v>
      </c>
      <c r="F1496">
        <v>45776</v>
      </c>
      <c r="G1496" t="s">
        <v>12188</v>
      </c>
      <c r="H1496" t="s">
        <v>2916</v>
      </c>
      <c r="I1496" t="s">
        <v>16264</v>
      </c>
      <c r="J1496">
        <v>0</v>
      </c>
      <c r="K1496">
        <v>34.979999999999997</v>
      </c>
      <c r="L1496" t="s">
        <v>2917</v>
      </c>
      <c r="M1496">
        <v>201.47</v>
      </c>
      <c r="N1496" t="s">
        <v>2918</v>
      </c>
      <c r="O1496" t="s">
        <v>12382</v>
      </c>
      <c r="P1496" t="s">
        <v>12366</v>
      </c>
      <c r="Q1496" t="s">
        <v>12360</v>
      </c>
      <c r="R1496" t="s">
        <v>12361</v>
      </c>
      <c r="S1496" t="s">
        <v>12367</v>
      </c>
      <c r="T1496" t="s">
        <v>12368</v>
      </c>
    </row>
    <row r="1497" spans="1:20">
      <c r="A1497" t="s">
        <v>2386</v>
      </c>
      <c r="B1497" t="s">
        <v>11331</v>
      </c>
      <c r="C1497">
        <v>45777</v>
      </c>
      <c r="D1497" t="s">
        <v>7263</v>
      </c>
      <c r="E1497" t="s">
        <v>11332</v>
      </c>
      <c r="F1497">
        <v>45777</v>
      </c>
      <c r="G1497" t="s">
        <v>2208</v>
      </c>
      <c r="H1497" t="s">
        <v>2916</v>
      </c>
      <c r="I1497" t="s">
        <v>16319</v>
      </c>
      <c r="J1497">
        <v>0</v>
      </c>
      <c r="K1497">
        <v>-10768.82</v>
      </c>
      <c r="L1497" t="s">
        <v>2917</v>
      </c>
      <c r="M1497">
        <v>-62014.49</v>
      </c>
      <c r="N1497" t="s">
        <v>2918</v>
      </c>
      <c r="O1497" t="s">
        <v>16320</v>
      </c>
      <c r="P1497" t="s">
        <v>2208</v>
      </c>
      <c r="Q1497" t="s">
        <v>2933</v>
      </c>
      <c r="R1497" t="s">
        <v>3314</v>
      </c>
      <c r="S1497" t="s">
        <v>2208</v>
      </c>
      <c r="T1497" t="s">
        <v>2208</v>
      </c>
    </row>
    <row r="1498" spans="1:20">
      <c r="A1498" t="s">
        <v>2386</v>
      </c>
      <c r="B1498" t="s">
        <v>11331</v>
      </c>
      <c r="C1498">
        <v>45777</v>
      </c>
      <c r="D1498" t="s">
        <v>7263</v>
      </c>
      <c r="E1498" t="s">
        <v>11332</v>
      </c>
      <c r="F1498">
        <v>45777</v>
      </c>
      <c r="G1498" t="s">
        <v>2208</v>
      </c>
      <c r="H1498" t="s">
        <v>2916</v>
      </c>
      <c r="I1498" t="s">
        <v>16445</v>
      </c>
      <c r="J1498">
        <v>0</v>
      </c>
      <c r="K1498">
        <v>0.02</v>
      </c>
      <c r="L1498" t="s">
        <v>2917</v>
      </c>
      <c r="M1498">
        <v>0</v>
      </c>
      <c r="N1498" t="s">
        <v>2918</v>
      </c>
      <c r="O1498" t="s">
        <v>2919</v>
      </c>
      <c r="P1498" t="s">
        <v>2208</v>
      </c>
      <c r="Q1498" t="s">
        <v>2916</v>
      </c>
      <c r="R1498" t="s">
        <v>3220</v>
      </c>
      <c r="S1498" t="s">
        <v>2208</v>
      </c>
      <c r="T1498" t="s">
        <v>2208</v>
      </c>
    </row>
    <row r="1499" spans="1:20">
      <c r="A1499" t="s">
        <v>2386</v>
      </c>
      <c r="B1499" t="s">
        <v>16360</v>
      </c>
      <c r="C1499">
        <v>45790</v>
      </c>
      <c r="D1499" t="s">
        <v>7263</v>
      </c>
      <c r="E1499" t="s">
        <v>16361</v>
      </c>
      <c r="F1499">
        <v>45791</v>
      </c>
      <c r="G1499" t="s">
        <v>17053</v>
      </c>
      <c r="H1499" t="s">
        <v>2916</v>
      </c>
      <c r="I1499" t="s">
        <v>17054</v>
      </c>
      <c r="J1499">
        <v>0.3</v>
      </c>
      <c r="K1499">
        <v>10631.77</v>
      </c>
      <c r="L1499" t="s">
        <v>2917</v>
      </c>
      <c r="M1499">
        <v>59897.29</v>
      </c>
      <c r="N1499" t="s">
        <v>2918</v>
      </c>
      <c r="O1499" t="s">
        <v>17055</v>
      </c>
      <c r="P1499" t="s">
        <v>17056</v>
      </c>
      <c r="Q1499" t="s">
        <v>17057</v>
      </c>
      <c r="R1499" t="s">
        <v>17058</v>
      </c>
      <c r="S1499" t="s">
        <v>17059</v>
      </c>
      <c r="T1499" t="s">
        <v>17060</v>
      </c>
    </row>
    <row r="1500" spans="1:20">
      <c r="A1500" t="s">
        <v>2386</v>
      </c>
      <c r="B1500" t="s">
        <v>16360</v>
      </c>
      <c r="C1500">
        <v>45800</v>
      </c>
      <c r="D1500" t="s">
        <v>7263</v>
      </c>
      <c r="E1500" t="s">
        <v>16361</v>
      </c>
      <c r="F1500">
        <v>45800</v>
      </c>
      <c r="G1500" t="s">
        <v>17520</v>
      </c>
      <c r="H1500" t="s">
        <v>2916</v>
      </c>
      <c r="I1500" t="s">
        <v>17521</v>
      </c>
      <c r="J1500">
        <v>1</v>
      </c>
      <c r="K1500">
        <v>7987.5</v>
      </c>
      <c r="L1500" t="s">
        <v>2917</v>
      </c>
      <c r="M1500">
        <v>45000</v>
      </c>
      <c r="N1500" t="s">
        <v>2918</v>
      </c>
      <c r="O1500" t="s">
        <v>17522</v>
      </c>
      <c r="P1500" t="s">
        <v>17523</v>
      </c>
      <c r="Q1500" t="s">
        <v>2924</v>
      </c>
      <c r="R1500" t="s">
        <v>3219</v>
      </c>
      <c r="S1500" t="s">
        <v>17524</v>
      </c>
      <c r="T1500" t="s">
        <v>17525</v>
      </c>
    </row>
    <row r="1501" spans="1:20">
      <c r="A1501" t="s">
        <v>2386</v>
      </c>
      <c r="B1501" t="s">
        <v>16360</v>
      </c>
      <c r="C1501">
        <v>45443</v>
      </c>
      <c r="D1501" t="s">
        <v>7263</v>
      </c>
      <c r="E1501" t="s">
        <v>16361</v>
      </c>
      <c r="F1501">
        <v>45804</v>
      </c>
      <c r="G1501" t="s">
        <v>2208</v>
      </c>
      <c r="H1501" t="s">
        <v>2916</v>
      </c>
      <c r="I1501" t="s">
        <v>17758</v>
      </c>
      <c r="J1501">
        <v>0</v>
      </c>
      <c r="K1501">
        <v>-29954.080000000002</v>
      </c>
      <c r="L1501" t="s">
        <v>2917</v>
      </c>
      <c r="M1501">
        <v>-154378.59</v>
      </c>
      <c r="N1501" t="s">
        <v>2918</v>
      </c>
      <c r="O1501" t="s">
        <v>17762</v>
      </c>
      <c r="P1501" t="s">
        <v>2208</v>
      </c>
      <c r="Q1501" t="s">
        <v>7720</v>
      </c>
      <c r="R1501" t="s">
        <v>7721</v>
      </c>
      <c r="S1501" t="s">
        <v>2208</v>
      </c>
      <c r="T1501" t="s">
        <v>2208</v>
      </c>
    </row>
    <row r="1502" spans="1:20">
      <c r="A1502" t="s">
        <v>2386</v>
      </c>
      <c r="B1502" t="s">
        <v>16360</v>
      </c>
      <c r="C1502">
        <v>45790</v>
      </c>
      <c r="D1502" t="s">
        <v>7263</v>
      </c>
      <c r="E1502" t="s">
        <v>16361</v>
      </c>
      <c r="F1502">
        <v>45791</v>
      </c>
      <c r="G1502" t="s">
        <v>17053</v>
      </c>
      <c r="H1502" t="s">
        <v>2916</v>
      </c>
      <c r="I1502" t="s">
        <v>17795</v>
      </c>
      <c r="J1502">
        <v>-0.3</v>
      </c>
      <c r="K1502">
        <v>-10631.77</v>
      </c>
      <c r="L1502" t="s">
        <v>2917</v>
      </c>
      <c r="M1502">
        <v>-59897.279999999999</v>
      </c>
      <c r="N1502" t="s">
        <v>2918</v>
      </c>
      <c r="O1502" t="s">
        <v>17796</v>
      </c>
      <c r="P1502" t="s">
        <v>17056</v>
      </c>
      <c r="Q1502" t="s">
        <v>17057</v>
      </c>
      <c r="R1502" t="s">
        <v>17058</v>
      </c>
      <c r="S1502" t="s">
        <v>17059</v>
      </c>
      <c r="T1502" t="s">
        <v>17060</v>
      </c>
    </row>
    <row r="1503" spans="1:20">
      <c r="A1503" t="s">
        <v>2386</v>
      </c>
      <c r="B1503" t="s">
        <v>16360</v>
      </c>
      <c r="C1503">
        <v>45790</v>
      </c>
      <c r="D1503" t="s">
        <v>7263</v>
      </c>
      <c r="E1503" t="s">
        <v>16361</v>
      </c>
      <c r="F1503">
        <v>45805</v>
      </c>
      <c r="G1503" t="s">
        <v>17053</v>
      </c>
      <c r="H1503" t="s">
        <v>2916</v>
      </c>
      <c r="I1503" t="s">
        <v>17797</v>
      </c>
      <c r="J1503">
        <v>0.3</v>
      </c>
      <c r="K1503">
        <v>10631.77</v>
      </c>
      <c r="L1503" t="s">
        <v>2917</v>
      </c>
      <c r="M1503">
        <v>59897.3</v>
      </c>
      <c r="N1503" t="s">
        <v>2918</v>
      </c>
      <c r="O1503" t="s">
        <v>17796</v>
      </c>
      <c r="P1503" t="s">
        <v>17056</v>
      </c>
      <c r="Q1503" t="s">
        <v>17057</v>
      </c>
      <c r="R1503" t="s">
        <v>17058</v>
      </c>
      <c r="S1503" t="s">
        <v>17059</v>
      </c>
      <c r="T1503" t="s">
        <v>17060</v>
      </c>
    </row>
    <row r="1504" spans="1:20">
      <c r="A1504" t="s">
        <v>2386</v>
      </c>
      <c r="B1504" t="s">
        <v>16360</v>
      </c>
      <c r="C1504">
        <v>45808</v>
      </c>
      <c r="D1504" t="s">
        <v>7263</v>
      </c>
      <c r="E1504" t="s">
        <v>16361</v>
      </c>
      <c r="F1504">
        <v>45808</v>
      </c>
      <c r="G1504" t="s">
        <v>2208</v>
      </c>
      <c r="H1504" t="s">
        <v>2916</v>
      </c>
      <c r="I1504" t="s">
        <v>17877</v>
      </c>
      <c r="J1504">
        <v>0</v>
      </c>
      <c r="K1504">
        <v>2551.9299999999998</v>
      </c>
      <c r="L1504" t="s">
        <v>2917</v>
      </c>
      <c r="M1504">
        <v>0</v>
      </c>
      <c r="N1504" t="s">
        <v>2918</v>
      </c>
      <c r="O1504" t="s">
        <v>2919</v>
      </c>
      <c r="P1504" t="s">
        <v>2208</v>
      </c>
      <c r="Q1504" t="s">
        <v>2916</v>
      </c>
      <c r="R1504" t="s">
        <v>3220</v>
      </c>
      <c r="S1504" t="s">
        <v>2208</v>
      </c>
      <c r="T1504" t="s">
        <v>2208</v>
      </c>
    </row>
    <row r="1505" spans="1:20">
      <c r="A1505" t="s">
        <v>2386</v>
      </c>
      <c r="B1505" t="s">
        <v>19439</v>
      </c>
      <c r="C1505">
        <v>45841</v>
      </c>
      <c r="D1505" t="s">
        <v>7263</v>
      </c>
      <c r="E1505" t="s">
        <v>19440</v>
      </c>
      <c r="F1505">
        <v>45841</v>
      </c>
      <c r="G1505" t="s">
        <v>17053</v>
      </c>
      <c r="H1505" t="s">
        <v>2916</v>
      </c>
      <c r="I1505" t="s">
        <v>19893</v>
      </c>
      <c r="J1505">
        <v>0.35</v>
      </c>
      <c r="K1505">
        <v>1214.1400000000001</v>
      </c>
      <c r="L1505" t="s">
        <v>2917</v>
      </c>
      <c r="M1505">
        <v>6646.65</v>
      </c>
      <c r="N1505" t="s">
        <v>2918</v>
      </c>
      <c r="O1505" t="s">
        <v>2923</v>
      </c>
      <c r="P1505" t="s">
        <v>2923</v>
      </c>
      <c r="Q1505" t="s">
        <v>2924</v>
      </c>
      <c r="R1505" t="s">
        <v>3219</v>
      </c>
      <c r="S1505" t="s">
        <v>2208</v>
      </c>
      <c r="T1505" t="s">
        <v>2208</v>
      </c>
    </row>
    <row r="1506" spans="1:20">
      <c r="A1506" t="s">
        <v>2388</v>
      </c>
      <c r="B1506" t="s">
        <v>7740</v>
      </c>
      <c r="C1506">
        <v>45706</v>
      </c>
      <c r="D1506" t="s">
        <v>7263</v>
      </c>
      <c r="E1506" t="s">
        <v>2925</v>
      </c>
      <c r="F1506">
        <v>45709</v>
      </c>
      <c r="G1506" t="s">
        <v>8681</v>
      </c>
      <c r="H1506" t="s">
        <v>2916</v>
      </c>
      <c r="I1506" t="s">
        <v>8682</v>
      </c>
      <c r="J1506">
        <v>30</v>
      </c>
      <c r="K1506">
        <v>1079.25</v>
      </c>
      <c r="L1506" t="s">
        <v>2917</v>
      </c>
      <c r="M1506">
        <v>6276.54</v>
      </c>
      <c r="N1506" t="s">
        <v>2918</v>
      </c>
      <c r="O1506" t="s">
        <v>8683</v>
      </c>
      <c r="P1506" t="s">
        <v>2950</v>
      </c>
      <c r="Q1506" t="s">
        <v>2924</v>
      </c>
      <c r="R1506" t="s">
        <v>3219</v>
      </c>
      <c r="S1506" t="s">
        <v>2951</v>
      </c>
      <c r="T1506" t="s">
        <v>3229</v>
      </c>
    </row>
    <row r="1507" spans="1:20">
      <c r="A1507" t="s">
        <v>2388</v>
      </c>
      <c r="B1507" t="s">
        <v>7740</v>
      </c>
      <c r="C1507">
        <v>45706</v>
      </c>
      <c r="D1507" t="s">
        <v>7263</v>
      </c>
      <c r="E1507" t="s">
        <v>2925</v>
      </c>
      <c r="F1507">
        <v>45709</v>
      </c>
      <c r="G1507" t="s">
        <v>8681</v>
      </c>
      <c r="H1507" t="s">
        <v>2916</v>
      </c>
      <c r="I1507" t="s">
        <v>8684</v>
      </c>
      <c r="J1507">
        <v>0</v>
      </c>
      <c r="K1507">
        <v>-127.43</v>
      </c>
      <c r="L1507" t="s">
        <v>2917</v>
      </c>
      <c r="M1507">
        <v>-741.07</v>
      </c>
      <c r="N1507" t="s">
        <v>2918</v>
      </c>
      <c r="O1507" t="s">
        <v>8685</v>
      </c>
      <c r="P1507" t="s">
        <v>2950</v>
      </c>
      <c r="Q1507" t="s">
        <v>2924</v>
      </c>
      <c r="R1507" t="s">
        <v>3219</v>
      </c>
      <c r="S1507" t="s">
        <v>2951</v>
      </c>
      <c r="T1507" t="s">
        <v>3229</v>
      </c>
    </row>
    <row r="1508" spans="1:20">
      <c r="A1508" t="s">
        <v>2388</v>
      </c>
      <c r="B1508" t="s">
        <v>7740</v>
      </c>
      <c r="C1508">
        <v>45708</v>
      </c>
      <c r="D1508" t="s">
        <v>7263</v>
      </c>
      <c r="E1508" t="s">
        <v>2925</v>
      </c>
      <c r="F1508">
        <v>45709</v>
      </c>
      <c r="G1508" t="s">
        <v>8681</v>
      </c>
      <c r="H1508" t="s">
        <v>2916</v>
      </c>
      <c r="I1508" t="s">
        <v>8686</v>
      </c>
      <c r="J1508">
        <v>30</v>
      </c>
      <c r="K1508">
        <v>1079.25</v>
      </c>
      <c r="L1508" t="s">
        <v>2917</v>
      </c>
      <c r="M1508">
        <v>6276.54</v>
      </c>
      <c r="N1508" t="s">
        <v>2918</v>
      </c>
      <c r="O1508" t="s">
        <v>8687</v>
      </c>
      <c r="P1508" t="s">
        <v>2950</v>
      </c>
      <c r="Q1508" t="s">
        <v>2924</v>
      </c>
      <c r="R1508" t="s">
        <v>3219</v>
      </c>
      <c r="S1508" t="s">
        <v>2951</v>
      </c>
      <c r="T1508" t="s">
        <v>3229</v>
      </c>
    </row>
    <row r="1509" spans="1:20">
      <c r="A1509" t="s">
        <v>2388</v>
      </c>
      <c r="B1509" t="s">
        <v>7740</v>
      </c>
      <c r="C1509">
        <v>45708</v>
      </c>
      <c r="D1509" t="s">
        <v>7263</v>
      </c>
      <c r="E1509" t="s">
        <v>2925</v>
      </c>
      <c r="F1509">
        <v>45709</v>
      </c>
      <c r="G1509" t="s">
        <v>8681</v>
      </c>
      <c r="H1509" t="s">
        <v>2916</v>
      </c>
      <c r="I1509" t="s">
        <v>8688</v>
      </c>
      <c r="J1509">
        <v>0</v>
      </c>
      <c r="K1509">
        <v>-127.43</v>
      </c>
      <c r="L1509" t="s">
        <v>2917</v>
      </c>
      <c r="M1509">
        <v>-741.07</v>
      </c>
      <c r="N1509" t="s">
        <v>2918</v>
      </c>
      <c r="O1509" t="s">
        <v>8689</v>
      </c>
      <c r="P1509" t="s">
        <v>2950</v>
      </c>
      <c r="Q1509" t="s">
        <v>2924</v>
      </c>
      <c r="R1509" t="s">
        <v>3219</v>
      </c>
      <c r="S1509" t="s">
        <v>2951</v>
      </c>
      <c r="T1509" t="s">
        <v>3229</v>
      </c>
    </row>
    <row r="1510" spans="1:20">
      <c r="A1510" t="s">
        <v>2388</v>
      </c>
      <c r="B1510" t="s">
        <v>7740</v>
      </c>
      <c r="C1510">
        <v>45714</v>
      </c>
      <c r="D1510" t="s">
        <v>7263</v>
      </c>
      <c r="E1510" t="s">
        <v>2925</v>
      </c>
      <c r="F1510">
        <v>45714</v>
      </c>
      <c r="G1510" t="s">
        <v>2208</v>
      </c>
      <c r="H1510" t="s">
        <v>2916</v>
      </c>
      <c r="I1510" t="s">
        <v>9034</v>
      </c>
      <c r="J1510">
        <v>0</v>
      </c>
      <c r="K1510">
        <v>-179.87</v>
      </c>
      <c r="L1510" t="s">
        <v>2917</v>
      </c>
      <c r="M1510">
        <v>-1046.08</v>
      </c>
      <c r="N1510" t="s">
        <v>2918</v>
      </c>
      <c r="O1510" t="s">
        <v>9035</v>
      </c>
      <c r="P1510" t="s">
        <v>2208</v>
      </c>
      <c r="Q1510" t="s">
        <v>2933</v>
      </c>
      <c r="R1510" t="s">
        <v>3314</v>
      </c>
      <c r="S1510" t="s">
        <v>2208</v>
      </c>
      <c r="T1510" t="s">
        <v>2208</v>
      </c>
    </row>
    <row r="1511" spans="1:20">
      <c r="A1511" t="s">
        <v>2388</v>
      </c>
      <c r="B1511" t="s">
        <v>7740</v>
      </c>
      <c r="C1511">
        <v>45716</v>
      </c>
      <c r="D1511" t="s">
        <v>7263</v>
      </c>
      <c r="E1511" t="s">
        <v>2925</v>
      </c>
      <c r="F1511">
        <v>45716</v>
      </c>
      <c r="G1511" t="s">
        <v>2208</v>
      </c>
      <c r="H1511" t="s">
        <v>2916</v>
      </c>
      <c r="I1511" t="s">
        <v>9164</v>
      </c>
      <c r="J1511">
        <v>0</v>
      </c>
      <c r="K1511">
        <v>0.03</v>
      </c>
      <c r="L1511" t="s">
        <v>2917</v>
      </c>
      <c r="M1511">
        <v>0</v>
      </c>
      <c r="N1511" t="s">
        <v>2918</v>
      </c>
      <c r="O1511" t="s">
        <v>2919</v>
      </c>
      <c r="P1511" t="s">
        <v>2208</v>
      </c>
      <c r="Q1511" t="s">
        <v>2916</v>
      </c>
      <c r="R1511" t="s">
        <v>3220</v>
      </c>
      <c r="S1511" t="s">
        <v>2208</v>
      </c>
      <c r="T1511" t="s">
        <v>2208</v>
      </c>
    </row>
    <row r="1512" spans="1:20">
      <c r="A1512" t="s">
        <v>2388</v>
      </c>
      <c r="B1512" t="s">
        <v>9126</v>
      </c>
      <c r="C1512">
        <v>45734</v>
      </c>
      <c r="D1512" t="s">
        <v>7263</v>
      </c>
      <c r="E1512" t="s">
        <v>9127</v>
      </c>
      <c r="F1512">
        <v>45737</v>
      </c>
      <c r="G1512" t="s">
        <v>8681</v>
      </c>
      <c r="H1512" t="s">
        <v>2916</v>
      </c>
      <c r="I1512" t="s">
        <v>11143</v>
      </c>
      <c r="J1512">
        <v>36</v>
      </c>
      <c r="K1512">
        <v>1296.8499999999999</v>
      </c>
      <c r="L1512" t="s">
        <v>2917</v>
      </c>
      <c r="M1512">
        <v>7566.65</v>
      </c>
      <c r="N1512" t="s">
        <v>2918</v>
      </c>
      <c r="O1512" t="s">
        <v>11144</v>
      </c>
      <c r="P1512" t="s">
        <v>7356</v>
      </c>
      <c r="Q1512" t="s">
        <v>2924</v>
      </c>
      <c r="R1512" t="s">
        <v>3219</v>
      </c>
      <c r="S1512" t="s">
        <v>7357</v>
      </c>
      <c r="T1512" t="s">
        <v>7358</v>
      </c>
    </row>
    <row r="1513" spans="1:20">
      <c r="A1513" t="s">
        <v>2388</v>
      </c>
      <c r="B1513" t="s">
        <v>9126</v>
      </c>
      <c r="C1513">
        <v>45734</v>
      </c>
      <c r="D1513" t="s">
        <v>7263</v>
      </c>
      <c r="E1513" t="s">
        <v>9127</v>
      </c>
      <c r="F1513">
        <v>45737</v>
      </c>
      <c r="G1513" t="s">
        <v>8681</v>
      </c>
      <c r="H1513" t="s">
        <v>2916</v>
      </c>
      <c r="I1513" t="s">
        <v>11145</v>
      </c>
      <c r="J1513">
        <v>0</v>
      </c>
      <c r="K1513">
        <v>-153.11000000000001</v>
      </c>
      <c r="L1513" t="s">
        <v>2917</v>
      </c>
      <c r="M1513">
        <v>-893.35</v>
      </c>
      <c r="N1513" t="s">
        <v>2918</v>
      </c>
      <c r="O1513" t="s">
        <v>11146</v>
      </c>
      <c r="P1513" t="s">
        <v>7356</v>
      </c>
      <c r="Q1513" t="s">
        <v>2924</v>
      </c>
      <c r="R1513" t="s">
        <v>3219</v>
      </c>
      <c r="S1513" t="s">
        <v>7357</v>
      </c>
      <c r="T1513" t="s">
        <v>7358</v>
      </c>
    </row>
    <row r="1514" spans="1:20">
      <c r="A1514" t="s">
        <v>2388</v>
      </c>
      <c r="B1514" t="s">
        <v>9126</v>
      </c>
      <c r="C1514">
        <v>45743</v>
      </c>
      <c r="D1514" t="s">
        <v>7263</v>
      </c>
      <c r="E1514" t="s">
        <v>9127</v>
      </c>
      <c r="F1514">
        <v>45743</v>
      </c>
      <c r="G1514" t="s">
        <v>2208</v>
      </c>
      <c r="H1514" t="s">
        <v>2916</v>
      </c>
      <c r="I1514" t="s">
        <v>11324</v>
      </c>
      <c r="J1514">
        <v>0</v>
      </c>
      <c r="K1514">
        <v>-108.07</v>
      </c>
      <c r="L1514" t="s">
        <v>2917</v>
      </c>
      <c r="M1514">
        <v>-630.55999999999995</v>
      </c>
      <c r="N1514" t="s">
        <v>2918</v>
      </c>
      <c r="O1514" t="s">
        <v>11325</v>
      </c>
      <c r="P1514" t="s">
        <v>2208</v>
      </c>
      <c r="Q1514" t="s">
        <v>2933</v>
      </c>
      <c r="R1514" t="s">
        <v>3314</v>
      </c>
      <c r="S1514" t="s">
        <v>2208</v>
      </c>
      <c r="T1514" t="s">
        <v>2208</v>
      </c>
    </row>
    <row r="1515" spans="1:20">
      <c r="A1515" t="s">
        <v>2388</v>
      </c>
      <c r="B1515" t="s">
        <v>9126</v>
      </c>
      <c r="C1515">
        <v>45747</v>
      </c>
      <c r="D1515" t="s">
        <v>7263</v>
      </c>
      <c r="E1515" t="s">
        <v>9127</v>
      </c>
      <c r="F1515">
        <v>45747</v>
      </c>
      <c r="G1515" t="s">
        <v>2208</v>
      </c>
      <c r="H1515" t="s">
        <v>2916</v>
      </c>
      <c r="I1515" t="s">
        <v>11418</v>
      </c>
      <c r="J1515">
        <v>0</v>
      </c>
      <c r="K1515">
        <v>0.04</v>
      </c>
      <c r="L1515" t="s">
        <v>2917</v>
      </c>
      <c r="M1515">
        <v>0</v>
      </c>
      <c r="N1515" t="s">
        <v>2918</v>
      </c>
      <c r="O1515" t="s">
        <v>2919</v>
      </c>
      <c r="P1515" t="s">
        <v>2208</v>
      </c>
      <c r="Q1515" t="s">
        <v>2916</v>
      </c>
      <c r="R1515" t="s">
        <v>3220</v>
      </c>
      <c r="S1515" t="s">
        <v>2208</v>
      </c>
      <c r="T1515" t="s">
        <v>2208</v>
      </c>
    </row>
    <row r="1516" spans="1:20">
      <c r="A1516" t="s">
        <v>2388</v>
      </c>
      <c r="B1516" t="s">
        <v>11331</v>
      </c>
      <c r="C1516">
        <v>45744</v>
      </c>
      <c r="D1516" t="s">
        <v>7263</v>
      </c>
      <c r="E1516" t="s">
        <v>11332</v>
      </c>
      <c r="F1516">
        <v>45751</v>
      </c>
      <c r="G1516" t="s">
        <v>8681</v>
      </c>
      <c r="H1516" t="s">
        <v>2916</v>
      </c>
      <c r="I1516" t="s">
        <v>12193</v>
      </c>
      <c r="J1516">
        <v>18</v>
      </c>
      <c r="K1516">
        <v>656.98</v>
      </c>
      <c r="L1516" t="s">
        <v>2917</v>
      </c>
      <c r="M1516">
        <v>3783.33</v>
      </c>
      <c r="N1516" t="s">
        <v>2918</v>
      </c>
      <c r="O1516" t="s">
        <v>12194</v>
      </c>
      <c r="P1516" t="s">
        <v>7356</v>
      </c>
      <c r="Q1516" t="s">
        <v>2924</v>
      </c>
      <c r="R1516" t="s">
        <v>3219</v>
      </c>
      <c r="S1516" t="s">
        <v>7357</v>
      </c>
      <c r="T1516" t="s">
        <v>7358</v>
      </c>
    </row>
    <row r="1517" spans="1:20">
      <c r="A1517" t="s">
        <v>2388</v>
      </c>
      <c r="B1517" t="s">
        <v>11331</v>
      </c>
      <c r="C1517">
        <v>45744</v>
      </c>
      <c r="D1517" t="s">
        <v>7263</v>
      </c>
      <c r="E1517" t="s">
        <v>11332</v>
      </c>
      <c r="F1517">
        <v>45751</v>
      </c>
      <c r="G1517" t="s">
        <v>8681</v>
      </c>
      <c r="H1517" t="s">
        <v>2916</v>
      </c>
      <c r="I1517" t="s">
        <v>12195</v>
      </c>
      <c r="J1517">
        <v>0</v>
      </c>
      <c r="K1517">
        <v>-77.569999999999993</v>
      </c>
      <c r="L1517" t="s">
        <v>2917</v>
      </c>
      <c r="M1517">
        <v>-446.67</v>
      </c>
      <c r="N1517" t="s">
        <v>2918</v>
      </c>
      <c r="O1517" t="s">
        <v>12196</v>
      </c>
      <c r="P1517" t="s">
        <v>7356</v>
      </c>
      <c r="Q1517" t="s">
        <v>2924</v>
      </c>
      <c r="R1517" t="s">
        <v>3219</v>
      </c>
      <c r="S1517" t="s">
        <v>7357</v>
      </c>
      <c r="T1517" t="s">
        <v>7358</v>
      </c>
    </row>
    <row r="1518" spans="1:20">
      <c r="A1518" t="s">
        <v>2388</v>
      </c>
      <c r="B1518" t="s">
        <v>11331</v>
      </c>
      <c r="C1518">
        <v>45754</v>
      </c>
      <c r="D1518" t="s">
        <v>7263</v>
      </c>
      <c r="E1518" t="s">
        <v>11332</v>
      </c>
      <c r="F1518">
        <v>45754</v>
      </c>
      <c r="G1518" t="s">
        <v>12197</v>
      </c>
      <c r="H1518" t="s">
        <v>2916</v>
      </c>
      <c r="I1518" t="s">
        <v>12198</v>
      </c>
      <c r="J1518">
        <v>1</v>
      </c>
      <c r="K1518">
        <v>53446.28</v>
      </c>
      <c r="L1518" t="s">
        <v>2917</v>
      </c>
      <c r="M1518">
        <v>307781.65000000002</v>
      </c>
      <c r="N1518" t="s">
        <v>2918</v>
      </c>
      <c r="O1518" t="s">
        <v>12199</v>
      </c>
      <c r="P1518" t="s">
        <v>12174</v>
      </c>
      <c r="Q1518" t="s">
        <v>2924</v>
      </c>
      <c r="R1518" t="s">
        <v>3219</v>
      </c>
      <c r="S1518" t="s">
        <v>12175</v>
      </c>
      <c r="T1518" t="s">
        <v>12176</v>
      </c>
    </row>
    <row r="1519" spans="1:20">
      <c r="A1519" t="s">
        <v>2388</v>
      </c>
      <c r="B1519" t="s">
        <v>11331</v>
      </c>
      <c r="C1519">
        <v>45754</v>
      </c>
      <c r="D1519" t="s">
        <v>7263</v>
      </c>
      <c r="E1519" t="s">
        <v>11332</v>
      </c>
      <c r="F1519">
        <v>45754</v>
      </c>
      <c r="G1519" t="s">
        <v>12197</v>
      </c>
      <c r="H1519" t="s">
        <v>2916</v>
      </c>
      <c r="I1519" t="s">
        <v>12198</v>
      </c>
      <c r="J1519">
        <v>1</v>
      </c>
      <c r="K1519">
        <v>1883.94</v>
      </c>
      <c r="L1519" t="s">
        <v>2917</v>
      </c>
      <c r="M1519">
        <v>10849.08</v>
      </c>
      <c r="N1519" t="s">
        <v>2918</v>
      </c>
      <c r="O1519" t="s">
        <v>12199</v>
      </c>
      <c r="P1519" t="s">
        <v>12182</v>
      </c>
      <c r="Q1519" t="s">
        <v>2924</v>
      </c>
      <c r="R1519" t="s">
        <v>3219</v>
      </c>
      <c r="S1519" t="s">
        <v>12183</v>
      </c>
      <c r="T1519" t="s">
        <v>12184</v>
      </c>
    </row>
    <row r="1520" spans="1:20">
      <c r="A1520" t="s">
        <v>2388</v>
      </c>
      <c r="B1520" t="s">
        <v>11331</v>
      </c>
      <c r="C1520">
        <v>45754</v>
      </c>
      <c r="D1520" t="s">
        <v>7263</v>
      </c>
      <c r="E1520" t="s">
        <v>11332</v>
      </c>
      <c r="F1520">
        <v>45754</v>
      </c>
      <c r="G1520" t="s">
        <v>12197</v>
      </c>
      <c r="H1520" t="s">
        <v>2916</v>
      </c>
      <c r="I1520" t="s">
        <v>12198</v>
      </c>
      <c r="J1520">
        <v>1</v>
      </c>
      <c r="K1520">
        <v>25383.63</v>
      </c>
      <c r="L1520" t="s">
        <v>2917</v>
      </c>
      <c r="M1520">
        <v>146176.97</v>
      </c>
      <c r="N1520" t="s">
        <v>2918</v>
      </c>
      <c r="O1520" t="s">
        <v>12199</v>
      </c>
      <c r="P1520" t="s">
        <v>12177</v>
      </c>
      <c r="Q1520" t="s">
        <v>2924</v>
      </c>
      <c r="R1520" t="s">
        <v>3219</v>
      </c>
      <c r="S1520" t="s">
        <v>12178</v>
      </c>
      <c r="T1520" t="s">
        <v>12179</v>
      </c>
    </row>
    <row r="1521" spans="1:20">
      <c r="A1521" t="s">
        <v>2388</v>
      </c>
      <c r="B1521" t="s">
        <v>11331</v>
      </c>
      <c r="C1521">
        <v>45754</v>
      </c>
      <c r="D1521" t="s">
        <v>7263</v>
      </c>
      <c r="E1521" t="s">
        <v>11332</v>
      </c>
      <c r="F1521">
        <v>45754</v>
      </c>
      <c r="G1521" t="s">
        <v>12197</v>
      </c>
      <c r="H1521" t="s">
        <v>2916</v>
      </c>
      <c r="I1521" t="s">
        <v>12200</v>
      </c>
      <c r="J1521">
        <v>1</v>
      </c>
      <c r="K1521">
        <v>2557.4499999999998</v>
      </c>
      <c r="L1521" t="s">
        <v>2917</v>
      </c>
      <c r="M1521">
        <v>14727.63</v>
      </c>
      <c r="N1521" t="s">
        <v>2918</v>
      </c>
      <c r="O1521" t="s">
        <v>12201</v>
      </c>
      <c r="P1521" t="s">
        <v>12185</v>
      </c>
      <c r="Q1521" t="s">
        <v>2924</v>
      </c>
      <c r="R1521" t="s">
        <v>3219</v>
      </c>
      <c r="S1521" t="s">
        <v>12186</v>
      </c>
      <c r="T1521" t="s">
        <v>12187</v>
      </c>
    </row>
    <row r="1522" spans="1:20">
      <c r="A1522" t="s">
        <v>2388</v>
      </c>
      <c r="B1522" t="s">
        <v>11331</v>
      </c>
      <c r="C1522">
        <v>45748</v>
      </c>
      <c r="D1522" t="s">
        <v>7263</v>
      </c>
      <c r="E1522" t="s">
        <v>11332</v>
      </c>
      <c r="F1522">
        <v>45755</v>
      </c>
      <c r="G1522" t="s">
        <v>12197</v>
      </c>
      <c r="H1522" t="s">
        <v>2916</v>
      </c>
      <c r="I1522" t="s">
        <v>12383</v>
      </c>
      <c r="J1522">
        <v>0</v>
      </c>
      <c r="K1522">
        <v>5.62</v>
      </c>
      <c r="L1522" t="s">
        <v>2917</v>
      </c>
      <c r="M1522">
        <v>32.35</v>
      </c>
      <c r="N1522" t="s">
        <v>2918</v>
      </c>
      <c r="O1522" t="s">
        <v>12384</v>
      </c>
      <c r="P1522" t="s">
        <v>12185</v>
      </c>
      <c r="Q1522" t="s">
        <v>12360</v>
      </c>
      <c r="R1522" t="s">
        <v>12361</v>
      </c>
      <c r="S1522" t="s">
        <v>12186</v>
      </c>
      <c r="T1522" t="s">
        <v>12187</v>
      </c>
    </row>
    <row r="1523" spans="1:20">
      <c r="A1523" t="s">
        <v>2388</v>
      </c>
      <c r="B1523" t="s">
        <v>11331</v>
      </c>
      <c r="C1523">
        <v>45751</v>
      </c>
      <c r="D1523" t="s">
        <v>7263</v>
      </c>
      <c r="E1523" t="s">
        <v>11332</v>
      </c>
      <c r="F1523">
        <v>45756</v>
      </c>
      <c r="G1523" t="s">
        <v>12197</v>
      </c>
      <c r="H1523" t="s">
        <v>2916</v>
      </c>
      <c r="I1523" t="s">
        <v>12385</v>
      </c>
      <c r="J1523">
        <v>0</v>
      </c>
      <c r="K1523">
        <v>117.42</v>
      </c>
      <c r="L1523" t="s">
        <v>2917</v>
      </c>
      <c r="M1523">
        <v>676.18</v>
      </c>
      <c r="N1523" t="s">
        <v>2918</v>
      </c>
      <c r="O1523" t="s">
        <v>12386</v>
      </c>
      <c r="P1523" t="s">
        <v>12174</v>
      </c>
      <c r="Q1523" t="s">
        <v>12360</v>
      </c>
      <c r="R1523" t="s">
        <v>12361</v>
      </c>
      <c r="S1523" t="s">
        <v>12175</v>
      </c>
      <c r="T1523" t="s">
        <v>12176</v>
      </c>
    </row>
    <row r="1524" spans="1:20">
      <c r="A1524" t="s">
        <v>2388</v>
      </c>
      <c r="B1524" t="s">
        <v>11331</v>
      </c>
      <c r="C1524">
        <v>45751</v>
      </c>
      <c r="D1524" t="s">
        <v>7263</v>
      </c>
      <c r="E1524" t="s">
        <v>11332</v>
      </c>
      <c r="F1524">
        <v>45756</v>
      </c>
      <c r="G1524" t="s">
        <v>12197</v>
      </c>
      <c r="H1524" t="s">
        <v>2916</v>
      </c>
      <c r="I1524" t="s">
        <v>12385</v>
      </c>
      <c r="J1524">
        <v>0</v>
      </c>
      <c r="K1524">
        <v>4.1399999999999997</v>
      </c>
      <c r="L1524" t="s">
        <v>2917</v>
      </c>
      <c r="M1524">
        <v>23.84</v>
      </c>
      <c r="N1524" t="s">
        <v>2918</v>
      </c>
      <c r="O1524" t="s">
        <v>12386</v>
      </c>
      <c r="P1524" t="s">
        <v>12182</v>
      </c>
      <c r="Q1524" t="s">
        <v>12360</v>
      </c>
      <c r="R1524" t="s">
        <v>12361</v>
      </c>
      <c r="S1524" t="s">
        <v>12183</v>
      </c>
      <c r="T1524" t="s">
        <v>12184</v>
      </c>
    </row>
    <row r="1525" spans="1:20">
      <c r="A1525" t="s">
        <v>2388</v>
      </c>
      <c r="B1525" t="s">
        <v>11331</v>
      </c>
      <c r="C1525">
        <v>45751</v>
      </c>
      <c r="D1525" t="s">
        <v>7263</v>
      </c>
      <c r="E1525" t="s">
        <v>11332</v>
      </c>
      <c r="F1525">
        <v>45756</v>
      </c>
      <c r="G1525" t="s">
        <v>12197</v>
      </c>
      <c r="H1525" t="s">
        <v>2916</v>
      </c>
      <c r="I1525" t="s">
        <v>12385</v>
      </c>
      <c r="J1525">
        <v>0</v>
      </c>
      <c r="K1525">
        <v>55.77</v>
      </c>
      <c r="L1525" t="s">
        <v>2917</v>
      </c>
      <c r="M1525">
        <v>321.14999999999998</v>
      </c>
      <c r="N1525" t="s">
        <v>2918</v>
      </c>
      <c r="O1525" t="s">
        <v>12386</v>
      </c>
      <c r="P1525" t="s">
        <v>12177</v>
      </c>
      <c r="Q1525" t="s">
        <v>12360</v>
      </c>
      <c r="R1525" t="s">
        <v>12361</v>
      </c>
      <c r="S1525" t="s">
        <v>12178</v>
      </c>
      <c r="T1525" t="s">
        <v>12179</v>
      </c>
    </row>
    <row r="1526" spans="1:20">
      <c r="A1526" t="s">
        <v>2388</v>
      </c>
      <c r="B1526" t="s">
        <v>11331</v>
      </c>
      <c r="C1526">
        <v>45756</v>
      </c>
      <c r="D1526" t="s">
        <v>7263</v>
      </c>
      <c r="E1526" t="s">
        <v>11332</v>
      </c>
      <c r="F1526">
        <v>45758</v>
      </c>
      <c r="G1526" t="s">
        <v>8681</v>
      </c>
      <c r="H1526" t="s">
        <v>2916</v>
      </c>
      <c r="I1526" t="s">
        <v>12387</v>
      </c>
      <c r="J1526">
        <v>6</v>
      </c>
      <c r="K1526">
        <v>218.99</v>
      </c>
      <c r="L1526" t="s">
        <v>2917</v>
      </c>
      <c r="M1526">
        <v>1261.1099999999999</v>
      </c>
      <c r="N1526" t="s">
        <v>2918</v>
      </c>
      <c r="O1526" t="s">
        <v>12388</v>
      </c>
      <c r="P1526" t="s">
        <v>7356</v>
      </c>
      <c r="Q1526" t="s">
        <v>2924</v>
      </c>
      <c r="R1526" t="s">
        <v>3219</v>
      </c>
      <c r="S1526" t="s">
        <v>7357</v>
      </c>
      <c r="T1526" t="s">
        <v>7358</v>
      </c>
    </row>
    <row r="1527" spans="1:20">
      <c r="A1527" t="s">
        <v>2388</v>
      </c>
      <c r="B1527" t="s">
        <v>11331</v>
      </c>
      <c r="C1527">
        <v>45756</v>
      </c>
      <c r="D1527" t="s">
        <v>7263</v>
      </c>
      <c r="E1527" t="s">
        <v>11332</v>
      </c>
      <c r="F1527">
        <v>45758</v>
      </c>
      <c r="G1527" t="s">
        <v>8681</v>
      </c>
      <c r="H1527" t="s">
        <v>2916</v>
      </c>
      <c r="I1527" t="s">
        <v>12389</v>
      </c>
      <c r="J1527">
        <v>0</v>
      </c>
      <c r="K1527">
        <v>-25.85</v>
      </c>
      <c r="L1527" t="s">
        <v>2917</v>
      </c>
      <c r="M1527">
        <v>-148.88999999999999</v>
      </c>
      <c r="N1527" t="s">
        <v>2918</v>
      </c>
      <c r="O1527" t="s">
        <v>12390</v>
      </c>
      <c r="P1527" t="s">
        <v>7356</v>
      </c>
      <c r="Q1527" t="s">
        <v>2924</v>
      </c>
      <c r="R1527" t="s">
        <v>3219</v>
      </c>
      <c r="S1527" t="s">
        <v>7357</v>
      </c>
      <c r="T1527" t="s">
        <v>7358</v>
      </c>
    </row>
    <row r="1528" spans="1:20">
      <c r="A1528" t="s">
        <v>2388</v>
      </c>
      <c r="B1528" t="s">
        <v>11331</v>
      </c>
      <c r="C1528">
        <v>45751</v>
      </c>
      <c r="D1528" t="s">
        <v>7263</v>
      </c>
      <c r="E1528" t="s">
        <v>11332</v>
      </c>
      <c r="F1528">
        <v>45761</v>
      </c>
      <c r="G1528" t="s">
        <v>12391</v>
      </c>
      <c r="H1528" t="s">
        <v>2916</v>
      </c>
      <c r="I1528" t="s">
        <v>12392</v>
      </c>
      <c r="J1528">
        <v>0</v>
      </c>
      <c r="K1528">
        <v>-748.94</v>
      </c>
      <c r="L1528" t="s">
        <v>2917</v>
      </c>
      <c r="M1528">
        <v>-4312.93</v>
      </c>
      <c r="N1528" t="s">
        <v>2918</v>
      </c>
      <c r="O1528" t="s">
        <v>12393</v>
      </c>
      <c r="P1528" t="s">
        <v>11404</v>
      </c>
      <c r="Q1528" t="s">
        <v>2924</v>
      </c>
      <c r="R1528" t="s">
        <v>3219</v>
      </c>
      <c r="S1528" t="s">
        <v>11405</v>
      </c>
      <c r="T1528" t="s">
        <v>11406</v>
      </c>
    </row>
    <row r="1529" spans="1:20">
      <c r="A1529" t="s">
        <v>2388</v>
      </c>
      <c r="B1529" t="s">
        <v>11331</v>
      </c>
      <c r="C1529">
        <v>45751</v>
      </c>
      <c r="D1529" t="s">
        <v>7263</v>
      </c>
      <c r="E1529" t="s">
        <v>11332</v>
      </c>
      <c r="F1529">
        <v>45761</v>
      </c>
      <c r="G1529" t="s">
        <v>12391</v>
      </c>
      <c r="H1529" t="s">
        <v>2916</v>
      </c>
      <c r="I1529" t="s">
        <v>12392</v>
      </c>
      <c r="J1529">
        <v>0</v>
      </c>
      <c r="K1529">
        <v>-225.21</v>
      </c>
      <c r="L1529" t="s">
        <v>2917</v>
      </c>
      <c r="M1529">
        <v>-1296.8800000000001</v>
      </c>
      <c r="N1529" t="s">
        <v>2918</v>
      </c>
      <c r="O1529" t="s">
        <v>12393</v>
      </c>
      <c r="P1529" t="s">
        <v>11410</v>
      </c>
      <c r="Q1529" t="s">
        <v>2924</v>
      </c>
      <c r="R1529" t="s">
        <v>3219</v>
      </c>
      <c r="S1529" t="s">
        <v>11411</v>
      </c>
      <c r="T1529" t="s">
        <v>11412</v>
      </c>
    </row>
    <row r="1530" spans="1:20">
      <c r="A1530" t="s">
        <v>2388</v>
      </c>
      <c r="B1530" t="s">
        <v>11331</v>
      </c>
      <c r="C1530">
        <v>45709</v>
      </c>
      <c r="D1530" t="s">
        <v>7263</v>
      </c>
      <c r="E1530" t="s">
        <v>11332</v>
      </c>
      <c r="F1530">
        <v>45761</v>
      </c>
      <c r="G1530" t="s">
        <v>12391</v>
      </c>
      <c r="H1530" t="s">
        <v>2916</v>
      </c>
      <c r="I1530" t="s">
        <v>12394</v>
      </c>
      <c r="J1530">
        <v>4</v>
      </c>
      <c r="K1530">
        <v>2807.59</v>
      </c>
      <c r="L1530" t="s">
        <v>2917</v>
      </c>
      <c r="M1530">
        <v>16168.1</v>
      </c>
      <c r="N1530" t="s">
        <v>2918</v>
      </c>
      <c r="O1530" t="s">
        <v>12395</v>
      </c>
      <c r="P1530" t="s">
        <v>11413</v>
      </c>
      <c r="Q1530" t="s">
        <v>2924</v>
      </c>
      <c r="R1530" t="s">
        <v>3219</v>
      </c>
      <c r="S1530" t="s">
        <v>11414</v>
      </c>
      <c r="T1530" t="s">
        <v>11415</v>
      </c>
    </row>
    <row r="1531" spans="1:20">
      <c r="A1531" t="s">
        <v>2388</v>
      </c>
      <c r="B1531" t="s">
        <v>11331</v>
      </c>
      <c r="C1531">
        <v>45754</v>
      </c>
      <c r="D1531" t="s">
        <v>7263</v>
      </c>
      <c r="E1531" t="s">
        <v>11332</v>
      </c>
      <c r="F1531">
        <v>45761</v>
      </c>
      <c r="G1531" t="s">
        <v>12197</v>
      </c>
      <c r="H1531" t="s">
        <v>2916</v>
      </c>
      <c r="I1531" t="s">
        <v>12396</v>
      </c>
      <c r="J1531">
        <v>1</v>
      </c>
      <c r="K1531">
        <v>24682.52</v>
      </c>
      <c r="L1531" t="s">
        <v>2917</v>
      </c>
      <c r="M1531">
        <v>142139.45000000001</v>
      </c>
      <c r="N1531" t="s">
        <v>2918</v>
      </c>
      <c r="O1531" t="s">
        <v>12397</v>
      </c>
      <c r="P1531" t="s">
        <v>12366</v>
      </c>
      <c r="Q1531" t="s">
        <v>2924</v>
      </c>
      <c r="R1531" t="s">
        <v>3219</v>
      </c>
      <c r="S1531" t="s">
        <v>12367</v>
      </c>
      <c r="T1531" t="s">
        <v>12368</v>
      </c>
    </row>
    <row r="1532" spans="1:20">
      <c r="A1532" t="s">
        <v>2388</v>
      </c>
      <c r="B1532" t="s">
        <v>11331</v>
      </c>
      <c r="C1532">
        <v>45754</v>
      </c>
      <c r="D1532" t="s">
        <v>7263</v>
      </c>
      <c r="E1532" t="s">
        <v>11332</v>
      </c>
      <c r="F1532">
        <v>45761</v>
      </c>
      <c r="G1532" t="s">
        <v>12197</v>
      </c>
      <c r="H1532" t="s">
        <v>2916</v>
      </c>
      <c r="I1532" t="s">
        <v>12398</v>
      </c>
      <c r="J1532">
        <v>0</v>
      </c>
      <c r="K1532">
        <v>2106.54</v>
      </c>
      <c r="L1532" t="s">
        <v>2917</v>
      </c>
      <c r="M1532">
        <v>12130.97</v>
      </c>
      <c r="N1532" t="s">
        <v>2918</v>
      </c>
      <c r="O1532" t="s">
        <v>12399</v>
      </c>
      <c r="P1532" t="s">
        <v>12366</v>
      </c>
      <c r="Q1532" t="s">
        <v>12360</v>
      </c>
      <c r="R1532" t="s">
        <v>12361</v>
      </c>
      <c r="S1532" t="s">
        <v>12367</v>
      </c>
      <c r="T1532" t="s">
        <v>12368</v>
      </c>
    </row>
    <row r="1533" spans="1:20">
      <c r="A1533" t="s">
        <v>2388</v>
      </c>
      <c r="B1533" t="s">
        <v>11331</v>
      </c>
      <c r="C1533">
        <v>45751</v>
      </c>
      <c r="D1533" t="s">
        <v>7263</v>
      </c>
      <c r="E1533" t="s">
        <v>11332</v>
      </c>
      <c r="F1533">
        <v>45761</v>
      </c>
      <c r="G1533" t="s">
        <v>12391</v>
      </c>
      <c r="H1533" t="s">
        <v>2916</v>
      </c>
      <c r="I1533" t="s">
        <v>12400</v>
      </c>
      <c r="J1533">
        <v>1</v>
      </c>
      <c r="K1533">
        <v>6807.52</v>
      </c>
      <c r="L1533" t="s">
        <v>2917</v>
      </c>
      <c r="M1533">
        <v>39202.51</v>
      </c>
      <c r="N1533" t="s">
        <v>2918</v>
      </c>
      <c r="O1533" t="s">
        <v>12401</v>
      </c>
      <c r="P1533" t="s">
        <v>11404</v>
      </c>
      <c r="Q1533" t="s">
        <v>2924</v>
      </c>
      <c r="R1533" t="s">
        <v>3219</v>
      </c>
      <c r="S1533" t="s">
        <v>11405</v>
      </c>
      <c r="T1533" t="s">
        <v>11406</v>
      </c>
    </row>
    <row r="1534" spans="1:20">
      <c r="A1534" t="s">
        <v>2388</v>
      </c>
      <c r="B1534" t="s">
        <v>11331</v>
      </c>
      <c r="C1534">
        <v>45751</v>
      </c>
      <c r="D1534" t="s">
        <v>7263</v>
      </c>
      <c r="E1534" t="s">
        <v>11332</v>
      </c>
      <c r="F1534">
        <v>45761</v>
      </c>
      <c r="G1534" t="s">
        <v>12391</v>
      </c>
      <c r="H1534" t="s">
        <v>2916</v>
      </c>
      <c r="I1534" t="s">
        <v>12400</v>
      </c>
      <c r="J1534">
        <v>1</v>
      </c>
      <c r="K1534">
        <v>2046.99</v>
      </c>
      <c r="L1534" t="s">
        <v>2917</v>
      </c>
      <c r="M1534">
        <v>11788</v>
      </c>
      <c r="N1534" t="s">
        <v>2918</v>
      </c>
      <c r="O1534" t="s">
        <v>12401</v>
      </c>
      <c r="P1534" t="s">
        <v>11410</v>
      </c>
      <c r="Q1534" t="s">
        <v>2924</v>
      </c>
      <c r="R1534" t="s">
        <v>3219</v>
      </c>
      <c r="S1534" t="s">
        <v>11411</v>
      </c>
      <c r="T1534" t="s">
        <v>11412</v>
      </c>
    </row>
    <row r="1535" spans="1:20">
      <c r="A1535" t="s">
        <v>2388</v>
      </c>
      <c r="B1535" t="s">
        <v>11331</v>
      </c>
      <c r="C1535">
        <v>45709</v>
      </c>
      <c r="D1535" t="s">
        <v>7263</v>
      </c>
      <c r="E1535" t="s">
        <v>11332</v>
      </c>
      <c r="F1535">
        <v>45761</v>
      </c>
      <c r="G1535" t="s">
        <v>12391</v>
      </c>
      <c r="H1535" t="s">
        <v>2916</v>
      </c>
      <c r="I1535" t="s">
        <v>12402</v>
      </c>
      <c r="J1535">
        <v>0</v>
      </c>
      <c r="K1535">
        <v>-308.88</v>
      </c>
      <c r="L1535" t="s">
        <v>2917</v>
      </c>
      <c r="M1535">
        <v>-1778.77</v>
      </c>
      <c r="N1535" t="s">
        <v>2918</v>
      </c>
      <c r="O1535" t="s">
        <v>12403</v>
      </c>
      <c r="P1535" t="s">
        <v>11413</v>
      </c>
      <c r="Q1535" t="s">
        <v>2924</v>
      </c>
      <c r="R1535" t="s">
        <v>3219</v>
      </c>
      <c r="S1535" t="s">
        <v>11414</v>
      </c>
      <c r="T1535" t="s">
        <v>11415</v>
      </c>
    </row>
    <row r="1536" spans="1:20">
      <c r="A1536" t="s">
        <v>2388</v>
      </c>
      <c r="B1536" t="s">
        <v>11331</v>
      </c>
      <c r="C1536">
        <v>45754</v>
      </c>
      <c r="D1536" t="s">
        <v>7263</v>
      </c>
      <c r="E1536" t="s">
        <v>11332</v>
      </c>
      <c r="F1536">
        <v>45761</v>
      </c>
      <c r="G1536" t="s">
        <v>12197</v>
      </c>
      <c r="H1536" t="s">
        <v>2916</v>
      </c>
      <c r="I1536" t="s">
        <v>15917</v>
      </c>
      <c r="J1536">
        <v>0</v>
      </c>
      <c r="K1536">
        <v>-2106.54</v>
      </c>
      <c r="L1536" t="s">
        <v>2917</v>
      </c>
      <c r="M1536">
        <v>-12130.97</v>
      </c>
      <c r="N1536" t="s">
        <v>2918</v>
      </c>
      <c r="O1536" t="s">
        <v>12399</v>
      </c>
      <c r="P1536" t="s">
        <v>12366</v>
      </c>
      <c r="Q1536" t="s">
        <v>12360</v>
      </c>
      <c r="R1536" t="s">
        <v>12361</v>
      </c>
      <c r="S1536" t="s">
        <v>12367</v>
      </c>
      <c r="T1536" t="s">
        <v>12368</v>
      </c>
    </row>
    <row r="1537" spans="1:20">
      <c r="A1537" t="s">
        <v>2388</v>
      </c>
      <c r="B1537" t="s">
        <v>11331</v>
      </c>
      <c r="C1537">
        <v>45754</v>
      </c>
      <c r="D1537" t="s">
        <v>7263</v>
      </c>
      <c r="E1537" t="s">
        <v>11332</v>
      </c>
      <c r="F1537">
        <v>45770</v>
      </c>
      <c r="G1537" t="s">
        <v>12197</v>
      </c>
      <c r="H1537" t="s">
        <v>2916</v>
      </c>
      <c r="I1537" t="s">
        <v>15918</v>
      </c>
      <c r="J1537">
        <v>0</v>
      </c>
      <c r="K1537">
        <v>225.25</v>
      </c>
      <c r="L1537" t="s">
        <v>2917</v>
      </c>
      <c r="M1537">
        <v>1297.17</v>
      </c>
      <c r="N1537" t="s">
        <v>2918</v>
      </c>
      <c r="O1537" t="s">
        <v>12399</v>
      </c>
      <c r="P1537" t="s">
        <v>12366</v>
      </c>
      <c r="Q1537" t="s">
        <v>12360</v>
      </c>
      <c r="R1537" t="s">
        <v>12361</v>
      </c>
      <c r="S1537" t="s">
        <v>12367</v>
      </c>
      <c r="T1537" t="s">
        <v>12368</v>
      </c>
    </row>
    <row r="1538" spans="1:20">
      <c r="A1538" t="s">
        <v>2388</v>
      </c>
      <c r="B1538" t="s">
        <v>11331</v>
      </c>
      <c r="C1538">
        <v>45751</v>
      </c>
      <c r="D1538" t="s">
        <v>7263</v>
      </c>
      <c r="E1538" t="s">
        <v>11332</v>
      </c>
      <c r="F1538">
        <v>45761</v>
      </c>
      <c r="G1538" t="s">
        <v>12391</v>
      </c>
      <c r="H1538" t="s">
        <v>2916</v>
      </c>
      <c r="I1538" t="s">
        <v>15919</v>
      </c>
      <c r="J1538">
        <v>0</v>
      </c>
      <c r="K1538">
        <v>748.94</v>
      </c>
      <c r="L1538" t="s">
        <v>2917</v>
      </c>
      <c r="M1538">
        <v>4312.93</v>
      </c>
      <c r="N1538" t="s">
        <v>2918</v>
      </c>
      <c r="O1538" t="s">
        <v>12393</v>
      </c>
      <c r="P1538" t="s">
        <v>11404</v>
      </c>
      <c r="Q1538" t="s">
        <v>2924</v>
      </c>
      <c r="R1538" t="s">
        <v>3219</v>
      </c>
      <c r="S1538" t="s">
        <v>11405</v>
      </c>
      <c r="T1538" t="s">
        <v>11406</v>
      </c>
    </row>
    <row r="1539" spans="1:20">
      <c r="A1539" t="s">
        <v>2388</v>
      </c>
      <c r="B1539" t="s">
        <v>11331</v>
      </c>
      <c r="C1539">
        <v>45751</v>
      </c>
      <c r="D1539" t="s">
        <v>7263</v>
      </c>
      <c r="E1539" t="s">
        <v>11332</v>
      </c>
      <c r="F1539">
        <v>45761</v>
      </c>
      <c r="G1539" t="s">
        <v>12391</v>
      </c>
      <c r="H1539" t="s">
        <v>2916</v>
      </c>
      <c r="I1539" t="s">
        <v>15919</v>
      </c>
      <c r="J1539">
        <v>0</v>
      </c>
      <c r="K1539">
        <v>225.21</v>
      </c>
      <c r="L1539" t="s">
        <v>2917</v>
      </c>
      <c r="M1539">
        <v>1296.8800000000001</v>
      </c>
      <c r="N1539" t="s">
        <v>2918</v>
      </c>
      <c r="O1539" t="s">
        <v>12393</v>
      </c>
      <c r="P1539" t="s">
        <v>11410</v>
      </c>
      <c r="Q1539" t="s">
        <v>2924</v>
      </c>
      <c r="R1539" t="s">
        <v>3219</v>
      </c>
      <c r="S1539" t="s">
        <v>11411</v>
      </c>
      <c r="T1539" t="s">
        <v>11412</v>
      </c>
    </row>
    <row r="1540" spans="1:20">
      <c r="A1540" t="s">
        <v>2388</v>
      </c>
      <c r="B1540" t="s">
        <v>11331</v>
      </c>
      <c r="C1540">
        <v>45751</v>
      </c>
      <c r="D1540" t="s">
        <v>7263</v>
      </c>
      <c r="E1540" t="s">
        <v>11332</v>
      </c>
      <c r="F1540">
        <v>45770</v>
      </c>
      <c r="G1540" t="s">
        <v>12391</v>
      </c>
      <c r="H1540" t="s">
        <v>2916</v>
      </c>
      <c r="I1540" t="s">
        <v>15920</v>
      </c>
      <c r="J1540">
        <v>0</v>
      </c>
      <c r="K1540">
        <v>-748.94</v>
      </c>
      <c r="L1540" t="s">
        <v>2917</v>
      </c>
      <c r="M1540">
        <v>-4312.93</v>
      </c>
      <c r="N1540" t="s">
        <v>2918</v>
      </c>
      <c r="O1540" t="s">
        <v>12393</v>
      </c>
      <c r="P1540" t="s">
        <v>11404</v>
      </c>
      <c r="Q1540" t="s">
        <v>2924</v>
      </c>
      <c r="R1540" t="s">
        <v>3219</v>
      </c>
      <c r="S1540" t="s">
        <v>11405</v>
      </c>
      <c r="T1540" t="s">
        <v>11406</v>
      </c>
    </row>
    <row r="1541" spans="1:20">
      <c r="A1541" t="s">
        <v>2388</v>
      </c>
      <c r="B1541" t="s">
        <v>11331</v>
      </c>
      <c r="C1541">
        <v>45751</v>
      </c>
      <c r="D1541" t="s">
        <v>7263</v>
      </c>
      <c r="E1541" t="s">
        <v>11332</v>
      </c>
      <c r="F1541">
        <v>45770</v>
      </c>
      <c r="G1541" t="s">
        <v>12391</v>
      </c>
      <c r="H1541" t="s">
        <v>2916</v>
      </c>
      <c r="I1541" t="s">
        <v>15920</v>
      </c>
      <c r="J1541">
        <v>0</v>
      </c>
      <c r="K1541">
        <v>-353.14</v>
      </c>
      <c r="L1541" t="s">
        <v>2917</v>
      </c>
      <c r="M1541">
        <v>-2033.63</v>
      </c>
      <c r="N1541" t="s">
        <v>2918</v>
      </c>
      <c r="O1541" t="s">
        <v>12393</v>
      </c>
      <c r="P1541" t="s">
        <v>11410</v>
      </c>
      <c r="Q1541" t="s">
        <v>2924</v>
      </c>
      <c r="R1541" t="s">
        <v>3219</v>
      </c>
      <c r="S1541" t="s">
        <v>11411</v>
      </c>
      <c r="T1541" t="s">
        <v>11412</v>
      </c>
    </row>
    <row r="1542" spans="1:20">
      <c r="A1542" t="s">
        <v>2388</v>
      </c>
      <c r="B1542" t="s">
        <v>11331</v>
      </c>
      <c r="C1542">
        <v>45754</v>
      </c>
      <c r="D1542" t="s">
        <v>7263</v>
      </c>
      <c r="E1542" t="s">
        <v>11332</v>
      </c>
      <c r="F1542">
        <v>45770</v>
      </c>
      <c r="G1542" t="s">
        <v>12197</v>
      </c>
      <c r="H1542" t="s">
        <v>2916</v>
      </c>
      <c r="I1542" t="s">
        <v>16265</v>
      </c>
      <c r="J1542">
        <v>0</v>
      </c>
      <c r="K1542">
        <v>-225.25</v>
      </c>
      <c r="L1542" t="s">
        <v>2917</v>
      </c>
      <c r="M1542">
        <v>-1297.17</v>
      </c>
      <c r="N1542" t="s">
        <v>2918</v>
      </c>
      <c r="O1542" t="s">
        <v>12399</v>
      </c>
      <c r="P1542" t="s">
        <v>12366</v>
      </c>
      <c r="Q1542" t="s">
        <v>12360</v>
      </c>
      <c r="R1542" t="s">
        <v>12361</v>
      </c>
      <c r="S1542" t="s">
        <v>12367</v>
      </c>
      <c r="T1542" t="s">
        <v>12368</v>
      </c>
    </row>
    <row r="1543" spans="1:20">
      <c r="A1543" t="s">
        <v>2388</v>
      </c>
      <c r="B1543" t="s">
        <v>11331</v>
      </c>
      <c r="C1543">
        <v>45754</v>
      </c>
      <c r="D1543" t="s">
        <v>7263</v>
      </c>
      <c r="E1543" t="s">
        <v>11332</v>
      </c>
      <c r="F1543">
        <v>45776</v>
      </c>
      <c r="G1543" t="s">
        <v>12197</v>
      </c>
      <c r="H1543" t="s">
        <v>2916</v>
      </c>
      <c r="I1543" t="s">
        <v>16266</v>
      </c>
      <c r="J1543">
        <v>0</v>
      </c>
      <c r="K1543">
        <v>54.22</v>
      </c>
      <c r="L1543" t="s">
        <v>2917</v>
      </c>
      <c r="M1543">
        <v>312.27999999999997</v>
      </c>
      <c r="N1543" t="s">
        <v>2918</v>
      </c>
      <c r="O1543" t="s">
        <v>12399</v>
      </c>
      <c r="P1543" t="s">
        <v>12366</v>
      </c>
      <c r="Q1543" t="s">
        <v>12360</v>
      </c>
      <c r="R1543" t="s">
        <v>12361</v>
      </c>
      <c r="S1543" t="s">
        <v>12367</v>
      </c>
      <c r="T1543" t="s">
        <v>12368</v>
      </c>
    </row>
    <row r="1544" spans="1:20">
      <c r="A1544" t="s">
        <v>2388</v>
      </c>
      <c r="B1544" t="s">
        <v>11331</v>
      </c>
      <c r="C1544">
        <v>45751</v>
      </c>
      <c r="D1544" t="s">
        <v>7263</v>
      </c>
      <c r="E1544" t="s">
        <v>11332</v>
      </c>
      <c r="F1544">
        <v>45770</v>
      </c>
      <c r="G1544" t="s">
        <v>12391</v>
      </c>
      <c r="H1544" t="s">
        <v>2916</v>
      </c>
      <c r="I1544" t="s">
        <v>16267</v>
      </c>
      <c r="J1544">
        <v>0</v>
      </c>
      <c r="K1544">
        <v>748.94</v>
      </c>
      <c r="L1544" t="s">
        <v>2917</v>
      </c>
      <c r="M1544">
        <v>4312.93</v>
      </c>
      <c r="N1544" t="s">
        <v>2918</v>
      </c>
      <c r="O1544" t="s">
        <v>12393</v>
      </c>
      <c r="P1544" t="s">
        <v>11404</v>
      </c>
      <c r="Q1544" t="s">
        <v>2924</v>
      </c>
      <c r="R1544" t="s">
        <v>3219</v>
      </c>
      <c r="S1544" t="s">
        <v>11405</v>
      </c>
      <c r="T1544" t="s">
        <v>11406</v>
      </c>
    </row>
    <row r="1545" spans="1:20">
      <c r="A1545" t="s">
        <v>2388</v>
      </c>
      <c r="B1545" t="s">
        <v>11331</v>
      </c>
      <c r="C1545">
        <v>45751</v>
      </c>
      <c r="D1545" t="s">
        <v>7263</v>
      </c>
      <c r="E1545" t="s">
        <v>11332</v>
      </c>
      <c r="F1545">
        <v>45770</v>
      </c>
      <c r="G1545" t="s">
        <v>12391</v>
      </c>
      <c r="H1545" t="s">
        <v>2916</v>
      </c>
      <c r="I1545" t="s">
        <v>16267</v>
      </c>
      <c r="J1545">
        <v>0</v>
      </c>
      <c r="K1545">
        <v>353.14</v>
      </c>
      <c r="L1545" t="s">
        <v>2917</v>
      </c>
      <c r="M1545">
        <v>2033.63</v>
      </c>
      <c r="N1545" t="s">
        <v>2918</v>
      </c>
      <c r="O1545" t="s">
        <v>12393</v>
      </c>
      <c r="P1545" t="s">
        <v>11410</v>
      </c>
      <c r="Q1545" t="s">
        <v>2924</v>
      </c>
      <c r="R1545" t="s">
        <v>3219</v>
      </c>
      <c r="S1545" t="s">
        <v>11411</v>
      </c>
      <c r="T1545" t="s">
        <v>11412</v>
      </c>
    </row>
    <row r="1546" spans="1:20">
      <c r="A1546" t="s">
        <v>2388</v>
      </c>
      <c r="B1546" t="s">
        <v>11331</v>
      </c>
      <c r="C1546">
        <v>45751</v>
      </c>
      <c r="D1546" t="s">
        <v>7263</v>
      </c>
      <c r="E1546" t="s">
        <v>11332</v>
      </c>
      <c r="F1546">
        <v>45776</v>
      </c>
      <c r="G1546" t="s">
        <v>12391</v>
      </c>
      <c r="H1546" t="s">
        <v>2916</v>
      </c>
      <c r="I1546" t="s">
        <v>16268</v>
      </c>
      <c r="J1546">
        <v>0</v>
      </c>
      <c r="K1546">
        <v>-748.94</v>
      </c>
      <c r="L1546" t="s">
        <v>2917</v>
      </c>
      <c r="M1546">
        <v>-4312.93</v>
      </c>
      <c r="N1546" t="s">
        <v>2918</v>
      </c>
      <c r="O1546" t="s">
        <v>12393</v>
      </c>
      <c r="P1546" t="s">
        <v>11404</v>
      </c>
      <c r="Q1546" t="s">
        <v>2924</v>
      </c>
      <c r="R1546" t="s">
        <v>3219</v>
      </c>
      <c r="S1546" t="s">
        <v>11405</v>
      </c>
      <c r="T1546" t="s">
        <v>11406</v>
      </c>
    </row>
    <row r="1547" spans="1:20">
      <c r="A1547" t="s">
        <v>2388</v>
      </c>
      <c r="B1547" t="s">
        <v>11331</v>
      </c>
      <c r="C1547">
        <v>45751</v>
      </c>
      <c r="D1547" t="s">
        <v>7263</v>
      </c>
      <c r="E1547" t="s">
        <v>11332</v>
      </c>
      <c r="F1547">
        <v>45776</v>
      </c>
      <c r="G1547" t="s">
        <v>12391</v>
      </c>
      <c r="H1547" t="s">
        <v>2916</v>
      </c>
      <c r="I1547" t="s">
        <v>16268</v>
      </c>
      <c r="J1547">
        <v>0</v>
      </c>
      <c r="K1547">
        <v>-364.77</v>
      </c>
      <c r="L1547" t="s">
        <v>2917</v>
      </c>
      <c r="M1547">
        <v>-2100.6</v>
      </c>
      <c r="N1547" t="s">
        <v>2918</v>
      </c>
      <c r="O1547" t="s">
        <v>12393</v>
      </c>
      <c r="P1547" t="s">
        <v>11410</v>
      </c>
      <c r="Q1547" t="s">
        <v>2924</v>
      </c>
      <c r="R1547" t="s">
        <v>3219</v>
      </c>
      <c r="S1547" t="s">
        <v>11411</v>
      </c>
      <c r="T1547" t="s">
        <v>11412</v>
      </c>
    </row>
    <row r="1548" spans="1:20">
      <c r="A1548" t="s">
        <v>2388</v>
      </c>
      <c r="B1548" t="s">
        <v>11331</v>
      </c>
      <c r="C1548">
        <v>45777</v>
      </c>
      <c r="D1548" t="s">
        <v>7263</v>
      </c>
      <c r="E1548" t="s">
        <v>11332</v>
      </c>
      <c r="F1548">
        <v>45777</v>
      </c>
      <c r="G1548" t="s">
        <v>2208</v>
      </c>
      <c r="H1548" t="s">
        <v>2916</v>
      </c>
      <c r="I1548" t="s">
        <v>16319</v>
      </c>
      <c r="J1548">
        <v>0</v>
      </c>
      <c r="K1548">
        <v>-11857.05</v>
      </c>
      <c r="L1548" t="s">
        <v>2917</v>
      </c>
      <c r="M1548">
        <v>-68281.34</v>
      </c>
      <c r="N1548" t="s">
        <v>2918</v>
      </c>
      <c r="O1548" t="s">
        <v>16320</v>
      </c>
      <c r="P1548" t="s">
        <v>2208</v>
      </c>
      <c r="Q1548" t="s">
        <v>2933</v>
      </c>
      <c r="R1548" t="s">
        <v>3314</v>
      </c>
      <c r="S1548" t="s">
        <v>2208</v>
      </c>
      <c r="T1548" t="s">
        <v>2208</v>
      </c>
    </row>
    <row r="1549" spans="1:20">
      <c r="A1549" t="s">
        <v>2388</v>
      </c>
      <c r="B1549" t="s">
        <v>11331</v>
      </c>
      <c r="C1549">
        <v>45777</v>
      </c>
      <c r="D1549" t="s">
        <v>7263</v>
      </c>
      <c r="E1549" t="s">
        <v>11332</v>
      </c>
      <c r="F1549">
        <v>45777</v>
      </c>
      <c r="G1549" t="s">
        <v>2208</v>
      </c>
      <c r="H1549" t="s">
        <v>2916</v>
      </c>
      <c r="I1549" t="s">
        <v>16446</v>
      </c>
      <c r="J1549">
        <v>0</v>
      </c>
      <c r="K1549">
        <v>-0.08</v>
      </c>
      <c r="L1549" t="s">
        <v>2917</v>
      </c>
      <c r="M1549">
        <v>0</v>
      </c>
      <c r="N1549" t="s">
        <v>2918</v>
      </c>
      <c r="O1549" t="s">
        <v>2919</v>
      </c>
      <c r="P1549" t="s">
        <v>2208</v>
      </c>
      <c r="Q1549" t="s">
        <v>2916</v>
      </c>
      <c r="R1549" t="s">
        <v>3220</v>
      </c>
      <c r="S1549" t="s">
        <v>2208</v>
      </c>
      <c r="T1549" t="s">
        <v>2208</v>
      </c>
    </row>
    <row r="1550" spans="1:20">
      <c r="A1550" t="s">
        <v>2388</v>
      </c>
      <c r="B1550" t="s">
        <v>16360</v>
      </c>
      <c r="C1550">
        <v>45790</v>
      </c>
      <c r="D1550" t="s">
        <v>7263</v>
      </c>
      <c r="E1550" t="s">
        <v>16361</v>
      </c>
      <c r="F1550">
        <v>45791</v>
      </c>
      <c r="G1550" t="s">
        <v>17053</v>
      </c>
      <c r="H1550" t="s">
        <v>2916</v>
      </c>
      <c r="I1550" t="s">
        <v>17054</v>
      </c>
      <c r="J1550">
        <v>0.3</v>
      </c>
      <c r="K1550">
        <v>10631.77</v>
      </c>
      <c r="L1550" t="s">
        <v>2917</v>
      </c>
      <c r="M1550">
        <v>59897.29</v>
      </c>
      <c r="N1550" t="s">
        <v>2918</v>
      </c>
      <c r="O1550" t="s">
        <v>17055</v>
      </c>
      <c r="P1550" t="s">
        <v>17056</v>
      </c>
      <c r="Q1550" t="s">
        <v>17057</v>
      </c>
      <c r="R1550" t="s">
        <v>17058</v>
      </c>
      <c r="S1550" t="s">
        <v>17059</v>
      </c>
      <c r="T1550" t="s">
        <v>17060</v>
      </c>
    </row>
    <row r="1551" spans="1:20">
      <c r="A1551" t="s">
        <v>2388</v>
      </c>
      <c r="B1551" t="s">
        <v>16360</v>
      </c>
      <c r="C1551">
        <v>45800</v>
      </c>
      <c r="D1551" t="s">
        <v>7263</v>
      </c>
      <c r="E1551" t="s">
        <v>16361</v>
      </c>
      <c r="F1551">
        <v>45800</v>
      </c>
      <c r="G1551" t="s">
        <v>17526</v>
      </c>
      <c r="H1551" t="s">
        <v>2916</v>
      </c>
      <c r="I1551" t="s">
        <v>17521</v>
      </c>
      <c r="J1551">
        <v>1</v>
      </c>
      <c r="K1551">
        <v>10028.75</v>
      </c>
      <c r="L1551" t="s">
        <v>2917</v>
      </c>
      <c r="M1551">
        <v>56500</v>
      </c>
      <c r="N1551" t="s">
        <v>2918</v>
      </c>
      <c r="O1551" t="s">
        <v>17522</v>
      </c>
      <c r="P1551" t="s">
        <v>17523</v>
      </c>
      <c r="Q1551" t="s">
        <v>2924</v>
      </c>
      <c r="R1551" t="s">
        <v>3219</v>
      </c>
      <c r="S1551" t="s">
        <v>17524</v>
      </c>
      <c r="T1551" t="s">
        <v>17525</v>
      </c>
    </row>
    <row r="1552" spans="1:20">
      <c r="A1552" t="s">
        <v>2388</v>
      </c>
      <c r="B1552" t="s">
        <v>16360</v>
      </c>
      <c r="C1552">
        <v>45443</v>
      </c>
      <c r="D1552" t="s">
        <v>7263</v>
      </c>
      <c r="E1552" t="s">
        <v>16361</v>
      </c>
      <c r="F1552">
        <v>45804</v>
      </c>
      <c r="G1552" t="s">
        <v>2208</v>
      </c>
      <c r="H1552" t="s">
        <v>2916</v>
      </c>
      <c r="I1552" t="s">
        <v>17758</v>
      </c>
      <c r="J1552">
        <v>0</v>
      </c>
      <c r="K1552">
        <v>-32278.02</v>
      </c>
      <c r="L1552" t="s">
        <v>2917</v>
      </c>
      <c r="M1552">
        <v>-166355.82</v>
      </c>
      <c r="N1552" t="s">
        <v>2918</v>
      </c>
      <c r="O1552" t="s">
        <v>17763</v>
      </c>
      <c r="P1552" t="s">
        <v>2208</v>
      </c>
      <c r="Q1552" t="s">
        <v>7720</v>
      </c>
      <c r="R1552" t="s">
        <v>7721</v>
      </c>
      <c r="S1552" t="s">
        <v>2208</v>
      </c>
      <c r="T1552" t="s">
        <v>2208</v>
      </c>
    </row>
    <row r="1553" spans="1:20">
      <c r="A1553" t="s">
        <v>2388</v>
      </c>
      <c r="B1553" t="s">
        <v>16360</v>
      </c>
      <c r="C1553">
        <v>45790</v>
      </c>
      <c r="D1553" t="s">
        <v>7263</v>
      </c>
      <c r="E1553" t="s">
        <v>16361</v>
      </c>
      <c r="F1553">
        <v>45791</v>
      </c>
      <c r="G1553" t="s">
        <v>17053</v>
      </c>
      <c r="H1553" t="s">
        <v>2916</v>
      </c>
      <c r="I1553" t="s">
        <v>17795</v>
      </c>
      <c r="J1553">
        <v>-0.3</v>
      </c>
      <c r="K1553">
        <v>-10631.77</v>
      </c>
      <c r="L1553" t="s">
        <v>2917</v>
      </c>
      <c r="M1553">
        <v>-59897.279999999999</v>
      </c>
      <c r="N1553" t="s">
        <v>2918</v>
      </c>
      <c r="O1553" t="s">
        <v>17796</v>
      </c>
      <c r="P1553" t="s">
        <v>17056</v>
      </c>
      <c r="Q1553" t="s">
        <v>17057</v>
      </c>
      <c r="R1553" t="s">
        <v>17058</v>
      </c>
      <c r="S1553" t="s">
        <v>17059</v>
      </c>
      <c r="T1553" t="s">
        <v>17060</v>
      </c>
    </row>
    <row r="1554" spans="1:20">
      <c r="A1554" t="s">
        <v>2388</v>
      </c>
      <c r="B1554" t="s">
        <v>16360</v>
      </c>
      <c r="C1554">
        <v>45790</v>
      </c>
      <c r="D1554" t="s">
        <v>7263</v>
      </c>
      <c r="E1554" t="s">
        <v>16361</v>
      </c>
      <c r="F1554">
        <v>45805</v>
      </c>
      <c r="G1554" t="s">
        <v>17053</v>
      </c>
      <c r="H1554" t="s">
        <v>2916</v>
      </c>
      <c r="I1554" t="s">
        <v>17797</v>
      </c>
      <c r="J1554">
        <v>0.3</v>
      </c>
      <c r="K1554">
        <v>10631.77</v>
      </c>
      <c r="L1554" t="s">
        <v>2917</v>
      </c>
      <c r="M1554">
        <v>59897.3</v>
      </c>
      <c r="N1554" t="s">
        <v>2918</v>
      </c>
      <c r="O1554" t="s">
        <v>17796</v>
      </c>
      <c r="P1554" t="s">
        <v>17056</v>
      </c>
      <c r="Q1554" t="s">
        <v>17057</v>
      </c>
      <c r="R1554" t="s">
        <v>17058</v>
      </c>
      <c r="S1554" t="s">
        <v>17059</v>
      </c>
      <c r="T1554" t="s">
        <v>17060</v>
      </c>
    </row>
    <row r="1555" spans="1:20">
      <c r="A1555" t="s">
        <v>2388</v>
      </c>
      <c r="B1555" t="s">
        <v>16360</v>
      </c>
      <c r="C1555">
        <v>45808</v>
      </c>
      <c r="D1555" t="s">
        <v>7263</v>
      </c>
      <c r="E1555" t="s">
        <v>16361</v>
      </c>
      <c r="F1555">
        <v>45808</v>
      </c>
      <c r="G1555" t="s">
        <v>2208</v>
      </c>
      <c r="H1555" t="s">
        <v>2916</v>
      </c>
      <c r="I1555" t="s">
        <v>17878</v>
      </c>
      <c r="J1555">
        <v>0</v>
      </c>
      <c r="K1555">
        <v>2749.78</v>
      </c>
      <c r="L1555" t="s">
        <v>2917</v>
      </c>
      <c r="M1555">
        <v>0</v>
      </c>
      <c r="N1555" t="s">
        <v>2918</v>
      </c>
      <c r="O1555" t="s">
        <v>2919</v>
      </c>
      <c r="P1555" t="s">
        <v>2208</v>
      </c>
      <c r="Q1555" t="s">
        <v>2916</v>
      </c>
      <c r="R1555" t="s">
        <v>3220</v>
      </c>
      <c r="S1555" t="s">
        <v>2208</v>
      </c>
      <c r="T1555" t="s">
        <v>2208</v>
      </c>
    </row>
    <row r="1556" spans="1:20">
      <c r="A1556" t="s">
        <v>2388</v>
      </c>
      <c r="B1556" t="s">
        <v>2920</v>
      </c>
      <c r="C1556">
        <v>45448</v>
      </c>
      <c r="D1556" t="s">
        <v>7263</v>
      </c>
      <c r="E1556" t="s">
        <v>2921</v>
      </c>
      <c r="F1556">
        <v>45672</v>
      </c>
      <c r="G1556" t="s">
        <v>7361</v>
      </c>
      <c r="H1556" t="s">
        <v>2916</v>
      </c>
      <c r="I1556" t="s">
        <v>7362</v>
      </c>
      <c r="J1556">
        <v>143623.9</v>
      </c>
      <c r="K1556">
        <v>23257.02</v>
      </c>
      <c r="L1556" t="s">
        <v>2917</v>
      </c>
      <c r="M1556">
        <v>143623.9</v>
      </c>
      <c r="N1556" t="s">
        <v>2918</v>
      </c>
      <c r="O1556" t="s">
        <v>2923</v>
      </c>
      <c r="P1556" t="s">
        <v>2923</v>
      </c>
      <c r="Q1556" t="s">
        <v>2924</v>
      </c>
      <c r="R1556" t="s">
        <v>3219</v>
      </c>
      <c r="S1556" t="s">
        <v>2208</v>
      </c>
      <c r="T1556" t="s">
        <v>2208</v>
      </c>
    </row>
    <row r="1557" spans="1:20">
      <c r="A1557" t="s">
        <v>2388</v>
      </c>
      <c r="B1557" t="s">
        <v>2920</v>
      </c>
      <c r="C1557">
        <v>45672</v>
      </c>
      <c r="D1557" t="s">
        <v>7263</v>
      </c>
      <c r="E1557" t="s">
        <v>2921</v>
      </c>
      <c r="F1557">
        <v>45685</v>
      </c>
      <c r="G1557" t="s">
        <v>7361</v>
      </c>
      <c r="H1557" t="s">
        <v>2916</v>
      </c>
      <c r="I1557" t="s">
        <v>7727</v>
      </c>
      <c r="J1557">
        <v>0</v>
      </c>
      <c r="K1557">
        <v>-2151.2800000000002</v>
      </c>
      <c r="L1557" t="s">
        <v>2917</v>
      </c>
      <c r="M1557">
        <v>-13285.21</v>
      </c>
      <c r="N1557" t="s">
        <v>2918</v>
      </c>
      <c r="O1557" t="s">
        <v>7728</v>
      </c>
      <c r="P1557" t="s">
        <v>2923</v>
      </c>
      <c r="Q1557" t="s">
        <v>2924</v>
      </c>
      <c r="R1557" t="s">
        <v>3219</v>
      </c>
      <c r="S1557" t="s">
        <v>2208</v>
      </c>
      <c r="T1557" t="s">
        <v>2208</v>
      </c>
    </row>
    <row r="1558" spans="1:20">
      <c r="A1558" t="s">
        <v>2388</v>
      </c>
      <c r="B1558" t="s">
        <v>2920</v>
      </c>
      <c r="C1558">
        <v>45688</v>
      </c>
      <c r="D1558" t="s">
        <v>7263</v>
      </c>
      <c r="E1558" t="s">
        <v>2921</v>
      </c>
      <c r="F1558">
        <v>45688</v>
      </c>
      <c r="G1558" t="s">
        <v>2208</v>
      </c>
      <c r="H1558" t="s">
        <v>2916</v>
      </c>
      <c r="I1558" t="s">
        <v>7729</v>
      </c>
      <c r="J1558">
        <v>0</v>
      </c>
      <c r="K1558">
        <v>0.05</v>
      </c>
      <c r="L1558" t="s">
        <v>2917</v>
      </c>
      <c r="M1558">
        <v>0</v>
      </c>
      <c r="N1558" t="s">
        <v>2918</v>
      </c>
      <c r="O1558" t="s">
        <v>2919</v>
      </c>
      <c r="P1558" t="s">
        <v>2208</v>
      </c>
      <c r="Q1558" t="s">
        <v>2916</v>
      </c>
      <c r="R1558" t="s">
        <v>3220</v>
      </c>
      <c r="S1558" t="s">
        <v>2208</v>
      </c>
      <c r="T1558" t="s">
        <v>2208</v>
      </c>
    </row>
    <row r="1559" spans="1:20">
      <c r="A1559" t="s">
        <v>2388</v>
      </c>
      <c r="B1559" t="s">
        <v>17897</v>
      </c>
      <c r="C1559">
        <v>45687</v>
      </c>
      <c r="D1559" t="s">
        <v>7263</v>
      </c>
      <c r="E1559" t="s">
        <v>17898</v>
      </c>
      <c r="F1559">
        <v>45831</v>
      </c>
      <c r="G1559" t="s">
        <v>17526</v>
      </c>
      <c r="H1559" t="s">
        <v>2916</v>
      </c>
      <c r="I1559" t="s">
        <v>18906</v>
      </c>
      <c r="J1559">
        <v>4250</v>
      </c>
      <c r="K1559">
        <v>748.85</v>
      </c>
      <c r="L1559" t="s">
        <v>2917</v>
      </c>
      <c r="M1559">
        <v>4250</v>
      </c>
      <c r="N1559" t="s">
        <v>2918</v>
      </c>
      <c r="O1559" t="s">
        <v>2939</v>
      </c>
      <c r="P1559" t="s">
        <v>2939</v>
      </c>
      <c r="Q1559" t="s">
        <v>2924</v>
      </c>
      <c r="R1559" t="s">
        <v>3219</v>
      </c>
      <c r="S1559" t="s">
        <v>2208</v>
      </c>
      <c r="T1559" t="s">
        <v>2208</v>
      </c>
    </row>
    <row r="1560" spans="1:20">
      <c r="A1560" t="s">
        <v>2388</v>
      </c>
      <c r="B1560" t="s">
        <v>19439</v>
      </c>
      <c r="C1560">
        <v>45841</v>
      </c>
      <c r="D1560" t="s">
        <v>7263</v>
      </c>
      <c r="E1560" t="s">
        <v>19440</v>
      </c>
      <c r="F1560">
        <v>45841</v>
      </c>
      <c r="G1560" t="s">
        <v>17053</v>
      </c>
      <c r="H1560" t="s">
        <v>2916</v>
      </c>
      <c r="I1560" t="s">
        <v>19893</v>
      </c>
      <c r="J1560">
        <v>0.35</v>
      </c>
      <c r="K1560">
        <v>1214.1500000000001</v>
      </c>
      <c r="L1560" t="s">
        <v>2917</v>
      </c>
      <c r="M1560">
        <v>6646.66</v>
      </c>
      <c r="N1560" t="s">
        <v>2918</v>
      </c>
      <c r="O1560" t="s">
        <v>2923</v>
      </c>
      <c r="P1560" t="s">
        <v>2923</v>
      </c>
      <c r="Q1560" t="s">
        <v>2924</v>
      </c>
      <c r="R1560" t="s">
        <v>3219</v>
      </c>
      <c r="S1560" t="s">
        <v>2208</v>
      </c>
      <c r="T1560" t="s">
        <v>2208</v>
      </c>
    </row>
    <row r="1561" spans="1:20">
      <c r="A1561" t="s">
        <v>2390</v>
      </c>
      <c r="B1561" t="s">
        <v>2920</v>
      </c>
      <c r="C1561">
        <v>45446</v>
      </c>
      <c r="D1561" t="s">
        <v>7263</v>
      </c>
      <c r="E1561" t="s">
        <v>2921</v>
      </c>
      <c r="F1561">
        <v>45672</v>
      </c>
      <c r="G1561" t="s">
        <v>7363</v>
      </c>
      <c r="H1561" t="s">
        <v>2916</v>
      </c>
      <c r="I1561" t="s">
        <v>7364</v>
      </c>
      <c r="J1561">
        <v>143956.45000000001</v>
      </c>
      <c r="K1561">
        <v>23310.87</v>
      </c>
      <c r="L1561" t="s">
        <v>2917</v>
      </c>
      <c r="M1561">
        <v>143956.45000000001</v>
      </c>
      <c r="N1561" t="s">
        <v>2918</v>
      </c>
      <c r="O1561" t="s">
        <v>2923</v>
      </c>
      <c r="P1561" t="s">
        <v>2923</v>
      </c>
      <c r="Q1561" t="s">
        <v>2924</v>
      </c>
      <c r="R1561" t="s">
        <v>3219</v>
      </c>
      <c r="S1561" t="s">
        <v>2208</v>
      </c>
      <c r="T1561" t="s">
        <v>2208</v>
      </c>
    </row>
    <row r="1562" spans="1:20">
      <c r="A1562" t="s">
        <v>2390</v>
      </c>
      <c r="B1562" t="s">
        <v>2920</v>
      </c>
      <c r="C1562">
        <v>45672</v>
      </c>
      <c r="D1562" t="s">
        <v>7263</v>
      </c>
      <c r="E1562" t="s">
        <v>2921</v>
      </c>
      <c r="F1562">
        <v>45685</v>
      </c>
      <c r="G1562" t="s">
        <v>7363</v>
      </c>
      <c r="H1562" t="s">
        <v>2916</v>
      </c>
      <c r="I1562" t="s">
        <v>7730</v>
      </c>
      <c r="J1562">
        <v>0</v>
      </c>
      <c r="K1562">
        <v>-2156.2600000000002</v>
      </c>
      <c r="L1562" t="s">
        <v>2917</v>
      </c>
      <c r="M1562">
        <v>-13315.97</v>
      </c>
      <c r="N1562" t="s">
        <v>2918</v>
      </c>
      <c r="O1562" t="s">
        <v>7731</v>
      </c>
      <c r="P1562" t="s">
        <v>2923</v>
      </c>
      <c r="Q1562" t="s">
        <v>2924</v>
      </c>
      <c r="R1562" t="s">
        <v>3219</v>
      </c>
      <c r="S1562" t="s">
        <v>2208</v>
      </c>
      <c r="T1562" t="s">
        <v>2208</v>
      </c>
    </row>
    <row r="1563" spans="1:20">
      <c r="A1563" t="s">
        <v>2390</v>
      </c>
      <c r="B1563" t="s">
        <v>2920</v>
      </c>
      <c r="C1563">
        <v>45688</v>
      </c>
      <c r="D1563" t="s">
        <v>7263</v>
      </c>
      <c r="E1563" t="s">
        <v>2921</v>
      </c>
      <c r="F1563">
        <v>45688</v>
      </c>
      <c r="G1563" t="s">
        <v>2208</v>
      </c>
      <c r="H1563" t="s">
        <v>2916</v>
      </c>
      <c r="I1563" t="s">
        <v>7732</v>
      </c>
      <c r="J1563">
        <v>0</v>
      </c>
      <c r="K1563">
        <v>-7.0000000000000007E-2</v>
      </c>
      <c r="L1563" t="s">
        <v>2917</v>
      </c>
      <c r="M1563">
        <v>0</v>
      </c>
      <c r="N1563" t="s">
        <v>2918</v>
      </c>
      <c r="O1563" t="s">
        <v>2919</v>
      </c>
      <c r="P1563" t="s">
        <v>2208</v>
      </c>
      <c r="Q1563" t="s">
        <v>2916</v>
      </c>
      <c r="R1563" t="s">
        <v>3220</v>
      </c>
      <c r="S1563" t="s">
        <v>2208</v>
      </c>
      <c r="T1563" t="s">
        <v>2208</v>
      </c>
    </row>
    <row r="1564" spans="1:20">
      <c r="A1564" t="s">
        <v>2390</v>
      </c>
      <c r="B1564" t="s">
        <v>17897</v>
      </c>
      <c r="C1564">
        <v>45681</v>
      </c>
      <c r="D1564" t="s">
        <v>7263</v>
      </c>
      <c r="E1564" t="s">
        <v>17898</v>
      </c>
      <c r="F1564">
        <v>45831</v>
      </c>
      <c r="G1564" t="s">
        <v>18632</v>
      </c>
      <c r="H1564" t="s">
        <v>2916</v>
      </c>
      <c r="I1564" t="s">
        <v>18907</v>
      </c>
      <c r="J1564">
        <v>6250</v>
      </c>
      <c r="K1564">
        <v>1101.25</v>
      </c>
      <c r="L1564" t="s">
        <v>2917</v>
      </c>
      <c r="M1564">
        <v>6250</v>
      </c>
      <c r="N1564" t="s">
        <v>2918</v>
      </c>
      <c r="O1564" t="s">
        <v>2939</v>
      </c>
      <c r="P1564" t="s">
        <v>2939</v>
      </c>
      <c r="Q1564" t="s">
        <v>2924</v>
      </c>
      <c r="R1564" t="s">
        <v>3219</v>
      </c>
      <c r="S1564" t="s">
        <v>2208</v>
      </c>
      <c r="T1564" t="s">
        <v>2208</v>
      </c>
    </row>
    <row r="1565" spans="1:20">
      <c r="A1565" t="s">
        <v>2390</v>
      </c>
      <c r="B1565" t="s">
        <v>7740</v>
      </c>
      <c r="C1565">
        <v>45700</v>
      </c>
      <c r="D1565" t="s">
        <v>7263</v>
      </c>
      <c r="E1565" t="s">
        <v>2925</v>
      </c>
      <c r="F1565">
        <v>45702</v>
      </c>
      <c r="G1565" t="s">
        <v>8690</v>
      </c>
      <c r="H1565" t="s">
        <v>2916</v>
      </c>
      <c r="I1565" t="s">
        <v>8691</v>
      </c>
      <c r="J1565">
        <v>3</v>
      </c>
      <c r="K1565">
        <v>108.43</v>
      </c>
      <c r="L1565" t="s">
        <v>2917</v>
      </c>
      <c r="M1565">
        <v>630.55999999999995</v>
      </c>
      <c r="N1565" t="s">
        <v>2918</v>
      </c>
      <c r="O1565" t="s">
        <v>8692</v>
      </c>
      <c r="P1565" t="s">
        <v>7356</v>
      </c>
      <c r="Q1565" t="s">
        <v>2924</v>
      </c>
      <c r="R1565" t="s">
        <v>3219</v>
      </c>
      <c r="S1565" t="s">
        <v>7357</v>
      </c>
      <c r="T1565" t="s">
        <v>7358</v>
      </c>
    </row>
    <row r="1566" spans="1:20">
      <c r="A1566" t="s">
        <v>2390</v>
      </c>
      <c r="B1566" t="s">
        <v>7740</v>
      </c>
      <c r="C1566">
        <v>45700</v>
      </c>
      <c r="D1566" t="s">
        <v>7263</v>
      </c>
      <c r="E1566" t="s">
        <v>2925</v>
      </c>
      <c r="F1566">
        <v>45702</v>
      </c>
      <c r="G1566" t="s">
        <v>8690</v>
      </c>
      <c r="H1566" t="s">
        <v>2916</v>
      </c>
      <c r="I1566" t="s">
        <v>8693</v>
      </c>
      <c r="J1566">
        <v>0</v>
      </c>
      <c r="K1566">
        <v>-12.81</v>
      </c>
      <c r="L1566" t="s">
        <v>2917</v>
      </c>
      <c r="M1566">
        <v>-74.459999999999994</v>
      </c>
      <c r="N1566" t="s">
        <v>2918</v>
      </c>
      <c r="O1566" t="s">
        <v>8694</v>
      </c>
      <c r="P1566" t="s">
        <v>7356</v>
      </c>
      <c r="Q1566" t="s">
        <v>2924</v>
      </c>
      <c r="R1566" t="s">
        <v>3219</v>
      </c>
      <c r="S1566" t="s">
        <v>7357</v>
      </c>
      <c r="T1566" t="s">
        <v>7358</v>
      </c>
    </row>
    <row r="1567" spans="1:20">
      <c r="A1567" t="s">
        <v>2390</v>
      </c>
      <c r="B1567" t="s">
        <v>7740</v>
      </c>
      <c r="C1567">
        <v>45706</v>
      </c>
      <c r="D1567" t="s">
        <v>7263</v>
      </c>
      <c r="E1567" t="s">
        <v>2925</v>
      </c>
      <c r="F1567">
        <v>45709</v>
      </c>
      <c r="G1567" t="s">
        <v>8690</v>
      </c>
      <c r="H1567" t="s">
        <v>2916</v>
      </c>
      <c r="I1567" t="s">
        <v>8695</v>
      </c>
      <c r="J1567">
        <v>30</v>
      </c>
      <c r="K1567">
        <v>1079.22</v>
      </c>
      <c r="L1567" t="s">
        <v>2917</v>
      </c>
      <c r="M1567">
        <v>6276.38</v>
      </c>
      <c r="N1567" t="s">
        <v>2918</v>
      </c>
      <c r="O1567" t="s">
        <v>8696</v>
      </c>
      <c r="P1567" t="s">
        <v>2950</v>
      </c>
      <c r="Q1567" t="s">
        <v>2924</v>
      </c>
      <c r="R1567" t="s">
        <v>3219</v>
      </c>
      <c r="S1567" t="s">
        <v>2951</v>
      </c>
      <c r="T1567" t="s">
        <v>3229</v>
      </c>
    </row>
    <row r="1568" spans="1:20">
      <c r="A1568" t="s">
        <v>2390</v>
      </c>
      <c r="B1568" t="s">
        <v>7740</v>
      </c>
      <c r="C1568">
        <v>45706</v>
      </c>
      <c r="D1568" t="s">
        <v>7263</v>
      </c>
      <c r="E1568" t="s">
        <v>2925</v>
      </c>
      <c r="F1568">
        <v>45709</v>
      </c>
      <c r="G1568" t="s">
        <v>8690</v>
      </c>
      <c r="H1568" t="s">
        <v>2916</v>
      </c>
      <c r="I1568" t="s">
        <v>8695</v>
      </c>
      <c r="J1568">
        <v>12</v>
      </c>
      <c r="K1568">
        <v>433.7</v>
      </c>
      <c r="L1568" t="s">
        <v>2917</v>
      </c>
      <c r="M1568">
        <v>2522.25</v>
      </c>
      <c r="N1568" t="s">
        <v>2918</v>
      </c>
      <c r="O1568" t="s">
        <v>8696</v>
      </c>
      <c r="P1568" t="s">
        <v>7356</v>
      </c>
      <c r="Q1568" t="s">
        <v>2924</v>
      </c>
      <c r="R1568" t="s">
        <v>3219</v>
      </c>
      <c r="S1568" t="s">
        <v>7357</v>
      </c>
      <c r="T1568" t="s">
        <v>7358</v>
      </c>
    </row>
    <row r="1569" spans="1:20">
      <c r="A1569" t="s">
        <v>2390</v>
      </c>
      <c r="B1569" t="s">
        <v>7740</v>
      </c>
      <c r="C1569">
        <v>45706</v>
      </c>
      <c r="D1569" t="s">
        <v>7263</v>
      </c>
      <c r="E1569" t="s">
        <v>2925</v>
      </c>
      <c r="F1569">
        <v>45709</v>
      </c>
      <c r="G1569" t="s">
        <v>8690</v>
      </c>
      <c r="H1569" t="s">
        <v>2916</v>
      </c>
      <c r="I1569" t="s">
        <v>8697</v>
      </c>
      <c r="J1569">
        <v>0</v>
      </c>
      <c r="K1569">
        <v>-127.4</v>
      </c>
      <c r="L1569" t="s">
        <v>2917</v>
      </c>
      <c r="M1569">
        <v>-740.91</v>
      </c>
      <c r="N1569" t="s">
        <v>2918</v>
      </c>
      <c r="O1569" t="s">
        <v>8698</v>
      </c>
      <c r="P1569" t="s">
        <v>2950</v>
      </c>
      <c r="Q1569" t="s">
        <v>2924</v>
      </c>
      <c r="R1569" t="s">
        <v>3219</v>
      </c>
      <c r="S1569" t="s">
        <v>2951</v>
      </c>
      <c r="T1569" t="s">
        <v>3229</v>
      </c>
    </row>
    <row r="1570" spans="1:20">
      <c r="A1570" t="s">
        <v>2390</v>
      </c>
      <c r="B1570" t="s">
        <v>7740</v>
      </c>
      <c r="C1570">
        <v>45706</v>
      </c>
      <c r="D1570" t="s">
        <v>7263</v>
      </c>
      <c r="E1570" t="s">
        <v>2925</v>
      </c>
      <c r="F1570">
        <v>45709</v>
      </c>
      <c r="G1570" t="s">
        <v>8690</v>
      </c>
      <c r="H1570" t="s">
        <v>2916</v>
      </c>
      <c r="I1570" t="s">
        <v>8697</v>
      </c>
      <c r="J1570">
        <v>0</v>
      </c>
      <c r="K1570">
        <v>-51.21</v>
      </c>
      <c r="L1570" t="s">
        <v>2917</v>
      </c>
      <c r="M1570">
        <v>-297.81</v>
      </c>
      <c r="N1570" t="s">
        <v>2918</v>
      </c>
      <c r="O1570" t="s">
        <v>8698</v>
      </c>
      <c r="P1570" t="s">
        <v>7356</v>
      </c>
      <c r="Q1570" t="s">
        <v>2924</v>
      </c>
      <c r="R1570" t="s">
        <v>3219</v>
      </c>
      <c r="S1570" t="s">
        <v>7357</v>
      </c>
      <c r="T1570" t="s">
        <v>7358</v>
      </c>
    </row>
    <row r="1571" spans="1:20">
      <c r="A1571" t="s">
        <v>2390</v>
      </c>
      <c r="B1571" t="s">
        <v>7740</v>
      </c>
      <c r="C1571">
        <v>45714</v>
      </c>
      <c r="D1571" t="s">
        <v>7263</v>
      </c>
      <c r="E1571" t="s">
        <v>2925</v>
      </c>
      <c r="F1571">
        <v>45714</v>
      </c>
      <c r="G1571" t="s">
        <v>2208</v>
      </c>
      <c r="H1571" t="s">
        <v>2916</v>
      </c>
      <c r="I1571" t="s">
        <v>9034</v>
      </c>
      <c r="J1571">
        <v>0</v>
      </c>
      <c r="K1571">
        <v>-135.11000000000001</v>
      </c>
      <c r="L1571" t="s">
        <v>2917</v>
      </c>
      <c r="M1571">
        <v>-785.78</v>
      </c>
      <c r="N1571" t="s">
        <v>2918</v>
      </c>
      <c r="O1571" t="s">
        <v>9035</v>
      </c>
      <c r="P1571" t="s">
        <v>2208</v>
      </c>
      <c r="Q1571" t="s">
        <v>2933</v>
      </c>
      <c r="R1571" t="s">
        <v>3314</v>
      </c>
      <c r="S1571" t="s">
        <v>2208</v>
      </c>
      <c r="T1571" t="s">
        <v>2208</v>
      </c>
    </row>
    <row r="1572" spans="1:20">
      <c r="A1572" t="s">
        <v>2390</v>
      </c>
      <c r="B1572" t="s">
        <v>7740</v>
      </c>
      <c r="C1572">
        <v>45716</v>
      </c>
      <c r="D1572" t="s">
        <v>7263</v>
      </c>
      <c r="E1572" t="s">
        <v>2925</v>
      </c>
      <c r="F1572">
        <v>45716</v>
      </c>
      <c r="G1572" t="s">
        <v>2208</v>
      </c>
      <c r="H1572" t="s">
        <v>2916</v>
      </c>
      <c r="I1572" t="s">
        <v>9165</v>
      </c>
      <c r="J1572">
        <v>0</v>
      </c>
      <c r="K1572">
        <v>-0.04</v>
      </c>
      <c r="L1572" t="s">
        <v>2917</v>
      </c>
      <c r="M1572">
        <v>0</v>
      </c>
      <c r="N1572" t="s">
        <v>2918</v>
      </c>
      <c r="O1572" t="s">
        <v>2919</v>
      </c>
      <c r="P1572" t="s">
        <v>2208</v>
      </c>
      <c r="Q1572" t="s">
        <v>2916</v>
      </c>
      <c r="R1572" t="s">
        <v>3220</v>
      </c>
      <c r="S1572" t="s">
        <v>2208</v>
      </c>
      <c r="T1572" t="s">
        <v>2208</v>
      </c>
    </row>
    <row r="1573" spans="1:20">
      <c r="A1573" t="s">
        <v>2390</v>
      </c>
      <c r="B1573" t="s">
        <v>9126</v>
      </c>
      <c r="C1573">
        <v>45715</v>
      </c>
      <c r="D1573" t="s">
        <v>7263</v>
      </c>
      <c r="E1573" t="s">
        <v>9127</v>
      </c>
      <c r="F1573">
        <v>45720</v>
      </c>
      <c r="G1573" t="s">
        <v>8690</v>
      </c>
      <c r="H1573" t="s">
        <v>2916</v>
      </c>
      <c r="I1573" t="s">
        <v>9166</v>
      </c>
      <c r="J1573">
        <v>2</v>
      </c>
      <c r="K1573">
        <v>72.05</v>
      </c>
      <c r="L1573" t="s">
        <v>2917</v>
      </c>
      <c r="M1573">
        <v>420.38</v>
      </c>
      <c r="N1573" t="s">
        <v>2918</v>
      </c>
      <c r="O1573" t="s">
        <v>9167</v>
      </c>
      <c r="P1573" t="s">
        <v>7356</v>
      </c>
      <c r="Q1573" t="s">
        <v>2924</v>
      </c>
      <c r="R1573" t="s">
        <v>3219</v>
      </c>
      <c r="S1573" t="s">
        <v>7357</v>
      </c>
      <c r="T1573" t="s">
        <v>7358</v>
      </c>
    </row>
    <row r="1574" spans="1:20">
      <c r="A1574" t="s">
        <v>2390</v>
      </c>
      <c r="B1574" t="s">
        <v>9126</v>
      </c>
      <c r="C1574">
        <v>45715</v>
      </c>
      <c r="D1574" t="s">
        <v>7263</v>
      </c>
      <c r="E1574" t="s">
        <v>9127</v>
      </c>
      <c r="F1574">
        <v>45720</v>
      </c>
      <c r="G1574" t="s">
        <v>8690</v>
      </c>
      <c r="H1574" t="s">
        <v>2916</v>
      </c>
      <c r="I1574" t="s">
        <v>9168</v>
      </c>
      <c r="J1574">
        <v>0</v>
      </c>
      <c r="K1574">
        <v>-8.51</v>
      </c>
      <c r="L1574" t="s">
        <v>2917</v>
      </c>
      <c r="M1574">
        <v>-49.63</v>
      </c>
      <c r="N1574" t="s">
        <v>2918</v>
      </c>
      <c r="O1574" t="s">
        <v>9169</v>
      </c>
      <c r="P1574" t="s">
        <v>7356</v>
      </c>
      <c r="Q1574" t="s">
        <v>2924</v>
      </c>
      <c r="R1574" t="s">
        <v>3219</v>
      </c>
      <c r="S1574" t="s">
        <v>7357</v>
      </c>
      <c r="T1574" t="s">
        <v>7358</v>
      </c>
    </row>
    <row r="1575" spans="1:20">
      <c r="A1575" t="s">
        <v>2390</v>
      </c>
      <c r="B1575" t="s">
        <v>9126</v>
      </c>
      <c r="C1575">
        <v>45734</v>
      </c>
      <c r="D1575" t="s">
        <v>7263</v>
      </c>
      <c r="E1575" t="s">
        <v>9127</v>
      </c>
      <c r="F1575">
        <v>45737</v>
      </c>
      <c r="G1575" t="s">
        <v>8690</v>
      </c>
      <c r="H1575" t="s">
        <v>2916</v>
      </c>
      <c r="I1575" t="s">
        <v>11147</v>
      </c>
      <c r="J1575">
        <v>13</v>
      </c>
      <c r="K1575">
        <v>468.31</v>
      </c>
      <c r="L1575" t="s">
        <v>2917</v>
      </c>
      <c r="M1575">
        <v>2732.44</v>
      </c>
      <c r="N1575" t="s">
        <v>2918</v>
      </c>
      <c r="O1575" t="s">
        <v>11148</v>
      </c>
      <c r="P1575" t="s">
        <v>7356</v>
      </c>
      <c r="Q1575" t="s">
        <v>2924</v>
      </c>
      <c r="R1575" t="s">
        <v>3219</v>
      </c>
      <c r="S1575" t="s">
        <v>7357</v>
      </c>
      <c r="T1575" t="s">
        <v>7358</v>
      </c>
    </row>
    <row r="1576" spans="1:20">
      <c r="A1576" t="s">
        <v>2390</v>
      </c>
      <c r="B1576" t="s">
        <v>9126</v>
      </c>
      <c r="C1576">
        <v>45734</v>
      </c>
      <c r="D1576" t="s">
        <v>7263</v>
      </c>
      <c r="E1576" t="s">
        <v>9127</v>
      </c>
      <c r="F1576">
        <v>45737</v>
      </c>
      <c r="G1576" t="s">
        <v>8690</v>
      </c>
      <c r="H1576" t="s">
        <v>2916</v>
      </c>
      <c r="I1576" t="s">
        <v>11149</v>
      </c>
      <c r="J1576">
        <v>0</v>
      </c>
      <c r="K1576">
        <v>-55.29</v>
      </c>
      <c r="L1576" t="s">
        <v>2917</v>
      </c>
      <c r="M1576">
        <v>-322.64</v>
      </c>
      <c r="N1576" t="s">
        <v>2918</v>
      </c>
      <c r="O1576" t="s">
        <v>11150</v>
      </c>
      <c r="P1576" t="s">
        <v>7356</v>
      </c>
      <c r="Q1576" t="s">
        <v>2924</v>
      </c>
      <c r="R1576" t="s">
        <v>3219</v>
      </c>
      <c r="S1576" t="s">
        <v>7357</v>
      </c>
      <c r="T1576" t="s">
        <v>7358</v>
      </c>
    </row>
    <row r="1577" spans="1:20">
      <c r="A1577" t="s">
        <v>2390</v>
      </c>
      <c r="B1577" t="s">
        <v>9126</v>
      </c>
      <c r="C1577">
        <v>45743</v>
      </c>
      <c r="D1577" t="s">
        <v>7263</v>
      </c>
      <c r="E1577" t="s">
        <v>9127</v>
      </c>
      <c r="F1577">
        <v>45743</v>
      </c>
      <c r="G1577" t="s">
        <v>2208</v>
      </c>
      <c r="H1577" t="s">
        <v>2916</v>
      </c>
      <c r="I1577" t="s">
        <v>11324</v>
      </c>
      <c r="J1577">
        <v>0</v>
      </c>
      <c r="K1577">
        <v>-45.03</v>
      </c>
      <c r="L1577" t="s">
        <v>2917</v>
      </c>
      <c r="M1577">
        <v>-262.73</v>
      </c>
      <c r="N1577" t="s">
        <v>2918</v>
      </c>
      <c r="O1577" t="s">
        <v>11325</v>
      </c>
      <c r="P1577" t="s">
        <v>2208</v>
      </c>
      <c r="Q1577" t="s">
        <v>2933</v>
      </c>
      <c r="R1577" t="s">
        <v>3314</v>
      </c>
      <c r="S1577" t="s">
        <v>2208</v>
      </c>
      <c r="T1577" t="s">
        <v>2208</v>
      </c>
    </row>
    <row r="1578" spans="1:20">
      <c r="A1578" t="s">
        <v>2390</v>
      </c>
      <c r="B1578" t="s">
        <v>9126</v>
      </c>
      <c r="C1578">
        <v>45747</v>
      </c>
      <c r="D1578" t="s">
        <v>7263</v>
      </c>
      <c r="E1578" t="s">
        <v>9127</v>
      </c>
      <c r="F1578">
        <v>45747</v>
      </c>
      <c r="G1578" t="s">
        <v>2208</v>
      </c>
      <c r="H1578" t="s">
        <v>2916</v>
      </c>
      <c r="I1578" t="s">
        <v>11419</v>
      </c>
      <c r="J1578">
        <v>0</v>
      </c>
      <c r="K1578">
        <v>0.03</v>
      </c>
      <c r="L1578" t="s">
        <v>2917</v>
      </c>
      <c r="M1578">
        <v>0</v>
      </c>
      <c r="N1578" t="s">
        <v>2918</v>
      </c>
      <c r="O1578" t="s">
        <v>2919</v>
      </c>
      <c r="P1578" t="s">
        <v>2208</v>
      </c>
      <c r="Q1578" t="s">
        <v>2916</v>
      </c>
      <c r="R1578" t="s">
        <v>3220</v>
      </c>
      <c r="S1578" t="s">
        <v>2208</v>
      </c>
      <c r="T1578" t="s">
        <v>2208</v>
      </c>
    </row>
    <row r="1579" spans="1:20">
      <c r="A1579" t="s">
        <v>2390</v>
      </c>
      <c r="B1579" t="s">
        <v>11331</v>
      </c>
      <c r="C1579">
        <v>45754</v>
      </c>
      <c r="D1579" t="s">
        <v>7263</v>
      </c>
      <c r="E1579" t="s">
        <v>11332</v>
      </c>
      <c r="F1579">
        <v>45754</v>
      </c>
      <c r="G1579" t="s">
        <v>12202</v>
      </c>
      <c r="H1579" t="s">
        <v>2916</v>
      </c>
      <c r="I1579" t="s">
        <v>12203</v>
      </c>
      <c r="J1579">
        <v>1</v>
      </c>
      <c r="K1579">
        <v>57166.96</v>
      </c>
      <c r="L1579" t="s">
        <v>2917</v>
      </c>
      <c r="M1579">
        <v>329207.94</v>
      </c>
      <c r="N1579" t="s">
        <v>2918</v>
      </c>
      <c r="O1579" t="s">
        <v>12204</v>
      </c>
      <c r="P1579" t="s">
        <v>12174</v>
      </c>
      <c r="Q1579" t="s">
        <v>2924</v>
      </c>
      <c r="R1579" t="s">
        <v>3219</v>
      </c>
      <c r="S1579" t="s">
        <v>12175</v>
      </c>
      <c r="T1579" t="s">
        <v>12176</v>
      </c>
    </row>
    <row r="1580" spans="1:20">
      <c r="A1580" t="s">
        <v>2390</v>
      </c>
      <c r="B1580" t="s">
        <v>11331</v>
      </c>
      <c r="C1580">
        <v>45754</v>
      </c>
      <c r="D1580" t="s">
        <v>7263</v>
      </c>
      <c r="E1580" t="s">
        <v>11332</v>
      </c>
      <c r="F1580">
        <v>45754</v>
      </c>
      <c r="G1580" t="s">
        <v>12202</v>
      </c>
      <c r="H1580" t="s">
        <v>2916</v>
      </c>
      <c r="I1580" t="s">
        <v>12203</v>
      </c>
      <c r="J1580">
        <v>1</v>
      </c>
      <c r="K1580">
        <v>2366.0700000000002</v>
      </c>
      <c r="L1580" t="s">
        <v>2917</v>
      </c>
      <c r="M1580">
        <v>13625.49</v>
      </c>
      <c r="N1580" t="s">
        <v>2918</v>
      </c>
      <c r="O1580" t="s">
        <v>12204</v>
      </c>
      <c r="P1580" t="s">
        <v>12182</v>
      </c>
      <c r="Q1580" t="s">
        <v>2924</v>
      </c>
      <c r="R1580" t="s">
        <v>3219</v>
      </c>
      <c r="S1580" t="s">
        <v>12183</v>
      </c>
      <c r="T1580" t="s">
        <v>12184</v>
      </c>
    </row>
    <row r="1581" spans="1:20">
      <c r="A1581" t="s">
        <v>2390</v>
      </c>
      <c r="B1581" t="s">
        <v>11331</v>
      </c>
      <c r="C1581">
        <v>45754</v>
      </c>
      <c r="D1581" t="s">
        <v>7263</v>
      </c>
      <c r="E1581" t="s">
        <v>11332</v>
      </c>
      <c r="F1581">
        <v>45754</v>
      </c>
      <c r="G1581" t="s">
        <v>12202</v>
      </c>
      <c r="H1581" t="s">
        <v>2916</v>
      </c>
      <c r="I1581" t="s">
        <v>12203</v>
      </c>
      <c r="J1581">
        <v>1</v>
      </c>
      <c r="K1581">
        <v>2557.9899999999998</v>
      </c>
      <c r="L1581" t="s">
        <v>2917</v>
      </c>
      <c r="M1581">
        <v>14730.71</v>
      </c>
      <c r="N1581" t="s">
        <v>2918</v>
      </c>
      <c r="O1581" t="s">
        <v>12204</v>
      </c>
      <c r="P1581" t="s">
        <v>12185</v>
      </c>
      <c r="Q1581" t="s">
        <v>2924</v>
      </c>
      <c r="R1581" t="s">
        <v>3219</v>
      </c>
      <c r="S1581" t="s">
        <v>12186</v>
      </c>
      <c r="T1581" t="s">
        <v>12187</v>
      </c>
    </row>
    <row r="1582" spans="1:20">
      <c r="A1582" t="s">
        <v>2390</v>
      </c>
      <c r="B1582" t="s">
        <v>11331</v>
      </c>
      <c r="C1582">
        <v>45754</v>
      </c>
      <c r="D1582" t="s">
        <v>7263</v>
      </c>
      <c r="E1582" t="s">
        <v>11332</v>
      </c>
      <c r="F1582">
        <v>45754</v>
      </c>
      <c r="G1582" t="s">
        <v>12202</v>
      </c>
      <c r="H1582" t="s">
        <v>2916</v>
      </c>
      <c r="I1582" t="s">
        <v>12205</v>
      </c>
      <c r="J1582">
        <v>1</v>
      </c>
      <c r="K1582">
        <v>26869.360000000001</v>
      </c>
      <c r="L1582" t="s">
        <v>2917</v>
      </c>
      <c r="M1582">
        <v>154732.87</v>
      </c>
      <c r="N1582" t="s">
        <v>2918</v>
      </c>
      <c r="O1582" t="s">
        <v>12206</v>
      </c>
      <c r="P1582" t="s">
        <v>12177</v>
      </c>
      <c r="Q1582" t="s">
        <v>2924</v>
      </c>
      <c r="R1582" t="s">
        <v>3219</v>
      </c>
      <c r="S1582" t="s">
        <v>12178</v>
      </c>
      <c r="T1582" t="s">
        <v>12179</v>
      </c>
    </row>
    <row r="1583" spans="1:20">
      <c r="A1583" t="s">
        <v>2390</v>
      </c>
      <c r="B1583" t="s">
        <v>11331</v>
      </c>
      <c r="C1583">
        <v>45748</v>
      </c>
      <c r="D1583" t="s">
        <v>7263</v>
      </c>
      <c r="E1583" t="s">
        <v>11332</v>
      </c>
      <c r="F1583">
        <v>45755</v>
      </c>
      <c r="G1583" t="s">
        <v>12202</v>
      </c>
      <c r="H1583" t="s">
        <v>2916</v>
      </c>
      <c r="I1583" t="s">
        <v>12404</v>
      </c>
      <c r="J1583">
        <v>0</v>
      </c>
      <c r="K1583">
        <v>125.59</v>
      </c>
      <c r="L1583" t="s">
        <v>2917</v>
      </c>
      <c r="M1583">
        <v>723.26</v>
      </c>
      <c r="N1583" t="s">
        <v>2918</v>
      </c>
      <c r="O1583" t="s">
        <v>12405</v>
      </c>
      <c r="P1583" t="s">
        <v>12174</v>
      </c>
      <c r="Q1583" t="s">
        <v>12360</v>
      </c>
      <c r="R1583" t="s">
        <v>12361</v>
      </c>
      <c r="S1583" t="s">
        <v>12175</v>
      </c>
      <c r="T1583" t="s">
        <v>12176</v>
      </c>
    </row>
    <row r="1584" spans="1:20">
      <c r="A1584" t="s">
        <v>2390</v>
      </c>
      <c r="B1584" t="s">
        <v>11331</v>
      </c>
      <c r="C1584">
        <v>45748</v>
      </c>
      <c r="D1584" t="s">
        <v>7263</v>
      </c>
      <c r="E1584" t="s">
        <v>11332</v>
      </c>
      <c r="F1584">
        <v>45755</v>
      </c>
      <c r="G1584" t="s">
        <v>12202</v>
      </c>
      <c r="H1584" t="s">
        <v>2916</v>
      </c>
      <c r="I1584" t="s">
        <v>12404</v>
      </c>
      <c r="J1584">
        <v>0</v>
      </c>
      <c r="K1584">
        <v>5.19</v>
      </c>
      <c r="L1584" t="s">
        <v>2917</v>
      </c>
      <c r="M1584">
        <v>29.93</v>
      </c>
      <c r="N1584" t="s">
        <v>2918</v>
      </c>
      <c r="O1584" t="s">
        <v>12405</v>
      </c>
      <c r="P1584" t="s">
        <v>12182</v>
      </c>
      <c r="Q1584" t="s">
        <v>12360</v>
      </c>
      <c r="R1584" t="s">
        <v>12361</v>
      </c>
      <c r="S1584" t="s">
        <v>12183</v>
      </c>
      <c r="T1584" t="s">
        <v>12184</v>
      </c>
    </row>
    <row r="1585" spans="1:20">
      <c r="A1585" t="s">
        <v>2390</v>
      </c>
      <c r="B1585" t="s">
        <v>11331</v>
      </c>
      <c r="C1585">
        <v>45748</v>
      </c>
      <c r="D1585" t="s">
        <v>7263</v>
      </c>
      <c r="E1585" t="s">
        <v>11332</v>
      </c>
      <c r="F1585">
        <v>45755</v>
      </c>
      <c r="G1585" t="s">
        <v>12202</v>
      </c>
      <c r="H1585" t="s">
        <v>2916</v>
      </c>
      <c r="I1585" t="s">
        <v>12404</v>
      </c>
      <c r="J1585">
        <v>0</v>
      </c>
      <c r="K1585">
        <v>5.62</v>
      </c>
      <c r="L1585" t="s">
        <v>2917</v>
      </c>
      <c r="M1585">
        <v>32.36</v>
      </c>
      <c r="N1585" t="s">
        <v>2918</v>
      </c>
      <c r="O1585" t="s">
        <v>12405</v>
      </c>
      <c r="P1585" t="s">
        <v>12185</v>
      </c>
      <c r="Q1585" t="s">
        <v>12360</v>
      </c>
      <c r="R1585" t="s">
        <v>12361</v>
      </c>
      <c r="S1585" t="s">
        <v>12186</v>
      </c>
      <c r="T1585" t="s">
        <v>12187</v>
      </c>
    </row>
    <row r="1586" spans="1:20">
      <c r="A1586" t="s">
        <v>2390</v>
      </c>
      <c r="B1586" t="s">
        <v>11331</v>
      </c>
      <c r="C1586">
        <v>45748</v>
      </c>
      <c r="D1586" t="s">
        <v>7263</v>
      </c>
      <c r="E1586" t="s">
        <v>11332</v>
      </c>
      <c r="F1586">
        <v>45756</v>
      </c>
      <c r="G1586" t="s">
        <v>12202</v>
      </c>
      <c r="H1586" t="s">
        <v>2916</v>
      </c>
      <c r="I1586" t="s">
        <v>12406</v>
      </c>
      <c r="J1586">
        <v>0</v>
      </c>
      <c r="K1586">
        <v>59.03</v>
      </c>
      <c r="L1586" t="s">
        <v>2917</v>
      </c>
      <c r="M1586">
        <v>339.94</v>
      </c>
      <c r="N1586" t="s">
        <v>2918</v>
      </c>
      <c r="O1586" t="s">
        <v>12407</v>
      </c>
      <c r="P1586" t="s">
        <v>12177</v>
      </c>
      <c r="Q1586" t="s">
        <v>12360</v>
      </c>
      <c r="R1586" t="s">
        <v>12361</v>
      </c>
      <c r="S1586" t="s">
        <v>12178</v>
      </c>
      <c r="T1586" t="s">
        <v>12179</v>
      </c>
    </row>
    <row r="1587" spans="1:20">
      <c r="A1587" t="s">
        <v>2390</v>
      </c>
      <c r="B1587" t="s">
        <v>11331</v>
      </c>
      <c r="C1587">
        <v>45754</v>
      </c>
      <c r="D1587" t="s">
        <v>7263</v>
      </c>
      <c r="E1587" t="s">
        <v>11332</v>
      </c>
      <c r="F1587">
        <v>45761</v>
      </c>
      <c r="G1587" t="s">
        <v>12202</v>
      </c>
      <c r="H1587" t="s">
        <v>2916</v>
      </c>
      <c r="I1587" t="s">
        <v>12408</v>
      </c>
      <c r="J1587">
        <v>1</v>
      </c>
      <c r="K1587">
        <v>8612.1200000000008</v>
      </c>
      <c r="L1587" t="s">
        <v>2917</v>
      </c>
      <c r="M1587">
        <v>49594.720000000001</v>
      </c>
      <c r="N1587" t="s">
        <v>2918</v>
      </c>
      <c r="O1587" t="s">
        <v>12409</v>
      </c>
      <c r="P1587" t="s">
        <v>12366</v>
      </c>
      <c r="Q1587" t="s">
        <v>2924</v>
      </c>
      <c r="R1587" t="s">
        <v>3219</v>
      </c>
      <c r="S1587" t="s">
        <v>12367</v>
      </c>
      <c r="T1587" t="s">
        <v>12368</v>
      </c>
    </row>
    <row r="1588" spans="1:20">
      <c r="A1588" t="s">
        <v>2390</v>
      </c>
      <c r="B1588" t="s">
        <v>11331</v>
      </c>
      <c r="C1588">
        <v>45754</v>
      </c>
      <c r="D1588" t="s">
        <v>7263</v>
      </c>
      <c r="E1588" t="s">
        <v>11332</v>
      </c>
      <c r="F1588">
        <v>45761</v>
      </c>
      <c r="G1588" t="s">
        <v>12202</v>
      </c>
      <c r="H1588" t="s">
        <v>2916</v>
      </c>
      <c r="I1588" t="s">
        <v>12410</v>
      </c>
      <c r="J1588">
        <v>0</v>
      </c>
      <c r="K1588">
        <v>735.01</v>
      </c>
      <c r="L1588" t="s">
        <v>2917</v>
      </c>
      <c r="M1588">
        <v>4232.6899999999996</v>
      </c>
      <c r="N1588" t="s">
        <v>2918</v>
      </c>
      <c r="O1588" t="s">
        <v>12411</v>
      </c>
      <c r="P1588" t="s">
        <v>12366</v>
      </c>
      <c r="Q1588" t="s">
        <v>12360</v>
      </c>
      <c r="R1588" t="s">
        <v>12361</v>
      </c>
      <c r="S1588" t="s">
        <v>12367</v>
      </c>
      <c r="T1588" t="s">
        <v>12368</v>
      </c>
    </row>
    <row r="1589" spans="1:20">
      <c r="A1589" t="s">
        <v>2390</v>
      </c>
      <c r="B1589" t="s">
        <v>11331</v>
      </c>
      <c r="C1589">
        <v>45754</v>
      </c>
      <c r="D1589" t="s">
        <v>7263</v>
      </c>
      <c r="E1589" t="s">
        <v>11332</v>
      </c>
      <c r="F1589">
        <v>45761</v>
      </c>
      <c r="G1589" t="s">
        <v>12412</v>
      </c>
      <c r="H1589" t="s">
        <v>2916</v>
      </c>
      <c r="I1589" t="s">
        <v>12413</v>
      </c>
      <c r="J1589">
        <v>1</v>
      </c>
      <c r="K1589">
        <v>6807.52</v>
      </c>
      <c r="L1589" t="s">
        <v>2917</v>
      </c>
      <c r="M1589">
        <v>39202.51</v>
      </c>
      <c r="N1589" t="s">
        <v>2918</v>
      </c>
      <c r="O1589" t="s">
        <v>12414</v>
      </c>
      <c r="P1589" t="s">
        <v>11404</v>
      </c>
      <c r="Q1589" t="s">
        <v>2924</v>
      </c>
      <c r="R1589" t="s">
        <v>3219</v>
      </c>
      <c r="S1589" t="s">
        <v>11405</v>
      </c>
      <c r="T1589" t="s">
        <v>11406</v>
      </c>
    </row>
    <row r="1590" spans="1:20">
      <c r="A1590" t="s">
        <v>2390</v>
      </c>
      <c r="B1590" t="s">
        <v>11331</v>
      </c>
      <c r="C1590">
        <v>45754</v>
      </c>
      <c r="D1590" t="s">
        <v>7263</v>
      </c>
      <c r="E1590" t="s">
        <v>11332</v>
      </c>
      <c r="F1590">
        <v>45761</v>
      </c>
      <c r="G1590" t="s">
        <v>12412</v>
      </c>
      <c r="H1590" t="s">
        <v>2916</v>
      </c>
      <c r="I1590" t="s">
        <v>12413</v>
      </c>
      <c r="J1590">
        <v>1</v>
      </c>
      <c r="K1590">
        <v>2046.99</v>
      </c>
      <c r="L1590" t="s">
        <v>2917</v>
      </c>
      <c r="M1590">
        <v>11788</v>
      </c>
      <c r="N1590" t="s">
        <v>2918</v>
      </c>
      <c r="O1590" t="s">
        <v>12414</v>
      </c>
      <c r="P1590" t="s">
        <v>11410</v>
      </c>
      <c r="Q1590" t="s">
        <v>2924</v>
      </c>
      <c r="R1590" t="s">
        <v>3219</v>
      </c>
      <c r="S1590" t="s">
        <v>11411</v>
      </c>
      <c r="T1590" t="s">
        <v>11412</v>
      </c>
    </row>
    <row r="1591" spans="1:20">
      <c r="A1591" t="s">
        <v>2390</v>
      </c>
      <c r="B1591" t="s">
        <v>11331</v>
      </c>
      <c r="C1591">
        <v>45754</v>
      </c>
      <c r="D1591" t="s">
        <v>7263</v>
      </c>
      <c r="E1591" t="s">
        <v>11332</v>
      </c>
      <c r="F1591">
        <v>45761</v>
      </c>
      <c r="G1591" t="s">
        <v>12412</v>
      </c>
      <c r="H1591" t="s">
        <v>2916</v>
      </c>
      <c r="I1591" t="s">
        <v>12413</v>
      </c>
      <c r="J1591">
        <v>2</v>
      </c>
      <c r="K1591">
        <v>2768.17</v>
      </c>
      <c r="L1591" t="s">
        <v>2917</v>
      </c>
      <c r="M1591">
        <v>15941.09</v>
      </c>
      <c r="N1591" t="s">
        <v>2918</v>
      </c>
      <c r="O1591" t="s">
        <v>12414</v>
      </c>
      <c r="P1591" t="s">
        <v>12415</v>
      </c>
      <c r="Q1591" t="s">
        <v>2924</v>
      </c>
      <c r="R1591" t="s">
        <v>3219</v>
      </c>
      <c r="S1591" t="s">
        <v>12416</v>
      </c>
      <c r="T1591" t="s">
        <v>12417</v>
      </c>
    </row>
    <row r="1592" spans="1:20">
      <c r="A1592" t="s">
        <v>2390</v>
      </c>
      <c r="B1592" t="s">
        <v>11331</v>
      </c>
      <c r="C1592">
        <v>45754</v>
      </c>
      <c r="D1592" t="s">
        <v>7263</v>
      </c>
      <c r="E1592" t="s">
        <v>11332</v>
      </c>
      <c r="F1592">
        <v>45761</v>
      </c>
      <c r="G1592" t="s">
        <v>12412</v>
      </c>
      <c r="H1592" t="s">
        <v>2916</v>
      </c>
      <c r="I1592" t="s">
        <v>12418</v>
      </c>
      <c r="J1592">
        <v>0</v>
      </c>
      <c r="K1592">
        <v>-748.94</v>
      </c>
      <c r="L1592" t="s">
        <v>2917</v>
      </c>
      <c r="M1592">
        <v>-4312.93</v>
      </c>
      <c r="N1592" t="s">
        <v>2918</v>
      </c>
      <c r="O1592" t="s">
        <v>12419</v>
      </c>
      <c r="P1592" t="s">
        <v>11404</v>
      </c>
      <c r="Q1592" t="s">
        <v>2924</v>
      </c>
      <c r="R1592" t="s">
        <v>3219</v>
      </c>
      <c r="S1592" t="s">
        <v>11405</v>
      </c>
      <c r="T1592" t="s">
        <v>11406</v>
      </c>
    </row>
    <row r="1593" spans="1:20">
      <c r="A1593" t="s">
        <v>2390</v>
      </c>
      <c r="B1593" t="s">
        <v>11331</v>
      </c>
      <c r="C1593">
        <v>45754</v>
      </c>
      <c r="D1593" t="s">
        <v>7263</v>
      </c>
      <c r="E1593" t="s">
        <v>11332</v>
      </c>
      <c r="F1593">
        <v>45761</v>
      </c>
      <c r="G1593" t="s">
        <v>12412</v>
      </c>
      <c r="H1593" t="s">
        <v>2916</v>
      </c>
      <c r="I1593" t="s">
        <v>12418</v>
      </c>
      <c r="J1593">
        <v>0</v>
      </c>
      <c r="K1593">
        <v>-225.21</v>
      </c>
      <c r="L1593" t="s">
        <v>2917</v>
      </c>
      <c r="M1593">
        <v>-1296.8800000000001</v>
      </c>
      <c r="N1593" t="s">
        <v>2918</v>
      </c>
      <c r="O1593" t="s">
        <v>12419</v>
      </c>
      <c r="P1593" t="s">
        <v>11410</v>
      </c>
      <c r="Q1593" t="s">
        <v>2924</v>
      </c>
      <c r="R1593" t="s">
        <v>3219</v>
      </c>
      <c r="S1593" t="s">
        <v>11411</v>
      </c>
      <c r="T1593" t="s">
        <v>11412</v>
      </c>
    </row>
    <row r="1594" spans="1:20">
      <c r="A1594" t="s">
        <v>2390</v>
      </c>
      <c r="B1594" t="s">
        <v>11331</v>
      </c>
      <c r="C1594">
        <v>45754</v>
      </c>
      <c r="D1594" t="s">
        <v>7263</v>
      </c>
      <c r="E1594" t="s">
        <v>11332</v>
      </c>
      <c r="F1594">
        <v>45761</v>
      </c>
      <c r="G1594" t="s">
        <v>12412</v>
      </c>
      <c r="H1594" t="s">
        <v>2916</v>
      </c>
      <c r="I1594" t="s">
        <v>12418</v>
      </c>
      <c r="J1594">
        <v>0</v>
      </c>
      <c r="K1594">
        <v>-304.54000000000002</v>
      </c>
      <c r="L1594" t="s">
        <v>2917</v>
      </c>
      <c r="M1594">
        <v>-1753.75</v>
      </c>
      <c r="N1594" t="s">
        <v>2918</v>
      </c>
      <c r="O1594" t="s">
        <v>12419</v>
      </c>
      <c r="P1594" t="s">
        <v>12415</v>
      </c>
      <c r="Q1594" t="s">
        <v>2924</v>
      </c>
      <c r="R1594" t="s">
        <v>3219</v>
      </c>
      <c r="S1594" t="s">
        <v>12416</v>
      </c>
      <c r="T1594" t="s">
        <v>12417</v>
      </c>
    </row>
    <row r="1595" spans="1:20">
      <c r="A1595" t="s">
        <v>2390</v>
      </c>
      <c r="B1595" t="s">
        <v>11331</v>
      </c>
      <c r="C1595">
        <v>45754</v>
      </c>
      <c r="D1595" t="s">
        <v>7263</v>
      </c>
      <c r="E1595" t="s">
        <v>11332</v>
      </c>
      <c r="F1595">
        <v>45761</v>
      </c>
      <c r="G1595" t="s">
        <v>12412</v>
      </c>
      <c r="H1595" t="s">
        <v>2916</v>
      </c>
      <c r="I1595" t="s">
        <v>15921</v>
      </c>
      <c r="J1595">
        <v>0</v>
      </c>
      <c r="K1595">
        <v>748.94</v>
      </c>
      <c r="L1595" t="s">
        <v>2917</v>
      </c>
      <c r="M1595">
        <v>4312.93</v>
      </c>
      <c r="N1595" t="s">
        <v>2918</v>
      </c>
      <c r="O1595" t="s">
        <v>12419</v>
      </c>
      <c r="P1595" t="s">
        <v>11404</v>
      </c>
      <c r="Q1595" t="s">
        <v>2924</v>
      </c>
      <c r="R1595" t="s">
        <v>3219</v>
      </c>
      <c r="S1595" t="s">
        <v>11405</v>
      </c>
      <c r="T1595" t="s">
        <v>11406</v>
      </c>
    </row>
    <row r="1596" spans="1:20">
      <c r="A1596" t="s">
        <v>2390</v>
      </c>
      <c r="B1596" t="s">
        <v>11331</v>
      </c>
      <c r="C1596">
        <v>45754</v>
      </c>
      <c r="D1596" t="s">
        <v>7263</v>
      </c>
      <c r="E1596" t="s">
        <v>11332</v>
      </c>
      <c r="F1596">
        <v>45761</v>
      </c>
      <c r="G1596" t="s">
        <v>12412</v>
      </c>
      <c r="H1596" t="s">
        <v>2916</v>
      </c>
      <c r="I1596" t="s">
        <v>15921</v>
      </c>
      <c r="J1596">
        <v>0</v>
      </c>
      <c r="K1596">
        <v>225.21</v>
      </c>
      <c r="L1596" t="s">
        <v>2917</v>
      </c>
      <c r="M1596">
        <v>1296.8800000000001</v>
      </c>
      <c r="N1596" t="s">
        <v>2918</v>
      </c>
      <c r="O1596" t="s">
        <v>12419</v>
      </c>
      <c r="P1596" t="s">
        <v>11410</v>
      </c>
      <c r="Q1596" t="s">
        <v>2924</v>
      </c>
      <c r="R1596" t="s">
        <v>3219</v>
      </c>
      <c r="S1596" t="s">
        <v>11411</v>
      </c>
      <c r="T1596" t="s">
        <v>11412</v>
      </c>
    </row>
    <row r="1597" spans="1:20">
      <c r="A1597" t="s">
        <v>2390</v>
      </c>
      <c r="B1597" t="s">
        <v>11331</v>
      </c>
      <c r="C1597">
        <v>45754</v>
      </c>
      <c r="D1597" t="s">
        <v>7263</v>
      </c>
      <c r="E1597" t="s">
        <v>11332</v>
      </c>
      <c r="F1597">
        <v>45761</v>
      </c>
      <c r="G1597" t="s">
        <v>12412</v>
      </c>
      <c r="H1597" t="s">
        <v>2916</v>
      </c>
      <c r="I1597" t="s">
        <v>15921</v>
      </c>
      <c r="J1597">
        <v>0</v>
      </c>
      <c r="K1597">
        <v>304.54000000000002</v>
      </c>
      <c r="L1597" t="s">
        <v>2917</v>
      </c>
      <c r="M1597">
        <v>1753.75</v>
      </c>
      <c r="N1597" t="s">
        <v>2918</v>
      </c>
      <c r="O1597" t="s">
        <v>12419</v>
      </c>
      <c r="P1597" t="s">
        <v>12415</v>
      </c>
      <c r="Q1597" t="s">
        <v>2924</v>
      </c>
      <c r="R1597" t="s">
        <v>3219</v>
      </c>
      <c r="S1597" t="s">
        <v>12416</v>
      </c>
      <c r="T1597" t="s">
        <v>12417</v>
      </c>
    </row>
    <row r="1598" spans="1:20">
      <c r="A1598" t="s">
        <v>2390</v>
      </c>
      <c r="B1598" t="s">
        <v>11331</v>
      </c>
      <c r="C1598">
        <v>45754</v>
      </c>
      <c r="D1598" t="s">
        <v>7263</v>
      </c>
      <c r="E1598" t="s">
        <v>11332</v>
      </c>
      <c r="F1598">
        <v>45770</v>
      </c>
      <c r="G1598" t="s">
        <v>12412</v>
      </c>
      <c r="H1598" t="s">
        <v>2916</v>
      </c>
      <c r="I1598" t="s">
        <v>15922</v>
      </c>
      <c r="J1598">
        <v>0</v>
      </c>
      <c r="K1598">
        <v>-748.94</v>
      </c>
      <c r="L1598" t="s">
        <v>2917</v>
      </c>
      <c r="M1598">
        <v>-4312.93</v>
      </c>
      <c r="N1598" t="s">
        <v>2918</v>
      </c>
      <c r="O1598" t="s">
        <v>12419</v>
      </c>
      <c r="P1598" t="s">
        <v>11404</v>
      </c>
      <c r="Q1598" t="s">
        <v>2924</v>
      </c>
      <c r="R1598" t="s">
        <v>3219</v>
      </c>
      <c r="S1598" t="s">
        <v>11405</v>
      </c>
      <c r="T1598" t="s">
        <v>11406</v>
      </c>
    </row>
    <row r="1599" spans="1:20">
      <c r="A1599" t="s">
        <v>2390</v>
      </c>
      <c r="B1599" t="s">
        <v>11331</v>
      </c>
      <c r="C1599">
        <v>45754</v>
      </c>
      <c r="D1599" t="s">
        <v>7263</v>
      </c>
      <c r="E1599" t="s">
        <v>11332</v>
      </c>
      <c r="F1599">
        <v>45770</v>
      </c>
      <c r="G1599" t="s">
        <v>12412</v>
      </c>
      <c r="H1599" t="s">
        <v>2916</v>
      </c>
      <c r="I1599" t="s">
        <v>15922</v>
      </c>
      <c r="J1599">
        <v>0</v>
      </c>
      <c r="K1599">
        <v>-353.14</v>
      </c>
      <c r="L1599" t="s">
        <v>2917</v>
      </c>
      <c r="M1599">
        <v>-2033.63</v>
      </c>
      <c r="N1599" t="s">
        <v>2918</v>
      </c>
      <c r="O1599" t="s">
        <v>12419</v>
      </c>
      <c r="P1599" t="s">
        <v>11410</v>
      </c>
      <c r="Q1599" t="s">
        <v>2924</v>
      </c>
      <c r="R1599" t="s">
        <v>3219</v>
      </c>
      <c r="S1599" t="s">
        <v>11411</v>
      </c>
      <c r="T1599" t="s">
        <v>11412</v>
      </c>
    </row>
    <row r="1600" spans="1:20">
      <c r="A1600" t="s">
        <v>2390</v>
      </c>
      <c r="B1600" t="s">
        <v>11331</v>
      </c>
      <c r="C1600">
        <v>45754</v>
      </c>
      <c r="D1600" t="s">
        <v>7263</v>
      </c>
      <c r="E1600" t="s">
        <v>11332</v>
      </c>
      <c r="F1600">
        <v>45770</v>
      </c>
      <c r="G1600" t="s">
        <v>12412</v>
      </c>
      <c r="H1600" t="s">
        <v>2916</v>
      </c>
      <c r="I1600" t="s">
        <v>15922</v>
      </c>
      <c r="J1600">
        <v>0</v>
      </c>
      <c r="K1600">
        <v>-304.54000000000002</v>
      </c>
      <c r="L1600" t="s">
        <v>2917</v>
      </c>
      <c r="M1600">
        <v>-1753.75</v>
      </c>
      <c r="N1600" t="s">
        <v>2918</v>
      </c>
      <c r="O1600" t="s">
        <v>12419</v>
      </c>
      <c r="P1600" t="s">
        <v>12415</v>
      </c>
      <c r="Q1600" t="s">
        <v>2924</v>
      </c>
      <c r="R1600" t="s">
        <v>3219</v>
      </c>
      <c r="S1600" t="s">
        <v>12416</v>
      </c>
      <c r="T1600" t="s">
        <v>12417</v>
      </c>
    </row>
    <row r="1601" spans="1:20">
      <c r="A1601" t="s">
        <v>2390</v>
      </c>
      <c r="B1601" t="s">
        <v>11331</v>
      </c>
      <c r="C1601">
        <v>45754</v>
      </c>
      <c r="D1601" t="s">
        <v>7263</v>
      </c>
      <c r="E1601" t="s">
        <v>11332</v>
      </c>
      <c r="F1601">
        <v>45761</v>
      </c>
      <c r="G1601" t="s">
        <v>12202</v>
      </c>
      <c r="H1601" t="s">
        <v>2916</v>
      </c>
      <c r="I1601" t="s">
        <v>15923</v>
      </c>
      <c r="J1601">
        <v>0</v>
      </c>
      <c r="K1601">
        <v>-735.01</v>
      </c>
      <c r="L1601" t="s">
        <v>2917</v>
      </c>
      <c r="M1601">
        <v>-4232.6899999999996</v>
      </c>
      <c r="N1601" t="s">
        <v>2918</v>
      </c>
      <c r="O1601" t="s">
        <v>12411</v>
      </c>
      <c r="P1601" t="s">
        <v>12366</v>
      </c>
      <c r="Q1601" t="s">
        <v>12360</v>
      </c>
      <c r="R1601" t="s">
        <v>12361</v>
      </c>
      <c r="S1601" t="s">
        <v>12367</v>
      </c>
      <c r="T1601" t="s">
        <v>12368</v>
      </c>
    </row>
    <row r="1602" spans="1:20">
      <c r="A1602" t="s">
        <v>2390</v>
      </c>
      <c r="B1602" t="s">
        <v>11331</v>
      </c>
      <c r="C1602">
        <v>45754</v>
      </c>
      <c r="D1602" t="s">
        <v>7263</v>
      </c>
      <c r="E1602" t="s">
        <v>11332</v>
      </c>
      <c r="F1602">
        <v>45770</v>
      </c>
      <c r="G1602" t="s">
        <v>12202</v>
      </c>
      <c r="H1602" t="s">
        <v>2916</v>
      </c>
      <c r="I1602" t="s">
        <v>15924</v>
      </c>
      <c r="J1602">
        <v>0</v>
      </c>
      <c r="K1602">
        <v>735.01</v>
      </c>
      <c r="L1602" t="s">
        <v>2917</v>
      </c>
      <c r="M1602">
        <v>4232.6899999999996</v>
      </c>
      <c r="N1602" t="s">
        <v>2918</v>
      </c>
      <c r="O1602" t="s">
        <v>12411</v>
      </c>
      <c r="P1602" t="s">
        <v>12366</v>
      </c>
      <c r="Q1602" t="s">
        <v>12360</v>
      </c>
      <c r="R1602" t="s">
        <v>12361</v>
      </c>
      <c r="S1602" t="s">
        <v>12367</v>
      </c>
      <c r="T1602" t="s">
        <v>12368</v>
      </c>
    </row>
    <row r="1603" spans="1:20">
      <c r="A1603" t="s">
        <v>2390</v>
      </c>
      <c r="B1603" t="s">
        <v>11331</v>
      </c>
      <c r="C1603">
        <v>45754</v>
      </c>
      <c r="D1603" t="s">
        <v>7263</v>
      </c>
      <c r="E1603" t="s">
        <v>11332</v>
      </c>
      <c r="F1603">
        <v>45770</v>
      </c>
      <c r="G1603" t="s">
        <v>12412</v>
      </c>
      <c r="H1603" t="s">
        <v>2916</v>
      </c>
      <c r="I1603" t="s">
        <v>16269</v>
      </c>
      <c r="J1603">
        <v>0</v>
      </c>
      <c r="K1603">
        <v>748.94</v>
      </c>
      <c r="L1603" t="s">
        <v>2917</v>
      </c>
      <c r="M1603">
        <v>4312.93</v>
      </c>
      <c r="N1603" t="s">
        <v>2918</v>
      </c>
      <c r="O1603" t="s">
        <v>12419</v>
      </c>
      <c r="P1603" t="s">
        <v>11404</v>
      </c>
      <c r="Q1603" t="s">
        <v>2924</v>
      </c>
      <c r="R1603" t="s">
        <v>3219</v>
      </c>
      <c r="S1603" t="s">
        <v>11405</v>
      </c>
      <c r="T1603" t="s">
        <v>11406</v>
      </c>
    </row>
    <row r="1604" spans="1:20">
      <c r="A1604" t="s">
        <v>2390</v>
      </c>
      <c r="B1604" t="s">
        <v>11331</v>
      </c>
      <c r="C1604">
        <v>45754</v>
      </c>
      <c r="D1604" t="s">
        <v>7263</v>
      </c>
      <c r="E1604" t="s">
        <v>11332</v>
      </c>
      <c r="F1604">
        <v>45770</v>
      </c>
      <c r="G1604" t="s">
        <v>12412</v>
      </c>
      <c r="H1604" t="s">
        <v>2916</v>
      </c>
      <c r="I1604" t="s">
        <v>16269</v>
      </c>
      <c r="J1604">
        <v>0</v>
      </c>
      <c r="K1604">
        <v>353.14</v>
      </c>
      <c r="L1604" t="s">
        <v>2917</v>
      </c>
      <c r="M1604">
        <v>2033.63</v>
      </c>
      <c r="N1604" t="s">
        <v>2918</v>
      </c>
      <c r="O1604" t="s">
        <v>12419</v>
      </c>
      <c r="P1604" t="s">
        <v>11410</v>
      </c>
      <c r="Q1604" t="s">
        <v>2924</v>
      </c>
      <c r="R1604" t="s">
        <v>3219</v>
      </c>
      <c r="S1604" t="s">
        <v>11411</v>
      </c>
      <c r="T1604" t="s">
        <v>11412</v>
      </c>
    </row>
    <row r="1605" spans="1:20">
      <c r="A1605" t="s">
        <v>2390</v>
      </c>
      <c r="B1605" t="s">
        <v>11331</v>
      </c>
      <c r="C1605">
        <v>45754</v>
      </c>
      <c r="D1605" t="s">
        <v>7263</v>
      </c>
      <c r="E1605" t="s">
        <v>11332</v>
      </c>
      <c r="F1605">
        <v>45770</v>
      </c>
      <c r="G1605" t="s">
        <v>12412</v>
      </c>
      <c r="H1605" t="s">
        <v>2916</v>
      </c>
      <c r="I1605" t="s">
        <v>16269</v>
      </c>
      <c r="J1605">
        <v>0</v>
      </c>
      <c r="K1605">
        <v>304.54000000000002</v>
      </c>
      <c r="L1605" t="s">
        <v>2917</v>
      </c>
      <c r="M1605">
        <v>1753.75</v>
      </c>
      <c r="N1605" t="s">
        <v>2918</v>
      </c>
      <c r="O1605" t="s">
        <v>12419</v>
      </c>
      <c r="P1605" t="s">
        <v>12415</v>
      </c>
      <c r="Q1605" t="s">
        <v>2924</v>
      </c>
      <c r="R1605" t="s">
        <v>3219</v>
      </c>
      <c r="S1605" t="s">
        <v>12416</v>
      </c>
      <c r="T1605" t="s">
        <v>12417</v>
      </c>
    </row>
    <row r="1606" spans="1:20">
      <c r="A1606" t="s">
        <v>2390</v>
      </c>
      <c r="B1606" t="s">
        <v>11331</v>
      </c>
      <c r="C1606">
        <v>45754</v>
      </c>
      <c r="D1606" t="s">
        <v>7263</v>
      </c>
      <c r="E1606" t="s">
        <v>11332</v>
      </c>
      <c r="F1606">
        <v>45776</v>
      </c>
      <c r="G1606" t="s">
        <v>12412</v>
      </c>
      <c r="H1606" t="s">
        <v>2916</v>
      </c>
      <c r="I1606" t="s">
        <v>16270</v>
      </c>
      <c r="J1606">
        <v>0</v>
      </c>
      <c r="K1606">
        <v>-748.94</v>
      </c>
      <c r="L1606" t="s">
        <v>2917</v>
      </c>
      <c r="M1606">
        <v>-4312.93</v>
      </c>
      <c r="N1606" t="s">
        <v>2918</v>
      </c>
      <c r="O1606" t="s">
        <v>12419</v>
      </c>
      <c r="P1606" t="s">
        <v>11404</v>
      </c>
      <c r="Q1606" t="s">
        <v>2924</v>
      </c>
      <c r="R1606" t="s">
        <v>3219</v>
      </c>
      <c r="S1606" t="s">
        <v>11405</v>
      </c>
      <c r="T1606" t="s">
        <v>11406</v>
      </c>
    </row>
    <row r="1607" spans="1:20">
      <c r="A1607" t="s">
        <v>2390</v>
      </c>
      <c r="B1607" t="s">
        <v>11331</v>
      </c>
      <c r="C1607">
        <v>45754</v>
      </c>
      <c r="D1607" t="s">
        <v>7263</v>
      </c>
      <c r="E1607" t="s">
        <v>11332</v>
      </c>
      <c r="F1607">
        <v>45776</v>
      </c>
      <c r="G1607" t="s">
        <v>12412</v>
      </c>
      <c r="H1607" t="s">
        <v>2916</v>
      </c>
      <c r="I1607" t="s">
        <v>16270</v>
      </c>
      <c r="J1607">
        <v>0</v>
      </c>
      <c r="K1607">
        <v>-364.77</v>
      </c>
      <c r="L1607" t="s">
        <v>2917</v>
      </c>
      <c r="M1607">
        <v>-2100.6</v>
      </c>
      <c r="N1607" t="s">
        <v>2918</v>
      </c>
      <c r="O1607" t="s">
        <v>12419</v>
      </c>
      <c r="P1607" t="s">
        <v>11410</v>
      </c>
      <c r="Q1607" t="s">
        <v>2924</v>
      </c>
      <c r="R1607" t="s">
        <v>3219</v>
      </c>
      <c r="S1607" t="s">
        <v>11411</v>
      </c>
      <c r="T1607" t="s">
        <v>11412</v>
      </c>
    </row>
    <row r="1608" spans="1:20">
      <c r="A1608" t="s">
        <v>2390</v>
      </c>
      <c r="B1608" t="s">
        <v>11331</v>
      </c>
      <c r="C1608">
        <v>45754</v>
      </c>
      <c r="D1608" t="s">
        <v>7263</v>
      </c>
      <c r="E1608" t="s">
        <v>11332</v>
      </c>
      <c r="F1608">
        <v>45776</v>
      </c>
      <c r="G1608" t="s">
        <v>12412</v>
      </c>
      <c r="H1608" t="s">
        <v>2916</v>
      </c>
      <c r="I1608" t="s">
        <v>16270</v>
      </c>
      <c r="J1608">
        <v>0</v>
      </c>
      <c r="K1608">
        <v>-304.54000000000002</v>
      </c>
      <c r="L1608" t="s">
        <v>2917</v>
      </c>
      <c r="M1608">
        <v>-1753.75</v>
      </c>
      <c r="N1608" t="s">
        <v>2918</v>
      </c>
      <c r="O1608" t="s">
        <v>12419</v>
      </c>
      <c r="P1608" t="s">
        <v>12415</v>
      </c>
      <c r="Q1608" t="s">
        <v>2924</v>
      </c>
      <c r="R1608" t="s">
        <v>3219</v>
      </c>
      <c r="S1608" t="s">
        <v>12416</v>
      </c>
      <c r="T1608" t="s">
        <v>12417</v>
      </c>
    </row>
    <row r="1609" spans="1:20">
      <c r="A1609" t="s">
        <v>2390</v>
      </c>
      <c r="B1609" t="s">
        <v>11331</v>
      </c>
      <c r="C1609">
        <v>45754</v>
      </c>
      <c r="D1609" t="s">
        <v>7263</v>
      </c>
      <c r="E1609" t="s">
        <v>11332</v>
      </c>
      <c r="F1609">
        <v>45770</v>
      </c>
      <c r="G1609" t="s">
        <v>12202</v>
      </c>
      <c r="H1609" t="s">
        <v>2916</v>
      </c>
      <c r="I1609" t="s">
        <v>16271</v>
      </c>
      <c r="J1609">
        <v>0</v>
      </c>
      <c r="K1609">
        <v>-735.01</v>
      </c>
      <c r="L1609" t="s">
        <v>2917</v>
      </c>
      <c r="M1609">
        <v>-4232.6899999999996</v>
      </c>
      <c r="N1609" t="s">
        <v>2918</v>
      </c>
      <c r="O1609" t="s">
        <v>12411</v>
      </c>
      <c r="P1609" t="s">
        <v>12366</v>
      </c>
      <c r="Q1609" t="s">
        <v>12360</v>
      </c>
      <c r="R1609" t="s">
        <v>12361</v>
      </c>
      <c r="S1609" t="s">
        <v>12367</v>
      </c>
      <c r="T1609" t="s">
        <v>12368</v>
      </c>
    </row>
    <row r="1610" spans="1:20">
      <c r="A1610" t="s">
        <v>2390</v>
      </c>
      <c r="B1610" t="s">
        <v>11331</v>
      </c>
      <c r="C1610">
        <v>45754</v>
      </c>
      <c r="D1610" t="s">
        <v>7263</v>
      </c>
      <c r="E1610" t="s">
        <v>11332</v>
      </c>
      <c r="F1610">
        <v>45776</v>
      </c>
      <c r="G1610" t="s">
        <v>12202</v>
      </c>
      <c r="H1610" t="s">
        <v>2916</v>
      </c>
      <c r="I1610" t="s">
        <v>16272</v>
      </c>
      <c r="J1610">
        <v>0</v>
      </c>
      <c r="K1610">
        <v>18.920000000000002</v>
      </c>
      <c r="L1610" t="s">
        <v>2917</v>
      </c>
      <c r="M1610">
        <v>108.96</v>
      </c>
      <c r="N1610" t="s">
        <v>2918</v>
      </c>
      <c r="O1610" t="s">
        <v>12411</v>
      </c>
      <c r="P1610" t="s">
        <v>12366</v>
      </c>
      <c r="Q1610" t="s">
        <v>12360</v>
      </c>
      <c r="R1610" t="s">
        <v>12361</v>
      </c>
      <c r="S1610" t="s">
        <v>12367</v>
      </c>
      <c r="T1610" t="s">
        <v>12368</v>
      </c>
    </row>
    <row r="1611" spans="1:20">
      <c r="A1611" t="s">
        <v>2390</v>
      </c>
      <c r="B1611" t="s">
        <v>11331</v>
      </c>
      <c r="C1611">
        <v>45777</v>
      </c>
      <c r="D1611" t="s">
        <v>7263</v>
      </c>
      <c r="E1611" t="s">
        <v>11332</v>
      </c>
      <c r="F1611">
        <v>45777</v>
      </c>
      <c r="G1611" t="s">
        <v>2208</v>
      </c>
      <c r="H1611" t="s">
        <v>2916</v>
      </c>
      <c r="I1611" t="s">
        <v>16319</v>
      </c>
      <c r="J1611">
        <v>0</v>
      </c>
      <c r="K1611">
        <v>-10795.22</v>
      </c>
      <c r="L1611" t="s">
        <v>2917</v>
      </c>
      <c r="M1611">
        <v>-62166.57</v>
      </c>
      <c r="N1611" t="s">
        <v>2918</v>
      </c>
      <c r="O1611" t="s">
        <v>16320</v>
      </c>
      <c r="P1611" t="s">
        <v>2208</v>
      </c>
      <c r="Q1611" t="s">
        <v>2933</v>
      </c>
      <c r="R1611" t="s">
        <v>3314</v>
      </c>
      <c r="S1611" t="s">
        <v>2208</v>
      </c>
      <c r="T1611" t="s">
        <v>2208</v>
      </c>
    </row>
    <row r="1612" spans="1:20">
      <c r="A1612" t="s">
        <v>2390</v>
      </c>
      <c r="B1612" t="s">
        <v>11331</v>
      </c>
      <c r="C1612">
        <v>45777</v>
      </c>
      <c r="D1612" t="s">
        <v>7263</v>
      </c>
      <c r="E1612" t="s">
        <v>11332</v>
      </c>
      <c r="F1612">
        <v>45777</v>
      </c>
      <c r="G1612" t="s">
        <v>2208</v>
      </c>
      <c r="H1612" t="s">
        <v>2916</v>
      </c>
      <c r="I1612" t="s">
        <v>16447</v>
      </c>
      <c r="J1612">
        <v>0</v>
      </c>
      <c r="K1612">
        <v>0.01</v>
      </c>
      <c r="L1612" t="s">
        <v>2917</v>
      </c>
      <c r="M1612">
        <v>0</v>
      </c>
      <c r="N1612" t="s">
        <v>2918</v>
      </c>
      <c r="O1612" t="s">
        <v>2919</v>
      </c>
      <c r="P1612" t="s">
        <v>2208</v>
      </c>
      <c r="Q1612" t="s">
        <v>2916</v>
      </c>
      <c r="R1612" t="s">
        <v>3220</v>
      </c>
      <c r="S1612" t="s">
        <v>2208</v>
      </c>
      <c r="T1612" t="s">
        <v>2208</v>
      </c>
    </row>
    <row r="1613" spans="1:20">
      <c r="A1613" t="s">
        <v>2390</v>
      </c>
      <c r="B1613" t="s">
        <v>16360</v>
      </c>
      <c r="C1613">
        <v>45790</v>
      </c>
      <c r="D1613" t="s">
        <v>7263</v>
      </c>
      <c r="E1613" t="s">
        <v>16361</v>
      </c>
      <c r="F1613">
        <v>45791</v>
      </c>
      <c r="G1613" t="s">
        <v>17053</v>
      </c>
      <c r="H1613" t="s">
        <v>2916</v>
      </c>
      <c r="I1613" t="s">
        <v>17054</v>
      </c>
      <c r="J1613">
        <v>0.4</v>
      </c>
      <c r="K1613">
        <v>14175.69</v>
      </c>
      <c r="L1613" t="s">
        <v>2917</v>
      </c>
      <c r="M1613">
        <v>79863.039999999994</v>
      </c>
      <c r="N1613" t="s">
        <v>2918</v>
      </c>
      <c r="O1613" t="s">
        <v>17055</v>
      </c>
      <c r="P1613" t="s">
        <v>17056</v>
      </c>
      <c r="Q1613" t="s">
        <v>17057</v>
      </c>
      <c r="R1613" t="s">
        <v>17058</v>
      </c>
      <c r="S1613" t="s">
        <v>17059</v>
      </c>
      <c r="T1613" t="s">
        <v>17060</v>
      </c>
    </row>
    <row r="1614" spans="1:20">
      <c r="A1614" t="s">
        <v>2390</v>
      </c>
      <c r="B1614" t="s">
        <v>16360</v>
      </c>
      <c r="C1614">
        <v>45443</v>
      </c>
      <c r="D1614" t="s">
        <v>7263</v>
      </c>
      <c r="E1614" t="s">
        <v>16361</v>
      </c>
      <c r="F1614">
        <v>45804</v>
      </c>
      <c r="G1614" t="s">
        <v>2208</v>
      </c>
      <c r="H1614" t="s">
        <v>2916</v>
      </c>
      <c r="I1614" t="s">
        <v>17758</v>
      </c>
      <c r="J1614">
        <v>0</v>
      </c>
      <c r="K1614">
        <v>-29174.02</v>
      </c>
      <c r="L1614" t="s">
        <v>2917</v>
      </c>
      <c r="M1614">
        <v>-150358.29</v>
      </c>
      <c r="N1614" t="s">
        <v>2918</v>
      </c>
      <c r="O1614" t="s">
        <v>17764</v>
      </c>
      <c r="P1614" t="s">
        <v>2208</v>
      </c>
      <c r="Q1614" t="s">
        <v>7720</v>
      </c>
      <c r="R1614" t="s">
        <v>7721</v>
      </c>
      <c r="S1614" t="s">
        <v>2208</v>
      </c>
      <c r="T1614" t="s">
        <v>2208</v>
      </c>
    </row>
    <row r="1615" spans="1:20">
      <c r="A1615" t="s">
        <v>2390</v>
      </c>
      <c r="B1615" t="s">
        <v>16360</v>
      </c>
      <c r="C1615">
        <v>45790</v>
      </c>
      <c r="D1615" t="s">
        <v>7263</v>
      </c>
      <c r="E1615" t="s">
        <v>16361</v>
      </c>
      <c r="F1615">
        <v>45791</v>
      </c>
      <c r="G1615" t="s">
        <v>17053</v>
      </c>
      <c r="H1615" t="s">
        <v>2916</v>
      </c>
      <c r="I1615" t="s">
        <v>17795</v>
      </c>
      <c r="J1615">
        <v>-0.4</v>
      </c>
      <c r="K1615">
        <v>-14175.69</v>
      </c>
      <c r="L1615" t="s">
        <v>2917</v>
      </c>
      <c r="M1615">
        <v>-79863.06</v>
      </c>
      <c r="N1615" t="s">
        <v>2918</v>
      </c>
      <c r="O1615" t="s">
        <v>17796</v>
      </c>
      <c r="P1615" t="s">
        <v>17056</v>
      </c>
      <c r="Q1615" t="s">
        <v>17057</v>
      </c>
      <c r="R1615" t="s">
        <v>17058</v>
      </c>
      <c r="S1615" t="s">
        <v>17059</v>
      </c>
      <c r="T1615" t="s">
        <v>17060</v>
      </c>
    </row>
    <row r="1616" spans="1:20">
      <c r="A1616" t="s">
        <v>2390</v>
      </c>
      <c r="B1616" t="s">
        <v>16360</v>
      </c>
      <c r="C1616">
        <v>45790</v>
      </c>
      <c r="D1616" t="s">
        <v>7263</v>
      </c>
      <c r="E1616" t="s">
        <v>16361</v>
      </c>
      <c r="F1616">
        <v>45805</v>
      </c>
      <c r="G1616" t="s">
        <v>17053</v>
      </c>
      <c r="H1616" t="s">
        <v>2916</v>
      </c>
      <c r="I1616" t="s">
        <v>17797</v>
      </c>
      <c r="J1616">
        <v>0.4</v>
      </c>
      <c r="K1616">
        <v>14175.69</v>
      </c>
      <c r="L1616" t="s">
        <v>2917</v>
      </c>
      <c r="M1616">
        <v>79863.039999999994</v>
      </c>
      <c r="N1616" t="s">
        <v>2918</v>
      </c>
      <c r="O1616" t="s">
        <v>17796</v>
      </c>
      <c r="P1616" t="s">
        <v>17056</v>
      </c>
      <c r="Q1616" t="s">
        <v>17057</v>
      </c>
      <c r="R1616" t="s">
        <v>17058</v>
      </c>
      <c r="S1616" t="s">
        <v>17059</v>
      </c>
      <c r="T1616" t="s">
        <v>17060</v>
      </c>
    </row>
    <row r="1617" spans="1:20">
      <c r="A1617" t="s">
        <v>2390</v>
      </c>
      <c r="B1617" t="s">
        <v>16360</v>
      </c>
      <c r="C1617">
        <v>45808</v>
      </c>
      <c r="D1617" t="s">
        <v>7263</v>
      </c>
      <c r="E1617" t="s">
        <v>16361</v>
      </c>
      <c r="F1617">
        <v>45808</v>
      </c>
      <c r="G1617" t="s">
        <v>2208</v>
      </c>
      <c r="H1617" t="s">
        <v>2916</v>
      </c>
      <c r="I1617" t="s">
        <v>17879</v>
      </c>
      <c r="J1617">
        <v>0</v>
      </c>
      <c r="K1617">
        <v>2485.4699999999998</v>
      </c>
      <c r="L1617" t="s">
        <v>2917</v>
      </c>
      <c r="M1617">
        <v>0</v>
      </c>
      <c r="N1617" t="s">
        <v>2918</v>
      </c>
      <c r="O1617" t="s">
        <v>2919</v>
      </c>
      <c r="P1617" t="s">
        <v>2208</v>
      </c>
      <c r="Q1617" t="s">
        <v>2916</v>
      </c>
      <c r="R1617" t="s">
        <v>3220</v>
      </c>
      <c r="S1617" t="s">
        <v>2208</v>
      </c>
      <c r="T1617" t="s">
        <v>2208</v>
      </c>
    </row>
    <row r="1618" spans="1:20">
      <c r="A1618" t="s">
        <v>2390</v>
      </c>
      <c r="B1618" t="s">
        <v>17897</v>
      </c>
      <c r="C1618">
        <v>45812</v>
      </c>
      <c r="D1618" t="s">
        <v>7263</v>
      </c>
      <c r="E1618" t="s">
        <v>17898</v>
      </c>
      <c r="F1618">
        <v>45814</v>
      </c>
      <c r="G1618" t="s">
        <v>18476</v>
      </c>
      <c r="H1618" t="s">
        <v>2916</v>
      </c>
      <c r="I1618" t="s">
        <v>18477</v>
      </c>
      <c r="J1618">
        <v>13</v>
      </c>
      <c r="K1618">
        <v>524.15</v>
      </c>
      <c r="L1618" t="s">
        <v>2917</v>
      </c>
      <c r="M1618">
        <v>2974.76</v>
      </c>
      <c r="N1618" t="s">
        <v>2918</v>
      </c>
      <c r="O1618" t="s">
        <v>18478</v>
      </c>
      <c r="P1618" t="s">
        <v>7356</v>
      </c>
      <c r="Q1618" t="s">
        <v>2924</v>
      </c>
      <c r="R1618" t="s">
        <v>3219</v>
      </c>
      <c r="S1618" t="s">
        <v>7357</v>
      </c>
      <c r="T1618" t="s">
        <v>7358</v>
      </c>
    </row>
    <row r="1619" spans="1:20">
      <c r="A1619" t="s">
        <v>2390</v>
      </c>
      <c r="B1619" t="s">
        <v>17897</v>
      </c>
      <c r="C1619">
        <v>45812</v>
      </c>
      <c r="D1619" t="s">
        <v>7263</v>
      </c>
      <c r="E1619" t="s">
        <v>17898</v>
      </c>
      <c r="F1619">
        <v>45814</v>
      </c>
      <c r="G1619" t="s">
        <v>18476</v>
      </c>
      <c r="H1619" t="s">
        <v>2916</v>
      </c>
      <c r="I1619" t="s">
        <v>18479</v>
      </c>
      <c r="J1619">
        <v>0</v>
      </c>
      <c r="K1619">
        <v>-61.88</v>
      </c>
      <c r="L1619" t="s">
        <v>2917</v>
      </c>
      <c r="M1619">
        <v>-351.21</v>
      </c>
      <c r="N1619" t="s">
        <v>2918</v>
      </c>
      <c r="O1619" t="s">
        <v>18480</v>
      </c>
      <c r="P1619" t="s">
        <v>7356</v>
      </c>
      <c r="Q1619" t="s">
        <v>2924</v>
      </c>
      <c r="R1619" t="s">
        <v>3219</v>
      </c>
      <c r="S1619" t="s">
        <v>7357</v>
      </c>
      <c r="T1619" t="s">
        <v>7358</v>
      </c>
    </row>
    <row r="1620" spans="1:20">
      <c r="A1620" t="s">
        <v>2390</v>
      </c>
      <c r="B1620" t="s">
        <v>17897</v>
      </c>
      <c r="C1620">
        <v>45819</v>
      </c>
      <c r="D1620" t="s">
        <v>7263</v>
      </c>
      <c r="E1620" t="s">
        <v>17898</v>
      </c>
      <c r="F1620">
        <v>45826</v>
      </c>
      <c r="G1620" t="s">
        <v>18624</v>
      </c>
      <c r="H1620" t="s">
        <v>2916</v>
      </c>
      <c r="I1620" t="s">
        <v>18625</v>
      </c>
      <c r="J1620">
        <v>1</v>
      </c>
      <c r="K1620">
        <v>2937.35</v>
      </c>
      <c r="L1620" t="s">
        <v>2917</v>
      </c>
      <c r="M1620">
        <v>16670.57</v>
      </c>
      <c r="N1620" t="s">
        <v>2918</v>
      </c>
      <c r="O1620" t="s">
        <v>18626</v>
      </c>
      <c r="P1620" t="s">
        <v>18627</v>
      </c>
      <c r="Q1620" t="s">
        <v>2924</v>
      </c>
      <c r="R1620" t="s">
        <v>3219</v>
      </c>
      <c r="S1620" t="s">
        <v>18628</v>
      </c>
      <c r="T1620" t="s">
        <v>18629</v>
      </c>
    </row>
    <row r="1621" spans="1:20">
      <c r="A1621" t="s">
        <v>2390</v>
      </c>
      <c r="B1621" t="s">
        <v>17897</v>
      </c>
      <c r="C1621">
        <v>45819</v>
      </c>
      <c r="D1621" t="s">
        <v>7263</v>
      </c>
      <c r="E1621" t="s">
        <v>17898</v>
      </c>
      <c r="F1621">
        <v>45826</v>
      </c>
      <c r="G1621" t="s">
        <v>18624</v>
      </c>
      <c r="H1621" t="s">
        <v>2916</v>
      </c>
      <c r="I1621" t="s">
        <v>18630</v>
      </c>
      <c r="J1621">
        <v>0</v>
      </c>
      <c r="K1621">
        <v>-346.8</v>
      </c>
      <c r="L1621" t="s">
        <v>2917</v>
      </c>
      <c r="M1621">
        <v>-1968.22</v>
      </c>
      <c r="N1621" t="s">
        <v>2918</v>
      </c>
      <c r="O1621" t="s">
        <v>18631</v>
      </c>
      <c r="P1621" t="s">
        <v>18627</v>
      </c>
      <c r="Q1621" t="s">
        <v>2924</v>
      </c>
      <c r="R1621" t="s">
        <v>3219</v>
      </c>
      <c r="S1621" t="s">
        <v>18628</v>
      </c>
      <c r="T1621" t="s">
        <v>18629</v>
      </c>
    </row>
    <row r="1622" spans="1:20">
      <c r="A1622" t="s">
        <v>2390</v>
      </c>
      <c r="B1622" t="s">
        <v>17897</v>
      </c>
      <c r="C1622">
        <v>45825</v>
      </c>
      <c r="D1622" t="s">
        <v>7263</v>
      </c>
      <c r="E1622" t="s">
        <v>17898</v>
      </c>
      <c r="F1622">
        <v>45826</v>
      </c>
      <c r="G1622" t="s">
        <v>18632</v>
      </c>
      <c r="H1622" t="s">
        <v>2916</v>
      </c>
      <c r="I1622" t="s">
        <v>18633</v>
      </c>
      <c r="J1622">
        <v>1</v>
      </c>
      <c r="K1622">
        <v>13179.76</v>
      </c>
      <c r="L1622" t="s">
        <v>2917</v>
      </c>
      <c r="M1622">
        <v>74800</v>
      </c>
      <c r="N1622" t="s">
        <v>2918</v>
      </c>
      <c r="O1622" t="s">
        <v>18634</v>
      </c>
      <c r="P1622" t="s">
        <v>17523</v>
      </c>
      <c r="Q1622" t="s">
        <v>2924</v>
      </c>
      <c r="R1622" t="s">
        <v>3219</v>
      </c>
      <c r="S1622" t="s">
        <v>17524</v>
      </c>
      <c r="T1622" t="s">
        <v>17525</v>
      </c>
    </row>
    <row r="1623" spans="1:20">
      <c r="A1623" t="s">
        <v>2390</v>
      </c>
      <c r="B1623" t="s">
        <v>17897</v>
      </c>
      <c r="C1623">
        <v>45825</v>
      </c>
      <c r="D1623" t="s">
        <v>7263</v>
      </c>
      <c r="E1623" t="s">
        <v>17898</v>
      </c>
      <c r="F1623">
        <v>45834</v>
      </c>
      <c r="G1623" t="s">
        <v>18632</v>
      </c>
      <c r="H1623" t="s">
        <v>2916</v>
      </c>
      <c r="I1623" t="s">
        <v>19164</v>
      </c>
      <c r="J1623">
        <v>0</v>
      </c>
      <c r="K1623">
        <v>-1219.1300000000001</v>
      </c>
      <c r="L1623" t="s">
        <v>2917</v>
      </c>
      <c r="M1623">
        <v>-6919</v>
      </c>
      <c r="N1623" t="s">
        <v>2918</v>
      </c>
      <c r="O1623" t="s">
        <v>19165</v>
      </c>
      <c r="P1623" t="s">
        <v>17523</v>
      </c>
      <c r="Q1623" t="s">
        <v>2924</v>
      </c>
      <c r="R1623" t="s">
        <v>3219</v>
      </c>
      <c r="S1623" t="s">
        <v>17524</v>
      </c>
      <c r="T1623" t="s">
        <v>17525</v>
      </c>
    </row>
    <row r="1624" spans="1:20">
      <c r="A1624" t="s">
        <v>2390</v>
      </c>
      <c r="B1624" t="s">
        <v>17897</v>
      </c>
      <c r="C1624">
        <v>45835</v>
      </c>
      <c r="D1624" t="s">
        <v>7263</v>
      </c>
      <c r="E1624" t="s">
        <v>17898</v>
      </c>
      <c r="F1624">
        <v>45835</v>
      </c>
      <c r="G1624" t="s">
        <v>2208</v>
      </c>
      <c r="H1624" t="s">
        <v>2916</v>
      </c>
      <c r="I1624" t="s">
        <v>19152</v>
      </c>
      <c r="J1624">
        <v>0</v>
      </c>
      <c r="K1624">
        <v>-288.45999999999998</v>
      </c>
      <c r="L1624" t="s">
        <v>2917</v>
      </c>
      <c r="M1624">
        <v>-1637.12</v>
      </c>
      <c r="N1624" t="s">
        <v>2918</v>
      </c>
      <c r="O1624" t="s">
        <v>19153</v>
      </c>
      <c r="P1624" t="s">
        <v>2208</v>
      </c>
      <c r="Q1624" t="s">
        <v>2933</v>
      </c>
      <c r="R1624" t="s">
        <v>3314</v>
      </c>
      <c r="S1624" t="s">
        <v>2208</v>
      </c>
      <c r="T1624" t="s">
        <v>2208</v>
      </c>
    </row>
    <row r="1625" spans="1:20">
      <c r="A1625" t="s">
        <v>2390</v>
      </c>
      <c r="B1625" t="s">
        <v>17897</v>
      </c>
      <c r="C1625">
        <v>45838</v>
      </c>
      <c r="D1625" t="s">
        <v>7263</v>
      </c>
      <c r="E1625" t="s">
        <v>17898</v>
      </c>
      <c r="F1625">
        <v>45838</v>
      </c>
      <c r="G1625" t="s">
        <v>2208</v>
      </c>
      <c r="H1625" t="s">
        <v>2916</v>
      </c>
      <c r="I1625" t="s">
        <v>19274</v>
      </c>
      <c r="J1625">
        <v>0</v>
      </c>
      <c r="K1625">
        <v>0.04</v>
      </c>
      <c r="L1625" t="s">
        <v>2917</v>
      </c>
      <c r="M1625">
        <v>0</v>
      </c>
      <c r="N1625" t="s">
        <v>2918</v>
      </c>
      <c r="O1625" t="s">
        <v>2919</v>
      </c>
      <c r="P1625" t="s">
        <v>2208</v>
      </c>
      <c r="Q1625" t="s">
        <v>2916</v>
      </c>
      <c r="R1625" t="s">
        <v>3220</v>
      </c>
      <c r="S1625" t="s">
        <v>2208</v>
      </c>
      <c r="T1625" t="s">
        <v>2208</v>
      </c>
    </row>
    <row r="1626" spans="1:20">
      <c r="A1626" t="s">
        <v>2390</v>
      </c>
      <c r="B1626" t="s">
        <v>19439</v>
      </c>
      <c r="C1626">
        <v>45838</v>
      </c>
      <c r="D1626" t="s">
        <v>7263</v>
      </c>
      <c r="E1626" t="s">
        <v>19440</v>
      </c>
      <c r="F1626">
        <v>45842</v>
      </c>
      <c r="G1626" t="s">
        <v>18476</v>
      </c>
      <c r="H1626" t="s">
        <v>2916</v>
      </c>
      <c r="I1626" t="s">
        <v>20022</v>
      </c>
      <c r="J1626">
        <v>52</v>
      </c>
      <c r="K1626">
        <v>2173.6</v>
      </c>
      <c r="L1626" t="s">
        <v>2917</v>
      </c>
      <c r="M1626">
        <v>11899.05</v>
      </c>
      <c r="N1626" t="s">
        <v>2918</v>
      </c>
      <c r="O1626" t="s">
        <v>20023</v>
      </c>
      <c r="P1626" t="s">
        <v>7356</v>
      </c>
      <c r="Q1626" t="s">
        <v>2924</v>
      </c>
      <c r="R1626" t="s">
        <v>3219</v>
      </c>
      <c r="S1626" t="s">
        <v>7357</v>
      </c>
      <c r="T1626" t="s">
        <v>7358</v>
      </c>
    </row>
    <row r="1627" spans="1:20">
      <c r="A1627" t="s">
        <v>2390</v>
      </c>
      <c r="B1627" t="s">
        <v>19439</v>
      </c>
      <c r="C1627">
        <v>45838</v>
      </c>
      <c r="D1627" t="s">
        <v>7263</v>
      </c>
      <c r="E1627" t="s">
        <v>19440</v>
      </c>
      <c r="F1627">
        <v>45842</v>
      </c>
      <c r="G1627" t="s">
        <v>18476</v>
      </c>
      <c r="H1627" t="s">
        <v>2916</v>
      </c>
      <c r="I1627" t="s">
        <v>20024</v>
      </c>
      <c r="J1627">
        <v>0</v>
      </c>
      <c r="K1627">
        <v>-256.63</v>
      </c>
      <c r="L1627" t="s">
        <v>2917</v>
      </c>
      <c r="M1627">
        <v>-1404.9</v>
      </c>
      <c r="N1627" t="s">
        <v>2918</v>
      </c>
      <c r="O1627" t="s">
        <v>20025</v>
      </c>
      <c r="P1627" t="s">
        <v>7356</v>
      </c>
      <c r="Q1627" t="s">
        <v>2924</v>
      </c>
      <c r="R1627" t="s">
        <v>3219</v>
      </c>
      <c r="S1627" t="s">
        <v>7357</v>
      </c>
      <c r="T1627" t="s">
        <v>7358</v>
      </c>
    </row>
    <row r="1628" spans="1:20">
      <c r="A1628" t="s">
        <v>2390</v>
      </c>
      <c r="B1628" t="s">
        <v>19439</v>
      </c>
      <c r="C1628">
        <v>45841</v>
      </c>
      <c r="D1628" t="s">
        <v>7263</v>
      </c>
      <c r="E1628" t="s">
        <v>19440</v>
      </c>
      <c r="F1628">
        <v>45841</v>
      </c>
      <c r="G1628" t="s">
        <v>17053</v>
      </c>
      <c r="H1628" t="s">
        <v>2916</v>
      </c>
      <c r="I1628" t="s">
        <v>19893</v>
      </c>
      <c r="J1628">
        <v>0.3</v>
      </c>
      <c r="K1628">
        <v>1040.7</v>
      </c>
      <c r="L1628" t="s">
        <v>2917</v>
      </c>
      <c r="M1628">
        <v>5697.14</v>
      </c>
      <c r="N1628" t="s">
        <v>2918</v>
      </c>
      <c r="O1628" t="s">
        <v>2923</v>
      </c>
      <c r="P1628" t="s">
        <v>2923</v>
      </c>
      <c r="Q1628" t="s">
        <v>2924</v>
      </c>
      <c r="R1628" t="s">
        <v>3219</v>
      </c>
      <c r="S1628" t="s">
        <v>2208</v>
      </c>
      <c r="T1628" t="s">
        <v>2208</v>
      </c>
    </row>
    <row r="1629" spans="1:20">
      <c r="A1629" t="s">
        <v>2404</v>
      </c>
      <c r="B1629" t="s">
        <v>16360</v>
      </c>
      <c r="C1629">
        <v>45454</v>
      </c>
      <c r="D1629" t="s">
        <v>7263</v>
      </c>
      <c r="E1629" t="s">
        <v>16361</v>
      </c>
      <c r="F1629">
        <v>45791</v>
      </c>
      <c r="G1629" t="s">
        <v>17061</v>
      </c>
      <c r="H1629" t="s">
        <v>2916</v>
      </c>
      <c r="I1629" t="s">
        <v>17062</v>
      </c>
      <c r="J1629">
        <v>158850.56</v>
      </c>
      <c r="K1629">
        <v>28195.97</v>
      </c>
      <c r="L1629" t="s">
        <v>2917</v>
      </c>
      <c r="M1629">
        <v>158850.56</v>
      </c>
      <c r="N1629" t="s">
        <v>2918</v>
      </c>
      <c r="O1629" t="s">
        <v>2923</v>
      </c>
      <c r="P1629" t="s">
        <v>2923</v>
      </c>
      <c r="Q1629" t="s">
        <v>2924</v>
      </c>
      <c r="R1629" t="s">
        <v>3219</v>
      </c>
      <c r="S1629" t="s">
        <v>2208</v>
      </c>
      <c r="T1629" t="s">
        <v>2208</v>
      </c>
    </row>
    <row r="1630" spans="1:20">
      <c r="A1630" t="s">
        <v>2404</v>
      </c>
      <c r="B1630" t="s">
        <v>16360</v>
      </c>
      <c r="C1630">
        <v>45791</v>
      </c>
      <c r="D1630" t="s">
        <v>7263</v>
      </c>
      <c r="E1630" t="s">
        <v>16361</v>
      </c>
      <c r="F1630">
        <v>45799</v>
      </c>
      <c r="G1630" t="s">
        <v>17061</v>
      </c>
      <c r="H1630" t="s">
        <v>2916</v>
      </c>
      <c r="I1630" t="s">
        <v>17406</v>
      </c>
      <c r="J1630">
        <v>0</v>
      </c>
      <c r="K1630">
        <v>-2608.12</v>
      </c>
      <c r="L1630" t="s">
        <v>2917</v>
      </c>
      <c r="M1630">
        <v>-14693.67</v>
      </c>
      <c r="N1630" t="s">
        <v>2918</v>
      </c>
      <c r="O1630" t="s">
        <v>17407</v>
      </c>
      <c r="P1630" t="s">
        <v>2923</v>
      </c>
      <c r="Q1630" t="s">
        <v>2924</v>
      </c>
      <c r="R1630" t="s">
        <v>3219</v>
      </c>
      <c r="S1630" t="s">
        <v>2208</v>
      </c>
      <c r="T1630" t="s">
        <v>2208</v>
      </c>
    </row>
    <row r="1631" spans="1:20">
      <c r="A1631" t="s">
        <v>2404</v>
      </c>
      <c r="B1631" t="s">
        <v>16360</v>
      </c>
      <c r="C1631">
        <v>45808</v>
      </c>
      <c r="D1631" t="s">
        <v>7263</v>
      </c>
      <c r="E1631" t="s">
        <v>16361</v>
      </c>
      <c r="F1631">
        <v>45808</v>
      </c>
      <c r="G1631" t="s">
        <v>2208</v>
      </c>
      <c r="H1631" t="s">
        <v>2916</v>
      </c>
      <c r="I1631" t="s">
        <v>17880</v>
      </c>
      <c r="J1631">
        <v>0</v>
      </c>
      <c r="K1631">
        <v>0.02</v>
      </c>
      <c r="L1631" t="s">
        <v>2917</v>
      </c>
      <c r="M1631">
        <v>0</v>
      </c>
      <c r="N1631" t="s">
        <v>2918</v>
      </c>
      <c r="O1631" t="s">
        <v>2919</v>
      </c>
      <c r="P1631" t="s">
        <v>2208</v>
      </c>
      <c r="Q1631" t="s">
        <v>2916</v>
      </c>
      <c r="R1631" t="s">
        <v>3220</v>
      </c>
      <c r="S1631" t="s">
        <v>2208</v>
      </c>
      <c r="T1631" t="s">
        <v>2208</v>
      </c>
    </row>
    <row r="1632" spans="1:20">
      <c r="A1632" t="s">
        <v>2404</v>
      </c>
      <c r="B1632" t="s">
        <v>9126</v>
      </c>
      <c r="C1632">
        <v>45722</v>
      </c>
      <c r="D1632" t="s">
        <v>7263</v>
      </c>
      <c r="E1632" t="s">
        <v>9127</v>
      </c>
      <c r="F1632">
        <v>45723</v>
      </c>
      <c r="G1632" t="s">
        <v>10739</v>
      </c>
      <c r="H1632" t="s">
        <v>2916</v>
      </c>
      <c r="I1632" t="s">
        <v>10740</v>
      </c>
      <c r="J1632">
        <v>1</v>
      </c>
      <c r="K1632">
        <v>835.25</v>
      </c>
      <c r="L1632" t="s">
        <v>2917</v>
      </c>
      <c r="M1632">
        <v>4873.3900000000003</v>
      </c>
      <c r="N1632" t="s">
        <v>2918</v>
      </c>
      <c r="O1632" t="s">
        <v>10741</v>
      </c>
      <c r="P1632" t="s">
        <v>10710</v>
      </c>
      <c r="Q1632" t="s">
        <v>2924</v>
      </c>
      <c r="R1632" t="s">
        <v>3219</v>
      </c>
      <c r="S1632" t="s">
        <v>10711</v>
      </c>
      <c r="T1632" t="s">
        <v>10712</v>
      </c>
    </row>
    <row r="1633" spans="1:20">
      <c r="A1633" t="s">
        <v>2404</v>
      </c>
      <c r="B1633" t="s">
        <v>9126</v>
      </c>
      <c r="C1633">
        <v>45722</v>
      </c>
      <c r="D1633" t="s">
        <v>7263</v>
      </c>
      <c r="E1633" t="s">
        <v>9127</v>
      </c>
      <c r="F1633">
        <v>45723</v>
      </c>
      <c r="G1633" t="s">
        <v>10739</v>
      </c>
      <c r="H1633" t="s">
        <v>2916</v>
      </c>
      <c r="I1633" t="s">
        <v>10740</v>
      </c>
      <c r="J1633">
        <v>4</v>
      </c>
      <c r="K1633">
        <v>273.27</v>
      </c>
      <c r="L1633" t="s">
        <v>2917</v>
      </c>
      <c r="M1633">
        <v>1594.43</v>
      </c>
      <c r="N1633" t="s">
        <v>2918</v>
      </c>
      <c r="O1633" t="s">
        <v>10741</v>
      </c>
      <c r="P1633" t="s">
        <v>10713</v>
      </c>
      <c r="Q1633" t="s">
        <v>2924</v>
      </c>
      <c r="R1633" t="s">
        <v>3219</v>
      </c>
      <c r="S1633" t="s">
        <v>10714</v>
      </c>
      <c r="T1633" t="s">
        <v>10715</v>
      </c>
    </row>
    <row r="1634" spans="1:20">
      <c r="A1634" t="s">
        <v>2404</v>
      </c>
      <c r="B1634" t="s">
        <v>9126</v>
      </c>
      <c r="C1634">
        <v>45722</v>
      </c>
      <c r="D1634" t="s">
        <v>7263</v>
      </c>
      <c r="E1634" t="s">
        <v>9127</v>
      </c>
      <c r="F1634">
        <v>45723</v>
      </c>
      <c r="G1634" t="s">
        <v>10739</v>
      </c>
      <c r="H1634" t="s">
        <v>2916</v>
      </c>
      <c r="I1634" t="s">
        <v>10740</v>
      </c>
      <c r="J1634">
        <v>4</v>
      </c>
      <c r="K1634">
        <v>184.42</v>
      </c>
      <c r="L1634" t="s">
        <v>2917</v>
      </c>
      <c r="M1634">
        <v>1076</v>
      </c>
      <c r="N1634" t="s">
        <v>2918</v>
      </c>
      <c r="O1634" t="s">
        <v>10741</v>
      </c>
      <c r="P1634" t="s">
        <v>10716</v>
      </c>
      <c r="Q1634" t="s">
        <v>2924</v>
      </c>
      <c r="R1634" t="s">
        <v>3219</v>
      </c>
      <c r="S1634" t="s">
        <v>10717</v>
      </c>
      <c r="T1634" t="s">
        <v>10718</v>
      </c>
    </row>
    <row r="1635" spans="1:20">
      <c r="A1635" t="s">
        <v>2404</v>
      </c>
      <c r="B1635" t="s">
        <v>9126</v>
      </c>
      <c r="C1635">
        <v>45722</v>
      </c>
      <c r="D1635" t="s">
        <v>7263</v>
      </c>
      <c r="E1635" t="s">
        <v>9127</v>
      </c>
      <c r="F1635">
        <v>45723</v>
      </c>
      <c r="G1635" t="s">
        <v>10739</v>
      </c>
      <c r="H1635" t="s">
        <v>2916</v>
      </c>
      <c r="I1635" t="s">
        <v>10740</v>
      </c>
      <c r="J1635">
        <v>2</v>
      </c>
      <c r="K1635">
        <v>475.27</v>
      </c>
      <c r="L1635" t="s">
        <v>2917</v>
      </c>
      <c r="M1635">
        <v>2773.06</v>
      </c>
      <c r="N1635" t="s">
        <v>2918</v>
      </c>
      <c r="O1635" t="s">
        <v>10741</v>
      </c>
      <c r="P1635" t="s">
        <v>10719</v>
      </c>
      <c r="Q1635" t="s">
        <v>2924</v>
      </c>
      <c r="R1635" t="s">
        <v>3219</v>
      </c>
      <c r="S1635" t="s">
        <v>10720</v>
      </c>
      <c r="T1635" t="s">
        <v>10721</v>
      </c>
    </row>
    <row r="1636" spans="1:20">
      <c r="A1636" t="s">
        <v>2404</v>
      </c>
      <c r="B1636" t="s">
        <v>9126</v>
      </c>
      <c r="C1636">
        <v>45722</v>
      </c>
      <c r="D1636" t="s">
        <v>7263</v>
      </c>
      <c r="E1636" t="s">
        <v>9127</v>
      </c>
      <c r="F1636">
        <v>45723</v>
      </c>
      <c r="G1636" t="s">
        <v>10739</v>
      </c>
      <c r="H1636" t="s">
        <v>2916</v>
      </c>
      <c r="I1636" t="s">
        <v>10740</v>
      </c>
      <c r="J1636">
        <v>2</v>
      </c>
      <c r="K1636">
        <v>228.36</v>
      </c>
      <c r="L1636" t="s">
        <v>2917</v>
      </c>
      <c r="M1636">
        <v>1332.41</v>
      </c>
      <c r="N1636" t="s">
        <v>2918</v>
      </c>
      <c r="O1636" t="s">
        <v>10741</v>
      </c>
      <c r="P1636" t="s">
        <v>10722</v>
      </c>
      <c r="Q1636" t="s">
        <v>2924</v>
      </c>
      <c r="R1636" t="s">
        <v>3219</v>
      </c>
      <c r="S1636" t="s">
        <v>10723</v>
      </c>
      <c r="T1636" t="s">
        <v>10724</v>
      </c>
    </row>
    <row r="1637" spans="1:20">
      <c r="A1637" t="s">
        <v>2404</v>
      </c>
      <c r="B1637" t="s">
        <v>9126</v>
      </c>
      <c r="C1637">
        <v>45722</v>
      </c>
      <c r="D1637" t="s">
        <v>7263</v>
      </c>
      <c r="E1637" t="s">
        <v>9127</v>
      </c>
      <c r="F1637">
        <v>45723</v>
      </c>
      <c r="G1637" t="s">
        <v>10739</v>
      </c>
      <c r="H1637" t="s">
        <v>2916</v>
      </c>
      <c r="I1637" t="s">
        <v>10740</v>
      </c>
      <c r="J1637">
        <v>8</v>
      </c>
      <c r="K1637">
        <v>2371.86</v>
      </c>
      <c r="L1637" t="s">
        <v>2917</v>
      </c>
      <c r="M1637">
        <v>13838.99</v>
      </c>
      <c r="N1637" t="s">
        <v>2918</v>
      </c>
      <c r="O1637" t="s">
        <v>10741</v>
      </c>
      <c r="P1637" t="s">
        <v>10725</v>
      </c>
      <c r="Q1637" t="s">
        <v>2924</v>
      </c>
      <c r="R1637" t="s">
        <v>3219</v>
      </c>
      <c r="S1637" t="s">
        <v>10726</v>
      </c>
      <c r="T1637" t="s">
        <v>10727</v>
      </c>
    </row>
    <row r="1638" spans="1:20">
      <c r="A1638" t="s">
        <v>2404</v>
      </c>
      <c r="B1638" t="s">
        <v>9126</v>
      </c>
      <c r="C1638">
        <v>45722</v>
      </c>
      <c r="D1638" t="s">
        <v>7263</v>
      </c>
      <c r="E1638" t="s">
        <v>9127</v>
      </c>
      <c r="F1638">
        <v>45723</v>
      </c>
      <c r="G1638" t="s">
        <v>10739</v>
      </c>
      <c r="H1638" t="s">
        <v>2916</v>
      </c>
      <c r="I1638" t="s">
        <v>10740</v>
      </c>
      <c r="J1638">
        <v>8</v>
      </c>
      <c r="K1638">
        <v>397.66</v>
      </c>
      <c r="L1638" t="s">
        <v>2917</v>
      </c>
      <c r="M1638">
        <v>2320.21</v>
      </c>
      <c r="N1638" t="s">
        <v>2918</v>
      </c>
      <c r="O1638" t="s">
        <v>10741</v>
      </c>
      <c r="P1638" t="s">
        <v>10728</v>
      </c>
      <c r="Q1638" t="s">
        <v>2924</v>
      </c>
      <c r="R1638" t="s">
        <v>3219</v>
      </c>
      <c r="S1638" t="s">
        <v>10729</v>
      </c>
      <c r="T1638" t="s">
        <v>10730</v>
      </c>
    </row>
    <row r="1639" spans="1:20">
      <c r="A1639" t="s">
        <v>2404</v>
      </c>
      <c r="B1639" t="s">
        <v>9126</v>
      </c>
      <c r="C1639">
        <v>45722</v>
      </c>
      <c r="D1639" t="s">
        <v>7263</v>
      </c>
      <c r="E1639" t="s">
        <v>9127</v>
      </c>
      <c r="F1639">
        <v>45723</v>
      </c>
      <c r="G1639" t="s">
        <v>10739</v>
      </c>
      <c r="H1639" t="s">
        <v>2916</v>
      </c>
      <c r="I1639" t="s">
        <v>10740</v>
      </c>
      <c r="J1639">
        <v>8</v>
      </c>
      <c r="K1639">
        <v>481.79</v>
      </c>
      <c r="L1639" t="s">
        <v>2917</v>
      </c>
      <c r="M1639">
        <v>2811.09</v>
      </c>
      <c r="N1639" t="s">
        <v>2918</v>
      </c>
      <c r="O1639" t="s">
        <v>10741</v>
      </c>
      <c r="P1639" t="s">
        <v>10731</v>
      </c>
      <c r="Q1639" t="s">
        <v>2924</v>
      </c>
      <c r="R1639" t="s">
        <v>3219</v>
      </c>
      <c r="S1639" t="s">
        <v>10732</v>
      </c>
      <c r="T1639" t="s">
        <v>10733</v>
      </c>
    </row>
    <row r="1640" spans="1:20">
      <c r="A1640" t="s">
        <v>2404</v>
      </c>
      <c r="B1640" t="s">
        <v>9126</v>
      </c>
      <c r="C1640">
        <v>45722</v>
      </c>
      <c r="D1640" t="s">
        <v>7263</v>
      </c>
      <c r="E1640" t="s">
        <v>9127</v>
      </c>
      <c r="F1640">
        <v>45723</v>
      </c>
      <c r="G1640" t="s">
        <v>10739</v>
      </c>
      <c r="H1640" t="s">
        <v>2916</v>
      </c>
      <c r="I1640" t="s">
        <v>10740</v>
      </c>
      <c r="J1640">
        <v>4</v>
      </c>
      <c r="K1640">
        <v>240.9</v>
      </c>
      <c r="L1640" t="s">
        <v>2917</v>
      </c>
      <c r="M1640">
        <v>1405.55</v>
      </c>
      <c r="N1640" t="s">
        <v>2918</v>
      </c>
      <c r="O1640" t="s">
        <v>10741</v>
      </c>
      <c r="P1640" t="s">
        <v>10734</v>
      </c>
      <c r="Q1640" t="s">
        <v>2924</v>
      </c>
      <c r="R1640" t="s">
        <v>3219</v>
      </c>
      <c r="S1640" t="s">
        <v>10735</v>
      </c>
      <c r="T1640" t="s">
        <v>10736</v>
      </c>
    </row>
    <row r="1641" spans="1:20">
      <c r="A1641" t="s">
        <v>2404</v>
      </c>
      <c r="B1641" t="s">
        <v>9126</v>
      </c>
      <c r="C1641">
        <v>45722</v>
      </c>
      <c r="D1641" t="s">
        <v>7263</v>
      </c>
      <c r="E1641" t="s">
        <v>9127</v>
      </c>
      <c r="F1641">
        <v>45723</v>
      </c>
      <c r="G1641" t="s">
        <v>10739</v>
      </c>
      <c r="H1641" t="s">
        <v>2916</v>
      </c>
      <c r="I1641" t="s">
        <v>10742</v>
      </c>
      <c r="J1641">
        <v>0</v>
      </c>
      <c r="K1641">
        <v>-91.9</v>
      </c>
      <c r="L1641" t="s">
        <v>2917</v>
      </c>
      <c r="M1641">
        <v>-536.17999999999995</v>
      </c>
      <c r="N1641" t="s">
        <v>2918</v>
      </c>
      <c r="O1641" t="s">
        <v>10743</v>
      </c>
      <c r="P1641" t="s">
        <v>10710</v>
      </c>
      <c r="Q1641" t="s">
        <v>2924</v>
      </c>
      <c r="R1641" t="s">
        <v>3219</v>
      </c>
      <c r="S1641" t="s">
        <v>10711</v>
      </c>
      <c r="T1641" t="s">
        <v>10712</v>
      </c>
    </row>
    <row r="1642" spans="1:20">
      <c r="A1642" t="s">
        <v>2404</v>
      </c>
      <c r="B1642" t="s">
        <v>9126</v>
      </c>
      <c r="C1642">
        <v>45722</v>
      </c>
      <c r="D1642" t="s">
        <v>7263</v>
      </c>
      <c r="E1642" t="s">
        <v>9127</v>
      </c>
      <c r="F1642">
        <v>45723</v>
      </c>
      <c r="G1642" t="s">
        <v>10739</v>
      </c>
      <c r="H1642" t="s">
        <v>2916</v>
      </c>
      <c r="I1642" t="s">
        <v>10742</v>
      </c>
      <c r="J1642">
        <v>0</v>
      </c>
      <c r="K1642">
        <v>-32.26</v>
      </c>
      <c r="L1642" t="s">
        <v>2917</v>
      </c>
      <c r="M1642">
        <v>-188.25</v>
      </c>
      <c r="N1642" t="s">
        <v>2918</v>
      </c>
      <c r="O1642" t="s">
        <v>10743</v>
      </c>
      <c r="P1642" t="s">
        <v>10713</v>
      </c>
      <c r="Q1642" t="s">
        <v>2924</v>
      </c>
      <c r="R1642" t="s">
        <v>3219</v>
      </c>
      <c r="S1642" t="s">
        <v>10714</v>
      </c>
      <c r="T1642" t="s">
        <v>10715</v>
      </c>
    </row>
    <row r="1643" spans="1:20">
      <c r="A1643" t="s">
        <v>2404</v>
      </c>
      <c r="B1643" t="s">
        <v>9126</v>
      </c>
      <c r="C1643">
        <v>45722</v>
      </c>
      <c r="D1643" t="s">
        <v>7263</v>
      </c>
      <c r="E1643" t="s">
        <v>9127</v>
      </c>
      <c r="F1643">
        <v>45723</v>
      </c>
      <c r="G1643" t="s">
        <v>10739</v>
      </c>
      <c r="H1643" t="s">
        <v>2916</v>
      </c>
      <c r="I1643" t="s">
        <v>10742</v>
      </c>
      <c r="J1643">
        <v>0</v>
      </c>
      <c r="K1643">
        <v>-21.78</v>
      </c>
      <c r="L1643" t="s">
        <v>2917</v>
      </c>
      <c r="M1643">
        <v>-127.03</v>
      </c>
      <c r="N1643" t="s">
        <v>2918</v>
      </c>
      <c r="O1643" t="s">
        <v>10743</v>
      </c>
      <c r="P1643" t="s">
        <v>10716</v>
      </c>
      <c r="Q1643" t="s">
        <v>2924</v>
      </c>
      <c r="R1643" t="s">
        <v>3219</v>
      </c>
      <c r="S1643" t="s">
        <v>10717</v>
      </c>
      <c r="T1643" t="s">
        <v>10718</v>
      </c>
    </row>
    <row r="1644" spans="1:20">
      <c r="A1644" t="s">
        <v>2404</v>
      </c>
      <c r="B1644" t="s">
        <v>9126</v>
      </c>
      <c r="C1644">
        <v>45722</v>
      </c>
      <c r="D1644" t="s">
        <v>7263</v>
      </c>
      <c r="E1644" t="s">
        <v>9127</v>
      </c>
      <c r="F1644">
        <v>45723</v>
      </c>
      <c r="G1644" t="s">
        <v>10739</v>
      </c>
      <c r="H1644" t="s">
        <v>2916</v>
      </c>
      <c r="I1644" t="s">
        <v>10742</v>
      </c>
      <c r="J1644">
        <v>0</v>
      </c>
      <c r="K1644">
        <v>-56.11</v>
      </c>
      <c r="L1644" t="s">
        <v>2917</v>
      </c>
      <c r="M1644">
        <v>-327.41000000000003</v>
      </c>
      <c r="N1644" t="s">
        <v>2918</v>
      </c>
      <c r="O1644" t="s">
        <v>10743</v>
      </c>
      <c r="P1644" t="s">
        <v>10719</v>
      </c>
      <c r="Q1644" t="s">
        <v>2924</v>
      </c>
      <c r="R1644" t="s">
        <v>3219</v>
      </c>
      <c r="S1644" t="s">
        <v>10720</v>
      </c>
      <c r="T1644" t="s">
        <v>10721</v>
      </c>
    </row>
    <row r="1645" spans="1:20">
      <c r="A1645" t="s">
        <v>2404</v>
      </c>
      <c r="B1645" t="s">
        <v>9126</v>
      </c>
      <c r="C1645">
        <v>45722</v>
      </c>
      <c r="D1645" t="s">
        <v>7263</v>
      </c>
      <c r="E1645" t="s">
        <v>9127</v>
      </c>
      <c r="F1645">
        <v>45723</v>
      </c>
      <c r="G1645" t="s">
        <v>10739</v>
      </c>
      <c r="H1645" t="s">
        <v>2916</v>
      </c>
      <c r="I1645" t="s">
        <v>10742</v>
      </c>
      <c r="J1645">
        <v>0</v>
      </c>
      <c r="K1645">
        <v>-26.96</v>
      </c>
      <c r="L1645" t="s">
        <v>2917</v>
      </c>
      <c r="M1645">
        <v>-157.31</v>
      </c>
      <c r="N1645" t="s">
        <v>2918</v>
      </c>
      <c r="O1645" t="s">
        <v>10743</v>
      </c>
      <c r="P1645" t="s">
        <v>10722</v>
      </c>
      <c r="Q1645" t="s">
        <v>2924</v>
      </c>
      <c r="R1645" t="s">
        <v>3219</v>
      </c>
      <c r="S1645" t="s">
        <v>10723</v>
      </c>
      <c r="T1645" t="s">
        <v>10724</v>
      </c>
    </row>
    <row r="1646" spans="1:20">
      <c r="A1646" t="s">
        <v>2404</v>
      </c>
      <c r="B1646" t="s">
        <v>9126</v>
      </c>
      <c r="C1646">
        <v>45722</v>
      </c>
      <c r="D1646" t="s">
        <v>7263</v>
      </c>
      <c r="E1646" t="s">
        <v>9127</v>
      </c>
      <c r="F1646">
        <v>45723</v>
      </c>
      <c r="G1646" t="s">
        <v>10739</v>
      </c>
      <c r="H1646" t="s">
        <v>2916</v>
      </c>
      <c r="I1646" t="s">
        <v>10742</v>
      </c>
      <c r="J1646">
        <v>0</v>
      </c>
      <c r="K1646">
        <v>-477.69</v>
      </c>
      <c r="L1646" t="s">
        <v>2917</v>
      </c>
      <c r="M1646">
        <v>-2787.17</v>
      </c>
      <c r="N1646" t="s">
        <v>2918</v>
      </c>
      <c r="O1646" t="s">
        <v>10743</v>
      </c>
      <c r="P1646" t="s">
        <v>10725</v>
      </c>
      <c r="Q1646" t="s">
        <v>2924</v>
      </c>
      <c r="R1646" t="s">
        <v>3219</v>
      </c>
      <c r="S1646" t="s">
        <v>10726</v>
      </c>
      <c r="T1646" t="s">
        <v>10727</v>
      </c>
    </row>
    <row r="1647" spans="1:20">
      <c r="A1647" t="s">
        <v>2404</v>
      </c>
      <c r="B1647" t="s">
        <v>9126</v>
      </c>
      <c r="C1647">
        <v>45722</v>
      </c>
      <c r="D1647" t="s">
        <v>7263</v>
      </c>
      <c r="E1647" t="s">
        <v>9127</v>
      </c>
      <c r="F1647">
        <v>45723</v>
      </c>
      <c r="G1647" t="s">
        <v>10739</v>
      </c>
      <c r="H1647" t="s">
        <v>2916</v>
      </c>
      <c r="I1647" t="s">
        <v>10742</v>
      </c>
      <c r="J1647">
        <v>0</v>
      </c>
      <c r="K1647">
        <v>-46.95</v>
      </c>
      <c r="L1647" t="s">
        <v>2917</v>
      </c>
      <c r="M1647">
        <v>-273.94</v>
      </c>
      <c r="N1647" t="s">
        <v>2918</v>
      </c>
      <c r="O1647" t="s">
        <v>10743</v>
      </c>
      <c r="P1647" t="s">
        <v>10728</v>
      </c>
      <c r="Q1647" t="s">
        <v>2924</v>
      </c>
      <c r="R1647" t="s">
        <v>3219</v>
      </c>
      <c r="S1647" t="s">
        <v>10729</v>
      </c>
      <c r="T1647" t="s">
        <v>10730</v>
      </c>
    </row>
    <row r="1648" spans="1:20">
      <c r="A1648" t="s">
        <v>2404</v>
      </c>
      <c r="B1648" t="s">
        <v>9126</v>
      </c>
      <c r="C1648">
        <v>45722</v>
      </c>
      <c r="D1648" t="s">
        <v>7263</v>
      </c>
      <c r="E1648" t="s">
        <v>9127</v>
      </c>
      <c r="F1648">
        <v>45723</v>
      </c>
      <c r="G1648" t="s">
        <v>10739</v>
      </c>
      <c r="H1648" t="s">
        <v>2916</v>
      </c>
      <c r="I1648" t="s">
        <v>10742</v>
      </c>
      <c r="J1648">
        <v>0</v>
      </c>
      <c r="K1648">
        <v>-56.88</v>
      </c>
      <c r="L1648" t="s">
        <v>2917</v>
      </c>
      <c r="M1648">
        <v>-331.89</v>
      </c>
      <c r="N1648" t="s">
        <v>2918</v>
      </c>
      <c r="O1648" t="s">
        <v>10743</v>
      </c>
      <c r="P1648" t="s">
        <v>10731</v>
      </c>
      <c r="Q1648" t="s">
        <v>2924</v>
      </c>
      <c r="R1648" t="s">
        <v>3219</v>
      </c>
      <c r="S1648" t="s">
        <v>10732</v>
      </c>
      <c r="T1648" t="s">
        <v>10733</v>
      </c>
    </row>
    <row r="1649" spans="1:20">
      <c r="A1649" t="s">
        <v>2404</v>
      </c>
      <c r="B1649" t="s">
        <v>9126</v>
      </c>
      <c r="C1649">
        <v>45722</v>
      </c>
      <c r="D1649" t="s">
        <v>7263</v>
      </c>
      <c r="E1649" t="s">
        <v>9127</v>
      </c>
      <c r="F1649">
        <v>45723</v>
      </c>
      <c r="G1649" t="s">
        <v>10739</v>
      </c>
      <c r="H1649" t="s">
        <v>2916</v>
      </c>
      <c r="I1649" t="s">
        <v>10742</v>
      </c>
      <c r="J1649">
        <v>0</v>
      </c>
      <c r="K1649">
        <v>-28.44</v>
      </c>
      <c r="L1649" t="s">
        <v>2917</v>
      </c>
      <c r="M1649">
        <v>-165.94</v>
      </c>
      <c r="N1649" t="s">
        <v>2918</v>
      </c>
      <c r="O1649" t="s">
        <v>10743</v>
      </c>
      <c r="P1649" t="s">
        <v>10734</v>
      </c>
      <c r="Q1649" t="s">
        <v>2924</v>
      </c>
      <c r="R1649" t="s">
        <v>3219</v>
      </c>
      <c r="S1649" t="s">
        <v>10735</v>
      </c>
      <c r="T1649" t="s">
        <v>10736</v>
      </c>
    </row>
    <row r="1650" spans="1:20">
      <c r="A1650" t="s">
        <v>2404</v>
      </c>
      <c r="B1650" t="s">
        <v>9126</v>
      </c>
      <c r="C1650">
        <v>45743</v>
      </c>
      <c r="D1650" t="s">
        <v>7263</v>
      </c>
      <c r="E1650" t="s">
        <v>9127</v>
      </c>
      <c r="F1650">
        <v>45743</v>
      </c>
      <c r="G1650" t="s">
        <v>2208</v>
      </c>
      <c r="H1650" t="s">
        <v>2916</v>
      </c>
      <c r="I1650" t="s">
        <v>11324</v>
      </c>
      <c r="J1650">
        <v>0</v>
      </c>
      <c r="K1650">
        <v>-311.95</v>
      </c>
      <c r="L1650" t="s">
        <v>2917</v>
      </c>
      <c r="M1650">
        <v>-1820.1</v>
      </c>
      <c r="N1650" t="s">
        <v>2918</v>
      </c>
      <c r="O1650" t="s">
        <v>11325</v>
      </c>
      <c r="P1650" t="s">
        <v>2208</v>
      </c>
      <c r="Q1650" t="s">
        <v>2933</v>
      </c>
      <c r="R1650" t="s">
        <v>3314</v>
      </c>
      <c r="S1650" t="s">
        <v>2208</v>
      </c>
      <c r="T1650" t="s">
        <v>2208</v>
      </c>
    </row>
    <row r="1651" spans="1:20">
      <c r="A1651" t="s">
        <v>2404</v>
      </c>
      <c r="B1651" t="s">
        <v>9126</v>
      </c>
      <c r="C1651">
        <v>45747</v>
      </c>
      <c r="D1651" t="s">
        <v>7263</v>
      </c>
      <c r="E1651" t="s">
        <v>9127</v>
      </c>
      <c r="F1651">
        <v>45747</v>
      </c>
      <c r="G1651" t="s">
        <v>2208</v>
      </c>
      <c r="H1651" t="s">
        <v>2916</v>
      </c>
      <c r="I1651" t="s">
        <v>11420</v>
      </c>
      <c r="J1651">
        <v>0</v>
      </c>
      <c r="K1651">
        <v>0.02</v>
      </c>
      <c r="L1651" t="s">
        <v>2917</v>
      </c>
      <c r="M1651">
        <v>0</v>
      </c>
      <c r="N1651" t="s">
        <v>2918</v>
      </c>
      <c r="O1651" t="s">
        <v>2919</v>
      </c>
      <c r="P1651" t="s">
        <v>2208</v>
      </c>
      <c r="Q1651" t="s">
        <v>2916</v>
      </c>
      <c r="R1651" t="s">
        <v>3220</v>
      </c>
      <c r="S1651" t="s">
        <v>2208</v>
      </c>
      <c r="T1651" t="s">
        <v>2208</v>
      </c>
    </row>
    <row r="1652" spans="1:20">
      <c r="A1652" t="s">
        <v>2404</v>
      </c>
      <c r="B1652" t="s">
        <v>11331</v>
      </c>
      <c r="C1652">
        <v>45744</v>
      </c>
      <c r="D1652" t="s">
        <v>7263</v>
      </c>
      <c r="E1652" t="s">
        <v>11332</v>
      </c>
      <c r="F1652">
        <v>45751</v>
      </c>
      <c r="G1652" t="s">
        <v>10739</v>
      </c>
      <c r="H1652" t="s">
        <v>2916</v>
      </c>
      <c r="I1652" t="s">
        <v>12207</v>
      </c>
      <c r="J1652">
        <v>8</v>
      </c>
      <c r="K1652">
        <v>356.33</v>
      </c>
      <c r="L1652" t="s">
        <v>2917</v>
      </c>
      <c r="M1652">
        <v>2052.02</v>
      </c>
      <c r="N1652" t="s">
        <v>2918</v>
      </c>
      <c r="O1652" t="s">
        <v>12208</v>
      </c>
      <c r="P1652" t="s">
        <v>12166</v>
      </c>
      <c r="Q1652" t="s">
        <v>2924</v>
      </c>
      <c r="R1652" t="s">
        <v>3219</v>
      </c>
      <c r="S1652" t="s">
        <v>12167</v>
      </c>
      <c r="T1652" t="s">
        <v>12168</v>
      </c>
    </row>
    <row r="1653" spans="1:20">
      <c r="A1653" t="s">
        <v>2404</v>
      </c>
      <c r="B1653" t="s">
        <v>11331</v>
      </c>
      <c r="C1653">
        <v>45744</v>
      </c>
      <c r="D1653" t="s">
        <v>7263</v>
      </c>
      <c r="E1653" t="s">
        <v>11332</v>
      </c>
      <c r="F1653">
        <v>45751</v>
      </c>
      <c r="G1653" t="s">
        <v>10739</v>
      </c>
      <c r="H1653" t="s">
        <v>2916</v>
      </c>
      <c r="I1653" t="s">
        <v>12209</v>
      </c>
      <c r="J1653">
        <v>0</v>
      </c>
      <c r="K1653">
        <v>-39.200000000000003</v>
      </c>
      <c r="L1653" t="s">
        <v>2917</v>
      </c>
      <c r="M1653">
        <v>-225.75</v>
      </c>
      <c r="N1653" t="s">
        <v>2918</v>
      </c>
      <c r="O1653" t="s">
        <v>12210</v>
      </c>
      <c r="P1653" t="s">
        <v>12166</v>
      </c>
      <c r="Q1653" t="s">
        <v>2924</v>
      </c>
      <c r="R1653" t="s">
        <v>3219</v>
      </c>
      <c r="S1653" t="s">
        <v>12167</v>
      </c>
      <c r="T1653" t="s">
        <v>12168</v>
      </c>
    </row>
    <row r="1654" spans="1:20">
      <c r="A1654" t="s">
        <v>2404</v>
      </c>
      <c r="B1654" t="s">
        <v>11331</v>
      </c>
      <c r="C1654">
        <v>45747</v>
      </c>
      <c r="D1654" t="s">
        <v>7263</v>
      </c>
      <c r="E1654" t="s">
        <v>11332</v>
      </c>
      <c r="F1654">
        <v>45751</v>
      </c>
      <c r="G1654" t="s">
        <v>10739</v>
      </c>
      <c r="H1654" t="s">
        <v>2916</v>
      </c>
      <c r="I1654" t="s">
        <v>12211</v>
      </c>
      <c r="J1654">
        <v>4</v>
      </c>
      <c r="K1654">
        <v>293.12</v>
      </c>
      <c r="L1654" t="s">
        <v>2917</v>
      </c>
      <c r="M1654">
        <v>1687.97</v>
      </c>
      <c r="N1654" t="s">
        <v>2918</v>
      </c>
      <c r="O1654" t="s">
        <v>12212</v>
      </c>
      <c r="P1654" t="s">
        <v>12156</v>
      </c>
      <c r="Q1654" t="s">
        <v>2924</v>
      </c>
      <c r="R1654" t="s">
        <v>3219</v>
      </c>
      <c r="S1654" t="s">
        <v>12157</v>
      </c>
      <c r="T1654" t="s">
        <v>12158</v>
      </c>
    </row>
    <row r="1655" spans="1:20">
      <c r="A1655" t="s">
        <v>2404</v>
      </c>
      <c r="B1655" t="s">
        <v>11331</v>
      </c>
      <c r="C1655">
        <v>45747</v>
      </c>
      <c r="D1655" t="s">
        <v>7263</v>
      </c>
      <c r="E1655" t="s">
        <v>11332</v>
      </c>
      <c r="F1655">
        <v>45751</v>
      </c>
      <c r="G1655" t="s">
        <v>10739</v>
      </c>
      <c r="H1655" t="s">
        <v>2916</v>
      </c>
      <c r="I1655" t="s">
        <v>12211</v>
      </c>
      <c r="J1655">
        <v>8</v>
      </c>
      <c r="K1655">
        <v>402.58</v>
      </c>
      <c r="L1655" t="s">
        <v>2917</v>
      </c>
      <c r="M1655">
        <v>2318.33</v>
      </c>
      <c r="N1655" t="s">
        <v>2918</v>
      </c>
      <c r="O1655" t="s">
        <v>12212</v>
      </c>
      <c r="P1655" t="s">
        <v>12159</v>
      </c>
      <c r="Q1655" t="s">
        <v>2924</v>
      </c>
      <c r="R1655" t="s">
        <v>3219</v>
      </c>
      <c r="S1655" t="s">
        <v>12160</v>
      </c>
      <c r="T1655" t="s">
        <v>12161</v>
      </c>
    </row>
    <row r="1656" spans="1:20">
      <c r="A1656" t="s">
        <v>2404</v>
      </c>
      <c r="B1656" t="s">
        <v>11331</v>
      </c>
      <c r="C1656">
        <v>45747</v>
      </c>
      <c r="D1656" t="s">
        <v>7263</v>
      </c>
      <c r="E1656" t="s">
        <v>11332</v>
      </c>
      <c r="F1656">
        <v>45751</v>
      </c>
      <c r="G1656" t="s">
        <v>10739</v>
      </c>
      <c r="H1656" t="s">
        <v>2916</v>
      </c>
      <c r="I1656" t="s">
        <v>12213</v>
      </c>
      <c r="J1656">
        <v>0</v>
      </c>
      <c r="K1656">
        <v>-32.25</v>
      </c>
      <c r="L1656" t="s">
        <v>2917</v>
      </c>
      <c r="M1656">
        <v>-185.7</v>
      </c>
      <c r="N1656" t="s">
        <v>2918</v>
      </c>
      <c r="O1656" t="s">
        <v>12214</v>
      </c>
      <c r="P1656" t="s">
        <v>12156</v>
      </c>
      <c r="Q1656" t="s">
        <v>2924</v>
      </c>
      <c r="R1656" t="s">
        <v>3219</v>
      </c>
      <c r="S1656" t="s">
        <v>12157</v>
      </c>
      <c r="T1656" t="s">
        <v>12158</v>
      </c>
    </row>
    <row r="1657" spans="1:20">
      <c r="A1657" t="s">
        <v>2404</v>
      </c>
      <c r="B1657" t="s">
        <v>11331</v>
      </c>
      <c r="C1657">
        <v>45747</v>
      </c>
      <c r="D1657" t="s">
        <v>7263</v>
      </c>
      <c r="E1657" t="s">
        <v>11332</v>
      </c>
      <c r="F1657">
        <v>45751</v>
      </c>
      <c r="G1657" t="s">
        <v>10739</v>
      </c>
      <c r="H1657" t="s">
        <v>2916</v>
      </c>
      <c r="I1657" t="s">
        <v>12213</v>
      </c>
      <c r="J1657">
        <v>0</v>
      </c>
      <c r="K1657">
        <v>-47.61</v>
      </c>
      <c r="L1657" t="s">
        <v>2917</v>
      </c>
      <c r="M1657">
        <v>-274.18</v>
      </c>
      <c r="N1657" t="s">
        <v>2918</v>
      </c>
      <c r="O1657" t="s">
        <v>12214</v>
      </c>
      <c r="P1657" t="s">
        <v>12159</v>
      </c>
      <c r="Q1657" t="s">
        <v>2924</v>
      </c>
      <c r="R1657" t="s">
        <v>3219</v>
      </c>
      <c r="S1657" t="s">
        <v>12160</v>
      </c>
      <c r="T1657" t="s">
        <v>12161</v>
      </c>
    </row>
    <row r="1658" spans="1:20">
      <c r="A1658" t="s">
        <v>2404</v>
      </c>
      <c r="B1658" t="s">
        <v>11331</v>
      </c>
      <c r="C1658">
        <v>45754</v>
      </c>
      <c r="D1658" t="s">
        <v>7263</v>
      </c>
      <c r="E1658" t="s">
        <v>11332</v>
      </c>
      <c r="F1658">
        <v>45754</v>
      </c>
      <c r="G1658" t="s">
        <v>12215</v>
      </c>
      <c r="H1658" t="s">
        <v>2916</v>
      </c>
      <c r="I1658" t="s">
        <v>12216</v>
      </c>
      <c r="J1658">
        <v>1</v>
      </c>
      <c r="K1658">
        <v>91526.3</v>
      </c>
      <c r="L1658" t="s">
        <v>2917</v>
      </c>
      <c r="M1658">
        <v>527073.42000000004</v>
      </c>
      <c r="N1658" t="s">
        <v>2918</v>
      </c>
      <c r="O1658" t="s">
        <v>12217</v>
      </c>
      <c r="P1658" t="s">
        <v>12174</v>
      </c>
      <c r="Q1658" t="s">
        <v>2924</v>
      </c>
      <c r="R1658" t="s">
        <v>3219</v>
      </c>
      <c r="S1658" t="s">
        <v>12175</v>
      </c>
      <c r="T1658" t="s">
        <v>12176</v>
      </c>
    </row>
    <row r="1659" spans="1:20">
      <c r="A1659" t="s">
        <v>2404</v>
      </c>
      <c r="B1659" t="s">
        <v>11331</v>
      </c>
      <c r="C1659">
        <v>45754</v>
      </c>
      <c r="D1659" t="s">
        <v>7263</v>
      </c>
      <c r="E1659" t="s">
        <v>11332</v>
      </c>
      <c r="F1659">
        <v>45754</v>
      </c>
      <c r="G1659" t="s">
        <v>12215</v>
      </c>
      <c r="H1659" t="s">
        <v>2916</v>
      </c>
      <c r="I1659" t="s">
        <v>12218</v>
      </c>
      <c r="J1659">
        <v>1</v>
      </c>
      <c r="K1659">
        <v>6842.76</v>
      </c>
      <c r="L1659" t="s">
        <v>2917</v>
      </c>
      <c r="M1659">
        <v>39405.49</v>
      </c>
      <c r="N1659" t="s">
        <v>2918</v>
      </c>
      <c r="O1659" t="s">
        <v>12219</v>
      </c>
      <c r="P1659" t="s">
        <v>12182</v>
      </c>
      <c r="Q1659" t="s">
        <v>2924</v>
      </c>
      <c r="R1659" t="s">
        <v>3219</v>
      </c>
      <c r="S1659" t="s">
        <v>12183</v>
      </c>
      <c r="T1659" t="s">
        <v>12184</v>
      </c>
    </row>
    <row r="1660" spans="1:20">
      <c r="A1660" t="s">
        <v>2404</v>
      </c>
      <c r="B1660" t="s">
        <v>11331</v>
      </c>
      <c r="C1660">
        <v>45754</v>
      </c>
      <c r="D1660" t="s">
        <v>7263</v>
      </c>
      <c r="E1660" t="s">
        <v>11332</v>
      </c>
      <c r="F1660">
        <v>45754</v>
      </c>
      <c r="G1660" t="s">
        <v>12215</v>
      </c>
      <c r="H1660" t="s">
        <v>2916</v>
      </c>
      <c r="I1660" t="s">
        <v>12218</v>
      </c>
      <c r="J1660">
        <v>1</v>
      </c>
      <c r="K1660">
        <v>92574.92</v>
      </c>
      <c r="L1660" t="s">
        <v>2917</v>
      </c>
      <c r="M1660">
        <v>533112.12</v>
      </c>
      <c r="N1660" t="s">
        <v>2918</v>
      </c>
      <c r="O1660" t="s">
        <v>12219</v>
      </c>
      <c r="P1660" t="s">
        <v>12177</v>
      </c>
      <c r="Q1660" t="s">
        <v>2924</v>
      </c>
      <c r="R1660" t="s">
        <v>3219</v>
      </c>
      <c r="S1660" t="s">
        <v>12178</v>
      </c>
      <c r="T1660" t="s">
        <v>12179</v>
      </c>
    </row>
    <row r="1661" spans="1:20">
      <c r="A1661" t="s">
        <v>2404</v>
      </c>
      <c r="B1661" t="s">
        <v>11331</v>
      </c>
      <c r="C1661">
        <v>45754</v>
      </c>
      <c r="D1661" t="s">
        <v>7263</v>
      </c>
      <c r="E1661" t="s">
        <v>11332</v>
      </c>
      <c r="F1661">
        <v>45754</v>
      </c>
      <c r="G1661" t="s">
        <v>12215</v>
      </c>
      <c r="H1661" t="s">
        <v>2916</v>
      </c>
      <c r="I1661" t="s">
        <v>12218</v>
      </c>
      <c r="J1661">
        <v>1</v>
      </c>
      <c r="K1661">
        <v>8563.24</v>
      </c>
      <c r="L1661" t="s">
        <v>2917</v>
      </c>
      <c r="M1661">
        <v>49313.24</v>
      </c>
      <c r="N1661" t="s">
        <v>2918</v>
      </c>
      <c r="O1661" t="s">
        <v>12219</v>
      </c>
      <c r="P1661" t="s">
        <v>12185</v>
      </c>
      <c r="Q1661" t="s">
        <v>2924</v>
      </c>
      <c r="R1661" t="s">
        <v>3219</v>
      </c>
      <c r="S1661" t="s">
        <v>12186</v>
      </c>
      <c r="T1661" t="s">
        <v>12187</v>
      </c>
    </row>
    <row r="1662" spans="1:20">
      <c r="A1662" t="s">
        <v>2404</v>
      </c>
      <c r="B1662" t="s">
        <v>11331</v>
      </c>
      <c r="C1662">
        <v>45748</v>
      </c>
      <c r="D1662" t="s">
        <v>7263</v>
      </c>
      <c r="E1662" t="s">
        <v>11332</v>
      </c>
      <c r="F1662">
        <v>45756</v>
      </c>
      <c r="G1662" t="s">
        <v>12215</v>
      </c>
      <c r="H1662" t="s">
        <v>2916</v>
      </c>
      <c r="I1662" t="s">
        <v>12420</v>
      </c>
      <c r="J1662">
        <v>0</v>
      </c>
      <c r="K1662">
        <v>15.04</v>
      </c>
      <c r="L1662" t="s">
        <v>2917</v>
      </c>
      <c r="M1662">
        <v>86.57</v>
      </c>
      <c r="N1662" t="s">
        <v>2918</v>
      </c>
      <c r="O1662" t="s">
        <v>12421</v>
      </c>
      <c r="P1662" t="s">
        <v>12182</v>
      </c>
      <c r="Q1662" t="s">
        <v>12360</v>
      </c>
      <c r="R1662" t="s">
        <v>12361</v>
      </c>
      <c r="S1662" t="s">
        <v>12183</v>
      </c>
      <c r="T1662" t="s">
        <v>12184</v>
      </c>
    </row>
    <row r="1663" spans="1:20">
      <c r="A1663" t="s">
        <v>2404</v>
      </c>
      <c r="B1663" t="s">
        <v>11331</v>
      </c>
      <c r="C1663">
        <v>45748</v>
      </c>
      <c r="D1663" t="s">
        <v>7263</v>
      </c>
      <c r="E1663" t="s">
        <v>11332</v>
      </c>
      <c r="F1663">
        <v>45756</v>
      </c>
      <c r="G1663" t="s">
        <v>12215</v>
      </c>
      <c r="H1663" t="s">
        <v>2916</v>
      </c>
      <c r="I1663" t="s">
        <v>12420</v>
      </c>
      <c r="J1663">
        <v>0</v>
      </c>
      <c r="K1663">
        <v>203.38</v>
      </c>
      <c r="L1663" t="s">
        <v>2917</v>
      </c>
      <c r="M1663">
        <v>1171.23</v>
      </c>
      <c r="N1663" t="s">
        <v>2918</v>
      </c>
      <c r="O1663" t="s">
        <v>12421</v>
      </c>
      <c r="P1663" t="s">
        <v>12177</v>
      </c>
      <c r="Q1663" t="s">
        <v>12360</v>
      </c>
      <c r="R1663" t="s">
        <v>12361</v>
      </c>
      <c r="S1663" t="s">
        <v>12178</v>
      </c>
      <c r="T1663" t="s">
        <v>12179</v>
      </c>
    </row>
    <row r="1664" spans="1:20">
      <c r="A1664" t="s">
        <v>2404</v>
      </c>
      <c r="B1664" t="s">
        <v>11331</v>
      </c>
      <c r="C1664">
        <v>45748</v>
      </c>
      <c r="D1664" t="s">
        <v>7263</v>
      </c>
      <c r="E1664" t="s">
        <v>11332</v>
      </c>
      <c r="F1664">
        <v>45756</v>
      </c>
      <c r="G1664" t="s">
        <v>12215</v>
      </c>
      <c r="H1664" t="s">
        <v>2916</v>
      </c>
      <c r="I1664" t="s">
        <v>12420</v>
      </c>
      <c r="J1664">
        <v>0</v>
      </c>
      <c r="K1664">
        <v>18.82</v>
      </c>
      <c r="L1664" t="s">
        <v>2917</v>
      </c>
      <c r="M1664">
        <v>108.33</v>
      </c>
      <c r="N1664" t="s">
        <v>2918</v>
      </c>
      <c r="O1664" t="s">
        <v>12421</v>
      </c>
      <c r="P1664" t="s">
        <v>12185</v>
      </c>
      <c r="Q1664" t="s">
        <v>12360</v>
      </c>
      <c r="R1664" t="s">
        <v>12361</v>
      </c>
      <c r="S1664" t="s">
        <v>12186</v>
      </c>
      <c r="T1664" t="s">
        <v>12187</v>
      </c>
    </row>
    <row r="1665" spans="1:20">
      <c r="A1665" t="s">
        <v>2404</v>
      </c>
      <c r="B1665" t="s">
        <v>11331</v>
      </c>
      <c r="C1665">
        <v>45748</v>
      </c>
      <c r="D1665" t="s">
        <v>7263</v>
      </c>
      <c r="E1665" t="s">
        <v>11332</v>
      </c>
      <c r="F1665">
        <v>45756</v>
      </c>
      <c r="G1665" t="s">
        <v>12215</v>
      </c>
      <c r="H1665" t="s">
        <v>2916</v>
      </c>
      <c r="I1665" t="s">
        <v>12422</v>
      </c>
      <c r="J1665">
        <v>0</v>
      </c>
      <c r="K1665">
        <v>201.08</v>
      </c>
      <c r="L1665" t="s">
        <v>2917</v>
      </c>
      <c r="M1665">
        <v>1157.97</v>
      </c>
      <c r="N1665" t="s">
        <v>2918</v>
      </c>
      <c r="O1665" t="s">
        <v>12423</v>
      </c>
      <c r="P1665" t="s">
        <v>12174</v>
      </c>
      <c r="Q1665" t="s">
        <v>12360</v>
      </c>
      <c r="R1665" t="s">
        <v>12361</v>
      </c>
      <c r="S1665" t="s">
        <v>12175</v>
      </c>
      <c r="T1665" t="s">
        <v>12176</v>
      </c>
    </row>
    <row r="1666" spans="1:20">
      <c r="A1666" t="s">
        <v>2404</v>
      </c>
      <c r="B1666" t="s">
        <v>11331</v>
      </c>
      <c r="C1666">
        <v>45754</v>
      </c>
      <c r="D1666" t="s">
        <v>7263</v>
      </c>
      <c r="E1666" t="s">
        <v>11332</v>
      </c>
      <c r="F1666">
        <v>45761</v>
      </c>
      <c r="G1666" t="s">
        <v>12215</v>
      </c>
      <c r="H1666" t="s">
        <v>2916</v>
      </c>
      <c r="I1666" t="s">
        <v>12424</v>
      </c>
      <c r="J1666">
        <v>1</v>
      </c>
      <c r="K1666">
        <v>57161.46</v>
      </c>
      <c r="L1666" t="s">
        <v>2917</v>
      </c>
      <c r="M1666">
        <v>329176.28000000003</v>
      </c>
      <c r="N1666" t="s">
        <v>2918</v>
      </c>
      <c r="O1666" t="s">
        <v>12425</v>
      </c>
      <c r="P1666" t="s">
        <v>12366</v>
      </c>
      <c r="Q1666" t="s">
        <v>2924</v>
      </c>
      <c r="R1666" t="s">
        <v>3219</v>
      </c>
      <c r="S1666" t="s">
        <v>12367</v>
      </c>
      <c r="T1666" t="s">
        <v>12368</v>
      </c>
    </row>
    <row r="1667" spans="1:20">
      <c r="A1667" t="s">
        <v>2404</v>
      </c>
      <c r="B1667" t="s">
        <v>11331</v>
      </c>
      <c r="C1667">
        <v>45754</v>
      </c>
      <c r="D1667" t="s">
        <v>7263</v>
      </c>
      <c r="E1667" t="s">
        <v>11332</v>
      </c>
      <c r="F1667">
        <v>45761</v>
      </c>
      <c r="G1667" t="s">
        <v>12215</v>
      </c>
      <c r="H1667" t="s">
        <v>2916</v>
      </c>
      <c r="I1667" t="s">
        <v>12426</v>
      </c>
      <c r="J1667">
        <v>0</v>
      </c>
      <c r="K1667">
        <v>-4489.07</v>
      </c>
      <c r="L1667" t="s">
        <v>2917</v>
      </c>
      <c r="M1667">
        <v>-25851.27</v>
      </c>
      <c r="N1667" t="s">
        <v>2918</v>
      </c>
      <c r="O1667" t="s">
        <v>12427</v>
      </c>
      <c r="P1667" t="s">
        <v>12366</v>
      </c>
      <c r="Q1667" t="s">
        <v>2924</v>
      </c>
      <c r="R1667" t="s">
        <v>3219</v>
      </c>
      <c r="S1667" t="s">
        <v>12367</v>
      </c>
      <c r="T1667" t="s">
        <v>12368</v>
      </c>
    </row>
    <row r="1668" spans="1:20">
      <c r="A1668" t="s">
        <v>2404</v>
      </c>
      <c r="B1668" t="s">
        <v>11331</v>
      </c>
      <c r="C1668">
        <v>45762</v>
      </c>
      <c r="D1668" t="s">
        <v>7263</v>
      </c>
      <c r="E1668" t="s">
        <v>11332</v>
      </c>
      <c r="F1668">
        <v>45764</v>
      </c>
      <c r="G1668" t="s">
        <v>10739</v>
      </c>
      <c r="H1668" t="s">
        <v>2916</v>
      </c>
      <c r="I1668" t="s">
        <v>12428</v>
      </c>
      <c r="J1668">
        <v>3</v>
      </c>
      <c r="K1668">
        <v>113.89</v>
      </c>
      <c r="L1668" t="s">
        <v>2917</v>
      </c>
      <c r="M1668">
        <v>655.86</v>
      </c>
      <c r="N1668" t="s">
        <v>2918</v>
      </c>
      <c r="O1668" t="s">
        <v>12429</v>
      </c>
      <c r="P1668" t="s">
        <v>11138</v>
      </c>
      <c r="Q1668" t="s">
        <v>2924</v>
      </c>
      <c r="R1668" t="s">
        <v>3219</v>
      </c>
      <c r="S1668" t="s">
        <v>11139</v>
      </c>
      <c r="T1668" t="s">
        <v>11140</v>
      </c>
    </row>
    <row r="1669" spans="1:20">
      <c r="A1669" t="s">
        <v>2404</v>
      </c>
      <c r="B1669" t="s">
        <v>11331</v>
      </c>
      <c r="C1669">
        <v>45762</v>
      </c>
      <c r="D1669" t="s">
        <v>7263</v>
      </c>
      <c r="E1669" t="s">
        <v>11332</v>
      </c>
      <c r="F1669">
        <v>45764</v>
      </c>
      <c r="G1669" t="s">
        <v>10739</v>
      </c>
      <c r="H1669" t="s">
        <v>2916</v>
      </c>
      <c r="I1669" t="s">
        <v>12430</v>
      </c>
      <c r="J1669">
        <v>0</v>
      </c>
      <c r="K1669">
        <v>-13.44</v>
      </c>
      <c r="L1669" t="s">
        <v>2917</v>
      </c>
      <c r="M1669">
        <v>-77.42</v>
      </c>
      <c r="N1669" t="s">
        <v>2918</v>
      </c>
      <c r="O1669" t="s">
        <v>12431</v>
      </c>
      <c r="P1669" t="s">
        <v>11138</v>
      </c>
      <c r="Q1669" t="s">
        <v>2924</v>
      </c>
      <c r="R1669" t="s">
        <v>3219</v>
      </c>
      <c r="S1669" t="s">
        <v>11139</v>
      </c>
      <c r="T1669" t="s">
        <v>11140</v>
      </c>
    </row>
    <row r="1670" spans="1:20">
      <c r="A1670" t="s">
        <v>2404</v>
      </c>
      <c r="B1670" t="s">
        <v>11331</v>
      </c>
      <c r="C1670">
        <v>45754</v>
      </c>
      <c r="D1670" t="s">
        <v>7263</v>
      </c>
      <c r="E1670" t="s">
        <v>11332</v>
      </c>
      <c r="F1670">
        <v>45761</v>
      </c>
      <c r="G1670" t="s">
        <v>12215</v>
      </c>
      <c r="H1670" t="s">
        <v>2916</v>
      </c>
      <c r="I1670" t="s">
        <v>15925</v>
      </c>
      <c r="J1670">
        <v>0</v>
      </c>
      <c r="K1670">
        <v>4489.07</v>
      </c>
      <c r="L1670" t="s">
        <v>2917</v>
      </c>
      <c r="M1670">
        <v>25851.27</v>
      </c>
      <c r="N1670" t="s">
        <v>2918</v>
      </c>
      <c r="O1670" t="s">
        <v>12427</v>
      </c>
      <c r="P1670" t="s">
        <v>12366</v>
      </c>
      <c r="Q1670" t="s">
        <v>2924</v>
      </c>
      <c r="R1670" t="s">
        <v>3219</v>
      </c>
      <c r="S1670" t="s">
        <v>12367</v>
      </c>
      <c r="T1670" t="s">
        <v>12368</v>
      </c>
    </row>
    <row r="1671" spans="1:20">
      <c r="A1671" t="s">
        <v>2404</v>
      </c>
      <c r="B1671" t="s">
        <v>11331</v>
      </c>
      <c r="C1671">
        <v>45754</v>
      </c>
      <c r="D1671" t="s">
        <v>7263</v>
      </c>
      <c r="E1671" t="s">
        <v>11332</v>
      </c>
      <c r="F1671">
        <v>45770</v>
      </c>
      <c r="G1671" t="s">
        <v>12215</v>
      </c>
      <c r="H1671" t="s">
        <v>2916</v>
      </c>
      <c r="I1671" t="s">
        <v>15926</v>
      </c>
      <c r="J1671">
        <v>0</v>
      </c>
      <c r="K1671">
        <v>-8188.04</v>
      </c>
      <c r="L1671" t="s">
        <v>2917</v>
      </c>
      <c r="M1671">
        <v>-47152.58</v>
      </c>
      <c r="N1671" t="s">
        <v>2918</v>
      </c>
      <c r="O1671" t="s">
        <v>12427</v>
      </c>
      <c r="P1671" t="s">
        <v>12366</v>
      </c>
      <c r="Q1671" t="s">
        <v>2924</v>
      </c>
      <c r="R1671" t="s">
        <v>3219</v>
      </c>
      <c r="S1671" t="s">
        <v>12367</v>
      </c>
      <c r="T1671" t="s">
        <v>12368</v>
      </c>
    </row>
    <row r="1672" spans="1:20">
      <c r="A1672" t="s">
        <v>2404</v>
      </c>
      <c r="B1672" t="s">
        <v>11331</v>
      </c>
      <c r="C1672">
        <v>45754</v>
      </c>
      <c r="D1672" t="s">
        <v>7263</v>
      </c>
      <c r="E1672" t="s">
        <v>11332</v>
      </c>
      <c r="F1672">
        <v>45770</v>
      </c>
      <c r="G1672" t="s">
        <v>12215</v>
      </c>
      <c r="H1672" t="s">
        <v>2916</v>
      </c>
      <c r="I1672" t="s">
        <v>16273</v>
      </c>
      <c r="J1672">
        <v>0</v>
      </c>
      <c r="K1672">
        <v>8188.04</v>
      </c>
      <c r="L1672" t="s">
        <v>2917</v>
      </c>
      <c r="M1672">
        <v>47152.58</v>
      </c>
      <c r="N1672" t="s">
        <v>2918</v>
      </c>
      <c r="O1672" t="s">
        <v>12427</v>
      </c>
      <c r="P1672" t="s">
        <v>12366</v>
      </c>
      <c r="Q1672" t="s">
        <v>2924</v>
      </c>
      <c r="R1672" t="s">
        <v>3219</v>
      </c>
      <c r="S1672" t="s">
        <v>12367</v>
      </c>
      <c r="T1672" t="s">
        <v>12368</v>
      </c>
    </row>
    <row r="1673" spans="1:20">
      <c r="A1673" t="s">
        <v>2404</v>
      </c>
      <c r="B1673" t="s">
        <v>11331</v>
      </c>
      <c r="C1673">
        <v>45754</v>
      </c>
      <c r="D1673" t="s">
        <v>7263</v>
      </c>
      <c r="E1673" t="s">
        <v>11332</v>
      </c>
      <c r="F1673">
        <v>45776</v>
      </c>
      <c r="G1673" t="s">
        <v>12215</v>
      </c>
      <c r="H1673" t="s">
        <v>2916</v>
      </c>
      <c r="I1673" t="s">
        <v>16274</v>
      </c>
      <c r="J1673">
        <v>0</v>
      </c>
      <c r="K1673">
        <v>-8524.31</v>
      </c>
      <c r="L1673" t="s">
        <v>2917</v>
      </c>
      <c r="M1673">
        <v>-49089.06</v>
      </c>
      <c r="N1673" t="s">
        <v>2918</v>
      </c>
      <c r="O1673" t="s">
        <v>12427</v>
      </c>
      <c r="P1673" t="s">
        <v>12366</v>
      </c>
      <c r="Q1673" t="s">
        <v>2924</v>
      </c>
      <c r="R1673" t="s">
        <v>3219</v>
      </c>
      <c r="S1673" t="s">
        <v>12367</v>
      </c>
      <c r="T1673" t="s">
        <v>12368</v>
      </c>
    </row>
    <row r="1674" spans="1:20">
      <c r="A1674" t="s">
        <v>2404</v>
      </c>
      <c r="B1674" t="s">
        <v>11331</v>
      </c>
      <c r="C1674">
        <v>45777</v>
      </c>
      <c r="D1674" t="s">
        <v>7263</v>
      </c>
      <c r="E1674" t="s">
        <v>11332</v>
      </c>
      <c r="F1674">
        <v>45777</v>
      </c>
      <c r="G1674" t="s">
        <v>2208</v>
      </c>
      <c r="H1674" t="s">
        <v>2916</v>
      </c>
      <c r="I1674" t="s">
        <v>16319</v>
      </c>
      <c r="J1674">
        <v>0</v>
      </c>
      <c r="K1674">
        <v>-23650.79</v>
      </c>
      <c r="L1674" t="s">
        <v>2917</v>
      </c>
      <c r="M1674">
        <v>-136198.04999999999</v>
      </c>
      <c r="N1674" t="s">
        <v>2918</v>
      </c>
      <c r="O1674" t="s">
        <v>16320</v>
      </c>
      <c r="P1674" t="s">
        <v>2208</v>
      </c>
      <c r="Q1674" t="s">
        <v>2933</v>
      </c>
      <c r="R1674" t="s">
        <v>3314</v>
      </c>
      <c r="S1674" t="s">
        <v>2208</v>
      </c>
      <c r="T1674" t="s">
        <v>2208</v>
      </c>
    </row>
    <row r="1675" spans="1:20">
      <c r="A1675" t="s">
        <v>2404</v>
      </c>
      <c r="B1675" t="s">
        <v>11331</v>
      </c>
      <c r="C1675">
        <v>45777</v>
      </c>
      <c r="D1675" t="s">
        <v>7263</v>
      </c>
      <c r="E1675" t="s">
        <v>11332</v>
      </c>
      <c r="F1675">
        <v>45777</v>
      </c>
      <c r="G1675" t="s">
        <v>2208</v>
      </c>
      <c r="H1675" t="s">
        <v>2916</v>
      </c>
      <c r="I1675" t="s">
        <v>16448</v>
      </c>
      <c r="J1675">
        <v>0</v>
      </c>
      <c r="K1675">
        <v>0.04</v>
      </c>
      <c r="L1675" t="s">
        <v>2917</v>
      </c>
      <c r="M1675">
        <v>0</v>
      </c>
      <c r="N1675" t="s">
        <v>2918</v>
      </c>
      <c r="O1675" t="s">
        <v>2919</v>
      </c>
      <c r="P1675" t="s">
        <v>2208</v>
      </c>
      <c r="Q1675" t="s">
        <v>2916</v>
      </c>
      <c r="R1675" t="s">
        <v>3220</v>
      </c>
      <c r="S1675" t="s">
        <v>2208</v>
      </c>
      <c r="T1675" t="s">
        <v>2208</v>
      </c>
    </row>
    <row r="1676" spans="1:20">
      <c r="A1676" t="s">
        <v>2404</v>
      </c>
      <c r="B1676" t="s">
        <v>16360</v>
      </c>
      <c r="C1676">
        <v>45777</v>
      </c>
      <c r="D1676" t="s">
        <v>7263</v>
      </c>
      <c r="E1676" t="s">
        <v>16361</v>
      </c>
      <c r="F1676">
        <v>45779</v>
      </c>
      <c r="G1676" t="s">
        <v>10739</v>
      </c>
      <c r="H1676" t="s">
        <v>2916</v>
      </c>
      <c r="I1676" t="s">
        <v>16449</v>
      </c>
      <c r="J1676">
        <v>2</v>
      </c>
      <c r="K1676">
        <v>2550.0300000000002</v>
      </c>
      <c r="L1676" t="s">
        <v>2917</v>
      </c>
      <c r="M1676">
        <v>14366.35</v>
      </c>
      <c r="N1676" t="s">
        <v>2918</v>
      </c>
      <c r="O1676" t="s">
        <v>16450</v>
      </c>
      <c r="P1676" t="s">
        <v>16433</v>
      </c>
      <c r="Q1676" t="s">
        <v>2924</v>
      </c>
      <c r="R1676" t="s">
        <v>3219</v>
      </c>
      <c r="S1676" t="s">
        <v>16434</v>
      </c>
      <c r="T1676" t="s">
        <v>16435</v>
      </c>
    </row>
    <row r="1677" spans="1:20">
      <c r="A1677" t="s">
        <v>2404</v>
      </c>
      <c r="B1677" t="s">
        <v>16360</v>
      </c>
      <c r="C1677">
        <v>45777</v>
      </c>
      <c r="D1677" t="s">
        <v>7263</v>
      </c>
      <c r="E1677" t="s">
        <v>16361</v>
      </c>
      <c r="F1677">
        <v>45779</v>
      </c>
      <c r="G1677" t="s">
        <v>10739</v>
      </c>
      <c r="H1677" t="s">
        <v>2916</v>
      </c>
      <c r="I1677" t="s">
        <v>16449</v>
      </c>
      <c r="J1677">
        <v>3</v>
      </c>
      <c r="K1677">
        <v>247.25</v>
      </c>
      <c r="L1677" t="s">
        <v>2917</v>
      </c>
      <c r="M1677">
        <v>1392.95</v>
      </c>
      <c r="N1677" t="s">
        <v>2918</v>
      </c>
      <c r="O1677" t="s">
        <v>16450</v>
      </c>
      <c r="P1677" t="s">
        <v>16436</v>
      </c>
      <c r="Q1677" t="s">
        <v>2924</v>
      </c>
      <c r="R1677" t="s">
        <v>3219</v>
      </c>
      <c r="S1677" t="s">
        <v>16437</v>
      </c>
      <c r="T1677" t="s">
        <v>16438</v>
      </c>
    </row>
    <row r="1678" spans="1:20">
      <c r="A1678" t="s">
        <v>2404</v>
      </c>
      <c r="B1678" t="s">
        <v>16360</v>
      </c>
      <c r="C1678">
        <v>45777</v>
      </c>
      <c r="D1678" t="s">
        <v>7263</v>
      </c>
      <c r="E1678" t="s">
        <v>16361</v>
      </c>
      <c r="F1678">
        <v>45779</v>
      </c>
      <c r="G1678" t="s">
        <v>10739</v>
      </c>
      <c r="H1678" t="s">
        <v>2916</v>
      </c>
      <c r="I1678" t="s">
        <v>16451</v>
      </c>
      <c r="J1678">
        <v>0</v>
      </c>
      <c r="K1678">
        <v>-280.55</v>
      </c>
      <c r="L1678" t="s">
        <v>2917</v>
      </c>
      <c r="M1678">
        <v>-1580.54</v>
      </c>
      <c r="N1678" t="s">
        <v>2918</v>
      </c>
      <c r="O1678" t="s">
        <v>16452</v>
      </c>
      <c r="P1678" t="s">
        <v>16433</v>
      </c>
      <c r="Q1678" t="s">
        <v>2924</v>
      </c>
      <c r="R1678" t="s">
        <v>3219</v>
      </c>
      <c r="S1678" t="s">
        <v>16434</v>
      </c>
      <c r="T1678" t="s">
        <v>16435</v>
      </c>
    </row>
    <row r="1679" spans="1:20">
      <c r="A1679" t="s">
        <v>2404</v>
      </c>
      <c r="B1679" t="s">
        <v>16360</v>
      </c>
      <c r="C1679">
        <v>45777</v>
      </c>
      <c r="D1679" t="s">
        <v>7263</v>
      </c>
      <c r="E1679" t="s">
        <v>16361</v>
      </c>
      <c r="F1679">
        <v>45779</v>
      </c>
      <c r="G1679" t="s">
        <v>10739</v>
      </c>
      <c r="H1679" t="s">
        <v>2916</v>
      </c>
      <c r="I1679" t="s">
        <v>16451</v>
      </c>
      <c r="J1679">
        <v>0</v>
      </c>
      <c r="K1679">
        <v>-29.19</v>
      </c>
      <c r="L1679" t="s">
        <v>2917</v>
      </c>
      <c r="M1679">
        <v>-164.47</v>
      </c>
      <c r="N1679" t="s">
        <v>2918</v>
      </c>
      <c r="O1679" t="s">
        <v>16452</v>
      </c>
      <c r="P1679" t="s">
        <v>16436</v>
      </c>
      <c r="Q1679" t="s">
        <v>2924</v>
      </c>
      <c r="R1679" t="s">
        <v>3219</v>
      </c>
      <c r="S1679" t="s">
        <v>16437</v>
      </c>
      <c r="T1679" t="s">
        <v>16438</v>
      </c>
    </row>
    <row r="1680" spans="1:20">
      <c r="A1680" t="s">
        <v>2404</v>
      </c>
      <c r="B1680" t="s">
        <v>16360</v>
      </c>
      <c r="C1680">
        <v>45777</v>
      </c>
      <c r="D1680" t="s">
        <v>7263</v>
      </c>
      <c r="E1680" t="s">
        <v>16361</v>
      </c>
      <c r="F1680">
        <v>45779</v>
      </c>
      <c r="G1680" t="s">
        <v>10739</v>
      </c>
      <c r="H1680" t="s">
        <v>2916</v>
      </c>
      <c r="I1680" t="s">
        <v>16453</v>
      </c>
      <c r="J1680">
        <v>1</v>
      </c>
      <c r="K1680">
        <v>82.42</v>
      </c>
      <c r="L1680" t="s">
        <v>2917</v>
      </c>
      <c r="M1680">
        <v>464.32</v>
      </c>
      <c r="N1680" t="s">
        <v>2918</v>
      </c>
      <c r="O1680" t="s">
        <v>16454</v>
      </c>
      <c r="P1680" t="s">
        <v>16436</v>
      </c>
      <c r="Q1680" t="s">
        <v>2924</v>
      </c>
      <c r="R1680" t="s">
        <v>3219</v>
      </c>
      <c r="S1680" t="s">
        <v>16437</v>
      </c>
      <c r="T1680" t="s">
        <v>16438</v>
      </c>
    </row>
    <row r="1681" spans="1:20">
      <c r="A1681" t="s">
        <v>2404</v>
      </c>
      <c r="B1681" t="s">
        <v>16360</v>
      </c>
      <c r="C1681">
        <v>45777</v>
      </c>
      <c r="D1681" t="s">
        <v>7263</v>
      </c>
      <c r="E1681" t="s">
        <v>16361</v>
      </c>
      <c r="F1681">
        <v>45779</v>
      </c>
      <c r="G1681" t="s">
        <v>10739</v>
      </c>
      <c r="H1681" t="s">
        <v>2916</v>
      </c>
      <c r="I1681" t="s">
        <v>16455</v>
      </c>
      <c r="J1681">
        <v>0</v>
      </c>
      <c r="K1681">
        <v>-9.73</v>
      </c>
      <c r="L1681" t="s">
        <v>2917</v>
      </c>
      <c r="M1681">
        <v>-54.82</v>
      </c>
      <c r="N1681" t="s">
        <v>2918</v>
      </c>
      <c r="O1681" t="s">
        <v>16456</v>
      </c>
      <c r="P1681" t="s">
        <v>16436</v>
      </c>
      <c r="Q1681" t="s">
        <v>2924</v>
      </c>
      <c r="R1681" t="s">
        <v>3219</v>
      </c>
      <c r="S1681" t="s">
        <v>16437</v>
      </c>
      <c r="T1681" t="s">
        <v>16438</v>
      </c>
    </row>
    <row r="1682" spans="1:20">
      <c r="A1682" t="s">
        <v>2404</v>
      </c>
      <c r="B1682" t="s">
        <v>16360</v>
      </c>
      <c r="C1682">
        <v>45777</v>
      </c>
      <c r="D1682" t="s">
        <v>7263</v>
      </c>
      <c r="E1682" t="s">
        <v>16361</v>
      </c>
      <c r="F1682">
        <v>45786</v>
      </c>
      <c r="G1682" t="s">
        <v>10739</v>
      </c>
      <c r="H1682" t="s">
        <v>2916</v>
      </c>
      <c r="I1682" t="s">
        <v>17063</v>
      </c>
      <c r="J1682">
        <v>0</v>
      </c>
      <c r="K1682">
        <v>-14.81</v>
      </c>
      <c r="L1682" t="s">
        <v>2917</v>
      </c>
      <c r="M1682">
        <v>-83.43</v>
      </c>
      <c r="N1682" t="s">
        <v>2918</v>
      </c>
      <c r="O1682" t="s">
        <v>17064</v>
      </c>
      <c r="P1682" t="s">
        <v>17042</v>
      </c>
      <c r="Q1682" t="s">
        <v>2924</v>
      </c>
      <c r="R1682" t="s">
        <v>3219</v>
      </c>
      <c r="S1682" t="s">
        <v>17043</v>
      </c>
      <c r="T1682" t="s">
        <v>17044</v>
      </c>
    </row>
    <row r="1683" spans="1:20">
      <c r="A1683" t="s">
        <v>2404</v>
      </c>
      <c r="B1683" t="s">
        <v>16360</v>
      </c>
      <c r="C1683">
        <v>45777</v>
      </c>
      <c r="D1683" t="s">
        <v>7263</v>
      </c>
      <c r="E1683" t="s">
        <v>16361</v>
      </c>
      <c r="F1683">
        <v>45786</v>
      </c>
      <c r="G1683" t="s">
        <v>10739</v>
      </c>
      <c r="H1683" t="s">
        <v>2916</v>
      </c>
      <c r="I1683" t="s">
        <v>17063</v>
      </c>
      <c r="J1683">
        <v>0</v>
      </c>
      <c r="K1683">
        <v>-27.69</v>
      </c>
      <c r="L1683" t="s">
        <v>2917</v>
      </c>
      <c r="M1683">
        <v>-156.04</v>
      </c>
      <c r="N1683" t="s">
        <v>2918</v>
      </c>
      <c r="O1683" t="s">
        <v>17064</v>
      </c>
      <c r="P1683" t="s">
        <v>17045</v>
      </c>
      <c r="Q1683" t="s">
        <v>2924</v>
      </c>
      <c r="R1683" t="s">
        <v>3219</v>
      </c>
      <c r="S1683" t="s">
        <v>17046</v>
      </c>
      <c r="T1683" t="s">
        <v>17047</v>
      </c>
    </row>
    <row r="1684" spans="1:20">
      <c r="A1684" t="s">
        <v>2404</v>
      </c>
      <c r="B1684" t="s">
        <v>16360</v>
      </c>
      <c r="C1684">
        <v>45777</v>
      </c>
      <c r="D1684" t="s">
        <v>7263</v>
      </c>
      <c r="E1684" t="s">
        <v>16361</v>
      </c>
      <c r="F1684">
        <v>45786</v>
      </c>
      <c r="G1684" t="s">
        <v>10739</v>
      </c>
      <c r="H1684" t="s">
        <v>2916</v>
      </c>
      <c r="I1684" t="s">
        <v>17063</v>
      </c>
      <c r="J1684">
        <v>0</v>
      </c>
      <c r="K1684">
        <v>-2.61</v>
      </c>
      <c r="L1684" t="s">
        <v>2917</v>
      </c>
      <c r="M1684">
        <v>-14.72</v>
      </c>
      <c r="N1684" t="s">
        <v>2918</v>
      </c>
      <c r="O1684" t="s">
        <v>17064</v>
      </c>
      <c r="P1684" t="s">
        <v>11154</v>
      </c>
      <c r="Q1684" t="s">
        <v>2924</v>
      </c>
      <c r="R1684" t="s">
        <v>3219</v>
      </c>
      <c r="S1684" t="s">
        <v>11155</v>
      </c>
      <c r="T1684" t="s">
        <v>11156</v>
      </c>
    </row>
    <row r="1685" spans="1:20">
      <c r="A1685" t="s">
        <v>2404</v>
      </c>
      <c r="B1685" t="s">
        <v>16360</v>
      </c>
      <c r="C1685">
        <v>45777</v>
      </c>
      <c r="D1685" t="s">
        <v>7263</v>
      </c>
      <c r="E1685" t="s">
        <v>16361</v>
      </c>
      <c r="F1685">
        <v>45786</v>
      </c>
      <c r="G1685" t="s">
        <v>10739</v>
      </c>
      <c r="H1685" t="s">
        <v>2916</v>
      </c>
      <c r="I1685" t="s">
        <v>17065</v>
      </c>
      <c r="J1685">
        <v>4</v>
      </c>
      <c r="K1685">
        <v>134.6</v>
      </c>
      <c r="L1685" t="s">
        <v>2917</v>
      </c>
      <c r="M1685">
        <v>758.32</v>
      </c>
      <c r="N1685" t="s">
        <v>2918</v>
      </c>
      <c r="O1685" t="s">
        <v>17066</v>
      </c>
      <c r="P1685" t="s">
        <v>17042</v>
      </c>
      <c r="Q1685" t="s">
        <v>2924</v>
      </c>
      <c r="R1685" t="s">
        <v>3219</v>
      </c>
      <c r="S1685" t="s">
        <v>17043</v>
      </c>
      <c r="T1685" t="s">
        <v>17044</v>
      </c>
    </row>
    <row r="1686" spans="1:20">
      <c r="A1686" t="s">
        <v>2404</v>
      </c>
      <c r="B1686" t="s">
        <v>16360</v>
      </c>
      <c r="C1686">
        <v>45777</v>
      </c>
      <c r="D1686" t="s">
        <v>7263</v>
      </c>
      <c r="E1686" t="s">
        <v>16361</v>
      </c>
      <c r="F1686">
        <v>45786</v>
      </c>
      <c r="G1686" t="s">
        <v>10739</v>
      </c>
      <c r="H1686" t="s">
        <v>2916</v>
      </c>
      <c r="I1686" t="s">
        <v>17065</v>
      </c>
      <c r="J1686">
        <v>3</v>
      </c>
      <c r="K1686">
        <v>234.61</v>
      </c>
      <c r="L1686" t="s">
        <v>2917</v>
      </c>
      <c r="M1686">
        <v>1321.76</v>
      </c>
      <c r="N1686" t="s">
        <v>2918</v>
      </c>
      <c r="O1686" t="s">
        <v>17066</v>
      </c>
      <c r="P1686" t="s">
        <v>17045</v>
      </c>
      <c r="Q1686" t="s">
        <v>2924</v>
      </c>
      <c r="R1686" t="s">
        <v>3219</v>
      </c>
      <c r="S1686" t="s">
        <v>17046</v>
      </c>
      <c r="T1686" t="s">
        <v>17047</v>
      </c>
    </row>
    <row r="1687" spans="1:20">
      <c r="A1687" t="s">
        <v>2404</v>
      </c>
      <c r="B1687" t="s">
        <v>16360</v>
      </c>
      <c r="C1687">
        <v>45777</v>
      </c>
      <c r="D1687" t="s">
        <v>7263</v>
      </c>
      <c r="E1687" t="s">
        <v>16361</v>
      </c>
      <c r="F1687">
        <v>45786</v>
      </c>
      <c r="G1687" t="s">
        <v>10739</v>
      </c>
      <c r="H1687" t="s">
        <v>2916</v>
      </c>
      <c r="I1687" t="s">
        <v>17065</v>
      </c>
      <c r="J1687">
        <v>8</v>
      </c>
      <c r="K1687">
        <v>23.74</v>
      </c>
      <c r="L1687" t="s">
        <v>2917</v>
      </c>
      <c r="M1687">
        <v>133.74</v>
      </c>
      <c r="N1687" t="s">
        <v>2918</v>
      </c>
      <c r="O1687" t="s">
        <v>17066</v>
      </c>
      <c r="P1687" t="s">
        <v>11154</v>
      </c>
      <c r="Q1687" t="s">
        <v>2924</v>
      </c>
      <c r="R1687" t="s">
        <v>3219</v>
      </c>
      <c r="S1687" t="s">
        <v>11155</v>
      </c>
      <c r="T1687" t="s">
        <v>11156</v>
      </c>
    </row>
    <row r="1688" spans="1:20">
      <c r="A1688" t="s">
        <v>2404</v>
      </c>
      <c r="B1688" t="s">
        <v>16360</v>
      </c>
      <c r="C1688">
        <v>45785</v>
      </c>
      <c r="D1688" t="s">
        <v>7263</v>
      </c>
      <c r="E1688" t="s">
        <v>16361</v>
      </c>
      <c r="F1688">
        <v>45786</v>
      </c>
      <c r="G1688" t="s">
        <v>10739</v>
      </c>
      <c r="H1688" t="s">
        <v>2916</v>
      </c>
      <c r="I1688" t="s">
        <v>17067</v>
      </c>
      <c r="J1688">
        <v>3</v>
      </c>
      <c r="K1688">
        <v>100.95</v>
      </c>
      <c r="L1688" t="s">
        <v>2917</v>
      </c>
      <c r="M1688">
        <v>568.74</v>
      </c>
      <c r="N1688" t="s">
        <v>2918</v>
      </c>
      <c r="O1688" t="s">
        <v>17068</v>
      </c>
      <c r="P1688" t="s">
        <v>17042</v>
      </c>
      <c r="Q1688" t="s">
        <v>2924</v>
      </c>
      <c r="R1688" t="s">
        <v>3219</v>
      </c>
      <c r="S1688" t="s">
        <v>17043</v>
      </c>
      <c r="T1688" t="s">
        <v>17044</v>
      </c>
    </row>
    <row r="1689" spans="1:20">
      <c r="A1689" t="s">
        <v>2404</v>
      </c>
      <c r="B1689" t="s">
        <v>16360</v>
      </c>
      <c r="C1689">
        <v>45785</v>
      </c>
      <c r="D1689" t="s">
        <v>7263</v>
      </c>
      <c r="E1689" t="s">
        <v>16361</v>
      </c>
      <c r="F1689">
        <v>45786</v>
      </c>
      <c r="G1689" t="s">
        <v>10739</v>
      </c>
      <c r="H1689" t="s">
        <v>2916</v>
      </c>
      <c r="I1689" t="s">
        <v>17067</v>
      </c>
      <c r="J1689">
        <v>9</v>
      </c>
      <c r="K1689">
        <v>349.25</v>
      </c>
      <c r="L1689" t="s">
        <v>2917</v>
      </c>
      <c r="M1689">
        <v>1967.59</v>
      </c>
      <c r="N1689" t="s">
        <v>2918</v>
      </c>
      <c r="O1689" t="s">
        <v>17068</v>
      </c>
      <c r="P1689" t="s">
        <v>11138</v>
      </c>
      <c r="Q1689" t="s">
        <v>2924</v>
      </c>
      <c r="R1689" t="s">
        <v>3219</v>
      </c>
      <c r="S1689" t="s">
        <v>11139</v>
      </c>
      <c r="T1689" t="s">
        <v>11140</v>
      </c>
    </row>
    <row r="1690" spans="1:20">
      <c r="A1690" t="s">
        <v>2404</v>
      </c>
      <c r="B1690" t="s">
        <v>16360</v>
      </c>
      <c r="C1690">
        <v>45785</v>
      </c>
      <c r="D1690" t="s">
        <v>7263</v>
      </c>
      <c r="E1690" t="s">
        <v>16361</v>
      </c>
      <c r="F1690">
        <v>45786</v>
      </c>
      <c r="G1690" t="s">
        <v>10739</v>
      </c>
      <c r="H1690" t="s">
        <v>2916</v>
      </c>
      <c r="I1690" t="s">
        <v>17069</v>
      </c>
      <c r="J1690">
        <v>0</v>
      </c>
      <c r="K1690">
        <v>-11.1</v>
      </c>
      <c r="L1690" t="s">
        <v>2917</v>
      </c>
      <c r="M1690">
        <v>-62.57</v>
      </c>
      <c r="N1690" t="s">
        <v>2918</v>
      </c>
      <c r="O1690" t="s">
        <v>17070</v>
      </c>
      <c r="P1690" t="s">
        <v>17042</v>
      </c>
      <c r="Q1690" t="s">
        <v>2924</v>
      </c>
      <c r="R1690" t="s">
        <v>3219</v>
      </c>
      <c r="S1690" t="s">
        <v>17043</v>
      </c>
      <c r="T1690" t="s">
        <v>17044</v>
      </c>
    </row>
    <row r="1691" spans="1:20">
      <c r="A1691" t="s">
        <v>2404</v>
      </c>
      <c r="B1691" t="s">
        <v>16360</v>
      </c>
      <c r="C1691">
        <v>45785</v>
      </c>
      <c r="D1691" t="s">
        <v>7263</v>
      </c>
      <c r="E1691" t="s">
        <v>16361</v>
      </c>
      <c r="F1691">
        <v>45786</v>
      </c>
      <c r="G1691" t="s">
        <v>10739</v>
      </c>
      <c r="H1691" t="s">
        <v>2916</v>
      </c>
      <c r="I1691" t="s">
        <v>17069</v>
      </c>
      <c r="J1691">
        <v>0</v>
      </c>
      <c r="K1691">
        <v>-41.24</v>
      </c>
      <c r="L1691" t="s">
        <v>2917</v>
      </c>
      <c r="M1691">
        <v>-232.3</v>
      </c>
      <c r="N1691" t="s">
        <v>2918</v>
      </c>
      <c r="O1691" t="s">
        <v>17070</v>
      </c>
      <c r="P1691" t="s">
        <v>11138</v>
      </c>
      <c r="Q1691" t="s">
        <v>2924</v>
      </c>
      <c r="R1691" t="s">
        <v>3219</v>
      </c>
      <c r="S1691" t="s">
        <v>11139</v>
      </c>
      <c r="T1691" t="s">
        <v>11140</v>
      </c>
    </row>
    <row r="1692" spans="1:20">
      <c r="A1692" t="s">
        <v>2404</v>
      </c>
      <c r="B1692" t="s">
        <v>16360</v>
      </c>
      <c r="C1692">
        <v>45799</v>
      </c>
      <c r="D1692" t="s">
        <v>7263</v>
      </c>
      <c r="E1692" t="s">
        <v>16361</v>
      </c>
      <c r="F1692">
        <v>45800</v>
      </c>
      <c r="G1692" t="s">
        <v>10739</v>
      </c>
      <c r="H1692" t="s">
        <v>2916</v>
      </c>
      <c r="I1692" t="s">
        <v>17527</v>
      </c>
      <c r="J1692">
        <v>4</v>
      </c>
      <c r="K1692">
        <v>312.82</v>
      </c>
      <c r="L1692" t="s">
        <v>2917</v>
      </c>
      <c r="M1692">
        <v>1762.34</v>
      </c>
      <c r="N1692" t="s">
        <v>2918</v>
      </c>
      <c r="O1692" t="s">
        <v>17528</v>
      </c>
      <c r="P1692" t="s">
        <v>17045</v>
      </c>
      <c r="Q1692" t="s">
        <v>2924</v>
      </c>
      <c r="R1692" t="s">
        <v>3219</v>
      </c>
      <c r="S1692" t="s">
        <v>17046</v>
      </c>
      <c r="T1692" t="s">
        <v>17047</v>
      </c>
    </row>
    <row r="1693" spans="1:20">
      <c r="A1693" t="s">
        <v>2404</v>
      </c>
      <c r="B1693" t="s">
        <v>16360</v>
      </c>
      <c r="C1693">
        <v>45799</v>
      </c>
      <c r="D1693" t="s">
        <v>7263</v>
      </c>
      <c r="E1693" t="s">
        <v>16361</v>
      </c>
      <c r="F1693">
        <v>45800</v>
      </c>
      <c r="G1693" t="s">
        <v>10739</v>
      </c>
      <c r="H1693" t="s">
        <v>2916</v>
      </c>
      <c r="I1693" t="s">
        <v>17529</v>
      </c>
      <c r="J1693">
        <v>0</v>
      </c>
      <c r="K1693">
        <v>-36.94</v>
      </c>
      <c r="L1693" t="s">
        <v>2917</v>
      </c>
      <c r="M1693">
        <v>-208.07</v>
      </c>
      <c r="N1693" t="s">
        <v>2918</v>
      </c>
      <c r="O1693" t="s">
        <v>17530</v>
      </c>
      <c r="P1693" t="s">
        <v>17045</v>
      </c>
      <c r="Q1693" t="s">
        <v>2924</v>
      </c>
      <c r="R1693" t="s">
        <v>3219</v>
      </c>
      <c r="S1693" t="s">
        <v>17046</v>
      </c>
      <c r="T1693" t="s">
        <v>17047</v>
      </c>
    </row>
    <row r="1694" spans="1:20">
      <c r="A1694" t="s">
        <v>2404</v>
      </c>
      <c r="B1694" t="s">
        <v>16360</v>
      </c>
      <c r="C1694">
        <v>45443</v>
      </c>
      <c r="D1694" t="s">
        <v>7263</v>
      </c>
      <c r="E1694" t="s">
        <v>16361</v>
      </c>
      <c r="F1694">
        <v>45804</v>
      </c>
      <c r="G1694" t="s">
        <v>2208</v>
      </c>
      <c r="H1694" t="s">
        <v>2916</v>
      </c>
      <c r="I1694" t="s">
        <v>17758</v>
      </c>
      <c r="J1694">
        <v>0</v>
      </c>
      <c r="K1694">
        <v>-74162.89</v>
      </c>
      <c r="L1694" t="s">
        <v>2917</v>
      </c>
      <c r="M1694">
        <v>-382223.81</v>
      </c>
      <c r="N1694" t="s">
        <v>2918</v>
      </c>
      <c r="O1694" t="s">
        <v>17765</v>
      </c>
      <c r="P1694" t="s">
        <v>2208</v>
      </c>
      <c r="Q1694" t="s">
        <v>7720</v>
      </c>
      <c r="R1694" t="s">
        <v>7721</v>
      </c>
      <c r="S1694" t="s">
        <v>2208</v>
      </c>
      <c r="T1694" t="s">
        <v>2208</v>
      </c>
    </row>
    <row r="1695" spans="1:20">
      <c r="A1695" t="s">
        <v>2404</v>
      </c>
      <c r="B1695" t="s">
        <v>16360</v>
      </c>
      <c r="C1695">
        <v>45805</v>
      </c>
      <c r="D1695" t="s">
        <v>7263</v>
      </c>
      <c r="E1695" t="s">
        <v>16361</v>
      </c>
      <c r="F1695">
        <v>45805</v>
      </c>
      <c r="G1695" t="s">
        <v>2208</v>
      </c>
      <c r="H1695" t="s">
        <v>2916</v>
      </c>
      <c r="I1695" t="s">
        <v>17823</v>
      </c>
      <c r="J1695">
        <v>0</v>
      </c>
      <c r="K1695">
        <v>-511.89</v>
      </c>
      <c r="L1695" t="s">
        <v>2917</v>
      </c>
      <c r="M1695">
        <v>-2883.87</v>
      </c>
      <c r="N1695" t="s">
        <v>2918</v>
      </c>
      <c r="O1695" t="s">
        <v>17824</v>
      </c>
      <c r="P1695" t="s">
        <v>2208</v>
      </c>
      <c r="Q1695" t="s">
        <v>2933</v>
      </c>
      <c r="R1695" t="s">
        <v>3314</v>
      </c>
      <c r="S1695" t="s">
        <v>2208</v>
      </c>
      <c r="T1695" t="s">
        <v>2208</v>
      </c>
    </row>
    <row r="1696" spans="1:20">
      <c r="A1696" t="s">
        <v>2404</v>
      </c>
      <c r="B1696" t="s">
        <v>16360</v>
      </c>
      <c r="C1696">
        <v>45808</v>
      </c>
      <c r="D1696" t="s">
        <v>7263</v>
      </c>
      <c r="E1696" t="s">
        <v>16361</v>
      </c>
      <c r="F1696">
        <v>45808</v>
      </c>
      <c r="G1696" t="s">
        <v>2208</v>
      </c>
      <c r="H1696" t="s">
        <v>2916</v>
      </c>
      <c r="I1696" t="s">
        <v>17881</v>
      </c>
      <c r="J1696">
        <v>0</v>
      </c>
      <c r="K1696">
        <v>6318.07</v>
      </c>
      <c r="L1696" t="s">
        <v>2917</v>
      </c>
      <c r="M1696">
        <v>0</v>
      </c>
      <c r="N1696" t="s">
        <v>2918</v>
      </c>
      <c r="O1696" t="s">
        <v>2919</v>
      </c>
      <c r="P1696" t="s">
        <v>2208</v>
      </c>
      <c r="Q1696" t="s">
        <v>2916</v>
      </c>
      <c r="R1696" t="s">
        <v>3220</v>
      </c>
      <c r="S1696" t="s">
        <v>2208</v>
      </c>
      <c r="T1696" t="s">
        <v>2208</v>
      </c>
    </row>
    <row r="1697" spans="1:20">
      <c r="A1697" t="s">
        <v>2404</v>
      </c>
      <c r="B1697" t="s">
        <v>19439</v>
      </c>
      <c r="C1697">
        <v>45838</v>
      </c>
      <c r="D1697" t="s">
        <v>7263</v>
      </c>
      <c r="E1697" t="s">
        <v>19440</v>
      </c>
      <c r="F1697">
        <v>45842</v>
      </c>
      <c r="G1697" t="s">
        <v>10739</v>
      </c>
      <c r="H1697" t="s">
        <v>2916</v>
      </c>
      <c r="I1697" t="s">
        <v>20026</v>
      </c>
      <c r="J1697">
        <v>2</v>
      </c>
      <c r="K1697">
        <v>3613.63</v>
      </c>
      <c r="L1697" t="s">
        <v>2917</v>
      </c>
      <c r="M1697">
        <v>19782.27</v>
      </c>
      <c r="N1697" t="s">
        <v>2918</v>
      </c>
      <c r="O1697" t="s">
        <v>20027</v>
      </c>
      <c r="P1697" t="s">
        <v>7540</v>
      </c>
      <c r="Q1697" t="s">
        <v>2924</v>
      </c>
      <c r="R1697" t="s">
        <v>3219</v>
      </c>
      <c r="S1697" t="s">
        <v>7541</v>
      </c>
      <c r="T1697" t="s">
        <v>7542</v>
      </c>
    </row>
    <row r="1698" spans="1:20">
      <c r="A1698" t="s">
        <v>2404</v>
      </c>
      <c r="B1698" t="s">
        <v>19439</v>
      </c>
      <c r="C1698">
        <v>45838</v>
      </c>
      <c r="D1698" t="s">
        <v>7263</v>
      </c>
      <c r="E1698" t="s">
        <v>19440</v>
      </c>
      <c r="F1698">
        <v>45842</v>
      </c>
      <c r="G1698" t="s">
        <v>10739</v>
      </c>
      <c r="H1698" t="s">
        <v>2916</v>
      </c>
      <c r="I1698" t="s">
        <v>20028</v>
      </c>
      <c r="J1698">
        <v>0</v>
      </c>
      <c r="K1698">
        <v>-456.2</v>
      </c>
      <c r="L1698" t="s">
        <v>2917</v>
      </c>
      <c r="M1698">
        <v>-2497.37</v>
      </c>
      <c r="N1698" t="s">
        <v>2918</v>
      </c>
      <c r="O1698" t="s">
        <v>20029</v>
      </c>
      <c r="P1698" t="s">
        <v>7540</v>
      </c>
      <c r="Q1698" t="s">
        <v>2924</v>
      </c>
      <c r="R1698" t="s">
        <v>3219</v>
      </c>
      <c r="S1698" t="s">
        <v>7541</v>
      </c>
      <c r="T1698" t="s">
        <v>7542</v>
      </c>
    </row>
    <row r="1699" spans="1:20">
      <c r="A1699" t="s">
        <v>2406</v>
      </c>
      <c r="B1699" t="s">
        <v>17897</v>
      </c>
      <c r="C1699">
        <v>45838</v>
      </c>
      <c r="D1699" t="s">
        <v>7263</v>
      </c>
      <c r="E1699" t="s">
        <v>17898</v>
      </c>
      <c r="F1699">
        <v>45838</v>
      </c>
      <c r="G1699" t="s">
        <v>2208</v>
      </c>
      <c r="H1699" t="s">
        <v>2916</v>
      </c>
      <c r="I1699" t="s">
        <v>19275</v>
      </c>
      <c r="J1699">
        <v>0</v>
      </c>
      <c r="K1699">
        <v>40919.449999999997</v>
      </c>
      <c r="L1699" t="s">
        <v>2917</v>
      </c>
      <c r="M1699">
        <v>232233</v>
      </c>
      <c r="N1699" t="s">
        <v>2918</v>
      </c>
      <c r="O1699" t="s">
        <v>19276</v>
      </c>
      <c r="P1699" t="s">
        <v>2208</v>
      </c>
      <c r="Q1699" t="s">
        <v>16323</v>
      </c>
      <c r="R1699" t="s">
        <v>16324</v>
      </c>
      <c r="S1699" t="s">
        <v>2208</v>
      </c>
      <c r="T1699" t="s">
        <v>2208</v>
      </c>
    </row>
    <row r="1700" spans="1:20">
      <c r="A1700" t="s">
        <v>2406</v>
      </c>
      <c r="B1700" t="s">
        <v>17897</v>
      </c>
      <c r="C1700">
        <v>45819</v>
      </c>
      <c r="D1700" t="s">
        <v>7263</v>
      </c>
      <c r="E1700" t="s">
        <v>17898</v>
      </c>
      <c r="F1700">
        <v>45819</v>
      </c>
      <c r="G1700" t="s">
        <v>18635</v>
      </c>
      <c r="H1700" t="s">
        <v>2916</v>
      </c>
      <c r="I1700" t="s">
        <v>18636</v>
      </c>
      <c r="J1700">
        <v>1</v>
      </c>
      <c r="K1700">
        <v>8490.9</v>
      </c>
      <c r="L1700" t="s">
        <v>2917</v>
      </c>
      <c r="M1700">
        <v>48189</v>
      </c>
      <c r="N1700" t="s">
        <v>2918</v>
      </c>
      <c r="O1700" t="s">
        <v>3315</v>
      </c>
      <c r="P1700" t="s">
        <v>3315</v>
      </c>
      <c r="Q1700" t="s">
        <v>2924</v>
      </c>
      <c r="R1700" t="s">
        <v>3219</v>
      </c>
      <c r="S1700" t="s">
        <v>2208</v>
      </c>
      <c r="T1700" t="s">
        <v>2208</v>
      </c>
    </row>
    <row r="1701" spans="1:20">
      <c r="A1701" t="s">
        <v>2406</v>
      </c>
      <c r="B1701" t="s">
        <v>17897</v>
      </c>
      <c r="C1701">
        <v>45811</v>
      </c>
      <c r="D1701" t="s">
        <v>7263</v>
      </c>
      <c r="E1701" t="s">
        <v>17898</v>
      </c>
      <c r="F1701">
        <v>45832</v>
      </c>
      <c r="G1701" t="s">
        <v>18635</v>
      </c>
      <c r="H1701" t="s">
        <v>2916</v>
      </c>
      <c r="I1701" t="s">
        <v>18983</v>
      </c>
      <c r="J1701">
        <v>0</v>
      </c>
      <c r="K1701">
        <v>-785.41</v>
      </c>
      <c r="L1701" t="s">
        <v>2917</v>
      </c>
      <c r="M1701">
        <v>-4457.4799999999996</v>
      </c>
      <c r="N1701" t="s">
        <v>2918</v>
      </c>
      <c r="O1701" t="s">
        <v>18984</v>
      </c>
      <c r="P1701" t="s">
        <v>3315</v>
      </c>
      <c r="Q1701" t="s">
        <v>2924</v>
      </c>
      <c r="R1701" t="s">
        <v>3219</v>
      </c>
      <c r="S1701" t="s">
        <v>2208</v>
      </c>
      <c r="T1701" t="s">
        <v>2208</v>
      </c>
    </row>
    <row r="1702" spans="1:20">
      <c r="A1702" t="s">
        <v>2406</v>
      </c>
      <c r="B1702" t="s">
        <v>17897</v>
      </c>
      <c r="C1702">
        <v>45838</v>
      </c>
      <c r="D1702" t="s">
        <v>7263</v>
      </c>
      <c r="E1702" t="s">
        <v>17898</v>
      </c>
      <c r="F1702">
        <v>45838</v>
      </c>
      <c r="G1702" t="s">
        <v>2208</v>
      </c>
      <c r="H1702" t="s">
        <v>2916</v>
      </c>
      <c r="I1702" t="s">
        <v>19277</v>
      </c>
      <c r="J1702">
        <v>0</v>
      </c>
      <c r="K1702">
        <v>0.09</v>
      </c>
      <c r="L1702" t="s">
        <v>2917</v>
      </c>
      <c r="M1702">
        <v>0</v>
      </c>
      <c r="N1702" t="s">
        <v>2918</v>
      </c>
      <c r="O1702" t="s">
        <v>2919</v>
      </c>
      <c r="P1702" t="s">
        <v>2208</v>
      </c>
      <c r="Q1702" t="s">
        <v>2916</v>
      </c>
      <c r="R1702" t="s">
        <v>3220</v>
      </c>
      <c r="S1702" t="s">
        <v>2208</v>
      </c>
      <c r="T1702" t="s">
        <v>2208</v>
      </c>
    </row>
    <row r="1703" spans="1:20">
      <c r="A1703" t="s">
        <v>2410</v>
      </c>
      <c r="B1703" t="s">
        <v>2920</v>
      </c>
      <c r="C1703">
        <v>45679</v>
      </c>
      <c r="D1703" t="s">
        <v>7263</v>
      </c>
      <c r="E1703" t="s">
        <v>2921</v>
      </c>
      <c r="F1703">
        <v>45679</v>
      </c>
      <c r="G1703" t="s">
        <v>2208</v>
      </c>
      <c r="H1703" t="s">
        <v>2916</v>
      </c>
      <c r="I1703" t="s">
        <v>7733</v>
      </c>
      <c r="J1703">
        <v>0</v>
      </c>
      <c r="K1703">
        <v>-1553.14</v>
      </c>
      <c r="L1703" t="s">
        <v>2917</v>
      </c>
      <c r="M1703">
        <v>-9591.43</v>
      </c>
      <c r="N1703" t="s">
        <v>2918</v>
      </c>
      <c r="O1703" t="s">
        <v>7734</v>
      </c>
      <c r="P1703" t="s">
        <v>2208</v>
      </c>
      <c r="Q1703" t="s">
        <v>7735</v>
      </c>
      <c r="R1703" t="s">
        <v>7736</v>
      </c>
      <c r="S1703" t="s">
        <v>2208</v>
      </c>
      <c r="T1703" t="s">
        <v>2208</v>
      </c>
    </row>
    <row r="1704" spans="1:20">
      <c r="A1704" t="s">
        <v>2410</v>
      </c>
      <c r="B1704" t="s">
        <v>2920</v>
      </c>
      <c r="C1704">
        <v>45686</v>
      </c>
      <c r="D1704" t="s">
        <v>7263</v>
      </c>
      <c r="E1704" t="s">
        <v>2921</v>
      </c>
      <c r="F1704">
        <v>45686</v>
      </c>
      <c r="G1704" t="s">
        <v>2208</v>
      </c>
      <c r="H1704" t="s">
        <v>2916</v>
      </c>
      <c r="I1704" t="s">
        <v>7737</v>
      </c>
      <c r="J1704">
        <v>0</v>
      </c>
      <c r="K1704">
        <v>-191.31</v>
      </c>
      <c r="L1704" t="s">
        <v>2917</v>
      </c>
      <c r="M1704">
        <v>0</v>
      </c>
      <c r="N1704" t="s">
        <v>2918</v>
      </c>
      <c r="O1704" t="s">
        <v>2946</v>
      </c>
      <c r="P1704" t="s">
        <v>2208</v>
      </c>
      <c r="Q1704" t="s">
        <v>2928</v>
      </c>
      <c r="R1704" t="s">
        <v>3227</v>
      </c>
      <c r="S1704" t="s">
        <v>2208</v>
      </c>
      <c r="T1704" t="s">
        <v>2208</v>
      </c>
    </row>
    <row r="1705" spans="1:20">
      <c r="A1705" t="s">
        <v>2412</v>
      </c>
      <c r="B1705" t="s">
        <v>11331</v>
      </c>
      <c r="C1705">
        <v>45749</v>
      </c>
      <c r="D1705" t="s">
        <v>7263</v>
      </c>
      <c r="E1705" t="s">
        <v>11332</v>
      </c>
      <c r="F1705">
        <v>45750</v>
      </c>
      <c r="G1705" t="s">
        <v>11951</v>
      </c>
      <c r="H1705" t="s">
        <v>2916</v>
      </c>
      <c r="I1705" t="s">
        <v>11952</v>
      </c>
      <c r="J1705">
        <v>1</v>
      </c>
      <c r="K1705">
        <v>329.59</v>
      </c>
      <c r="L1705" t="s">
        <v>2917</v>
      </c>
      <c r="M1705">
        <v>1898</v>
      </c>
      <c r="N1705" t="s">
        <v>2918</v>
      </c>
      <c r="O1705" t="s">
        <v>11953</v>
      </c>
      <c r="P1705" t="s">
        <v>11954</v>
      </c>
      <c r="Q1705" t="s">
        <v>2924</v>
      </c>
      <c r="R1705" t="s">
        <v>3219</v>
      </c>
      <c r="S1705" t="s">
        <v>11955</v>
      </c>
      <c r="T1705" t="s">
        <v>11956</v>
      </c>
    </row>
    <row r="1706" spans="1:20">
      <c r="A1706" t="s">
        <v>2412</v>
      </c>
      <c r="B1706" t="s">
        <v>11331</v>
      </c>
      <c r="C1706">
        <v>45749</v>
      </c>
      <c r="D1706" t="s">
        <v>7263</v>
      </c>
      <c r="E1706" t="s">
        <v>11332</v>
      </c>
      <c r="F1706">
        <v>45750</v>
      </c>
      <c r="G1706" t="s">
        <v>11951</v>
      </c>
      <c r="H1706" t="s">
        <v>2916</v>
      </c>
      <c r="I1706" t="s">
        <v>11957</v>
      </c>
      <c r="J1706">
        <v>0</v>
      </c>
      <c r="K1706">
        <v>-56.8</v>
      </c>
      <c r="L1706" t="s">
        <v>2917</v>
      </c>
      <c r="M1706">
        <v>-327.11</v>
      </c>
      <c r="N1706" t="s">
        <v>2918</v>
      </c>
      <c r="O1706" t="s">
        <v>11958</v>
      </c>
      <c r="P1706" t="s">
        <v>11954</v>
      </c>
      <c r="Q1706" t="s">
        <v>2924</v>
      </c>
      <c r="R1706" t="s">
        <v>3219</v>
      </c>
      <c r="S1706" t="s">
        <v>11955</v>
      </c>
      <c r="T1706" t="s">
        <v>11956</v>
      </c>
    </row>
    <row r="1707" spans="1:20">
      <c r="A1707" t="s">
        <v>2412</v>
      </c>
      <c r="B1707" t="s">
        <v>11331</v>
      </c>
      <c r="C1707">
        <v>45748</v>
      </c>
      <c r="D1707" t="s">
        <v>7263</v>
      </c>
      <c r="E1707" t="s">
        <v>11332</v>
      </c>
      <c r="F1707">
        <v>45750</v>
      </c>
      <c r="G1707" t="s">
        <v>11951</v>
      </c>
      <c r="H1707" t="s">
        <v>2916</v>
      </c>
      <c r="I1707" t="s">
        <v>11959</v>
      </c>
      <c r="J1707">
        <v>5</v>
      </c>
      <c r="K1707">
        <v>911.58</v>
      </c>
      <c r="L1707" t="s">
        <v>2917</v>
      </c>
      <c r="M1707">
        <v>5249.5</v>
      </c>
      <c r="N1707" t="s">
        <v>2918</v>
      </c>
      <c r="O1707" t="s">
        <v>11960</v>
      </c>
      <c r="P1707" t="s">
        <v>11961</v>
      </c>
      <c r="Q1707" t="s">
        <v>2924</v>
      </c>
      <c r="R1707" t="s">
        <v>3219</v>
      </c>
      <c r="S1707" t="s">
        <v>11962</v>
      </c>
      <c r="T1707" t="s">
        <v>11963</v>
      </c>
    </row>
    <row r="1708" spans="1:20">
      <c r="A1708" t="s">
        <v>2412</v>
      </c>
      <c r="B1708" t="s">
        <v>11331</v>
      </c>
      <c r="C1708">
        <v>45748</v>
      </c>
      <c r="D1708" t="s">
        <v>7263</v>
      </c>
      <c r="E1708" t="s">
        <v>11332</v>
      </c>
      <c r="F1708">
        <v>45750</v>
      </c>
      <c r="G1708" t="s">
        <v>11951</v>
      </c>
      <c r="H1708" t="s">
        <v>2916</v>
      </c>
      <c r="I1708" t="s">
        <v>11959</v>
      </c>
      <c r="J1708">
        <v>5</v>
      </c>
      <c r="K1708">
        <v>1359.14</v>
      </c>
      <c r="L1708" t="s">
        <v>2917</v>
      </c>
      <c r="M1708">
        <v>7826.9</v>
      </c>
      <c r="N1708" t="s">
        <v>2918</v>
      </c>
      <c r="O1708" t="s">
        <v>11960</v>
      </c>
      <c r="P1708" t="s">
        <v>11964</v>
      </c>
      <c r="Q1708" t="s">
        <v>2924</v>
      </c>
      <c r="R1708" t="s">
        <v>3219</v>
      </c>
      <c r="S1708" t="s">
        <v>11965</v>
      </c>
      <c r="T1708" t="s">
        <v>11966</v>
      </c>
    </row>
    <row r="1709" spans="1:20">
      <c r="A1709" t="s">
        <v>2412</v>
      </c>
      <c r="B1709" t="s">
        <v>11331</v>
      </c>
      <c r="C1709">
        <v>45748</v>
      </c>
      <c r="D1709" t="s">
        <v>7263</v>
      </c>
      <c r="E1709" t="s">
        <v>11332</v>
      </c>
      <c r="F1709">
        <v>45750</v>
      </c>
      <c r="G1709" t="s">
        <v>11951</v>
      </c>
      <c r="H1709" t="s">
        <v>2916</v>
      </c>
      <c r="I1709" t="s">
        <v>11959</v>
      </c>
      <c r="J1709">
        <v>5</v>
      </c>
      <c r="K1709">
        <v>3642.64</v>
      </c>
      <c r="L1709" t="s">
        <v>2917</v>
      </c>
      <c r="M1709">
        <v>20976.9</v>
      </c>
      <c r="N1709" t="s">
        <v>2918</v>
      </c>
      <c r="O1709" t="s">
        <v>11960</v>
      </c>
      <c r="P1709" t="s">
        <v>11967</v>
      </c>
      <c r="Q1709" t="s">
        <v>2924</v>
      </c>
      <c r="R1709" t="s">
        <v>3219</v>
      </c>
      <c r="S1709" t="s">
        <v>11968</v>
      </c>
      <c r="T1709" t="s">
        <v>2208</v>
      </c>
    </row>
    <row r="1710" spans="1:20">
      <c r="A1710" t="s">
        <v>2412</v>
      </c>
      <c r="B1710" t="s">
        <v>11331</v>
      </c>
      <c r="C1710">
        <v>45748</v>
      </c>
      <c r="D1710" t="s">
        <v>7263</v>
      </c>
      <c r="E1710" t="s">
        <v>11332</v>
      </c>
      <c r="F1710">
        <v>45750</v>
      </c>
      <c r="G1710" t="s">
        <v>11951</v>
      </c>
      <c r="H1710" t="s">
        <v>2916</v>
      </c>
      <c r="I1710" t="s">
        <v>11959</v>
      </c>
      <c r="J1710">
        <v>5</v>
      </c>
      <c r="K1710">
        <v>611.98</v>
      </c>
      <c r="L1710" t="s">
        <v>2917</v>
      </c>
      <c r="M1710">
        <v>3524.2</v>
      </c>
      <c r="N1710" t="s">
        <v>2918</v>
      </c>
      <c r="O1710" t="s">
        <v>11960</v>
      </c>
      <c r="P1710" t="s">
        <v>11969</v>
      </c>
      <c r="Q1710" t="s">
        <v>2924</v>
      </c>
      <c r="R1710" t="s">
        <v>3219</v>
      </c>
      <c r="S1710" t="s">
        <v>11970</v>
      </c>
      <c r="T1710" t="s">
        <v>2208</v>
      </c>
    </row>
    <row r="1711" spans="1:20">
      <c r="A1711" t="s">
        <v>2412</v>
      </c>
      <c r="B1711" t="s">
        <v>11331</v>
      </c>
      <c r="C1711">
        <v>45748</v>
      </c>
      <c r="D1711" t="s">
        <v>7263</v>
      </c>
      <c r="E1711" t="s">
        <v>11332</v>
      </c>
      <c r="F1711">
        <v>45750</v>
      </c>
      <c r="G1711" t="s">
        <v>11951</v>
      </c>
      <c r="H1711" t="s">
        <v>2916</v>
      </c>
      <c r="I1711" t="s">
        <v>11959</v>
      </c>
      <c r="J1711">
        <v>20</v>
      </c>
      <c r="K1711">
        <v>305.73</v>
      </c>
      <c r="L1711" t="s">
        <v>2917</v>
      </c>
      <c r="M1711">
        <v>1760.61</v>
      </c>
      <c r="N1711" t="s">
        <v>2918</v>
      </c>
      <c r="O1711" t="s">
        <v>11960</v>
      </c>
      <c r="P1711" t="s">
        <v>11971</v>
      </c>
      <c r="Q1711" t="s">
        <v>2924</v>
      </c>
      <c r="R1711" t="s">
        <v>3219</v>
      </c>
      <c r="S1711" t="s">
        <v>11972</v>
      </c>
      <c r="T1711" t="s">
        <v>11973</v>
      </c>
    </row>
    <row r="1712" spans="1:20">
      <c r="A1712" t="s">
        <v>2412</v>
      </c>
      <c r="B1712" t="s">
        <v>11331</v>
      </c>
      <c r="C1712">
        <v>45748</v>
      </c>
      <c r="D1712" t="s">
        <v>7263</v>
      </c>
      <c r="E1712" t="s">
        <v>11332</v>
      </c>
      <c r="F1712">
        <v>45750</v>
      </c>
      <c r="G1712" t="s">
        <v>11951</v>
      </c>
      <c r="H1712" t="s">
        <v>2916</v>
      </c>
      <c r="I1712" t="s">
        <v>11959</v>
      </c>
      <c r="J1712">
        <v>2</v>
      </c>
      <c r="K1712">
        <v>1007.17</v>
      </c>
      <c r="L1712" t="s">
        <v>2917</v>
      </c>
      <c r="M1712">
        <v>5800</v>
      </c>
      <c r="N1712" t="s">
        <v>2918</v>
      </c>
      <c r="O1712" t="s">
        <v>11960</v>
      </c>
      <c r="P1712" t="s">
        <v>11974</v>
      </c>
      <c r="Q1712" t="s">
        <v>2924</v>
      </c>
      <c r="R1712" t="s">
        <v>3219</v>
      </c>
      <c r="S1712" t="s">
        <v>11975</v>
      </c>
      <c r="T1712" t="s">
        <v>11976</v>
      </c>
    </row>
    <row r="1713" spans="1:20">
      <c r="A1713" t="s">
        <v>2412</v>
      </c>
      <c r="B1713" t="s">
        <v>11331</v>
      </c>
      <c r="C1713">
        <v>45748</v>
      </c>
      <c r="D1713" t="s">
        <v>7263</v>
      </c>
      <c r="E1713" t="s">
        <v>11332</v>
      </c>
      <c r="F1713">
        <v>45750</v>
      </c>
      <c r="G1713" t="s">
        <v>11951</v>
      </c>
      <c r="H1713" t="s">
        <v>2916</v>
      </c>
      <c r="I1713" t="s">
        <v>11959</v>
      </c>
      <c r="J1713">
        <v>2</v>
      </c>
      <c r="K1713">
        <v>1007.17</v>
      </c>
      <c r="L1713" t="s">
        <v>2917</v>
      </c>
      <c r="M1713">
        <v>5800</v>
      </c>
      <c r="N1713" t="s">
        <v>2918</v>
      </c>
      <c r="O1713" t="s">
        <v>11960</v>
      </c>
      <c r="P1713" t="s">
        <v>11977</v>
      </c>
      <c r="Q1713" t="s">
        <v>2924</v>
      </c>
      <c r="R1713" t="s">
        <v>3219</v>
      </c>
      <c r="S1713" t="s">
        <v>11978</v>
      </c>
      <c r="T1713" t="s">
        <v>11979</v>
      </c>
    </row>
    <row r="1714" spans="1:20">
      <c r="A1714" t="s">
        <v>2412</v>
      </c>
      <c r="B1714" t="s">
        <v>11331</v>
      </c>
      <c r="C1714">
        <v>45748</v>
      </c>
      <c r="D1714" t="s">
        <v>7263</v>
      </c>
      <c r="E1714" t="s">
        <v>11332</v>
      </c>
      <c r="F1714">
        <v>45750</v>
      </c>
      <c r="G1714" t="s">
        <v>11951</v>
      </c>
      <c r="H1714" t="s">
        <v>2916</v>
      </c>
      <c r="I1714" t="s">
        <v>11959</v>
      </c>
      <c r="J1714">
        <v>20</v>
      </c>
      <c r="K1714">
        <v>472.99</v>
      </c>
      <c r="L1714" t="s">
        <v>2917</v>
      </c>
      <c r="M1714">
        <v>2723.8</v>
      </c>
      <c r="N1714" t="s">
        <v>2918</v>
      </c>
      <c r="O1714" t="s">
        <v>11960</v>
      </c>
      <c r="P1714" t="s">
        <v>11980</v>
      </c>
      <c r="Q1714" t="s">
        <v>2924</v>
      </c>
      <c r="R1714" t="s">
        <v>3219</v>
      </c>
      <c r="S1714" t="s">
        <v>11981</v>
      </c>
      <c r="T1714" t="s">
        <v>11982</v>
      </c>
    </row>
    <row r="1715" spans="1:20">
      <c r="A1715" t="s">
        <v>2412</v>
      </c>
      <c r="B1715" t="s">
        <v>11331</v>
      </c>
      <c r="C1715">
        <v>45748</v>
      </c>
      <c r="D1715" t="s">
        <v>7263</v>
      </c>
      <c r="E1715" t="s">
        <v>11332</v>
      </c>
      <c r="F1715">
        <v>45750</v>
      </c>
      <c r="G1715" t="s">
        <v>11951</v>
      </c>
      <c r="H1715" t="s">
        <v>2916</v>
      </c>
      <c r="I1715" t="s">
        <v>11983</v>
      </c>
      <c r="J1715">
        <v>0</v>
      </c>
      <c r="K1715">
        <v>-233.24</v>
      </c>
      <c r="L1715" t="s">
        <v>2917</v>
      </c>
      <c r="M1715">
        <v>-1343.11</v>
      </c>
      <c r="N1715" t="s">
        <v>2918</v>
      </c>
      <c r="O1715" t="s">
        <v>11984</v>
      </c>
      <c r="P1715" t="s">
        <v>11961</v>
      </c>
      <c r="Q1715" t="s">
        <v>2924</v>
      </c>
      <c r="R1715" t="s">
        <v>3219</v>
      </c>
      <c r="S1715" t="s">
        <v>11962</v>
      </c>
      <c r="T1715" t="s">
        <v>11963</v>
      </c>
    </row>
    <row r="1716" spans="1:20">
      <c r="A1716" t="s">
        <v>2412</v>
      </c>
      <c r="B1716" t="s">
        <v>11331</v>
      </c>
      <c r="C1716">
        <v>45748</v>
      </c>
      <c r="D1716" t="s">
        <v>7263</v>
      </c>
      <c r="E1716" t="s">
        <v>11332</v>
      </c>
      <c r="F1716">
        <v>45750</v>
      </c>
      <c r="G1716" t="s">
        <v>11951</v>
      </c>
      <c r="H1716" t="s">
        <v>2916</v>
      </c>
      <c r="I1716" t="s">
        <v>11983</v>
      </c>
      <c r="J1716">
        <v>0</v>
      </c>
      <c r="K1716">
        <v>-347.74</v>
      </c>
      <c r="L1716" t="s">
        <v>2917</v>
      </c>
      <c r="M1716">
        <v>-2002.53</v>
      </c>
      <c r="N1716" t="s">
        <v>2918</v>
      </c>
      <c r="O1716" t="s">
        <v>11984</v>
      </c>
      <c r="P1716" t="s">
        <v>11964</v>
      </c>
      <c r="Q1716" t="s">
        <v>2924</v>
      </c>
      <c r="R1716" t="s">
        <v>3219</v>
      </c>
      <c r="S1716" t="s">
        <v>11965</v>
      </c>
      <c r="T1716" t="s">
        <v>11966</v>
      </c>
    </row>
    <row r="1717" spans="1:20">
      <c r="A1717" t="s">
        <v>2412</v>
      </c>
      <c r="B1717" t="s">
        <v>11331</v>
      </c>
      <c r="C1717">
        <v>45748</v>
      </c>
      <c r="D1717" t="s">
        <v>7263</v>
      </c>
      <c r="E1717" t="s">
        <v>11332</v>
      </c>
      <c r="F1717">
        <v>45750</v>
      </c>
      <c r="G1717" t="s">
        <v>11951</v>
      </c>
      <c r="H1717" t="s">
        <v>2916</v>
      </c>
      <c r="I1717" t="s">
        <v>11983</v>
      </c>
      <c r="J1717">
        <v>0</v>
      </c>
      <c r="K1717">
        <v>-931.97</v>
      </c>
      <c r="L1717" t="s">
        <v>2917</v>
      </c>
      <c r="M1717">
        <v>-5366.96</v>
      </c>
      <c r="N1717" t="s">
        <v>2918</v>
      </c>
      <c r="O1717" t="s">
        <v>11984</v>
      </c>
      <c r="P1717" t="s">
        <v>11967</v>
      </c>
      <c r="Q1717" t="s">
        <v>2924</v>
      </c>
      <c r="R1717" t="s">
        <v>3219</v>
      </c>
      <c r="S1717" t="s">
        <v>11968</v>
      </c>
      <c r="T1717" t="s">
        <v>2208</v>
      </c>
    </row>
    <row r="1718" spans="1:20">
      <c r="A1718" t="s">
        <v>2412</v>
      </c>
      <c r="B1718" t="s">
        <v>11331</v>
      </c>
      <c r="C1718">
        <v>45748</v>
      </c>
      <c r="D1718" t="s">
        <v>7263</v>
      </c>
      <c r="E1718" t="s">
        <v>11332</v>
      </c>
      <c r="F1718">
        <v>45750</v>
      </c>
      <c r="G1718" t="s">
        <v>11951</v>
      </c>
      <c r="H1718" t="s">
        <v>2916</v>
      </c>
      <c r="I1718" t="s">
        <v>11983</v>
      </c>
      <c r="J1718">
        <v>0</v>
      </c>
      <c r="K1718">
        <v>-156.58000000000001</v>
      </c>
      <c r="L1718" t="s">
        <v>2917</v>
      </c>
      <c r="M1718">
        <v>-901.67</v>
      </c>
      <c r="N1718" t="s">
        <v>2918</v>
      </c>
      <c r="O1718" t="s">
        <v>11984</v>
      </c>
      <c r="P1718" t="s">
        <v>11969</v>
      </c>
      <c r="Q1718" t="s">
        <v>2924</v>
      </c>
      <c r="R1718" t="s">
        <v>3219</v>
      </c>
      <c r="S1718" t="s">
        <v>11970</v>
      </c>
      <c r="T1718" t="s">
        <v>2208</v>
      </c>
    </row>
    <row r="1719" spans="1:20">
      <c r="A1719" t="s">
        <v>2412</v>
      </c>
      <c r="B1719" t="s">
        <v>11331</v>
      </c>
      <c r="C1719">
        <v>45748</v>
      </c>
      <c r="D1719" t="s">
        <v>7263</v>
      </c>
      <c r="E1719" t="s">
        <v>11332</v>
      </c>
      <c r="F1719">
        <v>45750</v>
      </c>
      <c r="G1719" t="s">
        <v>11951</v>
      </c>
      <c r="H1719" t="s">
        <v>2916</v>
      </c>
      <c r="I1719" t="s">
        <v>11983</v>
      </c>
      <c r="J1719">
        <v>0</v>
      </c>
      <c r="K1719">
        <v>-78.22</v>
      </c>
      <c r="L1719" t="s">
        <v>2917</v>
      </c>
      <c r="M1719">
        <v>-450.43</v>
      </c>
      <c r="N1719" t="s">
        <v>2918</v>
      </c>
      <c r="O1719" t="s">
        <v>11984</v>
      </c>
      <c r="P1719" t="s">
        <v>11971</v>
      </c>
      <c r="Q1719" t="s">
        <v>2924</v>
      </c>
      <c r="R1719" t="s">
        <v>3219</v>
      </c>
      <c r="S1719" t="s">
        <v>11972</v>
      </c>
      <c r="T1719" t="s">
        <v>11973</v>
      </c>
    </row>
    <row r="1720" spans="1:20">
      <c r="A1720" t="s">
        <v>2412</v>
      </c>
      <c r="B1720" t="s">
        <v>11331</v>
      </c>
      <c r="C1720">
        <v>45748</v>
      </c>
      <c r="D1720" t="s">
        <v>7263</v>
      </c>
      <c r="E1720" t="s">
        <v>11332</v>
      </c>
      <c r="F1720">
        <v>45750</v>
      </c>
      <c r="G1720" t="s">
        <v>11951</v>
      </c>
      <c r="H1720" t="s">
        <v>2916</v>
      </c>
      <c r="I1720" t="s">
        <v>11983</v>
      </c>
      <c r="J1720">
        <v>0</v>
      </c>
      <c r="K1720">
        <v>-202.84</v>
      </c>
      <c r="L1720" t="s">
        <v>2917</v>
      </c>
      <c r="M1720">
        <v>-1168.1199999999999</v>
      </c>
      <c r="N1720" t="s">
        <v>2918</v>
      </c>
      <c r="O1720" t="s">
        <v>11984</v>
      </c>
      <c r="P1720" t="s">
        <v>11974</v>
      </c>
      <c r="Q1720" t="s">
        <v>2924</v>
      </c>
      <c r="R1720" t="s">
        <v>3219</v>
      </c>
      <c r="S1720" t="s">
        <v>11975</v>
      </c>
      <c r="T1720" t="s">
        <v>11976</v>
      </c>
    </row>
    <row r="1721" spans="1:20">
      <c r="A1721" t="s">
        <v>2412</v>
      </c>
      <c r="B1721" t="s">
        <v>11331</v>
      </c>
      <c r="C1721">
        <v>45748</v>
      </c>
      <c r="D1721" t="s">
        <v>7263</v>
      </c>
      <c r="E1721" t="s">
        <v>11332</v>
      </c>
      <c r="F1721">
        <v>45750</v>
      </c>
      <c r="G1721" t="s">
        <v>11951</v>
      </c>
      <c r="H1721" t="s">
        <v>2916</v>
      </c>
      <c r="I1721" t="s">
        <v>11983</v>
      </c>
      <c r="J1721">
        <v>0</v>
      </c>
      <c r="K1721">
        <v>-202.84</v>
      </c>
      <c r="L1721" t="s">
        <v>2917</v>
      </c>
      <c r="M1721">
        <v>-1168.1199999999999</v>
      </c>
      <c r="N1721" t="s">
        <v>2918</v>
      </c>
      <c r="O1721" t="s">
        <v>11984</v>
      </c>
      <c r="P1721" t="s">
        <v>11977</v>
      </c>
      <c r="Q1721" t="s">
        <v>2924</v>
      </c>
      <c r="R1721" t="s">
        <v>3219</v>
      </c>
      <c r="S1721" t="s">
        <v>11978</v>
      </c>
      <c r="T1721" t="s">
        <v>11979</v>
      </c>
    </row>
    <row r="1722" spans="1:20">
      <c r="A1722" t="s">
        <v>2412</v>
      </c>
      <c r="B1722" t="s">
        <v>11331</v>
      </c>
      <c r="C1722">
        <v>45748</v>
      </c>
      <c r="D1722" t="s">
        <v>7263</v>
      </c>
      <c r="E1722" t="s">
        <v>11332</v>
      </c>
      <c r="F1722">
        <v>45750</v>
      </c>
      <c r="G1722" t="s">
        <v>11951</v>
      </c>
      <c r="H1722" t="s">
        <v>2916</v>
      </c>
      <c r="I1722" t="s">
        <v>11983</v>
      </c>
      <c r="J1722">
        <v>0</v>
      </c>
      <c r="K1722">
        <v>-121.01</v>
      </c>
      <c r="L1722" t="s">
        <v>2917</v>
      </c>
      <c r="M1722">
        <v>-696.85</v>
      </c>
      <c r="N1722" t="s">
        <v>2918</v>
      </c>
      <c r="O1722" t="s">
        <v>11984</v>
      </c>
      <c r="P1722" t="s">
        <v>11980</v>
      </c>
      <c r="Q1722" t="s">
        <v>2924</v>
      </c>
      <c r="R1722" t="s">
        <v>3219</v>
      </c>
      <c r="S1722" t="s">
        <v>11981</v>
      </c>
      <c r="T1722" t="s">
        <v>11982</v>
      </c>
    </row>
    <row r="1723" spans="1:20">
      <c r="A1723" t="s">
        <v>2412</v>
      </c>
      <c r="B1723" t="s">
        <v>11331</v>
      </c>
      <c r="C1723">
        <v>45748</v>
      </c>
      <c r="D1723" t="s">
        <v>7263</v>
      </c>
      <c r="E1723" t="s">
        <v>11332</v>
      </c>
      <c r="F1723">
        <v>45750</v>
      </c>
      <c r="G1723" t="s">
        <v>11951</v>
      </c>
      <c r="H1723" t="s">
        <v>2916</v>
      </c>
      <c r="I1723" t="s">
        <v>11985</v>
      </c>
      <c r="J1723">
        <v>14</v>
      </c>
      <c r="K1723">
        <v>1210.69</v>
      </c>
      <c r="L1723" t="s">
        <v>2917</v>
      </c>
      <c r="M1723">
        <v>6972</v>
      </c>
      <c r="N1723" t="s">
        <v>2918</v>
      </c>
      <c r="O1723" t="s">
        <v>11986</v>
      </c>
      <c r="P1723" t="s">
        <v>11987</v>
      </c>
      <c r="Q1723" t="s">
        <v>2924</v>
      </c>
      <c r="R1723" t="s">
        <v>3219</v>
      </c>
      <c r="S1723" t="s">
        <v>11988</v>
      </c>
      <c r="T1723" t="s">
        <v>11989</v>
      </c>
    </row>
    <row r="1724" spans="1:20">
      <c r="A1724" t="s">
        <v>2412</v>
      </c>
      <c r="B1724" t="s">
        <v>11331</v>
      </c>
      <c r="C1724">
        <v>45748</v>
      </c>
      <c r="D1724" t="s">
        <v>7263</v>
      </c>
      <c r="E1724" t="s">
        <v>11332</v>
      </c>
      <c r="F1724">
        <v>45750</v>
      </c>
      <c r="G1724" t="s">
        <v>11951</v>
      </c>
      <c r="H1724" t="s">
        <v>2916</v>
      </c>
      <c r="I1724" t="s">
        <v>11985</v>
      </c>
      <c r="J1724">
        <v>20</v>
      </c>
      <c r="K1724">
        <v>434.78</v>
      </c>
      <c r="L1724" t="s">
        <v>2917</v>
      </c>
      <c r="M1724">
        <v>2503.79</v>
      </c>
      <c r="N1724" t="s">
        <v>2918</v>
      </c>
      <c r="O1724" t="s">
        <v>11986</v>
      </c>
      <c r="P1724" t="s">
        <v>11990</v>
      </c>
      <c r="Q1724" t="s">
        <v>2924</v>
      </c>
      <c r="R1724" t="s">
        <v>3219</v>
      </c>
      <c r="S1724" t="s">
        <v>11991</v>
      </c>
      <c r="T1724" t="s">
        <v>11992</v>
      </c>
    </row>
    <row r="1725" spans="1:20">
      <c r="A1725" t="s">
        <v>2412</v>
      </c>
      <c r="B1725" t="s">
        <v>11331</v>
      </c>
      <c r="C1725">
        <v>45748</v>
      </c>
      <c r="D1725" t="s">
        <v>7263</v>
      </c>
      <c r="E1725" t="s">
        <v>11332</v>
      </c>
      <c r="F1725">
        <v>45750</v>
      </c>
      <c r="G1725" t="s">
        <v>11951</v>
      </c>
      <c r="H1725" t="s">
        <v>2916</v>
      </c>
      <c r="I1725" t="s">
        <v>11985</v>
      </c>
      <c r="J1725">
        <v>20</v>
      </c>
      <c r="K1725">
        <v>434.78</v>
      </c>
      <c r="L1725" t="s">
        <v>2917</v>
      </c>
      <c r="M1725">
        <v>2503.79</v>
      </c>
      <c r="N1725" t="s">
        <v>2918</v>
      </c>
      <c r="O1725" t="s">
        <v>11986</v>
      </c>
      <c r="P1725" t="s">
        <v>11993</v>
      </c>
      <c r="Q1725" t="s">
        <v>2924</v>
      </c>
      <c r="R1725" t="s">
        <v>3219</v>
      </c>
      <c r="S1725" t="s">
        <v>11994</v>
      </c>
      <c r="T1725" t="s">
        <v>2208</v>
      </c>
    </row>
    <row r="1726" spans="1:20">
      <c r="A1726" t="s">
        <v>2412</v>
      </c>
      <c r="B1726" t="s">
        <v>11331</v>
      </c>
      <c r="C1726">
        <v>45748</v>
      </c>
      <c r="D1726" t="s">
        <v>7263</v>
      </c>
      <c r="E1726" t="s">
        <v>11332</v>
      </c>
      <c r="F1726">
        <v>45750</v>
      </c>
      <c r="G1726" t="s">
        <v>11951</v>
      </c>
      <c r="H1726" t="s">
        <v>2916</v>
      </c>
      <c r="I1726" t="s">
        <v>11985</v>
      </c>
      <c r="J1726">
        <v>20</v>
      </c>
      <c r="K1726">
        <v>803.79</v>
      </c>
      <c r="L1726" t="s">
        <v>2917</v>
      </c>
      <c r="M1726">
        <v>4628.78</v>
      </c>
      <c r="N1726" t="s">
        <v>2918</v>
      </c>
      <c r="O1726" t="s">
        <v>11986</v>
      </c>
      <c r="P1726" t="s">
        <v>11995</v>
      </c>
      <c r="Q1726" t="s">
        <v>2924</v>
      </c>
      <c r="R1726" t="s">
        <v>3219</v>
      </c>
      <c r="S1726" t="s">
        <v>11996</v>
      </c>
      <c r="T1726" t="s">
        <v>11995</v>
      </c>
    </row>
    <row r="1727" spans="1:20">
      <c r="A1727" t="s">
        <v>2412</v>
      </c>
      <c r="B1727" t="s">
        <v>11331</v>
      </c>
      <c r="C1727">
        <v>45748</v>
      </c>
      <c r="D1727" t="s">
        <v>7263</v>
      </c>
      <c r="E1727" t="s">
        <v>11332</v>
      </c>
      <c r="F1727">
        <v>45750</v>
      </c>
      <c r="G1727" t="s">
        <v>11951</v>
      </c>
      <c r="H1727" t="s">
        <v>2916</v>
      </c>
      <c r="I1727" t="s">
        <v>11985</v>
      </c>
      <c r="J1727">
        <v>2</v>
      </c>
      <c r="K1727">
        <v>864.08</v>
      </c>
      <c r="L1727" t="s">
        <v>2917</v>
      </c>
      <c r="M1727">
        <v>4976</v>
      </c>
      <c r="N1727" t="s">
        <v>2918</v>
      </c>
      <c r="O1727" t="s">
        <v>11986</v>
      </c>
      <c r="P1727" t="s">
        <v>11997</v>
      </c>
      <c r="Q1727" t="s">
        <v>2924</v>
      </c>
      <c r="R1727" t="s">
        <v>3219</v>
      </c>
      <c r="S1727" t="s">
        <v>11998</v>
      </c>
      <c r="T1727" t="s">
        <v>2208</v>
      </c>
    </row>
    <row r="1728" spans="1:20">
      <c r="A1728" t="s">
        <v>2412</v>
      </c>
      <c r="B1728" t="s">
        <v>11331</v>
      </c>
      <c r="C1728">
        <v>45748</v>
      </c>
      <c r="D1728" t="s">
        <v>7263</v>
      </c>
      <c r="E1728" t="s">
        <v>11332</v>
      </c>
      <c r="F1728">
        <v>45750</v>
      </c>
      <c r="G1728" t="s">
        <v>11951</v>
      </c>
      <c r="H1728" t="s">
        <v>2916</v>
      </c>
      <c r="I1728" t="s">
        <v>11985</v>
      </c>
      <c r="J1728">
        <v>20</v>
      </c>
      <c r="K1728">
        <v>727.07</v>
      </c>
      <c r="L1728" t="s">
        <v>2917</v>
      </c>
      <c r="M1728">
        <v>4187</v>
      </c>
      <c r="N1728" t="s">
        <v>2918</v>
      </c>
      <c r="O1728" t="s">
        <v>11986</v>
      </c>
      <c r="P1728" t="s">
        <v>11999</v>
      </c>
      <c r="Q1728" t="s">
        <v>2924</v>
      </c>
      <c r="R1728" t="s">
        <v>3219</v>
      </c>
      <c r="S1728" t="s">
        <v>12000</v>
      </c>
      <c r="T1728" t="s">
        <v>2208</v>
      </c>
    </row>
    <row r="1729" spans="1:20">
      <c r="A1729" t="s">
        <v>2412</v>
      </c>
      <c r="B1729" t="s">
        <v>11331</v>
      </c>
      <c r="C1729">
        <v>45748</v>
      </c>
      <c r="D1729" t="s">
        <v>7263</v>
      </c>
      <c r="E1729" t="s">
        <v>11332</v>
      </c>
      <c r="F1729">
        <v>45750</v>
      </c>
      <c r="G1729" t="s">
        <v>11951</v>
      </c>
      <c r="H1729" t="s">
        <v>2916</v>
      </c>
      <c r="I1729" t="s">
        <v>11985</v>
      </c>
      <c r="J1729">
        <v>2</v>
      </c>
      <c r="K1729">
        <v>1388.91</v>
      </c>
      <c r="L1729" t="s">
        <v>2917</v>
      </c>
      <c r="M1729">
        <v>7998.34</v>
      </c>
      <c r="N1729" t="s">
        <v>2918</v>
      </c>
      <c r="O1729" t="s">
        <v>11986</v>
      </c>
      <c r="P1729" t="s">
        <v>12001</v>
      </c>
      <c r="Q1729" t="s">
        <v>2924</v>
      </c>
      <c r="R1729" t="s">
        <v>3219</v>
      </c>
      <c r="S1729" t="s">
        <v>12002</v>
      </c>
      <c r="T1729" t="s">
        <v>12003</v>
      </c>
    </row>
    <row r="1730" spans="1:20">
      <c r="A1730" t="s">
        <v>2412</v>
      </c>
      <c r="B1730" t="s">
        <v>11331</v>
      </c>
      <c r="C1730">
        <v>45748</v>
      </c>
      <c r="D1730" t="s">
        <v>7263</v>
      </c>
      <c r="E1730" t="s">
        <v>11332</v>
      </c>
      <c r="F1730">
        <v>45750</v>
      </c>
      <c r="G1730" t="s">
        <v>11951</v>
      </c>
      <c r="H1730" t="s">
        <v>2916</v>
      </c>
      <c r="I1730" t="s">
        <v>11985</v>
      </c>
      <c r="J1730">
        <v>20</v>
      </c>
      <c r="K1730">
        <v>803.79</v>
      </c>
      <c r="L1730" t="s">
        <v>2917</v>
      </c>
      <c r="M1730">
        <v>4628.8</v>
      </c>
      <c r="N1730" t="s">
        <v>2918</v>
      </c>
      <c r="O1730" t="s">
        <v>11986</v>
      </c>
      <c r="P1730" t="s">
        <v>12004</v>
      </c>
      <c r="Q1730" t="s">
        <v>2924</v>
      </c>
      <c r="R1730" t="s">
        <v>3219</v>
      </c>
      <c r="S1730" t="s">
        <v>12005</v>
      </c>
      <c r="T1730" t="s">
        <v>12004</v>
      </c>
    </row>
    <row r="1731" spans="1:20">
      <c r="A1731" t="s">
        <v>2412</v>
      </c>
      <c r="B1731" t="s">
        <v>11331</v>
      </c>
      <c r="C1731">
        <v>45748</v>
      </c>
      <c r="D1731" t="s">
        <v>7263</v>
      </c>
      <c r="E1731" t="s">
        <v>11332</v>
      </c>
      <c r="F1731">
        <v>45750</v>
      </c>
      <c r="G1731" t="s">
        <v>11951</v>
      </c>
      <c r="H1731" t="s">
        <v>2916</v>
      </c>
      <c r="I1731" t="s">
        <v>11985</v>
      </c>
      <c r="J1731">
        <v>2</v>
      </c>
      <c r="K1731">
        <v>1388.91</v>
      </c>
      <c r="L1731" t="s">
        <v>2917</v>
      </c>
      <c r="M1731">
        <v>7998.34</v>
      </c>
      <c r="N1731" t="s">
        <v>2918</v>
      </c>
      <c r="O1731" t="s">
        <v>11986</v>
      </c>
      <c r="P1731" t="s">
        <v>12006</v>
      </c>
      <c r="Q1731" t="s">
        <v>2924</v>
      </c>
      <c r="R1731" t="s">
        <v>3219</v>
      </c>
      <c r="S1731" t="s">
        <v>12007</v>
      </c>
      <c r="T1731" t="s">
        <v>12008</v>
      </c>
    </row>
    <row r="1732" spans="1:20">
      <c r="A1732" t="s">
        <v>2412</v>
      </c>
      <c r="B1732" t="s">
        <v>11331</v>
      </c>
      <c r="C1732">
        <v>45748</v>
      </c>
      <c r="D1732" t="s">
        <v>7263</v>
      </c>
      <c r="E1732" t="s">
        <v>11332</v>
      </c>
      <c r="F1732">
        <v>45750</v>
      </c>
      <c r="G1732" t="s">
        <v>11951</v>
      </c>
      <c r="H1732" t="s">
        <v>2916</v>
      </c>
      <c r="I1732" t="s">
        <v>11985</v>
      </c>
      <c r="J1732">
        <v>5</v>
      </c>
      <c r="K1732">
        <v>911.58</v>
      </c>
      <c r="L1732" t="s">
        <v>2917</v>
      </c>
      <c r="M1732">
        <v>5249.5</v>
      </c>
      <c r="N1732" t="s">
        <v>2918</v>
      </c>
      <c r="O1732" t="s">
        <v>11986</v>
      </c>
      <c r="P1732" t="s">
        <v>12009</v>
      </c>
      <c r="Q1732" t="s">
        <v>2924</v>
      </c>
      <c r="R1732" t="s">
        <v>3219</v>
      </c>
      <c r="S1732" t="s">
        <v>12010</v>
      </c>
      <c r="T1732" t="s">
        <v>12011</v>
      </c>
    </row>
    <row r="1733" spans="1:20">
      <c r="A1733" t="s">
        <v>2412</v>
      </c>
      <c r="B1733" t="s">
        <v>11331</v>
      </c>
      <c r="C1733">
        <v>45748</v>
      </c>
      <c r="D1733" t="s">
        <v>7263</v>
      </c>
      <c r="E1733" t="s">
        <v>11332</v>
      </c>
      <c r="F1733">
        <v>45750</v>
      </c>
      <c r="G1733" t="s">
        <v>11951</v>
      </c>
      <c r="H1733" t="s">
        <v>2916</v>
      </c>
      <c r="I1733" t="s">
        <v>12012</v>
      </c>
      <c r="J1733">
        <v>0</v>
      </c>
      <c r="K1733">
        <v>-208.66</v>
      </c>
      <c r="L1733" t="s">
        <v>2917</v>
      </c>
      <c r="M1733">
        <v>-1201.5899999999999</v>
      </c>
      <c r="N1733" t="s">
        <v>2918</v>
      </c>
      <c r="O1733" t="s">
        <v>12013</v>
      </c>
      <c r="P1733" t="s">
        <v>11987</v>
      </c>
      <c r="Q1733" t="s">
        <v>2924</v>
      </c>
      <c r="R1733" t="s">
        <v>3219</v>
      </c>
      <c r="S1733" t="s">
        <v>11988</v>
      </c>
      <c r="T1733" t="s">
        <v>11989</v>
      </c>
    </row>
    <row r="1734" spans="1:20">
      <c r="A1734" t="s">
        <v>2412</v>
      </c>
      <c r="B1734" t="s">
        <v>11331</v>
      </c>
      <c r="C1734">
        <v>45748</v>
      </c>
      <c r="D1734" t="s">
        <v>7263</v>
      </c>
      <c r="E1734" t="s">
        <v>11332</v>
      </c>
      <c r="F1734">
        <v>45750</v>
      </c>
      <c r="G1734" t="s">
        <v>11951</v>
      </c>
      <c r="H1734" t="s">
        <v>2916</v>
      </c>
      <c r="I1734" t="s">
        <v>12012</v>
      </c>
      <c r="J1734">
        <v>0</v>
      </c>
      <c r="K1734">
        <v>-111.24</v>
      </c>
      <c r="L1734" t="s">
        <v>2917</v>
      </c>
      <c r="M1734">
        <v>-640.62</v>
      </c>
      <c r="N1734" t="s">
        <v>2918</v>
      </c>
      <c r="O1734" t="s">
        <v>12013</v>
      </c>
      <c r="P1734" t="s">
        <v>11990</v>
      </c>
      <c r="Q1734" t="s">
        <v>2924</v>
      </c>
      <c r="R1734" t="s">
        <v>3219</v>
      </c>
      <c r="S1734" t="s">
        <v>11991</v>
      </c>
      <c r="T1734" t="s">
        <v>11992</v>
      </c>
    </row>
    <row r="1735" spans="1:20">
      <c r="A1735" t="s">
        <v>2412</v>
      </c>
      <c r="B1735" t="s">
        <v>11331</v>
      </c>
      <c r="C1735">
        <v>45748</v>
      </c>
      <c r="D1735" t="s">
        <v>7263</v>
      </c>
      <c r="E1735" t="s">
        <v>11332</v>
      </c>
      <c r="F1735">
        <v>45750</v>
      </c>
      <c r="G1735" t="s">
        <v>11951</v>
      </c>
      <c r="H1735" t="s">
        <v>2916</v>
      </c>
      <c r="I1735" t="s">
        <v>12012</v>
      </c>
      <c r="J1735">
        <v>0</v>
      </c>
      <c r="K1735">
        <v>-111.24</v>
      </c>
      <c r="L1735" t="s">
        <v>2917</v>
      </c>
      <c r="M1735">
        <v>-640.62</v>
      </c>
      <c r="N1735" t="s">
        <v>2918</v>
      </c>
      <c r="O1735" t="s">
        <v>12013</v>
      </c>
      <c r="P1735" t="s">
        <v>11993</v>
      </c>
      <c r="Q1735" t="s">
        <v>2924</v>
      </c>
      <c r="R1735" t="s">
        <v>3219</v>
      </c>
      <c r="S1735" t="s">
        <v>11994</v>
      </c>
      <c r="T1735" t="s">
        <v>2208</v>
      </c>
    </row>
    <row r="1736" spans="1:20">
      <c r="A1736" t="s">
        <v>2412</v>
      </c>
      <c r="B1736" t="s">
        <v>11331</v>
      </c>
      <c r="C1736">
        <v>45748</v>
      </c>
      <c r="D1736" t="s">
        <v>7263</v>
      </c>
      <c r="E1736" t="s">
        <v>11332</v>
      </c>
      <c r="F1736">
        <v>45750</v>
      </c>
      <c r="G1736" t="s">
        <v>11951</v>
      </c>
      <c r="H1736" t="s">
        <v>2916</v>
      </c>
      <c r="I1736" t="s">
        <v>12012</v>
      </c>
      <c r="J1736">
        <v>0</v>
      </c>
      <c r="K1736">
        <v>-205.65</v>
      </c>
      <c r="L1736" t="s">
        <v>2917</v>
      </c>
      <c r="M1736">
        <v>-1184.26</v>
      </c>
      <c r="N1736" t="s">
        <v>2918</v>
      </c>
      <c r="O1736" t="s">
        <v>12013</v>
      </c>
      <c r="P1736" t="s">
        <v>11995</v>
      </c>
      <c r="Q1736" t="s">
        <v>2924</v>
      </c>
      <c r="R1736" t="s">
        <v>3219</v>
      </c>
      <c r="S1736" t="s">
        <v>11996</v>
      </c>
      <c r="T1736" t="s">
        <v>11995</v>
      </c>
    </row>
    <row r="1737" spans="1:20">
      <c r="A1737" t="s">
        <v>2412</v>
      </c>
      <c r="B1737" t="s">
        <v>11331</v>
      </c>
      <c r="C1737">
        <v>45748</v>
      </c>
      <c r="D1737" t="s">
        <v>7263</v>
      </c>
      <c r="E1737" t="s">
        <v>11332</v>
      </c>
      <c r="F1737">
        <v>45750</v>
      </c>
      <c r="G1737" t="s">
        <v>11951</v>
      </c>
      <c r="H1737" t="s">
        <v>2916</v>
      </c>
      <c r="I1737" t="s">
        <v>12012</v>
      </c>
      <c r="J1737">
        <v>0</v>
      </c>
      <c r="K1737">
        <v>-174.02</v>
      </c>
      <c r="L1737" t="s">
        <v>2917</v>
      </c>
      <c r="M1737">
        <v>-1002.16</v>
      </c>
      <c r="N1737" t="s">
        <v>2918</v>
      </c>
      <c r="O1737" t="s">
        <v>12013</v>
      </c>
      <c r="P1737" t="s">
        <v>11997</v>
      </c>
      <c r="Q1737" t="s">
        <v>2924</v>
      </c>
      <c r="R1737" t="s">
        <v>3219</v>
      </c>
      <c r="S1737" t="s">
        <v>11998</v>
      </c>
      <c r="T1737" t="s">
        <v>2208</v>
      </c>
    </row>
    <row r="1738" spans="1:20">
      <c r="A1738" t="s">
        <v>2412</v>
      </c>
      <c r="B1738" t="s">
        <v>11331</v>
      </c>
      <c r="C1738">
        <v>45748</v>
      </c>
      <c r="D1738" t="s">
        <v>7263</v>
      </c>
      <c r="E1738" t="s">
        <v>11332</v>
      </c>
      <c r="F1738">
        <v>45750</v>
      </c>
      <c r="G1738" t="s">
        <v>11951</v>
      </c>
      <c r="H1738" t="s">
        <v>2916</v>
      </c>
      <c r="I1738" t="s">
        <v>12012</v>
      </c>
      <c r="J1738">
        <v>0</v>
      </c>
      <c r="K1738">
        <v>-186.02</v>
      </c>
      <c r="L1738" t="s">
        <v>2917</v>
      </c>
      <c r="M1738">
        <v>-1071.27</v>
      </c>
      <c r="N1738" t="s">
        <v>2918</v>
      </c>
      <c r="O1738" t="s">
        <v>12013</v>
      </c>
      <c r="P1738" t="s">
        <v>11999</v>
      </c>
      <c r="Q1738" t="s">
        <v>2924</v>
      </c>
      <c r="R1738" t="s">
        <v>3219</v>
      </c>
      <c r="S1738" t="s">
        <v>12000</v>
      </c>
      <c r="T1738" t="s">
        <v>2208</v>
      </c>
    </row>
    <row r="1739" spans="1:20">
      <c r="A1739" t="s">
        <v>2412</v>
      </c>
      <c r="B1739" t="s">
        <v>11331</v>
      </c>
      <c r="C1739">
        <v>45748</v>
      </c>
      <c r="D1739" t="s">
        <v>7263</v>
      </c>
      <c r="E1739" t="s">
        <v>11332</v>
      </c>
      <c r="F1739">
        <v>45750</v>
      </c>
      <c r="G1739" t="s">
        <v>11951</v>
      </c>
      <c r="H1739" t="s">
        <v>2916</v>
      </c>
      <c r="I1739" t="s">
        <v>12012</v>
      </c>
      <c r="J1739">
        <v>0</v>
      </c>
      <c r="K1739">
        <v>-279.72000000000003</v>
      </c>
      <c r="L1739" t="s">
        <v>2917</v>
      </c>
      <c r="M1739">
        <v>-1610.85</v>
      </c>
      <c r="N1739" t="s">
        <v>2918</v>
      </c>
      <c r="O1739" t="s">
        <v>12013</v>
      </c>
      <c r="P1739" t="s">
        <v>12001</v>
      </c>
      <c r="Q1739" t="s">
        <v>2924</v>
      </c>
      <c r="R1739" t="s">
        <v>3219</v>
      </c>
      <c r="S1739" t="s">
        <v>12002</v>
      </c>
      <c r="T1739" t="s">
        <v>12003</v>
      </c>
    </row>
    <row r="1740" spans="1:20">
      <c r="A1740" t="s">
        <v>2412</v>
      </c>
      <c r="B1740" t="s">
        <v>11331</v>
      </c>
      <c r="C1740">
        <v>45748</v>
      </c>
      <c r="D1740" t="s">
        <v>7263</v>
      </c>
      <c r="E1740" t="s">
        <v>11332</v>
      </c>
      <c r="F1740">
        <v>45750</v>
      </c>
      <c r="G1740" t="s">
        <v>11951</v>
      </c>
      <c r="H1740" t="s">
        <v>2916</v>
      </c>
      <c r="I1740" t="s">
        <v>12012</v>
      </c>
      <c r="J1740">
        <v>0</v>
      </c>
      <c r="K1740">
        <v>-205.65</v>
      </c>
      <c r="L1740" t="s">
        <v>2917</v>
      </c>
      <c r="M1740">
        <v>-1184.28</v>
      </c>
      <c r="N1740" t="s">
        <v>2918</v>
      </c>
      <c r="O1740" t="s">
        <v>12013</v>
      </c>
      <c r="P1740" t="s">
        <v>12004</v>
      </c>
      <c r="Q1740" t="s">
        <v>2924</v>
      </c>
      <c r="R1740" t="s">
        <v>3219</v>
      </c>
      <c r="S1740" t="s">
        <v>12005</v>
      </c>
      <c r="T1740" t="s">
        <v>12004</v>
      </c>
    </row>
    <row r="1741" spans="1:20">
      <c r="A1741" t="s">
        <v>2412</v>
      </c>
      <c r="B1741" t="s">
        <v>11331</v>
      </c>
      <c r="C1741">
        <v>45748</v>
      </c>
      <c r="D1741" t="s">
        <v>7263</v>
      </c>
      <c r="E1741" t="s">
        <v>11332</v>
      </c>
      <c r="F1741">
        <v>45750</v>
      </c>
      <c r="G1741" t="s">
        <v>11951</v>
      </c>
      <c r="H1741" t="s">
        <v>2916</v>
      </c>
      <c r="I1741" t="s">
        <v>12012</v>
      </c>
      <c r="J1741">
        <v>0</v>
      </c>
      <c r="K1741">
        <v>-279.72000000000003</v>
      </c>
      <c r="L1741" t="s">
        <v>2917</v>
      </c>
      <c r="M1741">
        <v>-1610.85</v>
      </c>
      <c r="N1741" t="s">
        <v>2918</v>
      </c>
      <c r="O1741" t="s">
        <v>12013</v>
      </c>
      <c r="P1741" t="s">
        <v>12006</v>
      </c>
      <c r="Q1741" t="s">
        <v>2924</v>
      </c>
      <c r="R1741" t="s">
        <v>3219</v>
      </c>
      <c r="S1741" t="s">
        <v>12007</v>
      </c>
      <c r="T1741" t="s">
        <v>12008</v>
      </c>
    </row>
    <row r="1742" spans="1:20">
      <c r="A1742" t="s">
        <v>2412</v>
      </c>
      <c r="B1742" t="s">
        <v>11331</v>
      </c>
      <c r="C1742">
        <v>45748</v>
      </c>
      <c r="D1742" t="s">
        <v>7263</v>
      </c>
      <c r="E1742" t="s">
        <v>11332</v>
      </c>
      <c r="F1742">
        <v>45750</v>
      </c>
      <c r="G1742" t="s">
        <v>11951</v>
      </c>
      <c r="H1742" t="s">
        <v>2916</v>
      </c>
      <c r="I1742" t="s">
        <v>12012</v>
      </c>
      <c r="J1742">
        <v>0</v>
      </c>
      <c r="K1742">
        <v>-233.24</v>
      </c>
      <c r="L1742" t="s">
        <v>2917</v>
      </c>
      <c r="M1742">
        <v>-1343.11</v>
      </c>
      <c r="N1742" t="s">
        <v>2918</v>
      </c>
      <c r="O1742" t="s">
        <v>12013</v>
      </c>
      <c r="P1742" t="s">
        <v>12009</v>
      </c>
      <c r="Q1742" t="s">
        <v>2924</v>
      </c>
      <c r="R1742" t="s">
        <v>3219</v>
      </c>
      <c r="S1742" t="s">
        <v>12010</v>
      </c>
      <c r="T1742" t="s">
        <v>12011</v>
      </c>
    </row>
    <row r="1743" spans="1:20">
      <c r="A1743" t="s">
        <v>2412</v>
      </c>
      <c r="B1743" t="s">
        <v>11331</v>
      </c>
      <c r="C1743">
        <v>45748</v>
      </c>
      <c r="D1743" t="s">
        <v>7263</v>
      </c>
      <c r="E1743" t="s">
        <v>11332</v>
      </c>
      <c r="F1743">
        <v>45750</v>
      </c>
      <c r="G1743" t="s">
        <v>11951</v>
      </c>
      <c r="H1743" t="s">
        <v>2916</v>
      </c>
      <c r="I1743" t="s">
        <v>12014</v>
      </c>
      <c r="J1743">
        <v>1</v>
      </c>
      <c r="K1743">
        <v>161</v>
      </c>
      <c r="L1743" t="s">
        <v>2917</v>
      </c>
      <c r="M1743">
        <v>927.18</v>
      </c>
      <c r="N1743" t="s">
        <v>2918</v>
      </c>
      <c r="O1743" t="s">
        <v>12015</v>
      </c>
      <c r="P1743" t="s">
        <v>12016</v>
      </c>
      <c r="Q1743" t="s">
        <v>2924</v>
      </c>
      <c r="R1743" t="s">
        <v>3219</v>
      </c>
      <c r="S1743" t="s">
        <v>12017</v>
      </c>
      <c r="T1743" t="s">
        <v>12018</v>
      </c>
    </row>
    <row r="1744" spans="1:20">
      <c r="A1744" t="s">
        <v>2412</v>
      </c>
      <c r="B1744" t="s">
        <v>11331</v>
      </c>
      <c r="C1744">
        <v>45748</v>
      </c>
      <c r="D1744" t="s">
        <v>7263</v>
      </c>
      <c r="E1744" t="s">
        <v>11332</v>
      </c>
      <c r="F1744">
        <v>45750</v>
      </c>
      <c r="G1744" t="s">
        <v>11951</v>
      </c>
      <c r="H1744" t="s">
        <v>2916</v>
      </c>
      <c r="I1744" t="s">
        <v>12014</v>
      </c>
      <c r="J1744">
        <v>1</v>
      </c>
      <c r="K1744">
        <v>161</v>
      </c>
      <c r="L1744" t="s">
        <v>2917</v>
      </c>
      <c r="M1744">
        <v>927.18</v>
      </c>
      <c r="N1744" t="s">
        <v>2918</v>
      </c>
      <c r="O1744" t="s">
        <v>12015</v>
      </c>
      <c r="P1744" t="s">
        <v>12019</v>
      </c>
      <c r="Q1744" t="s">
        <v>2924</v>
      </c>
      <c r="R1744" t="s">
        <v>3219</v>
      </c>
      <c r="S1744" t="s">
        <v>12020</v>
      </c>
      <c r="T1744" t="s">
        <v>12021</v>
      </c>
    </row>
    <row r="1745" spans="1:20">
      <c r="A1745" t="s">
        <v>2412</v>
      </c>
      <c r="B1745" t="s">
        <v>11331</v>
      </c>
      <c r="C1745">
        <v>45748</v>
      </c>
      <c r="D1745" t="s">
        <v>7263</v>
      </c>
      <c r="E1745" t="s">
        <v>11332</v>
      </c>
      <c r="F1745">
        <v>45750</v>
      </c>
      <c r="G1745" t="s">
        <v>11951</v>
      </c>
      <c r="H1745" t="s">
        <v>2916</v>
      </c>
      <c r="I1745" t="s">
        <v>12014</v>
      </c>
      <c r="J1745">
        <v>1</v>
      </c>
      <c r="K1745">
        <v>161</v>
      </c>
      <c r="L1745" t="s">
        <v>2917</v>
      </c>
      <c r="M1745">
        <v>927.18</v>
      </c>
      <c r="N1745" t="s">
        <v>2918</v>
      </c>
      <c r="O1745" t="s">
        <v>12015</v>
      </c>
      <c r="P1745" t="s">
        <v>12019</v>
      </c>
      <c r="Q1745" t="s">
        <v>2924</v>
      </c>
      <c r="R1745" t="s">
        <v>3219</v>
      </c>
      <c r="S1745" t="s">
        <v>12022</v>
      </c>
      <c r="T1745" t="s">
        <v>12021</v>
      </c>
    </row>
    <row r="1746" spans="1:20">
      <c r="A1746" t="s">
        <v>2412</v>
      </c>
      <c r="B1746" t="s">
        <v>11331</v>
      </c>
      <c r="C1746">
        <v>45748</v>
      </c>
      <c r="D1746" t="s">
        <v>7263</v>
      </c>
      <c r="E1746" t="s">
        <v>11332</v>
      </c>
      <c r="F1746">
        <v>45750</v>
      </c>
      <c r="G1746" t="s">
        <v>11951</v>
      </c>
      <c r="H1746" t="s">
        <v>2916</v>
      </c>
      <c r="I1746" t="s">
        <v>12014</v>
      </c>
      <c r="J1746">
        <v>2</v>
      </c>
      <c r="K1746">
        <v>798.79</v>
      </c>
      <c r="L1746" t="s">
        <v>2917</v>
      </c>
      <c r="M1746">
        <v>4600</v>
      </c>
      <c r="N1746" t="s">
        <v>2918</v>
      </c>
      <c r="O1746" t="s">
        <v>12015</v>
      </c>
      <c r="P1746" t="s">
        <v>12023</v>
      </c>
      <c r="Q1746" t="s">
        <v>2924</v>
      </c>
      <c r="R1746" t="s">
        <v>3219</v>
      </c>
      <c r="S1746" t="s">
        <v>12024</v>
      </c>
      <c r="T1746" t="s">
        <v>12025</v>
      </c>
    </row>
    <row r="1747" spans="1:20">
      <c r="A1747" t="s">
        <v>2412</v>
      </c>
      <c r="B1747" t="s">
        <v>11331</v>
      </c>
      <c r="C1747">
        <v>45748</v>
      </c>
      <c r="D1747" t="s">
        <v>7263</v>
      </c>
      <c r="E1747" t="s">
        <v>11332</v>
      </c>
      <c r="F1747">
        <v>45750</v>
      </c>
      <c r="G1747" t="s">
        <v>11951</v>
      </c>
      <c r="H1747" t="s">
        <v>2916</v>
      </c>
      <c r="I1747" t="s">
        <v>12014</v>
      </c>
      <c r="J1747">
        <v>10</v>
      </c>
      <c r="K1747">
        <v>383.63</v>
      </c>
      <c r="L1747" t="s">
        <v>2917</v>
      </c>
      <c r="M1747">
        <v>2209.1999999999998</v>
      </c>
      <c r="N1747" t="s">
        <v>2918</v>
      </c>
      <c r="O1747" t="s">
        <v>12015</v>
      </c>
      <c r="P1747" t="s">
        <v>12026</v>
      </c>
      <c r="Q1747" t="s">
        <v>2924</v>
      </c>
      <c r="R1747" t="s">
        <v>3219</v>
      </c>
      <c r="S1747" t="s">
        <v>12027</v>
      </c>
      <c r="T1747" t="s">
        <v>12028</v>
      </c>
    </row>
    <row r="1748" spans="1:20">
      <c r="A1748" t="s">
        <v>2412</v>
      </c>
      <c r="B1748" t="s">
        <v>11331</v>
      </c>
      <c r="C1748">
        <v>45748</v>
      </c>
      <c r="D1748" t="s">
        <v>7263</v>
      </c>
      <c r="E1748" t="s">
        <v>11332</v>
      </c>
      <c r="F1748">
        <v>45750</v>
      </c>
      <c r="G1748" t="s">
        <v>11951</v>
      </c>
      <c r="H1748" t="s">
        <v>2916</v>
      </c>
      <c r="I1748" t="s">
        <v>12014</v>
      </c>
      <c r="J1748">
        <v>20</v>
      </c>
      <c r="K1748">
        <v>288.64</v>
      </c>
      <c r="L1748" t="s">
        <v>2917</v>
      </c>
      <c r="M1748">
        <v>1662.2</v>
      </c>
      <c r="N1748" t="s">
        <v>2918</v>
      </c>
      <c r="O1748" t="s">
        <v>12015</v>
      </c>
      <c r="P1748" t="s">
        <v>12029</v>
      </c>
      <c r="Q1748" t="s">
        <v>2924</v>
      </c>
      <c r="R1748" t="s">
        <v>3219</v>
      </c>
      <c r="S1748" t="s">
        <v>12030</v>
      </c>
      <c r="T1748" t="s">
        <v>12031</v>
      </c>
    </row>
    <row r="1749" spans="1:20">
      <c r="A1749" t="s">
        <v>2412</v>
      </c>
      <c r="B1749" t="s">
        <v>11331</v>
      </c>
      <c r="C1749">
        <v>45748</v>
      </c>
      <c r="D1749" t="s">
        <v>7263</v>
      </c>
      <c r="E1749" t="s">
        <v>11332</v>
      </c>
      <c r="F1749">
        <v>45750</v>
      </c>
      <c r="G1749" t="s">
        <v>11951</v>
      </c>
      <c r="H1749" t="s">
        <v>2916</v>
      </c>
      <c r="I1749" t="s">
        <v>12014</v>
      </c>
      <c r="J1749">
        <v>1</v>
      </c>
      <c r="K1749">
        <v>178.42</v>
      </c>
      <c r="L1749" t="s">
        <v>2917</v>
      </c>
      <c r="M1749">
        <v>1027.49</v>
      </c>
      <c r="N1749" t="s">
        <v>2918</v>
      </c>
      <c r="O1749" t="s">
        <v>12015</v>
      </c>
      <c r="P1749" t="s">
        <v>12032</v>
      </c>
      <c r="Q1749" t="s">
        <v>2924</v>
      </c>
      <c r="R1749" t="s">
        <v>3219</v>
      </c>
      <c r="S1749" t="s">
        <v>12033</v>
      </c>
      <c r="T1749" t="s">
        <v>12034</v>
      </c>
    </row>
    <row r="1750" spans="1:20">
      <c r="A1750" t="s">
        <v>2412</v>
      </c>
      <c r="B1750" t="s">
        <v>11331</v>
      </c>
      <c r="C1750">
        <v>45748</v>
      </c>
      <c r="D1750" t="s">
        <v>7263</v>
      </c>
      <c r="E1750" t="s">
        <v>11332</v>
      </c>
      <c r="F1750">
        <v>45750</v>
      </c>
      <c r="G1750" t="s">
        <v>11951</v>
      </c>
      <c r="H1750" t="s">
        <v>2916</v>
      </c>
      <c r="I1750" t="s">
        <v>12014</v>
      </c>
      <c r="J1750">
        <v>1</v>
      </c>
      <c r="K1750">
        <v>538.32000000000005</v>
      </c>
      <c r="L1750" t="s">
        <v>2917</v>
      </c>
      <c r="M1750">
        <v>3100</v>
      </c>
      <c r="N1750" t="s">
        <v>2918</v>
      </c>
      <c r="O1750" t="s">
        <v>12015</v>
      </c>
      <c r="P1750" t="s">
        <v>12035</v>
      </c>
      <c r="Q1750" t="s">
        <v>2924</v>
      </c>
      <c r="R1750" t="s">
        <v>3219</v>
      </c>
      <c r="S1750" t="s">
        <v>12036</v>
      </c>
      <c r="T1750" t="s">
        <v>12037</v>
      </c>
    </row>
    <row r="1751" spans="1:20">
      <c r="A1751" t="s">
        <v>2412</v>
      </c>
      <c r="B1751" t="s">
        <v>11331</v>
      </c>
      <c r="C1751">
        <v>45748</v>
      </c>
      <c r="D1751" t="s">
        <v>7263</v>
      </c>
      <c r="E1751" t="s">
        <v>11332</v>
      </c>
      <c r="F1751">
        <v>45750</v>
      </c>
      <c r="G1751" t="s">
        <v>11951</v>
      </c>
      <c r="H1751" t="s">
        <v>2916</v>
      </c>
      <c r="I1751" t="s">
        <v>12014</v>
      </c>
      <c r="J1751">
        <v>1</v>
      </c>
      <c r="K1751">
        <v>178.42</v>
      </c>
      <c r="L1751" t="s">
        <v>2917</v>
      </c>
      <c r="M1751">
        <v>1027.49</v>
      </c>
      <c r="N1751" t="s">
        <v>2918</v>
      </c>
      <c r="O1751" t="s">
        <v>12015</v>
      </c>
      <c r="P1751" t="s">
        <v>12038</v>
      </c>
      <c r="Q1751" t="s">
        <v>2924</v>
      </c>
      <c r="R1751" t="s">
        <v>3219</v>
      </c>
      <c r="S1751" t="s">
        <v>12039</v>
      </c>
      <c r="T1751" t="s">
        <v>12040</v>
      </c>
    </row>
    <row r="1752" spans="1:20">
      <c r="A1752" t="s">
        <v>2412</v>
      </c>
      <c r="B1752" t="s">
        <v>11331</v>
      </c>
      <c r="C1752">
        <v>45748</v>
      </c>
      <c r="D1752" t="s">
        <v>7263</v>
      </c>
      <c r="E1752" t="s">
        <v>11332</v>
      </c>
      <c r="F1752">
        <v>45750</v>
      </c>
      <c r="G1752" t="s">
        <v>11951</v>
      </c>
      <c r="H1752" t="s">
        <v>2916</v>
      </c>
      <c r="I1752" t="s">
        <v>12014</v>
      </c>
      <c r="J1752">
        <v>1</v>
      </c>
      <c r="K1752">
        <v>538.32000000000005</v>
      </c>
      <c r="L1752" t="s">
        <v>2917</v>
      </c>
      <c r="M1752">
        <v>3100</v>
      </c>
      <c r="N1752" t="s">
        <v>2918</v>
      </c>
      <c r="O1752" t="s">
        <v>12015</v>
      </c>
      <c r="P1752" t="s">
        <v>12041</v>
      </c>
      <c r="Q1752" t="s">
        <v>2924</v>
      </c>
      <c r="R1752" t="s">
        <v>3219</v>
      </c>
      <c r="S1752" t="s">
        <v>12042</v>
      </c>
      <c r="T1752" t="s">
        <v>12043</v>
      </c>
    </row>
    <row r="1753" spans="1:20">
      <c r="A1753" t="s">
        <v>2412</v>
      </c>
      <c r="B1753" t="s">
        <v>11331</v>
      </c>
      <c r="C1753">
        <v>45748</v>
      </c>
      <c r="D1753" t="s">
        <v>7263</v>
      </c>
      <c r="E1753" t="s">
        <v>11332</v>
      </c>
      <c r="F1753">
        <v>45750</v>
      </c>
      <c r="G1753" t="s">
        <v>11951</v>
      </c>
      <c r="H1753" t="s">
        <v>2916</v>
      </c>
      <c r="I1753" t="s">
        <v>12044</v>
      </c>
      <c r="J1753">
        <v>0</v>
      </c>
      <c r="K1753">
        <v>-32.42</v>
      </c>
      <c r="L1753" t="s">
        <v>2917</v>
      </c>
      <c r="M1753">
        <v>-186.73</v>
      </c>
      <c r="N1753" t="s">
        <v>2918</v>
      </c>
      <c r="O1753" t="s">
        <v>12045</v>
      </c>
      <c r="P1753" t="s">
        <v>12016</v>
      </c>
      <c r="Q1753" t="s">
        <v>2924</v>
      </c>
      <c r="R1753" t="s">
        <v>3219</v>
      </c>
      <c r="S1753" t="s">
        <v>12017</v>
      </c>
      <c r="T1753" t="s">
        <v>12018</v>
      </c>
    </row>
    <row r="1754" spans="1:20">
      <c r="A1754" t="s">
        <v>2412</v>
      </c>
      <c r="B1754" t="s">
        <v>11331</v>
      </c>
      <c r="C1754">
        <v>45748</v>
      </c>
      <c r="D1754" t="s">
        <v>7263</v>
      </c>
      <c r="E1754" t="s">
        <v>11332</v>
      </c>
      <c r="F1754">
        <v>45750</v>
      </c>
      <c r="G1754" t="s">
        <v>11951</v>
      </c>
      <c r="H1754" t="s">
        <v>2916</v>
      </c>
      <c r="I1754" t="s">
        <v>12044</v>
      </c>
      <c r="J1754">
        <v>0</v>
      </c>
      <c r="K1754">
        <v>-32.42</v>
      </c>
      <c r="L1754" t="s">
        <v>2917</v>
      </c>
      <c r="M1754">
        <v>-186.73</v>
      </c>
      <c r="N1754" t="s">
        <v>2918</v>
      </c>
      <c r="O1754" t="s">
        <v>12045</v>
      </c>
      <c r="P1754" t="s">
        <v>12019</v>
      </c>
      <c r="Q1754" t="s">
        <v>2924</v>
      </c>
      <c r="R1754" t="s">
        <v>3219</v>
      </c>
      <c r="S1754" t="s">
        <v>12020</v>
      </c>
      <c r="T1754" t="s">
        <v>12021</v>
      </c>
    </row>
    <row r="1755" spans="1:20">
      <c r="A1755" t="s">
        <v>2412</v>
      </c>
      <c r="B1755" t="s">
        <v>11331</v>
      </c>
      <c r="C1755">
        <v>45748</v>
      </c>
      <c r="D1755" t="s">
        <v>7263</v>
      </c>
      <c r="E1755" t="s">
        <v>11332</v>
      </c>
      <c r="F1755">
        <v>45750</v>
      </c>
      <c r="G1755" t="s">
        <v>11951</v>
      </c>
      <c r="H1755" t="s">
        <v>2916</v>
      </c>
      <c r="I1755" t="s">
        <v>12044</v>
      </c>
      <c r="J1755">
        <v>0</v>
      </c>
      <c r="K1755">
        <v>-32.42</v>
      </c>
      <c r="L1755" t="s">
        <v>2917</v>
      </c>
      <c r="M1755">
        <v>-186.73</v>
      </c>
      <c r="N1755" t="s">
        <v>2918</v>
      </c>
      <c r="O1755" t="s">
        <v>12045</v>
      </c>
      <c r="P1755" t="s">
        <v>12019</v>
      </c>
      <c r="Q1755" t="s">
        <v>2924</v>
      </c>
      <c r="R1755" t="s">
        <v>3219</v>
      </c>
      <c r="S1755" t="s">
        <v>12022</v>
      </c>
      <c r="T1755" t="s">
        <v>12021</v>
      </c>
    </row>
    <row r="1756" spans="1:20">
      <c r="A1756" t="s">
        <v>2412</v>
      </c>
      <c r="B1756" t="s">
        <v>11331</v>
      </c>
      <c r="C1756">
        <v>45748</v>
      </c>
      <c r="D1756" t="s">
        <v>7263</v>
      </c>
      <c r="E1756" t="s">
        <v>11332</v>
      </c>
      <c r="F1756">
        <v>45750</v>
      </c>
      <c r="G1756" t="s">
        <v>11951</v>
      </c>
      <c r="H1756" t="s">
        <v>2916</v>
      </c>
      <c r="I1756" t="s">
        <v>12044</v>
      </c>
      <c r="J1756">
        <v>0</v>
      </c>
      <c r="K1756">
        <v>-160.88</v>
      </c>
      <c r="L1756" t="s">
        <v>2917</v>
      </c>
      <c r="M1756">
        <v>-926.44</v>
      </c>
      <c r="N1756" t="s">
        <v>2918</v>
      </c>
      <c r="O1756" t="s">
        <v>12045</v>
      </c>
      <c r="P1756" t="s">
        <v>12023</v>
      </c>
      <c r="Q1756" t="s">
        <v>2924</v>
      </c>
      <c r="R1756" t="s">
        <v>3219</v>
      </c>
      <c r="S1756" t="s">
        <v>12024</v>
      </c>
      <c r="T1756" t="s">
        <v>12025</v>
      </c>
    </row>
    <row r="1757" spans="1:20">
      <c r="A1757" t="s">
        <v>2412</v>
      </c>
      <c r="B1757" t="s">
        <v>11331</v>
      </c>
      <c r="C1757">
        <v>45748</v>
      </c>
      <c r="D1757" t="s">
        <v>7263</v>
      </c>
      <c r="E1757" t="s">
        <v>11332</v>
      </c>
      <c r="F1757">
        <v>45750</v>
      </c>
      <c r="G1757" t="s">
        <v>11951</v>
      </c>
      <c r="H1757" t="s">
        <v>2916</v>
      </c>
      <c r="I1757" t="s">
        <v>12044</v>
      </c>
      <c r="J1757">
        <v>0</v>
      </c>
      <c r="K1757">
        <v>-98.15</v>
      </c>
      <c r="L1757" t="s">
        <v>2917</v>
      </c>
      <c r="M1757">
        <v>-565.23</v>
      </c>
      <c r="N1757" t="s">
        <v>2918</v>
      </c>
      <c r="O1757" t="s">
        <v>12045</v>
      </c>
      <c r="P1757" t="s">
        <v>12026</v>
      </c>
      <c r="Q1757" t="s">
        <v>2924</v>
      </c>
      <c r="R1757" t="s">
        <v>3219</v>
      </c>
      <c r="S1757" t="s">
        <v>12027</v>
      </c>
      <c r="T1757" t="s">
        <v>12028</v>
      </c>
    </row>
    <row r="1758" spans="1:20">
      <c r="A1758" t="s">
        <v>2412</v>
      </c>
      <c r="B1758" t="s">
        <v>11331</v>
      </c>
      <c r="C1758">
        <v>45748</v>
      </c>
      <c r="D1758" t="s">
        <v>7263</v>
      </c>
      <c r="E1758" t="s">
        <v>11332</v>
      </c>
      <c r="F1758">
        <v>45750</v>
      </c>
      <c r="G1758" t="s">
        <v>11951</v>
      </c>
      <c r="H1758" t="s">
        <v>2916</v>
      </c>
      <c r="I1758" t="s">
        <v>12044</v>
      </c>
      <c r="J1758">
        <v>0</v>
      </c>
      <c r="K1758">
        <v>-73.849999999999994</v>
      </c>
      <c r="L1758" t="s">
        <v>2917</v>
      </c>
      <c r="M1758">
        <v>-425.31</v>
      </c>
      <c r="N1758" t="s">
        <v>2918</v>
      </c>
      <c r="O1758" t="s">
        <v>12045</v>
      </c>
      <c r="P1758" t="s">
        <v>12029</v>
      </c>
      <c r="Q1758" t="s">
        <v>2924</v>
      </c>
      <c r="R1758" t="s">
        <v>3219</v>
      </c>
      <c r="S1758" t="s">
        <v>12030</v>
      </c>
      <c r="T1758" t="s">
        <v>12031</v>
      </c>
    </row>
    <row r="1759" spans="1:20">
      <c r="A1759" t="s">
        <v>2412</v>
      </c>
      <c r="B1759" t="s">
        <v>11331</v>
      </c>
      <c r="C1759">
        <v>45748</v>
      </c>
      <c r="D1759" t="s">
        <v>7263</v>
      </c>
      <c r="E1759" t="s">
        <v>11332</v>
      </c>
      <c r="F1759">
        <v>45750</v>
      </c>
      <c r="G1759" t="s">
        <v>11951</v>
      </c>
      <c r="H1759" t="s">
        <v>2916</v>
      </c>
      <c r="I1759" t="s">
        <v>12044</v>
      </c>
      <c r="J1759">
        <v>0</v>
      </c>
      <c r="K1759">
        <v>-35.93</v>
      </c>
      <c r="L1759" t="s">
        <v>2917</v>
      </c>
      <c r="M1759">
        <v>-206.94</v>
      </c>
      <c r="N1759" t="s">
        <v>2918</v>
      </c>
      <c r="O1759" t="s">
        <v>12045</v>
      </c>
      <c r="P1759" t="s">
        <v>12032</v>
      </c>
      <c r="Q1759" t="s">
        <v>2924</v>
      </c>
      <c r="R1759" t="s">
        <v>3219</v>
      </c>
      <c r="S1759" t="s">
        <v>12033</v>
      </c>
      <c r="T1759" t="s">
        <v>12034</v>
      </c>
    </row>
    <row r="1760" spans="1:20">
      <c r="A1760" t="s">
        <v>2412</v>
      </c>
      <c r="B1760" t="s">
        <v>11331</v>
      </c>
      <c r="C1760">
        <v>45748</v>
      </c>
      <c r="D1760" t="s">
        <v>7263</v>
      </c>
      <c r="E1760" t="s">
        <v>11332</v>
      </c>
      <c r="F1760">
        <v>45750</v>
      </c>
      <c r="G1760" t="s">
        <v>11951</v>
      </c>
      <c r="H1760" t="s">
        <v>2916</v>
      </c>
      <c r="I1760" t="s">
        <v>12044</v>
      </c>
      <c r="J1760">
        <v>0</v>
      </c>
      <c r="K1760">
        <v>-108.42</v>
      </c>
      <c r="L1760" t="s">
        <v>2917</v>
      </c>
      <c r="M1760">
        <v>-624.34</v>
      </c>
      <c r="N1760" t="s">
        <v>2918</v>
      </c>
      <c r="O1760" t="s">
        <v>12045</v>
      </c>
      <c r="P1760" t="s">
        <v>12035</v>
      </c>
      <c r="Q1760" t="s">
        <v>2924</v>
      </c>
      <c r="R1760" t="s">
        <v>3219</v>
      </c>
      <c r="S1760" t="s">
        <v>12036</v>
      </c>
      <c r="T1760" t="s">
        <v>12037</v>
      </c>
    </row>
    <row r="1761" spans="1:20">
      <c r="A1761" t="s">
        <v>2412</v>
      </c>
      <c r="B1761" t="s">
        <v>11331</v>
      </c>
      <c r="C1761">
        <v>45748</v>
      </c>
      <c r="D1761" t="s">
        <v>7263</v>
      </c>
      <c r="E1761" t="s">
        <v>11332</v>
      </c>
      <c r="F1761">
        <v>45750</v>
      </c>
      <c r="G1761" t="s">
        <v>11951</v>
      </c>
      <c r="H1761" t="s">
        <v>2916</v>
      </c>
      <c r="I1761" t="s">
        <v>12044</v>
      </c>
      <c r="J1761">
        <v>0</v>
      </c>
      <c r="K1761">
        <v>-35.93</v>
      </c>
      <c r="L1761" t="s">
        <v>2917</v>
      </c>
      <c r="M1761">
        <v>-206.94</v>
      </c>
      <c r="N1761" t="s">
        <v>2918</v>
      </c>
      <c r="O1761" t="s">
        <v>12045</v>
      </c>
      <c r="P1761" t="s">
        <v>12038</v>
      </c>
      <c r="Q1761" t="s">
        <v>2924</v>
      </c>
      <c r="R1761" t="s">
        <v>3219</v>
      </c>
      <c r="S1761" t="s">
        <v>12039</v>
      </c>
      <c r="T1761" t="s">
        <v>12040</v>
      </c>
    </row>
    <row r="1762" spans="1:20">
      <c r="A1762" t="s">
        <v>2412</v>
      </c>
      <c r="B1762" t="s">
        <v>11331</v>
      </c>
      <c r="C1762">
        <v>45748</v>
      </c>
      <c r="D1762" t="s">
        <v>7263</v>
      </c>
      <c r="E1762" t="s">
        <v>11332</v>
      </c>
      <c r="F1762">
        <v>45750</v>
      </c>
      <c r="G1762" t="s">
        <v>11951</v>
      </c>
      <c r="H1762" t="s">
        <v>2916</v>
      </c>
      <c r="I1762" t="s">
        <v>12044</v>
      </c>
      <c r="J1762">
        <v>0</v>
      </c>
      <c r="K1762">
        <v>-108.42</v>
      </c>
      <c r="L1762" t="s">
        <v>2917</v>
      </c>
      <c r="M1762">
        <v>-624.34</v>
      </c>
      <c r="N1762" t="s">
        <v>2918</v>
      </c>
      <c r="O1762" t="s">
        <v>12045</v>
      </c>
      <c r="P1762" t="s">
        <v>12041</v>
      </c>
      <c r="Q1762" t="s">
        <v>2924</v>
      </c>
      <c r="R1762" t="s">
        <v>3219</v>
      </c>
      <c r="S1762" t="s">
        <v>12042</v>
      </c>
      <c r="T1762" t="s">
        <v>12043</v>
      </c>
    </row>
    <row r="1763" spans="1:20">
      <c r="A1763" t="s">
        <v>2412</v>
      </c>
      <c r="B1763" t="s">
        <v>11331</v>
      </c>
      <c r="C1763">
        <v>45750</v>
      </c>
      <c r="D1763" t="s">
        <v>7263</v>
      </c>
      <c r="E1763" t="s">
        <v>11332</v>
      </c>
      <c r="F1763">
        <v>45750</v>
      </c>
      <c r="G1763" t="s">
        <v>11951</v>
      </c>
      <c r="H1763" t="s">
        <v>2916</v>
      </c>
      <c r="I1763" t="s">
        <v>12046</v>
      </c>
      <c r="J1763">
        <v>5</v>
      </c>
      <c r="K1763">
        <v>902.44</v>
      </c>
      <c r="L1763" t="s">
        <v>2917</v>
      </c>
      <c r="M1763">
        <v>5196.8999999999996</v>
      </c>
      <c r="N1763" t="s">
        <v>2918</v>
      </c>
      <c r="O1763" t="s">
        <v>12047</v>
      </c>
      <c r="P1763" t="s">
        <v>12048</v>
      </c>
      <c r="Q1763" t="s">
        <v>2924</v>
      </c>
      <c r="R1763" t="s">
        <v>3219</v>
      </c>
      <c r="S1763" t="s">
        <v>12049</v>
      </c>
      <c r="T1763" t="s">
        <v>12050</v>
      </c>
    </row>
    <row r="1764" spans="1:20">
      <c r="A1764" t="s">
        <v>2412</v>
      </c>
      <c r="B1764" t="s">
        <v>11331</v>
      </c>
      <c r="C1764">
        <v>45750</v>
      </c>
      <c r="D1764" t="s">
        <v>7263</v>
      </c>
      <c r="E1764" t="s">
        <v>11332</v>
      </c>
      <c r="F1764">
        <v>45750</v>
      </c>
      <c r="G1764" t="s">
        <v>11951</v>
      </c>
      <c r="H1764" t="s">
        <v>2916</v>
      </c>
      <c r="I1764" t="s">
        <v>12046</v>
      </c>
      <c r="J1764">
        <v>5</v>
      </c>
      <c r="K1764">
        <v>1187.42</v>
      </c>
      <c r="L1764" t="s">
        <v>2917</v>
      </c>
      <c r="M1764">
        <v>6837.99</v>
      </c>
      <c r="N1764" t="s">
        <v>2918</v>
      </c>
      <c r="O1764" t="s">
        <v>12047</v>
      </c>
      <c r="P1764" t="s">
        <v>12051</v>
      </c>
      <c r="Q1764" t="s">
        <v>2924</v>
      </c>
      <c r="R1764" t="s">
        <v>3219</v>
      </c>
      <c r="S1764" t="s">
        <v>12052</v>
      </c>
      <c r="T1764" t="s">
        <v>2208</v>
      </c>
    </row>
    <row r="1765" spans="1:20">
      <c r="A1765" t="s">
        <v>2412</v>
      </c>
      <c r="B1765" t="s">
        <v>11331</v>
      </c>
      <c r="C1765">
        <v>45750</v>
      </c>
      <c r="D1765" t="s">
        <v>7263</v>
      </c>
      <c r="E1765" t="s">
        <v>11332</v>
      </c>
      <c r="F1765">
        <v>45750</v>
      </c>
      <c r="G1765" t="s">
        <v>11951</v>
      </c>
      <c r="H1765" t="s">
        <v>2916</v>
      </c>
      <c r="I1765" t="s">
        <v>12046</v>
      </c>
      <c r="J1765">
        <v>1</v>
      </c>
      <c r="K1765">
        <v>161</v>
      </c>
      <c r="L1765" t="s">
        <v>2917</v>
      </c>
      <c r="M1765">
        <v>927.18</v>
      </c>
      <c r="N1765" t="s">
        <v>2918</v>
      </c>
      <c r="O1765" t="s">
        <v>12047</v>
      </c>
      <c r="P1765" t="s">
        <v>12053</v>
      </c>
      <c r="Q1765" t="s">
        <v>2924</v>
      </c>
      <c r="R1765" t="s">
        <v>3219</v>
      </c>
      <c r="S1765" t="s">
        <v>12054</v>
      </c>
      <c r="T1765" t="s">
        <v>12055</v>
      </c>
    </row>
    <row r="1766" spans="1:20">
      <c r="A1766" t="s">
        <v>2412</v>
      </c>
      <c r="B1766" t="s">
        <v>11331</v>
      </c>
      <c r="C1766">
        <v>45750</v>
      </c>
      <c r="D1766" t="s">
        <v>7263</v>
      </c>
      <c r="E1766" t="s">
        <v>11332</v>
      </c>
      <c r="F1766">
        <v>45750</v>
      </c>
      <c r="G1766" t="s">
        <v>11951</v>
      </c>
      <c r="H1766" t="s">
        <v>2916</v>
      </c>
      <c r="I1766" t="s">
        <v>12046</v>
      </c>
      <c r="J1766">
        <v>1</v>
      </c>
      <c r="K1766">
        <v>161</v>
      </c>
      <c r="L1766" t="s">
        <v>2917</v>
      </c>
      <c r="M1766">
        <v>927.18</v>
      </c>
      <c r="N1766" t="s">
        <v>2918</v>
      </c>
      <c r="O1766" t="s">
        <v>12047</v>
      </c>
      <c r="P1766" t="s">
        <v>12056</v>
      </c>
      <c r="Q1766" t="s">
        <v>2924</v>
      </c>
      <c r="R1766" t="s">
        <v>3219</v>
      </c>
      <c r="S1766" t="s">
        <v>12057</v>
      </c>
      <c r="T1766" t="s">
        <v>12058</v>
      </c>
    </row>
    <row r="1767" spans="1:20">
      <c r="A1767" t="s">
        <v>2412</v>
      </c>
      <c r="B1767" t="s">
        <v>11331</v>
      </c>
      <c r="C1767">
        <v>45750</v>
      </c>
      <c r="D1767" t="s">
        <v>7263</v>
      </c>
      <c r="E1767" t="s">
        <v>11332</v>
      </c>
      <c r="F1767">
        <v>45750</v>
      </c>
      <c r="G1767" t="s">
        <v>11951</v>
      </c>
      <c r="H1767" t="s">
        <v>2916</v>
      </c>
      <c r="I1767" t="s">
        <v>12046</v>
      </c>
      <c r="J1767">
        <v>3</v>
      </c>
      <c r="K1767">
        <v>535.27</v>
      </c>
      <c r="L1767" t="s">
        <v>2917</v>
      </c>
      <c r="M1767">
        <v>3082.47</v>
      </c>
      <c r="N1767" t="s">
        <v>2918</v>
      </c>
      <c r="O1767" t="s">
        <v>12047</v>
      </c>
      <c r="P1767" t="s">
        <v>12059</v>
      </c>
      <c r="Q1767" t="s">
        <v>2924</v>
      </c>
      <c r="R1767" t="s">
        <v>3219</v>
      </c>
      <c r="S1767" t="s">
        <v>12060</v>
      </c>
      <c r="T1767" t="s">
        <v>12061</v>
      </c>
    </row>
    <row r="1768" spans="1:20">
      <c r="A1768" t="s">
        <v>2412</v>
      </c>
      <c r="B1768" t="s">
        <v>11331</v>
      </c>
      <c r="C1768">
        <v>45750</v>
      </c>
      <c r="D1768" t="s">
        <v>7263</v>
      </c>
      <c r="E1768" t="s">
        <v>11332</v>
      </c>
      <c r="F1768">
        <v>45750</v>
      </c>
      <c r="G1768" t="s">
        <v>11951</v>
      </c>
      <c r="H1768" t="s">
        <v>2916</v>
      </c>
      <c r="I1768" t="s">
        <v>12046</v>
      </c>
      <c r="J1768">
        <v>1</v>
      </c>
      <c r="K1768">
        <v>538.32000000000005</v>
      </c>
      <c r="L1768" t="s">
        <v>2917</v>
      </c>
      <c r="M1768">
        <v>3100</v>
      </c>
      <c r="N1768" t="s">
        <v>2918</v>
      </c>
      <c r="O1768" t="s">
        <v>12047</v>
      </c>
      <c r="P1768" t="s">
        <v>12062</v>
      </c>
      <c r="Q1768" t="s">
        <v>2924</v>
      </c>
      <c r="R1768" t="s">
        <v>3219</v>
      </c>
      <c r="S1768" t="s">
        <v>12063</v>
      </c>
      <c r="T1768" t="s">
        <v>12064</v>
      </c>
    </row>
    <row r="1769" spans="1:20">
      <c r="A1769" t="s">
        <v>2412</v>
      </c>
      <c r="B1769" t="s">
        <v>11331</v>
      </c>
      <c r="C1769">
        <v>45750</v>
      </c>
      <c r="D1769" t="s">
        <v>7263</v>
      </c>
      <c r="E1769" t="s">
        <v>11332</v>
      </c>
      <c r="F1769">
        <v>45750</v>
      </c>
      <c r="G1769" t="s">
        <v>11951</v>
      </c>
      <c r="H1769" t="s">
        <v>2916</v>
      </c>
      <c r="I1769" t="s">
        <v>12046</v>
      </c>
      <c r="J1769">
        <v>5</v>
      </c>
      <c r="K1769">
        <v>2177.09</v>
      </c>
      <c r="L1769" t="s">
        <v>2917</v>
      </c>
      <c r="M1769">
        <v>12537.25</v>
      </c>
      <c r="N1769" t="s">
        <v>2918</v>
      </c>
      <c r="O1769" t="s">
        <v>12047</v>
      </c>
      <c r="P1769" t="s">
        <v>12065</v>
      </c>
      <c r="Q1769" t="s">
        <v>2924</v>
      </c>
      <c r="R1769" t="s">
        <v>3219</v>
      </c>
      <c r="S1769" t="s">
        <v>12066</v>
      </c>
      <c r="T1769" t="s">
        <v>12067</v>
      </c>
    </row>
    <row r="1770" spans="1:20">
      <c r="A1770" t="s">
        <v>2412</v>
      </c>
      <c r="B1770" t="s">
        <v>11331</v>
      </c>
      <c r="C1770">
        <v>45750</v>
      </c>
      <c r="D1770" t="s">
        <v>7263</v>
      </c>
      <c r="E1770" t="s">
        <v>11332</v>
      </c>
      <c r="F1770">
        <v>45750</v>
      </c>
      <c r="G1770" t="s">
        <v>11951</v>
      </c>
      <c r="H1770" t="s">
        <v>2916</v>
      </c>
      <c r="I1770" t="s">
        <v>12046</v>
      </c>
      <c r="J1770">
        <v>5</v>
      </c>
      <c r="K1770">
        <v>2177.09</v>
      </c>
      <c r="L1770" t="s">
        <v>2917</v>
      </c>
      <c r="M1770">
        <v>12537.25</v>
      </c>
      <c r="N1770" t="s">
        <v>2918</v>
      </c>
      <c r="O1770" t="s">
        <v>12047</v>
      </c>
      <c r="P1770" t="s">
        <v>12068</v>
      </c>
      <c r="Q1770" t="s">
        <v>2924</v>
      </c>
      <c r="R1770" t="s">
        <v>3219</v>
      </c>
      <c r="S1770" t="s">
        <v>12069</v>
      </c>
      <c r="T1770" t="s">
        <v>12070</v>
      </c>
    </row>
    <row r="1771" spans="1:20">
      <c r="A1771" t="s">
        <v>2412</v>
      </c>
      <c r="B1771" t="s">
        <v>11331</v>
      </c>
      <c r="C1771">
        <v>45750</v>
      </c>
      <c r="D1771" t="s">
        <v>7263</v>
      </c>
      <c r="E1771" t="s">
        <v>11332</v>
      </c>
      <c r="F1771">
        <v>45750</v>
      </c>
      <c r="G1771" t="s">
        <v>11951</v>
      </c>
      <c r="H1771" t="s">
        <v>2916</v>
      </c>
      <c r="I1771" t="s">
        <v>12046</v>
      </c>
      <c r="J1771">
        <v>5</v>
      </c>
      <c r="K1771">
        <v>2177.09</v>
      </c>
      <c r="L1771" t="s">
        <v>2917</v>
      </c>
      <c r="M1771">
        <v>12537.25</v>
      </c>
      <c r="N1771" t="s">
        <v>2918</v>
      </c>
      <c r="O1771" t="s">
        <v>12047</v>
      </c>
      <c r="P1771" t="s">
        <v>12071</v>
      </c>
      <c r="Q1771" t="s">
        <v>2924</v>
      </c>
      <c r="R1771" t="s">
        <v>3219</v>
      </c>
      <c r="S1771" t="s">
        <v>12072</v>
      </c>
      <c r="T1771" t="s">
        <v>12073</v>
      </c>
    </row>
    <row r="1772" spans="1:20">
      <c r="A1772" t="s">
        <v>2412</v>
      </c>
      <c r="B1772" t="s">
        <v>11331</v>
      </c>
      <c r="C1772">
        <v>45750</v>
      </c>
      <c r="D1772" t="s">
        <v>7263</v>
      </c>
      <c r="E1772" t="s">
        <v>11332</v>
      </c>
      <c r="F1772">
        <v>45750</v>
      </c>
      <c r="G1772" t="s">
        <v>11951</v>
      </c>
      <c r="H1772" t="s">
        <v>2916</v>
      </c>
      <c r="I1772" t="s">
        <v>12046</v>
      </c>
      <c r="J1772">
        <v>5</v>
      </c>
      <c r="K1772">
        <v>2177.09</v>
      </c>
      <c r="L1772" t="s">
        <v>2917</v>
      </c>
      <c r="M1772">
        <v>12537.25</v>
      </c>
      <c r="N1772" t="s">
        <v>2918</v>
      </c>
      <c r="O1772" t="s">
        <v>12047</v>
      </c>
      <c r="P1772" t="s">
        <v>12074</v>
      </c>
      <c r="Q1772" t="s">
        <v>2924</v>
      </c>
      <c r="R1772" t="s">
        <v>3219</v>
      </c>
      <c r="S1772" t="s">
        <v>12075</v>
      </c>
      <c r="T1772" t="s">
        <v>12076</v>
      </c>
    </row>
    <row r="1773" spans="1:20">
      <c r="A1773" t="s">
        <v>2412</v>
      </c>
      <c r="B1773" t="s">
        <v>11331</v>
      </c>
      <c r="C1773">
        <v>45748</v>
      </c>
      <c r="D1773" t="s">
        <v>7263</v>
      </c>
      <c r="E1773" t="s">
        <v>11332</v>
      </c>
      <c r="F1773">
        <v>45752</v>
      </c>
      <c r="G1773" t="s">
        <v>11951</v>
      </c>
      <c r="H1773" t="s">
        <v>2916</v>
      </c>
      <c r="I1773" t="s">
        <v>12220</v>
      </c>
      <c r="J1773">
        <v>0</v>
      </c>
      <c r="K1773">
        <v>-230.89</v>
      </c>
      <c r="L1773" t="s">
        <v>2917</v>
      </c>
      <c r="M1773">
        <v>-1329.62</v>
      </c>
      <c r="N1773" t="s">
        <v>2918</v>
      </c>
      <c r="O1773" t="s">
        <v>12221</v>
      </c>
      <c r="P1773" t="s">
        <v>12048</v>
      </c>
      <c r="Q1773" t="s">
        <v>2924</v>
      </c>
      <c r="R1773" t="s">
        <v>3219</v>
      </c>
      <c r="S1773" t="s">
        <v>12049</v>
      </c>
      <c r="T1773" t="s">
        <v>12050</v>
      </c>
    </row>
    <row r="1774" spans="1:20">
      <c r="A1774" t="s">
        <v>2412</v>
      </c>
      <c r="B1774" t="s">
        <v>11331</v>
      </c>
      <c r="C1774">
        <v>45748</v>
      </c>
      <c r="D1774" t="s">
        <v>7263</v>
      </c>
      <c r="E1774" t="s">
        <v>11332</v>
      </c>
      <c r="F1774">
        <v>45752</v>
      </c>
      <c r="G1774" t="s">
        <v>11951</v>
      </c>
      <c r="H1774" t="s">
        <v>2916</v>
      </c>
      <c r="I1774" t="s">
        <v>12220</v>
      </c>
      <c r="J1774">
        <v>0</v>
      </c>
      <c r="K1774">
        <v>-303.8</v>
      </c>
      <c r="L1774" t="s">
        <v>2917</v>
      </c>
      <c r="M1774">
        <v>-1749.5</v>
      </c>
      <c r="N1774" t="s">
        <v>2918</v>
      </c>
      <c r="O1774" t="s">
        <v>12221</v>
      </c>
      <c r="P1774" t="s">
        <v>12051</v>
      </c>
      <c r="Q1774" t="s">
        <v>2924</v>
      </c>
      <c r="R1774" t="s">
        <v>3219</v>
      </c>
      <c r="S1774" t="s">
        <v>12052</v>
      </c>
      <c r="T1774" t="s">
        <v>2208</v>
      </c>
    </row>
    <row r="1775" spans="1:20">
      <c r="A1775" t="s">
        <v>2412</v>
      </c>
      <c r="B1775" t="s">
        <v>11331</v>
      </c>
      <c r="C1775">
        <v>45748</v>
      </c>
      <c r="D1775" t="s">
        <v>7263</v>
      </c>
      <c r="E1775" t="s">
        <v>11332</v>
      </c>
      <c r="F1775">
        <v>45752</v>
      </c>
      <c r="G1775" t="s">
        <v>11951</v>
      </c>
      <c r="H1775" t="s">
        <v>2916</v>
      </c>
      <c r="I1775" t="s">
        <v>12220</v>
      </c>
      <c r="J1775">
        <v>0</v>
      </c>
      <c r="K1775">
        <v>-32.42</v>
      </c>
      <c r="L1775" t="s">
        <v>2917</v>
      </c>
      <c r="M1775">
        <v>-186.73</v>
      </c>
      <c r="N1775" t="s">
        <v>2918</v>
      </c>
      <c r="O1775" t="s">
        <v>12221</v>
      </c>
      <c r="P1775" t="s">
        <v>12053</v>
      </c>
      <c r="Q1775" t="s">
        <v>2924</v>
      </c>
      <c r="R1775" t="s">
        <v>3219</v>
      </c>
      <c r="S1775" t="s">
        <v>12054</v>
      </c>
      <c r="T1775" t="s">
        <v>12055</v>
      </c>
    </row>
    <row r="1776" spans="1:20">
      <c r="A1776" t="s">
        <v>2412</v>
      </c>
      <c r="B1776" t="s">
        <v>11331</v>
      </c>
      <c r="C1776">
        <v>45748</v>
      </c>
      <c r="D1776" t="s">
        <v>7263</v>
      </c>
      <c r="E1776" t="s">
        <v>11332</v>
      </c>
      <c r="F1776">
        <v>45752</v>
      </c>
      <c r="G1776" t="s">
        <v>11951</v>
      </c>
      <c r="H1776" t="s">
        <v>2916</v>
      </c>
      <c r="I1776" t="s">
        <v>12220</v>
      </c>
      <c r="J1776">
        <v>0</v>
      </c>
      <c r="K1776">
        <v>-32.42</v>
      </c>
      <c r="L1776" t="s">
        <v>2917</v>
      </c>
      <c r="M1776">
        <v>-186.73</v>
      </c>
      <c r="N1776" t="s">
        <v>2918</v>
      </c>
      <c r="O1776" t="s">
        <v>12221</v>
      </c>
      <c r="P1776" t="s">
        <v>12056</v>
      </c>
      <c r="Q1776" t="s">
        <v>2924</v>
      </c>
      <c r="R1776" t="s">
        <v>3219</v>
      </c>
      <c r="S1776" t="s">
        <v>12057</v>
      </c>
      <c r="T1776" t="s">
        <v>12058</v>
      </c>
    </row>
    <row r="1777" spans="1:20">
      <c r="A1777" t="s">
        <v>2412</v>
      </c>
      <c r="B1777" t="s">
        <v>11331</v>
      </c>
      <c r="C1777">
        <v>45748</v>
      </c>
      <c r="D1777" t="s">
        <v>7263</v>
      </c>
      <c r="E1777" t="s">
        <v>11332</v>
      </c>
      <c r="F1777">
        <v>45752</v>
      </c>
      <c r="G1777" t="s">
        <v>11951</v>
      </c>
      <c r="H1777" t="s">
        <v>2916</v>
      </c>
      <c r="I1777" t="s">
        <v>12220</v>
      </c>
      <c r="J1777">
        <v>0</v>
      </c>
      <c r="K1777">
        <v>-107.8</v>
      </c>
      <c r="L1777" t="s">
        <v>2917</v>
      </c>
      <c r="M1777">
        <v>-620.82000000000005</v>
      </c>
      <c r="N1777" t="s">
        <v>2918</v>
      </c>
      <c r="O1777" t="s">
        <v>12221</v>
      </c>
      <c r="P1777" t="s">
        <v>12059</v>
      </c>
      <c r="Q1777" t="s">
        <v>2924</v>
      </c>
      <c r="R1777" t="s">
        <v>3219</v>
      </c>
      <c r="S1777" t="s">
        <v>12060</v>
      </c>
      <c r="T1777" t="s">
        <v>12061</v>
      </c>
    </row>
    <row r="1778" spans="1:20">
      <c r="A1778" t="s">
        <v>2412</v>
      </c>
      <c r="B1778" t="s">
        <v>11331</v>
      </c>
      <c r="C1778">
        <v>45748</v>
      </c>
      <c r="D1778" t="s">
        <v>7263</v>
      </c>
      <c r="E1778" t="s">
        <v>11332</v>
      </c>
      <c r="F1778">
        <v>45752</v>
      </c>
      <c r="G1778" t="s">
        <v>11951</v>
      </c>
      <c r="H1778" t="s">
        <v>2916</v>
      </c>
      <c r="I1778" t="s">
        <v>12220</v>
      </c>
      <c r="J1778">
        <v>0</v>
      </c>
      <c r="K1778">
        <v>-108.42</v>
      </c>
      <c r="L1778" t="s">
        <v>2917</v>
      </c>
      <c r="M1778">
        <v>-624.34</v>
      </c>
      <c r="N1778" t="s">
        <v>2918</v>
      </c>
      <c r="O1778" t="s">
        <v>12221</v>
      </c>
      <c r="P1778" t="s">
        <v>12062</v>
      </c>
      <c r="Q1778" t="s">
        <v>2924</v>
      </c>
      <c r="R1778" t="s">
        <v>3219</v>
      </c>
      <c r="S1778" t="s">
        <v>12063</v>
      </c>
      <c r="T1778" t="s">
        <v>12064</v>
      </c>
    </row>
    <row r="1779" spans="1:20">
      <c r="A1779" t="s">
        <v>2412</v>
      </c>
      <c r="B1779" t="s">
        <v>11331</v>
      </c>
      <c r="C1779">
        <v>45748</v>
      </c>
      <c r="D1779" t="s">
        <v>7263</v>
      </c>
      <c r="E1779" t="s">
        <v>11332</v>
      </c>
      <c r="F1779">
        <v>45752</v>
      </c>
      <c r="G1779" t="s">
        <v>11951</v>
      </c>
      <c r="H1779" t="s">
        <v>2916</v>
      </c>
      <c r="I1779" t="s">
        <v>12220</v>
      </c>
      <c r="J1779">
        <v>0</v>
      </c>
      <c r="K1779">
        <v>-557</v>
      </c>
      <c r="L1779" t="s">
        <v>2917</v>
      </c>
      <c r="M1779">
        <v>-3207.65</v>
      </c>
      <c r="N1779" t="s">
        <v>2918</v>
      </c>
      <c r="O1779" t="s">
        <v>12221</v>
      </c>
      <c r="P1779" t="s">
        <v>12065</v>
      </c>
      <c r="Q1779" t="s">
        <v>2924</v>
      </c>
      <c r="R1779" t="s">
        <v>3219</v>
      </c>
      <c r="S1779" t="s">
        <v>12066</v>
      </c>
      <c r="T1779" t="s">
        <v>12067</v>
      </c>
    </row>
    <row r="1780" spans="1:20">
      <c r="A1780" t="s">
        <v>2412</v>
      </c>
      <c r="B1780" t="s">
        <v>11331</v>
      </c>
      <c r="C1780">
        <v>45748</v>
      </c>
      <c r="D1780" t="s">
        <v>7263</v>
      </c>
      <c r="E1780" t="s">
        <v>11332</v>
      </c>
      <c r="F1780">
        <v>45752</v>
      </c>
      <c r="G1780" t="s">
        <v>11951</v>
      </c>
      <c r="H1780" t="s">
        <v>2916</v>
      </c>
      <c r="I1780" t="s">
        <v>12220</v>
      </c>
      <c r="J1780">
        <v>0</v>
      </c>
      <c r="K1780">
        <v>-557</v>
      </c>
      <c r="L1780" t="s">
        <v>2917</v>
      </c>
      <c r="M1780">
        <v>-3207.65</v>
      </c>
      <c r="N1780" t="s">
        <v>2918</v>
      </c>
      <c r="O1780" t="s">
        <v>12221</v>
      </c>
      <c r="P1780" t="s">
        <v>12068</v>
      </c>
      <c r="Q1780" t="s">
        <v>2924</v>
      </c>
      <c r="R1780" t="s">
        <v>3219</v>
      </c>
      <c r="S1780" t="s">
        <v>12069</v>
      </c>
      <c r="T1780" t="s">
        <v>12070</v>
      </c>
    </row>
    <row r="1781" spans="1:20">
      <c r="A1781" t="s">
        <v>2412</v>
      </c>
      <c r="B1781" t="s">
        <v>11331</v>
      </c>
      <c r="C1781">
        <v>45748</v>
      </c>
      <c r="D1781" t="s">
        <v>7263</v>
      </c>
      <c r="E1781" t="s">
        <v>11332</v>
      </c>
      <c r="F1781">
        <v>45752</v>
      </c>
      <c r="G1781" t="s">
        <v>11951</v>
      </c>
      <c r="H1781" t="s">
        <v>2916</v>
      </c>
      <c r="I1781" t="s">
        <v>12220</v>
      </c>
      <c r="J1781">
        <v>0</v>
      </c>
      <c r="K1781">
        <v>-557</v>
      </c>
      <c r="L1781" t="s">
        <v>2917</v>
      </c>
      <c r="M1781">
        <v>-3207.65</v>
      </c>
      <c r="N1781" t="s">
        <v>2918</v>
      </c>
      <c r="O1781" t="s">
        <v>12221</v>
      </c>
      <c r="P1781" t="s">
        <v>12071</v>
      </c>
      <c r="Q1781" t="s">
        <v>2924</v>
      </c>
      <c r="R1781" t="s">
        <v>3219</v>
      </c>
      <c r="S1781" t="s">
        <v>12072</v>
      </c>
      <c r="T1781" t="s">
        <v>12073</v>
      </c>
    </row>
    <row r="1782" spans="1:20">
      <c r="A1782" t="s">
        <v>2412</v>
      </c>
      <c r="B1782" t="s">
        <v>11331</v>
      </c>
      <c r="C1782">
        <v>45748</v>
      </c>
      <c r="D1782" t="s">
        <v>7263</v>
      </c>
      <c r="E1782" t="s">
        <v>11332</v>
      </c>
      <c r="F1782">
        <v>45752</v>
      </c>
      <c r="G1782" t="s">
        <v>11951</v>
      </c>
      <c r="H1782" t="s">
        <v>2916</v>
      </c>
      <c r="I1782" t="s">
        <v>12220</v>
      </c>
      <c r="J1782">
        <v>0</v>
      </c>
      <c r="K1782">
        <v>-557</v>
      </c>
      <c r="L1782" t="s">
        <v>2917</v>
      </c>
      <c r="M1782">
        <v>-3207.65</v>
      </c>
      <c r="N1782" t="s">
        <v>2918</v>
      </c>
      <c r="O1782" t="s">
        <v>12221</v>
      </c>
      <c r="P1782" t="s">
        <v>12074</v>
      </c>
      <c r="Q1782" t="s">
        <v>2924</v>
      </c>
      <c r="R1782" t="s">
        <v>3219</v>
      </c>
      <c r="S1782" t="s">
        <v>12075</v>
      </c>
      <c r="T1782" t="s">
        <v>12076</v>
      </c>
    </row>
    <row r="1783" spans="1:20">
      <c r="A1783" t="s">
        <v>2412</v>
      </c>
      <c r="B1783" t="s">
        <v>11331</v>
      </c>
      <c r="C1783">
        <v>45777</v>
      </c>
      <c r="D1783" t="s">
        <v>7263</v>
      </c>
      <c r="E1783" t="s">
        <v>11332</v>
      </c>
      <c r="F1783">
        <v>45777</v>
      </c>
      <c r="G1783" t="s">
        <v>2208</v>
      </c>
      <c r="H1783" t="s">
        <v>2916</v>
      </c>
      <c r="I1783" t="s">
        <v>16457</v>
      </c>
      <c r="J1783">
        <v>0</v>
      </c>
      <c r="K1783">
        <v>-0.11</v>
      </c>
      <c r="L1783" t="s">
        <v>2917</v>
      </c>
      <c r="M1783">
        <v>0</v>
      </c>
      <c r="N1783" t="s">
        <v>2918</v>
      </c>
      <c r="O1783" t="s">
        <v>2919</v>
      </c>
      <c r="P1783" t="s">
        <v>2208</v>
      </c>
      <c r="Q1783" t="s">
        <v>2916</v>
      </c>
      <c r="R1783" t="s">
        <v>3220</v>
      </c>
      <c r="S1783" t="s">
        <v>2208</v>
      </c>
      <c r="T1783" t="s">
        <v>2208</v>
      </c>
    </row>
    <row r="1784" spans="1:20">
      <c r="A1784" t="s">
        <v>2412</v>
      </c>
      <c r="B1784" t="s">
        <v>16360</v>
      </c>
      <c r="C1784">
        <v>45762</v>
      </c>
      <c r="D1784" t="s">
        <v>7263</v>
      </c>
      <c r="E1784" t="s">
        <v>16361</v>
      </c>
      <c r="F1784">
        <v>45789</v>
      </c>
      <c r="G1784" t="s">
        <v>11951</v>
      </c>
      <c r="H1784" t="s">
        <v>2916</v>
      </c>
      <c r="I1784" t="s">
        <v>17071</v>
      </c>
      <c r="J1784">
        <v>1</v>
      </c>
      <c r="K1784">
        <v>104.37</v>
      </c>
      <c r="L1784" t="s">
        <v>2917</v>
      </c>
      <c r="M1784">
        <v>587.99</v>
      </c>
      <c r="N1784" t="s">
        <v>2918</v>
      </c>
      <c r="O1784" t="s">
        <v>17072</v>
      </c>
      <c r="P1784" t="s">
        <v>17073</v>
      </c>
      <c r="Q1784" t="s">
        <v>2924</v>
      </c>
      <c r="R1784" t="s">
        <v>3219</v>
      </c>
      <c r="S1784" t="s">
        <v>17074</v>
      </c>
      <c r="T1784" t="s">
        <v>17075</v>
      </c>
    </row>
    <row r="1785" spans="1:20">
      <c r="A1785" t="s">
        <v>2412</v>
      </c>
      <c r="B1785" t="s">
        <v>16360</v>
      </c>
      <c r="C1785">
        <v>45762</v>
      </c>
      <c r="D1785" t="s">
        <v>7263</v>
      </c>
      <c r="E1785" t="s">
        <v>16361</v>
      </c>
      <c r="F1785">
        <v>45789</v>
      </c>
      <c r="G1785" t="s">
        <v>11951</v>
      </c>
      <c r="H1785" t="s">
        <v>2916</v>
      </c>
      <c r="I1785" t="s">
        <v>17071</v>
      </c>
      <c r="J1785">
        <v>1</v>
      </c>
      <c r="K1785">
        <v>532.15</v>
      </c>
      <c r="L1785" t="s">
        <v>2917</v>
      </c>
      <c r="M1785">
        <v>2998</v>
      </c>
      <c r="N1785" t="s">
        <v>2918</v>
      </c>
      <c r="O1785" t="s">
        <v>17072</v>
      </c>
      <c r="P1785" t="s">
        <v>17076</v>
      </c>
      <c r="Q1785" t="s">
        <v>2924</v>
      </c>
      <c r="R1785" t="s">
        <v>3219</v>
      </c>
      <c r="S1785" t="s">
        <v>17077</v>
      </c>
      <c r="T1785" t="s">
        <v>17078</v>
      </c>
    </row>
    <row r="1786" spans="1:20">
      <c r="A1786" t="s">
        <v>2412</v>
      </c>
      <c r="B1786" t="s">
        <v>16360</v>
      </c>
      <c r="C1786">
        <v>45762</v>
      </c>
      <c r="D1786" t="s">
        <v>7263</v>
      </c>
      <c r="E1786" t="s">
        <v>16361</v>
      </c>
      <c r="F1786">
        <v>45789</v>
      </c>
      <c r="G1786" t="s">
        <v>11951</v>
      </c>
      <c r="H1786" t="s">
        <v>2916</v>
      </c>
      <c r="I1786" t="s">
        <v>17079</v>
      </c>
      <c r="J1786">
        <v>0</v>
      </c>
      <c r="K1786">
        <v>-17.989999999999998</v>
      </c>
      <c r="L1786" t="s">
        <v>2917</v>
      </c>
      <c r="M1786">
        <v>-101.33</v>
      </c>
      <c r="N1786" t="s">
        <v>2918</v>
      </c>
      <c r="O1786" t="s">
        <v>17080</v>
      </c>
      <c r="P1786" t="s">
        <v>17073</v>
      </c>
      <c r="Q1786" t="s">
        <v>2924</v>
      </c>
      <c r="R1786" t="s">
        <v>3219</v>
      </c>
      <c r="S1786" t="s">
        <v>17074</v>
      </c>
      <c r="T1786" t="s">
        <v>17075</v>
      </c>
    </row>
    <row r="1787" spans="1:20">
      <c r="A1787" t="s">
        <v>2412</v>
      </c>
      <c r="B1787" t="s">
        <v>16360</v>
      </c>
      <c r="C1787">
        <v>45762</v>
      </c>
      <c r="D1787" t="s">
        <v>7263</v>
      </c>
      <c r="E1787" t="s">
        <v>16361</v>
      </c>
      <c r="F1787">
        <v>45789</v>
      </c>
      <c r="G1787" t="s">
        <v>11951</v>
      </c>
      <c r="H1787" t="s">
        <v>2916</v>
      </c>
      <c r="I1787" t="s">
        <v>17079</v>
      </c>
      <c r="J1787">
        <v>0</v>
      </c>
      <c r="K1787">
        <v>-107.18</v>
      </c>
      <c r="L1787" t="s">
        <v>2917</v>
      </c>
      <c r="M1787">
        <v>-603.79999999999995</v>
      </c>
      <c r="N1787" t="s">
        <v>2918</v>
      </c>
      <c r="O1787" t="s">
        <v>17080</v>
      </c>
      <c r="P1787" t="s">
        <v>17076</v>
      </c>
      <c r="Q1787" t="s">
        <v>2924</v>
      </c>
      <c r="R1787" t="s">
        <v>3219</v>
      </c>
      <c r="S1787" t="s">
        <v>17077</v>
      </c>
      <c r="T1787" t="s">
        <v>17078</v>
      </c>
    </row>
    <row r="1788" spans="1:20">
      <c r="A1788" t="s">
        <v>2412</v>
      </c>
      <c r="B1788" t="s">
        <v>16360</v>
      </c>
      <c r="C1788">
        <v>45808</v>
      </c>
      <c r="D1788" t="s">
        <v>7263</v>
      </c>
      <c r="E1788" t="s">
        <v>16361</v>
      </c>
      <c r="F1788">
        <v>45808</v>
      </c>
      <c r="G1788" t="s">
        <v>2208</v>
      </c>
      <c r="H1788" t="s">
        <v>2916</v>
      </c>
      <c r="I1788" t="s">
        <v>17882</v>
      </c>
      <c r="J1788">
        <v>0</v>
      </c>
      <c r="K1788">
        <v>0.03</v>
      </c>
      <c r="L1788" t="s">
        <v>2917</v>
      </c>
      <c r="M1788">
        <v>0</v>
      </c>
      <c r="N1788" t="s">
        <v>2918</v>
      </c>
      <c r="O1788" t="s">
        <v>2919</v>
      </c>
      <c r="P1788" t="s">
        <v>2208</v>
      </c>
      <c r="Q1788" t="s">
        <v>2916</v>
      </c>
      <c r="R1788" t="s">
        <v>3220</v>
      </c>
      <c r="S1788" t="s">
        <v>2208</v>
      </c>
      <c r="T1788" t="s">
        <v>2208</v>
      </c>
    </row>
    <row r="1789" spans="1:20">
      <c r="A1789" t="s">
        <v>2412</v>
      </c>
      <c r="B1789" t="s">
        <v>17897</v>
      </c>
      <c r="C1789">
        <v>45799</v>
      </c>
      <c r="D1789" t="s">
        <v>7263</v>
      </c>
      <c r="E1789" t="s">
        <v>17898</v>
      </c>
      <c r="F1789">
        <v>45810</v>
      </c>
      <c r="G1789" t="s">
        <v>17987</v>
      </c>
      <c r="H1789" t="s">
        <v>2916</v>
      </c>
      <c r="I1789" t="s">
        <v>17988</v>
      </c>
      <c r="J1789">
        <v>1</v>
      </c>
      <c r="K1789">
        <v>11233.08</v>
      </c>
      <c r="L1789" t="s">
        <v>2917</v>
      </c>
      <c r="M1789">
        <v>63751.88</v>
      </c>
      <c r="N1789" t="s">
        <v>2918</v>
      </c>
      <c r="O1789" t="s">
        <v>17989</v>
      </c>
      <c r="P1789" t="s">
        <v>17990</v>
      </c>
      <c r="Q1789" t="s">
        <v>2924</v>
      </c>
      <c r="R1789" t="s">
        <v>3219</v>
      </c>
      <c r="S1789" t="s">
        <v>17991</v>
      </c>
      <c r="T1789" t="s">
        <v>17990</v>
      </c>
    </row>
    <row r="1790" spans="1:20">
      <c r="A1790" t="s">
        <v>2412</v>
      </c>
      <c r="B1790" t="s">
        <v>17897</v>
      </c>
      <c r="C1790">
        <v>45799</v>
      </c>
      <c r="D1790" t="s">
        <v>7263</v>
      </c>
      <c r="E1790" t="s">
        <v>17898</v>
      </c>
      <c r="F1790">
        <v>45810</v>
      </c>
      <c r="G1790" t="s">
        <v>17987</v>
      </c>
      <c r="H1790" t="s">
        <v>2916</v>
      </c>
      <c r="I1790" t="s">
        <v>17992</v>
      </c>
      <c r="J1790">
        <v>0</v>
      </c>
      <c r="K1790">
        <v>-1039.06</v>
      </c>
      <c r="L1790" t="s">
        <v>2917</v>
      </c>
      <c r="M1790">
        <v>-5897.05</v>
      </c>
      <c r="N1790" t="s">
        <v>2918</v>
      </c>
      <c r="O1790" t="s">
        <v>17993</v>
      </c>
      <c r="P1790" t="s">
        <v>17990</v>
      </c>
      <c r="Q1790" t="s">
        <v>2924</v>
      </c>
      <c r="R1790" t="s">
        <v>3219</v>
      </c>
      <c r="S1790" t="s">
        <v>17991</v>
      </c>
      <c r="T1790" t="s">
        <v>17990</v>
      </c>
    </row>
    <row r="1791" spans="1:20">
      <c r="A1791" t="s">
        <v>2412</v>
      </c>
      <c r="B1791" t="s">
        <v>17897</v>
      </c>
      <c r="C1791">
        <v>45810</v>
      </c>
      <c r="D1791" t="s">
        <v>7263</v>
      </c>
      <c r="E1791" t="s">
        <v>17898</v>
      </c>
      <c r="F1791">
        <v>45810</v>
      </c>
      <c r="G1791" t="s">
        <v>11951</v>
      </c>
      <c r="H1791" t="s">
        <v>2916</v>
      </c>
      <c r="I1791" t="s">
        <v>17994</v>
      </c>
      <c r="J1791">
        <v>1</v>
      </c>
      <c r="K1791">
        <v>528.25</v>
      </c>
      <c r="L1791" t="s">
        <v>2917</v>
      </c>
      <c r="M1791">
        <v>2998</v>
      </c>
      <c r="N1791" t="s">
        <v>2918</v>
      </c>
      <c r="O1791" t="s">
        <v>17995</v>
      </c>
      <c r="P1791" t="s">
        <v>17076</v>
      </c>
      <c r="Q1791" t="s">
        <v>2924</v>
      </c>
      <c r="R1791" t="s">
        <v>3219</v>
      </c>
      <c r="S1791" t="s">
        <v>17077</v>
      </c>
      <c r="T1791" t="s">
        <v>17078</v>
      </c>
    </row>
    <row r="1792" spans="1:20">
      <c r="A1792" t="s">
        <v>2412</v>
      </c>
      <c r="B1792" t="s">
        <v>17897</v>
      </c>
      <c r="C1792">
        <v>45810</v>
      </c>
      <c r="D1792" t="s">
        <v>7263</v>
      </c>
      <c r="E1792" t="s">
        <v>17898</v>
      </c>
      <c r="F1792">
        <v>45810</v>
      </c>
      <c r="G1792" t="s">
        <v>11951</v>
      </c>
      <c r="H1792" t="s">
        <v>2916</v>
      </c>
      <c r="I1792" t="s">
        <v>17996</v>
      </c>
      <c r="J1792">
        <v>0</v>
      </c>
      <c r="K1792">
        <v>-106.39</v>
      </c>
      <c r="L1792" t="s">
        <v>2917</v>
      </c>
      <c r="M1792">
        <v>-603.79999999999995</v>
      </c>
      <c r="N1792" t="s">
        <v>2918</v>
      </c>
      <c r="O1792" t="s">
        <v>17997</v>
      </c>
      <c r="P1792" t="s">
        <v>17076</v>
      </c>
      <c r="Q1792" t="s">
        <v>2924</v>
      </c>
      <c r="R1792" t="s">
        <v>3219</v>
      </c>
      <c r="S1792" t="s">
        <v>17077</v>
      </c>
      <c r="T1792" t="s">
        <v>17078</v>
      </c>
    </row>
    <row r="1793" spans="1:20">
      <c r="A1793" t="s">
        <v>2412</v>
      </c>
      <c r="B1793" t="s">
        <v>17897</v>
      </c>
      <c r="C1793">
        <v>45831</v>
      </c>
      <c r="D1793" t="s">
        <v>7263</v>
      </c>
      <c r="E1793" t="s">
        <v>17898</v>
      </c>
      <c r="F1793">
        <v>45834</v>
      </c>
      <c r="G1793" t="s">
        <v>19166</v>
      </c>
      <c r="H1793" t="s">
        <v>2916</v>
      </c>
      <c r="I1793" t="s">
        <v>19167</v>
      </c>
      <c r="J1793">
        <v>1</v>
      </c>
      <c r="K1793">
        <v>31341.77</v>
      </c>
      <c r="L1793" t="s">
        <v>2917</v>
      </c>
      <c r="M1793">
        <v>177876.12</v>
      </c>
      <c r="N1793" t="s">
        <v>2918</v>
      </c>
      <c r="O1793" t="s">
        <v>19168</v>
      </c>
      <c r="P1793" t="s">
        <v>19169</v>
      </c>
      <c r="Q1793" t="s">
        <v>2924</v>
      </c>
      <c r="R1793" t="s">
        <v>3219</v>
      </c>
      <c r="S1793" t="s">
        <v>19170</v>
      </c>
      <c r="T1793" t="s">
        <v>19171</v>
      </c>
    </row>
    <row r="1794" spans="1:20">
      <c r="A1794" t="s">
        <v>2412</v>
      </c>
      <c r="B1794" t="s">
        <v>17897</v>
      </c>
      <c r="C1794">
        <v>45831</v>
      </c>
      <c r="D1794" t="s">
        <v>7263</v>
      </c>
      <c r="E1794" t="s">
        <v>17898</v>
      </c>
      <c r="F1794">
        <v>45834</v>
      </c>
      <c r="G1794" t="s">
        <v>19166</v>
      </c>
      <c r="H1794" t="s">
        <v>2916</v>
      </c>
      <c r="I1794" t="s">
        <v>19172</v>
      </c>
      <c r="J1794">
        <v>0</v>
      </c>
      <c r="K1794">
        <v>-5402.12</v>
      </c>
      <c r="L1794" t="s">
        <v>2917</v>
      </c>
      <c r="M1794">
        <v>-30659.040000000001</v>
      </c>
      <c r="N1794" t="s">
        <v>2918</v>
      </c>
      <c r="O1794" t="s">
        <v>19173</v>
      </c>
      <c r="P1794" t="s">
        <v>19169</v>
      </c>
      <c r="Q1794" t="s">
        <v>2924</v>
      </c>
      <c r="R1794" t="s">
        <v>3219</v>
      </c>
      <c r="S1794" t="s">
        <v>19170</v>
      </c>
      <c r="T1794" t="s">
        <v>19171</v>
      </c>
    </row>
    <row r="1795" spans="1:20">
      <c r="A1795" t="s">
        <v>2412</v>
      </c>
      <c r="B1795" t="s">
        <v>17897</v>
      </c>
      <c r="C1795">
        <v>45838</v>
      </c>
      <c r="D1795" t="s">
        <v>7263</v>
      </c>
      <c r="E1795" t="s">
        <v>17898</v>
      </c>
      <c r="F1795">
        <v>45838</v>
      </c>
      <c r="G1795" t="s">
        <v>2208</v>
      </c>
      <c r="H1795" t="s">
        <v>2916</v>
      </c>
      <c r="I1795" t="s">
        <v>19278</v>
      </c>
      <c r="J1795">
        <v>0</v>
      </c>
      <c r="K1795">
        <v>-0.02</v>
      </c>
      <c r="L1795" t="s">
        <v>2917</v>
      </c>
      <c r="M1795">
        <v>0</v>
      </c>
      <c r="N1795" t="s">
        <v>2918</v>
      </c>
      <c r="O1795" t="s">
        <v>2919</v>
      </c>
      <c r="P1795" t="s">
        <v>2208</v>
      </c>
      <c r="Q1795" t="s">
        <v>2916</v>
      </c>
      <c r="R1795" t="s">
        <v>3220</v>
      </c>
      <c r="S1795" t="s">
        <v>2208</v>
      </c>
      <c r="T1795" t="s">
        <v>2208</v>
      </c>
    </row>
    <row r="1796" spans="1:20">
      <c r="A1796" t="s">
        <v>2413</v>
      </c>
      <c r="B1796" t="s">
        <v>2920</v>
      </c>
      <c r="C1796">
        <v>45688</v>
      </c>
      <c r="D1796" t="s">
        <v>7263</v>
      </c>
      <c r="E1796" t="s">
        <v>2921</v>
      </c>
      <c r="F1796">
        <v>45688</v>
      </c>
      <c r="G1796" t="s">
        <v>2208</v>
      </c>
      <c r="H1796" t="s">
        <v>2916</v>
      </c>
      <c r="I1796" t="s">
        <v>7475</v>
      </c>
      <c r="J1796">
        <v>0</v>
      </c>
      <c r="K1796">
        <v>160.47999999999999</v>
      </c>
      <c r="L1796" t="s">
        <v>2917</v>
      </c>
      <c r="M1796">
        <v>991.02</v>
      </c>
      <c r="N1796" t="s">
        <v>2918</v>
      </c>
      <c r="O1796" t="s">
        <v>7476</v>
      </c>
      <c r="P1796" t="s">
        <v>2208</v>
      </c>
      <c r="Q1796" t="s">
        <v>2926</v>
      </c>
      <c r="R1796" t="s">
        <v>3312</v>
      </c>
      <c r="S1796" t="s">
        <v>2208</v>
      </c>
      <c r="T1796" t="s">
        <v>2208</v>
      </c>
    </row>
    <row r="1797" spans="1:20">
      <c r="A1797" t="s">
        <v>2413</v>
      </c>
      <c r="B1797" t="s">
        <v>2920</v>
      </c>
      <c r="C1797">
        <v>45688</v>
      </c>
      <c r="D1797" t="s">
        <v>7263</v>
      </c>
      <c r="E1797" t="s">
        <v>2921</v>
      </c>
      <c r="F1797">
        <v>45688</v>
      </c>
      <c r="G1797" t="s">
        <v>2208</v>
      </c>
      <c r="H1797" t="s">
        <v>2916</v>
      </c>
      <c r="I1797" t="s">
        <v>7477</v>
      </c>
      <c r="J1797">
        <v>0</v>
      </c>
      <c r="K1797">
        <v>-160.47999999999999</v>
      </c>
      <c r="L1797" t="s">
        <v>2917</v>
      </c>
      <c r="M1797">
        <v>-991.02</v>
      </c>
      <c r="N1797" t="s">
        <v>2918</v>
      </c>
      <c r="O1797" t="s">
        <v>7476</v>
      </c>
      <c r="P1797" t="s">
        <v>2208</v>
      </c>
      <c r="Q1797" t="s">
        <v>2926</v>
      </c>
      <c r="R1797" t="s">
        <v>3312</v>
      </c>
      <c r="S1797" t="s">
        <v>2208</v>
      </c>
      <c r="T1797" t="s">
        <v>2208</v>
      </c>
    </row>
    <row r="1798" spans="1:20">
      <c r="A1798" t="s">
        <v>2413</v>
      </c>
      <c r="B1798" t="s">
        <v>2920</v>
      </c>
      <c r="C1798">
        <v>45688</v>
      </c>
      <c r="D1798" t="s">
        <v>7263</v>
      </c>
      <c r="E1798" t="s">
        <v>2921</v>
      </c>
      <c r="F1798">
        <v>45688</v>
      </c>
      <c r="G1798" t="s">
        <v>2208</v>
      </c>
      <c r="H1798" t="s">
        <v>2916</v>
      </c>
      <c r="I1798" t="s">
        <v>7478</v>
      </c>
      <c r="J1798">
        <v>0</v>
      </c>
      <c r="K1798">
        <v>160.47999999999999</v>
      </c>
      <c r="L1798" t="s">
        <v>2917</v>
      </c>
      <c r="M1798">
        <v>991.02</v>
      </c>
      <c r="N1798" t="s">
        <v>2918</v>
      </c>
      <c r="O1798" t="s">
        <v>7476</v>
      </c>
      <c r="P1798" t="s">
        <v>2208</v>
      </c>
      <c r="Q1798" t="s">
        <v>2926</v>
      </c>
      <c r="R1798" t="s">
        <v>3312</v>
      </c>
      <c r="S1798" t="s">
        <v>2208</v>
      </c>
      <c r="T1798" t="s">
        <v>2208</v>
      </c>
    </row>
    <row r="1799" spans="1:20">
      <c r="A1799" t="s">
        <v>2413</v>
      </c>
      <c r="B1799" t="s">
        <v>2920</v>
      </c>
      <c r="C1799">
        <v>45688</v>
      </c>
      <c r="D1799" t="s">
        <v>7263</v>
      </c>
      <c r="E1799" t="s">
        <v>2921</v>
      </c>
      <c r="F1799">
        <v>45688</v>
      </c>
      <c r="G1799" t="s">
        <v>2208</v>
      </c>
      <c r="H1799" t="s">
        <v>2916</v>
      </c>
      <c r="I1799" t="s">
        <v>7738</v>
      </c>
      <c r="J1799">
        <v>0</v>
      </c>
      <c r="K1799">
        <v>-0.01</v>
      </c>
      <c r="L1799" t="s">
        <v>2917</v>
      </c>
      <c r="M1799">
        <v>0</v>
      </c>
      <c r="N1799" t="s">
        <v>2918</v>
      </c>
      <c r="O1799" t="s">
        <v>2919</v>
      </c>
      <c r="P1799" t="s">
        <v>2208</v>
      </c>
      <c r="Q1799" t="s">
        <v>2916</v>
      </c>
      <c r="R1799" t="s">
        <v>3220</v>
      </c>
      <c r="S1799" t="s">
        <v>2208</v>
      </c>
      <c r="T1799" t="s">
        <v>2208</v>
      </c>
    </row>
    <row r="1800" spans="1:20">
      <c r="A1800" t="s">
        <v>2413</v>
      </c>
      <c r="B1800" t="s">
        <v>7740</v>
      </c>
      <c r="C1800">
        <v>45709</v>
      </c>
      <c r="D1800" t="s">
        <v>7263</v>
      </c>
      <c r="E1800" t="s">
        <v>2925</v>
      </c>
      <c r="F1800">
        <v>45709</v>
      </c>
      <c r="G1800" t="s">
        <v>2208</v>
      </c>
      <c r="H1800" t="s">
        <v>2916</v>
      </c>
      <c r="I1800" t="s">
        <v>8888</v>
      </c>
      <c r="J1800">
        <v>0</v>
      </c>
      <c r="K1800">
        <v>-170.41</v>
      </c>
      <c r="L1800" t="s">
        <v>2917</v>
      </c>
      <c r="M1800">
        <v>-991.02</v>
      </c>
      <c r="N1800" t="s">
        <v>2918</v>
      </c>
      <c r="O1800" t="s">
        <v>7476</v>
      </c>
      <c r="P1800" t="s">
        <v>2208</v>
      </c>
      <c r="Q1800" t="s">
        <v>2926</v>
      </c>
      <c r="R1800" t="s">
        <v>3312</v>
      </c>
      <c r="S1800" t="s">
        <v>2208</v>
      </c>
      <c r="T1800" t="s">
        <v>2208</v>
      </c>
    </row>
    <row r="1801" spans="1:20">
      <c r="A1801" t="s">
        <v>2413</v>
      </c>
      <c r="B1801" t="s">
        <v>7740</v>
      </c>
      <c r="C1801">
        <v>45716</v>
      </c>
      <c r="D1801" t="s">
        <v>7263</v>
      </c>
      <c r="E1801" t="s">
        <v>2925</v>
      </c>
      <c r="F1801">
        <v>45716</v>
      </c>
      <c r="G1801" t="s">
        <v>2208</v>
      </c>
      <c r="H1801" t="s">
        <v>2916</v>
      </c>
      <c r="I1801" t="s">
        <v>9170</v>
      </c>
      <c r="J1801">
        <v>0</v>
      </c>
      <c r="K1801">
        <v>0.01</v>
      </c>
      <c r="L1801" t="s">
        <v>2917</v>
      </c>
      <c r="M1801">
        <v>0</v>
      </c>
      <c r="N1801" t="s">
        <v>2918</v>
      </c>
      <c r="O1801" t="s">
        <v>2919</v>
      </c>
      <c r="P1801" t="s">
        <v>2208</v>
      </c>
      <c r="Q1801" t="s">
        <v>2916</v>
      </c>
      <c r="R1801" t="s">
        <v>3220</v>
      </c>
      <c r="S1801" t="s">
        <v>2208</v>
      </c>
      <c r="T1801" t="s">
        <v>2208</v>
      </c>
    </row>
    <row r="1802" spans="1:20">
      <c r="A1802" t="s">
        <v>2413</v>
      </c>
      <c r="B1802" t="s">
        <v>9126</v>
      </c>
      <c r="C1802">
        <v>45737</v>
      </c>
      <c r="D1802" t="s">
        <v>7263</v>
      </c>
      <c r="E1802" t="s">
        <v>9127</v>
      </c>
      <c r="F1802">
        <v>45737</v>
      </c>
      <c r="G1802" t="s">
        <v>2208</v>
      </c>
      <c r="H1802" t="s">
        <v>2916</v>
      </c>
      <c r="I1802" t="s">
        <v>11082</v>
      </c>
      <c r="J1802">
        <v>0</v>
      </c>
      <c r="K1802">
        <v>3299.51</v>
      </c>
      <c r="L1802" t="s">
        <v>2917</v>
      </c>
      <c r="M1802">
        <v>19251.46</v>
      </c>
      <c r="N1802" t="s">
        <v>2918</v>
      </c>
      <c r="O1802" t="s">
        <v>11083</v>
      </c>
      <c r="P1802" t="s">
        <v>2208</v>
      </c>
      <c r="Q1802" t="s">
        <v>11084</v>
      </c>
      <c r="R1802" t="s">
        <v>11085</v>
      </c>
      <c r="S1802" t="s">
        <v>2208</v>
      </c>
      <c r="T1802" t="s">
        <v>2208</v>
      </c>
    </row>
    <row r="1803" spans="1:20">
      <c r="A1803" t="s">
        <v>2413</v>
      </c>
      <c r="B1803" t="s">
        <v>9126</v>
      </c>
      <c r="C1803">
        <v>45737</v>
      </c>
      <c r="D1803" t="s">
        <v>7263</v>
      </c>
      <c r="E1803" t="s">
        <v>9127</v>
      </c>
      <c r="F1803">
        <v>45737</v>
      </c>
      <c r="G1803" t="s">
        <v>2208</v>
      </c>
      <c r="H1803" t="s">
        <v>2916</v>
      </c>
      <c r="I1803" t="s">
        <v>11086</v>
      </c>
      <c r="J1803">
        <v>0</v>
      </c>
      <c r="K1803">
        <v>102</v>
      </c>
      <c r="L1803" t="s">
        <v>2917</v>
      </c>
      <c r="M1803">
        <v>595.15</v>
      </c>
      <c r="N1803" t="s">
        <v>2918</v>
      </c>
      <c r="O1803" t="s">
        <v>11087</v>
      </c>
      <c r="P1803" t="s">
        <v>2208</v>
      </c>
      <c r="Q1803" t="s">
        <v>11088</v>
      </c>
      <c r="R1803" t="s">
        <v>11089</v>
      </c>
      <c r="S1803" t="s">
        <v>2208</v>
      </c>
      <c r="T1803" t="s">
        <v>2208</v>
      </c>
    </row>
    <row r="1804" spans="1:20">
      <c r="A1804" t="s">
        <v>2413</v>
      </c>
      <c r="B1804" t="s">
        <v>9126</v>
      </c>
      <c r="C1804">
        <v>45747</v>
      </c>
      <c r="D1804" t="s">
        <v>7263</v>
      </c>
      <c r="E1804" t="s">
        <v>9127</v>
      </c>
      <c r="F1804">
        <v>45747</v>
      </c>
      <c r="G1804" t="s">
        <v>2208</v>
      </c>
      <c r="H1804" t="s">
        <v>2916</v>
      </c>
      <c r="I1804" t="s">
        <v>11421</v>
      </c>
      <c r="J1804">
        <v>0</v>
      </c>
      <c r="K1804">
        <v>7.0000000000000007E-2</v>
      </c>
      <c r="L1804" t="s">
        <v>2917</v>
      </c>
      <c r="M1804">
        <v>0</v>
      </c>
      <c r="N1804" t="s">
        <v>2918</v>
      </c>
      <c r="O1804" t="s">
        <v>2919</v>
      </c>
      <c r="P1804" t="s">
        <v>2208</v>
      </c>
      <c r="Q1804" t="s">
        <v>2916</v>
      </c>
      <c r="R1804" t="s">
        <v>3220</v>
      </c>
      <c r="S1804" t="s">
        <v>2208</v>
      </c>
      <c r="T1804" t="s">
        <v>2208</v>
      </c>
    </row>
    <row r="1805" spans="1:20">
      <c r="A1805" t="s">
        <v>2413</v>
      </c>
      <c r="B1805" t="s">
        <v>2920</v>
      </c>
      <c r="C1805">
        <v>45666</v>
      </c>
      <c r="D1805" t="s">
        <v>7263</v>
      </c>
      <c r="E1805" t="s">
        <v>2921</v>
      </c>
      <c r="F1805">
        <v>45667</v>
      </c>
      <c r="G1805" t="s">
        <v>7009</v>
      </c>
      <c r="H1805" t="s">
        <v>2916</v>
      </c>
      <c r="I1805" t="s">
        <v>7365</v>
      </c>
      <c r="J1805">
        <v>1</v>
      </c>
      <c r="K1805">
        <v>54738.58</v>
      </c>
      <c r="L1805" t="s">
        <v>2917</v>
      </c>
      <c r="M1805">
        <v>338038.54</v>
      </c>
      <c r="N1805" t="s">
        <v>2918</v>
      </c>
      <c r="O1805" t="s">
        <v>7366</v>
      </c>
      <c r="P1805" t="s">
        <v>7223</v>
      </c>
      <c r="Q1805" t="s">
        <v>2924</v>
      </c>
      <c r="R1805" t="s">
        <v>3219</v>
      </c>
      <c r="S1805" t="s">
        <v>7224</v>
      </c>
      <c r="T1805" t="s">
        <v>7225</v>
      </c>
    </row>
    <row r="1806" spans="1:20">
      <c r="A1806" t="s">
        <v>2413</v>
      </c>
      <c r="B1806" t="s">
        <v>2920</v>
      </c>
      <c r="C1806">
        <v>45666</v>
      </c>
      <c r="D1806" t="s">
        <v>7263</v>
      </c>
      <c r="E1806" t="s">
        <v>2921</v>
      </c>
      <c r="F1806">
        <v>45667</v>
      </c>
      <c r="G1806" t="s">
        <v>7009</v>
      </c>
      <c r="H1806" t="s">
        <v>2916</v>
      </c>
      <c r="I1806" t="s">
        <v>7365</v>
      </c>
      <c r="J1806">
        <v>1</v>
      </c>
      <c r="K1806">
        <v>54738.58</v>
      </c>
      <c r="L1806" t="s">
        <v>2917</v>
      </c>
      <c r="M1806">
        <v>338038.54</v>
      </c>
      <c r="N1806" t="s">
        <v>2918</v>
      </c>
      <c r="O1806" t="s">
        <v>7366</v>
      </c>
      <c r="P1806" t="s">
        <v>7223</v>
      </c>
      <c r="Q1806" t="s">
        <v>2924</v>
      </c>
      <c r="R1806" t="s">
        <v>3219</v>
      </c>
      <c r="S1806" t="s">
        <v>7224</v>
      </c>
      <c r="T1806" t="s">
        <v>7225</v>
      </c>
    </row>
    <row r="1807" spans="1:20">
      <c r="A1807" t="s">
        <v>2413</v>
      </c>
      <c r="B1807" t="s">
        <v>2920</v>
      </c>
      <c r="C1807">
        <v>45666</v>
      </c>
      <c r="D1807" t="s">
        <v>7263</v>
      </c>
      <c r="E1807" t="s">
        <v>2921</v>
      </c>
      <c r="F1807">
        <v>45667</v>
      </c>
      <c r="G1807" t="s">
        <v>7009</v>
      </c>
      <c r="H1807" t="s">
        <v>2916</v>
      </c>
      <c r="I1807" t="s">
        <v>7367</v>
      </c>
      <c r="J1807">
        <v>0</v>
      </c>
      <c r="K1807">
        <v>-4625.3100000000004</v>
      </c>
      <c r="L1807" t="s">
        <v>2917</v>
      </c>
      <c r="M1807">
        <v>-28563.67</v>
      </c>
      <c r="N1807" t="s">
        <v>2918</v>
      </c>
      <c r="O1807" t="s">
        <v>7368</v>
      </c>
      <c r="P1807" t="s">
        <v>7223</v>
      </c>
      <c r="Q1807" t="s">
        <v>2924</v>
      </c>
      <c r="R1807" t="s">
        <v>3219</v>
      </c>
      <c r="S1807" t="s">
        <v>7224</v>
      </c>
      <c r="T1807" t="s">
        <v>7225</v>
      </c>
    </row>
    <row r="1808" spans="1:20">
      <c r="A1808" t="s">
        <v>2413</v>
      </c>
      <c r="B1808" t="s">
        <v>2920</v>
      </c>
      <c r="C1808">
        <v>45666</v>
      </c>
      <c r="D1808" t="s">
        <v>7263</v>
      </c>
      <c r="E1808" t="s">
        <v>2921</v>
      </c>
      <c r="F1808">
        <v>45667</v>
      </c>
      <c r="G1808" t="s">
        <v>7009</v>
      </c>
      <c r="H1808" t="s">
        <v>2916</v>
      </c>
      <c r="I1808" t="s">
        <v>7367</v>
      </c>
      <c r="J1808">
        <v>0</v>
      </c>
      <c r="K1808">
        <v>-4625.3100000000004</v>
      </c>
      <c r="L1808" t="s">
        <v>2917</v>
      </c>
      <c r="M1808">
        <v>-28563.67</v>
      </c>
      <c r="N1808" t="s">
        <v>2918</v>
      </c>
      <c r="O1808" t="s">
        <v>7368</v>
      </c>
      <c r="P1808" t="s">
        <v>7223</v>
      </c>
      <c r="Q1808" t="s">
        <v>2924</v>
      </c>
      <c r="R1808" t="s">
        <v>3219</v>
      </c>
      <c r="S1808" t="s">
        <v>7224</v>
      </c>
      <c r="T1808" t="s">
        <v>7225</v>
      </c>
    </row>
    <row r="1809" spans="1:20">
      <c r="A1809" t="s">
        <v>2413</v>
      </c>
      <c r="B1809" t="s">
        <v>2920</v>
      </c>
      <c r="C1809">
        <v>45686</v>
      </c>
      <c r="D1809" t="s">
        <v>7263</v>
      </c>
      <c r="E1809" t="s">
        <v>2921</v>
      </c>
      <c r="F1809">
        <v>45686</v>
      </c>
      <c r="G1809" t="s">
        <v>2208</v>
      </c>
      <c r="H1809" t="s">
        <v>2916</v>
      </c>
      <c r="I1809" t="s">
        <v>7486</v>
      </c>
      <c r="J1809">
        <v>0</v>
      </c>
      <c r="K1809">
        <v>10202.43</v>
      </c>
      <c r="L1809" t="s">
        <v>2917</v>
      </c>
      <c r="M1809">
        <v>63005.19</v>
      </c>
      <c r="N1809" t="s">
        <v>2918</v>
      </c>
      <c r="O1809" t="s">
        <v>7487</v>
      </c>
      <c r="P1809" t="s">
        <v>2208</v>
      </c>
      <c r="Q1809" t="s">
        <v>2949</v>
      </c>
      <c r="R1809" t="s">
        <v>3224</v>
      </c>
      <c r="S1809" t="s">
        <v>2208</v>
      </c>
      <c r="T1809" t="s">
        <v>2208</v>
      </c>
    </row>
    <row r="1810" spans="1:20">
      <c r="A1810" t="s">
        <v>2413</v>
      </c>
      <c r="B1810" t="s">
        <v>2920</v>
      </c>
      <c r="C1810">
        <v>45686</v>
      </c>
      <c r="D1810" t="s">
        <v>7263</v>
      </c>
      <c r="E1810" t="s">
        <v>2921</v>
      </c>
      <c r="F1810">
        <v>45686</v>
      </c>
      <c r="G1810" t="s">
        <v>2208</v>
      </c>
      <c r="H1810" t="s">
        <v>2916</v>
      </c>
      <c r="I1810" t="s">
        <v>7486</v>
      </c>
      <c r="J1810">
        <v>0</v>
      </c>
      <c r="K1810">
        <v>0.09</v>
      </c>
      <c r="L1810" t="s">
        <v>2917</v>
      </c>
      <c r="M1810">
        <v>0.54</v>
      </c>
      <c r="N1810" t="s">
        <v>2918</v>
      </c>
      <c r="O1810" t="s">
        <v>7487</v>
      </c>
      <c r="P1810" t="s">
        <v>2208</v>
      </c>
      <c r="Q1810" t="s">
        <v>2949</v>
      </c>
      <c r="R1810" t="s">
        <v>3224</v>
      </c>
      <c r="S1810" t="s">
        <v>2208</v>
      </c>
      <c r="T1810" t="s">
        <v>2208</v>
      </c>
    </row>
    <row r="1811" spans="1:20">
      <c r="A1811" t="s">
        <v>2413</v>
      </c>
      <c r="B1811" t="s">
        <v>2920</v>
      </c>
      <c r="C1811">
        <v>45687</v>
      </c>
      <c r="D1811" t="s">
        <v>7263</v>
      </c>
      <c r="E1811" t="s">
        <v>2921</v>
      </c>
      <c r="F1811">
        <v>45687</v>
      </c>
      <c r="G1811" t="s">
        <v>2208</v>
      </c>
      <c r="H1811" t="s">
        <v>2916</v>
      </c>
      <c r="I1811" t="s">
        <v>7499</v>
      </c>
      <c r="J1811">
        <v>0</v>
      </c>
      <c r="K1811">
        <v>-9470.34</v>
      </c>
      <c r="L1811" t="s">
        <v>2917</v>
      </c>
      <c r="M1811">
        <v>-58484.18</v>
      </c>
      <c r="N1811" t="s">
        <v>2918</v>
      </c>
      <c r="O1811" t="s">
        <v>7500</v>
      </c>
      <c r="P1811" t="s">
        <v>2208</v>
      </c>
      <c r="Q1811" t="s">
        <v>2933</v>
      </c>
      <c r="R1811" t="s">
        <v>3314</v>
      </c>
      <c r="S1811" t="s">
        <v>2208</v>
      </c>
      <c r="T1811" t="s">
        <v>2208</v>
      </c>
    </row>
    <row r="1812" spans="1:20">
      <c r="A1812" t="s">
        <v>2413</v>
      </c>
      <c r="B1812" t="s">
        <v>2920</v>
      </c>
      <c r="C1812">
        <v>45688</v>
      </c>
      <c r="D1812" t="s">
        <v>7263</v>
      </c>
      <c r="E1812" t="s">
        <v>2921</v>
      </c>
      <c r="F1812">
        <v>45688</v>
      </c>
      <c r="G1812" t="s">
        <v>2208</v>
      </c>
      <c r="H1812" t="s">
        <v>2916</v>
      </c>
      <c r="I1812" t="s">
        <v>7739</v>
      </c>
      <c r="J1812">
        <v>0</v>
      </c>
      <c r="K1812">
        <v>-0.06</v>
      </c>
      <c r="L1812" t="s">
        <v>2917</v>
      </c>
      <c r="M1812">
        <v>0</v>
      </c>
      <c r="N1812" t="s">
        <v>2918</v>
      </c>
      <c r="O1812" t="s">
        <v>2919</v>
      </c>
      <c r="P1812" t="s">
        <v>2208</v>
      </c>
      <c r="Q1812" t="s">
        <v>2916</v>
      </c>
      <c r="R1812" t="s">
        <v>3220</v>
      </c>
      <c r="S1812" t="s">
        <v>2208</v>
      </c>
      <c r="T1812" t="s">
        <v>2208</v>
      </c>
    </row>
    <row r="1813" spans="1:20">
      <c r="A1813" t="s">
        <v>2413</v>
      </c>
      <c r="B1813" t="s">
        <v>7740</v>
      </c>
      <c r="C1813">
        <v>45691</v>
      </c>
      <c r="D1813" t="s">
        <v>7263</v>
      </c>
      <c r="E1813" t="s">
        <v>2925</v>
      </c>
      <c r="F1813">
        <v>45691</v>
      </c>
      <c r="G1813" t="s">
        <v>7741</v>
      </c>
      <c r="H1813" t="s">
        <v>2916</v>
      </c>
      <c r="I1813" t="s">
        <v>7742</v>
      </c>
      <c r="J1813">
        <v>16</v>
      </c>
      <c r="K1813">
        <v>411892.03</v>
      </c>
      <c r="L1813" t="s">
        <v>2917</v>
      </c>
      <c r="M1813">
        <v>2395417.44</v>
      </c>
      <c r="N1813" t="s">
        <v>2918</v>
      </c>
      <c r="O1813" t="s">
        <v>7743</v>
      </c>
      <c r="P1813" t="s">
        <v>7744</v>
      </c>
      <c r="Q1813" t="s">
        <v>2924</v>
      </c>
      <c r="R1813" t="s">
        <v>3219</v>
      </c>
      <c r="S1813" t="s">
        <v>7745</v>
      </c>
      <c r="T1813" t="s">
        <v>7746</v>
      </c>
    </row>
    <row r="1814" spans="1:20">
      <c r="A1814" t="s">
        <v>2413</v>
      </c>
      <c r="B1814" t="s">
        <v>7740</v>
      </c>
      <c r="C1814">
        <v>45688</v>
      </c>
      <c r="D1814" t="s">
        <v>7263</v>
      </c>
      <c r="E1814" t="s">
        <v>2925</v>
      </c>
      <c r="F1814">
        <v>45695</v>
      </c>
      <c r="G1814" t="s">
        <v>7009</v>
      </c>
      <c r="H1814" t="s">
        <v>2916</v>
      </c>
      <c r="I1814" t="s">
        <v>8437</v>
      </c>
      <c r="J1814">
        <v>2</v>
      </c>
      <c r="K1814">
        <v>116251.45</v>
      </c>
      <c r="L1814" t="s">
        <v>2917</v>
      </c>
      <c r="M1814">
        <v>676077.08</v>
      </c>
      <c r="N1814" t="s">
        <v>2918</v>
      </c>
      <c r="O1814" t="s">
        <v>8438</v>
      </c>
      <c r="P1814" t="s">
        <v>7223</v>
      </c>
      <c r="Q1814" t="s">
        <v>2924</v>
      </c>
      <c r="R1814" t="s">
        <v>3219</v>
      </c>
      <c r="S1814" t="s">
        <v>7224</v>
      </c>
      <c r="T1814" t="s">
        <v>7225</v>
      </c>
    </row>
    <row r="1815" spans="1:20">
      <c r="A1815" t="s">
        <v>2413</v>
      </c>
      <c r="B1815" t="s">
        <v>7740</v>
      </c>
      <c r="C1815">
        <v>45688</v>
      </c>
      <c r="D1815" t="s">
        <v>7263</v>
      </c>
      <c r="E1815" t="s">
        <v>2925</v>
      </c>
      <c r="F1815">
        <v>45695</v>
      </c>
      <c r="G1815" t="s">
        <v>7009</v>
      </c>
      <c r="H1815" t="s">
        <v>2916</v>
      </c>
      <c r="I1815" t="s">
        <v>8437</v>
      </c>
      <c r="J1815">
        <v>3</v>
      </c>
      <c r="K1815">
        <v>174377.18</v>
      </c>
      <c r="L1815" t="s">
        <v>2917</v>
      </c>
      <c r="M1815">
        <v>1014115.62</v>
      </c>
      <c r="N1815" t="s">
        <v>2918</v>
      </c>
      <c r="O1815" t="s">
        <v>8438</v>
      </c>
      <c r="P1815" t="s">
        <v>7223</v>
      </c>
      <c r="Q1815" t="s">
        <v>2924</v>
      </c>
      <c r="R1815" t="s">
        <v>3219</v>
      </c>
      <c r="S1815" t="s">
        <v>7224</v>
      </c>
      <c r="T1815" t="s">
        <v>7225</v>
      </c>
    </row>
    <row r="1816" spans="1:20">
      <c r="A1816" t="s">
        <v>2413</v>
      </c>
      <c r="B1816" t="s">
        <v>7740</v>
      </c>
      <c r="C1816">
        <v>45688</v>
      </c>
      <c r="D1816" t="s">
        <v>7263</v>
      </c>
      <c r="E1816" t="s">
        <v>2925</v>
      </c>
      <c r="F1816">
        <v>45695</v>
      </c>
      <c r="G1816" t="s">
        <v>7009</v>
      </c>
      <c r="H1816" t="s">
        <v>2916</v>
      </c>
      <c r="I1816" t="s">
        <v>8439</v>
      </c>
      <c r="J1816">
        <v>0</v>
      </c>
      <c r="K1816">
        <v>-9823.0400000000009</v>
      </c>
      <c r="L1816" t="s">
        <v>2917</v>
      </c>
      <c r="M1816">
        <v>-57127.34</v>
      </c>
      <c r="N1816" t="s">
        <v>2918</v>
      </c>
      <c r="O1816" t="s">
        <v>8440</v>
      </c>
      <c r="P1816" t="s">
        <v>7223</v>
      </c>
      <c r="Q1816" t="s">
        <v>2924</v>
      </c>
      <c r="R1816" t="s">
        <v>3219</v>
      </c>
      <c r="S1816" t="s">
        <v>7224</v>
      </c>
      <c r="T1816" t="s">
        <v>7225</v>
      </c>
    </row>
    <row r="1817" spans="1:20">
      <c r="A1817" t="s">
        <v>2413</v>
      </c>
      <c r="B1817" t="s">
        <v>7740</v>
      </c>
      <c r="C1817">
        <v>45688</v>
      </c>
      <c r="D1817" t="s">
        <v>7263</v>
      </c>
      <c r="E1817" t="s">
        <v>2925</v>
      </c>
      <c r="F1817">
        <v>45695</v>
      </c>
      <c r="G1817" t="s">
        <v>7009</v>
      </c>
      <c r="H1817" t="s">
        <v>2916</v>
      </c>
      <c r="I1817" t="s">
        <v>8439</v>
      </c>
      <c r="J1817">
        <v>0</v>
      </c>
      <c r="K1817">
        <v>-14734.56</v>
      </c>
      <c r="L1817" t="s">
        <v>2917</v>
      </c>
      <c r="M1817">
        <v>-85690.99</v>
      </c>
      <c r="N1817" t="s">
        <v>2918</v>
      </c>
      <c r="O1817" t="s">
        <v>8440</v>
      </c>
      <c r="P1817" t="s">
        <v>7223</v>
      </c>
      <c r="Q1817" t="s">
        <v>2924</v>
      </c>
      <c r="R1817" t="s">
        <v>3219</v>
      </c>
      <c r="S1817" t="s">
        <v>7224</v>
      </c>
      <c r="T1817" t="s">
        <v>7225</v>
      </c>
    </row>
    <row r="1818" spans="1:20">
      <c r="A1818" t="s">
        <v>2413</v>
      </c>
      <c r="B1818" t="s">
        <v>7740</v>
      </c>
      <c r="C1818">
        <v>45691</v>
      </c>
      <c r="D1818" t="s">
        <v>7263</v>
      </c>
      <c r="E1818" t="s">
        <v>2925</v>
      </c>
      <c r="F1818">
        <v>45702</v>
      </c>
      <c r="G1818" t="s">
        <v>7741</v>
      </c>
      <c r="H1818" t="s">
        <v>2916</v>
      </c>
      <c r="I1818" t="s">
        <v>8699</v>
      </c>
      <c r="J1818">
        <v>0</v>
      </c>
      <c r="K1818">
        <v>-38099.19</v>
      </c>
      <c r="L1818" t="s">
        <v>2917</v>
      </c>
      <c r="M1818">
        <v>-221571.34</v>
      </c>
      <c r="N1818" t="s">
        <v>2918</v>
      </c>
      <c r="O1818" t="s">
        <v>8700</v>
      </c>
      <c r="P1818" t="s">
        <v>7744</v>
      </c>
      <c r="Q1818" t="s">
        <v>2924</v>
      </c>
      <c r="R1818" t="s">
        <v>3219</v>
      </c>
      <c r="S1818" t="s">
        <v>7745</v>
      </c>
      <c r="T1818" t="s">
        <v>7746</v>
      </c>
    </row>
    <row r="1819" spans="1:20">
      <c r="A1819" t="s">
        <v>2413</v>
      </c>
      <c r="B1819" t="s">
        <v>7740</v>
      </c>
      <c r="C1819">
        <v>45691</v>
      </c>
      <c r="D1819" t="s">
        <v>7263</v>
      </c>
      <c r="E1819" t="s">
        <v>2925</v>
      </c>
      <c r="F1819">
        <v>45702</v>
      </c>
      <c r="G1819" t="s">
        <v>7741</v>
      </c>
      <c r="H1819" t="s">
        <v>2916</v>
      </c>
      <c r="I1819" t="s">
        <v>8701</v>
      </c>
      <c r="J1819">
        <v>0</v>
      </c>
      <c r="K1819">
        <v>38099.19</v>
      </c>
      <c r="L1819" t="s">
        <v>2917</v>
      </c>
      <c r="M1819">
        <v>221571.34</v>
      </c>
      <c r="N1819" t="s">
        <v>2918</v>
      </c>
      <c r="O1819" t="s">
        <v>8700</v>
      </c>
      <c r="P1819" t="s">
        <v>7744</v>
      </c>
      <c r="Q1819" t="s">
        <v>2924</v>
      </c>
      <c r="R1819" t="s">
        <v>3219</v>
      </c>
      <c r="S1819" t="s">
        <v>7745</v>
      </c>
      <c r="T1819" t="s">
        <v>7746</v>
      </c>
    </row>
    <row r="1820" spans="1:20">
      <c r="A1820" t="s">
        <v>2413</v>
      </c>
      <c r="B1820" t="s">
        <v>7740</v>
      </c>
      <c r="C1820">
        <v>45691</v>
      </c>
      <c r="D1820" t="s">
        <v>7263</v>
      </c>
      <c r="E1820" t="s">
        <v>2925</v>
      </c>
      <c r="F1820">
        <v>45702</v>
      </c>
      <c r="G1820" t="s">
        <v>7741</v>
      </c>
      <c r="H1820" t="s">
        <v>2916</v>
      </c>
      <c r="I1820" t="s">
        <v>8702</v>
      </c>
      <c r="J1820">
        <v>0</v>
      </c>
      <c r="K1820">
        <v>-38099.31</v>
      </c>
      <c r="L1820" t="s">
        <v>2917</v>
      </c>
      <c r="M1820">
        <v>-221572.03</v>
      </c>
      <c r="N1820" t="s">
        <v>2918</v>
      </c>
      <c r="O1820" t="s">
        <v>8700</v>
      </c>
      <c r="P1820" t="s">
        <v>7744</v>
      </c>
      <c r="Q1820" t="s">
        <v>2924</v>
      </c>
      <c r="R1820" t="s">
        <v>3219</v>
      </c>
      <c r="S1820" t="s">
        <v>7745</v>
      </c>
      <c r="T1820" t="s">
        <v>7746</v>
      </c>
    </row>
    <row r="1821" spans="1:20">
      <c r="A1821" t="s">
        <v>2413</v>
      </c>
      <c r="B1821" t="s">
        <v>7740</v>
      </c>
      <c r="C1821">
        <v>45714</v>
      </c>
      <c r="D1821" t="s">
        <v>7263</v>
      </c>
      <c r="E1821" t="s">
        <v>2925</v>
      </c>
      <c r="F1821">
        <v>45714</v>
      </c>
      <c r="G1821" t="s">
        <v>2208</v>
      </c>
      <c r="H1821" t="s">
        <v>2916</v>
      </c>
      <c r="I1821" t="s">
        <v>9034</v>
      </c>
      <c r="J1821">
        <v>0</v>
      </c>
      <c r="K1821">
        <v>-25140.89</v>
      </c>
      <c r="L1821" t="s">
        <v>2917</v>
      </c>
      <c r="M1821">
        <v>-146210.45000000001</v>
      </c>
      <c r="N1821" t="s">
        <v>2918</v>
      </c>
      <c r="O1821" t="s">
        <v>9035</v>
      </c>
      <c r="P1821" t="s">
        <v>2208</v>
      </c>
      <c r="Q1821" t="s">
        <v>2933</v>
      </c>
      <c r="R1821" t="s">
        <v>3314</v>
      </c>
      <c r="S1821" t="s">
        <v>2208</v>
      </c>
      <c r="T1821" t="s">
        <v>2208</v>
      </c>
    </row>
    <row r="1822" spans="1:20">
      <c r="A1822" t="s">
        <v>2413</v>
      </c>
      <c r="B1822" t="s">
        <v>7740</v>
      </c>
      <c r="C1822">
        <v>45716</v>
      </c>
      <c r="D1822" t="s">
        <v>7263</v>
      </c>
      <c r="E1822" t="s">
        <v>2925</v>
      </c>
      <c r="F1822">
        <v>45716</v>
      </c>
      <c r="G1822" t="s">
        <v>2208</v>
      </c>
      <c r="H1822" t="s">
        <v>2916</v>
      </c>
      <c r="I1822" t="s">
        <v>9171</v>
      </c>
      <c r="J1822">
        <v>0</v>
      </c>
      <c r="K1822">
        <v>-0.06</v>
      </c>
      <c r="L1822" t="s">
        <v>2917</v>
      </c>
      <c r="M1822">
        <v>0</v>
      </c>
      <c r="N1822" t="s">
        <v>2918</v>
      </c>
      <c r="O1822" t="s">
        <v>2919</v>
      </c>
      <c r="P1822" t="s">
        <v>2208</v>
      </c>
      <c r="Q1822" t="s">
        <v>2916</v>
      </c>
      <c r="R1822" t="s">
        <v>3220</v>
      </c>
      <c r="S1822" t="s">
        <v>2208</v>
      </c>
      <c r="T1822" t="s">
        <v>2208</v>
      </c>
    </row>
    <row r="1823" spans="1:20">
      <c r="A1823" t="s">
        <v>2413</v>
      </c>
      <c r="B1823" t="s">
        <v>9126</v>
      </c>
      <c r="C1823">
        <v>45716</v>
      </c>
      <c r="D1823" t="s">
        <v>7263</v>
      </c>
      <c r="E1823" t="s">
        <v>9127</v>
      </c>
      <c r="F1823">
        <v>45730</v>
      </c>
      <c r="G1823" t="s">
        <v>7009</v>
      </c>
      <c r="H1823" t="s">
        <v>2916</v>
      </c>
      <c r="I1823" t="s">
        <v>10832</v>
      </c>
      <c r="J1823">
        <v>1</v>
      </c>
      <c r="K1823">
        <v>57936.43</v>
      </c>
      <c r="L1823" t="s">
        <v>2917</v>
      </c>
      <c r="M1823">
        <v>338038.54</v>
      </c>
      <c r="N1823" t="s">
        <v>2918</v>
      </c>
      <c r="O1823" t="s">
        <v>10833</v>
      </c>
      <c r="P1823" t="s">
        <v>7223</v>
      </c>
      <c r="Q1823" t="s">
        <v>2924</v>
      </c>
      <c r="R1823" t="s">
        <v>3219</v>
      </c>
      <c r="S1823" t="s">
        <v>7224</v>
      </c>
      <c r="T1823" t="s">
        <v>7225</v>
      </c>
    </row>
    <row r="1824" spans="1:20">
      <c r="A1824" t="s">
        <v>2413</v>
      </c>
      <c r="B1824" t="s">
        <v>9126</v>
      </c>
      <c r="C1824">
        <v>45716</v>
      </c>
      <c r="D1824" t="s">
        <v>7263</v>
      </c>
      <c r="E1824" t="s">
        <v>9127</v>
      </c>
      <c r="F1824">
        <v>45730</v>
      </c>
      <c r="G1824" t="s">
        <v>7009</v>
      </c>
      <c r="H1824" t="s">
        <v>2916</v>
      </c>
      <c r="I1824" t="s">
        <v>10834</v>
      </c>
      <c r="J1824">
        <v>0</v>
      </c>
      <c r="K1824">
        <v>-4895.53</v>
      </c>
      <c r="L1824" t="s">
        <v>2917</v>
      </c>
      <c r="M1824">
        <v>-28563.67</v>
      </c>
      <c r="N1824" t="s">
        <v>2918</v>
      </c>
      <c r="O1824" t="s">
        <v>10835</v>
      </c>
      <c r="P1824" t="s">
        <v>7223</v>
      </c>
      <c r="Q1824" t="s">
        <v>2924</v>
      </c>
      <c r="R1824" t="s">
        <v>3219</v>
      </c>
      <c r="S1824" t="s">
        <v>7224</v>
      </c>
      <c r="T1824" t="s">
        <v>7225</v>
      </c>
    </row>
    <row r="1825" spans="1:20">
      <c r="A1825" t="s">
        <v>2413</v>
      </c>
      <c r="B1825" t="s">
        <v>9126</v>
      </c>
      <c r="C1825">
        <v>45736</v>
      </c>
      <c r="D1825" t="s">
        <v>7263</v>
      </c>
      <c r="E1825" t="s">
        <v>9127</v>
      </c>
      <c r="F1825">
        <v>45737</v>
      </c>
      <c r="G1825" t="s">
        <v>11151</v>
      </c>
      <c r="H1825" t="s">
        <v>2916</v>
      </c>
      <c r="I1825" t="s">
        <v>11152</v>
      </c>
      <c r="J1825">
        <v>15</v>
      </c>
      <c r="K1825">
        <v>38.700000000000003</v>
      </c>
      <c r="L1825" t="s">
        <v>2917</v>
      </c>
      <c r="M1825">
        <v>225.82</v>
      </c>
      <c r="N1825" t="s">
        <v>2918</v>
      </c>
      <c r="O1825" t="s">
        <v>11153</v>
      </c>
      <c r="P1825" t="s">
        <v>11154</v>
      </c>
      <c r="Q1825" t="s">
        <v>2924</v>
      </c>
      <c r="R1825" t="s">
        <v>3219</v>
      </c>
      <c r="S1825" t="s">
        <v>11155</v>
      </c>
      <c r="T1825" t="s">
        <v>11156</v>
      </c>
    </row>
    <row r="1826" spans="1:20">
      <c r="A1826" t="s">
        <v>2413</v>
      </c>
      <c r="B1826" t="s">
        <v>9126</v>
      </c>
      <c r="C1826">
        <v>45736</v>
      </c>
      <c r="D1826" t="s">
        <v>7263</v>
      </c>
      <c r="E1826" t="s">
        <v>9127</v>
      </c>
      <c r="F1826">
        <v>45737</v>
      </c>
      <c r="G1826" t="s">
        <v>11151</v>
      </c>
      <c r="H1826" t="s">
        <v>2916</v>
      </c>
      <c r="I1826" t="s">
        <v>11157</v>
      </c>
      <c r="J1826">
        <v>0</v>
      </c>
      <c r="K1826">
        <v>-4.26</v>
      </c>
      <c r="L1826" t="s">
        <v>2917</v>
      </c>
      <c r="M1826">
        <v>-24.86</v>
      </c>
      <c r="N1826" t="s">
        <v>2918</v>
      </c>
      <c r="O1826" t="s">
        <v>11158</v>
      </c>
      <c r="P1826" t="s">
        <v>11154</v>
      </c>
      <c r="Q1826" t="s">
        <v>2924</v>
      </c>
      <c r="R1826" t="s">
        <v>3219</v>
      </c>
      <c r="S1826" t="s">
        <v>11155</v>
      </c>
      <c r="T1826" t="s">
        <v>11156</v>
      </c>
    </row>
    <row r="1827" spans="1:20">
      <c r="A1827" t="s">
        <v>2413</v>
      </c>
      <c r="B1827" t="s">
        <v>9126</v>
      </c>
      <c r="C1827">
        <v>45743</v>
      </c>
      <c r="D1827" t="s">
        <v>7263</v>
      </c>
      <c r="E1827" t="s">
        <v>9127</v>
      </c>
      <c r="F1827">
        <v>45743</v>
      </c>
      <c r="G1827" t="s">
        <v>2208</v>
      </c>
      <c r="H1827" t="s">
        <v>2916</v>
      </c>
      <c r="I1827" t="s">
        <v>11324</v>
      </c>
      <c r="J1827">
        <v>0</v>
      </c>
      <c r="K1827">
        <v>-5017.45</v>
      </c>
      <c r="L1827" t="s">
        <v>2917</v>
      </c>
      <c r="M1827">
        <v>-29275.02</v>
      </c>
      <c r="N1827" t="s">
        <v>2918</v>
      </c>
      <c r="O1827" t="s">
        <v>11325</v>
      </c>
      <c r="P1827" t="s">
        <v>2208</v>
      </c>
      <c r="Q1827" t="s">
        <v>2933</v>
      </c>
      <c r="R1827" t="s">
        <v>3314</v>
      </c>
      <c r="S1827" t="s">
        <v>2208</v>
      </c>
      <c r="T1827" t="s">
        <v>2208</v>
      </c>
    </row>
    <row r="1828" spans="1:20">
      <c r="A1828" t="s">
        <v>2413</v>
      </c>
      <c r="B1828" t="s">
        <v>9126</v>
      </c>
      <c r="C1828">
        <v>45747</v>
      </c>
      <c r="D1828" t="s">
        <v>7263</v>
      </c>
      <c r="E1828" t="s">
        <v>9127</v>
      </c>
      <c r="F1828">
        <v>45747</v>
      </c>
      <c r="G1828" t="s">
        <v>2208</v>
      </c>
      <c r="H1828" t="s">
        <v>2916</v>
      </c>
      <c r="I1828" t="s">
        <v>11422</v>
      </c>
      <c r="J1828">
        <v>0</v>
      </c>
      <c r="K1828">
        <v>0.04</v>
      </c>
      <c r="L1828" t="s">
        <v>2917</v>
      </c>
      <c r="M1828">
        <v>0</v>
      </c>
      <c r="N1828" t="s">
        <v>2918</v>
      </c>
      <c r="O1828" t="s">
        <v>2919</v>
      </c>
      <c r="P1828" t="s">
        <v>2208</v>
      </c>
      <c r="Q1828" t="s">
        <v>2916</v>
      </c>
      <c r="R1828" t="s">
        <v>3220</v>
      </c>
      <c r="S1828" t="s">
        <v>2208</v>
      </c>
      <c r="T1828" t="s">
        <v>2208</v>
      </c>
    </row>
    <row r="1829" spans="1:20">
      <c r="A1829" t="s">
        <v>2413</v>
      </c>
      <c r="B1829" t="s">
        <v>11331</v>
      </c>
      <c r="C1829">
        <v>45744</v>
      </c>
      <c r="D1829" t="s">
        <v>7263</v>
      </c>
      <c r="E1829" t="s">
        <v>11332</v>
      </c>
      <c r="F1829">
        <v>45751</v>
      </c>
      <c r="G1829" t="s">
        <v>11151</v>
      </c>
      <c r="H1829" t="s">
        <v>2916</v>
      </c>
      <c r="I1829" t="s">
        <v>12222</v>
      </c>
      <c r="J1829">
        <v>48</v>
      </c>
      <c r="K1829">
        <v>125.48</v>
      </c>
      <c r="L1829" t="s">
        <v>2917</v>
      </c>
      <c r="M1829">
        <v>722.62</v>
      </c>
      <c r="N1829" t="s">
        <v>2918</v>
      </c>
      <c r="O1829" t="s">
        <v>12223</v>
      </c>
      <c r="P1829" t="s">
        <v>11154</v>
      </c>
      <c r="Q1829" t="s">
        <v>2924</v>
      </c>
      <c r="R1829" t="s">
        <v>3219</v>
      </c>
      <c r="S1829" t="s">
        <v>11155</v>
      </c>
      <c r="T1829" t="s">
        <v>11156</v>
      </c>
    </row>
    <row r="1830" spans="1:20">
      <c r="A1830" t="s">
        <v>2413</v>
      </c>
      <c r="B1830" t="s">
        <v>11331</v>
      </c>
      <c r="C1830">
        <v>45744</v>
      </c>
      <c r="D1830" t="s">
        <v>7263</v>
      </c>
      <c r="E1830" t="s">
        <v>11332</v>
      </c>
      <c r="F1830">
        <v>45751</v>
      </c>
      <c r="G1830" t="s">
        <v>11151</v>
      </c>
      <c r="H1830" t="s">
        <v>2916</v>
      </c>
      <c r="I1830" t="s">
        <v>12224</v>
      </c>
      <c r="J1830">
        <v>0</v>
      </c>
      <c r="K1830">
        <v>-13.8</v>
      </c>
      <c r="L1830" t="s">
        <v>2917</v>
      </c>
      <c r="M1830">
        <v>-79.510000000000005</v>
      </c>
      <c r="N1830" t="s">
        <v>2918</v>
      </c>
      <c r="O1830" t="s">
        <v>12225</v>
      </c>
      <c r="P1830" t="s">
        <v>11154</v>
      </c>
      <c r="Q1830" t="s">
        <v>2924</v>
      </c>
      <c r="R1830" t="s">
        <v>3219</v>
      </c>
      <c r="S1830" t="s">
        <v>11155</v>
      </c>
      <c r="T1830" t="s">
        <v>11156</v>
      </c>
    </row>
    <row r="1831" spans="1:20">
      <c r="A1831" t="s">
        <v>2413</v>
      </c>
      <c r="B1831" t="s">
        <v>11331</v>
      </c>
      <c r="C1831">
        <v>45777</v>
      </c>
      <c r="D1831" t="s">
        <v>7263</v>
      </c>
      <c r="E1831" t="s">
        <v>11332</v>
      </c>
      <c r="F1831">
        <v>45777</v>
      </c>
      <c r="G1831" t="s">
        <v>2208</v>
      </c>
      <c r="H1831" t="s">
        <v>2916</v>
      </c>
      <c r="I1831" t="s">
        <v>16319</v>
      </c>
      <c r="J1831">
        <v>0</v>
      </c>
      <c r="K1831">
        <v>-18.3</v>
      </c>
      <c r="L1831" t="s">
        <v>2917</v>
      </c>
      <c r="M1831">
        <v>-105.38</v>
      </c>
      <c r="N1831" t="s">
        <v>2918</v>
      </c>
      <c r="O1831" t="s">
        <v>16320</v>
      </c>
      <c r="P1831" t="s">
        <v>2208</v>
      </c>
      <c r="Q1831" t="s">
        <v>2933</v>
      </c>
      <c r="R1831" t="s">
        <v>3314</v>
      </c>
      <c r="S1831" t="s">
        <v>2208</v>
      </c>
      <c r="T1831" t="s">
        <v>2208</v>
      </c>
    </row>
    <row r="1832" spans="1:20">
      <c r="A1832" t="s">
        <v>2413</v>
      </c>
      <c r="B1832" t="s">
        <v>11331</v>
      </c>
      <c r="C1832">
        <v>45777</v>
      </c>
      <c r="D1832" t="s">
        <v>7263</v>
      </c>
      <c r="E1832" t="s">
        <v>11332</v>
      </c>
      <c r="F1832">
        <v>45777</v>
      </c>
      <c r="G1832" t="s">
        <v>2208</v>
      </c>
      <c r="H1832" t="s">
        <v>2916</v>
      </c>
      <c r="I1832" t="s">
        <v>16458</v>
      </c>
      <c r="J1832">
        <v>0</v>
      </c>
      <c r="K1832">
        <v>0.04</v>
      </c>
      <c r="L1832" t="s">
        <v>2917</v>
      </c>
      <c r="M1832">
        <v>0</v>
      </c>
      <c r="N1832" t="s">
        <v>2918</v>
      </c>
      <c r="O1832" t="s">
        <v>2919</v>
      </c>
      <c r="P1832" t="s">
        <v>2208</v>
      </c>
      <c r="Q1832" t="s">
        <v>2916</v>
      </c>
      <c r="R1832" t="s">
        <v>3220</v>
      </c>
      <c r="S1832" t="s">
        <v>2208</v>
      </c>
      <c r="T1832" t="s">
        <v>2208</v>
      </c>
    </row>
    <row r="1833" spans="1:20">
      <c r="A1833" t="s">
        <v>2413</v>
      </c>
      <c r="B1833" t="s">
        <v>2920</v>
      </c>
      <c r="C1833">
        <v>45687</v>
      </c>
      <c r="D1833" t="s">
        <v>7263</v>
      </c>
      <c r="E1833" t="s">
        <v>2921</v>
      </c>
      <c r="F1833">
        <v>45687</v>
      </c>
      <c r="G1833" t="s">
        <v>2208</v>
      </c>
      <c r="H1833" t="s">
        <v>2916</v>
      </c>
      <c r="I1833" t="s">
        <v>7747</v>
      </c>
      <c r="J1833">
        <v>0</v>
      </c>
      <c r="K1833">
        <v>-5997.48</v>
      </c>
      <c r="L1833" t="s">
        <v>2917</v>
      </c>
      <c r="M1833">
        <v>-37037.5</v>
      </c>
      <c r="N1833" t="s">
        <v>2918</v>
      </c>
      <c r="O1833" t="s">
        <v>7489</v>
      </c>
      <c r="P1833" t="s">
        <v>2208</v>
      </c>
      <c r="Q1833" t="s">
        <v>7490</v>
      </c>
      <c r="R1833" t="s">
        <v>7491</v>
      </c>
      <c r="S1833" t="s">
        <v>2208</v>
      </c>
      <c r="T1833" t="s">
        <v>2208</v>
      </c>
    </row>
    <row r="1834" spans="1:20">
      <c r="A1834" t="s">
        <v>2413</v>
      </c>
      <c r="B1834" t="s">
        <v>2920</v>
      </c>
      <c r="C1834">
        <v>45688</v>
      </c>
      <c r="D1834" t="s">
        <v>7263</v>
      </c>
      <c r="E1834" t="s">
        <v>2921</v>
      </c>
      <c r="F1834">
        <v>45688</v>
      </c>
      <c r="G1834" t="s">
        <v>2208</v>
      </c>
      <c r="H1834" t="s">
        <v>2916</v>
      </c>
      <c r="I1834" t="s">
        <v>7748</v>
      </c>
      <c r="J1834">
        <v>0</v>
      </c>
      <c r="K1834">
        <v>-0.08</v>
      </c>
      <c r="L1834" t="s">
        <v>2917</v>
      </c>
      <c r="M1834">
        <v>0</v>
      </c>
      <c r="N1834" t="s">
        <v>2918</v>
      </c>
      <c r="O1834" t="s">
        <v>2919</v>
      </c>
      <c r="P1834" t="s">
        <v>2208</v>
      </c>
      <c r="Q1834" t="s">
        <v>2916</v>
      </c>
      <c r="R1834" t="s">
        <v>3220</v>
      </c>
      <c r="S1834" t="s">
        <v>2208</v>
      </c>
      <c r="T1834" t="s">
        <v>2208</v>
      </c>
    </row>
    <row r="1835" spans="1:20">
      <c r="A1835" t="s">
        <v>2413</v>
      </c>
      <c r="B1835" t="s">
        <v>7740</v>
      </c>
      <c r="C1835">
        <v>45684</v>
      </c>
      <c r="D1835" t="s">
        <v>7263</v>
      </c>
      <c r="E1835" t="s">
        <v>2925</v>
      </c>
      <c r="F1835">
        <v>45705</v>
      </c>
      <c r="G1835" t="s">
        <v>8703</v>
      </c>
      <c r="H1835" t="s">
        <v>2916</v>
      </c>
      <c r="I1835" t="s">
        <v>8704</v>
      </c>
      <c r="J1835">
        <v>0</v>
      </c>
      <c r="K1835">
        <v>72.290000000000006</v>
      </c>
      <c r="L1835" t="s">
        <v>2917</v>
      </c>
      <c r="M1835">
        <v>420.39</v>
      </c>
      <c r="N1835" t="s">
        <v>2918</v>
      </c>
      <c r="O1835" t="s">
        <v>8705</v>
      </c>
      <c r="P1835" t="s">
        <v>8706</v>
      </c>
      <c r="Q1835" t="s">
        <v>2931</v>
      </c>
      <c r="R1835" t="s">
        <v>2932</v>
      </c>
      <c r="S1835" t="s">
        <v>8707</v>
      </c>
      <c r="T1835" t="s">
        <v>8706</v>
      </c>
    </row>
    <row r="1836" spans="1:20">
      <c r="A1836" t="s">
        <v>2413</v>
      </c>
      <c r="B1836" t="s">
        <v>7740</v>
      </c>
      <c r="C1836">
        <v>45684</v>
      </c>
      <c r="D1836" t="s">
        <v>7263</v>
      </c>
      <c r="E1836" t="s">
        <v>2925</v>
      </c>
      <c r="F1836">
        <v>45705</v>
      </c>
      <c r="G1836" t="s">
        <v>8703</v>
      </c>
      <c r="H1836" t="s">
        <v>2916</v>
      </c>
      <c r="I1836" t="s">
        <v>8704</v>
      </c>
      <c r="J1836">
        <v>0</v>
      </c>
      <c r="K1836">
        <v>5.87</v>
      </c>
      <c r="L1836" t="s">
        <v>2917</v>
      </c>
      <c r="M1836">
        <v>34.14</v>
      </c>
      <c r="N1836" t="s">
        <v>2918</v>
      </c>
      <c r="O1836" t="s">
        <v>8705</v>
      </c>
      <c r="P1836" t="s">
        <v>8708</v>
      </c>
      <c r="Q1836" t="s">
        <v>2931</v>
      </c>
      <c r="R1836" t="s">
        <v>2932</v>
      </c>
      <c r="S1836" t="s">
        <v>8709</v>
      </c>
      <c r="T1836" t="s">
        <v>8708</v>
      </c>
    </row>
    <row r="1837" spans="1:20">
      <c r="A1837" t="s">
        <v>2413</v>
      </c>
      <c r="B1837" t="s">
        <v>7740</v>
      </c>
      <c r="C1837">
        <v>45684</v>
      </c>
      <c r="D1837" t="s">
        <v>7263</v>
      </c>
      <c r="E1837" t="s">
        <v>2925</v>
      </c>
      <c r="F1837">
        <v>45705</v>
      </c>
      <c r="G1837" t="s">
        <v>8703</v>
      </c>
      <c r="H1837" t="s">
        <v>2916</v>
      </c>
      <c r="I1837" t="s">
        <v>8704</v>
      </c>
      <c r="J1837">
        <v>0</v>
      </c>
      <c r="K1837">
        <v>38.92</v>
      </c>
      <c r="L1837" t="s">
        <v>2917</v>
      </c>
      <c r="M1837">
        <v>226.36</v>
      </c>
      <c r="N1837" t="s">
        <v>2918</v>
      </c>
      <c r="O1837" t="s">
        <v>8705</v>
      </c>
      <c r="P1837" t="s">
        <v>8710</v>
      </c>
      <c r="Q1837" t="s">
        <v>2931</v>
      </c>
      <c r="R1837" t="s">
        <v>2932</v>
      </c>
      <c r="S1837" t="s">
        <v>8711</v>
      </c>
      <c r="T1837" t="s">
        <v>8710</v>
      </c>
    </row>
    <row r="1838" spans="1:20">
      <c r="A1838" t="s">
        <v>2413</v>
      </c>
      <c r="B1838" t="s">
        <v>7740</v>
      </c>
      <c r="C1838">
        <v>45684</v>
      </c>
      <c r="D1838" t="s">
        <v>7263</v>
      </c>
      <c r="E1838" t="s">
        <v>2925</v>
      </c>
      <c r="F1838">
        <v>45705</v>
      </c>
      <c r="G1838" t="s">
        <v>8703</v>
      </c>
      <c r="H1838" t="s">
        <v>2916</v>
      </c>
      <c r="I1838" t="s">
        <v>8704</v>
      </c>
      <c r="J1838">
        <v>0</v>
      </c>
      <c r="K1838">
        <v>33.71</v>
      </c>
      <c r="L1838" t="s">
        <v>2917</v>
      </c>
      <c r="M1838">
        <v>196.06</v>
      </c>
      <c r="N1838" t="s">
        <v>2918</v>
      </c>
      <c r="O1838" t="s">
        <v>8705</v>
      </c>
      <c r="P1838" t="s">
        <v>8712</v>
      </c>
      <c r="Q1838" t="s">
        <v>2931</v>
      </c>
      <c r="R1838" t="s">
        <v>2932</v>
      </c>
      <c r="S1838" t="s">
        <v>8713</v>
      </c>
      <c r="T1838" t="s">
        <v>8712</v>
      </c>
    </row>
    <row r="1839" spans="1:20">
      <c r="A1839" t="s">
        <v>2413</v>
      </c>
      <c r="B1839" t="s">
        <v>7740</v>
      </c>
      <c r="C1839">
        <v>45684</v>
      </c>
      <c r="D1839" t="s">
        <v>7263</v>
      </c>
      <c r="E1839" t="s">
        <v>2925</v>
      </c>
      <c r="F1839">
        <v>45705</v>
      </c>
      <c r="G1839" t="s">
        <v>8703</v>
      </c>
      <c r="H1839" t="s">
        <v>2916</v>
      </c>
      <c r="I1839" t="s">
        <v>8704</v>
      </c>
      <c r="J1839">
        <v>0</v>
      </c>
      <c r="K1839">
        <v>92.84</v>
      </c>
      <c r="L1839" t="s">
        <v>2917</v>
      </c>
      <c r="M1839">
        <v>539.91</v>
      </c>
      <c r="N1839" t="s">
        <v>2918</v>
      </c>
      <c r="O1839" t="s">
        <v>8705</v>
      </c>
      <c r="P1839" t="s">
        <v>8714</v>
      </c>
      <c r="Q1839" t="s">
        <v>2931</v>
      </c>
      <c r="R1839" t="s">
        <v>2932</v>
      </c>
      <c r="S1839" t="s">
        <v>8715</v>
      </c>
      <c r="T1839" t="s">
        <v>8714</v>
      </c>
    </row>
    <row r="1840" spans="1:20">
      <c r="A1840" t="s">
        <v>2413</v>
      </c>
      <c r="B1840" t="s">
        <v>7740</v>
      </c>
      <c r="C1840">
        <v>45684</v>
      </c>
      <c r="D1840" t="s">
        <v>7263</v>
      </c>
      <c r="E1840" t="s">
        <v>2925</v>
      </c>
      <c r="F1840">
        <v>45705</v>
      </c>
      <c r="G1840" t="s">
        <v>8703</v>
      </c>
      <c r="H1840" t="s">
        <v>2916</v>
      </c>
      <c r="I1840" t="s">
        <v>8704</v>
      </c>
      <c r="J1840">
        <v>0</v>
      </c>
      <c r="K1840">
        <v>235.08</v>
      </c>
      <c r="L1840" t="s">
        <v>2917</v>
      </c>
      <c r="M1840">
        <v>1367.13</v>
      </c>
      <c r="N1840" t="s">
        <v>2918</v>
      </c>
      <c r="O1840" t="s">
        <v>8705</v>
      </c>
      <c r="P1840" t="s">
        <v>8716</v>
      </c>
      <c r="Q1840" t="s">
        <v>2931</v>
      </c>
      <c r="R1840" t="s">
        <v>2932</v>
      </c>
      <c r="S1840" t="s">
        <v>8717</v>
      </c>
      <c r="T1840" t="s">
        <v>8716</v>
      </c>
    </row>
    <row r="1841" spans="1:20">
      <c r="A1841" t="s">
        <v>2413</v>
      </c>
      <c r="B1841" t="s">
        <v>7740</v>
      </c>
      <c r="C1841">
        <v>45684</v>
      </c>
      <c r="D1841" t="s">
        <v>7263</v>
      </c>
      <c r="E1841" t="s">
        <v>2925</v>
      </c>
      <c r="F1841">
        <v>45705</v>
      </c>
      <c r="G1841" t="s">
        <v>8703</v>
      </c>
      <c r="H1841" t="s">
        <v>2916</v>
      </c>
      <c r="I1841" t="s">
        <v>8704</v>
      </c>
      <c r="J1841">
        <v>0</v>
      </c>
      <c r="K1841">
        <v>172.21</v>
      </c>
      <c r="L1841" t="s">
        <v>2917</v>
      </c>
      <c r="M1841">
        <v>1001.49</v>
      </c>
      <c r="N1841" t="s">
        <v>2918</v>
      </c>
      <c r="O1841" t="s">
        <v>8705</v>
      </c>
      <c r="P1841" t="s">
        <v>8718</v>
      </c>
      <c r="Q1841" t="s">
        <v>2931</v>
      </c>
      <c r="R1841" t="s">
        <v>2932</v>
      </c>
      <c r="S1841" t="s">
        <v>8719</v>
      </c>
      <c r="T1841" t="s">
        <v>8718</v>
      </c>
    </row>
    <row r="1842" spans="1:20">
      <c r="A1842" t="s">
        <v>2413</v>
      </c>
      <c r="B1842" t="s">
        <v>7740</v>
      </c>
      <c r="C1842">
        <v>45684</v>
      </c>
      <c r="D1842" t="s">
        <v>7263</v>
      </c>
      <c r="E1842" t="s">
        <v>2925</v>
      </c>
      <c r="F1842">
        <v>45705</v>
      </c>
      <c r="G1842" t="s">
        <v>8703</v>
      </c>
      <c r="H1842" t="s">
        <v>2916</v>
      </c>
      <c r="I1842" t="s">
        <v>8704</v>
      </c>
      <c r="J1842">
        <v>0</v>
      </c>
      <c r="K1842">
        <v>11.14</v>
      </c>
      <c r="L1842" t="s">
        <v>2917</v>
      </c>
      <c r="M1842">
        <v>64.760000000000005</v>
      </c>
      <c r="N1842" t="s">
        <v>2918</v>
      </c>
      <c r="O1842" t="s">
        <v>8705</v>
      </c>
      <c r="P1842" t="s">
        <v>8720</v>
      </c>
      <c r="Q1842" t="s">
        <v>2931</v>
      </c>
      <c r="R1842" t="s">
        <v>2932</v>
      </c>
      <c r="S1842" t="s">
        <v>8721</v>
      </c>
      <c r="T1842" t="s">
        <v>8720</v>
      </c>
    </row>
    <row r="1843" spans="1:20">
      <c r="A1843" t="s">
        <v>2413</v>
      </c>
      <c r="B1843" t="s">
        <v>7740</v>
      </c>
      <c r="C1843">
        <v>45684</v>
      </c>
      <c r="D1843" t="s">
        <v>7263</v>
      </c>
      <c r="E1843" t="s">
        <v>2925</v>
      </c>
      <c r="F1843">
        <v>45705</v>
      </c>
      <c r="G1843" t="s">
        <v>8703</v>
      </c>
      <c r="H1843" t="s">
        <v>2916</v>
      </c>
      <c r="I1843" t="s">
        <v>8704</v>
      </c>
      <c r="J1843">
        <v>0</v>
      </c>
      <c r="K1843">
        <v>9.2200000000000006</v>
      </c>
      <c r="L1843" t="s">
        <v>2917</v>
      </c>
      <c r="M1843">
        <v>53.63</v>
      </c>
      <c r="N1843" t="s">
        <v>2918</v>
      </c>
      <c r="O1843" t="s">
        <v>8705</v>
      </c>
      <c r="P1843" t="s">
        <v>8722</v>
      </c>
      <c r="Q1843" t="s">
        <v>2931</v>
      </c>
      <c r="R1843" t="s">
        <v>2932</v>
      </c>
      <c r="S1843" t="s">
        <v>8723</v>
      </c>
      <c r="T1843" t="s">
        <v>8722</v>
      </c>
    </row>
    <row r="1844" spans="1:20">
      <c r="A1844" t="s">
        <v>2413</v>
      </c>
      <c r="B1844" t="s">
        <v>7740</v>
      </c>
      <c r="C1844">
        <v>45716</v>
      </c>
      <c r="D1844" t="s">
        <v>7263</v>
      </c>
      <c r="E1844" t="s">
        <v>2925</v>
      </c>
      <c r="F1844">
        <v>45716</v>
      </c>
      <c r="G1844" t="s">
        <v>2208</v>
      </c>
      <c r="H1844" t="s">
        <v>2916</v>
      </c>
      <c r="I1844" t="s">
        <v>9139</v>
      </c>
      <c r="J1844">
        <v>0</v>
      </c>
      <c r="K1844">
        <v>-238.5</v>
      </c>
      <c r="L1844" t="s">
        <v>2917</v>
      </c>
      <c r="M1844">
        <v>-1387.06</v>
      </c>
      <c r="N1844" t="s">
        <v>2918</v>
      </c>
      <c r="O1844" t="s">
        <v>7591</v>
      </c>
      <c r="P1844" t="s">
        <v>2208</v>
      </c>
      <c r="Q1844" t="s">
        <v>6851</v>
      </c>
      <c r="R1844" t="s">
        <v>6852</v>
      </c>
      <c r="S1844" t="s">
        <v>2208</v>
      </c>
      <c r="T1844" t="s">
        <v>2208</v>
      </c>
    </row>
    <row r="1845" spans="1:20">
      <c r="A1845" t="s">
        <v>2413</v>
      </c>
      <c r="B1845" t="s">
        <v>7740</v>
      </c>
      <c r="C1845">
        <v>45716</v>
      </c>
      <c r="D1845" t="s">
        <v>7263</v>
      </c>
      <c r="E1845" t="s">
        <v>2925</v>
      </c>
      <c r="F1845">
        <v>45716</v>
      </c>
      <c r="G1845" t="s">
        <v>2208</v>
      </c>
      <c r="H1845" t="s">
        <v>2916</v>
      </c>
      <c r="I1845" t="s">
        <v>9140</v>
      </c>
      <c r="J1845">
        <v>0</v>
      </c>
      <c r="K1845">
        <v>-51.78</v>
      </c>
      <c r="L1845" t="s">
        <v>2917</v>
      </c>
      <c r="M1845">
        <v>-301.14</v>
      </c>
      <c r="N1845" t="s">
        <v>2918</v>
      </c>
      <c r="O1845" t="s">
        <v>7587</v>
      </c>
      <c r="P1845" t="s">
        <v>2208</v>
      </c>
      <c r="Q1845" t="s">
        <v>7588</v>
      </c>
      <c r="R1845" t="s">
        <v>7589</v>
      </c>
      <c r="S1845" t="s">
        <v>2208</v>
      </c>
      <c r="T1845" t="s">
        <v>2208</v>
      </c>
    </row>
    <row r="1846" spans="1:20">
      <c r="A1846" t="s">
        <v>2413</v>
      </c>
      <c r="B1846" t="s">
        <v>7740</v>
      </c>
      <c r="C1846">
        <v>45716</v>
      </c>
      <c r="D1846" t="s">
        <v>7263</v>
      </c>
      <c r="E1846" t="s">
        <v>2925</v>
      </c>
      <c r="F1846">
        <v>45716</v>
      </c>
      <c r="G1846" t="s">
        <v>2208</v>
      </c>
      <c r="H1846" t="s">
        <v>2916</v>
      </c>
      <c r="I1846" t="s">
        <v>9172</v>
      </c>
      <c r="J1846">
        <v>0</v>
      </c>
      <c r="K1846">
        <v>0.04</v>
      </c>
      <c r="L1846" t="s">
        <v>2917</v>
      </c>
      <c r="M1846">
        <v>0</v>
      </c>
      <c r="N1846" t="s">
        <v>2918</v>
      </c>
      <c r="O1846" t="s">
        <v>2919</v>
      </c>
      <c r="P1846" t="s">
        <v>2208</v>
      </c>
      <c r="Q1846" t="s">
        <v>2916</v>
      </c>
      <c r="R1846" t="s">
        <v>3220</v>
      </c>
      <c r="S1846" t="s">
        <v>2208</v>
      </c>
      <c r="T1846" t="s">
        <v>2208</v>
      </c>
    </row>
    <row r="1847" spans="1:20">
      <c r="A1847" t="s">
        <v>2413</v>
      </c>
      <c r="B1847" t="s">
        <v>9126</v>
      </c>
      <c r="C1847">
        <v>45707</v>
      </c>
      <c r="D1847" t="s">
        <v>7263</v>
      </c>
      <c r="E1847" t="s">
        <v>9127</v>
      </c>
      <c r="F1847">
        <v>45733</v>
      </c>
      <c r="G1847" t="s">
        <v>10897</v>
      </c>
      <c r="H1847" t="s">
        <v>2916</v>
      </c>
      <c r="I1847" t="s">
        <v>10898</v>
      </c>
      <c r="J1847">
        <v>5</v>
      </c>
      <c r="K1847">
        <v>2636.61</v>
      </c>
      <c r="L1847" t="s">
        <v>2917</v>
      </c>
      <c r="M1847">
        <v>15383.7</v>
      </c>
      <c r="N1847" t="s">
        <v>2918</v>
      </c>
      <c r="O1847" t="s">
        <v>10899</v>
      </c>
      <c r="P1847" t="s">
        <v>10900</v>
      </c>
      <c r="Q1847" t="s">
        <v>2924</v>
      </c>
      <c r="R1847" t="s">
        <v>3219</v>
      </c>
      <c r="S1847" t="s">
        <v>10901</v>
      </c>
      <c r="T1847" t="s">
        <v>10902</v>
      </c>
    </row>
    <row r="1848" spans="1:20">
      <c r="A1848" t="s">
        <v>2413</v>
      </c>
      <c r="B1848" t="s">
        <v>9126</v>
      </c>
      <c r="C1848">
        <v>45700</v>
      </c>
      <c r="D1848" t="s">
        <v>7263</v>
      </c>
      <c r="E1848" t="s">
        <v>9127</v>
      </c>
      <c r="F1848">
        <v>45733</v>
      </c>
      <c r="G1848" t="s">
        <v>10897</v>
      </c>
      <c r="H1848" t="s">
        <v>2916</v>
      </c>
      <c r="I1848" t="s">
        <v>10903</v>
      </c>
      <c r="J1848">
        <v>10</v>
      </c>
      <c r="K1848">
        <v>9175.73</v>
      </c>
      <c r="L1848" t="s">
        <v>2917</v>
      </c>
      <c r="M1848">
        <v>53537.16</v>
      </c>
      <c r="N1848" t="s">
        <v>2918</v>
      </c>
      <c r="O1848" t="s">
        <v>10904</v>
      </c>
      <c r="P1848" t="s">
        <v>10905</v>
      </c>
      <c r="Q1848" t="s">
        <v>2924</v>
      </c>
      <c r="R1848" t="s">
        <v>3219</v>
      </c>
      <c r="S1848" t="s">
        <v>10906</v>
      </c>
      <c r="T1848" t="s">
        <v>10907</v>
      </c>
    </row>
    <row r="1849" spans="1:20">
      <c r="A1849" t="s">
        <v>2413</v>
      </c>
      <c r="B1849" t="s">
        <v>9126</v>
      </c>
      <c r="C1849">
        <v>45700</v>
      </c>
      <c r="D1849" t="s">
        <v>7263</v>
      </c>
      <c r="E1849" t="s">
        <v>9127</v>
      </c>
      <c r="F1849">
        <v>45733</v>
      </c>
      <c r="G1849" t="s">
        <v>10897</v>
      </c>
      <c r="H1849" t="s">
        <v>2916</v>
      </c>
      <c r="I1849" t="s">
        <v>10908</v>
      </c>
      <c r="J1849">
        <v>0</v>
      </c>
      <c r="K1849">
        <v>-746.89</v>
      </c>
      <c r="L1849" t="s">
        <v>2917</v>
      </c>
      <c r="M1849">
        <v>-4357.8900000000003</v>
      </c>
      <c r="N1849" t="s">
        <v>2918</v>
      </c>
      <c r="O1849" t="s">
        <v>10909</v>
      </c>
      <c r="P1849" t="s">
        <v>10905</v>
      </c>
      <c r="Q1849" t="s">
        <v>2924</v>
      </c>
      <c r="R1849" t="s">
        <v>3219</v>
      </c>
      <c r="S1849" t="s">
        <v>10906</v>
      </c>
      <c r="T1849" t="s">
        <v>10907</v>
      </c>
    </row>
    <row r="1850" spans="1:20">
      <c r="A1850" t="s">
        <v>2413</v>
      </c>
      <c r="B1850" t="s">
        <v>9126</v>
      </c>
      <c r="C1850">
        <v>45707</v>
      </c>
      <c r="D1850" t="s">
        <v>7263</v>
      </c>
      <c r="E1850" t="s">
        <v>9127</v>
      </c>
      <c r="F1850">
        <v>45733</v>
      </c>
      <c r="G1850" t="s">
        <v>10897</v>
      </c>
      <c r="H1850" t="s">
        <v>2916</v>
      </c>
      <c r="I1850" t="s">
        <v>10910</v>
      </c>
      <c r="J1850">
        <v>0</v>
      </c>
      <c r="K1850">
        <v>-222.42</v>
      </c>
      <c r="L1850" t="s">
        <v>2917</v>
      </c>
      <c r="M1850">
        <v>-1297.76</v>
      </c>
      <c r="N1850" t="s">
        <v>2918</v>
      </c>
      <c r="O1850" t="s">
        <v>10911</v>
      </c>
      <c r="P1850" t="s">
        <v>10900</v>
      </c>
      <c r="Q1850" t="s">
        <v>2924</v>
      </c>
      <c r="R1850" t="s">
        <v>3219</v>
      </c>
      <c r="S1850" t="s">
        <v>10901</v>
      </c>
      <c r="T1850" t="s">
        <v>10902</v>
      </c>
    </row>
    <row r="1851" spans="1:20">
      <c r="A1851" t="s">
        <v>2413</v>
      </c>
      <c r="B1851" t="s">
        <v>9126</v>
      </c>
      <c r="C1851">
        <v>45700</v>
      </c>
      <c r="D1851" t="s">
        <v>7263</v>
      </c>
      <c r="E1851" t="s">
        <v>9127</v>
      </c>
      <c r="F1851">
        <v>45733</v>
      </c>
      <c r="G1851" t="s">
        <v>10897</v>
      </c>
      <c r="H1851" t="s">
        <v>2916</v>
      </c>
      <c r="I1851" t="s">
        <v>11002</v>
      </c>
      <c r="J1851">
        <v>0</v>
      </c>
      <c r="K1851">
        <v>746.89</v>
      </c>
      <c r="L1851" t="s">
        <v>2917</v>
      </c>
      <c r="M1851">
        <v>4357.8900000000003</v>
      </c>
      <c r="N1851" t="s">
        <v>2918</v>
      </c>
      <c r="O1851" t="s">
        <v>11003</v>
      </c>
      <c r="P1851" t="s">
        <v>10905</v>
      </c>
      <c r="Q1851" t="s">
        <v>2924</v>
      </c>
      <c r="R1851" t="s">
        <v>3219</v>
      </c>
      <c r="S1851" t="s">
        <v>10906</v>
      </c>
      <c r="T1851" t="s">
        <v>10907</v>
      </c>
    </row>
    <row r="1852" spans="1:20">
      <c r="A1852" t="s">
        <v>2413</v>
      </c>
      <c r="B1852" t="s">
        <v>9126</v>
      </c>
      <c r="C1852">
        <v>45707</v>
      </c>
      <c r="D1852" t="s">
        <v>7263</v>
      </c>
      <c r="E1852" t="s">
        <v>9127</v>
      </c>
      <c r="F1852">
        <v>45733</v>
      </c>
      <c r="G1852" t="s">
        <v>10897</v>
      </c>
      <c r="H1852" t="s">
        <v>2916</v>
      </c>
      <c r="I1852" t="s">
        <v>11004</v>
      </c>
      <c r="J1852">
        <v>0</v>
      </c>
      <c r="K1852">
        <v>222.42</v>
      </c>
      <c r="L1852" t="s">
        <v>2917</v>
      </c>
      <c r="M1852">
        <v>1297.76</v>
      </c>
      <c r="N1852" t="s">
        <v>2918</v>
      </c>
      <c r="O1852" t="s">
        <v>11005</v>
      </c>
      <c r="P1852" t="s">
        <v>10900</v>
      </c>
      <c r="Q1852" t="s">
        <v>2924</v>
      </c>
      <c r="R1852" t="s">
        <v>3219</v>
      </c>
      <c r="S1852" t="s">
        <v>10901</v>
      </c>
      <c r="T1852" t="s">
        <v>10902</v>
      </c>
    </row>
    <row r="1853" spans="1:20">
      <c r="A1853" t="s">
        <v>2413</v>
      </c>
      <c r="B1853" t="s">
        <v>9126</v>
      </c>
      <c r="C1853">
        <v>45700</v>
      </c>
      <c r="D1853" t="s">
        <v>7263</v>
      </c>
      <c r="E1853" t="s">
        <v>9127</v>
      </c>
      <c r="F1853">
        <v>45736</v>
      </c>
      <c r="G1853" t="s">
        <v>10897</v>
      </c>
      <c r="H1853" t="s">
        <v>2916</v>
      </c>
      <c r="I1853" t="s">
        <v>11006</v>
      </c>
      <c r="J1853">
        <v>0</v>
      </c>
      <c r="K1853">
        <v>-1847.98</v>
      </c>
      <c r="L1853" t="s">
        <v>2917</v>
      </c>
      <c r="M1853">
        <v>-10782.35</v>
      </c>
      <c r="N1853" t="s">
        <v>2918</v>
      </c>
      <c r="O1853" t="s">
        <v>11003</v>
      </c>
      <c r="P1853" t="s">
        <v>10905</v>
      </c>
      <c r="Q1853" t="s">
        <v>2924</v>
      </c>
      <c r="R1853" t="s">
        <v>3219</v>
      </c>
      <c r="S1853" t="s">
        <v>10906</v>
      </c>
      <c r="T1853" t="s">
        <v>10907</v>
      </c>
    </row>
    <row r="1854" spans="1:20">
      <c r="A1854" t="s">
        <v>2413</v>
      </c>
      <c r="B1854" t="s">
        <v>9126</v>
      </c>
      <c r="C1854">
        <v>45707</v>
      </c>
      <c r="D1854" t="s">
        <v>7263</v>
      </c>
      <c r="E1854" t="s">
        <v>9127</v>
      </c>
      <c r="F1854">
        <v>45736</v>
      </c>
      <c r="G1854" t="s">
        <v>10897</v>
      </c>
      <c r="H1854" t="s">
        <v>2916</v>
      </c>
      <c r="I1854" t="s">
        <v>11007</v>
      </c>
      <c r="J1854">
        <v>0</v>
      </c>
      <c r="K1854">
        <v>-454.45</v>
      </c>
      <c r="L1854" t="s">
        <v>2917</v>
      </c>
      <c r="M1854">
        <v>-2651.56</v>
      </c>
      <c r="N1854" t="s">
        <v>2918</v>
      </c>
      <c r="O1854" t="s">
        <v>11005</v>
      </c>
      <c r="P1854" t="s">
        <v>10900</v>
      </c>
      <c r="Q1854" t="s">
        <v>2924</v>
      </c>
      <c r="R1854" t="s">
        <v>3219</v>
      </c>
      <c r="S1854" t="s">
        <v>10901</v>
      </c>
      <c r="T1854" t="s">
        <v>10902</v>
      </c>
    </row>
    <row r="1855" spans="1:20">
      <c r="A1855" t="s">
        <v>2413</v>
      </c>
      <c r="B1855" t="s">
        <v>9126</v>
      </c>
      <c r="C1855">
        <v>45744</v>
      </c>
      <c r="D1855" t="s">
        <v>7263</v>
      </c>
      <c r="E1855" t="s">
        <v>9127</v>
      </c>
      <c r="F1855">
        <v>45744</v>
      </c>
      <c r="G1855" t="s">
        <v>2208</v>
      </c>
      <c r="H1855" t="s">
        <v>2916</v>
      </c>
      <c r="I1855" t="s">
        <v>11319</v>
      </c>
      <c r="J1855">
        <v>0</v>
      </c>
      <c r="K1855">
        <v>3128</v>
      </c>
      <c r="L1855" t="s">
        <v>2917</v>
      </c>
      <c r="M1855">
        <v>18250.8</v>
      </c>
      <c r="N1855" t="s">
        <v>2918</v>
      </c>
      <c r="O1855" t="s">
        <v>11320</v>
      </c>
      <c r="P1855" t="s">
        <v>2208</v>
      </c>
      <c r="Q1855" t="s">
        <v>2927</v>
      </c>
      <c r="R1855" t="s">
        <v>3222</v>
      </c>
      <c r="S1855" t="s">
        <v>2208</v>
      </c>
      <c r="T1855" t="s">
        <v>2208</v>
      </c>
    </row>
    <row r="1856" spans="1:20">
      <c r="A1856" t="s">
        <v>2413</v>
      </c>
      <c r="B1856" t="s">
        <v>9126</v>
      </c>
      <c r="C1856">
        <v>45747</v>
      </c>
      <c r="D1856" t="s">
        <v>7263</v>
      </c>
      <c r="E1856" t="s">
        <v>9127</v>
      </c>
      <c r="F1856">
        <v>45747</v>
      </c>
      <c r="G1856" t="s">
        <v>2208</v>
      </c>
      <c r="H1856" t="s">
        <v>2916</v>
      </c>
      <c r="I1856" t="s">
        <v>11423</v>
      </c>
      <c r="J1856">
        <v>0</v>
      </c>
      <c r="K1856">
        <v>0.05</v>
      </c>
      <c r="L1856" t="s">
        <v>2917</v>
      </c>
      <c r="M1856">
        <v>0</v>
      </c>
      <c r="N1856" t="s">
        <v>2918</v>
      </c>
      <c r="O1856" t="s">
        <v>2919</v>
      </c>
      <c r="P1856" t="s">
        <v>2208</v>
      </c>
      <c r="Q1856" t="s">
        <v>2916</v>
      </c>
      <c r="R1856" t="s">
        <v>3220</v>
      </c>
      <c r="S1856" t="s">
        <v>2208</v>
      </c>
      <c r="T1856" t="s">
        <v>2208</v>
      </c>
    </row>
    <row r="1857" spans="1:20">
      <c r="A1857" t="s">
        <v>2413</v>
      </c>
      <c r="B1857" t="s">
        <v>7740</v>
      </c>
      <c r="C1857">
        <v>45650</v>
      </c>
      <c r="D1857" t="s">
        <v>7263</v>
      </c>
      <c r="E1857" t="s">
        <v>2925</v>
      </c>
      <c r="F1857">
        <v>45694</v>
      </c>
      <c r="G1857" t="s">
        <v>8441</v>
      </c>
      <c r="H1857" t="s">
        <v>2916</v>
      </c>
      <c r="I1857" t="s">
        <v>8442</v>
      </c>
      <c r="J1857">
        <v>3603.1</v>
      </c>
      <c r="K1857">
        <v>619.54999999999995</v>
      </c>
      <c r="L1857" t="s">
        <v>2917</v>
      </c>
      <c r="M1857">
        <v>3603.1</v>
      </c>
      <c r="N1857" t="s">
        <v>2918</v>
      </c>
      <c r="O1857" t="s">
        <v>8443</v>
      </c>
      <c r="P1857" t="s">
        <v>8443</v>
      </c>
      <c r="Q1857" t="s">
        <v>2924</v>
      </c>
      <c r="R1857" t="s">
        <v>3219</v>
      </c>
      <c r="S1857" t="s">
        <v>2208</v>
      </c>
      <c r="T1857" t="s">
        <v>2208</v>
      </c>
    </row>
    <row r="1858" spans="1:20">
      <c r="A1858" t="s">
        <v>2413</v>
      </c>
      <c r="B1858" t="s">
        <v>7740</v>
      </c>
      <c r="C1858">
        <v>45650</v>
      </c>
      <c r="D1858" t="s">
        <v>7263</v>
      </c>
      <c r="E1858" t="s">
        <v>2925</v>
      </c>
      <c r="F1858">
        <v>45698</v>
      </c>
      <c r="G1858" t="s">
        <v>8441</v>
      </c>
      <c r="H1858" t="s">
        <v>2916</v>
      </c>
      <c r="I1858" t="s">
        <v>8444</v>
      </c>
      <c r="J1858">
        <v>372.9</v>
      </c>
      <c r="K1858">
        <v>64.12</v>
      </c>
      <c r="L1858" t="s">
        <v>2917</v>
      </c>
      <c r="M1858">
        <v>372.9</v>
      </c>
      <c r="N1858" t="s">
        <v>2918</v>
      </c>
      <c r="O1858" t="s">
        <v>8443</v>
      </c>
      <c r="P1858" t="s">
        <v>8443</v>
      </c>
      <c r="Q1858" t="s">
        <v>2924</v>
      </c>
      <c r="R1858" t="s">
        <v>3219</v>
      </c>
      <c r="S1858" t="s">
        <v>2208</v>
      </c>
      <c r="T1858" t="s">
        <v>2208</v>
      </c>
    </row>
    <row r="1859" spans="1:20">
      <c r="A1859" t="s">
        <v>2413</v>
      </c>
      <c r="B1859" t="s">
        <v>9126</v>
      </c>
      <c r="C1859">
        <v>45722</v>
      </c>
      <c r="D1859" t="s">
        <v>7263</v>
      </c>
      <c r="E1859" t="s">
        <v>9127</v>
      </c>
      <c r="F1859">
        <v>45741</v>
      </c>
      <c r="G1859" t="s">
        <v>8441</v>
      </c>
      <c r="H1859" t="s">
        <v>2916</v>
      </c>
      <c r="I1859" t="s">
        <v>11159</v>
      </c>
      <c r="J1859">
        <v>0</v>
      </c>
      <c r="K1859">
        <v>-6.12</v>
      </c>
      <c r="L1859" t="s">
        <v>2917</v>
      </c>
      <c r="M1859">
        <v>-34.49</v>
      </c>
      <c r="N1859" t="s">
        <v>2918</v>
      </c>
      <c r="O1859" t="s">
        <v>11160</v>
      </c>
      <c r="P1859" t="s">
        <v>8443</v>
      </c>
      <c r="Q1859" t="s">
        <v>2924</v>
      </c>
      <c r="R1859" t="s">
        <v>3219</v>
      </c>
      <c r="S1859" t="s">
        <v>2208</v>
      </c>
      <c r="T1859" t="s">
        <v>2208</v>
      </c>
    </row>
    <row r="1860" spans="1:20">
      <c r="A1860" t="s">
        <v>2413</v>
      </c>
      <c r="B1860" t="s">
        <v>9126</v>
      </c>
      <c r="C1860">
        <v>45722</v>
      </c>
      <c r="D1860" t="s">
        <v>7263</v>
      </c>
      <c r="E1860" t="s">
        <v>9127</v>
      </c>
      <c r="F1860">
        <v>45741</v>
      </c>
      <c r="G1860" t="s">
        <v>8441</v>
      </c>
      <c r="H1860" t="s">
        <v>2916</v>
      </c>
      <c r="I1860" t="s">
        <v>11161</v>
      </c>
      <c r="J1860">
        <v>0</v>
      </c>
      <c r="K1860">
        <v>-59.14</v>
      </c>
      <c r="L1860" t="s">
        <v>2917</v>
      </c>
      <c r="M1860">
        <v>-333.29</v>
      </c>
      <c r="N1860" t="s">
        <v>2918</v>
      </c>
      <c r="O1860" t="s">
        <v>11162</v>
      </c>
      <c r="P1860" t="s">
        <v>8443</v>
      </c>
      <c r="Q1860" t="s">
        <v>2924</v>
      </c>
      <c r="R1860" t="s">
        <v>3219</v>
      </c>
      <c r="S1860" t="s">
        <v>2208</v>
      </c>
      <c r="T1860" t="s">
        <v>2208</v>
      </c>
    </row>
    <row r="1861" spans="1:20">
      <c r="A1861" t="s">
        <v>2413</v>
      </c>
      <c r="B1861" t="s">
        <v>9126</v>
      </c>
      <c r="C1861">
        <v>45722</v>
      </c>
      <c r="D1861" t="s">
        <v>7263</v>
      </c>
      <c r="E1861" t="s">
        <v>9127</v>
      </c>
      <c r="F1861">
        <v>45741</v>
      </c>
      <c r="G1861" t="s">
        <v>8441</v>
      </c>
      <c r="H1861" t="s">
        <v>2916</v>
      </c>
      <c r="I1861" t="s">
        <v>11163</v>
      </c>
      <c r="J1861">
        <v>0</v>
      </c>
      <c r="K1861">
        <v>59.14</v>
      </c>
      <c r="L1861" t="s">
        <v>2917</v>
      </c>
      <c r="M1861">
        <v>333.29</v>
      </c>
      <c r="N1861" t="s">
        <v>2918</v>
      </c>
      <c r="O1861" t="s">
        <v>11162</v>
      </c>
      <c r="P1861" t="s">
        <v>8443</v>
      </c>
      <c r="Q1861" t="s">
        <v>2924</v>
      </c>
      <c r="R1861" t="s">
        <v>3219</v>
      </c>
      <c r="S1861" t="s">
        <v>2208</v>
      </c>
      <c r="T1861" t="s">
        <v>2208</v>
      </c>
    </row>
    <row r="1862" spans="1:20">
      <c r="A1862" t="s">
        <v>2413</v>
      </c>
      <c r="B1862" t="s">
        <v>9126</v>
      </c>
      <c r="C1862">
        <v>45722</v>
      </c>
      <c r="D1862" t="s">
        <v>7263</v>
      </c>
      <c r="E1862" t="s">
        <v>9127</v>
      </c>
      <c r="F1862">
        <v>45741</v>
      </c>
      <c r="G1862" t="s">
        <v>8441</v>
      </c>
      <c r="H1862" t="s">
        <v>2916</v>
      </c>
      <c r="I1862" t="s">
        <v>11164</v>
      </c>
      <c r="J1862">
        <v>0</v>
      </c>
      <c r="K1862">
        <v>-59.14</v>
      </c>
      <c r="L1862" t="s">
        <v>2917</v>
      </c>
      <c r="M1862">
        <v>-333.29</v>
      </c>
      <c r="N1862" t="s">
        <v>2918</v>
      </c>
      <c r="O1862" t="s">
        <v>11162</v>
      </c>
      <c r="P1862" t="s">
        <v>8443</v>
      </c>
      <c r="Q1862" t="s">
        <v>2924</v>
      </c>
      <c r="R1862" t="s">
        <v>3219</v>
      </c>
      <c r="S1862" t="s">
        <v>2208</v>
      </c>
      <c r="T1862" t="s">
        <v>2208</v>
      </c>
    </row>
    <row r="1863" spans="1:20">
      <c r="A1863" t="s">
        <v>2413</v>
      </c>
      <c r="B1863" t="s">
        <v>9126</v>
      </c>
      <c r="C1863">
        <v>45747</v>
      </c>
      <c r="D1863" t="s">
        <v>7263</v>
      </c>
      <c r="E1863" t="s">
        <v>9127</v>
      </c>
      <c r="F1863">
        <v>45747</v>
      </c>
      <c r="G1863" t="s">
        <v>2208</v>
      </c>
      <c r="H1863" t="s">
        <v>2916</v>
      </c>
      <c r="I1863" t="s">
        <v>11424</v>
      </c>
      <c r="J1863">
        <v>0</v>
      </c>
      <c r="K1863">
        <v>2.19</v>
      </c>
      <c r="L1863" t="s">
        <v>2917</v>
      </c>
      <c r="M1863">
        <v>0</v>
      </c>
      <c r="N1863" t="s">
        <v>2918</v>
      </c>
      <c r="O1863" t="s">
        <v>2919</v>
      </c>
      <c r="P1863" t="s">
        <v>2208</v>
      </c>
      <c r="Q1863" t="s">
        <v>2916</v>
      </c>
      <c r="R1863" t="s">
        <v>3220</v>
      </c>
      <c r="S1863" t="s">
        <v>2208</v>
      </c>
      <c r="T1863" t="s">
        <v>2208</v>
      </c>
    </row>
    <row r="1864" spans="1:20">
      <c r="A1864" t="s">
        <v>2413</v>
      </c>
      <c r="B1864" t="s">
        <v>11331</v>
      </c>
      <c r="C1864">
        <v>45769</v>
      </c>
      <c r="D1864" t="s">
        <v>7263</v>
      </c>
      <c r="E1864" t="s">
        <v>11332</v>
      </c>
      <c r="F1864">
        <v>45770</v>
      </c>
      <c r="G1864" t="s">
        <v>15927</v>
      </c>
      <c r="H1864" t="s">
        <v>2916</v>
      </c>
      <c r="I1864" t="s">
        <v>15928</v>
      </c>
      <c r="J1864">
        <v>8</v>
      </c>
      <c r="K1864">
        <v>20345.11</v>
      </c>
      <c r="L1864" t="s">
        <v>2917</v>
      </c>
      <c r="M1864">
        <v>117161.60000000001</v>
      </c>
      <c r="N1864" t="s">
        <v>2918</v>
      </c>
      <c r="O1864" t="s">
        <v>15929</v>
      </c>
      <c r="P1864" t="s">
        <v>15930</v>
      </c>
      <c r="Q1864" t="s">
        <v>2924</v>
      </c>
      <c r="R1864" t="s">
        <v>3219</v>
      </c>
      <c r="S1864" t="s">
        <v>15931</v>
      </c>
      <c r="T1864" t="s">
        <v>15932</v>
      </c>
    </row>
    <row r="1865" spans="1:20">
      <c r="A1865" t="s">
        <v>2413</v>
      </c>
      <c r="B1865" t="s">
        <v>11331</v>
      </c>
      <c r="C1865">
        <v>45769</v>
      </c>
      <c r="D1865" t="s">
        <v>7263</v>
      </c>
      <c r="E1865" t="s">
        <v>11332</v>
      </c>
      <c r="F1865">
        <v>45770</v>
      </c>
      <c r="G1865" t="s">
        <v>15927</v>
      </c>
      <c r="H1865" t="s">
        <v>2916</v>
      </c>
      <c r="I1865" t="s">
        <v>15933</v>
      </c>
      <c r="J1865">
        <v>0</v>
      </c>
      <c r="K1865">
        <v>-1881.92</v>
      </c>
      <c r="L1865" t="s">
        <v>2917</v>
      </c>
      <c r="M1865">
        <v>-10837.45</v>
      </c>
      <c r="N1865" t="s">
        <v>2918</v>
      </c>
      <c r="O1865" t="s">
        <v>15934</v>
      </c>
      <c r="P1865" t="s">
        <v>15930</v>
      </c>
      <c r="Q1865" t="s">
        <v>2924</v>
      </c>
      <c r="R1865" t="s">
        <v>3219</v>
      </c>
      <c r="S1865" t="s">
        <v>15931</v>
      </c>
      <c r="T1865" t="s">
        <v>15932</v>
      </c>
    </row>
    <row r="1866" spans="1:20">
      <c r="A1866" t="s">
        <v>2413</v>
      </c>
      <c r="B1866" t="s">
        <v>11331</v>
      </c>
      <c r="C1866">
        <v>45777</v>
      </c>
      <c r="D1866" t="s">
        <v>7263</v>
      </c>
      <c r="E1866" t="s">
        <v>11332</v>
      </c>
      <c r="F1866">
        <v>45777</v>
      </c>
      <c r="G1866" t="s">
        <v>2208</v>
      </c>
      <c r="H1866" t="s">
        <v>2916</v>
      </c>
      <c r="I1866" t="s">
        <v>16459</v>
      </c>
      <c r="J1866">
        <v>0</v>
      </c>
      <c r="K1866">
        <v>-0.03</v>
      </c>
      <c r="L1866" t="s">
        <v>2917</v>
      </c>
      <c r="M1866">
        <v>0</v>
      </c>
      <c r="N1866" t="s">
        <v>2918</v>
      </c>
      <c r="O1866" t="s">
        <v>2919</v>
      </c>
      <c r="P1866" t="s">
        <v>2208</v>
      </c>
      <c r="Q1866" t="s">
        <v>2916</v>
      </c>
      <c r="R1866" t="s">
        <v>3220</v>
      </c>
      <c r="S1866" t="s">
        <v>2208</v>
      </c>
      <c r="T1866" t="s">
        <v>2208</v>
      </c>
    </row>
    <row r="1867" spans="1:20">
      <c r="A1867" t="s">
        <v>2414</v>
      </c>
      <c r="B1867" t="s">
        <v>9126</v>
      </c>
      <c r="C1867">
        <v>45464</v>
      </c>
      <c r="D1867" t="s">
        <v>7263</v>
      </c>
      <c r="E1867" t="s">
        <v>9127</v>
      </c>
      <c r="F1867">
        <v>45741</v>
      </c>
      <c r="G1867" t="s">
        <v>11165</v>
      </c>
      <c r="H1867" t="s">
        <v>2916</v>
      </c>
      <c r="I1867" t="s">
        <v>11166</v>
      </c>
      <c r="J1867">
        <v>61700</v>
      </c>
      <c r="K1867">
        <v>10574.76</v>
      </c>
      <c r="L1867" t="s">
        <v>2917</v>
      </c>
      <c r="M1867">
        <v>61700</v>
      </c>
      <c r="N1867" t="s">
        <v>2918</v>
      </c>
      <c r="O1867" t="s">
        <v>2939</v>
      </c>
      <c r="P1867" t="s">
        <v>2939</v>
      </c>
      <c r="Q1867" t="s">
        <v>2924</v>
      </c>
      <c r="R1867" t="s">
        <v>3219</v>
      </c>
      <c r="S1867" t="s">
        <v>2208</v>
      </c>
      <c r="T1867" t="s">
        <v>2208</v>
      </c>
    </row>
    <row r="1868" spans="1:20">
      <c r="A1868" t="s">
        <v>2414</v>
      </c>
      <c r="B1868" t="s">
        <v>9126</v>
      </c>
      <c r="C1868">
        <v>45741</v>
      </c>
      <c r="D1868" t="s">
        <v>7263</v>
      </c>
      <c r="E1868" t="s">
        <v>9127</v>
      </c>
      <c r="F1868">
        <v>45743</v>
      </c>
      <c r="G1868" t="s">
        <v>11165</v>
      </c>
      <c r="H1868" t="s">
        <v>2916</v>
      </c>
      <c r="I1868" t="s">
        <v>11425</v>
      </c>
      <c r="J1868">
        <v>0</v>
      </c>
      <c r="K1868">
        <v>-978.16</v>
      </c>
      <c r="L1868" t="s">
        <v>2917</v>
      </c>
      <c r="M1868">
        <v>-5707.25</v>
      </c>
      <c r="N1868" t="s">
        <v>2918</v>
      </c>
      <c r="O1868" t="s">
        <v>11426</v>
      </c>
      <c r="P1868" t="s">
        <v>2939</v>
      </c>
      <c r="Q1868" t="s">
        <v>2924</v>
      </c>
      <c r="R1868" t="s">
        <v>3219</v>
      </c>
      <c r="S1868" t="s">
        <v>2208</v>
      </c>
      <c r="T1868" t="s">
        <v>2208</v>
      </c>
    </row>
    <row r="1869" spans="1:20">
      <c r="A1869" t="s">
        <v>2414</v>
      </c>
      <c r="B1869" t="s">
        <v>9126</v>
      </c>
      <c r="C1869">
        <v>45747</v>
      </c>
      <c r="D1869" t="s">
        <v>7263</v>
      </c>
      <c r="E1869" t="s">
        <v>9127</v>
      </c>
      <c r="F1869">
        <v>45747</v>
      </c>
      <c r="G1869" t="s">
        <v>2208</v>
      </c>
      <c r="H1869" t="s">
        <v>2916</v>
      </c>
      <c r="I1869" t="s">
        <v>11427</v>
      </c>
      <c r="J1869">
        <v>0</v>
      </c>
      <c r="K1869">
        <v>0.04</v>
      </c>
      <c r="L1869" t="s">
        <v>2917</v>
      </c>
      <c r="M1869">
        <v>0</v>
      </c>
      <c r="N1869" t="s">
        <v>2918</v>
      </c>
      <c r="O1869" t="s">
        <v>2919</v>
      </c>
      <c r="P1869" t="s">
        <v>2208</v>
      </c>
      <c r="Q1869" t="s">
        <v>2916</v>
      </c>
      <c r="R1869" t="s">
        <v>3220</v>
      </c>
      <c r="S1869" t="s">
        <v>2208</v>
      </c>
      <c r="T1869" t="s">
        <v>2208</v>
      </c>
    </row>
    <row r="1870" spans="1:20">
      <c r="A1870" t="s">
        <v>2414</v>
      </c>
      <c r="B1870" t="s">
        <v>9126</v>
      </c>
      <c r="C1870">
        <v>45464</v>
      </c>
      <c r="D1870" t="s">
        <v>7263</v>
      </c>
      <c r="E1870" t="s">
        <v>9127</v>
      </c>
      <c r="F1870">
        <v>45741</v>
      </c>
      <c r="G1870" t="s">
        <v>11165</v>
      </c>
      <c r="H1870" t="s">
        <v>2916</v>
      </c>
      <c r="I1870" t="s">
        <v>11167</v>
      </c>
      <c r="J1870">
        <v>84500</v>
      </c>
      <c r="K1870">
        <v>14482.46</v>
      </c>
      <c r="L1870" t="s">
        <v>2917</v>
      </c>
      <c r="M1870">
        <v>84500</v>
      </c>
      <c r="N1870" t="s">
        <v>2918</v>
      </c>
      <c r="O1870" t="s">
        <v>3315</v>
      </c>
      <c r="P1870" t="s">
        <v>3315</v>
      </c>
      <c r="Q1870" t="s">
        <v>2924</v>
      </c>
      <c r="R1870" t="s">
        <v>3219</v>
      </c>
      <c r="S1870" t="s">
        <v>2208</v>
      </c>
      <c r="T1870" t="s">
        <v>2208</v>
      </c>
    </row>
    <row r="1871" spans="1:20">
      <c r="A1871" t="s">
        <v>2414</v>
      </c>
      <c r="B1871" t="s">
        <v>9126</v>
      </c>
      <c r="C1871">
        <v>45741</v>
      </c>
      <c r="D1871" t="s">
        <v>7263</v>
      </c>
      <c r="E1871" t="s">
        <v>9127</v>
      </c>
      <c r="F1871">
        <v>45741</v>
      </c>
      <c r="G1871" t="s">
        <v>11165</v>
      </c>
      <c r="H1871" t="s">
        <v>2916</v>
      </c>
      <c r="I1871" t="s">
        <v>11264</v>
      </c>
      <c r="J1871">
        <v>0</v>
      </c>
      <c r="K1871">
        <v>-1339.63</v>
      </c>
      <c r="L1871" t="s">
        <v>2917</v>
      </c>
      <c r="M1871">
        <v>-7816.25</v>
      </c>
      <c r="N1871" t="s">
        <v>2918</v>
      </c>
      <c r="O1871" t="s">
        <v>11265</v>
      </c>
      <c r="P1871" t="s">
        <v>3315</v>
      </c>
      <c r="Q1871" t="s">
        <v>2924</v>
      </c>
      <c r="R1871" t="s">
        <v>3219</v>
      </c>
      <c r="S1871" t="s">
        <v>2208</v>
      </c>
      <c r="T1871" t="s">
        <v>2208</v>
      </c>
    </row>
    <row r="1872" spans="1:20">
      <c r="A1872" t="s">
        <v>2414</v>
      </c>
      <c r="B1872" t="s">
        <v>9126</v>
      </c>
      <c r="C1872">
        <v>45747</v>
      </c>
      <c r="D1872" t="s">
        <v>7263</v>
      </c>
      <c r="E1872" t="s">
        <v>9127</v>
      </c>
      <c r="F1872">
        <v>45747</v>
      </c>
      <c r="G1872" t="s">
        <v>2208</v>
      </c>
      <c r="H1872" t="s">
        <v>2916</v>
      </c>
      <c r="I1872" t="s">
        <v>11428</v>
      </c>
      <c r="J1872">
        <v>0</v>
      </c>
      <c r="K1872">
        <v>0.04</v>
      </c>
      <c r="L1872" t="s">
        <v>2917</v>
      </c>
      <c r="M1872">
        <v>0</v>
      </c>
      <c r="N1872" t="s">
        <v>2918</v>
      </c>
      <c r="O1872" t="s">
        <v>2919</v>
      </c>
      <c r="P1872" t="s">
        <v>2208</v>
      </c>
      <c r="Q1872" t="s">
        <v>2916</v>
      </c>
      <c r="R1872" t="s">
        <v>3220</v>
      </c>
      <c r="S1872" t="s">
        <v>2208</v>
      </c>
      <c r="T1872" t="s">
        <v>2208</v>
      </c>
    </row>
    <row r="1873" spans="1:20">
      <c r="A1873" t="s">
        <v>2435</v>
      </c>
      <c r="B1873" t="s">
        <v>9126</v>
      </c>
      <c r="C1873">
        <v>45730</v>
      </c>
      <c r="D1873" t="s">
        <v>7263</v>
      </c>
      <c r="E1873" t="s">
        <v>9127</v>
      </c>
      <c r="F1873">
        <v>45734</v>
      </c>
      <c r="G1873" t="s">
        <v>10912</v>
      </c>
      <c r="H1873" t="s">
        <v>2916</v>
      </c>
      <c r="I1873" t="s">
        <v>10913</v>
      </c>
      <c r="J1873">
        <v>2</v>
      </c>
      <c r="K1873">
        <v>3619.76</v>
      </c>
      <c r="L1873" t="s">
        <v>2917</v>
      </c>
      <c r="M1873">
        <v>21120</v>
      </c>
      <c r="N1873" t="s">
        <v>2918</v>
      </c>
      <c r="O1873" t="s">
        <v>10914</v>
      </c>
      <c r="P1873" t="s">
        <v>10915</v>
      </c>
      <c r="Q1873" t="s">
        <v>2924</v>
      </c>
      <c r="R1873" t="s">
        <v>3219</v>
      </c>
      <c r="S1873" t="s">
        <v>10916</v>
      </c>
      <c r="T1873" t="s">
        <v>10915</v>
      </c>
    </row>
    <row r="1874" spans="1:20">
      <c r="A1874" t="s">
        <v>2435</v>
      </c>
      <c r="B1874" t="s">
        <v>9126</v>
      </c>
      <c r="C1874">
        <v>45730</v>
      </c>
      <c r="D1874" t="s">
        <v>7263</v>
      </c>
      <c r="E1874" t="s">
        <v>9127</v>
      </c>
      <c r="F1874">
        <v>45734</v>
      </c>
      <c r="G1874" t="s">
        <v>10912</v>
      </c>
      <c r="H1874" t="s">
        <v>2916</v>
      </c>
      <c r="I1874" t="s">
        <v>10913</v>
      </c>
      <c r="J1874">
        <v>2</v>
      </c>
      <c r="K1874">
        <v>11764.21</v>
      </c>
      <c r="L1874" t="s">
        <v>2917</v>
      </c>
      <c r="M1874">
        <v>68640</v>
      </c>
      <c r="N1874" t="s">
        <v>2918</v>
      </c>
      <c r="O1874" t="s">
        <v>10914</v>
      </c>
      <c r="P1874" t="s">
        <v>10917</v>
      </c>
      <c r="Q1874" t="s">
        <v>2924</v>
      </c>
      <c r="R1874" t="s">
        <v>3219</v>
      </c>
      <c r="S1874" t="s">
        <v>10918</v>
      </c>
      <c r="T1874" t="s">
        <v>10917</v>
      </c>
    </row>
    <row r="1875" spans="1:20">
      <c r="A1875" t="s">
        <v>2435</v>
      </c>
      <c r="B1875" t="s">
        <v>9126</v>
      </c>
      <c r="C1875">
        <v>45730</v>
      </c>
      <c r="D1875" t="s">
        <v>7263</v>
      </c>
      <c r="E1875" t="s">
        <v>9127</v>
      </c>
      <c r="F1875">
        <v>45734</v>
      </c>
      <c r="G1875" t="s">
        <v>10912</v>
      </c>
      <c r="H1875" t="s">
        <v>2916</v>
      </c>
      <c r="I1875" t="s">
        <v>10913</v>
      </c>
      <c r="J1875">
        <v>2</v>
      </c>
      <c r="K1875">
        <v>2563.9899999999998</v>
      </c>
      <c r="L1875" t="s">
        <v>2917</v>
      </c>
      <c r="M1875">
        <v>14960</v>
      </c>
      <c r="N1875" t="s">
        <v>2918</v>
      </c>
      <c r="O1875" t="s">
        <v>10914</v>
      </c>
      <c r="P1875" t="s">
        <v>10919</v>
      </c>
      <c r="Q1875" t="s">
        <v>2924</v>
      </c>
      <c r="R1875" t="s">
        <v>3219</v>
      </c>
      <c r="S1875" t="s">
        <v>10920</v>
      </c>
      <c r="T1875" t="s">
        <v>10919</v>
      </c>
    </row>
    <row r="1876" spans="1:20">
      <c r="A1876" t="s">
        <v>2435</v>
      </c>
      <c r="B1876" t="s">
        <v>9126</v>
      </c>
      <c r="C1876">
        <v>45730</v>
      </c>
      <c r="D1876" t="s">
        <v>7263</v>
      </c>
      <c r="E1876" t="s">
        <v>9127</v>
      </c>
      <c r="F1876">
        <v>45734</v>
      </c>
      <c r="G1876" t="s">
        <v>10912</v>
      </c>
      <c r="H1876" t="s">
        <v>2916</v>
      </c>
      <c r="I1876" t="s">
        <v>10921</v>
      </c>
      <c r="J1876">
        <v>0</v>
      </c>
      <c r="K1876">
        <v>-334.83</v>
      </c>
      <c r="L1876" t="s">
        <v>2917</v>
      </c>
      <c r="M1876">
        <v>-1953.6</v>
      </c>
      <c r="N1876" t="s">
        <v>2918</v>
      </c>
      <c r="O1876" t="s">
        <v>10922</v>
      </c>
      <c r="P1876" t="s">
        <v>10915</v>
      </c>
      <c r="Q1876" t="s">
        <v>2924</v>
      </c>
      <c r="R1876" t="s">
        <v>3219</v>
      </c>
      <c r="S1876" t="s">
        <v>10916</v>
      </c>
      <c r="T1876" t="s">
        <v>10915</v>
      </c>
    </row>
    <row r="1877" spans="1:20">
      <c r="A1877" t="s">
        <v>2435</v>
      </c>
      <c r="B1877" t="s">
        <v>9126</v>
      </c>
      <c r="C1877">
        <v>45730</v>
      </c>
      <c r="D1877" t="s">
        <v>7263</v>
      </c>
      <c r="E1877" t="s">
        <v>9127</v>
      </c>
      <c r="F1877">
        <v>45734</v>
      </c>
      <c r="G1877" t="s">
        <v>10912</v>
      </c>
      <c r="H1877" t="s">
        <v>2916</v>
      </c>
      <c r="I1877" t="s">
        <v>10921</v>
      </c>
      <c r="J1877">
        <v>0</v>
      </c>
      <c r="K1877">
        <v>-1088.19</v>
      </c>
      <c r="L1877" t="s">
        <v>2917</v>
      </c>
      <c r="M1877">
        <v>-6349.2</v>
      </c>
      <c r="N1877" t="s">
        <v>2918</v>
      </c>
      <c r="O1877" t="s">
        <v>10922</v>
      </c>
      <c r="P1877" t="s">
        <v>10917</v>
      </c>
      <c r="Q1877" t="s">
        <v>2924</v>
      </c>
      <c r="R1877" t="s">
        <v>3219</v>
      </c>
      <c r="S1877" t="s">
        <v>10918</v>
      </c>
      <c r="T1877" t="s">
        <v>10917</v>
      </c>
    </row>
    <row r="1878" spans="1:20">
      <c r="A1878" t="s">
        <v>2435</v>
      </c>
      <c r="B1878" t="s">
        <v>9126</v>
      </c>
      <c r="C1878">
        <v>45730</v>
      </c>
      <c r="D1878" t="s">
        <v>7263</v>
      </c>
      <c r="E1878" t="s">
        <v>9127</v>
      </c>
      <c r="F1878">
        <v>45734</v>
      </c>
      <c r="G1878" t="s">
        <v>10912</v>
      </c>
      <c r="H1878" t="s">
        <v>2916</v>
      </c>
      <c r="I1878" t="s">
        <v>10921</v>
      </c>
      <c r="J1878">
        <v>0</v>
      </c>
      <c r="K1878">
        <v>-237.17</v>
      </c>
      <c r="L1878" t="s">
        <v>2917</v>
      </c>
      <c r="M1878">
        <v>-1383.8</v>
      </c>
      <c r="N1878" t="s">
        <v>2918</v>
      </c>
      <c r="O1878" t="s">
        <v>10922</v>
      </c>
      <c r="P1878" t="s">
        <v>10919</v>
      </c>
      <c r="Q1878" t="s">
        <v>2924</v>
      </c>
      <c r="R1878" t="s">
        <v>3219</v>
      </c>
      <c r="S1878" t="s">
        <v>10920</v>
      </c>
      <c r="T1878" t="s">
        <v>10919</v>
      </c>
    </row>
    <row r="1879" spans="1:20">
      <c r="A1879" t="s">
        <v>2435</v>
      </c>
      <c r="B1879" t="s">
        <v>9126</v>
      </c>
      <c r="C1879">
        <v>45747</v>
      </c>
      <c r="D1879" t="s">
        <v>7263</v>
      </c>
      <c r="E1879" t="s">
        <v>9127</v>
      </c>
      <c r="F1879">
        <v>45747</v>
      </c>
      <c r="G1879" t="s">
        <v>2208</v>
      </c>
      <c r="H1879" t="s">
        <v>2916</v>
      </c>
      <c r="I1879" t="s">
        <v>11429</v>
      </c>
      <c r="J1879">
        <v>0</v>
      </c>
      <c r="K1879">
        <v>-0.06</v>
      </c>
      <c r="L1879" t="s">
        <v>2917</v>
      </c>
      <c r="M1879">
        <v>0</v>
      </c>
      <c r="N1879" t="s">
        <v>2918</v>
      </c>
      <c r="O1879" t="s">
        <v>2919</v>
      </c>
      <c r="P1879" t="s">
        <v>2208</v>
      </c>
      <c r="Q1879" t="s">
        <v>2916</v>
      </c>
      <c r="R1879" t="s">
        <v>3220</v>
      </c>
      <c r="S1879" t="s">
        <v>2208</v>
      </c>
      <c r="T1879" t="s">
        <v>2208</v>
      </c>
    </row>
    <row r="1880" spans="1:20">
      <c r="A1880" t="s">
        <v>2435</v>
      </c>
      <c r="B1880" t="s">
        <v>2920</v>
      </c>
      <c r="C1880">
        <v>45687</v>
      </c>
      <c r="D1880" t="s">
        <v>7263</v>
      </c>
      <c r="E1880" t="s">
        <v>2921</v>
      </c>
      <c r="F1880">
        <v>45687</v>
      </c>
      <c r="G1880" t="s">
        <v>2208</v>
      </c>
      <c r="H1880" t="s">
        <v>2916</v>
      </c>
      <c r="I1880" t="s">
        <v>7527</v>
      </c>
      <c r="J1880">
        <v>0</v>
      </c>
      <c r="K1880">
        <v>-24.4</v>
      </c>
      <c r="L1880" t="s">
        <v>2917</v>
      </c>
      <c r="M1880">
        <v>-150.69</v>
      </c>
      <c r="N1880" t="s">
        <v>2918</v>
      </c>
      <c r="O1880" t="s">
        <v>7528</v>
      </c>
      <c r="P1880" t="s">
        <v>2208</v>
      </c>
      <c r="Q1880" t="s">
        <v>2947</v>
      </c>
      <c r="R1880" t="s">
        <v>3221</v>
      </c>
      <c r="S1880" t="s">
        <v>2208</v>
      </c>
      <c r="T1880" t="s">
        <v>2208</v>
      </c>
    </row>
    <row r="1881" spans="1:20">
      <c r="A1881" t="s">
        <v>2435</v>
      </c>
      <c r="B1881" t="s">
        <v>2920</v>
      </c>
      <c r="C1881">
        <v>45687</v>
      </c>
      <c r="D1881" t="s">
        <v>7263</v>
      </c>
      <c r="E1881" t="s">
        <v>2921</v>
      </c>
      <c r="F1881">
        <v>45687</v>
      </c>
      <c r="G1881" t="s">
        <v>2208</v>
      </c>
      <c r="H1881" t="s">
        <v>2916</v>
      </c>
      <c r="I1881" t="s">
        <v>7527</v>
      </c>
      <c r="J1881">
        <v>0</v>
      </c>
      <c r="K1881">
        <v>-112.4</v>
      </c>
      <c r="L1881" t="s">
        <v>2917</v>
      </c>
      <c r="M1881">
        <v>-694.11</v>
      </c>
      <c r="N1881" t="s">
        <v>2918</v>
      </c>
      <c r="O1881" t="s">
        <v>7528</v>
      </c>
      <c r="P1881" t="s">
        <v>2208</v>
      </c>
      <c r="Q1881" t="s">
        <v>2947</v>
      </c>
      <c r="R1881" t="s">
        <v>3221</v>
      </c>
      <c r="S1881" t="s">
        <v>2208</v>
      </c>
      <c r="T1881" t="s">
        <v>2208</v>
      </c>
    </row>
    <row r="1882" spans="1:20">
      <c r="A1882" t="s">
        <v>2435</v>
      </c>
      <c r="B1882" t="s">
        <v>2920</v>
      </c>
      <c r="C1882">
        <v>45688</v>
      </c>
      <c r="D1882" t="s">
        <v>7263</v>
      </c>
      <c r="E1882" t="s">
        <v>2921</v>
      </c>
      <c r="F1882">
        <v>45688</v>
      </c>
      <c r="G1882" t="s">
        <v>2208</v>
      </c>
      <c r="H1882" t="s">
        <v>2916</v>
      </c>
      <c r="I1882" t="s">
        <v>7749</v>
      </c>
      <c r="J1882">
        <v>0</v>
      </c>
      <c r="K1882">
        <v>-0.03</v>
      </c>
      <c r="L1882" t="s">
        <v>2917</v>
      </c>
      <c r="M1882">
        <v>0</v>
      </c>
      <c r="N1882" t="s">
        <v>2918</v>
      </c>
      <c r="O1882" t="s">
        <v>2919</v>
      </c>
      <c r="P1882" t="s">
        <v>2208</v>
      </c>
      <c r="Q1882" t="s">
        <v>2916</v>
      </c>
      <c r="R1882" t="s">
        <v>3220</v>
      </c>
      <c r="S1882" t="s">
        <v>2208</v>
      </c>
      <c r="T1882" t="s">
        <v>2208</v>
      </c>
    </row>
    <row r="1883" spans="1:20">
      <c r="A1883" t="s">
        <v>2435</v>
      </c>
      <c r="B1883" t="s">
        <v>7740</v>
      </c>
      <c r="C1883">
        <v>45699</v>
      </c>
      <c r="D1883" t="s">
        <v>7263</v>
      </c>
      <c r="E1883" t="s">
        <v>2925</v>
      </c>
      <c r="F1883">
        <v>45699</v>
      </c>
      <c r="G1883" t="s">
        <v>2208</v>
      </c>
      <c r="H1883" t="s">
        <v>2916</v>
      </c>
      <c r="I1883" t="s">
        <v>8724</v>
      </c>
      <c r="J1883">
        <v>0</v>
      </c>
      <c r="K1883">
        <v>136.83000000000001</v>
      </c>
      <c r="L1883" t="s">
        <v>2917</v>
      </c>
      <c r="M1883">
        <v>0</v>
      </c>
      <c r="N1883" t="s">
        <v>2918</v>
      </c>
      <c r="O1883" t="s">
        <v>2946</v>
      </c>
      <c r="P1883" t="s">
        <v>2208</v>
      </c>
      <c r="Q1883" t="s">
        <v>8725</v>
      </c>
      <c r="R1883" t="s">
        <v>8726</v>
      </c>
      <c r="S1883" t="s">
        <v>2208</v>
      </c>
      <c r="T1883" t="s">
        <v>2208</v>
      </c>
    </row>
    <row r="1884" spans="1:20">
      <c r="A1884" t="s">
        <v>2435</v>
      </c>
      <c r="B1884" t="s">
        <v>7740</v>
      </c>
      <c r="C1884">
        <v>45699</v>
      </c>
      <c r="D1884" t="s">
        <v>7263</v>
      </c>
      <c r="E1884" t="s">
        <v>2925</v>
      </c>
      <c r="F1884">
        <v>45699</v>
      </c>
      <c r="G1884" t="s">
        <v>2208</v>
      </c>
      <c r="H1884" t="s">
        <v>2916</v>
      </c>
      <c r="I1884" t="s">
        <v>8727</v>
      </c>
      <c r="J1884">
        <v>0</v>
      </c>
      <c r="K1884">
        <v>844.8</v>
      </c>
      <c r="L1884" t="s">
        <v>2917</v>
      </c>
      <c r="M1884">
        <v>0</v>
      </c>
      <c r="N1884" t="s">
        <v>2918</v>
      </c>
      <c r="O1884" t="s">
        <v>2946</v>
      </c>
      <c r="P1884" t="s">
        <v>2208</v>
      </c>
      <c r="Q1884" t="s">
        <v>8725</v>
      </c>
      <c r="R1884" t="s">
        <v>8726</v>
      </c>
      <c r="S1884" t="s">
        <v>2208</v>
      </c>
      <c r="T1884" t="s">
        <v>2208</v>
      </c>
    </row>
    <row r="1885" spans="1:20">
      <c r="A1885" t="s">
        <v>2435</v>
      </c>
      <c r="B1885" t="s">
        <v>7740</v>
      </c>
      <c r="C1885">
        <v>45699</v>
      </c>
      <c r="D1885" t="s">
        <v>7263</v>
      </c>
      <c r="E1885" t="s">
        <v>2925</v>
      </c>
      <c r="F1885">
        <v>45699</v>
      </c>
      <c r="G1885" t="s">
        <v>2208</v>
      </c>
      <c r="H1885" t="s">
        <v>2916</v>
      </c>
      <c r="I1885" t="s">
        <v>8728</v>
      </c>
      <c r="J1885">
        <v>0</v>
      </c>
      <c r="K1885">
        <v>0</v>
      </c>
      <c r="L1885" t="s">
        <v>2917</v>
      </c>
      <c r="M1885">
        <v>844.8</v>
      </c>
      <c r="N1885" t="s">
        <v>2918</v>
      </c>
      <c r="O1885" t="s">
        <v>2946</v>
      </c>
      <c r="P1885" t="s">
        <v>2208</v>
      </c>
      <c r="Q1885" t="s">
        <v>8725</v>
      </c>
      <c r="R1885" t="s">
        <v>8726</v>
      </c>
      <c r="S1885" t="s">
        <v>2208</v>
      </c>
      <c r="T1885" t="s">
        <v>2208</v>
      </c>
    </row>
    <row r="1886" spans="1:20">
      <c r="A1886" t="s">
        <v>2435</v>
      </c>
      <c r="B1886" t="s">
        <v>7740</v>
      </c>
      <c r="C1886">
        <v>45699</v>
      </c>
      <c r="D1886" t="s">
        <v>7263</v>
      </c>
      <c r="E1886" t="s">
        <v>2925</v>
      </c>
      <c r="F1886">
        <v>45699</v>
      </c>
      <c r="G1886" t="s">
        <v>2208</v>
      </c>
      <c r="H1886" t="s">
        <v>2916</v>
      </c>
      <c r="I1886" t="s">
        <v>8729</v>
      </c>
      <c r="J1886">
        <v>0</v>
      </c>
      <c r="K1886">
        <v>-844.8</v>
      </c>
      <c r="L1886" t="s">
        <v>2917</v>
      </c>
      <c r="M1886">
        <v>0</v>
      </c>
      <c r="N1886" t="s">
        <v>2918</v>
      </c>
      <c r="O1886" t="s">
        <v>2946</v>
      </c>
      <c r="P1886" t="s">
        <v>2208</v>
      </c>
      <c r="Q1886" t="s">
        <v>8725</v>
      </c>
      <c r="R1886" t="s">
        <v>8726</v>
      </c>
      <c r="S1886" t="s">
        <v>2208</v>
      </c>
      <c r="T1886" t="s">
        <v>2208</v>
      </c>
    </row>
    <row r="1887" spans="1:20">
      <c r="A1887" t="s">
        <v>2435</v>
      </c>
      <c r="B1887" t="s">
        <v>2920</v>
      </c>
      <c r="C1887">
        <v>45687</v>
      </c>
      <c r="D1887" t="s">
        <v>7263</v>
      </c>
      <c r="E1887" t="s">
        <v>2921</v>
      </c>
      <c r="F1887">
        <v>45687</v>
      </c>
      <c r="G1887" t="s">
        <v>2208</v>
      </c>
      <c r="H1887" t="s">
        <v>2916</v>
      </c>
      <c r="I1887" t="s">
        <v>7529</v>
      </c>
      <c r="J1887">
        <v>0</v>
      </c>
      <c r="K1887">
        <v>-74.97</v>
      </c>
      <c r="L1887" t="s">
        <v>2917</v>
      </c>
      <c r="M1887">
        <v>-462.98</v>
      </c>
      <c r="N1887" t="s">
        <v>2918</v>
      </c>
      <c r="O1887" t="s">
        <v>7528</v>
      </c>
      <c r="P1887" t="s">
        <v>2208</v>
      </c>
      <c r="Q1887" t="s">
        <v>2947</v>
      </c>
      <c r="R1887" t="s">
        <v>3221</v>
      </c>
      <c r="S1887" t="s">
        <v>2208</v>
      </c>
      <c r="T1887" t="s">
        <v>2208</v>
      </c>
    </row>
    <row r="1888" spans="1:20">
      <c r="A1888" t="s">
        <v>2435</v>
      </c>
      <c r="B1888" t="s">
        <v>2920</v>
      </c>
      <c r="C1888">
        <v>45687</v>
      </c>
      <c r="D1888" t="s">
        <v>7263</v>
      </c>
      <c r="E1888" t="s">
        <v>2921</v>
      </c>
      <c r="F1888">
        <v>45687</v>
      </c>
      <c r="G1888" t="s">
        <v>2208</v>
      </c>
      <c r="H1888" t="s">
        <v>2916</v>
      </c>
      <c r="I1888" t="s">
        <v>7529</v>
      </c>
      <c r="J1888">
        <v>0</v>
      </c>
      <c r="K1888">
        <v>-345.32</v>
      </c>
      <c r="L1888" t="s">
        <v>2917</v>
      </c>
      <c r="M1888">
        <v>-2132.52</v>
      </c>
      <c r="N1888" t="s">
        <v>2918</v>
      </c>
      <c r="O1888" t="s">
        <v>7528</v>
      </c>
      <c r="P1888" t="s">
        <v>2208</v>
      </c>
      <c r="Q1888" t="s">
        <v>2947</v>
      </c>
      <c r="R1888" t="s">
        <v>3221</v>
      </c>
      <c r="S1888" t="s">
        <v>2208</v>
      </c>
      <c r="T1888" t="s">
        <v>2208</v>
      </c>
    </row>
    <row r="1889" spans="1:20">
      <c r="A1889" t="s">
        <v>2435</v>
      </c>
      <c r="B1889" t="s">
        <v>2920</v>
      </c>
      <c r="C1889">
        <v>45688</v>
      </c>
      <c r="D1889" t="s">
        <v>7263</v>
      </c>
      <c r="E1889" t="s">
        <v>2921</v>
      </c>
      <c r="F1889">
        <v>45688</v>
      </c>
      <c r="G1889" t="s">
        <v>2208</v>
      </c>
      <c r="H1889" t="s">
        <v>2916</v>
      </c>
      <c r="I1889" t="s">
        <v>7750</v>
      </c>
      <c r="J1889">
        <v>0</v>
      </c>
      <c r="K1889">
        <v>-0.08</v>
      </c>
      <c r="L1889" t="s">
        <v>2917</v>
      </c>
      <c r="M1889">
        <v>0</v>
      </c>
      <c r="N1889" t="s">
        <v>2918</v>
      </c>
      <c r="O1889" t="s">
        <v>2919</v>
      </c>
      <c r="P1889" t="s">
        <v>2208</v>
      </c>
      <c r="Q1889" t="s">
        <v>2916</v>
      </c>
      <c r="R1889" t="s">
        <v>3220</v>
      </c>
      <c r="S1889" t="s">
        <v>2208</v>
      </c>
      <c r="T1889" t="s">
        <v>2208</v>
      </c>
    </row>
    <row r="1890" spans="1:20">
      <c r="A1890" t="s">
        <v>2435</v>
      </c>
      <c r="B1890" t="s">
        <v>16360</v>
      </c>
      <c r="C1890">
        <v>45804</v>
      </c>
      <c r="D1890" t="s">
        <v>7263</v>
      </c>
      <c r="E1890" t="s">
        <v>16361</v>
      </c>
      <c r="F1890">
        <v>45804</v>
      </c>
      <c r="G1890" t="s">
        <v>2208</v>
      </c>
      <c r="H1890" t="s">
        <v>2916</v>
      </c>
      <c r="I1890" t="s">
        <v>17766</v>
      </c>
      <c r="J1890">
        <v>0</v>
      </c>
      <c r="K1890">
        <v>-732.86</v>
      </c>
      <c r="L1890" t="s">
        <v>2917</v>
      </c>
      <c r="M1890">
        <v>-4128.79</v>
      </c>
      <c r="N1890" t="s">
        <v>2918</v>
      </c>
      <c r="O1890" t="s">
        <v>17767</v>
      </c>
      <c r="P1890" t="s">
        <v>2208</v>
      </c>
      <c r="Q1890" t="s">
        <v>17768</v>
      </c>
      <c r="R1890" t="s">
        <v>17769</v>
      </c>
      <c r="S1890" t="s">
        <v>2208</v>
      </c>
      <c r="T1890" t="s">
        <v>2208</v>
      </c>
    </row>
    <row r="1891" spans="1:20">
      <c r="A1891" t="s">
        <v>2435</v>
      </c>
      <c r="B1891" t="s">
        <v>16360</v>
      </c>
      <c r="C1891">
        <v>45804</v>
      </c>
      <c r="D1891" t="s">
        <v>7263</v>
      </c>
      <c r="E1891" t="s">
        <v>16361</v>
      </c>
      <c r="F1891">
        <v>45804</v>
      </c>
      <c r="G1891" t="s">
        <v>2208</v>
      </c>
      <c r="H1891" t="s">
        <v>2916</v>
      </c>
      <c r="I1891" t="s">
        <v>17770</v>
      </c>
      <c r="J1891">
        <v>0</v>
      </c>
      <c r="K1891">
        <v>0</v>
      </c>
      <c r="L1891" t="s">
        <v>2917</v>
      </c>
      <c r="M1891">
        <v>2595.5</v>
      </c>
      <c r="N1891" t="s">
        <v>2918</v>
      </c>
      <c r="O1891" t="s">
        <v>2946</v>
      </c>
      <c r="P1891" t="s">
        <v>2208</v>
      </c>
      <c r="Q1891" t="s">
        <v>8725</v>
      </c>
      <c r="R1891" t="s">
        <v>8726</v>
      </c>
      <c r="S1891" t="s">
        <v>2208</v>
      </c>
      <c r="T1891" t="s">
        <v>2208</v>
      </c>
    </row>
    <row r="1892" spans="1:20">
      <c r="A1892" t="s">
        <v>2435</v>
      </c>
      <c r="B1892" t="s">
        <v>16360</v>
      </c>
      <c r="C1892">
        <v>45804</v>
      </c>
      <c r="D1892" t="s">
        <v>7263</v>
      </c>
      <c r="E1892" t="s">
        <v>16361</v>
      </c>
      <c r="F1892">
        <v>45804</v>
      </c>
      <c r="G1892" t="s">
        <v>2208</v>
      </c>
      <c r="H1892" t="s">
        <v>2916</v>
      </c>
      <c r="I1892" t="s">
        <v>17771</v>
      </c>
      <c r="J1892">
        <v>0</v>
      </c>
      <c r="K1892">
        <v>420.37</v>
      </c>
      <c r="L1892" t="s">
        <v>2917</v>
      </c>
      <c r="M1892">
        <v>0</v>
      </c>
      <c r="N1892" t="s">
        <v>2918</v>
      </c>
      <c r="O1892" t="s">
        <v>2946</v>
      </c>
      <c r="P1892" t="s">
        <v>2208</v>
      </c>
      <c r="Q1892" t="s">
        <v>8725</v>
      </c>
      <c r="R1892" t="s">
        <v>8726</v>
      </c>
      <c r="S1892" t="s">
        <v>2208</v>
      </c>
      <c r="T1892" t="s">
        <v>2208</v>
      </c>
    </row>
    <row r="1893" spans="1:20">
      <c r="A1893" t="s">
        <v>2435</v>
      </c>
      <c r="B1893" t="s">
        <v>16360</v>
      </c>
      <c r="C1893">
        <v>45804</v>
      </c>
      <c r="D1893" t="s">
        <v>7263</v>
      </c>
      <c r="E1893" t="s">
        <v>16361</v>
      </c>
      <c r="F1893">
        <v>45804</v>
      </c>
      <c r="G1893" t="s">
        <v>2208</v>
      </c>
      <c r="H1893" t="s">
        <v>2916</v>
      </c>
      <c r="I1893" t="s">
        <v>17772</v>
      </c>
      <c r="J1893">
        <v>0</v>
      </c>
      <c r="K1893">
        <v>-40.69</v>
      </c>
      <c r="L1893" t="s">
        <v>2917</v>
      </c>
      <c r="M1893">
        <v>0</v>
      </c>
      <c r="N1893" t="s">
        <v>2918</v>
      </c>
      <c r="O1893" t="s">
        <v>2946</v>
      </c>
      <c r="P1893" t="s">
        <v>2208</v>
      </c>
      <c r="Q1893" t="s">
        <v>8725</v>
      </c>
      <c r="R1893" t="s">
        <v>8726</v>
      </c>
      <c r="S1893" t="s">
        <v>2208</v>
      </c>
      <c r="T1893" t="s">
        <v>2208</v>
      </c>
    </row>
    <row r="1894" spans="1:20">
      <c r="A1894" t="s">
        <v>2435</v>
      </c>
      <c r="B1894" t="s">
        <v>9126</v>
      </c>
      <c r="C1894">
        <v>45734</v>
      </c>
      <c r="D1894" t="s">
        <v>7263</v>
      </c>
      <c r="E1894" t="s">
        <v>9127</v>
      </c>
      <c r="F1894">
        <v>45742</v>
      </c>
      <c r="G1894" t="s">
        <v>11298</v>
      </c>
      <c r="H1894" t="s">
        <v>2916</v>
      </c>
      <c r="I1894" t="s">
        <v>11299</v>
      </c>
      <c r="J1894">
        <v>2</v>
      </c>
      <c r="K1894">
        <v>6099.43</v>
      </c>
      <c r="L1894" t="s">
        <v>2917</v>
      </c>
      <c r="M1894">
        <v>35588</v>
      </c>
      <c r="N1894" t="s">
        <v>2918</v>
      </c>
      <c r="O1894" t="s">
        <v>11300</v>
      </c>
      <c r="P1894" t="s">
        <v>11301</v>
      </c>
      <c r="Q1894" t="s">
        <v>2924</v>
      </c>
      <c r="R1894" t="s">
        <v>3219</v>
      </c>
      <c r="S1894" t="s">
        <v>11302</v>
      </c>
      <c r="T1894" t="s">
        <v>11303</v>
      </c>
    </row>
    <row r="1895" spans="1:20">
      <c r="A1895" t="s">
        <v>2435</v>
      </c>
      <c r="B1895" t="s">
        <v>9126</v>
      </c>
      <c r="C1895">
        <v>45734</v>
      </c>
      <c r="D1895" t="s">
        <v>7263</v>
      </c>
      <c r="E1895" t="s">
        <v>9127</v>
      </c>
      <c r="F1895">
        <v>45742</v>
      </c>
      <c r="G1895" t="s">
        <v>11298</v>
      </c>
      <c r="H1895" t="s">
        <v>2916</v>
      </c>
      <c r="I1895" t="s">
        <v>11304</v>
      </c>
      <c r="J1895">
        <v>0</v>
      </c>
      <c r="K1895">
        <v>-564.20000000000005</v>
      </c>
      <c r="L1895" t="s">
        <v>2917</v>
      </c>
      <c r="M1895">
        <v>-3291.89</v>
      </c>
      <c r="N1895" t="s">
        <v>2918</v>
      </c>
      <c r="O1895" t="s">
        <v>11305</v>
      </c>
      <c r="P1895" t="s">
        <v>11301</v>
      </c>
      <c r="Q1895" t="s">
        <v>2924</v>
      </c>
      <c r="R1895" t="s">
        <v>3219</v>
      </c>
      <c r="S1895" t="s">
        <v>11302</v>
      </c>
      <c r="T1895" t="s">
        <v>11303</v>
      </c>
    </row>
    <row r="1896" spans="1:20">
      <c r="A1896" t="s">
        <v>2435</v>
      </c>
      <c r="B1896" t="s">
        <v>9126</v>
      </c>
      <c r="C1896">
        <v>45747</v>
      </c>
      <c r="D1896" t="s">
        <v>7263</v>
      </c>
      <c r="E1896" t="s">
        <v>9127</v>
      </c>
      <c r="F1896">
        <v>45747</v>
      </c>
      <c r="G1896" t="s">
        <v>2208</v>
      </c>
      <c r="H1896" t="s">
        <v>2916</v>
      </c>
      <c r="I1896" t="s">
        <v>11430</v>
      </c>
      <c r="J1896">
        <v>0</v>
      </c>
      <c r="K1896">
        <v>-0.02</v>
      </c>
      <c r="L1896" t="s">
        <v>2917</v>
      </c>
      <c r="M1896">
        <v>0</v>
      </c>
      <c r="N1896" t="s">
        <v>2918</v>
      </c>
      <c r="O1896" t="s">
        <v>2919</v>
      </c>
      <c r="P1896" t="s">
        <v>2208</v>
      </c>
      <c r="Q1896" t="s">
        <v>2916</v>
      </c>
      <c r="R1896" t="s">
        <v>3220</v>
      </c>
      <c r="S1896" t="s">
        <v>2208</v>
      </c>
      <c r="T1896" t="s">
        <v>2208</v>
      </c>
    </row>
    <row r="1897" spans="1:20">
      <c r="A1897" t="s">
        <v>2435</v>
      </c>
      <c r="B1897" t="s">
        <v>11331</v>
      </c>
      <c r="C1897">
        <v>45730</v>
      </c>
      <c r="D1897" t="s">
        <v>7263</v>
      </c>
      <c r="E1897" t="s">
        <v>11332</v>
      </c>
      <c r="F1897">
        <v>45769</v>
      </c>
      <c r="G1897" t="s">
        <v>11298</v>
      </c>
      <c r="H1897" t="s">
        <v>2916</v>
      </c>
      <c r="I1897" t="s">
        <v>15860</v>
      </c>
      <c r="J1897">
        <v>31550</v>
      </c>
      <c r="K1897">
        <v>5478.66</v>
      </c>
      <c r="L1897" t="s">
        <v>2917</v>
      </c>
      <c r="M1897">
        <v>31550</v>
      </c>
      <c r="N1897" t="s">
        <v>2918</v>
      </c>
      <c r="O1897" t="s">
        <v>3315</v>
      </c>
      <c r="P1897" t="s">
        <v>3315</v>
      </c>
      <c r="Q1897" t="s">
        <v>2924</v>
      </c>
      <c r="R1897" t="s">
        <v>3219</v>
      </c>
      <c r="S1897" t="s">
        <v>2208</v>
      </c>
      <c r="T1897" t="s">
        <v>2208</v>
      </c>
    </row>
    <row r="1898" spans="1:20">
      <c r="A1898" t="s">
        <v>2435</v>
      </c>
      <c r="B1898" t="s">
        <v>11331</v>
      </c>
      <c r="C1898">
        <v>45769</v>
      </c>
      <c r="D1898" t="s">
        <v>7263</v>
      </c>
      <c r="E1898" t="s">
        <v>11332</v>
      </c>
      <c r="F1898">
        <v>45772</v>
      </c>
      <c r="G1898" t="s">
        <v>11298</v>
      </c>
      <c r="H1898" t="s">
        <v>2916</v>
      </c>
      <c r="I1898" t="s">
        <v>16275</v>
      </c>
      <c r="J1898">
        <v>0</v>
      </c>
      <c r="K1898">
        <v>-506.78</v>
      </c>
      <c r="L1898" t="s">
        <v>2917</v>
      </c>
      <c r="M1898">
        <v>-2918.38</v>
      </c>
      <c r="N1898" t="s">
        <v>2918</v>
      </c>
      <c r="O1898" t="s">
        <v>16276</v>
      </c>
      <c r="P1898" t="s">
        <v>3315</v>
      </c>
      <c r="Q1898" t="s">
        <v>2924</v>
      </c>
      <c r="R1898" t="s">
        <v>3219</v>
      </c>
      <c r="S1898" t="s">
        <v>2208</v>
      </c>
      <c r="T1898" t="s">
        <v>2208</v>
      </c>
    </row>
    <row r="1899" spans="1:20">
      <c r="A1899" t="s">
        <v>2435</v>
      </c>
      <c r="B1899" t="s">
        <v>11331</v>
      </c>
      <c r="C1899">
        <v>45777</v>
      </c>
      <c r="D1899" t="s">
        <v>7263</v>
      </c>
      <c r="E1899" t="s">
        <v>11332</v>
      </c>
      <c r="F1899">
        <v>45777</v>
      </c>
      <c r="G1899" t="s">
        <v>2208</v>
      </c>
      <c r="H1899" t="s">
        <v>2916</v>
      </c>
      <c r="I1899" t="s">
        <v>16460</v>
      </c>
      <c r="J1899">
        <v>0</v>
      </c>
      <c r="K1899">
        <v>7.0000000000000007E-2</v>
      </c>
      <c r="L1899" t="s">
        <v>2917</v>
      </c>
      <c r="M1899">
        <v>0</v>
      </c>
      <c r="N1899" t="s">
        <v>2918</v>
      </c>
      <c r="O1899" t="s">
        <v>2919</v>
      </c>
      <c r="P1899" t="s">
        <v>2208</v>
      </c>
      <c r="Q1899" t="s">
        <v>2916</v>
      </c>
      <c r="R1899" t="s">
        <v>3220</v>
      </c>
      <c r="S1899" t="s">
        <v>2208</v>
      </c>
      <c r="T1899" t="s">
        <v>2208</v>
      </c>
    </row>
    <row r="1900" spans="1:20">
      <c r="A1900" t="s">
        <v>2436</v>
      </c>
      <c r="B1900" t="s">
        <v>2920</v>
      </c>
      <c r="C1900">
        <v>45652</v>
      </c>
      <c r="D1900" t="s">
        <v>7263</v>
      </c>
      <c r="E1900" t="s">
        <v>2921</v>
      </c>
      <c r="F1900">
        <v>45658</v>
      </c>
      <c r="G1900" t="s">
        <v>2208</v>
      </c>
      <c r="H1900" t="s">
        <v>2916</v>
      </c>
      <c r="I1900" t="s">
        <v>7321</v>
      </c>
      <c r="J1900">
        <v>0</v>
      </c>
      <c r="K1900">
        <v>-12830.6</v>
      </c>
      <c r="L1900" t="s">
        <v>2917</v>
      </c>
      <c r="M1900">
        <v>-78206.78</v>
      </c>
      <c r="N1900" t="s">
        <v>2918</v>
      </c>
      <c r="O1900" t="s">
        <v>3313</v>
      </c>
      <c r="P1900" t="s">
        <v>2208</v>
      </c>
      <c r="Q1900" t="s">
        <v>2929</v>
      </c>
      <c r="R1900" t="s">
        <v>3228</v>
      </c>
      <c r="S1900" t="s">
        <v>2208</v>
      </c>
      <c r="T1900" t="s">
        <v>2208</v>
      </c>
    </row>
    <row r="1901" spans="1:20">
      <c r="A1901" t="s">
        <v>2436</v>
      </c>
      <c r="B1901" t="s">
        <v>2920</v>
      </c>
      <c r="C1901">
        <v>45546</v>
      </c>
      <c r="D1901" t="s">
        <v>7263</v>
      </c>
      <c r="E1901" t="s">
        <v>2921</v>
      </c>
      <c r="F1901">
        <v>45660</v>
      </c>
      <c r="G1901" t="s">
        <v>6827</v>
      </c>
      <c r="H1901" t="s">
        <v>2916</v>
      </c>
      <c r="I1901" t="s">
        <v>7369</v>
      </c>
      <c r="J1901">
        <v>0</v>
      </c>
      <c r="K1901">
        <v>2392.91</v>
      </c>
      <c r="L1901" t="s">
        <v>2917</v>
      </c>
      <c r="M1901">
        <v>14777.43</v>
      </c>
      <c r="N1901" t="s">
        <v>2918</v>
      </c>
      <c r="O1901" t="s">
        <v>7370</v>
      </c>
      <c r="P1901" t="s">
        <v>6828</v>
      </c>
      <c r="Q1901" t="s">
        <v>7371</v>
      </c>
      <c r="R1901" t="s">
        <v>7372</v>
      </c>
      <c r="S1901" t="s">
        <v>6829</v>
      </c>
      <c r="T1901" t="s">
        <v>6828</v>
      </c>
    </row>
    <row r="1902" spans="1:20">
      <c r="A1902" t="s">
        <v>2436</v>
      </c>
      <c r="B1902" t="s">
        <v>2920</v>
      </c>
      <c r="C1902">
        <v>45546</v>
      </c>
      <c r="D1902" t="s">
        <v>7263</v>
      </c>
      <c r="E1902" t="s">
        <v>2921</v>
      </c>
      <c r="F1902">
        <v>45661</v>
      </c>
      <c r="G1902" t="s">
        <v>6827</v>
      </c>
      <c r="H1902" t="s">
        <v>2916</v>
      </c>
      <c r="I1902" t="s">
        <v>7373</v>
      </c>
      <c r="J1902">
        <v>0</v>
      </c>
      <c r="K1902">
        <v>297.5</v>
      </c>
      <c r="L1902" t="s">
        <v>2917</v>
      </c>
      <c r="M1902">
        <v>1837.2</v>
      </c>
      <c r="N1902" t="s">
        <v>2918</v>
      </c>
      <c r="O1902" t="s">
        <v>7374</v>
      </c>
      <c r="P1902" t="s">
        <v>6828</v>
      </c>
      <c r="Q1902" t="s">
        <v>7371</v>
      </c>
      <c r="R1902" t="s">
        <v>7372</v>
      </c>
      <c r="S1902" t="s">
        <v>6829</v>
      </c>
      <c r="T1902" t="s">
        <v>6828</v>
      </c>
    </row>
    <row r="1903" spans="1:20">
      <c r="A1903" t="s">
        <v>2436</v>
      </c>
      <c r="B1903" t="s">
        <v>2920</v>
      </c>
      <c r="C1903">
        <v>45680</v>
      </c>
      <c r="D1903" t="s">
        <v>7263</v>
      </c>
      <c r="E1903" t="s">
        <v>2921</v>
      </c>
      <c r="F1903">
        <v>45680</v>
      </c>
      <c r="G1903" t="s">
        <v>2208</v>
      </c>
      <c r="H1903" t="s">
        <v>2916</v>
      </c>
      <c r="I1903" t="s">
        <v>7751</v>
      </c>
      <c r="J1903">
        <v>0</v>
      </c>
      <c r="K1903">
        <v>-2604.9499999999998</v>
      </c>
      <c r="L1903" t="s">
        <v>2917</v>
      </c>
      <c r="M1903">
        <v>-16086.9</v>
      </c>
      <c r="N1903" t="s">
        <v>2918</v>
      </c>
      <c r="O1903" t="s">
        <v>7752</v>
      </c>
      <c r="P1903" t="s">
        <v>2208</v>
      </c>
      <c r="Q1903" t="s">
        <v>2926</v>
      </c>
      <c r="R1903" t="s">
        <v>3312</v>
      </c>
      <c r="S1903" t="s">
        <v>2208</v>
      </c>
      <c r="T1903" t="s">
        <v>2208</v>
      </c>
    </row>
    <row r="1904" spans="1:20">
      <c r="A1904" t="s">
        <v>2436</v>
      </c>
      <c r="B1904" t="s">
        <v>7740</v>
      </c>
      <c r="C1904">
        <v>45715</v>
      </c>
      <c r="D1904" t="s">
        <v>7263</v>
      </c>
      <c r="E1904" t="s">
        <v>2925</v>
      </c>
      <c r="F1904">
        <v>45715</v>
      </c>
      <c r="G1904" t="s">
        <v>2208</v>
      </c>
      <c r="H1904" t="s">
        <v>2916</v>
      </c>
      <c r="I1904" t="s">
        <v>9173</v>
      </c>
      <c r="J1904">
        <v>0</v>
      </c>
      <c r="K1904">
        <v>-22.41</v>
      </c>
      <c r="L1904" t="s">
        <v>2917</v>
      </c>
      <c r="M1904">
        <v>-130.35</v>
      </c>
      <c r="N1904" t="s">
        <v>2918</v>
      </c>
      <c r="O1904" t="s">
        <v>9174</v>
      </c>
      <c r="P1904" t="s">
        <v>2208</v>
      </c>
      <c r="Q1904" t="s">
        <v>2947</v>
      </c>
      <c r="R1904" t="s">
        <v>3221</v>
      </c>
      <c r="S1904" t="s">
        <v>2208</v>
      </c>
      <c r="T1904" t="s">
        <v>2208</v>
      </c>
    </row>
    <row r="1905" spans="1:20">
      <c r="A1905" t="s">
        <v>2436</v>
      </c>
      <c r="B1905" t="s">
        <v>7740</v>
      </c>
      <c r="C1905">
        <v>45715</v>
      </c>
      <c r="D1905" t="s">
        <v>7263</v>
      </c>
      <c r="E1905" t="s">
        <v>2925</v>
      </c>
      <c r="F1905">
        <v>45715</v>
      </c>
      <c r="G1905" t="s">
        <v>2208</v>
      </c>
      <c r="H1905" t="s">
        <v>2916</v>
      </c>
      <c r="I1905" t="s">
        <v>9173</v>
      </c>
      <c r="J1905">
        <v>0</v>
      </c>
      <c r="K1905">
        <v>-103.24</v>
      </c>
      <c r="L1905" t="s">
        <v>2917</v>
      </c>
      <c r="M1905">
        <v>-600.4</v>
      </c>
      <c r="N1905" t="s">
        <v>2918</v>
      </c>
      <c r="O1905" t="s">
        <v>9174</v>
      </c>
      <c r="P1905" t="s">
        <v>2208</v>
      </c>
      <c r="Q1905" t="s">
        <v>2947</v>
      </c>
      <c r="R1905" t="s">
        <v>3221</v>
      </c>
      <c r="S1905" t="s">
        <v>2208</v>
      </c>
      <c r="T1905" t="s">
        <v>2208</v>
      </c>
    </row>
    <row r="1906" spans="1:20">
      <c r="A1906" t="s">
        <v>2436</v>
      </c>
      <c r="B1906" t="s">
        <v>7740</v>
      </c>
      <c r="C1906">
        <v>45716</v>
      </c>
      <c r="D1906" t="s">
        <v>7263</v>
      </c>
      <c r="E1906" t="s">
        <v>2925</v>
      </c>
      <c r="F1906">
        <v>45716</v>
      </c>
      <c r="G1906" t="s">
        <v>2208</v>
      </c>
      <c r="H1906" t="s">
        <v>2916</v>
      </c>
      <c r="I1906" t="s">
        <v>9175</v>
      </c>
      <c r="J1906">
        <v>0</v>
      </c>
      <c r="K1906">
        <v>-0.05</v>
      </c>
      <c r="L1906" t="s">
        <v>2917</v>
      </c>
      <c r="M1906">
        <v>0</v>
      </c>
      <c r="N1906" t="s">
        <v>2918</v>
      </c>
      <c r="O1906" t="s">
        <v>2919</v>
      </c>
      <c r="P1906" t="s">
        <v>2208</v>
      </c>
      <c r="Q1906" t="s">
        <v>2916</v>
      </c>
      <c r="R1906" t="s">
        <v>3220</v>
      </c>
      <c r="S1906" t="s">
        <v>2208</v>
      </c>
      <c r="T1906" t="s">
        <v>2208</v>
      </c>
    </row>
    <row r="1907" spans="1:20">
      <c r="A1907" t="s">
        <v>2436</v>
      </c>
      <c r="B1907" t="s">
        <v>11331</v>
      </c>
      <c r="C1907">
        <v>45771</v>
      </c>
      <c r="D1907" t="s">
        <v>7263</v>
      </c>
      <c r="E1907" t="s">
        <v>11332</v>
      </c>
      <c r="F1907">
        <v>45771</v>
      </c>
      <c r="G1907" t="s">
        <v>2208</v>
      </c>
      <c r="H1907" t="s">
        <v>2916</v>
      </c>
      <c r="I1907" t="s">
        <v>15978</v>
      </c>
      <c r="J1907">
        <v>0</v>
      </c>
      <c r="K1907">
        <v>125.7</v>
      </c>
      <c r="L1907" t="s">
        <v>2917</v>
      </c>
      <c r="M1907">
        <v>0</v>
      </c>
      <c r="N1907" t="s">
        <v>2918</v>
      </c>
      <c r="O1907" t="s">
        <v>2946</v>
      </c>
      <c r="P1907" t="s">
        <v>2208</v>
      </c>
      <c r="Q1907" t="s">
        <v>2928</v>
      </c>
      <c r="R1907" t="s">
        <v>3227</v>
      </c>
      <c r="S1907" t="s">
        <v>2208</v>
      </c>
      <c r="T1907" t="s">
        <v>2208</v>
      </c>
    </row>
    <row r="1908" spans="1:20">
      <c r="A1908" t="s">
        <v>2436</v>
      </c>
      <c r="B1908" t="s">
        <v>11331</v>
      </c>
      <c r="C1908">
        <v>45771</v>
      </c>
      <c r="D1908" t="s">
        <v>7263</v>
      </c>
      <c r="E1908" t="s">
        <v>11332</v>
      </c>
      <c r="F1908">
        <v>45771</v>
      </c>
      <c r="G1908" t="s">
        <v>2208</v>
      </c>
      <c r="H1908" t="s">
        <v>2916</v>
      </c>
      <c r="I1908" t="s">
        <v>15979</v>
      </c>
      <c r="J1908">
        <v>0</v>
      </c>
      <c r="K1908">
        <v>0</v>
      </c>
      <c r="L1908" t="s">
        <v>2917</v>
      </c>
      <c r="M1908">
        <v>730.75</v>
      </c>
      <c r="N1908" t="s">
        <v>2918</v>
      </c>
      <c r="O1908" t="s">
        <v>2946</v>
      </c>
      <c r="P1908" t="s">
        <v>2208</v>
      </c>
      <c r="Q1908" t="s">
        <v>2928</v>
      </c>
      <c r="R1908" t="s">
        <v>3227</v>
      </c>
      <c r="S1908" t="s">
        <v>2208</v>
      </c>
      <c r="T1908" t="s">
        <v>2208</v>
      </c>
    </row>
    <row r="1909" spans="1:20">
      <c r="A1909" t="s">
        <v>2436</v>
      </c>
      <c r="B1909" t="s">
        <v>11331</v>
      </c>
      <c r="C1909">
        <v>45775</v>
      </c>
      <c r="D1909" t="s">
        <v>7263</v>
      </c>
      <c r="E1909" t="s">
        <v>11332</v>
      </c>
      <c r="F1909">
        <v>45775</v>
      </c>
      <c r="G1909" t="s">
        <v>2208</v>
      </c>
      <c r="H1909" t="s">
        <v>2916</v>
      </c>
      <c r="I1909" t="s">
        <v>16176</v>
      </c>
      <c r="J1909">
        <v>0</v>
      </c>
      <c r="K1909">
        <v>27800.22</v>
      </c>
      <c r="L1909" t="s">
        <v>2917</v>
      </c>
      <c r="M1909">
        <v>160093.4</v>
      </c>
      <c r="N1909" t="s">
        <v>2918</v>
      </c>
      <c r="O1909" t="s">
        <v>3313</v>
      </c>
      <c r="P1909" t="s">
        <v>2208</v>
      </c>
      <c r="Q1909" t="s">
        <v>2929</v>
      </c>
      <c r="R1909" t="s">
        <v>3228</v>
      </c>
      <c r="S1909" t="s">
        <v>2208</v>
      </c>
      <c r="T1909" t="s">
        <v>2208</v>
      </c>
    </row>
    <row r="1910" spans="1:20">
      <c r="A1910" t="s">
        <v>2436</v>
      </c>
      <c r="B1910" t="s">
        <v>11331</v>
      </c>
      <c r="C1910">
        <v>45777</v>
      </c>
      <c r="D1910" t="s">
        <v>7263</v>
      </c>
      <c r="E1910" t="s">
        <v>11332</v>
      </c>
      <c r="F1910">
        <v>45777</v>
      </c>
      <c r="G1910" t="s">
        <v>2208</v>
      </c>
      <c r="H1910" t="s">
        <v>2916</v>
      </c>
      <c r="I1910" t="s">
        <v>16461</v>
      </c>
      <c r="J1910">
        <v>0</v>
      </c>
      <c r="K1910">
        <v>-7.0000000000000007E-2</v>
      </c>
      <c r="L1910" t="s">
        <v>2917</v>
      </c>
      <c r="M1910">
        <v>0</v>
      </c>
      <c r="N1910" t="s">
        <v>2918</v>
      </c>
      <c r="O1910" t="s">
        <v>2919</v>
      </c>
      <c r="P1910" t="s">
        <v>2208</v>
      </c>
      <c r="Q1910" t="s">
        <v>2916</v>
      </c>
      <c r="R1910" t="s">
        <v>3220</v>
      </c>
      <c r="S1910" t="s">
        <v>2208</v>
      </c>
      <c r="T1910" t="s">
        <v>2208</v>
      </c>
    </row>
    <row r="1911" spans="1:20">
      <c r="A1911" t="s">
        <v>2436</v>
      </c>
      <c r="B1911" t="s">
        <v>16360</v>
      </c>
      <c r="C1911">
        <v>45775</v>
      </c>
      <c r="D1911" t="s">
        <v>7263</v>
      </c>
      <c r="E1911" t="s">
        <v>16361</v>
      </c>
      <c r="F1911">
        <v>45803</v>
      </c>
      <c r="G1911" t="s">
        <v>2208</v>
      </c>
      <c r="H1911" t="s">
        <v>2916</v>
      </c>
      <c r="I1911" t="s">
        <v>17418</v>
      </c>
      <c r="J1911">
        <v>0</v>
      </c>
      <c r="K1911">
        <v>-27800.22</v>
      </c>
      <c r="L1911" t="s">
        <v>2917</v>
      </c>
      <c r="M1911">
        <v>-160093.4</v>
      </c>
      <c r="N1911" t="s">
        <v>2918</v>
      </c>
      <c r="O1911" t="s">
        <v>3313</v>
      </c>
      <c r="P1911" t="s">
        <v>2208</v>
      </c>
      <c r="Q1911" t="s">
        <v>2929</v>
      </c>
      <c r="R1911" t="s">
        <v>3228</v>
      </c>
      <c r="S1911" t="s">
        <v>2208</v>
      </c>
      <c r="T1911" t="s">
        <v>2208</v>
      </c>
    </row>
    <row r="1912" spans="1:20">
      <c r="A1912" t="s">
        <v>2436</v>
      </c>
      <c r="B1912" t="s">
        <v>16360</v>
      </c>
      <c r="C1912">
        <v>45806</v>
      </c>
      <c r="D1912" t="s">
        <v>7263</v>
      </c>
      <c r="E1912" t="s">
        <v>16361</v>
      </c>
      <c r="F1912">
        <v>45806</v>
      </c>
      <c r="G1912" t="s">
        <v>2208</v>
      </c>
      <c r="H1912" t="s">
        <v>2916</v>
      </c>
      <c r="I1912" t="s">
        <v>17825</v>
      </c>
      <c r="J1912">
        <v>0</v>
      </c>
      <c r="K1912">
        <v>28416.58</v>
      </c>
      <c r="L1912" t="s">
        <v>2917</v>
      </c>
      <c r="M1912">
        <v>160093.4</v>
      </c>
      <c r="N1912" t="s">
        <v>2918</v>
      </c>
      <c r="O1912" t="s">
        <v>3313</v>
      </c>
      <c r="P1912" t="s">
        <v>2208</v>
      </c>
      <c r="Q1912" t="s">
        <v>2929</v>
      </c>
      <c r="R1912" t="s">
        <v>3228</v>
      </c>
      <c r="S1912" t="s">
        <v>2208</v>
      </c>
      <c r="T1912" t="s">
        <v>2208</v>
      </c>
    </row>
    <row r="1913" spans="1:20">
      <c r="A1913" t="s">
        <v>2436</v>
      </c>
      <c r="B1913" t="s">
        <v>16360</v>
      </c>
      <c r="C1913">
        <v>45808</v>
      </c>
      <c r="D1913" t="s">
        <v>7263</v>
      </c>
      <c r="E1913" t="s">
        <v>16361</v>
      </c>
      <c r="F1913">
        <v>45808</v>
      </c>
      <c r="G1913" t="s">
        <v>2208</v>
      </c>
      <c r="H1913" t="s">
        <v>2916</v>
      </c>
      <c r="I1913" t="s">
        <v>17883</v>
      </c>
      <c r="J1913">
        <v>0</v>
      </c>
      <c r="K1913">
        <v>-616.36</v>
      </c>
      <c r="L1913" t="s">
        <v>2917</v>
      </c>
      <c r="M1913">
        <v>0</v>
      </c>
      <c r="N1913" t="s">
        <v>2918</v>
      </c>
      <c r="O1913" t="s">
        <v>2919</v>
      </c>
      <c r="P1913" t="s">
        <v>2208</v>
      </c>
      <c r="Q1913" t="s">
        <v>2916</v>
      </c>
      <c r="R1913" t="s">
        <v>3220</v>
      </c>
      <c r="S1913" t="s">
        <v>2208</v>
      </c>
      <c r="T1913" t="s">
        <v>2208</v>
      </c>
    </row>
    <row r="1914" spans="1:20">
      <c r="A1914" t="s">
        <v>2436</v>
      </c>
      <c r="B1914" t="s">
        <v>17897</v>
      </c>
      <c r="C1914">
        <v>45832</v>
      </c>
      <c r="D1914" t="s">
        <v>7263</v>
      </c>
      <c r="E1914" t="s">
        <v>17898</v>
      </c>
      <c r="F1914">
        <v>45832</v>
      </c>
      <c r="G1914" t="s">
        <v>2208</v>
      </c>
      <c r="H1914" t="s">
        <v>2916</v>
      </c>
      <c r="I1914" t="s">
        <v>18997</v>
      </c>
      <c r="J1914">
        <v>0</v>
      </c>
      <c r="K1914">
        <v>-28208.46</v>
      </c>
      <c r="L1914" t="s">
        <v>2917</v>
      </c>
      <c r="M1914">
        <v>-160093.4</v>
      </c>
      <c r="N1914" t="s">
        <v>2918</v>
      </c>
      <c r="O1914" t="s">
        <v>3313</v>
      </c>
      <c r="P1914" t="s">
        <v>2208</v>
      </c>
      <c r="Q1914" t="s">
        <v>2929</v>
      </c>
      <c r="R1914" t="s">
        <v>3228</v>
      </c>
      <c r="S1914" t="s">
        <v>2208</v>
      </c>
      <c r="T1914" t="s">
        <v>2208</v>
      </c>
    </row>
    <row r="1915" spans="1:20">
      <c r="A1915" t="s">
        <v>2436</v>
      </c>
      <c r="B1915" t="s">
        <v>17897</v>
      </c>
      <c r="C1915">
        <v>45834</v>
      </c>
      <c r="D1915" t="s">
        <v>7263</v>
      </c>
      <c r="E1915" t="s">
        <v>17898</v>
      </c>
      <c r="F1915">
        <v>45835</v>
      </c>
      <c r="G1915" t="s">
        <v>2208</v>
      </c>
      <c r="H1915" t="s">
        <v>2916</v>
      </c>
      <c r="I1915" t="s">
        <v>19160</v>
      </c>
      <c r="J1915">
        <v>0</v>
      </c>
      <c r="K1915">
        <v>28208.46</v>
      </c>
      <c r="L1915" t="s">
        <v>2917</v>
      </c>
      <c r="M1915">
        <v>160093.4</v>
      </c>
      <c r="N1915" t="s">
        <v>2918</v>
      </c>
      <c r="O1915" t="s">
        <v>3313</v>
      </c>
      <c r="P1915" t="s">
        <v>2208</v>
      </c>
      <c r="Q1915" t="s">
        <v>2929</v>
      </c>
      <c r="R1915" t="s">
        <v>3228</v>
      </c>
      <c r="S1915" t="s">
        <v>2208</v>
      </c>
      <c r="T1915" t="s">
        <v>2208</v>
      </c>
    </row>
    <row r="1916" spans="1:20">
      <c r="A1916" t="s">
        <v>2436</v>
      </c>
      <c r="B1916" t="s">
        <v>17897</v>
      </c>
      <c r="C1916">
        <v>45834</v>
      </c>
      <c r="D1916" t="s">
        <v>7263</v>
      </c>
      <c r="E1916" t="s">
        <v>17898</v>
      </c>
      <c r="F1916">
        <v>45835</v>
      </c>
      <c r="G1916" t="s">
        <v>2208</v>
      </c>
      <c r="H1916" t="s">
        <v>2916</v>
      </c>
      <c r="I1916" t="s">
        <v>19160</v>
      </c>
      <c r="J1916">
        <v>0</v>
      </c>
      <c r="K1916">
        <v>1012.17</v>
      </c>
      <c r="L1916" t="s">
        <v>2917</v>
      </c>
      <c r="M1916">
        <v>5744.42</v>
      </c>
      <c r="N1916" t="s">
        <v>2918</v>
      </c>
      <c r="O1916" t="s">
        <v>3313</v>
      </c>
      <c r="P1916" t="s">
        <v>2208</v>
      </c>
      <c r="Q1916" t="s">
        <v>2929</v>
      </c>
      <c r="R1916" t="s">
        <v>3228</v>
      </c>
      <c r="S1916" t="s">
        <v>2208</v>
      </c>
      <c r="T1916" t="s">
        <v>2208</v>
      </c>
    </row>
    <row r="1917" spans="1:20">
      <c r="A1917" t="s">
        <v>2436</v>
      </c>
      <c r="B1917" t="s">
        <v>17897</v>
      </c>
      <c r="C1917">
        <v>45838</v>
      </c>
      <c r="D1917" t="s">
        <v>7263</v>
      </c>
      <c r="E1917" t="s">
        <v>17898</v>
      </c>
      <c r="F1917">
        <v>45838</v>
      </c>
      <c r="G1917" t="s">
        <v>2208</v>
      </c>
      <c r="H1917" t="s">
        <v>2916</v>
      </c>
      <c r="I1917" t="s">
        <v>19279</v>
      </c>
      <c r="J1917">
        <v>0</v>
      </c>
      <c r="K1917">
        <v>-0.08</v>
      </c>
      <c r="L1917" t="s">
        <v>2917</v>
      </c>
      <c r="M1917">
        <v>0</v>
      </c>
      <c r="N1917" t="s">
        <v>2918</v>
      </c>
      <c r="O1917" t="s">
        <v>2919</v>
      </c>
      <c r="P1917" t="s">
        <v>2208</v>
      </c>
      <c r="Q1917" t="s">
        <v>2916</v>
      </c>
      <c r="R1917" t="s">
        <v>3220</v>
      </c>
      <c r="S1917" t="s">
        <v>2208</v>
      </c>
      <c r="T1917" t="s">
        <v>2208</v>
      </c>
    </row>
    <row r="1918" spans="1:20">
      <c r="A1918" t="s">
        <v>2436</v>
      </c>
      <c r="B1918" t="s">
        <v>7740</v>
      </c>
      <c r="C1918">
        <v>45715</v>
      </c>
      <c r="D1918" t="s">
        <v>7263</v>
      </c>
      <c r="E1918" t="s">
        <v>2925</v>
      </c>
      <c r="F1918">
        <v>45715</v>
      </c>
      <c r="G1918" t="s">
        <v>2208</v>
      </c>
      <c r="H1918" t="s">
        <v>2916</v>
      </c>
      <c r="I1918" t="s">
        <v>9173</v>
      </c>
      <c r="J1918">
        <v>0</v>
      </c>
      <c r="K1918">
        <v>-20.440000000000001</v>
      </c>
      <c r="L1918" t="s">
        <v>2917</v>
      </c>
      <c r="M1918">
        <v>-118.9</v>
      </c>
      <c r="N1918" t="s">
        <v>2918</v>
      </c>
      <c r="O1918" t="s">
        <v>9174</v>
      </c>
      <c r="P1918" t="s">
        <v>2208</v>
      </c>
      <c r="Q1918" t="s">
        <v>2947</v>
      </c>
      <c r="R1918" t="s">
        <v>3221</v>
      </c>
      <c r="S1918" t="s">
        <v>2208</v>
      </c>
      <c r="T1918" t="s">
        <v>2208</v>
      </c>
    </row>
    <row r="1919" spans="1:20">
      <c r="A1919" t="s">
        <v>2436</v>
      </c>
      <c r="B1919" t="s">
        <v>7740</v>
      </c>
      <c r="C1919">
        <v>45715</v>
      </c>
      <c r="D1919" t="s">
        <v>7263</v>
      </c>
      <c r="E1919" t="s">
        <v>2925</v>
      </c>
      <c r="F1919">
        <v>45715</v>
      </c>
      <c r="G1919" t="s">
        <v>2208</v>
      </c>
      <c r="H1919" t="s">
        <v>2916</v>
      </c>
      <c r="I1919" t="s">
        <v>9173</v>
      </c>
      <c r="J1919">
        <v>0</v>
      </c>
      <c r="K1919">
        <v>-94.17</v>
      </c>
      <c r="L1919" t="s">
        <v>2917</v>
      </c>
      <c r="M1919">
        <v>-547.66999999999996</v>
      </c>
      <c r="N1919" t="s">
        <v>2918</v>
      </c>
      <c r="O1919" t="s">
        <v>9174</v>
      </c>
      <c r="P1919" t="s">
        <v>2208</v>
      </c>
      <c r="Q1919" t="s">
        <v>2947</v>
      </c>
      <c r="R1919" t="s">
        <v>3221</v>
      </c>
      <c r="S1919" t="s">
        <v>2208</v>
      </c>
      <c r="T1919" t="s">
        <v>2208</v>
      </c>
    </row>
    <row r="1920" spans="1:20">
      <c r="A1920" t="s">
        <v>2436</v>
      </c>
      <c r="B1920" t="s">
        <v>7740</v>
      </c>
      <c r="C1920">
        <v>45716</v>
      </c>
      <c r="D1920" t="s">
        <v>7263</v>
      </c>
      <c r="E1920" t="s">
        <v>2925</v>
      </c>
      <c r="F1920">
        <v>45716</v>
      </c>
      <c r="G1920" t="s">
        <v>2208</v>
      </c>
      <c r="H1920" t="s">
        <v>2916</v>
      </c>
      <c r="I1920" t="s">
        <v>9176</v>
      </c>
      <c r="J1920">
        <v>0</v>
      </c>
      <c r="K1920">
        <v>-0.08</v>
      </c>
      <c r="L1920" t="s">
        <v>2917</v>
      </c>
      <c r="M1920">
        <v>0</v>
      </c>
      <c r="N1920" t="s">
        <v>2918</v>
      </c>
      <c r="O1920" t="s">
        <v>2919</v>
      </c>
      <c r="P1920" t="s">
        <v>2208</v>
      </c>
      <c r="Q1920" t="s">
        <v>2916</v>
      </c>
      <c r="R1920" t="s">
        <v>3220</v>
      </c>
      <c r="S1920" t="s">
        <v>2208</v>
      </c>
      <c r="T1920" t="s">
        <v>2208</v>
      </c>
    </row>
    <row r="1921" spans="1:20">
      <c r="A1921" t="s">
        <v>2436</v>
      </c>
      <c r="B1921" t="s">
        <v>11331</v>
      </c>
      <c r="C1921">
        <v>45771</v>
      </c>
      <c r="D1921" t="s">
        <v>7263</v>
      </c>
      <c r="E1921" t="s">
        <v>11332</v>
      </c>
      <c r="F1921">
        <v>45771</v>
      </c>
      <c r="G1921" t="s">
        <v>2208</v>
      </c>
      <c r="H1921" t="s">
        <v>2916</v>
      </c>
      <c r="I1921" t="s">
        <v>15980</v>
      </c>
      <c r="J1921">
        <v>0</v>
      </c>
      <c r="K1921">
        <v>114.69</v>
      </c>
      <c r="L1921" t="s">
        <v>2917</v>
      </c>
      <c r="M1921">
        <v>0</v>
      </c>
      <c r="N1921" t="s">
        <v>2918</v>
      </c>
      <c r="O1921" t="s">
        <v>2946</v>
      </c>
      <c r="P1921" t="s">
        <v>2208</v>
      </c>
      <c r="Q1921" t="s">
        <v>2928</v>
      </c>
      <c r="R1921" t="s">
        <v>3227</v>
      </c>
      <c r="S1921" t="s">
        <v>2208</v>
      </c>
      <c r="T1921" t="s">
        <v>2208</v>
      </c>
    </row>
    <row r="1922" spans="1:20">
      <c r="A1922" t="s">
        <v>2436</v>
      </c>
      <c r="B1922" t="s">
        <v>11331</v>
      </c>
      <c r="C1922">
        <v>45771</v>
      </c>
      <c r="D1922" t="s">
        <v>7263</v>
      </c>
      <c r="E1922" t="s">
        <v>11332</v>
      </c>
      <c r="F1922">
        <v>45771</v>
      </c>
      <c r="G1922" t="s">
        <v>2208</v>
      </c>
      <c r="H1922" t="s">
        <v>2916</v>
      </c>
      <c r="I1922" t="s">
        <v>15981</v>
      </c>
      <c r="J1922">
        <v>0</v>
      </c>
      <c r="K1922">
        <v>0</v>
      </c>
      <c r="L1922" t="s">
        <v>2917</v>
      </c>
      <c r="M1922">
        <v>666.57</v>
      </c>
      <c r="N1922" t="s">
        <v>2918</v>
      </c>
      <c r="O1922" t="s">
        <v>2946</v>
      </c>
      <c r="P1922" t="s">
        <v>2208</v>
      </c>
      <c r="Q1922" t="s">
        <v>2928</v>
      </c>
      <c r="R1922" t="s">
        <v>3227</v>
      </c>
      <c r="S1922" t="s">
        <v>2208</v>
      </c>
      <c r="T1922" t="s">
        <v>2208</v>
      </c>
    </row>
    <row r="1923" spans="1:20">
      <c r="A1923" t="s">
        <v>2436</v>
      </c>
      <c r="B1923" t="s">
        <v>9126</v>
      </c>
      <c r="C1923">
        <v>45734</v>
      </c>
      <c r="D1923" t="s">
        <v>7263</v>
      </c>
      <c r="E1923" t="s">
        <v>9127</v>
      </c>
      <c r="F1923">
        <v>45735</v>
      </c>
      <c r="G1923" t="s">
        <v>11008</v>
      </c>
      <c r="H1923" t="s">
        <v>2916</v>
      </c>
      <c r="I1923" t="s">
        <v>11009</v>
      </c>
      <c r="J1923">
        <v>2</v>
      </c>
      <c r="K1923">
        <v>545.02</v>
      </c>
      <c r="L1923" t="s">
        <v>2917</v>
      </c>
      <c r="M1923">
        <v>3180</v>
      </c>
      <c r="N1923" t="s">
        <v>2918</v>
      </c>
      <c r="O1923" t="s">
        <v>11010</v>
      </c>
      <c r="P1923" t="s">
        <v>11011</v>
      </c>
      <c r="Q1923" t="s">
        <v>2924</v>
      </c>
      <c r="R1923" t="s">
        <v>3219</v>
      </c>
      <c r="S1923" t="s">
        <v>11012</v>
      </c>
      <c r="T1923" t="s">
        <v>11013</v>
      </c>
    </row>
    <row r="1924" spans="1:20">
      <c r="A1924" t="s">
        <v>2436</v>
      </c>
      <c r="B1924" t="s">
        <v>9126</v>
      </c>
      <c r="C1924">
        <v>45734</v>
      </c>
      <c r="D1924" t="s">
        <v>7263</v>
      </c>
      <c r="E1924" t="s">
        <v>9127</v>
      </c>
      <c r="F1924">
        <v>45735</v>
      </c>
      <c r="G1924" t="s">
        <v>11008</v>
      </c>
      <c r="H1924" t="s">
        <v>2916</v>
      </c>
      <c r="I1924" t="s">
        <v>11014</v>
      </c>
      <c r="J1924">
        <v>0</v>
      </c>
      <c r="K1924">
        <v>-50.41</v>
      </c>
      <c r="L1924" t="s">
        <v>2917</v>
      </c>
      <c r="M1924">
        <v>-294.14999999999998</v>
      </c>
      <c r="N1924" t="s">
        <v>2918</v>
      </c>
      <c r="O1924" t="s">
        <v>11015</v>
      </c>
      <c r="P1924" t="s">
        <v>11011</v>
      </c>
      <c r="Q1924" t="s">
        <v>2924</v>
      </c>
      <c r="R1924" t="s">
        <v>3219</v>
      </c>
      <c r="S1924" t="s">
        <v>11012</v>
      </c>
      <c r="T1924" t="s">
        <v>11013</v>
      </c>
    </row>
    <row r="1925" spans="1:20">
      <c r="A1925" t="s">
        <v>2436</v>
      </c>
      <c r="B1925" t="s">
        <v>9126</v>
      </c>
      <c r="C1925">
        <v>45747</v>
      </c>
      <c r="D1925" t="s">
        <v>7263</v>
      </c>
      <c r="E1925" t="s">
        <v>9127</v>
      </c>
      <c r="F1925">
        <v>45747</v>
      </c>
      <c r="G1925" t="s">
        <v>2208</v>
      </c>
      <c r="H1925" t="s">
        <v>2916</v>
      </c>
      <c r="I1925" t="s">
        <v>11431</v>
      </c>
      <c r="J1925">
        <v>0</v>
      </c>
      <c r="K1925">
        <v>0.02</v>
      </c>
      <c r="L1925" t="s">
        <v>2917</v>
      </c>
      <c r="M1925">
        <v>0</v>
      </c>
      <c r="N1925" t="s">
        <v>2918</v>
      </c>
      <c r="O1925" t="s">
        <v>2919</v>
      </c>
      <c r="P1925" t="s">
        <v>2208</v>
      </c>
      <c r="Q1925" t="s">
        <v>2916</v>
      </c>
      <c r="R1925" t="s">
        <v>3220</v>
      </c>
      <c r="S1925" t="s">
        <v>2208</v>
      </c>
      <c r="T1925" t="s">
        <v>2208</v>
      </c>
    </row>
    <row r="1926" spans="1:20">
      <c r="A1926" t="s">
        <v>2436</v>
      </c>
      <c r="B1926" t="s">
        <v>9126</v>
      </c>
      <c r="C1926">
        <v>45728</v>
      </c>
      <c r="D1926" t="s">
        <v>7263</v>
      </c>
      <c r="E1926" t="s">
        <v>9127</v>
      </c>
      <c r="F1926">
        <v>45730</v>
      </c>
      <c r="G1926" t="s">
        <v>10836</v>
      </c>
      <c r="H1926" t="s">
        <v>2916</v>
      </c>
      <c r="I1926" t="s">
        <v>10837</v>
      </c>
      <c r="J1926">
        <v>3</v>
      </c>
      <c r="K1926">
        <v>1394.47</v>
      </c>
      <c r="L1926" t="s">
        <v>2917</v>
      </c>
      <c r="M1926">
        <v>8136.23</v>
      </c>
      <c r="N1926" t="s">
        <v>2918</v>
      </c>
      <c r="O1926" t="s">
        <v>10838</v>
      </c>
      <c r="P1926" t="s">
        <v>10839</v>
      </c>
      <c r="Q1926" t="s">
        <v>2924</v>
      </c>
      <c r="R1926" t="s">
        <v>3219</v>
      </c>
      <c r="S1926" t="s">
        <v>10840</v>
      </c>
      <c r="T1926" t="s">
        <v>10839</v>
      </c>
    </row>
    <row r="1927" spans="1:20">
      <c r="A1927" t="s">
        <v>2436</v>
      </c>
      <c r="B1927" t="s">
        <v>9126</v>
      </c>
      <c r="C1927">
        <v>45728</v>
      </c>
      <c r="D1927" t="s">
        <v>7263</v>
      </c>
      <c r="E1927" t="s">
        <v>9127</v>
      </c>
      <c r="F1927">
        <v>45730</v>
      </c>
      <c r="G1927" t="s">
        <v>10836</v>
      </c>
      <c r="H1927" t="s">
        <v>2916</v>
      </c>
      <c r="I1927" t="s">
        <v>10841</v>
      </c>
      <c r="J1927">
        <v>0</v>
      </c>
      <c r="K1927">
        <v>-164.64</v>
      </c>
      <c r="L1927" t="s">
        <v>2917</v>
      </c>
      <c r="M1927">
        <v>-960.63</v>
      </c>
      <c r="N1927" t="s">
        <v>2918</v>
      </c>
      <c r="O1927" t="s">
        <v>10842</v>
      </c>
      <c r="P1927" t="s">
        <v>10839</v>
      </c>
      <c r="Q1927" t="s">
        <v>2924</v>
      </c>
      <c r="R1927" t="s">
        <v>3219</v>
      </c>
      <c r="S1927" t="s">
        <v>10840</v>
      </c>
      <c r="T1927" t="s">
        <v>10839</v>
      </c>
    </row>
    <row r="1928" spans="1:20">
      <c r="A1928" t="s">
        <v>2436</v>
      </c>
      <c r="B1928" t="s">
        <v>9126</v>
      </c>
      <c r="C1928">
        <v>45730</v>
      </c>
      <c r="D1928" t="s">
        <v>7263</v>
      </c>
      <c r="E1928" t="s">
        <v>9127</v>
      </c>
      <c r="F1928">
        <v>45730</v>
      </c>
      <c r="G1928" t="s">
        <v>10843</v>
      </c>
      <c r="H1928" t="s">
        <v>2916</v>
      </c>
      <c r="I1928" t="s">
        <v>10844</v>
      </c>
      <c r="J1928">
        <v>1</v>
      </c>
      <c r="K1928">
        <v>1228.0999999999999</v>
      </c>
      <c r="L1928" t="s">
        <v>2917</v>
      </c>
      <c r="M1928">
        <v>7165.55</v>
      </c>
      <c r="N1928" t="s">
        <v>2918</v>
      </c>
      <c r="O1928" t="s">
        <v>10845</v>
      </c>
      <c r="P1928" t="s">
        <v>10846</v>
      </c>
      <c r="Q1928" t="s">
        <v>2924</v>
      </c>
      <c r="R1928" t="s">
        <v>3219</v>
      </c>
      <c r="S1928" t="s">
        <v>10847</v>
      </c>
      <c r="T1928" t="s">
        <v>10848</v>
      </c>
    </row>
    <row r="1929" spans="1:20">
      <c r="A1929" t="s">
        <v>2436</v>
      </c>
      <c r="B1929" t="s">
        <v>9126</v>
      </c>
      <c r="C1929">
        <v>45730</v>
      </c>
      <c r="D1929" t="s">
        <v>7263</v>
      </c>
      <c r="E1929" t="s">
        <v>9127</v>
      </c>
      <c r="F1929">
        <v>45730</v>
      </c>
      <c r="G1929" t="s">
        <v>10843</v>
      </c>
      <c r="H1929" t="s">
        <v>2916</v>
      </c>
      <c r="I1929" t="s">
        <v>10849</v>
      </c>
      <c r="J1929">
        <v>0</v>
      </c>
      <c r="K1929">
        <v>-314.20999999999998</v>
      </c>
      <c r="L1929" t="s">
        <v>2917</v>
      </c>
      <c r="M1929">
        <v>-1833.31</v>
      </c>
      <c r="N1929" t="s">
        <v>2918</v>
      </c>
      <c r="O1929" t="s">
        <v>10850</v>
      </c>
      <c r="P1929" t="s">
        <v>10846</v>
      </c>
      <c r="Q1929" t="s">
        <v>2924</v>
      </c>
      <c r="R1929" t="s">
        <v>3219</v>
      </c>
      <c r="S1929" t="s">
        <v>10847</v>
      </c>
      <c r="T1929" t="s">
        <v>10848</v>
      </c>
    </row>
    <row r="1930" spans="1:20">
      <c r="A1930" t="s">
        <v>2436</v>
      </c>
      <c r="B1930" t="s">
        <v>9126</v>
      </c>
      <c r="C1930">
        <v>45734</v>
      </c>
      <c r="D1930" t="s">
        <v>7263</v>
      </c>
      <c r="E1930" t="s">
        <v>9127</v>
      </c>
      <c r="F1930">
        <v>45735</v>
      </c>
      <c r="G1930" t="s">
        <v>11016</v>
      </c>
      <c r="H1930" t="s">
        <v>2916</v>
      </c>
      <c r="I1930" t="s">
        <v>11009</v>
      </c>
      <c r="J1930">
        <v>2</v>
      </c>
      <c r="K1930">
        <v>81.77</v>
      </c>
      <c r="L1930" t="s">
        <v>2917</v>
      </c>
      <c r="M1930">
        <v>477.1</v>
      </c>
      <c r="N1930" t="s">
        <v>2918</v>
      </c>
      <c r="O1930" t="s">
        <v>11010</v>
      </c>
      <c r="P1930" t="s">
        <v>11017</v>
      </c>
      <c r="Q1930" t="s">
        <v>2924</v>
      </c>
      <c r="R1930" t="s">
        <v>3219</v>
      </c>
      <c r="S1930" t="s">
        <v>11018</v>
      </c>
      <c r="T1930" t="s">
        <v>11019</v>
      </c>
    </row>
    <row r="1931" spans="1:20">
      <c r="A1931" t="s">
        <v>2436</v>
      </c>
      <c r="B1931" t="s">
        <v>9126</v>
      </c>
      <c r="C1931">
        <v>45734</v>
      </c>
      <c r="D1931" t="s">
        <v>7263</v>
      </c>
      <c r="E1931" t="s">
        <v>9127</v>
      </c>
      <c r="F1931">
        <v>45735</v>
      </c>
      <c r="G1931" t="s">
        <v>11016</v>
      </c>
      <c r="H1931" t="s">
        <v>2916</v>
      </c>
      <c r="I1931" t="s">
        <v>11014</v>
      </c>
      <c r="J1931">
        <v>0</v>
      </c>
      <c r="K1931">
        <v>-7.56</v>
      </c>
      <c r="L1931" t="s">
        <v>2917</v>
      </c>
      <c r="M1931">
        <v>-44.13</v>
      </c>
      <c r="N1931" t="s">
        <v>2918</v>
      </c>
      <c r="O1931" t="s">
        <v>11015</v>
      </c>
      <c r="P1931" t="s">
        <v>11017</v>
      </c>
      <c r="Q1931" t="s">
        <v>2924</v>
      </c>
      <c r="R1931" t="s">
        <v>3219</v>
      </c>
      <c r="S1931" t="s">
        <v>11018</v>
      </c>
      <c r="T1931" t="s">
        <v>11019</v>
      </c>
    </row>
    <row r="1932" spans="1:20">
      <c r="A1932" t="s">
        <v>2436</v>
      </c>
      <c r="B1932" t="s">
        <v>9126</v>
      </c>
      <c r="C1932">
        <v>45743</v>
      </c>
      <c r="D1932" t="s">
        <v>7263</v>
      </c>
      <c r="E1932" t="s">
        <v>9127</v>
      </c>
      <c r="F1932">
        <v>45743</v>
      </c>
      <c r="G1932" t="s">
        <v>2208</v>
      </c>
      <c r="H1932" t="s">
        <v>2916</v>
      </c>
      <c r="I1932" t="s">
        <v>11432</v>
      </c>
      <c r="J1932">
        <v>0</v>
      </c>
      <c r="K1932">
        <v>221.06</v>
      </c>
      <c r="L1932" t="s">
        <v>2917</v>
      </c>
      <c r="M1932">
        <v>1289.8</v>
      </c>
      <c r="N1932" t="s">
        <v>2918</v>
      </c>
      <c r="O1932" t="s">
        <v>11433</v>
      </c>
      <c r="P1932" t="s">
        <v>2208</v>
      </c>
      <c r="Q1932" t="s">
        <v>11434</v>
      </c>
      <c r="R1932" t="s">
        <v>11435</v>
      </c>
      <c r="S1932" t="s">
        <v>2208</v>
      </c>
      <c r="T1932" t="s">
        <v>2208</v>
      </c>
    </row>
    <row r="1933" spans="1:20">
      <c r="A1933" t="s">
        <v>2436</v>
      </c>
      <c r="B1933" t="s">
        <v>9126</v>
      </c>
      <c r="C1933">
        <v>45743</v>
      </c>
      <c r="D1933" t="s">
        <v>7263</v>
      </c>
      <c r="E1933" t="s">
        <v>9127</v>
      </c>
      <c r="F1933">
        <v>45743</v>
      </c>
      <c r="G1933" t="s">
        <v>2208</v>
      </c>
      <c r="H1933" t="s">
        <v>2916</v>
      </c>
      <c r="I1933" t="s">
        <v>11324</v>
      </c>
      <c r="J1933">
        <v>0</v>
      </c>
      <c r="K1933">
        <v>-116.21</v>
      </c>
      <c r="L1933" t="s">
        <v>2917</v>
      </c>
      <c r="M1933">
        <v>-678.02</v>
      </c>
      <c r="N1933" t="s">
        <v>2918</v>
      </c>
      <c r="O1933" t="s">
        <v>11325</v>
      </c>
      <c r="P1933" t="s">
        <v>2208</v>
      </c>
      <c r="Q1933" t="s">
        <v>2933</v>
      </c>
      <c r="R1933" t="s">
        <v>3314</v>
      </c>
      <c r="S1933" t="s">
        <v>2208</v>
      </c>
      <c r="T1933" t="s">
        <v>2208</v>
      </c>
    </row>
    <row r="1934" spans="1:20">
      <c r="A1934" t="s">
        <v>2436</v>
      </c>
      <c r="B1934" t="s">
        <v>9126</v>
      </c>
      <c r="C1934">
        <v>45747</v>
      </c>
      <c r="D1934" t="s">
        <v>7263</v>
      </c>
      <c r="E1934" t="s">
        <v>9127</v>
      </c>
      <c r="F1934">
        <v>45747</v>
      </c>
      <c r="G1934" t="s">
        <v>2208</v>
      </c>
      <c r="H1934" t="s">
        <v>2916</v>
      </c>
      <c r="I1934" t="s">
        <v>11436</v>
      </c>
      <c r="J1934">
        <v>0</v>
      </c>
      <c r="K1934">
        <v>7.0000000000000007E-2</v>
      </c>
      <c r="L1934" t="s">
        <v>2917</v>
      </c>
      <c r="M1934">
        <v>0</v>
      </c>
      <c r="N1934" t="s">
        <v>2918</v>
      </c>
      <c r="O1934" t="s">
        <v>2919</v>
      </c>
      <c r="P1934" t="s">
        <v>2208</v>
      </c>
      <c r="Q1934" t="s">
        <v>2916</v>
      </c>
      <c r="R1934" t="s">
        <v>3220</v>
      </c>
      <c r="S1934" t="s">
        <v>2208</v>
      </c>
      <c r="T1934" t="s">
        <v>2208</v>
      </c>
    </row>
    <row r="1935" spans="1:20">
      <c r="A1935" t="s">
        <v>2436</v>
      </c>
      <c r="B1935" t="s">
        <v>11331</v>
      </c>
      <c r="C1935">
        <v>45754</v>
      </c>
      <c r="D1935" t="s">
        <v>7263</v>
      </c>
      <c r="E1935" t="s">
        <v>11332</v>
      </c>
      <c r="F1935">
        <v>45755</v>
      </c>
      <c r="G1935" t="s">
        <v>12226</v>
      </c>
      <c r="H1935" t="s">
        <v>2916</v>
      </c>
      <c r="I1935" t="s">
        <v>12227</v>
      </c>
      <c r="J1935">
        <v>1</v>
      </c>
      <c r="K1935">
        <v>229.12</v>
      </c>
      <c r="L1935" t="s">
        <v>2917</v>
      </c>
      <c r="M1935">
        <v>1319.46</v>
      </c>
      <c r="N1935" t="s">
        <v>2918</v>
      </c>
      <c r="O1935" t="s">
        <v>12228</v>
      </c>
      <c r="P1935" t="s">
        <v>10725</v>
      </c>
      <c r="Q1935" t="s">
        <v>2924</v>
      </c>
      <c r="R1935" t="s">
        <v>3219</v>
      </c>
      <c r="S1935" t="s">
        <v>10726</v>
      </c>
      <c r="T1935" t="s">
        <v>10727</v>
      </c>
    </row>
    <row r="1936" spans="1:20">
      <c r="A1936" t="s">
        <v>2436</v>
      </c>
      <c r="B1936" t="s">
        <v>11331</v>
      </c>
      <c r="C1936">
        <v>45754</v>
      </c>
      <c r="D1936" t="s">
        <v>7263</v>
      </c>
      <c r="E1936" t="s">
        <v>11332</v>
      </c>
      <c r="F1936">
        <v>45755</v>
      </c>
      <c r="G1936" t="s">
        <v>12226</v>
      </c>
      <c r="H1936" t="s">
        <v>2916</v>
      </c>
      <c r="I1936" t="s">
        <v>12229</v>
      </c>
      <c r="J1936">
        <v>0</v>
      </c>
      <c r="K1936">
        <v>-58.62</v>
      </c>
      <c r="L1936" t="s">
        <v>2917</v>
      </c>
      <c r="M1936">
        <v>-337.58</v>
      </c>
      <c r="N1936" t="s">
        <v>2918</v>
      </c>
      <c r="O1936" t="s">
        <v>12230</v>
      </c>
      <c r="P1936" t="s">
        <v>10725</v>
      </c>
      <c r="Q1936" t="s">
        <v>2924</v>
      </c>
      <c r="R1936" t="s">
        <v>3219</v>
      </c>
      <c r="S1936" t="s">
        <v>10726</v>
      </c>
      <c r="T1936" t="s">
        <v>10727</v>
      </c>
    </row>
    <row r="1937" spans="1:20">
      <c r="A1937" t="s">
        <v>2436</v>
      </c>
      <c r="B1937" t="s">
        <v>11331</v>
      </c>
      <c r="C1937">
        <v>45756</v>
      </c>
      <c r="D1937" t="s">
        <v>7263</v>
      </c>
      <c r="E1937" t="s">
        <v>11332</v>
      </c>
      <c r="F1937">
        <v>45758</v>
      </c>
      <c r="G1937" t="s">
        <v>12432</v>
      </c>
      <c r="H1937" t="s">
        <v>2916</v>
      </c>
      <c r="I1937" t="s">
        <v>12433</v>
      </c>
      <c r="J1937">
        <v>2</v>
      </c>
      <c r="K1937">
        <v>183.83</v>
      </c>
      <c r="L1937" t="s">
        <v>2917</v>
      </c>
      <c r="M1937">
        <v>1058.6500000000001</v>
      </c>
      <c r="N1937" t="s">
        <v>2918</v>
      </c>
      <c r="O1937" t="s">
        <v>12434</v>
      </c>
      <c r="P1937" t="s">
        <v>12435</v>
      </c>
      <c r="Q1937" t="s">
        <v>2924</v>
      </c>
      <c r="R1937" t="s">
        <v>3219</v>
      </c>
      <c r="S1937" t="s">
        <v>12436</v>
      </c>
      <c r="T1937" t="s">
        <v>12437</v>
      </c>
    </row>
    <row r="1938" spans="1:20">
      <c r="A1938" t="s">
        <v>2436</v>
      </c>
      <c r="B1938" t="s">
        <v>11331</v>
      </c>
      <c r="C1938">
        <v>45756</v>
      </c>
      <c r="D1938" t="s">
        <v>7263</v>
      </c>
      <c r="E1938" t="s">
        <v>11332</v>
      </c>
      <c r="F1938">
        <v>45758</v>
      </c>
      <c r="G1938" t="s">
        <v>12432</v>
      </c>
      <c r="H1938" t="s">
        <v>2916</v>
      </c>
      <c r="I1938" t="s">
        <v>12433</v>
      </c>
      <c r="J1938">
        <v>4</v>
      </c>
      <c r="K1938">
        <v>253.75</v>
      </c>
      <c r="L1938" t="s">
        <v>2917</v>
      </c>
      <c r="M1938">
        <v>1461.29</v>
      </c>
      <c r="N1938" t="s">
        <v>2918</v>
      </c>
      <c r="O1938" t="s">
        <v>12434</v>
      </c>
      <c r="P1938" t="s">
        <v>12438</v>
      </c>
      <c r="Q1938" t="s">
        <v>2924</v>
      </c>
      <c r="R1938" t="s">
        <v>3219</v>
      </c>
      <c r="S1938" t="s">
        <v>12439</v>
      </c>
      <c r="T1938" t="s">
        <v>12440</v>
      </c>
    </row>
    <row r="1939" spans="1:20">
      <c r="A1939" t="s">
        <v>2436</v>
      </c>
      <c r="B1939" t="s">
        <v>11331</v>
      </c>
      <c r="C1939">
        <v>45756</v>
      </c>
      <c r="D1939" t="s">
        <v>7263</v>
      </c>
      <c r="E1939" t="s">
        <v>11332</v>
      </c>
      <c r="F1939">
        <v>45758</v>
      </c>
      <c r="G1939" t="s">
        <v>12432</v>
      </c>
      <c r="H1939" t="s">
        <v>2916</v>
      </c>
      <c r="I1939" t="s">
        <v>12433</v>
      </c>
      <c r="J1939">
        <v>2</v>
      </c>
      <c r="K1939">
        <v>753.13</v>
      </c>
      <c r="L1939" t="s">
        <v>2917</v>
      </c>
      <c r="M1939">
        <v>4337.0600000000004</v>
      </c>
      <c r="N1939" t="s">
        <v>2918</v>
      </c>
      <c r="O1939" t="s">
        <v>12434</v>
      </c>
      <c r="P1939" t="s">
        <v>12116</v>
      </c>
      <c r="Q1939" t="s">
        <v>2924</v>
      </c>
      <c r="R1939" t="s">
        <v>3219</v>
      </c>
      <c r="S1939" t="s">
        <v>12117</v>
      </c>
      <c r="T1939" t="s">
        <v>12118</v>
      </c>
    </row>
    <row r="1940" spans="1:20">
      <c r="A1940" t="s">
        <v>2436</v>
      </c>
      <c r="B1940" t="s">
        <v>11331</v>
      </c>
      <c r="C1940">
        <v>45756</v>
      </c>
      <c r="D1940" t="s">
        <v>7263</v>
      </c>
      <c r="E1940" t="s">
        <v>11332</v>
      </c>
      <c r="F1940">
        <v>45758</v>
      </c>
      <c r="G1940" t="s">
        <v>12432</v>
      </c>
      <c r="H1940" t="s">
        <v>2916</v>
      </c>
      <c r="I1940" t="s">
        <v>12441</v>
      </c>
      <c r="J1940">
        <v>0</v>
      </c>
      <c r="K1940">
        <v>-21.7</v>
      </c>
      <c r="L1940" t="s">
        <v>2917</v>
      </c>
      <c r="M1940">
        <v>-124.99</v>
      </c>
      <c r="N1940" t="s">
        <v>2918</v>
      </c>
      <c r="O1940" t="s">
        <v>12442</v>
      </c>
      <c r="P1940" t="s">
        <v>12435</v>
      </c>
      <c r="Q1940" t="s">
        <v>2924</v>
      </c>
      <c r="R1940" t="s">
        <v>3219</v>
      </c>
      <c r="S1940" t="s">
        <v>12436</v>
      </c>
      <c r="T1940" t="s">
        <v>12437</v>
      </c>
    </row>
    <row r="1941" spans="1:20">
      <c r="A1941" t="s">
        <v>2436</v>
      </c>
      <c r="B1941" t="s">
        <v>11331</v>
      </c>
      <c r="C1941">
        <v>45756</v>
      </c>
      <c r="D1941" t="s">
        <v>7263</v>
      </c>
      <c r="E1941" t="s">
        <v>11332</v>
      </c>
      <c r="F1941">
        <v>45758</v>
      </c>
      <c r="G1941" t="s">
        <v>12432</v>
      </c>
      <c r="H1941" t="s">
        <v>2916</v>
      </c>
      <c r="I1941" t="s">
        <v>12441</v>
      </c>
      <c r="J1941">
        <v>0</v>
      </c>
      <c r="K1941">
        <v>-29.96</v>
      </c>
      <c r="L1941" t="s">
        <v>2917</v>
      </c>
      <c r="M1941">
        <v>-172.53</v>
      </c>
      <c r="N1941" t="s">
        <v>2918</v>
      </c>
      <c r="O1941" t="s">
        <v>12442</v>
      </c>
      <c r="P1941" t="s">
        <v>12438</v>
      </c>
      <c r="Q1941" t="s">
        <v>2924</v>
      </c>
      <c r="R1941" t="s">
        <v>3219</v>
      </c>
      <c r="S1941" t="s">
        <v>12439</v>
      </c>
      <c r="T1941" t="s">
        <v>12440</v>
      </c>
    </row>
    <row r="1942" spans="1:20">
      <c r="A1942" t="s">
        <v>2436</v>
      </c>
      <c r="B1942" t="s">
        <v>11331</v>
      </c>
      <c r="C1942">
        <v>45756</v>
      </c>
      <c r="D1942" t="s">
        <v>7263</v>
      </c>
      <c r="E1942" t="s">
        <v>11332</v>
      </c>
      <c r="F1942">
        <v>45758</v>
      </c>
      <c r="G1942" t="s">
        <v>12432</v>
      </c>
      <c r="H1942" t="s">
        <v>2916</v>
      </c>
      <c r="I1942" t="s">
        <v>12441</v>
      </c>
      <c r="J1942">
        <v>0</v>
      </c>
      <c r="K1942">
        <v>-82.86</v>
      </c>
      <c r="L1942" t="s">
        <v>2917</v>
      </c>
      <c r="M1942">
        <v>-477.15</v>
      </c>
      <c r="N1942" t="s">
        <v>2918</v>
      </c>
      <c r="O1942" t="s">
        <v>12442</v>
      </c>
      <c r="P1942" t="s">
        <v>12116</v>
      </c>
      <c r="Q1942" t="s">
        <v>2924</v>
      </c>
      <c r="R1942" t="s">
        <v>3219</v>
      </c>
      <c r="S1942" t="s">
        <v>12117</v>
      </c>
      <c r="T1942" t="s">
        <v>12118</v>
      </c>
    </row>
    <row r="1943" spans="1:20">
      <c r="A1943" t="s">
        <v>2436</v>
      </c>
      <c r="B1943" t="s">
        <v>11331</v>
      </c>
      <c r="C1943">
        <v>45757</v>
      </c>
      <c r="D1943" t="s">
        <v>7263</v>
      </c>
      <c r="E1943" t="s">
        <v>11332</v>
      </c>
      <c r="F1943">
        <v>45763</v>
      </c>
      <c r="G1943" t="s">
        <v>12443</v>
      </c>
      <c r="H1943" t="s">
        <v>2916</v>
      </c>
      <c r="I1943" t="s">
        <v>12444</v>
      </c>
      <c r="J1943">
        <v>1</v>
      </c>
      <c r="K1943">
        <v>630.71</v>
      </c>
      <c r="L1943" t="s">
        <v>2917</v>
      </c>
      <c r="M1943">
        <v>3632.1</v>
      </c>
      <c r="N1943" t="s">
        <v>2918</v>
      </c>
      <c r="O1943" t="s">
        <v>12445</v>
      </c>
      <c r="P1943" t="s">
        <v>12446</v>
      </c>
      <c r="Q1943" t="s">
        <v>2924</v>
      </c>
      <c r="R1943" t="s">
        <v>3219</v>
      </c>
      <c r="S1943" t="s">
        <v>12447</v>
      </c>
      <c r="T1943" t="s">
        <v>12448</v>
      </c>
    </row>
    <row r="1944" spans="1:20">
      <c r="A1944" t="s">
        <v>2436</v>
      </c>
      <c r="B1944" t="s">
        <v>11331</v>
      </c>
      <c r="C1944">
        <v>45757</v>
      </c>
      <c r="D1944" t="s">
        <v>7263</v>
      </c>
      <c r="E1944" t="s">
        <v>11332</v>
      </c>
      <c r="F1944">
        <v>45763</v>
      </c>
      <c r="G1944" t="s">
        <v>12443</v>
      </c>
      <c r="H1944" t="s">
        <v>2916</v>
      </c>
      <c r="I1944" t="s">
        <v>12444</v>
      </c>
      <c r="J1944">
        <v>1</v>
      </c>
      <c r="K1944">
        <v>23.53</v>
      </c>
      <c r="L1944" t="s">
        <v>2917</v>
      </c>
      <c r="M1944">
        <v>135.53</v>
      </c>
      <c r="N1944" t="s">
        <v>2918</v>
      </c>
      <c r="O1944" t="s">
        <v>12445</v>
      </c>
      <c r="P1944" t="s">
        <v>12449</v>
      </c>
      <c r="Q1944" t="s">
        <v>2924</v>
      </c>
      <c r="R1944" t="s">
        <v>3219</v>
      </c>
      <c r="S1944" t="s">
        <v>12450</v>
      </c>
      <c r="T1944" t="s">
        <v>12451</v>
      </c>
    </row>
    <row r="1945" spans="1:20">
      <c r="A1945" t="s">
        <v>2436</v>
      </c>
      <c r="B1945" t="s">
        <v>11331</v>
      </c>
      <c r="C1945">
        <v>45757</v>
      </c>
      <c r="D1945" t="s">
        <v>7263</v>
      </c>
      <c r="E1945" t="s">
        <v>11332</v>
      </c>
      <c r="F1945">
        <v>45763</v>
      </c>
      <c r="G1945" t="s">
        <v>12443</v>
      </c>
      <c r="H1945" t="s">
        <v>2916</v>
      </c>
      <c r="I1945" t="s">
        <v>12444</v>
      </c>
      <c r="J1945">
        <v>1</v>
      </c>
      <c r="K1945">
        <v>20.81</v>
      </c>
      <c r="L1945" t="s">
        <v>2917</v>
      </c>
      <c r="M1945">
        <v>119.84</v>
      </c>
      <c r="N1945" t="s">
        <v>2918</v>
      </c>
      <c r="O1945" t="s">
        <v>12445</v>
      </c>
      <c r="P1945" t="s">
        <v>12449</v>
      </c>
      <c r="Q1945" t="s">
        <v>2924</v>
      </c>
      <c r="R1945" t="s">
        <v>3219</v>
      </c>
      <c r="S1945" t="s">
        <v>12452</v>
      </c>
      <c r="T1945" t="s">
        <v>12451</v>
      </c>
    </row>
    <row r="1946" spans="1:20">
      <c r="A1946" t="s">
        <v>2436</v>
      </c>
      <c r="B1946" t="s">
        <v>11331</v>
      </c>
      <c r="C1946">
        <v>45757</v>
      </c>
      <c r="D1946" t="s">
        <v>7263</v>
      </c>
      <c r="E1946" t="s">
        <v>11332</v>
      </c>
      <c r="F1946">
        <v>45763</v>
      </c>
      <c r="G1946" t="s">
        <v>12443</v>
      </c>
      <c r="H1946" t="s">
        <v>2916</v>
      </c>
      <c r="I1946" t="s">
        <v>12444</v>
      </c>
      <c r="J1946">
        <v>1</v>
      </c>
      <c r="K1946">
        <v>62.07</v>
      </c>
      <c r="L1946" t="s">
        <v>2917</v>
      </c>
      <c r="M1946">
        <v>357.43</v>
      </c>
      <c r="N1946" t="s">
        <v>2918</v>
      </c>
      <c r="O1946" t="s">
        <v>12445</v>
      </c>
      <c r="P1946" t="s">
        <v>12453</v>
      </c>
      <c r="Q1946" t="s">
        <v>2924</v>
      </c>
      <c r="R1946" t="s">
        <v>3219</v>
      </c>
      <c r="S1946" t="s">
        <v>12454</v>
      </c>
      <c r="T1946" t="s">
        <v>12453</v>
      </c>
    </row>
    <row r="1947" spans="1:20">
      <c r="A1947" t="s">
        <v>2436</v>
      </c>
      <c r="B1947" t="s">
        <v>11331</v>
      </c>
      <c r="C1947">
        <v>45757</v>
      </c>
      <c r="D1947" t="s">
        <v>7263</v>
      </c>
      <c r="E1947" t="s">
        <v>11332</v>
      </c>
      <c r="F1947">
        <v>45763</v>
      </c>
      <c r="G1947" t="s">
        <v>12443</v>
      </c>
      <c r="H1947" t="s">
        <v>2916</v>
      </c>
      <c r="I1947" t="s">
        <v>12455</v>
      </c>
      <c r="J1947">
        <v>0</v>
      </c>
      <c r="K1947">
        <v>-47.84</v>
      </c>
      <c r="L1947" t="s">
        <v>2917</v>
      </c>
      <c r="M1947">
        <v>-275.5</v>
      </c>
      <c r="N1947" t="s">
        <v>2918</v>
      </c>
      <c r="O1947" t="s">
        <v>12456</v>
      </c>
      <c r="P1947" t="s">
        <v>12446</v>
      </c>
      <c r="Q1947" t="s">
        <v>2924</v>
      </c>
      <c r="R1947" t="s">
        <v>3219</v>
      </c>
      <c r="S1947" t="s">
        <v>12447</v>
      </c>
      <c r="T1947" t="s">
        <v>12448</v>
      </c>
    </row>
    <row r="1948" spans="1:20">
      <c r="A1948" t="s">
        <v>2436</v>
      </c>
      <c r="B1948" t="s">
        <v>11331</v>
      </c>
      <c r="C1948">
        <v>45757</v>
      </c>
      <c r="D1948" t="s">
        <v>7263</v>
      </c>
      <c r="E1948" t="s">
        <v>11332</v>
      </c>
      <c r="F1948">
        <v>45763</v>
      </c>
      <c r="G1948" t="s">
        <v>12443</v>
      </c>
      <c r="H1948" t="s">
        <v>2916</v>
      </c>
      <c r="I1948" t="s">
        <v>12455</v>
      </c>
      <c r="J1948">
        <v>0</v>
      </c>
      <c r="K1948">
        <v>-1.78</v>
      </c>
      <c r="L1948" t="s">
        <v>2917</v>
      </c>
      <c r="M1948">
        <v>-10.28</v>
      </c>
      <c r="N1948" t="s">
        <v>2918</v>
      </c>
      <c r="O1948" t="s">
        <v>12456</v>
      </c>
      <c r="P1948" t="s">
        <v>12449</v>
      </c>
      <c r="Q1948" t="s">
        <v>2924</v>
      </c>
      <c r="R1948" t="s">
        <v>3219</v>
      </c>
      <c r="S1948" t="s">
        <v>12450</v>
      </c>
      <c r="T1948" t="s">
        <v>12451</v>
      </c>
    </row>
    <row r="1949" spans="1:20">
      <c r="A1949" t="s">
        <v>2436</v>
      </c>
      <c r="B1949" t="s">
        <v>11331</v>
      </c>
      <c r="C1949">
        <v>45757</v>
      </c>
      <c r="D1949" t="s">
        <v>7263</v>
      </c>
      <c r="E1949" t="s">
        <v>11332</v>
      </c>
      <c r="F1949">
        <v>45763</v>
      </c>
      <c r="G1949" t="s">
        <v>12443</v>
      </c>
      <c r="H1949" t="s">
        <v>2916</v>
      </c>
      <c r="I1949" t="s">
        <v>12455</v>
      </c>
      <c r="J1949">
        <v>0</v>
      </c>
      <c r="K1949">
        <v>-1.58</v>
      </c>
      <c r="L1949" t="s">
        <v>2917</v>
      </c>
      <c r="M1949">
        <v>-9.09</v>
      </c>
      <c r="N1949" t="s">
        <v>2918</v>
      </c>
      <c r="O1949" t="s">
        <v>12456</v>
      </c>
      <c r="P1949" t="s">
        <v>12449</v>
      </c>
      <c r="Q1949" t="s">
        <v>2924</v>
      </c>
      <c r="R1949" t="s">
        <v>3219</v>
      </c>
      <c r="S1949" t="s">
        <v>12452</v>
      </c>
      <c r="T1949" t="s">
        <v>12451</v>
      </c>
    </row>
    <row r="1950" spans="1:20">
      <c r="A1950" t="s">
        <v>2436</v>
      </c>
      <c r="B1950" t="s">
        <v>11331</v>
      </c>
      <c r="C1950">
        <v>45757</v>
      </c>
      <c r="D1950" t="s">
        <v>7263</v>
      </c>
      <c r="E1950" t="s">
        <v>11332</v>
      </c>
      <c r="F1950">
        <v>45763</v>
      </c>
      <c r="G1950" t="s">
        <v>12443</v>
      </c>
      <c r="H1950" t="s">
        <v>2916</v>
      </c>
      <c r="I1950" t="s">
        <v>12455</v>
      </c>
      <c r="J1950">
        <v>0</v>
      </c>
      <c r="K1950">
        <v>-5.05</v>
      </c>
      <c r="L1950" t="s">
        <v>2917</v>
      </c>
      <c r="M1950">
        <v>-29.09</v>
      </c>
      <c r="N1950" t="s">
        <v>2918</v>
      </c>
      <c r="O1950" t="s">
        <v>12456</v>
      </c>
      <c r="P1950" t="s">
        <v>12453</v>
      </c>
      <c r="Q1950" t="s">
        <v>2924</v>
      </c>
      <c r="R1950" t="s">
        <v>3219</v>
      </c>
      <c r="S1950" t="s">
        <v>12454</v>
      </c>
      <c r="T1950" t="s">
        <v>12453</v>
      </c>
    </row>
    <row r="1951" spans="1:20">
      <c r="A1951" t="s">
        <v>2436</v>
      </c>
      <c r="B1951" t="s">
        <v>11331</v>
      </c>
      <c r="C1951">
        <v>45762</v>
      </c>
      <c r="D1951" t="s">
        <v>7263</v>
      </c>
      <c r="E1951" t="s">
        <v>11332</v>
      </c>
      <c r="F1951">
        <v>45764</v>
      </c>
      <c r="G1951" t="s">
        <v>12457</v>
      </c>
      <c r="H1951" t="s">
        <v>2916</v>
      </c>
      <c r="I1951" t="s">
        <v>12458</v>
      </c>
      <c r="J1951">
        <v>3</v>
      </c>
      <c r="K1951">
        <v>221.08</v>
      </c>
      <c r="L1951" t="s">
        <v>2917</v>
      </c>
      <c r="M1951">
        <v>1273.1199999999999</v>
      </c>
      <c r="N1951" t="s">
        <v>2918</v>
      </c>
      <c r="O1951" t="s">
        <v>12459</v>
      </c>
      <c r="P1951" t="s">
        <v>12460</v>
      </c>
      <c r="Q1951" t="s">
        <v>2924</v>
      </c>
      <c r="R1951" t="s">
        <v>3219</v>
      </c>
      <c r="S1951" t="s">
        <v>12461</v>
      </c>
      <c r="T1951" t="s">
        <v>12462</v>
      </c>
    </row>
    <row r="1952" spans="1:20">
      <c r="A1952" t="s">
        <v>2436</v>
      </c>
      <c r="B1952" t="s">
        <v>11331</v>
      </c>
      <c r="C1952">
        <v>45762</v>
      </c>
      <c r="D1952" t="s">
        <v>7263</v>
      </c>
      <c r="E1952" t="s">
        <v>11332</v>
      </c>
      <c r="F1952">
        <v>45764</v>
      </c>
      <c r="G1952" t="s">
        <v>12457</v>
      </c>
      <c r="H1952" t="s">
        <v>2916</v>
      </c>
      <c r="I1952" t="s">
        <v>12463</v>
      </c>
      <c r="J1952">
        <v>0</v>
      </c>
      <c r="K1952">
        <v>-26.11</v>
      </c>
      <c r="L1952" t="s">
        <v>2917</v>
      </c>
      <c r="M1952">
        <v>-150.32</v>
      </c>
      <c r="N1952" t="s">
        <v>2918</v>
      </c>
      <c r="O1952" t="s">
        <v>12464</v>
      </c>
      <c r="P1952" t="s">
        <v>12460</v>
      </c>
      <c r="Q1952" t="s">
        <v>2924</v>
      </c>
      <c r="R1952" t="s">
        <v>3219</v>
      </c>
      <c r="S1952" t="s">
        <v>12461</v>
      </c>
      <c r="T1952" t="s">
        <v>12462</v>
      </c>
    </row>
    <row r="1953" spans="1:20">
      <c r="A1953" t="s">
        <v>2436</v>
      </c>
      <c r="B1953" t="s">
        <v>11331</v>
      </c>
      <c r="C1953">
        <v>45757</v>
      </c>
      <c r="D1953" t="s">
        <v>7263</v>
      </c>
      <c r="E1953" t="s">
        <v>11332</v>
      </c>
      <c r="F1953">
        <v>45763</v>
      </c>
      <c r="G1953" t="s">
        <v>12443</v>
      </c>
      <c r="H1953" t="s">
        <v>2916</v>
      </c>
      <c r="I1953" t="s">
        <v>15935</v>
      </c>
      <c r="J1953">
        <v>0</v>
      </c>
      <c r="K1953">
        <v>47.84</v>
      </c>
      <c r="L1953" t="s">
        <v>2917</v>
      </c>
      <c r="M1953">
        <v>275.5</v>
      </c>
      <c r="N1953" t="s">
        <v>2918</v>
      </c>
      <c r="O1953" t="s">
        <v>15936</v>
      </c>
      <c r="P1953" t="s">
        <v>12446</v>
      </c>
      <c r="Q1953" t="s">
        <v>2924</v>
      </c>
      <c r="R1953" t="s">
        <v>3219</v>
      </c>
      <c r="S1953" t="s">
        <v>12447</v>
      </c>
      <c r="T1953" t="s">
        <v>12448</v>
      </c>
    </row>
    <row r="1954" spans="1:20">
      <c r="A1954" t="s">
        <v>2436</v>
      </c>
      <c r="B1954" t="s">
        <v>11331</v>
      </c>
      <c r="C1954">
        <v>45757</v>
      </c>
      <c r="D1954" t="s">
        <v>7263</v>
      </c>
      <c r="E1954" t="s">
        <v>11332</v>
      </c>
      <c r="F1954">
        <v>45763</v>
      </c>
      <c r="G1954" t="s">
        <v>12443</v>
      </c>
      <c r="H1954" t="s">
        <v>2916</v>
      </c>
      <c r="I1954" t="s">
        <v>15935</v>
      </c>
      <c r="J1954">
        <v>0</v>
      </c>
      <c r="K1954">
        <v>1.78</v>
      </c>
      <c r="L1954" t="s">
        <v>2917</v>
      </c>
      <c r="M1954">
        <v>10.28</v>
      </c>
      <c r="N1954" t="s">
        <v>2918</v>
      </c>
      <c r="O1954" t="s">
        <v>15936</v>
      </c>
      <c r="P1954" t="s">
        <v>12449</v>
      </c>
      <c r="Q1954" t="s">
        <v>2924</v>
      </c>
      <c r="R1954" t="s">
        <v>3219</v>
      </c>
      <c r="S1954" t="s">
        <v>12450</v>
      </c>
      <c r="T1954" t="s">
        <v>12451</v>
      </c>
    </row>
    <row r="1955" spans="1:20">
      <c r="A1955" t="s">
        <v>2436</v>
      </c>
      <c r="B1955" t="s">
        <v>11331</v>
      </c>
      <c r="C1955">
        <v>45757</v>
      </c>
      <c r="D1955" t="s">
        <v>7263</v>
      </c>
      <c r="E1955" t="s">
        <v>11332</v>
      </c>
      <c r="F1955">
        <v>45763</v>
      </c>
      <c r="G1955" t="s">
        <v>12443</v>
      </c>
      <c r="H1955" t="s">
        <v>2916</v>
      </c>
      <c r="I1955" t="s">
        <v>15935</v>
      </c>
      <c r="J1955">
        <v>0</v>
      </c>
      <c r="K1955">
        <v>1.58</v>
      </c>
      <c r="L1955" t="s">
        <v>2917</v>
      </c>
      <c r="M1955">
        <v>9.09</v>
      </c>
      <c r="N1955" t="s">
        <v>2918</v>
      </c>
      <c r="O1955" t="s">
        <v>15936</v>
      </c>
      <c r="P1955" t="s">
        <v>12449</v>
      </c>
      <c r="Q1955" t="s">
        <v>2924</v>
      </c>
      <c r="R1955" t="s">
        <v>3219</v>
      </c>
      <c r="S1955" t="s">
        <v>12452</v>
      </c>
      <c r="T1955" t="s">
        <v>12451</v>
      </c>
    </row>
    <row r="1956" spans="1:20">
      <c r="A1956" t="s">
        <v>2436</v>
      </c>
      <c r="B1956" t="s">
        <v>11331</v>
      </c>
      <c r="C1956">
        <v>45757</v>
      </c>
      <c r="D1956" t="s">
        <v>7263</v>
      </c>
      <c r="E1956" t="s">
        <v>11332</v>
      </c>
      <c r="F1956">
        <v>45763</v>
      </c>
      <c r="G1956" t="s">
        <v>12443</v>
      </c>
      <c r="H1956" t="s">
        <v>2916</v>
      </c>
      <c r="I1956" t="s">
        <v>15935</v>
      </c>
      <c r="J1956">
        <v>0</v>
      </c>
      <c r="K1956">
        <v>5.05</v>
      </c>
      <c r="L1956" t="s">
        <v>2917</v>
      </c>
      <c r="M1956">
        <v>29.09</v>
      </c>
      <c r="N1956" t="s">
        <v>2918</v>
      </c>
      <c r="O1956" t="s">
        <v>15936</v>
      </c>
      <c r="P1956" t="s">
        <v>12453</v>
      </c>
      <c r="Q1956" t="s">
        <v>2924</v>
      </c>
      <c r="R1956" t="s">
        <v>3219</v>
      </c>
      <c r="S1956" t="s">
        <v>12454</v>
      </c>
      <c r="T1956" t="s">
        <v>12453</v>
      </c>
    </row>
    <row r="1957" spans="1:20">
      <c r="A1957" t="s">
        <v>2436</v>
      </c>
      <c r="B1957" t="s">
        <v>11331</v>
      </c>
      <c r="C1957">
        <v>45757</v>
      </c>
      <c r="D1957" t="s">
        <v>7263</v>
      </c>
      <c r="E1957" t="s">
        <v>11332</v>
      </c>
      <c r="F1957">
        <v>45770</v>
      </c>
      <c r="G1957" t="s">
        <v>12443</v>
      </c>
      <c r="H1957" t="s">
        <v>2916</v>
      </c>
      <c r="I1957" t="s">
        <v>15937</v>
      </c>
      <c r="J1957">
        <v>0</v>
      </c>
      <c r="K1957">
        <v>-161.36000000000001</v>
      </c>
      <c r="L1957" t="s">
        <v>2917</v>
      </c>
      <c r="M1957">
        <v>-929.27</v>
      </c>
      <c r="N1957" t="s">
        <v>2918</v>
      </c>
      <c r="O1957" t="s">
        <v>15936</v>
      </c>
      <c r="P1957" t="s">
        <v>12446</v>
      </c>
      <c r="Q1957" t="s">
        <v>2924</v>
      </c>
      <c r="R1957" t="s">
        <v>3219</v>
      </c>
      <c r="S1957" t="s">
        <v>12447</v>
      </c>
      <c r="T1957" t="s">
        <v>12448</v>
      </c>
    </row>
    <row r="1958" spans="1:20">
      <c r="A1958" t="s">
        <v>2436</v>
      </c>
      <c r="B1958" t="s">
        <v>11331</v>
      </c>
      <c r="C1958">
        <v>45757</v>
      </c>
      <c r="D1958" t="s">
        <v>7263</v>
      </c>
      <c r="E1958" t="s">
        <v>11332</v>
      </c>
      <c r="F1958">
        <v>45770</v>
      </c>
      <c r="G1958" t="s">
        <v>12443</v>
      </c>
      <c r="H1958" t="s">
        <v>2916</v>
      </c>
      <c r="I1958" t="s">
        <v>15937</v>
      </c>
      <c r="J1958">
        <v>0</v>
      </c>
      <c r="K1958">
        <v>-6.02</v>
      </c>
      <c r="L1958" t="s">
        <v>2917</v>
      </c>
      <c r="M1958">
        <v>-34.68</v>
      </c>
      <c r="N1958" t="s">
        <v>2918</v>
      </c>
      <c r="O1958" t="s">
        <v>15936</v>
      </c>
      <c r="P1958" t="s">
        <v>12449</v>
      </c>
      <c r="Q1958" t="s">
        <v>2924</v>
      </c>
      <c r="R1958" t="s">
        <v>3219</v>
      </c>
      <c r="S1958" t="s">
        <v>12450</v>
      </c>
      <c r="T1958" t="s">
        <v>12451</v>
      </c>
    </row>
    <row r="1959" spans="1:20">
      <c r="A1959" t="s">
        <v>2436</v>
      </c>
      <c r="B1959" t="s">
        <v>11331</v>
      </c>
      <c r="C1959">
        <v>45757</v>
      </c>
      <c r="D1959" t="s">
        <v>7263</v>
      </c>
      <c r="E1959" t="s">
        <v>11332</v>
      </c>
      <c r="F1959">
        <v>45770</v>
      </c>
      <c r="G1959" t="s">
        <v>12443</v>
      </c>
      <c r="H1959" t="s">
        <v>2916</v>
      </c>
      <c r="I1959" t="s">
        <v>15937</v>
      </c>
      <c r="J1959">
        <v>0</v>
      </c>
      <c r="K1959">
        <v>-5.33</v>
      </c>
      <c r="L1959" t="s">
        <v>2917</v>
      </c>
      <c r="M1959">
        <v>-30.67</v>
      </c>
      <c r="N1959" t="s">
        <v>2918</v>
      </c>
      <c r="O1959" t="s">
        <v>15936</v>
      </c>
      <c r="P1959" t="s">
        <v>12449</v>
      </c>
      <c r="Q1959" t="s">
        <v>2924</v>
      </c>
      <c r="R1959" t="s">
        <v>3219</v>
      </c>
      <c r="S1959" t="s">
        <v>12452</v>
      </c>
      <c r="T1959" t="s">
        <v>12451</v>
      </c>
    </row>
    <row r="1960" spans="1:20">
      <c r="A1960" t="s">
        <v>2436</v>
      </c>
      <c r="B1960" t="s">
        <v>11331</v>
      </c>
      <c r="C1960">
        <v>45757</v>
      </c>
      <c r="D1960" t="s">
        <v>7263</v>
      </c>
      <c r="E1960" t="s">
        <v>11332</v>
      </c>
      <c r="F1960">
        <v>45770</v>
      </c>
      <c r="G1960" t="s">
        <v>12443</v>
      </c>
      <c r="H1960" t="s">
        <v>2916</v>
      </c>
      <c r="I1960" t="s">
        <v>15937</v>
      </c>
      <c r="J1960">
        <v>0</v>
      </c>
      <c r="K1960">
        <v>-12.5</v>
      </c>
      <c r="L1960" t="s">
        <v>2917</v>
      </c>
      <c r="M1960">
        <v>-71.98</v>
      </c>
      <c r="N1960" t="s">
        <v>2918</v>
      </c>
      <c r="O1960" t="s">
        <v>15936</v>
      </c>
      <c r="P1960" t="s">
        <v>12453</v>
      </c>
      <c r="Q1960" t="s">
        <v>2924</v>
      </c>
      <c r="R1960" t="s">
        <v>3219</v>
      </c>
      <c r="S1960" t="s">
        <v>12454</v>
      </c>
      <c r="T1960" t="s">
        <v>12453</v>
      </c>
    </row>
    <row r="1961" spans="1:20">
      <c r="A1961" t="s">
        <v>2436</v>
      </c>
      <c r="B1961" t="s">
        <v>11331</v>
      </c>
      <c r="C1961">
        <v>45777</v>
      </c>
      <c r="D1961" t="s">
        <v>7263</v>
      </c>
      <c r="E1961" t="s">
        <v>11332</v>
      </c>
      <c r="F1961">
        <v>45777</v>
      </c>
      <c r="G1961" t="s">
        <v>2208</v>
      </c>
      <c r="H1961" t="s">
        <v>2916</v>
      </c>
      <c r="I1961" t="s">
        <v>16319</v>
      </c>
      <c r="J1961">
        <v>0</v>
      </c>
      <c r="K1961">
        <v>-164.72</v>
      </c>
      <c r="L1961" t="s">
        <v>2917</v>
      </c>
      <c r="M1961">
        <v>-948.57</v>
      </c>
      <c r="N1961" t="s">
        <v>2918</v>
      </c>
      <c r="O1961" t="s">
        <v>16320</v>
      </c>
      <c r="P1961" t="s">
        <v>2208</v>
      </c>
      <c r="Q1961" t="s">
        <v>2933</v>
      </c>
      <c r="R1961" t="s">
        <v>3314</v>
      </c>
      <c r="S1961" t="s">
        <v>2208</v>
      </c>
      <c r="T1961" t="s">
        <v>2208</v>
      </c>
    </row>
    <row r="1962" spans="1:20">
      <c r="A1962" t="s">
        <v>2436</v>
      </c>
      <c r="B1962" t="s">
        <v>11331</v>
      </c>
      <c r="C1962">
        <v>45777</v>
      </c>
      <c r="D1962" t="s">
        <v>7263</v>
      </c>
      <c r="E1962" t="s">
        <v>11332</v>
      </c>
      <c r="F1962">
        <v>45777</v>
      </c>
      <c r="G1962" t="s">
        <v>2208</v>
      </c>
      <c r="H1962" t="s">
        <v>2916</v>
      </c>
      <c r="I1962" t="s">
        <v>16462</v>
      </c>
      <c r="J1962">
        <v>0</v>
      </c>
      <c r="K1962">
        <v>0.06</v>
      </c>
      <c r="L1962" t="s">
        <v>2917</v>
      </c>
      <c r="M1962">
        <v>0</v>
      </c>
      <c r="N1962" t="s">
        <v>2918</v>
      </c>
      <c r="O1962" t="s">
        <v>2919</v>
      </c>
      <c r="P1962" t="s">
        <v>2208</v>
      </c>
      <c r="Q1962" t="s">
        <v>2916</v>
      </c>
      <c r="R1962" t="s">
        <v>3220</v>
      </c>
      <c r="S1962" t="s">
        <v>2208</v>
      </c>
      <c r="T1962" t="s">
        <v>2208</v>
      </c>
    </row>
    <row r="1963" spans="1:20">
      <c r="A1963" t="s">
        <v>2436</v>
      </c>
      <c r="B1963" t="s">
        <v>16360</v>
      </c>
      <c r="C1963">
        <v>45777</v>
      </c>
      <c r="D1963" t="s">
        <v>7263</v>
      </c>
      <c r="E1963" t="s">
        <v>16361</v>
      </c>
      <c r="F1963">
        <v>45779</v>
      </c>
      <c r="G1963" t="s">
        <v>16463</v>
      </c>
      <c r="H1963" t="s">
        <v>2916</v>
      </c>
      <c r="I1963" t="s">
        <v>16464</v>
      </c>
      <c r="J1963">
        <v>2</v>
      </c>
      <c r="K1963">
        <v>890.1</v>
      </c>
      <c r="L1963" t="s">
        <v>2917</v>
      </c>
      <c r="M1963">
        <v>5014.63</v>
      </c>
      <c r="N1963" t="s">
        <v>2918</v>
      </c>
      <c r="O1963" t="s">
        <v>16465</v>
      </c>
      <c r="P1963" t="s">
        <v>16466</v>
      </c>
      <c r="Q1963" t="s">
        <v>2924</v>
      </c>
      <c r="R1963" t="s">
        <v>3219</v>
      </c>
      <c r="S1963" t="s">
        <v>16467</v>
      </c>
      <c r="T1963" t="s">
        <v>16468</v>
      </c>
    </row>
    <row r="1964" spans="1:20">
      <c r="A1964" t="s">
        <v>2436</v>
      </c>
      <c r="B1964" t="s">
        <v>16360</v>
      </c>
      <c r="C1964">
        <v>45777</v>
      </c>
      <c r="D1964" t="s">
        <v>7263</v>
      </c>
      <c r="E1964" t="s">
        <v>16361</v>
      </c>
      <c r="F1964">
        <v>45779</v>
      </c>
      <c r="G1964" t="s">
        <v>16463</v>
      </c>
      <c r="H1964" t="s">
        <v>2916</v>
      </c>
      <c r="I1964" t="s">
        <v>16464</v>
      </c>
      <c r="J1964">
        <v>4</v>
      </c>
      <c r="K1964">
        <v>376.03</v>
      </c>
      <c r="L1964" t="s">
        <v>2917</v>
      </c>
      <c r="M1964">
        <v>2118.46</v>
      </c>
      <c r="N1964" t="s">
        <v>2918</v>
      </c>
      <c r="O1964" t="s">
        <v>16465</v>
      </c>
      <c r="P1964" t="s">
        <v>16469</v>
      </c>
      <c r="Q1964" t="s">
        <v>2924</v>
      </c>
      <c r="R1964" t="s">
        <v>3219</v>
      </c>
      <c r="S1964" t="s">
        <v>16470</v>
      </c>
      <c r="T1964" t="s">
        <v>16471</v>
      </c>
    </row>
    <row r="1965" spans="1:20">
      <c r="A1965" t="s">
        <v>2436</v>
      </c>
      <c r="B1965" t="s">
        <v>16360</v>
      </c>
      <c r="C1965">
        <v>45777</v>
      </c>
      <c r="D1965" t="s">
        <v>7263</v>
      </c>
      <c r="E1965" t="s">
        <v>16361</v>
      </c>
      <c r="F1965">
        <v>45779</v>
      </c>
      <c r="G1965" t="s">
        <v>16463</v>
      </c>
      <c r="H1965" t="s">
        <v>2916</v>
      </c>
      <c r="I1965" t="s">
        <v>16464</v>
      </c>
      <c r="J1965">
        <v>6</v>
      </c>
      <c r="K1965">
        <v>337.78</v>
      </c>
      <c r="L1965" t="s">
        <v>2917</v>
      </c>
      <c r="M1965">
        <v>1903.01</v>
      </c>
      <c r="N1965" t="s">
        <v>2918</v>
      </c>
      <c r="O1965" t="s">
        <v>16465</v>
      </c>
      <c r="P1965" t="s">
        <v>16472</v>
      </c>
      <c r="Q1965" t="s">
        <v>2924</v>
      </c>
      <c r="R1965" t="s">
        <v>3219</v>
      </c>
      <c r="S1965" t="s">
        <v>16473</v>
      </c>
      <c r="T1965" t="s">
        <v>16474</v>
      </c>
    </row>
    <row r="1966" spans="1:20">
      <c r="A1966" t="s">
        <v>2436</v>
      </c>
      <c r="B1966" t="s">
        <v>16360</v>
      </c>
      <c r="C1966">
        <v>45777</v>
      </c>
      <c r="D1966" t="s">
        <v>7263</v>
      </c>
      <c r="E1966" t="s">
        <v>16361</v>
      </c>
      <c r="F1966">
        <v>45779</v>
      </c>
      <c r="G1966" t="s">
        <v>16463</v>
      </c>
      <c r="H1966" t="s">
        <v>2916</v>
      </c>
      <c r="I1966" t="s">
        <v>16464</v>
      </c>
      <c r="J1966">
        <v>1</v>
      </c>
      <c r="K1966">
        <v>41.75</v>
      </c>
      <c r="L1966" t="s">
        <v>2917</v>
      </c>
      <c r="M1966">
        <v>235.22</v>
      </c>
      <c r="N1966" t="s">
        <v>2918</v>
      </c>
      <c r="O1966" t="s">
        <v>16465</v>
      </c>
      <c r="P1966" t="s">
        <v>16475</v>
      </c>
      <c r="Q1966" t="s">
        <v>2924</v>
      </c>
      <c r="R1966" t="s">
        <v>3219</v>
      </c>
      <c r="S1966" t="s">
        <v>16476</v>
      </c>
      <c r="T1966" t="s">
        <v>16477</v>
      </c>
    </row>
    <row r="1967" spans="1:20">
      <c r="A1967" t="s">
        <v>2436</v>
      </c>
      <c r="B1967" t="s">
        <v>16360</v>
      </c>
      <c r="C1967">
        <v>45777</v>
      </c>
      <c r="D1967" t="s">
        <v>7263</v>
      </c>
      <c r="E1967" t="s">
        <v>16361</v>
      </c>
      <c r="F1967">
        <v>45779</v>
      </c>
      <c r="G1967" t="s">
        <v>16463</v>
      </c>
      <c r="H1967" t="s">
        <v>2916</v>
      </c>
      <c r="I1967" t="s">
        <v>16478</v>
      </c>
      <c r="J1967">
        <v>0</v>
      </c>
      <c r="K1967">
        <v>-97.93</v>
      </c>
      <c r="L1967" t="s">
        <v>2917</v>
      </c>
      <c r="M1967">
        <v>-551.70000000000005</v>
      </c>
      <c r="N1967" t="s">
        <v>2918</v>
      </c>
      <c r="O1967" t="s">
        <v>16479</v>
      </c>
      <c r="P1967" t="s">
        <v>16466</v>
      </c>
      <c r="Q1967" t="s">
        <v>2924</v>
      </c>
      <c r="R1967" t="s">
        <v>3219</v>
      </c>
      <c r="S1967" t="s">
        <v>16467</v>
      </c>
      <c r="T1967" t="s">
        <v>16468</v>
      </c>
    </row>
    <row r="1968" spans="1:20">
      <c r="A1968" t="s">
        <v>2436</v>
      </c>
      <c r="B1968" t="s">
        <v>16360</v>
      </c>
      <c r="C1968">
        <v>45777</v>
      </c>
      <c r="D1968" t="s">
        <v>7263</v>
      </c>
      <c r="E1968" t="s">
        <v>16361</v>
      </c>
      <c r="F1968">
        <v>45779</v>
      </c>
      <c r="G1968" t="s">
        <v>16463</v>
      </c>
      <c r="H1968" t="s">
        <v>2916</v>
      </c>
      <c r="I1968" t="s">
        <v>16478</v>
      </c>
      <c r="J1968">
        <v>0</v>
      </c>
      <c r="K1968">
        <v>-44.4</v>
      </c>
      <c r="L1968" t="s">
        <v>2917</v>
      </c>
      <c r="M1968">
        <v>-250.12</v>
      </c>
      <c r="N1968" t="s">
        <v>2918</v>
      </c>
      <c r="O1968" t="s">
        <v>16479</v>
      </c>
      <c r="P1968" t="s">
        <v>16469</v>
      </c>
      <c r="Q1968" t="s">
        <v>2924</v>
      </c>
      <c r="R1968" t="s">
        <v>3219</v>
      </c>
      <c r="S1968" t="s">
        <v>16470</v>
      </c>
      <c r="T1968" t="s">
        <v>16471</v>
      </c>
    </row>
    <row r="1969" spans="1:20">
      <c r="A1969" t="s">
        <v>2436</v>
      </c>
      <c r="B1969" t="s">
        <v>16360</v>
      </c>
      <c r="C1969">
        <v>45777</v>
      </c>
      <c r="D1969" t="s">
        <v>7263</v>
      </c>
      <c r="E1969" t="s">
        <v>16361</v>
      </c>
      <c r="F1969">
        <v>45779</v>
      </c>
      <c r="G1969" t="s">
        <v>16463</v>
      </c>
      <c r="H1969" t="s">
        <v>2916</v>
      </c>
      <c r="I1969" t="s">
        <v>16478</v>
      </c>
      <c r="J1969">
        <v>0</v>
      </c>
      <c r="K1969">
        <v>-39.880000000000003</v>
      </c>
      <c r="L1969" t="s">
        <v>2917</v>
      </c>
      <c r="M1969">
        <v>-224.68</v>
      </c>
      <c r="N1969" t="s">
        <v>2918</v>
      </c>
      <c r="O1969" t="s">
        <v>16479</v>
      </c>
      <c r="P1969" t="s">
        <v>16472</v>
      </c>
      <c r="Q1969" t="s">
        <v>2924</v>
      </c>
      <c r="R1969" t="s">
        <v>3219</v>
      </c>
      <c r="S1969" t="s">
        <v>16473</v>
      </c>
      <c r="T1969" t="s">
        <v>16474</v>
      </c>
    </row>
    <row r="1970" spans="1:20">
      <c r="A1970" t="s">
        <v>2436</v>
      </c>
      <c r="B1970" t="s">
        <v>16360</v>
      </c>
      <c r="C1970">
        <v>45777</v>
      </c>
      <c r="D1970" t="s">
        <v>7263</v>
      </c>
      <c r="E1970" t="s">
        <v>16361</v>
      </c>
      <c r="F1970">
        <v>45779</v>
      </c>
      <c r="G1970" t="s">
        <v>16463</v>
      </c>
      <c r="H1970" t="s">
        <v>2916</v>
      </c>
      <c r="I1970" t="s">
        <v>16478</v>
      </c>
      <c r="J1970">
        <v>0</v>
      </c>
      <c r="K1970">
        <v>-4.59</v>
      </c>
      <c r="L1970" t="s">
        <v>2917</v>
      </c>
      <c r="M1970">
        <v>-25.86</v>
      </c>
      <c r="N1970" t="s">
        <v>2918</v>
      </c>
      <c r="O1970" t="s">
        <v>16479</v>
      </c>
      <c r="P1970" t="s">
        <v>16475</v>
      </c>
      <c r="Q1970" t="s">
        <v>2924</v>
      </c>
      <c r="R1970" t="s">
        <v>3219</v>
      </c>
      <c r="S1970" t="s">
        <v>16476</v>
      </c>
      <c r="T1970" t="s">
        <v>16477</v>
      </c>
    </row>
    <row r="1971" spans="1:20">
      <c r="A1971" t="s">
        <v>2436</v>
      </c>
      <c r="B1971" t="s">
        <v>16360</v>
      </c>
      <c r="C1971">
        <v>45793</v>
      </c>
      <c r="D1971" t="s">
        <v>7263</v>
      </c>
      <c r="E1971" t="s">
        <v>16361</v>
      </c>
      <c r="F1971">
        <v>45797</v>
      </c>
      <c r="G1971" t="s">
        <v>17281</v>
      </c>
      <c r="H1971" t="s">
        <v>2916</v>
      </c>
      <c r="I1971" t="s">
        <v>17282</v>
      </c>
      <c r="J1971">
        <v>1</v>
      </c>
      <c r="K1971">
        <v>90517.29</v>
      </c>
      <c r="L1971" t="s">
        <v>2917</v>
      </c>
      <c r="M1971">
        <v>509956.54</v>
      </c>
      <c r="N1971" t="s">
        <v>2918</v>
      </c>
      <c r="O1971" t="s">
        <v>17283</v>
      </c>
      <c r="P1971" t="s">
        <v>17284</v>
      </c>
      <c r="Q1971" t="s">
        <v>2927</v>
      </c>
      <c r="R1971" t="s">
        <v>3222</v>
      </c>
      <c r="S1971" t="s">
        <v>17285</v>
      </c>
      <c r="T1971" t="s">
        <v>17284</v>
      </c>
    </row>
    <row r="1972" spans="1:20">
      <c r="A1972" t="s">
        <v>2436</v>
      </c>
      <c r="B1972" t="s">
        <v>16360</v>
      </c>
      <c r="C1972">
        <v>45797</v>
      </c>
      <c r="D1972" t="s">
        <v>7263</v>
      </c>
      <c r="E1972" t="s">
        <v>16361</v>
      </c>
      <c r="F1972">
        <v>45800</v>
      </c>
      <c r="G1972" t="s">
        <v>17531</v>
      </c>
      <c r="H1972" t="s">
        <v>2916</v>
      </c>
      <c r="I1972" t="s">
        <v>17532</v>
      </c>
      <c r="J1972">
        <v>35</v>
      </c>
      <c r="K1972">
        <v>981.58</v>
      </c>
      <c r="L1972" t="s">
        <v>2917</v>
      </c>
      <c r="M1972">
        <v>5530</v>
      </c>
      <c r="N1972" t="s">
        <v>2918</v>
      </c>
      <c r="O1972" t="s">
        <v>17533</v>
      </c>
      <c r="P1972" t="s">
        <v>17534</v>
      </c>
      <c r="Q1972" t="s">
        <v>2924</v>
      </c>
      <c r="R1972" t="s">
        <v>3219</v>
      </c>
      <c r="S1972" t="s">
        <v>17535</v>
      </c>
      <c r="T1972" t="s">
        <v>17536</v>
      </c>
    </row>
    <row r="1973" spans="1:20">
      <c r="A1973" t="s">
        <v>2436</v>
      </c>
      <c r="B1973" t="s">
        <v>16360</v>
      </c>
      <c r="C1973">
        <v>45797</v>
      </c>
      <c r="D1973" t="s">
        <v>7263</v>
      </c>
      <c r="E1973" t="s">
        <v>16361</v>
      </c>
      <c r="F1973">
        <v>45800</v>
      </c>
      <c r="G1973" t="s">
        <v>17531</v>
      </c>
      <c r="H1973" t="s">
        <v>2916</v>
      </c>
      <c r="I1973" t="s">
        <v>17537</v>
      </c>
      <c r="J1973">
        <v>0</v>
      </c>
      <c r="K1973">
        <v>-74.459999999999994</v>
      </c>
      <c r="L1973" t="s">
        <v>2917</v>
      </c>
      <c r="M1973">
        <v>-419.45</v>
      </c>
      <c r="N1973" t="s">
        <v>2918</v>
      </c>
      <c r="O1973" t="s">
        <v>17538</v>
      </c>
      <c r="P1973" t="s">
        <v>17534</v>
      </c>
      <c r="Q1973" t="s">
        <v>2924</v>
      </c>
      <c r="R1973" t="s">
        <v>3219</v>
      </c>
      <c r="S1973" t="s">
        <v>17535</v>
      </c>
      <c r="T1973" t="s">
        <v>17536</v>
      </c>
    </row>
    <row r="1974" spans="1:20">
      <c r="A1974" t="s">
        <v>2436</v>
      </c>
      <c r="B1974" t="s">
        <v>16360</v>
      </c>
      <c r="C1974">
        <v>45798</v>
      </c>
      <c r="D1974" t="s">
        <v>7263</v>
      </c>
      <c r="E1974" t="s">
        <v>16361</v>
      </c>
      <c r="F1974">
        <v>45800</v>
      </c>
      <c r="G1974" t="s">
        <v>17539</v>
      </c>
      <c r="H1974" t="s">
        <v>2916</v>
      </c>
      <c r="I1974" t="s">
        <v>17540</v>
      </c>
      <c r="J1974">
        <v>20</v>
      </c>
      <c r="K1974">
        <v>1506.53</v>
      </c>
      <c r="L1974" t="s">
        <v>2917</v>
      </c>
      <c r="M1974">
        <v>8487.48</v>
      </c>
      <c r="N1974" t="s">
        <v>2918</v>
      </c>
      <c r="O1974" t="s">
        <v>17541</v>
      </c>
      <c r="P1974" t="s">
        <v>12460</v>
      </c>
      <c r="Q1974" t="s">
        <v>2924</v>
      </c>
      <c r="R1974" t="s">
        <v>3219</v>
      </c>
      <c r="S1974" t="s">
        <v>12461</v>
      </c>
      <c r="T1974" t="s">
        <v>12462</v>
      </c>
    </row>
    <row r="1975" spans="1:20">
      <c r="A1975" t="s">
        <v>2436</v>
      </c>
      <c r="B1975" t="s">
        <v>16360</v>
      </c>
      <c r="C1975">
        <v>45798</v>
      </c>
      <c r="D1975" t="s">
        <v>7263</v>
      </c>
      <c r="E1975" t="s">
        <v>16361</v>
      </c>
      <c r="F1975">
        <v>45800</v>
      </c>
      <c r="G1975" t="s">
        <v>17539</v>
      </c>
      <c r="H1975" t="s">
        <v>2916</v>
      </c>
      <c r="I1975" t="s">
        <v>17542</v>
      </c>
      <c r="J1975">
        <v>0</v>
      </c>
      <c r="K1975">
        <v>-177.88</v>
      </c>
      <c r="L1975" t="s">
        <v>2917</v>
      </c>
      <c r="M1975">
        <v>-1002.1</v>
      </c>
      <c r="N1975" t="s">
        <v>2918</v>
      </c>
      <c r="O1975" t="s">
        <v>17543</v>
      </c>
      <c r="P1975" t="s">
        <v>12460</v>
      </c>
      <c r="Q1975" t="s">
        <v>2924</v>
      </c>
      <c r="R1975" t="s">
        <v>3219</v>
      </c>
      <c r="S1975" t="s">
        <v>12461</v>
      </c>
      <c r="T1975" t="s">
        <v>12462</v>
      </c>
    </row>
    <row r="1976" spans="1:20">
      <c r="A1976" t="s">
        <v>2436</v>
      </c>
      <c r="B1976" t="s">
        <v>16360</v>
      </c>
      <c r="C1976">
        <v>45797</v>
      </c>
      <c r="D1976" t="s">
        <v>7263</v>
      </c>
      <c r="E1976" t="s">
        <v>16361</v>
      </c>
      <c r="F1976">
        <v>45800</v>
      </c>
      <c r="G1976" t="s">
        <v>17531</v>
      </c>
      <c r="H1976" t="s">
        <v>2916</v>
      </c>
      <c r="I1976" t="s">
        <v>17798</v>
      </c>
      <c r="J1976">
        <v>0</v>
      </c>
      <c r="K1976">
        <v>74.459999999999994</v>
      </c>
      <c r="L1976" t="s">
        <v>2917</v>
      </c>
      <c r="M1976">
        <v>419.45</v>
      </c>
      <c r="N1976" t="s">
        <v>2918</v>
      </c>
      <c r="O1976" t="s">
        <v>17799</v>
      </c>
      <c r="P1976" t="s">
        <v>17534</v>
      </c>
      <c r="Q1976" t="s">
        <v>2924</v>
      </c>
      <c r="R1976" t="s">
        <v>3219</v>
      </c>
      <c r="S1976" t="s">
        <v>17535</v>
      </c>
      <c r="T1976" t="s">
        <v>17536</v>
      </c>
    </row>
    <row r="1977" spans="1:20">
      <c r="A1977" t="s">
        <v>2436</v>
      </c>
      <c r="B1977" t="s">
        <v>16360</v>
      </c>
      <c r="C1977">
        <v>45797</v>
      </c>
      <c r="D1977" t="s">
        <v>7263</v>
      </c>
      <c r="E1977" t="s">
        <v>16361</v>
      </c>
      <c r="F1977">
        <v>45805</v>
      </c>
      <c r="G1977" t="s">
        <v>17531</v>
      </c>
      <c r="H1977" t="s">
        <v>2916</v>
      </c>
      <c r="I1977" t="s">
        <v>17800</v>
      </c>
      <c r="J1977">
        <v>0</v>
      </c>
      <c r="K1977">
        <v>-251.14</v>
      </c>
      <c r="L1977" t="s">
        <v>2917</v>
      </c>
      <c r="M1977">
        <v>-1414.85</v>
      </c>
      <c r="N1977" t="s">
        <v>2918</v>
      </c>
      <c r="O1977" t="s">
        <v>17799</v>
      </c>
      <c r="P1977" t="s">
        <v>17534</v>
      </c>
      <c r="Q1977" t="s">
        <v>2924</v>
      </c>
      <c r="R1977" t="s">
        <v>3219</v>
      </c>
      <c r="S1977" t="s">
        <v>17535</v>
      </c>
      <c r="T1977" t="s">
        <v>17536</v>
      </c>
    </row>
    <row r="1978" spans="1:20">
      <c r="A1978" t="s">
        <v>2436</v>
      </c>
      <c r="B1978" t="s">
        <v>16360</v>
      </c>
      <c r="C1978">
        <v>45805</v>
      </c>
      <c r="D1978" t="s">
        <v>7263</v>
      </c>
      <c r="E1978" t="s">
        <v>16361</v>
      </c>
      <c r="F1978">
        <v>45805</v>
      </c>
      <c r="G1978" t="s">
        <v>2208</v>
      </c>
      <c r="H1978" t="s">
        <v>2916</v>
      </c>
      <c r="I1978" t="s">
        <v>17823</v>
      </c>
      <c r="J1978">
        <v>0</v>
      </c>
      <c r="K1978">
        <v>-320.92</v>
      </c>
      <c r="L1978" t="s">
        <v>2917</v>
      </c>
      <c r="M1978">
        <v>-1808.02</v>
      </c>
      <c r="N1978" t="s">
        <v>2918</v>
      </c>
      <c r="O1978" t="s">
        <v>17824</v>
      </c>
      <c r="P1978" t="s">
        <v>2208</v>
      </c>
      <c r="Q1978" t="s">
        <v>2933</v>
      </c>
      <c r="R1978" t="s">
        <v>3314</v>
      </c>
      <c r="S1978" t="s">
        <v>2208</v>
      </c>
      <c r="T1978" t="s">
        <v>2208</v>
      </c>
    </row>
    <row r="1979" spans="1:20">
      <c r="A1979" t="s">
        <v>2436</v>
      </c>
      <c r="B1979" t="s">
        <v>16360</v>
      </c>
      <c r="C1979">
        <v>45806</v>
      </c>
      <c r="D1979" t="s">
        <v>7263</v>
      </c>
      <c r="E1979" t="s">
        <v>16361</v>
      </c>
      <c r="F1979">
        <v>45806</v>
      </c>
      <c r="G1979" t="s">
        <v>2208</v>
      </c>
      <c r="H1979" t="s">
        <v>2916</v>
      </c>
      <c r="I1979" t="s">
        <v>17809</v>
      </c>
      <c r="J1979">
        <v>0</v>
      </c>
      <c r="K1979">
        <v>-1.36</v>
      </c>
      <c r="L1979" t="s">
        <v>2917</v>
      </c>
      <c r="M1979">
        <v>-7.65</v>
      </c>
      <c r="N1979" t="s">
        <v>2918</v>
      </c>
      <c r="O1979" t="s">
        <v>7587</v>
      </c>
      <c r="P1979" t="s">
        <v>2208</v>
      </c>
      <c r="Q1979" t="s">
        <v>7588</v>
      </c>
      <c r="R1979" t="s">
        <v>7589</v>
      </c>
      <c r="S1979" t="s">
        <v>2208</v>
      </c>
      <c r="T1979" t="s">
        <v>2208</v>
      </c>
    </row>
    <row r="1980" spans="1:20">
      <c r="A1980" t="s">
        <v>2436</v>
      </c>
      <c r="B1980" t="s">
        <v>16360</v>
      </c>
      <c r="C1980">
        <v>45806</v>
      </c>
      <c r="D1980" t="s">
        <v>7263</v>
      </c>
      <c r="E1980" t="s">
        <v>16361</v>
      </c>
      <c r="F1980">
        <v>45806</v>
      </c>
      <c r="G1980" t="s">
        <v>2208</v>
      </c>
      <c r="H1980" t="s">
        <v>2916</v>
      </c>
      <c r="I1980" t="s">
        <v>17812</v>
      </c>
      <c r="J1980">
        <v>0</v>
      </c>
      <c r="K1980">
        <v>-6.26</v>
      </c>
      <c r="L1980" t="s">
        <v>2917</v>
      </c>
      <c r="M1980">
        <v>-35.24</v>
      </c>
      <c r="N1980" t="s">
        <v>2918</v>
      </c>
      <c r="O1980" t="s">
        <v>7591</v>
      </c>
      <c r="P1980" t="s">
        <v>2208</v>
      </c>
      <c r="Q1980" t="s">
        <v>6851</v>
      </c>
      <c r="R1980" t="s">
        <v>6852</v>
      </c>
      <c r="S1980" t="s">
        <v>2208</v>
      </c>
      <c r="T1980" t="s">
        <v>2208</v>
      </c>
    </row>
    <row r="1981" spans="1:20">
      <c r="A1981" t="s">
        <v>2436</v>
      </c>
      <c r="B1981" t="s">
        <v>16360</v>
      </c>
      <c r="C1981">
        <v>45806</v>
      </c>
      <c r="D1981" t="s">
        <v>7263</v>
      </c>
      <c r="E1981" t="s">
        <v>16361</v>
      </c>
      <c r="F1981">
        <v>45806</v>
      </c>
      <c r="G1981" t="s">
        <v>2208</v>
      </c>
      <c r="H1981" t="s">
        <v>2916</v>
      </c>
      <c r="I1981" t="s">
        <v>17825</v>
      </c>
      <c r="J1981">
        <v>0</v>
      </c>
      <c r="K1981">
        <v>11.74</v>
      </c>
      <c r="L1981" t="s">
        <v>2917</v>
      </c>
      <c r="M1981">
        <v>66.16</v>
      </c>
      <c r="N1981" t="s">
        <v>2918</v>
      </c>
      <c r="O1981" t="s">
        <v>3313</v>
      </c>
      <c r="P1981" t="s">
        <v>2208</v>
      </c>
      <c r="Q1981" t="s">
        <v>2929</v>
      </c>
      <c r="R1981" t="s">
        <v>3228</v>
      </c>
      <c r="S1981" t="s">
        <v>2208</v>
      </c>
      <c r="T1981" t="s">
        <v>2208</v>
      </c>
    </row>
    <row r="1982" spans="1:20">
      <c r="A1982" t="s">
        <v>2436</v>
      </c>
      <c r="B1982" t="s">
        <v>16360</v>
      </c>
      <c r="C1982">
        <v>45806</v>
      </c>
      <c r="D1982" t="s">
        <v>7263</v>
      </c>
      <c r="E1982" t="s">
        <v>16361</v>
      </c>
      <c r="F1982">
        <v>45806</v>
      </c>
      <c r="G1982" t="s">
        <v>2208</v>
      </c>
      <c r="H1982" t="s">
        <v>2916</v>
      </c>
      <c r="I1982" t="s">
        <v>17826</v>
      </c>
      <c r="J1982">
        <v>0</v>
      </c>
      <c r="K1982">
        <v>128.69</v>
      </c>
      <c r="L1982" t="s">
        <v>2917</v>
      </c>
      <c r="M1982">
        <v>725</v>
      </c>
      <c r="N1982" t="s">
        <v>2918</v>
      </c>
      <c r="O1982" t="s">
        <v>17827</v>
      </c>
      <c r="P1982" t="s">
        <v>2208</v>
      </c>
      <c r="Q1982" t="s">
        <v>16237</v>
      </c>
      <c r="R1982" t="s">
        <v>16238</v>
      </c>
      <c r="S1982" t="s">
        <v>2208</v>
      </c>
      <c r="T1982" t="s">
        <v>2208</v>
      </c>
    </row>
    <row r="1983" spans="1:20">
      <c r="A1983" t="s">
        <v>2436</v>
      </c>
      <c r="B1983" t="s">
        <v>16360</v>
      </c>
      <c r="C1983">
        <v>45806</v>
      </c>
      <c r="D1983" t="s">
        <v>7263</v>
      </c>
      <c r="E1983" t="s">
        <v>16361</v>
      </c>
      <c r="F1983">
        <v>45806</v>
      </c>
      <c r="G1983" t="s">
        <v>2208</v>
      </c>
      <c r="H1983" t="s">
        <v>2916</v>
      </c>
      <c r="I1983" t="s">
        <v>17819</v>
      </c>
      <c r="J1983">
        <v>0</v>
      </c>
      <c r="K1983">
        <v>865.42</v>
      </c>
      <c r="L1983" t="s">
        <v>2917</v>
      </c>
      <c r="M1983">
        <v>4875.6000000000004</v>
      </c>
      <c r="N1983" t="s">
        <v>2918</v>
      </c>
      <c r="O1983" t="s">
        <v>17820</v>
      </c>
      <c r="P1983" t="s">
        <v>2208</v>
      </c>
      <c r="Q1983" t="s">
        <v>2926</v>
      </c>
      <c r="R1983" t="s">
        <v>3312</v>
      </c>
      <c r="S1983" t="s">
        <v>2208</v>
      </c>
      <c r="T1983" t="s">
        <v>2208</v>
      </c>
    </row>
    <row r="1984" spans="1:20">
      <c r="A1984" t="s">
        <v>2436</v>
      </c>
      <c r="B1984" t="s">
        <v>16360</v>
      </c>
      <c r="C1984">
        <v>45808</v>
      </c>
      <c r="D1984" t="s">
        <v>7263</v>
      </c>
      <c r="E1984" t="s">
        <v>16361</v>
      </c>
      <c r="F1984">
        <v>45808</v>
      </c>
      <c r="G1984" t="s">
        <v>2208</v>
      </c>
      <c r="H1984" t="s">
        <v>2916</v>
      </c>
      <c r="I1984" t="s">
        <v>17884</v>
      </c>
      <c r="J1984">
        <v>0</v>
      </c>
      <c r="K1984">
        <v>0.03</v>
      </c>
      <c r="L1984" t="s">
        <v>2917</v>
      </c>
      <c r="M1984">
        <v>0</v>
      </c>
      <c r="N1984" t="s">
        <v>2918</v>
      </c>
      <c r="O1984" t="s">
        <v>2919</v>
      </c>
      <c r="P1984" t="s">
        <v>2208</v>
      </c>
      <c r="Q1984" t="s">
        <v>2916</v>
      </c>
      <c r="R1984" t="s">
        <v>3220</v>
      </c>
      <c r="S1984" t="s">
        <v>2208</v>
      </c>
      <c r="T1984" t="s">
        <v>2208</v>
      </c>
    </row>
    <row r="1985" spans="1:20">
      <c r="A1985" t="s">
        <v>2436</v>
      </c>
      <c r="B1985" t="s">
        <v>17897</v>
      </c>
      <c r="C1985">
        <v>45807</v>
      </c>
      <c r="D1985" t="s">
        <v>7263</v>
      </c>
      <c r="E1985" t="s">
        <v>17898</v>
      </c>
      <c r="F1985">
        <v>45814</v>
      </c>
      <c r="G1985" t="s">
        <v>18481</v>
      </c>
      <c r="H1985" t="s">
        <v>2916</v>
      </c>
      <c r="I1985" t="s">
        <v>18482</v>
      </c>
      <c r="J1985">
        <v>10</v>
      </c>
      <c r="K1985">
        <v>311.48</v>
      </c>
      <c r="L1985" t="s">
        <v>2917</v>
      </c>
      <c r="M1985">
        <v>1767.75</v>
      </c>
      <c r="N1985" t="s">
        <v>2918</v>
      </c>
      <c r="O1985" t="s">
        <v>18483</v>
      </c>
      <c r="P1985" t="s">
        <v>18484</v>
      </c>
      <c r="Q1985" t="s">
        <v>2924</v>
      </c>
      <c r="R1985" t="s">
        <v>3219</v>
      </c>
      <c r="S1985" t="s">
        <v>18485</v>
      </c>
      <c r="T1985" t="s">
        <v>18486</v>
      </c>
    </row>
    <row r="1986" spans="1:20">
      <c r="A1986" t="s">
        <v>2436</v>
      </c>
      <c r="B1986" t="s">
        <v>17897</v>
      </c>
      <c r="C1986">
        <v>45807</v>
      </c>
      <c r="D1986" t="s">
        <v>7263</v>
      </c>
      <c r="E1986" t="s">
        <v>17898</v>
      </c>
      <c r="F1986">
        <v>45814</v>
      </c>
      <c r="G1986" t="s">
        <v>18481</v>
      </c>
      <c r="H1986" t="s">
        <v>2916</v>
      </c>
      <c r="I1986" t="s">
        <v>18487</v>
      </c>
      <c r="J1986">
        <v>0</v>
      </c>
      <c r="K1986">
        <v>-34.270000000000003</v>
      </c>
      <c r="L1986" t="s">
        <v>2917</v>
      </c>
      <c r="M1986">
        <v>-194.49</v>
      </c>
      <c r="N1986" t="s">
        <v>2918</v>
      </c>
      <c r="O1986" t="s">
        <v>18488</v>
      </c>
      <c r="P1986" t="s">
        <v>18484</v>
      </c>
      <c r="Q1986" t="s">
        <v>2924</v>
      </c>
      <c r="R1986" t="s">
        <v>3219</v>
      </c>
      <c r="S1986" t="s">
        <v>18485</v>
      </c>
      <c r="T1986" t="s">
        <v>18486</v>
      </c>
    </row>
    <row r="1987" spans="1:20">
      <c r="A1987" t="s">
        <v>2436</v>
      </c>
      <c r="B1987" t="s">
        <v>17897</v>
      </c>
      <c r="C1987">
        <v>45806</v>
      </c>
      <c r="D1987" t="s">
        <v>7263</v>
      </c>
      <c r="E1987" t="s">
        <v>17898</v>
      </c>
      <c r="F1987">
        <v>45818</v>
      </c>
      <c r="G1987" t="s">
        <v>2208</v>
      </c>
      <c r="H1987" t="s">
        <v>2916</v>
      </c>
      <c r="I1987" t="s">
        <v>18535</v>
      </c>
      <c r="J1987">
        <v>0</v>
      </c>
      <c r="K1987">
        <v>-865.42</v>
      </c>
      <c r="L1987" t="s">
        <v>2917</v>
      </c>
      <c r="M1987">
        <v>-4875.6000000000004</v>
      </c>
      <c r="N1987" t="s">
        <v>2918</v>
      </c>
      <c r="O1987" t="s">
        <v>17820</v>
      </c>
      <c r="P1987" t="s">
        <v>2208</v>
      </c>
      <c r="Q1987" t="s">
        <v>2926</v>
      </c>
      <c r="R1987" t="s">
        <v>3312</v>
      </c>
      <c r="S1987" t="s">
        <v>2208</v>
      </c>
      <c r="T1987" t="s">
        <v>2208</v>
      </c>
    </row>
    <row r="1988" spans="1:20">
      <c r="A1988" t="s">
        <v>2436</v>
      </c>
      <c r="B1988" t="s">
        <v>17897</v>
      </c>
      <c r="C1988">
        <v>45826</v>
      </c>
      <c r="D1988" t="s">
        <v>7263</v>
      </c>
      <c r="E1988" t="s">
        <v>17898</v>
      </c>
      <c r="F1988">
        <v>45826</v>
      </c>
      <c r="G1988" t="s">
        <v>18481</v>
      </c>
      <c r="H1988" t="s">
        <v>2916</v>
      </c>
      <c r="I1988" t="s">
        <v>18637</v>
      </c>
      <c r="J1988">
        <v>20</v>
      </c>
      <c r="K1988">
        <v>164.1</v>
      </c>
      <c r="L1988" t="s">
        <v>2917</v>
      </c>
      <c r="M1988">
        <v>931.31</v>
      </c>
      <c r="N1988" t="s">
        <v>2918</v>
      </c>
      <c r="O1988" t="s">
        <v>18638</v>
      </c>
      <c r="P1988" t="s">
        <v>18443</v>
      </c>
      <c r="Q1988" t="s">
        <v>2924</v>
      </c>
      <c r="R1988" t="s">
        <v>3219</v>
      </c>
      <c r="S1988" t="s">
        <v>18444</v>
      </c>
      <c r="T1988" t="s">
        <v>18443</v>
      </c>
    </row>
    <row r="1989" spans="1:20">
      <c r="A1989" t="s">
        <v>2436</v>
      </c>
      <c r="B1989" t="s">
        <v>17897</v>
      </c>
      <c r="C1989">
        <v>45826</v>
      </c>
      <c r="D1989" t="s">
        <v>7263</v>
      </c>
      <c r="E1989" t="s">
        <v>17898</v>
      </c>
      <c r="F1989">
        <v>45826</v>
      </c>
      <c r="G1989" t="s">
        <v>18481</v>
      </c>
      <c r="H1989" t="s">
        <v>2916</v>
      </c>
      <c r="I1989" t="s">
        <v>18637</v>
      </c>
      <c r="J1989">
        <v>20</v>
      </c>
      <c r="K1989">
        <v>128.77000000000001</v>
      </c>
      <c r="L1989" t="s">
        <v>2917</v>
      </c>
      <c r="M1989">
        <v>730.81</v>
      </c>
      <c r="N1989" t="s">
        <v>2918</v>
      </c>
      <c r="O1989" t="s">
        <v>18638</v>
      </c>
      <c r="P1989" t="s">
        <v>18445</v>
      </c>
      <c r="Q1989" t="s">
        <v>2924</v>
      </c>
      <c r="R1989" t="s">
        <v>3219</v>
      </c>
      <c r="S1989" t="s">
        <v>18446</v>
      </c>
      <c r="T1989" t="s">
        <v>18447</v>
      </c>
    </row>
    <row r="1990" spans="1:20">
      <c r="A1990" t="s">
        <v>2436</v>
      </c>
      <c r="B1990" t="s">
        <v>17897</v>
      </c>
      <c r="C1990">
        <v>45826</v>
      </c>
      <c r="D1990" t="s">
        <v>7263</v>
      </c>
      <c r="E1990" t="s">
        <v>17898</v>
      </c>
      <c r="F1990">
        <v>45826</v>
      </c>
      <c r="G1990" t="s">
        <v>18481</v>
      </c>
      <c r="H1990" t="s">
        <v>2916</v>
      </c>
      <c r="I1990" t="s">
        <v>18637</v>
      </c>
      <c r="J1990">
        <v>62</v>
      </c>
      <c r="K1990">
        <v>1942.06</v>
      </c>
      <c r="L1990" t="s">
        <v>2917</v>
      </c>
      <c r="M1990">
        <v>11021.91</v>
      </c>
      <c r="N1990" t="s">
        <v>2918</v>
      </c>
      <c r="O1990" t="s">
        <v>18638</v>
      </c>
      <c r="P1990" t="s">
        <v>18639</v>
      </c>
      <c r="Q1990" t="s">
        <v>2924</v>
      </c>
      <c r="R1990" t="s">
        <v>3219</v>
      </c>
      <c r="S1990" t="s">
        <v>18640</v>
      </c>
      <c r="T1990" t="s">
        <v>18641</v>
      </c>
    </row>
    <row r="1991" spans="1:20">
      <c r="A1991" t="s">
        <v>2436</v>
      </c>
      <c r="B1991" t="s">
        <v>17897</v>
      </c>
      <c r="C1991">
        <v>45826</v>
      </c>
      <c r="D1991" t="s">
        <v>7263</v>
      </c>
      <c r="E1991" t="s">
        <v>17898</v>
      </c>
      <c r="F1991">
        <v>45826</v>
      </c>
      <c r="G1991" t="s">
        <v>18481</v>
      </c>
      <c r="H1991" t="s">
        <v>2916</v>
      </c>
      <c r="I1991" t="s">
        <v>18637</v>
      </c>
      <c r="J1991">
        <v>10</v>
      </c>
      <c r="K1991">
        <v>1272.55</v>
      </c>
      <c r="L1991" t="s">
        <v>2917</v>
      </c>
      <c r="M1991">
        <v>7222.2</v>
      </c>
      <c r="N1991" t="s">
        <v>2918</v>
      </c>
      <c r="O1991" t="s">
        <v>18638</v>
      </c>
      <c r="P1991" t="s">
        <v>18642</v>
      </c>
      <c r="Q1991" t="s">
        <v>2924</v>
      </c>
      <c r="R1991" t="s">
        <v>3219</v>
      </c>
      <c r="S1991" t="s">
        <v>18643</v>
      </c>
      <c r="T1991" t="s">
        <v>18644</v>
      </c>
    </row>
    <row r="1992" spans="1:20">
      <c r="A1992" t="s">
        <v>2436</v>
      </c>
      <c r="B1992" t="s">
        <v>17897</v>
      </c>
      <c r="C1992">
        <v>45826</v>
      </c>
      <c r="D1992" t="s">
        <v>7263</v>
      </c>
      <c r="E1992" t="s">
        <v>17898</v>
      </c>
      <c r="F1992">
        <v>45826</v>
      </c>
      <c r="G1992" t="s">
        <v>18481</v>
      </c>
      <c r="H1992" t="s">
        <v>2916</v>
      </c>
      <c r="I1992" t="s">
        <v>18637</v>
      </c>
      <c r="J1992">
        <v>10</v>
      </c>
      <c r="K1992">
        <v>470.23</v>
      </c>
      <c r="L1992" t="s">
        <v>2917</v>
      </c>
      <c r="M1992">
        <v>2668.72</v>
      </c>
      <c r="N1992" t="s">
        <v>2918</v>
      </c>
      <c r="O1992" t="s">
        <v>18638</v>
      </c>
      <c r="P1992" t="s">
        <v>18645</v>
      </c>
      <c r="Q1992" t="s">
        <v>2924</v>
      </c>
      <c r="R1992" t="s">
        <v>3219</v>
      </c>
      <c r="S1992" t="s">
        <v>18646</v>
      </c>
      <c r="T1992" t="s">
        <v>18647</v>
      </c>
    </row>
    <row r="1993" spans="1:20">
      <c r="A1993" t="s">
        <v>2436</v>
      </c>
      <c r="B1993" t="s">
        <v>17897</v>
      </c>
      <c r="C1993">
        <v>45826</v>
      </c>
      <c r="D1993" t="s">
        <v>7263</v>
      </c>
      <c r="E1993" t="s">
        <v>17898</v>
      </c>
      <c r="F1993">
        <v>45826</v>
      </c>
      <c r="G1993" t="s">
        <v>18481</v>
      </c>
      <c r="H1993" t="s">
        <v>2916</v>
      </c>
      <c r="I1993" t="s">
        <v>18637</v>
      </c>
      <c r="J1993">
        <v>12</v>
      </c>
      <c r="K1993">
        <v>74.02</v>
      </c>
      <c r="L1993" t="s">
        <v>2917</v>
      </c>
      <c r="M1993">
        <v>420.09</v>
      </c>
      <c r="N1993" t="s">
        <v>2918</v>
      </c>
      <c r="O1993" t="s">
        <v>18638</v>
      </c>
      <c r="P1993" t="s">
        <v>18648</v>
      </c>
      <c r="Q1993" t="s">
        <v>2924</v>
      </c>
      <c r="R1993" t="s">
        <v>3219</v>
      </c>
      <c r="S1993" t="s">
        <v>18649</v>
      </c>
      <c r="T1993" t="s">
        <v>18650</v>
      </c>
    </row>
    <row r="1994" spans="1:20">
      <c r="A1994" t="s">
        <v>2436</v>
      </c>
      <c r="B1994" t="s">
        <v>17897</v>
      </c>
      <c r="C1994">
        <v>45826</v>
      </c>
      <c r="D1994" t="s">
        <v>7263</v>
      </c>
      <c r="E1994" t="s">
        <v>17898</v>
      </c>
      <c r="F1994">
        <v>45826</v>
      </c>
      <c r="G1994" t="s">
        <v>18481</v>
      </c>
      <c r="H1994" t="s">
        <v>2916</v>
      </c>
      <c r="I1994" t="s">
        <v>18637</v>
      </c>
      <c r="J1994">
        <v>10</v>
      </c>
      <c r="K1994">
        <v>276.83</v>
      </c>
      <c r="L1994" t="s">
        <v>2917</v>
      </c>
      <c r="M1994">
        <v>1571.1</v>
      </c>
      <c r="N1994" t="s">
        <v>2918</v>
      </c>
      <c r="O1994" t="s">
        <v>18638</v>
      </c>
      <c r="P1994" t="s">
        <v>18651</v>
      </c>
      <c r="Q1994" t="s">
        <v>2924</v>
      </c>
      <c r="R1994" t="s">
        <v>3219</v>
      </c>
      <c r="S1994" t="s">
        <v>18652</v>
      </c>
      <c r="T1994" t="s">
        <v>18653</v>
      </c>
    </row>
    <row r="1995" spans="1:20">
      <c r="A1995" t="s">
        <v>2436</v>
      </c>
      <c r="B1995" t="s">
        <v>17897</v>
      </c>
      <c r="C1995">
        <v>45826</v>
      </c>
      <c r="D1995" t="s">
        <v>7263</v>
      </c>
      <c r="E1995" t="s">
        <v>17898</v>
      </c>
      <c r="F1995">
        <v>45826</v>
      </c>
      <c r="G1995" t="s">
        <v>18481</v>
      </c>
      <c r="H1995" t="s">
        <v>2916</v>
      </c>
      <c r="I1995" t="s">
        <v>18637</v>
      </c>
      <c r="J1995">
        <v>10</v>
      </c>
      <c r="K1995">
        <v>70.8</v>
      </c>
      <c r="L1995" t="s">
        <v>2917</v>
      </c>
      <c r="M1995">
        <v>401.82</v>
      </c>
      <c r="N1995" t="s">
        <v>2918</v>
      </c>
      <c r="O1995" t="s">
        <v>18638</v>
      </c>
      <c r="P1995" t="s">
        <v>18654</v>
      </c>
      <c r="Q1995" t="s">
        <v>2924</v>
      </c>
      <c r="R1995" t="s">
        <v>3219</v>
      </c>
      <c r="S1995" t="s">
        <v>18655</v>
      </c>
      <c r="T1995" t="s">
        <v>18656</v>
      </c>
    </row>
    <row r="1996" spans="1:20">
      <c r="A1996" t="s">
        <v>2436</v>
      </c>
      <c r="B1996" t="s">
        <v>17897</v>
      </c>
      <c r="C1996">
        <v>45826</v>
      </c>
      <c r="D1996" t="s">
        <v>7263</v>
      </c>
      <c r="E1996" t="s">
        <v>17898</v>
      </c>
      <c r="F1996">
        <v>45826</v>
      </c>
      <c r="G1996" t="s">
        <v>18481</v>
      </c>
      <c r="H1996" t="s">
        <v>2916</v>
      </c>
      <c r="I1996" t="s">
        <v>18637</v>
      </c>
      <c r="J1996">
        <v>4</v>
      </c>
      <c r="K1996">
        <v>119.76</v>
      </c>
      <c r="L1996" t="s">
        <v>2917</v>
      </c>
      <c r="M1996">
        <v>679.67</v>
      </c>
      <c r="N1996" t="s">
        <v>2918</v>
      </c>
      <c r="O1996" t="s">
        <v>18638</v>
      </c>
      <c r="P1996" t="s">
        <v>18657</v>
      </c>
      <c r="Q1996" t="s">
        <v>2924</v>
      </c>
      <c r="R1996" t="s">
        <v>3219</v>
      </c>
      <c r="S1996" t="s">
        <v>18658</v>
      </c>
      <c r="T1996" t="s">
        <v>18659</v>
      </c>
    </row>
    <row r="1997" spans="1:20">
      <c r="A1997" t="s">
        <v>2436</v>
      </c>
      <c r="B1997" t="s">
        <v>17897</v>
      </c>
      <c r="C1997">
        <v>45826</v>
      </c>
      <c r="D1997" t="s">
        <v>7263</v>
      </c>
      <c r="E1997" t="s">
        <v>17898</v>
      </c>
      <c r="F1997">
        <v>45826</v>
      </c>
      <c r="G1997" t="s">
        <v>18481</v>
      </c>
      <c r="H1997" t="s">
        <v>2916</v>
      </c>
      <c r="I1997" t="s">
        <v>18637</v>
      </c>
      <c r="J1997">
        <v>4</v>
      </c>
      <c r="K1997">
        <v>223.77</v>
      </c>
      <c r="L1997" t="s">
        <v>2917</v>
      </c>
      <c r="M1997">
        <v>1269.96</v>
      </c>
      <c r="N1997" t="s">
        <v>2918</v>
      </c>
      <c r="O1997" t="s">
        <v>18638</v>
      </c>
      <c r="P1997" t="s">
        <v>18660</v>
      </c>
      <c r="Q1997" t="s">
        <v>2924</v>
      </c>
      <c r="R1997" t="s">
        <v>3219</v>
      </c>
      <c r="S1997" t="s">
        <v>18661</v>
      </c>
      <c r="T1997" t="s">
        <v>18662</v>
      </c>
    </row>
    <row r="1998" spans="1:20">
      <c r="A1998" t="s">
        <v>2436</v>
      </c>
      <c r="B1998" t="s">
        <v>17897</v>
      </c>
      <c r="C1998">
        <v>45832</v>
      </c>
      <c r="D1998" t="s">
        <v>7263</v>
      </c>
      <c r="E1998" t="s">
        <v>17898</v>
      </c>
      <c r="F1998">
        <v>45832</v>
      </c>
      <c r="G1998" t="s">
        <v>2208</v>
      </c>
      <c r="H1998" t="s">
        <v>2916</v>
      </c>
      <c r="I1998" t="s">
        <v>18997</v>
      </c>
      <c r="J1998">
        <v>0</v>
      </c>
      <c r="K1998">
        <v>-11.66</v>
      </c>
      <c r="L1998" t="s">
        <v>2917</v>
      </c>
      <c r="M1998">
        <v>-66.16</v>
      </c>
      <c r="N1998" t="s">
        <v>2918</v>
      </c>
      <c r="O1998" t="s">
        <v>3313</v>
      </c>
      <c r="P1998" t="s">
        <v>2208</v>
      </c>
      <c r="Q1998" t="s">
        <v>2929</v>
      </c>
      <c r="R1998" t="s">
        <v>3228</v>
      </c>
      <c r="S1998" t="s">
        <v>2208</v>
      </c>
      <c r="T1998" t="s">
        <v>2208</v>
      </c>
    </row>
    <row r="1999" spans="1:20">
      <c r="A1999" t="s">
        <v>2436</v>
      </c>
      <c r="B1999" t="s">
        <v>17897</v>
      </c>
      <c r="C1999">
        <v>45832</v>
      </c>
      <c r="D1999" t="s">
        <v>7263</v>
      </c>
      <c r="E1999" t="s">
        <v>17898</v>
      </c>
      <c r="F1999">
        <v>45832</v>
      </c>
      <c r="G1999" t="s">
        <v>2208</v>
      </c>
      <c r="H1999" t="s">
        <v>2916</v>
      </c>
      <c r="I1999" t="s">
        <v>19053</v>
      </c>
      <c r="J1999">
        <v>0</v>
      </c>
      <c r="K1999">
        <v>623.21</v>
      </c>
      <c r="L1999" t="s">
        <v>2917</v>
      </c>
      <c r="M1999">
        <v>3536.94</v>
      </c>
      <c r="N1999" t="s">
        <v>2918</v>
      </c>
      <c r="O1999" t="s">
        <v>19054</v>
      </c>
      <c r="P1999" t="s">
        <v>2208</v>
      </c>
      <c r="Q1999" t="s">
        <v>2927</v>
      </c>
      <c r="R1999" t="s">
        <v>3222</v>
      </c>
      <c r="S1999" t="s">
        <v>17285</v>
      </c>
      <c r="T1999" t="s">
        <v>17284</v>
      </c>
    </row>
    <row r="2000" spans="1:20">
      <c r="A2000" t="s">
        <v>2436</v>
      </c>
      <c r="B2000" t="s">
        <v>17897</v>
      </c>
      <c r="C2000">
        <v>45819</v>
      </c>
      <c r="D2000" t="s">
        <v>7263</v>
      </c>
      <c r="E2000" t="s">
        <v>17898</v>
      </c>
      <c r="F2000">
        <v>45834</v>
      </c>
      <c r="G2000" t="s">
        <v>18481</v>
      </c>
      <c r="H2000" t="s">
        <v>2916</v>
      </c>
      <c r="I2000" t="s">
        <v>19174</v>
      </c>
      <c r="J2000">
        <v>0</v>
      </c>
      <c r="K2000">
        <v>-12.45</v>
      </c>
      <c r="L2000" t="s">
        <v>2917</v>
      </c>
      <c r="M2000">
        <v>-70.64</v>
      </c>
      <c r="N2000" t="s">
        <v>2918</v>
      </c>
      <c r="O2000" t="s">
        <v>19175</v>
      </c>
      <c r="P2000" t="s">
        <v>18443</v>
      </c>
      <c r="Q2000" t="s">
        <v>2924</v>
      </c>
      <c r="R2000" t="s">
        <v>3219</v>
      </c>
      <c r="S2000" t="s">
        <v>18444</v>
      </c>
      <c r="T2000" t="s">
        <v>18443</v>
      </c>
    </row>
    <row r="2001" spans="1:20">
      <c r="A2001" t="s">
        <v>2436</v>
      </c>
      <c r="B2001" t="s">
        <v>17897</v>
      </c>
      <c r="C2001">
        <v>45819</v>
      </c>
      <c r="D2001" t="s">
        <v>7263</v>
      </c>
      <c r="E2001" t="s">
        <v>17898</v>
      </c>
      <c r="F2001">
        <v>45834</v>
      </c>
      <c r="G2001" t="s">
        <v>18481</v>
      </c>
      <c r="H2001" t="s">
        <v>2916</v>
      </c>
      <c r="I2001" t="s">
        <v>19174</v>
      </c>
      <c r="J2001">
        <v>0</v>
      </c>
      <c r="K2001">
        <v>-9.77</v>
      </c>
      <c r="L2001" t="s">
        <v>2917</v>
      </c>
      <c r="M2001">
        <v>-55.43</v>
      </c>
      <c r="N2001" t="s">
        <v>2918</v>
      </c>
      <c r="O2001" t="s">
        <v>19175</v>
      </c>
      <c r="P2001" t="s">
        <v>18445</v>
      </c>
      <c r="Q2001" t="s">
        <v>2924</v>
      </c>
      <c r="R2001" t="s">
        <v>3219</v>
      </c>
      <c r="S2001" t="s">
        <v>18446</v>
      </c>
      <c r="T2001" t="s">
        <v>18447</v>
      </c>
    </row>
    <row r="2002" spans="1:20">
      <c r="A2002" t="s">
        <v>2436</v>
      </c>
      <c r="B2002" t="s">
        <v>17897</v>
      </c>
      <c r="C2002">
        <v>45819</v>
      </c>
      <c r="D2002" t="s">
        <v>7263</v>
      </c>
      <c r="E2002" t="s">
        <v>17898</v>
      </c>
      <c r="F2002">
        <v>45834</v>
      </c>
      <c r="G2002" t="s">
        <v>18481</v>
      </c>
      <c r="H2002" t="s">
        <v>2916</v>
      </c>
      <c r="I2002" t="s">
        <v>19174</v>
      </c>
      <c r="J2002">
        <v>0</v>
      </c>
      <c r="K2002">
        <v>-158.08000000000001</v>
      </c>
      <c r="L2002" t="s">
        <v>2917</v>
      </c>
      <c r="M2002">
        <v>-897.19</v>
      </c>
      <c r="N2002" t="s">
        <v>2918</v>
      </c>
      <c r="O2002" t="s">
        <v>19175</v>
      </c>
      <c r="P2002" t="s">
        <v>18639</v>
      </c>
      <c r="Q2002" t="s">
        <v>2924</v>
      </c>
      <c r="R2002" t="s">
        <v>3219</v>
      </c>
      <c r="S2002" t="s">
        <v>18640</v>
      </c>
      <c r="T2002" t="s">
        <v>18641</v>
      </c>
    </row>
    <row r="2003" spans="1:20">
      <c r="A2003" t="s">
        <v>2436</v>
      </c>
      <c r="B2003" t="s">
        <v>17897</v>
      </c>
      <c r="C2003">
        <v>45819</v>
      </c>
      <c r="D2003" t="s">
        <v>7263</v>
      </c>
      <c r="E2003" t="s">
        <v>17898</v>
      </c>
      <c r="F2003">
        <v>45834</v>
      </c>
      <c r="G2003" t="s">
        <v>18481</v>
      </c>
      <c r="H2003" t="s">
        <v>2916</v>
      </c>
      <c r="I2003" t="s">
        <v>19174</v>
      </c>
      <c r="J2003">
        <v>0</v>
      </c>
      <c r="K2003">
        <v>-103.58</v>
      </c>
      <c r="L2003" t="s">
        <v>2917</v>
      </c>
      <c r="M2003">
        <v>-587.89</v>
      </c>
      <c r="N2003" t="s">
        <v>2918</v>
      </c>
      <c r="O2003" t="s">
        <v>19175</v>
      </c>
      <c r="P2003" t="s">
        <v>18642</v>
      </c>
      <c r="Q2003" t="s">
        <v>2924</v>
      </c>
      <c r="R2003" t="s">
        <v>3219</v>
      </c>
      <c r="S2003" t="s">
        <v>18643</v>
      </c>
      <c r="T2003" t="s">
        <v>18644</v>
      </c>
    </row>
    <row r="2004" spans="1:20">
      <c r="A2004" t="s">
        <v>2436</v>
      </c>
      <c r="B2004" t="s">
        <v>17897</v>
      </c>
      <c r="C2004">
        <v>45819</v>
      </c>
      <c r="D2004" t="s">
        <v>7263</v>
      </c>
      <c r="E2004" t="s">
        <v>17898</v>
      </c>
      <c r="F2004">
        <v>45834</v>
      </c>
      <c r="G2004" t="s">
        <v>18481</v>
      </c>
      <c r="H2004" t="s">
        <v>2916</v>
      </c>
      <c r="I2004" t="s">
        <v>19174</v>
      </c>
      <c r="J2004">
        <v>0</v>
      </c>
      <c r="K2004">
        <v>-35.67</v>
      </c>
      <c r="L2004" t="s">
        <v>2917</v>
      </c>
      <c r="M2004">
        <v>-202.42</v>
      </c>
      <c r="N2004" t="s">
        <v>2918</v>
      </c>
      <c r="O2004" t="s">
        <v>19175</v>
      </c>
      <c r="P2004" t="s">
        <v>18645</v>
      </c>
      <c r="Q2004" t="s">
        <v>2924</v>
      </c>
      <c r="R2004" t="s">
        <v>3219</v>
      </c>
      <c r="S2004" t="s">
        <v>18646</v>
      </c>
      <c r="T2004" t="s">
        <v>18647</v>
      </c>
    </row>
    <row r="2005" spans="1:20">
      <c r="A2005" t="s">
        <v>2436</v>
      </c>
      <c r="B2005" t="s">
        <v>17897</v>
      </c>
      <c r="C2005">
        <v>45819</v>
      </c>
      <c r="D2005" t="s">
        <v>7263</v>
      </c>
      <c r="E2005" t="s">
        <v>17898</v>
      </c>
      <c r="F2005">
        <v>45834</v>
      </c>
      <c r="G2005" t="s">
        <v>18481</v>
      </c>
      <c r="H2005" t="s">
        <v>2916</v>
      </c>
      <c r="I2005" t="s">
        <v>19174</v>
      </c>
      <c r="J2005">
        <v>0</v>
      </c>
      <c r="K2005">
        <v>-5.61</v>
      </c>
      <c r="L2005" t="s">
        <v>2917</v>
      </c>
      <c r="M2005">
        <v>-31.86</v>
      </c>
      <c r="N2005" t="s">
        <v>2918</v>
      </c>
      <c r="O2005" t="s">
        <v>19175</v>
      </c>
      <c r="P2005" t="s">
        <v>18648</v>
      </c>
      <c r="Q2005" t="s">
        <v>2924</v>
      </c>
      <c r="R2005" t="s">
        <v>3219</v>
      </c>
      <c r="S2005" t="s">
        <v>18649</v>
      </c>
      <c r="T2005" t="s">
        <v>18650</v>
      </c>
    </row>
    <row r="2006" spans="1:20">
      <c r="A2006" t="s">
        <v>2436</v>
      </c>
      <c r="B2006" t="s">
        <v>17897</v>
      </c>
      <c r="C2006">
        <v>45819</v>
      </c>
      <c r="D2006" t="s">
        <v>7263</v>
      </c>
      <c r="E2006" t="s">
        <v>17898</v>
      </c>
      <c r="F2006">
        <v>45834</v>
      </c>
      <c r="G2006" t="s">
        <v>18481</v>
      </c>
      <c r="H2006" t="s">
        <v>2916</v>
      </c>
      <c r="I2006" t="s">
        <v>19174</v>
      </c>
      <c r="J2006">
        <v>0</v>
      </c>
      <c r="K2006">
        <v>-25.61</v>
      </c>
      <c r="L2006" t="s">
        <v>2917</v>
      </c>
      <c r="M2006">
        <v>-145.32</v>
      </c>
      <c r="N2006" t="s">
        <v>2918</v>
      </c>
      <c r="O2006" t="s">
        <v>19175</v>
      </c>
      <c r="P2006" t="s">
        <v>18651</v>
      </c>
      <c r="Q2006" t="s">
        <v>2924</v>
      </c>
      <c r="R2006" t="s">
        <v>3219</v>
      </c>
      <c r="S2006" t="s">
        <v>18652</v>
      </c>
      <c r="T2006" t="s">
        <v>18653</v>
      </c>
    </row>
    <row r="2007" spans="1:20">
      <c r="A2007" t="s">
        <v>2436</v>
      </c>
      <c r="B2007" t="s">
        <v>17897</v>
      </c>
      <c r="C2007">
        <v>45819</v>
      </c>
      <c r="D2007" t="s">
        <v>7263</v>
      </c>
      <c r="E2007" t="s">
        <v>17898</v>
      </c>
      <c r="F2007">
        <v>45834</v>
      </c>
      <c r="G2007" t="s">
        <v>18481</v>
      </c>
      <c r="H2007" t="s">
        <v>2916</v>
      </c>
      <c r="I2007" t="s">
        <v>19174</v>
      </c>
      <c r="J2007">
        <v>0</v>
      </c>
      <c r="K2007">
        <v>-5.37</v>
      </c>
      <c r="L2007" t="s">
        <v>2917</v>
      </c>
      <c r="M2007">
        <v>-30.48</v>
      </c>
      <c r="N2007" t="s">
        <v>2918</v>
      </c>
      <c r="O2007" t="s">
        <v>19175</v>
      </c>
      <c r="P2007" t="s">
        <v>18654</v>
      </c>
      <c r="Q2007" t="s">
        <v>2924</v>
      </c>
      <c r="R2007" t="s">
        <v>3219</v>
      </c>
      <c r="S2007" t="s">
        <v>18655</v>
      </c>
      <c r="T2007" t="s">
        <v>18656</v>
      </c>
    </row>
    <row r="2008" spans="1:20">
      <c r="A2008" t="s">
        <v>2436</v>
      </c>
      <c r="B2008" t="s">
        <v>17897</v>
      </c>
      <c r="C2008">
        <v>45819</v>
      </c>
      <c r="D2008" t="s">
        <v>7263</v>
      </c>
      <c r="E2008" t="s">
        <v>17898</v>
      </c>
      <c r="F2008">
        <v>45834</v>
      </c>
      <c r="G2008" t="s">
        <v>18481</v>
      </c>
      <c r="H2008" t="s">
        <v>2916</v>
      </c>
      <c r="I2008" t="s">
        <v>19174</v>
      </c>
      <c r="J2008">
        <v>0</v>
      </c>
      <c r="K2008">
        <v>-9.09</v>
      </c>
      <c r="L2008" t="s">
        <v>2917</v>
      </c>
      <c r="M2008">
        <v>-51.56</v>
      </c>
      <c r="N2008" t="s">
        <v>2918</v>
      </c>
      <c r="O2008" t="s">
        <v>19175</v>
      </c>
      <c r="P2008" t="s">
        <v>18657</v>
      </c>
      <c r="Q2008" t="s">
        <v>2924</v>
      </c>
      <c r="R2008" t="s">
        <v>3219</v>
      </c>
      <c r="S2008" t="s">
        <v>18658</v>
      </c>
      <c r="T2008" t="s">
        <v>18659</v>
      </c>
    </row>
    <row r="2009" spans="1:20">
      <c r="A2009" t="s">
        <v>2436</v>
      </c>
      <c r="B2009" t="s">
        <v>17897</v>
      </c>
      <c r="C2009">
        <v>45819</v>
      </c>
      <c r="D2009" t="s">
        <v>7263</v>
      </c>
      <c r="E2009" t="s">
        <v>17898</v>
      </c>
      <c r="F2009">
        <v>45834</v>
      </c>
      <c r="G2009" t="s">
        <v>18481</v>
      </c>
      <c r="H2009" t="s">
        <v>2916</v>
      </c>
      <c r="I2009" t="s">
        <v>19174</v>
      </c>
      <c r="J2009">
        <v>0</v>
      </c>
      <c r="K2009">
        <v>-16.97</v>
      </c>
      <c r="L2009" t="s">
        <v>2917</v>
      </c>
      <c r="M2009">
        <v>-96.32</v>
      </c>
      <c r="N2009" t="s">
        <v>2918</v>
      </c>
      <c r="O2009" t="s">
        <v>19175</v>
      </c>
      <c r="P2009" t="s">
        <v>18660</v>
      </c>
      <c r="Q2009" t="s">
        <v>2924</v>
      </c>
      <c r="R2009" t="s">
        <v>3219</v>
      </c>
      <c r="S2009" t="s">
        <v>18661</v>
      </c>
      <c r="T2009" t="s">
        <v>18662</v>
      </c>
    </row>
    <row r="2010" spans="1:20">
      <c r="A2010" t="s">
        <v>2436</v>
      </c>
      <c r="B2010" t="s">
        <v>17897</v>
      </c>
      <c r="C2010">
        <v>45819</v>
      </c>
      <c r="D2010" t="s">
        <v>7263</v>
      </c>
      <c r="E2010" t="s">
        <v>17898</v>
      </c>
      <c r="F2010">
        <v>45834</v>
      </c>
      <c r="G2010" t="s">
        <v>18481</v>
      </c>
      <c r="H2010" t="s">
        <v>2916</v>
      </c>
      <c r="I2010" t="s">
        <v>19176</v>
      </c>
      <c r="J2010">
        <v>0</v>
      </c>
      <c r="K2010">
        <v>12.45</v>
      </c>
      <c r="L2010" t="s">
        <v>2917</v>
      </c>
      <c r="M2010">
        <v>70.64</v>
      </c>
      <c r="N2010" t="s">
        <v>2918</v>
      </c>
      <c r="O2010" t="s">
        <v>19175</v>
      </c>
      <c r="P2010" t="s">
        <v>18443</v>
      </c>
      <c r="Q2010" t="s">
        <v>2924</v>
      </c>
      <c r="R2010" t="s">
        <v>3219</v>
      </c>
      <c r="S2010" t="s">
        <v>18444</v>
      </c>
      <c r="T2010" t="s">
        <v>18443</v>
      </c>
    </row>
    <row r="2011" spans="1:20">
      <c r="A2011" t="s">
        <v>2436</v>
      </c>
      <c r="B2011" t="s">
        <v>17897</v>
      </c>
      <c r="C2011">
        <v>45819</v>
      </c>
      <c r="D2011" t="s">
        <v>7263</v>
      </c>
      <c r="E2011" t="s">
        <v>17898</v>
      </c>
      <c r="F2011">
        <v>45834</v>
      </c>
      <c r="G2011" t="s">
        <v>18481</v>
      </c>
      <c r="H2011" t="s">
        <v>2916</v>
      </c>
      <c r="I2011" t="s">
        <v>19176</v>
      </c>
      <c r="J2011">
        <v>0</v>
      </c>
      <c r="K2011">
        <v>9.77</v>
      </c>
      <c r="L2011" t="s">
        <v>2917</v>
      </c>
      <c r="M2011">
        <v>55.43</v>
      </c>
      <c r="N2011" t="s">
        <v>2918</v>
      </c>
      <c r="O2011" t="s">
        <v>19175</v>
      </c>
      <c r="P2011" t="s">
        <v>18445</v>
      </c>
      <c r="Q2011" t="s">
        <v>2924</v>
      </c>
      <c r="R2011" t="s">
        <v>3219</v>
      </c>
      <c r="S2011" t="s">
        <v>18446</v>
      </c>
      <c r="T2011" t="s">
        <v>18447</v>
      </c>
    </row>
    <row r="2012" spans="1:20">
      <c r="A2012" t="s">
        <v>2436</v>
      </c>
      <c r="B2012" t="s">
        <v>17897</v>
      </c>
      <c r="C2012">
        <v>45819</v>
      </c>
      <c r="D2012" t="s">
        <v>7263</v>
      </c>
      <c r="E2012" t="s">
        <v>17898</v>
      </c>
      <c r="F2012">
        <v>45834</v>
      </c>
      <c r="G2012" t="s">
        <v>18481</v>
      </c>
      <c r="H2012" t="s">
        <v>2916</v>
      </c>
      <c r="I2012" t="s">
        <v>19176</v>
      </c>
      <c r="J2012">
        <v>0</v>
      </c>
      <c r="K2012">
        <v>158.08000000000001</v>
      </c>
      <c r="L2012" t="s">
        <v>2917</v>
      </c>
      <c r="M2012">
        <v>897.19</v>
      </c>
      <c r="N2012" t="s">
        <v>2918</v>
      </c>
      <c r="O2012" t="s">
        <v>19175</v>
      </c>
      <c r="P2012" t="s">
        <v>18639</v>
      </c>
      <c r="Q2012" t="s">
        <v>2924</v>
      </c>
      <c r="R2012" t="s">
        <v>3219</v>
      </c>
      <c r="S2012" t="s">
        <v>18640</v>
      </c>
      <c r="T2012" t="s">
        <v>18641</v>
      </c>
    </row>
    <row r="2013" spans="1:20">
      <c r="A2013" t="s">
        <v>2436</v>
      </c>
      <c r="B2013" t="s">
        <v>17897</v>
      </c>
      <c r="C2013">
        <v>45819</v>
      </c>
      <c r="D2013" t="s">
        <v>7263</v>
      </c>
      <c r="E2013" t="s">
        <v>17898</v>
      </c>
      <c r="F2013">
        <v>45834</v>
      </c>
      <c r="G2013" t="s">
        <v>18481</v>
      </c>
      <c r="H2013" t="s">
        <v>2916</v>
      </c>
      <c r="I2013" t="s">
        <v>19176</v>
      </c>
      <c r="J2013">
        <v>0</v>
      </c>
      <c r="K2013">
        <v>103.58</v>
      </c>
      <c r="L2013" t="s">
        <v>2917</v>
      </c>
      <c r="M2013">
        <v>587.89</v>
      </c>
      <c r="N2013" t="s">
        <v>2918</v>
      </c>
      <c r="O2013" t="s">
        <v>19175</v>
      </c>
      <c r="P2013" t="s">
        <v>18642</v>
      </c>
      <c r="Q2013" t="s">
        <v>2924</v>
      </c>
      <c r="R2013" t="s">
        <v>3219</v>
      </c>
      <c r="S2013" t="s">
        <v>18643</v>
      </c>
      <c r="T2013" t="s">
        <v>18644</v>
      </c>
    </row>
    <row r="2014" spans="1:20">
      <c r="A2014" t="s">
        <v>2436</v>
      </c>
      <c r="B2014" t="s">
        <v>17897</v>
      </c>
      <c r="C2014">
        <v>45819</v>
      </c>
      <c r="D2014" t="s">
        <v>7263</v>
      </c>
      <c r="E2014" t="s">
        <v>17898</v>
      </c>
      <c r="F2014">
        <v>45834</v>
      </c>
      <c r="G2014" t="s">
        <v>18481</v>
      </c>
      <c r="H2014" t="s">
        <v>2916</v>
      </c>
      <c r="I2014" t="s">
        <v>19176</v>
      </c>
      <c r="J2014">
        <v>0</v>
      </c>
      <c r="K2014">
        <v>35.67</v>
      </c>
      <c r="L2014" t="s">
        <v>2917</v>
      </c>
      <c r="M2014">
        <v>202.42</v>
      </c>
      <c r="N2014" t="s">
        <v>2918</v>
      </c>
      <c r="O2014" t="s">
        <v>19175</v>
      </c>
      <c r="P2014" t="s">
        <v>18645</v>
      </c>
      <c r="Q2014" t="s">
        <v>2924</v>
      </c>
      <c r="R2014" t="s">
        <v>3219</v>
      </c>
      <c r="S2014" t="s">
        <v>18646</v>
      </c>
      <c r="T2014" t="s">
        <v>18647</v>
      </c>
    </row>
    <row r="2015" spans="1:20">
      <c r="A2015" t="s">
        <v>2436</v>
      </c>
      <c r="B2015" t="s">
        <v>17897</v>
      </c>
      <c r="C2015">
        <v>45819</v>
      </c>
      <c r="D2015" t="s">
        <v>7263</v>
      </c>
      <c r="E2015" t="s">
        <v>17898</v>
      </c>
      <c r="F2015">
        <v>45834</v>
      </c>
      <c r="G2015" t="s">
        <v>18481</v>
      </c>
      <c r="H2015" t="s">
        <v>2916</v>
      </c>
      <c r="I2015" t="s">
        <v>19176</v>
      </c>
      <c r="J2015">
        <v>0</v>
      </c>
      <c r="K2015">
        <v>5.61</v>
      </c>
      <c r="L2015" t="s">
        <v>2917</v>
      </c>
      <c r="M2015">
        <v>31.86</v>
      </c>
      <c r="N2015" t="s">
        <v>2918</v>
      </c>
      <c r="O2015" t="s">
        <v>19175</v>
      </c>
      <c r="P2015" t="s">
        <v>18648</v>
      </c>
      <c r="Q2015" t="s">
        <v>2924</v>
      </c>
      <c r="R2015" t="s">
        <v>3219</v>
      </c>
      <c r="S2015" t="s">
        <v>18649</v>
      </c>
      <c r="T2015" t="s">
        <v>18650</v>
      </c>
    </row>
    <row r="2016" spans="1:20">
      <c r="A2016" t="s">
        <v>2436</v>
      </c>
      <c r="B2016" t="s">
        <v>17897</v>
      </c>
      <c r="C2016">
        <v>45819</v>
      </c>
      <c r="D2016" t="s">
        <v>7263</v>
      </c>
      <c r="E2016" t="s">
        <v>17898</v>
      </c>
      <c r="F2016">
        <v>45834</v>
      </c>
      <c r="G2016" t="s">
        <v>18481</v>
      </c>
      <c r="H2016" t="s">
        <v>2916</v>
      </c>
      <c r="I2016" t="s">
        <v>19176</v>
      </c>
      <c r="J2016">
        <v>0</v>
      </c>
      <c r="K2016">
        <v>25.61</v>
      </c>
      <c r="L2016" t="s">
        <v>2917</v>
      </c>
      <c r="M2016">
        <v>145.32</v>
      </c>
      <c r="N2016" t="s">
        <v>2918</v>
      </c>
      <c r="O2016" t="s">
        <v>19175</v>
      </c>
      <c r="P2016" t="s">
        <v>18651</v>
      </c>
      <c r="Q2016" t="s">
        <v>2924</v>
      </c>
      <c r="R2016" t="s">
        <v>3219</v>
      </c>
      <c r="S2016" t="s">
        <v>18652</v>
      </c>
      <c r="T2016" t="s">
        <v>18653</v>
      </c>
    </row>
    <row r="2017" spans="1:20">
      <c r="A2017" t="s">
        <v>2436</v>
      </c>
      <c r="B2017" t="s">
        <v>17897</v>
      </c>
      <c r="C2017">
        <v>45819</v>
      </c>
      <c r="D2017" t="s">
        <v>7263</v>
      </c>
      <c r="E2017" t="s">
        <v>17898</v>
      </c>
      <c r="F2017">
        <v>45834</v>
      </c>
      <c r="G2017" t="s">
        <v>18481</v>
      </c>
      <c r="H2017" t="s">
        <v>2916</v>
      </c>
      <c r="I2017" t="s">
        <v>19176</v>
      </c>
      <c r="J2017">
        <v>0</v>
      </c>
      <c r="K2017">
        <v>5.37</v>
      </c>
      <c r="L2017" t="s">
        <v>2917</v>
      </c>
      <c r="M2017">
        <v>30.48</v>
      </c>
      <c r="N2017" t="s">
        <v>2918</v>
      </c>
      <c r="O2017" t="s">
        <v>19175</v>
      </c>
      <c r="P2017" t="s">
        <v>18654</v>
      </c>
      <c r="Q2017" t="s">
        <v>2924</v>
      </c>
      <c r="R2017" t="s">
        <v>3219</v>
      </c>
      <c r="S2017" t="s">
        <v>18655</v>
      </c>
      <c r="T2017" t="s">
        <v>18656</v>
      </c>
    </row>
    <row r="2018" spans="1:20">
      <c r="A2018" t="s">
        <v>2436</v>
      </c>
      <c r="B2018" t="s">
        <v>17897</v>
      </c>
      <c r="C2018">
        <v>45819</v>
      </c>
      <c r="D2018" t="s">
        <v>7263</v>
      </c>
      <c r="E2018" t="s">
        <v>17898</v>
      </c>
      <c r="F2018">
        <v>45834</v>
      </c>
      <c r="G2018" t="s">
        <v>18481</v>
      </c>
      <c r="H2018" t="s">
        <v>2916</v>
      </c>
      <c r="I2018" t="s">
        <v>19176</v>
      </c>
      <c r="J2018">
        <v>0</v>
      </c>
      <c r="K2018">
        <v>9.09</v>
      </c>
      <c r="L2018" t="s">
        <v>2917</v>
      </c>
      <c r="M2018">
        <v>51.56</v>
      </c>
      <c r="N2018" t="s">
        <v>2918</v>
      </c>
      <c r="O2018" t="s">
        <v>19175</v>
      </c>
      <c r="P2018" t="s">
        <v>18657</v>
      </c>
      <c r="Q2018" t="s">
        <v>2924</v>
      </c>
      <c r="R2018" t="s">
        <v>3219</v>
      </c>
      <c r="S2018" t="s">
        <v>18658</v>
      </c>
      <c r="T2018" t="s">
        <v>18659</v>
      </c>
    </row>
    <row r="2019" spans="1:20">
      <c r="A2019" t="s">
        <v>2436</v>
      </c>
      <c r="B2019" t="s">
        <v>17897</v>
      </c>
      <c r="C2019">
        <v>45819</v>
      </c>
      <c r="D2019" t="s">
        <v>7263</v>
      </c>
      <c r="E2019" t="s">
        <v>17898</v>
      </c>
      <c r="F2019">
        <v>45834</v>
      </c>
      <c r="G2019" t="s">
        <v>18481</v>
      </c>
      <c r="H2019" t="s">
        <v>2916</v>
      </c>
      <c r="I2019" t="s">
        <v>19176</v>
      </c>
      <c r="J2019">
        <v>0</v>
      </c>
      <c r="K2019">
        <v>16.97</v>
      </c>
      <c r="L2019" t="s">
        <v>2917</v>
      </c>
      <c r="M2019">
        <v>96.32</v>
      </c>
      <c r="N2019" t="s">
        <v>2918</v>
      </c>
      <c r="O2019" t="s">
        <v>19175</v>
      </c>
      <c r="P2019" t="s">
        <v>18660</v>
      </c>
      <c r="Q2019" t="s">
        <v>2924</v>
      </c>
      <c r="R2019" t="s">
        <v>3219</v>
      </c>
      <c r="S2019" t="s">
        <v>18661</v>
      </c>
      <c r="T2019" t="s">
        <v>18662</v>
      </c>
    </row>
    <row r="2020" spans="1:20">
      <c r="A2020" t="s">
        <v>2436</v>
      </c>
      <c r="B2020" t="s">
        <v>17897</v>
      </c>
      <c r="C2020">
        <v>45819</v>
      </c>
      <c r="D2020" t="s">
        <v>7263</v>
      </c>
      <c r="E2020" t="s">
        <v>17898</v>
      </c>
      <c r="F2020">
        <v>45835</v>
      </c>
      <c r="G2020" t="s">
        <v>18481</v>
      </c>
      <c r="H2020" t="s">
        <v>2916</v>
      </c>
      <c r="I2020" t="s">
        <v>19177</v>
      </c>
      <c r="J2020">
        <v>0</v>
      </c>
      <c r="K2020">
        <v>-18.059999999999999</v>
      </c>
      <c r="L2020" t="s">
        <v>2917</v>
      </c>
      <c r="M2020">
        <v>-102.46</v>
      </c>
      <c r="N2020" t="s">
        <v>2918</v>
      </c>
      <c r="O2020" t="s">
        <v>19175</v>
      </c>
      <c r="P2020" t="s">
        <v>18443</v>
      </c>
      <c r="Q2020" t="s">
        <v>2924</v>
      </c>
      <c r="R2020" t="s">
        <v>3219</v>
      </c>
      <c r="S2020" t="s">
        <v>18444</v>
      </c>
      <c r="T2020" t="s">
        <v>18443</v>
      </c>
    </row>
    <row r="2021" spans="1:20">
      <c r="A2021" t="s">
        <v>2436</v>
      </c>
      <c r="B2021" t="s">
        <v>17897</v>
      </c>
      <c r="C2021">
        <v>45819</v>
      </c>
      <c r="D2021" t="s">
        <v>7263</v>
      </c>
      <c r="E2021" t="s">
        <v>17898</v>
      </c>
      <c r="F2021">
        <v>45835</v>
      </c>
      <c r="G2021" t="s">
        <v>18481</v>
      </c>
      <c r="H2021" t="s">
        <v>2916</v>
      </c>
      <c r="I2021" t="s">
        <v>19177</v>
      </c>
      <c r="J2021">
        <v>0</v>
      </c>
      <c r="K2021">
        <v>-14.17</v>
      </c>
      <c r="L2021" t="s">
        <v>2917</v>
      </c>
      <c r="M2021">
        <v>-80.400000000000006</v>
      </c>
      <c r="N2021" t="s">
        <v>2918</v>
      </c>
      <c r="O2021" t="s">
        <v>19175</v>
      </c>
      <c r="P2021" t="s">
        <v>18445</v>
      </c>
      <c r="Q2021" t="s">
        <v>2924</v>
      </c>
      <c r="R2021" t="s">
        <v>3219</v>
      </c>
      <c r="S2021" t="s">
        <v>18446</v>
      </c>
      <c r="T2021" t="s">
        <v>18447</v>
      </c>
    </row>
    <row r="2022" spans="1:20">
      <c r="A2022" t="s">
        <v>2436</v>
      </c>
      <c r="B2022" t="s">
        <v>17897</v>
      </c>
      <c r="C2022">
        <v>45819</v>
      </c>
      <c r="D2022" t="s">
        <v>7263</v>
      </c>
      <c r="E2022" t="s">
        <v>17898</v>
      </c>
      <c r="F2022">
        <v>45835</v>
      </c>
      <c r="G2022" t="s">
        <v>18481</v>
      </c>
      <c r="H2022" t="s">
        <v>2916</v>
      </c>
      <c r="I2022" t="s">
        <v>19177</v>
      </c>
      <c r="J2022">
        <v>0</v>
      </c>
      <c r="K2022">
        <v>-229.29</v>
      </c>
      <c r="L2022" t="s">
        <v>2917</v>
      </c>
      <c r="M2022">
        <v>-1301.33</v>
      </c>
      <c r="N2022" t="s">
        <v>2918</v>
      </c>
      <c r="O2022" t="s">
        <v>19175</v>
      </c>
      <c r="P2022" t="s">
        <v>18639</v>
      </c>
      <c r="Q2022" t="s">
        <v>2924</v>
      </c>
      <c r="R2022" t="s">
        <v>3219</v>
      </c>
      <c r="S2022" t="s">
        <v>18640</v>
      </c>
      <c r="T2022" t="s">
        <v>18641</v>
      </c>
    </row>
    <row r="2023" spans="1:20">
      <c r="A2023" t="s">
        <v>2436</v>
      </c>
      <c r="B2023" t="s">
        <v>17897</v>
      </c>
      <c r="C2023">
        <v>45819</v>
      </c>
      <c r="D2023" t="s">
        <v>7263</v>
      </c>
      <c r="E2023" t="s">
        <v>17898</v>
      </c>
      <c r="F2023">
        <v>45835</v>
      </c>
      <c r="G2023" t="s">
        <v>18481</v>
      </c>
      <c r="H2023" t="s">
        <v>2916</v>
      </c>
      <c r="I2023" t="s">
        <v>19177</v>
      </c>
      <c r="J2023">
        <v>0</v>
      </c>
      <c r="K2023">
        <v>-150.24</v>
      </c>
      <c r="L2023" t="s">
        <v>2917</v>
      </c>
      <c r="M2023">
        <v>-852.7</v>
      </c>
      <c r="N2023" t="s">
        <v>2918</v>
      </c>
      <c r="O2023" t="s">
        <v>19175</v>
      </c>
      <c r="P2023" t="s">
        <v>18642</v>
      </c>
      <c r="Q2023" t="s">
        <v>2924</v>
      </c>
      <c r="R2023" t="s">
        <v>3219</v>
      </c>
      <c r="S2023" t="s">
        <v>18643</v>
      </c>
      <c r="T2023" t="s">
        <v>18644</v>
      </c>
    </row>
    <row r="2024" spans="1:20">
      <c r="A2024" t="s">
        <v>2436</v>
      </c>
      <c r="B2024" t="s">
        <v>17897</v>
      </c>
      <c r="C2024">
        <v>45819</v>
      </c>
      <c r="D2024" t="s">
        <v>7263</v>
      </c>
      <c r="E2024" t="s">
        <v>17898</v>
      </c>
      <c r="F2024">
        <v>45835</v>
      </c>
      <c r="G2024" t="s">
        <v>18481</v>
      </c>
      <c r="H2024" t="s">
        <v>2916</v>
      </c>
      <c r="I2024" t="s">
        <v>19177</v>
      </c>
      <c r="J2024">
        <v>0</v>
      </c>
      <c r="K2024">
        <v>-51.73</v>
      </c>
      <c r="L2024" t="s">
        <v>2917</v>
      </c>
      <c r="M2024">
        <v>-293.60000000000002</v>
      </c>
      <c r="N2024" t="s">
        <v>2918</v>
      </c>
      <c r="O2024" t="s">
        <v>19175</v>
      </c>
      <c r="P2024" t="s">
        <v>18645</v>
      </c>
      <c r="Q2024" t="s">
        <v>2924</v>
      </c>
      <c r="R2024" t="s">
        <v>3219</v>
      </c>
      <c r="S2024" t="s">
        <v>18646</v>
      </c>
      <c r="T2024" t="s">
        <v>18647</v>
      </c>
    </row>
    <row r="2025" spans="1:20">
      <c r="A2025" t="s">
        <v>2436</v>
      </c>
      <c r="B2025" t="s">
        <v>17897</v>
      </c>
      <c r="C2025">
        <v>45819</v>
      </c>
      <c r="D2025" t="s">
        <v>7263</v>
      </c>
      <c r="E2025" t="s">
        <v>17898</v>
      </c>
      <c r="F2025">
        <v>45835</v>
      </c>
      <c r="G2025" t="s">
        <v>18481</v>
      </c>
      <c r="H2025" t="s">
        <v>2916</v>
      </c>
      <c r="I2025" t="s">
        <v>19177</v>
      </c>
      <c r="J2025">
        <v>0</v>
      </c>
      <c r="K2025">
        <v>-8.14</v>
      </c>
      <c r="L2025" t="s">
        <v>2917</v>
      </c>
      <c r="M2025">
        <v>-46.21</v>
      </c>
      <c r="N2025" t="s">
        <v>2918</v>
      </c>
      <c r="O2025" t="s">
        <v>19175</v>
      </c>
      <c r="P2025" t="s">
        <v>18648</v>
      </c>
      <c r="Q2025" t="s">
        <v>2924</v>
      </c>
      <c r="R2025" t="s">
        <v>3219</v>
      </c>
      <c r="S2025" t="s">
        <v>18649</v>
      </c>
      <c r="T2025" t="s">
        <v>18650</v>
      </c>
    </row>
    <row r="2026" spans="1:20">
      <c r="A2026" t="s">
        <v>2436</v>
      </c>
      <c r="B2026" t="s">
        <v>17897</v>
      </c>
      <c r="C2026">
        <v>45819</v>
      </c>
      <c r="D2026" t="s">
        <v>7263</v>
      </c>
      <c r="E2026" t="s">
        <v>17898</v>
      </c>
      <c r="F2026">
        <v>45835</v>
      </c>
      <c r="G2026" t="s">
        <v>18481</v>
      </c>
      <c r="H2026" t="s">
        <v>2916</v>
      </c>
      <c r="I2026" t="s">
        <v>19177</v>
      </c>
      <c r="J2026">
        <v>0</v>
      </c>
      <c r="K2026">
        <v>-25.61</v>
      </c>
      <c r="L2026" t="s">
        <v>2917</v>
      </c>
      <c r="M2026">
        <v>-145.32</v>
      </c>
      <c r="N2026" t="s">
        <v>2918</v>
      </c>
      <c r="O2026" t="s">
        <v>19175</v>
      </c>
      <c r="P2026" t="s">
        <v>18651</v>
      </c>
      <c r="Q2026" t="s">
        <v>2924</v>
      </c>
      <c r="R2026" t="s">
        <v>3219</v>
      </c>
      <c r="S2026" t="s">
        <v>18652</v>
      </c>
      <c r="T2026" t="s">
        <v>18653</v>
      </c>
    </row>
    <row r="2027" spans="1:20">
      <c r="A2027" t="s">
        <v>2436</v>
      </c>
      <c r="B2027" t="s">
        <v>17897</v>
      </c>
      <c r="C2027">
        <v>45819</v>
      </c>
      <c r="D2027" t="s">
        <v>7263</v>
      </c>
      <c r="E2027" t="s">
        <v>17898</v>
      </c>
      <c r="F2027">
        <v>45835</v>
      </c>
      <c r="G2027" t="s">
        <v>18481</v>
      </c>
      <c r="H2027" t="s">
        <v>2916</v>
      </c>
      <c r="I2027" t="s">
        <v>19177</v>
      </c>
      <c r="J2027">
        <v>0</v>
      </c>
      <c r="K2027">
        <v>-7.79</v>
      </c>
      <c r="L2027" t="s">
        <v>2917</v>
      </c>
      <c r="M2027">
        <v>-44.21</v>
      </c>
      <c r="N2027" t="s">
        <v>2918</v>
      </c>
      <c r="O2027" t="s">
        <v>19175</v>
      </c>
      <c r="P2027" t="s">
        <v>18654</v>
      </c>
      <c r="Q2027" t="s">
        <v>2924</v>
      </c>
      <c r="R2027" t="s">
        <v>3219</v>
      </c>
      <c r="S2027" t="s">
        <v>18655</v>
      </c>
      <c r="T2027" t="s">
        <v>18656</v>
      </c>
    </row>
    <row r="2028" spans="1:20">
      <c r="A2028" t="s">
        <v>2436</v>
      </c>
      <c r="B2028" t="s">
        <v>17897</v>
      </c>
      <c r="C2028">
        <v>45819</v>
      </c>
      <c r="D2028" t="s">
        <v>7263</v>
      </c>
      <c r="E2028" t="s">
        <v>17898</v>
      </c>
      <c r="F2028">
        <v>45835</v>
      </c>
      <c r="G2028" t="s">
        <v>18481</v>
      </c>
      <c r="H2028" t="s">
        <v>2916</v>
      </c>
      <c r="I2028" t="s">
        <v>19177</v>
      </c>
      <c r="J2028">
        <v>0</v>
      </c>
      <c r="K2028">
        <v>-13.18</v>
      </c>
      <c r="L2028" t="s">
        <v>2917</v>
      </c>
      <c r="M2028">
        <v>-74.78</v>
      </c>
      <c r="N2028" t="s">
        <v>2918</v>
      </c>
      <c r="O2028" t="s">
        <v>19175</v>
      </c>
      <c r="P2028" t="s">
        <v>18657</v>
      </c>
      <c r="Q2028" t="s">
        <v>2924</v>
      </c>
      <c r="R2028" t="s">
        <v>3219</v>
      </c>
      <c r="S2028" t="s">
        <v>18658</v>
      </c>
      <c r="T2028" t="s">
        <v>18659</v>
      </c>
    </row>
    <row r="2029" spans="1:20">
      <c r="A2029" t="s">
        <v>2436</v>
      </c>
      <c r="B2029" t="s">
        <v>17897</v>
      </c>
      <c r="C2029">
        <v>45819</v>
      </c>
      <c r="D2029" t="s">
        <v>7263</v>
      </c>
      <c r="E2029" t="s">
        <v>17898</v>
      </c>
      <c r="F2029">
        <v>45835</v>
      </c>
      <c r="G2029" t="s">
        <v>18481</v>
      </c>
      <c r="H2029" t="s">
        <v>2916</v>
      </c>
      <c r="I2029" t="s">
        <v>19177</v>
      </c>
      <c r="J2029">
        <v>0</v>
      </c>
      <c r="K2029">
        <v>-24.62</v>
      </c>
      <c r="L2029" t="s">
        <v>2917</v>
      </c>
      <c r="M2029">
        <v>-139.71</v>
      </c>
      <c r="N2029" t="s">
        <v>2918</v>
      </c>
      <c r="O2029" t="s">
        <v>19175</v>
      </c>
      <c r="P2029" t="s">
        <v>18660</v>
      </c>
      <c r="Q2029" t="s">
        <v>2924</v>
      </c>
      <c r="R2029" t="s">
        <v>3219</v>
      </c>
      <c r="S2029" t="s">
        <v>18661</v>
      </c>
      <c r="T2029" t="s">
        <v>18662</v>
      </c>
    </row>
    <row r="2030" spans="1:20">
      <c r="A2030" t="s">
        <v>2436</v>
      </c>
      <c r="B2030" t="s">
        <v>17897</v>
      </c>
      <c r="C2030">
        <v>45835</v>
      </c>
      <c r="D2030" t="s">
        <v>7263</v>
      </c>
      <c r="E2030" t="s">
        <v>17898</v>
      </c>
      <c r="F2030">
        <v>45835</v>
      </c>
      <c r="G2030" t="s">
        <v>2208</v>
      </c>
      <c r="H2030" t="s">
        <v>2916</v>
      </c>
      <c r="I2030" t="s">
        <v>19152</v>
      </c>
      <c r="J2030">
        <v>0</v>
      </c>
      <c r="K2030">
        <v>-545.04</v>
      </c>
      <c r="L2030" t="s">
        <v>2917</v>
      </c>
      <c r="M2030">
        <v>-3093.32</v>
      </c>
      <c r="N2030" t="s">
        <v>2918</v>
      </c>
      <c r="O2030" t="s">
        <v>19153</v>
      </c>
      <c r="P2030" t="s">
        <v>2208</v>
      </c>
      <c r="Q2030" t="s">
        <v>2933</v>
      </c>
      <c r="R2030" t="s">
        <v>3314</v>
      </c>
      <c r="S2030" t="s">
        <v>2208</v>
      </c>
      <c r="T2030" t="s">
        <v>2208</v>
      </c>
    </row>
    <row r="2031" spans="1:20">
      <c r="A2031" t="s">
        <v>2436</v>
      </c>
      <c r="B2031" t="s">
        <v>17897</v>
      </c>
      <c r="C2031">
        <v>45819</v>
      </c>
      <c r="D2031" t="s">
        <v>7263</v>
      </c>
      <c r="E2031" t="s">
        <v>17898</v>
      </c>
      <c r="F2031">
        <v>45835</v>
      </c>
      <c r="G2031" t="s">
        <v>18481</v>
      </c>
      <c r="H2031" t="s">
        <v>2916</v>
      </c>
      <c r="I2031" t="s">
        <v>19178</v>
      </c>
      <c r="J2031">
        <v>0</v>
      </c>
      <c r="K2031">
        <v>18.059999999999999</v>
      </c>
      <c r="L2031" t="s">
        <v>2917</v>
      </c>
      <c r="M2031">
        <v>102.46</v>
      </c>
      <c r="N2031" t="s">
        <v>2918</v>
      </c>
      <c r="O2031" t="s">
        <v>19175</v>
      </c>
      <c r="P2031" t="s">
        <v>18443</v>
      </c>
      <c r="Q2031" t="s">
        <v>2924</v>
      </c>
      <c r="R2031" t="s">
        <v>3219</v>
      </c>
      <c r="S2031" t="s">
        <v>18444</v>
      </c>
      <c r="T2031" t="s">
        <v>18443</v>
      </c>
    </row>
    <row r="2032" spans="1:20">
      <c r="A2032" t="s">
        <v>2436</v>
      </c>
      <c r="B2032" t="s">
        <v>17897</v>
      </c>
      <c r="C2032">
        <v>45819</v>
      </c>
      <c r="D2032" t="s">
        <v>7263</v>
      </c>
      <c r="E2032" t="s">
        <v>17898</v>
      </c>
      <c r="F2032">
        <v>45835</v>
      </c>
      <c r="G2032" t="s">
        <v>18481</v>
      </c>
      <c r="H2032" t="s">
        <v>2916</v>
      </c>
      <c r="I2032" t="s">
        <v>19178</v>
      </c>
      <c r="J2032">
        <v>0</v>
      </c>
      <c r="K2032">
        <v>14.17</v>
      </c>
      <c r="L2032" t="s">
        <v>2917</v>
      </c>
      <c r="M2032">
        <v>80.400000000000006</v>
      </c>
      <c r="N2032" t="s">
        <v>2918</v>
      </c>
      <c r="O2032" t="s">
        <v>19175</v>
      </c>
      <c r="P2032" t="s">
        <v>18445</v>
      </c>
      <c r="Q2032" t="s">
        <v>2924</v>
      </c>
      <c r="R2032" t="s">
        <v>3219</v>
      </c>
      <c r="S2032" t="s">
        <v>18446</v>
      </c>
      <c r="T2032" t="s">
        <v>18447</v>
      </c>
    </row>
    <row r="2033" spans="1:20">
      <c r="A2033" t="s">
        <v>2436</v>
      </c>
      <c r="B2033" t="s">
        <v>17897</v>
      </c>
      <c r="C2033">
        <v>45819</v>
      </c>
      <c r="D2033" t="s">
        <v>7263</v>
      </c>
      <c r="E2033" t="s">
        <v>17898</v>
      </c>
      <c r="F2033">
        <v>45835</v>
      </c>
      <c r="G2033" t="s">
        <v>18481</v>
      </c>
      <c r="H2033" t="s">
        <v>2916</v>
      </c>
      <c r="I2033" t="s">
        <v>19178</v>
      </c>
      <c r="J2033">
        <v>0</v>
      </c>
      <c r="K2033">
        <v>229.29</v>
      </c>
      <c r="L2033" t="s">
        <v>2917</v>
      </c>
      <c r="M2033">
        <v>1301.33</v>
      </c>
      <c r="N2033" t="s">
        <v>2918</v>
      </c>
      <c r="O2033" t="s">
        <v>19175</v>
      </c>
      <c r="P2033" t="s">
        <v>18639</v>
      </c>
      <c r="Q2033" t="s">
        <v>2924</v>
      </c>
      <c r="R2033" t="s">
        <v>3219</v>
      </c>
      <c r="S2033" t="s">
        <v>18640</v>
      </c>
      <c r="T2033" t="s">
        <v>18641</v>
      </c>
    </row>
    <row r="2034" spans="1:20">
      <c r="A2034" t="s">
        <v>2436</v>
      </c>
      <c r="B2034" t="s">
        <v>17897</v>
      </c>
      <c r="C2034">
        <v>45819</v>
      </c>
      <c r="D2034" t="s">
        <v>7263</v>
      </c>
      <c r="E2034" t="s">
        <v>17898</v>
      </c>
      <c r="F2034">
        <v>45835</v>
      </c>
      <c r="G2034" t="s">
        <v>18481</v>
      </c>
      <c r="H2034" t="s">
        <v>2916</v>
      </c>
      <c r="I2034" t="s">
        <v>19178</v>
      </c>
      <c r="J2034">
        <v>0</v>
      </c>
      <c r="K2034">
        <v>150.24</v>
      </c>
      <c r="L2034" t="s">
        <v>2917</v>
      </c>
      <c r="M2034">
        <v>852.7</v>
      </c>
      <c r="N2034" t="s">
        <v>2918</v>
      </c>
      <c r="O2034" t="s">
        <v>19175</v>
      </c>
      <c r="P2034" t="s">
        <v>18642</v>
      </c>
      <c r="Q2034" t="s">
        <v>2924</v>
      </c>
      <c r="R2034" t="s">
        <v>3219</v>
      </c>
      <c r="S2034" t="s">
        <v>18643</v>
      </c>
      <c r="T2034" t="s">
        <v>18644</v>
      </c>
    </row>
    <row r="2035" spans="1:20">
      <c r="A2035" t="s">
        <v>2436</v>
      </c>
      <c r="B2035" t="s">
        <v>17897</v>
      </c>
      <c r="C2035">
        <v>45819</v>
      </c>
      <c r="D2035" t="s">
        <v>7263</v>
      </c>
      <c r="E2035" t="s">
        <v>17898</v>
      </c>
      <c r="F2035">
        <v>45835</v>
      </c>
      <c r="G2035" t="s">
        <v>18481</v>
      </c>
      <c r="H2035" t="s">
        <v>2916</v>
      </c>
      <c r="I2035" t="s">
        <v>19178</v>
      </c>
      <c r="J2035">
        <v>0</v>
      </c>
      <c r="K2035">
        <v>51.73</v>
      </c>
      <c r="L2035" t="s">
        <v>2917</v>
      </c>
      <c r="M2035">
        <v>293.60000000000002</v>
      </c>
      <c r="N2035" t="s">
        <v>2918</v>
      </c>
      <c r="O2035" t="s">
        <v>19175</v>
      </c>
      <c r="P2035" t="s">
        <v>18645</v>
      </c>
      <c r="Q2035" t="s">
        <v>2924</v>
      </c>
      <c r="R2035" t="s">
        <v>3219</v>
      </c>
      <c r="S2035" t="s">
        <v>18646</v>
      </c>
      <c r="T2035" t="s">
        <v>18647</v>
      </c>
    </row>
    <row r="2036" spans="1:20">
      <c r="A2036" t="s">
        <v>2436</v>
      </c>
      <c r="B2036" t="s">
        <v>17897</v>
      </c>
      <c r="C2036">
        <v>45819</v>
      </c>
      <c r="D2036" t="s">
        <v>7263</v>
      </c>
      <c r="E2036" t="s">
        <v>17898</v>
      </c>
      <c r="F2036">
        <v>45835</v>
      </c>
      <c r="G2036" t="s">
        <v>18481</v>
      </c>
      <c r="H2036" t="s">
        <v>2916</v>
      </c>
      <c r="I2036" t="s">
        <v>19178</v>
      </c>
      <c r="J2036">
        <v>0</v>
      </c>
      <c r="K2036">
        <v>8.14</v>
      </c>
      <c r="L2036" t="s">
        <v>2917</v>
      </c>
      <c r="M2036">
        <v>46.21</v>
      </c>
      <c r="N2036" t="s">
        <v>2918</v>
      </c>
      <c r="O2036" t="s">
        <v>19175</v>
      </c>
      <c r="P2036" t="s">
        <v>18648</v>
      </c>
      <c r="Q2036" t="s">
        <v>2924</v>
      </c>
      <c r="R2036" t="s">
        <v>3219</v>
      </c>
      <c r="S2036" t="s">
        <v>18649</v>
      </c>
      <c r="T2036" t="s">
        <v>18650</v>
      </c>
    </row>
    <row r="2037" spans="1:20">
      <c r="A2037" t="s">
        <v>2436</v>
      </c>
      <c r="B2037" t="s">
        <v>17897</v>
      </c>
      <c r="C2037">
        <v>45819</v>
      </c>
      <c r="D2037" t="s">
        <v>7263</v>
      </c>
      <c r="E2037" t="s">
        <v>17898</v>
      </c>
      <c r="F2037">
        <v>45835</v>
      </c>
      <c r="G2037" t="s">
        <v>18481</v>
      </c>
      <c r="H2037" t="s">
        <v>2916</v>
      </c>
      <c r="I2037" t="s">
        <v>19178</v>
      </c>
      <c r="J2037">
        <v>0</v>
      </c>
      <c r="K2037">
        <v>25.61</v>
      </c>
      <c r="L2037" t="s">
        <v>2917</v>
      </c>
      <c r="M2037">
        <v>145.32</v>
      </c>
      <c r="N2037" t="s">
        <v>2918</v>
      </c>
      <c r="O2037" t="s">
        <v>19175</v>
      </c>
      <c r="P2037" t="s">
        <v>18651</v>
      </c>
      <c r="Q2037" t="s">
        <v>2924</v>
      </c>
      <c r="R2037" t="s">
        <v>3219</v>
      </c>
      <c r="S2037" t="s">
        <v>18652</v>
      </c>
      <c r="T2037" t="s">
        <v>18653</v>
      </c>
    </row>
    <row r="2038" spans="1:20">
      <c r="A2038" t="s">
        <v>2436</v>
      </c>
      <c r="B2038" t="s">
        <v>17897</v>
      </c>
      <c r="C2038">
        <v>45819</v>
      </c>
      <c r="D2038" t="s">
        <v>7263</v>
      </c>
      <c r="E2038" t="s">
        <v>17898</v>
      </c>
      <c r="F2038">
        <v>45835</v>
      </c>
      <c r="G2038" t="s">
        <v>18481</v>
      </c>
      <c r="H2038" t="s">
        <v>2916</v>
      </c>
      <c r="I2038" t="s">
        <v>19178</v>
      </c>
      <c r="J2038">
        <v>0</v>
      </c>
      <c r="K2038">
        <v>7.79</v>
      </c>
      <c r="L2038" t="s">
        <v>2917</v>
      </c>
      <c r="M2038">
        <v>44.21</v>
      </c>
      <c r="N2038" t="s">
        <v>2918</v>
      </c>
      <c r="O2038" t="s">
        <v>19175</v>
      </c>
      <c r="P2038" t="s">
        <v>18654</v>
      </c>
      <c r="Q2038" t="s">
        <v>2924</v>
      </c>
      <c r="R2038" t="s">
        <v>3219</v>
      </c>
      <c r="S2038" t="s">
        <v>18655</v>
      </c>
      <c r="T2038" t="s">
        <v>18656</v>
      </c>
    </row>
    <row r="2039" spans="1:20">
      <c r="A2039" t="s">
        <v>2436</v>
      </c>
      <c r="B2039" t="s">
        <v>17897</v>
      </c>
      <c r="C2039">
        <v>45819</v>
      </c>
      <c r="D2039" t="s">
        <v>7263</v>
      </c>
      <c r="E2039" t="s">
        <v>17898</v>
      </c>
      <c r="F2039">
        <v>45835</v>
      </c>
      <c r="G2039" t="s">
        <v>18481</v>
      </c>
      <c r="H2039" t="s">
        <v>2916</v>
      </c>
      <c r="I2039" t="s">
        <v>19178</v>
      </c>
      <c r="J2039">
        <v>0</v>
      </c>
      <c r="K2039">
        <v>13.18</v>
      </c>
      <c r="L2039" t="s">
        <v>2917</v>
      </c>
      <c r="M2039">
        <v>74.78</v>
      </c>
      <c r="N2039" t="s">
        <v>2918</v>
      </c>
      <c r="O2039" t="s">
        <v>19175</v>
      </c>
      <c r="P2039" t="s">
        <v>18657</v>
      </c>
      <c r="Q2039" t="s">
        <v>2924</v>
      </c>
      <c r="R2039" t="s">
        <v>3219</v>
      </c>
      <c r="S2039" t="s">
        <v>18658</v>
      </c>
      <c r="T2039" t="s">
        <v>18659</v>
      </c>
    </row>
    <row r="2040" spans="1:20">
      <c r="A2040" t="s">
        <v>2436</v>
      </c>
      <c r="B2040" t="s">
        <v>17897</v>
      </c>
      <c r="C2040">
        <v>45819</v>
      </c>
      <c r="D2040" t="s">
        <v>7263</v>
      </c>
      <c r="E2040" t="s">
        <v>17898</v>
      </c>
      <c r="F2040">
        <v>45835</v>
      </c>
      <c r="G2040" t="s">
        <v>18481</v>
      </c>
      <c r="H2040" t="s">
        <v>2916</v>
      </c>
      <c r="I2040" t="s">
        <v>19178</v>
      </c>
      <c r="J2040">
        <v>0</v>
      </c>
      <c r="K2040">
        <v>24.62</v>
      </c>
      <c r="L2040" t="s">
        <v>2917</v>
      </c>
      <c r="M2040">
        <v>139.71</v>
      </c>
      <c r="N2040" t="s">
        <v>2918</v>
      </c>
      <c r="O2040" t="s">
        <v>19175</v>
      </c>
      <c r="P2040" t="s">
        <v>18660</v>
      </c>
      <c r="Q2040" t="s">
        <v>2924</v>
      </c>
      <c r="R2040" t="s">
        <v>3219</v>
      </c>
      <c r="S2040" t="s">
        <v>18661</v>
      </c>
      <c r="T2040" t="s">
        <v>18662</v>
      </c>
    </row>
    <row r="2041" spans="1:20">
      <c r="A2041" t="s">
        <v>2436</v>
      </c>
      <c r="B2041" t="s">
        <v>17897</v>
      </c>
      <c r="C2041">
        <v>45819</v>
      </c>
      <c r="D2041" t="s">
        <v>7263</v>
      </c>
      <c r="E2041" t="s">
        <v>17898</v>
      </c>
      <c r="F2041">
        <v>45835</v>
      </c>
      <c r="G2041" t="s">
        <v>18481</v>
      </c>
      <c r="H2041" t="s">
        <v>2916</v>
      </c>
      <c r="I2041" t="s">
        <v>19179</v>
      </c>
      <c r="J2041">
        <v>0</v>
      </c>
      <c r="K2041">
        <v>-18.059999999999999</v>
      </c>
      <c r="L2041" t="s">
        <v>2917</v>
      </c>
      <c r="M2041">
        <v>-102.46</v>
      </c>
      <c r="N2041" t="s">
        <v>2918</v>
      </c>
      <c r="O2041" t="s">
        <v>19175</v>
      </c>
      <c r="P2041" t="s">
        <v>18443</v>
      </c>
      <c r="Q2041" t="s">
        <v>2924</v>
      </c>
      <c r="R2041" t="s">
        <v>3219</v>
      </c>
      <c r="S2041" t="s">
        <v>18444</v>
      </c>
      <c r="T2041" t="s">
        <v>18443</v>
      </c>
    </row>
    <row r="2042" spans="1:20">
      <c r="A2042" t="s">
        <v>2436</v>
      </c>
      <c r="B2042" t="s">
        <v>17897</v>
      </c>
      <c r="C2042">
        <v>45819</v>
      </c>
      <c r="D2042" t="s">
        <v>7263</v>
      </c>
      <c r="E2042" t="s">
        <v>17898</v>
      </c>
      <c r="F2042">
        <v>45835</v>
      </c>
      <c r="G2042" t="s">
        <v>18481</v>
      </c>
      <c r="H2042" t="s">
        <v>2916</v>
      </c>
      <c r="I2042" t="s">
        <v>19179</v>
      </c>
      <c r="J2042">
        <v>0</v>
      </c>
      <c r="K2042">
        <v>-14.17</v>
      </c>
      <c r="L2042" t="s">
        <v>2917</v>
      </c>
      <c r="M2042">
        <v>-80.400000000000006</v>
      </c>
      <c r="N2042" t="s">
        <v>2918</v>
      </c>
      <c r="O2042" t="s">
        <v>19175</v>
      </c>
      <c r="P2042" t="s">
        <v>18445</v>
      </c>
      <c r="Q2042" t="s">
        <v>2924</v>
      </c>
      <c r="R2042" t="s">
        <v>3219</v>
      </c>
      <c r="S2042" t="s">
        <v>18446</v>
      </c>
      <c r="T2042" t="s">
        <v>18447</v>
      </c>
    </row>
    <row r="2043" spans="1:20">
      <c r="A2043" t="s">
        <v>2436</v>
      </c>
      <c r="B2043" t="s">
        <v>17897</v>
      </c>
      <c r="C2043">
        <v>45819</v>
      </c>
      <c r="D2043" t="s">
        <v>7263</v>
      </c>
      <c r="E2043" t="s">
        <v>17898</v>
      </c>
      <c r="F2043">
        <v>45835</v>
      </c>
      <c r="G2043" t="s">
        <v>18481</v>
      </c>
      <c r="H2043" t="s">
        <v>2916</v>
      </c>
      <c r="I2043" t="s">
        <v>19179</v>
      </c>
      <c r="J2043">
        <v>0</v>
      </c>
      <c r="K2043">
        <v>-229.29</v>
      </c>
      <c r="L2043" t="s">
        <v>2917</v>
      </c>
      <c r="M2043">
        <v>-1301.33</v>
      </c>
      <c r="N2043" t="s">
        <v>2918</v>
      </c>
      <c r="O2043" t="s">
        <v>19175</v>
      </c>
      <c r="P2043" t="s">
        <v>18639</v>
      </c>
      <c r="Q2043" t="s">
        <v>2924</v>
      </c>
      <c r="R2043" t="s">
        <v>3219</v>
      </c>
      <c r="S2043" t="s">
        <v>18640</v>
      </c>
      <c r="T2043" t="s">
        <v>18641</v>
      </c>
    </row>
    <row r="2044" spans="1:20">
      <c r="A2044" t="s">
        <v>2436</v>
      </c>
      <c r="B2044" t="s">
        <v>17897</v>
      </c>
      <c r="C2044">
        <v>45819</v>
      </c>
      <c r="D2044" t="s">
        <v>7263</v>
      </c>
      <c r="E2044" t="s">
        <v>17898</v>
      </c>
      <c r="F2044">
        <v>45835</v>
      </c>
      <c r="G2044" t="s">
        <v>18481</v>
      </c>
      <c r="H2044" t="s">
        <v>2916</v>
      </c>
      <c r="I2044" t="s">
        <v>19179</v>
      </c>
      <c r="J2044">
        <v>0</v>
      </c>
      <c r="K2044">
        <v>-150.24</v>
      </c>
      <c r="L2044" t="s">
        <v>2917</v>
      </c>
      <c r="M2044">
        <v>-852.7</v>
      </c>
      <c r="N2044" t="s">
        <v>2918</v>
      </c>
      <c r="O2044" t="s">
        <v>19175</v>
      </c>
      <c r="P2044" t="s">
        <v>18642</v>
      </c>
      <c r="Q2044" t="s">
        <v>2924</v>
      </c>
      <c r="R2044" t="s">
        <v>3219</v>
      </c>
      <c r="S2044" t="s">
        <v>18643</v>
      </c>
      <c r="T2044" t="s">
        <v>18644</v>
      </c>
    </row>
    <row r="2045" spans="1:20">
      <c r="A2045" t="s">
        <v>2436</v>
      </c>
      <c r="B2045" t="s">
        <v>17897</v>
      </c>
      <c r="C2045">
        <v>45819</v>
      </c>
      <c r="D2045" t="s">
        <v>7263</v>
      </c>
      <c r="E2045" t="s">
        <v>17898</v>
      </c>
      <c r="F2045">
        <v>45835</v>
      </c>
      <c r="G2045" t="s">
        <v>18481</v>
      </c>
      <c r="H2045" t="s">
        <v>2916</v>
      </c>
      <c r="I2045" t="s">
        <v>19179</v>
      </c>
      <c r="J2045">
        <v>0</v>
      </c>
      <c r="K2045">
        <v>-51.73</v>
      </c>
      <c r="L2045" t="s">
        <v>2917</v>
      </c>
      <c r="M2045">
        <v>-293.60000000000002</v>
      </c>
      <c r="N2045" t="s">
        <v>2918</v>
      </c>
      <c r="O2045" t="s">
        <v>19175</v>
      </c>
      <c r="P2045" t="s">
        <v>18645</v>
      </c>
      <c r="Q2045" t="s">
        <v>2924</v>
      </c>
      <c r="R2045" t="s">
        <v>3219</v>
      </c>
      <c r="S2045" t="s">
        <v>18646</v>
      </c>
      <c r="T2045" t="s">
        <v>18647</v>
      </c>
    </row>
    <row r="2046" spans="1:20">
      <c r="A2046" t="s">
        <v>2436</v>
      </c>
      <c r="B2046" t="s">
        <v>17897</v>
      </c>
      <c r="C2046">
        <v>45819</v>
      </c>
      <c r="D2046" t="s">
        <v>7263</v>
      </c>
      <c r="E2046" t="s">
        <v>17898</v>
      </c>
      <c r="F2046">
        <v>45835</v>
      </c>
      <c r="G2046" t="s">
        <v>18481</v>
      </c>
      <c r="H2046" t="s">
        <v>2916</v>
      </c>
      <c r="I2046" t="s">
        <v>19179</v>
      </c>
      <c r="J2046">
        <v>0</v>
      </c>
      <c r="K2046">
        <v>-8.14</v>
      </c>
      <c r="L2046" t="s">
        <v>2917</v>
      </c>
      <c r="M2046">
        <v>-46.21</v>
      </c>
      <c r="N2046" t="s">
        <v>2918</v>
      </c>
      <c r="O2046" t="s">
        <v>19175</v>
      </c>
      <c r="P2046" t="s">
        <v>18648</v>
      </c>
      <c r="Q2046" t="s">
        <v>2924</v>
      </c>
      <c r="R2046" t="s">
        <v>3219</v>
      </c>
      <c r="S2046" t="s">
        <v>18649</v>
      </c>
      <c r="T2046" t="s">
        <v>18650</v>
      </c>
    </row>
    <row r="2047" spans="1:20">
      <c r="A2047" t="s">
        <v>2436</v>
      </c>
      <c r="B2047" t="s">
        <v>17897</v>
      </c>
      <c r="C2047">
        <v>45819</v>
      </c>
      <c r="D2047" t="s">
        <v>7263</v>
      </c>
      <c r="E2047" t="s">
        <v>17898</v>
      </c>
      <c r="F2047">
        <v>45835</v>
      </c>
      <c r="G2047" t="s">
        <v>18481</v>
      </c>
      <c r="H2047" t="s">
        <v>2916</v>
      </c>
      <c r="I2047" t="s">
        <v>19179</v>
      </c>
      <c r="J2047">
        <v>0</v>
      </c>
      <c r="K2047">
        <v>-7.79</v>
      </c>
      <c r="L2047" t="s">
        <v>2917</v>
      </c>
      <c r="M2047">
        <v>-44.21</v>
      </c>
      <c r="N2047" t="s">
        <v>2918</v>
      </c>
      <c r="O2047" t="s">
        <v>19175</v>
      </c>
      <c r="P2047" t="s">
        <v>18654</v>
      </c>
      <c r="Q2047" t="s">
        <v>2924</v>
      </c>
      <c r="R2047" t="s">
        <v>3219</v>
      </c>
      <c r="S2047" t="s">
        <v>18655</v>
      </c>
      <c r="T2047" t="s">
        <v>18656</v>
      </c>
    </row>
    <row r="2048" spans="1:20">
      <c r="A2048" t="s">
        <v>2436</v>
      </c>
      <c r="B2048" t="s">
        <v>17897</v>
      </c>
      <c r="C2048">
        <v>45819</v>
      </c>
      <c r="D2048" t="s">
        <v>7263</v>
      </c>
      <c r="E2048" t="s">
        <v>17898</v>
      </c>
      <c r="F2048">
        <v>45835</v>
      </c>
      <c r="G2048" t="s">
        <v>18481</v>
      </c>
      <c r="H2048" t="s">
        <v>2916</v>
      </c>
      <c r="I2048" t="s">
        <v>19179</v>
      </c>
      <c r="J2048">
        <v>0</v>
      </c>
      <c r="K2048">
        <v>-13.18</v>
      </c>
      <c r="L2048" t="s">
        <v>2917</v>
      </c>
      <c r="M2048">
        <v>-74.78</v>
      </c>
      <c r="N2048" t="s">
        <v>2918</v>
      </c>
      <c r="O2048" t="s">
        <v>19175</v>
      </c>
      <c r="P2048" t="s">
        <v>18657</v>
      </c>
      <c r="Q2048" t="s">
        <v>2924</v>
      </c>
      <c r="R2048" t="s">
        <v>3219</v>
      </c>
      <c r="S2048" t="s">
        <v>18658</v>
      </c>
      <c r="T2048" t="s">
        <v>18659</v>
      </c>
    </row>
    <row r="2049" spans="1:20">
      <c r="A2049" t="s">
        <v>2436</v>
      </c>
      <c r="B2049" t="s">
        <v>17897</v>
      </c>
      <c r="C2049">
        <v>45819</v>
      </c>
      <c r="D2049" t="s">
        <v>7263</v>
      </c>
      <c r="E2049" t="s">
        <v>17898</v>
      </c>
      <c r="F2049">
        <v>45835</v>
      </c>
      <c r="G2049" t="s">
        <v>18481</v>
      </c>
      <c r="H2049" t="s">
        <v>2916</v>
      </c>
      <c r="I2049" t="s">
        <v>19179</v>
      </c>
      <c r="J2049">
        <v>0</v>
      </c>
      <c r="K2049">
        <v>-16.97</v>
      </c>
      <c r="L2049" t="s">
        <v>2917</v>
      </c>
      <c r="M2049">
        <v>-96.32</v>
      </c>
      <c r="N2049" t="s">
        <v>2918</v>
      </c>
      <c r="O2049" t="s">
        <v>19175</v>
      </c>
      <c r="P2049" t="s">
        <v>18660</v>
      </c>
      <c r="Q2049" t="s">
        <v>2924</v>
      </c>
      <c r="R2049" t="s">
        <v>3219</v>
      </c>
      <c r="S2049" t="s">
        <v>18661</v>
      </c>
      <c r="T2049" t="s">
        <v>18662</v>
      </c>
    </row>
    <row r="2050" spans="1:20">
      <c r="A2050" t="s">
        <v>2436</v>
      </c>
      <c r="B2050" t="s">
        <v>17897</v>
      </c>
      <c r="C2050">
        <v>45819</v>
      </c>
      <c r="D2050" t="s">
        <v>7263</v>
      </c>
      <c r="E2050" t="s">
        <v>17898</v>
      </c>
      <c r="F2050">
        <v>45835</v>
      </c>
      <c r="G2050" t="s">
        <v>18481</v>
      </c>
      <c r="H2050" t="s">
        <v>2916</v>
      </c>
      <c r="I2050" t="s">
        <v>19179</v>
      </c>
      <c r="J2050">
        <v>0</v>
      </c>
      <c r="K2050">
        <v>23.62</v>
      </c>
      <c r="L2050" t="s">
        <v>2917</v>
      </c>
      <c r="M2050">
        <v>134.09</v>
      </c>
      <c r="N2050" t="s">
        <v>2918</v>
      </c>
      <c r="O2050" t="s">
        <v>19175</v>
      </c>
      <c r="P2050" t="s">
        <v>18651</v>
      </c>
      <c r="Q2050" t="s">
        <v>19141</v>
      </c>
      <c r="R2050" t="s">
        <v>19142</v>
      </c>
      <c r="S2050" t="s">
        <v>18652</v>
      </c>
      <c r="T2050" t="s">
        <v>18653</v>
      </c>
    </row>
    <row r="2051" spans="1:20">
      <c r="A2051" t="s">
        <v>2436</v>
      </c>
      <c r="B2051" t="s">
        <v>17897</v>
      </c>
      <c r="C2051">
        <v>45838</v>
      </c>
      <c r="D2051" t="s">
        <v>7263</v>
      </c>
      <c r="E2051" t="s">
        <v>17898</v>
      </c>
      <c r="F2051">
        <v>45838</v>
      </c>
      <c r="G2051" t="s">
        <v>2208</v>
      </c>
      <c r="H2051" t="s">
        <v>2916</v>
      </c>
      <c r="I2051" t="s">
        <v>19236</v>
      </c>
      <c r="J2051">
        <v>0</v>
      </c>
      <c r="K2051">
        <v>859.08</v>
      </c>
      <c r="L2051" t="s">
        <v>2917</v>
      </c>
      <c r="M2051">
        <v>4875.6000000000004</v>
      </c>
      <c r="N2051" t="s">
        <v>2918</v>
      </c>
      <c r="O2051" t="s">
        <v>19237</v>
      </c>
      <c r="P2051" t="s">
        <v>2208</v>
      </c>
      <c r="Q2051" t="s">
        <v>2926</v>
      </c>
      <c r="R2051" t="s">
        <v>3312</v>
      </c>
      <c r="S2051" t="s">
        <v>2208</v>
      </c>
      <c r="T2051" t="s">
        <v>2208</v>
      </c>
    </row>
    <row r="2052" spans="1:20">
      <c r="A2052" t="s">
        <v>2436</v>
      </c>
      <c r="B2052" t="s">
        <v>17897</v>
      </c>
      <c r="C2052">
        <v>45838</v>
      </c>
      <c r="D2052" t="s">
        <v>7263</v>
      </c>
      <c r="E2052" t="s">
        <v>17898</v>
      </c>
      <c r="F2052">
        <v>45838</v>
      </c>
      <c r="G2052" t="s">
        <v>2208</v>
      </c>
      <c r="H2052" t="s">
        <v>2916</v>
      </c>
      <c r="I2052" t="s">
        <v>19280</v>
      </c>
      <c r="J2052">
        <v>0</v>
      </c>
      <c r="K2052">
        <v>6.26</v>
      </c>
      <c r="L2052" t="s">
        <v>2917</v>
      </c>
      <c r="M2052">
        <v>0</v>
      </c>
      <c r="N2052" t="s">
        <v>2918</v>
      </c>
      <c r="O2052" t="s">
        <v>2919</v>
      </c>
      <c r="P2052" t="s">
        <v>2208</v>
      </c>
      <c r="Q2052" t="s">
        <v>2916</v>
      </c>
      <c r="R2052" t="s">
        <v>3220</v>
      </c>
      <c r="S2052" t="s">
        <v>2208</v>
      </c>
      <c r="T2052" t="s">
        <v>2208</v>
      </c>
    </row>
    <row r="2053" spans="1:20">
      <c r="A2053" t="s">
        <v>2557</v>
      </c>
      <c r="B2053" t="s">
        <v>9126</v>
      </c>
      <c r="C2053">
        <v>45631</v>
      </c>
      <c r="D2053" t="s">
        <v>7263</v>
      </c>
      <c r="E2053" t="s">
        <v>9127</v>
      </c>
      <c r="F2053">
        <v>45741</v>
      </c>
      <c r="G2053" t="s">
        <v>11168</v>
      </c>
      <c r="H2053" t="s">
        <v>2916</v>
      </c>
      <c r="I2053" t="s">
        <v>11169</v>
      </c>
      <c r="J2053">
        <v>65006.23</v>
      </c>
      <c r="K2053">
        <v>11141.42</v>
      </c>
      <c r="L2053" t="s">
        <v>2917</v>
      </c>
      <c r="M2053">
        <v>65006.23</v>
      </c>
      <c r="N2053" t="s">
        <v>2918</v>
      </c>
      <c r="O2053" t="s">
        <v>2939</v>
      </c>
      <c r="P2053" t="s">
        <v>2939</v>
      </c>
      <c r="Q2053" t="s">
        <v>2924</v>
      </c>
      <c r="R2053" t="s">
        <v>3219</v>
      </c>
      <c r="S2053" t="s">
        <v>2208</v>
      </c>
      <c r="T2053" t="s">
        <v>2208</v>
      </c>
    </row>
    <row r="2054" spans="1:20">
      <c r="A2054" t="s">
        <v>2557</v>
      </c>
      <c r="B2054" t="s">
        <v>9126</v>
      </c>
      <c r="C2054">
        <v>45741</v>
      </c>
      <c r="D2054" t="s">
        <v>7263</v>
      </c>
      <c r="E2054" t="s">
        <v>9127</v>
      </c>
      <c r="F2054">
        <v>45743</v>
      </c>
      <c r="G2054" t="s">
        <v>11168</v>
      </c>
      <c r="H2054" t="s">
        <v>2916</v>
      </c>
      <c r="I2054" t="s">
        <v>11437</v>
      </c>
      <c r="J2054">
        <v>0</v>
      </c>
      <c r="K2054">
        <v>-1030.58</v>
      </c>
      <c r="L2054" t="s">
        <v>2917</v>
      </c>
      <c r="M2054">
        <v>-6013.07</v>
      </c>
      <c r="N2054" t="s">
        <v>2918</v>
      </c>
      <c r="O2054" t="s">
        <v>11438</v>
      </c>
      <c r="P2054" t="s">
        <v>2939</v>
      </c>
      <c r="Q2054" t="s">
        <v>2924</v>
      </c>
      <c r="R2054" t="s">
        <v>3219</v>
      </c>
      <c r="S2054" t="s">
        <v>2208</v>
      </c>
      <c r="T2054" t="s">
        <v>2208</v>
      </c>
    </row>
    <row r="2055" spans="1:20">
      <c r="A2055" t="s">
        <v>2557</v>
      </c>
      <c r="B2055" t="s">
        <v>9126</v>
      </c>
      <c r="C2055">
        <v>45747</v>
      </c>
      <c r="D2055" t="s">
        <v>7263</v>
      </c>
      <c r="E2055" t="s">
        <v>9127</v>
      </c>
      <c r="F2055">
        <v>45747</v>
      </c>
      <c r="G2055" t="s">
        <v>2208</v>
      </c>
      <c r="H2055" t="s">
        <v>2916</v>
      </c>
      <c r="I2055" t="s">
        <v>11439</v>
      </c>
      <c r="J2055">
        <v>0</v>
      </c>
      <c r="K2055">
        <v>-0.03</v>
      </c>
      <c r="L2055" t="s">
        <v>2917</v>
      </c>
      <c r="M2055">
        <v>0</v>
      </c>
      <c r="N2055" t="s">
        <v>2918</v>
      </c>
      <c r="O2055" t="s">
        <v>2919</v>
      </c>
      <c r="P2055" t="s">
        <v>2208</v>
      </c>
      <c r="Q2055" t="s">
        <v>2916</v>
      </c>
      <c r="R2055" t="s">
        <v>3220</v>
      </c>
      <c r="S2055" t="s">
        <v>2208</v>
      </c>
      <c r="T2055" t="s">
        <v>2208</v>
      </c>
    </row>
    <row r="2056" spans="1:20">
      <c r="A2056" t="s">
        <v>2557</v>
      </c>
      <c r="B2056" t="s">
        <v>17897</v>
      </c>
      <c r="C2056">
        <v>45631</v>
      </c>
      <c r="D2056" t="s">
        <v>7263</v>
      </c>
      <c r="E2056" t="s">
        <v>17898</v>
      </c>
      <c r="F2056">
        <v>45826</v>
      </c>
      <c r="G2056" t="s">
        <v>11168</v>
      </c>
      <c r="H2056" t="s">
        <v>2916</v>
      </c>
      <c r="I2056" t="s">
        <v>18663</v>
      </c>
      <c r="J2056">
        <v>15751.77</v>
      </c>
      <c r="K2056">
        <v>2775.46</v>
      </c>
      <c r="L2056" t="s">
        <v>2917</v>
      </c>
      <c r="M2056">
        <v>15751.77</v>
      </c>
      <c r="N2056" t="s">
        <v>2918</v>
      </c>
      <c r="O2056" t="s">
        <v>2939</v>
      </c>
      <c r="P2056" t="s">
        <v>2939</v>
      </c>
      <c r="Q2056" t="s">
        <v>2924</v>
      </c>
      <c r="R2056" t="s">
        <v>3219</v>
      </c>
      <c r="S2056" t="s">
        <v>2208</v>
      </c>
      <c r="T2056" t="s">
        <v>2208</v>
      </c>
    </row>
    <row r="2057" spans="1:20">
      <c r="A2057" t="s">
        <v>2557</v>
      </c>
      <c r="B2057" t="s">
        <v>17897</v>
      </c>
      <c r="C2057">
        <v>45826</v>
      </c>
      <c r="D2057" t="s">
        <v>7263</v>
      </c>
      <c r="E2057" t="s">
        <v>17898</v>
      </c>
      <c r="F2057">
        <v>45831</v>
      </c>
      <c r="G2057" t="s">
        <v>11168</v>
      </c>
      <c r="H2057" t="s">
        <v>2916</v>
      </c>
      <c r="I2057" t="s">
        <v>18908</v>
      </c>
      <c r="J2057">
        <v>0</v>
      </c>
      <c r="K2057">
        <v>-256.73</v>
      </c>
      <c r="L2057" t="s">
        <v>2917</v>
      </c>
      <c r="M2057">
        <v>-1457.03</v>
      </c>
      <c r="N2057" t="s">
        <v>2918</v>
      </c>
      <c r="O2057" t="s">
        <v>18909</v>
      </c>
      <c r="P2057" t="s">
        <v>2939</v>
      </c>
      <c r="Q2057" t="s">
        <v>2924</v>
      </c>
      <c r="R2057" t="s">
        <v>3219</v>
      </c>
      <c r="S2057" t="s">
        <v>2208</v>
      </c>
      <c r="T2057" t="s">
        <v>2208</v>
      </c>
    </row>
    <row r="2058" spans="1:20">
      <c r="A2058" t="s">
        <v>2557</v>
      </c>
      <c r="B2058" t="s">
        <v>2920</v>
      </c>
      <c r="C2058">
        <v>45566</v>
      </c>
      <c r="D2058" t="s">
        <v>7263</v>
      </c>
      <c r="E2058" t="s">
        <v>2921</v>
      </c>
      <c r="F2058">
        <v>45681</v>
      </c>
      <c r="G2058" t="s">
        <v>7149</v>
      </c>
      <c r="H2058" t="s">
        <v>2916</v>
      </c>
      <c r="I2058" t="s">
        <v>7753</v>
      </c>
      <c r="J2058">
        <v>134441</v>
      </c>
      <c r="K2058">
        <v>21770.03</v>
      </c>
      <c r="L2058" t="s">
        <v>2917</v>
      </c>
      <c r="M2058">
        <v>134441</v>
      </c>
      <c r="N2058" t="s">
        <v>2918</v>
      </c>
      <c r="O2058" t="s">
        <v>2923</v>
      </c>
      <c r="P2058" t="s">
        <v>2923</v>
      </c>
      <c r="Q2058" t="s">
        <v>2924</v>
      </c>
      <c r="R2058" t="s">
        <v>3219</v>
      </c>
      <c r="S2058" t="s">
        <v>2208</v>
      </c>
      <c r="T2058" t="s">
        <v>2208</v>
      </c>
    </row>
    <row r="2059" spans="1:20">
      <c r="A2059" t="s">
        <v>2557</v>
      </c>
      <c r="B2059" t="s">
        <v>2920</v>
      </c>
      <c r="C2059">
        <v>45681</v>
      </c>
      <c r="D2059" t="s">
        <v>7263</v>
      </c>
      <c r="E2059" t="s">
        <v>2921</v>
      </c>
      <c r="F2059">
        <v>45684</v>
      </c>
      <c r="G2059" t="s">
        <v>7149</v>
      </c>
      <c r="H2059" t="s">
        <v>2916</v>
      </c>
      <c r="I2059" t="s">
        <v>7754</v>
      </c>
      <c r="J2059">
        <v>0</v>
      </c>
      <c r="K2059">
        <v>-2013.73</v>
      </c>
      <c r="L2059" t="s">
        <v>2917</v>
      </c>
      <c r="M2059">
        <v>-12435.8</v>
      </c>
      <c r="N2059" t="s">
        <v>2918</v>
      </c>
      <c r="O2059" t="s">
        <v>7755</v>
      </c>
      <c r="P2059" t="s">
        <v>2923</v>
      </c>
      <c r="Q2059" t="s">
        <v>2924</v>
      </c>
      <c r="R2059" t="s">
        <v>3219</v>
      </c>
      <c r="S2059" t="s">
        <v>2208</v>
      </c>
      <c r="T2059" t="s">
        <v>2208</v>
      </c>
    </row>
    <row r="2060" spans="1:20">
      <c r="A2060" t="s">
        <v>2557</v>
      </c>
      <c r="B2060" t="s">
        <v>2920</v>
      </c>
      <c r="C2060">
        <v>45688</v>
      </c>
      <c r="D2060" t="s">
        <v>7263</v>
      </c>
      <c r="E2060" t="s">
        <v>2921</v>
      </c>
      <c r="F2060">
        <v>45688</v>
      </c>
      <c r="G2060" t="s">
        <v>2208</v>
      </c>
      <c r="H2060" t="s">
        <v>2916</v>
      </c>
      <c r="I2060" t="s">
        <v>7756</v>
      </c>
      <c r="J2060">
        <v>0</v>
      </c>
      <c r="K2060">
        <v>-0.03</v>
      </c>
      <c r="L2060" t="s">
        <v>2917</v>
      </c>
      <c r="M2060">
        <v>0</v>
      </c>
      <c r="N2060" t="s">
        <v>2918</v>
      </c>
      <c r="O2060" t="s">
        <v>2919</v>
      </c>
      <c r="P2060" t="s">
        <v>2208</v>
      </c>
      <c r="Q2060" t="s">
        <v>2916</v>
      </c>
      <c r="R2060" t="s">
        <v>3220</v>
      </c>
      <c r="S2060" t="s">
        <v>2208</v>
      </c>
      <c r="T2060" t="s">
        <v>2208</v>
      </c>
    </row>
    <row r="2061" spans="1:20">
      <c r="A2061" t="s">
        <v>2557</v>
      </c>
      <c r="B2061" t="s">
        <v>11331</v>
      </c>
      <c r="C2061">
        <v>45566</v>
      </c>
      <c r="D2061" t="s">
        <v>7263</v>
      </c>
      <c r="E2061" t="s">
        <v>11332</v>
      </c>
      <c r="F2061">
        <v>45771</v>
      </c>
      <c r="G2061" t="s">
        <v>7149</v>
      </c>
      <c r="H2061" t="s">
        <v>2916</v>
      </c>
      <c r="I2061" t="s">
        <v>15982</v>
      </c>
      <c r="J2061">
        <v>28659</v>
      </c>
      <c r="K2061">
        <v>4976.6400000000003</v>
      </c>
      <c r="L2061" t="s">
        <v>2917</v>
      </c>
      <c r="M2061">
        <v>28659</v>
      </c>
      <c r="N2061" t="s">
        <v>2918</v>
      </c>
      <c r="O2061" t="s">
        <v>2923</v>
      </c>
      <c r="P2061" t="s">
        <v>2923</v>
      </c>
      <c r="Q2061" t="s">
        <v>2924</v>
      </c>
      <c r="R2061" t="s">
        <v>3219</v>
      </c>
      <c r="S2061" t="s">
        <v>2208</v>
      </c>
      <c r="T2061" t="s">
        <v>2208</v>
      </c>
    </row>
    <row r="2062" spans="1:20">
      <c r="A2062" t="s">
        <v>2557</v>
      </c>
      <c r="B2062" t="s">
        <v>11331</v>
      </c>
      <c r="C2062">
        <v>45771</v>
      </c>
      <c r="D2062" t="s">
        <v>7263</v>
      </c>
      <c r="E2062" t="s">
        <v>11332</v>
      </c>
      <c r="F2062">
        <v>45772</v>
      </c>
      <c r="G2062" t="s">
        <v>7149</v>
      </c>
      <c r="H2062" t="s">
        <v>2916</v>
      </c>
      <c r="I2062" t="s">
        <v>16277</v>
      </c>
      <c r="J2062">
        <v>0</v>
      </c>
      <c r="K2062">
        <v>-460.34</v>
      </c>
      <c r="L2062" t="s">
        <v>2917</v>
      </c>
      <c r="M2062">
        <v>-2650.95</v>
      </c>
      <c r="N2062" t="s">
        <v>2918</v>
      </c>
      <c r="O2062" t="s">
        <v>16278</v>
      </c>
      <c r="P2062" t="s">
        <v>2923</v>
      </c>
      <c r="Q2062" t="s">
        <v>2924</v>
      </c>
      <c r="R2062" t="s">
        <v>3219</v>
      </c>
      <c r="S2062" t="s">
        <v>2208</v>
      </c>
      <c r="T2062" t="s">
        <v>2208</v>
      </c>
    </row>
    <row r="2063" spans="1:20">
      <c r="A2063" t="s">
        <v>2557</v>
      </c>
      <c r="B2063" t="s">
        <v>11331</v>
      </c>
      <c r="C2063">
        <v>45777</v>
      </c>
      <c r="D2063" t="s">
        <v>7263</v>
      </c>
      <c r="E2063" t="s">
        <v>11332</v>
      </c>
      <c r="F2063">
        <v>45777</v>
      </c>
      <c r="G2063" t="s">
        <v>2208</v>
      </c>
      <c r="H2063" t="s">
        <v>2916</v>
      </c>
      <c r="I2063" t="s">
        <v>16480</v>
      </c>
      <c r="J2063">
        <v>0</v>
      </c>
      <c r="K2063">
        <v>-0.01</v>
      </c>
      <c r="L2063" t="s">
        <v>2917</v>
      </c>
      <c r="M2063">
        <v>0</v>
      </c>
      <c r="N2063" t="s">
        <v>2918</v>
      </c>
      <c r="O2063" t="s">
        <v>2919</v>
      </c>
      <c r="P2063" t="s">
        <v>2208</v>
      </c>
      <c r="Q2063" t="s">
        <v>2916</v>
      </c>
      <c r="R2063" t="s">
        <v>3220</v>
      </c>
      <c r="S2063" t="s">
        <v>2208</v>
      </c>
      <c r="T2063" t="s">
        <v>2208</v>
      </c>
    </row>
    <row r="2064" spans="1:20">
      <c r="A2064" t="s">
        <v>2557</v>
      </c>
      <c r="B2064" t="s">
        <v>2920</v>
      </c>
      <c r="C2064">
        <v>45680</v>
      </c>
      <c r="D2064" t="s">
        <v>7263</v>
      </c>
      <c r="E2064" t="s">
        <v>2921</v>
      </c>
      <c r="F2064">
        <v>45684</v>
      </c>
      <c r="G2064" t="s">
        <v>7757</v>
      </c>
      <c r="H2064" t="s">
        <v>2916</v>
      </c>
      <c r="I2064" t="s">
        <v>7758</v>
      </c>
      <c r="J2064">
        <v>1</v>
      </c>
      <c r="K2064">
        <v>39859.22</v>
      </c>
      <c r="L2064" t="s">
        <v>2917</v>
      </c>
      <c r="M2064">
        <v>246150.96</v>
      </c>
      <c r="N2064" t="s">
        <v>2918</v>
      </c>
      <c r="O2064" t="s">
        <v>7759</v>
      </c>
      <c r="P2064" t="s">
        <v>7760</v>
      </c>
      <c r="Q2064" t="s">
        <v>2944</v>
      </c>
      <c r="R2064" t="s">
        <v>3223</v>
      </c>
      <c r="S2064" t="s">
        <v>7761</v>
      </c>
      <c r="T2064" t="s">
        <v>7760</v>
      </c>
    </row>
    <row r="2065" spans="1:20">
      <c r="A2065" t="s">
        <v>2557</v>
      </c>
      <c r="B2065" t="s">
        <v>2920</v>
      </c>
      <c r="C2065">
        <v>45680</v>
      </c>
      <c r="D2065" t="s">
        <v>7263</v>
      </c>
      <c r="E2065" t="s">
        <v>2921</v>
      </c>
      <c r="F2065">
        <v>45684</v>
      </c>
      <c r="G2065" t="s">
        <v>7757</v>
      </c>
      <c r="H2065" t="s">
        <v>2916</v>
      </c>
      <c r="I2065" t="s">
        <v>7758</v>
      </c>
      <c r="J2065">
        <v>2</v>
      </c>
      <c r="K2065">
        <v>3788.64</v>
      </c>
      <c r="L2065" t="s">
        <v>2917</v>
      </c>
      <c r="M2065">
        <v>23396.799999999999</v>
      </c>
      <c r="N2065" t="s">
        <v>2918</v>
      </c>
      <c r="O2065" t="s">
        <v>7759</v>
      </c>
      <c r="P2065" t="s">
        <v>7762</v>
      </c>
      <c r="Q2065" t="s">
        <v>2944</v>
      </c>
      <c r="R2065" t="s">
        <v>3223</v>
      </c>
      <c r="S2065" t="s">
        <v>7763</v>
      </c>
      <c r="T2065" t="s">
        <v>7762</v>
      </c>
    </row>
    <row r="2066" spans="1:20">
      <c r="A2066" t="s">
        <v>2557</v>
      </c>
      <c r="B2066" t="s">
        <v>2920</v>
      </c>
      <c r="C2066">
        <v>45680</v>
      </c>
      <c r="D2066" t="s">
        <v>7263</v>
      </c>
      <c r="E2066" t="s">
        <v>2921</v>
      </c>
      <c r="F2066">
        <v>45684</v>
      </c>
      <c r="G2066" t="s">
        <v>7757</v>
      </c>
      <c r="H2066" t="s">
        <v>2916</v>
      </c>
      <c r="I2066" t="s">
        <v>7758</v>
      </c>
      <c r="J2066">
        <v>1</v>
      </c>
      <c r="K2066">
        <v>12315.23</v>
      </c>
      <c r="L2066" t="s">
        <v>2917</v>
      </c>
      <c r="M2066">
        <v>76052.83</v>
      </c>
      <c r="N2066" t="s">
        <v>2918</v>
      </c>
      <c r="O2066" t="s">
        <v>7759</v>
      </c>
      <c r="P2066" t="s">
        <v>7764</v>
      </c>
      <c r="Q2066" t="s">
        <v>2944</v>
      </c>
      <c r="R2066" t="s">
        <v>3223</v>
      </c>
      <c r="S2066" t="s">
        <v>7765</v>
      </c>
      <c r="T2066" t="s">
        <v>7764</v>
      </c>
    </row>
    <row r="2067" spans="1:20">
      <c r="A2067" t="s">
        <v>2557</v>
      </c>
      <c r="B2067" t="s">
        <v>2920</v>
      </c>
      <c r="C2067">
        <v>45680</v>
      </c>
      <c r="D2067" t="s">
        <v>7263</v>
      </c>
      <c r="E2067" t="s">
        <v>2921</v>
      </c>
      <c r="F2067">
        <v>45684</v>
      </c>
      <c r="G2067" t="s">
        <v>7757</v>
      </c>
      <c r="H2067" t="s">
        <v>2916</v>
      </c>
      <c r="I2067" t="s">
        <v>7758</v>
      </c>
      <c r="J2067">
        <v>1</v>
      </c>
      <c r="K2067">
        <v>5923.27</v>
      </c>
      <c r="L2067" t="s">
        <v>2917</v>
      </c>
      <c r="M2067">
        <v>36579.18</v>
      </c>
      <c r="N2067" t="s">
        <v>2918</v>
      </c>
      <c r="O2067" t="s">
        <v>7759</v>
      </c>
      <c r="P2067" t="s">
        <v>7766</v>
      </c>
      <c r="Q2067" t="s">
        <v>2944</v>
      </c>
      <c r="R2067" t="s">
        <v>3223</v>
      </c>
      <c r="S2067" t="s">
        <v>7767</v>
      </c>
      <c r="T2067" t="s">
        <v>7766</v>
      </c>
    </row>
    <row r="2068" spans="1:20">
      <c r="A2068" t="s">
        <v>2557</v>
      </c>
      <c r="B2068" t="s">
        <v>2920</v>
      </c>
      <c r="C2068">
        <v>45680</v>
      </c>
      <c r="D2068" t="s">
        <v>7263</v>
      </c>
      <c r="E2068" t="s">
        <v>2921</v>
      </c>
      <c r="F2068">
        <v>45684</v>
      </c>
      <c r="G2068" t="s">
        <v>7757</v>
      </c>
      <c r="H2068" t="s">
        <v>2916</v>
      </c>
      <c r="I2068" t="s">
        <v>7758</v>
      </c>
      <c r="J2068">
        <v>1</v>
      </c>
      <c r="K2068">
        <v>6710.99</v>
      </c>
      <c r="L2068" t="s">
        <v>2917</v>
      </c>
      <c r="M2068">
        <v>41443.75</v>
      </c>
      <c r="N2068" t="s">
        <v>2918</v>
      </c>
      <c r="O2068" t="s">
        <v>7759</v>
      </c>
      <c r="P2068" t="s">
        <v>7768</v>
      </c>
      <c r="Q2068" t="s">
        <v>2944</v>
      </c>
      <c r="R2068" t="s">
        <v>3223</v>
      </c>
      <c r="S2068" t="s">
        <v>7769</v>
      </c>
      <c r="T2068" t="s">
        <v>7768</v>
      </c>
    </row>
    <row r="2069" spans="1:20">
      <c r="A2069" t="s">
        <v>2557</v>
      </c>
      <c r="B2069" t="s">
        <v>2920</v>
      </c>
      <c r="C2069">
        <v>45680</v>
      </c>
      <c r="D2069" t="s">
        <v>7263</v>
      </c>
      <c r="E2069" t="s">
        <v>2921</v>
      </c>
      <c r="F2069">
        <v>45684</v>
      </c>
      <c r="G2069" t="s">
        <v>7757</v>
      </c>
      <c r="H2069" t="s">
        <v>2916</v>
      </c>
      <c r="I2069" t="s">
        <v>7758</v>
      </c>
      <c r="J2069">
        <v>1</v>
      </c>
      <c r="K2069">
        <v>11350.63</v>
      </c>
      <c r="L2069" t="s">
        <v>2917</v>
      </c>
      <c r="M2069">
        <v>70095.88</v>
      </c>
      <c r="N2069" t="s">
        <v>2918</v>
      </c>
      <c r="O2069" t="s">
        <v>7759</v>
      </c>
      <c r="P2069" t="s">
        <v>7770</v>
      </c>
      <c r="Q2069" t="s">
        <v>2944</v>
      </c>
      <c r="R2069" t="s">
        <v>3223</v>
      </c>
      <c r="S2069" t="s">
        <v>7771</v>
      </c>
      <c r="T2069" t="s">
        <v>7770</v>
      </c>
    </row>
    <row r="2070" spans="1:20">
      <c r="A2070" t="s">
        <v>2557</v>
      </c>
      <c r="B2070" t="s">
        <v>2920</v>
      </c>
      <c r="C2070">
        <v>45686</v>
      </c>
      <c r="D2070" t="s">
        <v>7263</v>
      </c>
      <c r="E2070" t="s">
        <v>2921</v>
      </c>
      <c r="F2070">
        <v>45686</v>
      </c>
      <c r="G2070" t="s">
        <v>2208</v>
      </c>
      <c r="H2070" t="s">
        <v>2916</v>
      </c>
      <c r="I2070" t="s">
        <v>7485</v>
      </c>
      <c r="J2070">
        <v>0</v>
      </c>
      <c r="K2070">
        <v>10.28</v>
      </c>
      <c r="L2070" t="s">
        <v>2917</v>
      </c>
      <c r="M2070">
        <v>63.51</v>
      </c>
      <c r="N2070" t="s">
        <v>2918</v>
      </c>
      <c r="O2070" t="s">
        <v>3313</v>
      </c>
      <c r="P2070" t="s">
        <v>2208</v>
      </c>
      <c r="Q2070" t="s">
        <v>2929</v>
      </c>
      <c r="R2070" t="s">
        <v>3228</v>
      </c>
      <c r="S2070" t="s">
        <v>2208</v>
      </c>
      <c r="T2070" t="s">
        <v>2208</v>
      </c>
    </row>
    <row r="2071" spans="1:20">
      <c r="A2071" t="s">
        <v>2557</v>
      </c>
      <c r="B2071" t="s">
        <v>2920</v>
      </c>
      <c r="C2071">
        <v>45688</v>
      </c>
      <c r="D2071" t="s">
        <v>7263</v>
      </c>
      <c r="E2071" t="s">
        <v>2921</v>
      </c>
      <c r="F2071">
        <v>45688</v>
      </c>
      <c r="G2071" t="s">
        <v>2208</v>
      </c>
      <c r="H2071" t="s">
        <v>2916</v>
      </c>
      <c r="I2071" t="s">
        <v>7475</v>
      </c>
      <c r="J2071">
        <v>0</v>
      </c>
      <c r="K2071">
        <v>168.14</v>
      </c>
      <c r="L2071" t="s">
        <v>2917</v>
      </c>
      <c r="M2071">
        <v>1038.32</v>
      </c>
      <c r="N2071" t="s">
        <v>2918</v>
      </c>
      <c r="O2071" t="s">
        <v>7476</v>
      </c>
      <c r="P2071" t="s">
        <v>2208</v>
      </c>
      <c r="Q2071" t="s">
        <v>2926</v>
      </c>
      <c r="R2071" t="s">
        <v>3312</v>
      </c>
      <c r="S2071" t="s">
        <v>2208</v>
      </c>
      <c r="T2071" t="s">
        <v>2208</v>
      </c>
    </row>
    <row r="2072" spans="1:20">
      <c r="A2072" t="s">
        <v>2557</v>
      </c>
      <c r="B2072" t="s">
        <v>2920</v>
      </c>
      <c r="C2072">
        <v>45688</v>
      </c>
      <c r="D2072" t="s">
        <v>7263</v>
      </c>
      <c r="E2072" t="s">
        <v>2921</v>
      </c>
      <c r="F2072">
        <v>45688</v>
      </c>
      <c r="G2072" t="s">
        <v>2208</v>
      </c>
      <c r="H2072" t="s">
        <v>2916</v>
      </c>
      <c r="I2072" t="s">
        <v>7477</v>
      </c>
      <c r="J2072">
        <v>0</v>
      </c>
      <c r="K2072">
        <v>-168.14</v>
      </c>
      <c r="L2072" t="s">
        <v>2917</v>
      </c>
      <c r="M2072">
        <v>-1038.32</v>
      </c>
      <c r="N2072" t="s">
        <v>2918</v>
      </c>
      <c r="O2072" t="s">
        <v>7476</v>
      </c>
      <c r="P2072" t="s">
        <v>2208</v>
      </c>
      <c r="Q2072" t="s">
        <v>2926</v>
      </c>
      <c r="R2072" t="s">
        <v>3312</v>
      </c>
      <c r="S2072" t="s">
        <v>2208</v>
      </c>
      <c r="T2072" t="s">
        <v>2208</v>
      </c>
    </row>
    <row r="2073" spans="1:20">
      <c r="A2073" t="s">
        <v>2557</v>
      </c>
      <c r="B2073" t="s">
        <v>2920</v>
      </c>
      <c r="C2073">
        <v>45688</v>
      </c>
      <c r="D2073" t="s">
        <v>7263</v>
      </c>
      <c r="E2073" t="s">
        <v>2921</v>
      </c>
      <c r="F2073">
        <v>45688</v>
      </c>
      <c r="G2073" t="s">
        <v>2208</v>
      </c>
      <c r="H2073" t="s">
        <v>2916</v>
      </c>
      <c r="I2073" t="s">
        <v>7478</v>
      </c>
      <c r="J2073">
        <v>0</v>
      </c>
      <c r="K2073">
        <v>168.14</v>
      </c>
      <c r="L2073" t="s">
        <v>2917</v>
      </c>
      <c r="M2073">
        <v>1038.32</v>
      </c>
      <c r="N2073" t="s">
        <v>2918</v>
      </c>
      <c r="O2073" t="s">
        <v>7476</v>
      </c>
      <c r="P2073" t="s">
        <v>2208</v>
      </c>
      <c r="Q2073" t="s">
        <v>2926</v>
      </c>
      <c r="R2073" t="s">
        <v>3312</v>
      </c>
      <c r="S2073" t="s">
        <v>2208</v>
      </c>
      <c r="T2073" t="s">
        <v>2208</v>
      </c>
    </row>
    <row r="2074" spans="1:20">
      <c r="A2074" t="s">
        <v>2557</v>
      </c>
      <c r="B2074" t="s">
        <v>2920</v>
      </c>
      <c r="C2074">
        <v>45688</v>
      </c>
      <c r="D2074" t="s">
        <v>7263</v>
      </c>
      <c r="E2074" t="s">
        <v>2921</v>
      </c>
      <c r="F2074">
        <v>45688</v>
      </c>
      <c r="G2074" t="s">
        <v>2208</v>
      </c>
      <c r="H2074" t="s">
        <v>2916</v>
      </c>
      <c r="I2074" t="s">
        <v>7772</v>
      </c>
      <c r="J2074">
        <v>0</v>
      </c>
      <c r="K2074">
        <v>-0.04</v>
      </c>
      <c r="L2074" t="s">
        <v>2917</v>
      </c>
      <c r="M2074">
        <v>0</v>
      </c>
      <c r="N2074" t="s">
        <v>2918</v>
      </c>
      <c r="O2074" t="s">
        <v>2919</v>
      </c>
      <c r="P2074" t="s">
        <v>2208</v>
      </c>
      <c r="Q2074" t="s">
        <v>2916</v>
      </c>
      <c r="R2074" t="s">
        <v>3220</v>
      </c>
      <c r="S2074" t="s">
        <v>2208</v>
      </c>
      <c r="T2074" t="s">
        <v>2208</v>
      </c>
    </row>
    <row r="2075" spans="1:20">
      <c r="A2075" t="s">
        <v>2557</v>
      </c>
      <c r="B2075" t="s">
        <v>7740</v>
      </c>
      <c r="C2075">
        <v>45691</v>
      </c>
      <c r="D2075" t="s">
        <v>7263</v>
      </c>
      <c r="E2075" t="s">
        <v>2925</v>
      </c>
      <c r="F2075">
        <v>45698</v>
      </c>
      <c r="G2075" t="s">
        <v>7757</v>
      </c>
      <c r="H2075" t="s">
        <v>2916</v>
      </c>
      <c r="I2075" t="s">
        <v>8730</v>
      </c>
      <c r="J2075">
        <v>0</v>
      </c>
      <c r="K2075">
        <v>89.06</v>
      </c>
      <c r="L2075" t="s">
        <v>2917</v>
      </c>
      <c r="M2075">
        <v>517.91999999999996</v>
      </c>
      <c r="N2075" t="s">
        <v>2918</v>
      </c>
      <c r="O2075" t="s">
        <v>8731</v>
      </c>
      <c r="P2075" t="s">
        <v>7760</v>
      </c>
      <c r="Q2075" t="s">
        <v>2934</v>
      </c>
      <c r="R2075" t="s">
        <v>2935</v>
      </c>
      <c r="S2075" t="s">
        <v>7761</v>
      </c>
      <c r="T2075" t="s">
        <v>7760</v>
      </c>
    </row>
    <row r="2076" spans="1:20">
      <c r="A2076" t="s">
        <v>2557</v>
      </c>
      <c r="B2076" t="s">
        <v>7740</v>
      </c>
      <c r="C2076">
        <v>45691</v>
      </c>
      <c r="D2076" t="s">
        <v>7263</v>
      </c>
      <c r="E2076" t="s">
        <v>2925</v>
      </c>
      <c r="F2076">
        <v>45698</v>
      </c>
      <c r="G2076" t="s">
        <v>7757</v>
      </c>
      <c r="H2076" t="s">
        <v>2916</v>
      </c>
      <c r="I2076" t="s">
        <v>8730</v>
      </c>
      <c r="J2076">
        <v>0</v>
      </c>
      <c r="K2076">
        <v>8.4700000000000006</v>
      </c>
      <c r="L2076" t="s">
        <v>2917</v>
      </c>
      <c r="M2076">
        <v>49.23</v>
      </c>
      <c r="N2076" t="s">
        <v>2918</v>
      </c>
      <c r="O2076" t="s">
        <v>8731</v>
      </c>
      <c r="P2076" t="s">
        <v>7762</v>
      </c>
      <c r="Q2076" t="s">
        <v>2934</v>
      </c>
      <c r="R2076" t="s">
        <v>2935</v>
      </c>
      <c r="S2076" t="s">
        <v>7763</v>
      </c>
      <c r="T2076" t="s">
        <v>7762</v>
      </c>
    </row>
    <row r="2077" spans="1:20">
      <c r="A2077" t="s">
        <v>2557</v>
      </c>
      <c r="B2077" t="s">
        <v>7740</v>
      </c>
      <c r="C2077">
        <v>45691</v>
      </c>
      <c r="D2077" t="s">
        <v>7263</v>
      </c>
      <c r="E2077" t="s">
        <v>2925</v>
      </c>
      <c r="F2077">
        <v>45698</v>
      </c>
      <c r="G2077" t="s">
        <v>7757</v>
      </c>
      <c r="H2077" t="s">
        <v>2916</v>
      </c>
      <c r="I2077" t="s">
        <v>8730</v>
      </c>
      <c r="J2077">
        <v>0</v>
      </c>
      <c r="K2077">
        <v>27.52</v>
      </c>
      <c r="L2077" t="s">
        <v>2917</v>
      </c>
      <c r="M2077">
        <v>160.02000000000001</v>
      </c>
      <c r="N2077" t="s">
        <v>2918</v>
      </c>
      <c r="O2077" t="s">
        <v>8731</v>
      </c>
      <c r="P2077" t="s">
        <v>7764</v>
      </c>
      <c r="Q2077" t="s">
        <v>2934</v>
      </c>
      <c r="R2077" t="s">
        <v>2935</v>
      </c>
      <c r="S2077" t="s">
        <v>7765</v>
      </c>
      <c r="T2077" t="s">
        <v>7764</v>
      </c>
    </row>
    <row r="2078" spans="1:20">
      <c r="A2078" t="s">
        <v>2557</v>
      </c>
      <c r="B2078" t="s">
        <v>7740</v>
      </c>
      <c r="C2078">
        <v>45691</v>
      </c>
      <c r="D2078" t="s">
        <v>7263</v>
      </c>
      <c r="E2078" t="s">
        <v>2925</v>
      </c>
      <c r="F2078">
        <v>45698</v>
      </c>
      <c r="G2078" t="s">
        <v>7757</v>
      </c>
      <c r="H2078" t="s">
        <v>2916</v>
      </c>
      <c r="I2078" t="s">
        <v>8730</v>
      </c>
      <c r="J2078">
        <v>0</v>
      </c>
      <c r="K2078">
        <v>13.23</v>
      </c>
      <c r="L2078" t="s">
        <v>2917</v>
      </c>
      <c r="M2078">
        <v>76.959999999999994</v>
      </c>
      <c r="N2078" t="s">
        <v>2918</v>
      </c>
      <c r="O2078" t="s">
        <v>8731</v>
      </c>
      <c r="P2078" t="s">
        <v>7766</v>
      </c>
      <c r="Q2078" t="s">
        <v>2934</v>
      </c>
      <c r="R2078" t="s">
        <v>2935</v>
      </c>
      <c r="S2078" t="s">
        <v>7767</v>
      </c>
      <c r="T2078" t="s">
        <v>7766</v>
      </c>
    </row>
    <row r="2079" spans="1:20">
      <c r="A2079" t="s">
        <v>2557</v>
      </c>
      <c r="B2079" t="s">
        <v>7740</v>
      </c>
      <c r="C2079">
        <v>45691</v>
      </c>
      <c r="D2079" t="s">
        <v>7263</v>
      </c>
      <c r="E2079" t="s">
        <v>2925</v>
      </c>
      <c r="F2079">
        <v>45698</v>
      </c>
      <c r="G2079" t="s">
        <v>7757</v>
      </c>
      <c r="H2079" t="s">
        <v>2916</v>
      </c>
      <c r="I2079" t="s">
        <v>8730</v>
      </c>
      <c r="J2079">
        <v>0</v>
      </c>
      <c r="K2079">
        <v>14.99</v>
      </c>
      <c r="L2079" t="s">
        <v>2917</v>
      </c>
      <c r="M2079">
        <v>87.2</v>
      </c>
      <c r="N2079" t="s">
        <v>2918</v>
      </c>
      <c r="O2079" t="s">
        <v>8731</v>
      </c>
      <c r="P2079" t="s">
        <v>7768</v>
      </c>
      <c r="Q2079" t="s">
        <v>2934</v>
      </c>
      <c r="R2079" t="s">
        <v>2935</v>
      </c>
      <c r="S2079" t="s">
        <v>7769</v>
      </c>
      <c r="T2079" t="s">
        <v>7768</v>
      </c>
    </row>
    <row r="2080" spans="1:20">
      <c r="A2080" t="s">
        <v>2557</v>
      </c>
      <c r="B2080" t="s">
        <v>7740</v>
      </c>
      <c r="C2080">
        <v>45691</v>
      </c>
      <c r="D2080" t="s">
        <v>7263</v>
      </c>
      <c r="E2080" t="s">
        <v>2925</v>
      </c>
      <c r="F2080">
        <v>45698</v>
      </c>
      <c r="G2080" t="s">
        <v>7757</v>
      </c>
      <c r="H2080" t="s">
        <v>2916</v>
      </c>
      <c r="I2080" t="s">
        <v>8730</v>
      </c>
      <c r="J2080">
        <v>0</v>
      </c>
      <c r="K2080">
        <v>25.36</v>
      </c>
      <c r="L2080" t="s">
        <v>2917</v>
      </c>
      <c r="M2080">
        <v>147.49</v>
      </c>
      <c r="N2080" t="s">
        <v>2918</v>
      </c>
      <c r="O2080" t="s">
        <v>8731</v>
      </c>
      <c r="P2080" t="s">
        <v>7770</v>
      </c>
      <c r="Q2080" t="s">
        <v>2934</v>
      </c>
      <c r="R2080" t="s">
        <v>2935</v>
      </c>
      <c r="S2080" t="s">
        <v>7771</v>
      </c>
      <c r="T2080" t="s">
        <v>7770</v>
      </c>
    </row>
    <row r="2081" spans="1:20">
      <c r="A2081" t="s">
        <v>2557</v>
      </c>
      <c r="B2081" t="s">
        <v>7740</v>
      </c>
      <c r="C2081">
        <v>45686</v>
      </c>
      <c r="D2081" t="s">
        <v>7263</v>
      </c>
      <c r="E2081" t="s">
        <v>2925</v>
      </c>
      <c r="F2081">
        <v>45701</v>
      </c>
      <c r="G2081" t="s">
        <v>2208</v>
      </c>
      <c r="H2081" t="s">
        <v>2916</v>
      </c>
      <c r="I2081" t="s">
        <v>8551</v>
      </c>
      <c r="J2081">
        <v>0</v>
      </c>
      <c r="K2081">
        <v>-10.28</v>
      </c>
      <c r="L2081" t="s">
        <v>2917</v>
      </c>
      <c r="M2081">
        <v>-63.51</v>
      </c>
      <c r="N2081" t="s">
        <v>2918</v>
      </c>
      <c r="O2081" t="s">
        <v>3313</v>
      </c>
      <c r="P2081" t="s">
        <v>2208</v>
      </c>
      <c r="Q2081" t="s">
        <v>2929</v>
      </c>
      <c r="R2081" t="s">
        <v>3228</v>
      </c>
      <c r="S2081" t="s">
        <v>2208</v>
      </c>
      <c r="T2081" t="s">
        <v>2208</v>
      </c>
    </row>
    <row r="2082" spans="1:20">
      <c r="A2082" t="s">
        <v>2557</v>
      </c>
      <c r="B2082" t="s">
        <v>7740</v>
      </c>
      <c r="C2082">
        <v>45709</v>
      </c>
      <c r="D2082" t="s">
        <v>7263</v>
      </c>
      <c r="E2082" t="s">
        <v>2925</v>
      </c>
      <c r="F2082">
        <v>45709</v>
      </c>
      <c r="G2082" t="s">
        <v>2208</v>
      </c>
      <c r="H2082" t="s">
        <v>2916</v>
      </c>
      <c r="I2082" t="s">
        <v>8888</v>
      </c>
      <c r="J2082">
        <v>0</v>
      </c>
      <c r="K2082">
        <v>-178.54</v>
      </c>
      <c r="L2082" t="s">
        <v>2917</v>
      </c>
      <c r="M2082">
        <v>-1038.32</v>
      </c>
      <c r="N2082" t="s">
        <v>2918</v>
      </c>
      <c r="O2082" t="s">
        <v>7476</v>
      </c>
      <c r="P2082" t="s">
        <v>2208</v>
      </c>
      <c r="Q2082" t="s">
        <v>2926</v>
      </c>
      <c r="R2082" t="s">
        <v>3312</v>
      </c>
      <c r="S2082" t="s">
        <v>2208</v>
      </c>
      <c r="T2082" t="s">
        <v>2208</v>
      </c>
    </row>
    <row r="2083" spans="1:20">
      <c r="A2083" t="s">
        <v>2557</v>
      </c>
      <c r="B2083" t="s">
        <v>7740</v>
      </c>
      <c r="C2083">
        <v>45712</v>
      </c>
      <c r="D2083" t="s">
        <v>7263</v>
      </c>
      <c r="E2083" t="s">
        <v>2925</v>
      </c>
      <c r="F2083">
        <v>45712</v>
      </c>
      <c r="G2083" t="s">
        <v>2208</v>
      </c>
      <c r="H2083" t="s">
        <v>2916</v>
      </c>
      <c r="I2083" t="s">
        <v>8907</v>
      </c>
      <c r="J2083">
        <v>0</v>
      </c>
      <c r="K2083">
        <v>381.04</v>
      </c>
      <c r="L2083" t="s">
        <v>2917</v>
      </c>
      <c r="M2083">
        <v>2215.9699999999998</v>
      </c>
      <c r="N2083" t="s">
        <v>2918</v>
      </c>
      <c r="O2083" t="s">
        <v>8908</v>
      </c>
      <c r="P2083" t="s">
        <v>2208</v>
      </c>
      <c r="Q2083" t="s">
        <v>2944</v>
      </c>
      <c r="R2083" t="s">
        <v>3223</v>
      </c>
      <c r="S2083" t="s">
        <v>7761</v>
      </c>
      <c r="T2083" t="s">
        <v>7760</v>
      </c>
    </row>
    <row r="2084" spans="1:20">
      <c r="A2084" t="s">
        <v>2557</v>
      </c>
      <c r="B2084" t="s">
        <v>7740</v>
      </c>
      <c r="C2084">
        <v>45712</v>
      </c>
      <c r="D2084" t="s">
        <v>7263</v>
      </c>
      <c r="E2084" t="s">
        <v>2925</v>
      </c>
      <c r="F2084">
        <v>45712</v>
      </c>
      <c r="G2084" t="s">
        <v>2208</v>
      </c>
      <c r="H2084" t="s">
        <v>2916</v>
      </c>
      <c r="I2084" t="s">
        <v>8907</v>
      </c>
      <c r="J2084">
        <v>0</v>
      </c>
      <c r="K2084">
        <v>47.78</v>
      </c>
      <c r="L2084" t="s">
        <v>2917</v>
      </c>
      <c r="M2084">
        <v>277.87</v>
      </c>
      <c r="N2084" t="s">
        <v>2918</v>
      </c>
      <c r="O2084" t="s">
        <v>8908</v>
      </c>
      <c r="P2084" t="s">
        <v>2208</v>
      </c>
      <c r="Q2084" t="s">
        <v>2944</v>
      </c>
      <c r="R2084" t="s">
        <v>3223</v>
      </c>
      <c r="S2084" t="s">
        <v>7763</v>
      </c>
      <c r="T2084" t="s">
        <v>7762</v>
      </c>
    </row>
    <row r="2085" spans="1:20">
      <c r="A2085" t="s">
        <v>2557</v>
      </c>
      <c r="B2085" t="s">
        <v>7740</v>
      </c>
      <c r="C2085">
        <v>45712</v>
      </c>
      <c r="D2085" t="s">
        <v>7263</v>
      </c>
      <c r="E2085" t="s">
        <v>2925</v>
      </c>
      <c r="F2085">
        <v>45712</v>
      </c>
      <c r="G2085" t="s">
        <v>2208</v>
      </c>
      <c r="H2085" t="s">
        <v>2916</v>
      </c>
      <c r="I2085" t="s">
        <v>8907</v>
      </c>
      <c r="J2085">
        <v>0</v>
      </c>
      <c r="K2085">
        <v>122.74</v>
      </c>
      <c r="L2085" t="s">
        <v>2917</v>
      </c>
      <c r="M2085">
        <v>713.79</v>
      </c>
      <c r="N2085" t="s">
        <v>2918</v>
      </c>
      <c r="O2085" t="s">
        <v>8908</v>
      </c>
      <c r="P2085" t="s">
        <v>2208</v>
      </c>
      <c r="Q2085" t="s">
        <v>2944</v>
      </c>
      <c r="R2085" t="s">
        <v>3223</v>
      </c>
      <c r="S2085" t="s">
        <v>7765</v>
      </c>
      <c r="T2085" t="s">
        <v>7764</v>
      </c>
    </row>
    <row r="2086" spans="1:20">
      <c r="A2086" t="s">
        <v>2557</v>
      </c>
      <c r="B2086" t="s">
        <v>7740</v>
      </c>
      <c r="C2086">
        <v>45712</v>
      </c>
      <c r="D2086" t="s">
        <v>7263</v>
      </c>
      <c r="E2086" t="s">
        <v>2925</v>
      </c>
      <c r="F2086">
        <v>45712</v>
      </c>
      <c r="G2086" t="s">
        <v>2208</v>
      </c>
      <c r="H2086" t="s">
        <v>2916</v>
      </c>
      <c r="I2086" t="s">
        <v>8907</v>
      </c>
      <c r="J2086">
        <v>0</v>
      </c>
      <c r="K2086">
        <v>37.57</v>
      </c>
      <c r="L2086" t="s">
        <v>2917</v>
      </c>
      <c r="M2086">
        <v>218.5</v>
      </c>
      <c r="N2086" t="s">
        <v>2918</v>
      </c>
      <c r="O2086" t="s">
        <v>8908</v>
      </c>
      <c r="P2086" t="s">
        <v>2208</v>
      </c>
      <c r="Q2086" t="s">
        <v>2944</v>
      </c>
      <c r="R2086" t="s">
        <v>3223</v>
      </c>
      <c r="S2086" t="s">
        <v>7767</v>
      </c>
      <c r="T2086" t="s">
        <v>7766</v>
      </c>
    </row>
    <row r="2087" spans="1:20">
      <c r="A2087" t="s">
        <v>2557</v>
      </c>
      <c r="B2087" t="s">
        <v>7740</v>
      </c>
      <c r="C2087">
        <v>45712</v>
      </c>
      <c r="D2087" t="s">
        <v>7263</v>
      </c>
      <c r="E2087" t="s">
        <v>2925</v>
      </c>
      <c r="F2087">
        <v>45712</v>
      </c>
      <c r="G2087" t="s">
        <v>2208</v>
      </c>
      <c r="H2087" t="s">
        <v>2916</v>
      </c>
      <c r="I2087" t="s">
        <v>8907</v>
      </c>
      <c r="J2087">
        <v>0</v>
      </c>
      <c r="K2087">
        <v>83.23</v>
      </c>
      <c r="L2087" t="s">
        <v>2917</v>
      </c>
      <c r="M2087">
        <v>484.02</v>
      </c>
      <c r="N2087" t="s">
        <v>2918</v>
      </c>
      <c r="O2087" t="s">
        <v>8908</v>
      </c>
      <c r="P2087" t="s">
        <v>2208</v>
      </c>
      <c r="Q2087" t="s">
        <v>2944</v>
      </c>
      <c r="R2087" t="s">
        <v>3223</v>
      </c>
      <c r="S2087" t="s">
        <v>7769</v>
      </c>
      <c r="T2087" t="s">
        <v>7768</v>
      </c>
    </row>
    <row r="2088" spans="1:20">
      <c r="A2088" t="s">
        <v>2557</v>
      </c>
      <c r="B2088" t="s">
        <v>7740</v>
      </c>
      <c r="C2088">
        <v>45712</v>
      </c>
      <c r="D2088" t="s">
        <v>7263</v>
      </c>
      <c r="E2088" t="s">
        <v>2925</v>
      </c>
      <c r="F2088">
        <v>45712</v>
      </c>
      <c r="G2088" t="s">
        <v>2208</v>
      </c>
      <c r="H2088" t="s">
        <v>2916</v>
      </c>
      <c r="I2088" t="s">
        <v>8907</v>
      </c>
      <c r="J2088">
        <v>0</v>
      </c>
      <c r="K2088">
        <v>125.93</v>
      </c>
      <c r="L2088" t="s">
        <v>2917</v>
      </c>
      <c r="M2088">
        <v>732.36</v>
      </c>
      <c r="N2088" t="s">
        <v>2918</v>
      </c>
      <c r="O2088" t="s">
        <v>8908</v>
      </c>
      <c r="P2088" t="s">
        <v>2208</v>
      </c>
      <c r="Q2088" t="s">
        <v>2944</v>
      </c>
      <c r="R2088" t="s">
        <v>3223</v>
      </c>
      <c r="S2088" t="s">
        <v>7771</v>
      </c>
      <c r="T2088" t="s">
        <v>7770</v>
      </c>
    </row>
    <row r="2089" spans="1:20">
      <c r="A2089" t="s">
        <v>2557</v>
      </c>
      <c r="B2089" t="s">
        <v>7740</v>
      </c>
      <c r="C2089">
        <v>45714</v>
      </c>
      <c r="D2089" t="s">
        <v>7263</v>
      </c>
      <c r="E2089" t="s">
        <v>2925</v>
      </c>
      <c r="F2089">
        <v>45714</v>
      </c>
      <c r="G2089" t="s">
        <v>2208</v>
      </c>
      <c r="H2089" t="s">
        <v>2916</v>
      </c>
      <c r="I2089" t="s">
        <v>9039</v>
      </c>
      <c r="J2089">
        <v>0</v>
      </c>
      <c r="K2089">
        <v>907.6</v>
      </c>
      <c r="L2089" t="s">
        <v>2917</v>
      </c>
      <c r="M2089">
        <v>5278.26</v>
      </c>
      <c r="N2089" t="s">
        <v>2918</v>
      </c>
      <c r="O2089" t="s">
        <v>9040</v>
      </c>
      <c r="P2089" t="s">
        <v>2208</v>
      </c>
      <c r="Q2089" t="s">
        <v>7561</v>
      </c>
      <c r="R2089" t="s">
        <v>7562</v>
      </c>
      <c r="S2089" t="s">
        <v>2208</v>
      </c>
      <c r="T2089" t="s">
        <v>2208</v>
      </c>
    </row>
    <row r="2090" spans="1:20">
      <c r="A2090" t="s">
        <v>2557</v>
      </c>
      <c r="B2090" t="s">
        <v>7740</v>
      </c>
      <c r="C2090">
        <v>45716</v>
      </c>
      <c r="D2090" t="s">
        <v>7263</v>
      </c>
      <c r="E2090" t="s">
        <v>2925</v>
      </c>
      <c r="F2090">
        <v>45716</v>
      </c>
      <c r="G2090" t="s">
        <v>2208</v>
      </c>
      <c r="H2090" t="s">
        <v>2916</v>
      </c>
      <c r="I2090" t="s">
        <v>9177</v>
      </c>
      <c r="J2090">
        <v>0</v>
      </c>
      <c r="K2090">
        <v>-0.09</v>
      </c>
      <c r="L2090" t="s">
        <v>2917</v>
      </c>
      <c r="M2090">
        <v>0</v>
      </c>
      <c r="N2090" t="s">
        <v>2918</v>
      </c>
      <c r="O2090" t="s">
        <v>2919</v>
      </c>
      <c r="P2090" t="s">
        <v>2208</v>
      </c>
      <c r="Q2090" t="s">
        <v>2916</v>
      </c>
      <c r="R2090" t="s">
        <v>3220</v>
      </c>
      <c r="S2090" t="s">
        <v>2208</v>
      </c>
      <c r="T2090" t="s">
        <v>2208</v>
      </c>
    </row>
    <row r="2091" spans="1:20">
      <c r="A2091" t="s">
        <v>2557</v>
      </c>
      <c r="B2091" t="s">
        <v>2920</v>
      </c>
      <c r="C2091">
        <v>45560</v>
      </c>
      <c r="D2091" t="s">
        <v>7263</v>
      </c>
      <c r="E2091" t="s">
        <v>2921</v>
      </c>
      <c r="F2091">
        <v>45677</v>
      </c>
      <c r="G2091" t="s">
        <v>7375</v>
      </c>
      <c r="H2091" t="s">
        <v>2916</v>
      </c>
      <c r="I2091" t="s">
        <v>7376</v>
      </c>
      <c r="J2091">
        <v>54750.75</v>
      </c>
      <c r="K2091">
        <v>8865.7900000000009</v>
      </c>
      <c r="L2091" t="s">
        <v>2917</v>
      </c>
      <c r="M2091">
        <v>54750.75</v>
      </c>
      <c r="N2091" t="s">
        <v>2918</v>
      </c>
      <c r="O2091" t="s">
        <v>2923</v>
      </c>
      <c r="P2091" t="s">
        <v>2923</v>
      </c>
      <c r="Q2091" t="s">
        <v>2924</v>
      </c>
      <c r="R2091" t="s">
        <v>3219</v>
      </c>
      <c r="S2091" t="s">
        <v>2208</v>
      </c>
      <c r="T2091" t="s">
        <v>2208</v>
      </c>
    </row>
    <row r="2092" spans="1:20">
      <c r="A2092" t="s">
        <v>2557</v>
      </c>
      <c r="B2092" t="s">
        <v>2920</v>
      </c>
      <c r="C2092">
        <v>45677</v>
      </c>
      <c r="D2092" t="s">
        <v>7263</v>
      </c>
      <c r="E2092" t="s">
        <v>2921</v>
      </c>
      <c r="F2092">
        <v>45686</v>
      </c>
      <c r="G2092" t="s">
        <v>7375</v>
      </c>
      <c r="H2092" t="s">
        <v>2916</v>
      </c>
      <c r="I2092" t="s">
        <v>7773</v>
      </c>
      <c r="J2092">
        <v>0</v>
      </c>
      <c r="K2092">
        <v>-820.09</v>
      </c>
      <c r="L2092" t="s">
        <v>2917</v>
      </c>
      <c r="M2092">
        <v>-5064.45</v>
      </c>
      <c r="N2092" t="s">
        <v>2918</v>
      </c>
      <c r="O2092" t="s">
        <v>7774</v>
      </c>
      <c r="P2092" t="s">
        <v>2923</v>
      </c>
      <c r="Q2092" t="s">
        <v>2924</v>
      </c>
      <c r="R2092" t="s">
        <v>3219</v>
      </c>
      <c r="S2092" t="s">
        <v>2208</v>
      </c>
      <c r="T2092" t="s">
        <v>2208</v>
      </c>
    </row>
    <row r="2093" spans="1:20">
      <c r="A2093" t="s">
        <v>2557</v>
      </c>
      <c r="B2093" t="s">
        <v>2920</v>
      </c>
      <c r="C2093">
        <v>45688</v>
      </c>
      <c r="D2093" t="s">
        <v>7263</v>
      </c>
      <c r="E2093" t="s">
        <v>2921</v>
      </c>
      <c r="F2093">
        <v>45688</v>
      </c>
      <c r="G2093" t="s">
        <v>2208</v>
      </c>
      <c r="H2093" t="s">
        <v>2916</v>
      </c>
      <c r="I2093" t="s">
        <v>7775</v>
      </c>
      <c r="J2093">
        <v>0</v>
      </c>
      <c r="K2093">
        <v>-0.05</v>
      </c>
      <c r="L2093" t="s">
        <v>2917</v>
      </c>
      <c r="M2093">
        <v>0</v>
      </c>
      <c r="N2093" t="s">
        <v>2918</v>
      </c>
      <c r="O2093" t="s">
        <v>2919</v>
      </c>
      <c r="P2093" t="s">
        <v>2208</v>
      </c>
      <c r="Q2093" t="s">
        <v>2916</v>
      </c>
      <c r="R2093" t="s">
        <v>3220</v>
      </c>
      <c r="S2093" t="s">
        <v>2208</v>
      </c>
      <c r="T2093" t="s">
        <v>2208</v>
      </c>
    </row>
    <row r="2094" spans="1:20">
      <c r="A2094" t="s">
        <v>2557</v>
      </c>
      <c r="B2094" t="s">
        <v>9126</v>
      </c>
      <c r="C2094">
        <v>45737</v>
      </c>
      <c r="D2094" t="s">
        <v>7263</v>
      </c>
      <c r="E2094" t="s">
        <v>9127</v>
      </c>
      <c r="F2094">
        <v>45737</v>
      </c>
      <c r="G2094" t="s">
        <v>11170</v>
      </c>
      <c r="H2094" t="s">
        <v>2916</v>
      </c>
      <c r="I2094" t="s">
        <v>11171</v>
      </c>
      <c r="J2094">
        <v>1</v>
      </c>
      <c r="K2094">
        <v>534.74</v>
      </c>
      <c r="L2094" t="s">
        <v>2917</v>
      </c>
      <c r="M2094">
        <v>3120</v>
      </c>
      <c r="N2094" t="s">
        <v>2918</v>
      </c>
      <c r="O2094" t="s">
        <v>2941</v>
      </c>
      <c r="P2094" t="s">
        <v>2941</v>
      </c>
      <c r="Q2094" t="s">
        <v>2924</v>
      </c>
      <c r="R2094" t="s">
        <v>3219</v>
      </c>
      <c r="S2094" t="s">
        <v>2208</v>
      </c>
      <c r="T2094" t="s">
        <v>2208</v>
      </c>
    </row>
    <row r="2095" spans="1:20">
      <c r="A2095" t="s">
        <v>2557</v>
      </c>
      <c r="B2095" t="s">
        <v>9126</v>
      </c>
      <c r="C2095">
        <v>45737</v>
      </c>
      <c r="D2095" t="s">
        <v>7263</v>
      </c>
      <c r="E2095" t="s">
        <v>9127</v>
      </c>
      <c r="F2095">
        <v>45742</v>
      </c>
      <c r="G2095" t="s">
        <v>11170</v>
      </c>
      <c r="H2095" t="s">
        <v>2916</v>
      </c>
      <c r="I2095" t="s">
        <v>11306</v>
      </c>
      <c r="J2095">
        <v>0</v>
      </c>
      <c r="K2095">
        <v>-49.47</v>
      </c>
      <c r="L2095" t="s">
        <v>2917</v>
      </c>
      <c r="M2095">
        <v>-288.60000000000002</v>
      </c>
      <c r="N2095" t="s">
        <v>2918</v>
      </c>
      <c r="O2095" t="s">
        <v>11307</v>
      </c>
      <c r="P2095" t="s">
        <v>2941</v>
      </c>
      <c r="Q2095" t="s">
        <v>2924</v>
      </c>
      <c r="R2095" t="s">
        <v>3219</v>
      </c>
      <c r="S2095" t="s">
        <v>2208</v>
      </c>
      <c r="T2095" t="s">
        <v>2208</v>
      </c>
    </row>
    <row r="2096" spans="1:20">
      <c r="A2096" t="s">
        <v>2557</v>
      </c>
      <c r="B2096" t="s">
        <v>9126</v>
      </c>
      <c r="C2096">
        <v>45747</v>
      </c>
      <c r="D2096" t="s">
        <v>7263</v>
      </c>
      <c r="E2096" t="s">
        <v>9127</v>
      </c>
      <c r="F2096">
        <v>45747</v>
      </c>
      <c r="G2096" t="s">
        <v>2208</v>
      </c>
      <c r="H2096" t="s">
        <v>2916</v>
      </c>
      <c r="I2096" t="s">
        <v>11440</v>
      </c>
      <c r="J2096">
        <v>0</v>
      </c>
      <c r="K2096">
        <v>-0.06</v>
      </c>
      <c r="L2096" t="s">
        <v>2917</v>
      </c>
      <c r="M2096">
        <v>0</v>
      </c>
      <c r="N2096" t="s">
        <v>2918</v>
      </c>
      <c r="O2096" t="s">
        <v>2919</v>
      </c>
      <c r="P2096" t="s">
        <v>2208</v>
      </c>
      <c r="Q2096" t="s">
        <v>2916</v>
      </c>
      <c r="R2096" t="s">
        <v>3220</v>
      </c>
      <c r="S2096" t="s">
        <v>2208</v>
      </c>
      <c r="T2096" t="s">
        <v>2208</v>
      </c>
    </row>
    <row r="2097" spans="1:20">
      <c r="A2097" t="s">
        <v>2557</v>
      </c>
      <c r="B2097" t="s">
        <v>11331</v>
      </c>
      <c r="C2097">
        <v>45560</v>
      </c>
      <c r="D2097" t="s">
        <v>7263</v>
      </c>
      <c r="E2097" t="s">
        <v>11332</v>
      </c>
      <c r="F2097">
        <v>45770</v>
      </c>
      <c r="G2097" t="s">
        <v>7375</v>
      </c>
      <c r="H2097" t="s">
        <v>2916</v>
      </c>
      <c r="I2097" t="s">
        <v>15938</v>
      </c>
      <c r="J2097">
        <v>4439.25</v>
      </c>
      <c r="K2097">
        <v>770.88</v>
      </c>
      <c r="L2097" t="s">
        <v>2917</v>
      </c>
      <c r="M2097">
        <v>4439.25</v>
      </c>
      <c r="N2097" t="s">
        <v>2918</v>
      </c>
      <c r="O2097" t="s">
        <v>2923</v>
      </c>
      <c r="P2097" t="s">
        <v>2923</v>
      </c>
      <c r="Q2097" t="s">
        <v>2924</v>
      </c>
      <c r="R2097" t="s">
        <v>3219</v>
      </c>
      <c r="S2097" t="s">
        <v>2208</v>
      </c>
      <c r="T2097" t="s">
        <v>2208</v>
      </c>
    </row>
    <row r="2098" spans="1:20">
      <c r="A2098" t="s">
        <v>2557</v>
      </c>
      <c r="B2098" t="s">
        <v>11331</v>
      </c>
      <c r="C2098">
        <v>45770</v>
      </c>
      <c r="D2098" t="s">
        <v>7263</v>
      </c>
      <c r="E2098" t="s">
        <v>11332</v>
      </c>
      <c r="F2098">
        <v>45775</v>
      </c>
      <c r="G2098" t="s">
        <v>7375</v>
      </c>
      <c r="H2098" t="s">
        <v>2916</v>
      </c>
      <c r="I2098" t="s">
        <v>16279</v>
      </c>
      <c r="J2098">
        <v>0</v>
      </c>
      <c r="K2098">
        <v>-71.31</v>
      </c>
      <c r="L2098" t="s">
        <v>2917</v>
      </c>
      <c r="M2098">
        <v>-410.63</v>
      </c>
      <c r="N2098" t="s">
        <v>2918</v>
      </c>
      <c r="O2098" t="s">
        <v>16280</v>
      </c>
      <c r="P2098" t="s">
        <v>2923</v>
      </c>
      <c r="Q2098" t="s">
        <v>2924</v>
      </c>
      <c r="R2098" t="s">
        <v>3219</v>
      </c>
      <c r="S2098" t="s">
        <v>2208</v>
      </c>
      <c r="T2098" t="s">
        <v>2208</v>
      </c>
    </row>
    <row r="2099" spans="1:20">
      <c r="A2099" t="s">
        <v>2557</v>
      </c>
      <c r="B2099" t="s">
        <v>11331</v>
      </c>
      <c r="C2099">
        <v>45777</v>
      </c>
      <c r="D2099" t="s">
        <v>7263</v>
      </c>
      <c r="E2099" t="s">
        <v>11332</v>
      </c>
      <c r="F2099">
        <v>45777</v>
      </c>
      <c r="G2099" t="s">
        <v>2208</v>
      </c>
      <c r="H2099" t="s">
        <v>2916</v>
      </c>
      <c r="I2099" t="s">
        <v>16481</v>
      </c>
      <c r="J2099">
        <v>0</v>
      </c>
      <c r="K2099">
        <v>7.0000000000000007E-2</v>
      </c>
      <c r="L2099" t="s">
        <v>2917</v>
      </c>
      <c r="M2099">
        <v>0</v>
      </c>
      <c r="N2099" t="s">
        <v>2918</v>
      </c>
      <c r="O2099" t="s">
        <v>2919</v>
      </c>
      <c r="P2099" t="s">
        <v>2208</v>
      </c>
      <c r="Q2099" t="s">
        <v>2916</v>
      </c>
      <c r="R2099" t="s">
        <v>3220</v>
      </c>
      <c r="S2099" t="s">
        <v>2208</v>
      </c>
      <c r="T2099" t="s">
        <v>2208</v>
      </c>
    </row>
    <row r="2100" spans="1:20">
      <c r="A2100" t="s">
        <v>2557</v>
      </c>
      <c r="B2100" t="s">
        <v>7740</v>
      </c>
      <c r="C2100">
        <v>45639</v>
      </c>
      <c r="D2100" t="s">
        <v>7263</v>
      </c>
      <c r="E2100" t="s">
        <v>2925</v>
      </c>
      <c r="F2100">
        <v>45712</v>
      </c>
      <c r="G2100" t="s">
        <v>8909</v>
      </c>
      <c r="H2100" t="s">
        <v>2916</v>
      </c>
      <c r="I2100" t="s">
        <v>8910</v>
      </c>
      <c r="J2100">
        <v>37538</v>
      </c>
      <c r="K2100">
        <v>6454.66</v>
      </c>
      <c r="L2100" t="s">
        <v>2917</v>
      </c>
      <c r="M2100">
        <v>37538</v>
      </c>
      <c r="N2100" t="s">
        <v>2918</v>
      </c>
      <c r="O2100" t="s">
        <v>2940</v>
      </c>
      <c r="P2100" t="s">
        <v>2940</v>
      </c>
      <c r="Q2100" t="s">
        <v>2924</v>
      </c>
      <c r="R2100" t="s">
        <v>3219</v>
      </c>
      <c r="S2100" t="s">
        <v>2208</v>
      </c>
      <c r="T2100" t="s">
        <v>2208</v>
      </c>
    </row>
    <row r="2101" spans="1:20">
      <c r="A2101" t="s">
        <v>2557</v>
      </c>
      <c r="B2101" t="s">
        <v>9126</v>
      </c>
      <c r="C2101">
        <v>45712</v>
      </c>
      <c r="D2101" t="s">
        <v>7263</v>
      </c>
      <c r="E2101" t="s">
        <v>9127</v>
      </c>
      <c r="F2101">
        <v>45733</v>
      </c>
      <c r="G2101" t="s">
        <v>8909</v>
      </c>
      <c r="H2101" t="s">
        <v>2916</v>
      </c>
      <c r="I2101" t="s">
        <v>10923</v>
      </c>
      <c r="J2101">
        <v>0</v>
      </c>
      <c r="K2101">
        <v>-21.02</v>
      </c>
      <c r="L2101" t="s">
        <v>2917</v>
      </c>
      <c r="M2101">
        <v>0</v>
      </c>
      <c r="N2101" t="s">
        <v>2918</v>
      </c>
      <c r="O2101" t="s">
        <v>10924</v>
      </c>
      <c r="P2101" t="s">
        <v>2940</v>
      </c>
      <c r="Q2101" t="s">
        <v>2924</v>
      </c>
      <c r="R2101" t="s">
        <v>3219</v>
      </c>
      <c r="S2101" t="s">
        <v>2208</v>
      </c>
      <c r="T2101" t="s">
        <v>2208</v>
      </c>
    </row>
    <row r="2102" spans="1:20">
      <c r="A2102" t="s">
        <v>2557</v>
      </c>
      <c r="B2102" t="s">
        <v>9126</v>
      </c>
      <c r="C2102">
        <v>45639</v>
      </c>
      <c r="D2102" t="s">
        <v>7263</v>
      </c>
      <c r="E2102" t="s">
        <v>9127</v>
      </c>
      <c r="F2102">
        <v>45740</v>
      </c>
      <c r="G2102" t="s">
        <v>8909</v>
      </c>
      <c r="H2102" t="s">
        <v>2916</v>
      </c>
      <c r="I2102" t="s">
        <v>11172</v>
      </c>
      <c r="J2102">
        <v>5362</v>
      </c>
      <c r="K2102">
        <v>918.99</v>
      </c>
      <c r="L2102" t="s">
        <v>2917</v>
      </c>
      <c r="M2102">
        <v>5362</v>
      </c>
      <c r="N2102" t="s">
        <v>2918</v>
      </c>
      <c r="O2102" t="s">
        <v>2940</v>
      </c>
      <c r="P2102" t="s">
        <v>2940</v>
      </c>
      <c r="Q2102" t="s">
        <v>2924</v>
      </c>
      <c r="R2102" t="s">
        <v>3219</v>
      </c>
      <c r="S2102" t="s">
        <v>2208</v>
      </c>
      <c r="T2102" t="s">
        <v>2208</v>
      </c>
    </row>
    <row r="2103" spans="1:20">
      <c r="A2103" t="s">
        <v>2557</v>
      </c>
      <c r="B2103" t="s">
        <v>9126</v>
      </c>
      <c r="C2103">
        <v>45747</v>
      </c>
      <c r="D2103" t="s">
        <v>7263</v>
      </c>
      <c r="E2103" t="s">
        <v>9127</v>
      </c>
      <c r="F2103">
        <v>45747</v>
      </c>
      <c r="G2103" t="s">
        <v>2208</v>
      </c>
      <c r="H2103" t="s">
        <v>2916</v>
      </c>
      <c r="I2103" t="s">
        <v>11441</v>
      </c>
      <c r="J2103">
        <v>0</v>
      </c>
      <c r="K2103">
        <v>21.02</v>
      </c>
      <c r="L2103" t="s">
        <v>2917</v>
      </c>
      <c r="M2103">
        <v>0</v>
      </c>
      <c r="N2103" t="s">
        <v>2918</v>
      </c>
      <c r="O2103" t="s">
        <v>2919</v>
      </c>
      <c r="P2103" t="s">
        <v>2208</v>
      </c>
      <c r="Q2103" t="s">
        <v>2916</v>
      </c>
      <c r="R2103" t="s">
        <v>3220</v>
      </c>
      <c r="S2103" t="s">
        <v>2208</v>
      </c>
      <c r="T2103" t="s">
        <v>2208</v>
      </c>
    </row>
    <row r="2104" spans="1:20">
      <c r="A2104" t="s">
        <v>2557</v>
      </c>
      <c r="B2104" t="s">
        <v>16360</v>
      </c>
      <c r="C2104">
        <v>45806</v>
      </c>
      <c r="D2104" t="s">
        <v>7263</v>
      </c>
      <c r="E2104" t="s">
        <v>16361</v>
      </c>
      <c r="F2104">
        <v>45806</v>
      </c>
      <c r="G2104" t="s">
        <v>2208</v>
      </c>
      <c r="H2104" t="s">
        <v>2916</v>
      </c>
      <c r="I2104" t="s">
        <v>17828</v>
      </c>
      <c r="J2104">
        <v>0</v>
      </c>
      <c r="K2104">
        <v>-15.7</v>
      </c>
      <c r="L2104" t="s">
        <v>2917</v>
      </c>
      <c r="M2104">
        <v>-88.47</v>
      </c>
      <c r="N2104" t="s">
        <v>2918</v>
      </c>
      <c r="O2104" t="s">
        <v>17829</v>
      </c>
      <c r="P2104" t="s">
        <v>2208</v>
      </c>
      <c r="Q2104" t="s">
        <v>2947</v>
      </c>
      <c r="R2104" t="s">
        <v>3221</v>
      </c>
      <c r="S2104" t="s">
        <v>2208</v>
      </c>
      <c r="T2104" t="s">
        <v>2208</v>
      </c>
    </row>
    <row r="2105" spans="1:20">
      <c r="A2105" t="s">
        <v>2557</v>
      </c>
      <c r="B2105" t="s">
        <v>16360</v>
      </c>
      <c r="C2105">
        <v>45806</v>
      </c>
      <c r="D2105" t="s">
        <v>7263</v>
      </c>
      <c r="E2105" t="s">
        <v>16361</v>
      </c>
      <c r="F2105">
        <v>45806</v>
      </c>
      <c r="G2105" t="s">
        <v>2208</v>
      </c>
      <c r="H2105" t="s">
        <v>2916</v>
      </c>
      <c r="I2105" t="s">
        <v>17828</v>
      </c>
      <c r="J2105">
        <v>0</v>
      </c>
      <c r="K2105">
        <v>-72.33</v>
      </c>
      <c r="L2105" t="s">
        <v>2917</v>
      </c>
      <c r="M2105">
        <v>-407.51</v>
      </c>
      <c r="N2105" t="s">
        <v>2918</v>
      </c>
      <c r="O2105" t="s">
        <v>17829</v>
      </c>
      <c r="P2105" t="s">
        <v>2208</v>
      </c>
      <c r="Q2105" t="s">
        <v>2947</v>
      </c>
      <c r="R2105" t="s">
        <v>3221</v>
      </c>
      <c r="S2105" t="s">
        <v>2208</v>
      </c>
      <c r="T2105" t="s">
        <v>2208</v>
      </c>
    </row>
    <row r="2106" spans="1:20">
      <c r="A2106" t="s">
        <v>2557</v>
      </c>
      <c r="B2106" t="s">
        <v>16360</v>
      </c>
      <c r="C2106">
        <v>45808</v>
      </c>
      <c r="D2106" t="s">
        <v>7263</v>
      </c>
      <c r="E2106" t="s">
        <v>16361</v>
      </c>
      <c r="F2106">
        <v>45808</v>
      </c>
      <c r="G2106" t="s">
        <v>2208</v>
      </c>
      <c r="H2106" t="s">
        <v>2916</v>
      </c>
      <c r="I2106" t="s">
        <v>17885</v>
      </c>
      <c r="J2106">
        <v>0</v>
      </c>
      <c r="K2106">
        <v>-0.01</v>
      </c>
      <c r="L2106" t="s">
        <v>2917</v>
      </c>
      <c r="M2106">
        <v>0</v>
      </c>
      <c r="N2106" t="s">
        <v>2918</v>
      </c>
      <c r="O2106" t="s">
        <v>2919</v>
      </c>
      <c r="P2106" t="s">
        <v>2208</v>
      </c>
      <c r="Q2106" t="s">
        <v>2916</v>
      </c>
      <c r="R2106" t="s">
        <v>3220</v>
      </c>
      <c r="S2106" t="s">
        <v>2208</v>
      </c>
      <c r="T2106" t="s">
        <v>2208</v>
      </c>
    </row>
    <row r="2107" spans="1:20">
      <c r="A2107" t="s">
        <v>2557</v>
      </c>
      <c r="B2107" t="s">
        <v>17897</v>
      </c>
      <c r="C2107">
        <v>45812</v>
      </c>
      <c r="D2107" t="s">
        <v>7263</v>
      </c>
      <c r="E2107" t="s">
        <v>17898</v>
      </c>
      <c r="F2107">
        <v>45812</v>
      </c>
      <c r="G2107" t="s">
        <v>2208</v>
      </c>
      <c r="H2107" t="s">
        <v>2916</v>
      </c>
      <c r="I2107" t="s">
        <v>18419</v>
      </c>
      <c r="J2107">
        <v>0</v>
      </c>
      <c r="K2107">
        <v>88.04</v>
      </c>
      <c r="L2107" t="s">
        <v>2917</v>
      </c>
      <c r="M2107">
        <v>0</v>
      </c>
      <c r="N2107" t="s">
        <v>2918</v>
      </c>
      <c r="O2107" t="s">
        <v>2946</v>
      </c>
      <c r="P2107" t="s">
        <v>2208</v>
      </c>
      <c r="Q2107" t="s">
        <v>2928</v>
      </c>
      <c r="R2107" t="s">
        <v>3227</v>
      </c>
      <c r="S2107" t="s">
        <v>2208</v>
      </c>
      <c r="T2107" t="s">
        <v>2208</v>
      </c>
    </row>
    <row r="2108" spans="1:20">
      <c r="A2108" t="s">
        <v>2557</v>
      </c>
      <c r="B2108" t="s">
        <v>17897</v>
      </c>
      <c r="C2108">
        <v>45812</v>
      </c>
      <c r="D2108" t="s">
        <v>7263</v>
      </c>
      <c r="E2108" t="s">
        <v>17898</v>
      </c>
      <c r="F2108">
        <v>45812</v>
      </c>
      <c r="G2108" t="s">
        <v>2208</v>
      </c>
      <c r="H2108" t="s">
        <v>2916</v>
      </c>
      <c r="I2108" t="s">
        <v>18420</v>
      </c>
      <c r="J2108">
        <v>0</v>
      </c>
      <c r="K2108">
        <v>495.98</v>
      </c>
      <c r="L2108" t="s">
        <v>2917</v>
      </c>
      <c r="M2108">
        <v>0</v>
      </c>
      <c r="N2108" t="s">
        <v>2918</v>
      </c>
      <c r="O2108" t="s">
        <v>2946</v>
      </c>
      <c r="P2108" t="s">
        <v>2208</v>
      </c>
      <c r="Q2108" t="s">
        <v>2928</v>
      </c>
      <c r="R2108" t="s">
        <v>3227</v>
      </c>
      <c r="S2108" t="s">
        <v>2208</v>
      </c>
      <c r="T2108" t="s">
        <v>2208</v>
      </c>
    </row>
    <row r="2109" spans="1:20">
      <c r="A2109" t="s">
        <v>2557</v>
      </c>
      <c r="B2109" t="s">
        <v>17897</v>
      </c>
      <c r="C2109">
        <v>45812</v>
      </c>
      <c r="D2109" t="s">
        <v>7263</v>
      </c>
      <c r="E2109" t="s">
        <v>17898</v>
      </c>
      <c r="F2109">
        <v>45814</v>
      </c>
      <c r="G2109" t="s">
        <v>2208</v>
      </c>
      <c r="H2109" t="s">
        <v>2916</v>
      </c>
      <c r="I2109" t="s">
        <v>18664</v>
      </c>
      <c r="J2109">
        <v>0</v>
      </c>
      <c r="K2109">
        <v>-495.98</v>
      </c>
      <c r="L2109" t="s">
        <v>2917</v>
      </c>
      <c r="M2109">
        <v>0</v>
      </c>
      <c r="N2109" t="s">
        <v>2918</v>
      </c>
      <c r="O2109" t="s">
        <v>2946</v>
      </c>
      <c r="P2109" t="s">
        <v>2208</v>
      </c>
      <c r="Q2109" t="s">
        <v>2928</v>
      </c>
      <c r="R2109" t="s">
        <v>3227</v>
      </c>
      <c r="S2109" t="s">
        <v>2208</v>
      </c>
      <c r="T2109" t="s">
        <v>2208</v>
      </c>
    </row>
    <row r="2110" spans="1:20">
      <c r="A2110" t="s">
        <v>2557</v>
      </c>
      <c r="B2110" t="s">
        <v>17897</v>
      </c>
      <c r="C2110">
        <v>45812</v>
      </c>
      <c r="D2110" t="s">
        <v>7263</v>
      </c>
      <c r="E2110" t="s">
        <v>17898</v>
      </c>
      <c r="F2110">
        <v>45814</v>
      </c>
      <c r="G2110" t="s">
        <v>2208</v>
      </c>
      <c r="H2110" t="s">
        <v>2916</v>
      </c>
      <c r="I2110" t="s">
        <v>18665</v>
      </c>
      <c r="J2110">
        <v>0</v>
      </c>
      <c r="K2110">
        <v>-88.04</v>
      </c>
      <c r="L2110" t="s">
        <v>2917</v>
      </c>
      <c r="M2110">
        <v>0</v>
      </c>
      <c r="N2110" t="s">
        <v>2918</v>
      </c>
      <c r="O2110" t="s">
        <v>2946</v>
      </c>
      <c r="P2110" t="s">
        <v>2208</v>
      </c>
      <c r="Q2110" t="s">
        <v>2928</v>
      </c>
      <c r="R2110" t="s">
        <v>3227</v>
      </c>
      <c r="S2110" t="s">
        <v>2208</v>
      </c>
      <c r="T2110" t="s">
        <v>2208</v>
      </c>
    </row>
    <row r="2111" spans="1:20">
      <c r="A2111" t="s">
        <v>2557</v>
      </c>
      <c r="B2111" t="s">
        <v>17897</v>
      </c>
      <c r="C2111">
        <v>45817</v>
      </c>
      <c r="D2111" t="s">
        <v>7263</v>
      </c>
      <c r="E2111" t="s">
        <v>17898</v>
      </c>
      <c r="F2111">
        <v>45817</v>
      </c>
      <c r="G2111" t="s">
        <v>2208</v>
      </c>
      <c r="H2111" t="s">
        <v>2916</v>
      </c>
      <c r="I2111" t="s">
        <v>18666</v>
      </c>
      <c r="J2111">
        <v>0</v>
      </c>
      <c r="K2111">
        <v>88.04</v>
      </c>
      <c r="L2111" t="s">
        <v>2917</v>
      </c>
      <c r="M2111">
        <v>0</v>
      </c>
      <c r="N2111" t="s">
        <v>2918</v>
      </c>
      <c r="O2111" t="s">
        <v>2946</v>
      </c>
      <c r="P2111" t="s">
        <v>2208</v>
      </c>
      <c r="Q2111" t="s">
        <v>2928</v>
      </c>
      <c r="R2111" t="s">
        <v>3227</v>
      </c>
      <c r="S2111" t="s">
        <v>2208</v>
      </c>
      <c r="T2111" t="s">
        <v>2208</v>
      </c>
    </row>
    <row r="2112" spans="1:20">
      <c r="A2112" t="s">
        <v>2557</v>
      </c>
      <c r="B2112" t="s">
        <v>17897</v>
      </c>
      <c r="C2112">
        <v>45817</v>
      </c>
      <c r="D2112" t="s">
        <v>7263</v>
      </c>
      <c r="E2112" t="s">
        <v>17898</v>
      </c>
      <c r="F2112">
        <v>45817</v>
      </c>
      <c r="G2112" t="s">
        <v>2208</v>
      </c>
      <c r="H2112" t="s">
        <v>2916</v>
      </c>
      <c r="I2112" t="s">
        <v>18667</v>
      </c>
      <c r="J2112">
        <v>0</v>
      </c>
      <c r="K2112">
        <v>0</v>
      </c>
      <c r="L2112" t="s">
        <v>2917</v>
      </c>
      <c r="M2112">
        <v>495.98</v>
      </c>
      <c r="N2112" t="s">
        <v>2918</v>
      </c>
      <c r="O2112" t="s">
        <v>2946</v>
      </c>
      <c r="P2112" t="s">
        <v>2208</v>
      </c>
      <c r="Q2112" t="s">
        <v>2928</v>
      </c>
      <c r="R2112" t="s">
        <v>3227</v>
      </c>
      <c r="S2112" t="s">
        <v>2208</v>
      </c>
      <c r="T2112" t="s">
        <v>2208</v>
      </c>
    </row>
    <row r="2113" spans="1:20">
      <c r="A2113" t="s">
        <v>2557</v>
      </c>
      <c r="B2113" t="s">
        <v>16360</v>
      </c>
      <c r="C2113">
        <v>45771</v>
      </c>
      <c r="D2113" t="s">
        <v>7263</v>
      </c>
      <c r="E2113" t="s">
        <v>16361</v>
      </c>
      <c r="F2113">
        <v>45779</v>
      </c>
      <c r="G2113" t="s">
        <v>16482</v>
      </c>
      <c r="H2113" t="s">
        <v>2916</v>
      </c>
      <c r="I2113" t="s">
        <v>16483</v>
      </c>
      <c r="J2113">
        <v>24</v>
      </c>
      <c r="K2113">
        <v>33213.43</v>
      </c>
      <c r="L2113" t="s">
        <v>2917</v>
      </c>
      <c r="M2113">
        <v>187117.91</v>
      </c>
      <c r="N2113" t="s">
        <v>2918</v>
      </c>
      <c r="O2113" t="s">
        <v>16484</v>
      </c>
      <c r="P2113" t="s">
        <v>16485</v>
      </c>
      <c r="Q2113" t="s">
        <v>2924</v>
      </c>
      <c r="R2113" t="s">
        <v>3219</v>
      </c>
      <c r="S2113" t="s">
        <v>16486</v>
      </c>
      <c r="T2113" t="s">
        <v>16487</v>
      </c>
    </row>
    <row r="2114" spans="1:20">
      <c r="A2114" t="s">
        <v>2557</v>
      </c>
      <c r="B2114" t="s">
        <v>16360</v>
      </c>
      <c r="C2114">
        <v>45771</v>
      </c>
      <c r="D2114" t="s">
        <v>7263</v>
      </c>
      <c r="E2114" t="s">
        <v>16361</v>
      </c>
      <c r="F2114">
        <v>45779</v>
      </c>
      <c r="G2114" t="s">
        <v>16482</v>
      </c>
      <c r="H2114" t="s">
        <v>2916</v>
      </c>
      <c r="I2114" t="s">
        <v>16488</v>
      </c>
      <c r="J2114">
        <v>0</v>
      </c>
      <c r="K2114">
        <v>-2703.57</v>
      </c>
      <c r="L2114" t="s">
        <v>2917</v>
      </c>
      <c r="M2114">
        <v>-15231.39</v>
      </c>
      <c r="N2114" t="s">
        <v>2918</v>
      </c>
      <c r="O2114" t="s">
        <v>16489</v>
      </c>
      <c r="P2114" t="s">
        <v>16485</v>
      </c>
      <c r="Q2114" t="s">
        <v>2924</v>
      </c>
      <c r="R2114" t="s">
        <v>3219</v>
      </c>
      <c r="S2114" t="s">
        <v>16486</v>
      </c>
      <c r="T2114" t="s">
        <v>16487</v>
      </c>
    </row>
    <row r="2115" spans="1:20">
      <c r="A2115" t="s">
        <v>2557</v>
      </c>
      <c r="B2115" t="s">
        <v>16360</v>
      </c>
      <c r="C2115">
        <v>45770</v>
      </c>
      <c r="D2115" t="s">
        <v>7263</v>
      </c>
      <c r="E2115" t="s">
        <v>16361</v>
      </c>
      <c r="F2115">
        <v>45779</v>
      </c>
      <c r="G2115" t="s">
        <v>16482</v>
      </c>
      <c r="H2115" t="s">
        <v>2916</v>
      </c>
      <c r="I2115" t="s">
        <v>16490</v>
      </c>
      <c r="J2115">
        <v>16</v>
      </c>
      <c r="K2115">
        <v>22142.29</v>
      </c>
      <c r="L2115" t="s">
        <v>2917</v>
      </c>
      <c r="M2115">
        <v>124745.27</v>
      </c>
      <c r="N2115" t="s">
        <v>2918</v>
      </c>
      <c r="O2115" t="s">
        <v>16491</v>
      </c>
      <c r="P2115" t="s">
        <v>16485</v>
      </c>
      <c r="Q2115" t="s">
        <v>2924</v>
      </c>
      <c r="R2115" t="s">
        <v>3219</v>
      </c>
      <c r="S2115" t="s">
        <v>16486</v>
      </c>
      <c r="T2115" t="s">
        <v>16487</v>
      </c>
    </row>
    <row r="2116" spans="1:20">
      <c r="A2116" t="s">
        <v>2557</v>
      </c>
      <c r="B2116" t="s">
        <v>16360</v>
      </c>
      <c r="C2116">
        <v>45770</v>
      </c>
      <c r="D2116" t="s">
        <v>7263</v>
      </c>
      <c r="E2116" t="s">
        <v>16361</v>
      </c>
      <c r="F2116">
        <v>45779</v>
      </c>
      <c r="G2116" t="s">
        <v>16482</v>
      </c>
      <c r="H2116" t="s">
        <v>2916</v>
      </c>
      <c r="I2116" t="s">
        <v>16492</v>
      </c>
      <c r="J2116">
        <v>0</v>
      </c>
      <c r="K2116">
        <v>-1802.38</v>
      </c>
      <c r="L2116" t="s">
        <v>2917</v>
      </c>
      <c r="M2116">
        <v>-10154.25</v>
      </c>
      <c r="N2116" t="s">
        <v>2918</v>
      </c>
      <c r="O2116" t="s">
        <v>16493</v>
      </c>
      <c r="P2116" t="s">
        <v>16485</v>
      </c>
      <c r="Q2116" t="s">
        <v>2924</v>
      </c>
      <c r="R2116" t="s">
        <v>3219</v>
      </c>
      <c r="S2116" t="s">
        <v>16486</v>
      </c>
      <c r="T2116" t="s">
        <v>16487</v>
      </c>
    </row>
    <row r="2117" spans="1:20">
      <c r="A2117" t="s">
        <v>2557</v>
      </c>
      <c r="B2117" t="s">
        <v>16360</v>
      </c>
      <c r="C2117">
        <v>45791</v>
      </c>
      <c r="D2117" t="s">
        <v>7263</v>
      </c>
      <c r="E2117" t="s">
        <v>16361</v>
      </c>
      <c r="F2117">
        <v>45799</v>
      </c>
      <c r="G2117" t="s">
        <v>16482</v>
      </c>
      <c r="H2117" t="s">
        <v>2916</v>
      </c>
      <c r="I2117" t="s">
        <v>17408</v>
      </c>
      <c r="J2117">
        <v>23</v>
      </c>
      <c r="K2117">
        <v>31829.54</v>
      </c>
      <c r="L2117" t="s">
        <v>2917</v>
      </c>
      <c r="M2117">
        <v>179321.33</v>
      </c>
      <c r="N2117" t="s">
        <v>2918</v>
      </c>
      <c r="O2117" t="s">
        <v>17409</v>
      </c>
      <c r="P2117" t="s">
        <v>16485</v>
      </c>
      <c r="Q2117" t="s">
        <v>2924</v>
      </c>
      <c r="R2117" t="s">
        <v>3219</v>
      </c>
      <c r="S2117" t="s">
        <v>16486</v>
      </c>
      <c r="T2117" t="s">
        <v>16487</v>
      </c>
    </row>
    <row r="2118" spans="1:20">
      <c r="A2118" t="s">
        <v>2557</v>
      </c>
      <c r="B2118" t="s">
        <v>16360</v>
      </c>
      <c r="C2118">
        <v>45791</v>
      </c>
      <c r="D2118" t="s">
        <v>7263</v>
      </c>
      <c r="E2118" t="s">
        <v>16361</v>
      </c>
      <c r="F2118">
        <v>45799</v>
      </c>
      <c r="G2118" t="s">
        <v>16482</v>
      </c>
      <c r="H2118" t="s">
        <v>2916</v>
      </c>
      <c r="I2118" t="s">
        <v>17410</v>
      </c>
      <c r="J2118">
        <v>0</v>
      </c>
      <c r="K2118">
        <v>-2590.9299999999998</v>
      </c>
      <c r="L2118" t="s">
        <v>2917</v>
      </c>
      <c r="M2118">
        <v>-14596.75</v>
      </c>
      <c r="N2118" t="s">
        <v>2918</v>
      </c>
      <c r="O2118" t="s">
        <v>17411</v>
      </c>
      <c r="P2118" t="s">
        <v>16485</v>
      </c>
      <c r="Q2118" t="s">
        <v>2924</v>
      </c>
      <c r="R2118" t="s">
        <v>3219</v>
      </c>
      <c r="S2118" t="s">
        <v>16486</v>
      </c>
      <c r="T2118" t="s">
        <v>16487</v>
      </c>
    </row>
    <row r="2119" spans="1:20">
      <c r="A2119" t="s">
        <v>2557</v>
      </c>
      <c r="B2119" t="s">
        <v>16360</v>
      </c>
      <c r="C2119">
        <v>45770</v>
      </c>
      <c r="D2119" t="s">
        <v>7263</v>
      </c>
      <c r="E2119" t="s">
        <v>16361</v>
      </c>
      <c r="F2119">
        <v>45779</v>
      </c>
      <c r="G2119" t="s">
        <v>16482</v>
      </c>
      <c r="H2119" t="s">
        <v>2916</v>
      </c>
      <c r="I2119" t="s">
        <v>17544</v>
      </c>
      <c r="J2119">
        <v>0</v>
      </c>
      <c r="K2119">
        <v>1802.38</v>
      </c>
      <c r="L2119" t="s">
        <v>2917</v>
      </c>
      <c r="M2119">
        <v>10154.25</v>
      </c>
      <c r="N2119" t="s">
        <v>2918</v>
      </c>
      <c r="O2119" t="s">
        <v>17545</v>
      </c>
      <c r="P2119" t="s">
        <v>16485</v>
      </c>
      <c r="Q2119" t="s">
        <v>2924</v>
      </c>
      <c r="R2119" t="s">
        <v>3219</v>
      </c>
      <c r="S2119" t="s">
        <v>16486</v>
      </c>
      <c r="T2119" t="s">
        <v>16487</v>
      </c>
    </row>
    <row r="2120" spans="1:20">
      <c r="A2120" t="s">
        <v>2557</v>
      </c>
      <c r="B2120" t="s">
        <v>16360</v>
      </c>
      <c r="C2120">
        <v>45771</v>
      </c>
      <c r="D2120" t="s">
        <v>7263</v>
      </c>
      <c r="E2120" t="s">
        <v>16361</v>
      </c>
      <c r="F2120">
        <v>45779</v>
      </c>
      <c r="G2120" t="s">
        <v>16482</v>
      </c>
      <c r="H2120" t="s">
        <v>2916</v>
      </c>
      <c r="I2120" t="s">
        <v>17546</v>
      </c>
      <c r="J2120">
        <v>0</v>
      </c>
      <c r="K2120">
        <v>2703.57</v>
      </c>
      <c r="L2120" t="s">
        <v>2917</v>
      </c>
      <c r="M2120">
        <v>15231.39</v>
      </c>
      <c r="N2120" t="s">
        <v>2918</v>
      </c>
      <c r="O2120" t="s">
        <v>17547</v>
      </c>
      <c r="P2120" t="s">
        <v>16485</v>
      </c>
      <c r="Q2120" t="s">
        <v>2924</v>
      </c>
      <c r="R2120" t="s">
        <v>3219</v>
      </c>
      <c r="S2120" t="s">
        <v>16486</v>
      </c>
      <c r="T2120" t="s">
        <v>16487</v>
      </c>
    </row>
    <row r="2121" spans="1:20">
      <c r="A2121" t="s">
        <v>2557</v>
      </c>
      <c r="B2121" t="s">
        <v>16360</v>
      </c>
      <c r="C2121">
        <v>45791</v>
      </c>
      <c r="D2121" t="s">
        <v>7263</v>
      </c>
      <c r="E2121" t="s">
        <v>16361</v>
      </c>
      <c r="F2121">
        <v>45799</v>
      </c>
      <c r="G2121" t="s">
        <v>16482</v>
      </c>
      <c r="H2121" t="s">
        <v>2916</v>
      </c>
      <c r="I2121" t="s">
        <v>17548</v>
      </c>
      <c r="J2121">
        <v>0</v>
      </c>
      <c r="K2121">
        <v>2590.9299999999998</v>
      </c>
      <c r="L2121" t="s">
        <v>2917</v>
      </c>
      <c r="M2121">
        <v>14596.75</v>
      </c>
      <c r="N2121" t="s">
        <v>2918</v>
      </c>
      <c r="O2121" t="s">
        <v>17549</v>
      </c>
      <c r="P2121" t="s">
        <v>16485</v>
      </c>
      <c r="Q2121" t="s">
        <v>2924</v>
      </c>
      <c r="R2121" t="s">
        <v>3219</v>
      </c>
      <c r="S2121" t="s">
        <v>16486</v>
      </c>
      <c r="T2121" t="s">
        <v>16487</v>
      </c>
    </row>
    <row r="2122" spans="1:20">
      <c r="A2122" t="s">
        <v>2557</v>
      </c>
      <c r="B2122" t="s">
        <v>16360</v>
      </c>
      <c r="C2122">
        <v>45791</v>
      </c>
      <c r="D2122" t="s">
        <v>7263</v>
      </c>
      <c r="E2122" t="s">
        <v>16361</v>
      </c>
      <c r="F2122">
        <v>45800</v>
      </c>
      <c r="G2122" t="s">
        <v>16482</v>
      </c>
      <c r="H2122" t="s">
        <v>2916</v>
      </c>
      <c r="I2122" t="s">
        <v>17550</v>
      </c>
      <c r="J2122">
        <v>0</v>
      </c>
      <c r="K2122">
        <v>-6410.47</v>
      </c>
      <c r="L2122" t="s">
        <v>2917</v>
      </c>
      <c r="M2122">
        <v>-36115.32</v>
      </c>
      <c r="N2122" t="s">
        <v>2918</v>
      </c>
      <c r="O2122" t="s">
        <v>17549</v>
      </c>
      <c r="P2122" t="s">
        <v>16485</v>
      </c>
      <c r="Q2122" t="s">
        <v>2924</v>
      </c>
      <c r="R2122" t="s">
        <v>3219</v>
      </c>
      <c r="S2122" t="s">
        <v>16486</v>
      </c>
      <c r="T2122" t="s">
        <v>16487</v>
      </c>
    </row>
    <row r="2123" spans="1:20">
      <c r="A2123" t="s">
        <v>2557</v>
      </c>
      <c r="B2123" t="s">
        <v>16360</v>
      </c>
      <c r="C2123">
        <v>45771</v>
      </c>
      <c r="D2123" t="s">
        <v>7263</v>
      </c>
      <c r="E2123" t="s">
        <v>16361</v>
      </c>
      <c r="F2123">
        <v>45800</v>
      </c>
      <c r="G2123" t="s">
        <v>16482</v>
      </c>
      <c r="H2123" t="s">
        <v>2916</v>
      </c>
      <c r="I2123" t="s">
        <v>17551</v>
      </c>
      <c r="J2123">
        <v>0</v>
      </c>
      <c r="K2123">
        <v>-6689.19</v>
      </c>
      <c r="L2123" t="s">
        <v>2917</v>
      </c>
      <c r="M2123">
        <v>-37685.550000000003</v>
      </c>
      <c r="N2123" t="s">
        <v>2918</v>
      </c>
      <c r="O2123" t="s">
        <v>17547</v>
      </c>
      <c r="P2123" t="s">
        <v>16485</v>
      </c>
      <c r="Q2123" t="s">
        <v>2924</v>
      </c>
      <c r="R2123" t="s">
        <v>3219</v>
      </c>
      <c r="S2123" t="s">
        <v>16486</v>
      </c>
      <c r="T2123" t="s">
        <v>16487</v>
      </c>
    </row>
    <row r="2124" spans="1:20">
      <c r="A2124" t="s">
        <v>2557</v>
      </c>
      <c r="B2124" t="s">
        <v>16360</v>
      </c>
      <c r="C2124">
        <v>45770</v>
      </c>
      <c r="D2124" t="s">
        <v>7263</v>
      </c>
      <c r="E2124" t="s">
        <v>16361</v>
      </c>
      <c r="F2124">
        <v>45800</v>
      </c>
      <c r="G2124" t="s">
        <v>16482</v>
      </c>
      <c r="H2124" t="s">
        <v>2916</v>
      </c>
      <c r="I2124" t="s">
        <v>17552</v>
      </c>
      <c r="J2124">
        <v>0</v>
      </c>
      <c r="K2124">
        <v>-4459.46</v>
      </c>
      <c r="L2124" t="s">
        <v>2917</v>
      </c>
      <c r="M2124">
        <v>-25123.69</v>
      </c>
      <c r="N2124" t="s">
        <v>2918</v>
      </c>
      <c r="O2124" t="s">
        <v>17545</v>
      </c>
      <c r="P2124" t="s">
        <v>16485</v>
      </c>
      <c r="Q2124" t="s">
        <v>2924</v>
      </c>
      <c r="R2124" t="s">
        <v>3219</v>
      </c>
      <c r="S2124" t="s">
        <v>16486</v>
      </c>
      <c r="T2124" t="s">
        <v>16487</v>
      </c>
    </row>
    <row r="2125" spans="1:20">
      <c r="A2125" t="s">
        <v>2557</v>
      </c>
      <c r="B2125" t="s">
        <v>16360</v>
      </c>
      <c r="C2125">
        <v>45808</v>
      </c>
      <c r="D2125" t="s">
        <v>7263</v>
      </c>
      <c r="E2125" t="s">
        <v>16361</v>
      </c>
      <c r="F2125">
        <v>45808</v>
      </c>
      <c r="G2125" t="s">
        <v>2208</v>
      </c>
      <c r="H2125" t="s">
        <v>2916</v>
      </c>
      <c r="I2125" t="s">
        <v>17886</v>
      </c>
      <c r="J2125">
        <v>0</v>
      </c>
      <c r="K2125">
        <v>0.01</v>
      </c>
      <c r="L2125" t="s">
        <v>2917</v>
      </c>
      <c r="M2125">
        <v>0</v>
      </c>
      <c r="N2125" t="s">
        <v>2918</v>
      </c>
      <c r="O2125" t="s">
        <v>2919</v>
      </c>
      <c r="P2125" t="s">
        <v>2208</v>
      </c>
      <c r="Q2125" t="s">
        <v>2916</v>
      </c>
      <c r="R2125" t="s">
        <v>3220</v>
      </c>
      <c r="S2125" t="s">
        <v>2208</v>
      </c>
      <c r="T2125" t="s">
        <v>2208</v>
      </c>
    </row>
    <row r="2126" spans="1:20">
      <c r="A2126" t="s">
        <v>2557</v>
      </c>
      <c r="B2126" t="s">
        <v>17897</v>
      </c>
      <c r="C2126">
        <v>45812</v>
      </c>
      <c r="D2126" t="s">
        <v>7263</v>
      </c>
      <c r="E2126" t="s">
        <v>17898</v>
      </c>
      <c r="F2126">
        <v>45814</v>
      </c>
      <c r="G2126" t="s">
        <v>16482</v>
      </c>
      <c r="H2126" t="s">
        <v>2916</v>
      </c>
      <c r="I2126" t="s">
        <v>18489</v>
      </c>
      <c r="J2126">
        <v>3</v>
      </c>
      <c r="K2126">
        <v>4121.2700000000004</v>
      </c>
      <c r="L2126" t="s">
        <v>2917</v>
      </c>
      <c r="M2126">
        <v>23389.74</v>
      </c>
      <c r="N2126" t="s">
        <v>2918</v>
      </c>
      <c r="O2126" t="s">
        <v>18490</v>
      </c>
      <c r="P2126" t="s">
        <v>16485</v>
      </c>
      <c r="Q2126" t="s">
        <v>2924</v>
      </c>
      <c r="R2126" t="s">
        <v>3219</v>
      </c>
      <c r="S2126" t="s">
        <v>16486</v>
      </c>
      <c r="T2126" t="s">
        <v>16487</v>
      </c>
    </row>
    <row r="2127" spans="1:20">
      <c r="A2127" t="s">
        <v>2557</v>
      </c>
      <c r="B2127" t="s">
        <v>17897</v>
      </c>
      <c r="C2127">
        <v>45812</v>
      </c>
      <c r="D2127" t="s">
        <v>7263</v>
      </c>
      <c r="E2127" t="s">
        <v>17898</v>
      </c>
      <c r="F2127">
        <v>45814</v>
      </c>
      <c r="G2127" t="s">
        <v>16482</v>
      </c>
      <c r="H2127" t="s">
        <v>2916</v>
      </c>
      <c r="I2127" t="s">
        <v>18491</v>
      </c>
      <c r="J2127">
        <v>0</v>
      </c>
      <c r="K2127">
        <v>-335.47</v>
      </c>
      <c r="L2127" t="s">
        <v>2917</v>
      </c>
      <c r="M2127">
        <v>-1903.93</v>
      </c>
      <c r="N2127" t="s">
        <v>2918</v>
      </c>
      <c r="O2127" t="s">
        <v>18492</v>
      </c>
      <c r="P2127" t="s">
        <v>16485</v>
      </c>
      <c r="Q2127" t="s">
        <v>2924</v>
      </c>
      <c r="R2127" t="s">
        <v>3219</v>
      </c>
      <c r="S2127" t="s">
        <v>16486</v>
      </c>
      <c r="T2127" t="s">
        <v>16487</v>
      </c>
    </row>
    <row r="2128" spans="1:20">
      <c r="A2128" t="s">
        <v>2557</v>
      </c>
      <c r="B2128" t="s">
        <v>17897</v>
      </c>
      <c r="C2128">
        <v>45812</v>
      </c>
      <c r="D2128" t="s">
        <v>7263</v>
      </c>
      <c r="E2128" t="s">
        <v>17898</v>
      </c>
      <c r="F2128">
        <v>45814</v>
      </c>
      <c r="G2128" t="s">
        <v>16482</v>
      </c>
      <c r="H2128" t="s">
        <v>2916</v>
      </c>
      <c r="I2128" t="s">
        <v>18668</v>
      </c>
      <c r="J2128">
        <v>0</v>
      </c>
      <c r="K2128">
        <v>335.47</v>
      </c>
      <c r="L2128" t="s">
        <v>2917</v>
      </c>
      <c r="M2128">
        <v>1903.93</v>
      </c>
      <c r="N2128" t="s">
        <v>2918</v>
      </c>
      <c r="O2128" t="s">
        <v>18669</v>
      </c>
      <c r="P2128" t="s">
        <v>16485</v>
      </c>
      <c r="Q2128" t="s">
        <v>2924</v>
      </c>
      <c r="R2128" t="s">
        <v>3219</v>
      </c>
      <c r="S2128" t="s">
        <v>16486</v>
      </c>
      <c r="T2128" t="s">
        <v>16487</v>
      </c>
    </row>
    <row r="2129" spans="1:20">
      <c r="A2129" t="s">
        <v>2557</v>
      </c>
      <c r="B2129" t="s">
        <v>17897</v>
      </c>
      <c r="C2129">
        <v>45812</v>
      </c>
      <c r="D2129" t="s">
        <v>7263</v>
      </c>
      <c r="E2129" t="s">
        <v>17898</v>
      </c>
      <c r="F2129">
        <v>45826</v>
      </c>
      <c r="G2129" t="s">
        <v>16482</v>
      </c>
      <c r="H2129" t="s">
        <v>2916</v>
      </c>
      <c r="I2129" t="s">
        <v>18670</v>
      </c>
      <c r="J2129">
        <v>0</v>
      </c>
      <c r="K2129">
        <v>-830.02</v>
      </c>
      <c r="L2129" t="s">
        <v>2917</v>
      </c>
      <c r="M2129">
        <v>-4710.7</v>
      </c>
      <c r="N2129" t="s">
        <v>2918</v>
      </c>
      <c r="O2129" t="s">
        <v>18669</v>
      </c>
      <c r="P2129" t="s">
        <v>16485</v>
      </c>
      <c r="Q2129" t="s">
        <v>2924</v>
      </c>
      <c r="R2129" t="s">
        <v>3219</v>
      </c>
      <c r="S2129" t="s">
        <v>16486</v>
      </c>
      <c r="T2129" t="s">
        <v>16487</v>
      </c>
    </row>
    <row r="2130" spans="1:20">
      <c r="A2130" t="s">
        <v>2557</v>
      </c>
      <c r="B2130" t="s">
        <v>17897</v>
      </c>
      <c r="C2130">
        <v>45838</v>
      </c>
      <c r="D2130" t="s">
        <v>7263</v>
      </c>
      <c r="E2130" t="s">
        <v>17898</v>
      </c>
      <c r="F2130">
        <v>45838</v>
      </c>
      <c r="G2130" t="s">
        <v>2208</v>
      </c>
      <c r="H2130" t="s">
        <v>2916</v>
      </c>
      <c r="I2130" t="s">
        <v>19281</v>
      </c>
      <c r="J2130">
        <v>0</v>
      </c>
      <c r="K2130">
        <v>-0.01</v>
      </c>
      <c r="L2130" t="s">
        <v>2917</v>
      </c>
      <c r="M2130">
        <v>0</v>
      </c>
      <c r="N2130" t="s">
        <v>2918</v>
      </c>
      <c r="O2130" t="s">
        <v>2919</v>
      </c>
      <c r="P2130" t="s">
        <v>2208</v>
      </c>
      <c r="Q2130" t="s">
        <v>2916</v>
      </c>
      <c r="R2130" t="s">
        <v>3220</v>
      </c>
      <c r="S2130" t="s">
        <v>2208</v>
      </c>
      <c r="T2130" t="s">
        <v>2208</v>
      </c>
    </row>
    <row r="2131" spans="1:20">
      <c r="A2131" t="s">
        <v>2557</v>
      </c>
      <c r="B2131" t="s">
        <v>7740</v>
      </c>
      <c r="C2131">
        <v>45637</v>
      </c>
      <c r="D2131" t="s">
        <v>7263</v>
      </c>
      <c r="E2131" t="s">
        <v>2925</v>
      </c>
      <c r="F2131">
        <v>45708</v>
      </c>
      <c r="G2131" t="s">
        <v>8732</v>
      </c>
      <c r="H2131" t="s">
        <v>2916</v>
      </c>
      <c r="I2131" t="s">
        <v>8733</v>
      </c>
      <c r="J2131">
        <v>10300</v>
      </c>
      <c r="K2131">
        <v>1771.09</v>
      </c>
      <c r="L2131" t="s">
        <v>2917</v>
      </c>
      <c r="M2131">
        <v>10300</v>
      </c>
      <c r="N2131" t="s">
        <v>2918</v>
      </c>
      <c r="O2131" t="s">
        <v>2923</v>
      </c>
      <c r="P2131" t="s">
        <v>2923</v>
      </c>
      <c r="Q2131" t="s">
        <v>2924</v>
      </c>
      <c r="R2131" t="s">
        <v>3219</v>
      </c>
      <c r="S2131" t="s">
        <v>2208</v>
      </c>
      <c r="T2131" t="s">
        <v>2208</v>
      </c>
    </row>
    <row r="2132" spans="1:20">
      <c r="A2132" t="s">
        <v>2557</v>
      </c>
      <c r="B2132" t="s">
        <v>7740</v>
      </c>
      <c r="C2132">
        <v>45716</v>
      </c>
      <c r="D2132" t="s">
        <v>7263</v>
      </c>
      <c r="E2132" t="s">
        <v>2925</v>
      </c>
      <c r="F2132">
        <v>45716</v>
      </c>
      <c r="G2132" t="s">
        <v>2208</v>
      </c>
      <c r="H2132" t="s">
        <v>2916</v>
      </c>
      <c r="I2132" t="s">
        <v>9178</v>
      </c>
      <c r="J2132">
        <v>0</v>
      </c>
      <c r="K2132">
        <v>-0.01</v>
      </c>
      <c r="L2132" t="s">
        <v>2917</v>
      </c>
      <c r="M2132">
        <v>0</v>
      </c>
      <c r="N2132" t="s">
        <v>2918</v>
      </c>
      <c r="O2132" t="s">
        <v>2919</v>
      </c>
      <c r="P2132" t="s">
        <v>2208</v>
      </c>
      <c r="Q2132" t="s">
        <v>2916</v>
      </c>
      <c r="R2132" t="s">
        <v>3220</v>
      </c>
      <c r="S2132" t="s">
        <v>2208</v>
      </c>
      <c r="T2132" t="s">
        <v>2208</v>
      </c>
    </row>
    <row r="2133" spans="1:20">
      <c r="A2133" t="s">
        <v>2557</v>
      </c>
      <c r="B2133" t="s">
        <v>9126</v>
      </c>
      <c r="C2133">
        <v>45708</v>
      </c>
      <c r="D2133" t="s">
        <v>7263</v>
      </c>
      <c r="E2133" t="s">
        <v>9127</v>
      </c>
      <c r="F2133">
        <v>45733</v>
      </c>
      <c r="G2133" t="s">
        <v>8732</v>
      </c>
      <c r="H2133" t="s">
        <v>2916</v>
      </c>
      <c r="I2133" t="s">
        <v>10925</v>
      </c>
      <c r="J2133">
        <v>0</v>
      </c>
      <c r="K2133">
        <v>-169.06</v>
      </c>
      <c r="L2133" t="s">
        <v>2917</v>
      </c>
      <c r="M2133">
        <v>-952.75</v>
      </c>
      <c r="N2133" t="s">
        <v>2918</v>
      </c>
      <c r="O2133" t="s">
        <v>10926</v>
      </c>
      <c r="P2133" t="s">
        <v>2923</v>
      </c>
      <c r="Q2133" t="s">
        <v>2924</v>
      </c>
      <c r="R2133" t="s">
        <v>3219</v>
      </c>
      <c r="S2133" t="s">
        <v>2208</v>
      </c>
      <c r="T2133" t="s">
        <v>2208</v>
      </c>
    </row>
    <row r="2134" spans="1:20">
      <c r="A2134" t="s">
        <v>2557</v>
      </c>
      <c r="B2134" t="s">
        <v>9126</v>
      </c>
      <c r="C2134">
        <v>45740</v>
      </c>
      <c r="D2134" t="s">
        <v>7263</v>
      </c>
      <c r="E2134" t="s">
        <v>9127</v>
      </c>
      <c r="F2134">
        <v>45740</v>
      </c>
      <c r="G2134" t="s">
        <v>11173</v>
      </c>
      <c r="H2134" t="s">
        <v>2916</v>
      </c>
      <c r="I2134" t="s">
        <v>11174</v>
      </c>
      <c r="J2134">
        <v>1</v>
      </c>
      <c r="K2134">
        <v>2096.36</v>
      </c>
      <c r="L2134" t="s">
        <v>2917</v>
      </c>
      <c r="M2134">
        <v>12231.5</v>
      </c>
      <c r="N2134" t="s">
        <v>2918</v>
      </c>
      <c r="O2134" t="s">
        <v>11175</v>
      </c>
      <c r="P2134" t="s">
        <v>12077</v>
      </c>
      <c r="Q2134" t="s">
        <v>2924</v>
      </c>
      <c r="R2134" t="s">
        <v>3219</v>
      </c>
      <c r="S2134" t="s">
        <v>2208</v>
      </c>
      <c r="T2134" t="s">
        <v>2208</v>
      </c>
    </row>
    <row r="2135" spans="1:20">
      <c r="A2135" t="s">
        <v>2557</v>
      </c>
      <c r="B2135" t="s">
        <v>9126</v>
      </c>
      <c r="C2135">
        <v>45740</v>
      </c>
      <c r="D2135" t="s">
        <v>7263</v>
      </c>
      <c r="E2135" t="s">
        <v>9127</v>
      </c>
      <c r="F2135">
        <v>45740</v>
      </c>
      <c r="G2135" t="s">
        <v>11173</v>
      </c>
      <c r="H2135" t="s">
        <v>2916</v>
      </c>
      <c r="I2135" t="s">
        <v>11176</v>
      </c>
      <c r="J2135">
        <v>1</v>
      </c>
      <c r="K2135">
        <v>8129.97</v>
      </c>
      <c r="L2135" t="s">
        <v>2917</v>
      </c>
      <c r="M2135">
        <v>47435.47</v>
      </c>
      <c r="N2135" t="s">
        <v>2918</v>
      </c>
      <c r="O2135" t="s">
        <v>11175</v>
      </c>
      <c r="P2135" t="s">
        <v>12077</v>
      </c>
      <c r="Q2135" t="s">
        <v>2924</v>
      </c>
      <c r="R2135" t="s">
        <v>3219</v>
      </c>
      <c r="S2135" t="s">
        <v>2208</v>
      </c>
      <c r="T2135" t="s">
        <v>2208</v>
      </c>
    </row>
    <row r="2136" spans="1:20">
      <c r="A2136" t="s">
        <v>2557</v>
      </c>
      <c r="B2136" t="s">
        <v>9126</v>
      </c>
      <c r="C2136">
        <v>45646</v>
      </c>
      <c r="D2136" t="s">
        <v>7263</v>
      </c>
      <c r="E2136" t="s">
        <v>9127</v>
      </c>
      <c r="F2136">
        <v>45741</v>
      </c>
      <c r="G2136" t="s">
        <v>11177</v>
      </c>
      <c r="H2136" t="s">
        <v>2916</v>
      </c>
      <c r="I2136" t="s">
        <v>11178</v>
      </c>
      <c r="J2136">
        <v>35910</v>
      </c>
      <c r="K2136">
        <v>6154.61</v>
      </c>
      <c r="L2136" t="s">
        <v>2917</v>
      </c>
      <c r="M2136">
        <v>35910</v>
      </c>
      <c r="N2136" t="s">
        <v>2918</v>
      </c>
      <c r="O2136" t="s">
        <v>11179</v>
      </c>
      <c r="P2136" t="s">
        <v>11179</v>
      </c>
      <c r="Q2136" t="s">
        <v>2924</v>
      </c>
      <c r="R2136" t="s">
        <v>3219</v>
      </c>
      <c r="S2136" t="s">
        <v>2208</v>
      </c>
      <c r="T2136" t="s">
        <v>2208</v>
      </c>
    </row>
    <row r="2137" spans="1:20">
      <c r="A2137" t="s">
        <v>2557</v>
      </c>
      <c r="B2137" t="s">
        <v>9126</v>
      </c>
      <c r="C2137">
        <v>45740</v>
      </c>
      <c r="D2137" t="s">
        <v>7263</v>
      </c>
      <c r="E2137" t="s">
        <v>9127</v>
      </c>
      <c r="F2137">
        <v>45740</v>
      </c>
      <c r="G2137" t="s">
        <v>11173</v>
      </c>
      <c r="H2137" t="s">
        <v>2916</v>
      </c>
      <c r="I2137" t="s">
        <v>11442</v>
      </c>
      <c r="J2137">
        <v>-1</v>
      </c>
      <c r="K2137">
        <v>-2096.36</v>
      </c>
      <c r="L2137" t="s">
        <v>2917</v>
      </c>
      <c r="M2137">
        <v>-12231.5</v>
      </c>
      <c r="N2137" t="s">
        <v>2918</v>
      </c>
      <c r="O2137" t="s">
        <v>11175</v>
      </c>
      <c r="P2137" t="s">
        <v>12077</v>
      </c>
      <c r="Q2137" t="s">
        <v>2924</v>
      </c>
      <c r="R2137" t="s">
        <v>3219</v>
      </c>
      <c r="S2137" t="s">
        <v>2208</v>
      </c>
      <c r="T2137" t="s">
        <v>2208</v>
      </c>
    </row>
    <row r="2138" spans="1:20">
      <c r="A2138" t="s">
        <v>2557</v>
      </c>
      <c r="B2138" t="s">
        <v>9126</v>
      </c>
      <c r="C2138">
        <v>45740</v>
      </c>
      <c r="D2138" t="s">
        <v>7263</v>
      </c>
      <c r="E2138" t="s">
        <v>9127</v>
      </c>
      <c r="F2138">
        <v>45740</v>
      </c>
      <c r="G2138" t="s">
        <v>11173</v>
      </c>
      <c r="H2138" t="s">
        <v>2916</v>
      </c>
      <c r="I2138" t="s">
        <v>11443</v>
      </c>
      <c r="J2138">
        <v>-1</v>
      </c>
      <c r="K2138">
        <v>-8129.97</v>
      </c>
      <c r="L2138" t="s">
        <v>2917</v>
      </c>
      <c r="M2138">
        <v>-47435.47</v>
      </c>
      <c r="N2138" t="s">
        <v>2918</v>
      </c>
      <c r="O2138" t="s">
        <v>11175</v>
      </c>
      <c r="P2138" t="s">
        <v>12077</v>
      </c>
      <c r="Q2138" t="s">
        <v>2924</v>
      </c>
      <c r="R2138" t="s">
        <v>3219</v>
      </c>
      <c r="S2138" t="s">
        <v>2208</v>
      </c>
      <c r="T2138" t="s">
        <v>2208</v>
      </c>
    </row>
    <row r="2139" spans="1:20">
      <c r="A2139" t="s">
        <v>2557</v>
      </c>
      <c r="B2139" t="s">
        <v>9126</v>
      </c>
      <c r="C2139">
        <v>45741</v>
      </c>
      <c r="D2139" t="s">
        <v>7263</v>
      </c>
      <c r="E2139" t="s">
        <v>9127</v>
      </c>
      <c r="F2139">
        <v>45743</v>
      </c>
      <c r="G2139" t="s">
        <v>11177</v>
      </c>
      <c r="H2139" t="s">
        <v>2916</v>
      </c>
      <c r="I2139" t="s">
        <v>11444</v>
      </c>
      <c r="J2139">
        <v>0</v>
      </c>
      <c r="K2139">
        <v>-569.29999999999995</v>
      </c>
      <c r="L2139" t="s">
        <v>2917</v>
      </c>
      <c r="M2139">
        <v>-3321.68</v>
      </c>
      <c r="N2139" t="s">
        <v>2918</v>
      </c>
      <c r="O2139" t="s">
        <v>11445</v>
      </c>
      <c r="P2139" t="s">
        <v>11179</v>
      </c>
      <c r="Q2139" t="s">
        <v>2924</v>
      </c>
      <c r="R2139" t="s">
        <v>3219</v>
      </c>
      <c r="S2139" t="s">
        <v>2208</v>
      </c>
      <c r="T2139" t="s">
        <v>2208</v>
      </c>
    </row>
    <row r="2140" spans="1:20">
      <c r="A2140" t="s">
        <v>2557</v>
      </c>
      <c r="B2140" t="s">
        <v>9126</v>
      </c>
      <c r="C2140">
        <v>45747</v>
      </c>
      <c r="D2140" t="s">
        <v>7263</v>
      </c>
      <c r="E2140" t="s">
        <v>9127</v>
      </c>
      <c r="F2140">
        <v>45747</v>
      </c>
      <c r="G2140" t="s">
        <v>2208</v>
      </c>
      <c r="H2140" t="s">
        <v>2916</v>
      </c>
      <c r="I2140" t="s">
        <v>11446</v>
      </c>
      <c r="J2140">
        <v>0</v>
      </c>
      <c r="K2140">
        <v>5.84</v>
      </c>
      <c r="L2140" t="s">
        <v>2917</v>
      </c>
      <c r="M2140">
        <v>0</v>
      </c>
      <c r="N2140" t="s">
        <v>2918</v>
      </c>
      <c r="O2140" t="s">
        <v>2919</v>
      </c>
      <c r="P2140" t="s">
        <v>2208</v>
      </c>
      <c r="Q2140" t="s">
        <v>2916</v>
      </c>
      <c r="R2140" t="s">
        <v>3220</v>
      </c>
      <c r="S2140" t="s">
        <v>2208</v>
      </c>
      <c r="T2140" t="s">
        <v>2208</v>
      </c>
    </row>
    <row r="2141" spans="1:20">
      <c r="A2141" t="s">
        <v>2557</v>
      </c>
      <c r="B2141" t="s">
        <v>11331</v>
      </c>
      <c r="C2141">
        <v>45755</v>
      </c>
      <c r="D2141" t="s">
        <v>7263</v>
      </c>
      <c r="E2141" t="s">
        <v>11332</v>
      </c>
      <c r="F2141">
        <v>45755</v>
      </c>
      <c r="G2141" t="s">
        <v>11173</v>
      </c>
      <c r="H2141" t="s">
        <v>2916</v>
      </c>
      <c r="I2141" t="s">
        <v>12465</v>
      </c>
      <c r="J2141">
        <v>1</v>
      </c>
      <c r="K2141">
        <v>2124</v>
      </c>
      <c r="L2141" t="s">
        <v>2917</v>
      </c>
      <c r="M2141">
        <v>12231.5</v>
      </c>
      <c r="N2141" t="s">
        <v>2918</v>
      </c>
      <c r="O2141" t="s">
        <v>12077</v>
      </c>
      <c r="P2141" t="s">
        <v>12077</v>
      </c>
      <c r="Q2141" t="s">
        <v>2924</v>
      </c>
      <c r="R2141" t="s">
        <v>3219</v>
      </c>
      <c r="S2141" t="s">
        <v>2208</v>
      </c>
      <c r="T2141" t="s">
        <v>2208</v>
      </c>
    </row>
    <row r="2142" spans="1:20">
      <c r="A2142" t="s">
        <v>2557</v>
      </c>
      <c r="B2142" t="s">
        <v>11331</v>
      </c>
      <c r="C2142">
        <v>45755</v>
      </c>
      <c r="D2142" t="s">
        <v>7263</v>
      </c>
      <c r="E2142" t="s">
        <v>11332</v>
      </c>
      <c r="F2142">
        <v>45755</v>
      </c>
      <c r="G2142" t="s">
        <v>11173</v>
      </c>
      <c r="H2142" t="s">
        <v>2916</v>
      </c>
      <c r="I2142" t="s">
        <v>12466</v>
      </c>
      <c r="J2142">
        <v>1</v>
      </c>
      <c r="K2142">
        <v>8237.17</v>
      </c>
      <c r="L2142" t="s">
        <v>2917</v>
      </c>
      <c r="M2142">
        <v>47435.47</v>
      </c>
      <c r="N2142" t="s">
        <v>2918</v>
      </c>
      <c r="O2142" t="s">
        <v>12077</v>
      </c>
      <c r="P2142" t="s">
        <v>12077</v>
      </c>
      <c r="Q2142" t="s">
        <v>2924</v>
      </c>
      <c r="R2142" t="s">
        <v>3219</v>
      </c>
      <c r="S2142" t="s">
        <v>2208</v>
      </c>
      <c r="T2142" t="s">
        <v>2208</v>
      </c>
    </row>
    <row r="2143" spans="1:20">
      <c r="A2143" t="s">
        <v>2557</v>
      </c>
      <c r="B2143" t="s">
        <v>11331</v>
      </c>
      <c r="C2143">
        <v>45741</v>
      </c>
      <c r="D2143" t="s">
        <v>7263</v>
      </c>
      <c r="E2143" t="s">
        <v>11332</v>
      </c>
      <c r="F2143">
        <v>45756</v>
      </c>
      <c r="G2143" t="s">
        <v>11173</v>
      </c>
      <c r="H2143" t="s">
        <v>2916</v>
      </c>
      <c r="I2143" t="s">
        <v>12467</v>
      </c>
      <c r="J2143">
        <v>0</v>
      </c>
      <c r="K2143">
        <v>-761.94</v>
      </c>
      <c r="L2143" t="s">
        <v>2917</v>
      </c>
      <c r="M2143">
        <v>-4387.79</v>
      </c>
      <c r="N2143" t="s">
        <v>2918</v>
      </c>
      <c r="O2143" t="s">
        <v>12468</v>
      </c>
      <c r="P2143" t="s">
        <v>12077</v>
      </c>
      <c r="Q2143" t="s">
        <v>2924</v>
      </c>
      <c r="R2143" t="s">
        <v>3219</v>
      </c>
      <c r="S2143" t="s">
        <v>2208</v>
      </c>
      <c r="T2143" t="s">
        <v>2208</v>
      </c>
    </row>
    <row r="2144" spans="1:20">
      <c r="A2144" t="s">
        <v>2557</v>
      </c>
      <c r="B2144" t="s">
        <v>11331</v>
      </c>
      <c r="C2144">
        <v>45741</v>
      </c>
      <c r="D2144" t="s">
        <v>7263</v>
      </c>
      <c r="E2144" t="s">
        <v>11332</v>
      </c>
      <c r="F2144">
        <v>45756</v>
      </c>
      <c r="G2144" t="s">
        <v>11173</v>
      </c>
      <c r="H2144" t="s">
        <v>2916</v>
      </c>
      <c r="I2144" t="s">
        <v>12469</v>
      </c>
      <c r="J2144">
        <v>0</v>
      </c>
      <c r="K2144">
        <v>-196.47</v>
      </c>
      <c r="L2144" t="s">
        <v>2917</v>
      </c>
      <c r="M2144">
        <v>-1131.4100000000001</v>
      </c>
      <c r="N2144" t="s">
        <v>2918</v>
      </c>
      <c r="O2144" t="s">
        <v>12470</v>
      </c>
      <c r="P2144" t="s">
        <v>12077</v>
      </c>
      <c r="Q2144" t="s">
        <v>2924</v>
      </c>
      <c r="R2144" t="s">
        <v>3219</v>
      </c>
      <c r="S2144" t="s">
        <v>2208</v>
      </c>
      <c r="T2144" t="s">
        <v>2208</v>
      </c>
    </row>
    <row r="2145" spans="1:20">
      <c r="A2145" t="s">
        <v>2557</v>
      </c>
      <c r="B2145" t="s">
        <v>11331</v>
      </c>
      <c r="C2145">
        <v>45777</v>
      </c>
      <c r="D2145" t="s">
        <v>7263</v>
      </c>
      <c r="E2145" t="s">
        <v>11332</v>
      </c>
      <c r="F2145">
        <v>45777</v>
      </c>
      <c r="G2145" t="s">
        <v>2208</v>
      </c>
      <c r="H2145" t="s">
        <v>2916</v>
      </c>
      <c r="I2145" t="s">
        <v>16494</v>
      </c>
      <c r="J2145">
        <v>0</v>
      </c>
      <c r="K2145">
        <v>0.04</v>
      </c>
      <c r="L2145" t="s">
        <v>2917</v>
      </c>
      <c r="M2145">
        <v>0</v>
      </c>
      <c r="N2145" t="s">
        <v>2918</v>
      </c>
      <c r="O2145" t="s">
        <v>2919</v>
      </c>
      <c r="P2145" t="s">
        <v>2208</v>
      </c>
      <c r="Q2145" t="s">
        <v>2916</v>
      </c>
      <c r="R2145" t="s">
        <v>3220</v>
      </c>
      <c r="S2145" t="s">
        <v>2208</v>
      </c>
      <c r="T2145" t="s">
        <v>2208</v>
      </c>
    </row>
    <row r="2146" spans="1:20">
      <c r="A2146" t="s">
        <v>2557</v>
      </c>
      <c r="B2146" t="s">
        <v>16360</v>
      </c>
      <c r="C2146">
        <v>45646</v>
      </c>
      <c r="D2146" t="s">
        <v>7263</v>
      </c>
      <c r="E2146" t="s">
        <v>16361</v>
      </c>
      <c r="F2146">
        <v>45798</v>
      </c>
      <c r="G2146" t="s">
        <v>11177</v>
      </c>
      <c r="H2146" t="s">
        <v>2916</v>
      </c>
      <c r="I2146" t="s">
        <v>17315</v>
      </c>
      <c r="J2146">
        <v>35910</v>
      </c>
      <c r="K2146">
        <v>6374.03</v>
      </c>
      <c r="L2146" t="s">
        <v>2917</v>
      </c>
      <c r="M2146">
        <v>35910</v>
      </c>
      <c r="N2146" t="s">
        <v>2918</v>
      </c>
      <c r="O2146" t="s">
        <v>11179</v>
      </c>
      <c r="P2146" t="s">
        <v>11179</v>
      </c>
      <c r="Q2146" t="s">
        <v>2924</v>
      </c>
      <c r="R2146" t="s">
        <v>3219</v>
      </c>
      <c r="S2146" t="s">
        <v>2208</v>
      </c>
      <c r="T2146" t="s">
        <v>2208</v>
      </c>
    </row>
    <row r="2147" spans="1:20">
      <c r="A2147" t="s">
        <v>2557</v>
      </c>
      <c r="B2147" t="s">
        <v>16360</v>
      </c>
      <c r="C2147">
        <v>45798</v>
      </c>
      <c r="D2147" t="s">
        <v>7263</v>
      </c>
      <c r="E2147" t="s">
        <v>16361</v>
      </c>
      <c r="F2147">
        <v>45803</v>
      </c>
      <c r="G2147" t="s">
        <v>11177</v>
      </c>
      <c r="H2147" t="s">
        <v>2916</v>
      </c>
      <c r="I2147" t="s">
        <v>17626</v>
      </c>
      <c r="J2147">
        <v>0</v>
      </c>
      <c r="K2147">
        <v>-589.6</v>
      </c>
      <c r="L2147" t="s">
        <v>2917</v>
      </c>
      <c r="M2147">
        <v>-3321.68</v>
      </c>
      <c r="N2147" t="s">
        <v>2918</v>
      </c>
      <c r="O2147" t="s">
        <v>17627</v>
      </c>
      <c r="P2147" t="s">
        <v>11179</v>
      </c>
      <c r="Q2147" t="s">
        <v>2924</v>
      </c>
      <c r="R2147" t="s">
        <v>3219</v>
      </c>
      <c r="S2147" t="s">
        <v>2208</v>
      </c>
      <c r="T2147" t="s">
        <v>2208</v>
      </c>
    </row>
    <row r="2148" spans="1:20">
      <c r="A2148" t="s">
        <v>2557</v>
      </c>
      <c r="B2148" t="s">
        <v>16360</v>
      </c>
      <c r="C2148">
        <v>45808</v>
      </c>
      <c r="D2148" t="s">
        <v>7263</v>
      </c>
      <c r="E2148" t="s">
        <v>16361</v>
      </c>
      <c r="F2148">
        <v>45808</v>
      </c>
      <c r="G2148" t="s">
        <v>2208</v>
      </c>
      <c r="H2148" t="s">
        <v>2916</v>
      </c>
      <c r="I2148" t="s">
        <v>17887</v>
      </c>
      <c r="J2148">
        <v>0</v>
      </c>
      <c r="K2148">
        <v>-0.06</v>
      </c>
      <c r="L2148" t="s">
        <v>2917</v>
      </c>
      <c r="M2148">
        <v>0</v>
      </c>
      <c r="N2148" t="s">
        <v>2918</v>
      </c>
      <c r="O2148" t="s">
        <v>2919</v>
      </c>
      <c r="P2148" t="s">
        <v>2208</v>
      </c>
      <c r="Q2148" t="s">
        <v>2916</v>
      </c>
      <c r="R2148" t="s">
        <v>3220</v>
      </c>
      <c r="S2148" t="s">
        <v>2208</v>
      </c>
      <c r="T2148" t="s">
        <v>2208</v>
      </c>
    </row>
    <row r="2149" spans="1:20">
      <c r="A2149" t="s">
        <v>2557</v>
      </c>
      <c r="B2149" t="s">
        <v>17897</v>
      </c>
      <c r="C2149">
        <v>45646</v>
      </c>
      <c r="D2149" t="s">
        <v>7263</v>
      </c>
      <c r="E2149" t="s">
        <v>17898</v>
      </c>
      <c r="F2149">
        <v>45832</v>
      </c>
      <c r="G2149" t="s">
        <v>11177</v>
      </c>
      <c r="H2149" t="s">
        <v>2916</v>
      </c>
      <c r="I2149" t="s">
        <v>18985</v>
      </c>
      <c r="J2149">
        <v>35910</v>
      </c>
      <c r="K2149">
        <v>6327.34</v>
      </c>
      <c r="L2149" t="s">
        <v>2917</v>
      </c>
      <c r="M2149">
        <v>35910</v>
      </c>
      <c r="N2149" t="s">
        <v>2918</v>
      </c>
      <c r="O2149" t="s">
        <v>11179</v>
      </c>
      <c r="P2149" t="s">
        <v>11179</v>
      </c>
      <c r="Q2149" t="s">
        <v>2924</v>
      </c>
      <c r="R2149" t="s">
        <v>3219</v>
      </c>
      <c r="S2149" t="s">
        <v>2208</v>
      </c>
      <c r="T2149" t="s">
        <v>2208</v>
      </c>
    </row>
    <row r="2150" spans="1:20">
      <c r="A2150" t="s">
        <v>2557</v>
      </c>
      <c r="B2150" t="s">
        <v>17897</v>
      </c>
      <c r="C2150">
        <v>45832</v>
      </c>
      <c r="D2150" t="s">
        <v>7263</v>
      </c>
      <c r="E2150" t="s">
        <v>17898</v>
      </c>
      <c r="F2150">
        <v>45833</v>
      </c>
      <c r="G2150" t="s">
        <v>11177</v>
      </c>
      <c r="H2150" t="s">
        <v>2916</v>
      </c>
      <c r="I2150" t="s">
        <v>19055</v>
      </c>
      <c r="J2150">
        <v>0</v>
      </c>
      <c r="K2150">
        <v>-585.28</v>
      </c>
      <c r="L2150" t="s">
        <v>2917</v>
      </c>
      <c r="M2150">
        <v>-3321.68</v>
      </c>
      <c r="N2150" t="s">
        <v>2918</v>
      </c>
      <c r="O2150" t="s">
        <v>19056</v>
      </c>
      <c r="P2150" t="s">
        <v>11179</v>
      </c>
      <c r="Q2150" t="s">
        <v>2924</v>
      </c>
      <c r="R2150" t="s">
        <v>3219</v>
      </c>
      <c r="S2150" t="s">
        <v>2208</v>
      </c>
      <c r="T2150" t="s">
        <v>2208</v>
      </c>
    </row>
    <row r="2151" spans="1:20">
      <c r="A2151" t="s">
        <v>2557</v>
      </c>
      <c r="B2151" t="s">
        <v>17897</v>
      </c>
      <c r="C2151">
        <v>45838</v>
      </c>
      <c r="D2151" t="s">
        <v>7263</v>
      </c>
      <c r="E2151" t="s">
        <v>17898</v>
      </c>
      <c r="F2151">
        <v>45838</v>
      </c>
      <c r="G2151" t="s">
        <v>2208</v>
      </c>
      <c r="H2151" t="s">
        <v>2916</v>
      </c>
      <c r="I2151" t="s">
        <v>19282</v>
      </c>
      <c r="J2151">
        <v>0</v>
      </c>
      <c r="K2151">
        <v>-0.05</v>
      </c>
      <c r="L2151" t="s">
        <v>2917</v>
      </c>
      <c r="M2151">
        <v>0</v>
      </c>
      <c r="N2151" t="s">
        <v>2918</v>
      </c>
      <c r="O2151" t="s">
        <v>2919</v>
      </c>
      <c r="P2151" t="s">
        <v>2208</v>
      </c>
      <c r="Q2151" t="s">
        <v>2916</v>
      </c>
      <c r="R2151" t="s">
        <v>3220</v>
      </c>
      <c r="S2151" t="s">
        <v>2208</v>
      </c>
      <c r="T2151" t="s">
        <v>2208</v>
      </c>
    </row>
    <row r="2152" spans="1:20">
      <c r="A2152" t="s">
        <v>2604</v>
      </c>
      <c r="B2152" t="s">
        <v>9126</v>
      </c>
      <c r="C2152">
        <v>45709</v>
      </c>
      <c r="D2152" t="s">
        <v>7263</v>
      </c>
      <c r="E2152" t="s">
        <v>9127</v>
      </c>
      <c r="F2152">
        <v>45720</v>
      </c>
      <c r="G2152" t="s">
        <v>2208</v>
      </c>
      <c r="H2152" t="s">
        <v>2916</v>
      </c>
      <c r="I2152" t="s">
        <v>9179</v>
      </c>
      <c r="J2152">
        <v>0</v>
      </c>
      <c r="K2152">
        <v>384.27</v>
      </c>
      <c r="L2152" t="s">
        <v>2917</v>
      </c>
      <c r="M2152">
        <v>2242.0700000000002</v>
      </c>
      <c r="N2152" t="s">
        <v>2918</v>
      </c>
      <c r="O2152" t="s">
        <v>9180</v>
      </c>
      <c r="P2152" t="s">
        <v>2208</v>
      </c>
      <c r="Q2152" t="s">
        <v>9181</v>
      </c>
      <c r="R2152" t="s">
        <v>9182</v>
      </c>
      <c r="S2152" t="s">
        <v>2208</v>
      </c>
      <c r="T2152" t="s">
        <v>2208</v>
      </c>
    </row>
    <row r="2153" spans="1:20">
      <c r="A2153" t="s">
        <v>2604</v>
      </c>
      <c r="B2153" t="s">
        <v>9126</v>
      </c>
      <c r="C2153">
        <v>45693</v>
      </c>
      <c r="D2153" t="s">
        <v>7263</v>
      </c>
      <c r="E2153" t="s">
        <v>9127</v>
      </c>
      <c r="F2153">
        <v>45740</v>
      </c>
      <c r="G2153" t="s">
        <v>11180</v>
      </c>
      <c r="H2153" t="s">
        <v>2916</v>
      </c>
      <c r="I2153" t="s">
        <v>11181</v>
      </c>
      <c r="J2153">
        <v>7400</v>
      </c>
      <c r="K2153">
        <v>1268.29</v>
      </c>
      <c r="L2153" t="s">
        <v>2917</v>
      </c>
      <c r="M2153">
        <v>7400</v>
      </c>
      <c r="N2153" t="s">
        <v>2918</v>
      </c>
      <c r="O2153" t="s">
        <v>2939</v>
      </c>
      <c r="P2153" t="s">
        <v>2939</v>
      </c>
      <c r="Q2153" t="s">
        <v>2924</v>
      </c>
      <c r="R2153" t="s">
        <v>3219</v>
      </c>
      <c r="S2153" t="s">
        <v>2208</v>
      </c>
      <c r="T2153" t="s">
        <v>2208</v>
      </c>
    </row>
    <row r="2154" spans="1:20">
      <c r="A2154" t="s">
        <v>2604</v>
      </c>
      <c r="B2154" t="s">
        <v>9126</v>
      </c>
      <c r="C2154">
        <v>45541</v>
      </c>
      <c r="D2154" t="s">
        <v>7263</v>
      </c>
      <c r="E2154" t="s">
        <v>9127</v>
      </c>
      <c r="F2154">
        <v>45741</v>
      </c>
      <c r="G2154" t="s">
        <v>11182</v>
      </c>
      <c r="H2154" t="s">
        <v>2916</v>
      </c>
      <c r="I2154" t="s">
        <v>11183</v>
      </c>
      <c r="J2154">
        <v>8000</v>
      </c>
      <c r="K2154">
        <v>1371.12</v>
      </c>
      <c r="L2154" t="s">
        <v>2917</v>
      </c>
      <c r="M2154">
        <v>8000</v>
      </c>
      <c r="N2154" t="s">
        <v>2918</v>
      </c>
      <c r="O2154" t="s">
        <v>2939</v>
      </c>
      <c r="P2154" t="s">
        <v>2939</v>
      </c>
      <c r="Q2154" t="s">
        <v>2924</v>
      </c>
      <c r="R2154" t="s">
        <v>3219</v>
      </c>
      <c r="S2154" t="s">
        <v>2208</v>
      </c>
      <c r="T2154" t="s">
        <v>2208</v>
      </c>
    </row>
    <row r="2155" spans="1:20">
      <c r="A2155" t="s">
        <v>2604</v>
      </c>
      <c r="B2155" t="s">
        <v>9126</v>
      </c>
      <c r="C2155">
        <v>45747</v>
      </c>
      <c r="D2155" t="s">
        <v>7263</v>
      </c>
      <c r="E2155" t="s">
        <v>9127</v>
      </c>
      <c r="F2155">
        <v>45747</v>
      </c>
      <c r="G2155" t="s">
        <v>2208</v>
      </c>
      <c r="H2155" t="s">
        <v>2916</v>
      </c>
      <c r="I2155" t="s">
        <v>11447</v>
      </c>
      <c r="J2155">
        <v>0</v>
      </c>
      <c r="K2155">
        <v>-0.02</v>
      </c>
      <c r="L2155" t="s">
        <v>2917</v>
      </c>
      <c r="M2155">
        <v>0</v>
      </c>
      <c r="N2155" t="s">
        <v>2918</v>
      </c>
      <c r="O2155" t="s">
        <v>2919</v>
      </c>
      <c r="P2155" t="s">
        <v>2208</v>
      </c>
      <c r="Q2155" t="s">
        <v>2916</v>
      </c>
      <c r="R2155" t="s">
        <v>3220</v>
      </c>
      <c r="S2155" t="s">
        <v>2208</v>
      </c>
      <c r="T2155" t="s">
        <v>2208</v>
      </c>
    </row>
    <row r="2156" spans="1:20">
      <c r="A2156" t="s">
        <v>2619</v>
      </c>
      <c r="B2156" t="s">
        <v>11331</v>
      </c>
      <c r="C2156">
        <v>45756</v>
      </c>
      <c r="D2156" t="s">
        <v>7263</v>
      </c>
      <c r="E2156" t="s">
        <v>11332</v>
      </c>
      <c r="F2156">
        <v>45757</v>
      </c>
      <c r="G2156" t="s">
        <v>12471</v>
      </c>
      <c r="H2156" t="s">
        <v>2916</v>
      </c>
      <c r="I2156" t="s">
        <v>12472</v>
      </c>
      <c r="J2156">
        <v>3</v>
      </c>
      <c r="K2156">
        <v>172164.64</v>
      </c>
      <c r="L2156" t="s">
        <v>2917</v>
      </c>
      <c r="M2156">
        <v>991446.26</v>
      </c>
      <c r="N2156" t="s">
        <v>2918</v>
      </c>
      <c r="O2156" t="s">
        <v>12473</v>
      </c>
      <c r="P2156" t="s">
        <v>12474</v>
      </c>
      <c r="Q2156" t="s">
        <v>2927</v>
      </c>
      <c r="R2156" t="s">
        <v>3222</v>
      </c>
      <c r="S2156" t="s">
        <v>12475</v>
      </c>
      <c r="T2156" t="s">
        <v>12474</v>
      </c>
    </row>
    <row r="2157" spans="1:20">
      <c r="A2157" t="s">
        <v>2619</v>
      </c>
      <c r="B2157" t="s">
        <v>11331</v>
      </c>
      <c r="C2157">
        <v>45771</v>
      </c>
      <c r="D2157" t="s">
        <v>7263</v>
      </c>
      <c r="E2157" t="s">
        <v>11332</v>
      </c>
      <c r="F2157">
        <v>45771</v>
      </c>
      <c r="G2157" t="s">
        <v>2208</v>
      </c>
      <c r="H2157" t="s">
        <v>2916</v>
      </c>
      <c r="I2157" t="s">
        <v>15983</v>
      </c>
      <c r="J2157">
        <v>0</v>
      </c>
      <c r="K2157">
        <v>2334.87</v>
      </c>
      <c r="L2157" t="s">
        <v>2917</v>
      </c>
      <c r="M2157">
        <v>13445.83</v>
      </c>
      <c r="N2157" t="s">
        <v>2918</v>
      </c>
      <c r="O2157" t="s">
        <v>15984</v>
      </c>
      <c r="P2157" t="s">
        <v>2208</v>
      </c>
      <c r="Q2157" t="s">
        <v>2927</v>
      </c>
      <c r="R2157" t="s">
        <v>3222</v>
      </c>
      <c r="S2157" t="s">
        <v>12475</v>
      </c>
      <c r="T2157" t="s">
        <v>12474</v>
      </c>
    </row>
    <row r="2158" spans="1:20">
      <c r="A2158" t="s">
        <v>2619</v>
      </c>
      <c r="B2158" t="s">
        <v>11331</v>
      </c>
      <c r="C2158">
        <v>45777</v>
      </c>
      <c r="D2158" t="s">
        <v>7263</v>
      </c>
      <c r="E2158" t="s">
        <v>11332</v>
      </c>
      <c r="F2158">
        <v>45777</v>
      </c>
      <c r="G2158" t="s">
        <v>2208</v>
      </c>
      <c r="H2158" t="s">
        <v>2916</v>
      </c>
      <c r="I2158" t="s">
        <v>16495</v>
      </c>
      <c r="J2158">
        <v>0</v>
      </c>
      <c r="K2158">
        <v>-0.01</v>
      </c>
      <c r="L2158" t="s">
        <v>2917</v>
      </c>
      <c r="M2158">
        <v>0</v>
      </c>
      <c r="N2158" t="s">
        <v>2918</v>
      </c>
      <c r="O2158" t="s">
        <v>2919</v>
      </c>
      <c r="P2158" t="s">
        <v>2208</v>
      </c>
      <c r="Q2158" t="s">
        <v>2916</v>
      </c>
      <c r="R2158" t="s">
        <v>3220</v>
      </c>
      <c r="S2158" t="s">
        <v>2208</v>
      </c>
      <c r="T2158" t="s">
        <v>2208</v>
      </c>
    </row>
    <row r="2159" spans="1:20">
      <c r="A2159" t="s">
        <v>2619</v>
      </c>
      <c r="B2159" t="s">
        <v>16360</v>
      </c>
      <c r="C2159">
        <v>45761</v>
      </c>
      <c r="D2159" t="s">
        <v>7263</v>
      </c>
      <c r="E2159" t="s">
        <v>16361</v>
      </c>
      <c r="F2159">
        <v>45782</v>
      </c>
      <c r="G2159" t="s">
        <v>12471</v>
      </c>
      <c r="H2159" t="s">
        <v>2916</v>
      </c>
      <c r="I2159" t="s">
        <v>16929</v>
      </c>
      <c r="J2159">
        <v>0</v>
      </c>
      <c r="K2159">
        <v>342.63</v>
      </c>
      <c r="L2159" t="s">
        <v>2917</v>
      </c>
      <c r="M2159">
        <v>1930.33</v>
      </c>
      <c r="N2159" t="s">
        <v>2918</v>
      </c>
      <c r="O2159" t="s">
        <v>16930</v>
      </c>
      <c r="P2159" t="s">
        <v>12474</v>
      </c>
      <c r="Q2159" t="s">
        <v>2934</v>
      </c>
      <c r="R2159" t="s">
        <v>2935</v>
      </c>
      <c r="S2159" t="s">
        <v>12475</v>
      </c>
      <c r="T2159" t="s">
        <v>12474</v>
      </c>
    </row>
    <row r="2160" spans="1:20">
      <c r="A2160" t="s">
        <v>2619</v>
      </c>
      <c r="B2160" t="s">
        <v>16360</v>
      </c>
      <c r="C2160">
        <v>45806</v>
      </c>
      <c r="D2160" t="s">
        <v>7263</v>
      </c>
      <c r="E2160" t="s">
        <v>16361</v>
      </c>
      <c r="F2160">
        <v>45806</v>
      </c>
      <c r="G2160" t="s">
        <v>2208</v>
      </c>
      <c r="H2160" t="s">
        <v>2916</v>
      </c>
      <c r="I2160" t="s">
        <v>17825</v>
      </c>
      <c r="J2160">
        <v>0</v>
      </c>
      <c r="K2160">
        <v>11.74</v>
      </c>
      <c r="L2160" t="s">
        <v>2917</v>
      </c>
      <c r="M2160">
        <v>66.16</v>
      </c>
      <c r="N2160" t="s">
        <v>2918</v>
      </c>
      <c r="O2160" t="s">
        <v>3313</v>
      </c>
      <c r="P2160" t="s">
        <v>2208</v>
      </c>
      <c r="Q2160" t="s">
        <v>2929</v>
      </c>
      <c r="R2160" t="s">
        <v>3228</v>
      </c>
      <c r="S2160" t="s">
        <v>2208</v>
      </c>
      <c r="T2160" t="s">
        <v>2208</v>
      </c>
    </row>
    <row r="2161" spans="1:20">
      <c r="A2161" t="s">
        <v>2619</v>
      </c>
      <c r="B2161" t="s">
        <v>16360</v>
      </c>
      <c r="C2161">
        <v>45808</v>
      </c>
      <c r="D2161" t="s">
        <v>7263</v>
      </c>
      <c r="E2161" t="s">
        <v>16361</v>
      </c>
      <c r="F2161">
        <v>45808</v>
      </c>
      <c r="G2161" t="s">
        <v>2208</v>
      </c>
      <c r="H2161" t="s">
        <v>2916</v>
      </c>
      <c r="I2161" t="s">
        <v>17888</v>
      </c>
      <c r="J2161">
        <v>0</v>
      </c>
      <c r="K2161">
        <v>-0.08</v>
      </c>
      <c r="L2161" t="s">
        <v>2917</v>
      </c>
      <c r="M2161">
        <v>0</v>
      </c>
      <c r="N2161" t="s">
        <v>2918</v>
      </c>
      <c r="O2161" t="s">
        <v>2919</v>
      </c>
      <c r="P2161" t="s">
        <v>2208</v>
      </c>
      <c r="Q2161" t="s">
        <v>2916</v>
      </c>
      <c r="R2161" t="s">
        <v>3220</v>
      </c>
      <c r="S2161" t="s">
        <v>2208</v>
      </c>
      <c r="T2161" t="s">
        <v>2208</v>
      </c>
    </row>
    <row r="2162" spans="1:20">
      <c r="A2162" t="s">
        <v>2619</v>
      </c>
      <c r="B2162" t="s">
        <v>17897</v>
      </c>
      <c r="C2162">
        <v>45832</v>
      </c>
      <c r="D2162" t="s">
        <v>7263</v>
      </c>
      <c r="E2162" t="s">
        <v>17898</v>
      </c>
      <c r="F2162">
        <v>45832</v>
      </c>
      <c r="G2162" t="s">
        <v>2208</v>
      </c>
      <c r="H2162" t="s">
        <v>2916</v>
      </c>
      <c r="I2162" t="s">
        <v>18997</v>
      </c>
      <c r="J2162">
        <v>0</v>
      </c>
      <c r="K2162">
        <v>-11.66</v>
      </c>
      <c r="L2162" t="s">
        <v>2917</v>
      </c>
      <c r="M2162">
        <v>-66.16</v>
      </c>
      <c r="N2162" t="s">
        <v>2918</v>
      </c>
      <c r="O2162" t="s">
        <v>3313</v>
      </c>
      <c r="P2162" t="s">
        <v>2208</v>
      </c>
      <c r="Q2162" t="s">
        <v>2929</v>
      </c>
      <c r="R2162" t="s">
        <v>3228</v>
      </c>
      <c r="S2162" t="s">
        <v>2208</v>
      </c>
      <c r="T2162" t="s">
        <v>2208</v>
      </c>
    </row>
    <row r="2163" spans="1:20">
      <c r="A2163" t="s">
        <v>2619</v>
      </c>
      <c r="B2163" t="s">
        <v>17897</v>
      </c>
      <c r="C2163">
        <v>45832</v>
      </c>
      <c r="D2163" t="s">
        <v>7263</v>
      </c>
      <c r="E2163" t="s">
        <v>17898</v>
      </c>
      <c r="F2163">
        <v>45832</v>
      </c>
      <c r="G2163" t="s">
        <v>2208</v>
      </c>
      <c r="H2163" t="s">
        <v>2916</v>
      </c>
      <c r="I2163" t="s">
        <v>19057</v>
      </c>
      <c r="J2163">
        <v>0</v>
      </c>
      <c r="K2163">
        <v>11.66</v>
      </c>
      <c r="L2163" t="s">
        <v>2917</v>
      </c>
      <c r="M2163">
        <v>66.16</v>
      </c>
      <c r="N2163" t="s">
        <v>2918</v>
      </c>
      <c r="O2163" t="s">
        <v>15984</v>
      </c>
      <c r="P2163" t="s">
        <v>2208</v>
      </c>
      <c r="Q2163" t="s">
        <v>2927</v>
      </c>
      <c r="R2163" t="s">
        <v>3222</v>
      </c>
      <c r="S2163" t="s">
        <v>12475</v>
      </c>
      <c r="T2163" t="s">
        <v>12474</v>
      </c>
    </row>
    <row r="2164" spans="1:20">
      <c r="A2164" t="s">
        <v>2619</v>
      </c>
      <c r="B2164" t="s">
        <v>11331</v>
      </c>
      <c r="C2164">
        <v>45775</v>
      </c>
      <c r="D2164" t="s">
        <v>7263</v>
      </c>
      <c r="E2164" t="s">
        <v>11332</v>
      </c>
      <c r="F2164">
        <v>45775</v>
      </c>
      <c r="G2164" t="s">
        <v>2208</v>
      </c>
      <c r="H2164" t="s">
        <v>2916</v>
      </c>
      <c r="I2164" t="s">
        <v>16176</v>
      </c>
      <c r="J2164">
        <v>0</v>
      </c>
      <c r="K2164">
        <v>22.98</v>
      </c>
      <c r="L2164" t="s">
        <v>2917</v>
      </c>
      <c r="M2164">
        <v>132.32</v>
      </c>
      <c r="N2164" t="s">
        <v>2918</v>
      </c>
      <c r="O2164" t="s">
        <v>3313</v>
      </c>
      <c r="P2164" t="s">
        <v>2208</v>
      </c>
      <c r="Q2164" t="s">
        <v>2929</v>
      </c>
      <c r="R2164" t="s">
        <v>3228</v>
      </c>
      <c r="S2164" t="s">
        <v>2208</v>
      </c>
      <c r="T2164" t="s">
        <v>2208</v>
      </c>
    </row>
    <row r="2165" spans="1:20">
      <c r="A2165" t="s">
        <v>2619</v>
      </c>
      <c r="B2165" t="s">
        <v>11331</v>
      </c>
      <c r="C2165">
        <v>45777</v>
      </c>
      <c r="D2165" t="s">
        <v>7263</v>
      </c>
      <c r="E2165" t="s">
        <v>11332</v>
      </c>
      <c r="F2165">
        <v>45777</v>
      </c>
      <c r="G2165" t="s">
        <v>2208</v>
      </c>
      <c r="H2165" t="s">
        <v>2916</v>
      </c>
      <c r="I2165" t="s">
        <v>16317</v>
      </c>
      <c r="J2165">
        <v>0</v>
      </c>
      <c r="K2165">
        <v>335.11</v>
      </c>
      <c r="L2165" t="s">
        <v>2917</v>
      </c>
      <c r="M2165">
        <v>1929.82</v>
      </c>
      <c r="N2165" t="s">
        <v>2918</v>
      </c>
      <c r="O2165" t="s">
        <v>16318</v>
      </c>
      <c r="P2165" t="s">
        <v>2208</v>
      </c>
      <c r="Q2165" t="s">
        <v>2926</v>
      </c>
      <c r="R2165" t="s">
        <v>3312</v>
      </c>
      <c r="S2165" t="s">
        <v>2208</v>
      </c>
      <c r="T2165" t="s">
        <v>2208</v>
      </c>
    </row>
    <row r="2166" spans="1:20">
      <c r="A2166" t="s">
        <v>2619</v>
      </c>
      <c r="B2166" t="s">
        <v>11331</v>
      </c>
      <c r="C2166">
        <v>45777</v>
      </c>
      <c r="D2166" t="s">
        <v>7263</v>
      </c>
      <c r="E2166" t="s">
        <v>11332</v>
      </c>
      <c r="F2166">
        <v>45777</v>
      </c>
      <c r="G2166" t="s">
        <v>2208</v>
      </c>
      <c r="H2166" t="s">
        <v>2916</v>
      </c>
      <c r="I2166" t="s">
        <v>16496</v>
      </c>
      <c r="J2166">
        <v>0</v>
      </c>
      <c r="K2166">
        <v>-0.02</v>
      </c>
      <c r="L2166" t="s">
        <v>2917</v>
      </c>
      <c r="M2166">
        <v>0</v>
      </c>
      <c r="N2166" t="s">
        <v>2918</v>
      </c>
      <c r="O2166" t="s">
        <v>2919</v>
      </c>
      <c r="P2166" t="s">
        <v>2208</v>
      </c>
      <c r="Q2166" t="s">
        <v>2916</v>
      </c>
      <c r="R2166" t="s">
        <v>3220</v>
      </c>
      <c r="S2166" t="s">
        <v>2208</v>
      </c>
      <c r="T2166" t="s">
        <v>2208</v>
      </c>
    </row>
    <row r="2167" spans="1:20">
      <c r="A2167" t="s">
        <v>2619</v>
      </c>
      <c r="B2167" t="s">
        <v>16360</v>
      </c>
      <c r="C2167">
        <v>45777</v>
      </c>
      <c r="D2167" t="s">
        <v>7263</v>
      </c>
      <c r="E2167" t="s">
        <v>16361</v>
      </c>
      <c r="F2167">
        <v>45797</v>
      </c>
      <c r="G2167" t="s">
        <v>2208</v>
      </c>
      <c r="H2167" t="s">
        <v>2916</v>
      </c>
      <c r="I2167" t="s">
        <v>17260</v>
      </c>
      <c r="J2167">
        <v>0</v>
      </c>
      <c r="K2167">
        <v>-335.11</v>
      </c>
      <c r="L2167" t="s">
        <v>2917</v>
      </c>
      <c r="M2167">
        <v>-1929.82</v>
      </c>
      <c r="N2167" t="s">
        <v>2918</v>
      </c>
      <c r="O2167" t="s">
        <v>16318</v>
      </c>
      <c r="P2167" t="s">
        <v>2208</v>
      </c>
      <c r="Q2167" t="s">
        <v>2926</v>
      </c>
      <c r="R2167" t="s">
        <v>3312</v>
      </c>
      <c r="S2167" t="s">
        <v>2208</v>
      </c>
      <c r="T2167" t="s">
        <v>2208</v>
      </c>
    </row>
    <row r="2168" spans="1:20">
      <c r="A2168" t="s">
        <v>2619</v>
      </c>
      <c r="B2168" t="s">
        <v>16360</v>
      </c>
      <c r="C2168">
        <v>45775</v>
      </c>
      <c r="D2168" t="s">
        <v>7263</v>
      </c>
      <c r="E2168" t="s">
        <v>16361</v>
      </c>
      <c r="F2168">
        <v>45803</v>
      </c>
      <c r="G2168" t="s">
        <v>2208</v>
      </c>
      <c r="H2168" t="s">
        <v>2916</v>
      </c>
      <c r="I2168" t="s">
        <v>17418</v>
      </c>
      <c r="J2168">
        <v>0</v>
      </c>
      <c r="K2168">
        <v>-22.98</v>
      </c>
      <c r="L2168" t="s">
        <v>2917</v>
      </c>
      <c r="M2168">
        <v>-132.32</v>
      </c>
      <c r="N2168" t="s">
        <v>2918</v>
      </c>
      <c r="O2168" t="s">
        <v>3313</v>
      </c>
      <c r="P2168" t="s">
        <v>2208</v>
      </c>
      <c r="Q2168" t="s">
        <v>2929</v>
      </c>
      <c r="R2168" t="s">
        <v>3228</v>
      </c>
      <c r="S2168" t="s">
        <v>2208</v>
      </c>
      <c r="T2168" t="s">
        <v>2208</v>
      </c>
    </row>
    <row r="2169" spans="1:20">
      <c r="A2169" t="s">
        <v>2619</v>
      </c>
      <c r="B2169" t="s">
        <v>16360</v>
      </c>
      <c r="C2169">
        <v>45808</v>
      </c>
      <c r="D2169" t="s">
        <v>7263</v>
      </c>
      <c r="E2169" t="s">
        <v>16361</v>
      </c>
      <c r="F2169">
        <v>45808</v>
      </c>
      <c r="G2169" t="s">
        <v>2208</v>
      </c>
      <c r="H2169" t="s">
        <v>2916</v>
      </c>
      <c r="I2169" t="s">
        <v>17889</v>
      </c>
      <c r="J2169">
        <v>0</v>
      </c>
      <c r="K2169">
        <v>-7.92</v>
      </c>
      <c r="L2169" t="s">
        <v>2917</v>
      </c>
      <c r="M2169">
        <v>0</v>
      </c>
      <c r="N2169" t="s">
        <v>2918</v>
      </c>
      <c r="O2169" t="s">
        <v>2919</v>
      </c>
      <c r="P2169" t="s">
        <v>2208</v>
      </c>
      <c r="Q2169" t="s">
        <v>2916</v>
      </c>
      <c r="R2169" t="s">
        <v>3220</v>
      </c>
      <c r="S2169" t="s">
        <v>2208</v>
      </c>
      <c r="T2169" t="s">
        <v>2208</v>
      </c>
    </row>
    <row r="2170" spans="1:20">
      <c r="A2170" t="s">
        <v>2616</v>
      </c>
      <c r="B2170" t="s">
        <v>11331</v>
      </c>
      <c r="C2170">
        <v>45776</v>
      </c>
      <c r="D2170" t="s">
        <v>7263</v>
      </c>
      <c r="E2170" t="s">
        <v>11332</v>
      </c>
      <c r="F2170">
        <v>45776</v>
      </c>
      <c r="G2170" t="s">
        <v>2208</v>
      </c>
      <c r="H2170" t="s">
        <v>2916</v>
      </c>
      <c r="I2170" t="s">
        <v>16321</v>
      </c>
      <c r="J2170">
        <v>0</v>
      </c>
      <c r="K2170">
        <v>58181.95</v>
      </c>
      <c r="L2170" t="s">
        <v>2917</v>
      </c>
      <c r="M2170">
        <v>335053</v>
      </c>
      <c r="N2170" t="s">
        <v>2918</v>
      </c>
      <c r="O2170" t="s">
        <v>16322</v>
      </c>
      <c r="P2170" t="s">
        <v>2208</v>
      </c>
      <c r="Q2170" t="s">
        <v>16323</v>
      </c>
      <c r="R2170" t="s">
        <v>16324</v>
      </c>
      <c r="S2170" t="s">
        <v>2208</v>
      </c>
      <c r="T2170" t="s">
        <v>2208</v>
      </c>
    </row>
    <row r="2171" spans="1:20">
      <c r="A2171" t="s">
        <v>2616</v>
      </c>
      <c r="B2171" t="s">
        <v>11331</v>
      </c>
      <c r="C2171">
        <v>45776</v>
      </c>
      <c r="D2171" t="s">
        <v>7263</v>
      </c>
      <c r="E2171" t="s">
        <v>11332</v>
      </c>
      <c r="F2171">
        <v>45777</v>
      </c>
      <c r="G2171" t="s">
        <v>2208</v>
      </c>
      <c r="H2171" t="s">
        <v>2916</v>
      </c>
      <c r="I2171" t="s">
        <v>16325</v>
      </c>
      <c r="J2171">
        <v>0</v>
      </c>
      <c r="K2171">
        <v>-58181.95</v>
      </c>
      <c r="L2171" t="s">
        <v>2917</v>
      </c>
      <c r="M2171">
        <v>-335053</v>
      </c>
      <c r="N2171" t="s">
        <v>2918</v>
      </c>
      <c r="O2171" t="s">
        <v>16322</v>
      </c>
      <c r="P2171" t="s">
        <v>2208</v>
      </c>
      <c r="Q2171" t="s">
        <v>16323</v>
      </c>
      <c r="R2171" t="s">
        <v>16324</v>
      </c>
      <c r="S2171" t="s">
        <v>2208</v>
      </c>
      <c r="T2171" t="s">
        <v>2208</v>
      </c>
    </row>
    <row r="2172" spans="1:20">
      <c r="A2172" t="s">
        <v>2616</v>
      </c>
      <c r="B2172" t="s">
        <v>11331</v>
      </c>
      <c r="C2172">
        <v>45776</v>
      </c>
      <c r="D2172" t="s">
        <v>7263</v>
      </c>
      <c r="E2172" t="s">
        <v>11332</v>
      </c>
      <c r="F2172">
        <v>45777</v>
      </c>
      <c r="G2172" t="s">
        <v>16326</v>
      </c>
      <c r="H2172" t="s">
        <v>2916</v>
      </c>
      <c r="I2172" t="s">
        <v>16327</v>
      </c>
      <c r="J2172">
        <v>1</v>
      </c>
      <c r="K2172">
        <v>103002.37</v>
      </c>
      <c r="L2172" t="s">
        <v>2917</v>
      </c>
      <c r="M2172">
        <v>593160.76</v>
      </c>
      <c r="N2172" t="s">
        <v>2918</v>
      </c>
      <c r="O2172" t="s">
        <v>16328</v>
      </c>
      <c r="P2172" t="s">
        <v>16329</v>
      </c>
      <c r="Q2172" t="s">
        <v>2924</v>
      </c>
      <c r="R2172" t="s">
        <v>3219</v>
      </c>
      <c r="S2172" t="s">
        <v>16330</v>
      </c>
      <c r="T2172" t="s">
        <v>16331</v>
      </c>
    </row>
    <row r="2173" spans="1:20">
      <c r="A2173" t="s">
        <v>2616</v>
      </c>
      <c r="B2173" t="s">
        <v>11331</v>
      </c>
      <c r="C2173">
        <v>45777</v>
      </c>
      <c r="D2173" t="s">
        <v>7263</v>
      </c>
      <c r="E2173" t="s">
        <v>11332</v>
      </c>
      <c r="F2173">
        <v>45777</v>
      </c>
      <c r="G2173" t="s">
        <v>2208</v>
      </c>
      <c r="H2173" t="s">
        <v>2916</v>
      </c>
      <c r="I2173" t="s">
        <v>16497</v>
      </c>
      <c r="J2173">
        <v>0</v>
      </c>
      <c r="K2173">
        <v>0.04</v>
      </c>
      <c r="L2173" t="s">
        <v>2917</v>
      </c>
      <c r="M2173">
        <v>0</v>
      </c>
      <c r="N2173" t="s">
        <v>2918</v>
      </c>
      <c r="O2173" t="s">
        <v>2919</v>
      </c>
      <c r="P2173" t="s">
        <v>2208</v>
      </c>
      <c r="Q2173" t="s">
        <v>2916</v>
      </c>
      <c r="R2173" t="s">
        <v>3220</v>
      </c>
      <c r="S2173" t="s">
        <v>2208</v>
      </c>
      <c r="T2173" t="s">
        <v>2208</v>
      </c>
    </row>
    <row r="2174" spans="1:20">
      <c r="A2174" t="s">
        <v>2616</v>
      </c>
      <c r="B2174" t="s">
        <v>16360</v>
      </c>
      <c r="C2174">
        <v>45776</v>
      </c>
      <c r="D2174" t="s">
        <v>7263</v>
      </c>
      <c r="E2174" t="s">
        <v>16361</v>
      </c>
      <c r="F2174">
        <v>45785</v>
      </c>
      <c r="G2174" t="s">
        <v>16326</v>
      </c>
      <c r="H2174" t="s">
        <v>2916</v>
      </c>
      <c r="I2174" t="s">
        <v>16972</v>
      </c>
      <c r="J2174">
        <v>0</v>
      </c>
      <c r="K2174">
        <v>-7455.09</v>
      </c>
      <c r="L2174" t="s">
        <v>2917</v>
      </c>
      <c r="M2174">
        <v>-54866.2</v>
      </c>
      <c r="N2174" t="s">
        <v>2918</v>
      </c>
      <c r="O2174" t="s">
        <v>16973</v>
      </c>
      <c r="P2174" t="s">
        <v>16329</v>
      </c>
      <c r="Q2174" t="s">
        <v>2924</v>
      </c>
      <c r="R2174" t="s">
        <v>3219</v>
      </c>
      <c r="S2174" t="s">
        <v>16330</v>
      </c>
      <c r="T2174" t="s">
        <v>16331</v>
      </c>
    </row>
    <row r="2175" spans="1:20">
      <c r="A2175" t="s">
        <v>2616</v>
      </c>
      <c r="B2175" t="s">
        <v>16360</v>
      </c>
      <c r="C2175">
        <v>45547</v>
      </c>
      <c r="D2175" t="s">
        <v>7263</v>
      </c>
      <c r="E2175" t="s">
        <v>16361</v>
      </c>
      <c r="F2175">
        <v>45793</v>
      </c>
      <c r="G2175" t="s">
        <v>16326</v>
      </c>
      <c r="H2175" t="s">
        <v>2916</v>
      </c>
      <c r="I2175" t="s">
        <v>17081</v>
      </c>
      <c r="J2175">
        <v>301547.7</v>
      </c>
      <c r="K2175">
        <v>53524.72</v>
      </c>
      <c r="L2175" t="s">
        <v>2917</v>
      </c>
      <c r="M2175">
        <v>301547.7</v>
      </c>
      <c r="N2175" t="s">
        <v>2918</v>
      </c>
      <c r="O2175" t="s">
        <v>2940</v>
      </c>
      <c r="P2175" t="s">
        <v>3315</v>
      </c>
      <c r="Q2175" t="s">
        <v>2924</v>
      </c>
      <c r="R2175" t="s">
        <v>3219</v>
      </c>
      <c r="S2175" t="s">
        <v>2208</v>
      </c>
      <c r="T2175" t="s">
        <v>2208</v>
      </c>
    </row>
    <row r="2176" spans="1:20">
      <c r="A2176" t="s">
        <v>2616</v>
      </c>
      <c r="B2176" t="s">
        <v>16360</v>
      </c>
      <c r="C2176">
        <v>45808</v>
      </c>
      <c r="D2176" t="s">
        <v>7263</v>
      </c>
      <c r="E2176" t="s">
        <v>16361</v>
      </c>
      <c r="F2176">
        <v>45808</v>
      </c>
      <c r="G2176" t="s">
        <v>2208</v>
      </c>
      <c r="H2176" t="s">
        <v>2916</v>
      </c>
      <c r="I2176" t="s">
        <v>17890</v>
      </c>
      <c r="J2176">
        <v>0</v>
      </c>
      <c r="K2176">
        <v>-2283.5700000000002</v>
      </c>
      <c r="L2176" t="s">
        <v>2917</v>
      </c>
      <c r="M2176">
        <v>0</v>
      </c>
      <c r="N2176" t="s">
        <v>2918</v>
      </c>
      <c r="O2176" t="s">
        <v>2919</v>
      </c>
      <c r="P2176" t="s">
        <v>2208</v>
      </c>
      <c r="Q2176" t="s">
        <v>2916</v>
      </c>
      <c r="R2176" t="s">
        <v>3220</v>
      </c>
      <c r="S2176" t="s">
        <v>2208</v>
      </c>
      <c r="T2176" t="s">
        <v>2208</v>
      </c>
    </row>
    <row r="2177" spans="1:20">
      <c r="A2177" t="s">
        <v>2617</v>
      </c>
      <c r="B2177" t="s">
        <v>2920</v>
      </c>
      <c r="C2177">
        <v>45637</v>
      </c>
      <c r="D2177" t="s">
        <v>7263</v>
      </c>
      <c r="E2177" t="s">
        <v>2921</v>
      </c>
      <c r="F2177">
        <v>45666</v>
      </c>
      <c r="G2177" t="s">
        <v>7206</v>
      </c>
      <c r="H2177" t="s">
        <v>2916</v>
      </c>
      <c r="I2177" t="s">
        <v>7377</v>
      </c>
      <c r="J2177">
        <v>18077.97</v>
      </c>
      <c r="K2177">
        <v>2927.37</v>
      </c>
      <c r="L2177" t="s">
        <v>2917</v>
      </c>
      <c r="M2177">
        <v>18077.97</v>
      </c>
      <c r="N2177" t="s">
        <v>2918</v>
      </c>
      <c r="O2177" t="s">
        <v>2939</v>
      </c>
      <c r="P2177" t="s">
        <v>2939</v>
      </c>
      <c r="Q2177" t="s">
        <v>2924</v>
      </c>
      <c r="R2177" t="s">
        <v>3219</v>
      </c>
      <c r="S2177" t="s">
        <v>2208</v>
      </c>
      <c r="T2177" t="s">
        <v>2208</v>
      </c>
    </row>
    <row r="2178" spans="1:20">
      <c r="A2178" t="s">
        <v>2617</v>
      </c>
      <c r="B2178" t="s">
        <v>2920</v>
      </c>
      <c r="C2178">
        <v>45666</v>
      </c>
      <c r="D2178" t="s">
        <v>7263</v>
      </c>
      <c r="E2178" t="s">
        <v>2921</v>
      </c>
      <c r="F2178">
        <v>45686</v>
      </c>
      <c r="G2178" t="s">
        <v>7206</v>
      </c>
      <c r="H2178" t="s">
        <v>2916</v>
      </c>
      <c r="I2178" t="s">
        <v>7776</v>
      </c>
      <c r="J2178">
        <v>0</v>
      </c>
      <c r="K2178">
        <v>-270.79000000000002</v>
      </c>
      <c r="L2178" t="s">
        <v>2917</v>
      </c>
      <c r="M2178">
        <v>-1672.22</v>
      </c>
      <c r="N2178" t="s">
        <v>2918</v>
      </c>
      <c r="O2178" t="s">
        <v>7777</v>
      </c>
      <c r="P2178" t="s">
        <v>2939</v>
      </c>
      <c r="Q2178" t="s">
        <v>2924</v>
      </c>
      <c r="R2178" t="s">
        <v>3219</v>
      </c>
      <c r="S2178" t="s">
        <v>2208</v>
      </c>
      <c r="T2178" t="s">
        <v>2208</v>
      </c>
    </row>
    <row r="2179" spans="1:20">
      <c r="A2179" t="s">
        <v>2617</v>
      </c>
      <c r="B2179" t="s">
        <v>2920</v>
      </c>
      <c r="C2179">
        <v>45688</v>
      </c>
      <c r="D2179" t="s">
        <v>7263</v>
      </c>
      <c r="E2179" t="s">
        <v>2921</v>
      </c>
      <c r="F2179">
        <v>45688</v>
      </c>
      <c r="G2179" t="s">
        <v>2208</v>
      </c>
      <c r="H2179" t="s">
        <v>2916</v>
      </c>
      <c r="I2179" t="s">
        <v>7778</v>
      </c>
      <c r="J2179">
        <v>0</v>
      </c>
      <c r="K2179">
        <v>0.04</v>
      </c>
      <c r="L2179" t="s">
        <v>2917</v>
      </c>
      <c r="M2179">
        <v>0</v>
      </c>
      <c r="N2179" t="s">
        <v>2918</v>
      </c>
      <c r="O2179" t="s">
        <v>2919</v>
      </c>
      <c r="P2179" t="s">
        <v>2208</v>
      </c>
      <c r="Q2179" t="s">
        <v>2916</v>
      </c>
      <c r="R2179" t="s">
        <v>3220</v>
      </c>
      <c r="S2179" t="s">
        <v>2208</v>
      </c>
      <c r="T2179" t="s">
        <v>2208</v>
      </c>
    </row>
    <row r="2180" spans="1:20">
      <c r="A2180" t="s">
        <v>2617</v>
      </c>
      <c r="B2180" t="s">
        <v>9126</v>
      </c>
      <c r="C2180">
        <v>45726</v>
      </c>
      <c r="D2180" t="s">
        <v>7263</v>
      </c>
      <c r="E2180" t="s">
        <v>9127</v>
      </c>
      <c r="F2180">
        <v>45726</v>
      </c>
      <c r="G2180" t="s">
        <v>2208</v>
      </c>
      <c r="H2180" t="s">
        <v>2916</v>
      </c>
      <c r="I2180" t="s">
        <v>10796</v>
      </c>
      <c r="J2180">
        <v>0</v>
      </c>
      <c r="K2180">
        <v>10887.55</v>
      </c>
      <c r="L2180" t="s">
        <v>2917</v>
      </c>
      <c r="M2180">
        <v>63525</v>
      </c>
      <c r="N2180" t="s">
        <v>2918</v>
      </c>
      <c r="O2180" t="s">
        <v>10797</v>
      </c>
      <c r="P2180" t="s">
        <v>2208</v>
      </c>
      <c r="Q2180" t="s">
        <v>2916</v>
      </c>
      <c r="R2180" t="s">
        <v>3220</v>
      </c>
      <c r="S2180" t="s">
        <v>2208</v>
      </c>
      <c r="T2180" t="s">
        <v>2208</v>
      </c>
    </row>
    <row r="2181" spans="1:20">
      <c r="A2181" t="s">
        <v>2617</v>
      </c>
      <c r="B2181" t="s">
        <v>9126</v>
      </c>
      <c r="C2181">
        <v>45726</v>
      </c>
      <c r="D2181" t="s">
        <v>7263</v>
      </c>
      <c r="E2181" t="s">
        <v>9127</v>
      </c>
      <c r="F2181">
        <v>45726</v>
      </c>
      <c r="G2181" t="s">
        <v>2208</v>
      </c>
      <c r="H2181" t="s">
        <v>2916</v>
      </c>
      <c r="I2181" t="s">
        <v>10798</v>
      </c>
      <c r="J2181">
        <v>0</v>
      </c>
      <c r="K2181">
        <v>35.57</v>
      </c>
      <c r="L2181" t="s">
        <v>2917</v>
      </c>
      <c r="M2181">
        <v>0</v>
      </c>
      <c r="N2181" t="s">
        <v>2918</v>
      </c>
      <c r="O2181" t="s">
        <v>2946</v>
      </c>
      <c r="P2181" t="s">
        <v>2208</v>
      </c>
      <c r="Q2181" t="s">
        <v>2916</v>
      </c>
      <c r="R2181" t="s">
        <v>3220</v>
      </c>
      <c r="S2181" t="s">
        <v>2208</v>
      </c>
      <c r="T2181" t="s">
        <v>2208</v>
      </c>
    </row>
    <row r="2182" spans="1:20">
      <c r="A2182" t="s">
        <v>2617</v>
      </c>
      <c r="B2182" t="s">
        <v>7740</v>
      </c>
      <c r="C2182">
        <v>45579</v>
      </c>
      <c r="D2182" t="s">
        <v>7263</v>
      </c>
      <c r="E2182" t="s">
        <v>2925</v>
      </c>
      <c r="F2182">
        <v>45691</v>
      </c>
      <c r="G2182" t="s">
        <v>7779</v>
      </c>
      <c r="H2182" t="s">
        <v>2916</v>
      </c>
      <c r="I2182" t="s">
        <v>7780</v>
      </c>
      <c r="J2182">
        <v>70000</v>
      </c>
      <c r="K2182">
        <v>12036.5</v>
      </c>
      <c r="L2182" t="s">
        <v>2917</v>
      </c>
      <c r="M2182">
        <v>70000</v>
      </c>
      <c r="N2182" t="s">
        <v>2918</v>
      </c>
      <c r="O2182" t="s">
        <v>2945</v>
      </c>
      <c r="P2182" t="s">
        <v>2945</v>
      </c>
      <c r="Q2182" t="s">
        <v>2924</v>
      </c>
      <c r="R2182" t="s">
        <v>3219</v>
      </c>
      <c r="S2182" t="s">
        <v>2208</v>
      </c>
      <c r="T2182" t="s">
        <v>2208</v>
      </c>
    </row>
    <row r="2183" spans="1:20">
      <c r="A2183" t="s">
        <v>2617</v>
      </c>
      <c r="B2183" t="s">
        <v>7740</v>
      </c>
      <c r="C2183">
        <v>45691</v>
      </c>
      <c r="D2183" t="s">
        <v>7263</v>
      </c>
      <c r="E2183" t="s">
        <v>2925</v>
      </c>
      <c r="F2183">
        <v>45709</v>
      </c>
      <c r="G2183" t="s">
        <v>7779</v>
      </c>
      <c r="H2183" t="s">
        <v>2916</v>
      </c>
      <c r="I2183" t="s">
        <v>8734</v>
      </c>
      <c r="J2183">
        <v>0</v>
      </c>
      <c r="K2183">
        <v>-1113.3800000000001</v>
      </c>
      <c r="L2183" t="s">
        <v>2917</v>
      </c>
      <c r="M2183">
        <v>-6475</v>
      </c>
      <c r="N2183" t="s">
        <v>2918</v>
      </c>
      <c r="O2183" t="s">
        <v>8735</v>
      </c>
      <c r="P2183" t="s">
        <v>2945</v>
      </c>
      <c r="Q2183" t="s">
        <v>2924</v>
      </c>
      <c r="R2183" t="s">
        <v>3219</v>
      </c>
      <c r="S2183" t="s">
        <v>2208</v>
      </c>
      <c r="T2183" t="s">
        <v>2208</v>
      </c>
    </row>
    <row r="2184" spans="1:20">
      <c r="A2184" t="s">
        <v>2617</v>
      </c>
      <c r="B2184" t="s">
        <v>9126</v>
      </c>
      <c r="C2184">
        <v>45726</v>
      </c>
      <c r="D2184" t="s">
        <v>7263</v>
      </c>
      <c r="E2184" t="s">
        <v>9127</v>
      </c>
      <c r="F2184">
        <v>45726</v>
      </c>
      <c r="G2184" t="s">
        <v>2208</v>
      </c>
      <c r="H2184" t="s">
        <v>2916</v>
      </c>
      <c r="I2184" t="s">
        <v>10796</v>
      </c>
      <c r="J2184">
        <v>0</v>
      </c>
      <c r="K2184">
        <v>-10887.55</v>
      </c>
      <c r="L2184" t="s">
        <v>2917</v>
      </c>
      <c r="M2184">
        <v>-63525</v>
      </c>
      <c r="N2184" t="s">
        <v>2918</v>
      </c>
      <c r="O2184" t="s">
        <v>10797</v>
      </c>
      <c r="P2184" t="s">
        <v>2208</v>
      </c>
      <c r="Q2184" t="s">
        <v>2916</v>
      </c>
      <c r="R2184" t="s">
        <v>3220</v>
      </c>
      <c r="S2184" t="s">
        <v>2208</v>
      </c>
      <c r="T2184" t="s">
        <v>2208</v>
      </c>
    </row>
    <row r="2185" spans="1:20">
      <c r="A2185" t="s">
        <v>2617</v>
      </c>
      <c r="B2185" t="s">
        <v>9126</v>
      </c>
      <c r="C2185">
        <v>45726</v>
      </c>
      <c r="D2185" t="s">
        <v>7263</v>
      </c>
      <c r="E2185" t="s">
        <v>9127</v>
      </c>
      <c r="F2185">
        <v>45726</v>
      </c>
      <c r="G2185" t="s">
        <v>2208</v>
      </c>
      <c r="H2185" t="s">
        <v>2916</v>
      </c>
      <c r="I2185" t="s">
        <v>10798</v>
      </c>
      <c r="J2185">
        <v>0</v>
      </c>
      <c r="K2185">
        <v>-35.57</v>
      </c>
      <c r="L2185" t="s">
        <v>2917</v>
      </c>
      <c r="M2185">
        <v>0</v>
      </c>
      <c r="N2185" t="s">
        <v>2918</v>
      </c>
      <c r="O2185" t="s">
        <v>2946</v>
      </c>
      <c r="P2185" t="s">
        <v>2208</v>
      </c>
      <c r="Q2185" t="s">
        <v>2916</v>
      </c>
      <c r="R2185" t="s">
        <v>3220</v>
      </c>
      <c r="S2185" t="s">
        <v>2208</v>
      </c>
      <c r="T2185" t="s">
        <v>2208</v>
      </c>
    </row>
    <row r="2186" spans="1:20">
      <c r="A2186" t="s">
        <v>2617</v>
      </c>
      <c r="B2186" t="s">
        <v>9126</v>
      </c>
      <c r="C2186">
        <v>45735</v>
      </c>
      <c r="D2186" t="s">
        <v>7263</v>
      </c>
      <c r="E2186" t="s">
        <v>9127</v>
      </c>
      <c r="F2186">
        <v>45736</v>
      </c>
      <c r="G2186" t="s">
        <v>11020</v>
      </c>
      <c r="H2186" t="s">
        <v>2916</v>
      </c>
      <c r="I2186" t="s">
        <v>11021</v>
      </c>
      <c r="J2186">
        <v>2</v>
      </c>
      <c r="K2186">
        <v>16754.689999999999</v>
      </c>
      <c r="L2186" t="s">
        <v>2917</v>
      </c>
      <c r="M2186">
        <v>97757.7</v>
      </c>
      <c r="N2186" t="s">
        <v>2918</v>
      </c>
      <c r="O2186" t="s">
        <v>11022</v>
      </c>
      <c r="P2186" t="s">
        <v>11023</v>
      </c>
      <c r="Q2186" t="s">
        <v>2924</v>
      </c>
      <c r="R2186" t="s">
        <v>3219</v>
      </c>
      <c r="S2186" t="s">
        <v>11024</v>
      </c>
      <c r="T2186" t="s">
        <v>11025</v>
      </c>
    </row>
    <row r="2187" spans="1:20">
      <c r="A2187" t="s">
        <v>2617</v>
      </c>
      <c r="B2187" t="s">
        <v>9126</v>
      </c>
      <c r="C2187">
        <v>45735</v>
      </c>
      <c r="D2187" t="s">
        <v>7263</v>
      </c>
      <c r="E2187" t="s">
        <v>9127</v>
      </c>
      <c r="F2187">
        <v>45736</v>
      </c>
      <c r="G2187" t="s">
        <v>11020</v>
      </c>
      <c r="H2187" t="s">
        <v>2916</v>
      </c>
      <c r="I2187" t="s">
        <v>11026</v>
      </c>
      <c r="J2187">
        <v>0</v>
      </c>
      <c r="K2187">
        <v>-1549.81</v>
      </c>
      <c r="L2187" t="s">
        <v>2917</v>
      </c>
      <c r="M2187">
        <v>-9042.58</v>
      </c>
      <c r="N2187" t="s">
        <v>2918</v>
      </c>
      <c r="O2187" t="s">
        <v>11027</v>
      </c>
      <c r="P2187" t="s">
        <v>11023</v>
      </c>
      <c r="Q2187" t="s">
        <v>2924</v>
      </c>
      <c r="R2187" t="s">
        <v>3219</v>
      </c>
      <c r="S2187" t="s">
        <v>11024</v>
      </c>
      <c r="T2187" t="s">
        <v>11025</v>
      </c>
    </row>
    <row r="2188" spans="1:20">
      <c r="A2188" t="s">
        <v>2617</v>
      </c>
      <c r="B2188" t="s">
        <v>9126</v>
      </c>
      <c r="C2188">
        <v>45747</v>
      </c>
      <c r="D2188" t="s">
        <v>7263</v>
      </c>
      <c r="E2188" t="s">
        <v>9127</v>
      </c>
      <c r="F2188">
        <v>45747</v>
      </c>
      <c r="G2188" t="s">
        <v>2208</v>
      </c>
      <c r="H2188" t="s">
        <v>2916</v>
      </c>
      <c r="I2188" t="s">
        <v>11448</v>
      </c>
      <c r="J2188">
        <v>0</v>
      </c>
      <c r="K2188">
        <v>-0.02</v>
      </c>
      <c r="L2188" t="s">
        <v>2917</v>
      </c>
      <c r="M2188">
        <v>0</v>
      </c>
      <c r="N2188" t="s">
        <v>2918</v>
      </c>
      <c r="O2188" t="s">
        <v>2919</v>
      </c>
      <c r="P2188" t="s">
        <v>2208</v>
      </c>
      <c r="Q2188" t="s">
        <v>2916</v>
      </c>
      <c r="R2188" t="s">
        <v>3220</v>
      </c>
      <c r="S2188" t="s">
        <v>2208</v>
      </c>
      <c r="T2188" t="s">
        <v>2208</v>
      </c>
    </row>
    <row r="2189" spans="1:20">
      <c r="A2189" t="s">
        <v>2617</v>
      </c>
      <c r="B2189" t="s">
        <v>2920</v>
      </c>
      <c r="C2189">
        <v>45656</v>
      </c>
      <c r="D2189" t="s">
        <v>7263</v>
      </c>
      <c r="E2189" t="s">
        <v>2921</v>
      </c>
      <c r="F2189">
        <v>45660</v>
      </c>
      <c r="G2189" t="s">
        <v>2208</v>
      </c>
      <c r="H2189" t="s">
        <v>2916</v>
      </c>
      <c r="I2189" t="s">
        <v>7264</v>
      </c>
      <c r="J2189">
        <v>0</v>
      </c>
      <c r="K2189">
        <v>-7941.6</v>
      </c>
      <c r="L2189" t="s">
        <v>2917</v>
      </c>
      <c r="M2189">
        <v>-48406.67</v>
      </c>
      <c r="N2189" t="s">
        <v>2918</v>
      </c>
      <c r="O2189" t="s">
        <v>7243</v>
      </c>
      <c r="P2189" t="s">
        <v>2208</v>
      </c>
      <c r="Q2189" t="s">
        <v>2949</v>
      </c>
      <c r="R2189" t="s">
        <v>3224</v>
      </c>
      <c r="S2189" t="s">
        <v>2208</v>
      </c>
      <c r="T2189" t="s">
        <v>2208</v>
      </c>
    </row>
    <row r="2190" spans="1:20">
      <c r="A2190" t="s">
        <v>2617</v>
      </c>
      <c r="B2190" t="s">
        <v>2920</v>
      </c>
      <c r="C2190">
        <v>45663</v>
      </c>
      <c r="D2190" t="s">
        <v>7263</v>
      </c>
      <c r="E2190" t="s">
        <v>2921</v>
      </c>
      <c r="F2190">
        <v>45665</v>
      </c>
      <c r="G2190" t="s">
        <v>7378</v>
      </c>
      <c r="H2190" t="s">
        <v>2916</v>
      </c>
      <c r="I2190" t="s">
        <v>7379</v>
      </c>
      <c r="J2190">
        <v>2</v>
      </c>
      <c r="K2190">
        <v>11201.19</v>
      </c>
      <c r="L2190" t="s">
        <v>2917</v>
      </c>
      <c r="M2190">
        <v>69173.009999999995</v>
      </c>
      <c r="N2190" t="s">
        <v>2918</v>
      </c>
      <c r="O2190" t="s">
        <v>7380</v>
      </c>
      <c r="P2190" t="s">
        <v>7381</v>
      </c>
      <c r="Q2190" t="s">
        <v>2944</v>
      </c>
      <c r="R2190" t="s">
        <v>3223</v>
      </c>
      <c r="S2190" t="s">
        <v>7382</v>
      </c>
      <c r="T2190" t="s">
        <v>7381</v>
      </c>
    </row>
    <row r="2191" spans="1:20">
      <c r="A2191" t="s">
        <v>2617</v>
      </c>
      <c r="B2191" t="s">
        <v>2920</v>
      </c>
      <c r="C2191">
        <v>45684</v>
      </c>
      <c r="D2191" t="s">
        <v>7263</v>
      </c>
      <c r="E2191" t="s">
        <v>2921</v>
      </c>
      <c r="F2191">
        <v>45684</v>
      </c>
      <c r="G2191" t="s">
        <v>2208</v>
      </c>
      <c r="H2191" t="s">
        <v>2916</v>
      </c>
      <c r="I2191" t="s">
        <v>7781</v>
      </c>
      <c r="J2191">
        <v>0</v>
      </c>
      <c r="K2191">
        <v>613.52</v>
      </c>
      <c r="L2191" t="s">
        <v>2917</v>
      </c>
      <c r="M2191">
        <v>3788.79</v>
      </c>
      <c r="N2191" t="s">
        <v>2918</v>
      </c>
      <c r="O2191" t="s">
        <v>7782</v>
      </c>
      <c r="P2191" t="s">
        <v>2208</v>
      </c>
      <c r="Q2191" t="s">
        <v>2944</v>
      </c>
      <c r="R2191" t="s">
        <v>3223</v>
      </c>
      <c r="S2191" t="s">
        <v>7382</v>
      </c>
      <c r="T2191" t="s">
        <v>7381</v>
      </c>
    </row>
    <row r="2192" spans="1:20">
      <c r="A2192" t="s">
        <v>2617</v>
      </c>
      <c r="B2192" t="s">
        <v>2920</v>
      </c>
      <c r="C2192">
        <v>45686</v>
      </c>
      <c r="D2192" t="s">
        <v>7263</v>
      </c>
      <c r="E2192" t="s">
        <v>2921</v>
      </c>
      <c r="F2192">
        <v>45686</v>
      </c>
      <c r="G2192" t="s">
        <v>2208</v>
      </c>
      <c r="H2192" t="s">
        <v>2916</v>
      </c>
      <c r="I2192" t="s">
        <v>7783</v>
      </c>
      <c r="J2192">
        <v>0</v>
      </c>
      <c r="K2192">
        <v>405.4</v>
      </c>
      <c r="L2192" t="s">
        <v>2917</v>
      </c>
      <c r="M2192">
        <v>2503.58</v>
      </c>
      <c r="N2192" t="s">
        <v>2918</v>
      </c>
      <c r="O2192" t="s">
        <v>7549</v>
      </c>
      <c r="P2192" t="s">
        <v>2208</v>
      </c>
      <c r="Q2192" t="s">
        <v>7784</v>
      </c>
      <c r="R2192" t="s">
        <v>7785</v>
      </c>
      <c r="S2192" t="s">
        <v>2208</v>
      </c>
      <c r="T2192" t="s">
        <v>2208</v>
      </c>
    </row>
    <row r="2193" spans="1:20">
      <c r="A2193" t="s">
        <v>2617</v>
      </c>
      <c r="B2193" t="s">
        <v>2920</v>
      </c>
      <c r="C2193">
        <v>45687</v>
      </c>
      <c r="D2193" t="s">
        <v>7263</v>
      </c>
      <c r="E2193" t="s">
        <v>2921</v>
      </c>
      <c r="F2193">
        <v>45687</v>
      </c>
      <c r="G2193" t="s">
        <v>2208</v>
      </c>
      <c r="H2193" t="s">
        <v>2916</v>
      </c>
      <c r="I2193" t="s">
        <v>7786</v>
      </c>
      <c r="J2193">
        <v>0</v>
      </c>
      <c r="K2193">
        <v>0</v>
      </c>
      <c r="L2193" t="s">
        <v>2917</v>
      </c>
      <c r="M2193">
        <v>-0.02</v>
      </c>
      <c r="N2193" t="s">
        <v>2918</v>
      </c>
      <c r="O2193" t="s">
        <v>7787</v>
      </c>
      <c r="P2193" t="s">
        <v>2208</v>
      </c>
      <c r="Q2193" t="s">
        <v>7588</v>
      </c>
      <c r="R2193" t="s">
        <v>7589</v>
      </c>
      <c r="S2193" t="s">
        <v>2208</v>
      </c>
      <c r="T2193" t="s">
        <v>2208</v>
      </c>
    </row>
    <row r="2194" spans="1:20">
      <c r="A2194" t="s">
        <v>2617</v>
      </c>
      <c r="B2194" t="s">
        <v>2920</v>
      </c>
      <c r="C2194">
        <v>45688</v>
      </c>
      <c r="D2194" t="s">
        <v>7263</v>
      </c>
      <c r="E2194" t="s">
        <v>2921</v>
      </c>
      <c r="F2194">
        <v>45688</v>
      </c>
      <c r="G2194" t="s">
        <v>2208</v>
      </c>
      <c r="H2194" t="s">
        <v>2916</v>
      </c>
      <c r="I2194" t="s">
        <v>7475</v>
      </c>
      <c r="J2194">
        <v>0</v>
      </c>
      <c r="K2194">
        <v>99.07</v>
      </c>
      <c r="L2194" t="s">
        <v>2917</v>
      </c>
      <c r="M2194">
        <v>611.79999999999995</v>
      </c>
      <c r="N2194" t="s">
        <v>2918</v>
      </c>
      <c r="O2194" t="s">
        <v>7476</v>
      </c>
      <c r="P2194" t="s">
        <v>2208</v>
      </c>
      <c r="Q2194" t="s">
        <v>2926</v>
      </c>
      <c r="R2194" t="s">
        <v>3312</v>
      </c>
      <c r="S2194" t="s">
        <v>2208</v>
      </c>
      <c r="T2194" t="s">
        <v>2208</v>
      </c>
    </row>
    <row r="2195" spans="1:20">
      <c r="A2195" t="s">
        <v>2617</v>
      </c>
      <c r="B2195" t="s">
        <v>2920</v>
      </c>
      <c r="C2195">
        <v>45688</v>
      </c>
      <c r="D2195" t="s">
        <v>7263</v>
      </c>
      <c r="E2195" t="s">
        <v>2921</v>
      </c>
      <c r="F2195">
        <v>45688</v>
      </c>
      <c r="G2195" t="s">
        <v>2208</v>
      </c>
      <c r="H2195" t="s">
        <v>2916</v>
      </c>
      <c r="I2195" t="s">
        <v>7477</v>
      </c>
      <c r="J2195">
        <v>0</v>
      </c>
      <c r="K2195">
        <v>-99.07</v>
      </c>
      <c r="L2195" t="s">
        <v>2917</v>
      </c>
      <c r="M2195">
        <v>-611.79999999999995</v>
      </c>
      <c r="N2195" t="s">
        <v>2918</v>
      </c>
      <c r="O2195" t="s">
        <v>7476</v>
      </c>
      <c r="P2195" t="s">
        <v>2208</v>
      </c>
      <c r="Q2195" t="s">
        <v>2926</v>
      </c>
      <c r="R2195" t="s">
        <v>3312</v>
      </c>
      <c r="S2195" t="s">
        <v>2208</v>
      </c>
      <c r="T2195" t="s">
        <v>2208</v>
      </c>
    </row>
    <row r="2196" spans="1:20">
      <c r="A2196" t="s">
        <v>2617</v>
      </c>
      <c r="B2196" t="s">
        <v>2920</v>
      </c>
      <c r="C2196">
        <v>45688</v>
      </c>
      <c r="D2196" t="s">
        <v>7263</v>
      </c>
      <c r="E2196" t="s">
        <v>2921</v>
      </c>
      <c r="F2196">
        <v>45688</v>
      </c>
      <c r="G2196" t="s">
        <v>2208</v>
      </c>
      <c r="H2196" t="s">
        <v>2916</v>
      </c>
      <c r="I2196" t="s">
        <v>7478</v>
      </c>
      <c r="J2196">
        <v>0</v>
      </c>
      <c r="K2196">
        <v>99.07</v>
      </c>
      <c r="L2196" t="s">
        <v>2917</v>
      </c>
      <c r="M2196">
        <v>611.79999999999995</v>
      </c>
      <c r="N2196" t="s">
        <v>2918</v>
      </c>
      <c r="O2196" t="s">
        <v>7476</v>
      </c>
      <c r="P2196" t="s">
        <v>2208</v>
      </c>
      <c r="Q2196" t="s">
        <v>2926</v>
      </c>
      <c r="R2196" t="s">
        <v>3312</v>
      </c>
      <c r="S2196" t="s">
        <v>2208</v>
      </c>
      <c r="T2196" t="s">
        <v>2208</v>
      </c>
    </row>
    <row r="2197" spans="1:20">
      <c r="A2197" t="s">
        <v>2617</v>
      </c>
      <c r="B2197" t="s">
        <v>2920</v>
      </c>
      <c r="C2197">
        <v>45688</v>
      </c>
      <c r="D2197" t="s">
        <v>7263</v>
      </c>
      <c r="E2197" t="s">
        <v>2921</v>
      </c>
      <c r="F2197">
        <v>45688</v>
      </c>
      <c r="G2197" t="s">
        <v>2208</v>
      </c>
      <c r="H2197" t="s">
        <v>2916</v>
      </c>
      <c r="I2197" t="s">
        <v>7788</v>
      </c>
      <c r="J2197">
        <v>0</v>
      </c>
      <c r="K2197">
        <v>103.02</v>
      </c>
      <c r="L2197" t="s">
        <v>2917</v>
      </c>
      <c r="M2197">
        <v>0</v>
      </c>
      <c r="N2197" t="s">
        <v>2918</v>
      </c>
      <c r="O2197" t="s">
        <v>2919</v>
      </c>
      <c r="P2197" t="s">
        <v>2208</v>
      </c>
      <c r="Q2197" t="s">
        <v>2916</v>
      </c>
      <c r="R2197" t="s">
        <v>3220</v>
      </c>
      <c r="S2197" t="s">
        <v>2208</v>
      </c>
      <c r="T2197" t="s">
        <v>2208</v>
      </c>
    </row>
    <row r="2198" spans="1:20">
      <c r="A2198" t="s">
        <v>2617</v>
      </c>
      <c r="B2198" t="s">
        <v>7740</v>
      </c>
      <c r="C2198">
        <v>45709</v>
      </c>
      <c r="D2198" t="s">
        <v>7263</v>
      </c>
      <c r="E2198" t="s">
        <v>2925</v>
      </c>
      <c r="F2198">
        <v>45709</v>
      </c>
      <c r="G2198" t="s">
        <v>2208</v>
      </c>
      <c r="H2198" t="s">
        <v>2916</v>
      </c>
      <c r="I2198" t="s">
        <v>8888</v>
      </c>
      <c r="J2198">
        <v>0</v>
      </c>
      <c r="K2198">
        <v>-105.2</v>
      </c>
      <c r="L2198" t="s">
        <v>2917</v>
      </c>
      <c r="M2198">
        <v>-611.79999999999995</v>
      </c>
      <c r="N2198" t="s">
        <v>2918</v>
      </c>
      <c r="O2198" t="s">
        <v>7476</v>
      </c>
      <c r="P2198" t="s">
        <v>2208</v>
      </c>
      <c r="Q2198" t="s">
        <v>2926</v>
      </c>
      <c r="R2198" t="s">
        <v>3312</v>
      </c>
      <c r="S2198" t="s">
        <v>2208</v>
      </c>
      <c r="T2198" t="s">
        <v>2208</v>
      </c>
    </row>
    <row r="2199" spans="1:20">
      <c r="A2199" t="s">
        <v>2617</v>
      </c>
      <c r="B2199" t="s">
        <v>7740</v>
      </c>
      <c r="C2199">
        <v>45671</v>
      </c>
      <c r="D2199" t="s">
        <v>7263</v>
      </c>
      <c r="E2199" t="s">
        <v>2925</v>
      </c>
      <c r="F2199">
        <v>45709</v>
      </c>
      <c r="G2199" t="s">
        <v>7378</v>
      </c>
      <c r="H2199" t="s">
        <v>2916</v>
      </c>
      <c r="I2199" t="s">
        <v>8736</v>
      </c>
      <c r="J2199">
        <v>0</v>
      </c>
      <c r="K2199">
        <v>63.45</v>
      </c>
      <c r="L2199" t="s">
        <v>2917</v>
      </c>
      <c r="M2199">
        <v>368.99</v>
      </c>
      <c r="N2199" t="s">
        <v>2918</v>
      </c>
      <c r="O2199" t="s">
        <v>8737</v>
      </c>
      <c r="P2199" t="s">
        <v>7381</v>
      </c>
      <c r="Q2199" t="s">
        <v>2934</v>
      </c>
      <c r="R2199" t="s">
        <v>2935</v>
      </c>
      <c r="S2199" t="s">
        <v>7382</v>
      </c>
      <c r="T2199" t="s">
        <v>7381</v>
      </c>
    </row>
    <row r="2200" spans="1:20">
      <c r="A2200" t="s">
        <v>2617</v>
      </c>
      <c r="B2200" t="s">
        <v>7740</v>
      </c>
      <c r="C2200">
        <v>45716</v>
      </c>
      <c r="D2200" t="s">
        <v>7263</v>
      </c>
      <c r="E2200" t="s">
        <v>2925</v>
      </c>
      <c r="F2200">
        <v>45716</v>
      </c>
      <c r="G2200" t="s">
        <v>2208</v>
      </c>
      <c r="H2200" t="s">
        <v>2916</v>
      </c>
      <c r="I2200" t="s">
        <v>9183</v>
      </c>
      <c r="J2200">
        <v>0</v>
      </c>
      <c r="K2200">
        <v>-0.03</v>
      </c>
      <c r="L2200" t="s">
        <v>2917</v>
      </c>
      <c r="M2200">
        <v>0</v>
      </c>
      <c r="N2200" t="s">
        <v>2918</v>
      </c>
      <c r="O2200" t="s">
        <v>2919</v>
      </c>
      <c r="P2200" t="s">
        <v>2208</v>
      </c>
      <c r="Q2200" t="s">
        <v>2916</v>
      </c>
      <c r="R2200" t="s">
        <v>3220</v>
      </c>
      <c r="S2200" t="s">
        <v>2208</v>
      </c>
      <c r="T2200" t="s">
        <v>2208</v>
      </c>
    </row>
    <row r="2201" spans="1:20">
      <c r="A2201" t="s">
        <v>2692</v>
      </c>
      <c r="B2201" t="s">
        <v>9126</v>
      </c>
      <c r="C2201">
        <v>45721</v>
      </c>
      <c r="D2201" t="s">
        <v>7263</v>
      </c>
      <c r="E2201" t="s">
        <v>9127</v>
      </c>
      <c r="F2201">
        <v>45723</v>
      </c>
      <c r="G2201" t="s">
        <v>10744</v>
      </c>
      <c r="H2201" t="s">
        <v>2916</v>
      </c>
      <c r="I2201" t="s">
        <v>10745</v>
      </c>
      <c r="J2201">
        <v>1</v>
      </c>
      <c r="K2201">
        <v>260505.85</v>
      </c>
      <c r="L2201" t="s">
        <v>2917</v>
      </c>
      <c r="M2201">
        <v>1519959.46</v>
      </c>
      <c r="N2201" t="s">
        <v>2918</v>
      </c>
      <c r="O2201" t="s">
        <v>10746</v>
      </c>
      <c r="P2201" t="s">
        <v>10747</v>
      </c>
      <c r="Q2201" t="s">
        <v>2927</v>
      </c>
      <c r="R2201" t="s">
        <v>3222</v>
      </c>
      <c r="S2201" t="s">
        <v>10748</v>
      </c>
      <c r="T2201" t="s">
        <v>10747</v>
      </c>
    </row>
    <row r="2202" spans="1:20">
      <c r="A2202" t="s">
        <v>2692</v>
      </c>
      <c r="B2202" t="s">
        <v>9126</v>
      </c>
      <c r="C2202">
        <v>45747</v>
      </c>
      <c r="D2202" t="s">
        <v>7263</v>
      </c>
      <c r="E2202" t="s">
        <v>9127</v>
      </c>
      <c r="F2202">
        <v>45747</v>
      </c>
      <c r="G2202" t="s">
        <v>2208</v>
      </c>
      <c r="H2202" t="s">
        <v>2916</v>
      </c>
      <c r="I2202" t="s">
        <v>11449</v>
      </c>
      <c r="J2202">
        <v>0</v>
      </c>
      <c r="K2202">
        <v>-0.08</v>
      </c>
      <c r="L2202" t="s">
        <v>2917</v>
      </c>
      <c r="M2202">
        <v>0</v>
      </c>
      <c r="N2202" t="s">
        <v>2918</v>
      </c>
      <c r="O2202" t="s">
        <v>2919</v>
      </c>
      <c r="P2202" t="s">
        <v>2208</v>
      </c>
      <c r="Q2202" t="s">
        <v>2916</v>
      </c>
      <c r="R2202" t="s">
        <v>3220</v>
      </c>
      <c r="S2202" t="s">
        <v>2208</v>
      </c>
      <c r="T2202" t="s">
        <v>2208</v>
      </c>
    </row>
    <row r="2203" spans="1:20">
      <c r="A2203" t="s">
        <v>2692</v>
      </c>
      <c r="B2203" t="s">
        <v>11331</v>
      </c>
      <c r="C2203">
        <v>45726</v>
      </c>
      <c r="D2203" t="s">
        <v>7263</v>
      </c>
      <c r="E2203" t="s">
        <v>11332</v>
      </c>
      <c r="F2203">
        <v>45755</v>
      </c>
      <c r="G2203" t="s">
        <v>10744</v>
      </c>
      <c r="H2203" t="s">
        <v>2916</v>
      </c>
      <c r="I2203" t="s">
        <v>12476</v>
      </c>
      <c r="J2203">
        <v>0</v>
      </c>
      <c r="K2203">
        <v>497.59</v>
      </c>
      <c r="L2203" t="s">
        <v>2917</v>
      </c>
      <c r="M2203">
        <v>2865.47</v>
      </c>
      <c r="N2203" t="s">
        <v>2918</v>
      </c>
      <c r="O2203" t="s">
        <v>12477</v>
      </c>
      <c r="P2203" t="s">
        <v>10747</v>
      </c>
      <c r="Q2203" t="s">
        <v>2934</v>
      </c>
      <c r="R2203" t="s">
        <v>2935</v>
      </c>
      <c r="S2203" t="s">
        <v>10748</v>
      </c>
      <c r="T2203" t="s">
        <v>10747</v>
      </c>
    </row>
    <row r="2204" spans="1:20">
      <c r="A2204" t="s">
        <v>2692</v>
      </c>
      <c r="B2204" t="s">
        <v>11331</v>
      </c>
      <c r="C2204">
        <v>45775</v>
      </c>
      <c r="D2204" t="s">
        <v>7263</v>
      </c>
      <c r="E2204" t="s">
        <v>11332</v>
      </c>
      <c r="F2204">
        <v>45775</v>
      </c>
      <c r="G2204" t="s">
        <v>2208</v>
      </c>
      <c r="H2204" t="s">
        <v>2916</v>
      </c>
      <c r="I2204" t="s">
        <v>16166</v>
      </c>
      <c r="J2204">
        <v>0</v>
      </c>
      <c r="K2204">
        <v>90.9</v>
      </c>
      <c r="L2204" t="s">
        <v>2917</v>
      </c>
      <c r="M2204">
        <v>523.45000000000005</v>
      </c>
      <c r="N2204" t="s">
        <v>2918</v>
      </c>
      <c r="O2204" t="s">
        <v>16167</v>
      </c>
      <c r="P2204" t="s">
        <v>2208</v>
      </c>
      <c r="Q2204" t="s">
        <v>2949</v>
      </c>
      <c r="R2204" t="s">
        <v>3224</v>
      </c>
      <c r="S2204" t="s">
        <v>2208</v>
      </c>
      <c r="T2204" t="s">
        <v>2208</v>
      </c>
    </row>
    <row r="2205" spans="1:20">
      <c r="A2205" t="s">
        <v>2692</v>
      </c>
      <c r="B2205" t="s">
        <v>11331</v>
      </c>
      <c r="C2205">
        <v>45777</v>
      </c>
      <c r="D2205" t="s">
        <v>7263</v>
      </c>
      <c r="E2205" t="s">
        <v>11332</v>
      </c>
      <c r="F2205">
        <v>45777</v>
      </c>
      <c r="G2205" t="s">
        <v>2208</v>
      </c>
      <c r="H2205" t="s">
        <v>2916</v>
      </c>
      <c r="I2205" t="s">
        <v>16498</v>
      </c>
      <c r="J2205">
        <v>0</v>
      </c>
      <c r="K2205">
        <v>-0.08</v>
      </c>
      <c r="L2205" t="s">
        <v>2917</v>
      </c>
      <c r="M2205">
        <v>0</v>
      </c>
      <c r="N2205" t="s">
        <v>2918</v>
      </c>
      <c r="O2205" t="s">
        <v>2919</v>
      </c>
      <c r="P2205" t="s">
        <v>2208</v>
      </c>
      <c r="Q2205" t="s">
        <v>2916</v>
      </c>
      <c r="R2205" t="s">
        <v>3220</v>
      </c>
      <c r="S2205" t="s">
        <v>2208</v>
      </c>
      <c r="T2205" t="s">
        <v>2208</v>
      </c>
    </row>
    <row r="2206" spans="1:20">
      <c r="A2206" t="s">
        <v>2692</v>
      </c>
      <c r="B2206" t="s">
        <v>9126</v>
      </c>
      <c r="C2206">
        <v>45737</v>
      </c>
      <c r="D2206" t="s">
        <v>7263</v>
      </c>
      <c r="E2206" t="s">
        <v>9127</v>
      </c>
      <c r="F2206">
        <v>45741</v>
      </c>
      <c r="G2206" t="s">
        <v>11184</v>
      </c>
      <c r="H2206" t="s">
        <v>2916</v>
      </c>
      <c r="I2206" t="s">
        <v>11185</v>
      </c>
      <c r="J2206">
        <v>1</v>
      </c>
      <c r="K2206">
        <v>14424.84</v>
      </c>
      <c r="L2206" t="s">
        <v>2917</v>
      </c>
      <c r="M2206">
        <v>84163.86</v>
      </c>
      <c r="N2206" t="s">
        <v>2918</v>
      </c>
      <c r="O2206" t="s">
        <v>11186</v>
      </c>
      <c r="P2206" t="s">
        <v>11187</v>
      </c>
      <c r="Q2206" t="s">
        <v>2927</v>
      </c>
      <c r="R2206" t="s">
        <v>3222</v>
      </c>
      <c r="S2206" t="s">
        <v>11188</v>
      </c>
      <c r="T2206" t="s">
        <v>11187</v>
      </c>
    </row>
    <row r="2207" spans="1:20">
      <c r="A2207" t="s">
        <v>2692</v>
      </c>
      <c r="B2207" t="s">
        <v>9126</v>
      </c>
      <c r="C2207">
        <v>45737</v>
      </c>
      <c r="D2207" t="s">
        <v>7263</v>
      </c>
      <c r="E2207" t="s">
        <v>9127</v>
      </c>
      <c r="F2207">
        <v>45741</v>
      </c>
      <c r="G2207" t="s">
        <v>11184</v>
      </c>
      <c r="H2207" t="s">
        <v>2916</v>
      </c>
      <c r="I2207" t="s">
        <v>11185</v>
      </c>
      <c r="J2207">
        <v>1</v>
      </c>
      <c r="K2207">
        <v>14424.84</v>
      </c>
      <c r="L2207" t="s">
        <v>2917</v>
      </c>
      <c r="M2207">
        <v>84163.85</v>
      </c>
      <c r="N2207" t="s">
        <v>2918</v>
      </c>
      <c r="O2207" t="s">
        <v>11186</v>
      </c>
      <c r="P2207" t="s">
        <v>11189</v>
      </c>
      <c r="Q2207" t="s">
        <v>2927</v>
      </c>
      <c r="R2207" t="s">
        <v>3222</v>
      </c>
      <c r="S2207" t="s">
        <v>11190</v>
      </c>
      <c r="T2207" t="s">
        <v>11189</v>
      </c>
    </row>
    <row r="2208" spans="1:20">
      <c r="A2208" t="s">
        <v>2692</v>
      </c>
      <c r="B2208" t="s">
        <v>9126</v>
      </c>
      <c r="C2208">
        <v>45744</v>
      </c>
      <c r="D2208" t="s">
        <v>7263</v>
      </c>
      <c r="E2208" t="s">
        <v>9127</v>
      </c>
      <c r="F2208">
        <v>45744</v>
      </c>
      <c r="G2208" t="s">
        <v>2208</v>
      </c>
      <c r="H2208" t="s">
        <v>2916</v>
      </c>
      <c r="I2208" t="s">
        <v>11319</v>
      </c>
      <c r="J2208">
        <v>0</v>
      </c>
      <c r="K2208">
        <v>-185650.58</v>
      </c>
      <c r="L2208" t="s">
        <v>2917</v>
      </c>
      <c r="M2208">
        <v>-1083205.4099999999</v>
      </c>
      <c r="N2208" t="s">
        <v>2918</v>
      </c>
      <c r="O2208" t="s">
        <v>11320</v>
      </c>
      <c r="P2208" t="s">
        <v>2208</v>
      </c>
      <c r="Q2208" t="s">
        <v>2916</v>
      </c>
      <c r="R2208" t="s">
        <v>3220</v>
      </c>
      <c r="S2208" t="s">
        <v>2208</v>
      </c>
      <c r="T2208" t="s">
        <v>2208</v>
      </c>
    </row>
    <row r="2209" spans="1:20">
      <c r="A2209" t="s">
        <v>2692</v>
      </c>
      <c r="B2209" t="s">
        <v>9126</v>
      </c>
      <c r="C2209">
        <v>45744</v>
      </c>
      <c r="D2209" t="s">
        <v>7263</v>
      </c>
      <c r="E2209" t="s">
        <v>9127</v>
      </c>
      <c r="F2209">
        <v>45744</v>
      </c>
      <c r="G2209" t="s">
        <v>2208</v>
      </c>
      <c r="H2209" t="s">
        <v>2916</v>
      </c>
      <c r="I2209" t="s">
        <v>11319</v>
      </c>
      <c r="J2209">
        <v>0</v>
      </c>
      <c r="K2209">
        <v>190832.29</v>
      </c>
      <c r="L2209" t="s">
        <v>2917</v>
      </c>
      <c r="M2209">
        <v>1113438.9099999999</v>
      </c>
      <c r="N2209" t="s">
        <v>2918</v>
      </c>
      <c r="O2209" t="s">
        <v>11320</v>
      </c>
      <c r="P2209" t="s">
        <v>2208</v>
      </c>
      <c r="Q2209" t="s">
        <v>2927</v>
      </c>
      <c r="R2209" t="s">
        <v>3222</v>
      </c>
      <c r="S2209" t="s">
        <v>2208</v>
      </c>
      <c r="T2209" t="s">
        <v>2208</v>
      </c>
    </row>
    <row r="2210" spans="1:20">
      <c r="A2210" t="s">
        <v>2692</v>
      </c>
      <c r="B2210" t="s">
        <v>9126</v>
      </c>
      <c r="C2210">
        <v>45744</v>
      </c>
      <c r="D2210" t="s">
        <v>7263</v>
      </c>
      <c r="E2210" t="s">
        <v>9127</v>
      </c>
      <c r="F2210">
        <v>45744</v>
      </c>
      <c r="G2210" t="s">
        <v>2208</v>
      </c>
      <c r="H2210" t="s">
        <v>2916</v>
      </c>
      <c r="I2210" t="s">
        <v>11450</v>
      </c>
      <c r="J2210">
        <v>0</v>
      </c>
      <c r="K2210">
        <v>11.34</v>
      </c>
      <c r="L2210" t="s">
        <v>2917</v>
      </c>
      <c r="M2210">
        <v>66.16</v>
      </c>
      <c r="N2210" t="s">
        <v>2918</v>
      </c>
      <c r="O2210" t="s">
        <v>3313</v>
      </c>
      <c r="P2210" t="s">
        <v>2208</v>
      </c>
      <c r="Q2210" t="s">
        <v>2929</v>
      </c>
      <c r="R2210" t="s">
        <v>3228</v>
      </c>
      <c r="S2210" t="s">
        <v>2208</v>
      </c>
      <c r="T2210" t="s">
        <v>2208</v>
      </c>
    </row>
    <row r="2211" spans="1:20">
      <c r="A2211" t="s">
        <v>2692</v>
      </c>
      <c r="B2211" t="s">
        <v>9126</v>
      </c>
      <c r="C2211">
        <v>45747</v>
      </c>
      <c r="D2211" t="s">
        <v>7263</v>
      </c>
      <c r="E2211" t="s">
        <v>9127</v>
      </c>
      <c r="F2211">
        <v>45747</v>
      </c>
      <c r="G2211" t="s">
        <v>2208</v>
      </c>
      <c r="H2211" t="s">
        <v>2916</v>
      </c>
      <c r="I2211" t="s">
        <v>11316</v>
      </c>
      <c r="J2211">
        <v>0</v>
      </c>
      <c r="K2211">
        <v>94.03</v>
      </c>
      <c r="L2211" t="s">
        <v>2917</v>
      </c>
      <c r="M2211">
        <v>548.62</v>
      </c>
      <c r="N2211" t="s">
        <v>2918</v>
      </c>
      <c r="O2211" t="s">
        <v>11317</v>
      </c>
      <c r="P2211" t="s">
        <v>2208</v>
      </c>
      <c r="Q2211" t="s">
        <v>2926</v>
      </c>
      <c r="R2211" t="s">
        <v>3312</v>
      </c>
      <c r="S2211" t="s">
        <v>2208</v>
      </c>
      <c r="T2211" t="s">
        <v>2208</v>
      </c>
    </row>
    <row r="2212" spans="1:20">
      <c r="A2212" t="s">
        <v>2692</v>
      </c>
      <c r="B2212" t="s">
        <v>9126</v>
      </c>
      <c r="C2212">
        <v>45747</v>
      </c>
      <c r="D2212" t="s">
        <v>7263</v>
      </c>
      <c r="E2212" t="s">
        <v>9127</v>
      </c>
      <c r="F2212">
        <v>45747</v>
      </c>
      <c r="G2212" t="s">
        <v>2208</v>
      </c>
      <c r="H2212" t="s">
        <v>2916</v>
      </c>
      <c r="I2212" t="s">
        <v>11451</v>
      </c>
      <c r="J2212">
        <v>0</v>
      </c>
      <c r="K2212">
        <v>0.01</v>
      </c>
      <c r="L2212" t="s">
        <v>2917</v>
      </c>
      <c r="M2212">
        <v>0</v>
      </c>
      <c r="N2212" t="s">
        <v>2918</v>
      </c>
      <c r="O2212" t="s">
        <v>2919</v>
      </c>
      <c r="P2212" t="s">
        <v>2208</v>
      </c>
      <c r="Q2212" t="s">
        <v>2916</v>
      </c>
      <c r="R2212" t="s">
        <v>3220</v>
      </c>
      <c r="S2212" t="s">
        <v>2208</v>
      </c>
      <c r="T2212" t="s">
        <v>2208</v>
      </c>
    </row>
    <row r="2213" spans="1:20">
      <c r="A2213" t="s">
        <v>2692</v>
      </c>
      <c r="B2213" t="s">
        <v>11331</v>
      </c>
      <c r="C2213">
        <v>45747</v>
      </c>
      <c r="D2213" t="s">
        <v>7263</v>
      </c>
      <c r="E2213" t="s">
        <v>11332</v>
      </c>
      <c r="F2213">
        <v>45757</v>
      </c>
      <c r="G2213" t="s">
        <v>2208</v>
      </c>
      <c r="H2213" t="s">
        <v>2916</v>
      </c>
      <c r="I2213" t="s">
        <v>12252</v>
      </c>
      <c r="J2213">
        <v>0</v>
      </c>
      <c r="K2213">
        <v>-94.03</v>
      </c>
      <c r="L2213" t="s">
        <v>2917</v>
      </c>
      <c r="M2213">
        <v>-548.62</v>
      </c>
      <c r="N2213" t="s">
        <v>2918</v>
      </c>
      <c r="O2213" t="s">
        <v>11317</v>
      </c>
      <c r="P2213" t="s">
        <v>2208</v>
      </c>
      <c r="Q2213" t="s">
        <v>2926</v>
      </c>
      <c r="R2213" t="s">
        <v>3312</v>
      </c>
      <c r="S2213" t="s">
        <v>2208</v>
      </c>
      <c r="T2213" t="s">
        <v>2208</v>
      </c>
    </row>
    <row r="2214" spans="1:20">
      <c r="A2214" t="s">
        <v>2692</v>
      </c>
      <c r="B2214" t="s">
        <v>11331</v>
      </c>
      <c r="C2214">
        <v>45748</v>
      </c>
      <c r="D2214" t="s">
        <v>7263</v>
      </c>
      <c r="E2214" t="s">
        <v>11332</v>
      </c>
      <c r="F2214">
        <v>45757</v>
      </c>
      <c r="G2214" t="s">
        <v>11184</v>
      </c>
      <c r="H2214" t="s">
        <v>2916</v>
      </c>
      <c r="I2214" t="s">
        <v>12478</v>
      </c>
      <c r="J2214">
        <v>0</v>
      </c>
      <c r="K2214">
        <v>48.13</v>
      </c>
      <c r="L2214" t="s">
        <v>2917</v>
      </c>
      <c r="M2214">
        <v>277.18</v>
      </c>
      <c r="N2214" t="s">
        <v>2918</v>
      </c>
      <c r="O2214" t="s">
        <v>12479</v>
      </c>
      <c r="P2214" t="s">
        <v>11187</v>
      </c>
      <c r="Q2214" t="s">
        <v>2934</v>
      </c>
      <c r="R2214" t="s">
        <v>2935</v>
      </c>
      <c r="S2214" t="s">
        <v>11188</v>
      </c>
      <c r="T2214" t="s">
        <v>11187</v>
      </c>
    </row>
    <row r="2215" spans="1:20">
      <c r="A2215" t="s">
        <v>2692</v>
      </c>
      <c r="B2215" t="s">
        <v>11331</v>
      </c>
      <c r="C2215">
        <v>45748</v>
      </c>
      <c r="D2215" t="s">
        <v>7263</v>
      </c>
      <c r="E2215" t="s">
        <v>11332</v>
      </c>
      <c r="F2215">
        <v>45757</v>
      </c>
      <c r="G2215" t="s">
        <v>11184</v>
      </c>
      <c r="H2215" t="s">
        <v>2916</v>
      </c>
      <c r="I2215" t="s">
        <v>12478</v>
      </c>
      <c r="J2215">
        <v>0</v>
      </c>
      <c r="K2215">
        <v>48.13</v>
      </c>
      <c r="L2215" t="s">
        <v>2917</v>
      </c>
      <c r="M2215">
        <v>277.17</v>
      </c>
      <c r="N2215" t="s">
        <v>2918</v>
      </c>
      <c r="O2215" t="s">
        <v>12479</v>
      </c>
      <c r="P2215" t="s">
        <v>11189</v>
      </c>
      <c r="Q2215" t="s">
        <v>2934</v>
      </c>
      <c r="R2215" t="s">
        <v>2935</v>
      </c>
      <c r="S2215" t="s">
        <v>11190</v>
      </c>
      <c r="T2215" t="s">
        <v>11189</v>
      </c>
    </row>
    <row r="2216" spans="1:20">
      <c r="A2216" t="s">
        <v>2692</v>
      </c>
      <c r="B2216" t="s">
        <v>11331</v>
      </c>
      <c r="C2216">
        <v>45771</v>
      </c>
      <c r="D2216" t="s">
        <v>7263</v>
      </c>
      <c r="E2216" t="s">
        <v>11332</v>
      </c>
      <c r="F2216">
        <v>45771</v>
      </c>
      <c r="G2216" t="s">
        <v>2208</v>
      </c>
      <c r="H2216" t="s">
        <v>2916</v>
      </c>
      <c r="I2216" t="s">
        <v>15985</v>
      </c>
      <c r="J2216">
        <v>0</v>
      </c>
      <c r="K2216">
        <v>233.01</v>
      </c>
      <c r="L2216" t="s">
        <v>2917</v>
      </c>
      <c r="M2216">
        <v>1341.81</v>
      </c>
      <c r="N2216" t="s">
        <v>2918</v>
      </c>
      <c r="O2216" t="s">
        <v>15986</v>
      </c>
      <c r="P2216" t="s">
        <v>2208</v>
      </c>
      <c r="Q2216" t="s">
        <v>2927</v>
      </c>
      <c r="R2216" t="s">
        <v>3222</v>
      </c>
      <c r="S2216" t="s">
        <v>11188</v>
      </c>
      <c r="T2216" t="s">
        <v>11187</v>
      </c>
    </row>
    <row r="2217" spans="1:20">
      <c r="A2217" t="s">
        <v>2692</v>
      </c>
      <c r="B2217" t="s">
        <v>11331</v>
      </c>
      <c r="C2217">
        <v>45771</v>
      </c>
      <c r="D2217" t="s">
        <v>7263</v>
      </c>
      <c r="E2217" t="s">
        <v>11332</v>
      </c>
      <c r="F2217">
        <v>45771</v>
      </c>
      <c r="G2217" t="s">
        <v>2208</v>
      </c>
      <c r="H2217" t="s">
        <v>2916</v>
      </c>
      <c r="I2217" t="s">
        <v>15985</v>
      </c>
      <c r="J2217">
        <v>0</v>
      </c>
      <c r="K2217">
        <v>233</v>
      </c>
      <c r="L2217" t="s">
        <v>2917</v>
      </c>
      <c r="M2217">
        <v>1341.8</v>
      </c>
      <c r="N2217" t="s">
        <v>2918</v>
      </c>
      <c r="O2217" t="s">
        <v>15986</v>
      </c>
      <c r="P2217" t="s">
        <v>2208</v>
      </c>
      <c r="Q2217" t="s">
        <v>2927</v>
      </c>
      <c r="R2217" t="s">
        <v>3222</v>
      </c>
      <c r="S2217" t="s">
        <v>11190</v>
      </c>
      <c r="T2217" t="s">
        <v>11189</v>
      </c>
    </row>
    <row r="2218" spans="1:20">
      <c r="A2218" t="s">
        <v>2692</v>
      </c>
      <c r="B2218" t="s">
        <v>11331</v>
      </c>
      <c r="C2218">
        <v>45744</v>
      </c>
      <c r="D2218" t="s">
        <v>7263</v>
      </c>
      <c r="E2218" t="s">
        <v>11332</v>
      </c>
      <c r="F2218">
        <v>45772</v>
      </c>
      <c r="G2218" t="s">
        <v>2208</v>
      </c>
      <c r="H2218" t="s">
        <v>2916</v>
      </c>
      <c r="I2218" t="s">
        <v>16281</v>
      </c>
      <c r="J2218">
        <v>0</v>
      </c>
      <c r="K2218">
        <v>-11.34</v>
      </c>
      <c r="L2218" t="s">
        <v>2917</v>
      </c>
      <c r="M2218">
        <v>-66.16</v>
      </c>
      <c r="N2218" t="s">
        <v>2918</v>
      </c>
      <c r="O2218" t="s">
        <v>3313</v>
      </c>
      <c r="P2218" t="s">
        <v>2208</v>
      </c>
      <c r="Q2218" t="s">
        <v>2929</v>
      </c>
      <c r="R2218" t="s">
        <v>3228</v>
      </c>
      <c r="S2218" t="s">
        <v>2208</v>
      </c>
      <c r="T2218" t="s">
        <v>2208</v>
      </c>
    </row>
    <row r="2219" spans="1:20">
      <c r="A2219" t="s">
        <v>2692</v>
      </c>
      <c r="B2219" t="s">
        <v>11331</v>
      </c>
      <c r="C2219">
        <v>45777</v>
      </c>
      <c r="D2219" t="s">
        <v>7263</v>
      </c>
      <c r="E2219" t="s">
        <v>11332</v>
      </c>
      <c r="F2219">
        <v>45777</v>
      </c>
      <c r="G2219" t="s">
        <v>2208</v>
      </c>
      <c r="H2219" t="s">
        <v>2916</v>
      </c>
      <c r="I2219" t="s">
        <v>16499</v>
      </c>
      <c r="J2219">
        <v>0</v>
      </c>
      <c r="K2219">
        <v>-0.23</v>
      </c>
      <c r="L2219" t="s">
        <v>2917</v>
      </c>
      <c r="M2219">
        <v>0</v>
      </c>
      <c r="N2219" t="s">
        <v>2918</v>
      </c>
      <c r="O2219" t="s">
        <v>2919</v>
      </c>
      <c r="P2219" t="s">
        <v>2208</v>
      </c>
      <c r="Q2219" t="s">
        <v>2916</v>
      </c>
      <c r="R2219" t="s">
        <v>3220</v>
      </c>
      <c r="S2219" t="s">
        <v>2208</v>
      </c>
      <c r="T2219" t="s">
        <v>2208</v>
      </c>
    </row>
    <row r="2220" spans="1:20">
      <c r="A2220" t="s">
        <v>2654</v>
      </c>
      <c r="B2220" t="s">
        <v>2920</v>
      </c>
      <c r="C2220">
        <v>45677</v>
      </c>
      <c r="D2220" t="s">
        <v>7263</v>
      </c>
      <c r="E2220" t="s">
        <v>2921</v>
      </c>
      <c r="F2220">
        <v>45679</v>
      </c>
      <c r="G2220" t="s">
        <v>7383</v>
      </c>
      <c r="H2220" t="s">
        <v>2916</v>
      </c>
      <c r="I2220" t="s">
        <v>7384</v>
      </c>
      <c r="J2220">
        <v>1</v>
      </c>
      <c r="K2220">
        <v>6185.35</v>
      </c>
      <c r="L2220" t="s">
        <v>2917</v>
      </c>
      <c r="M2220">
        <v>38197.699999999997</v>
      </c>
      <c r="N2220" t="s">
        <v>2918</v>
      </c>
      <c r="O2220" t="s">
        <v>7385</v>
      </c>
      <c r="P2220" t="s">
        <v>7386</v>
      </c>
      <c r="Q2220" t="s">
        <v>2944</v>
      </c>
      <c r="R2220" t="s">
        <v>3223</v>
      </c>
      <c r="S2220" t="s">
        <v>7387</v>
      </c>
      <c r="T2220" t="s">
        <v>7388</v>
      </c>
    </row>
    <row r="2221" spans="1:20">
      <c r="A2221" t="s">
        <v>2654</v>
      </c>
      <c r="B2221" t="s">
        <v>2920</v>
      </c>
      <c r="C2221">
        <v>45686</v>
      </c>
      <c r="D2221" t="s">
        <v>7263</v>
      </c>
      <c r="E2221" t="s">
        <v>2921</v>
      </c>
      <c r="F2221">
        <v>45686</v>
      </c>
      <c r="G2221" t="s">
        <v>2208</v>
      </c>
      <c r="H2221" t="s">
        <v>2916</v>
      </c>
      <c r="I2221" t="s">
        <v>7485</v>
      </c>
      <c r="J2221">
        <v>0</v>
      </c>
      <c r="K2221">
        <v>10.28</v>
      </c>
      <c r="L2221" t="s">
        <v>2917</v>
      </c>
      <c r="M2221">
        <v>63.51</v>
      </c>
      <c r="N2221" t="s">
        <v>2918</v>
      </c>
      <c r="O2221" t="s">
        <v>3313</v>
      </c>
      <c r="P2221" t="s">
        <v>2208</v>
      </c>
      <c r="Q2221" t="s">
        <v>2929</v>
      </c>
      <c r="R2221" t="s">
        <v>3228</v>
      </c>
      <c r="S2221" t="s">
        <v>2208</v>
      </c>
      <c r="T2221" t="s">
        <v>2208</v>
      </c>
    </row>
    <row r="2222" spans="1:20">
      <c r="A2222" t="s">
        <v>2654</v>
      </c>
      <c r="B2222" t="s">
        <v>2920</v>
      </c>
      <c r="C2222">
        <v>45688</v>
      </c>
      <c r="D2222" t="s">
        <v>7263</v>
      </c>
      <c r="E2222" t="s">
        <v>2921</v>
      </c>
      <c r="F2222">
        <v>45688</v>
      </c>
      <c r="G2222" t="s">
        <v>2208</v>
      </c>
      <c r="H2222" t="s">
        <v>2916</v>
      </c>
      <c r="I2222" t="s">
        <v>7475</v>
      </c>
      <c r="J2222">
        <v>0</v>
      </c>
      <c r="K2222">
        <v>52.7</v>
      </c>
      <c r="L2222" t="s">
        <v>2917</v>
      </c>
      <c r="M2222">
        <v>325.43</v>
      </c>
      <c r="N2222" t="s">
        <v>2918</v>
      </c>
      <c r="O2222" t="s">
        <v>7476</v>
      </c>
      <c r="P2222" t="s">
        <v>2208</v>
      </c>
      <c r="Q2222" t="s">
        <v>2926</v>
      </c>
      <c r="R2222" t="s">
        <v>3312</v>
      </c>
      <c r="S2222" t="s">
        <v>2208</v>
      </c>
      <c r="T2222" t="s">
        <v>2208</v>
      </c>
    </row>
    <row r="2223" spans="1:20">
      <c r="A2223" t="s">
        <v>2654</v>
      </c>
      <c r="B2223" t="s">
        <v>2920</v>
      </c>
      <c r="C2223">
        <v>45688</v>
      </c>
      <c r="D2223" t="s">
        <v>7263</v>
      </c>
      <c r="E2223" t="s">
        <v>2921</v>
      </c>
      <c r="F2223">
        <v>45688</v>
      </c>
      <c r="G2223" t="s">
        <v>2208</v>
      </c>
      <c r="H2223" t="s">
        <v>2916</v>
      </c>
      <c r="I2223" t="s">
        <v>7477</v>
      </c>
      <c r="J2223">
        <v>0</v>
      </c>
      <c r="K2223">
        <v>-52.7</v>
      </c>
      <c r="L2223" t="s">
        <v>2917</v>
      </c>
      <c r="M2223">
        <v>-325.43</v>
      </c>
      <c r="N2223" t="s">
        <v>2918</v>
      </c>
      <c r="O2223" t="s">
        <v>7476</v>
      </c>
      <c r="P2223" t="s">
        <v>2208</v>
      </c>
      <c r="Q2223" t="s">
        <v>2926</v>
      </c>
      <c r="R2223" t="s">
        <v>3312</v>
      </c>
      <c r="S2223" t="s">
        <v>2208</v>
      </c>
      <c r="T2223" t="s">
        <v>2208</v>
      </c>
    </row>
    <row r="2224" spans="1:20">
      <c r="A2224" t="s">
        <v>2654</v>
      </c>
      <c r="B2224" t="s">
        <v>2920</v>
      </c>
      <c r="C2224">
        <v>45688</v>
      </c>
      <c r="D2224" t="s">
        <v>7263</v>
      </c>
      <c r="E2224" t="s">
        <v>2921</v>
      </c>
      <c r="F2224">
        <v>45688</v>
      </c>
      <c r="G2224" t="s">
        <v>2208</v>
      </c>
      <c r="H2224" t="s">
        <v>2916</v>
      </c>
      <c r="I2224" t="s">
        <v>7478</v>
      </c>
      <c r="J2224">
        <v>0</v>
      </c>
      <c r="K2224">
        <v>52.7</v>
      </c>
      <c r="L2224" t="s">
        <v>2917</v>
      </c>
      <c r="M2224">
        <v>325.43</v>
      </c>
      <c r="N2224" t="s">
        <v>2918</v>
      </c>
      <c r="O2224" t="s">
        <v>7476</v>
      </c>
      <c r="P2224" t="s">
        <v>2208</v>
      </c>
      <c r="Q2224" t="s">
        <v>2926</v>
      </c>
      <c r="R2224" t="s">
        <v>3312</v>
      </c>
      <c r="S2224" t="s">
        <v>2208</v>
      </c>
      <c r="T2224" t="s">
        <v>2208</v>
      </c>
    </row>
    <row r="2225" spans="1:20">
      <c r="A2225" t="s">
        <v>2654</v>
      </c>
      <c r="B2225" t="s">
        <v>2920</v>
      </c>
      <c r="C2225">
        <v>45688</v>
      </c>
      <c r="D2225" t="s">
        <v>7263</v>
      </c>
      <c r="E2225" t="s">
        <v>2921</v>
      </c>
      <c r="F2225">
        <v>45688</v>
      </c>
      <c r="G2225" t="s">
        <v>2208</v>
      </c>
      <c r="H2225" t="s">
        <v>2916</v>
      </c>
      <c r="I2225" t="s">
        <v>7789</v>
      </c>
      <c r="J2225">
        <v>0</v>
      </c>
      <c r="K2225">
        <v>0.06</v>
      </c>
      <c r="L2225" t="s">
        <v>2917</v>
      </c>
      <c r="M2225">
        <v>0</v>
      </c>
      <c r="N2225" t="s">
        <v>2918</v>
      </c>
      <c r="O2225" t="s">
        <v>2919</v>
      </c>
      <c r="P2225" t="s">
        <v>2208</v>
      </c>
      <c r="Q2225" t="s">
        <v>2916</v>
      </c>
      <c r="R2225" t="s">
        <v>3220</v>
      </c>
      <c r="S2225" t="s">
        <v>2208</v>
      </c>
      <c r="T2225" t="s">
        <v>2208</v>
      </c>
    </row>
    <row r="2226" spans="1:20">
      <c r="A2226" t="s">
        <v>2654</v>
      </c>
      <c r="B2226" t="s">
        <v>7740</v>
      </c>
      <c r="C2226">
        <v>45684</v>
      </c>
      <c r="D2226" t="s">
        <v>7263</v>
      </c>
      <c r="E2226" t="s">
        <v>2925</v>
      </c>
      <c r="F2226">
        <v>45691</v>
      </c>
      <c r="G2226" t="s">
        <v>7383</v>
      </c>
      <c r="H2226" t="s">
        <v>2916</v>
      </c>
      <c r="I2226" t="s">
        <v>7790</v>
      </c>
      <c r="J2226">
        <v>0</v>
      </c>
      <c r="K2226">
        <v>56.05</v>
      </c>
      <c r="L2226" t="s">
        <v>2917</v>
      </c>
      <c r="M2226">
        <v>325.94</v>
      </c>
      <c r="N2226" t="s">
        <v>2918</v>
      </c>
      <c r="O2226" t="s">
        <v>7791</v>
      </c>
      <c r="P2226" t="s">
        <v>7386</v>
      </c>
      <c r="Q2226" t="s">
        <v>2934</v>
      </c>
      <c r="R2226" t="s">
        <v>2935</v>
      </c>
      <c r="S2226" t="s">
        <v>7387</v>
      </c>
      <c r="T2226" t="s">
        <v>7388</v>
      </c>
    </row>
    <row r="2227" spans="1:20">
      <c r="A2227" t="s">
        <v>2654</v>
      </c>
      <c r="B2227" t="s">
        <v>7740</v>
      </c>
      <c r="C2227">
        <v>45686</v>
      </c>
      <c r="D2227" t="s">
        <v>7263</v>
      </c>
      <c r="E2227" t="s">
        <v>2925</v>
      </c>
      <c r="F2227">
        <v>45701</v>
      </c>
      <c r="G2227" t="s">
        <v>2208</v>
      </c>
      <c r="H2227" t="s">
        <v>2916</v>
      </c>
      <c r="I2227" t="s">
        <v>8551</v>
      </c>
      <c r="J2227">
        <v>0</v>
      </c>
      <c r="K2227">
        <v>-10.28</v>
      </c>
      <c r="L2227" t="s">
        <v>2917</v>
      </c>
      <c r="M2227">
        <v>-63.51</v>
      </c>
      <c r="N2227" t="s">
        <v>2918</v>
      </c>
      <c r="O2227" t="s">
        <v>3313</v>
      </c>
      <c r="P2227" t="s">
        <v>2208</v>
      </c>
      <c r="Q2227" t="s">
        <v>2929</v>
      </c>
      <c r="R2227" t="s">
        <v>3228</v>
      </c>
      <c r="S2227" t="s">
        <v>2208</v>
      </c>
      <c r="T2227" t="s">
        <v>2208</v>
      </c>
    </row>
    <row r="2228" spans="1:20">
      <c r="A2228" t="s">
        <v>2654</v>
      </c>
      <c r="B2228" t="s">
        <v>7740</v>
      </c>
      <c r="C2228">
        <v>45709</v>
      </c>
      <c r="D2228" t="s">
        <v>7263</v>
      </c>
      <c r="E2228" t="s">
        <v>2925</v>
      </c>
      <c r="F2228">
        <v>45709</v>
      </c>
      <c r="G2228" t="s">
        <v>2208</v>
      </c>
      <c r="H2228" t="s">
        <v>2916</v>
      </c>
      <c r="I2228" t="s">
        <v>8888</v>
      </c>
      <c r="J2228">
        <v>0</v>
      </c>
      <c r="K2228">
        <v>-55.96</v>
      </c>
      <c r="L2228" t="s">
        <v>2917</v>
      </c>
      <c r="M2228">
        <v>-325.43</v>
      </c>
      <c r="N2228" t="s">
        <v>2918</v>
      </c>
      <c r="O2228" t="s">
        <v>7476</v>
      </c>
      <c r="P2228" t="s">
        <v>2208</v>
      </c>
      <c r="Q2228" t="s">
        <v>2926</v>
      </c>
      <c r="R2228" t="s">
        <v>3312</v>
      </c>
      <c r="S2228" t="s">
        <v>2208</v>
      </c>
      <c r="T2228" t="s">
        <v>2208</v>
      </c>
    </row>
    <row r="2229" spans="1:20">
      <c r="A2229" t="s">
        <v>2654</v>
      </c>
      <c r="B2229" t="s">
        <v>7740</v>
      </c>
      <c r="C2229">
        <v>45712</v>
      </c>
      <c r="D2229" t="s">
        <v>7263</v>
      </c>
      <c r="E2229" t="s">
        <v>2925</v>
      </c>
      <c r="F2229">
        <v>45712</v>
      </c>
      <c r="G2229" t="s">
        <v>2208</v>
      </c>
      <c r="H2229" t="s">
        <v>2916</v>
      </c>
      <c r="I2229" t="s">
        <v>8911</v>
      </c>
      <c r="J2229">
        <v>0</v>
      </c>
      <c r="K2229">
        <v>283.75</v>
      </c>
      <c r="L2229" t="s">
        <v>2917</v>
      </c>
      <c r="M2229">
        <v>1650.17</v>
      </c>
      <c r="N2229" t="s">
        <v>2918</v>
      </c>
      <c r="O2229" t="s">
        <v>8912</v>
      </c>
      <c r="P2229" t="s">
        <v>2208</v>
      </c>
      <c r="Q2229" t="s">
        <v>2944</v>
      </c>
      <c r="R2229" t="s">
        <v>3223</v>
      </c>
      <c r="S2229" t="s">
        <v>7387</v>
      </c>
      <c r="T2229" t="s">
        <v>7388</v>
      </c>
    </row>
    <row r="2230" spans="1:20">
      <c r="A2230" t="s">
        <v>2654</v>
      </c>
      <c r="B2230" t="s">
        <v>7740</v>
      </c>
      <c r="C2230">
        <v>45714</v>
      </c>
      <c r="D2230" t="s">
        <v>7263</v>
      </c>
      <c r="E2230" t="s">
        <v>2925</v>
      </c>
      <c r="F2230">
        <v>45714</v>
      </c>
      <c r="G2230" t="s">
        <v>2208</v>
      </c>
      <c r="H2230" t="s">
        <v>2916</v>
      </c>
      <c r="I2230" t="s">
        <v>9041</v>
      </c>
      <c r="J2230">
        <v>0</v>
      </c>
      <c r="K2230">
        <v>10.28</v>
      </c>
      <c r="L2230" t="s">
        <v>2917</v>
      </c>
      <c r="M2230">
        <v>59.77</v>
      </c>
      <c r="N2230" t="s">
        <v>2918</v>
      </c>
      <c r="O2230" t="s">
        <v>9040</v>
      </c>
      <c r="P2230" t="s">
        <v>2208</v>
      </c>
      <c r="Q2230" t="s">
        <v>7561</v>
      </c>
      <c r="R2230" t="s">
        <v>7562</v>
      </c>
      <c r="S2230" t="s">
        <v>2208</v>
      </c>
      <c r="T2230" t="s">
        <v>2208</v>
      </c>
    </row>
    <row r="2231" spans="1:20">
      <c r="A2231" t="s">
        <v>2654</v>
      </c>
      <c r="B2231" t="s">
        <v>7740</v>
      </c>
      <c r="C2231">
        <v>45716</v>
      </c>
      <c r="D2231" t="s">
        <v>7263</v>
      </c>
      <c r="E2231" t="s">
        <v>2925</v>
      </c>
      <c r="F2231">
        <v>45716</v>
      </c>
      <c r="G2231" t="s">
        <v>2208</v>
      </c>
      <c r="H2231" t="s">
        <v>2916</v>
      </c>
      <c r="I2231" t="s">
        <v>9139</v>
      </c>
      <c r="J2231">
        <v>0</v>
      </c>
      <c r="K2231">
        <v>-21.12</v>
      </c>
      <c r="L2231" t="s">
        <v>2917</v>
      </c>
      <c r="M2231">
        <v>-122.8</v>
      </c>
      <c r="N2231" t="s">
        <v>2918</v>
      </c>
      <c r="O2231" t="s">
        <v>7591</v>
      </c>
      <c r="P2231" t="s">
        <v>2208</v>
      </c>
      <c r="Q2231" t="s">
        <v>6851</v>
      </c>
      <c r="R2231" t="s">
        <v>6852</v>
      </c>
      <c r="S2231" t="s">
        <v>2208</v>
      </c>
      <c r="T2231" t="s">
        <v>2208</v>
      </c>
    </row>
    <row r="2232" spans="1:20">
      <c r="A2232" t="s">
        <v>2654</v>
      </c>
      <c r="B2232" t="s">
        <v>7740</v>
      </c>
      <c r="C2232">
        <v>45716</v>
      </c>
      <c r="D2232" t="s">
        <v>7263</v>
      </c>
      <c r="E2232" t="s">
        <v>2925</v>
      </c>
      <c r="F2232">
        <v>45716</v>
      </c>
      <c r="G2232" t="s">
        <v>2208</v>
      </c>
      <c r="H2232" t="s">
        <v>2916</v>
      </c>
      <c r="I2232" t="s">
        <v>9140</v>
      </c>
      <c r="J2232">
        <v>0</v>
      </c>
      <c r="K2232">
        <v>-4.58</v>
      </c>
      <c r="L2232" t="s">
        <v>2917</v>
      </c>
      <c r="M2232">
        <v>-26.66</v>
      </c>
      <c r="N2232" t="s">
        <v>2918</v>
      </c>
      <c r="O2232" t="s">
        <v>7587</v>
      </c>
      <c r="P2232" t="s">
        <v>2208</v>
      </c>
      <c r="Q2232" t="s">
        <v>7588</v>
      </c>
      <c r="R2232" t="s">
        <v>7589</v>
      </c>
      <c r="S2232" t="s">
        <v>2208</v>
      </c>
      <c r="T2232" t="s">
        <v>2208</v>
      </c>
    </row>
    <row r="2233" spans="1:20">
      <c r="A2233" t="s">
        <v>2654</v>
      </c>
      <c r="B2233" t="s">
        <v>7740</v>
      </c>
      <c r="C2233">
        <v>45716</v>
      </c>
      <c r="D2233" t="s">
        <v>7263</v>
      </c>
      <c r="E2233" t="s">
        <v>2925</v>
      </c>
      <c r="F2233">
        <v>45716</v>
      </c>
      <c r="G2233" t="s">
        <v>2208</v>
      </c>
      <c r="H2233" t="s">
        <v>2916</v>
      </c>
      <c r="I2233" t="s">
        <v>9184</v>
      </c>
      <c r="J2233">
        <v>0</v>
      </c>
      <c r="K2233">
        <v>-0.06</v>
      </c>
      <c r="L2233" t="s">
        <v>2917</v>
      </c>
      <c r="M2233">
        <v>0</v>
      </c>
      <c r="N2233" t="s">
        <v>2918</v>
      </c>
      <c r="O2233" t="s">
        <v>2919</v>
      </c>
      <c r="P2233" t="s">
        <v>2208</v>
      </c>
      <c r="Q2233" t="s">
        <v>2916</v>
      </c>
      <c r="R2233" t="s">
        <v>3220</v>
      </c>
      <c r="S2233" t="s">
        <v>2208</v>
      </c>
      <c r="T2233" t="s">
        <v>2208</v>
      </c>
    </row>
    <row r="2234" spans="1:20">
      <c r="A2234" t="s">
        <v>2654</v>
      </c>
      <c r="B2234" t="s">
        <v>9126</v>
      </c>
      <c r="C2234">
        <v>45719</v>
      </c>
      <c r="D2234" t="s">
        <v>7263</v>
      </c>
      <c r="E2234" t="s">
        <v>9127</v>
      </c>
      <c r="F2234">
        <v>45719</v>
      </c>
      <c r="G2234" t="s">
        <v>2208</v>
      </c>
      <c r="H2234" t="s">
        <v>2916</v>
      </c>
      <c r="I2234" t="s">
        <v>9185</v>
      </c>
      <c r="J2234">
        <v>0</v>
      </c>
      <c r="K2234">
        <v>15.48</v>
      </c>
      <c r="L2234" t="s">
        <v>2917</v>
      </c>
      <c r="M2234">
        <v>0</v>
      </c>
      <c r="N2234" t="s">
        <v>2918</v>
      </c>
      <c r="O2234" t="s">
        <v>2946</v>
      </c>
      <c r="P2234" t="s">
        <v>2208</v>
      </c>
      <c r="Q2234" t="s">
        <v>2928</v>
      </c>
      <c r="R2234" t="s">
        <v>3227</v>
      </c>
      <c r="S2234" t="s">
        <v>2208</v>
      </c>
      <c r="T2234" t="s">
        <v>2208</v>
      </c>
    </row>
    <row r="2235" spans="1:20">
      <c r="A2235" t="s">
        <v>2654</v>
      </c>
      <c r="B2235" t="s">
        <v>9126</v>
      </c>
      <c r="C2235">
        <v>45719</v>
      </c>
      <c r="D2235" t="s">
        <v>7263</v>
      </c>
      <c r="E2235" t="s">
        <v>9127</v>
      </c>
      <c r="F2235">
        <v>45719</v>
      </c>
      <c r="G2235" t="s">
        <v>2208</v>
      </c>
      <c r="H2235" t="s">
        <v>2916</v>
      </c>
      <c r="I2235" t="s">
        <v>9186</v>
      </c>
      <c r="J2235">
        <v>0</v>
      </c>
      <c r="K2235">
        <v>0</v>
      </c>
      <c r="L2235" t="s">
        <v>2917</v>
      </c>
      <c r="M2235">
        <v>89.69</v>
      </c>
      <c r="N2235" t="s">
        <v>2918</v>
      </c>
      <c r="O2235" t="s">
        <v>2946</v>
      </c>
      <c r="P2235" t="s">
        <v>2208</v>
      </c>
      <c r="Q2235" t="s">
        <v>2928</v>
      </c>
      <c r="R2235" t="s">
        <v>3227</v>
      </c>
      <c r="S2235" t="s">
        <v>2208</v>
      </c>
      <c r="T2235" t="s">
        <v>2208</v>
      </c>
    </row>
    <row r="2236" spans="1:20">
      <c r="A2236" t="s">
        <v>2654</v>
      </c>
      <c r="B2236" t="s">
        <v>2920</v>
      </c>
      <c r="C2236">
        <v>45656</v>
      </c>
      <c r="D2236" t="s">
        <v>7263</v>
      </c>
      <c r="E2236" t="s">
        <v>2921</v>
      </c>
      <c r="F2236">
        <v>45678</v>
      </c>
      <c r="G2236" t="s">
        <v>7226</v>
      </c>
      <c r="H2236" t="s">
        <v>2916</v>
      </c>
      <c r="I2236" t="s">
        <v>7389</v>
      </c>
      <c r="J2236">
        <v>0</v>
      </c>
      <c r="K2236">
        <v>66.75</v>
      </c>
      <c r="L2236" t="s">
        <v>2917</v>
      </c>
      <c r="M2236">
        <v>412.2</v>
      </c>
      <c r="N2236" t="s">
        <v>2918</v>
      </c>
      <c r="O2236" t="s">
        <v>7390</v>
      </c>
      <c r="P2236" t="s">
        <v>7227</v>
      </c>
      <c r="Q2236" t="s">
        <v>2934</v>
      </c>
      <c r="R2236" t="s">
        <v>2935</v>
      </c>
      <c r="S2236" t="s">
        <v>7228</v>
      </c>
      <c r="T2236" t="s">
        <v>7227</v>
      </c>
    </row>
    <row r="2237" spans="1:20">
      <c r="A2237" t="s">
        <v>2654</v>
      </c>
      <c r="B2237" t="s">
        <v>2920</v>
      </c>
      <c r="C2237">
        <v>45656</v>
      </c>
      <c r="D2237" t="s">
        <v>7263</v>
      </c>
      <c r="E2237" t="s">
        <v>2921</v>
      </c>
      <c r="F2237">
        <v>45678</v>
      </c>
      <c r="G2237" t="s">
        <v>7226</v>
      </c>
      <c r="H2237" t="s">
        <v>2916</v>
      </c>
      <c r="I2237" t="s">
        <v>7389</v>
      </c>
      <c r="J2237">
        <v>0</v>
      </c>
      <c r="K2237">
        <v>9.58</v>
      </c>
      <c r="L2237" t="s">
        <v>2917</v>
      </c>
      <c r="M2237">
        <v>59.15</v>
      </c>
      <c r="N2237" t="s">
        <v>2918</v>
      </c>
      <c r="O2237" t="s">
        <v>7390</v>
      </c>
      <c r="P2237" t="s">
        <v>7229</v>
      </c>
      <c r="Q2237" t="s">
        <v>2934</v>
      </c>
      <c r="R2237" t="s">
        <v>2935</v>
      </c>
      <c r="S2237" t="s">
        <v>7230</v>
      </c>
      <c r="T2237" t="s">
        <v>7229</v>
      </c>
    </row>
    <row r="2238" spans="1:20">
      <c r="A2238" t="s">
        <v>2654</v>
      </c>
      <c r="B2238" t="s">
        <v>2920</v>
      </c>
      <c r="C2238">
        <v>45684</v>
      </c>
      <c r="D2238" t="s">
        <v>7263</v>
      </c>
      <c r="E2238" t="s">
        <v>2921</v>
      </c>
      <c r="F2238">
        <v>45684</v>
      </c>
      <c r="G2238" t="s">
        <v>2208</v>
      </c>
      <c r="H2238" t="s">
        <v>2916</v>
      </c>
      <c r="I2238" t="s">
        <v>7792</v>
      </c>
      <c r="J2238">
        <v>0</v>
      </c>
      <c r="K2238">
        <v>-347.12</v>
      </c>
      <c r="L2238" t="s">
        <v>2917</v>
      </c>
      <c r="M2238">
        <v>-2143.62</v>
      </c>
      <c r="N2238" t="s">
        <v>2918</v>
      </c>
      <c r="O2238" t="s">
        <v>7793</v>
      </c>
      <c r="P2238" t="s">
        <v>2208</v>
      </c>
      <c r="Q2238" t="s">
        <v>2916</v>
      </c>
      <c r="R2238" t="s">
        <v>3220</v>
      </c>
      <c r="S2238" t="s">
        <v>7230</v>
      </c>
      <c r="T2238" t="s">
        <v>7229</v>
      </c>
    </row>
    <row r="2239" spans="1:20">
      <c r="A2239" t="s">
        <v>2654</v>
      </c>
      <c r="B2239" t="s">
        <v>2920</v>
      </c>
      <c r="C2239">
        <v>45684</v>
      </c>
      <c r="D2239" t="s">
        <v>7263</v>
      </c>
      <c r="E2239" t="s">
        <v>2921</v>
      </c>
      <c r="F2239">
        <v>45684</v>
      </c>
      <c r="G2239" t="s">
        <v>2208</v>
      </c>
      <c r="H2239" t="s">
        <v>2916</v>
      </c>
      <c r="I2239" t="s">
        <v>7792</v>
      </c>
      <c r="J2239">
        <v>0</v>
      </c>
      <c r="K2239">
        <v>1071.58</v>
      </c>
      <c r="L2239" t="s">
        <v>2917</v>
      </c>
      <c r="M2239">
        <v>6617.58</v>
      </c>
      <c r="N2239" t="s">
        <v>2918</v>
      </c>
      <c r="O2239" t="s">
        <v>7793</v>
      </c>
      <c r="P2239" t="s">
        <v>2208</v>
      </c>
      <c r="Q2239" t="s">
        <v>2944</v>
      </c>
      <c r="R2239" t="s">
        <v>3223</v>
      </c>
      <c r="S2239" t="s">
        <v>7228</v>
      </c>
      <c r="T2239" t="s">
        <v>7227</v>
      </c>
    </row>
    <row r="2240" spans="1:20">
      <c r="A2240" t="s">
        <v>2654</v>
      </c>
      <c r="B2240" t="s">
        <v>2920</v>
      </c>
      <c r="C2240">
        <v>45687</v>
      </c>
      <c r="D2240" t="s">
        <v>7263</v>
      </c>
      <c r="E2240" t="s">
        <v>2921</v>
      </c>
      <c r="F2240">
        <v>45687</v>
      </c>
      <c r="G2240" t="s">
        <v>2208</v>
      </c>
      <c r="H2240" t="s">
        <v>2916</v>
      </c>
      <c r="I2240" t="s">
        <v>7794</v>
      </c>
      <c r="J2240">
        <v>0</v>
      </c>
      <c r="K2240">
        <v>282.98</v>
      </c>
      <c r="L2240" t="s">
        <v>2917</v>
      </c>
      <c r="M2240">
        <v>1747.53</v>
      </c>
      <c r="N2240" t="s">
        <v>2918</v>
      </c>
      <c r="O2240" t="s">
        <v>7489</v>
      </c>
      <c r="P2240" t="s">
        <v>2208</v>
      </c>
      <c r="Q2240" t="s">
        <v>7561</v>
      </c>
      <c r="R2240" t="s">
        <v>7562</v>
      </c>
      <c r="S2240" t="s">
        <v>2208</v>
      </c>
      <c r="T2240" t="s">
        <v>2208</v>
      </c>
    </row>
    <row r="2241" spans="1:20">
      <c r="A2241" t="s">
        <v>2654</v>
      </c>
      <c r="B2241" t="s">
        <v>2920</v>
      </c>
      <c r="C2241">
        <v>45688</v>
      </c>
      <c r="D2241" t="s">
        <v>7263</v>
      </c>
      <c r="E2241" t="s">
        <v>2921</v>
      </c>
      <c r="F2241">
        <v>45688</v>
      </c>
      <c r="G2241" t="s">
        <v>2208</v>
      </c>
      <c r="H2241" t="s">
        <v>2916</v>
      </c>
      <c r="I2241" t="s">
        <v>7795</v>
      </c>
      <c r="J2241">
        <v>0</v>
      </c>
      <c r="K2241">
        <v>-7.0000000000000007E-2</v>
      </c>
      <c r="L2241" t="s">
        <v>2917</v>
      </c>
      <c r="M2241">
        <v>0</v>
      </c>
      <c r="N2241" t="s">
        <v>2918</v>
      </c>
      <c r="O2241" t="s">
        <v>2919</v>
      </c>
      <c r="P2241" t="s">
        <v>2208</v>
      </c>
      <c r="Q2241" t="s">
        <v>2916</v>
      </c>
      <c r="R2241" t="s">
        <v>3220</v>
      </c>
      <c r="S2241" t="s">
        <v>2208</v>
      </c>
      <c r="T2241" t="s">
        <v>2208</v>
      </c>
    </row>
    <row r="2242" spans="1:20">
      <c r="A2242" t="s">
        <v>2654</v>
      </c>
      <c r="B2242" t="s">
        <v>7740</v>
      </c>
      <c r="C2242">
        <v>45713</v>
      </c>
      <c r="D2242" t="s">
        <v>7263</v>
      </c>
      <c r="E2242" t="s">
        <v>2925</v>
      </c>
      <c r="F2242">
        <v>45713</v>
      </c>
      <c r="G2242" t="s">
        <v>2208</v>
      </c>
      <c r="H2242" t="s">
        <v>2916</v>
      </c>
      <c r="I2242" t="s">
        <v>8913</v>
      </c>
      <c r="J2242">
        <v>0</v>
      </c>
      <c r="K2242">
        <v>7226.09</v>
      </c>
      <c r="L2242" t="s">
        <v>2917</v>
      </c>
      <c r="M2242">
        <v>42024.34</v>
      </c>
      <c r="N2242" t="s">
        <v>2918</v>
      </c>
      <c r="O2242" t="s">
        <v>8914</v>
      </c>
      <c r="P2242" t="s">
        <v>2208</v>
      </c>
      <c r="Q2242" t="s">
        <v>2916</v>
      </c>
      <c r="R2242" t="s">
        <v>3220</v>
      </c>
      <c r="S2242" t="s">
        <v>2208</v>
      </c>
      <c r="T2242" t="s">
        <v>2208</v>
      </c>
    </row>
    <row r="2243" spans="1:20">
      <c r="A2243" t="s">
        <v>2654</v>
      </c>
      <c r="B2243" t="s">
        <v>7740</v>
      </c>
      <c r="C2243">
        <v>45707</v>
      </c>
      <c r="D2243" t="s">
        <v>7263</v>
      </c>
      <c r="E2243" t="s">
        <v>2925</v>
      </c>
      <c r="F2243">
        <v>45707</v>
      </c>
      <c r="G2243" t="s">
        <v>2208</v>
      </c>
      <c r="H2243" t="s">
        <v>2916</v>
      </c>
      <c r="I2243" t="s">
        <v>8738</v>
      </c>
      <c r="J2243">
        <v>0</v>
      </c>
      <c r="K2243">
        <v>7226.09</v>
      </c>
      <c r="L2243" t="s">
        <v>2917</v>
      </c>
      <c r="M2243">
        <v>42024.34</v>
      </c>
      <c r="N2243" t="s">
        <v>2918</v>
      </c>
      <c r="O2243" t="s">
        <v>8739</v>
      </c>
      <c r="P2243" t="s">
        <v>2208</v>
      </c>
      <c r="Q2243" t="s">
        <v>2933</v>
      </c>
      <c r="R2243" t="s">
        <v>3314</v>
      </c>
      <c r="S2243" t="s">
        <v>2208</v>
      </c>
      <c r="T2243" t="s">
        <v>2208</v>
      </c>
    </row>
    <row r="2244" spans="1:20">
      <c r="A2244" t="s">
        <v>2654</v>
      </c>
      <c r="B2244" t="s">
        <v>7740</v>
      </c>
      <c r="C2244">
        <v>45713</v>
      </c>
      <c r="D2244" t="s">
        <v>7263</v>
      </c>
      <c r="E2244" t="s">
        <v>2925</v>
      </c>
      <c r="F2244">
        <v>45713</v>
      </c>
      <c r="G2244" t="s">
        <v>2208</v>
      </c>
      <c r="H2244" t="s">
        <v>2916</v>
      </c>
      <c r="I2244" t="s">
        <v>8913</v>
      </c>
      <c r="J2244">
        <v>0</v>
      </c>
      <c r="K2244">
        <v>-7226.09</v>
      </c>
      <c r="L2244" t="s">
        <v>2917</v>
      </c>
      <c r="M2244">
        <v>-42024.34</v>
      </c>
      <c r="N2244" t="s">
        <v>2918</v>
      </c>
      <c r="O2244" t="s">
        <v>8739</v>
      </c>
      <c r="P2244" t="s">
        <v>2208</v>
      </c>
      <c r="Q2244" t="s">
        <v>2916</v>
      </c>
      <c r="R2244" t="s">
        <v>3220</v>
      </c>
      <c r="S2244" t="s">
        <v>2208</v>
      </c>
      <c r="T2244" t="s">
        <v>2208</v>
      </c>
    </row>
    <row r="2245" spans="1:20">
      <c r="A2245" t="s">
        <v>2686</v>
      </c>
      <c r="B2245" t="s">
        <v>16360</v>
      </c>
      <c r="C2245">
        <v>45581</v>
      </c>
      <c r="D2245" t="s">
        <v>7263</v>
      </c>
      <c r="E2245" t="s">
        <v>16361</v>
      </c>
      <c r="F2245">
        <v>45800</v>
      </c>
      <c r="G2245" t="s">
        <v>17553</v>
      </c>
      <c r="H2245" t="s">
        <v>2916</v>
      </c>
      <c r="I2245" t="s">
        <v>17554</v>
      </c>
      <c r="J2245">
        <v>61132.5</v>
      </c>
      <c r="K2245">
        <v>10851.02</v>
      </c>
      <c r="L2245" t="s">
        <v>2917</v>
      </c>
      <c r="M2245">
        <v>61132.5</v>
      </c>
      <c r="N2245" t="s">
        <v>2918</v>
      </c>
      <c r="O2245" t="s">
        <v>11179</v>
      </c>
      <c r="P2245" t="s">
        <v>11179</v>
      </c>
      <c r="Q2245" t="s">
        <v>2924</v>
      </c>
      <c r="R2245" t="s">
        <v>3219</v>
      </c>
      <c r="S2245" t="s">
        <v>2208</v>
      </c>
      <c r="T2245" t="s">
        <v>2208</v>
      </c>
    </row>
    <row r="2246" spans="1:20">
      <c r="A2246" t="s">
        <v>2686</v>
      </c>
      <c r="B2246" t="s">
        <v>16360</v>
      </c>
      <c r="C2246">
        <v>45808</v>
      </c>
      <c r="D2246" t="s">
        <v>7263</v>
      </c>
      <c r="E2246" t="s">
        <v>16361</v>
      </c>
      <c r="F2246">
        <v>45808</v>
      </c>
      <c r="G2246" t="s">
        <v>2208</v>
      </c>
      <c r="H2246" t="s">
        <v>2916</v>
      </c>
      <c r="I2246" t="s">
        <v>17891</v>
      </c>
      <c r="J2246">
        <v>0</v>
      </c>
      <c r="K2246">
        <v>0.09</v>
      </c>
      <c r="L2246" t="s">
        <v>2917</v>
      </c>
      <c r="M2246">
        <v>0</v>
      </c>
      <c r="N2246" t="s">
        <v>2918</v>
      </c>
      <c r="O2246" t="s">
        <v>2919</v>
      </c>
      <c r="P2246" t="s">
        <v>2208</v>
      </c>
      <c r="Q2246" t="s">
        <v>2916</v>
      </c>
      <c r="R2246" t="s">
        <v>3220</v>
      </c>
      <c r="S2246" t="s">
        <v>2208</v>
      </c>
      <c r="T2246" t="s">
        <v>2208</v>
      </c>
    </row>
    <row r="2247" spans="1:20">
      <c r="A2247" t="s">
        <v>2693</v>
      </c>
      <c r="B2247" t="s">
        <v>9126</v>
      </c>
      <c r="C2247">
        <v>45721</v>
      </c>
      <c r="D2247" t="s">
        <v>7263</v>
      </c>
      <c r="E2247" t="s">
        <v>9127</v>
      </c>
      <c r="F2247">
        <v>45723</v>
      </c>
      <c r="G2247" t="s">
        <v>10744</v>
      </c>
      <c r="H2247" t="s">
        <v>2916</v>
      </c>
      <c r="I2247" t="s">
        <v>10745</v>
      </c>
      <c r="J2247">
        <v>1</v>
      </c>
      <c r="K2247">
        <v>136307.57999999999</v>
      </c>
      <c r="L2247" t="s">
        <v>2917</v>
      </c>
      <c r="M2247">
        <v>795306.49</v>
      </c>
      <c r="N2247" t="s">
        <v>2918</v>
      </c>
      <c r="O2247" t="s">
        <v>10746</v>
      </c>
      <c r="P2247" t="s">
        <v>10749</v>
      </c>
      <c r="Q2247" t="s">
        <v>2927</v>
      </c>
      <c r="R2247" t="s">
        <v>3222</v>
      </c>
      <c r="S2247" t="s">
        <v>10750</v>
      </c>
      <c r="T2247" t="s">
        <v>10749</v>
      </c>
    </row>
    <row r="2248" spans="1:20">
      <c r="A2248" t="s">
        <v>2693</v>
      </c>
      <c r="B2248" t="s">
        <v>9126</v>
      </c>
      <c r="C2248">
        <v>45744</v>
      </c>
      <c r="D2248" t="s">
        <v>7263</v>
      </c>
      <c r="E2248" t="s">
        <v>9127</v>
      </c>
      <c r="F2248">
        <v>45744</v>
      </c>
      <c r="G2248" t="s">
        <v>2208</v>
      </c>
      <c r="H2248" t="s">
        <v>2916</v>
      </c>
      <c r="I2248" t="s">
        <v>11319</v>
      </c>
      <c r="J2248">
        <v>0</v>
      </c>
      <c r="K2248">
        <v>-185650.58</v>
      </c>
      <c r="L2248" t="s">
        <v>2917</v>
      </c>
      <c r="M2248">
        <v>-1083205.4099999999</v>
      </c>
      <c r="N2248" t="s">
        <v>2918</v>
      </c>
      <c r="O2248" t="s">
        <v>11320</v>
      </c>
      <c r="P2248" t="s">
        <v>2208</v>
      </c>
      <c r="Q2248" t="s">
        <v>2916</v>
      </c>
      <c r="R2248" t="s">
        <v>3220</v>
      </c>
      <c r="S2248" t="s">
        <v>2208</v>
      </c>
      <c r="T2248" t="s">
        <v>2208</v>
      </c>
    </row>
    <row r="2249" spans="1:20">
      <c r="A2249" t="s">
        <v>2693</v>
      </c>
      <c r="B2249" t="s">
        <v>9126</v>
      </c>
      <c r="C2249">
        <v>45744</v>
      </c>
      <c r="D2249" t="s">
        <v>7263</v>
      </c>
      <c r="E2249" t="s">
        <v>9127</v>
      </c>
      <c r="F2249">
        <v>45744</v>
      </c>
      <c r="G2249" t="s">
        <v>2208</v>
      </c>
      <c r="H2249" t="s">
        <v>2916</v>
      </c>
      <c r="I2249" t="s">
        <v>11319</v>
      </c>
      <c r="J2249">
        <v>0</v>
      </c>
      <c r="K2249">
        <v>190832.29</v>
      </c>
      <c r="L2249" t="s">
        <v>2917</v>
      </c>
      <c r="M2249">
        <v>1113438.9099999999</v>
      </c>
      <c r="N2249" t="s">
        <v>2918</v>
      </c>
      <c r="O2249" t="s">
        <v>11320</v>
      </c>
      <c r="P2249" t="s">
        <v>2208</v>
      </c>
      <c r="Q2249" t="s">
        <v>2927</v>
      </c>
      <c r="R2249" t="s">
        <v>3222</v>
      </c>
      <c r="S2249" t="s">
        <v>2208</v>
      </c>
      <c r="T2249" t="s">
        <v>2208</v>
      </c>
    </row>
    <row r="2250" spans="1:20">
      <c r="A2250" t="s">
        <v>2693</v>
      </c>
      <c r="B2250" t="s">
        <v>9126</v>
      </c>
      <c r="C2250">
        <v>45744</v>
      </c>
      <c r="D2250" t="s">
        <v>7263</v>
      </c>
      <c r="E2250" t="s">
        <v>9127</v>
      </c>
      <c r="F2250">
        <v>45744</v>
      </c>
      <c r="G2250" t="s">
        <v>2208</v>
      </c>
      <c r="H2250" t="s">
        <v>2916</v>
      </c>
      <c r="I2250" t="s">
        <v>11450</v>
      </c>
      <c r="J2250">
        <v>0</v>
      </c>
      <c r="K2250">
        <v>34.020000000000003</v>
      </c>
      <c r="L2250" t="s">
        <v>2917</v>
      </c>
      <c r="M2250">
        <v>198.48</v>
      </c>
      <c r="N2250" t="s">
        <v>2918</v>
      </c>
      <c r="O2250" t="s">
        <v>3313</v>
      </c>
      <c r="P2250" t="s">
        <v>2208</v>
      </c>
      <c r="Q2250" t="s">
        <v>2929</v>
      </c>
      <c r="R2250" t="s">
        <v>3228</v>
      </c>
      <c r="S2250" t="s">
        <v>2208</v>
      </c>
      <c r="T2250" t="s">
        <v>2208</v>
      </c>
    </row>
    <row r="2251" spans="1:20">
      <c r="A2251" t="s">
        <v>2693</v>
      </c>
      <c r="B2251" t="s">
        <v>9126</v>
      </c>
      <c r="C2251">
        <v>45747</v>
      </c>
      <c r="D2251" t="s">
        <v>7263</v>
      </c>
      <c r="E2251" t="s">
        <v>9127</v>
      </c>
      <c r="F2251">
        <v>45747</v>
      </c>
      <c r="G2251" t="s">
        <v>2208</v>
      </c>
      <c r="H2251" t="s">
        <v>2916</v>
      </c>
      <c r="I2251" t="s">
        <v>11316</v>
      </c>
      <c r="J2251">
        <v>0</v>
      </c>
      <c r="K2251">
        <v>747.1</v>
      </c>
      <c r="L2251" t="s">
        <v>2917</v>
      </c>
      <c r="M2251">
        <v>4359.05</v>
      </c>
      <c r="N2251" t="s">
        <v>2918</v>
      </c>
      <c r="O2251" t="s">
        <v>11317</v>
      </c>
      <c r="P2251" t="s">
        <v>2208</v>
      </c>
      <c r="Q2251" t="s">
        <v>2926</v>
      </c>
      <c r="R2251" t="s">
        <v>3312</v>
      </c>
      <c r="S2251" t="s">
        <v>2208</v>
      </c>
      <c r="T2251" t="s">
        <v>2208</v>
      </c>
    </row>
    <row r="2252" spans="1:20">
      <c r="A2252" t="s">
        <v>2693</v>
      </c>
      <c r="B2252" t="s">
        <v>9126</v>
      </c>
      <c r="C2252">
        <v>45747</v>
      </c>
      <c r="D2252" t="s">
        <v>7263</v>
      </c>
      <c r="E2252" t="s">
        <v>9127</v>
      </c>
      <c r="F2252">
        <v>45747</v>
      </c>
      <c r="G2252" t="s">
        <v>2208</v>
      </c>
      <c r="H2252" t="s">
        <v>2916</v>
      </c>
      <c r="I2252" t="s">
        <v>11452</v>
      </c>
      <c r="J2252">
        <v>0</v>
      </c>
      <c r="K2252">
        <v>0.09</v>
      </c>
      <c r="L2252" t="s">
        <v>2917</v>
      </c>
      <c r="M2252">
        <v>0</v>
      </c>
      <c r="N2252" t="s">
        <v>2918</v>
      </c>
      <c r="O2252" t="s">
        <v>2919</v>
      </c>
      <c r="P2252" t="s">
        <v>2208</v>
      </c>
      <c r="Q2252" t="s">
        <v>2916</v>
      </c>
      <c r="R2252" t="s">
        <v>3220</v>
      </c>
      <c r="S2252" t="s">
        <v>2208</v>
      </c>
      <c r="T2252" t="s">
        <v>2208</v>
      </c>
    </row>
    <row r="2253" spans="1:20">
      <c r="A2253" t="s">
        <v>2693</v>
      </c>
      <c r="B2253" t="s">
        <v>11331</v>
      </c>
      <c r="C2253">
        <v>45726</v>
      </c>
      <c r="D2253" t="s">
        <v>7263</v>
      </c>
      <c r="E2253" t="s">
        <v>11332</v>
      </c>
      <c r="F2253">
        <v>45755</v>
      </c>
      <c r="G2253" t="s">
        <v>10744</v>
      </c>
      <c r="H2253" t="s">
        <v>2916</v>
      </c>
      <c r="I2253" t="s">
        <v>12476</v>
      </c>
      <c r="J2253">
        <v>0</v>
      </c>
      <c r="K2253">
        <v>260.36</v>
      </c>
      <c r="L2253" t="s">
        <v>2917</v>
      </c>
      <c r="M2253">
        <v>1499.32</v>
      </c>
      <c r="N2253" t="s">
        <v>2918</v>
      </c>
      <c r="O2253" t="s">
        <v>12477</v>
      </c>
      <c r="P2253" t="s">
        <v>10749</v>
      </c>
      <c r="Q2253" t="s">
        <v>2934</v>
      </c>
      <c r="R2253" t="s">
        <v>2935</v>
      </c>
      <c r="S2253" t="s">
        <v>10750</v>
      </c>
      <c r="T2253" t="s">
        <v>10749</v>
      </c>
    </row>
    <row r="2254" spans="1:20">
      <c r="A2254" t="s">
        <v>2693</v>
      </c>
      <c r="B2254" t="s">
        <v>11331</v>
      </c>
      <c r="C2254">
        <v>45747</v>
      </c>
      <c r="D2254" t="s">
        <v>7263</v>
      </c>
      <c r="E2254" t="s">
        <v>11332</v>
      </c>
      <c r="F2254">
        <v>45757</v>
      </c>
      <c r="G2254" t="s">
        <v>2208</v>
      </c>
      <c r="H2254" t="s">
        <v>2916</v>
      </c>
      <c r="I2254" t="s">
        <v>12252</v>
      </c>
      <c r="J2254">
        <v>0</v>
      </c>
      <c r="K2254">
        <v>-747.1</v>
      </c>
      <c r="L2254" t="s">
        <v>2917</v>
      </c>
      <c r="M2254">
        <v>-4359.05</v>
      </c>
      <c r="N2254" t="s">
        <v>2918</v>
      </c>
      <c r="O2254" t="s">
        <v>11317</v>
      </c>
      <c r="P2254" t="s">
        <v>2208</v>
      </c>
      <c r="Q2254" t="s">
        <v>2926</v>
      </c>
      <c r="R2254" t="s">
        <v>3312</v>
      </c>
      <c r="S2254" t="s">
        <v>2208</v>
      </c>
      <c r="T2254" t="s">
        <v>2208</v>
      </c>
    </row>
    <row r="2255" spans="1:20">
      <c r="A2255" t="s">
        <v>2693</v>
      </c>
      <c r="B2255" t="s">
        <v>11331</v>
      </c>
      <c r="C2255">
        <v>45744</v>
      </c>
      <c r="D2255" t="s">
        <v>7263</v>
      </c>
      <c r="E2255" t="s">
        <v>11332</v>
      </c>
      <c r="F2255">
        <v>45772</v>
      </c>
      <c r="G2255" t="s">
        <v>2208</v>
      </c>
      <c r="H2255" t="s">
        <v>2916</v>
      </c>
      <c r="I2255" t="s">
        <v>16281</v>
      </c>
      <c r="J2255">
        <v>0</v>
      </c>
      <c r="K2255">
        <v>-34.020000000000003</v>
      </c>
      <c r="L2255" t="s">
        <v>2917</v>
      </c>
      <c r="M2255">
        <v>-198.48</v>
      </c>
      <c r="N2255" t="s">
        <v>2918</v>
      </c>
      <c r="O2255" t="s">
        <v>3313</v>
      </c>
      <c r="P2255" t="s">
        <v>2208</v>
      </c>
      <c r="Q2255" t="s">
        <v>2929</v>
      </c>
      <c r="R2255" t="s">
        <v>3228</v>
      </c>
      <c r="S2255" t="s">
        <v>2208</v>
      </c>
      <c r="T2255" t="s">
        <v>2208</v>
      </c>
    </row>
    <row r="2256" spans="1:20">
      <c r="A2256" t="s">
        <v>2693</v>
      </c>
      <c r="B2256" t="s">
        <v>11331</v>
      </c>
      <c r="C2256">
        <v>45775</v>
      </c>
      <c r="D2256" t="s">
        <v>7263</v>
      </c>
      <c r="E2256" t="s">
        <v>11332</v>
      </c>
      <c r="F2256">
        <v>45775</v>
      </c>
      <c r="G2256" t="s">
        <v>2208</v>
      </c>
      <c r="H2256" t="s">
        <v>2916</v>
      </c>
      <c r="I2256" t="s">
        <v>16166</v>
      </c>
      <c r="J2256">
        <v>0</v>
      </c>
      <c r="K2256">
        <v>90.9</v>
      </c>
      <c r="L2256" t="s">
        <v>2917</v>
      </c>
      <c r="M2256">
        <v>523.45000000000005</v>
      </c>
      <c r="N2256" t="s">
        <v>2918</v>
      </c>
      <c r="O2256" t="s">
        <v>16167</v>
      </c>
      <c r="P2256" t="s">
        <v>2208</v>
      </c>
      <c r="Q2256" t="s">
        <v>2949</v>
      </c>
      <c r="R2256" t="s">
        <v>3224</v>
      </c>
      <c r="S2256" t="s">
        <v>2208</v>
      </c>
      <c r="T2256" t="s">
        <v>2208</v>
      </c>
    </row>
    <row r="2257" spans="1:20">
      <c r="A2257" t="s">
        <v>2693</v>
      </c>
      <c r="B2257" t="s">
        <v>11331</v>
      </c>
      <c r="C2257">
        <v>45777</v>
      </c>
      <c r="D2257" t="s">
        <v>7263</v>
      </c>
      <c r="E2257" t="s">
        <v>11332</v>
      </c>
      <c r="F2257">
        <v>45777</v>
      </c>
      <c r="G2257" t="s">
        <v>2208</v>
      </c>
      <c r="H2257" t="s">
        <v>2916</v>
      </c>
      <c r="I2257" t="s">
        <v>16500</v>
      </c>
      <c r="J2257">
        <v>0</v>
      </c>
      <c r="K2257">
        <v>-0.44</v>
      </c>
      <c r="L2257" t="s">
        <v>2917</v>
      </c>
      <c r="M2257">
        <v>0</v>
      </c>
      <c r="N2257" t="s">
        <v>2918</v>
      </c>
      <c r="O2257" t="s">
        <v>2919</v>
      </c>
      <c r="P2257" t="s">
        <v>2208</v>
      </c>
      <c r="Q2257" t="s">
        <v>2916</v>
      </c>
      <c r="R2257" t="s">
        <v>3220</v>
      </c>
      <c r="S2257" t="s">
        <v>2208</v>
      </c>
      <c r="T2257" t="s">
        <v>2208</v>
      </c>
    </row>
    <row r="2258" spans="1:20">
      <c r="A2258" t="s">
        <v>2792</v>
      </c>
      <c r="B2258" t="s">
        <v>11331</v>
      </c>
      <c r="C2258">
        <v>45692</v>
      </c>
      <c r="D2258" t="s">
        <v>7263</v>
      </c>
      <c r="E2258" t="s">
        <v>11332</v>
      </c>
      <c r="F2258">
        <v>45769</v>
      </c>
      <c r="G2258" t="s">
        <v>15939</v>
      </c>
      <c r="H2258" t="s">
        <v>2916</v>
      </c>
      <c r="I2258" t="s">
        <v>15940</v>
      </c>
      <c r="J2258">
        <v>9559</v>
      </c>
      <c r="K2258">
        <v>1659.92</v>
      </c>
      <c r="L2258" t="s">
        <v>2917</v>
      </c>
      <c r="M2258">
        <v>9559</v>
      </c>
      <c r="N2258" t="s">
        <v>2918</v>
      </c>
      <c r="O2258" t="s">
        <v>2941</v>
      </c>
      <c r="P2258" t="s">
        <v>2941</v>
      </c>
      <c r="Q2258" t="s">
        <v>2924</v>
      </c>
      <c r="R2258" t="s">
        <v>3219</v>
      </c>
      <c r="S2258" t="s">
        <v>2208</v>
      </c>
      <c r="T2258" t="s">
        <v>2208</v>
      </c>
    </row>
    <row r="2259" spans="1:20">
      <c r="A2259" t="s">
        <v>2792</v>
      </c>
      <c r="B2259" t="s">
        <v>11331</v>
      </c>
      <c r="C2259">
        <v>45748</v>
      </c>
      <c r="D2259" t="s">
        <v>7263</v>
      </c>
      <c r="E2259" t="s">
        <v>11332</v>
      </c>
      <c r="F2259">
        <v>45761</v>
      </c>
      <c r="G2259" t="s">
        <v>12480</v>
      </c>
      <c r="H2259" t="s">
        <v>2916</v>
      </c>
      <c r="I2259" t="s">
        <v>12481</v>
      </c>
      <c r="J2259">
        <v>29245</v>
      </c>
      <c r="K2259">
        <v>5078.3900000000003</v>
      </c>
      <c r="L2259" t="s">
        <v>2917</v>
      </c>
      <c r="M2259">
        <v>29245</v>
      </c>
      <c r="N2259" t="s">
        <v>2918</v>
      </c>
      <c r="O2259" t="s">
        <v>12077</v>
      </c>
      <c r="P2259" t="s">
        <v>12077</v>
      </c>
      <c r="Q2259" t="s">
        <v>2924</v>
      </c>
      <c r="R2259" t="s">
        <v>3219</v>
      </c>
      <c r="S2259" t="s">
        <v>2208</v>
      </c>
      <c r="T2259" t="s">
        <v>2208</v>
      </c>
    </row>
    <row r="2260" spans="1:20">
      <c r="A2260" t="s">
        <v>2792</v>
      </c>
      <c r="B2260" t="s">
        <v>11331</v>
      </c>
      <c r="C2260">
        <v>45748</v>
      </c>
      <c r="D2260" t="s">
        <v>7263</v>
      </c>
      <c r="E2260" t="s">
        <v>11332</v>
      </c>
      <c r="F2260">
        <v>45761</v>
      </c>
      <c r="G2260" t="s">
        <v>12480</v>
      </c>
      <c r="H2260" t="s">
        <v>2916</v>
      </c>
      <c r="I2260" t="s">
        <v>12482</v>
      </c>
      <c r="J2260">
        <v>0</v>
      </c>
      <c r="K2260">
        <v>7.0000000000000007E-2</v>
      </c>
      <c r="L2260" t="s">
        <v>2917</v>
      </c>
      <c r="M2260">
        <v>0.4</v>
      </c>
      <c r="N2260" t="s">
        <v>2918</v>
      </c>
      <c r="O2260" t="s">
        <v>12483</v>
      </c>
      <c r="P2260" t="s">
        <v>12077</v>
      </c>
      <c r="Q2260" t="s">
        <v>12484</v>
      </c>
      <c r="R2260" t="s">
        <v>12485</v>
      </c>
      <c r="S2260" t="s">
        <v>2208</v>
      </c>
      <c r="T2260" t="s">
        <v>2208</v>
      </c>
    </row>
    <row r="2261" spans="1:20">
      <c r="A2261" t="s">
        <v>2792</v>
      </c>
      <c r="B2261" t="s">
        <v>11331</v>
      </c>
      <c r="C2261">
        <v>45777</v>
      </c>
      <c r="D2261" t="s">
        <v>7263</v>
      </c>
      <c r="E2261" t="s">
        <v>11332</v>
      </c>
      <c r="F2261">
        <v>45777</v>
      </c>
      <c r="G2261" t="s">
        <v>2208</v>
      </c>
      <c r="H2261" t="s">
        <v>2916</v>
      </c>
      <c r="I2261" t="s">
        <v>16501</v>
      </c>
      <c r="J2261">
        <v>0</v>
      </c>
      <c r="K2261">
        <v>-7.0000000000000007E-2</v>
      </c>
      <c r="L2261" t="s">
        <v>2917</v>
      </c>
      <c r="M2261">
        <v>0</v>
      </c>
      <c r="N2261" t="s">
        <v>2918</v>
      </c>
      <c r="O2261" t="s">
        <v>2919</v>
      </c>
      <c r="P2261" t="s">
        <v>2208</v>
      </c>
      <c r="Q2261" t="s">
        <v>2916</v>
      </c>
      <c r="R2261" t="s">
        <v>3220</v>
      </c>
      <c r="S2261" t="s">
        <v>2208</v>
      </c>
      <c r="T2261" t="s">
        <v>2208</v>
      </c>
    </row>
    <row r="2262" spans="1:20">
      <c r="A2262" t="s">
        <v>2792</v>
      </c>
      <c r="B2262" t="s">
        <v>16360</v>
      </c>
      <c r="C2262">
        <v>45779</v>
      </c>
      <c r="D2262" t="s">
        <v>7263</v>
      </c>
      <c r="E2262" t="s">
        <v>16361</v>
      </c>
      <c r="F2262">
        <v>45785</v>
      </c>
      <c r="G2262" t="s">
        <v>17082</v>
      </c>
      <c r="H2262" t="s">
        <v>2916</v>
      </c>
      <c r="I2262" t="s">
        <v>17083</v>
      </c>
      <c r="J2262">
        <v>4</v>
      </c>
      <c r="K2262">
        <v>113.83</v>
      </c>
      <c r="L2262" t="s">
        <v>2917</v>
      </c>
      <c r="M2262">
        <v>641.32000000000005</v>
      </c>
      <c r="N2262" t="s">
        <v>2918</v>
      </c>
      <c r="O2262" t="s">
        <v>17084</v>
      </c>
      <c r="P2262" t="s">
        <v>17085</v>
      </c>
      <c r="Q2262" t="s">
        <v>2924</v>
      </c>
      <c r="R2262" t="s">
        <v>3219</v>
      </c>
      <c r="S2262" t="s">
        <v>17086</v>
      </c>
      <c r="T2262" t="s">
        <v>17087</v>
      </c>
    </row>
    <row r="2263" spans="1:20">
      <c r="A2263" t="s">
        <v>2792</v>
      </c>
      <c r="B2263" t="s">
        <v>16360</v>
      </c>
      <c r="C2263">
        <v>45779</v>
      </c>
      <c r="D2263" t="s">
        <v>7263</v>
      </c>
      <c r="E2263" t="s">
        <v>16361</v>
      </c>
      <c r="F2263">
        <v>45785</v>
      </c>
      <c r="G2263" t="s">
        <v>17082</v>
      </c>
      <c r="H2263" t="s">
        <v>2916</v>
      </c>
      <c r="I2263" t="s">
        <v>17083</v>
      </c>
      <c r="J2263">
        <v>1</v>
      </c>
      <c r="K2263">
        <v>39770.31</v>
      </c>
      <c r="L2263" t="s">
        <v>2917</v>
      </c>
      <c r="M2263">
        <v>224058.11</v>
      </c>
      <c r="N2263" t="s">
        <v>2918</v>
      </c>
      <c r="O2263" t="s">
        <v>17084</v>
      </c>
      <c r="P2263" t="s">
        <v>17088</v>
      </c>
      <c r="Q2263" t="s">
        <v>2924</v>
      </c>
      <c r="R2263" t="s">
        <v>3219</v>
      </c>
      <c r="S2263" t="s">
        <v>17089</v>
      </c>
      <c r="T2263" t="s">
        <v>17088</v>
      </c>
    </row>
    <row r="2264" spans="1:20">
      <c r="A2264" t="s">
        <v>2792</v>
      </c>
      <c r="B2264" t="s">
        <v>16360</v>
      </c>
      <c r="C2264">
        <v>45779</v>
      </c>
      <c r="D2264" t="s">
        <v>7263</v>
      </c>
      <c r="E2264" t="s">
        <v>16361</v>
      </c>
      <c r="F2264">
        <v>45785</v>
      </c>
      <c r="G2264" t="s">
        <v>17082</v>
      </c>
      <c r="H2264" t="s">
        <v>2916</v>
      </c>
      <c r="I2264" t="s">
        <v>17090</v>
      </c>
      <c r="J2264">
        <v>39972</v>
      </c>
      <c r="K2264">
        <v>7095.03</v>
      </c>
      <c r="L2264" t="s">
        <v>2917</v>
      </c>
      <c r="M2264">
        <v>39972</v>
      </c>
      <c r="N2264" t="s">
        <v>2918</v>
      </c>
      <c r="O2264" t="s">
        <v>3315</v>
      </c>
      <c r="P2264" t="s">
        <v>3315</v>
      </c>
      <c r="Q2264" t="s">
        <v>2924</v>
      </c>
      <c r="R2264" t="s">
        <v>3219</v>
      </c>
      <c r="S2264" t="s">
        <v>2208</v>
      </c>
      <c r="T2264" t="s">
        <v>2208</v>
      </c>
    </row>
    <row r="2265" spans="1:20">
      <c r="A2265" t="s">
        <v>2792</v>
      </c>
      <c r="B2265" t="s">
        <v>16360</v>
      </c>
      <c r="C2265">
        <v>45808</v>
      </c>
      <c r="D2265" t="s">
        <v>7263</v>
      </c>
      <c r="E2265" t="s">
        <v>16361</v>
      </c>
      <c r="F2265">
        <v>45808</v>
      </c>
      <c r="G2265" t="s">
        <v>2208</v>
      </c>
      <c r="H2265" t="s">
        <v>2916</v>
      </c>
      <c r="I2265" t="s">
        <v>17892</v>
      </c>
      <c r="J2265">
        <v>0</v>
      </c>
      <c r="K2265">
        <v>-7.0000000000000007E-2</v>
      </c>
      <c r="L2265" t="s">
        <v>2917</v>
      </c>
      <c r="M2265">
        <v>0</v>
      </c>
      <c r="N2265" t="s">
        <v>2918</v>
      </c>
      <c r="O2265" t="s">
        <v>2919</v>
      </c>
      <c r="P2265" t="s">
        <v>2208</v>
      </c>
      <c r="Q2265" t="s">
        <v>2916</v>
      </c>
      <c r="R2265" t="s">
        <v>3220</v>
      </c>
      <c r="S2265" t="s">
        <v>2208</v>
      </c>
      <c r="T2265" t="s">
        <v>2208</v>
      </c>
    </row>
    <row r="2266" spans="1:20">
      <c r="A2266" t="s">
        <v>2792</v>
      </c>
      <c r="B2266" t="s">
        <v>9126</v>
      </c>
      <c r="C2266">
        <v>45721</v>
      </c>
      <c r="D2266" t="s">
        <v>7263</v>
      </c>
      <c r="E2266" t="s">
        <v>9127</v>
      </c>
      <c r="F2266">
        <v>45727</v>
      </c>
      <c r="G2266" t="s">
        <v>2208</v>
      </c>
      <c r="H2266" t="s">
        <v>2916</v>
      </c>
      <c r="I2266" t="s">
        <v>10799</v>
      </c>
      <c r="J2266">
        <v>0</v>
      </c>
      <c r="K2266">
        <v>6416.56</v>
      </c>
      <c r="L2266" t="s">
        <v>2917</v>
      </c>
      <c r="M2266">
        <v>37438.33</v>
      </c>
      <c r="N2266" t="s">
        <v>2918</v>
      </c>
      <c r="O2266" t="s">
        <v>10800</v>
      </c>
      <c r="P2266" t="s">
        <v>2208</v>
      </c>
      <c r="Q2266" t="s">
        <v>9155</v>
      </c>
      <c r="R2266" t="s">
        <v>9156</v>
      </c>
      <c r="S2266" t="s">
        <v>2208</v>
      </c>
      <c r="T2266" t="s">
        <v>2208</v>
      </c>
    </row>
    <row r="2267" spans="1:20">
      <c r="A2267" t="s">
        <v>2792</v>
      </c>
      <c r="B2267" t="s">
        <v>9126</v>
      </c>
      <c r="C2267">
        <v>45747</v>
      </c>
      <c r="D2267" t="s">
        <v>7263</v>
      </c>
      <c r="E2267" t="s">
        <v>9127</v>
      </c>
      <c r="F2267">
        <v>45747</v>
      </c>
      <c r="G2267" t="s">
        <v>2208</v>
      </c>
      <c r="H2267" t="s">
        <v>2916</v>
      </c>
      <c r="I2267" t="s">
        <v>11453</v>
      </c>
      <c r="J2267">
        <v>0</v>
      </c>
      <c r="K2267">
        <v>-0.06</v>
      </c>
      <c r="L2267" t="s">
        <v>2917</v>
      </c>
      <c r="M2267">
        <v>0</v>
      </c>
      <c r="N2267" t="s">
        <v>2918</v>
      </c>
      <c r="O2267" t="s">
        <v>2919</v>
      </c>
      <c r="P2267" t="s">
        <v>2208</v>
      </c>
      <c r="Q2267" t="s">
        <v>2916</v>
      </c>
      <c r="R2267" t="s">
        <v>3220</v>
      </c>
      <c r="S2267" t="s">
        <v>2208</v>
      </c>
      <c r="T2267" t="s">
        <v>2208</v>
      </c>
    </row>
    <row r="2268" spans="1:20">
      <c r="A2268" t="s">
        <v>2792</v>
      </c>
      <c r="B2268" t="s">
        <v>2920</v>
      </c>
      <c r="C2268">
        <v>45650</v>
      </c>
      <c r="D2268" t="s">
        <v>7263</v>
      </c>
      <c r="E2268" t="s">
        <v>2921</v>
      </c>
      <c r="F2268">
        <v>45680</v>
      </c>
      <c r="G2268" t="s">
        <v>7796</v>
      </c>
      <c r="H2268" t="s">
        <v>2916</v>
      </c>
      <c r="I2268" t="s">
        <v>7797</v>
      </c>
      <c r="J2268">
        <v>9507.75</v>
      </c>
      <c r="K2268">
        <v>1539.59</v>
      </c>
      <c r="L2268" t="s">
        <v>2917</v>
      </c>
      <c r="M2268">
        <v>9507.75</v>
      </c>
      <c r="N2268" t="s">
        <v>2918</v>
      </c>
      <c r="O2268" t="s">
        <v>2948</v>
      </c>
      <c r="P2268" t="s">
        <v>2948</v>
      </c>
      <c r="Q2268" t="s">
        <v>2924</v>
      </c>
      <c r="R2268" t="s">
        <v>3219</v>
      </c>
      <c r="S2268" t="s">
        <v>2208</v>
      </c>
      <c r="T2268" t="s">
        <v>2208</v>
      </c>
    </row>
    <row r="2269" spans="1:20">
      <c r="A2269" t="s">
        <v>2792</v>
      </c>
      <c r="B2269" t="s">
        <v>2920</v>
      </c>
      <c r="C2269">
        <v>45680</v>
      </c>
      <c r="D2269" t="s">
        <v>7263</v>
      </c>
      <c r="E2269" t="s">
        <v>2921</v>
      </c>
      <c r="F2269">
        <v>45685</v>
      </c>
      <c r="G2269" t="s">
        <v>7796</v>
      </c>
      <c r="H2269" t="s">
        <v>2916</v>
      </c>
      <c r="I2269" t="s">
        <v>7798</v>
      </c>
      <c r="J2269">
        <v>0</v>
      </c>
      <c r="K2269">
        <v>-142.41</v>
      </c>
      <c r="L2269" t="s">
        <v>2917</v>
      </c>
      <c r="M2269">
        <v>-879.47</v>
      </c>
      <c r="N2269" t="s">
        <v>2918</v>
      </c>
      <c r="O2269" t="s">
        <v>7799</v>
      </c>
      <c r="P2269" t="s">
        <v>2948</v>
      </c>
      <c r="Q2269" t="s">
        <v>2924</v>
      </c>
      <c r="R2269" t="s">
        <v>3219</v>
      </c>
      <c r="S2269" t="s">
        <v>2208</v>
      </c>
      <c r="T2269" t="s">
        <v>2208</v>
      </c>
    </row>
    <row r="2270" spans="1:20">
      <c r="A2270" t="s">
        <v>2792</v>
      </c>
      <c r="B2270" t="s">
        <v>2920</v>
      </c>
      <c r="C2270">
        <v>45688</v>
      </c>
      <c r="D2270" t="s">
        <v>7263</v>
      </c>
      <c r="E2270" t="s">
        <v>2921</v>
      </c>
      <c r="F2270">
        <v>45688</v>
      </c>
      <c r="G2270" t="s">
        <v>2208</v>
      </c>
      <c r="H2270" t="s">
        <v>2916</v>
      </c>
      <c r="I2270" t="s">
        <v>7800</v>
      </c>
      <c r="J2270">
        <v>0</v>
      </c>
      <c r="K2270">
        <v>-0.05</v>
      </c>
      <c r="L2270" t="s">
        <v>2917</v>
      </c>
      <c r="M2270">
        <v>0</v>
      </c>
      <c r="N2270" t="s">
        <v>2918</v>
      </c>
      <c r="O2270" t="s">
        <v>2919</v>
      </c>
      <c r="P2270" t="s">
        <v>2208</v>
      </c>
      <c r="Q2270" t="s">
        <v>2916</v>
      </c>
      <c r="R2270" t="s">
        <v>3220</v>
      </c>
      <c r="S2270" t="s">
        <v>2208</v>
      </c>
      <c r="T2270" t="s">
        <v>2208</v>
      </c>
    </row>
    <row r="2271" spans="1:20">
      <c r="A2271" t="s">
        <v>2792</v>
      </c>
      <c r="B2271" t="s">
        <v>7740</v>
      </c>
      <c r="C2271">
        <v>45650</v>
      </c>
      <c r="D2271" t="s">
        <v>7263</v>
      </c>
      <c r="E2271" t="s">
        <v>2925</v>
      </c>
      <c r="F2271">
        <v>45712</v>
      </c>
      <c r="G2271" t="s">
        <v>7796</v>
      </c>
      <c r="H2271" t="s">
        <v>2916</v>
      </c>
      <c r="I2271" t="s">
        <v>8740</v>
      </c>
      <c r="J2271">
        <v>3718.25</v>
      </c>
      <c r="K2271">
        <v>639.35</v>
      </c>
      <c r="L2271" t="s">
        <v>2917</v>
      </c>
      <c r="M2271">
        <v>3718.25</v>
      </c>
      <c r="N2271" t="s">
        <v>2918</v>
      </c>
      <c r="O2271" t="s">
        <v>2948</v>
      </c>
      <c r="P2271" t="s">
        <v>2948</v>
      </c>
      <c r="Q2271" t="s">
        <v>2924</v>
      </c>
      <c r="R2271" t="s">
        <v>3219</v>
      </c>
      <c r="S2271" t="s">
        <v>2208</v>
      </c>
      <c r="T2271" t="s">
        <v>2208</v>
      </c>
    </row>
    <row r="2272" spans="1:20">
      <c r="A2272" t="s">
        <v>2792</v>
      </c>
      <c r="B2272" t="s">
        <v>7740</v>
      </c>
      <c r="C2272">
        <v>45716</v>
      </c>
      <c r="D2272" t="s">
        <v>7263</v>
      </c>
      <c r="E2272" t="s">
        <v>2925</v>
      </c>
      <c r="F2272">
        <v>45716</v>
      </c>
      <c r="G2272" t="s">
        <v>2208</v>
      </c>
      <c r="H2272" t="s">
        <v>2916</v>
      </c>
      <c r="I2272" t="s">
        <v>9187</v>
      </c>
      <c r="J2272">
        <v>0</v>
      </c>
      <c r="K2272">
        <v>-0.04</v>
      </c>
      <c r="L2272" t="s">
        <v>2917</v>
      </c>
      <c r="M2272">
        <v>0</v>
      </c>
      <c r="N2272" t="s">
        <v>2918</v>
      </c>
      <c r="O2272" t="s">
        <v>2919</v>
      </c>
      <c r="P2272" t="s">
        <v>2208</v>
      </c>
      <c r="Q2272" t="s">
        <v>2916</v>
      </c>
      <c r="R2272" t="s">
        <v>3220</v>
      </c>
      <c r="S2272" t="s">
        <v>2208</v>
      </c>
      <c r="T2272" t="s">
        <v>2208</v>
      </c>
    </row>
    <row r="2273" spans="1:20">
      <c r="A2273" t="s">
        <v>3211</v>
      </c>
      <c r="B2273" t="s">
        <v>17897</v>
      </c>
      <c r="C2273">
        <v>45803</v>
      </c>
      <c r="D2273" t="s">
        <v>7263</v>
      </c>
      <c r="E2273" t="s">
        <v>17898</v>
      </c>
      <c r="F2273">
        <v>45810</v>
      </c>
      <c r="G2273" t="s">
        <v>17998</v>
      </c>
      <c r="H2273" t="s">
        <v>2916</v>
      </c>
      <c r="I2273" t="s">
        <v>17999</v>
      </c>
      <c r="J2273">
        <v>1</v>
      </c>
      <c r="K2273">
        <v>104887.93</v>
      </c>
      <c r="L2273" t="s">
        <v>2917</v>
      </c>
      <c r="M2273">
        <v>595277.71</v>
      </c>
      <c r="N2273" t="s">
        <v>2918</v>
      </c>
      <c r="O2273" t="s">
        <v>18000</v>
      </c>
      <c r="P2273" t="s">
        <v>18001</v>
      </c>
      <c r="Q2273" t="s">
        <v>2927</v>
      </c>
      <c r="R2273" t="s">
        <v>3222</v>
      </c>
      <c r="S2273" t="s">
        <v>18002</v>
      </c>
      <c r="T2273" t="s">
        <v>18003</v>
      </c>
    </row>
    <row r="2274" spans="1:20">
      <c r="A2274" t="s">
        <v>3211</v>
      </c>
      <c r="B2274" t="s">
        <v>17897</v>
      </c>
      <c r="C2274">
        <v>45803</v>
      </c>
      <c r="D2274" t="s">
        <v>7263</v>
      </c>
      <c r="E2274" t="s">
        <v>17898</v>
      </c>
      <c r="F2274">
        <v>45810</v>
      </c>
      <c r="G2274" t="s">
        <v>17998</v>
      </c>
      <c r="H2274" t="s">
        <v>2916</v>
      </c>
      <c r="I2274" t="s">
        <v>17999</v>
      </c>
      <c r="J2274">
        <v>1</v>
      </c>
      <c r="K2274">
        <v>5243.82</v>
      </c>
      <c r="L2274" t="s">
        <v>2917</v>
      </c>
      <c r="M2274">
        <v>29760.59</v>
      </c>
      <c r="N2274" t="s">
        <v>2918</v>
      </c>
      <c r="O2274" t="s">
        <v>18000</v>
      </c>
      <c r="P2274" t="s">
        <v>18004</v>
      </c>
      <c r="Q2274" t="s">
        <v>2927</v>
      </c>
      <c r="R2274" t="s">
        <v>3222</v>
      </c>
      <c r="S2274" t="s">
        <v>18005</v>
      </c>
      <c r="T2274" t="s">
        <v>18004</v>
      </c>
    </row>
    <row r="2275" spans="1:20">
      <c r="A2275" t="s">
        <v>3211</v>
      </c>
      <c r="B2275" t="s">
        <v>17897</v>
      </c>
      <c r="C2275">
        <v>45812</v>
      </c>
      <c r="D2275" t="s">
        <v>7263</v>
      </c>
      <c r="E2275" t="s">
        <v>17898</v>
      </c>
      <c r="F2275">
        <v>45814</v>
      </c>
      <c r="G2275" t="s">
        <v>17998</v>
      </c>
      <c r="H2275" t="s">
        <v>2916</v>
      </c>
      <c r="I2275" t="s">
        <v>18671</v>
      </c>
      <c r="J2275">
        <v>0</v>
      </c>
      <c r="K2275">
        <v>224.4</v>
      </c>
      <c r="L2275" t="s">
        <v>2917</v>
      </c>
      <c r="M2275">
        <v>1273.58</v>
      </c>
      <c r="N2275" t="s">
        <v>2918</v>
      </c>
      <c r="O2275" t="s">
        <v>18672</v>
      </c>
      <c r="P2275" t="s">
        <v>18001</v>
      </c>
      <c r="Q2275" t="s">
        <v>2934</v>
      </c>
      <c r="R2275" t="s">
        <v>2935</v>
      </c>
      <c r="S2275" t="s">
        <v>18002</v>
      </c>
      <c r="T2275" t="s">
        <v>18003</v>
      </c>
    </row>
    <row r="2276" spans="1:20">
      <c r="A2276" t="s">
        <v>3211</v>
      </c>
      <c r="B2276" t="s">
        <v>17897</v>
      </c>
      <c r="C2276">
        <v>45812</v>
      </c>
      <c r="D2276" t="s">
        <v>7263</v>
      </c>
      <c r="E2276" t="s">
        <v>17898</v>
      </c>
      <c r="F2276">
        <v>45814</v>
      </c>
      <c r="G2276" t="s">
        <v>17998</v>
      </c>
      <c r="H2276" t="s">
        <v>2916</v>
      </c>
      <c r="I2276" t="s">
        <v>18671</v>
      </c>
      <c r="J2276">
        <v>0</v>
      </c>
      <c r="K2276">
        <v>11.22</v>
      </c>
      <c r="L2276" t="s">
        <v>2917</v>
      </c>
      <c r="M2276">
        <v>63.67</v>
      </c>
      <c r="N2276" t="s">
        <v>2918</v>
      </c>
      <c r="O2276" t="s">
        <v>18672</v>
      </c>
      <c r="P2276" t="s">
        <v>18004</v>
      </c>
      <c r="Q2276" t="s">
        <v>2934</v>
      </c>
      <c r="R2276" t="s">
        <v>2935</v>
      </c>
      <c r="S2276" t="s">
        <v>18005</v>
      </c>
      <c r="T2276" t="s">
        <v>18004</v>
      </c>
    </row>
    <row r="2277" spans="1:20">
      <c r="A2277" t="s">
        <v>3211</v>
      </c>
      <c r="B2277" t="s">
        <v>17897</v>
      </c>
      <c r="C2277">
        <v>45832</v>
      </c>
      <c r="D2277" t="s">
        <v>7263</v>
      </c>
      <c r="E2277" t="s">
        <v>17898</v>
      </c>
      <c r="F2277">
        <v>45832</v>
      </c>
      <c r="G2277" t="s">
        <v>2208</v>
      </c>
      <c r="H2277" t="s">
        <v>2916</v>
      </c>
      <c r="I2277" t="s">
        <v>19058</v>
      </c>
      <c r="J2277">
        <v>0</v>
      </c>
      <c r="K2277">
        <v>6174.61</v>
      </c>
      <c r="L2277" t="s">
        <v>2917</v>
      </c>
      <c r="M2277">
        <v>35043.18</v>
      </c>
      <c r="N2277" t="s">
        <v>2918</v>
      </c>
      <c r="O2277" t="s">
        <v>19059</v>
      </c>
      <c r="P2277" t="s">
        <v>2208</v>
      </c>
      <c r="Q2277" t="s">
        <v>2927</v>
      </c>
      <c r="R2277" t="s">
        <v>3222</v>
      </c>
      <c r="S2277" t="s">
        <v>18002</v>
      </c>
      <c r="T2277" t="s">
        <v>18003</v>
      </c>
    </row>
    <row r="2278" spans="1:20">
      <c r="A2278" t="s">
        <v>3211</v>
      </c>
      <c r="B2278" t="s">
        <v>17897</v>
      </c>
      <c r="C2278">
        <v>45832</v>
      </c>
      <c r="D2278" t="s">
        <v>7263</v>
      </c>
      <c r="E2278" t="s">
        <v>17898</v>
      </c>
      <c r="F2278">
        <v>45832</v>
      </c>
      <c r="G2278" t="s">
        <v>2208</v>
      </c>
      <c r="H2278" t="s">
        <v>2916</v>
      </c>
      <c r="I2278" t="s">
        <v>19058</v>
      </c>
      <c r="J2278">
        <v>0</v>
      </c>
      <c r="K2278">
        <v>318.68</v>
      </c>
      <c r="L2278" t="s">
        <v>2917</v>
      </c>
      <c r="M2278">
        <v>1808.6</v>
      </c>
      <c r="N2278" t="s">
        <v>2918</v>
      </c>
      <c r="O2278" t="s">
        <v>19059</v>
      </c>
      <c r="P2278" t="s">
        <v>2208</v>
      </c>
      <c r="Q2278" t="s">
        <v>2927</v>
      </c>
      <c r="R2278" t="s">
        <v>3222</v>
      </c>
      <c r="S2278" t="s">
        <v>18005</v>
      </c>
      <c r="T2278" t="s">
        <v>18004</v>
      </c>
    </row>
    <row r="2279" spans="1:20">
      <c r="A2279" t="s">
        <v>3211</v>
      </c>
      <c r="B2279" t="s">
        <v>17897</v>
      </c>
      <c r="C2279">
        <v>45838</v>
      </c>
      <c r="D2279" t="s">
        <v>7263</v>
      </c>
      <c r="E2279" t="s">
        <v>17898</v>
      </c>
      <c r="F2279">
        <v>45838</v>
      </c>
      <c r="G2279" t="s">
        <v>2208</v>
      </c>
      <c r="H2279" t="s">
        <v>2916</v>
      </c>
      <c r="I2279" t="s">
        <v>19283</v>
      </c>
      <c r="J2279">
        <v>0</v>
      </c>
      <c r="K2279">
        <v>-0.06</v>
      </c>
      <c r="L2279" t="s">
        <v>2917</v>
      </c>
      <c r="M2279">
        <v>0</v>
      </c>
      <c r="N2279" t="s">
        <v>2918</v>
      </c>
      <c r="O2279" t="s">
        <v>2919</v>
      </c>
      <c r="P2279" t="s">
        <v>2208</v>
      </c>
      <c r="Q2279" t="s">
        <v>2916</v>
      </c>
      <c r="R2279" t="s">
        <v>3220</v>
      </c>
      <c r="S2279" t="s">
        <v>2208</v>
      </c>
      <c r="T2279" t="s">
        <v>2208</v>
      </c>
    </row>
    <row r="2280" spans="1:20">
      <c r="A2280" t="s">
        <v>3212</v>
      </c>
      <c r="B2280" t="s">
        <v>11331</v>
      </c>
      <c r="C2280">
        <v>45754</v>
      </c>
      <c r="D2280" t="s">
        <v>7263</v>
      </c>
      <c r="E2280" t="s">
        <v>11332</v>
      </c>
      <c r="F2280">
        <v>45755</v>
      </c>
      <c r="G2280" t="s">
        <v>12231</v>
      </c>
      <c r="H2280" t="s">
        <v>2916</v>
      </c>
      <c r="I2280" t="s">
        <v>12232</v>
      </c>
      <c r="J2280">
        <v>3</v>
      </c>
      <c r="K2280">
        <v>260233.86</v>
      </c>
      <c r="L2280" t="s">
        <v>2917</v>
      </c>
      <c r="M2280">
        <v>1498611.36</v>
      </c>
      <c r="N2280" t="s">
        <v>2918</v>
      </c>
      <c r="O2280" t="s">
        <v>12233</v>
      </c>
      <c r="P2280" t="s">
        <v>12234</v>
      </c>
      <c r="Q2280" t="s">
        <v>2927</v>
      </c>
      <c r="R2280" t="s">
        <v>3222</v>
      </c>
      <c r="S2280" t="s">
        <v>12235</v>
      </c>
      <c r="T2280" t="s">
        <v>12234</v>
      </c>
    </row>
    <row r="2281" spans="1:20">
      <c r="A2281" t="s">
        <v>3212</v>
      </c>
      <c r="B2281" t="s">
        <v>11331</v>
      </c>
      <c r="C2281">
        <v>45771</v>
      </c>
      <c r="D2281" t="s">
        <v>7263</v>
      </c>
      <c r="E2281" t="s">
        <v>11332</v>
      </c>
      <c r="F2281">
        <v>45771</v>
      </c>
      <c r="G2281" t="s">
        <v>2208</v>
      </c>
      <c r="H2281" t="s">
        <v>2916</v>
      </c>
      <c r="I2281" t="s">
        <v>15987</v>
      </c>
      <c r="J2281">
        <v>0</v>
      </c>
      <c r="K2281">
        <v>3996.34</v>
      </c>
      <c r="L2281" t="s">
        <v>2917</v>
      </c>
      <c r="M2281">
        <v>23013.74</v>
      </c>
      <c r="N2281" t="s">
        <v>2918</v>
      </c>
      <c r="O2281" t="s">
        <v>15988</v>
      </c>
      <c r="P2281" t="s">
        <v>2208</v>
      </c>
      <c r="Q2281" t="s">
        <v>2927</v>
      </c>
      <c r="R2281" t="s">
        <v>3222</v>
      </c>
      <c r="S2281" t="s">
        <v>12235</v>
      </c>
      <c r="T2281" t="s">
        <v>12234</v>
      </c>
    </row>
    <row r="2282" spans="1:20">
      <c r="A2282" t="s">
        <v>3212</v>
      </c>
      <c r="B2282" t="s">
        <v>11331</v>
      </c>
      <c r="C2282">
        <v>45777</v>
      </c>
      <c r="D2282" t="s">
        <v>7263</v>
      </c>
      <c r="E2282" t="s">
        <v>11332</v>
      </c>
      <c r="F2282">
        <v>45777</v>
      </c>
      <c r="G2282" t="s">
        <v>2208</v>
      </c>
      <c r="H2282" t="s">
        <v>2916</v>
      </c>
      <c r="I2282" t="s">
        <v>16317</v>
      </c>
      <c r="J2282">
        <v>0</v>
      </c>
      <c r="K2282">
        <v>520.14</v>
      </c>
      <c r="L2282" t="s">
        <v>2917</v>
      </c>
      <c r="M2282">
        <v>2995.35</v>
      </c>
      <c r="N2282" t="s">
        <v>2918</v>
      </c>
      <c r="O2282" t="s">
        <v>16318</v>
      </c>
      <c r="P2282" t="s">
        <v>2208</v>
      </c>
      <c r="Q2282" t="s">
        <v>2926</v>
      </c>
      <c r="R2282" t="s">
        <v>3312</v>
      </c>
      <c r="S2282" t="s">
        <v>2208</v>
      </c>
      <c r="T2282" t="s">
        <v>2208</v>
      </c>
    </row>
    <row r="2283" spans="1:20">
      <c r="A2283" t="s">
        <v>3212</v>
      </c>
      <c r="B2283" t="s">
        <v>11331</v>
      </c>
      <c r="C2283">
        <v>45777</v>
      </c>
      <c r="D2283" t="s">
        <v>7263</v>
      </c>
      <c r="E2283" t="s">
        <v>11332</v>
      </c>
      <c r="F2283">
        <v>45777</v>
      </c>
      <c r="G2283" t="s">
        <v>2208</v>
      </c>
      <c r="H2283" t="s">
        <v>2916</v>
      </c>
      <c r="I2283" t="s">
        <v>16502</v>
      </c>
      <c r="J2283">
        <v>0</v>
      </c>
      <c r="K2283">
        <v>-0.08</v>
      </c>
      <c r="L2283" t="s">
        <v>2917</v>
      </c>
      <c r="M2283">
        <v>0</v>
      </c>
      <c r="N2283" t="s">
        <v>2918</v>
      </c>
      <c r="O2283" t="s">
        <v>2919</v>
      </c>
      <c r="P2283" t="s">
        <v>2208</v>
      </c>
      <c r="Q2283" t="s">
        <v>2916</v>
      </c>
      <c r="R2283" t="s">
        <v>3220</v>
      </c>
      <c r="S2283" t="s">
        <v>2208</v>
      </c>
      <c r="T2283" t="s">
        <v>2208</v>
      </c>
    </row>
    <row r="2284" spans="1:20">
      <c r="A2284" t="s">
        <v>3212</v>
      </c>
      <c r="B2284" t="s">
        <v>16360</v>
      </c>
      <c r="C2284">
        <v>45761</v>
      </c>
      <c r="D2284" t="s">
        <v>7263</v>
      </c>
      <c r="E2284" t="s">
        <v>16361</v>
      </c>
      <c r="F2284">
        <v>45782</v>
      </c>
      <c r="G2284" t="s">
        <v>12231</v>
      </c>
      <c r="H2284" t="s">
        <v>2916</v>
      </c>
      <c r="I2284" t="s">
        <v>16931</v>
      </c>
      <c r="J2284">
        <v>0</v>
      </c>
      <c r="K2284">
        <v>531.77</v>
      </c>
      <c r="L2284" t="s">
        <v>2917</v>
      </c>
      <c r="M2284">
        <v>2995.87</v>
      </c>
      <c r="N2284" t="s">
        <v>2918</v>
      </c>
      <c r="O2284" t="s">
        <v>16932</v>
      </c>
      <c r="P2284" t="s">
        <v>12234</v>
      </c>
      <c r="Q2284" t="s">
        <v>2934</v>
      </c>
      <c r="R2284" t="s">
        <v>2935</v>
      </c>
      <c r="S2284" t="s">
        <v>12235</v>
      </c>
      <c r="T2284" t="s">
        <v>12234</v>
      </c>
    </row>
    <row r="2285" spans="1:20">
      <c r="A2285" t="s">
        <v>3212</v>
      </c>
      <c r="B2285" t="s">
        <v>16360</v>
      </c>
      <c r="C2285">
        <v>45777</v>
      </c>
      <c r="D2285" t="s">
        <v>7263</v>
      </c>
      <c r="E2285" t="s">
        <v>16361</v>
      </c>
      <c r="F2285">
        <v>45797</v>
      </c>
      <c r="G2285" t="s">
        <v>2208</v>
      </c>
      <c r="H2285" t="s">
        <v>2916</v>
      </c>
      <c r="I2285" t="s">
        <v>17260</v>
      </c>
      <c r="J2285">
        <v>0</v>
      </c>
      <c r="K2285">
        <v>-520.14</v>
      </c>
      <c r="L2285" t="s">
        <v>2917</v>
      </c>
      <c r="M2285">
        <v>-2995.35</v>
      </c>
      <c r="N2285" t="s">
        <v>2918</v>
      </c>
      <c r="O2285" t="s">
        <v>16318</v>
      </c>
      <c r="P2285" t="s">
        <v>2208</v>
      </c>
      <c r="Q2285" t="s">
        <v>2926</v>
      </c>
      <c r="R2285" t="s">
        <v>3312</v>
      </c>
      <c r="S2285" t="s">
        <v>2208</v>
      </c>
      <c r="T2285" t="s">
        <v>2208</v>
      </c>
    </row>
    <row r="2286" spans="1:20">
      <c r="A2286" t="s">
        <v>3212</v>
      </c>
      <c r="B2286" t="s">
        <v>16360</v>
      </c>
      <c r="C2286">
        <v>45808</v>
      </c>
      <c r="D2286" t="s">
        <v>7263</v>
      </c>
      <c r="E2286" t="s">
        <v>16361</v>
      </c>
      <c r="F2286">
        <v>45808</v>
      </c>
      <c r="G2286" t="s">
        <v>2208</v>
      </c>
      <c r="H2286" t="s">
        <v>2916</v>
      </c>
      <c r="I2286" t="s">
        <v>17893</v>
      </c>
      <c r="J2286">
        <v>0</v>
      </c>
      <c r="K2286">
        <v>-11.45</v>
      </c>
      <c r="L2286" t="s">
        <v>2917</v>
      </c>
      <c r="M2286">
        <v>0</v>
      </c>
      <c r="N2286" t="s">
        <v>2918</v>
      </c>
      <c r="O2286" t="s">
        <v>2919</v>
      </c>
      <c r="P2286" t="s">
        <v>2208</v>
      </c>
      <c r="Q2286" t="s">
        <v>2916</v>
      </c>
      <c r="R2286" t="s">
        <v>3220</v>
      </c>
      <c r="S2286" t="s">
        <v>2208</v>
      </c>
      <c r="T2286" t="s">
        <v>2208</v>
      </c>
    </row>
    <row r="2287" spans="1:20">
      <c r="A2287" t="s">
        <v>3212</v>
      </c>
      <c r="B2287" t="s">
        <v>16360</v>
      </c>
      <c r="C2287">
        <v>45792</v>
      </c>
      <c r="D2287" t="s">
        <v>7263</v>
      </c>
      <c r="E2287" t="s">
        <v>16361</v>
      </c>
      <c r="F2287">
        <v>45792</v>
      </c>
      <c r="G2287" t="s">
        <v>2208</v>
      </c>
      <c r="H2287" t="s">
        <v>2916</v>
      </c>
      <c r="I2287" t="s">
        <v>17091</v>
      </c>
      <c r="J2287">
        <v>40</v>
      </c>
      <c r="K2287">
        <v>1278.33</v>
      </c>
      <c r="L2287" t="s">
        <v>2917</v>
      </c>
      <c r="M2287">
        <v>7791.85</v>
      </c>
      <c r="N2287" t="s">
        <v>2918</v>
      </c>
      <c r="O2287" t="s">
        <v>11383</v>
      </c>
      <c r="P2287" t="s">
        <v>2208</v>
      </c>
      <c r="Q2287" t="s">
        <v>11384</v>
      </c>
      <c r="R2287" t="s">
        <v>11385</v>
      </c>
      <c r="S2287" t="s">
        <v>17092</v>
      </c>
      <c r="T2287" t="s">
        <v>17093</v>
      </c>
    </row>
    <row r="2288" spans="1:20">
      <c r="A2288" t="s">
        <v>3212</v>
      </c>
      <c r="B2288" t="s">
        <v>16360</v>
      </c>
      <c r="C2288">
        <v>45792</v>
      </c>
      <c r="D2288" t="s">
        <v>7263</v>
      </c>
      <c r="E2288" t="s">
        <v>16361</v>
      </c>
      <c r="F2288">
        <v>45792</v>
      </c>
      <c r="G2288" t="s">
        <v>2208</v>
      </c>
      <c r="H2288" t="s">
        <v>2916</v>
      </c>
      <c r="I2288" t="s">
        <v>17091</v>
      </c>
      <c r="J2288">
        <v>1</v>
      </c>
      <c r="K2288">
        <v>31.76</v>
      </c>
      <c r="L2288" t="s">
        <v>2917</v>
      </c>
      <c r="M2288">
        <v>172.41</v>
      </c>
      <c r="N2288" t="s">
        <v>2918</v>
      </c>
      <c r="O2288" t="s">
        <v>11383</v>
      </c>
      <c r="P2288" t="s">
        <v>2208</v>
      </c>
      <c r="Q2288" t="s">
        <v>11384</v>
      </c>
      <c r="R2288" t="s">
        <v>11385</v>
      </c>
      <c r="S2288" t="s">
        <v>17094</v>
      </c>
      <c r="T2288" t="s">
        <v>17095</v>
      </c>
    </row>
    <row r="2289" spans="1:20">
      <c r="A2289" t="s">
        <v>3212</v>
      </c>
      <c r="B2289" t="s">
        <v>16360</v>
      </c>
      <c r="C2289">
        <v>45808</v>
      </c>
      <c r="D2289" t="s">
        <v>7263</v>
      </c>
      <c r="E2289" t="s">
        <v>16361</v>
      </c>
      <c r="F2289">
        <v>45808</v>
      </c>
      <c r="G2289" t="s">
        <v>2208</v>
      </c>
      <c r="H2289" t="s">
        <v>2916</v>
      </c>
      <c r="I2289" t="s">
        <v>17894</v>
      </c>
      <c r="J2289">
        <v>0</v>
      </c>
      <c r="K2289">
        <v>103.52</v>
      </c>
      <c r="L2289" t="s">
        <v>2917</v>
      </c>
      <c r="M2289">
        <v>0</v>
      </c>
      <c r="N2289" t="s">
        <v>2918</v>
      </c>
      <c r="O2289" t="s">
        <v>2919</v>
      </c>
      <c r="P2289" t="s">
        <v>2208</v>
      </c>
      <c r="Q2289" t="s">
        <v>2916</v>
      </c>
      <c r="R2289" t="s">
        <v>3220</v>
      </c>
      <c r="S2289" t="s">
        <v>2208</v>
      </c>
      <c r="T2289" t="s">
        <v>2208</v>
      </c>
    </row>
    <row r="2290" spans="1:20">
      <c r="A2290" t="s">
        <v>3212</v>
      </c>
      <c r="B2290" t="s">
        <v>17897</v>
      </c>
      <c r="C2290">
        <v>45808</v>
      </c>
      <c r="D2290" t="s">
        <v>7263</v>
      </c>
      <c r="E2290" t="s">
        <v>17898</v>
      </c>
      <c r="F2290">
        <v>45814</v>
      </c>
      <c r="G2290" t="s">
        <v>18493</v>
      </c>
      <c r="H2290" t="s">
        <v>2916</v>
      </c>
      <c r="I2290" t="s">
        <v>18494</v>
      </c>
      <c r="J2290">
        <v>3</v>
      </c>
      <c r="K2290">
        <v>258.77</v>
      </c>
      <c r="L2290" t="s">
        <v>2917</v>
      </c>
      <c r="M2290">
        <v>1468.64</v>
      </c>
      <c r="N2290" t="s">
        <v>2918</v>
      </c>
      <c r="O2290" t="s">
        <v>18495</v>
      </c>
      <c r="P2290" t="s">
        <v>18496</v>
      </c>
      <c r="Q2290" t="s">
        <v>2924</v>
      </c>
      <c r="R2290" t="s">
        <v>3219</v>
      </c>
      <c r="S2290" t="s">
        <v>18497</v>
      </c>
      <c r="T2290" t="s">
        <v>18498</v>
      </c>
    </row>
    <row r="2291" spans="1:20">
      <c r="A2291" t="s">
        <v>3212</v>
      </c>
      <c r="B2291" t="s">
        <v>17897</v>
      </c>
      <c r="C2291">
        <v>45808</v>
      </c>
      <c r="D2291" t="s">
        <v>7263</v>
      </c>
      <c r="E2291" t="s">
        <v>17898</v>
      </c>
      <c r="F2291">
        <v>45814</v>
      </c>
      <c r="G2291" t="s">
        <v>18493</v>
      </c>
      <c r="H2291" t="s">
        <v>2916</v>
      </c>
      <c r="I2291" t="s">
        <v>18499</v>
      </c>
      <c r="J2291">
        <v>0</v>
      </c>
      <c r="K2291">
        <v>-21.06</v>
      </c>
      <c r="L2291" t="s">
        <v>2917</v>
      </c>
      <c r="M2291">
        <v>-119.56</v>
      </c>
      <c r="N2291" t="s">
        <v>2918</v>
      </c>
      <c r="O2291" t="s">
        <v>18500</v>
      </c>
      <c r="P2291" t="s">
        <v>18496</v>
      </c>
      <c r="Q2291" t="s">
        <v>2924</v>
      </c>
      <c r="R2291" t="s">
        <v>3219</v>
      </c>
      <c r="S2291" t="s">
        <v>18497</v>
      </c>
      <c r="T2291" t="s">
        <v>18498</v>
      </c>
    </row>
    <row r="2292" spans="1:20">
      <c r="A2292" t="s">
        <v>3212</v>
      </c>
      <c r="B2292" t="s">
        <v>17897</v>
      </c>
      <c r="C2292">
        <v>45814</v>
      </c>
      <c r="D2292" t="s">
        <v>7263</v>
      </c>
      <c r="E2292" t="s">
        <v>17898</v>
      </c>
      <c r="F2292">
        <v>45819</v>
      </c>
      <c r="G2292" t="s">
        <v>18493</v>
      </c>
      <c r="H2292" t="s">
        <v>2916</v>
      </c>
      <c r="I2292" t="s">
        <v>18673</v>
      </c>
      <c r="J2292">
        <v>3</v>
      </c>
      <c r="K2292">
        <v>170.69</v>
      </c>
      <c r="L2292" t="s">
        <v>2917</v>
      </c>
      <c r="M2292">
        <v>968.71</v>
      </c>
      <c r="N2292" t="s">
        <v>2918</v>
      </c>
      <c r="O2292" t="s">
        <v>18674</v>
      </c>
      <c r="P2292" t="s">
        <v>18675</v>
      </c>
      <c r="Q2292" t="s">
        <v>2924</v>
      </c>
      <c r="R2292" t="s">
        <v>3219</v>
      </c>
      <c r="S2292" t="s">
        <v>18676</v>
      </c>
      <c r="T2292" t="s">
        <v>18675</v>
      </c>
    </row>
    <row r="2293" spans="1:20">
      <c r="A2293" t="s">
        <v>3212</v>
      </c>
      <c r="B2293" t="s">
        <v>17897</v>
      </c>
      <c r="C2293">
        <v>45814</v>
      </c>
      <c r="D2293" t="s">
        <v>7263</v>
      </c>
      <c r="E2293" t="s">
        <v>17898</v>
      </c>
      <c r="F2293">
        <v>45819</v>
      </c>
      <c r="G2293" t="s">
        <v>18493</v>
      </c>
      <c r="H2293" t="s">
        <v>2916</v>
      </c>
      <c r="I2293" t="s">
        <v>18677</v>
      </c>
      <c r="J2293">
        <v>0</v>
      </c>
      <c r="K2293">
        <v>-12.95</v>
      </c>
      <c r="L2293" t="s">
        <v>2917</v>
      </c>
      <c r="M2293">
        <v>-73.489999999999995</v>
      </c>
      <c r="N2293" t="s">
        <v>2918</v>
      </c>
      <c r="O2293" t="s">
        <v>18678</v>
      </c>
      <c r="P2293" t="s">
        <v>18675</v>
      </c>
      <c r="Q2293" t="s">
        <v>2924</v>
      </c>
      <c r="R2293" t="s">
        <v>3219</v>
      </c>
      <c r="S2293" t="s">
        <v>18676</v>
      </c>
      <c r="T2293" t="s">
        <v>18675</v>
      </c>
    </row>
    <row r="2294" spans="1:20">
      <c r="A2294" t="s">
        <v>3212</v>
      </c>
      <c r="B2294" t="s">
        <v>17897</v>
      </c>
      <c r="C2294">
        <v>45808</v>
      </c>
      <c r="D2294" t="s">
        <v>7263</v>
      </c>
      <c r="E2294" t="s">
        <v>17898</v>
      </c>
      <c r="F2294">
        <v>45814</v>
      </c>
      <c r="G2294" t="s">
        <v>18493</v>
      </c>
      <c r="H2294" t="s">
        <v>2916</v>
      </c>
      <c r="I2294" t="s">
        <v>18679</v>
      </c>
      <c r="J2294">
        <v>0</v>
      </c>
      <c r="K2294">
        <v>21.06</v>
      </c>
      <c r="L2294" t="s">
        <v>2917</v>
      </c>
      <c r="M2294">
        <v>119.56</v>
      </c>
      <c r="N2294" t="s">
        <v>2918</v>
      </c>
      <c r="O2294" t="s">
        <v>18680</v>
      </c>
      <c r="P2294" t="s">
        <v>18496</v>
      </c>
      <c r="Q2294" t="s">
        <v>2924</v>
      </c>
      <c r="R2294" t="s">
        <v>3219</v>
      </c>
      <c r="S2294" t="s">
        <v>18497</v>
      </c>
      <c r="T2294" t="s">
        <v>18498</v>
      </c>
    </row>
    <row r="2295" spans="1:20">
      <c r="A2295" t="s">
        <v>3212</v>
      </c>
      <c r="B2295" t="s">
        <v>17897</v>
      </c>
      <c r="C2295">
        <v>45808</v>
      </c>
      <c r="D2295" t="s">
        <v>7263</v>
      </c>
      <c r="E2295" t="s">
        <v>17898</v>
      </c>
      <c r="F2295">
        <v>45826</v>
      </c>
      <c r="G2295" t="s">
        <v>18493</v>
      </c>
      <c r="H2295" t="s">
        <v>2916</v>
      </c>
      <c r="I2295" t="s">
        <v>18681</v>
      </c>
      <c r="J2295">
        <v>0</v>
      </c>
      <c r="K2295">
        <v>-52.11</v>
      </c>
      <c r="L2295" t="s">
        <v>2917</v>
      </c>
      <c r="M2295">
        <v>-295.79000000000002</v>
      </c>
      <c r="N2295" t="s">
        <v>2918</v>
      </c>
      <c r="O2295" t="s">
        <v>18680</v>
      </c>
      <c r="P2295" t="s">
        <v>18496</v>
      </c>
      <c r="Q2295" t="s">
        <v>2924</v>
      </c>
      <c r="R2295" t="s">
        <v>3219</v>
      </c>
      <c r="S2295" t="s">
        <v>18497</v>
      </c>
      <c r="T2295" t="s">
        <v>18498</v>
      </c>
    </row>
    <row r="2296" spans="1:20">
      <c r="A2296" t="s">
        <v>3212</v>
      </c>
      <c r="B2296" t="s">
        <v>17897</v>
      </c>
      <c r="C2296">
        <v>45814</v>
      </c>
      <c r="D2296" t="s">
        <v>7263</v>
      </c>
      <c r="E2296" t="s">
        <v>17898</v>
      </c>
      <c r="F2296">
        <v>45819</v>
      </c>
      <c r="G2296" t="s">
        <v>18493</v>
      </c>
      <c r="H2296" t="s">
        <v>2916</v>
      </c>
      <c r="I2296" t="s">
        <v>18682</v>
      </c>
      <c r="J2296">
        <v>0</v>
      </c>
      <c r="K2296">
        <v>12.95</v>
      </c>
      <c r="L2296" t="s">
        <v>2917</v>
      </c>
      <c r="M2296">
        <v>73.489999999999995</v>
      </c>
      <c r="N2296" t="s">
        <v>2918</v>
      </c>
      <c r="O2296" t="s">
        <v>18683</v>
      </c>
      <c r="P2296" t="s">
        <v>18675</v>
      </c>
      <c r="Q2296" t="s">
        <v>2924</v>
      </c>
      <c r="R2296" t="s">
        <v>3219</v>
      </c>
      <c r="S2296" t="s">
        <v>18676</v>
      </c>
      <c r="T2296" t="s">
        <v>18675</v>
      </c>
    </row>
    <row r="2297" spans="1:20">
      <c r="A2297" t="s">
        <v>3212</v>
      </c>
      <c r="B2297" t="s">
        <v>17897</v>
      </c>
      <c r="C2297">
        <v>45814</v>
      </c>
      <c r="D2297" t="s">
        <v>7263</v>
      </c>
      <c r="E2297" t="s">
        <v>17898</v>
      </c>
      <c r="F2297">
        <v>45826</v>
      </c>
      <c r="G2297" t="s">
        <v>18493</v>
      </c>
      <c r="H2297" t="s">
        <v>2916</v>
      </c>
      <c r="I2297" t="s">
        <v>18684</v>
      </c>
      <c r="J2297">
        <v>0</v>
      </c>
      <c r="K2297">
        <v>-43.68</v>
      </c>
      <c r="L2297" t="s">
        <v>2917</v>
      </c>
      <c r="M2297">
        <v>-247.86</v>
      </c>
      <c r="N2297" t="s">
        <v>2918</v>
      </c>
      <c r="O2297" t="s">
        <v>18683</v>
      </c>
      <c r="P2297" t="s">
        <v>18675</v>
      </c>
      <c r="Q2297" t="s">
        <v>2924</v>
      </c>
      <c r="R2297" t="s">
        <v>3219</v>
      </c>
      <c r="S2297" t="s">
        <v>18676</v>
      </c>
      <c r="T2297" t="s">
        <v>18675</v>
      </c>
    </row>
    <row r="2298" spans="1:20">
      <c r="A2298" t="s">
        <v>3212</v>
      </c>
      <c r="B2298" t="s">
        <v>17897</v>
      </c>
      <c r="C2298">
        <v>45769</v>
      </c>
      <c r="D2298" t="s">
        <v>7263</v>
      </c>
      <c r="E2298" t="s">
        <v>17898</v>
      </c>
      <c r="F2298">
        <v>45831</v>
      </c>
      <c r="G2298" t="s">
        <v>18910</v>
      </c>
      <c r="H2298" t="s">
        <v>2916</v>
      </c>
      <c r="I2298" t="s">
        <v>18911</v>
      </c>
      <c r="J2298">
        <v>46785.120000000003</v>
      </c>
      <c r="K2298">
        <v>8243.5400000000009</v>
      </c>
      <c r="L2298" t="s">
        <v>2917</v>
      </c>
      <c r="M2298">
        <v>46785.120000000003</v>
      </c>
      <c r="N2298" t="s">
        <v>2918</v>
      </c>
      <c r="O2298" t="s">
        <v>2923</v>
      </c>
      <c r="P2298" t="s">
        <v>2923</v>
      </c>
      <c r="Q2298" t="s">
        <v>2924</v>
      </c>
      <c r="R2298" t="s">
        <v>3219</v>
      </c>
      <c r="S2298" t="s">
        <v>2208</v>
      </c>
      <c r="T2298" t="s">
        <v>2208</v>
      </c>
    </row>
    <row r="2299" spans="1:20">
      <c r="A2299" t="s">
        <v>3212</v>
      </c>
      <c r="B2299" t="s">
        <v>17897</v>
      </c>
      <c r="C2299">
        <v>45838</v>
      </c>
      <c r="D2299" t="s">
        <v>7263</v>
      </c>
      <c r="E2299" t="s">
        <v>17898</v>
      </c>
      <c r="F2299">
        <v>45838</v>
      </c>
      <c r="G2299" t="s">
        <v>2208</v>
      </c>
      <c r="H2299" t="s">
        <v>2916</v>
      </c>
      <c r="I2299" t="s">
        <v>19284</v>
      </c>
      <c r="J2299">
        <v>0</v>
      </c>
      <c r="K2299">
        <v>-0.02</v>
      </c>
      <c r="L2299" t="s">
        <v>2917</v>
      </c>
      <c r="M2299">
        <v>0</v>
      </c>
      <c r="N2299" t="s">
        <v>2918</v>
      </c>
      <c r="O2299" t="s">
        <v>2919</v>
      </c>
      <c r="P2299" t="s">
        <v>2208</v>
      </c>
      <c r="Q2299" t="s">
        <v>2916</v>
      </c>
      <c r="R2299" t="s">
        <v>3220</v>
      </c>
      <c r="S2299" t="s">
        <v>2208</v>
      </c>
      <c r="T2299" t="s">
        <v>2208</v>
      </c>
    </row>
    <row r="2300" spans="1:20">
      <c r="A2300" t="s">
        <v>6777</v>
      </c>
      <c r="B2300" t="s">
        <v>17897</v>
      </c>
      <c r="C2300">
        <v>45835</v>
      </c>
      <c r="D2300" t="s">
        <v>7263</v>
      </c>
      <c r="E2300" t="s">
        <v>17898</v>
      </c>
      <c r="F2300">
        <v>45835</v>
      </c>
      <c r="G2300" t="s">
        <v>2208</v>
      </c>
      <c r="H2300" t="s">
        <v>2916</v>
      </c>
      <c r="I2300" t="s">
        <v>19285</v>
      </c>
      <c r="J2300">
        <v>0</v>
      </c>
      <c r="K2300">
        <v>167815.08</v>
      </c>
      <c r="L2300" t="s">
        <v>2917</v>
      </c>
      <c r="M2300">
        <v>952412.51</v>
      </c>
      <c r="N2300" t="s">
        <v>2918</v>
      </c>
      <c r="O2300" t="s">
        <v>19286</v>
      </c>
      <c r="P2300" t="s">
        <v>2208</v>
      </c>
      <c r="Q2300" t="s">
        <v>7720</v>
      </c>
      <c r="R2300" t="s">
        <v>7721</v>
      </c>
      <c r="S2300" t="s">
        <v>2208</v>
      </c>
      <c r="T2300" t="s">
        <v>2208</v>
      </c>
    </row>
    <row r="2301" spans="1:20">
      <c r="A2301" t="s">
        <v>6777</v>
      </c>
      <c r="B2301" t="s">
        <v>17897</v>
      </c>
      <c r="C2301">
        <v>45838</v>
      </c>
      <c r="D2301" t="s">
        <v>7263</v>
      </c>
      <c r="E2301" t="s">
        <v>17898</v>
      </c>
      <c r="F2301">
        <v>45838</v>
      </c>
      <c r="G2301" t="s">
        <v>2208</v>
      </c>
      <c r="H2301" t="s">
        <v>2916</v>
      </c>
      <c r="I2301" t="s">
        <v>19287</v>
      </c>
      <c r="J2301">
        <v>0</v>
      </c>
      <c r="K2301">
        <v>0.09</v>
      </c>
      <c r="L2301" t="s">
        <v>2917</v>
      </c>
      <c r="M2301">
        <v>0</v>
      </c>
      <c r="N2301" t="s">
        <v>2918</v>
      </c>
      <c r="O2301" t="s">
        <v>2919</v>
      </c>
      <c r="P2301" t="s">
        <v>2208</v>
      </c>
      <c r="Q2301" t="s">
        <v>2916</v>
      </c>
      <c r="R2301" t="s">
        <v>3220</v>
      </c>
      <c r="S2301" t="s">
        <v>2208</v>
      </c>
      <c r="T2301" t="s">
        <v>2208</v>
      </c>
    </row>
    <row r="2302" spans="1:20">
      <c r="A2302" t="s">
        <v>6777</v>
      </c>
      <c r="B2302" t="s">
        <v>16360</v>
      </c>
      <c r="C2302">
        <v>45730</v>
      </c>
      <c r="D2302" t="s">
        <v>7263</v>
      </c>
      <c r="E2302" t="s">
        <v>16361</v>
      </c>
      <c r="F2302">
        <v>45797</v>
      </c>
      <c r="G2302" t="s">
        <v>17286</v>
      </c>
      <c r="H2302" t="s">
        <v>2916</v>
      </c>
      <c r="I2302" t="s">
        <v>17287</v>
      </c>
      <c r="J2302">
        <v>24795</v>
      </c>
      <c r="K2302">
        <v>4401.1099999999997</v>
      </c>
      <c r="L2302" t="s">
        <v>2917</v>
      </c>
      <c r="M2302">
        <v>24795</v>
      </c>
      <c r="N2302" t="s">
        <v>2918</v>
      </c>
      <c r="O2302" t="s">
        <v>2923</v>
      </c>
      <c r="P2302" t="s">
        <v>2923</v>
      </c>
      <c r="Q2302" t="s">
        <v>2924</v>
      </c>
      <c r="R2302" t="s">
        <v>3219</v>
      </c>
      <c r="S2302" t="s">
        <v>2208</v>
      </c>
      <c r="T2302" t="s">
        <v>2208</v>
      </c>
    </row>
    <row r="2303" spans="1:20">
      <c r="A2303" t="s">
        <v>6777</v>
      </c>
      <c r="B2303" t="s">
        <v>16360</v>
      </c>
      <c r="C2303">
        <v>45797</v>
      </c>
      <c r="D2303" t="s">
        <v>7263</v>
      </c>
      <c r="E2303" t="s">
        <v>16361</v>
      </c>
      <c r="F2303">
        <v>45805</v>
      </c>
      <c r="G2303" t="s">
        <v>17286</v>
      </c>
      <c r="H2303" t="s">
        <v>2916</v>
      </c>
      <c r="I2303" t="s">
        <v>17773</v>
      </c>
      <c r="J2303">
        <v>0</v>
      </c>
      <c r="K2303">
        <v>-407.1</v>
      </c>
      <c r="L2303" t="s">
        <v>2917</v>
      </c>
      <c r="M2303">
        <v>-2293.54</v>
      </c>
      <c r="N2303" t="s">
        <v>2918</v>
      </c>
      <c r="O2303" t="s">
        <v>17774</v>
      </c>
      <c r="P2303" t="s">
        <v>2923</v>
      </c>
      <c r="Q2303" t="s">
        <v>2924</v>
      </c>
      <c r="R2303" t="s">
        <v>3219</v>
      </c>
      <c r="S2303" t="s">
        <v>2208</v>
      </c>
      <c r="T2303" t="s">
        <v>2208</v>
      </c>
    </row>
    <row r="2304" spans="1:20">
      <c r="A2304" t="s">
        <v>6777</v>
      </c>
      <c r="B2304" t="s">
        <v>16360</v>
      </c>
      <c r="C2304">
        <v>45808</v>
      </c>
      <c r="D2304" t="s">
        <v>7263</v>
      </c>
      <c r="E2304" t="s">
        <v>16361</v>
      </c>
      <c r="F2304">
        <v>45808</v>
      </c>
      <c r="G2304" t="s">
        <v>2208</v>
      </c>
      <c r="H2304" t="s">
        <v>2916</v>
      </c>
      <c r="I2304" t="s">
        <v>17895</v>
      </c>
      <c r="J2304">
        <v>0</v>
      </c>
      <c r="K2304">
        <v>-0.08</v>
      </c>
      <c r="L2304" t="s">
        <v>2917</v>
      </c>
      <c r="M2304">
        <v>0</v>
      </c>
      <c r="N2304" t="s">
        <v>2918</v>
      </c>
      <c r="O2304" t="s">
        <v>2919</v>
      </c>
      <c r="P2304" t="s">
        <v>2208</v>
      </c>
      <c r="Q2304" t="s">
        <v>2916</v>
      </c>
      <c r="R2304" t="s">
        <v>3220</v>
      </c>
      <c r="S2304" t="s">
        <v>2208</v>
      </c>
      <c r="T2304" t="s">
        <v>2208</v>
      </c>
    </row>
    <row r="2305" spans="1:20">
      <c r="A2305" t="s">
        <v>6883</v>
      </c>
      <c r="B2305" t="s">
        <v>7740</v>
      </c>
      <c r="C2305">
        <v>45715</v>
      </c>
      <c r="D2305" t="s">
        <v>7263</v>
      </c>
      <c r="E2305" t="s">
        <v>2925</v>
      </c>
      <c r="F2305">
        <v>45715</v>
      </c>
      <c r="G2305" t="s">
        <v>2208</v>
      </c>
      <c r="H2305" t="s">
        <v>2916</v>
      </c>
      <c r="I2305" t="s">
        <v>9160</v>
      </c>
      <c r="J2305">
        <v>0</v>
      </c>
      <c r="K2305">
        <v>1043.9100000000001</v>
      </c>
      <c r="L2305" t="s">
        <v>2917</v>
      </c>
      <c r="M2305">
        <v>6070.9</v>
      </c>
      <c r="N2305" t="s">
        <v>2918</v>
      </c>
      <c r="O2305" t="s">
        <v>9161</v>
      </c>
      <c r="P2305" t="s">
        <v>2208</v>
      </c>
      <c r="Q2305" t="s">
        <v>2916</v>
      </c>
      <c r="R2305" t="s">
        <v>3220</v>
      </c>
      <c r="S2305" t="s">
        <v>2208</v>
      </c>
      <c r="T2305" t="s">
        <v>2208</v>
      </c>
    </row>
    <row r="2306" spans="1:20">
      <c r="A2306" t="s">
        <v>6883</v>
      </c>
      <c r="B2306" t="s">
        <v>7740</v>
      </c>
      <c r="C2306">
        <v>45715</v>
      </c>
      <c r="D2306" t="s">
        <v>7263</v>
      </c>
      <c r="E2306" t="s">
        <v>2925</v>
      </c>
      <c r="F2306">
        <v>45715</v>
      </c>
      <c r="G2306" t="s">
        <v>2208</v>
      </c>
      <c r="H2306" t="s">
        <v>2916</v>
      </c>
      <c r="I2306" t="s">
        <v>9160</v>
      </c>
      <c r="J2306">
        <v>0</v>
      </c>
      <c r="K2306">
        <v>1043.8900000000001</v>
      </c>
      <c r="L2306" t="s">
        <v>2917</v>
      </c>
      <c r="M2306">
        <v>6070.91</v>
      </c>
      <c r="N2306" t="s">
        <v>2918</v>
      </c>
      <c r="O2306" t="s">
        <v>9161</v>
      </c>
      <c r="P2306" t="s">
        <v>2208</v>
      </c>
      <c r="Q2306" t="s">
        <v>2916</v>
      </c>
      <c r="R2306" t="s">
        <v>3220</v>
      </c>
      <c r="S2306" t="s">
        <v>2208</v>
      </c>
      <c r="T2306" t="s">
        <v>2208</v>
      </c>
    </row>
    <row r="2307" spans="1:20">
      <c r="A2307" t="s">
        <v>6883</v>
      </c>
      <c r="B2307" t="s">
        <v>7740</v>
      </c>
      <c r="C2307">
        <v>45716</v>
      </c>
      <c r="D2307" t="s">
        <v>7263</v>
      </c>
      <c r="E2307" t="s">
        <v>2925</v>
      </c>
      <c r="F2307">
        <v>45716</v>
      </c>
      <c r="G2307" t="s">
        <v>2208</v>
      </c>
      <c r="H2307" t="s">
        <v>2916</v>
      </c>
      <c r="I2307" t="s">
        <v>9188</v>
      </c>
      <c r="J2307">
        <v>0</v>
      </c>
      <c r="K2307">
        <v>0.02</v>
      </c>
      <c r="L2307" t="s">
        <v>2917</v>
      </c>
      <c r="M2307">
        <v>0</v>
      </c>
      <c r="N2307" t="s">
        <v>2918</v>
      </c>
      <c r="O2307" t="s">
        <v>2919</v>
      </c>
      <c r="P2307" t="s">
        <v>2208</v>
      </c>
      <c r="Q2307" t="s">
        <v>2916</v>
      </c>
      <c r="R2307" t="s">
        <v>3220</v>
      </c>
      <c r="S2307" t="s">
        <v>2208</v>
      </c>
      <c r="T2307" t="s">
        <v>2208</v>
      </c>
    </row>
    <row r="2308" spans="1:20">
      <c r="A2308" t="s">
        <v>6883</v>
      </c>
      <c r="B2308" t="s">
        <v>7740</v>
      </c>
      <c r="C2308">
        <v>45715</v>
      </c>
      <c r="D2308" t="s">
        <v>7263</v>
      </c>
      <c r="E2308" t="s">
        <v>2925</v>
      </c>
      <c r="F2308">
        <v>45715</v>
      </c>
      <c r="G2308" t="s">
        <v>2208</v>
      </c>
      <c r="H2308" t="s">
        <v>2916</v>
      </c>
      <c r="I2308" t="s">
        <v>9160</v>
      </c>
      <c r="J2308">
        <v>0</v>
      </c>
      <c r="K2308">
        <v>1043.8900000000001</v>
      </c>
      <c r="L2308" t="s">
        <v>2917</v>
      </c>
      <c r="M2308">
        <v>6070.91</v>
      </c>
      <c r="N2308" t="s">
        <v>2918</v>
      </c>
      <c r="O2308" t="s">
        <v>9161</v>
      </c>
      <c r="P2308" t="s">
        <v>2208</v>
      </c>
      <c r="Q2308" t="s">
        <v>2916</v>
      </c>
      <c r="R2308" t="s">
        <v>3220</v>
      </c>
      <c r="S2308" t="s">
        <v>2208</v>
      </c>
      <c r="T2308" t="s">
        <v>2208</v>
      </c>
    </row>
    <row r="2309" spans="1:20">
      <c r="A2309" t="s">
        <v>6883</v>
      </c>
      <c r="B2309" t="s">
        <v>7740</v>
      </c>
      <c r="C2309">
        <v>45716</v>
      </c>
      <c r="D2309" t="s">
        <v>7263</v>
      </c>
      <c r="E2309" t="s">
        <v>2925</v>
      </c>
      <c r="F2309">
        <v>45716</v>
      </c>
      <c r="G2309" t="s">
        <v>2208</v>
      </c>
      <c r="H2309" t="s">
        <v>2916</v>
      </c>
      <c r="I2309" t="s">
        <v>9189</v>
      </c>
      <c r="J2309">
        <v>0</v>
      </c>
      <c r="K2309">
        <v>0.02</v>
      </c>
      <c r="L2309" t="s">
        <v>2917</v>
      </c>
      <c r="M2309">
        <v>0</v>
      </c>
      <c r="N2309" t="s">
        <v>2918</v>
      </c>
      <c r="O2309" t="s">
        <v>2919</v>
      </c>
      <c r="P2309" t="s">
        <v>2208</v>
      </c>
      <c r="Q2309" t="s">
        <v>2916</v>
      </c>
      <c r="R2309" t="s">
        <v>3220</v>
      </c>
      <c r="S2309" t="s">
        <v>2208</v>
      </c>
      <c r="T2309" t="s">
        <v>2208</v>
      </c>
    </row>
    <row r="2310" spans="1:20">
      <c r="A2310" t="s">
        <v>6883</v>
      </c>
      <c r="B2310" t="s">
        <v>7740</v>
      </c>
      <c r="C2310">
        <v>45715</v>
      </c>
      <c r="D2310" t="s">
        <v>7263</v>
      </c>
      <c r="E2310" t="s">
        <v>2925</v>
      </c>
      <c r="F2310">
        <v>45715</v>
      </c>
      <c r="G2310" t="s">
        <v>2208</v>
      </c>
      <c r="H2310" t="s">
        <v>2916</v>
      </c>
      <c r="I2310" t="s">
        <v>9160</v>
      </c>
      <c r="J2310">
        <v>0</v>
      </c>
      <c r="K2310">
        <v>1043.8900000000001</v>
      </c>
      <c r="L2310" t="s">
        <v>2917</v>
      </c>
      <c r="M2310">
        <v>6070.91</v>
      </c>
      <c r="N2310" t="s">
        <v>2918</v>
      </c>
      <c r="O2310" t="s">
        <v>9161</v>
      </c>
      <c r="P2310" t="s">
        <v>2208</v>
      </c>
      <c r="Q2310" t="s">
        <v>2916</v>
      </c>
      <c r="R2310" t="s">
        <v>3220</v>
      </c>
      <c r="S2310" t="s">
        <v>2208</v>
      </c>
      <c r="T2310" t="s">
        <v>2208</v>
      </c>
    </row>
    <row r="2311" spans="1:20">
      <c r="A2311" t="s">
        <v>6883</v>
      </c>
      <c r="B2311" t="s">
        <v>7740</v>
      </c>
      <c r="C2311">
        <v>45716</v>
      </c>
      <c r="D2311" t="s">
        <v>7263</v>
      </c>
      <c r="E2311" t="s">
        <v>2925</v>
      </c>
      <c r="F2311">
        <v>45716</v>
      </c>
      <c r="G2311" t="s">
        <v>2208</v>
      </c>
      <c r="H2311" t="s">
        <v>2916</v>
      </c>
      <c r="I2311" t="s">
        <v>9190</v>
      </c>
      <c r="J2311">
        <v>0</v>
      </c>
      <c r="K2311">
        <v>0.02</v>
      </c>
      <c r="L2311" t="s">
        <v>2917</v>
      </c>
      <c r="M2311">
        <v>0</v>
      </c>
      <c r="N2311" t="s">
        <v>2918</v>
      </c>
      <c r="O2311" t="s">
        <v>2919</v>
      </c>
      <c r="P2311" t="s">
        <v>2208</v>
      </c>
      <c r="Q2311" t="s">
        <v>2916</v>
      </c>
      <c r="R2311" t="s">
        <v>3220</v>
      </c>
      <c r="S2311" t="s">
        <v>2208</v>
      </c>
      <c r="T2311" t="s">
        <v>2208</v>
      </c>
    </row>
    <row r="2312" spans="1:20">
      <c r="A2312" t="s">
        <v>6883</v>
      </c>
      <c r="B2312" t="s">
        <v>7740</v>
      </c>
      <c r="C2312">
        <v>45715</v>
      </c>
      <c r="D2312" t="s">
        <v>7263</v>
      </c>
      <c r="E2312" t="s">
        <v>2925</v>
      </c>
      <c r="F2312">
        <v>45715</v>
      </c>
      <c r="G2312" t="s">
        <v>2208</v>
      </c>
      <c r="H2312" t="s">
        <v>2916</v>
      </c>
      <c r="I2312" t="s">
        <v>9160</v>
      </c>
      <c r="J2312">
        <v>0</v>
      </c>
      <c r="K2312">
        <v>1043.8900000000001</v>
      </c>
      <c r="L2312" t="s">
        <v>2917</v>
      </c>
      <c r="M2312">
        <v>6070.91</v>
      </c>
      <c r="N2312" t="s">
        <v>2918</v>
      </c>
      <c r="O2312" t="s">
        <v>9161</v>
      </c>
      <c r="P2312" t="s">
        <v>2208</v>
      </c>
      <c r="Q2312" t="s">
        <v>2916</v>
      </c>
      <c r="R2312" t="s">
        <v>3220</v>
      </c>
      <c r="S2312" t="s">
        <v>2208</v>
      </c>
      <c r="T2312" t="s">
        <v>2208</v>
      </c>
    </row>
    <row r="2313" spans="1:20">
      <c r="A2313" t="s">
        <v>6883</v>
      </c>
      <c r="B2313" t="s">
        <v>7740</v>
      </c>
      <c r="C2313">
        <v>45716</v>
      </c>
      <c r="D2313" t="s">
        <v>7263</v>
      </c>
      <c r="E2313" t="s">
        <v>2925</v>
      </c>
      <c r="F2313">
        <v>45716</v>
      </c>
      <c r="G2313" t="s">
        <v>2208</v>
      </c>
      <c r="H2313" t="s">
        <v>2916</v>
      </c>
      <c r="I2313" t="s">
        <v>9191</v>
      </c>
      <c r="J2313">
        <v>0</v>
      </c>
      <c r="K2313">
        <v>0.02</v>
      </c>
      <c r="L2313" t="s">
        <v>2917</v>
      </c>
      <c r="M2313">
        <v>0</v>
      </c>
      <c r="N2313" t="s">
        <v>2918</v>
      </c>
      <c r="O2313" t="s">
        <v>2919</v>
      </c>
      <c r="P2313" t="s">
        <v>2208</v>
      </c>
      <c r="Q2313" t="s">
        <v>2916</v>
      </c>
      <c r="R2313" t="s">
        <v>3220</v>
      </c>
      <c r="S2313" t="s">
        <v>2208</v>
      </c>
      <c r="T2313" t="s">
        <v>2208</v>
      </c>
    </row>
    <row r="2314" spans="1:20">
      <c r="A2314" t="s">
        <v>6883</v>
      </c>
      <c r="B2314" t="s">
        <v>7740</v>
      </c>
      <c r="C2314">
        <v>45715</v>
      </c>
      <c r="D2314" t="s">
        <v>7263</v>
      </c>
      <c r="E2314" t="s">
        <v>2925</v>
      </c>
      <c r="F2314">
        <v>45715</v>
      </c>
      <c r="G2314" t="s">
        <v>2208</v>
      </c>
      <c r="H2314" t="s">
        <v>2916</v>
      </c>
      <c r="I2314" t="s">
        <v>9160</v>
      </c>
      <c r="J2314">
        <v>0</v>
      </c>
      <c r="K2314">
        <v>1043.8900000000001</v>
      </c>
      <c r="L2314" t="s">
        <v>2917</v>
      </c>
      <c r="M2314">
        <v>6070.91</v>
      </c>
      <c r="N2314" t="s">
        <v>2918</v>
      </c>
      <c r="O2314" t="s">
        <v>9161</v>
      </c>
      <c r="P2314" t="s">
        <v>2208</v>
      </c>
      <c r="Q2314" t="s">
        <v>2916</v>
      </c>
      <c r="R2314" t="s">
        <v>3220</v>
      </c>
      <c r="S2314" t="s">
        <v>2208</v>
      </c>
      <c r="T2314" t="s">
        <v>2208</v>
      </c>
    </row>
    <row r="2315" spans="1:20">
      <c r="A2315" t="s">
        <v>6883</v>
      </c>
      <c r="B2315" t="s">
        <v>7740</v>
      </c>
      <c r="C2315">
        <v>45716</v>
      </c>
      <c r="D2315" t="s">
        <v>7263</v>
      </c>
      <c r="E2315" t="s">
        <v>2925</v>
      </c>
      <c r="F2315">
        <v>45716</v>
      </c>
      <c r="G2315" t="s">
        <v>2208</v>
      </c>
      <c r="H2315" t="s">
        <v>2916</v>
      </c>
      <c r="I2315" t="s">
        <v>9192</v>
      </c>
      <c r="J2315">
        <v>0</v>
      </c>
      <c r="K2315">
        <v>0.02</v>
      </c>
      <c r="L2315" t="s">
        <v>2917</v>
      </c>
      <c r="M2315">
        <v>0</v>
      </c>
      <c r="N2315" t="s">
        <v>2918</v>
      </c>
      <c r="O2315" t="s">
        <v>2919</v>
      </c>
      <c r="P2315" t="s">
        <v>2208</v>
      </c>
      <c r="Q2315" t="s">
        <v>2916</v>
      </c>
      <c r="R2315" t="s">
        <v>3220</v>
      </c>
      <c r="S2315" t="s">
        <v>2208</v>
      </c>
      <c r="T2315" t="s">
        <v>2208</v>
      </c>
    </row>
    <row r="2316" spans="1:20">
      <c r="A2316" t="s">
        <v>6883</v>
      </c>
      <c r="B2316" t="s">
        <v>7740</v>
      </c>
      <c r="C2316">
        <v>45715</v>
      </c>
      <c r="D2316" t="s">
        <v>7263</v>
      </c>
      <c r="E2316" t="s">
        <v>2925</v>
      </c>
      <c r="F2316">
        <v>45715</v>
      </c>
      <c r="G2316" t="s">
        <v>2208</v>
      </c>
      <c r="H2316" t="s">
        <v>2916</v>
      </c>
      <c r="I2316" t="s">
        <v>9160</v>
      </c>
      <c r="J2316">
        <v>0</v>
      </c>
      <c r="K2316">
        <v>1043.8900000000001</v>
      </c>
      <c r="L2316" t="s">
        <v>2917</v>
      </c>
      <c r="M2316">
        <v>6070.91</v>
      </c>
      <c r="N2316" t="s">
        <v>2918</v>
      </c>
      <c r="O2316" t="s">
        <v>9161</v>
      </c>
      <c r="P2316" t="s">
        <v>2208</v>
      </c>
      <c r="Q2316" t="s">
        <v>2916</v>
      </c>
      <c r="R2316" t="s">
        <v>3220</v>
      </c>
      <c r="S2316" t="s">
        <v>2208</v>
      </c>
      <c r="T2316" t="s">
        <v>2208</v>
      </c>
    </row>
    <row r="2317" spans="1:20">
      <c r="A2317" t="s">
        <v>6883</v>
      </c>
      <c r="B2317" t="s">
        <v>7740</v>
      </c>
      <c r="C2317">
        <v>45716</v>
      </c>
      <c r="D2317" t="s">
        <v>7263</v>
      </c>
      <c r="E2317" t="s">
        <v>2925</v>
      </c>
      <c r="F2317">
        <v>45716</v>
      </c>
      <c r="G2317" t="s">
        <v>2208</v>
      </c>
      <c r="H2317" t="s">
        <v>2916</v>
      </c>
      <c r="I2317" t="s">
        <v>9193</v>
      </c>
      <c r="J2317">
        <v>0</v>
      </c>
      <c r="K2317">
        <v>0.02</v>
      </c>
      <c r="L2317" t="s">
        <v>2917</v>
      </c>
      <c r="M2317">
        <v>0</v>
      </c>
      <c r="N2317" t="s">
        <v>2918</v>
      </c>
      <c r="O2317" t="s">
        <v>2919</v>
      </c>
      <c r="P2317" t="s">
        <v>2208</v>
      </c>
      <c r="Q2317" t="s">
        <v>2916</v>
      </c>
      <c r="R2317" t="s">
        <v>3220</v>
      </c>
      <c r="S2317" t="s">
        <v>2208</v>
      </c>
      <c r="T2317" t="s">
        <v>2208</v>
      </c>
    </row>
    <row r="2318" spans="1:20">
      <c r="A2318" t="s">
        <v>7444</v>
      </c>
      <c r="B2318" t="s">
        <v>17897</v>
      </c>
      <c r="C2318">
        <v>45828</v>
      </c>
      <c r="D2318" t="s">
        <v>7263</v>
      </c>
      <c r="E2318" t="s">
        <v>17898</v>
      </c>
      <c r="F2318">
        <v>45834</v>
      </c>
      <c r="G2318" t="s">
        <v>19180</v>
      </c>
      <c r="H2318" t="s">
        <v>2916</v>
      </c>
      <c r="I2318" t="s">
        <v>19181</v>
      </c>
      <c r="J2318">
        <v>1</v>
      </c>
      <c r="K2318">
        <v>59576.58</v>
      </c>
      <c r="L2318" t="s">
        <v>2917</v>
      </c>
      <c r="M2318">
        <v>338119.08</v>
      </c>
      <c r="N2318" t="s">
        <v>2918</v>
      </c>
      <c r="O2318" t="s">
        <v>19182</v>
      </c>
      <c r="P2318" t="s">
        <v>19183</v>
      </c>
      <c r="Q2318" t="s">
        <v>2944</v>
      </c>
      <c r="R2318" t="s">
        <v>3223</v>
      </c>
      <c r="S2318" t="s">
        <v>19184</v>
      </c>
      <c r="T2318" t="s">
        <v>19183</v>
      </c>
    </row>
    <row r="2319" spans="1:20">
      <c r="A2319" t="s">
        <v>7444</v>
      </c>
      <c r="B2319" t="s">
        <v>17897</v>
      </c>
      <c r="C2319">
        <v>45838</v>
      </c>
      <c r="D2319" t="s">
        <v>7263</v>
      </c>
      <c r="E2319" t="s">
        <v>17898</v>
      </c>
      <c r="F2319">
        <v>45838</v>
      </c>
      <c r="G2319" t="s">
        <v>2208</v>
      </c>
      <c r="H2319" t="s">
        <v>2916</v>
      </c>
      <c r="I2319" t="s">
        <v>19288</v>
      </c>
      <c r="J2319">
        <v>0</v>
      </c>
      <c r="K2319">
        <v>-0.01</v>
      </c>
      <c r="L2319" t="s">
        <v>2917</v>
      </c>
      <c r="M2319">
        <v>0</v>
      </c>
      <c r="N2319" t="s">
        <v>2918</v>
      </c>
      <c r="O2319" t="s">
        <v>2919</v>
      </c>
      <c r="P2319" t="s">
        <v>2208</v>
      </c>
      <c r="Q2319" t="s">
        <v>2916</v>
      </c>
      <c r="R2319" t="s">
        <v>3220</v>
      </c>
      <c r="S2319" t="s">
        <v>2208</v>
      </c>
      <c r="T2319" t="s">
        <v>2208</v>
      </c>
    </row>
    <row r="2320" spans="1:20">
      <c r="A2320" t="s">
        <v>7444</v>
      </c>
      <c r="B2320" t="s">
        <v>17897</v>
      </c>
      <c r="C2320">
        <v>45812</v>
      </c>
      <c r="D2320" t="s">
        <v>7263</v>
      </c>
      <c r="E2320" t="s">
        <v>17898</v>
      </c>
      <c r="F2320">
        <v>45832</v>
      </c>
      <c r="G2320" t="s">
        <v>19022</v>
      </c>
      <c r="H2320" t="s">
        <v>2916</v>
      </c>
      <c r="I2320" t="s">
        <v>19023</v>
      </c>
      <c r="J2320">
        <v>3</v>
      </c>
      <c r="K2320">
        <v>1417.6</v>
      </c>
      <c r="L2320" t="s">
        <v>2917</v>
      </c>
      <c r="M2320">
        <v>8045.4</v>
      </c>
      <c r="N2320" t="s">
        <v>2918</v>
      </c>
      <c r="O2320" t="s">
        <v>19024</v>
      </c>
      <c r="P2320" t="s">
        <v>19025</v>
      </c>
      <c r="Q2320" t="s">
        <v>2924</v>
      </c>
      <c r="R2320" t="s">
        <v>3219</v>
      </c>
      <c r="S2320" t="s">
        <v>19026</v>
      </c>
      <c r="T2320" t="s">
        <v>19027</v>
      </c>
    </row>
    <row r="2321" spans="1:20">
      <c r="A2321" t="s">
        <v>7444</v>
      </c>
      <c r="B2321" t="s">
        <v>17897</v>
      </c>
      <c r="C2321">
        <v>45812</v>
      </c>
      <c r="D2321" t="s">
        <v>7263</v>
      </c>
      <c r="E2321" t="s">
        <v>17898</v>
      </c>
      <c r="F2321">
        <v>45832</v>
      </c>
      <c r="G2321" t="s">
        <v>19022</v>
      </c>
      <c r="H2321" t="s">
        <v>2916</v>
      </c>
      <c r="I2321" t="s">
        <v>19023</v>
      </c>
      <c r="J2321">
        <v>16</v>
      </c>
      <c r="K2321">
        <v>22476.92</v>
      </c>
      <c r="L2321" t="s">
        <v>2917</v>
      </c>
      <c r="M2321">
        <v>127564.8</v>
      </c>
      <c r="N2321" t="s">
        <v>2918</v>
      </c>
      <c r="O2321" t="s">
        <v>19024</v>
      </c>
      <c r="P2321" t="s">
        <v>19028</v>
      </c>
      <c r="Q2321" t="s">
        <v>2924</v>
      </c>
      <c r="R2321" t="s">
        <v>3219</v>
      </c>
      <c r="S2321" t="s">
        <v>19029</v>
      </c>
      <c r="T2321" t="s">
        <v>19030</v>
      </c>
    </row>
    <row r="2322" spans="1:20">
      <c r="A2322" t="s">
        <v>7444</v>
      </c>
      <c r="B2322" t="s">
        <v>17897</v>
      </c>
      <c r="C2322">
        <v>45812</v>
      </c>
      <c r="D2322" t="s">
        <v>7263</v>
      </c>
      <c r="E2322" t="s">
        <v>17898</v>
      </c>
      <c r="F2322">
        <v>45832</v>
      </c>
      <c r="G2322" t="s">
        <v>19022</v>
      </c>
      <c r="H2322" t="s">
        <v>2916</v>
      </c>
      <c r="I2322" t="s">
        <v>19031</v>
      </c>
      <c r="J2322">
        <v>0</v>
      </c>
      <c r="K2322">
        <v>-115.39</v>
      </c>
      <c r="L2322" t="s">
        <v>2917</v>
      </c>
      <c r="M2322">
        <v>-654.9</v>
      </c>
      <c r="N2322" t="s">
        <v>2918</v>
      </c>
      <c r="O2322" t="s">
        <v>19032</v>
      </c>
      <c r="P2322" t="s">
        <v>19025</v>
      </c>
      <c r="Q2322" t="s">
        <v>2924</v>
      </c>
      <c r="R2322" t="s">
        <v>3219</v>
      </c>
      <c r="S2322" t="s">
        <v>19026</v>
      </c>
      <c r="T2322" t="s">
        <v>19027</v>
      </c>
    </row>
    <row r="2323" spans="1:20">
      <c r="A2323" t="s">
        <v>7444</v>
      </c>
      <c r="B2323" t="s">
        <v>17897</v>
      </c>
      <c r="C2323">
        <v>45812</v>
      </c>
      <c r="D2323" t="s">
        <v>7263</v>
      </c>
      <c r="E2323" t="s">
        <v>17898</v>
      </c>
      <c r="F2323">
        <v>45832</v>
      </c>
      <c r="G2323" t="s">
        <v>19022</v>
      </c>
      <c r="H2323" t="s">
        <v>2916</v>
      </c>
      <c r="I2323" t="s">
        <v>19031</v>
      </c>
      <c r="J2323">
        <v>0</v>
      </c>
      <c r="K2323">
        <v>-1829.62</v>
      </c>
      <c r="L2323" t="s">
        <v>2917</v>
      </c>
      <c r="M2323">
        <v>-10383.77</v>
      </c>
      <c r="N2323" t="s">
        <v>2918</v>
      </c>
      <c r="O2323" t="s">
        <v>19032</v>
      </c>
      <c r="P2323" t="s">
        <v>19028</v>
      </c>
      <c r="Q2323" t="s">
        <v>2924</v>
      </c>
      <c r="R2323" t="s">
        <v>3219</v>
      </c>
      <c r="S2323" t="s">
        <v>19029</v>
      </c>
      <c r="T2323" t="s">
        <v>19030</v>
      </c>
    </row>
    <row r="2324" spans="1:20">
      <c r="A2324" t="s">
        <v>7444</v>
      </c>
      <c r="B2324" t="s">
        <v>17897</v>
      </c>
      <c r="C2324">
        <v>45812</v>
      </c>
      <c r="D2324" t="s">
        <v>7263</v>
      </c>
      <c r="E2324" t="s">
        <v>17898</v>
      </c>
      <c r="F2324">
        <v>45832</v>
      </c>
      <c r="G2324" t="s">
        <v>19022</v>
      </c>
      <c r="H2324" t="s">
        <v>2916</v>
      </c>
      <c r="I2324" t="s">
        <v>19185</v>
      </c>
      <c r="J2324">
        <v>0</v>
      </c>
      <c r="K2324">
        <v>115.39</v>
      </c>
      <c r="L2324" t="s">
        <v>2917</v>
      </c>
      <c r="M2324">
        <v>654.9</v>
      </c>
      <c r="N2324" t="s">
        <v>2918</v>
      </c>
      <c r="O2324" t="s">
        <v>19186</v>
      </c>
      <c r="P2324" t="s">
        <v>19025</v>
      </c>
      <c r="Q2324" t="s">
        <v>2924</v>
      </c>
      <c r="R2324" t="s">
        <v>3219</v>
      </c>
      <c r="S2324" t="s">
        <v>19026</v>
      </c>
      <c r="T2324" t="s">
        <v>19027</v>
      </c>
    </row>
    <row r="2325" spans="1:20">
      <c r="A2325" t="s">
        <v>7444</v>
      </c>
      <c r="B2325" t="s">
        <v>17897</v>
      </c>
      <c r="C2325">
        <v>45812</v>
      </c>
      <c r="D2325" t="s">
        <v>7263</v>
      </c>
      <c r="E2325" t="s">
        <v>17898</v>
      </c>
      <c r="F2325">
        <v>45832</v>
      </c>
      <c r="G2325" t="s">
        <v>19022</v>
      </c>
      <c r="H2325" t="s">
        <v>2916</v>
      </c>
      <c r="I2325" t="s">
        <v>19185</v>
      </c>
      <c r="J2325">
        <v>0</v>
      </c>
      <c r="K2325">
        <v>1829.62</v>
      </c>
      <c r="L2325" t="s">
        <v>2917</v>
      </c>
      <c r="M2325">
        <v>10383.77</v>
      </c>
      <c r="N2325" t="s">
        <v>2918</v>
      </c>
      <c r="O2325" t="s">
        <v>19186</v>
      </c>
      <c r="P2325" t="s">
        <v>19028</v>
      </c>
      <c r="Q2325" t="s">
        <v>2924</v>
      </c>
      <c r="R2325" t="s">
        <v>3219</v>
      </c>
      <c r="S2325" t="s">
        <v>19029</v>
      </c>
      <c r="T2325" t="s">
        <v>19030</v>
      </c>
    </row>
    <row r="2326" spans="1:20">
      <c r="A2326" t="s">
        <v>7444</v>
      </c>
      <c r="B2326" t="s">
        <v>17897</v>
      </c>
      <c r="C2326">
        <v>45812</v>
      </c>
      <c r="D2326" t="s">
        <v>7263</v>
      </c>
      <c r="E2326" t="s">
        <v>17898</v>
      </c>
      <c r="F2326">
        <v>45834</v>
      </c>
      <c r="G2326" t="s">
        <v>19022</v>
      </c>
      <c r="H2326" t="s">
        <v>2916</v>
      </c>
      <c r="I2326" t="s">
        <v>19187</v>
      </c>
      <c r="J2326">
        <v>0</v>
      </c>
      <c r="K2326">
        <v>-285.51</v>
      </c>
      <c r="L2326" t="s">
        <v>2917</v>
      </c>
      <c r="M2326">
        <v>-1620.35</v>
      </c>
      <c r="N2326" t="s">
        <v>2918</v>
      </c>
      <c r="O2326" t="s">
        <v>19186</v>
      </c>
      <c r="P2326" t="s">
        <v>19025</v>
      </c>
      <c r="Q2326" t="s">
        <v>2924</v>
      </c>
      <c r="R2326" t="s">
        <v>3219</v>
      </c>
      <c r="S2326" t="s">
        <v>19026</v>
      </c>
      <c r="T2326" t="s">
        <v>19027</v>
      </c>
    </row>
    <row r="2327" spans="1:20">
      <c r="A2327" t="s">
        <v>7444</v>
      </c>
      <c r="B2327" t="s">
        <v>17897</v>
      </c>
      <c r="C2327">
        <v>45812</v>
      </c>
      <c r="D2327" t="s">
        <v>7263</v>
      </c>
      <c r="E2327" t="s">
        <v>17898</v>
      </c>
      <c r="F2327">
        <v>45834</v>
      </c>
      <c r="G2327" t="s">
        <v>19022</v>
      </c>
      <c r="H2327" t="s">
        <v>2916</v>
      </c>
      <c r="I2327" t="s">
        <v>19187</v>
      </c>
      <c r="J2327">
        <v>0</v>
      </c>
      <c r="K2327">
        <v>-4526.8500000000004</v>
      </c>
      <c r="L2327" t="s">
        <v>2917</v>
      </c>
      <c r="M2327">
        <v>-25691.55</v>
      </c>
      <c r="N2327" t="s">
        <v>2918</v>
      </c>
      <c r="O2327" t="s">
        <v>19186</v>
      </c>
      <c r="P2327" t="s">
        <v>19028</v>
      </c>
      <c r="Q2327" t="s">
        <v>2924</v>
      </c>
      <c r="R2327" t="s">
        <v>3219</v>
      </c>
      <c r="S2327" t="s">
        <v>19029</v>
      </c>
      <c r="T2327" t="s">
        <v>19030</v>
      </c>
    </row>
    <row r="2328" spans="1:20">
      <c r="A2328" t="s">
        <v>7444</v>
      </c>
      <c r="B2328" t="s">
        <v>17897</v>
      </c>
      <c r="C2328">
        <v>45838</v>
      </c>
      <c r="D2328" t="s">
        <v>7263</v>
      </c>
      <c r="E2328" t="s">
        <v>17898</v>
      </c>
      <c r="F2328">
        <v>45838</v>
      </c>
      <c r="G2328" t="s">
        <v>2208</v>
      </c>
      <c r="H2328" t="s">
        <v>2916</v>
      </c>
      <c r="I2328" t="s">
        <v>19289</v>
      </c>
      <c r="J2328">
        <v>0</v>
      </c>
      <c r="K2328">
        <v>-0.05</v>
      </c>
      <c r="L2328" t="s">
        <v>2917</v>
      </c>
      <c r="M2328">
        <v>0</v>
      </c>
      <c r="N2328" t="s">
        <v>2918</v>
      </c>
      <c r="O2328" t="s">
        <v>2919</v>
      </c>
      <c r="P2328" t="s">
        <v>2208</v>
      </c>
      <c r="Q2328" t="s">
        <v>2916</v>
      </c>
      <c r="R2328" t="s">
        <v>3220</v>
      </c>
      <c r="S2328" t="s">
        <v>2208</v>
      </c>
      <c r="T2328" t="s">
        <v>2208</v>
      </c>
    </row>
    <row r="2329" spans="1:20">
      <c r="A2329" t="s">
        <v>7444</v>
      </c>
      <c r="B2329" t="s">
        <v>16360</v>
      </c>
      <c r="C2329">
        <v>45792</v>
      </c>
      <c r="D2329" t="s">
        <v>7263</v>
      </c>
      <c r="E2329" t="s">
        <v>16361</v>
      </c>
      <c r="F2329">
        <v>45800</v>
      </c>
      <c r="G2329" t="s">
        <v>17555</v>
      </c>
      <c r="H2329" t="s">
        <v>2916</v>
      </c>
      <c r="I2329" t="s">
        <v>17556</v>
      </c>
      <c r="J2329">
        <v>4</v>
      </c>
      <c r="K2329">
        <v>249.48</v>
      </c>
      <c r="L2329" t="s">
        <v>2917</v>
      </c>
      <c r="M2329">
        <v>1405.53</v>
      </c>
      <c r="N2329" t="s">
        <v>2918</v>
      </c>
      <c r="O2329" t="s">
        <v>17557</v>
      </c>
      <c r="P2329" t="s">
        <v>10731</v>
      </c>
      <c r="Q2329" t="s">
        <v>2924</v>
      </c>
      <c r="R2329" t="s">
        <v>3219</v>
      </c>
      <c r="S2329" t="s">
        <v>10732</v>
      </c>
      <c r="T2329" t="s">
        <v>10733</v>
      </c>
    </row>
    <row r="2330" spans="1:20">
      <c r="A2330" t="s">
        <v>7444</v>
      </c>
      <c r="B2330" t="s">
        <v>16360</v>
      </c>
      <c r="C2330">
        <v>45792</v>
      </c>
      <c r="D2330" t="s">
        <v>7263</v>
      </c>
      <c r="E2330" t="s">
        <v>16361</v>
      </c>
      <c r="F2330">
        <v>45800</v>
      </c>
      <c r="G2330" t="s">
        <v>17555</v>
      </c>
      <c r="H2330" t="s">
        <v>2916</v>
      </c>
      <c r="I2330" t="s">
        <v>17558</v>
      </c>
      <c r="J2330">
        <v>0</v>
      </c>
      <c r="K2330">
        <v>-29.45</v>
      </c>
      <c r="L2330" t="s">
        <v>2917</v>
      </c>
      <c r="M2330">
        <v>-165.93</v>
      </c>
      <c r="N2330" t="s">
        <v>2918</v>
      </c>
      <c r="O2330" t="s">
        <v>17559</v>
      </c>
      <c r="P2330" t="s">
        <v>10731</v>
      </c>
      <c r="Q2330" t="s">
        <v>2924</v>
      </c>
      <c r="R2330" t="s">
        <v>3219</v>
      </c>
      <c r="S2330" t="s">
        <v>10732</v>
      </c>
      <c r="T2330" t="s">
        <v>10733</v>
      </c>
    </row>
    <row r="2331" spans="1:20">
      <c r="A2331" t="s">
        <v>7444</v>
      </c>
      <c r="B2331" t="s">
        <v>16360</v>
      </c>
      <c r="C2331">
        <v>45798</v>
      </c>
      <c r="D2331" t="s">
        <v>7263</v>
      </c>
      <c r="E2331" t="s">
        <v>16361</v>
      </c>
      <c r="F2331">
        <v>45800</v>
      </c>
      <c r="G2331" t="s">
        <v>17555</v>
      </c>
      <c r="H2331" t="s">
        <v>2916</v>
      </c>
      <c r="I2331" t="s">
        <v>17560</v>
      </c>
      <c r="J2331">
        <v>1</v>
      </c>
      <c r="K2331">
        <v>167.25</v>
      </c>
      <c r="L2331" t="s">
        <v>2917</v>
      </c>
      <c r="M2331">
        <v>942.24</v>
      </c>
      <c r="N2331" t="s">
        <v>2918</v>
      </c>
      <c r="O2331" t="s">
        <v>17561</v>
      </c>
      <c r="P2331" t="s">
        <v>11073</v>
      </c>
      <c r="Q2331" t="s">
        <v>2924</v>
      </c>
      <c r="R2331" t="s">
        <v>3219</v>
      </c>
      <c r="S2331" t="s">
        <v>11074</v>
      </c>
      <c r="T2331" t="s">
        <v>11075</v>
      </c>
    </row>
    <row r="2332" spans="1:20">
      <c r="A2332" t="s">
        <v>7444</v>
      </c>
      <c r="B2332" t="s">
        <v>16360</v>
      </c>
      <c r="C2332">
        <v>45798</v>
      </c>
      <c r="D2332" t="s">
        <v>7263</v>
      </c>
      <c r="E2332" t="s">
        <v>16361</v>
      </c>
      <c r="F2332">
        <v>45800</v>
      </c>
      <c r="G2332" t="s">
        <v>17555</v>
      </c>
      <c r="H2332" t="s">
        <v>2916</v>
      </c>
      <c r="I2332" t="s">
        <v>17562</v>
      </c>
      <c r="J2332">
        <v>0</v>
      </c>
      <c r="K2332">
        <v>-19.75</v>
      </c>
      <c r="L2332" t="s">
        <v>2917</v>
      </c>
      <c r="M2332">
        <v>-111.25</v>
      </c>
      <c r="N2332" t="s">
        <v>2918</v>
      </c>
      <c r="O2332" t="s">
        <v>17563</v>
      </c>
      <c r="P2332" t="s">
        <v>11073</v>
      </c>
      <c r="Q2332" t="s">
        <v>2924</v>
      </c>
      <c r="R2332" t="s">
        <v>3219</v>
      </c>
      <c r="S2332" t="s">
        <v>11074</v>
      </c>
      <c r="T2332" t="s">
        <v>11075</v>
      </c>
    </row>
    <row r="2333" spans="1:20">
      <c r="A2333" t="s">
        <v>7444</v>
      </c>
      <c r="B2333" t="s">
        <v>16360</v>
      </c>
      <c r="C2333">
        <v>45805</v>
      </c>
      <c r="D2333" t="s">
        <v>7263</v>
      </c>
      <c r="E2333" t="s">
        <v>16361</v>
      </c>
      <c r="F2333">
        <v>45805</v>
      </c>
      <c r="G2333" t="s">
        <v>2208</v>
      </c>
      <c r="H2333" t="s">
        <v>2916</v>
      </c>
      <c r="I2333" t="s">
        <v>17823</v>
      </c>
      <c r="J2333">
        <v>0</v>
      </c>
      <c r="K2333">
        <v>-34.729999999999997</v>
      </c>
      <c r="L2333" t="s">
        <v>2917</v>
      </c>
      <c r="M2333">
        <v>-195.65</v>
      </c>
      <c r="N2333" t="s">
        <v>2918</v>
      </c>
      <c r="O2333" t="s">
        <v>17824</v>
      </c>
      <c r="P2333" t="s">
        <v>2208</v>
      </c>
      <c r="Q2333" t="s">
        <v>2933</v>
      </c>
      <c r="R2333" t="s">
        <v>3314</v>
      </c>
      <c r="S2333" t="s">
        <v>2208</v>
      </c>
      <c r="T2333" t="s">
        <v>2208</v>
      </c>
    </row>
    <row r="2334" spans="1:20">
      <c r="A2334" t="s">
        <v>7444</v>
      </c>
      <c r="B2334" t="s">
        <v>16360</v>
      </c>
      <c r="C2334">
        <v>45808</v>
      </c>
      <c r="D2334" t="s">
        <v>7263</v>
      </c>
      <c r="E2334" t="s">
        <v>16361</v>
      </c>
      <c r="F2334">
        <v>45808</v>
      </c>
      <c r="G2334" t="s">
        <v>2208</v>
      </c>
      <c r="H2334" t="s">
        <v>2916</v>
      </c>
      <c r="I2334" t="s">
        <v>17896</v>
      </c>
      <c r="J2334">
        <v>0</v>
      </c>
      <c r="K2334">
        <v>0.01</v>
      </c>
      <c r="L2334" t="s">
        <v>2917</v>
      </c>
      <c r="M2334">
        <v>0</v>
      </c>
      <c r="N2334" t="s">
        <v>2918</v>
      </c>
      <c r="O2334" t="s">
        <v>2919</v>
      </c>
      <c r="P2334" t="s">
        <v>2208</v>
      </c>
      <c r="Q2334" t="s">
        <v>2916</v>
      </c>
      <c r="R2334" t="s">
        <v>3220</v>
      </c>
      <c r="S2334" t="s">
        <v>2208</v>
      </c>
      <c r="T2334" t="s">
        <v>2208</v>
      </c>
    </row>
    <row r="2335" spans="1:20">
      <c r="A2335" t="s">
        <v>7444</v>
      </c>
      <c r="B2335" t="s">
        <v>19439</v>
      </c>
      <c r="C2335">
        <v>45838</v>
      </c>
      <c r="D2335" t="s">
        <v>7263</v>
      </c>
      <c r="E2335" t="s">
        <v>19440</v>
      </c>
      <c r="F2335">
        <v>45842</v>
      </c>
      <c r="G2335" t="s">
        <v>17555</v>
      </c>
      <c r="H2335" t="s">
        <v>2916</v>
      </c>
      <c r="I2335" t="s">
        <v>20030</v>
      </c>
      <c r="J2335">
        <v>4</v>
      </c>
      <c r="K2335">
        <v>179.98</v>
      </c>
      <c r="L2335" t="s">
        <v>2917</v>
      </c>
      <c r="M2335">
        <v>985.28</v>
      </c>
      <c r="N2335" t="s">
        <v>2918</v>
      </c>
      <c r="O2335" t="s">
        <v>20031</v>
      </c>
      <c r="P2335" t="s">
        <v>20032</v>
      </c>
      <c r="Q2335" t="s">
        <v>2924</v>
      </c>
      <c r="R2335" t="s">
        <v>3219</v>
      </c>
      <c r="S2335" t="s">
        <v>20033</v>
      </c>
      <c r="T2335" t="s">
        <v>20034</v>
      </c>
    </row>
    <row r="2336" spans="1:20">
      <c r="A2336" t="s">
        <v>7444</v>
      </c>
      <c r="B2336" t="s">
        <v>19439</v>
      </c>
      <c r="C2336">
        <v>45838</v>
      </c>
      <c r="D2336" t="s">
        <v>7263</v>
      </c>
      <c r="E2336" t="s">
        <v>19440</v>
      </c>
      <c r="F2336">
        <v>45842</v>
      </c>
      <c r="G2336" t="s">
        <v>17555</v>
      </c>
      <c r="H2336" t="s">
        <v>2916</v>
      </c>
      <c r="I2336" t="s">
        <v>20035</v>
      </c>
      <c r="J2336">
        <v>0</v>
      </c>
      <c r="K2336">
        <v>-19.79</v>
      </c>
      <c r="L2336" t="s">
        <v>2917</v>
      </c>
      <c r="M2336">
        <v>-108.37</v>
      </c>
      <c r="N2336" t="s">
        <v>2918</v>
      </c>
      <c r="O2336" t="s">
        <v>20036</v>
      </c>
      <c r="P2336" t="s">
        <v>20032</v>
      </c>
      <c r="Q2336" t="s">
        <v>2924</v>
      </c>
      <c r="R2336" t="s">
        <v>3219</v>
      </c>
      <c r="S2336" t="s">
        <v>20033</v>
      </c>
      <c r="T2336" t="s">
        <v>20034</v>
      </c>
    </row>
    <row r="2337" spans="1:20">
      <c r="A2337" t="s">
        <v>7444</v>
      </c>
      <c r="B2337" t="s">
        <v>19439</v>
      </c>
      <c r="C2337">
        <v>45840</v>
      </c>
      <c r="D2337" t="s">
        <v>7263</v>
      </c>
      <c r="E2337" t="s">
        <v>19440</v>
      </c>
      <c r="F2337">
        <v>45842</v>
      </c>
      <c r="G2337" t="s">
        <v>17555</v>
      </c>
      <c r="H2337" t="s">
        <v>2916</v>
      </c>
      <c r="I2337" t="s">
        <v>20037</v>
      </c>
      <c r="J2337">
        <v>4</v>
      </c>
      <c r="K2337">
        <v>59.13</v>
      </c>
      <c r="L2337" t="s">
        <v>2917</v>
      </c>
      <c r="M2337">
        <v>323.70999999999998</v>
      </c>
      <c r="N2337" t="s">
        <v>2918</v>
      </c>
      <c r="O2337" t="s">
        <v>20038</v>
      </c>
      <c r="P2337" t="s">
        <v>20039</v>
      </c>
      <c r="Q2337" t="s">
        <v>2924</v>
      </c>
      <c r="R2337" t="s">
        <v>3219</v>
      </c>
      <c r="S2337" t="s">
        <v>20040</v>
      </c>
      <c r="T2337" t="s">
        <v>20041</v>
      </c>
    </row>
    <row r="2338" spans="1:20">
      <c r="A2338" t="s">
        <v>7444</v>
      </c>
      <c r="B2338" t="s">
        <v>19439</v>
      </c>
      <c r="C2338">
        <v>45840</v>
      </c>
      <c r="D2338" t="s">
        <v>7263</v>
      </c>
      <c r="E2338" t="s">
        <v>19440</v>
      </c>
      <c r="F2338">
        <v>45842</v>
      </c>
      <c r="G2338" t="s">
        <v>17555</v>
      </c>
      <c r="H2338" t="s">
        <v>2916</v>
      </c>
      <c r="I2338" t="s">
        <v>20042</v>
      </c>
      <c r="J2338">
        <v>0</v>
      </c>
      <c r="K2338">
        <v>-6.51</v>
      </c>
      <c r="L2338" t="s">
        <v>2917</v>
      </c>
      <c r="M2338">
        <v>-35.64</v>
      </c>
      <c r="N2338" t="s">
        <v>2918</v>
      </c>
      <c r="O2338" t="s">
        <v>20043</v>
      </c>
      <c r="P2338" t="s">
        <v>20039</v>
      </c>
      <c r="Q2338" t="s">
        <v>2924</v>
      </c>
      <c r="R2338" t="s">
        <v>3219</v>
      </c>
      <c r="S2338" t="s">
        <v>20040</v>
      </c>
      <c r="T2338" t="s">
        <v>20041</v>
      </c>
    </row>
    <row r="2339" spans="1:20">
      <c r="A2339" t="s">
        <v>7464</v>
      </c>
      <c r="B2339" t="s">
        <v>17897</v>
      </c>
      <c r="C2339">
        <v>45798</v>
      </c>
      <c r="D2339" t="s">
        <v>7263</v>
      </c>
      <c r="E2339" t="s">
        <v>17898</v>
      </c>
      <c r="F2339">
        <v>45810</v>
      </c>
      <c r="G2339" t="s">
        <v>17899</v>
      </c>
      <c r="H2339" t="s">
        <v>2916</v>
      </c>
      <c r="I2339" t="s">
        <v>17900</v>
      </c>
      <c r="J2339">
        <v>9559</v>
      </c>
      <c r="K2339">
        <v>1696.72</v>
      </c>
      <c r="L2339" t="s">
        <v>2917</v>
      </c>
      <c r="M2339">
        <v>9559</v>
      </c>
      <c r="N2339" t="s">
        <v>2918</v>
      </c>
      <c r="O2339" t="s">
        <v>2941</v>
      </c>
      <c r="P2339" t="s">
        <v>2941</v>
      </c>
      <c r="Q2339" t="s">
        <v>2924</v>
      </c>
      <c r="R2339" t="s">
        <v>3219</v>
      </c>
      <c r="S2339" t="s">
        <v>2208</v>
      </c>
      <c r="T2339" t="s">
        <v>2208</v>
      </c>
    </row>
    <row r="2340" spans="1:20">
      <c r="A2340" t="s">
        <v>7464</v>
      </c>
      <c r="B2340" t="s">
        <v>17897</v>
      </c>
      <c r="C2340">
        <v>45838</v>
      </c>
      <c r="D2340" t="s">
        <v>7263</v>
      </c>
      <c r="E2340" t="s">
        <v>17898</v>
      </c>
      <c r="F2340">
        <v>45838</v>
      </c>
      <c r="G2340" t="s">
        <v>2208</v>
      </c>
      <c r="H2340" t="s">
        <v>2916</v>
      </c>
      <c r="I2340" t="s">
        <v>19290</v>
      </c>
      <c r="J2340">
        <v>0</v>
      </c>
      <c r="K2340">
        <v>-12.42</v>
      </c>
      <c r="L2340" t="s">
        <v>2917</v>
      </c>
      <c r="M2340">
        <v>0</v>
      </c>
      <c r="N2340" t="s">
        <v>2918</v>
      </c>
      <c r="O2340" t="s">
        <v>2919</v>
      </c>
      <c r="P2340" t="s">
        <v>2208</v>
      </c>
      <c r="Q2340" t="s">
        <v>2916</v>
      </c>
      <c r="R2340" t="s">
        <v>3220</v>
      </c>
      <c r="S2340" t="s">
        <v>2208</v>
      </c>
      <c r="T2340" t="s">
        <v>2208</v>
      </c>
    </row>
    <row r="2341" spans="1:20">
      <c r="A2341" t="s">
        <v>2208</v>
      </c>
      <c r="B2341" t="s">
        <v>2920</v>
      </c>
      <c r="D2341" t="s">
        <v>2208</v>
      </c>
      <c r="E2341" t="s">
        <v>2208</v>
      </c>
      <c r="G2341" t="s">
        <v>2208</v>
      </c>
      <c r="H2341" t="s">
        <v>2208</v>
      </c>
      <c r="I2341" t="s">
        <v>2208</v>
      </c>
      <c r="K2341">
        <v>8032092.1500000004</v>
      </c>
      <c r="L2341" t="s">
        <v>2917</v>
      </c>
      <c r="M2341">
        <v>44307522.600000001</v>
      </c>
      <c r="N2341" t="s">
        <v>2918</v>
      </c>
      <c r="O2341" t="s">
        <v>2208</v>
      </c>
      <c r="P2341" t="s">
        <v>2208</v>
      </c>
      <c r="Q2341" t="s">
        <v>2208</v>
      </c>
      <c r="R2341" t="s">
        <v>2208</v>
      </c>
      <c r="S2341" t="s">
        <v>2208</v>
      </c>
      <c r="T2341" t="s">
        <v>2208</v>
      </c>
    </row>
  </sheetData>
  <phoneticPr fontId="26" type="noConversion"/>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AF4AC-E681-4004-9AC2-5DF0CE5B49B6}">
  <sheetPr codeName="Planilha21"/>
  <dimension ref="A1:R3230"/>
  <sheetViews>
    <sheetView workbookViewId="0">
      <selection sqref="A1:XFD1048576"/>
    </sheetView>
  </sheetViews>
  <sheetFormatPr defaultRowHeight="14.5"/>
  <cols>
    <col min="1" max="1" width="12.26953125" customWidth="1"/>
    <col min="3" max="3" width="14.81640625" bestFit="1" customWidth="1"/>
  </cols>
  <sheetData>
    <row r="1" spans="1:18">
      <c r="A1" t="s">
        <v>3341</v>
      </c>
      <c r="B1" t="s">
        <v>2956</v>
      </c>
      <c r="C1" t="s">
        <v>2957</v>
      </c>
      <c r="D1" t="s">
        <v>2958</v>
      </c>
      <c r="E1" t="s">
        <v>2959</v>
      </c>
      <c r="F1" t="s">
        <v>2956</v>
      </c>
      <c r="G1" t="s">
        <v>2960</v>
      </c>
      <c r="H1" t="s">
        <v>2961</v>
      </c>
      <c r="I1" t="s">
        <v>2962</v>
      </c>
      <c r="J1" t="s">
        <v>2963</v>
      </c>
      <c r="K1" t="s">
        <v>2964</v>
      </c>
      <c r="L1" t="s">
        <v>2965</v>
      </c>
      <c r="M1" t="s">
        <v>2966</v>
      </c>
      <c r="N1" t="s">
        <v>2967</v>
      </c>
      <c r="O1" t="s">
        <v>2968</v>
      </c>
      <c r="P1" t="s">
        <v>2969</v>
      </c>
      <c r="Q1" t="s">
        <v>2970</v>
      </c>
      <c r="R1" t="s">
        <v>2971</v>
      </c>
    </row>
    <row r="2" spans="1:18">
      <c r="A2" t="s">
        <v>709</v>
      </c>
      <c r="B2" t="s">
        <v>2920</v>
      </c>
      <c r="C2">
        <v>45691</v>
      </c>
      <c r="D2" t="s">
        <v>7263</v>
      </c>
      <c r="E2" t="s">
        <v>2921</v>
      </c>
      <c r="F2">
        <v>45688</v>
      </c>
      <c r="G2" t="s">
        <v>2208</v>
      </c>
      <c r="H2" t="s">
        <v>7834</v>
      </c>
      <c r="I2" t="s">
        <v>7835</v>
      </c>
      <c r="J2">
        <v>1</v>
      </c>
      <c r="K2">
        <v>104.61</v>
      </c>
      <c r="L2" t="s">
        <v>2917</v>
      </c>
      <c r="M2">
        <v>104.61</v>
      </c>
      <c r="N2" t="s">
        <v>2917</v>
      </c>
      <c r="O2" t="s">
        <v>2208</v>
      </c>
      <c r="P2" t="s">
        <v>2208</v>
      </c>
      <c r="Q2" t="s">
        <v>2208</v>
      </c>
      <c r="R2" t="s">
        <v>2208</v>
      </c>
    </row>
    <row r="3" spans="1:18">
      <c r="A3" t="s">
        <v>709</v>
      </c>
      <c r="B3" t="s">
        <v>2920</v>
      </c>
      <c r="C3">
        <v>45691</v>
      </c>
      <c r="D3" t="s">
        <v>7263</v>
      </c>
      <c r="E3" t="s">
        <v>2921</v>
      </c>
      <c r="F3">
        <v>45688</v>
      </c>
      <c r="G3" t="s">
        <v>2208</v>
      </c>
      <c r="H3" t="s">
        <v>7834</v>
      </c>
      <c r="I3" t="s">
        <v>7836</v>
      </c>
      <c r="J3">
        <v>1</v>
      </c>
      <c r="K3">
        <v>104.61</v>
      </c>
      <c r="L3" t="s">
        <v>2917</v>
      </c>
      <c r="M3">
        <v>104.61</v>
      </c>
      <c r="N3" t="s">
        <v>2917</v>
      </c>
      <c r="O3" t="s">
        <v>2208</v>
      </c>
      <c r="P3" t="s">
        <v>2208</v>
      </c>
      <c r="Q3" t="s">
        <v>2208</v>
      </c>
      <c r="R3" t="s">
        <v>2208</v>
      </c>
    </row>
    <row r="4" spans="1:18">
      <c r="A4" t="s">
        <v>709</v>
      </c>
      <c r="B4" t="s">
        <v>2920</v>
      </c>
      <c r="C4">
        <v>45691</v>
      </c>
      <c r="D4" t="s">
        <v>7263</v>
      </c>
      <c r="E4" t="s">
        <v>2921</v>
      </c>
      <c r="F4">
        <v>45688</v>
      </c>
      <c r="G4" t="s">
        <v>2208</v>
      </c>
      <c r="H4" t="s">
        <v>7834</v>
      </c>
      <c r="I4" t="s">
        <v>7837</v>
      </c>
      <c r="J4">
        <v>1.25</v>
      </c>
      <c r="K4">
        <v>130.76</v>
      </c>
      <c r="L4" t="s">
        <v>2917</v>
      </c>
      <c r="M4">
        <v>130.76</v>
      </c>
      <c r="N4" t="s">
        <v>2917</v>
      </c>
      <c r="O4" t="s">
        <v>2208</v>
      </c>
      <c r="P4" t="s">
        <v>2208</v>
      </c>
      <c r="Q4" t="s">
        <v>2208</v>
      </c>
      <c r="R4" t="s">
        <v>2208</v>
      </c>
    </row>
    <row r="5" spans="1:18">
      <c r="A5" t="s">
        <v>709</v>
      </c>
      <c r="B5" t="s">
        <v>2920</v>
      </c>
      <c r="C5">
        <v>45691</v>
      </c>
      <c r="D5" t="s">
        <v>7263</v>
      </c>
      <c r="E5" t="s">
        <v>2921</v>
      </c>
      <c r="F5">
        <v>45688</v>
      </c>
      <c r="G5" t="s">
        <v>2208</v>
      </c>
      <c r="H5" t="s">
        <v>7834</v>
      </c>
      <c r="I5" t="s">
        <v>7838</v>
      </c>
      <c r="J5">
        <v>1.75</v>
      </c>
      <c r="K5">
        <v>183.07</v>
      </c>
      <c r="L5" t="s">
        <v>2917</v>
      </c>
      <c r="M5">
        <v>183.07</v>
      </c>
      <c r="N5" t="s">
        <v>2917</v>
      </c>
      <c r="O5" t="s">
        <v>2208</v>
      </c>
      <c r="P5" t="s">
        <v>2208</v>
      </c>
      <c r="Q5" t="s">
        <v>2208</v>
      </c>
      <c r="R5" t="s">
        <v>2208</v>
      </c>
    </row>
    <row r="6" spans="1:18">
      <c r="A6" t="s">
        <v>709</v>
      </c>
      <c r="B6" t="s">
        <v>2920</v>
      </c>
      <c r="C6">
        <v>45691</v>
      </c>
      <c r="D6" t="s">
        <v>7263</v>
      </c>
      <c r="E6" t="s">
        <v>2921</v>
      </c>
      <c r="F6">
        <v>45688</v>
      </c>
      <c r="G6" t="s">
        <v>2208</v>
      </c>
      <c r="H6" t="s">
        <v>7834</v>
      </c>
      <c r="I6" t="s">
        <v>7839</v>
      </c>
      <c r="J6">
        <v>1</v>
      </c>
      <c r="K6">
        <v>104.61</v>
      </c>
      <c r="L6" t="s">
        <v>2917</v>
      </c>
      <c r="M6">
        <v>104.61</v>
      </c>
      <c r="N6" t="s">
        <v>2917</v>
      </c>
      <c r="O6" t="s">
        <v>2208</v>
      </c>
      <c r="P6" t="s">
        <v>2208</v>
      </c>
      <c r="Q6" t="s">
        <v>2208</v>
      </c>
      <c r="R6" t="s">
        <v>2208</v>
      </c>
    </row>
    <row r="7" spans="1:18">
      <c r="A7" t="s">
        <v>709</v>
      </c>
      <c r="B7" t="s">
        <v>2920</v>
      </c>
      <c r="C7">
        <v>45691</v>
      </c>
      <c r="D7" t="s">
        <v>7263</v>
      </c>
      <c r="E7" t="s">
        <v>2921</v>
      </c>
      <c r="F7">
        <v>45688</v>
      </c>
      <c r="G7" t="s">
        <v>2208</v>
      </c>
      <c r="H7" t="s">
        <v>7834</v>
      </c>
      <c r="I7" t="s">
        <v>7840</v>
      </c>
      <c r="J7">
        <v>1</v>
      </c>
      <c r="K7">
        <v>104.61</v>
      </c>
      <c r="L7" t="s">
        <v>2917</v>
      </c>
      <c r="M7">
        <v>104.61</v>
      </c>
      <c r="N7" t="s">
        <v>2917</v>
      </c>
      <c r="O7" t="s">
        <v>2208</v>
      </c>
      <c r="P7" t="s">
        <v>2208</v>
      </c>
      <c r="Q7" t="s">
        <v>2208</v>
      </c>
      <c r="R7" t="s">
        <v>2208</v>
      </c>
    </row>
    <row r="8" spans="1:18">
      <c r="A8" t="s">
        <v>709</v>
      </c>
      <c r="B8" t="s">
        <v>2920</v>
      </c>
      <c r="C8">
        <v>45691</v>
      </c>
      <c r="D8" t="s">
        <v>7263</v>
      </c>
      <c r="E8" t="s">
        <v>2921</v>
      </c>
      <c r="F8">
        <v>45688</v>
      </c>
      <c r="G8" t="s">
        <v>2208</v>
      </c>
      <c r="H8" t="s">
        <v>7834</v>
      </c>
      <c r="I8" t="s">
        <v>7841</v>
      </c>
      <c r="J8">
        <v>1</v>
      </c>
      <c r="K8">
        <v>104.61</v>
      </c>
      <c r="L8" t="s">
        <v>2917</v>
      </c>
      <c r="M8">
        <v>104.61</v>
      </c>
      <c r="N8" t="s">
        <v>2917</v>
      </c>
      <c r="O8" t="s">
        <v>2208</v>
      </c>
      <c r="P8" t="s">
        <v>2208</v>
      </c>
      <c r="Q8" t="s">
        <v>2208</v>
      </c>
      <c r="R8" t="s">
        <v>2208</v>
      </c>
    </row>
    <row r="9" spans="1:18">
      <c r="A9" t="s">
        <v>709</v>
      </c>
      <c r="B9" t="s">
        <v>2920</v>
      </c>
      <c r="C9">
        <v>45691</v>
      </c>
      <c r="D9" t="s">
        <v>7263</v>
      </c>
      <c r="E9" t="s">
        <v>2921</v>
      </c>
      <c r="F9">
        <v>45688</v>
      </c>
      <c r="G9" t="s">
        <v>2208</v>
      </c>
      <c r="H9" t="s">
        <v>7834</v>
      </c>
      <c r="I9" t="s">
        <v>7842</v>
      </c>
      <c r="J9">
        <v>4</v>
      </c>
      <c r="K9">
        <v>418.44</v>
      </c>
      <c r="L9" t="s">
        <v>2917</v>
      </c>
      <c r="M9">
        <v>418.44</v>
      </c>
      <c r="N9" t="s">
        <v>2917</v>
      </c>
      <c r="O9" t="s">
        <v>2208</v>
      </c>
      <c r="P9" t="s">
        <v>2208</v>
      </c>
      <c r="Q9" t="s">
        <v>2208</v>
      </c>
      <c r="R9" t="s">
        <v>2208</v>
      </c>
    </row>
    <row r="10" spans="1:18">
      <c r="A10" t="s">
        <v>709</v>
      </c>
      <c r="B10" t="s">
        <v>2920</v>
      </c>
      <c r="C10">
        <v>45691</v>
      </c>
      <c r="D10" t="s">
        <v>7263</v>
      </c>
      <c r="E10" t="s">
        <v>2921</v>
      </c>
      <c r="F10">
        <v>45688</v>
      </c>
      <c r="G10" t="s">
        <v>2208</v>
      </c>
      <c r="H10" t="s">
        <v>7834</v>
      </c>
      <c r="I10" t="s">
        <v>7843</v>
      </c>
      <c r="J10">
        <v>1</v>
      </c>
      <c r="K10">
        <v>104.61</v>
      </c>
      <c r="L10" t="s">
        <v>2917</v>
      </c>
      <c r="M10">
        <v>104.61</v>
      </c>
      <c r="N10" t="s">
        <v>2917</v>
      </c>
      <c r="O10" t="s">
        <v>2208</v>
      </c>
      <c r="P10" t="s">
        <v>2208</v>
      </c>
      <c r="Q10" t="s">
        <v>2208</v>
      </c>
      <c r="R10" t="s">
        <v>2208</v>
      </c>
    </row>
    <row r="11" spans="1:18">
      <c r="A11" t="s">
        <v>709</v>
      </c>
      <c r="B11" t="s">
        <v>2920</v>
      </c>
      <c r="C11">
        <v>45691</v>
      </c>
      <c r="D11" t="s">
        <v>7263</v>
      </c>
      <c r="E11" t="s">
        <v>2921</v>
      </c>
      <c r="F11">
        <v>45688</v>
      </c>
      <c r="G11" t="s">
        <v>2208</v>
      </c>
      <c r="H11" t="s">
        <v>7834</v>
      </c>
      <c r="I11" t="s">
        <v>7844</v>
      </c>
      <c r="J11">
        <v>1</v>
      </c>
      <c r="K11">
        <v>104.61</v>
      </c>
      <c r="L11" t="s">
        <v>2917</v>
      </c>
      <c r="M11">
        <v>104.61</v>
      </c>
      <c r="N11" t="s">
        <v>2917</v>
      </c>
      <c r="O11" t="s">
        <v>2208</v>
      </c>
      <c r="P11" t="s">
        <v>2208</v>
      </c>
      <c r="Q11" t="s">
        <v>2208</v>
      </c>
      <c r="R11" t="s">
        <v>2208</v>
      </c>
    </row>
    <row r="12" spans="1:18">
      <c r="A12" t="s">
        <v>810</v>
      </c>
      <c r="B12" t="s">
        <v>2920</v>
      </c>
      <c r="C12">
        <v>45691</v>
      </c>
      <c r="D12" t="s">
        <v>7263</v>
      </c>
      <c r="E12" t="s">
        <v>2921</v>
      </c>
      <c r="F12">
        <v>45688</v>
      </c>
      <c r="G12" t="s">
        <v>2208</v>
      </c>
      <c r="H12" t="s">
        <v>7834</v>
      </c>
      <c r="I12" t="s">
        <v>7845</v>
      </c>
      <c r="J12">
        <v>4</v>
      </c>
      <c r="K12">
        <v>418.44</v>
      </c>
      <c r="L12" t="s">
        <v>2917</v>
      </c>
      <c r="M12">
        <v>418.44</v>
      </c>
      <c r="N12" t="s">
        <v>2917</v>
      </c>
      <c r="O12" t="s">
        <v>2208</v>
      </c>
      <c r="P12" t="s">
        <v>2208</v>
      </c>
      <c r="Q12" t="s">
        <v>2208</v>
      </c>
      <c r="R12" t="s">
        <v>2208</v>
      </c>
    </row>
    <row r="13" spans="1:18">
      <c r="A13" t="s">
        <v>810</v>
      </c>
      <c r="B13" t="s">
        <v>2920</v>
      </c>
      <c r="C13">
        <v>45691</v>
      </c>
      <c r="D13" t="s">
        <v>7263</v>
      </c>
      <c r="E13" t="s">
        <v>2921</v>
      </c>
      <c r="F13">
        <v>45688</v>
      </c>
      <c r="G13" t="s">
        <v>2208</v>
      </c>
      <c r="H13" t="s">
        <v>7834</v>
      </c>
      <c r="I13" t="s">
        <v>7846</v>
      </c>
      <c r="J13">
        <v>4</v>
      </c>
      <c r="K13">
        <v>418.44</v>
      </c>
      <c r="L13" t="s">
        <v>2917</v>
      </c>
      <c r="M13">
        <v>418.44</v>
      </c>
      <c r="N13" t="s">
        <v>2917</v>
      </c>
      <c r="O13" t="s">
        <v>2208</v>
      </c>
      <c r="P13" t="s">
        <v>2208</v>
      </c>
      <c r="Q13" t="s">
        <v>2208</v>
      </c>
      <c r="R13" t="s">
        <v>2208</v>
      </c>
    </row>
    <row r="14" spans="1:18">
      <c r="A14" t="s">
        <v>810</v>
      </c>
      <c r="B14" t="s">
        <v>2920</v>
      </c>
      <c r="C14">
        <v>45691</v>
      </c>
      <c r="D14" t="s">
        <v>7263</v>
      </c>
      <c r="E14" t="s">
        <v>2921</v>
      </c>
      <c r="F14">
        <v>45688</v>
      </c>
      <c r="G14" t="s">
        <v>2208</v>
      </c>
      <c r="H14" t="s">
        <v>7834</v>
      </c>
      <c r="I14" t="s">
        <v>7847</v>
      </c>
      <c r="J14">
        <v>4</v>
      </c>
      <c r="K14">
        <v>418.44</v>
      </c>
      <c r="L14" t="s">
        <v>2917</v>
      </c>
      <c r="M14">
        <v>418.44</v>
      </c>
      <c r="N14" t="s">
        <v>2917</v>
      </c>
      <c r="O14" t="s">
        <v>2208</v>
      </c>
      <c r="P14" t="s">
        <v>2208</v>
      </c>
      <c r="Q14" t="s">
        <v>2208</v>
      </c>
      <c r="R14" t="s">
        <v>2208</v>
      </c>
    </row>
    <row r="15" spans="1:18">
      <c r="A15" t="s">
        <v>810</v>
      </c>
      <c r="B15" t="s">
        <v>2920</v>
      </c>
      <c r="C15">
        <v>45691</v>
      </c>
      <c r="D15" t="s">
        <v>7263</v>
      </c>
      <c r="E15" t="s">
        <v>2921</v>
      </c>
      <c r="F15">
        <v>45688</v>
      </c>
      <c r="G15" t="s">
        <v>2208</v>
      </c>
      <c r="H15" t="s">
        <v>7834</v>
      </c>
      <c r="I15" t="s">
        <v>7848</v>
      </c>
      <c r="J15">
        <v>1</v>
      </c>
      <c r="K15">
        <v>104.61</v>
      </c>
      <c r="L15" t="s">
        <v>2917</v>
      </c>
      <c r="M15">
        <v>104.61</v>
      </c>
      <c r="N15" t="s">
        <v>2917</v>
      </c>
      <c r="O15" t="s">
        <v>2208</v>
      </c>
      <c r="P15" t="s">
        <v>2208</v>
      </c>
      <c r="Q15" t="s">
        <v>2208</v>
      </c>
      <c r="R15" t="s">
        <v>2208</v>
      </c>
    </row>
    <row r="16" spans="1:18">
      <c r="A16" t="s">
        <v>810</v>
      </c>
      <c r="B16" t="s">
        <v>2920</v>
      </c>
      <c r="C16">
        <v>45691</v>
      </c>
      <c r="D16" t="s">
        <v>7263</v>
      </c>
      <c r="E16" t="s">
        <v>2921</v>
      </c>
      <c r="F16">
        <v>45688</v>
      </c>
      <c r="G16" t="s">
        <v>2208</v>
      </c>
      <c r="H16" t="s">
        <v>7834</v>
      </c>
      <c r="I16" t="s">
        <v>7849</v>
      </c>
      <c r="J16">
        <v>2</v>
      </c>
      <c r="K16">
        <v>209.22</v>
      </c>
      <c r="L16" t="s">
        <v>2917</v>
      </c>
      <c r="M16">
        <v>209.22</v>
      </c>
      <c r="N16" t="s">
        <v>2917</v>
      </c>
      <c r="O16" t="s">
        <v>2208</v>
      </c>
      <c r="P16" t="s">
        <v>2208</v>
      </c>
      <c r="Q16" t="s">
        <v>2208</v>
      </c>
      <c r="R16" t="s">
        <v>2208</v>
      </c>
    </row>
    <row r="17" spans="1:18">
      <c r="A17" t="s">
        <v>810</v>
      </c>
      <c r="B17" t="s">
        <v>2920</v>
      </c>
      <c r="C17">
        <v>45691</v>
      </c>
      <c r="D17" t="s">
        <v>7263</v>
      </c>
      <c r="E17" t="s">
        <v>2921</v>
      </c>
      <c r="F17">
        <v>45688</v>
      </c>
      <c r="G17" t="s">
        <v>2208</v>
      </c>
      <c r="H17" t="s">
        <v>7834</v>
      </c>
      <c r="I17" t="s">
        <v>7850</v>
      </c>
      <c r="J17">
        <v>1</v>
      </c>
      <c r="K17">
        <v>104.61</v>
      </c>
      <c r="L17" t="s">
        <v>2917</v>
      </c>
      <c r="M17">
        <v>104.61</v>
      </c>
      <c r="N17" t="s">
        <v>2917</v>
      </c>
      <c r="O17" t="s">
        <v>2208</v>
      </c>
      <c r="P17" t="s">
        <v>2208</v>
      </c>
      <c r="Q17" t="s">
        <v>2208</v>
      </c>
      <c r="R17" t="s">
        <v>2208</v>
      </c>
    </row>
    <row r="18" spans="1:18">
      <c r="A18" t="s">
        <v>810</v>
      </c>
      <c r="B18" t="s">
        <v>2920</v>
      </c>
      <c r="C18">
        <v>45691</v>
      </c>
      <c r="D18" t="s">
        <v>7263</v>
      </c>
      <c r="E18" t="s">
        <v>2921</v>
      </c>
      <c r="F18">
        <v>45688</v>
      </c>
      <c r="G18" t="s">
        <v>2208</v>
      </c>
      <c r="H18" t="s">
        <v>7834</v>
      </c>
      <c r="I18" t="s">
        <v>7851</v>
      </c>
      <c r="J18">
        <v>1</v>
      </c>
      <c r="K18">
        <v>104.61</v>
      </c>
      <c r="L18" t="s">
        <v>2917</v>
      </c>
      <c r="M18">
        <v>104.61</v>
      </c>
      <c r="N18" t="s">
        <v>2917</v>
      </c>
      <c r="O18" t="s">
        <v>2208</v>
      </c>
      <c r="P18" t="s">
        <v>2208</v>
      </c>
      <c r="Q18" t="s">
        <v>2208</v>
      </c>
      <c r="R18" t="s">
        <v>2208</v>
      </c>
    </row>
    <row r="19" spans="1:18">
      <c r="A19" t="s">
        <v>810</v>
      </c>
      <c r="B19" t="s">
        <v>2920</v>
      </c>
      <c r="C19">
        <v>45691</v>
      </c>
      <c r="D19" t="s">
        <v>7263</v>
      </c>
      <c r="E19" t="s">
        <v>2921</v>
      </c>
      <c r="F19">
        <v>45688</v>
      </c>
      <c r="G19" t="s">
        <v>2208</v>
      </c>
      <c r="H19" t="s">
        <v>7834</v>
      </c>
      <c r="I19" t="s">
        <v>7852</v>
      </c>
      <c r="J19">
        <v>1</v>
      </c>
      <c r="K19">
        <v>104.61</v>
      </c>
      <c r="L19" t="s">
        <v>2917</v>
      </c>
      <c r="M19">
        <v>104.61</v>
      </c>
      <c r="N19" t="s">
        <v>2917</v>
      </c>
      <c r="O19" t="s">
        <v>2208</v>
      </c>
      <c r="P19" t="s">
        <v>2208</v>
      </c>
      <c r="Q19" t="s">
        <v>2208</v>
      </c>
      <c r="R19" t="s">
        <v>2208</v>
      </c>
    </row>
    <row r="20" spans="1:18">
      <c r="A20" t="s">
        <v>810</v>
      </c>
      <c r="B20" t="s">
        <v>2920</v>
      </c>
      <c r="C20">
        <v>45691</v>
      </c>
      <c r="D20" t="s">
        <v>7263</v>
      </c>
      <c r="E20" t="s">
        <v>2921</v>
      </c>
      <c r="F20">
        <v>45688</v>
      </c>
      <c r="G20" t="s">
        <v>2208</v>
      </c>
      <c r="H20" t="s">
        <v>7834</v>
      </c>
      <c r="I20" t="s">
        <v>7853</v>
      </c>
      <c r="J20">
        <v>1</v>
      </c>
      <c r="K20">
        <v>104.61</v>
      </c>
      <c r="L20" t="s">
        <v>2917</v>
      </c>
      <c r="M20">
        <v>104.61</v>
      </c>
      <c r="N20" t="s">
        <v>2917</v>
      </c>
      <c r="O20" t="s">
        <v>2208</v>
      </c>
      <c r="P20" t="s">
        <v>2208</v>
      </c>
      <c r="Q20" t="s">
        <v>2208</v>
      </c>
      <c r="R20" t="s">
        <v>2208</v>
      </c>
    </row>
    <row r="21" spans="1:18">
      <c r="A21" t="s">
        <v>2237</v>
      </c>
      <c r="B21" t="s">
        <v>2920</v>
      </c>
      <c r="C21">
        <v>45691</v>
      </c>
      <c r="D21" t="s">
        <v>7263</v>
      </c>
      <c r="E21" t="s">
        <v>2921</v>
      </c>
      <c r="F21">
        <v>45688</v>
      </c>
      <c r="G21" t="s">
        <v>2208</v>
      </c>
      <c r="H21" t="s">
        <v>7834</v>
      </c>
      <c r="I21" t="s">
        <v>7854</v>
      </c>
      <c r="J21">
        <v>4</v>
      </c>
      <c r="K21">
        <v>418.44</v>
      </c>
      <c r="L21" t="s">
        <v>2917</v>
      </c>
      <c r="M21">
        <v>418.44</v>
      </c>
      <c r="N21" t="s">
        <v>2917</v>
      </c>
      <c r="O21" t="s">
        <v>2208</v>
      </c>
      <c r="P21" t="s">
        <v>2208</v>
      </c>
      <c r="Q21" t="s">
        <v>2208</v>
      </c>
      <c r="R21" t="s">
        <v>2208</v>
      </c>
    </row>
    <row r="22" spans="1:18">
      <c r="A22" t="s">
        <v>2237</v>
      </c>
      <c r="B22" t="s">
        <v>2920</v>
      </c>
      <c r="C22">
        <v>45691</v>
      </c>
      <c r="D22" t="s">
        <v>7263</v>
      </c>
      <c r="E22" t="s">
        <v>2921</v>
      </c>
      <c r="F22">
        <v>45688</v>
      </c>
      <c r="G22" t="s">
        <v>2208</v>
      </c>
      <c r="H22" t="s">
        <v>7834</v>
      </c>
      <c r="I22" t="s">
        <v>7855</v>
      </c>
      <c r="J22">
        <v>4</v>
      </c>
      <c r="K22">
        <v>418.44</v>
      </c>
      <c r="L22" t="s">
        <v>2917</v>
      </c>
      <c r="M22">
        <v>418.44</v>
      </c>
      <c r="N22" t="s">
        <v>2917</v>
      </c>
      <c r="O22" t="s">
        <v>2208</v>
      </c>
      <c r="P22" t="s">
        <v>2208</v>
      </c>
      <c r="Q22" t="s">
        <v>2208</v>
      </c>
      <c r="R22" t="s">
        <v>2208</v>
      </c>
    </row>
    <row r="23" spans="1:18">
      <c r="A23" t="s">
        <v>2237</v>
      </c>
      <c r="B23" t="s">
        <v>2920</v>
      </c>
      <c r="C23">
        <v>45691</v>
      </c>
      <c r="D23" t="s">
        <v>7263</v>
      </c>
      <c r="E23" t="s">
        <v>2921</v>
      </c>
      <c r="F23">
        <v>45688</v>
      </c>
      <c r="G23" t="s">
        <v>2208</v>
      </c>
      <c r="H23" t="s">
        <v>7834</v>
      </c>
      <c r="I23" t="s">
        <v>7856</v>
      </c>
      <c r="J23">
        <v>2</v>
      </c>
      <c r="K23">
        <v>209.22</v>
      </c>
      <c r="L23" t="s">
        <v>2917</v>
      </c>
      <c r="M23">
        <v>209.22</v>
      </c>
      <c r="N23" t="s">
        <v>2917</v>
      </c>
      <c r="O23" t="s">
        <v>2208</v>
      </c>
      <c r="P23" t="s">
        <v>2208</v>
      </c>
      <c r="Q23" t="s">
        <v>2208</v>
      </c>
      <c r="R23" t="s">
        <v>2208</v>
      </c>
    </row>
    <row r="24" spans="1:18">
      <c r="A24" t="s">
        <v>2237</v>
      </c>
      <c r="B24" t="s">
        <v>2920</v>
      </c>
      <c r="C24">
        <v>45691</v>
      </c>
      <c r="D24" t="s">
        <v>7263</v>
      </c>
      <c r="E24" t="s">
        <v>2921</v>
      </c>
      <c r="F24">
        <v>45688</v>
      </c>
      <c r="G24" t="s">
        <v>2208</v>
      </c>
      <c r="H24" t="s">
        <v>7834</v>
      </c>
      <c r="I24" t="s">
        <v>7857</v>
      </c>
      <c r="J24">
        <v>2</v>
      </c>
      <c r="K24">
        <v>209.22</v>
      </c>
      <c r="L24" t="s">
        <v>2917</v>
      </c>
      <c r="M24">
        <v>209.22</v>
      </c>
      <c r="N24" t="s">
        <v>2917</v>
      </c>
      <c r="O24" t="s">
        <v>2208</v>
      </c>
      <c r="P24" t="s">
        <v>2208</v>
      </c>
      <c r="Q24" t="s">
        <v>2208</v>
      </c>
      <c r="R24" t="s">
        <v>2208</v>
      </c>
    </row>
    <row r="25" spans="1:18">
      <c r="A25" t="s">
        <v>2237</v>
      </c>
      <c r="B25" t="s">
        <v>2920</v>
      </c>
      <c r="C25">
        <v>45691</v>
      </c>
      <c r="D25" t="s">
        <v>7263</v>
      </c>
      <c r="E25" t="s">
        <v>2921</v>
      </c>
      <c r="F25">
        <v>45688</v>
      </c>
      <c r="G25" t="s">
        <v>2208</v>
      </c>
      <c r="H25" t="s">
        <v>7834</v>
      </c>
      <c r="I25" t="s">
        <v>7858</v>
      </c>
      <c r="J25">
        <v>2</v>
      </c>
      <c r="K25">
        <v>209.22</v>
      </c>
      <c r="L25" t="s">
        <v>2917</v>
      </c>
      <c r="M25">
        <v>209.22</v>
      </c>
      <c r="N25" t="s">
        <v>2917</v>
      </c>
      <c r="O25" t="s">
        <v>2208</v>
      </c>
      <c r="P25" t="s">
        <v>2208</v>
      </c>
      <c r="Q25" t="s">
        <v>2208</v>
      </c>
      <c r="R25" t="s">
        <v>2208</v>
      </c>
    </row>
    <row r="26" spans="1:18">
      <c r="A26" t="s">
        <v>2237</v>
      </c>
      <c r="B26" t="s">
        <v>2920</v>
      </c>
      <c r="C26">
        <v>45691</v>
      </c>
      <c r="D26" t="s">
        <v>7263</v>
      </c>
      <c r="E26" t="s">
        <v>2921</v>
      </c>
      <c r="F26">
        <v>45688</v>
      </c>
      <c r="G26" t="s">
        <v>2208</v>
      </c>
      <c r="H26" t="s">
        <v>7834</v>
      </c>
      <c r="I26" t="s">
        <v>7859</v>
      </c>
      <c r="J26">
        <v>2</v>
      </c>
      <c r="K26">
        <v>209.22</v>
      </c>
      <c r="L26" t="s">
        <v>2917</v>
      </c>
      <c r="M26">
        <v>209.22</v>
      </c>
      <c r="N26" t="s">
        <v>2917</v>
      </c>
      <c r="O26" t="s">
        <v>2208</v>
      </c>
      <c r="P26" t="s">
        <v>2208</v>
      </c>
      <c r="Q26" t="s">
        <v>2208</v>
      </c>
      <c r="R26" t="s">
        <v>2208</v>
      </c>
    </row>
    <row r="27" spans="1:18">
      <c r="A27" t="s">
        <v>2237</v>
      </c>
      <c r="B27" t="s">
        <v>2920</v>
      </c>
      <c r="C27">
        <v>45691</v>
      </c>
      <c r="D27" t="s">
        <v>7263</v>
      </c>
      <c r="E27" t="s">
        <v>2921</v>
      </c>
      <c r="F27">
        <v>45688</v>
      </c>
      <c r="G27" t="s">
        <v>2208</v>
      </c>
      <c r="H27" t="s">
        <v>7834</v>
      </c>
      <c r="I27" t="s">
        <v>7860</v>
      </c>
      <c r="J27">
        <v>0.5</v>
      </c>
      <c r="K27">
        <v>52.31</v>
      </c>
      <c r="L27" t="s">
        <v>2917</v>
      </c>
      <c r="M27">
        <v>52.31</v>
      </c>
      <c r="N27" t="s">
        <v>2917</v>
      </c>
      <c r="O27" t="s">
        <v>2208</v>
      </c>
      <c r="P27" t="s">
        <v>2208</v>
      </c>
      <c r="Q27" t="s">
        <v>2208</v>
      </c>
      <c r="R27" t="s">
        <v>2208</v>
      </c>
    </row>
    <row r="28" spans="1:18">
      <c r="A28" t="s">
        <v>2237</v>
      </c>
      <c r="B28" t="s">
        <v>2920</v>
      </c>
      <c r="C28">
        <v>45691</v>
      </c>
      <c r="D28" t="s">
        <v>7263</v>
      </c>
      <c r="E28" t="s">
        <v>2921</v>
      </c>
      <c r="F28">
        <v>45688</v>
      </c>
      <c r="G28" t="s">
        <v>2208</v>
      </c>
      <c r="H28" t="s">
        <v>7834</v>
      </c>
      <c r="I28" t="s">
        <v>7861</v>
      </c>
      <c r="J28">
        <v>0.5</v>
      </c>
      <c r="K28">
        <v>52.31</v>
      </c>
      <c r="L28" t="s">
        <v>2917</v>
      </c>
      <c r="M28">
        <v>52.31</v>
      </c>
      <c r="N28" t="s">
        <v>2917</v>
      </c>
      <c r="O28" t="s">
        <v>2208</v>
      </c>
      <c r="P28" t="s">
        <v>2208</v>
      </c>
      <c r="Q28" t="s">
        <v>2208</v>
      </c>
      <c r="R28" t="s">
        <v>2208</v>
      </c>
    </row>
    <row r="29" spans="1:18">
      <c r="A29" t="s">
        <v>2237</v>
      </c>
      <c r="B29" t="s">
        <v>2920</v>
      </c>
      <c r="C29">
        <v>45691</v>
      </c>
      <c r="D29" t="s">
        <v>7263</v>
      </c>
      <c r="E29" t="s">
        <v>2921</v>
      </c>
      <c r="F29">
        <v>45688</v>
      </c>
      <c r="G29" t="s">
        <v>2208</v>
      </c>
      <c r="H29" t="s">
        <v>7834</v>
      </c>
      <c r="I29" t="s">
        <v>7862</v>
      </c>
      <c r="J29">
        <v>1</v>
      </c>
      <c r="K29">
        <v>104.61</v>
      </c>
      <c r="L29" t="s">
        <v>2917</v>
      </c>
      <c r="M29">
        <v>104.61</v>
      </c>
      <c r="N29" t="s">
        <v>2917</v>
      </c>
      <c r="O29" t="s">
        <v>2208</v>
      </c>
      <c r="P29" t="s">
        <v>2208</v>
      </c>
      <c r="Q29" t="s">
        <v>2208</v>
      </c>
      <c r="R29" t="s">
        <v>2208</v>
      </c>
    </row>
    <row r="30" spans="1:18">
      <c r="A30" t="s">
        <v>2237</v>
      </c>
      <c r="B30" t="s">
        <v>2920</v>
      </c>
      <c r="C30">
        <v>45691</v>
      </c>
      <c r="D30" t="s">
        <v>7263</v>
      </c>
      <c r="E30" t="s">
        <v>2921</v>
      </c>
      <c r="F30">
        <v>45688</v>
      </c>
      <c r="G30" t="s">
        <v>2208</v>
      </c>
      <c r="H30" t="s">
        <v>7834</v>
      </c>
      <c r="I30" t="s">
        <v>7863</v>
      </c>
      <c r="J30">
        <v>3</v>
      </c>
      <c r="K30">
        <v>313.83</v>
      </c>
      <c r="L30" t="s">
        <v>2917</v>
      </c>
      <c r="M30">
        <v>313.83</v>
      </c>
      <c r="N30" t="s">
        <v>2917</v>
      </c>
      <c r="O30" t="s">
        <v>2208</v>
      </c>
      <c r="P30" t="s">
        <v>2208</v>
      </c>
      <c r="Q30" t="s">
        <v>2208</v>
      </c>
      <c r="R30" t="s">
        <v>2208</v>
      </c>
    </row>
    <row r="31" spans="1:18">
      <c r="A31" t="s">
        <v>2237</v>
      </c>
      <c r="B31" t="s">
        <v>2920</v>
      </c>
      <c r="C31">
        <v>45691</v>
      </c>
      <c r="D31" t="s">
        <v>7263</v>
      </c>
      <c r="E31" t="s">
        <v>2921</v>
      </c>
      <c r="F31">
        <v>45688</v>
      </c>
      <c r="G31" t="s">
        <v>2208</v>
      </c>
      <c r="H31" t="s">
        <v>7834</v>
      </c>
      <c r="I31" t="s">
        <v>7864</v>
      </c>
      <c r="J31">
        <v>1</v>
      </c>
      <c r="K31">
        <v>104.61</v>
      </c>
      <c r="L31" t="s">
        <v>2917</v>
      </c>
      <c r="M31">
        <v>104.61</v>
      </c>
      <c r="N31" t="s">
        <v>2917</v>
      </c>
      <c r="O31" t="s">
        <v>2208</v>
      </c>
      <c r="P31" t="s">
        <v>2208</v>
      </c>
      <c r="Q31" t="s">
        <v>2208</v>
      </c>
      <c r="R31" t="s">
        <v>2208</v>
      </c>
    </row>
    <row r="32" spans="1:18">
      <c r="A32" t="s">
        <v>2237</v>
      </c>
      <c r="B32" t="s">
        <v>2920</v>
      </c>
      <c r="C32">
        <v>45691</v>
      </c>
      <c r="D32" t="s">
        <v>7263</v>
      </c>
      <c r="E32" t="s">
        <v>2921</v>
      </c>
      <c r="F32">
        <v>45688</v>
      </c>
      <c r="G32" t="s">
        <v>2208</v>
      </c>
      <c r="H32" t="s">
        <v>7834</v>
      </c>
      <c r="I32" t="s">
        <v>7865</v>
      </c>
      <c r="J32">
        <v>1</v>
      </c>
      <c r="K32">
        <v>104.61</v>
      </c>
      <c r="L32" t="s">
        <v>2917</v>
      </c>
      <c r="M32">
        <v>104.61</v>
      </c>
      <c r="N32" t="s">
        <v>2917</v>
      </c>
      <c r="O32" t="s">
        <v>2208</v>
      </c>
      <c r="P32" t="s">
        <v>2208</v>
      </c>
      <c r="Q32" t="s">
        <v>2208</v>
      </c>
      <c r="R32" t="s">
        <v>2208</v>
      </c>
    </row>
    <row r="33" spans="1:18">
      <c r="A33" t="s">
        <v>2237</v>
      </c>
      <c r="B33" t="s">
        <v>2920</v>
      </c>
      <c r="C33">
        <v>45691</v>
      </c>
      <c r="D33" t="s">
        <v>7263</v>
      </c>
      <c r="E33" t="s">
        <v>2921</v>
      </c>
      <c r="F33">
        <v>45688</v>
      </c>
      <c r="G33" t="s">
        <v>2208</v>
      </c>
      <c r="H33" t="s">
        <v>7834</v>
      </c>
      <c r="I33" t="s">
        <v>7866</v>
      </c>
      <c r="J33">
        <v>2.5</v>
      </c>
      <c r="K33">
        <v>261.52999999999997</v>
      </c>
      <c r="L33" t="s">
        <v>2917</v>
      </c>
      <c r="M33">
        <v>261.52999999999997</v>
      </c>
      <c r="N33" t="s">
        <v>2917</v>
      </c>
      <c r="O33" t="s">
        <v>2208</v>
      </c>
      <c r="P33" t="s">
        <v>2208</v>
      </c>
      <c r="Q33" t="s">
        <v>2208</v>
      </c>
      <c r="R33" t="s">
        <v>2208</v>
      </c>
    </row>
    <row r="34" spans="1:18">
      <c r="A34" t="s">
        <v>2237</v>
      </c>
      <c r="B34" t="s">
        <v>2920</v>
      </c>
      <c r="C34">
        <v>45691</v>
      </c>
      <c r="D34" t="s">
        <v>7263</v>
      </c>
      <c r="E34" t="s">
        <v>2921</v>
      </c>
      <c r="F34">
        <v>45688</v>
      </c>
      <c r="G34" t="s">
        <v>2208</v>
      </c>
      <c r="H34" t="s">
        <v>7834</v>
      </c>
      <c r="I34" t="s">
        <v>7867</v>
      </c>
      <c r="J34">
        <v>2.5</v>
      </c>
      <c r="K34">
        <v>261.52999999999997</v>
      </c>
      <c r="L34" t="s">
        <v>2917</v>
      </c>
      <c r="M34">
        <v>261.52999999999997</v>
      </c>
      <c r="N34" t="s">
        <v>2917</v>
      </c>
      <c r="O34" t="s">
        <v>2208</v>
      </c>
      <c r="P34" t="s">
        <v>2208</v>
      </c>
      <c r="Q34" t="s">
        <v>2208</v>
      </c>
      <c r="R34" t="s">
        <v>2208</v>
      </c>
    </row>
    <row r="35" spans="1:18">
      <c r="A35" t="s">
        <v>2237</v>
      </c>
      <c r="B35" t="s">
        <v>2920</v>
      </c>
      <c r="C35">
        <v>45691</v>
      </c>
      <c r="D35" t="s">
        <v>7263</v>
      </c>
      <c r="E35" t="s">
        <v>2921</v>
      </c>
      <c r="F35">
        <v>45688</v>
      </c>
      <c r="G35" t="s">
        <v>2208</v>
      </c>
      <c r="H35" t="s">
        <v>7834</v>
      </c>
      <c r="I35" t="s">
        <v>7868</v>
      </c>
      <c r="J35">
        <v>2.5</v>
      </c>
      <c r="K35">
        <v>261.52999999999997</v>
      </c>
      <c r="L35" t="s">
        <v>2917</v>
      </c>
      <c r="M35">
        <v>261.52999999999997</v>
      </c>
      <c r="N35" t="s">
        <v>2917</v>
      </c>
      <c r="O35" t="s">
        <v>2208</v>
      </c>
      <c r="P35" t="s">
        <v>2208</v>
      </c>
      <c r="Q35" t="s">
        <v>2208</v>
      </c>
      <c r="R35" t="s">
        <v>2208</v>
      </c>
    </row>
    <row r="36" spans="1:18">
      <c r="A36" t="s">
        <v>2237</v>
      </c>
      <c r="B36" t="s">
        <v>2920</v>
      </c>
      <c r="C36">
        <v>45691</v>
      </c>
      <c r="D36" t="s">
        <v>7263</v>
      </c>
      <c r="E36" t="s">
        <v>2921</v>
      </c>
      <c r="F36">
        <v>45688</v>
      </c>
      <c r="G36" t="s">
        <v>2208</v>
      </c>
      <c r="H36" t="s">
        <v>7834</v>
      </c>
      <c r="I36" t="s">
        <v>7869</v>
      </c>
      <c r="J36">
        <v>2.5</v>
      </c>
      <c r="K36">
        <v>261.52999999999997</v>
      </c>
      <c r="L36" t="s">
        <v>2917</v>
      </c>
      <c r="M36">
        <v>261.52999999999997</v>
      </c>
      <c r="N36" t="s">
        <v>2917</v>
      </c>
      <c r="O36" t="s">
        <v>2208</v>
      </c>
      <c r="P36" t="s">
        <v>2208</v>
      </c>
      <c r="Q36" t="s">
        <v>2208</v>
      </c>
      <c r="R36" t="s">
        <v>2208</v>
      </c>
    </row>
    <row r="37" spans="1:18">
      <c r="A37" t="s">
        <v>2237</v>
      </c>
      <c r="B37" t="s">
        <v>2920</v>
      </c>
      <c r="C37">
        <v>45691</v>
      </c>
      <c r="D37" t="s">
        <v>7263</v>
      </c>
      <c r="E37" t="s">
        <v>2921</v>
      </c>
      <c r="F37">
        <v>45688</v>
      </c>
      <c r="G37" t="s">
        <v>2208</v>
      </c>
      <c r="H37" t="s">
        <v>7834</v>
      </c>
      <c r="I37" t="s">
        <v>7870</v>
      </c>
      <c r="J37">
        <v>2.5</v>
      </c>
      <c r="K37">
        <v>261.52999999999997</v>
      </c>
      <c r="L37" t="s">
        <v>2917</v>
      </c>
      <c r="M37">
        <v>261.52999999999997</v>
      </c>
      <c r="N37" t="s">
        <v>2917</v>
      </c>
      <c r="O37" t="s">
        <v>2208</v>
      </c>
      <c r="P37" t="s">
        <v>2208</v>
      </c>
      <c r="Q37" t="s">
        <v>2208</v>
      </c>
      <c r="R37" t="s">
        <v>2208</v>
      </c>
    </row>
    <row r="38" spans="1:18">
      <c r="A38" t="s">
        <v>2237</v>
      </c>
      <c r="B38" t="s">
        <v>2920</v>
      </c>
      <c r="C38">
        <v>45691</v>
      </c>
      <c r="D38" t="s">
        <v>7263</v>
      </c>
      <c r="E38" t="s">
        <v>2921</v>
      </c>
      <c r="F38">
        <v>45688</v>
      </c>
      <c r="G38" t="s">
        <v>2208</v>
      </c>
      <c r="H38" t="s">
        <v>7834</v>
      </c>
      <c r="I38" t="s">
        <v>7871</v>
      </c>
      <c r="J38">
        <v>2.5</v>
      </c>
      <c r="K38">
        <v>261.52999999999997</v>
      </c>
      <c r="L38" t="s">
        <v>2917</v>
      </c>
      <c r="M38">
        <v>261.52999999999997</v>
      </c>
      <c r="N38" t="s">
        <v>2917</v>
      </c>
      <c r="O38" t="s">
        <v>2208</v>
      </c>
      <c r="P38" t="s">
        <v>2208</v>
      </c>
      <c r="Q38" t="s">
        <v>2208</v>
      </c>
      <c r="R38" t="s">
        <v>2208</v>
      </c>
    </row>
    <row r="39" spans="1:18">
      <c r="A39" t="s">
        <v>2237</v>
      </c>
      <c r="B39" t="s">
        <v>2920</v>
      </c>
      <c r="C39">
        <v>45691</v>
      </c>
      <c r="D39" t="s">
        <v>7263</v>
      </c>
      <c r="E39" t="s">
        <v>2921</v>
      </c>
      <c r="F39">
        <v>45688</v>
      </c>
      <c r="G39" t="s">
        <v>2208</v>
      </c>
      <c r="H39" t="s">
        <v>7834</v>
      </c>
      <c r="I39" t="s">
        <v>7872</v>
      </c>
      <c r="J39">
        <v>2.5</v>
      </c>
      <c r="K39">
        <v>261.52999999999997</v>
      </c>
      <c r="L39" t="s">
        <v>2917</v>
      </c>
      <c r="M39">
        <v>261.52999999999997</v>
      </c>
      <c r="N39" t="s">
        <v>2917</v>
      </c>
      <c r="O39" t="s">
        <v>2208</v>
      </c>
      <c r="P39" t="s">
        <v>2208</v>
      </c>
      <c r="Q39" t="s">
        <v>2208</v>
      </c>
      <c r="R39" t="s">
        <v>2208</v>
      </c>
    </row>
    <row r="40" spans="1:18">
      <c r="A40" t="s">
        <v>2237</v>
      </c>
      <c r="B40" t="s">
        <v>2920</v>
      </c>
      <c r="C40">
        <v>45691</v>
      </c>
      <c r="D40" t="s">
        <v>7263</v>
      </c>
      <c r="E40" t="s">
        <v>2921</v>
      </c>
      <c r="F40">
        <v>45688</v>
      </c>
      <c r="G40" t="s">
        <v>2208</v>
      </c>
      <c r="H40" t="s">
        <v>7834</v>
      </c>
      <c r="I40" t="s">
        <v>7873</v>
      </c>
      <c r="J40">
        <v>2.5</v>
      </c>
      <c r="K40">
        <v>261.52999999999997</v>
      </c>
      <c r="L40" t="s">
        <v>2917</v>
      </c>
      <c r="M40">
        <v>261.52999999999997</v>
      </c>
      <c r="N40" t="s">
        <v>2917</v>
      </c>
      <c r="O40" t="s">
        <v>2208</v>
      </c>
      <c r="P40" t="s">
        <v>2208</v>
      </c>
      <c r="Q40" t="s">
        <v>2208</v>
      </c>
      <c r="R40" t="s">
        <v>2208</v>
      </c>
    </row>
    <row r="41" spans="1:18">
      <c r="A41" t="s">
        <v>2237</v>
      </c>
      <c r="B41" t="s">
        <v>2920</v>
      </c>
      <c r="C41">
        <v>45691</v>
      </c>
      <c r="D41" t="s">
        <v>7263</v>
      </c>
      <c r="E41" t="s">
        <v>2921</v>
      </c>
      <c r="F41">
        <v>45688</v>
      </c>
      <c r="G41" t="s">
        <v>2208</v>
      </c>
      <c r="H41" t="s">
        <v>7834</v>
      </c>
      <c r="I41" t="s">
        <v>7874</v>
      </c>
      <c r="J41">
        <v>2.5</v>
      </c>
      <c r="K41">
        <v>261.52999999999997</v>
      </c>
      <c r="L41" t="s">
        <v>2917</v>
      </c>
      <c r="M41">
        <v>261.52999999999997</v>
      </c>
      <c r="N41" t="s">
        <v>2917</v>
      </c>
      <c r="O41" t="s">
        <v>2208</v>
      </c>
      <c r="P41" t="s">
        <v>2208</v>
      </c>
      <c r="Q41" t="s">
        <v>2208</v>
      </c>
      <c r="R41" t="s">
        <v>2208</v>
      </c>
    </row>
    <row r="42" spans="1:18">
      <c r="A42" t="s">
        <v>2237</v>
      </c>
      <c r="B42" t="s">
        <v>2920</v>
      </c>
      <c r="C42">
        <v>45691</v>
      </c>
      <c r="D42" t="s">
        <v>7263</v>
      </c>
      <c r="E42" t="s">
        <v>2921</v>
      </c>
      <c r="F42">
        <v>45688</v>
      </c>
      <c r="G42" t="s">
        <v>2208</v>
      </c>
      <c r="H42" t="s">
        <v>7834</v>
      </c>
      <c r="I42" t="s">
        <v>7875</v>
      </c>
      <c r="J42">
        <v>2.5</v>
      </c>
      <c r="K42">
        <v>261.52999999999997</v>
      </c>
      <c r="L42" t="s">
        <v>2917</v>
      </c>
      <c r="M42">
        <v>261.52999999999997</v>
      </c>
      <c r="N42" t="s">
        <v>2917</v>
      </c>
      <c r="O42" t="s">
        <v>2208</v>
      </c>
      <c r="P42" t="s">
        <v>2208</v>
      </c>
      <c r="Q42" t="s">
        <v>2208</v>
      </c>
      <c r="R42" t="s">
        <v>2208</v>
      </c>
    </row>
    <row r="43" spans="1:18">
      <c r="A43" t="s">
        <v>2237</v>
      </c>
      <c r="B43" t="s">
        <v>2920</v>
      </c>
      <c r="C43">
        <v>45691</v>
      </c>
      <c r="D43" t="s">
        <v>7263</v>
      </c>
      <c r="E43" t="s">
        <v>2921</v>
      </c>
      <c r="F43">
        <v>45688</v>
      </c>
      <c r="G43" t="s">
        <v>2208</v>
      </c>
      <c r="H43" t="s">
        <v>7834</v>
      </c>
      <c r="I43" t="s">
        <v>7876</v>
      </c>
      <c r="J43">
        <v>4</v>
      </c>
      <c r="K43">
        <v>418.44</v>
      </c>
      <c r="L43" t="s">
        <v>2917</v>
      </c>
      <c r="M43">
        <v>418.44</v>
      </c>
      <c r="N43" t="s">
        <v>2917</v>
      </c>
      <c r="O43" t="s">
        <v>2208</v>
      </c>
      <c r="P43" t="s">
        <v>2208</v>
      </c>
      <c r="Q43" t="s">
        <v>2208</v>
      </c>
      <c r="R43" t="s">
        <v>2208</v>
      </c>
    </row>
    <row r="44" spans="1:18">
      <c r="A44" t="s">
        <v>2237</v>
      </c>
      <c r="B44" t="s">
        <v>2920</v>
      </c>
      <c r="C44">
        <v>45691</v>
      </c>
      <c r="D44" t="s">
        <v>7263</v>
      </c>
      <c r="E44" t="s">
        <v>2921</v>
      </c>
      <c r="F44">
        <v>45688</v>
      </c>
      <c r="G44" t="s">
        <v>2208</v>
      </c>
      <c r="H44" t="s">
        <v>7834</v>
      </c>
      <c r="I44" t="s">
        <v>7877</v>
      </c>
      <c r="J44">
        <v>1</v>
      </c>
      <c r="K44">
        <v>104.61</v>
      </c>
      <c r="L44" t="s">
        <v>2917</v>
      </c>
      <c r="M44">
        <v>104.61</v>
      </c>
      <c r="N44" t="s">
        <v>2917</v>
      </c>
      <c r="O44" t="s">
        <v>2208</v>
      </c>
      <c r="P44" t="s">
        <v>2208</v>
      </c>
      <c r="Q44" t="s">
        <v>2208</v>
      </c>
      <c r="R44" t="s">
        <v>2208</v>
      </c>
    </row>
    <row r="45" spans="1:18">
      <c r="A45" t="s">
        <v>2237</v>
      </c>
      <c r="B45" t="s">
        <v>2920</v>
      </c>
      <c r="C45">
        <v>45691</v>
      </c>
      <c r="D45" t="s">
        <v>7263</v>
      </c>
      <c r="E45" t="s">
        <v>2921</v>
      </c>
      <c r="F45">
        <v>45688</v>
      </c>
      <c r="G45" t="s">
        <v>2208</v>
      </c>
      <c r="H45" t="s">
        <v>7834</v>
      </c>
      <c r="I45" t="s">
        <v>7878</v>
      </c>
      <c r="J45">
        <v>1</v>
      </c>
      <c r="K45">
        <v>104.61</v>
      </c>
      <c r="L45" t="s">
        <v>2917</v>
      </c>
      <c r="M45">
        <v>104.61</v>
      </c>
      <c r="N45" t="s">
        <v>2917</v>
      </c>
      <c r="O45" t="s">
        <v>2208</v>
      </c>
      <c r="P45" t="s">
        <v>2208</v>
      </c>
      <c r="Q45" t="s">
        <v>2208</v>
      </c>
      <c r="R45" t="s">
        <v>2208</v>
      </c>
    </row>
    <row r="46" spans="1:18">
      <c r="A46" t="s">
        <v>2237</v>
      </c>
      <c r="B46" t="s">
        <v>2920</v>
      </c>
      <c r="C46">
        <v>45691</v>
      </c>
      <c r="D46" t="s">
        <v>7263</v>
      </c>
      <c r="E46" t="s">
        <v>2921</v>
      </c>
      <c r="F46">
        <v>45688</v>
      </c>
      <c r="G46" t="s">
        <v>2208</v>
      </c>
      <c r="H46" t="s">
        <v>7834</v>
      </c>
      <c r="I46" t="s">
        <v>7879</v>
      </c>
      <c r="J46">
        <v>1</v>
      </c>
      <c r="K46">
        <v>104.61</v>
      </c>
      <c r="L46" t="s">
        <v>2917</v>
      </c>
      <c r="M46">
        <v>104.61</v>
      </c>
      <c r="N46" t="s">
        <v>2917</v>
      </c>
      <c r="O46" t="s">
        <v>2208</v>
      </c>
      <c r="P46" t="s">
        <v>2208</v>
      </c>
      <c r="Q46" t="s">
        <v>2208</v>
      </c>
      <c r="R46" t="s">
        <v>2208</v>
      </c>
    </row>
    <row r="47" spans="1:18">
      <c r="A47" t="s">
        <v>2237</v>
      </c>
      <c r="B47" t="s">
        <v>2920</v>
      </c>
      <c r="C47">
        <v>45691</v>
      </c>
      <c r="D47" t="s">
        <v>7263</v>
      </c>
      <c r="E47" t="s">
        <v>2921</v>
      </c>
      <c r="F47">
        <v>45688</v>
      </c>
      <c r="G47" t="s">
        <v>2208</v>
      </c>
      <c r="H47" t="s">
        <v>7834</v>
      </c>
      <c r="I47" t="s">
        <v>7880</v>
      </c>
      <c r="J47">
        <v>1</v>
      </c>
      <c r="K47">
        <v>104.61</v>
      </c>
      <c r="L47" t="s">
        <v>2917</v>
      </c>
      <c r="M47">
        <v>104.61</v>
      </c>
      <c r="N47" t="s">
        <v>2917</v>
      </c>
      <c r="O47" t="s">
        <v>2208</v>
      </c>
      <c r="P47" t="s">
        <v>2208</v>
      </c>
      <c r="Q47" t="s">
        <v>2208</v>
      </c>
      <c r="R47" t="s">
        <v>2208</v>
      </c>
    </row>
    <row r="48" spans="1:18">
      <c r="A48" t="s">
        <v>2237</v>
      </c>
      <c r="B48" t="s">
        <v>2920</v>
      </c>
      <c r="C48">
        <v>45691</v>
      </c>
      <c r="D48" t="s">
        <v>7263</v>
      </c>
      <c r="E48" t="s">
        <v>2921</v>
      </c>
      <c r="F48">
        <v>45688</v>
      </c>
      <c r="G48" t="s">
        <v>2208</v>
      </c>
      <c r="H48" t="s">
        <v>7834</v>
      </c>
      <c r="I48" t="s">
        <v>7881</v>
      </c>
      <c r="J48">
        <v>2</v>
      </c>
      <c r="K48">
        <v>209.22</v>
      </c>
      <c r="L48" t="s">
        <v>2917</v>
      </c>
      <c r="M48">
        <v>209.22</v>
      </c>
      <c r="N48" t="s">
        <v>2917</v>
      </c>
      <c r="O48" t="s">
        <v>2208</v>
      </c>
      <c r="P48" t="s">
        <v>2208</v>
      </c>
      <c r="Q48" t="s">
        <v>2208</v>
      </c>
      <c r="R48" t="s">
        <v>2208</v>
      </c>
    </row>
    <row r="49" spans="1:18">
      <c r="A49" t="s">
        <v>2237</v>
      </c>
      <c r="B49" t="s">
        <v>2920</v>
      </c>
      <c r="C49">
        <v>45691</v>
      </c>
      <c r="D49" t="s">
        <v>7263</v>
      </c>
      <c r="E49" t="s">
        <v>2921</v>
      </c>
      <c r="F49">
        <v>45688</v>
      </c>
      <c r="G49" t="s">
        <v>2208</v>
      </c>
      <c r="H49" t="s">
        <v>7834</v>
      </c>
      <c r="I49" t="s">
        <v>7882</v>
      </c>
      <c r="J49">
        <v>2</v>
      </c>
      <c r="K49">
        <v>209.22</v>
      </c>
      <c r="L49" t="s">
        <v>2917</v>
      </c>
      <c r="M49">
        <v>209.22</v>
      </c>
      <c r="N49" t="s">
        <v>2917</v>
      </c>
      <c r="O49" t="s">
        <v>2208</v>
      </c>
      <c r="P49" t="s">
        <v>2208</v>
      </c>
      <c r="Q49" t="s">
        <v>2208</v>
      </c>
      <c r="R49" t="s">
        <v>2208</v>
      </c>
    </row>
    <row r="50" spans="1:18">
      <c r="A50" t="s">
        <v>2237</v>
      </c>
      <c r="B50" t="s">
        <v>2920</v>
      </c>
      <c r="C50">
        <v>45691</v>
      </c>
      <c r="D50" t="s">
        <v>7263</v>
      </c>
      <c r="E50" t="s">
        <v>2921</v>
      </c>
      <c r="F50">
        <v>45688</v>
      </c>
      <c r="G50" t="s">
        <v>2208</v>
      </c>
      <c r="H50" t="s">
        <v>7834</v>
      </c>
      <c r="I50" t="s">
        <v>7883</v>
      </c>
      <c r="J50">
        <v>1</v>
      </c>
      <c r="K50">
        <v>104.61</v>
      </c>
      <c r="L50" t="s">
        <v>2917</v>
      </c>
      <c r="M50">
        <v>104.61</v>
      </c>
      <c r="N50" t="s">
        <v>2917</v>
      </c>
      <c r="O50" t="s">
        <v>2208</v>
      </c>
      <c r="P50" t="s">
        <v>2208</v>
      </c>
      <c r="Q50" t="s">
        <v>2208</v>
      </c>
      <c r="R50" t="s">
        <v>2208</v>
      </c>
    </row>
    <row r="51" spans="1:18">
      <c r="A51" t="s">
        <v>2237</v>
      </c>
      <c r="B51" t="s">
        <v>2920</v>
      </c>
      <c r="C51">
        <v>45691</v>
      </c>
      <c r="D51" t="s">
        <v>7263</v>
      </c>
      <c r="E51" t="s">
        <v>2921</v>
      </c>
      <c r="F51">
        <v>45688</v>
      </c>
      <c r="G51" t="s">
        <v>2208</v>
      </c>
      <c r="H51" t="s">
        <v>7834</v>
      </c>
      <c r="I51" t="s">
        <v>7884</v>
      </c>
      <c r="J51">
        <v>1</v>
      </c>
      <c r="K51">
        <v>104.61</v>
      </c>
      <c r="L51" t="s">
        <v>2917</v>
      </c>
      <c r="M51">
        <v>104.61</v>
      </c>
      <c r="N51" t="s">
        <v>2917</v>
      </c>
      <c r="O51" t="s">
        <v>2208</v>
      </c>
      <c r="P51" t="s">
        <v>2208</v>
      </c>
      <c r="Q51" t="s">
        <v>2208</v>
      </c>
      <c r="R51" t="s">
        <v>2208</v>
      </c>
    </row>
    <row r="52" spans="1:18">
      <c r="A52" t="s">
        <v>2237</v>
      </c>
      <c r="B52" t="s">
        <v>2920</v>
      </c>
      <c r="C52">
        <v>45691</v>
      </c>
      <c r="D52" t="s">
        <v>7263</v>
      </c>
      <c r="E52" t="s">
        <v>2921</v>
      </c>
      <c r="F52">
        <v>45688</v>
      </c>
      <c r="G52" t="s">
        <v>2208</v>
      </c>
      <c r="H52" t="s">
        <v>7834</v>
      </c>
      <c r="I52" t="s">
        <v>7885</v>
      </c>
      <c r="J52">
        <v>4</v>
      </c>
      <c r="K52">
        <v>418.44</v>
      </c>
      <c r="L52" t="s">
        <v>2917</v>
      </c>
      <c r="M52">
        <v>418.44</v>
      </c>
      <c r="N52" t="s">
        <v>2917</v>
      </c>
      <c r="O52" t="s">
        <v>2208</v>
      </c>
      <c r="P52" t="s">
        <v>2208</v>
      </c>
      <c r="Q52" t="s">
        <v>2208</v>
      </c>
      <c r="R52" t="s">
        <v>2208</v>
      </c>
    </row>
    <row r="53" spans="1:18">
      <c r="A53" t="s">
        <v>2237</v>
      </c>
      <c r="B53" t="s">
        <v>2920</v>
      </c>
      <c r="C53">
        <v>45691</v>
      </c>
      <c r="D53" t="s">
        <v>7263</v>
      </c>
      <c r="E53" t="s">
        <v>2921</v>
      </c>
      <c r="F53">
        <v>45688</v>
      </c>
      <c r="G53" t="s">
        <v>2208</v>
      </c>
      <c r="H53" t="s">
        <v>7834</v>
      </c>
      <c r="I53" t="s">
        <v>7886</v>
      </c>
      <c r="J53">
        <v>1</v>
      </c>
      <c r="K53">
        <v>104.61</v>
      </c>
      <c r="L53" t="s">
        <v>2917</v>
      </c>
      <c r="M53">
        <v>104.61</v>
      </c>
      <c r="N53" t="s">
        <v>2917</v>
      </c>
      <c r="O53" t="s">
        <v>2208</v>
      </c>
      <c r="P53" t="s">
        <v>2208</v>
      </c>
      <c r="Q53" t="s">
        <v>2208</v>
      </c>
      <c r="R53" t="s">
        <v>2208</v>
      </c>
    </row>
    <row r="54" spans="1:18">
      <c r="A54" t="s">
        <v>2237</v>
      </c>
      <c r="B54" t="s">
        <v>2920</v>
      </c>
      <c r="C54">
        <v>45691</v>
      </c>
      <c r="D54" t="s">
        <v>7263</v>
      </c>
      <c r="E54" t="s">
        <v>2921</v>
      </c>
      <c r="F54">
        <v>45688</v>
      </c>
      <c r="G54" t="s">
        <v>2208</v>
      </c>
      <c r="H54" t="s">
        <v>7834</v>
      </c>
      <c r="I54" t="s">
        <v>7887</v>
      </c>
      <c r="J54">
        <v>1</v>
      </c>
      <c r="K54">
        <v>104.61</v>
      </c>
      <c r="L54" t="s">
        <v>2917</v>
      </c>
      <c r="M54">
        <v>104.61</v>
      </c>
      <c r="N54" t="s">
        <v>2917</v>
      </c>
      <c r="O54" t="s">
        <v>2208</v>
      </c>
      <c r="P54" t="s">
        <v>2208</v>
      </c>
      <c r="Q54" t="s">
        <v>2208</v>
      </c>
      <c r="R54" t="s">
        <v>2208</v>
      </c>
    </row>
    <row r="55" spans="1:18">
      <c r="A55" t="s">
        <v>2237</v>
      </c>
      <c r="B55" t="s">
        <v>2920</v>
      </c>
      <c r="C55">
        <v>45691</v>
      </c>
      <c r="D55" t="s">
        <v>7263</v>
      </c>
      <c r="E55" t="s">
        <v>2921</v>
      </c>
      <c r="F55">
        <v>45688</v>
      </c>
      <c r="G55" t="s">
        <v>2208</v>
      </c>
      <c r="H55" t="s">
        <v>7834</v>
      </c>
      <c r="I55" t="s">
        <v>7888</v>
      </c>
      <c r="J55">
        <v>1</v>
      </c>
      <c r="K55">
        <v>104.61</v>
      </c>
      <c r="L55" t="s">
        <v>2917</v>
      </c>
      <c r="M55">
        <v>104.61</v>
      </c>
      <c r="N55" t="s">
        <v>2917</v>
      </c>
      <c r="O55" t="s">
        <v>2208</v>
      </c>
      <c r="P55" t="s">
        <v>2208</v>
      </c>
      <c r="Q55" t="s">
        <v>2208</v>
      </c>
      <c r="R55" t="s">
        <v>2208</v>
      </c>
    </row>
    <row r="56" spans="1:18">
      <c r="A56" t="s">
        <v>2237</v>
      </c>
      <c r="B56" t="s">
        <v>2920</v>
      </c>
      <c r="C56">
        <v>45691</v>
      </c>
      <c r="D56" t="s">
        <v>7263</v>
      </c>
      <c r="E56" t="s">
        <v>2921</v>
      </c>
      <c r="F56">
        <v>45688</v>
      </c>
      <c r="G56" t="s">
        <v>2208</v>
      </c>
      <c r="H56" t="s">
        <v>7834</v>
      </c>
      <c r="I56" t="s">
        <v>7889</v>
      </c>
      <c r="J56">
        <v>0.1</v>
      </c>
      <c r="K56">
        <v>10.46</v>
      </c>
      <c r="L56" t="s">
        <v>2917</v>
      </c>
      <c r="M56">
        <v>10.46</v>
      </c>
      <c r="N56" t="s">
        <v>2917</v>
      </c>
      <c r="O56" t="s">
        <v>2208</v>
      </c>
      <c r="P56" t="s">
        <v>2208</v>
      </c>
      <c r="Q56" t="s">
        <v>2208</v>
      </c>
      <c r="R56" t="s">
        <v>2208</v>
      </c>
    </row>
    <row r="57" spans="1:18">
      <c r="A57" t="s">
        <v>2237</v>
      </c>
      <c r="B57" t="s">
        <v>2920</v>
      </c>
      <c r="C57">
        <v>45691</v>
      </c>
      <c r="D57" t="s">
        <v>7263</v>
      </c>
      <c r="E57" t="s">
        <v>2921</v>
      </c>
      <c r="F57">
        <v>45688</v>
      </c>
      <c r="G57" t="s">
        <v>2208</v>
      </c>
      <c r="H57" t="s">
        <v>7834</v>
      </c>
      <c r="I57" t="s">
        <v>7890</v>
      </c>
      <c r="J57">
        <v>1</v>
      </c>
      <c r="K57">
        <v>104.61</v>
      </c>
      <c r="L57" t="s">
        <v>2917</v>
      </c>
      <c r="M57">
        <v>104.61</v>
      </c>
      <c r="N57" t="s">
        <v>2917</v>
      </c>
      <c r="O57" t="s">
        <v>2208</v>
      </c>
      <c r="P57" t="s">
        <v>2208</v>
      </c>
      <c r="Q57" t="s">
        <v>2208</v>
      </c>
      <c r="R57" t="s">
        <v>2208</v>
      </c>
    </row>
    <row r="58" spans="1:18">
      <c r="A58" t="s">
        <v>2237</v>
      </c>
      <c r="B58" t="s">
        <v>2920</v>
      </c>
      <c r="C58">
        <v>45691</v>
      </c>
      <c r="D58" t="s">
        <v>7263</v>
      </c>
      <c r="E58" t="s">
        <v>2921</v>
      </c>
      <c r="F58">
        <v>45688</v>
      </c>
      <c r="G58" t="s">
        <v>2208</v>
      </c>
      <c r="H58" t="s">
        <v>7834</v>
      </c>
      <c r="I58" t="s">
        <v>7891</v>
      </c>
      <c r="J58">
        <v>1</v>
      </c>
      <c r="K58">
        <v>104.61</v>
      </c>
      <c r="L58" t="s">
        <v>2917</v>
      </c>
      <c r="M58">
        <v>104.61</v>
      </c>
      <c r="N58" t="s">
        <v>2917</v>
      </c>
      <c r="O58" t="s">
        <v>2208</v>
      </c>
      <c r="P58" t="s">
        <v>2208</v>
      </c>
      <c r="Q58" t="s">
        <v>2208</v>
      </c>
      <c r="R58" t="s">
        <v>2208</v>
      </c>
    </row>
    <row r="59" spans="1:18">
      <c r="A59" t="s">
        <v>2237</v>
      </c>
      <c r="B59" t="s">
        <v>2920</v>
      </c>
      <c r="C59">
        <v>45691</v>
      </c>
      <c r="D59" t="s">
        <v>7263</v>
      </c>
      <c r="E59" t="s">
        <v>2921</v>
      </c>
      <c r="F59">
        <v>45688</v>
      </c>
      <c r="G59" t="s">
        <v>2208</v>
      </c>
      <c r="H59" t="s">
        <v>7834</v>
      </c>
      <c r="I59" t="s">
        <v>7892</v>
      </c>
      <c r="J59">
        <v>1</v>
      </c>
      <c r="K59">
        <v>104.61</v>
      </c>
      <c r="L59" t="s">
        <v>2917</v>
      </c>
      <c r="M59">
        <v>104.61</v>
      </c>
      <c r="N59" t="s">
        <v>2917</v>
      </c>
      <c r="O59" t="s">
        <v>2208</v>
      </c>
      <c r="P59" t="s">
        <v>2208</v>
      </c>
      <c r="Q59" t="s">
        <v>2208</v>
      </c>
      <c r="R59" t="s">
        <v>2208</v>
      </c>
    </row>
    <row r="60" spans="1:18">
      <c r="A60" t="s">
        <v>2237</v>
      </c>
      <c r="B60" t="s">
        <v>2920</v>
      </c>
      <c r="C60">
        <v>45691</v>
      </c>
      <c r="D60" t="s">
        <v>7263</v>
      </c>
      <c r="E60" t="s">
        <v>2921</v>
      </c>
      <c r="F60">
        <v>45688</v>
      </c>
      <c r="G60" t="s">
        <v>2208</v>
      </c>
      <c r="H60" t="s">
        <v>7834</v>
      </c>
      <c r="I60" t="s">
        <v>7893</v>
      </c>
      <c r="J60">
        <v>1</v>
      </c>
      <c r="K60">
        <v>104.61</v>
      </c>
      <c r="L60" t="s">
        <v>2917</v>
      </c>
      <c r="M60">
        <v>104.61</v>
      </c>
      <c r="N60" t="s">
        <v>2917</v>
      </c>
      <c r="O60" t="s">
        <v>2208</v>
      </c>
      <c r="P60" t="s">
        <v>2208</v>
      </c>
      <c r="Q60" t="s">
        <v>2208</v>
      </c>
      <c r="R60" t="s">
        <v>2208</v>
      </c>
    </row>
    <row r="61" spans="1:18">
      <c r="A61" t="s">
        <v>2237</v>
      </c>
      <c r="B61" t="s">
        <v>2920</v>
      </c>
      <c r="C61">
        <v>45691</v>
      </c>
      <c r="D61" t="s">
        <v>7263</v>
      </c>
      <c r="E61" t="s">
        <v>2921</v>
      </c>
      <c r="F61">
        <v>45688</v>
      </c>
      <c r="G61" t="s">
        <v>2208</v>
      </c>
      <c r="H61" t="s">
        <v>7834</v>
      </c>
      <c r="I61" t="s">
        <v>7894</v>
      </c>
      <c r="J61">
        <v>1</v>
      </c>
      <c r="K61">
        <v>104.61</v>
      </c>
      <c r="L61" t="s">
        <v>2917</v>
      </c>
      <c r="M61">
        <v>104.61</v>
      </c>
      <c r="N61" t="s">
        <v>2917</v>
      </c>
      <c r="O61" t="s">
        <v>2208</v>
      </c>
      <c r="P61" t="s">
        <v>2208</v>
      </c>
      <c r="Q61" t="s">
        <v>2208</v>
      </c>
      <c r="R61" t="s">
        <v>2208</v>
      </c>
    </row>
    <row r="62" spans="1:18">
      <c r="A62" t="s">
        <v>2237</v>
      </c>
      <c r="B62" t="s">
        <v>2920</v>
      </c>
      <c r="C62">
        <v>45691</v>
      </c>
      <c r="D62" t="s">
        <v>7263</v>
      </c>
      <c r="E62" t="s">
        <v>2921</v>
      </c>
      <c r="F62">
        <v>45688</v>
      </c>
      <c r="G62" t="s">
        <v>2208</v>
      </c>
      <c r="H62" t="s">
        <v>7834</v>
      </c>
      <c r="I62" t="s">
        <v>7895</v>
      </c>
      <c r="J62">
        <v>4</v>
      </c>
      <c r="K62">
        <v>418.44</v>
      </c>
      <c r="L62" t="s">
        <v>2917</v>
      </c>
      <c r="M62">
        <v>418.44</v>
      </c>
      <c r="N62" t="s">
        <v>2917</v>
      </c>
      <c r="O62" t="s">
        <v>2208</v>
      </c>
      <c r="P62" t="s">
        <v>2208</v>
      </c>
      <c r="Q62" t="s">
        <v>2208</v>
      </c>
      <c r="R62" t="s">
        <v>2208</v>
      </c>
    </row>
    <row r="63" spans="1:18">
      <c r="A63" t="s">
        <v>2237</v>
      </c>
      <c r="B63" t="s">
        <v>2920</v>
      </c>
      <c r="C63">
        <v>45691</v>
      </c>
      <c r="D63" t="s">
        <v>7263</v>
      </c>
      <c r="E63" t="s">
        <v>2921</v>
      </c>
      <c r="F63">
        <v>45688</v>
      </c>
      <c r="G63" t="s">
        <v>2208</v>
      </c>
      <c r="H63" t="s">
        <v>7834</v>
      </c>
      <c r="I63" t="s">
        <v>7896</v>
      </c>
      <c r="J63">
        <v>4</v>
      </c>
      <c r="K63">
        <v>418.44</v>
      </c>
      <c r="L63" t="s">
        <v>2917</v>
      </c>
      <c r="M63">
        <v>418.44</v>
      </c>
      <c r="N63" t="s">
        <v>2917</v>
      </c>
      <c r="O63" t="s">
        <v>2208</v>
      </c>
      <c r="P63" t="s">
        <v>2208</v>
      </c>
      <c r="Q63" t="s">
        <v>2208</v>
      </c>
      <c r="R63" t="s">
        <v>2208</v>
      </c>
    </row>
    <row r="64" spans="1:18">
      <c r="A64" t="s">
        <v>2237</v>
      </c>
      <c r="B64" t="s">
        <v>2920</v>
      </c>
      <c r="C64">
        <v>45691</v>
      </c>
      <c r="D64" t="s">
        <v>7263</v>
      </c>
      <c r="E64" t="s">
        <v>2921</v>
      </c>
      <c r="F64">
        <v>45688</v>
      </c>
      <c r="G64" t="s">
        <v>2208</v>
      </c>
      <c r="H64" t="s">
        <v>7834</v>
      </c>
      <c r="I64" t="s">
        <v>7897</v>
      </c>
      <c r="J64">
        <v>4</v>
      </c>
      <c r="K64">
        <v>418.44</v>
      </c>
      <c r="L64" t="s">
        <v>2917</v>
      </c>
      <c r="M64">
        <v>418.44</v>
      </c>
      <c r="N64" t="s">
        <v>2917</v>
      </c>
      <c r="O64" t="s">
        <v>2208</v>
      </c>
      <c r="P64" t="s">
        <v>2208</v>
      </c>
      <c r="Q64" t="s">
        <v>2208</v>
      </c>
      <c r="R64" t="s">
        <v>2208</v>
      </c>
    </row>
    <row r="65" spans="1:18">
      <c r="A65" t="s">
        <v>2237</v>
      </c>
      <c r="B65" t="s">
        <v>2920</v>
      </c>
      <c r="C65">
        <v>45691</v>
      </c>
      <c r="D65" t="s">
        <v>7263</v>
      </c>
      <c r="E65" t="s">
        <v>2921</v>
      </c>
      <c r="F65">
        <v>45688</v>
      </c>
      <c r="G65" t="s">
        <v>2208</v>
      </c>
      <c r="H65" t="s">
        <v>7834</v>
      </c>
      <c r="I65" t="s">
        <v>7898</v>
      </c>
      <c r="J65">
        <v>4</v>
      </c>
      <c r="K65">
        <v>418.44</v>
      </c>
      <c r="L65" t="s">
        <v>2917</v>
      </c>
      <c r="M65">
        <v>418.44</v>
      </c>
      <c r="N65" t="s">
        <v>2917</v>
      </c>
      <c r="O65" t="s">
        <v>2208</v>
      </c>
      <c r="P65" t="s">
        <v>2208</v>
      </c>
      <c r="Q65" t="s">
        <v>2208</v>
      </c>
      <c r="R65" t="s">
        <v>2208</v>
      </c>
    </row>
    <row r="66" spans="1:18">
      <c r="A66" t="s">
        <v>2237</v>
      </c>
      <c r="B66" t="s">
        <v>2920</v>
      </c>
      <c r="C66">
        <v>45691</v>
      </c>
      <c r="D66" t="s">
        <v>7263</v>
      </c>
      <c r="E66" t="s">
        <v>2921</v>
      </c>
      <c r="F66">
        <v>45688</v>
      </c>
      <c r="G66" t="s">
        <v>2208</v>
      </c>
      <c r="H66" t="s">
        <v>7834</v>
      </c>
      <c r="I66" t="s">
        <v>7899</v>
      </c>
      <c r="J66">
        <v>2.5</v>
      </c>
      <c r="K66">
        <v>261.52999999999997</v>
      </c>
      <c r="L66" t="s">
        <v>2917</v>
      </c>
      <c r="M66">
        <v>261.52999999999997</v>
      </c>
      <c r="N66" t="s">
        <v>2917</v>
      </c>
      <c r="O66" t="s">
        <v>2208</v>
      </c>
      <c r="P66" t="s">
        <v>2208</v>
      </c>
      <c r="Q66" t="s">
        <v>2208</v>
      </c>
      <c r="R66" t="s">
        <v>2208</v>
      </c>
    </row>
    <row r="67" spans="1:18">
      <c r="A67" t="s">
        <v>2237</v>
      </c>
      <c r="B67" t="s">
        <v>2920</v>
      </c>
      <c r="C67">
        <v>45691</v>
      </c>
      <c r="D67" t="s">
        <v>7263</v>
      </c>
      <c r="E67" t="s">
        <v>2921</v>
      </c>
      <c r="F67">
        <v>45688</v>
      </c>
      <c r="G67" t="s">
        <v>2208</v>
      </c>
      <c r="H67" t="s">
        <v>7834</v>
      </c>
      <c r="I67" t="s">
        <v>7900</v>
      </c>
      <c r="J67">
        <v>4</v>
      </c>
      <c r="K67">
        <v>418.44</v>
      </c>
      <c r="L67" t="s">
        <v>2917</v>
      </c>
      <c r="M67">
        <v>418.44</v>
      </c>
      <c r="N67" t="s">
        <v>2917</v>
      </c>
      <c r="O67" t="s">
        <v>2208</v>
      </c>
      <c r="P67" t="s">
        <v>2208</v>
      </c>
      <c r="Q67" t="s">
        <v>2208</v>
      </c>
      <c r="R67" t="s">
        <v>2208</v>
      </c>
    </row>
    <row r="68" spans="1:18">
      <c r="A68" t="s">
        <v>2237</v>
      </c>
      <c r="B68" t="s">
        <v>2920</v>
      </c>
      <c r="C68">
        <v>45691</v>
      </c>
      <c r="D68" t="s">
        <v>7263</v>
      </c>
      <c r="E68" t="s">
        <v>2921</v>
      </c>
      <c r="F68">
        <v>45688</v>
      </c>
      <c r="G68" t="s">
        <v>2208</v>
      </c>
      <c r="H68" t="s">
        <v>7834</v>
      </c>
      <c r="I68" t="s">
        <v>7901</v>
      </c>
      <c r="J68">
        <v>4</v>
      </c>
      <c r="K68">
        <v>418.44</v>
      </c>
      <c r="L68" t="s">
        <v>2917</v>
      </c>
      <c r="M68">
        <v>418.44</v>
      </c>
      <c r="N68" t="s">
        <v>2917</v>
      </c>
      <c r="O68" t="s">
        <v>2208</v>
      </c>
      <c r="P68" t="s">
        <v>2208</v>
      </c>
      <c r="Q68" t="s">
        <v>2208</v>
      </c>
      <c r="R68" t="s">
        <v>2208</v>
      </c>
    </row>
    <row r="69" spans="1:18">
      <c r="A69" t="s">
        <v>2237</v>
      </c>
      <c r="B69" t="s">
        <v>2920</v>
      </c>
      <c r="C69">
        <v>45691</v>
      </c>
      <c r="D69" t="s">
        <v>7263</v>
      </c>
      <c r="E69" t="s">
        <v>2921</v>
      </c>
      <c r="F69">
        <v>45688</v>
      </c>
      <c r="G69" t="s">
        <v>2208</v>
      </c>
      <c r="H69" t="s">
        <v>7834</v>
      </c>
      <c r="I69" t="s">
        <v>7902</v>
      </c>
      <c r="J69">
        <v>4</v>
      </c>
      <c r="K69">
        <v>418.44</v>
      </c>
      <c r="L69" t="s">
        <v>2917</v>
      </c>
      <c r="M69">
        <v>418.44</v>
      </c>
      <c r="N69" t="s">
        <v>2917</v>
      </c>
      <c r="O69" t="s">
        <v>2208</v>
      </c>
      <c r="P69" t="s">
        <v>2208</v>
      </c>
      <c r="Q69" t="s">
        <v>2208</v>
      </c>
      <c r="R69" t="s">
        <v>2208</v>
      </c>
    </row>
    <row r="70" spans="1:18">
      <c r="A70" t="s">
        <v>2237</v>
      </c>
      <c r="B70" t="s">
        <v>2920</v>
      </c>
      <c r="C70">
        <v>45691</v>
      </c>
      <c r="D70" t="s">
        <v>7263</v>
      </c>
      <c r="E70" t="s">
        <v>2921</v>
      </c>
      <c r="F70">
        <v>45688</v>
      </c>
      <c r="G70" t="s">
        <v>2208</v>
      </c>
      <c r="H70" t="s">
        <v>7834</v>
      </c>
      <c r="I70" t="s">
        <v>7903</v>
      </c>
      <c r="J70">
        <v>4</v>
      </c>
      <c r="K70">
        <v>418.44</v>
      </c>
      <c r="L70" t="s">
        <v>2917</v>
      </c>
      <c r="M70">
        <v>418.44</v>
      </c>
      <c r="N70" t="s">
        <v>2917</v>
      </c>
      <c r="O70" t="s">
        <v>2208</v>
      </c>
      <c r="P70" t="s">
        <v>2208</v>
      </c>
      <c r="Q70" t="s">
        <v>2208</v>
      </c>
      <c r="R70" t="s">
        <v>2208</v>
      </c>
    </row>
    <row r="71" spans="1:18">
      <c r="A71" t="s">
        <v>2237</v>
      </c>
      <c r="B71" t="s">
        <v>2920</v>
      </c>
      <c r="C71">
        <v>45691</v>
      </c>
      <c r="D71" t="s">
        <v>7263</v>
      </c>
      <c r="E71" t="s">
        <v>2921</v>
      </c>
      <c r="F71">
        <v>45688</v>
      </c>
      <c r="G71" t="s">
        <v>2208</v>
      </c>
      <c r="H71" t="s">
        <v>7834</v>
      </c>
      <c r="I71" t="s">
        <v>7904</v>
      </c>
      <c r="J71">
        <v>4</v>
      </c>
      <c r="K71">
        <v>418.44</v>
      </c>
      <c r="L71" t="s">
        <v>2917</v>
      </c>
      <c r="M71">
        <v>418.44</v>
      </c>
      <c r="N71" t="s">
        <v>2917</v>
      </c>
      <c r="O71" t="s">
        <v>2208</v>
      </c>
      <c r="P71" t="s">
        <v>2208</v>
      </c>
      <c r="Q71" t="s">
        <v>2208</v>
      </c>
      <c r="R71" t="s">
        <v>2208</v>
      </c>
    </row>
    <row r="72" spans="1:18">
      <c r="A72" t="s">
        <v>2237</v>
      </c>
      <c r="B72" t="s">
        <v>2920</v>
      </c>
      <c r="C72">
        <v>45691</v>
      </c>
      <c r="D72" t="s">
        <v>7263</v>
      </c>
      <c r="E72" t="s">
        <v>2921</v>
      </c>
      <c r="F72">
        <v>45688</v>
      </c>
      <c r="G72" t="s">
        <v>2208</v>
      </c>
      <c r="H72" t="s">
        <v>7834</v>
      </c>
      <c r="I72" t="s">
        <v>7905</v>
      </c>
      <c r="J72">
        <v>4</v>
      </c>
      <c r="K72">
        <v>418.44</v>
      </c>
      <c r="L72" t="s">
        <v>2917</v>
      </c>
      <c r="M72">
        <v>418.44</v>
      </c>
      <c r="N72" t="s">
        <v>2917</v>
      </c>
      <c r="O72" t="s">
        <v>2208</v>
      </c>
      <c r="P72" t="s">
        <v>2208</v>
      </c>
      <c r="Q72" t="s">
        <v>2208</v>
      </c>
      <c r="R72" t="s">
        <v>2208</v>
      </c>
    </row>
    <row r="73" spans="1:18">
      <c r="A73" t="s">
        <v>2237</v>
      </c>
      <c r="B73" t="s">
        <v>2920</v>
      </c>
      <c r="C73">
        <v>45691</v>
      </c>
      <c r="D73" t="s">
        <v>7263</v>
      </c>
      <c r="E73" t="s">
        <v>2921</v>
      </c>
      <c r="F73">
        <v>45688</v>
      </c>
      <c r="G73" t="s">
        <v>2208</v>
      </c>
      <c r="H73" t="s">
        <v>7834</v>
      </c>
      <c r="I73" t="s">
        <v>7906</v>
      </c>
      <c r="J73">
        <v>4</v>
      </c>
      <c r="K73">
        <v>418.44</v>
      </c>
      <c r="L73" t="s">
        <v>2917</v>
      </c>
      <c r="M73">
        <v>418.44</v>
      </c>
      <c r="N73" t="s">
        <v>2917</v>
      </c>
      <c r="O73" t="s">
        <v>2208</v>
      </c>
      <c r="P73" t="s">
        <v>2208</v>
      </c>
      <c r="Q73" t="s">
        <v>2208</v>
      </c>
      <c r="R73" t="s">
        <v>2208</v>
      </c>
    </row>
    <row r="74" spans="1:18">
      <c r="A74" t="s">
        <v>2237</v>
      </c>
      <c r="B74" t="s">
        <v>2920</v>
      </c>
      <c r="C74">
        <v>45691</v>
      </c>
      <c r="D74" t="s">
        <v>7263</v>
      </c>
      <c r="E74" t="s">
        <v>2921</v>
      </c>
      <c r="F74">
        <v>45688</v>
      </c>
      <c r="G74" t="s">
        <v>2208</v>
      </c>
      <c r="H74" t="s">
        <v>7834</v>
      </c>
      <c r="I74" t="s">
        <v>7907</v>
      </c>
      <c r="J74">
        <v>4</v>
      </c>
      <c r="K74">
        <v>418.44</v>
      </c>
      <c r="L74" t="s">
        <v>2917</v>
      </c>
      <c r="M74">
        <v>418.44</v>
      </c>
      <c r="N74" t="s">
        <v>2917</v>
      </c>
      <c r="O74" t="s">
        <v>2208</v>
      </c>
      <c r="P74" t="s">
        <v>2208</v>
      </c>
      <c r="Q74" t="s">
        <v>2208</v>
      </c>
      <c r="R74" t="s">
        <v>2208</v>
      </c>
    </row>
    <row r="75" spans="1:18">
      <c r="A75" t="s">
        <v>2237</v>
      </c>
      <c r="B75" t="s">
        <v>2920</v>
      </c>
      <c r="C75">
        <v>45691</v>
      </c>
      <c r="D75" t="s">
        <v>7263</v>
      </c>
      <c r="E75" t="s">
        <v>2921</v>
      </c>
      <c r="F75">
        <v>45688</v>
      </c>
      <c r="G75" t="s">
        <v>2208</v>
      </c>
      <c r="H75" t="s">
        <v>7834</v>
      </c>
      <c r="I75" t="s">
        <v>7908</v>
      </c>
      <c r="J75">
        <v>2</v>
      </c>
      <c r="K75">
        <v>209.22</v>
      </c>
      <c r="L75" t="s">
        <v>2917</v>
      </c>
      <c r="M75">
        <v>209.22</v>
      </c>
      <c r="N75" t="s">
        <v>2917</v>
      </c>
      <c r="O75" t="s">
        <v>2208</v>
      </c>
      <c r="P75" t="s">
        <v>2208</v>
      </c>
      <c r="Q75" t="s">
        <v>2208</v>
      </c>
      <c r="R75" t="s">
        <v>2208</v>
      </c>
    </row>
    <row r="76" spans="1:18">
      <c r="A76" t="s">
        <v>2237</v>
      </c>
      <c r="B76" t="s">
        <v>2920</v>
      </c>
      <c r="C76">
        <v>45691</v>
      </c>
      <c r="D76" t="s">
        <v>7263</v>
      </c>
      <c r="E76" t="s">
        <v>2921</v>
      </c>
      <c r="F76">
        <v>45688</v>
      </c>
      <c r="G76" t="s">
        <v>2208</v>
      </c>
      <c r="H76" t="s">
        <v>7834</v>
      </c>
      <c r="I76" t="s">
        <v>7909</v>
      </c>
      <c r="J76">
        <v>2</v>
      </c>
      <c r="K76">
        <v>209.22</v>
      </c>
      <c r="L76" t="s">
        <v>2917</v>
      </c>
      <c r="M76">
        <v>209.22</v>
      </c>
      <c r="N76" t="s">
        <v>2917</v>
      </c>
      <c r="O76" t="s">
        <v>2208</v>
      </c>
      <c r="P76" t="s">
        <v>2208</v>
      </c>
      <c r="Q76" t="s">
        <v>2208</v>
      </c>
      <c r="R76" t="s">
        <v>2208</v>
      </c>
    </row>
    <row r="77" spans="1:18">
      <c r="A77" t="s">
        <v>2237</v>
      </c>
      <c r="B77" t="s">
        <v>2920</v>
      </c>
      <c r="C77">
        <v>45691</v>
      </c>
      <c r="D77" t="s">
        <v>7263</v>
      </c>
      <c r="E77" t="s">
        <v>2921</v>
      </c>
      <c r="F77">
        <v>45688</v>
      </c>
      <c r="G77" t="s">
        <v>2208</v>
      </c>
      <c r="H77" t="s">
        <v>7834</v>
      </c>
      <c r="I77" t="s">
        <v>7910</v>
      </c>
      <c r="J77">
        <v>2</v>
      </c>
      <c r="K77">
        <v>209.22</v>
      </c>
      <c r="L77" t="s">
        <v>2917</v>
      </c>
      <c r="M77">
        <v>209.22</v>
      </c>
      <c r="N77" t="s">
        <v>2917</v>
      </c>
      <c r="O77" t="s">
        <v>2208</v>
      </c>
      <c r="P77" t="s">
        <v>2208</v>
      </c>
      <c r="Q77" t="s">
        <v>2208</v>
      </c>
      <c r="R77" t="s">
        <v>2208</v>
      </c>
    </row>
    <row r="78" spans="1:18">
      <c r="A78" t="s">
        <v>2237</v>
      </c>
      <c r="B78" t="s">
        <v>2920</v>
      </c>
      <c r="C78">
        <v>45691</v>
      </c>
      <c r="D78" t="s">
        <v>7263</v>
      </c>
      <c r="E78" t="s">
        <v>2921</v>
      </c>
      <c r="F78">
        <v>45688</v>
      </c>
      <c r="G78" t="s">
        <v>2208</v>
      </c>
      <c r="H78" t="s">
        <v>7834</v>
      </c>
      <c r="I78" t="s">
        <v>7911</v>
      </c>
      <c r="J78">
        <v>2</v>
      </c>
      <c r="K78">
        <v>209.22</v>
      </c>
      <c r="L78" t="s">
        <v>2917</v>
      </c>
      <c r="M78">
        <v>209.22</v>
      </c>
      <c r="N78" t="s">
        <v>2917</v>
      </c>
      <c r="O78" t="s">
        <v>2208</v>
      </c>
      <c r="P78" t="s">
        <v>2208</v>
      </c>
      <c r="Q78" t="s">
        <v>2208</v>
      </c>
      <c r="R78" t="s">
        <v>2208</v>
      </c>
    </row>
    <row r="79" spans="1:18">
      <c r="A79" t="s">
        <v>2237</v>
      </c>
      <c r="B79" t="s">
        <v>2920</v>
      </c>
      <c r="C79">
        <v>45691</v>
      </c>
      <c r="D79" t="s">
        <v>7263</v>
      </c>
      <c r="E79" t="s">
        <v>2921</v>
      </c>
      <c r="F79">
        <v>45688</v>
      </c>
      <c r="G79" t="s">
        <v>2208</v>
      </c>
      <c r="H79" t="s">
        <v>7834</v>
      </c>
      <c r="I79" t="s">
        <v>7912</v>
      </c>
      <c r="J79">
        <v>2</v>
      </c>
      <c r="K79">
        <v>209.22</v>
      </c>
      <c r="L79" t="s">
        <v>2917</v>
      </c>
      <c r="M79">
        <v>209.22</v>
      </c>
      <c r="N79" t="s">
        <v>2917</v>
      </c>
      <c r="O79" t="s">
        <v>2208</v>
      </c>
      <c r="P79" t="s">
        <v>2208</v>
      </c>
      <c r="Q79" t="s">
        <v>2208</v>
      </c>
      <c r="R79" t="s">
        <v>2208</v>
      </c>
    </row>
    <row r="80" spans="1:18">
      <c r="A80" t="s">
        <v>2237</v>
      </c>
      <c r="B80" t="s">
        <v>2920</v>
      </c>
      <c r="C80">
        <v>45691</v>
      </c>
      <c r="D80" t="s">
        <v>7263</v>
      </c>
      <c r="E80" t="s">
        <v>2921</v>
      </c>
      <c r="F80">
        <v>45688</v>
      </c>
      <c r="G80" t="s">
        <v>2208</v>
      </c>
      <c r="H80" t="s">
        <v>7834</v>
      </c>
      <c r="I80" t="s">
        <v>7913</v>
      </c>
      <c r="J80">
        <v>2</v>
      </c>
      <c r="K80">
        <v>209.22</v>
      </c>
      <c r="L80" t="s">
        <v>2917</v>
      </c>
      <c r="M80">
        <v>209.22</v>
      </c>
      <c r="N80" t="s">
        <v>2917</v>
      </c>
      <c r="O80" t="s">
        <v>2208</v>
      </c>
      <c r="P80" t="s">
        <v>2208</v>
      </c>
      <c r="Q80" t="s">
        <v>2208</v>
      </c>
      <c r="R80" t="s">
        <v>2208</v>
      </c>
    </row>
    <row r="81" spans="1:18">
      <c r="A81" t="s">
        <v>2237</v>
      </c>
      <c r="B81" t="s">
        <v>2920</v>
      </c>
      <c r="C81">
        <v>45691</v>
      </c>
      <c r="D81" t="s">
        <v>7263</v>
      </c>
      <c r="E81" t="s">
        <v>2921</v>
      </c>
      <c r="F81">
        <v>45688</v>
      </c>
      <c r="G81" t="s">
        <v>2208</v>
      </c>
      <c r="H81" t="s">
        <v>7834</v>
      </c>
      <c r="I81" t="s">
        <v>7914</v>
      </c>
      <c r="J81">
        <v>2</v>
      </c>
      <c r="K81">
        <v>209.22</v>
      </c>
      <c r="L81" t="s">
        <v>2917</v>
      </c>
      <c r="M81">
        <v>209.22</v>
      </c>
      <c r="N81" t="s">
        <v>2917</v>
      </c>
      <c r="O81" t="s">
        <v>2208</v>
      </c>
      <c r="P81" t="s">
        <v>2208</v>
      </c>
      <c r="Q81" t="s">
        <v>2208</v>
      </c>
      <c r="R81" t="s">
        <v>2208</v>
      </c>
    </row>
    <row r="82" spans="1:18">
      <c r="A82" t="s">
        <v>2237</v>
      </c>
      <c r="B82" t="s">
        <v>2920</v>
      </c>
      <c r="C82">
        <v>45691</v>
      </c>
      <c r="D82" t="s">
        <v>7263</v>
      </c>
      <c r="E82" t="s">
        <v>2921</v>
      </c>
      <c r="F82">
        <v>45688</v>
      </c>
      <c r="G82" t="s">
        <v>2208</v>
      </c>
      <c r="H82" t="s">
        <v>7834</v>
      </c>
      <c r="I82" t="s">
        <v>7915</v>
      </c>
      <c r="J82">
        <v>2</v>
      </c>
      <c r="K82">
        <v>209.22</v>
      </c>
      <c r="L82" t="s">
        <v>2917</v>
      </c>
      <c r="M82">
        <v>209.22</v>
      </c>
      <c r="N82" t="s">
        <v>2917</v>
      </c>
      <c r="O82" t="s">
        <v>2208</v>
      </c>
      <c r="P82" t="s">
        <v>2208</v>
      </c>
      <c r="Q82" t="s">
        <v>2208</v>
      </c>
      <c r="R82" t="s">
        <v>2208</v>
      </c>
    </row>
    <row r="83" spans="1:18">
      <c r="A83" t="s">
        <v>2237</v>
      </c>
      <c r="B83" t="s">
        <v>2920</v>
      </c>
      <c r="C83">
        <v>45691</v>
      </c>
      <c r="D83" t="s">
        <v>7263</v>
      </c>
      <c r="E83" t="s">
        <v>2921</v>
      </c>
      <c r="F83">
        <v>45688</v>
      </c>
      <c r="G83" t="s">
        <v>2208</v>
      </c>
      <c r="H83" t="s">
        <v>7834</v>
      </c>
      <c r="I83" t="s">
        <v>7916</v>
      </c>
      <c r="J83">
        <v>2</v>
      </c>
      <c r="K83">
        <v>209.22</v>
      </c>
      <c r="L83" t="s">
        <v>2917</v>
      </c>
      <c r="M83">
        <v>209.22</v>
      </c>
      <c r="N83" t="s">
        <v>2917</v>
      </c>
      <c r="O83" t="s">
        <v>2208</v>
      </c>
      <c r="P83" t="s">
        <v>2208</v>
      </c>
      <c r="Q83" t="s">
        <v>2208</v>
      </c>
      <c r="R83" t="s">
        <v>2208</v>
      </c>
    </row>
    <row r="84" spans="1:18">
      <c r="A84" t="s">
        <v>2237</v>
      </c>
      <c r="B84" t="s">
        <v>2920</v>
      </c>
      <c r="C84">
        <v>45691</v>
      </c>
      <c r="D84" t="s">
        <v>7263</v>
      </c>
      <c r="E84" t="s">
        <v>2921</v>
      </c>
      <c r="F84">
        <v>45688</v>
      </c>
      <c r="G84" t="s">
        <v>2208</v>
      </c>
      <c r="H84" t="s">
        <v>7834</v>
      </c>
      <c r="I84" t="s">
        <v>7917</v>
      </c>
      <c r="J84">
        <v>2</v>
      </c>
      <c r="K84">
        <v>209.22</v>
      </c>
      <c r="L84" t="s">
        <v>2917</v>
      </c>
      <c r="M84">
        <v>209.22</v>
      </c>
      <c r="N84" t="s">
        <v>2917</v>
      </c>
      <c r="O84" t="s">
        <v>2208</v>
      </c>
      <c r="P84" t="s">
        <v>2208</v>
      </c>
      <c r="Q84" t="s">
        <v>2208</v>
      </c>
      <c r="R84" t="s">
        <v>2208</v>
      </c>
    </row>
    <row r="85" spans="1:18">
      <c r="A85" t="s">
        <v>2237</v>
      </c>
      <c r="B85" t="s">
        <v>2920</v>
      </c>
      <c r="C85">
        <v>45691</v>
      </c>
      <c r="D85" t="s">
        <v>7263</v>
      </c>
      <c r="E85" t="s">
        <v>2921</v>
      </c>
      <c r="F85">
        <v>45688</v>
      </c>
      <c r="G85" t="s">
        <v>2208</v>
      </c>
      <c r="H85" t="s">
        <v>7834</v>
      </c>
      <c r="I85" t="s">
        <v>7918</v>
      </c>
      <c r="J85">
        <v>1</v>
      </c>
      <c r="K85">
        <v>104.61</v>
      </c>
      <c r="L85" t="s">
        <v>2917</v>
      </c>
      <c r="M85">
        <v>104.61</v>
      </c>
      <c r="N85" t="s">
        <v>2917</v>
      </c>
      <c r="O85" t="s">
        <v>2208</v>
      </c>
      <c r="P85" t="s">
        <v>2208</v>
      </c>
      <c r="Q85" t="s">
        <v>2208</v>
      </c>
      <c r="R85" t="s">
        <v>2208</v>
      </c>
    </row>
    <row r="86" spans="1:18">
      <c r="A86" t="s">
        <v>2237</v>
      </c>
      <c r="B86" t="s">
        <v>2920</v>
      </c>
      <c r="C86">
        <v>45691</v>
      </c>
      <c r="D86" t="s">
        <v>7263</v>
      </c>
      <c r="E86" t="s">
        <v>2921</v>
      </c>
      <c r="F86">
        <v>45688</v>
      </c>
      <c r="G86" t="s">
        <v>2208</v>
      </c>
      <c r="H86" t="s">
        <v>7834</v>
      </c>
      <c r="I86" t="s">
        <v>7919</v>
      </c>
      <c r="J86">
        <v>1</v>
      </c>
      <c r="K86">
        <v>104.61</v>
      </c>
      <c r="L86" t="s">
        <v>2917</v>
      </c>
      <c r="M86">
        <v>104.61</v>
      </c>
      <c r="N86" t="s">
        <v>2917</v>
      </c>
      <c r="O86" t="s">
        <v>2208</v>
      </c>
      <c r="P86" t="s">
        <v>2208</v>
      </c>
      <c r="Q86" t="s">
        <v>2208</v>
      </c>
      <c r="R86" t="s">
        <v>2208</v>
      </c>
    </row>
    <row r="87" spans="1:18">
      <c r="A87" t="s">
        <v>2237</v>
      </c>
      <c r="B87" t="s">
        <v>2920</v>
      </c>
      <c r="C87">
        <v>45691</v>
      </c>
      <c r="D87" t="s">
        <v>7263</v>
      </c>
      <c r="E87" t="s">
        <v>2921</v>
      </c>
      <c r="F87">
        <v>45688</v>
      </c>
      <c r="G87" t="s">
        <v>2208</v>
      </c>
      <c r="H87" t="s">
        <v>7834</v>
      </c>
      <c r="I87" t="s">
        <v>7920</v>
      </c>
      <c r="J87">
        <v>1</v>
      </c>
      <c r="K87">
        <v>104.61</v>
      </c>
      <c r="L87" t="s">
        <v>2917</v>
      </c>
      <c r="M87">
        <v>104.61</v>
      </c>
      <c r="N87" t="s">
        <v>2917</v>
      </c>
      <c r="O87" t="s">
        <v>2208</v>
      </c>
      <c r="P87" t="s">
        <v>2208</v>
      </c>
      <c r="Q87" t="s">
        <v>2208</v>
      </c>
      <c r="R87" t="s">
        <v>2208</v>
      </c>
    </row>
    <row r="88" spans="1:18">
      <c r="A88" t="s">
        <v>2237</v>
      </c>
      <c r="B88" t="s">
        <v>2920</v>
      </c>
      <c r="C88">
        <v>45691</v>
      </c>
      <c r="D88" t="s">
        <v>7263</v>
      </c>
      <c r="E88" t="s">
        <v>2921</v>
      </c>
      <c r="F88">
        <v>45688</v>
      </c>
      <c r="G88" t="s">
        <v>2208</v>
      </c>
      <c r="H88" t="s">
        <v>7834</v>
      </c>
      <c r="I88" t="s">
        <v>7921</v>
      </c>
      <c r="J88">
        <v>1</v>
      </c>
      <c r="K88">
        <v>104.61</v>
      </c>
      <c r="L88" t="s">
        <v>2917</v>
      </c>
      <c r="M88">
        <v>104.61</v>
      </c>
      <c r="N88" t="s">
        <v>2917</v>
      </c>
      <c r="O88" t="s">
        <v>2208</v>
      </c>
      <c r="P88" t="s">
        <v>2208</v>
      </c>
      <c r="Q88" t="s">
        <v>2208</v>
      </c>
      <c r="R88" t="s">
        <v>2208</v>
      </c>
    </row>
    <row r="89" spans="1:18">
      <c r="A89" t="s">
        <v>2237</v>
      </c>
      <c r="B89" t="s">
        <v>2920</v>
      </c>
      <c r="C89">
        <v>45691</v>
      </c>
      <c r="D89" t="s">
        <v>7263</v>
      </c>
      <c r="E89" t="s">
        <v>2921</v>
      </c>
      <c r="F89">
        <v>45688</v>
      </c>
      <c r="G89" t="s">
        <v>2208</v>
      </c>
      <c r="H89" t="s">
        <v>7834</v>
      </c>
      <c r="I89" t="s">
        <v>7922</v>
      </c>
      <c r="J89">
        <v>2</v>
      </c>
      <c r="K89">
        <v>209.22</v>
      </c>
      <c r="L89" t="s">
        <v>2917</v>
      </c>
      <c r="M89">
        <v>209.22</v>
      </c>
      <c r="N89" t="s">
        <v>2917</v>
      </c>
      <c r="O89" t="s">
        <v>2208</v>
      </c>
      <c r="P89" t="s">
        <v>2208</v>
      </c>
      <c r="Q89" t="s">
        <v>2208</v>
      </c>
      <c r="R89" t="s">
        <v>2208</v>
      </c>
    </row>
    <row r="90" spans="1:18">
      <c r="A90" t="s">
        <v>2237</v>
      </c>
      <c r="B90" t="s">
        <v>2920</v>
      </c>
      <c r="C90">
        <v>45691</v>
      </c>
      <c r="D90" t="s">
        <v>7263</v>
      </c>
      <c r="E90" t="s">
        <v>2921</v>
      </c>
      <c r="F90">
        <v>45688</v>
      </c>
      <c r="G90" t="s">
        <v>2208</v>
      </c>
      <c r="H90" t="s">
        <v>7834</v>
      </c>
      <c r="I90" t="s">
        <v>7923</v>
      </c>
      <c r="J90">
        <v>2.5</v>
      </c>
      <c r="K90">
        <v>261.52999999999997</v>
      </c>
      <c r="L90" t="s">
        <v>2917</v>
      </c>
      <c r="M90">
        <v>261.52999999999997</v>
      </c>
      <c r="N90" t="s">
        <v>2917</v>
      </c>
      <c r="O90" t="s">
        <v>2208</v>
      </c>
      <c r="P90" t="s">
        <v>2208</v>
      </c>
      <c r="Q90" t="s">
        <v>2208</v>
      </c>
      <c r="R90" t="s">
        <v>2208</v>
      </c>
    </row>
    <row r="91" spans="1:18">
      <c r="A91" t="s">
        <v>2237</v>
      </c>
      <c r="B91" t="s">
        <v>2920</v>
      </c>
      <c r="C91">
        <v>45691</v>
      </c>
      <c r="D91" t="s">
        <v>7263</v>
      </c>
      <c r="E91" t="s">
        <v>2921</v>
      </c>
      <c r="F91">
        <v>45688</v>
      </c>
      <c r="G91" t="s">
        <v>2208</v>
      </c>
      <c r="H91" t="s">
        <v>7834</v>
      </c>
      <c r="I91" t="s">
        <v>7924</v>
      </c>
      <c r="J91">
        <v>1</v>
      </c>
      <c r="K91">
        <v>104.61</v>
      </c>
      <c r="L91" t="s">
        <v>2917</v>
      </c>
      <c r="M91">
        <v>104.61</v>
      </c>
      <c r="N91" t="s">
        <v>2917</v>
      </c>
      <c r="O91" t="s">
        <v>2208</v>
      </c>
      <c r="P91" t="s">
        <v>2208</v>
      </c>
      <c r="Q91" t="s">
        <v>2208</v>
      </c>
      <c r="R91" t="s">
        <v>2208</v>
      </c>
    </row>
    <row r="92" spans="1:18">
      <c r="A92" t="s">
        <v>2237</v>
      </c>
      <c r="B92" t="s">
        <v>2920</v>
      </c>
      <c r="C92">
        <v>45691</v>
      </c>
      <c r="D92" t="s">
        <v>7263</v>
      </c>
      <c r="E92" t="s">
        <v>2921</v>
      </c>
      <c r="F92">
        <v>45688</v>
      </c>
      <c r="G92" t="s">
        <v>2208</v>
      </c>
      <c r="H92" t="s">
        <v>7834</v>
      </c>
      <c r="I92" t="s">
        <v>7925</v>
      </c>
      <c r="J92">
        <v>1</v>
      </c>
      <c r="K92">
        <v>104.61</v>
      </c>
      <c r="L92" t="s">
        <v>2917</v>
      </c>
      <c r="M92">
        <v>104.61</v>
      </c>
      <c r="N92" t="s">
        <v>2917</v>
      </c>
      <c r="O92" t="s">
        <v>2208</v>
      </c>
      <c r="P92" t="s">
        <v>2208</v>
      </c>
      <c r="Q92" t="s">
        <v>2208</v>
      </c>
      <c r="R92" t="s">
        <v>2208</v>
      </c>
    </row>
    <row r="93" spans="1:18">
      <c r="A93" t="s">
        <v>2237</v>
      </c>
      <c r="B93" t="s">
        <v>2920</v>
      </c>
      <c r="C93">
        <v>45691</v>
      </c>
      <c r="D93" t="s">
        <v>7263</v>
      </c>
      <c r="E93" t="s">
        <v>2921</v>
      </c>
      <c r="F93">
        <v>45688</v>
      </c>
      <c r="G93" t="s">
        <v>2208</v>
      </c>
      <c r="H93" t="s">
        <v>7834</v>
      </c>
      <c r="I93" t="s">
        <v>7926</v>
      </c>
      <c r="J93">
        <v>1</v>
      </c>
      <c r="K93">
        <v>104.61</v>
      </c>
      <c r="L93" t="s">
        <v>2917</v>
      </c>
      <c r="M93">
        <v>104.61</v>
      </c>
      <c r="N93" t="s">
        <v>2917</v>
      </c>
      <c r="O93" t="s">
        <v>2208</v>
      </c>
      <c r="P93" t="s">
        <v>2208</v>
      </c>
      <c r="Q93" t="s">
        <v>2208</v>
      </c>
      <c r="R93" t="s">
        <v>2208</v>
      </c>
    </row>
    <row r="94" spans="1:18">
      <c r="A94" t="s">
        <v>2237</v>
      </c>
      <c r="B94" t="s">
        <v>2920</v>
      </c>
      <c r="C94">
        <v>45691</v>
      </c>
      <c r="D94" t="s">
        <v>7263</v>
      </c>
      <c r="E94" t="s">
        <v>2921</v>
      </c>
      <c r="F94">
        <v>45688</v>
      </c>
      <c r="G94" t="s">
        <v>2208</v>
      </c>
      <c r="H94" t="s">
        <v>7834</v>
      </c>
      <c r="I94" t="s">
        <v>7927</v>
      </c>
      <c r="J94">
        <v>1</v>
      </c>
      <c r="K94">
        <v>104.61</v>
      </c>
      <c r="L94" t="s">
        <v>2917</v>
      </c>
      <c r="M94">
        <v>104.61</v>
      </c>
      <c r="N94" t="s">
        <v>2917</v>
      </c>
      <c r="O94" t="s">
        <v>2208</v>
      </c>
      <c r="P94" t="s">
        <v>2208</v>
      </c>
      <c r="Q94" t="s">
        <v>2208</v>
      </c>
      <c r="R94" t="s">
        <v>2208</v>
      </c>
    </row>
    <row r="95" spans="1:18">
      <c r="A95" t="s">
        <v>2237</v>
      </c>
      <c r="B95" t="s">
        <v>2920</v>
      </c>
      <c r="C95">
        <v>45691</v>
      </c>
      <c r="D95" t="s">
        <v>7263</v>
      </c>
      <c r="E95" t="s">
        <v>2921</v>
      </c>
      <c r="F95">
        <v>45688</v>
      </c>
      <c r="G95" t="s">
        <v>2208</v>
      </c>
      <c r="H95" t="s">
        <v>7834</v>
      </c>
      <c r="I95" t="s">
        <v>7928</v>
      </c>
      <c r="J95">
        <v>1.75</v>
      </c>
      <c r="K95">
        <v>183.07</v>
      </c>
      <c r="L95" t="s">
        <v>2917</v>
      </c>
      <c r="M95">
        <v>183.07</v>
      </c>
      <c r="N95" t="s">
        <v>2917</v>
      </c>
      <c r="O95" t="s">
        <v>2208</v>
      </c>
      <c r="P95" t="s">
        <v>2208</v>
      </c>
      <c r="Q95" t="s">
        <v>2208</v>
      </c>
      <c r="R95" t="s">
        <v>2208</v>
      </c>
    </row>
    <row r="96" spans="1:18">
      <c r="A96" t="s">
        <v>2237</v>
      </c>
      <c r="B96" t="s">
        <v>2920</v>
      </c>
      <c r="C96">
        <v>45691</v>
      </c>
      <c r="D96" t="s">
        <v>7263</v>
      </c>
      <c r="E96" t="s">
        <v>2921</v>
      </c>
      <c r="F96">
        <v>45688</v>
      </c>
      <c r="G96" t="s">
        <v>2208</v>
      </c>
      <c r="H96" t="s">
        <v>7834</v>
      </c>
      <c r="I96" t="s">
        <v>7929</v>
      </c>
      <c r="J96">
        <v>1.25</v>
      </c>
      <c r="K96">
        <v>130.76</v>
      </c>
      <c r="L96" t="s">
        <v>2917</v>
      </c>
      <c r="M96">
        <v>130.76</v>
      </c>
      <c r="N96" t="s">
        <v>2917</v>
      </c>
      <c r="O96" t="s">
        <v>2208</v>
      </c>
      <c r="P96" t="s">
        <v>2208</v>
      </c>
      <c r="Q96" t="s">
        <v>2208</v>
      </c>
      <c r="R96" t="s">
        <v>2208</v>
      </c>
    </row>
    <row r="97" spans="1:18">
      <c r="A97" t="s">
        <v>2237</v>
      </c>
      <c r="B97" t="s">
        <v>2920</v>
      </c>
      <c r="C97">
        <v>45691</v>
      </c>
      <c r="D97" t="s">
        <v>7263</v>
      </c>
      <c r="E97" t="s">
        <v>2921</v>
      </c>
      <c r="F97">
        <v>45688</v>
      </c>
      <c r="G97" t="s">
        <v>2208</v>
      </c>
      <c r="H97" t="s">
        <v>7834</v>
      </c>
      <c r="I97" t="s">
        <v>7930</v>
      </c>
      <c r="J97">
        <v>1</v>
      </c>
      <c r="K97">
        <v>104.61</v>
      </c>
      <c r="L97" t="s">
        <v>2917</v>
      </c>
      <c r="M97">
        <v>104.61</v>
      </c>
      <c r="N97" t="s">
        <v>2917</v>
      </c>
      <c r="O97" t="s">
        <v>2208</v>
      </c>
      <c r="P97" t="s">
        <v>2208</v>
      </c>
      <c r="Q97" t="s">
        <v>2208</v>
      </c>
      <c r="R97" t="s">
        <v>2208</v>
      </c>
    </row>
    <row r="98" spans="1:18">
      <c r="A98" t="s">
        <v>2237</v>
      </c>
      <c r="B98" t="s">
        <v>2920</v>
      </c>
      <c r="C98">
        <v>45691</v>
      </c>
      <c r="D98" t="s">
        <v>7263</v>
      </c>
      <c r="E98" t="s">
        <v>2921</v>
      </c>
      <c r="F98">
        <v>45688</v>
      </c>
      <c r="G98" t="s">
        <v>2208</v>
      </c>
      <c r="H98" t="s">
        <v>7834</v>
      </c>
      <c r="I98" t="s">
        <v>7931</v>
      </c>
      <c r="J98">
        <v>1</v>
      </c>
      <c r="K98">
        <v>104.61</v>
      </c>
      <c r="L98" t="s">
        <v>2917</v>
      </c>
      <c r="M98">
        <v>104.61</v>
      </c>
      <c r="N98" t="s">
        <v>2917</v>
      </c>
      <c r="O98" t="s">
        <v>2208</v>
      </c>
      <c r="P98" t="s">
        <v>2208</v>
      </c>
      <c r="Q98" t="s">
        <v>2208</v>
      </c>
      <c r="R98" t="s">
        <v>2208</v>
      </c>
    </row>
    <row r="99" spans="1:18">
      <c r="A99" t="s">
        <v>2237</v>
      </c>
      <c r="B99" t="s">
        <v>2920</v>
      </c>
      <c r="C99">
        <v>45691</v>
      </c>
      <c r="D99" t="s">
        <v>7263</v>
      </c>
      <c r="E99" t="s">
        <v>2921</v>
      </c>
      <c r="F99">
        <v>45688</v>
      </c>
      <c r="G99" t="s">
        <v>2208</v>
      </c>
      <c r="H99" t="s">
        <v>7834</v>
      </c>
      <c r="I99" t="s">
        <v>7932</v>
      </c>
      <c r="J99">
        <v>1</v>
      </c>
      <c r="K99">
        <v>104.61</v>
      </c>
      <c r="L99" t="s">
        <v>2917</v>
      </c>
      <c r="M99">
        <v>104.61</v>
      </c>
      <c r="N99" t="s">
        <v>2917</v>
      </c>
      <c r="O99" t="s">
        <v>2208</v>
      </c>
      <c r="P99" t="s">
        <v>2208</v>
      </c>
      <c r="Q99" t="s">
        <v>2208</v>
      </c>
      <c r="R99" t="s">
        <v>2208</v>
      </c>
    </row>
    <row r="100" spans="1:18">
      <c r="A100" t="s">
        <v>2237</v>
      </c>
      <c r="B100" t="s">
        <v>2920</v>
      </c>
      <c r="C100">
        <v>45691</v>
      </c>
      <c r="D100" t="s">
        <v>7263</v>
      </c>
      <c r="E100" t="s">
        <v>2921</v>
      </c>
      <c r="F100">
        <v>45688</v>
      </c>
      <c r="G100" t="s">
        <v>2208</v>
      </c>
      <c r="H100" t="s">
        <v>7834</v>
      </c>
      <c r="I100" t="s">
        <v>7933</v>
      </c>
      <c r="J100">
        <v>1</v>
      </c>
      <c r="K100">
        <v>104.61</v>
      </c>
      <c r="L100" t="s">
        <v>2917</v>
      </c>
      <c r="M100">
        <v>104.61</v>
      </c>
      <c r="N100" t="s">
        <v>2917</v>
      </c>
      <c r="O100" t="s">
        <v>2208</v>
      </c>
      <c r="P100" t="s">
        <v>2208</v>
      </c>
      <c r="Q100" t="s">
        <v>2208</v>
      </c>
      <c r="R100" t="s">
        <v>2208</v>
      </c>
    </row>
    <row r="101" spans="1:18">
      <c r="A101" t="s">
        <v>2237</v>
      </c>
      <c r="B101" t="s">
        <v>2920</v>
      </c>
      <c r="C101">
        <v>45691</v>
      </c>
      <c r="D101" t="s">
        <v>7263</v>
      </c>
      <c r="E101" t="s">
        <v>2921</v>
      </c>
      <c r="F101">
        <v>45688</v>
      </c>
      <c r="G101" t="s">
        <v>2208</v>
      </c>
      <c r="H101" t="s">
        <v>7834</v>
      </c>
      <c r="I101" t="s">
        <v>7934</v>
      </c>
      <c r="J101">
        <v>1</v>
      </c>
      <c r="K101">
        <v>104.61</v>
      </c>
      <c r="L101" t="s">
        <v>2917</v>
      </c>
      <c r="M101">
        <v>104.61</v>
      </c>
      <c r="N101" t="s">
        <v>2917</v>
      </c>
      <c r="O101" t="s">
        <v>2208</v>
      </c>
      <c r="P101" t="s">
        <v>2208</v>
      </c>
      <c r="Q101" t="s">
        <v>2208</v>
      </c>
      <c r="R101" t="s">
        <v>2208</v>
      </c>
    </row>
    <row r="102" spans="1:18">
      <c r="A102" t="s">
        <v>2237</v>
      </c>
      <c r="B102" t="s">
        <v>2920</v>
      </c>
      <c r="C102">
        <v>45691</v>
      </c>
      <c r="D102" t="s">
        <v>7263</v>
      </c>
      <c r="E102" t="s">
        <v>2921</v>
      </c>
      <c r="F102">
        <v>45688</v>
      </c>
      <c r="G102" t="s">
        <v>2208</v>
      </c>
      <c r="H102" t="s">
        <v>7834</v>
      </c>
      <c r="I102" t="s">
        <v>7935</v>
      </c>
      <c r="J102">
        <v>1</v>
      </c>
      <c r="K102">
        <v>104.61</v>
      </c>
      <c r="L102" t="s">
        <v>2917</v>
      </c>
      <c r="M102">
        <v>104.61</v>
      </c>
      <c r="N102" t="s">
        <v>2917</v>
      </c>
      <c r="O102" t="s">
        <v>2208</v>
      </c>
      <c r="P102" t="s">
        <v>2208</v>
      </c>
      <c r="Q102" t="s">
        <v>2208</v>
      </c>
      <c r="R102" t="s">
        <v>2208</v>
      </c>
    </row>
    <row r="103" spans="1:18">
      <c r="A103" t="s">
        <v>2237</v>
      </c>
      <c r="B103" t="s">
        <v>2920</v>
      </c>
      <c r="C103">
        <v>45691</v>
      </c>
      <c r="D103" t="s">
        <v>7263</v>
      </c>
      <c r="E103" t="s">
        <v>2921</v>
      </c>
      <c r="F103">
        <v>45688</v>
      </c>
      <c r="G103" t="s">
        <v>2208</v>
      </c>
      <c r="H103" t="s">
        <v>7834</v>
      </c>
      <c r="I103" t="s">
        <v>7936</v>
      </c>
      <c r="J103">
        <v>1</v>
      </c>
      <c r="K103">
        <v>104.61</v>
      </c>
      <c r="L103" t="s">
        <v>2917</v>
      </c>
      <c r="M103">
        <v>104.61</v>
      </c>
      <c r="N103" t="s">
        <v>2917</v>
      </c>
      <c r="O103" t="s">
        <v>2208</v>
      </c>
      <c r="P103" t="s">
        <v>2208</v>
      </c>
      <c r="Q103" t="s">
        <v>2208</v>
      </c>
      <c r="R103" t="s">
        <v>2208</v>
      </c>
    </row>
    <row r="104" spans="1:18">
      <c r="A104" t="s">
        <v>2237</v>
      </c>
      <c r="B104" t="s">
        <v>2920</v>
      </c>
      <c r="C104">
        <v>45691</v>
      </c>
      <c r="D104" t="s">
        <v>7263</v>
      </c>
      <c r="E104" t="s">
        <v>2921</v>
      </c>
      <c r="F104">
        <v>45688</v>
      </c>
      <c r="G104" t="s">
        <v>2208</v>
      </c>
      <c r="H104" t="s">
        <v>7834</v>
      </c>
      <c r="I104" t="s">
        <v>7937</v>
      </c>
      <c r="J104">
        <v>1</v>
      </c>
      <c r="K104">
        <v>104.61</v>
      </c>
      <c r="L104" t="s">
        <v>2917</v>
      </c>
      <c r="M104">
        <v>104.61</v>
      </c>
      <c r="N104" t="s">
        <v>2917</v>
      </c>
      <c r="O104" t="s">
        <v>2208</v>
      </c>
      <c r="P104" t="s">
        <v>2208</v>
      </c>
      <c r="Q104" t="s">
        <v>2208</v>
      </c>
      <c r="R104" t="s">
        <v>2208</v>
      </c>
    </row>
    <row r="105" spans="1:18">
      <c r="A105" t="s">
        <v>2237</v>
      </c>
      <c r="B105" t="s">
        <v>2920</v>
      </c>
      <c r="C105">
        <v>45691</v>
      </c>
      <c r="D105" t="s">
        <v>7263</v>
      </c>
      <c r="E105" t="s">
        <v>2921</v>
      </c>
      <c r="F105">
        <v>45688</v>
      </c>
      <c r="G105" t="s">
        <v>2208</v>
      </c>
      <c r="H105" t="s">
        <v>7834</v>
      </c>
      <c r="I105" t="s">
        <v>7938</v>
      </c>
      <c r="J105">
        <v>1</v>
      </c>
      <c r="K105">
        <v>104.61</v>
      </c>
      <c r="L105" t="s">
        <v>2917</v>
      </c>
      <c r="M105">
        <v>104.61</v>
      </c>
      <c r="N105" t="s">
        <v>2917</v>
      </c>
      <c r="O105" t="s">
        <v>2208</v>
      </c>
      <c r="P105" t="s">
        <v>2208</v>
      </c>
      <c r="Q105" t="s">
        <v>2208</v>
      </c>
      <c r="R105" t="s">
        <v>2208</v>
      </c>
    </row>
    <row r="106" spans="1:18">
      <c r="A106" t="s">
        <v>2237</v>
      </c>
      <c r="B106" t="s">
        <v>2920</v>
      </c>
      <c r="C106">
        <v>45691</v>
      </c>
      <c r="D106" t="s">
        <v>7263</v>
      </c>
      <c r="E106" t="s">
        <v>2921</v>
      </c>
      <c r="F106">
        <v>45688</v>
      </c>
      <c r="G106" t="s">
        <v>2208</v>
      </c>
      <c r="H106" t="s">
        <v>7834</v>
      </c>
      <c r="I106" t="s">
        <v>7939</v>
      </c>
      <c r="J106">
        <v>1</v>
      </c>
      <c r="K106">
        <v>104.61</v>
      </c>
      <c r="L106" t="s">
        <v>2917</v>
      </c>
      <c r="M106">
        <v>104.61</v>
      </c>
      <c r="N106" t="s">
        <v>2917</v>
      </c>
      <c r="O106" t="s">
        <v>2208</v>
      </c>
      <c r="P106" t="s">
        <v>2208</v>
      </c>
      <c r="Q106" t="s">
        <v>2208</v>
      </c>
      <c r="R106" t="s">
        <v>2208</v>
      </c>
    </row>
    <row r="107" spans="1:18">
      <c r="A107" t="s">
        <v>2237</v>
      </c>
      <c r="B107" t="s">
        <v>2920</v>
      </c>
      <c r="C107">
        <v>45691</v>
      </c>
      <c r="D107" t="s">
        <v>7263</v>
      </c>
      <c r="E107" t="s">
        <v>2921</v>
      </c>
      <c r="F107">
        <v>45688</v>
      </c>
      <c r="G107" t="s">
        <v>2208</v>
      </c>
      <c r="H107" t="s">
        <v>7834</v>
      </c>
      <c r="I107" t="s">
        <v>7940</v>
      </c>
      <c r="J107">
        <v>1</v>
      </c>
      <c r="K107">
        <v>104.61</v>
      </c>
      <c r="L107" t="s">
        <v>2917</v>
      </c>
      <c r="M107">
        <v>104.61</v>
      </c>
      <c r="N107" t="s">
        <v>2917</v>
      </c>
      <c r="O107" t="s">
        <v>2208</v>
      </c>
      <c r="P107" t="s">
        <v>2208</v>
      </c>
      <c r="Q107" t="s">
        <v>2208</v>
      </c>
      <c r="R107" t="s">
        <v>2208</v>
      </c>
    </row>
    <row r="108" spans="1:18">
      <c r="A108" t="s">
        <v>2237</v>
      </c>
      <c r="B108" t="s">
        <v>2920</v>
      </c>
      <c r="C108">
        <v>45691</v>
      </c>
      <c r="D108" t="s">
        <v>7263</v>
      </c>
      <c r="E108" t="s">
        <v>2921</v>
      </c>
      <c r="F108">
        <v>45688</v>
      </c>
      <c r="G108" t="s">
        <v>2208</v>
      </c>
      <c r="H108" t="s">
        <v>7834</v>
      </c>
      <c r="I108" t="s">
        <v>7941</v>
      </c>
      <c r="J108">
        <v>0.3</v>
      </c>
      <c r="K108">
        <v>31.38</v>
      </c>
      <c r="L108" t="s">
        <v>2917</v>
      </c>
      <c r="M108">
        <v>31.38</v>
      </c>
      <c r="N108" t="s">
        <v>2917</v>
      </c>
      <c r="O108" t="s">
        <v>2208</v>
      </c>
      <c r="P108" t="s">
        <v>2208</v>
      </c>
      <c r="Q108" t="s">
        <v>2208</v>
      </c>
      <c r="R108" t="s">
        <v>2208</v>
      </c>
    </row>
    <row r="109" spans="1:18">
      <c r="A109" t="s">
        <v>2237</v>
      </c>
      <c r="B109" t="s">
        <v>2920</v>
      </c>
      <c r="C109">
        <v>45691</v>
      </c>
      <c r="D109" t="s">
        <v>7263</v>
      </c>
      <c r="E109" t="s">
        <v>2921</v>
      </c>
      <c r="F109">
        <v>45688</v>
      </c>
      <c r="G109" t="s">
        <v>2208</v>
      </c>
      <c r="H109" t="s">
        <v>7834</v>
      </c>
      <c r="I109" t="s">
        <v>7942</v>
      </c>
      <c r="J109">
        <v>0.4</v>
      </c>
      <c r="K109">
        <v>41.84</v>
      </c>
      <c r="L109" t="s">
        <v>2917</v>
      </c>
      <c r="M109">
        <v>41.84</v>
      </c>
      <c r="N109" t="s">
        <v>2917</v>
      </c>
      <c r="O109" t="s">
        <v>2208</v>
      </c>
      <c r="P109" t="s">
        <v>2208</v>
      </c>
      <c r="Q109" t="s">
        <v>2208</v>
      </c>
      <c r="R109" t="s">
        <v>2208</v>
      </c>
    </row>
    <row r="110" spans="1:18">
      <c r="A110" t="s">
        <v>2237</v>
      </c>
      <c r="B110" t="s">
        <v>2920</v>
      </c>
      <c r="C110">
        <v>45691</v>
      </c>
      <c r="D110" t="s">
        <v>7263</v>
      </c>
      <c r="E110" t="s">
        <v>2921</v>
      </c>
      <c r="F110">
        <v>45688</v>
      </c>
      <c r="G110" t="s">
        <v>2208</v>
      </c>
      <c r="H110" t="s">
        <v>7834</v>
      </c>
      <c r="I110" t="s">
        <v>7943</v>
      </c>
      <c r="J110">
        <v>0.5</v>
      </c>
      <c r="K110">
        <v>52.31</v>
      </c>
      <c r="L110" t="s">
        <v>2917</v>
      </c>
      <c r="M110">
        <v>52.31</v>
      </c>
      <c r="N110" t="s">
        <v>2917</v>
      </c>
      <c r="O110" t="s">
        <v>2208</v>
      </c>
      <c r="P110" t="s">
        <v>2208</v>
      </c>
      <c r="Q110" t="s">
        <v>2208</v>
      </c>
      <c r="R110" t="s">
        <v>2208</v>
      </c>
    </row>
    <row r="111" spans="1:18">
      <c r="A111" t="s">
        <v>2237</v>
      </c>
      <c r="B111" t="s">
        <v>2920</v>
      </c>
      <c r="C111">
        <v>45691</v>
      </c>
      <c r="D111" t="s">
        <v>7263</v>
      </c>
      <c r="E111" t="s">
        <v>2921</v>
      </c>
      <c r="F111">
        <v>45688</v>
      </c>
      <c r="G111" t="s">
        <v>2208</v>
      </c>
      <c r="H111" t="s">
        <v>7834</v>
      </c>
      <c r="I111" t="s">
        <v>7944</v>
      </c>
      <c r="J111">
        <v>0.5</v>
      </c>
      <c r="K111">
        <v>52.31</v>
      </c>
      <c r="L111" t="s">
        <v>2917</v>
      </c>
      <c r="M111">
        <v>52.31</v>
      </c>
      <c r="N111" t="s">
        <v>2917</v>
      </c>
      <c r="O111" t="s">
        <v>2208</v>
      </c>
      <c r="P111" t="s">
        <v>2208</v>
      </c>
      <c r="Q111" t="s">
        <v>2208</v>
      </c>
      <c r="R111" t="s">
        <v>2208</v>
      </c>
    </row>
    <row r="112" spans="1:18">
      <c r="A112" t="s">
        <v>2418</v>
      </c>
      <c r="B112" t="s">
        <v>2920</v>
      </c>
      <c r="C112">
        <v>45691</v>
      </c>
      <c r="D112" t="s">
        <v>7263</v>
      </c>
      <c r="E112" t="s">
        <v>2921</v>
      </c>
      <c r="F112">
        <v>45688</v>
      </c>
      <c r="G112" t="s">
        <v>2208</v>
      </c>
      <c r="H112" t="s">
        <v>7834</v>
      </c>
      <c r="I112" t="s">
        <v>7945</v>
      </c>
      <c r="J112">
        <v>1</v>
      </c>
      <c r="K112">
        <v>104.61</v>
      </c>
      <c r="L112" t="s">
        <v>2917</v>
      </c>
      <c r="M112">
        <v>104.61</v>
      </c>
      <c r="N112" t="s">
        <v>2917</v>
      </c>
      <c r="O112" t="s">
        <v>2208</v>
      </c>
      <c r="P112" t="s">
        <v>2208</v>
      </c>
      <c r="Q112" t="s">
        <v>2208</v>
      </c>
      <c r="R112" t="s">
        <v>2208</v>
      </c>
    </row>
    <row r="113" spans="1:18">
      <c r="A113" t="s">
        <v>2418</v>
      </c>
      <c r="B113" t="s">
        <v>2920</v>
      </c>
      <c r="C113">
        <v>45691</v>
      </c>
      <c r="D113" t="s">
        <v>7263</v>
      </c>
      <c r="E113" t="s">
        <v>2921</v>
      </c>
      <c r="F113">
        <v>45688</v>
      </c>
      <c r="G113" t="s">
        <v>2208</v>
      </c>
      <c r="H113" t="s">
        <v>7834</v>
      </c>
      <c r="I113" t="s">
        <v>7946</v>
      </c>
      <c r="J113">
        <v>1</v>
      </c>
      <c r="K113">
        <v>104.61</v>
      </c>
      <c r="L113" t="s">
        <v>2917</v>
      </c>
      <c r="M113">
        <v>104.61</v>
      </c>
      <c r="N113" t="s">
        <v>2917</v>
      </c>
      <c r="O113" t="s">
        <v>2208</v>
      </c>
      <c r="P113" t="s">
        <v>2208</v>
      </c>
      <c r="Q113" t="s">
        <v>2208</v>
      </c>
      <c r="R113" t="s">
        <v>2208</v>
      </c>
    </row>
    <row r="114" spans="1:18">
      <c r="A114" t="s">
        <v>2418</v>
      </c>
      <c r="B114" t="s">
        <v>2920</v>
      </c>
      <c r="C114">
        <v>45691</v>
      </c>
      <c r="D114" t="s">
        <v>7263</v>
      </c>
      <c r="E114" t="s">
        <v>2921</v>
      </c>
      <c r="F114">
        <v>45688</v>
      </c>
      <c r="G114" t="s">
        <v>2208</v>
      </c>
      <c r="H114" t="s">
        <v>7834</v>
      </c>
      <c r="I114" t="s">
        <v>7947</v>
      </c>
      <c r="J114">
        <v>2</v>
      </c>
      <c r="K114">
        <v>209.22</v>
      </c>
      <c r="L114" t="s">
        <v>2917</v>
      </c>
      <c r="M114">
        <v>209.22</v>
      </c>
      <c r="N114" t="s">
        <v>2917</v>
      </c>
      <c r="O114" t="s">
        <v>2208</v>
      </c>
      <c r="P114" t="s">
        <v>2208</v>
      </c>
      <c r="Q114" t="s">
        <v>2208</v>
      </c>
      <c r="R114" t="s">
        <v>2208</v>
      </c>
    </row>
    <row r="115" spans="1:18">
      <c r="A115" t="s">
        <v>2418</v>
      </c>
      <c r="B115" t="s">
        <v>2920</v>
      </c>
      <c r="C115">
        <v>45691</v>
      </c>
      <c r="D115" t="s">
        <v>7263</v>
      </c>
      <c r="E115" t="s">
        <v>2921</v>
      </c>
      <c r="F115">
        <v>45688</v>
      </c>
      <c r="G115" t="s">
        <v>2208</v>
      </c>
      <c r="H115" t="s">
        <v>7834</v>
      </c>
      <c r="I115" t="s">
        <v>7948</v>
      </c>
      <c r="J115">
        <v>2</v>
      </c>
      <c r="K115">
        <v>209.22</v>
      </c>
      <c r="L115" t="s">
        <v>2917</v>
      </c>
      <c r="M115">
        <v>209.22</v>
      </c>
      <c r="N115" t="s">
        <v>2917</v>
      </c>
      <c r="O115" t="s">
        <v>2208</v>
      </c>
      <c r="P115" t="s">
        <v>2208</v>
      </c>
      <c r="Q115" t="s">
        <v>2208</v>
      </c>
      <c r="R115" t="s">
        <v>2208</v>
      </c>
    </row>
    <row r="116" spans="1:18">
      <c r="A116" t="s">
        <v>2418</v>
      </c>
      <c r="B116" t="s">
        <v>2920</v>
      </c>
      <c r="C116">
        <v>45691</v>
      </c>
      <c r="D116" t="s">
        <v>7263</v>
      </c>
      <c r="E116" t="s">
        <v>2921</v>
      </c>
      <c r="F116">
        <v>45688</v>
      </c>
      <c r="G116" t="s">
        <v>2208</v>
      </c>
      <c r="H116" t="s">
        <v>7834</v>
      </c>
      <c r="I116" t="s">
        <v>7949</v>
      </c>
      <c r="J116">
        <v>3</v>
      </c>
      <c r="K116">
        <v>313.83</v>
      </c>
      <c r="L116" t="s">
        <v>2917</v>
      </c>
      <c r="M116">
        <v>313.83</v>
      </c>
      <c r="N116" t="s">
        <v>2917</v>
      </c>
      <c r="O116" t="s">
        <v>2208</v>
      </c>
      <c r="P116" t="s">
        <v>2208</v>
      </c>
      <c r="Q116" t="s">
        <v>2208</v>
      </c>
      <c r="R116" t="s">
        <v>2208</v>
      </c>
    </row>
    <row r="117" spans="1:18">
      <c r="A117" t="s">
        <v>2418</v>
      </c>
      <c r="B117" t="s">
        <v>2920</v>
      </c>
      <c r="C117">
        <v>45691</v>
      </c>
      <c r="D117" t="s">
        <v>7263</v>
      </c>
      <c r="E117" t="s">
        <v>2921</v>
      </c>
      <c r="F117">
        <v>45688</v>
      </c>
      <c r="G117" t="s">
        <v>2208</v>
      </c>
      <c r="H117" t="s">
        <v>7834</v>
      </c>
      <c r="I117" t="s">
        <v>7950</v>
      </c>
      <c r="J117">
        <v>4</v>
      </c>
      <c r="K117">
        <v>418.44</v>
      </c>
      <c r="L117" t="s">
        <v>2917</v>
      </c>
      <c r="M117">
        <v>418.44</v>
      </c>
      <c r="N117" t="s">
        <v>2917</v>
      </c>
      <c r="O117" t="s">
        <v>2208</v>
      </c>
      <c r="P117" t="s">
        <v>2208</v>
      </c>
      <c r="Q117" t="s">
        <v>2208</v>
      </c>
      <c r="R117" t="s">
        <v>2208</v>
      </c>
    </row>
    <row r="118" spans="1:18">
      <c r="A118" t="s">
        <v>2418</v>
      </c>
      <c r="B118" t="s">
        <v>2920</v>
      </c>
      <c r="C118">
        <v>45691</v>
      </c>
      <c r="D118" t="s">
        <v>7263</v>
      </c>
      <c r="E118" t="s">
        <v>2921</v>
      </c>
      <c r="F118">
        <v>45688</v>
      </c>
      <c r="G118" t="s">
        <v>2208</v>
      </c>
      <c r="H118" t="s">
        <v>7834</v>
      </c>
      <c r="I118" t="s">
        <v>7951</v>
      </c>
      <c r="J118">
        <v>6</v>
      </c>
      <c r="K118">
        <v>627.66</v>
      </c>
      <c r="L118" t="s">
        <v>2917</v>
      </c>
      <c r="M118">
        <v>627.66</v>
      </c>
      <c r="N118" t="s">
        <v>2917</v>
      </c>
      <c r="O118" t="s">
        <v>2208</v>
      </c>
      <c r="P118" t="s">
        <v>2208</v>
      </c>
      <c r="Q118" t="s">
        <v>2208</v>
      </c>
      <c r="R118" t="s">
        <v>2208</v>
      </c>
    </row>
    <row r="119" spans="1:18">
      <c r="A119" t="s">
        <v>2418</v>
      </c>
      <c r="B119" t="s">
        <v>2920</v>
      </c>
      <c r="C119">
        <v>45691</v>
      </c>
      <c r="D119" t="s">
        <v>7263</v>
      </c>
      <c r="E119" t="s">
        <v>2921</v>
      </c>
      <c r="F119">
        <v>45688</v>
      </c>
      <c r="G119" t="s">
        <v>2208</v>
      </c>
      <c r="H119" t="s">
        <v>7834</v>
      </c>
      <c r="I119" t="s">
        <v>7952</v>
      </c>
      <c r="J119">
        <v>1</v>
      </c>
      <c r="K119">
        <v>104.61</v>
      </c>
      <c r="L119" t="s">
        <v>2917</v>
      </c>
      <c r="M119">
        <v>104.61</v>
      </c>
      <c r="N119" t="s">
        <v>2917</v>
      </c>
      <c r="O119" t="s">
        <v>2208</v>
      </c>
      <c r="P119" t="s">
        <v>2208</v>
      </c>
      <c r="Q119" t="s">
        <v>2208</v>
      </c>
      <c r="R119" t="s">
        <v>2208</v>
      </c>
    </row>
    <row r="120" spans="1:18">
      <c r="A120" t="s">
        <v>2418</v>
      </c>
      <c r="B120" t="s">
        <v>2920</v>
      </c>
      <c r="C120">
        <v>45691</v>
      </c>
      <c r="D120" t="s">
        <v>7263</v>
      </c>
      <c r="E120" t="s">
        <v>2921</v>
      </c>
      <c r="F120">
        <v>45688</v>
      </c>
      <c r="G120" t="s">
        <v>2208</v>
      </c>
      <c r="H120" t="s">
        <v>7834</v>
      </c>
      <c r="I120" t="s">
        <v>7953</v>
      </c>
      <c r="J120">
        <v>2</v>
      </c>
      <c r="K120">
        <v>209.22</v>
      </c>
      <c r="L120" t="s">
        <v>2917</v>
      </c>
      <c r="M120">
        <v>209.22</v>
      </c>
      <c r="N120" t="s">
        <v>2917</v>
      </c>
      <c r="O120" t="s">
        <v>2208</v>
      </c>
      <c r="P120" t="s">
        <v>2208</v>
      </c>
      <c r="Q120" t="s">
        <v>2208</v>
      </c>
      <c r="R120" t="s">
        <v>2208</v>
      </c>
    </row>
    <row r="121" spans="1:18">
      <c r="A121" t="s">
        <v>2418</v>
      </c>
      <c r="B121" t="s">
        <v>2920</v>
      </c>
      <c r="C121">
        <v>45691</v>
      </c>
      <c r="D121" t="s">
        <v>7263</v>
      </c>
      <c r="E121" t="s">
        <v>2921</v>
      </c>
      <c r="F121">
        <v>45688</v>
      </c>
      <c r="G121" t="s">
        <v>2208</v>
      </c>
      <c r="H121" t="s">
        <v>7834</v>
      </c>
      <c r="I121" t="s">
        <v>7954</v>
      </c>
      <c r="J121">
        <v>2.5</v>
      </c>
      <c r="K121">
        <v>261.52999999999997</v>
      </c>
      <c r="L121" t="s">
        <v>2917</v>
      </c>
      <c r="M121">
        <v>261.52999999999997</v>
      </c>
      <c r="N121" t="s">
        <v>2917</v>
      </c>
      <c r="O121" t="s">
        <v>2208</v>
      </c>
      <c r="P121" t="s">
        <v>2208</v>
      </c>
      <c r="Q121" t="s">
        <v>2208</v>
      </c>
      <c r="R121" t="s">
        <v>2208</v>
      </c>
    </row>
    <row r="122" spans="1:18">
      <c r="A122" t="s">
        <v>2418</v>
      </c>
      <c r="B122" t="s">
        <v>2920</v>
      </c>
      <c r="C122">
        <v>45691</v>
      </c>
      <c r="D122" t="s">
        <v>7263</v>
      </c>
      <c r="E122" t="s">
        <v>2921</v>
      </c>
      <c r="F122">
        <v>45688</v>
      </c>
      <c r="G122" t="s">
        <v>2208</v>
      </c>
      <c r="H122" t="s">
        <v>7834</v>
      </c>
      <c r="I122" t="s">
        <v>7955</v>
      </c>
      <c r="J122">
        <v>2.5</v>
      </c>
      <c r="K122">
        <v>261.52999999999997</v>
      </c>
      <c r="L122" t="s">
        <v>2917</v>
      </c>
      <c r="M122">
        <v>261.52999999999997</v>
      </c>
      <c r="N122" t="s">
        <v>2917</v>
      </c>
      <c r="O122" t="s">
        <v>2208</v>
      </c>
      <c r="P122" t="s">
        <v>2208</v>
      </c>
      <c r="Q122" t="s">
        <v>2208</v>
      </c>
      <c r="R122" t="s">
        <v>2208</v>
      </c>
    </row>
    <row r="123" spans="1:18">
      <c r="A123" t="s">
        <v>2418</v>
      </c>
      <c r="B123" t="s">
        <v>2920</v>
      </c>
      <c r="C123">
        <v>45691</v>
      </c>
      <c r="D123" t="s">
        <v>7263</v>
      </c>
      <c r="E123" t="s">
        <v>2921</v>
      </c>
      <c r="F123">
        <v>45688</v>
      </c>
      <c r="G123" t="s">
        <v>2208</v>
      </c>
      <c r="H123" t="s">
        <v>7834</v>
      </c>
      <c r="I123" t="s">
        <v>7956</v>
      </c>
      <c r="J123">
        <v>2.5</v>
      </c>
      <c r="K123">
        <v>261.52999999999997</v>
      </c>
      <c r="L123" t="s">
        <v>2917</v>
      </c>
      <c r="M123">
        <v>261.52999999999997</v>
      </c>
      <c r="N123" t="s">
        <v>2917</v>
      </c>
      <c r="O123" t="s">
        <v>2208</v>
      </c>
      <c r="P123" t="s">
        <v>2208</v>
      </c>
      <c r="Q123" t="s">
        <v>2208</v>
      </c>
      <c r="R123" t="s">
        <v>2208</v>
      </c>
    </row>
    <row r="124" spans="1:18">
      <c r="A124" t="s">
        <v>2418</v>
      </c>
      <c r="B124" t="s">
        <v>2920</v>
      </c>
      <c r="C124">
        <v>45691</v>
      </c>
      <c r="D124" t="s">
        <v>7263</v>
      </c>
      <c r="E124" t="s">
        <v>2921</v>
      </c>
      <c r="F124">
        <v>45688</v>
      </c>
      <c r="G124" t="s">
        <v>2208</v>
      </c>
      <c r="H124" t="s">
        <v>7834</v>
      </c>
      <c r="I124" t="s">
        <v>7957</v>
      </c>
      <c r="J124">
        <v>2.5</v>
      </c>
      <c r="K124">
        <v>261.52999999999997</v>
      </c>
      <c r="L124" t="s">
        <v>2917</v>
      </c>
      <c r="M124">
        <v>261.52999999999997</v>
      </c>
      <c r="N124" t="s">
        <v>2917</v>
      </c>
      <c r="O124" t="s">
        <v>2208</v>
      </c>
      <c r="P124" t="s">
        <v>2208</v>
      </c>
      <c r="Q124" t="s">
        <v>2208</v>
      </c>
      <c r="R124" t="s">
        <v>2208</v>
      </c>
    </row>
    <row r="125" spans="1:18">
      <c r="A125" t="s">
        <v>2418</v>
      </c>
      <c r="B125" t="s">
        <v>2920</v>
      </c>
      <c r="C125">
        <v>45691</v>
      </c>
      <c r="D125" t="s">
        <v>7263</v>
      </c>
      <c r="E125" t="s">
        <v>2921</v>
      </c>
      <c r="F125">
        <v>45688</v>
      </c>
      <c r="G125" t="s">
        <v>2208</v>
      </c>
      <c r="H125" t="s">
        <v>7834</v>
      </c>
      <c r="I125" t="s">
        <v>7958</v>
      </c>
      <c r="J125">
        <v>2.5</v>
      </c>
      <c r="K125">
        <v>261.52999999999997</v>
      </c>
      <c r="L125" t="s">
        <v>2917</v>
      </c>
      <c r="M125">
        <v>261.52999999999997</v>
      </c>
      <c r="N125" t="s">
        <v>2917</v>
      </c>
      <c r="O125" t="s">
        <v>2208</v>
      </c>
      <c r="P125" t="s">
        <v>2208</v>
      </c>
      <c r="Q125" t="s">
        <v>2208</v>
      </c>
      <c r="R125" t="s">
        <v>2208</v>
      </c>
    </row>
    <row r="126" spans="1:18">
      <c r="A126" t="s">
        <v>2418</v>
      </c>
      <c r="B126" t="s">
        <v>2920</v>
      </c>
      <c r="C126">
        <v>45691</v>
      </c>
      <c r="D126" t="s">
        <v>7263</v>
      </c>
      <c r="E126" t="s">
        <v>2921</v>
      </c>
      <c r="F126">
        <v>45688</v>
      </c>
      <c r="G126" t="s">
        <v>2208</v>
      </c>
      <c r="H126" t="s">
        <v>7834</v>
      </c>
      <c r="I126" t="s">
        <v>7959</v>
      </c>
      <c r="J126">
        <v>2.5</v>
      </c>
      <c r="K126">
        <v>261.52999999999997</v>
      </c>
      <c r="L126" t="s">
        <v>2917</v>
      </c>
      <c r="M126">
        <v>261.52999999999997</v>
      </c>
      <c r="N126" t="s">
        <v>2917</v>
      </c>
      <c r="O126" t="s">
        <v>2208</v>
      </c>
      <c r="P126" t="s">
        <v>2208</v>
      </c>
      <c r="Q126" t="s">
        <v>2208</v>
      </c>
      <c r="R126" t="s">
        <v>2208</v>
      </c>
    </row>
    <row r="127" spans="1:18">
      <c r="A127" t="s">
        <v>2418</v>
      </c>
      <c r="B127" t="s">
        <v>2920</v>
      </c>
      <c r="C127">
        <v>45691</v>
      </c>
      <c r="D127" t="s">
        <v>7263</v>
      </c>
      <c r="E127" t="s">
        <v>2921</v>
      </c>
      <c r="F127">
        <v>45688</v>
      </c>
      <c r="G127" t="s">
        <v>2208</v>
      </c>
      <c r="H127" t="s">
        <v>7834</v>
      </c>
      <c r="I127" t="s">
        <v>7960</v>
      </c>
      <c r="J127">
        <v>2.5</v>
      </c>
      <c r="K127">
        <v>261.52999999999997</v>
      </c>
      <c r="L127" t="s">
        <v>2917</v>
      </c>
      <c r="M127">
        <v>261.52999999999997</v>
      </c>
      <c r="N127" t="s">
        <v>2917</v>
      </c>
      <c r="O127" t="s">
        <v>2208</v>
      </c>
      <c r="P127" t="s">
        <v>2208</v>
      </c>
      <c r="Q127" t="s">
        <v>2208</v>
      </c>
      <c r="R127" t="s">
        <v>2208</v>
      </c>
    </row>
    <row r="128" spans="1:18">
      <c r="A128" t="s">
        <v>2418</v>
      </c>
      <c r="B128" t="s">
        <v>2920</v>
      </c>
      <c r="C128">
        <v>45691</v>
      </c>
      <c r="D128" t="s">
        <v>7263</v>
      </c>
      <c r="E128" t="s">
        <v>2921</v>
      </c>
      <c r="F128">
        <v>45688</v>
      </c>
      <c r="G128" t="s">
        <v>2208</v>
      </c>
      <c r="H128" t="s">
        <v>7834</v>
      </c>
      <c r="I128" t="s">
        <v>7961</v>
      </c>
      <c r="J128">
        <v>2.5</v>
      </c>
      <c r="K128">
        <v>261.52999999999997</v>
      </c>
      <c r="L128" t="s">
        <v>2917</v>
      </c>
      <c r="M128">
        <v>261.52999999999997</v>
      </c>
      <c r="N128" t="s">
        <v>2917</v>
      </c>
      <c r="O128" t="s">
        <v>2208</v>
      </c>
      <c r="P128" t="s">
        <v>2208</v>
      </c>
      <c r="Q128" t="s">
        <v>2208</v>
      </c>
      <c r="R128" t="s">
        <v>2208</v>
      </c>
    </row>
    <row r="129" spans="1:18">
      <c r="A129" t="s">
        <v>2418</v>
      </c>
      <c r="B129" t="s">
        <v>2920</v>
      </c>
      <c r="C129">
        <v>45691</v>
      </c>
      <c r="D129" t="s">
        <v>7263</v>
      </c>
      <c r="E129" t="s">
        <v>2921</v>
      </c>
      <c r="F129">
        <v>45688</v>
      </c>
      <c r="G129" t="s">
        <v>2208</v>
      </c>
      <c r="H129" t="s">
        <v>7834</v>
      </c>
      <c r="I129" t="s">
        <v>7962</v>
      </c>
      <c r="J129">
        <v>2.5</v>
      </c>
      <c r="K129">
        <v>261.52999999999997</v>
      </c>
      <c r="L129" t="s">
        <v>2917</v>
      </c>
      <c r="M129">
        <v>261.52999999999997</v>
      </c>
      <c r="N129" t="s">
        <v>2917</v>
      </c>
      <c r="O129" t="s">
        <v>2208</v>
      </c>
      <c r="P129" t="s">
        <v>2208</v>
      </c>
      <c r="Q129" t="s">
        <v>2208</v>
      </c>
      <c r="R129" t="s">
        <v>2208</v>
      </c>
    </row>
    <row r="130" spans="1:18">
      <c r="A130" t="s">
        <v>2418</v>
      </c>
      <c r="B130" t="s">
        <v>2920</v>
      </c>
      <c r="C130">
        <v>45691</v>
      </c>
      <c r="D130" t="s">
        <v>7263</v>
      </c>
      <c r="E130" t="s">
        <v>2921</v>
      </c>
      <c r="F130">
        <v>45688</v>
      </c>
      <c r="G130" t="s">
        <v>2208</v>
      </c>
      <c r="H130" t="s">
        <v>7834</v>
      </c>
      <c r="I130" t="s">
        <v>7963</v>
      </c>
      <c r="J130">
        <v>2.5</v>
      </c>
      <c r="K130">
        <v>261.52999999999997</v>
      </c>
      <c r="L130" t="s">
        <v>2917</v>
      </c>
      <c r="M130">
        <v>261.52999999999997</v>
      </c>
      <c r="N130" t="s">
        <v>2917</v>
      </c>
      <c r="O130" t="s">
        <v>2208</v>
      </c>
      <c r="P130" t="s">
        <v>2208</v>
      </c>
      <c r="Q130" t="s">
        <v>2208</v>
      </c>
      <c r="R130" t="s">
        <v>2208</v>
      </c>
    </row>
    <row r="131" spans="1:18">
      <c r="A131" t="s">
        <v>2418</v>
      </c>
      <c r="B131" t="s">
        <v>2920</v>
      </c>
      <c r="C131">
        <v>45691</v>
      </c>
      <c r="D131" t="s">
        <v>7263</v>
      </c>
      <c r="E131" t="s">
        <v>2921</v>
      </c>
      <c r="F131">
        <v>45688</v>
      </c>
      <c r="G131" t="s">
        <v>2208</v>
      </c>
      <c r="H131" t="s">
        <v>7834</v>
      </c>
      <c r="I131" t="s">
        <v>7964</v>
      </c>
      <c r="J131">
        <v>2.5</v>
      </c>
      <c r="K131">
        <v>261.52999999999997</v>
      </c>
      <c r="L131" t="s">
        <v>2917</v>
      </c>
      <c r="M131">
        <v>261.52999999999997</v>
      </c>
      <c r="N131" t="s">
        <v>2917</v>
      </c>
      <c r="O131" t="s">
        <v>2208</v>
      </c>
      <c r="P131" t="s">
        <v>2208</v>
      </c>
      <c r="Q131" t="s">
        <v>2208</v>
      </c>
      <c r="R131" t="s">
        <v>2208</v>
      </c>
    </row>
    <row r="132" spans="1:18">
      <c r="A132" t="s">
        <v>2418</v>
      </c>
      <c r="B132" t="s">
        <v>2920</v>
      </c>
      <c r="C132">
        <v>45691</v>
      </c>
      <c r="D132" t="s">
        <v>7263</v>
      </c>
      <c r="E132" t="s">
        <v>2921</v>
      </c>
      <c r="F132">
        <v>45688</v>
      </c>
      <c r="G132" t="s">
        <v>2208</v>
      </c>
      <c r="H132" t="s">
        <v>7834</v>
      </c>
      <c r="I132" t="s">
        <v>7965</v>
      </c>
      <c r="J132">
        <v>2.5</v>
      </c>
      <c r="K132">
        <v>261.52999999999997</v>
      </c>
      <c r="L132" t="s">
        <v>2917</v>
      </c>
      <c r="M132">
        <v>261.52999999999997</v>
      </c>
      <c r="N132" t="s">
        <v>2917</v>
      </c>
      <c r="O132" t="s">
        <v>2208</v>
      </c>
      <c r="P132" t="s">
        <v>2208</v>
      </c>
      <c r="Q132" t="s">
        <v>2208</v>
      </c>
      <c r="R132" t="s">
        <v>2208</v>
      </c>
    </row>
    <row r="133" spans="1:18">
      <c r="A133" t="s">
        <v>2418</v>
      </c>
      <c r="B133" t="s">
        <v>2920</v>
      </c>
      <c r="C133">
        <v>45691</v>
      </c>
      <c r="D133" t="s">
        <v>7263</v>
      </c>
      <c r="E133" t="s">
        <v>2921</v>
      </c>
      <c r="F133">
        <v>45688</v>
      </c>
      <c r="G133" t="s">
        <v>2208</v>
      </c>
      <c r="H133" t="s">
        <v>7834</v>
      </c>
      <c r="I133" t="s">
        <v>7966</v>
      </c>
      <c r="J133">
        <v>1</v>
      </c>
      <c r="K133">
        <v>104.61</v>
      </c>
      <c r="L133" t="s">
        <v>2917</v>
      </c>
      <c r="M133">
        <v>104.61</v>
      </c>
      <c r="N133" t="s">
        <v>2917</v>
      </c>
      <c r="O133" t="s">
        <v>2208</v>
      </c>
      <c r="P133" t="s">
        <v>2208</v>
      </c>
      <c r="Q133" t="s">
        <v>2208</v>
      </c>
      <c r="R133" t="s">
        <v>2208</v>
      </c>
    </row>
    <row r="134" spans="1:18">
      <c r="A134" t="s">
        <v>2418</v>
      </c>
      <c r="B134" t="s">
        <v>2920</v>
      </c>
      <c r="C134">
        <v>45691</v>
      </c>
      <c r="D134" t="s">
        <v>7263</v>
      </c>
      <c r="E134" t="s">
        <v>2921</v>
      </c>
      <c r="F134">
        <v>45688</v>
      </c>
      <c r="G134" t="s">
        <v>2208</v>
      </c>
      <c r="H134" t="s">
        <v>7834</v>
      </c>
      <c r="I134" t="s">
        <v>7967</v>
      </c>
      <c r="J134">
        <v>1</v>
      </c>
      <c r="K134">
        <v>104.61</v>
      </c>
      <c r="L134" t="s">
        <v>2917</v>
      </c>
      <c r="M134">
        <v>104.61</v>
      </c>
      <c r="N134" t="s">
        <v>2917</v>
      </c>
      <c r="O134" t="s">
        <v>2208</v>
      </c>
      <c r="P134" t="s">
        <v>2208</v>
      </c>
      <c r="Q134" t="s">
        <v>2208</v>
      </c>
      <c r="R134" t="s">
        <v>2208</v>
      </c>
    </row>
    <row r="135" spans="1:18">
      <c r="A135" t="s">
        <v>2418</v>
      </c>
      <c r="B135" t="s">
        <v>2920</v>
      </c>
      <c r="C135">
        <v>45691</v>
      </c>
      <c r="D135" t="s">
        <v>7263</v>
      </c>
      <c r="E135" t="s">
        <v>2921</v>
      </c>
      <c r="F135">
        <v>45688</v>
      </c>
      <c r="G135" t="s">
        <v>2208</v>
      </c>
      <c r="H135" t="s">
        <v>7834</v>
      </c>
      <c r="I135" t="s">
        <v>7968</v>
      </c>
      <c r="J135">
        <v>1</v>
      </c>
      <c r="K135">
        <v>104.61</v>
      </c>
      <c r="L135" t="s">
        <v>2917</v>
      </c>
      <c r="M135">
        <v>104.61</v>
      </c>
      <c r="N135" t="s">
        <v>2917</v>
      </c>
      <c r="O135" t="s">
        <v>2208</v>
      </c>
      <c r="P135" t="s">
        <v>2208</v>
      </c>
      <c r="Q135" t="s">
        <v>2208</v>
      </c>
      <c r="R135" t="s">
        <v>2208</v>
      </c>
    </row>
    <row r="136" spans="1:18">
      <c r="A136" t="s">
        <v>2418</v>
      </c>
      <c r="B136" t="s">
        <v>2920</v>
      </c>
      <c r="C136">
        <v>45691</v>
      </c>
      <c r="D136" t="s">
        <v>7263</v>
      </c>
      <c r="E136" t="s">
        <v>2921</v>
      </c>
      <c r="F136">
        <v>45688</v>
      </c>
      <c r="G136" t="s">
        <v>2208</v>
      </c>
      <c r="H136" t="s">
        <v>7834</v>
      </c>
      <c r="I136" t="s">
        <v>7969</v>
      </c>
      <c r="J136">
        <v>1</v>
      </c>
      <c r="K136">
        <v>104.61</v>
      </c>
      <c r="L136" t="s">
        <v>2917</v>
      </c>
      <c r="M136">
        <v>104.61</v>
      </c>
      <c r="N136" t="s">
        <v>2917</v>
      </c>
      <c r="O136" t="s">
        <v>2208</v>
      </c>
      <c r="P136" t="s">
        <v>2208</v>
      </c>
      <c r="Q136" t="s">
        <v>2208</v>
      </c>
      <c r="R136" t="s">
        <v>2208</v>
      </c>
    </row>
    <row r="137" spans="1:18">
      <c r="A137" t="s">
        <v>2418</v>
      </c>
      <c r="B137" t="s">
        <v>2920</v>
      </c>
      <c r="C137">
        <v>45691</v>
      </c>
      <c r="D137" t="s">
        <v>7263</v>
      </c>
      <c r="E137" t="s">
        <v>2921</v>
      </c>
      <c r="F137">
        <v>45688</v>
      </c>
      <c r="G137" t="s">
        <v>2208</v>
      </c>
      <c r="H137" t="s">
        <v>7834</v>
      </c>
      <c r="I137" t="s">
        <v>7970</v>
      </c>
      <c r="J137">
        <v>1</v>
      </c>
      <c r="K137">
        <v>104.61</v>
      </c>
      <c r="L137" t="s">
        <v>2917</v>
      </c>
      <c r="M137">
        <v>104.61</v>
      </c>
      <c r="N137" t="s">
        <v>2917</v>
      </c>
      <c r="O137" t="s">
        <v>2208</v>
      </c>
      <c r="P137" t="s">
        <v>2208</v>
      </c>
      <c r="Q137" t="s">
        <v>2208</v>
      </c>
      <c r="R137" t="s">
        <v>2208</v>
      </c>
    </row>
    <row r="138" spans="1:18">
      <c r="A138" t="s">
        <v>2418</v>
      </c>
      <c r="B138" t="s">
        <v>2920</v>
      </c>
      <c r="C138">
        <v>45691</v>
      </c>
      <c r="D138" t="s">
        <v>7263</v>
      </c>
      <c r="E138" t="s">
        <v>2921</v>
      </c>
      <c r="F138">
        <v>45688</v>
      </c>
      <c r="G138" t="s">
        <v>2208</v>
      </c>
      <c r="H138" t="s">
        <v>7834</v>
      </c>
      <c r="I138" t="s">
        <v>7971</v>
      </c>
      <c r="J138">
        <v>2</v>
      </c>
      <c r="K138">
        <v>209.22</v>
      </c>
      <c r="L138" t="s">
        <v>2917</v>
      </c>
      <c r="M138">
        <v>209.22</v>
      </c>
      <c r="N138" t="s">
        <v>2917</v>
      </c>
      <c r="O138" t="s">
        <v>2208</v>
      </c>
      <c r="P138" t="s">
        <v>2208</v>
      </c>
      <c r="Q138" t="s">
        <v>2208</v>
      </c>
      <c r="R138" t="s">
        <v>2208</v>
      </c>
    </row>
    <row r="139" spans="1:18">
      <c r="A139" t="s">
        <v>2418</v>
      </c>
      <c r="B139" t="s">
        <v>2920</v>
      </c>
      <c r="C139">
        <v>45691</v>
      </c>
      <c r="D139" t="s">
        <v>7263</v>
      </c>
      <c r="E139" t="s">
        <v>2921</v>
      </c>
      <c r="F139">
        <v>45688</v>
      </c>
      <c r="G139" t="s">
        <v>2208</v>
      </c>
      <c r="H139" t="s">
        <v>7834</v>
      </c>
      <c r="I139" t="s">
        <v>7972</v>
      </c>
      <c r="J139">
        <v>1</v>
      </c>
      <c r="K139">
        <v>104.61</v>
      </c>
      <c r="L139" t="s">
        <v>2917</v>
      </c>
      <c r="M139">
        <v>104.61</v>
      </c>
      <c r="N139" t="s">
        <v>2917</v>
      </c>
      <c r="O139" t="s">
        <v>2208</v>
      </c>
      <c r="P139" t="s">
        <v>2208</v>
      </c>
      <c r="Q139" t="s">
        <v>2208</v>
      </c>
      <c r="R139" t="s">
        <v>2208</v>
      </c>
    </row>
    <row r="140" spans="1:18">
      <c r="A140" t="s">
        <v>2418</v>
      </c>
      <c r="B140" t="s">
        <v>2920</v>
      </c>
      <c r="C140">
        <v>45691</v>
      </c>
      <c r="D140" t="s">
        <v>7263</v>
      </c>
      <c r="E140" t="s">
        <v>2921</v>
      </c>
      <c r="F140">
        <v>45688</v>
      </c>
      <c r="G140" t="s">
        <v>2208</v>
      </c>
      <c r="H140" t="s">
        <v>7834</v>
      </c>
      <c r="I140" t="s">
        <v>7973</v>
      </c>
      <c r="J140">
        <v>1</v>
      </c>
      <c r="K140">
        <v>104.61</v>
      </c>
      <c r="L140" t="s">
        <v>2917</v>
      </c>
      <c r="M140">
        <v>104.61</v>
      </c>
      <c r="N140" t="s">
        <v>2917</v>
      </c>
      <c r="O140" t="s">
        <v>2208</v>
      </c>
      <c r="P140" t="s">
        <v>2208</v>
      </c>
      <c r="Q140" t="s">
        <v>2208</v>
      </c>
      <c r="R140" t="s">
        <v>2208</v>
      </c>
    </row>
    <row r="141" spans="1:18">
      <c r="A141" t="s">
        <v>2418</v>
      </c>
      <c r="B141" t="s">
        <v>2920</v>
      </c>
      <c r="C141">
        <v>45691</v>
      </c>
      <c r="D141" t="s">
        <v>7263</v>
      </c>
      <c r="E141" t="s">
        <v>2921</v>
      </c>
      <c r="F141">
        <v>45688</v>
      </c>
      <c r="G141" t="s">
        <v>2208</v>
      </c>
      <c r="H141" t="s">
        <v>7834</v>
      </c>
      <c r="I141" t="s">
        <v>7974</v>
      </c>
      <c r="J141">
        <v>2</v>
      </c>
      <c r="K141">
        <v>209.22</v>
      </c>
      <c r="L141" t="s">
        <v>2917</v>
      </c>
      <c r="M141">
        <v>209.22</v>
      </c>
      <c r="N141" t="s">
        <v>2917</v>
      </c>
      <c r="O141" t="s">
        <v>2208</v>
      </c>
      <c r="P141" t="s">
        <v>2208</v>
      </c>
      <c r="Q141" t="s">
        <v>2208</v>
      </c>
      <c r="R141" t="s">
        <v>2208</v>
      </c>
    </row>
    <row r="142" spans="1:18">
      <c r="A142" t="s">
        <v>2418</v>
      </c>
      <c r="B142" t="s">
        <v>2920</v>
      </c>
      <c r="C142">
        <v>45691</v>
      </c>
      <c r="D142" t="s">
        <v>7263</v>
      </c>
      <c r="E142" t="s">
        <v>2921</v>
      </c>
      <c r="F142">
        <v>45688</v>
      </c>
      <c r="G142" t="s">
        <v>2208</v>
      </c>
      <c r="H142" t="s">
        <v>7834</v>
      </c>
      <c r="I142" t="s">
        <v>7975</v>
      </c>
      <c r="J142">
        <v>2</v>
      </c>
      <c r="K142">
        <v>209.22</v>
      </c>
      <c r="L142" t="s">
        <v>2917</v>
      </c>
      <c r="M142">
        <v>209.22</v>
      </c>
      <c r="N142" t="s">
        <v>2917</v>
      </c>
      <c r="O142" t="s">
        <v>2208</v>
      </c>
      <c r="P142" t="s">
        <v>2208</v>
      </c>
      <c r="Q142" t="s">
        <v>2208</v>
      </c>
      <c r="R142" t="s">
        <v>2208</v>
      </c>
    </row>
    <row r="143" spans="1:18">
      <c r="A143" t="s">
        <v>2418</v>
      </c>
      <c r="B143" t="s">
        <v>2920</v>
      </c>
      <c r="C143">
        <v>45691</v>
      </c>
      <c r="D143" t="s">
        <v>7263</v>
      </c>
      <c r="E143" t="s">
        <v>2921</v>
      </c>
      <c r="F143">
        <v>45688</v>
      </c>
      <c r="G143" t="s">
        <v>2208</v>
      </c>
      <c r="H143" t="s">
        <v>7834</v>
      </c>
      <c r="I143" t="s">
        <v>7976</v>
      </c>
      <c r="J143">
        <v>4</v>
      </c>
      <c r="K143">
        <v>418.44</v>
      </c>
      <c r="L143" t="s">
        <v>2917</v>
      </c>
      <c r="M143">
        <v>418.44</v>
      </c>
      <c r="N143" t="s">
        <v>2917</v>
      </c>
      <c r="O143" t="s">
        <v>2208</v>
      </c>
      <c r="P143" t="s">
        <v>2208</v>
      </c>
      <c r="Q143" t="s">
        <v>2208</v>
      </c>
      <c r="R143" t="s">
        <v>2208</v>
      </c>
    </row>
    <row r="144" spans="1:18">
      <c r="A144" t="s">
        <v>2418</v>
      </c>
      <c r="B144" t="s">
        <v>2920</v>
      </c>
      <c r="C144">
        <v>45691</v>
      </c>
      <c r="D144" t="s">
        <v>7263</v>
      </c>
      <c r="E144" t="s">
        <v>2921</v>
      </c>
      <c r="F144">
        <v>45688</v>
      </c>
      <c r="G144" t="s">
        <v>2208</v>
      </c>
      <c r="H144" t="s">
        <v>7834</v>
      </c>
      <c r="I144" t="s">
        <v>7977</v>
      </c>
      <c r="J144">
        <v>4</v>
      </c>
      <c r="K144">
        <v>418.44</v>
      </c>
      <c r="L144" t="s">
        <v>2917</v>
      </c>
      <c r="M144">
        <v>418.44</v>
      </c>
      <c r="N144" t="s">
        <v>2917</v>
      </c>
      <c r="O144" t="s">
        <v>2208</v>
      </c>
      <c r="P144" t="s">
        <v>2208</v>
      </c>
      <c r="Q144" t="s">
        <v>2208</v>
      </c>
      <c r="R144" t="s">
        <v>2208</v>
      </c>
    </row>
    <row r="145" spans="1:18">
      <c r="A145" t="s">
        <v>2418</v>
      </c>
      <c r="B145" t="s">
        <v>2920</v>
      </c>
      <c r="C145">
        <v>45691</v>
      </c>
      <c r="D145" t="s">
        <v>7263</v>
      </c>
      <c r="E145" t="s">
        <v>2921</v>
      </c>
      <c r="F145">
        <v>45688</v>
      </c>
      <c r="G145" t="s">
        <v>2208</v>
      </c>
      <c r="H145" t="s">
        <v>7834</v>
      </c>
      <c r="I145" t="s">
        <v>7978</v>
      </c>
      <c r="J145">
        <v>1</v>
      </c>
      <c r="K145">
        <v>104.61</v>
      </c>
      <c r="L145" t="s">
        <v>2917</v>
      </c>
      <c r="M145">
        <v>104.61</v>
      </c>
      <c r="N145" t="s">
        <v>2917</v>
      </c>
      <c r="O145" t="s">
        <v>2208</v>
      </c>
      <c r="P145" t="s">
        <v>2208</v>
      </c>
      <c r="Q145" t="s">
        <v>2208</v>
      </c>
      <c r="R145" t="s">
        <v>2208</v>
      </c>
    </row>
    <row r="146" spans="1:18">
      <c r="A146" t="s">
        <v>2418</v>
      </c>
      <c r="B146" t="s">
        <v>2920</v>
      </c>
      <c r="C146">
        <v>45691</v>
      </c>
      <c r="D146" t="s">
        <v>7263</v>
      </c>
      <c r="E146" t="s">
        <v>2921</v>
      </c>
      <c r="F146">
        <v>45688</v>
      </c>
      <c r="G146" t="s">
        <v>2208</v>
      </c>
      <c r="H146" t="s">
        <v>7834</v>
      </c>
      <c r="I146" t="s">
        <v>7979</v>
      </c>
      <c r="J146">
        <v>1</v>
      </c>
      <c r="K146">
        <v>104.61</v>
      </c>
      <c r="L146" t="s">
        <v>2917</v>
      </c>
      <c r="M146">
        <v>104.61</v>
      </c>
      <c r="N146" t="s">
        <v>2917</v>
      </c>
      <c r="O146" t="s">
        <v>2208</v>
      </c>
      <c r="P146" t="s">
        <v>2208</v>
      </c>
      <c r="Q146" t="s">
        <v>2208</v>
      </c>
      <c r="R146" t="s">
        <v>2208</v>
      </c>
    </row>
    <row r="147" spans="1:18">
      <c r="A147" t="s">
        <v>2418</v>
      </c>
      <c r="B147" t="s">
        <v>2920</v>
      </c>
      <c r="C147">
        <v>45691</v>
      </c>
      <c r="D147" t="s">
        <v>7263</v>
      </c>
      <c r="E147" t="s">
        <v>2921</v>
      </c>
      <c r="F147">
        <v>45688</v>
      </c>
      <c r="G147" t="s">
        <v>2208</v>
      </c>
      <c r="H147" t="s">
        <v>7834</v>
      </c>
      <c r="I147" t="s">
        <v>7980</v>
      </c>
      <c r="J147">
        <v>1</v>
      </c>
      <c r="K147">
        <v>104.61</v>
      </c>
      <c r="L147" t="s">
        <v>2917</v>
      </c>
      <c r="M147">
        <v>104.61</v>
      </c>
      <c r="N147" t="s">
        <v>2917</v>
      </c>
      <c r="O147" t="s">
        <v>2208</v>
      </c>
      <c r="P147" t="s">
        <v>2208</v>
      </c>
      <c r="Q147" t="s">
        <v>2208</v>
      </c>
      <c r="R147" t="s">
        <v>2208</v>
      </c>
    </row>
    <row r="148" spans="1:18">
      <c r="A148" t="s">
        <v>2418</v>
      </c>
      <c r="B148" t="s">
        <v>2920</v>
      </c>
      <c r="C148">
        <v>45691</v>
      </c>
      <c r="D148" t="s">
        <v>7263</v>
      </c>
      <c r="E148" t="s">
        <v>2921</v>
      </c>
      <c r="F148">
        <v>45688</v>
      </c>
      <c r="G148" t="s">
        <v>2208</v>
      </c>
      <c r="H148" t="s">
        <v>7834</v>
      </c>
      <c r="I148" t="s">
        <v>7981</v>
      </c>
      <c r="J148">
        <v>2</v>
      </c>
      <c r="K148">
        <v>209.22</v>
      </c>
      <c r="L148" t="s">
        <v>2917</v>
      </c>
      <c r="M148">
        <v>209.22</v>
      </c>
      <c r="N148" t="s">
        <v>2917</v>
      </c>
      <c r="O148" t="s">
        <v>2208</v>
      </c>
      <c r="P148" t="s">
        <v>2208</v>
      </c>
      <c r="Q148" t="s">
        <v>2208</v>
      </c>
      <c r="R148" t="s">
        <v>2208</v>
      </c>
    </row>
    <row r="149" spans="1:18">
      <c r="A149" t="s">
        <v>2418</v>
      </c>
      <c r="B149" t="s">
        <v>2920</v>
      </c>
      <c r="C149">
        <v>45691</v>
      </c>
      <c r="D149" t="s">
        <v>7263</v>
      </c>
      <c r="E149" t="s">
        <v>2921</v>
      </c>
      <c r="F149">
        <v>45688</v>
      </c>
      <c r="G149" t="s">
        <v>2208</v>
      </c>
      <c r="H149" t="s">
        <v>7834</v>
      </c>
      <c r="I149" t="s">
        <v>7982</v>
      </c>
      <c r="J149">
        <v>0.5</v>
      </c>
      <c r="K149">
        <v>52.31</v>
      </c>
      <c r="L149" t="s">
        <v>2917</v>
      </c>
      <c r="M149">
        <v>52.31</v>
      </c>
      <c r="N149" t="s">
        <v>2917</v>
      </c>
      <c r="O149" t="s">
        <v>2208</v>
      </c>
      <c r="P149" t="s">
        <v>2208</v>
      </c>
      <c r="Q149" t="s">
        <v>2208</v>
      </c>
      <c r="R149" t="s">
        <v>2208</v>
      </c>
    </row>
    <row r="150" spans="1:18">
      <c r="A150" t="s">
        <v>2418</v>
      </c>
      <c r="B150" t="s">
        <v>2920</v>
      </c>
      <c r="C150">
        <v>45691</v>
      </c>
      <c r="D150" t="s">
        <v>7263</v>
      </c>
      <c r="E150" t="s">
        <v>2921</v>
      </c>
      <c r="F150">
        <v>45688</v>
      </c>
      <c r="G150" t="s">
        <v>2208</v>
      </c>
      <c r="H150" t="s">
        <v>7834</v>
      </c>
      <c r="I150" t="s">
        <v>7983</v>
      </c>
      <c r="J150">
        <v>1</v>
      </c>
      <c r="K150">
        <v>104.61</v>
      </c>
      <c r="L150" t="s">
        <v>2917</v>
      </c>
      <c r="M150">
        <v>104.61</v>
      </c>
      <c r="N150" t="s">
        <v>2917</v>
      </c>
      <c r="O150" t="s">
        <v>2208</v>
      </c>
      <c r="P150" t="s">
        <v>2208</v>
      </c>
      <c r="Q150" t="s">
        <v>2208</v>
      </c>
      <c r="R150" t="s">
        <v>2208</v>
      </c>
    </row>
    <row r="151" spans="1:18">
      <c r="A151" t="s">
        <v>2418</v>
      </c>
      <c r="B151" t="s">
        <v>2920</v>
      </c>
      <c r="C151">
        <v>45691</v>
      </c>
      <c r="D151" t="s">
        <v>7263</v>
      </c>
      <c r="E151" t="s">
        <v>2921</v>
      </c>
      <c r="F151">
        <v>45688</v>
      </c>
      <c r="G151" t="s">
        <v>2208</v>
      </c>
      <c r="H151" t="s">
        <v>7834</v>
      </c>
      <c r="I151" t="s">
        <v>7984</v>
      </c>
      <c r="J151">
        <v>1</v>
      </c>
      <c r="K151">
        <v>104.61</v>
      </c>
      <c r="L151" t="s">
        <v>2917</v>
      </c>
      <c r="M151">
        <v>104.61</v>
      </c>
      <c r="N151" t="s">
        <v>2917</v>
      </c>
      <c r="O151" t="s">
        <v>2208</v>
      </c>
      <c r="P151" t="s">
        <v>2208</v>
      </c>
      <c r="Q151" t="s">
        <v>2208</v>
      </c>
      <c r="R151" t="s">
        <v>2208</v>
      </c>
    </row>
    <row r="152" spans="1:18">
      <c r="A152" t="s">
        <v>2418</v>
      </c>
      <c r="B152" t="s">
        <v>2920</v>
      </c>
      <c r="C152">
        <v>45691</v>
      </c>
      <c r="D152" t="s">
        <v>7263</v>
      </c>
      <c r="E152" t="s">
        <v>2921</v>
      </c>
      <c r="F152">
        <v>45688</v>
      </c>
      <c r="G152" t="s">
        <v>2208</v>
      </c>
      <c r="H152" t="s">
        <v>7834</v>
      </c>
      <c r="I152" t="s">
        <v>7985</v>
      </c>
      <c r="J152">
        <v>1</v>
      </c>
      <c r="K152">
        <v>104.61</v>
      </c>
      <c r="L152" t="s">
        <v>2917</v>
      </c>
      <c r="M152">
        <v>104.61</v>
      </c>
      <c r="N152" t="s">
        <v>2917</v>
      </c>
      <c r="O152" t="s">
        <v>2208</v>
      </c>
      <c r="P152" t="s">
        <v>2208</v>
      </c>
      <c r="Q152" t="s">
        <v>2208</v>
      </c>
      <c r="R152" t="s">
        <v>2208</v>
      </c>
    </row>
    <row r="153" spans="1:18">
      <c r="A153" t="s">
        <v>2418</v>
      </c>
      <c r="B153" t="s">
        <v>2920</v>
      </c>
      <c r="C153">
        <v>45691</v>
      </c>
      <c r="D153" t="s">
        <v>7263</v>
      </c>
      <c r="E153" t="s">
        <v>2921</v>
      </c>
      <c r="F153">
        <v>45688</v>
      </c>
      <c r="G153" t="s">
        <v>2208</v>
      </c>
      <c r="H153" t="s">
        <v>7834</v>
      </c>
      <c r="I153" t="s">
        <v>7986</v>
      </c>
      <c r="J153">
        <v>1</v>
      </c>
      <c r="K153">
        <v>104.61</v>
      </c>
      <c r="L153" t="s">
        <v>2917</v>
      </c>
      <c r="M153">
        <v>104.61</v>
      </c>
      <c r="N153" t="s">
        <v>2917</v>
      </c>
      <c r="O153" t="s">
        <v>2208</v>
      </c>
      <c r="P153" t="s">
        <v>2208</v>
      </c>
      <c r="Q153" t="s">
        <v>2208</v>
      </c>
      <c r="R153" t="s">
        <v>2208</v>
      </c>
    </row>
    <row r="154" spans="1:18">
      <c r="A154" t="s">
        <v>2418</v>
      </c>
      <c r="B154" t="s">
        <v>2920</v>
      </c>
      <c r="C154">
        <v>45691</v>
      </c>
      <c r="D154" t="s">
        <v>7263</v>
      </c>
      <c r="E154" t="s">
        <v>2921</v>
      </c>
      <c r="F154">
        <v>45688</v>
      </c>
      <c r="G154" t="s">
        <v>2208</v>
      </c>
      <c r="H154" t="s">
        <v>7834</v>
      </c>
      <c r="I154" t="s">
        <v>7987</v>
      </c>
      <c r="J154">
        <v>3</v>
      </c>
      <c r="K154">
        <v>313.83</v>
      </c>
      <c r="L154" t="s">
        <v>2917</v>
      </c>
      <c r="M154">
        <v>313.83</v>
      </c>
      <c r="N154" t="s">
        <v>2917</v>
      </c>
      <c r="O154" t="s">
        <v>2208</v>
      </c>
      <c r="P154" t="s">
        <v>2208</v>
      </c>
      <c r="Q154" t="s">
        <v>2208</v>
      </c>
      <c r="R154" t="s">
        <v>2208</v>
      </c>
    </row>
    <row r="155" spans="1:18">
      <c r="A155" t="s">
        <v>2418</v>
      </c>
      <c r="B155" t="s">
        <v>2920</v>
      </c>
      <c r="C155">
        <v>45691</v>
      </c>
      <c r="D155" t="s">
        <v>7263</v>
      </c>
      <c r="E155" t="s">
        <v>2921</v>
      </c>
      <c r="F155">
        <v>45688</v>
      </c>
      <c r="G155" t="s">
        <v>2208</v>
      </c>
      <c r="H155" t="s">
        <v>7834</v>
      </c>
      <c r="I155" t="s">
        <v>7988</v>
      </c>
      <c r="J155">
        <v>2</v>
      </c>
      <c r="K155">
        <v>209.22</v>
      </c>
      <c r="L155" t="s">
        <v>2917</v>
      </c>
      <c r="M155">
        <v>209.22</v>
      </c>
      <c r="N155" t="s">
        <v>2917</v>
      </c>
      <c r="O155" t="s">
        <v>2208</v>
      </c>
      <c r="P155" t="s">
        <v>2208</v>
      </c>
      <c r="Q155" t="s">
        <v>2208</v>
      </c>
      <c r="R155" t="s">
        <v>2208</v>
      </c>
    </row>
    <row r="156" spans="1:18">
      <c r="A156" t="s">
        <v>2418</v>
      </c>
      <c r="B156" t="s">
        <v>2920</v>
      </c>
      <c r="C156">
        <v>45691</v>
      </c>
      <c r="D156" t="s">
        <v>7263</v>
      </c>
      <c r="E156" t="s">
        <v>2921</v>
      </c>
      <c r="F156">
        <v>45688</v>
      </c>
      <c r="G156" t="s">
        <v>2208</v>
      </c>
      <c r="H156" t="s">
        <v>7834</v>
      </c>
      <c r="I156" t="s">
        <v>7989</v>
      </c>
      <c r="J156">
        <v>1</v>
      </c>
      <c r="K156">
        <v>104.61</v>
      </c>
      <c r="L156" t="s">
        <v>2917</v>
      </c>
      <c r="M156">
        <v>104.61</v>
      </c>
      <c r="N156" t="s">
        <v>2917</v>
      </c>
      <c r="O156" t="s">
        <v>2208</v>
      </c>
      <c r="P156" t="s">
        <v>2208</v>
      </c>
      <c r="Q156" t="s">
        <v>2208</v>
      </c>
      <c r="R156" t="s">
        <v>2208</v>
      </c>
    </row>
    <row r="157" spans="1:18">
      <c r="A157" t="s">
        <v>2418</v>
      </c>
      <c r="B157" t="s">
        <v>2920</v>
      </c>
      <c r="C157">
        <v>45691</v>
      </c>
      <c r="D157" t="s">
        <v>7263</v>
      </c>
      <c r="E157" t="s">
        <v>2921</v>
      </c>
      <c r="F157">
        <v>45688</v>
      </c>
      <c r="G157" t="s">
        <v>2208</v>
      </c>
      <c r="H157" t="s">
        <v>7834</v>
      </c>
      <c r="I157" t="s">
        <v>7990</v>
      </c>
      <c r="J157">
        <v>2</v>
      </c>
      <c r="K157">
        <v>209.22</v>
      </c>
      <c r="L157" t="s">
        <v>2917</v>
      </c>
      <c r="M157">
        <v>209.22</v>
      </c>
      <c r="N157" t="s">
        <v>2917</v>
      </c>
      <c r="O157" t="s">
        <v>2208</v>
      </c>
      <c r="P157" t="s">
        <v>2208</v>
      </c>
      <c r="Q157" t="s">
        <v>2208</v>
      </c>
      <c r="R157" t="s">
        <v>2208</v>
      </c>
    </row>
    <row r="158" spans="1:18">
      <c r="A158" t="s">
        <v>2418</v>
      </c>
      <c r="B158" t="s">
        <v>2920</v>
      </c>
      <c r="C158">
        <v>45691</v>
      </c>
      <c r="D158" t="s">
        <v>7263</v>
      </c>
      <c r="E158" t="s">
        <v>2921</v>
      </c>
      <c r="F158">
        <v>45688</v>
      </c>
      <c r="G158" t="s">
        <v>2208</v>
      </c>
      <c r="H158" t="s">
        <v>7834</v>
      </c>
      <c r="I158" t="s">
        <v>7991</v>
      </c>
      <c r="J158">
        <v>3</v>
      </c>
      <c r="K158">
        <v>313.83</v>
      </c>
      <c r="L158" t="s">
        <v>2917</v>
      </c>
      <c r="M158">
        <v>313.83</v>
      </c>
      <c r="N158" t="s">
        <v>2917</v>
      </c>
      <c r="O158" t="s">
        <v>2208</v>
      </c>
      <c r="P158" t="s">
        <v>2208</v>
      </c>
      <c r="Q158" t="s">
        <v>2208</v>
      </c>
      <c r="R158" t="s">
        <v>2208</v>
      </c>
    </row>
    <row r="159" spans="1:18">
      <c r="A159" t="s">
        <v>2418</v>
      </c>
      <c r="B159" t="s">
        <v>2920</v>
      </c>
      <c r="C159">
        <v>45691</v>
      </c>
      <c r="D159" t="s">
        <v>7263</v>
      </c>
      <c r="E159" t="s">
        <v>2921</v>
      </c>
      <c r="F159">
        <v>45688</v>
      </c>
      <c r="G159" t="s">
        <v>2208</v>
      </c>
      <c r="H159" t="s">
        <v>7834</v>
      </c>
      <c r="I159" t="s">
        <v>7992</v>
      </c>
      <c r="J159">
        <v>3</v>
      </c>
      <c r="K159">
        <v>313.83</v>
      </c>
      <c r="L159" t="s">
        <v>2917</v>
      </c>
      <c r="M159">
        <v>313.83</v>
      </c>
      <c r="N159" t="s">
        <v>2917</v>
      </c>
      <c r="O159" t="s">
        <v>2208</v>
      </c>
      <c r="P159" t="s">
        <v>2208</v>
      </c>
      <c r="Q159" t="s">
        <v>2208</v>
      </c>
      <c r="R159" t="s">
        <v>2208</v>
      </c>
    </row>
    <row r="160" spans="1:18">
      <c r="A160" t="s">
        <v>2418</v>
      </c>
      <c r="B160" t="s">
        <v>2920</v>
      </c>
      <c r="C160">
        <v>45691</v>
      </c>
      <c r="D160" t="s">
        <v>7263</v>
      </c>
      <c r="E160" t="s">
        <v>2921</v>
      </c>
      <c r="F160">
        <v>45688</v>
      </c>
      <c r="G160" t="s">
        <v>2208</v>
      </c>
      <c r="H160" t="s">
        <v>7834</v>
      </c>
      <c r="I160" t="s">
        <v>7993</v>
      </c>
      <c r="J160">
        <v>6</v>
      </c>
      <c r="K160">
        <v>627.66</v>
      </c>
      <c r="L160" t="s">
        <v>2917</v>
      </c>
      <c r="M160">
        <v>627.66</v>
      </c>
      <c r="N160" t="s">
        <v>2917</v>
      </c>
      <c r="O160" t="s">
        <v>2208</v>
      </c>
      <c r="P160" t="s">
        <v>2208</v>
      </c>
      <c r="Q160" t="s">
        <v>2208</v>
      </c>
      <c r="R160" t="s">
        <v>2208</v>
      </c>
    </row>
    <row r="161" spans="1:18">
      <c r="A161" t="s">
        <v>2418</v>
      </c>
      <c r="B161" t="s">
        <v>2920</v>
      </c>
      <c r="C161">
        <v>45691</v>
      </c>
      <c r="D161" t="s">
        <v>7263</v>
      </c>
      <c r="E161" t="s">
        <v>2921</v>
      </c>
      <c r="F161">
        <v>45688</v>
      </c>
      <c r="G161" t="s">
        <v>2208</v>
      </c>
      <c r="H161" t="s">
        <v>7834</v>
      </c>
      <c r="I161" t="s">
        <v>7994</v>
      </c>
      <c r="J161">
        <v>1</v>
      </c>
      <c r="K161">
        <v>104.61</v>
      </c>
      <c r="L161" t="s">
        <v>2917</v>
      </c>
      <c r="M161">
        <v>104.61</v>
      </c>
      <c r="N161" t="s">
        <v>2917</v>
      </c>
      <c r="O161" t="s">
        <v>2208</v>
      </c>
      <c r="P161" t="s">
        <v>2208</v>
      </c>
      <c r="Q161" t="s">
        <v>2208</v>
      </c>
      <c r="R161" t="s">
        <v>2208</v>
      </c>
    </row>
    <row r="162" spans="1:18">
      <c r="A162" t="s">
        <v>2418</v>
      </c>
      <c r="B162" t="s">
        <v>2920</v>
      </c>
      <c r="C162">
        <v>45691</v>
      </c>
      <c r="D162" t="s">
        <v>7263</v>
      </c>
      <c r="E162" t="s">
        <v>2921</v>
      </c>
      <c r="F162">
        <v>45688</v>
      </c>
      <c r="G162" t="s">
        <v>2208</v>
      </c>
      <c r="H162" t="s">
        <v>7834</v>
      </c>
      <c r="I162" t="s">
        <v>7995</v>
      </c>
      <c r="J162">
        <v>3</v>
      </c>
      <c r="K162">
        <v>313.83</v>
      </c>
      <c r="L162" t="s">
        <v>2917</v>
      </c>
      <c r="M162">
        <v>313.83</v>
      </c>
      <c r="N162" t="s">
        <v>2917</v>
      </c>
      <c r="O162" t="s">
        <v>2208</v>
      </c>
      <c r="P162" t="s">
        <v>2208</v>
      </c>
      <c r="Q162" t="s">
        <v>2208</v>
      </c>
      <c r="R162" t="s">
        <v>2208</v>
      </c>
    </row>
    <row r="163" spans="1:18">
      <c r="A163" t="s">
        <v>2418</v>
      </c>
      <c r="B163" t="s">
        <v>2920</v>
      </c>
      <c r="C163">
        <v>45691</v>
      </c>
      <c r="D163" t="s">
        <v>7263</v>
      </c>
      <c r="E163" t="s">
        <v>2921</v>
      </c>
      <c r="F163">
        <v>45688</v>
      </c>
      <c r="G163" t="s">
        <v>2208</v>
      </c>
      <c r="H163" t="s">
        <v>7834</v>
      </c>
      <c r="I163" t="s">
        <v>7996</v>
      </c>
      <c r="J163">
        <v>1</v>
      </c>
      <c r="K163">
        <v>104.61</v>
      </c>
      <c r="L163" t="s">
        <v>2917</v>
      </c>
      <c r="M163">
        <v>104.61</v>
      </c>
      <c r="N163" t="s">
        <v>2917</v>
      </c>
      <c r="O163" t="s">
        <v>2208</v>
      </c>
      <c r="P163" t="s">
        <v>2208</v>
      </c>
      <c r="Q163" t="s">
        <v>2208</v>
      </c>
      <c r="R163" t="s">
        <v>2208</v>
      </c>
    </row>
    <row r="164" spans="1:18">
      <c r="A164" t="s">
        <v>2418</v>
      </c>
      <c r="B164" t="s">
        <v>2920</v>
      </c>
      <c r="C164">
        <v>45691</v>
      </c>
      <c r="D164" t="s">
        <v>7263</v>
      </c>
      <c r="E164" t="s">
        <v>2921</v>
      </c>
      <c r="F164">
        <v>45688</v>
      </c>
      <c r="G164" t="s">
        <v>2208</v>
      </c>
      <c r="H164" t="s">
        <v>7834</v>
      </c>
      <c r="I164" t="s">
        <v>7997</v>
      </c>
      <c r="J164">
        <v>1</v>
      </c>
      <c r="K164">
        <v>104.61</v>
      </c>
      <c r="L164" t="s">
        <v>2917</v>
      </c>
      <c r="M164">
        <v>104.61</v>
      </c>
      <c r="N164" t="s">
        <v>2917</v>
      </c>
      <c r="O164" t="s">
        <v>2208</v>
      </c>
      <c r="P164" t="s">
        <v>2208</v>
      </c>
      <c r="Q164" t="s">
        <v>2208</v>
      </c>
      <c r="R164" t="s">
        <v>2208</v>
      </c>
    </row>
    <row r="165" spans="1:18">
      <c r="A165" t="s">
        <v>2418</v>
      </c>
      <c r="B165" t="s">
        <v>2920</v>
      </c>
      <c r="C165">
        <v>45691</v>
      </c>
      <c r="D165" t="s">
        <v>7263</v>
      </c>
      <c r="E165" t="s">
        <v>2921</v>
      </c>
      <c r="F165">
        <v>45688</v>
      </c>
      <c r="G165" t="s">
        <v>2208</v>
      </c>
      <c r="H165" t="s">
        <v>7834</v>
      </c>
      <c r="I165" t="s">
        <v>7998</v>
      </c>
      <c r="J165">
        <v>1.1000000000000001</v>
      </c>
      <c r="K165">
        <v>115.07</v>
      </c>
      <c r="L165" t="s">
        <v>2917</v>
      </c>
      <c r="M165">
        <v>115.07</v>
      </c>
      <c r="N165" t="s">
        <v>2917</v>
      </c>
      <c r="O165" t="s">
        <v>2208</v>
      </c>
      <c r="P165" t="s">
        <v>2208</v>
      </c>
      <c r="Q165" t="s">
        <v>2208</v>
      </c>
      <c r="R165" t="s">
        <v>2208</v>
      </c>
    </row>
    <row r="166" spans="1:18">
      <c r="A166" t="s">
        <v>2418</v>
      </c>
      <c r="B166" t="s">
        <v>2920</v>
      </c>
      <c r="C166">
        <v>45691</v>
      </c>
      <c r="D166" t="s">
        <v>7263</v>
      </c>
      <c r="E166" t="s">
        <v>2921</v>
      </c>
      <c r="F166">
        <v>45688</v>
      </c>
      <c r="G166" t="s">
        <v>2208</v>
      </c>
      <c r="H166" t="s">
        <v>7834</v>
      </c>
      <c r="I166" t="s">
        <v>7999</v>
      </c>
      <c r="J166">
        <v>2</v>
      </c>
      <c r="K166">
        <v>209.22</v>
      </c>
      <c r="L166" t="s">
        <v>2917</v>
      </c>
      <c r="M166">
        <v>209.22</v>
      </c>
      <c r="N166" t="s">
        <v>2917</v>
      </c>
      <c r="O166" t="s">
        <v>2208</v>
      </c>
      <c r="P166" t="s">
        <v>2208</v>
      </c>
      <c r="Q166" t="s">
        <v>2208</v>
      </c>
      <c r="R166" t="s">
        <v>2208</v>
      </c>
    </row>
    <row r="167" spans="1:18">
      <c r="A167" t="s">
        <v>2418</v>
      </c>
      <c r="B167" t="s">
        <v>2920</v>
      </c>
      <c r="C167">
        <v>45691</v>
      </c>
      <c r="D167" t="s">
        <v>7263</v>
      </c>
      <c r="E167" t="s">
        <v>2921</v>
      </c>
      <c r="F167">
        <v>45688</v>
      </c>
      <c r="G167" t="s">
        <v>2208</v>
      </c>
      <c r="H167" t="s">
        <v>7834</v>
      </c>
      <c r="I167" t="s">
        <v>8000</v>
      </c>
      <c r="J167">
        <v>2</v>
      </c>
      <c r="K167">
        <v>209.22</v>
      </c>
      <c r="L167" t="s">
        <v>2917</v>
      </c>
      <c r="M167">
        <v>209.22</v>
      </c>
      <c r="N167" t="s">
        <v>2917</v>
      </c>
      <c r="O167" t="s">
        <v>2208</v>
      </c>
      <c r="P167" t="s">
        <v>2208</v>
      </c>
      <c r="Q167" t="s">
        <v>2208</v>
      </c>
      <c r="R167" t="s">
        <v>2208</v>
      </c>
    </row>
    <row r="168" spans="1:18">
      <c r="A168" t="s">
        <v>2418</v>
      </c>
      <c r="B168" t="s">
        <v>2920</v>
      </c>
      <c r="C168">
        <v>45691</v>
      </c>
      <c r="D168" t="s">
        <v>7263</v>
      </c>
      <c r="E168" t="s">
        <v>2921</v>
      </c>
      <c r="F168">
        <v>45688</v>
      </c>
      <c r="G168" t="s">
        <v>2208</v>
      </c>
      <c r="H168" t="s">
        <v>7834</v>
      </c>
      <c r="I168" t="s">
        <v>8001</v>
      </c>
      <c r="J168">
        <v>2</v>
      </c>
      <c r="K168">
        <v>209.22</v>
      </c>
      <c r="L168" t="s">
        <v>2917</v>
      </c>
      <c r="M168">
        <v>209.22</v>
      </c>
      <c r="N168" t="s">
        <v>2917</v>
      </c>
      <c r="O168" t="s">
        <v>2208</v>
      </c>
      <c r="P168" t="s">
        <v>2208</v>
      </c>
      <c r="Q168" t="s">
        <v>2208</v>
      </c>
      <c r="R168" t="s">
        <v>2208</v>
      </c>
    </row>
    <row r="169" spans="1:18">
      <c r="A169" t="s">
        <v>2418</v>
      </c>
      <c r="B169" t="s">
        <v>2920</v>
      </c>
      <c r="C169">
        <v>45691</v>
      </c>
      <c r="D169" t="s">
        <v>7263</v>
      </c>
      <c r="E169" t="s">
        <v>2921</v>
      </c>
      <c r="F169">
        <v>45688</v>
      </c>
      <c r="G169" t="s">
        <v>2208</v>
      </c>
      <c r="H169" t="s">
        <v>7834</v>
      </c>
      <c r="I169" t="s">
        <v>8002</v>
      </c>
      <c r="J169">
        <v>2</v>
      </c>
      <c r="K169">
        <v>209.22</v>
      </c>
      <c r="L169" t="s">
        <v>2917</v>
      </c>
      <c r="M169">
        <v>209.22</v>
      </c>
      <c r="N169" t="s">
        <v>2917</v>
      </c>
      <c r="O169" t="s">
        <v>2208</v>
      </c>
      <c r="P169" t="s">
        <v>2208</v>
      </c>
      <c r="Q169" t="s">
        <v>2208</v>
      </c>
      <c r="R169" t="s">
        <v>2208</v>
      </c>
    </row>
    <row r="170" spans="1:18">
      <c r="A170" t="s">
        <v>2418</v>
      </c>
      <c r="B170" t="s">
        <v>2920</v>
      </c>
      <c r="C170">
        <v>45691</v>
      </c>
      <c r="D170" t="s">
        <v>7263</v>
      </c>
      <c r="E170" t="s">
        <v>2921</v>
      </c>
      <c r="F170">
        <v>45688</v>
      </c>
      <c r="G170" t="s">
        <v>2208</v>
      </c>
      <c r="H170" t="s">
        <v>7834</v>
      </c>
      <c r="I170" t="s">
        <v>8003</v>
      </c>
      <c r="J170">
        <v>0.5</v>
      </c>
      <c r="K170">
        <v>52.31</v>
      </c>
      <c r="L170" t="s">
        <v>2917</v>
      </c>
      <c r="M170">
        <v>52.31</v>
      </c>
      <c r="N170" t="s">
        <v>2917</v>
      </c>
      <c r="O170" t="s">
        <v>2208</v>
      </c>
      <c r="P170" t="s">
        <v>2208</v>
      </c>
      <c r="Q170" t="s">
        <v>2208</v>
      </c>
      <c r="R170" t="s">
        <v>2208</v>
      </c>
    </row>
    <row r="171" spans="1:18">
      <c r="A171" t="s">
        <v>2418</v>
      </c>
      <c r="B171" t="s">
        <v>2920</v>
      </c>
      <c r="C171">
        <v>45691</v>
      </c>
      <c r="D171" t="s">
        <v>7263</v>
      </c>
      <c r="E171" t="s">
        <v>2921</v>
      </c>
      <c r="F171">
        <v>45688</v>
      </c>
      <c r="G171" t="s">
        <v>2208</v>
      </c>
      <c r="H171" t="s">
        <v>7834</v>
      </c>
      <c r="I171" t="s">
        <v>8004</v>
      </c>
      <c r="J171">
        <v>0.5</v>
      </c>
      <c r="K171">
        <v>52.31</v>
      </c>
      <c r="L171" t="s">
        <v>2917</v>
      </c>
      <c r="M171">
        <v>52.31</v>
      </c>
      <c r="N171" t="s">
        <v>2917</v>
      </c>
      <c r="O171" t="s">
        <v>2208</v>
      </c>
      <c r="P171" t="s">
        <v>2208</v>
      </c>
      <c r="Q171" t="s">
        <v>2208</v>
      </c>
      <c r="R171" t="s">
        <v>2208</v>
      </c>
    </row>
    <row r="172" spans="1:18">
      <c r="A172" t="s">
        <v>2418</v>
      </c>
      <c r="B172" t="s">
        <v>2920</v>
      </c>
      <c r="C172">
        <v>45691</v>
      </c>
      <c r="D172" t="s">
        <v>7263</v>
      </c>
      <c r="E172" t="s">
        <v>2921</v>
      </c>
      <c r="F172">
        <v>45688</v>
      </c>
      <c r="G172" t="s">
        <v>2208</v>
      </c>
      <c r="H172" t="s">
        <v>7834</v>
      </c>
      <c r="I172" t="s">
        <v>8005</v>
      </c>
      <c r="J172">
        <v>1</v>
      </c>
      <c r="K172">
        <v>104.61</v>
      </c>
      <c r="L172" t="s">
        <v>2917</v>
      </c>
      <c r="M172">
        <v>104.61</v>
      </c>
      <c r="N172" t="s">
        <v>2917</v>
      </c>
      <c r="O172" t="s">
        <v>2208</v>
      </c>
      <c r="P172" t="s">
        <v>2208</v>
      </c>
      <c r="Q172" t="s">
        <v>2208</v>
      </c>
      <c r="R172" t="s">
        <v>2208</v>
      </c>
    </row>
    <row r="173" spans="1:18">
      <c r="A173" t="s">
        <v>2418</v>
      </c>
      <c r="B173" t="s">
        <v>2920</v>
      </c>
      <c r="C173">
        <v>45691</v>
      </c>
      <c r="D173" t="s">
        <v>7263</v>
      </c>
      <c r="E173" t="s">
        <v>2921</v>
      </c>
      <c r="F173">
        <v>45688</v>
      </c>
      <c r="G173" t="s">
        <v>2208</v>
      </c>
      <c r="H173" t="s">
        <v>7834</v>
      </c>
      <c r="I173" t="s">
        <v>8006</v>
      </c>
      <c r="J173">
        <v>2</v>
      </c>
      <c r="K173">
        <v>209.22</v>
      </c>
      <c r="L173" t="s">
        <v>2917</v>
      </c>
      <c r="M173">
        <v>209.22</v>
      </c>
      <c r="N173" t="s">
        <v>2917</v>
      </c>
      <c r="O173" t="s">
        <v>2208</v>
      </c>
      <c r="P173" t="s">
        <v>2208</v>
      </c>
      <c r="Q173" t="s">
        <v>2208</v>
      </c>
      <c r="R173" t="s">
        <v>2208</v>
      </c>
    </row>
    <row r="174" spans="1:18">
      <c r="A174" t="s">
        <v>2418</v>
      </c>
      <c r="B174" t="s">
        <v>2920</v>
      </c>
      <c r="C174">
        <v>45691</v>
      </c>
      <c r="D174" t="s">
        <v>7263</v>
      </c>
      <c r="E174" t="s">
        <v>2921</v>
      </c>
      <c r="F174">
        <v>45688</v>
      </c>
      <c r="G174" t="s">
        <v>2208</v>
      </c>
      <c r="H174" t="s">
        <v>7834</v>
      </c>
      <c r="I174" t="s">
        <v>8007</v>
      </c>
      <c r="J174">
        <v>2</v>
      </c>
      <c r="K174">
        <v>209.22</v>
      </c>
      <c r="L174" t="s">
        <v>2917</v>
      </c>
      <c r="M174">
        <v>209.22</v>
      </c>
      <c r="N174" t="s">
        <v>2917</v>
      </c>
      <c r="O174" t="s">
        <v>2208</v>
      </c>
      <c r="P174" t="s">
        <v>2208</v>
      </c>
      <c r="Q174" t="s">
        <v>2208</v>
      </c>
      <c r="R174" t="s">
        <v>2208</v>
      </c>
    </row>
    <row r="175" spans="1:18">
      <c r="A175" t="s">
        <v>2418</v>
      </c>
      <c r="B175" t="s">
        <v>2920</v>
      </c>
      <c r="C175">
        <v>45691</v>
      </c>
      <c r="D175" t="s">
        <v>7263</v>
      </c>
      <c r="E175" t="s">
        <v>2921</v>
      </c>
      <c r="F175">
        <v>45688</v>
      </c>
      <c r="G175" t="s">
        <v>2208</v>
      </c>
      <c r="H175" t="s">
        <v>7834</v>
      </c>
      <c r="I175" t="s">
        <v>8008</v>
      </c>
      <c r="J175">
        <v>2</v>
      </c>
      <c r="K175">
        <v>209.22</v>
      </c>
      <c r="L175" t="s">
        <v>2917</v>
      </c>
      <c r="M175">
        <v>209.22</v>
      </c>
      <c r="N175" t="s">
        <v>2917</v>
      </c>
      <c r="O175" t="s">
        <v>2208</v>
      </c>
      <c r="P175" t="s">
        <v>2208</v>
      </c>
      <c r="Q175" t="s">
        <v>2208</v>
      </c>
      <c r="R175" t="s">
        <v>2208</v>
      </c>
    </row>
    <row r="176" spans="1:18">
      <c r="A176" t="s">
        <v>2418</v>
      </c>
      <c r="B176" t="s">
        <v>2920</v>
      </c>
      <c r="C176">
        <v>45691</v>
      </c>
      <c r="D176" t="s">
        <v>7263</v>
      </c>
      <c r="E176" t="s">
        <v>2921</v>
      </c>
      <c r="F176">
        <v>45688</v>
      </c>
      <c r="G176" t="s">
        <v>2208</v>
      </c>
      <c r="H176" t="s">
        <v>7834</v>
      </c>
      <c r="I176" t="s">
        <v>8009</v>
      </c>
      <c r="J176">
        <v>2</v>
      </c>
      <c r="K176">
        <v>209.22</v>
      </c>
      <c r="L176" t="s">
        <v>2917</v>
      </c>
      <c r="M176">
        <v>209.22</v>
      </c>
      <c r="N176" t="s">
        <v>2917</v>
      </c>
      <c r="O176" t="s">
        <v>2208</v>
      </c>
      <c r="P176" t="s">
        <v>2208</v>
      </c>
      <c r="Q176" t="s">
        <v>2208</v>
      </c>
      <c r="R176" t="s">
        <v>2208</v>
      </c>
    </row>
    <row r="177" spans="1:18">
      <c r="A177" t="s">
        <v>2418</v>
      </c>
      <c r="B177" t="s">
        <v>2920</v>
      </c>
      <c r="C177">
        <v>45691</v>
      </c>
      <c r="D177" t="s">
        <v>7263</v>
      </c>
      <c r="E177" t="s">
        <v>2921</v>
      </c>
      <c r="F177">
        <v>45688</v>
      </c>
      <c r="G177" t="s">
        <v>2208</v>
      </c>
      <c r="H177" t="s">
        <v>7834</v>
      </c>
      <c r="I177" t="s">
        <v>8010</v>
      </c>
      <c r="J177">
        <v>1</v>
      </c>
      <c r="K177">
        <v>104.61</v>
      </c>
      <c r="L177" t="s">
        <v>2917</v>
      </c>
      <c r="M177">
        <v>104.61</v>
      </c>
      <c r="N177" t="s">
        <v>2917</v>
      </c>
      <c r="O177" t="s">
        <v>2208</v>
      </c>
      <c r="P177" t="s">
        <v>2208</v>
      </c>
      <c r="Q177" t="s">
        <v>2208</v>
      </c>
      <c r="R177" t="s">
        <v>2208</v>
      </c>
    </row>
    <row r="178" spans="1:18">
      <c r="A178" t="s">
        <v>2418</v>
      </c>
      <c r="B178" t="s">
        <v>2920</v>
      </c>
      <c r="C178">
        <v>45691</v>
      </c>
      <c r="D178" t="s">
        <v>7263</v>
      </c>
      <c r="E178" t="s">
        <v>2921</v>
      </c>
      <c r="F178">
        <v>45688</v>
      </c>
      <c r="G178" t="s">
        <v>2208</v>
      </c>
      <c r="H178" t="s">
        <v>7834</v>
      </c>
      <c r="I178" t="s">
        <v>8011</v>
      </c>
      <c r="J178">
        <v>1</v>
      </c>
      <c r="K178">
        <v>104.61</v>
      </c>
      <c r="L178" t="s">
        <v>2917</v>
      </c>
      <c r="M178">
        <v>104.61</v>
      </c>
      <c r="N178" t="s">
        <v>2917</v>
      </c>
      <c r="O178" t="s">
        <v>2208</v>
      </c>
      <c r="P178" t="s">
        <v>2208</v>
      </c>
      <c r="Q178" t="s">
        <v>2208</v>
      </c>
      <c r="R178" t="s">
        <v>2208</v>
      </c>
    </row>
    <row r="179" spans="1:18">
      <c r="A179" t="s">
        <v>2418</v>
      </c>
      <c r="B179" t="s">
        <v>2920</v>
      </c>
      <c r="C179">
        <v>45691</v>
      </c>
      <c r="D179" t="s">
        <v>7263</v>
      </c>
      <c r="E179" t="s">
        <v>2921</v>
      </c>
      <c r="F179">
        <v>45688</v>
      </c>
      <c r="G179" t="s">
        <v>2208</v>
      </c>
      <c r="H179" t="s">
        <v>7834</v>
      </c>
      <c r="I179" t="s">
        <v>8012</v>
      </c>
      <c r="J179">
        <v>0.5</v>
      </c>
      <c r="K179">
        <v>52.31</v>
      </c>
      <c r="L179" t="s">
        <v>2917</v>
      </c>
      <c r="M179">
        <v>52.31</v>
      </c>
      <c r="N179" t="s">
        <v>2917</v>
      </c>
      <c r="O179" t="s">
        <v>2208</v>
      </c>
      <c r="P179" t="s">
        <v>2208</v>
      </c>
      <c r="Q179" t="s">
        <v>2208</v>
      </c>
      <c r="R179" t="s">
        <v>2208</v>
      </c>
    </row>
    <row r="180" spans="1:18">
      <c r="A180" t="s">
        <v>2418</v>
      </c>
      <c r="B180" t="s">
        <v>2920</v>
      </c>
      <c r="C180">
        <v>45691</v>
      </c>
      <c r="D180" t="s">
        <v>7263</v>
      </c>
      <c r="E180" t="s">
        <v>2921</v>
      </c>
      <c r="F180">
        <v>45688</v>
      </c>
      <c r="G180" t="s">
        <v>2208</v>
      </c>
      <c r="H180" t="s">
        <v>7834</v>
      </c>
      <c r="I180" t="s">
        <v>8013</v>
      </c>
      <c r="J180">
        <v>0.5</v>
      </c>
      <c r="K180">
        <v>52.31</v>
      </c>
      <c r="L180" t="s">
        <v>2917</v>
      </c>
      <c r="M180">
        <v>52.31</v>
      </c>
      <c r="N180" t="s">
        <v>2917</v>
      </c>
      <c r="O180" t="s">
        <v>2208</v>
      </c>
      <c r="P180" t="s">
        <v>2208</v>
      </c>
      <c r="Q180" t="s">
        <v>2208</v>
      </c>
      <c r="R180" t="s">
        <v>2208</v>
      </c>
    </row>
    <row r="181" spans="1:18">
      <c r="A181" t="s">
        <v>2418</v>
      </c>
      <c r="B181" t="s">
        <v>2920</v>
      </c>
      <c r="C181">
        <v>45691</v>
      </c>
      <c r="D181" t="s">
        <v>7263</v>
      </c>
      <c r="E181" t="s">
        <v>2921</v>
      </c>
      <c r="F181">
        <v>45688</v>
      </c>
      <c r="G181" t="s">
        <v>2208</v>
      </c>
      <c r="H181" t="s">
        <v>7834</v>
      </c>
      <c r="I181" t="s">
        <v>8014</v>
      </c>
      <c r="J181">
        <v>2</v>
      </c>
      <c r="K181">
        <v>209.22</v>
      </c>
      <c r="L181" t="s">
        <v>2917</v>
      </c>
      <c r="M181">
        <v>209.22</v>
      </c>
      <c r="N181" t="s">
        <v>2917</v>
      </c>
      <c r="O181" t="s">
        <v>2208</v>
      </c>
      <c r="P181" t="s">
        <v>2208</v>
      </c>
      <c r="Q181" t="s">
        <v>2208</v>
      </c>
      <c r="R181" t="s">
        <v>2208</v>
      </c>
    </row>
    <row r="182" spans="1:18">
      <c r="A182" t="s">
        <v>2418</v>
      </c>
      <c r="B182" t="s">
        <v>2920</v>
      </c>
      <c r="C182">
        <v>45691</v>
      </c>
      <c r="D182" t="s">
        <v>7263</v>
      </c>
      <c r="E182" t="s">
        <v>2921</v>
      </c>
      <c r="F182">
        <v>45688</v>
      </c>
      <c r="G182" t="s">
        <v>2208</v>
      </c>
      <c r="H182" t="s">
        <v>7834</v>
      </c>
      <c r="I182" t="s">
        <v>8015</v>
      </c>
      <c r="J182">
        <v>1</v>
      </c>
      <c r="K182">
        <v>104.61</v>
      </c>
      <c r="L182" t="s">
        <v>2917</v>
      </c>
      <c r="M182">
        <v>104.61</v>
      </c>
      <c r="N182" t="s">
        <v>2917</v>
      </c>
      <c r="O182" t="s">
        <v>2208</v>
      </c>
      <c r="P182" t="s">
        <v>2208</v>
      </c>
      <c r="Q182" t="s">
        <v>2208</v>
      </c>
      <c r="R182" t="s">
        <v>2208</v>
      </c>
    </row>
    <row r="183" spans="1:18">
      <c r="A183" t="s">
        <v>2418</v>
      </c>
      <c r="B183" t="s">
        <v>2920</v>
      </c>
      <c r="C183">
        <v>45691</v>
      </c>
      <c r="D183" t="s">
        <v>7263</v>
      </c>
      <c r="E183" t="s">
        <v>2921</v>
      </c>
      <c r="F183">
        <v>45688</v>
      </c>
      <c r="G183" t="s">
        <v>2208</v>
      </c>
      <c r="H183" t="s">
        <v>7834</v>
      </c>
      <c r="I183" t="s">
        <v>8016</v>
      </c>
      <c r="J183">
        <v>1.5</v>
      </c>
      <c r="K183">
        <v>156.91999999999999</v>
      </c>
      <c r="L183" t="s">
        <v>2917</v>
      </c>
      <c r="M183">
        <v>156.91999999999999</v>
      </c>
      <c r="N183" t="s">
        <v>2917</v>
      </c>
      <c r="O183" t="s">
        <v>2208</v>
      </c>
      <c r="P183" t="s">
        <v>2208</v>
      </c>
      <c r="Q183" t="s">
        <v>2208</v>
      </c>
      <c r="R183" t="s">
        <v>2208</v>
      </c>
    </row>
    <row r="184" spans="1:18">
      <c r="A184" t="s">
        <v>2418</v>
      </c>
      <c r="B184" t="s">
        <v>2920</v>
      </c>
      <c r="C184">
        <v>45691</v>
      </c>
      <c r="D184" t="s">
        <v>7263</v>
      </c>
      <c r="E184" t="s">
        <v>2921</v>
      </c>
      <c r="F184">
        <v>45688</v>
      </c>
      <c r="G184" t="s">
        <v>2208</v>
      </c>
      <c r="H184" t="s">
        <v>7834</v>
      </c>
      <c r="I184" t="s">
        <v>8017</v>
      </c>
      <c r="J184">
        <v>0.5</v>
      </c>
      <c r="K184">
        <v>52.31</v>
      </c>
      <c r="L184" t="s">
        <v>2917</v>
      </c>
      <c r="M184">
        <v>52.31</v>
      </c>
      <c r="N184" t="s">
        <v>2917</v>
      </c>
      <c r="O184" t="s">
        <v>2208</v>
      </c>
      <c r="P184" t="s">
        <v>2208</v>
      </c>
      <c r="Q184" t="s">
        <v>2208</v>
      </c>
      <c r="R184" t="s">
        <v>2208</v>
      </c>
    </row>
    <row r="185" spans="1:18">
      <c r="A185" t="s">
        <v>2418</v>
      </c>
      <c r="B185" t="s">
        <v>2920</v>
      </c>
      <c r="C185">
        <v>45691</v>
      </c>
      <c r="D185" t="s">
        <v>7263</v>
      </c>
      <c r="E185" t="s">
        <v>2921</v>
      </c>
      <c r="F185">
        <v>45688</v>
      </c>
      <c r="G185" t="s">
        <v>2208</v>
      </c>
      <c r="H185" t="s">
        <v>7834</v>
      </c>
      <c r="I185" t="s">
        <v>8018</v>
      </c>
      <c r="J185">
        <v>2</v>
      </c>
      <c r="K185">
        <v>209.22</v>
      </c>
      <c r="L185" t="s">
        <v>2917</v>
      </c>
      <c r="M185">
        <v>209.22</v>
      </c>
      <c r="N185" t="s">
        <v>2917</v>
      </c>
      <c r="O185" t="s">
        <v>2208</v>
      </c>
      <c r="P185" t="s">
        <v>2208</v>
      </c>
      <c r="Q185" t="s">
        <v>2208</v>
      </c>
      <c r="R185" t="s">
        <v>2208</v>
      </c>
    </row>
    <row r="186" spans="1:18">
      <c r="A186" t="s">
        <v>2418</v>
      </c>
      <c r="B186" t="s">
        <v>2920</v>
      </c>
      <c r="C186">
        <v>45691</v>
      </c>
      <c r="D186" t="s">
        <v>7263</v>
      </c>
      <c r="E186" t="s">
        <v>2921</v>
      </c>
      <c r="F186">
        <v>45688</v>
      </c>
      <c r="G186" t="s">
        <v>2208</v>
      </c>
      <c r="H186" t="s">
        <v>7834</v>
      </c>
      <c r="I186" t="s">
        <v>8019</v>
      </c>
      <c r="J186">
        <v>2</v>
      </c>
      <c r="K186">
        <v>209.22</v>
      </c>
      <c r="L186" t="s">
        <v>2917</v>
      </c>
      <c r="M186">
        <v>209.22</v>
      </c>
      <c r="N186" t="s">
        <v>2917</v>
      </c>
      <c r="O186" t="s">
        <v>2208</v>
      </c>
      <c r="P186" t="s">
        <v>2208</v>
      </c>
      <c r="Q186" t="s">
        <v>2208</v>
      </c>
      <c r="R186" t="s">
        <v>2208</v>
      </c>
    </row>
    <row r="187" spans="1:18">
      <c r="A187" t="s">
        <v>2418</v>
      </c>
      <c r="B187" t="s">
        <v>2920</v>
      </c>
      <c r="C187">
        <v>45691</v>
      </c>
      <c r="D187" t="s">
        <v>7263</v>
      </c>
      <c r="E187" t="s">
        <v>2921</v>
      </c>
      <c r="F187">
        <v>45688</v>
      </c>
      <c r="G187" t="s">
        <v>2208</v>
      </c>
      <c r="H187" t="s">
        <v>7834</v>
      </c>
      <c r="I187" t="s">
        <v>8020</v>
      </c>
      <c r="J187">
        <v>4</v>
      </c>
      <c r="K187">
        <v>418.44</v>
      </c>
      <c r="L187" t="s">
        <v>2917</v>
      </c>
      <c r="M187">
        <v>418.44</v>
      </c>
      <c r="N187" t="s">
        <v>2917</v>
      </c>
      <c r="O187" t="s">
        <v>2208</v>
      </c>
      <c r="P187" t="s">
        <v>2208</v>
      </c>
      <c r="Q187" t="s">
        <v>2208</v>
      </c>
      <c r="R187" t="s">
        <v>2208</v>
      </c>
    </row>
    <row r="188" spans="1:18">
      <c r="A188" t="s">
        <v>2418</v>
      </c>
      <c r="B188" t="s">
        <v>2920</v>
      </c>
      <c r="C188">
        <v>45691</v>
      </c>
      <c r="D188" t="s">
        <v>7263</v>
      </c>
      <c r="E188" t="s">
        <v>2921</v>
      </c>
      <c r="F188">
        <v>45688</v>
      </c>
      <c r="G188" t="s">
        <v>2208</v>
      </c>
      <c r="H188" t="s">
        <v>7834</v>
      </c>
      <c r="I188" t="s">
        <v>8021</v>
      </c>
      <c r="J188">
        <v>4</v>
      </c>
      <c r="K188">
        <v>418.44</v>
      </c>
      <c r="L188" t="s">
        <v>2917</v>
      </c>
      <c r="M188">
        <v>418.44</v>
      </c>
      <c r="N188" t="s">
        <v>2917</v>
      </c>
      <c r="O188" t="s">
        <v>2208</v>
      </c>
      <c r="P188" t="s">
        <v>2208</v>
      </c>
      <c r="Q188" t="s">
        <v>2208</v>
      </c>
      <c r="R188" t="s">
        <v>2208</v>
      </c>
    </row>
    <row r="189" spans="1:18">
      <c r="A189" t="s">
        <v>2418</v>
      </c>
      <c r="B189" t="s">
        <v>2920</v>
      </c>
      <c r="C189">
        <v>45691</v>
      </c>
      <c r="D189" t="s">
        <v>7263</v>
      </c>
      <c r="E189" t="s">
        <v>2921</v>
      </c>
      <c r="F189">
        <v>45688</v>
      </c>
      <c r="G189" t="s">
        <v>2208</v>
      </c>
      <c r="H189" t="s">
        <v>7834</v>
      </c>
      <c r="I189" t="s">
        <v>8022</v>
      </c>
      <c r="J189">
        <v>2.8</v>
      </c>
      <c r="K189">
        <v>292.91000000000003</v>
      </c>
      <c r="L189" t="s">
        <v>2917</v>
      </c>
      <c r="M189">
        <v>292.91000000000003</v>
      </c>
      <c r="N189" t="s">
        <v>2917</v>
      </c>
      <c r="O189" t="s">
        <v>2208</v>
      </c>
      <c r="P189" t="s">
        <v>2208</v>
      </c>
      <c r="Q189" t="s">
        <v>2208</v>
      </c>
      <c r="R189" t="s">
        <v>2208</v>
      </c>
    </row>
    <row r="190" spans="1:18">
      <c r="A190" t="s">
        <v>2418</v>
      </c>
      <c r="B190" t="s">
        <v>2920</v>
      </c>
      <c r="C190">
        <v>45691</v>
      </c>
      <c r="D190" t="s">
        <v>7263</v>
      </c>
      <c r="E190" t="s">
        <v>2921</v>
      </c>
      <c r="F190">
        <v>45688</v>
      </c>
      <c r="G190" t="s">
        <v>2208</v>
      </c>
      <c r="H190" t="s">
        <v>7834</v>
      </c>
      <c r="I190" t="s">
        <v>8023</v>
      </c>
      <c r="J190">
        <v>2</v>
      </c>
      <c r="K190">
        <v>209.22</v>
      </c>
      <c r="L190" t="s">
        <v>2917</v>
      </c>
      <c r="M190">
        <v>209.22</v>
      </c>
      <c r="N190" t="s">
        <v>2917</v>
      </c>
      <c r="O190" t="s">
        <v>2208</v>
      </c>
      <c r="P190" t="s">
        <v>2208</v>
      </c>
      <c r="Q190" t="s">
        <v>2208</v>
      </c>
      <c r="R190" t="s">
        <v>2208</v>
      </c>
    </row>
    <row r="191" spans="1:18">
      <c r="A191" t="s">
        <v>2418</v>
      </c>
      <c r="B191" t="s">
        <v>2920</v>
      </c>
      <c r="C191">
        <v>45691</v>
      </c>
      <c r="D191" t="s">
        <v>7263</v>
      </c>
      <c r="E191" t="s">
        <v>2921</v>
      </c>
      <c r="F191">
        <v>45688</v>
      </c>
      <c r="G191" t="s">
        <v>2208</v>
      </c>
      <c r="H191" t="s">
        <v>7834</v>
      </c>
      <c r="I191" t="s">
        <v>8024</v>
      </c>
      <c r="J191">
        <v>2</v>
      </c>
      <c r="K191">
        <v>209.22</v>
      </c>
      <c r="L191" t="s">
        <v>2917</v>
      </c>
      <c r="M191">
        <v>209.22</v>
      </c>
      <c r="N191" t="s">
        <v>2917</v>
      </c>
      <c r="O191" t="s">
        <v>2208</v>
      </c>
      <c r="P191" t="s">
        <v>2208</v>
      </c>
      <c r="Q191" t="s">
        <v>2208</v>
      </c>
      <c r="R191" t="s">
        <v>2208</v>
      </c>
    </row>
    <row r="192" spans="1:18">
      <c r="A192" t="s">
        <v>2418</v>
      </c>
      <c r="B192" t="s">
        <v>2920</v>
      </c>
      <c r="C192">
        <v>45691</v>
      </c>
      <c r="D192" t="s">
        <v>7263</v>
      </c>
      <c r="E192" t="s">
        <v>2921</v>
      </c>
      <c r="F192">
        <v>45688</v>
      </c>
      <c r="G192" t="s">
        <v>2208</v>
      </c>
      <c r="H192" t="s">
        <v>7834</v>
      </c>
      <c r="I192" t="s">
        <v>8025</v>
      </c>
      <c r="J192">
        <v>1.9</v>
      </c>
      <c r="K192">
        <v>198.76</v>
      </c>
      <c r="L192" t="s">
        <v>2917</v>
      </c>
      <c r="M192">
        <v>198.76</v>
      </c>
      <c r="N192" t="s">
        <v>2917</v>
      </c>
      <c r="O192" t="s">
        <v>2208</v>
      </c>
      <c r="P192" t="s">
        <v>2208</v>
      </c>
      <c r="Q192" t="s">
        <v>2208</v>
      </c>
      <c r="R192" t="s">
        <v>2208</v>
      </c>
    </row>
    <row r="193" spans="1:18">
      <c r="A193" t="s">
        <v>2418</v>
      </c>
      <c r="B193" t="s">
        <v>2920</v>
      </c>
      <c r="C193">
        <v>45691</v>
      </c>
      <c r="D193" t="s">
        <v>7263</v>
      </c>
      <c r="E193" t="s">
        <v>2921</v>
      </c>
      <c r="F193">
        <v>45688</v>
      </c>
      <c r="G193" t="s">
        <v>2208</v>
      </c>
      <c r="H193" t="s">
        <v>7834</v>
      </c>
      <c r="I193" t="s">
        <v>8026</v>
      </c>
      <c r="J193">
        <v>2</v>
      </c>
      <c r="K193">
        <v>209.22</v>
      </c>
      <c r="L193" t="s">
        <v>2917</v>
      </c>
      <c r="M193">
        <v>209.22</v>
      </c>
      <c r="N193" t="s">
        <v>2917</v>
      </c>
      <c r="O193" t="s">
        <v>2208</v>
      </c>
      <c r="P193" t="s">
        <v>2208</v>
      </c>
      <c r="Q193" t="s">
        <v>2208</v>
      </c>
      <c r="R193" t="s">
        <v>2208</v>
      </c>
    </row>
    <row r="194" spans="1:18">
      <c r="A194" t="s">
        <v>2418</v>
      </c>
      <c r="B194" t="s">
        <v>2920</v>
      </c>
      <c r="C194">
        <v>45691</v>
      </c>
      <c r="D194" t="s">
        <v>7263</v>
      </c>
      <c r="E194" t="s">
        <v>2921</v>
      </c>
      <c r="F194">
        <v>45688</v>
      </c>
      <c r="G194" t="s">
        <v>2208</v>
      </c>
      <c r="H194" t="s">
        <v>7834</v>
      </c>
      <c r="I194" t="s">
        <v>8027</v>
      </c>
      <c r="J194">
        <v>2</v>
      </c>
      <c r="K194">
        <v>209.22</v>
      </c>
      <c r="L194" t="s">
        <v>2917</v>
      </c>
      <c r="M194">
        <v>209.22</v>
      </c>
      <c r="N194" t="s">
        <v>2917</v>
      </c>
      <c r="O194" t="s">
        <v>2208</v>
      </c>
      <c r="P194" t="s">
        <v>2208</v>
      </c>
      <c r="Q194" t="s">
        <v>2208</v>
      </c>
      <c r="R194" t="s">
        <v>2208</v>
      </c>
    </row>
    <row r="195" spans="1:18">
      <c r="A195" t="s">
        <v>2418</v>
      </c>
      <c r="B195" t="s">
        <v>2920</v>
      </c>
      <c r="C195">
        <v>45691</v>
      </c>
      <c r="D195" t="s">
        <v>7263</v>
      </c>
      <c r="E195" t="s">
        <v>2921</v>
      </c>
      <c r="F195">
        <v>45688</v>
      </c>
      <c r="G195" t="s">
        <v>2208</v>
      </c>
      <c r="H195" t="s">
        <v>7834</v>
      </c>
      <c r="I195" t="s">
        <v>8028</v>
      </c>
      <c r="J195">
        <v>2</v>
      </c>
      <c r="K195">
        <v>209.22</v>
      </c>
      <c r="L195" t="s">
        <v>2917</v>
      </c>
      <c r="M195">
        <v>209.22</v>
      </c>
      <c r="N195" t="s">
        <v>2917</v>
      </c>
      <c r="O195" t="s">
        <v>2208</v>
      </c>
      <c r="P195" t="s">
        <v>2208</v>
      </c>
      <c r="Q195" t="s">
        <v>2208</v>
      </c>
      <c r="R195" t="s">
        <v>2208</v>
      </c>
    </row>
    <row r="196" spans="1:18">
      <c r="A196" t="s">
        <v>2418</v>
      </c>
      <c r="B196" t="s">
        <v>2920</v>
      </c>
      <c r="C196">
        <v>45691</v>
      </c>
      <c r="D196" t="s">
        <v>7263</v>
      </c>
      <c r="E196" t="s">
        <v>2921</v>
      </c>
      <c r="F196">
        <v>45688</v>
      </c>
      <c r="G196" t="s">
        <v>2208</v>
      </c>
      <c r="H196" t="s">
        <v>7834</v>
      </c>
      <c r="I196" t="s">
        <v>8029</v>
      </c>
      <c r="J196">
        <v>2</v>
      </c>
      <c r="K196">
        <v>209.22</v>
      </c>
      <c r="L196" t="s">
        <v>2917</v>
      </c>
      <c r="M196">
        <v>209.22</v>
      </c>
      <c r="N196" t="s">
        <v>2917</v>
      </c>
      <c r="O196" t="s">
        <v>2208</v>
      </c>
      <c r="P196" t="s">
        <v>2208</v>
      </c>
      <c r="Q196" t="s">
        <v>2208</v>
      </c>
      <c r="R196" t="s">
        <v>2208</v>
      </c>
    </row>
    <row r="197" spans="1:18">
      <c r="A197" t="s">
        <v>2418</v>
      </c>
      <c r="B197" t="s">
        <v>2920</v>
      </c>
      <c r="C197">
        <v>45691</v>
      </c>
      <c r="D197" t="s">
        <v>7263</v>
      </c>
      <c r="E197" t="s">
        <v>2921</v>
      </c>
      <c r="F197">
        <v>45688</v>
      </c>
      <c r="G197" t="s">
        <v>2208</v>
      </c>
      <c r="H197" t="s">
        <v>7834</v>
      </c>
      <c r="I197" t="s">
        <v>8030</v>
      </c>
      <c r="J197">
        <v>2</v>
      </c>
      <c r="K197">
        <v>209.22</v>
      </c>
      <c r="L197" t="s">
        <v>2917</v>
      </c>
      <c r="M197">
        <v>209.22</v>
      </c>
      <c r="N197" t="s">
        <v>2917</v>
      </c>
      <c r="O197" t="s">
        <v>2208</v>
      </c>
      <c r="P197" t="s">
        <v>2208</v>
      </c>
      <c r="Q197" t="s">
        <v>2208</v>
      </c>
      <c r="R197" t="s">
        <v>2208</v>
      </c>
    </row>
    <row r="198" spans="1:18">
      <c r="A198" t="s">
        <v>2418</v>
      </c>
      <c r="B198" t="s">
        <v>2920</v>
      </c>
      <c r="C198">
        <v>45691</v>
      </c>
      <c r="D198" t="s">
        <v>7263</v>
      </c>
      <c r="E198" t="s">
        <v>2921</v>
      </c>
      <c r="F198">
        <v>45688</v>
      </c>
      <c r="G198" t="s">
        <v>2208</v>
      </c>
      <c r="H198" t="s">
        <v>7834</v>
      </c>
      <c r="I198" t="s">
        <v>8031</v>
      </c>
      <c r="J198">
        <v>2</v>
      </c>
      <c r="K198">
        <v>209.22</v>
      </c>
      <c r="L198" t="s">
        <v>2917</v>
      </c>
      <c r="M198">
        <v>209.22</v>
      </c>
      <c r="N198" t="s">
        <v>2917</v>
      </c>
      <c r="O198" t="s">
        <v>2208</v>
      </c>
      <c r="P198" t="s">
        <v>2208</v>
      </c>
      <c r="Q198" t="s">
        <v>2208</v>
      </c>
      <c r="R198" t="s">
        <v>2208</v>
      </c>
    </row>
    <row r="199" spans="1:18">
      <c r="A199" t="s">
        <v>2418</v>
      </c>
      <c r="B199" t="s">
        <v>2920</v>
      </c>
      <c r="C199">
        <v>45691</v>
      </c>
      <c r="D199" t="s">
        <v>7263</v>
      </c>
      <c r="E199" t="s">
        <v>2921</v>
      </c>
      <c r="F199">
        <v>45688</v>
      </c>
      <c r="G199" t="s">
        <v>2208</v>
      </c>
      <c r="H199" t="s">
        <v>7834</v>
      </c>
      <c r="I199" t="s">
        <v>8032</v>
      </c>
      <c r="J199">
        <v>2</v>
      </c>
      <c r="K199">
        <v>209.22</v>
      </c>
      <c r="L199" t="s">
        <v>2917</v>
      </c>
      <c r="M199">
        <v>209.22</v>
      </c>
      <c r="N199" t="s">
        <v>2917</v>
      </c>
      <c r="O199" t="s">
        <v>2208</v>
      </c>
      <c r="P199" t="s">
        <v>2208</v>
      </c>
      <c r="Q199" t="s">
        <v>2208</v>
      </c>
      <c r="R199" t="s">
        <v>2208</v>
      </c>
    </row>
    <row r="200" spans="1:18">
      <c r="A200" t="s">
        <v>2418</v>
      </c>
      <c r="B200" t="s">
        <v>2920</v>
      </c>
      <c r="C200">
        <v>45691</v>
      </c>
      <c r="D200" t="s">
        <v>7263</v>
      </c>
      <c r="E200" t="s">
        <v>2921</v>
      </c>
      <c r="F200">
        <v>45688</v>
      </c>
      <c r="G200" t="s">
        <v>2208</v>
      </c>
      <c r="H200" t="s">
        <v>7834</v>
      </c>
      <c r="I200" t="s">
        <v>8033</v>
      </c>
      <c r="J200">
        <v>1</v>
      </c>
      <c r="K200">
        <v>104.61</v>
      </c>
      <c r="L200" t="s">
        <v>2917</v>
      </c>
      <c r="M200">
        <v>104.61</v>
      </c>
      <c r="N200" t="s">
        <v>2917</v>
      </c>
      <c r="O200" t="s">
        <v>2208</v>
      </c>
      <c r="P200" t="s">
        <v>2208</v>
      </c>
      <c r="Q200" t="s">
        <v>2208</v>
      </c>
      <c r="R200" t="s">
        <v>2208</v>
      </c>
    </row>
    <row r="201" spans="1:18">
      <c r="A201" t="s">
        <v>2418</v>
      </c>
      <c r="B201" t="s">
        <v>2920</v>
      </c>
      <c r="C201">
        <v>45691</v>
      </c>
      <c r="D201" t="s">
        <v>7263</v>
      </c>
      <c r="E201" t="s">
        <v>2921</v>
      </c>
      <c r="F201">
        <v>45688</v>
      </c>
      <c r="G201" t="s">
        <v>2208</v>
      </c>
      <c r="H201" t="s">
        <v>7834</v>
      </c>
      <c r="I201" t="s">
        <v>8034</v>
      </c>
      <c r="J201">
        <v>1</v>
      </c>
      <c r="K201">
        <v>104.61</v>
      </c>
      <c r="L201" t="s">
        <v>2917</v>
      </c>
      <c r="M201">
        <v>104.61</v>
      </c>
      <c r="N201" t="s">
        <v>2917</v>
      </c>
      <c r="O201" t="s">
        <v>2208</v>
      </c>
      <c r="P201" t="s">
        <v>2208</v>
      </c>
      <c r="Q201" t="s">
        <v>2208</v>
      </c>
      <c r="R201" t="s">
        <v>2208</v>
      </c>
    </row>
    <row r="202" spans="1:18">
      <c r="A202" t="s">
        <v>2418</v>
      </c>
      <c r="B202" t="s">
        <v>2920</v>
      </c>
      <c r="C202">
        <v>45691</v>
      </c>
      <c r="D202" t="s">
        <v>7263</v>
      </c>
      <c r="E202" t="s">
        <v>2921</v>
      </c>
      <c r="F202">
        <v>45688</v>
      </c>
      <c r="G202" t="s">
        <v>2208</v>
      </c>
      <c r="H202" t="s">
        <v>7834</v>
      </c>
      <c r="I202" t="s">
        <v>8035</v>
      </c>
      <c r="J202">
        <v>2</v>
      </c>
      <c r="K202">
        <v>209.22</v>
      </c>
      <c r="L202" t="s">
        <v>2917</v>
      </c>
      <c r="M202">
        <v>209.22</v>
      </c>
      <c r="N202" t="s">
        <v>2917</v>
      </c>
      <c r="O202" t="s">
        <v>2208</v>
      </c>
      <c r="P202" t="s">
        <v>2208</v>
      </c>
      <c r="Q202" t="s">
        <v>2208</v>
      </c>
      <c r="R202" t="s">
        <v>2208</v>
      </c>
    </row>
    <row r="203" spans="1:18">
      <c r="A203" t="s">
        <v>2418</v>
      </c>
      <c r="B203" t="s">
        <v>2920</v>
      </c>
      <c r="C203">
        <v>45691</v>
      </c>
      <c r="D203" t="s">
        <v>7263</v>
      </c>
      <c r="E203" t="s">
        <v>2921</v>
      </c>
      <c r="F203">
        <v>45688</v>
      </c>
      <c r="G203" t="s">
        <v>2208</v>
      </c>
      <c r="H203" t="s">
        <v>7834</v>
      </c>
      <c r="I203" t="s">
        <v>8036</v>
      </c>
      <c r="J203">
        <v>1</v>
      </c>
      <c r="K203">
        <v>104.61</v>
      </c>
      <c r="L203" t="s">
        <v>2917</v>
      </c>
      <c r="M203">
        <v>104.61</v>
      </c>
      <c r="N203" t="s">
        <v>2917</v>
      </c>
      <c r="O203" t="s">
        <v>2208</v>
      </c>
      <c r="P203" t="s">
        <v>2208</v>
      </c>
      <c r="Q203" t="s">
        <v>2208</v>
      </c>
      <c r="R203" t="s">
        <v>2208</v>
      </c>
    </row>
    <row r="204" spans="1:18">
      <c r="A204" t="s">
        <v>2418</v>
      </c>
      <c r="B204" t="s">
        <v>2920</v>
      </c>
      <c r="C204">
        <v>45691</v>
      </c>
      <c r="D204" t="s">
        <v>7263</v>
      </c>
      <c r="E204" t="s">
        <v>2921</v>
      </c>
      <c r="F204">
        <v>45688</v>
      </c>
      <c r="G204" t="s">
        <v>2208</v>
      </c>
      <c r="H204" t="s">
        <v>7834</v>
      </c>
      <c r="I204" t="s">
        <v>8037</v>
      </c>
      <c r="J204">
        <v>2</v>
      </c>
      <c r="K204">
        <v>209.22</v>
      </c>
      <c r="L204" t="s">
        <v>2917</v>
      </c>
      <c r="M204">
        <v>209.22</v>
      </c>
      <c r="N204" t="s">
        <v>2917</v>
      </c>
      <c r="O204" t="s">
        <v>2208</v>
      </c>
      <c r="P204" t="s">
        <v>2208</v>
      </c>
      <c r="Q204" t="s">
        <v>2208</v>
      </c>
      <c r="R204" t="s">
        <v>2208</v>
      </c>
    </row>
    <row r="205" spans="1:18">
      <c r="A205" t="s">
        <v>2418</v>
      </c>
      <c r="B205" t="s">
        <v>2920</v>
      </c>
      <c r="C205">
        <v>45691</v>
      </c>
      <c r="D205" t="s">
        <v>7263</v>
      </c>
      <c r="E205" t="s">
        <v>2921</v>
      </c>
      <c r="F205">
        <v>45688</v>
      </c>
      <c r="G205" t="s">
        <v>2208</v>
      </c>
      <c r="H205" t="s">
        <v>7834</v>
      </c>
      <c r="I205" t="s">
        <v>8038</v>
      </c>
      <c r="J205">
        <v>2</v>
      </c>
      <c r="K205">
        <v>209.22</v>
      </c>
      <c r="L205" t="s">
        <v>2917</v>
      </c>
      <c r="M205">
        <v>209.22</v>
      </c>
      <c r="N205" t="s">
        <v>2917</v>
      </c>
      <c r="O205" t="s">
        <v>2208</v>
      </c>
      <c r="P205" t="s">
        <v>2208</v>
      </c>
      <c r="Q205" t="s">
        <v>2208</v>
      </c>
      <c r="R205" t="s">
        <v>2208</v>
      </c>
    </row>
    <row r="206" spans="1:18">
      <c r="A206" t="s">
        <v>2418</v>
      </c>
      <c r="B206" t="s">
        <v>2920</v>
      </c>
      <c r="C206">
        <v>45691</v>
      </c>
      <c r="D206" t="s">
        <v>7263</v>
      </c>
      <c r="E206" t="s">
        <v>2921</v>
      </c>
      <c r="F206">
        <v>45688</v>
      </c>
      <c r="G206" t="s">
        <v>2208</v>
      </c>
      <c r="H206" t="s">
        <v>7834</v>
      </c>
      <c r="I206" t="s">
        <v>8039</v>
      </c>
      <c r="J206">
        <v>2</v>
      </c>
      <c r="K206">
        <v>209.22</v>
      </c>
      <c r="L206" t="s">
        <v>2917</v>
      </c>
      <c r="M206">
        <v>209.22</v>
      </c>
      <c r="N206" t="s">
        <v>2917</v>
      </c>
      <c r="O206" t="s">
        <v>2208</v>
      </c>
      <c r="P206" t="s">
        <v>2208</v>
      </c>
      <c r="Q206" t="s">
        <v>2208</v>
      </c>
      <c r="R206" t="s">
        <v>2208</v>
      </c>
    </row>
    <row r="207" spans="1:18">
      <c r="A207" t="s">
        <v>2418</v>
      </c>
      <c r="B207" t="s">
        <v>2920</v>
      </c>
      <c r="C207">
        <v>45691</v>
      </c>
      <c r="D207" t="s">
        <v>7263</v>
      </c>
      <c r="E207" t="s">
        <v>2921</v>
      </c>
      <c r="F207">
        <v>45688</v>
      </c>
      <c r="G207" t="s">
        <v>2208</v>
      </c>
      <c r="H207" t="s">
        <v>7834</v>
      </c>
      <c r="I207" t="s">
        <v>8040</v>
      </c>
      <c r="J207">
        <v>2</v>
      </c>
      <c r="K207">
        <v>209.22</v>
      </c>
      <c r="L207" t="s">
        <v>2917</v>
      </c>
      <c r="M207">
        <v>209.22</v>
      </c>
      <c r="N207" t="s">
        <v>2917</v>
      </c>
      <c r="O207" t="s">
        <v>2208</v>
      </c>
      <c r="P207" t="s">
        <v>2208</v>
      </c>
      <c r="Q207" t="s">
        <v>2208</v>
      </c>
      <c r="R207" t="s">
        <v>2208</v>
      </c>
    </row>
    <row r="208" spans="1:18">
      <c r="A208" t="s">
        <v>2418</v>
      </c>
      <c r="B208" t="s">
        <v>2920</v>
      </c>
      <c r="C208">
        <v>45691</v>
      </c>
      <c r="D208" t="s">
        <v>7263</v>
      </c>
      <c r="E208" t="s">
        <v>2921</v>
      </c>
      <c r="F208">
        <v>45688</v>
      </c>
      <c r="G208" t="s">
        <v>2208</v>
      </c>
      <c r="H208" t="s">
        <v>7834</v>
      </c>
      <c r="I208" t="s">
        <v>8041</v>
      </c>
      <c r="J208">
        <v>0.5</v>
      </c>
      <c r="K208">
        <v>52.31</v>
      </c>
      <c r="L208" t="s">
        <v>2917</v>
      </c>
      <c r="M208">
        <v>52.31</v>
      </c>
      <c r="N208" t="s">
        <v>2917</v>
      </c>
      <c r="O208" t="s">
        <v>2208</v>
      </c>
      <c r="P208" t="s">
        <v>2208</v>
      </c>
      <c r="Q208" t="s">
        <v>2208</v>
      </c>
      <c r="R208" t="s">
        <v>2208</v>
      </c>
    </row>
    <row r="209" spans="1:18">
      <c r="A209" t="s">
        <v>2418</v>
      </c>
      <c r="B209" t="s">
        <v>2920</v>
      </c>
      <c r="C209">
        <v>45691</v>
      </c>
      <c r="D209" t="s">
        <v>7263</v>
      </c>
      <c r="E209" t="s">
        <v>2921</v>
      </c>
      <c r="F209">
        <v>45688</v>
      </c>
      <c r="G209" t="s">
        <v>2208</v>
      </c>
      <c r="H209" t="s">
        <v>7834</v>
      </c>
      <c r="I209" t="s">
        <v>8042</v>
      </c>
      <c r="J209">
        <v>0.5</v>
      </c>
      <c r="K209">
        <v>52.31</v>
      </c>
      <c r="L209" t="s">
        <v>2917</v>
      </c>
      <c r="M209">
        <v>52.31</v>
      </c>
      <c r="N209" t="s">
        <v>2917</v>
      </c>
      <c r="O209" t="s">
        <v>2208</v>
      </c>
      <c r="P209" t="s">
        <v>2208</v>
      </c>
      <c r="Q209" t="s">
        <v>2208</v>
      </c>
      <c r="R209" t="s">
        <v>2208</v>
      </c>
    </row>
    <row r="210" spans="1:18">
      <c r="A210" t="s">
        <v>2418</v>
      </c>
      <c r="B210" t="s">
        <v>2920</v>
      </c>
      <c r="C210">
        <v>45691</v>
      </c>
      <c r="D210" t="s">
        <v>7263</v>
      </c>
      <c r="E210" t="s">
        <v>2921</v>
      </c>
      <c r="F210">
        <v>45688</v>
      </c>
      <c r="G210" t="s">
        <v>2208</v>
      </c>
      <c r="H210" t="s">
        <v>7834</v>
      </c>
      <c r="I210" t="s">
        <v>8043</v>
      </c>
      <c r="J210">
        <v>0.5</v>
      </c>
      <c r="K210">
        <v>52.31</v>
      </c>
      <c r="L210" t="s">
        <v>2917</v>
      </c>
      <c r="M210">
        <v>52.31</v>
      </c>
      <c r="N210" t="s">
        <v>2917</v>
      </c>
      <c r="O210" t="s">
        <v>2208</v>
      </c>
      <c r="P210" t="s">
        <v>2208</v>
      </c>
      <c r="Q210" t="s">
        <v>2208</v>
      </c>
      <c r="R210" t="s">
        <v>2208</v>
      </c>
    </row>
    <row r="211" spans="1:18">
      <c r="A211" t="s">
        <v>2418</v>
      </c>
      <c r="B211" t="s">
        <v>2920</v>
      </c>
      <c r="C211">
        <v>45691</v>
      </c>
      <c r="D211" t="s">
        <v>7263</v>
      </c>
      <c r="E211" t="s">
        <v>2921</v>
      </c>
      <c r="F211">
        <v>45688</v>
      </c>
      <c r="G211" t="s">
        <v>2208</v>
      </c>
      <c r="H211" t="s">
        <v>7834</v>
      </c>
      <c r="I211" t="s">
        <v>8044</v>
      </c>
      <c r="J211">
        <v>0.5</v>
      </c>
      <c r="K211">
        <v>52.31</v>
      </c>
      <c r="L211" t="s">
        <v>2917</v>
      </c>
      <c r="M211">
        <v>52.31</v>
      </c>
      <c r="N211" t="s">
        <v>2917</v>
      </c>
      <c r="O211" t="s">
        <v>2208</v>
      </c>
      <c r="P211" t="s">
        <v>2208</v>
      </c>
      <c r="Q211" t="s">
        <v>2208</v>
      </c>
      <c r="R211" t="s">
        <v>2208</v>
      </c>
    </row>
    <row r="212" spans="1:18">
      <c r="A212" t="s">
        <v>2418</v>
      </c>
      <c r="B212" t="s">
        <v>2920</v>
      </c>
      <c r="C212">
        <v>45691</v>
      </c>
      <c r="D212" t="s">
        <v>7263</v>
      </c>
      <c r="E212" t="s">
        <v>2921</v>
      </c>
      <c r="F212">
        <v>45688</v>
      </c>
      <c r="G212" t="s">
        <v>2208</v>
      </c>
      <c r="H212" t="s">
        <v>7834</v>
      </c>
      <c r="I212" t="s">
        <v>8045</v>
      </c>
      <c r="J212">
        <v>2</v>
      </c>
      <c r="K212">
        <v>209.22</v>
      </c>
      <c r="L212" t="s">
        <v>2917</v>
      </c>
      <c r="M212">
        <v>209.22</v>
      </c>
      <c r="N212" t="s">
        <v>2917</v>
      </c>
      <c r="O212" t="s">
        <v>2208</v>
      </c>
      <c r="P212" t="s">
        <v>2208</v>
      </c>
      <c r="Q212" t="s">
        <v>2208</v>
      </c>
      <c r="R212" t="s">
        <v>2208</v>
      </c>
    </row>
    <row r="213" spans="1:18">
      <c r="A213" t="s">
        <v>2418</v>
      </c>
      <c r="B213" t="s">
        <v>2920</v>
      </c>
      <c r="C213">
        <v>45691</v>
      </c>
      <c r="D213" t="s">
        <v>7263</v>
      </c>
      <c r="E213" t="s">
        <v>2921</v>
      </c>
      <c r="F213">
        <v>45688</v>
      </c>
      <c r="G213" t="s">
        <v>2208</v>
      </c>
      <c r="H213" t="s">
        <v>7834</v>
      </c>
      <c r="I213" t="s">
        <v>8046</v>
      </c>
      <c r="J213">
        <v>2</v>
      </c>
      <c r="K213">
        <v>209.22</v>
      </c>
      <c r="L213" t="s">
        <v>2917</v>
      </c>
      <c r="M213">
        <v>209.22</v>
      </c>
      <c r="N213" t="s">
        <v>2917</v>
      </c>
      <c r="O213" t="s">
        <v>2208</v>
      </c>
      <c r="P213" t="s">
        <v>2208</v>
      </c>
      <c r="Q213" t="s">
        <v>2208</v>
      </c>
      <c r="R213" t="s">
        <v>2208</v>
      </c>
    </row>
    <row r="214" spans="1:18">
      <c r="A214" t="s">
        <v>2418</v>
      </c>
      <c r="B214" t="s">
        <v>2920</v>
      </c>
      <c r="C214">
        <v>45691</v>
      </c>
      <c r="D214" t="s">
        <v>7263</v>
      </c>
      <c r="E214" t="s">
        <v>2921</v>
      </c>
      <c r="F214">
        <v>45688</v>
      </c>
      <c r="G214" t="s">
        <v>2208</v>
      </c>
      <c r="H214" t="s">
        <v>7834</v>
      </c>
      <c r="I214" t="s">
        <v>8047</v>
      </c>
      <c r="J214">
        <v>1</v>
      </c>
      <c r="K214">
        <v>104.61</v>
      </c>
      <c r="L214" t="s">
        <v>2917</v>
      </c>
      <c r="M214">
        <v>104.61</v>
      </c>
      <c r="N214" t="s">
        <v>2917</v>
      </c>
      <c r="O214" t="s">
        <v>2208</v>
      </c>
      <c r="P214" t="s">
        <v>2208</v>
      </c>
      <c r="Q214" t="s">
        <v>2208</v>
      </c>
      <c r="R214" t="s">
        <v>2208</v>
      </c>
    </row>
    <row r="215" spans="1:18">
      <c r="A215" t="s">
        <v>2418</v>
      </c>
      <c r="B215" t="s">
        <v>2920</v>
      </c>
      <c r="C215">
        <v>45691</v>
      </c>
      <c r="D215" t="s">
        <v>7263</v>
      </c>
      <c r="E215" t="s">
        <v>2921</v>
      </c>
      <c r="F215">
        <v>45688</v>
      </c>
      <c r="G215" t="s">
        <v>2208</v>
      </c>
      <c r="H215" t="s">
        <v>7834</v>
      </c>
      <c r="I215" t="s">
        <v>8048</v>
      </c>
      <c r="J215">
        <v>1</v>
      </c>
      <c r="K215">
        <v>104.61</v>
      </c>
      <c r="L215" t="s">
        <v>2917</v>
      </c>
      <c r="M215">
        <v>104.61</v>
      </c>
      <c r="N215" t="s">
        <v>2917</v>
      </c>
      <c r="O215" t="s">
        <v>2208</v>
      </c>
      <c r="P215" t="s">
        <v>2208</v>
      </c>
      <c r="Q215" t="s">
        <v>2208</v>
      </c>
      <c r="R215" t="s">
        <v>2208</v>
      </c>
    </row>
    <row r="216" spans="1:18">
      <c r="A216" t="s">
        <v>2418</v>
      </c>
      <c r="B216" t="s">
        <v>2920</v>
      </c>
      <c r="C216">
        <v>45691</v>
      </c>
      <c r="D216" t="s">
        <v>7263</v>
      </c>
      <c r="E216" t="s">
        <v>2921</v>
      </c>
      <c r="F216">
        <v>45688</v>
      </c>
      <c r="G216" t="s">
        <v>2208</v>
      </c>
      <c r="H216" t="s">
        <v>7834</v>
      </c>
      <c r="I216" t="s">
        <v>8049</v>
      </c>
      <c r="J216">
        <v>3</v>
      </c>
      <c r="K216">
        <v>313.83</v>
      </c>
      <c r="L216" t="s">
        <v>2917</v>
      </c>
      <c r="M216">
        <v>313.83</v>
      </c>
      <c r="N216" t="s">
        <v>2917</v>
      </c>
      <c r="O216" t="s">
        <v>2208</v>
      </c>
      <c r="P216" t="s">
        <v>2208</v>
      </c>
      <c r="Q216" t="s">
        <v>2208</v>
      </c>
      <c r="R216" t="s">
        <v>2208</v>
      </c>
    </row>
    <row r="217" spans="1:18">
      <c r="A217" t="s">
        <v>2418</v>
      </c>
      <c r="B217" t="s">
        <v>2920</v>
      </c>
      <c r="C217">
        <v>45691</v>
      </c>
      <c r="D217" t="s">
        <v>7263</v>
      </c>
      <c r="E217" t="s">
        <v>2921</v>
      </c>
      <c r="F217">
        <v>45688</v>
      </c>
      <c r="G217" t="s">
        <v>2208</v>
      </c>
      <c r="H217" t="s">
        <v>7834</v>
      </c>
      <c r="I217" t="s">
        <v>8050</v>
      </c>
      <c r="J217">
        <v>2</v>
      </c>
      <c r="K217">
        <v>209.22</v>
      </c>
      <c r="L217" t="s">
        <v>2917</v>
      </c>
      <c r="M217">
        <v>209.22</v>
      </c>
      <c r="N217" t="s">
        <v>2917</v>
      </c>
      <c r="O217" t="s">
        <v>2208</v>
      </c>
      <c r="P217" t="s">
        <v>2208</v>
      </c>
      <c r="Q217" t="s">
        <v>2208</v>
      </c>
      <c r="R217" t="s">
        <v>2208</v>
      </c>
    </row>
    <row r="218" spans="1:18">
      <c r="A218" t="s">
        <v>2418</v>
      </c>
      <c r="B218" t="s">
        <v>2920</v>
      </c>
      <c r="C218">
        <v>45691</v>
      </c>
      <c r="D218" t="s">
        <v>7263</v>
      </c>
      <c r="E218" t="s">
        <v>2921</v>
      </c>
      <c r="F218">
        <v>45688</v>
      </c>
      <c r="G218" t="s">
        <v>2208</v>
      </c>
      <c r="H218" t="s">
        <v>7834</v>
      </c>
      <c r="I218" t="s">
        <v>8051</v>
      </c>
      <c r="J218">
        <v>2</v>
      </c>
      <c r="K218">
        <v>209.22</v>
      </c>
      <c r="L218" t="s">
        <v>2917</v>
      </c>
      <c r="M218">
        <v>209.22</v>
      </c>
      <c r="N218" t="s">
        <v>2917</v>
      </c>
      <c r="O218" t="s">
        <v>2208</v>
      </c>
      <c r="P218" t="s">
        <v>2208</v>
      </c>
      <c r="Q218" t="s">
        <v>2208</v>
      </c>
      <c r="R218" t="s">
        <v>2208</v>
      </c>
    </row>
    <row r="219" spans="1:18">
      <c r="A219" t="s">
        <v>2418</v>
      </c>
      <c r="B219" t="s">
        <v>2920</v>
      </c>
      <c r="C219">
        <v>45691</v>
      </c>
      <c r="D219" t="s">
        <v>7263</v>
      </c>
      <c r="E219" t="s">
        <v>2921</v>
      </c>
      <c r="F219">
        <v>45688</v>
      </c>
      <c r="G219" t="s">
        <v>2208</v>
      </c>
      <c r="H219" t="s">
        <v>7834</v>
      </c>
      <c r="I219" t="s">
        <v>8052</v>
      </c>
      <c r="J219">
        <v>2</v>
      </c>
      <c r="K219">
        <v>209.22</v>
      </c>
      <c r="L219" t="s">
        <v>2917</v>
      </c>
      <c r="M219">
        <v>209.22</v>
      </c>
      <c r="N219" t="s">
        <v>2917</v>
      </c>
      <c r="O219" t="s">
        <v>2208</v>
      </c>
      <c r="P219" t="s">
        <v>2208</v>
      </c>
      <c r="Q219" t="s">
        <v>2208</v>
      </c>
      <c r="R219" t="s">
        <v>2208</v>
      </c>
    </row>
    <row r="220" spans="1:18">
      <c r="A220" t="s">
        <v>2418</v>
      </c>
      <c r="B220" t="s">
        <v>2920</v>
      </c>
      <c r="C220">
        <v>45691</v>
      </c>
      <c r="D220" t="s">
        <v>7263</v>
      </c>
      <c r="E220" t="s">
        <v>2921</v>
      </c>
      <c r="F220">
        <v>45688</v>
      </c>
      <c r="G220" t="s">
        <v>2208</v>
      </c>
      <c r="H220" t="s">
        <v>7834</v>
      </c>
      <c r="I220" t="s">
        <v>8053</v>
      </c>
      <c r="J220">
        <v>2</v>
      </c>
      <c r="K220">
        <v>209.22</v>
      </c>
      <c r="L220" t="s">
        <v>2917</v>
      </c>
      <c r="M220">
        <v>209.22</v>
      </c>
      <c r="N220" t="s">
        <v>2917</v>
      </c>
      <c r="O220" t="s">
        <v>2208</v>
      </c>
      <c r="P220" t="s">
        <v>2208</v>
      </c>
      <c r="Q220" t="s">
        <v>2208</v>
      </c>
      <c r="R220" t="s">
        <v>2208</v>
      </c>
    </row>
    <row r="221" spans="1:18">
      <c r="A221" t="s">
        <v>2418</v>
      </c>
      <c r="B221" t="s">
        <v>2920</v>
      </c>
      <c r="C221">
        <v>45691</v>
      </c>
      <c r="D221" t="s">
        <v>7263</v>
      </c>
      <c r="E221" t="s">
        <v>2921</v>
      </c>
      <c r="F221">
        <v>45688</v>
      </c>
      <c r="G221" t="s">
        <v>2208</v>
      </c>
      <c r="H221" t="s">
        <v>7834</v>
      </c>
      <c r="I221" t="s">
        <v>8054</v>
      </c>
      <c r="J221">
        <v>1</v>
      </c>
      <c r="K221">
        <v>104.61</v>
      </c>
      <c r="L221" t="s">
        <v>2917</v>
      </c>
      <c r="M221">
        <v>104.61</v>
      </c>
      <c r="N221" t="s">
        <v>2917</v>
      </c>
      <c r="O221" t="s">
        <v>2208</v>
      </c>
      <c r="P221" t="s">
        <v>2208</v>
      </c>
      <c r="Q221" t="s">
        <v>2208</v>
      </c>
      <c r="R221" t="s">
        <v>2208</v>
      </c>
    </row>
    <row r="222" spans="1:18">
      <c r="A222" t="s">
        <v>2418</v>
      </c>
      <c r="B222" t="s">
        <v>2920</v>
      </c>
      <c r="C222">
        <v>45691</v>
      </c>
      <c r="D222" t="s">
        <v>7263</v>
      </c>
      <c r="E222" t="s">
        <v>2921</v>
      </c>
      <c r="F222">
        <v>45688</v>
      </c>
      <c r="G222" t="s">
        <v>2208</v>
      </c>
      <c r="H222" t="s">
        <v>7834</v>
      </c>
      <c r="I222" t="s">
        <v>8055</v>
      </c>
      <c r="J222">
        <v>1.75</v>
      </c>
      <c r="K222">
        <v>183.07</v>
      </c>
      <c r="L222" t="s">
        <v>2917</v>
      </c>
      <c r="M222">
        <v>183.07</v>
      </c>
      <c r="N222" t="s">
        <v>2917</v>
      </c>
      <c r="O222" t="s">
        <v>2208</v>
      </c>
      <c r="P222" t="s">
        <v>2208</v>
      </c>
      <c r="Q222" t="s">
        <v>2208</v>
      </c>
      <c r="R222" t="s">
        <v>2208</v>
      </c>
    </row>
    <row r="223" spans="1:18">
      <c r="A223" t="s">
        <v>2418</v>
      </c>
      <c r="B223" t="s">
        <v>2920</v>
      </c>
      <c r="C223">
        <v>45691</v>
      </c>
      <c r="D223" t="s">
        <v>7263</v>
      </c>
      <c r="E223" t="s">
        <v>2921</v>
      </c>
      <c r="F223">
        <v>45688</v>
      </c>
      <c r="G223" t="s">
        <v>2208</v>
      </c>
      <c r="H223" t="s">
        <v>7834</v>
      </c>
      <c r="I223" t="s">
        <v>8056</v>
      </c>
      <c r="J223">
        <v>1</v>
      </c>
      <c r="K223">
        <v>104.61</v>
      </c>
      <c r="L223" t="s">
        <v>2917</v>
      </c>
      <c r="M223">
        <v>104.61</v>
      </c>
      <c r="N223" t="s">
        <v>2917</v>
      </c>
      <c r="O223" t="s">
        <v>2208</v>
      </c>
      <c r="P223" t="s">
        <v>2208</v>
      </c>
      <c r="Q223" t="s">
        <v>2208</v>
      </c>
      <c r="R223" t="s">
        <v>2208</v>
      </c>
    </row>
    <row r="224" spans="1:18">
      <c r="A224" t="s">
        <v>2418</v>
      </c>
      <c r="B224" t="s">
        <v>2920</v>
      </c>
      <c r="C224">
        <v>45691</v>
      </c>
      <c r="D224" t="s">
        <v>7263</v>
      </c>
      <c r="E224" t="s">
        <v>2921</v>
      </c>
      <c r="F224">
        <v>45688</v>
      </c>
      <c r="G224" t="s">
        <v>2208</v>
      </c>
      <c r="H224" t="s">
        <v>7834</v>
      </c>
      <c r="I224" t="s">
        <v>8057</v>
      </c>
      <c r="J224">
        <v>1</v>
      </c>
      <c r="K224">
        <v>104.61</v>
      </c>
      <c r="L224" t="s">
        <v>2917</v>
      </c>
      <c r="M224">
        <v>104.61</v>
      </c>
      <c r="N224" t="s">
        <v>2917</v>
      </c>
      <c r="O224" t="s">
        <v>2208</v>
      </c>
      <c r="P224" t="s">
        <v>2208</v>
      </c>
      <c r="Q224" t="s">
        <v>2208</v>
      </c>
      <c r="R224" t="s">
        <v>2208</v>
      </c>
    </row>
    <row r="225" spans="1:18">
      <c r="A225" t="s">
        <v>2418</v>
      </c>
      <c r="B225" t="s">
        <v>2920</v>
      </c>
      <c r="C225">
        <v>45691</v>
      </c>
      <c r="D225" t="s">
        <v>7263</v>
      </c>
      <c r="E225" t="s">
        <v>2921</v>
      </c>
      <c r="F225">
        <v>45688</v>
      </c>
      <c r="G225" t="s">
        <v>2208</v>
      </c>
      <c r="H225" t="s">
        <v>7834</v>
      </c>
      <c r="I225" t="s">
        <v>8058</v>
      </c>
      <c r="J225">
        <v>1</v>
      </c>
      <c r="K225">
        <v>104.61</v>
      </c>
      <c r="L225" t="s">
        <v>2917</v>
      </c>
      <c r="M225">
        <v>104.61</v>
      </c>
      <c r="N225" t="s">
        <v>2917</v>
      </c>
      <c r="O225" t="s">
        <v>2208</v>
      </c>
      <c r="P225" t="s">
        <v>2208</v>
      </c>
      <c r="Q225" t="s">
        <v>2208</v>
      </c>
      <c r="R225" t="s">
        <v>2208</v>
      </c>
    </row>
    <row r="226" spans="1:18">
      <c r="A226" t="s">
        <v>2418</v>
      </c>
      <c r="B226" t="s">
        <v>2920</v>
      </c>
      <c r="C226">
        <v>45691</v>
      </c>
      <c r="D226" t="s">
        <v>7263</v>
      </c>
      <c r="E226" t="s">
        <v>2921</v>
      </c>
      <c r="F226">
        <v>45688</v>
      </c>
      <c r="G226" t="s">
        <v>2208</v>
      </c>
      <c r="H226" t="s">
        <v>7834</v>
      </c>
      <c r="I226" t="s">
        <v>8059</v>
      </c>
      <c r="J226">
        <v>1</v>
      </c>
      <c r="K226">
        <v>104.61</v>
      </c>
      <c r="L226" t="s">
        <v>2917</v>
      </c>
      <c r="M226">
        <v>104.61</v>
      </c>
      <c r="N226" t="s">
        <v>2917</v>
      </c>
      <c r="O226" t="s">
        <v>2208</v>
      </c>
      <c r="P226" t="s">
        <v>2208</v>
      </c>
      <c r="Q226" t="s">
        <v>2208</v>
      </c>
      <c r="R226" t="s">
        <v>2208</v>
      </c>
    </row>
    <row r="227" spans="1:18">
      <c r="A227" t="s">
        <v>2418</v>
      </c>
      <c r="B227" t="s">
        <v>2920</v>
      </c>
      <c r="C227">
        <v>45691</v>
      </c>
      <c r="D227" t="s">
        <v>7263</v>
      </c>
      <c r="E227" t="s">
        <v>2921</v>
      </c>
      <c r="F227">
        <v>45688</v>
      </c>
      <c r="G227" t="s">
        <v>2208</v>
      </c>
      <c r="H227" t="s">
        <v>7834</v>
      </c>
      <c r="I227" t="s">
        <v>8060</v>
      </c>
      <c r="J227">
        <v>1</v>
      </c>
      <c r="K227">
        <v>104.61</v>
      </c>
      <c r="L227" t="s">
        <v>2917</v>
      </c>
      <c r="M227">
        <v>104.61</v>
      </c>
      <c r="N227" t="s">
        <v>2917</v>
      </c>
      <c r="O227" t="s">
        <v>2208</v>
      </c>
      <c r="P227" t="s">
        <v>2208</v>
      </c>
      <c r="Q227" t="s">
        <v>2208</v>
      </c>
      <c r="R227" t="s">
        <v>2208</v>
      </c>
    </row>
    <row r="228" spans="1:18">
      <c r="A228" t="s">
        <v>2418</v>
      </c>
      <c r="B228" t="s">
        <v>2920</v>
      </c>
      <c r="C228">
        <v>45691</v>
      </c>
      <c r="D228" t="s">
        <v>7263</v>
      </c>
      <c r="E228" t="s">
        <v>2921</v>
      </c>
      <c r="F228">
        <v>45688</v>
      </c>
      <c r="G228" t="s">
        <v>2208</v>
      </c>
      <c r="H228" t="s">
        <v>7834</v>
      </c>
      <c r="I228" t="s">
        <v>8061</v>
      </c>
      <c r="J228">
        <v>2</v>
      </c>
      <c r="K228">
        <v>209.22</v>
      </c>
      <c r="L228" t="s">
        <v>2917</v>
      </c>
      <c r="M228">
        <v>209.22</v>
      </c>
      <c r="N228" t="s">
        <v>2917</v>
      </c>
      <c r="O228" t="s">
        <v>2208</v>
      </c>
      <c r="P228" t="s">
        <v>2208</v>
      </c>
      <c r="Q228" t="s">
        <v>2208</v>
      </c>
      <c r="R228" t="s">
        <v>2208</v>
      </c>
    </row>
    <row r="229" spans="1:18">
      <c r="A229" t="s">
        <v>2418</v>
      </c>
      <c r="B229" t="s">
        <v>2920</v>
      </c>
      <c r="C229">
        <v>45691</v>
      </c>
      <c r="D229" t="s">
        <v>7263</v>
      </c>
      <c r="E229" t="s">
        <v>2921</v>
      </c>
      <c r="F229">
        <v>45688</v>
      </c>
      <c r="G229" t="s">
        <v>2208</v>
      </c>
      <c r="H229" t="s">
        <v>7834</v>
      </c>
      <c r="I229" t="s">
        <v>8062</v>
      </c>
      <c r="J229">
        <v>3</v>
      </c>
      <c r="K229">
        <v>313.83</v>
      </c>
      <c r="L229" t="s">
        <v>2917</v>
      </c>
      <c r="M229">
        <v>313.83</v>
      </c>
      <c r="N229" t="s">
        <v>2917</v>
      </c>
      <c r="O229" t="s">
        <v>2208</v>
      </c>
      <c r="P229" t="s">
        <v>2208</v>
      </c>
      <c r="Q229" t="s">
        <v>2208</v>
      </c>
      <c r="R229" t="s">
        <v>2208</v>
      </c>
    </row>
    <row r="230" spans="1:18">
      <c r="A230" t="s">
        <v>2418</v>
      </c>
      <c r="B230" t="s">
        <v>2920</v>
      </c>
      <c r="C230">
        <v>45691</v>
      </c>
      <c r="D230" t="s">
        <v>7263</v>
      </c>
      <c r="E230" t="s">
        <v>2921</v>
      </c>
      <c r="F230">
        <v>45688</v>
      </c>
      <c r="G230" t="s">
        <v>2208</v>
      </c>
      <c r="H230" t="s">
        <v>7834</v>
      </c>
      <c r="I230" t="s">
        <v>8063</v>
      </c>
      <c r="J230">
        <v>3</v>
      </c>
      <c r="K230">
        <v>313.83</v>
      </c>
      <c r="L230" t="s">
        <v>2917</v>
      </c>
      <c r="M230">
        <v>313.83</v>
      </c>
      <c r="N230" t="s">
        <v>2917</v>
      </c>
      <c r="O230" t="s">
        <v>2208</v>
      </c>
      <c r="P230" t="s">
        <v>2208</v>
      </c>
      <c r="Q230" t="s">
        <v>2208</v>
      </c>
      <c r="R230" t="s">
        <v>2208</v>
      </c>
    </row>
    <row r="231" spans="1:18">
      <c r="A231" t="s">
        <v>2418</v>
      </c>
      <c r="B231" t="s">
        <v>2920</v>
      </c>
      <c r="C231">
        <v>45691</v>
      </c>
      <c r="D231" t="s">
        <v>7263</v>
      </c>
      <c r="E231" t="s">
        <v>2921</v>
      </c>
      <c r="F231">
        <v>45688</v>
      </c>
      <c r="G231" t="s">
        <v>2208</v>
      </c>
      <c r="H231" t="s">
        <v>7834</v>
      </c>
      <c r="I231" t="s">
        <v>8064</v>
      </c>
      <c r="J231">
        <v>2</v>
      </c>
      <c r="K231">
        <v>209.22</v>
      </c>
      <c r="L231" t="s">
        <v>2917</v>
      </c>
      <c r="M231">
        <v>209.22</v>
      </c>
      <c r="N231" t="s">
        <v>2917</v>
      </c>
      <c r="O231" t="s">
        <v>2208</v>
      </c>
      <c r="P231" t="s">
        <v>2208</v>
      </c>
      <c r="Q231" t="s">
        <v>2208</v>
      </c>
      <c r="R231" t="s">
        <v>2208</v>
      </c>
    </row>
    <row r="232" spans="1:18">
      <c r="A232" t="s">
        <v>2418</v>
      </c>
      <c r="B232" t="s">
        <v>2920</v>
      </c>
      <c r="C232">
        <v>45691</v>
      </c>
      <c r="D232" t="s">
        <v>7263</v>
      </c>
      <c r="E232" t="s">
        <v>2921</v>
      </c>
      <c r="F232">
        <v>45688</v>
      </c>
      <c r="G232" t="s">
        <v>2208</v>
      </c>
      <c r="H232" t="s">
        <v>7834</v>
      </c>
      <c r="I232" t="s">
        <v>8065</v>
      </c>
      <c r="J232">
        <v>3</v>
      </c>
      <c r="K232">
        <v>313.83</v>
      </c>
      <c r="L232" t="s">
        <v>2917</v>
      </c>
      <c r="M232">
        <v>313.83</v>
      </c>
      <c r="N232" t="s">
        <v>2917</v>
      </c>
      <c r="O232" t="s">
        <v>2208</v>
      </c>
      <c r="P232" t="s">
        <v>2208</v>
      </c>
      <c r="Q232" t="s">
        <v>2208</v>
      </c>
      <c r="R232" t="s">
        <v>2208</v>
      </c>
    </row>
    <row r="233" spans="1:18">
      <c r="A233" t="s">
        <v>2418</v>
      </c>
      <c r="B233" t="s">
        <v>2920</v>
      </c>
      <c r="C233">
        <v>45691</v>
      </c>
      <c r="D233" t="s">
        <v>7263</v>
      </c>
      <c r="E233" t="s">
        <v>2921</v>
      </c>
      <c r="F233">
        <v>45688</v>
      </c>
      <c r="G233" t="s">
        <v>2208</v>
      </c>
      <c r="H233" t="s">
        <v>7834</v>
      </c>
      <c r="I233" t="s">
        <v>8066</v>
      </c>
      <c r="J233">
        <v>3</v>
      </c>
      <c r="K233">
        <v>313.83</v>
      </c>
      <c r="L233" t="s">
        <v>2917</v>
      </c>
      <c r="M233">
        <v>313.83</v>
      </c>
      <c r="N233" t="s">
        <v>2917</v>
      </c>
      <c r="O233" t="s">
        <v>2208</v>
      </c>
      <c r="P233" t="s">
        <v>2208</v>
      </c>
      <c r="Q233" t="s">
        <v>2208</v>
      </c>
      <c r="R233" t="s">
        <v>2208</v>
      </c>
    </row>
    <row r="234" spans="1:18">
      <c r="A234" t="s">
        <v>2418</v>
      </c>
      <c r="B234" t="s">
        <v>2920</v>
      </c>
      <c r="C234">
        <v>45691</v>
      </c>
      <c r="D234" t="s">
        <v>7263</v>
      </c>
      <c r="E234" t="s">
        <v>2921</v>
      </c>
      <c r="F234">
        <v>45688</v>
      </c>
      <c r="G234" t="s">
        <v>2208</v>
      </c>
      <c r="H234" t="s">
        <v>7834</v>
      </c>
      <c r="I234" t="s">
        <v>8067</v>
      </c>
      <c r="J234">
        <v>2</v>
      </c>
      <c r="K234">
        <v>209.22</v>
      </c>
      <c r="L234" t="s">
        <v>2917</v>
      </c>
      <c r="M234">
        <v>209.22</v>
      </c>
      <c r="N234" t="s">
        <v>2917</v>
      </c>
      <c r="O234" t="s">
        <v>2208</v>
      </c>
      <c r="P234" t="s">
        <v>2208</v>
      </c>
      <c r="Q234" t="s">
        <v>2208</v>
      </c>
      <c r="R234" t="s">
        <v>2208</v>
      </c>
    </row>
    <row r="235" spans="1:18">
      <c r="A235" t="s">
        <v>2418</v>
      </c>
      <c r="B235" t="s">
        <v>2920</v>
      </c>
      <c r="C235">
        <v>45691</v>
      </c>
      <c r="D235" t="s">
        <v>7263</v>
      </c>
      <c r="E235" t="s">
        <v>2921</v>
      </c>
      <c r="F235">
        <v>45688</v>
      </c>
      <c r="G235" t="s">
        <v>2208</v>
      </c>
      <c r="H235" t="s">
        <v>7834</v>
      </c>
      <c r="I235" t="s">
        <v>8068</v>
      </c>
      <c r="J235">
        <v>1</v>
      </c>
      <c r="K235">
        <v>104.61</v>
      </c>
      <c r="L235" t="s">
        <v>2917</v>
      </c>
      <c r="M235">
        <v>104.61</v>
      </c>
      <c r="N235" t="s">
        <v>2917</v>
      </c>
      <c r="O235" t="s">
        <v>2208</v>
      </c>
      <c r="P235" t="s">
        <v>2208</v>
      </c>
      <c r="Q235" t="s">
        <v>2208</v>
      </c>
      <c r="R235" t="s">
        <v>2208</v>
      </c>
    </row>
    <row r="236" spans="1:18">
      <c r="A236" t="s">
        <v>2418</v>
      </c>
      <c r="B236" t="s">
        <v>2920</v>
      </c>
      <c r="C236">
        <v>45691</v>
      </c>
      <c r="D236" t="s">
        <v>7263</v>
      </c>
      <c r="E236" t="s">
        <v>2921</v>
      </c>
      <c r="F236">
        <v>45688</v>
      </c>
      <c r="G236" t="s">
        <v>2208</v>
      </c>
      <c r="H236" t="s">
        <v>7834</v>
      </c>
      <c r="I236" t="s">
        <v>8069</v>
      </c>
      <c r="J236">
        <v>1</v>
      </c>
      <c r="K236">
        <v>104.61</v>
      </c>
      <c r="L236" t="s">
        <v>2917</v>
      </c>
      <c r="M236">
        <v>104.61</v>
      </c>
      <c r="N236" t="s">
        <v>2917</v>
      </c>
      <c r="O236" t="s">
        <v>2208</v>
      </c>
      <c r="P236" t="s">
        <v>2208</v>
      </c>
      <c r="Q236" t="s">
        <v>2208</v>
      </c>
      <c r="R236" t="s">
        <v>2208</v>
      </c>
    </row>
    <row r="237" spans="1:18">
      <c r="A237" t="s">
        <v>2418</v>
      </c>
      <c r="B237" t="s">
        <v>2920</v>
      </c>
      <c r="C237">
        <v>45691</v>
      </c>
      <c r="D237" t="s">
        <v>7263</v>
      </c>
      <c r="E237" t="s">
        <v>2921</v>
      </c>
      <c r="F237">
        <v>45688</v>
      </c>
      <c r="G237" t="s">
        <v>2208</v>
      </c>
      <c r="H237" t="s">
        <v>7834</v>
      </c>
      <c r="I237" t="s">
        <v>8070</v>
      </c>
      <c r="J237">
        <v>1</v>
      </c>
      <c r="K237">
        <v>104.61</v>
      </c>
      <c r="L237" t="s">
        <v>2917</v>
      </c>
      <c r="M237">
        <v>104.61</v>
      </c>
      <c r="N237" t="s">
        <v>2917</v>
      </c>
      <c r="O237" t="s">
        <v>2208</v>
      </c>
      <c r="P237" t="s">
        <v>2208</v>
      </c>
      <c r="Q237" t="s">
        <v>2208</v>
      </c>
      <c r="R237" t="s">
        <v>2208</v>
      </c>
    </row>
    <row r="238" spans="1:18">
      <c r="A238" t="s">
        <v>2418</v>
      </c>
      <c r="B238" t="s">
        <v>2920</v>
      </c>
      <c r="C238">
        <v>45691</v>
      </c>
      <c r="D238" t="s">
        <v>7263</v>
      </c>
      <c r="E238" t="s">
        <v>2921</v>
      </c>
      <c r="F238">
        <v>45688</v>
      </c>
      <c r="G238" t="s">
        <v>2208</v>
      </c>
      <c r="H238" t="s">
        <v>7834</v>
      </c>
      <c r="I238" t="s">
        <v>8071</v>
      </c>
      <c r="J238">
        <v>2</v>
      </c>
      <c r="K238">
        <v>209.22</v>
      </c>
      <c r="L238" t="s">
        <v>2917</v>
      </c>
      <c r="M238">
        <v>209.22</v>
      </c>
      <c r="N238" t="s">
        <v>2917</v>
      </c>
      <c r="O238" t="s">
        <v>2208</v>
      </c>
      <c r="P238" t="s">
        <v>2208</v>
      </c>
      <c r="Q238" t="s">
        <v>2208</v>
      </c>
      <c r="R238" t="s">
        <v>2208</v>
      </c>
    </row>
    <row r="239" spans="1:18">
      <c r="A239" t="s">
        <v>2418</v>
      </c>
      <c r="B239" t="s">
        <v>2920</v>
      </c>
      <c r="C239">
        <v>45691</v>
      </c>
      <c r="D239" t="s">
        <v>7263</v>
      </c>
      <c r="E239" t="s">
        <v>2921</v>
      </c>
      <c r="F239">
        <v>45688</v>
      </c>
      <c r="G239" t="s">
        <v>2208</v>
      </c>
      <c r="H239" t="s">
        <v>7834</v>
      </c>
      <c r="I239" t="s">
        <v>8072</v>
      </c>
      <c r="J239">
        <v>1</v>
      </c>
      <c r="K239">
        <v>104.61</v>
      </c>
      <c r="L239" t="s">
        <v>2917</v>
      </c>
      <c r="M239">
        <v>104.61</v>
      </c>
      <c r="N239" t="s">
        <v>2917</v>
      </c>
      <c r="O239" t="s">
        <v>2208</v>
      </c>
      <c r="P239" t="s">
        <v>2208</v>
      </c>
      <c r="Q239" t="s">
        <v>2208</v>
      </c>
      <c r="R239" t="s">
        <v>2208</v>
      </c>
    </row>
    <row r="240" spans="1:18">
      <c r="A240" t="s">
        <v>2418</v>
      </c>
      <c r="B240" t="s">
        <v>2920</v>
      </c>
      <c r="C240">
        <v>45691</v>
      </c>
      <c r="D240" t="s">
        <v>7263</v>
      </c>
      <c r="E240" t="s">
        <v>2921</v>
      </c>
      <c r="F240">
        <v>45688</v>
      </c>
      <c r="G240" t="s">
        <v>2208</v>
      </c>
      <c r="H240" t="s">
        <v>7834</v>
      </c>
      <c r="I240" t="s">
        <v>8073</v>
      </c>
      <c r="J240">
        <v>1</v>
      </c>
      <c r="K240">
        <v>104.61</v>
      </c>
      <c r="L240" t="s">
        <v>2917</v>
      </c>
      <c r="M240">
        <v>104.61</v>
      </c>
      <c r="N240" t="s">
        <v>2917</v>
      </c>
      <c r="O240" t="s">
        <v>2208</v>
      </c>
      <c r="P240" t="s">
        <v>2208</v>
      </c>
      <c r="Q240" t="s">
        <v>2208</v>
      </c>
      <c r="R240" t="s">
        <v>2208</v>
      </c>
    </row>
    <row r="241" spans="1:18">
      <c r="A241" t="s">
        <v>2418</v>
      </c>
      <c r="B241" t="s">
        <v>2920</v>
      </c>
      <c r="C241">
        <v>45691</v>
      </c>
      <c r="D241" t="s">
        <v>7263</v>
      </c>
      <c r="E241" t="s">
        <v>2921</v>
      </c>
      <c r="F241">
        <v>45688</v>
      </c>
      <c r="G241" t="s">
        <v>2208</v>
      </c>
      <c r="H241" t="s">
        <v>7834</v>
      </c>
      <c r="I241" t="s">
        <v>8074</v>
      </c>
      <c r="J241">
        <v>1</v>
      </c>
      <c r="K241">
        <v>104.61</v>
      </c>
      <c r="L241" t="s">
        <v>2917</v>
      </c>
      <c r="M241">
        <v>104.61</v>
      </c>
      <c r="N241" t="s">
        <v>2917</v>
      </c>
      <c r="O241" t="s">
        <v>2208</v>
      </c>
      <c r="P241" t="s">
        <v>2208</v>
      </c>
      <c r="Q241" t="s">
        <v>2208</v>
      </c>
      <c r="R241" t="s">
        <v>2208</v>
      </c>
    </row>
    <row r="242" spans="1:18">
      <c r="A242" t="s">
        <v>2418</v>
      </c>
      <c r="B242" t="s">
        <v>2920</v>
      </c>
      <c r="C242">
        <v>45691</v>
      </c>
      <c r="D242" t="s">
        <v>7263</v>
      </c>
      <c r="E242" t="s">
        <v>2921</v>
      </c>
      <c r="F242">
        <v>45688</v>
      </c>
      <c r="G242" t="s">
        <v>2208</v>
      </c>
      <c r="H242" t="s">
        <v>7834</v>
      </c>
      <c r="I242" t="s">
        <v>8075</v>
      </c>
      <c r="J242">
        <v>0.7</v>
      </c>
      <c r="K242">
        <v>73.23</v>
      </c>
      <c r="L242" t="s">
        <v>2917</v>
      </c>
      <c r="M242">
        <v>73.23</v>
      </c>
      <c r="N242" t="s">
        <v>2917</v>
      </c>
      <c r="O242" t="s">
        <v>2208</v>
      </c>
      <c r="P242" t="s">
        <v>2208</v>
      </c>
      <c r="Q242" t="s">
        <v>2208</v>
      </c>
      <c r="R242" t="s">
        <v>2208</v>
      </c>
    </row>
    <row r="243" spans="1:18">
      <c r="A243" t="s">
        <v>2418</v>
      </c>
      <c r="B243" t="s">
        <v>2920</v>
      </c>
      <c r="C243">
        <v>45691</v>
      </c>
      <c r="D243" t="s">
        <v>7263</v>
      </c>
      <c r="E243" t="s">
        <v>2921</v>
      </c>
      <c r="F243">
        <v>45688</v>
      </c>
      <c r="G243" t="s">
        <v>2208</v>
      </c>
      <c r="H243" t="s">
        <v>7834</v>
      </c>
      <c r="I243" t="s">
        <v>8076</v>
      </c>
      <c r="J243">
        <v>2</v>
      </c>
      <c r="K243">
        <v>209.22</v>
      </c>
      <c r="L243" t="s">
        <v>2917</v>
      </c>
      <c r="M243">
        <v>209.22</v>
      </c>
      <c r="N243" t="s">
        <v>2917</v>
      </c>
      <c r="O243" t="s">
        <v>2208</v>
      </c>
      <c r="P243" t="s">
        <v>2208</v>
      </c>
      <c r="Q243" t="s">
        <v>2208</v>
      </c>
      <c r="R243" t="s">
        <v>2208</v>
      </c>
    </row>
    <row r="244" spans="1:18">
      <c r="A244" t="s">
        <v>2418</v>
      </c>
      <c r="B244" t="s">
        <v>2920</v>
      </c>
      <c r="C244">
        <v>45691</v>
      </c>
      <c r="D244" t="s">
        <v>7263</v>
      </c>
      <c r="E244" t="s">
        <v>2921</v>
      </c>
      <c r="F244">
        <v>45688</v>
      </c>
      <c r="G244" t="s">
        <v>2208</v>
      </c>
      <c r="H244" t="s">
        <v>7834</v>
      </c>
      <c r="I244" t="s">
        <v>8077</v>
      </c>
      <c r="J244">
        <v>1</v>
      </c>
      <c r="K244">
        <v>104.61</v>
      </c>
      <c r="L244" t="s">
        <v>2917</v>
      </c>
      <c r="M244">
        <v>104.61</v>
      </c>
      <c r="N244" t="s">
        <v>2917</v>
      </c>
      <c r="O244" t="s">
        <v>2208</v>
      </c>
      <c r="P244" t="s">
        <v>2208</v>
      </c>
      <c r="Q244" t="s">
        <v>2208</v>
      </c>
      <c r="R244" t="s">
        <v>2208</v>
      </c>
    </row>
    <row r="245" spans="1:18">
      <c r="A245" t="s">
        <v>2501</v>
      </c>
      <c r="B245" t="s">
        <v>2920</v>
      </c>
      <c r="C245">
        <v>45691</v>
      </c>
      <c r="D245" t="s">
        <v>7263</v>
      </c>
      <c r="E245" t="s">
        <v>2921</v>
      </c>
      <c r="F245">
        <v>45688</v>
      </c>
      <c r="G245" t="s">
        <v>2208</v>
      </c>
      <c r="H245" t="s">
        <v>7834</v>
      </c>
      <c r="I245" t="s">
        <v>8078</v>
      </c>
      <c r="J245">
        <v>1</v>
      </c>
      <c r="K245">
        <v>104.61</v>
      </c>
      <c r="L245" t="s">
        <v>2917</v>
      </c>
      <c r="M245">
        <v>104.61</v>
      </c>
      <c r="N245" t="s">
        <v>2917</v>
      </c>
      <c r="O245" t="s">
        <v>2208</v>
      </c>
      <c r="P245" t="s">
        <v>2208</v>
      </c>
      <c r="Q245" t="s">
        <v>2208</v>
      </c>
      <c r="R245" t="s">
        <v>2208</v>
      </c>
    </row>
    <row r="246" spans="1:18">
      <c r="A246" t="s">
        <v>2501</v>
      </c>
      <c r="B246" t="s">
        <v>2920</v>
      </c>
      <c r="C246">
        <v>45691</v>
      </c>
      <c r="D246" t="s">
        <v>7263</v>
      </c>
      <c r="E246" t="s">
        <v>2921</v>
      </c>
      <c r="F246">
        <v>45688</v>
      </c>
      <c r="G246" t="s">
        <v>2208</v>
      </c>
      <c r="H246" t="s">
        <v>7834</v>
      </c>
      <c r="I246" t="s">
        <v>8079</v>
      </c>
      <c r="J246">
        <v>1</v>
      </c>
      <c r="K246">
        <v>104.61</v>
      </c>
      <c r="L246" t="s">
        <v>2917</v>
      </c>
      <c r="M246">
        <v>104.61</v>
      </c>
      <c r="N246" t="s">
        <v>2917</v>
      </c>
      <c r="O246" t="s">
        <v>2208</v>
      </c>
      <c r="P246" t="s">
        <v>2208</v>
      </c>
      <c r="Q246" t="s">
        <v>2208</v>
      </c>
      <c r="R246" t="s">
        <v>2208</v>
      </c>
    </row>
    <row r="247" spans="1:18">
      <c r="A247" t="s">
        <v>2501</v>
      </c>
      <c r="B247" t="s">
        <v>2920</v>
      </c>
      <c r="C247">
        <v>45691</v>
      </c>
      <c r="D247" t="s">
        <v>7263</v>
      </c>
      <c r="E247" t="s">
        <v>2921</v>
      </c>
      <c r="F247">
        <v>45688</v>
      </c>
      <c r="G247" t="s">
        <v>2208</v>
      </c>
      <c r="H247" t="s">
        <v>7834</v>
      </c>
      <c r="I247" t="s">
        <v>8080</v>
      </c>
      <c r="J247">
        <v>1</v>
      </c>
      <c r="K247">
        <v>104.61</v>
      </c>
      <c r="L247" t="s">
        <v>2917</v>
      </c>
      <c r="M247">
        <v>104.61</v>
      </c>
      <c r="N247" t="s">
        <v>2917</v>
      </c>
      <c r="O247" t="s">
        <v>2208</v>
      </c>
      <c r="P247" t="s">
        <v>2208</v>
      </c>
      <c r="Q247" t="s">
        <v>2208</v>
      </c>
      <c r="R247" t="s">
        <v>2208</v>
      </c>
    </row>
    <row r="248" spans="1:18">
      <c r="A248" t="s">
        <v>2600</v>
      </c>
      <c r="B248" t="s">
        <v>2920</v>
      </c>
      <c r="C248">
        <v>45691</v>
      </c>
      <c r="D248" t="s">
        <v>7263</v>
      </c>
      <c r="E248" t="s">
        <v>2921</v>
      </c>
      <c r="F248">
        <v>45688</v>
      </c>
      <c r="G248" t="s">
        <v>2208</v>
      </c>
      <c r="H248" t="s">
        <v>7834</v>
      </c>
      <c r="I248" t="s">
        <v>8081</v>
      </c>
      <c r="J248">
        <v>0.5</v>
      </c>
      <c r="K248">
        <v>52.31</v>
      </c>
      <c r="L248" t="s">
        <v>2917</v>
      </c>
      <c r="M248">
        <v>52.31</v>
      </c>
      <c r="N248" t="s">
        <v>2917</v>
      </c>
      <c r="O248" t="s">
        <v>2208</v>
      </c>
      <c r="P248" t="s">
        <v>2208</v>
      </c>
      <c r="Q248" t="s">
        <v>2208</v>
      </c>
      <c r="R248" t="s">
        <v>2208</v>
      </c>
    </row>
    <row r="249" spans="1:18">
      <c r="A249" t="s">
        <v>2724</v>
      </c>
      <c r="B249" t="s">
        <v>2920</v>
      </c>
      <c r="C249">
        <v>45691</v>
      </c>
      <c r="D249" t="s">
        <v>7263</v>
      </c>
      <c r="E249" t="s">
        <v>2921</v>
      </c>
      <c r="F249">
        <v>45688</v>
      </c>
      <c r="G249" t="s">
        <v>2208</v>
      </c>
      <c r="H249" t="s">
        <v>7834</v>
      </c>
      <c r="I249" t="s">
        <v>8082</v>
      </c>
      <c r="J249">
        <v>1</v>
      </c>
      <c r="K249">
        <v>104.61</v>
      </c>
      <c r="L249" t="s">
        <v>2917</v>
      </c>
      <c r="M249">
        <v>104.61</v>
      </c>
      <c r="N249" t="s">
        <v>2917</v>
      </c>
      <c r="O249" t="s">
        <v>2208</v>
      </c>
      <c r="P249" t="s">
        <v>2208</v>
      </c>
      <c r="Q249" t="s">
        <v>2208</v>
      </c>
      <c r="R249" t="s">
        <v>2208</v>
      </c>
    </row>
    <row r="250" spans="1:18">
      <c r="A250" t="s">
        <v>2725</v>
      </c>
      <c r="B250" t="s">
        <v>2920</v>
      </c>
      <c r="C250">
        <v>45691</v>
      </c>
      <c r="D250" t="s">
        <v>7263</v>
      </c>
      <c r="E250" t="s">
        <v>2921</v>
      </c>
      <c r="F250">
        <v>45688</v>
      </c>
      <c r="G250" t="s">
        <v>2208</v>
      </c>
      <c r="H250" t="s">
        <v>7834</v>
      </c>
      <c r="I250" t="s">
        <v>8083</v>
      </c>
      <c r="J250">
        <v>0.5</v>
      </c>
      <c r="K250">
        <v>52.31</v>
      </c>
      <c r="L250" t="s">
        <v>2917</v>
      </c>
      <c r="M250">
        <v>52.31</v>
      </c>
      <c r="N250" t="s">
        <v>2917</v>
      </c>
      <c r="O250" t="s">
        <v>2208</v>
      </c>
      <c r="P250" t="s">
        <v>2208</v>
      </c>
      <c r="Q250" t="s">
        <v>2208</v>
      </c>
      <c r="R250" t="s">
        <v>2208</v>
      </c>
    </row>
    <row r="251" spans="1:18">
      <c r="A251" t="s">
        <v>2886</v>
      </c>
      <c r="B251" t="s">
        <v>2920</v>
      </c>
      <c r="C251">
        <v>45691</v>
      </c>
      <c r="D251" t="s">
        <v>7263</v>
      </c>
      <c r="E251" t="s">
        <v>2921</v>
      </c>
      <c r="F251">
        <v>45688</v>
      </c>
      <c r="G251" t="s">
        <v>2208</v>
      </c>
      <c r="H251" t="s">
        <v>7834</v>
      </c>
      <c r="I251" t="s">
        <v>8084</v>
      </c>
      <c r="J251">
        <v>1</v>
      </c>
      <c r="K251">
        <v>104.61</v>
      </c>
      <c r="L251" t="s">
        <v>2917</v>
      </c>
      <c r="M251">
        <v>104.61</v>
      </c>
      <c r="N251" t="s">
        <v>2917</v>
      </c>
      <c r="O251" t="s">
        <v>2208</v>
      </c>
      <c r="P251" t="s">
        <v>2208</v>
      </c>
      <c r="Q251" t="s">
        <v>2208</v>
      </c>
      <c r="R251" t="s">
        <v>2208</v>
      </c>
    </row>
    <row r="252" spans="1:18">
      <c r="A252" t="s">
        <v>2886</v>
      </c>
      <c r="B252" t="s">
        <v>2920</v>
      </c>
      <c r="C252">
        <v>45691</v>
      </c>
      <c r="D252" t="s">
        <v>7263</v>
      </c>
      <c r="E252" t="s">
        <v>2921</v>
      </c>
      <c r="F252">
        <v>45688</v>
      </c>
      <c r="G252" t="s">
        <v>2208</v>
      </c>
      <c r="H252" t="s">
        <v>7834</v>
      </c>
      <c r="I252" t="s">
        <v>8085</v>
      </c>
      <c r="J252">
        <v>1</v>
      </c>
      <c r="K252">
        <v>104.61</v>
      </c>
      <c r="L252" t="s">
        <v>2917</v>
      </c>
      <c r="M252">
        <v>104.61</v>
      </c>
      <c r="N252" t="s">
        <v>2917</v>
      </c>
      <c r="O252" t="s">
        <v>2208</v>
      </c>
      <c r="P252" t="s">
        <v>2208</v>
      </c>
      <c r="Q252" t="s">
        <v>2208</v>
      </c>
      <c r="R252" t="s">
        <v>2208</v>
      </c>
    </row>
    <row r="253" spans="1:18">
      <c r="A253" t="s">
        <v>2886</v>
      </c>
      <c r="B253" t="s">
        <v>2920</v>
      </c>
      <c r="C253">
        <v>45691</v>
      </c>
      <c r="D253" t="s">
        <v>7263</v>
      </c>
      <c r="E253" t="s">
        <v>2921</v>
      </c>
      <c r="F253">
        <v>45688</v>
      </c>
      <c r="G253" t="s">
        <v>2208</v>
      </c>
      <c r="H253" t="s">
        <v>7834</v>
      </c>
      <c r="I253" t="s">
        <v>8086</v>
      </c>
      <c r="J253">
        <v>1</v>
      </c>
      <c r="K253">
        <v>104.61</v>
      </c>
      <c r="L253" t="s">
        <v>2917</v>
      </c>
      <c r="M253">
        <v>104.61</v>
      </c>
      <c r="N253" t="s">
        <v>2917</v>
      </c>
      <c r="O253" t="s">
        <v>2208</v>
      </c>
      <c r="P253" t="s">
        <v>2208</v>
      </c>
      <c r="Q253" t="s">
        <v>2208</v>
      </c>
      <c r="R253" t="s">
        <v>2208</v>
      </c>
    </row>
    <row r="254" spans="1:18">
      <c r="A254" t="s">
        <v>2886</v>
      </c>
      <c r="B254" t="s">
        <v>2920</v>
      </c>
      <c r="C254">
        <v>45691</v>
      </c>
      <c r="D254" t="s">
        <v>7263</v>
      </c>
      <c r="E254" t="s">
        <v>2921</v>
      </c>
      <c r="F254">
        <v>45688</v>
      </c>
      <c r="G254" t="s">
        <v>2208</v>
      </c>
      <c r="H254" t="s">
        <v>7834</v>
      </c>
      <c r="I254" t="s">
        <v>8087</v>
      </c>
      <c r="J254">
        <v>1</v>
      </c>
      <c r="K254">
        <v>104.61</v>
      </c>
      <c r="L254" t="s">
        <v>2917</v>
      </c>
      <c r="M254">
        <v>104.61</v>
      </c>
      <c r="N254" t="s">
        <v>2917</v>
      </c>
      <c r="O254" t="s">
        <v>2208</v>
      </c>
      <c r="P254" t="s">
        <v>2208</v>
      </c>
      <c r="Q254" t="s">
        <v>2208</v>
      </c>
      <c r="R254" t="s">
        <v>2208</v>
      </c>
    </row>
    <row r="255" spans="1:18">
      <c r="A255" t="s">
        <v>2886</v>
      </c>
      <c r="B255" t="s">
        <v>2920</v>
      </c>
      <c r="C255">
        <v>45691</v>
      </c>
      <c r="D255" t="s">
        <v>7263</v>
      </c>
      <c r="E255" t="s">
        <v>2921</v>
      </c>
      <c r="F255">
        <v>45688</v>
      </c>
      <c r="G255" t="s">
        <v>2208</v>
      </c>
      <c r="H255" t="s">
        <v>7834</v>
      </c>
      <c r="I255" t="s">
        <v>8088</v>
      </c>
      <c r="J255">
        <v>1</v>
      </c>
      <c r="K255">
        <v>104.61</v>
      </c>
      <c r="L255" t="s">
        <v>2917</v>
      </c>
      <c r="M255">
        <v>104.61</v>
      </c>
      <c r="N255" t="s">
        <v>2917</v>
      </c>
      <c r="O255" t="s">
        <v>2208</v>
      </c>
      <c r="P255" t="s">
        <v>2208</v>
      </c>
      <c r="Q255" t="s">
        <v>2208</v>
      </c>
      <c r="R255" t="s">
        <v>2208</v>
      </c>
    </row>
    <row r="256" spans="1:18">
      <c r="A256" t="s">
        <v>2886</v>
      </c>
      <c r="B256" t="s">
        <v>2920</v>
      </c>
      <c r="C256">
        <v>45691</v>
      </c>
      <c r="D256" t="s">
        <v>7263</v>
      </c>
      <c r="E256" t="s">
        <v>2921</v>
      </c>
      <c r="F256">
        <v>45688</v>
      </c>
      <c r="G256" t="s">
        <v>2208</v>
      </c>
      <c r="H256" t="s">
        <v>7834</v>
      </c>
      <c r="I256" t="s">
        <v>8089</v>
      </c>
      <c r="J256">
        <v>1</v>
      </c>
      <c r="K256">
        <v>104.61</v>
      </c>
      <c r="L256" t="s">
        <v>2917</v>
      </c>
      <c r="M256">
        <v>104.61</v>
      </c>
      <c r="N256" t="s">
        <v>2917</v>
      </c>
      <c r="O256" t="s">
        <v>2208</v>
      </c>
      <c r="P256" t="s">
        <v>2208</v>
      </c>
      <c r="Q256" t="s">
        <v>2208</v>
      </c>
      <c r="R256" t="s">
        <v>2208</v>
      </c>
    </row>
    <row r="257" spans="1:18">
      <c r="A257" t="s">
        <v>2886</v>
      </c>
      <c r="B257" t="s">
        <v>2920</v>
      </c>
      <c r="C257">
        <v>45691</v>
      </c>
      <c r="D257" t="s">
        <v>7263</v>
      </c>
      <c r="E257" t="s">
        <v>2921</v>
      </c>
      <c r="F257">
        <v>45688</v>
      </c>
      <c r="G257" t="s">
        <v>2208</v>
      </c>
      <c r="H257" t="s">
        <v>7834</v>
      </c>
      <c r="I257" t="s">
        <v>8090</v>
      </c>
      <c r="J257">
        <v>1</v>
      </c>
      <c r="K257">
        <v>104.61</v>
      </c>
      <c r="L257" t="s">
        <v>2917</v>
      </c>
      <c r="M257">
        <v>104.61</v>
      </c>
      <c r="N257" t="s">
        <v>2917</v>
      </c>
      <c r="O257" t="s">
        <v>2208</v>
      </c>
      <c r="P257" t="s">
        <v>2208</v>
      </c>
      <c r="Q257" t="s">
        <v>2208</v>
      </c>
      <c r="R257" t="s">
        <v>2208</v>
      </c>
    </row>
    <row r="258" spans="1:18">
      <c r="A258" t="s">
        <v>2886</v>
      </c>
      <c r="B258" t="s">
        <v>2920</v>
      </c>
      <c r="C258">
        <v>45691</v>
      </c>
      <c r="D258" t="s">
        <v>7263</v>
      </c>
      <c r="E258" t="s">
        <v>2921</v>
      </c>
      <c r="F258">
        <v>45688</v>
      </c>
      <c r="G258" t="s">
        <v>2208</v>
      </c>
      <c r="H258" t="s">
        <v>7834</v>
      </c>
      <c r="I258" t="s">
        <v>8091</v>
      </c>
      <c r="J258">
        <v>1</v>
      </c>
      <c r="K258">
        <v>104.61</v>
      </c>
      <c r="L258" t="s">
        <v>2917</v>
      </c>
      <c r="M258">
        <v>104.61</v>
      </c>
      <c r="N258" t="s">
        <v>2917</v>
      </c>
      <c r="O258" t="s">
        <v>2208</v>
      </c>
      <c r="P258" t="s">
        <v>2208</v>
      </c>
      <c r="Q258" t="s">
        <v>2208</v>
      </c>
      <c r="R258" t="s">
        <v>2208</v>
      </c>
    </row>
    <row r="259" spans="1:18">
      <c r="A259" t="s">
        <v>6815</v>
      </c>
      <c r="B259" t="s">
        <v>2920</v>
      </c>
      <c r="C259">
        <v>45691</v>
      </c>
      <c r="D259" t="s">
        <v>7263</v>
      </c>
      <c r="E259" t="s">
        <v>2921</v>
      </c>
      <c r="F259">
        <v>45688</v>
      </c>
      <c r="G259" t="s">
        <v>2208</v>
      </c>
      <c r="H259" t="s">
        <v>7834</v>
      </c>
      <c r="I259" t="s">
        <v>8092</v>
      </c>
      <c r="J259">
        <v>1</v>
      </c>
      <c r="K259">
        <v>104.61</v>
      </c>
      <c r="L259" t="s">
        <v>2917</v>
      </c>
      <c r="M259">
        <v>104.61</v>
      </c>
      <c r="N259" t="s">
        <v>2917</v>
      </c>
      <c r="O259" t="s">
        <v>2208</v>
      </c>
      <c r="P259" t="s">
        <v>2208</v>
      </c>
      <c r="Q259" t="s">
        <v>2208</v>
      </c>
      <c r="R259" t="s">
        <v>2208</v>
      </c>
    </row>
    <row r="260" spans="1:18">
      <c r="A260" t="s">
        <v>6816</v>
      </c>
      <c r="B260" t="s">
        <v>2920</v>
      </c>
      <c r="C260">
        <v>45691</v>
      </c>
      <c r="D260" t="s">
        <v>7263</v>
      </c>
      <c r="E260" t="s">
        <v>2921</v>
      </c>
      <c r="F260">
        <v>45688</v>
      </c>
      <c r="G260" t="s">
        <v>2208</v>
      </c>
      <c r="H260" t="s">
        <v>7834</v>
      </c>
      <c r="I260" t="s">
        <v>8093</v>
      </c>
      <c r="J260">
        <v>1</v>
      </c>
      <c r="K260">
        <v>104.61</v>
      </c>
      <c r="L260" t="s">
        <v>2917</v>
      </c>
      <c r="M260">
        <v>104.61</v>
      </c>
      <c r="N260" t="s">
        <v>2917</v>
      </c>
      <c r="O260" t="s">
        <v>2208</v>
      </c>
      <c r="P260" t="s">
        <v>2208</v>
      </c>
      <c r="Q260" t="s">
        <v>2208</v>
      </c>
      <c r="R260" t="s">
        <v>2208</v>
      </c>
    </row>
    <row r="261" spans="1:18">
      <c r="A261" t="s">
        <v>6816</v>
      </c>
      <c r="B261" t="s">
        <v>2920</v>
      </c>
      <c r="C261">
        <v>45691</v>
      </c>
      <c r="D261" t="s">
        <v>7263</v>
      </c>
      <c r="E261" t="s">
        <v>2921</v>
      </c>
      <c r="F261">
        <v>45688</v>
      </c>
      <c r="G261" t="s">
        <v>2208</v>
      </c>
      <c r="H261" t="s">
        <v>7834</v>
      </c>
      <c r="I261" t="s">
        <v>8094</v>
      </c>
      <c r="J261">
        <v>1</v>
      </c>
      <c r="K261">
        <v>104.61</v>
      </c>
      <c r="L261" t="s">
        <v>2917</v>
      </c>
      <c r="M261">
        <v>104.61</v>
      </c>
      <c r="N261" t="s">
        <v>2917</v>
      </c>
      <c r="O261" t="s">
        <v>2208</v>
      </c>
      <c r="P261" t="s">
        <v>2208</v>
      </c>
      <c r="Q261" t="s">
        <v>2208</v>
      </c>
      <c r="R261" t="s">
        <v>2208</v>
      </c>
    </row>
    <row r="262" spans="1:18">
      <c r="A262" t="s">
        <v>6816</v>
      </c>
      <c r="B262" t="s">
        <v>2920</v>
      </c>
      <c r="C262">
        <v>45691</v>
      </c>
      <c r="D262" t="s">
        <v>7263</v>
      </c>
      <c r="E262" t="s">
        <v>2921</v>
      </c>
      <c r="F262">
        <v>45688</v>
      </c>
      <c r="G262" t="s">
        <v>2208</v>
      </c>
      <c r="H262" t="s">
        <v>7834</v>
      </c>
      <c r="I262" t="s">
        <v>8095</v>
      </c>
      <c r="J262">
        <v>1</v>
      </c>
      <c r="K262">
        <v>104.61</v>
      </c>
      <c r="L262" t="s">
        <v>2917</v>
      </c>
      <c r="M262">
        <v>104.61</v>
      </c>
      <c r="N262" t="s">
        <v>2917</v>
      </c>
      <c r="O262" t="s">
        <v>2208</v>
      </c>
      <c r="P262" t="s">
        <v>2208</v>
      </c>
      <c r="Q262" t="s">
        <v>2208</v>
      </c>
      <c r="R262" t="s">
        <v>2208</v>
      </c>
    </row>
    <row r="263" spans="1:18">
      <c r="A263" t="s">
        <v>6816</v>
      </c>
      <c r="B263" t="s">
        <v>2920</v>
      </c>
      <c r="C263">
        <v>45691</v>
      </c>
      <c r="D263" t="s">
        <v>7263</v>
      </c>
      <c r="E263" t="s">
        <v>2921</v>
      </c>
      <c r="F263">
        <v>45688</v>
      </c>
      <c r="G263" t="s">
        <v>2208</v>
      </c>
      <c r="H263" t="s">
        <v>7834</v>
      </c>
      <c r="I263" t="s">
        <v>8096</v>
      </c>
      <c r="J263">
        <v>1</v>
      </c>
      <c r="K263">
        <v>104.61</v>
      </c>
      <c r="L263" t="s">
        <v>2917</v>
      </c>
      <c r="M263">
        <v>104.61</v>
      </c>
      <c r="N263" t="s">
        <v>2917</v>
      </c>
      <c r="O263" t="s">
        <v>2208</v>
      </c>
      <c r="P263" t="s">
        <v>2208</v>
      </c>
      <c r="Q263" t="s">
        <v>2208</v>
      </c>
      <c r="R263" t="s">
        <v>2208</v>
      </c>
    </row>
    <row r="264" spans="1:18">
      <c r="A264" t="s">
        <v>6816</v>
      </c>
      <c r="B264" t="s">
        <v>2920</v>
      </c>
      <c r="C264">
        <v>45691</v>
      </c>
      <c r="D264" t="s">
        <v>7263</v>
      </c>
      <c r="E264" t="s">
        <v>2921</v>
      </c>
      <c r="F264">
        <v>45688</v>
      </c>
      <c r="G264" t="s">
        <v>2208</v>
      </c>
      <c r="H264" t="s">
        <v>7834</v>
      </c>
      <c r="I264" t="s">
        <v>8097</v>
      </c>
      <c r="J264">
        <v>1</v>
      </c>
      <c r="K264">
        <v>104.61</v>
      </c>
      <c r="L264" t="s">
        <v>2917</v>
      </c>
      <c r="M264">
        <v>104.61</v>
      </c>
      <c r="N264" t="s">
        <v>2917</v>
      </c>
      <c r="O264" t="s">
        <v>2208</v>
      </c>
      <c r="P264" t="s">
        <v>2208</v>
      </c>
      <c r="Q264" t="s">
        <v>2208</v>
      </c>
      <c r="R264" t="s">
        <v>2208</v>
      </c>
    </row>
    <row r="265" spans="1:18">
      <c r="A265" t="s">
        <v>7030</v>
      </c>
      <c r="B265" t="s">
        <v>2920</v>
      </c>
      <c r="C265">
        <v>45691</v>
      </c>
      <c r="D265" t="s">
        <v>7263</v>
      </c>
      <c r="E265" t="s">
        <v>2921</v>
      </c>
      <c r="F265">
        <v>45688</v>
      </c>
      <c r="G265" t="s">
        <v>2208</v>
      </c>
      <c r="H265" t="s">
        <v>7834</v>
      </c>
      <c r="I265" t="s">
        <v>8098</v>
      </c>
      <c r="J265">
        <v>2</v>
      </c>
      <c r="K265">
        <v>209.22</v>
      </c>
      <c r="L265" t="s">
        <v>2917</v>
      </c>
      <c r="M265">
        <v>209.22</v>
      </c>
      <c r="N265" t="s">
        <v>2917</v>
      </c>
      <c r="O265" t="s">
        <v>2208</v>
      </c>
      <c r="P265" t="s">
        <v>2208</v>
      </c>
      <c r="Q265" t="s">
        <v>2208</v>
      </c>
      <c r="R265" t="s">
        <v>2208</v>
      </c>
    </row>
    <row r="266" spans="1:18">
      <c r="A266" t="s">
        <v>7030</v>
      </c>
      <c r="B266" t="s">
        <v>2920</v>
      </c>
      <c r="C266">
        <v>45691</v>
      </c>
      <c r="D266" t="s">
        <v>7263</v>
      </c>
      <c r="E266" t="s">
        <v>2921</v>
      </c>
      <c r="F266">
        <v>45688</v>
      </c>
      <c r="G266" t="s">
        <v>2208</v>
      </c>
      <c r="H266" t="s">
        <v>7834</v>
      </c>
      <c r="I266" t="s">
        <v>8099</v>
      </c>
      <c r="J266">
        <v>2</v>
      </c>
      <c r="K266">
        <v>209.22</v>
      </c>
      <c r="L266" t="s">
        <v>2917</v>
      </c>
      <c r="M266">
        <v>209.22</v>
      </c>
      <c r="N266" t="s">
        <v>2917</v>
      </c>
      <c r="O266" t="s">
        <v>2208</v>
      </c>
      <c r="P266" t="s">
        <v>2208</v>
      </c>
      <c r="Q266" t="s">
        <v>2208</v>
      </c>
      <c r="R266" t="s">
        <v>2208</v>
      </c>
    </row>
    <row r="267" spans="1:18">
      <c r="A267" t="s">
        <v>7030</v>
      </c>
      <c r="B267" t="s">
        <v>2920</v>
      </c>
      <c r="C267">
        <v>45691</v>
      </c>
      <c r="D267" t="s">
        <v>7263</v>
      </c>
      <c r="E267" t="s">
        <v>2921</v>
      </c>
      <c r="F267">
        <v>45688</v>
      </c>
      <c r="G267" t="s">
        <v>2208</v>
      </c>
      <c r="H267" t="s">
        <v>7834</v>
      </c>
      <c r="I267" t="s">
        <v>8100</v>
      </c>
      <c r="J267">
        <v>2</v>
      </c>
      <c r="K267">
        <v>209.22</v>
      </c>
      <c r="L267" t="s">
        <v>2917</v>
      </c>
      <c r="M267">
        <v>209.22</v>
      </c>
      <c r="N267" t="s">
        <v>2917</v>
      </c>
      <c r="O267" t="s">
        <v>2208</v>
      </c>
      <c r="P267" t="s">
        <v>2208</v>
      </c>
      <c r="Q267" t="s">
        <v>2208</v>
      </c>
      <c r="R267" t="s">
        <v>2208</v>
      </c>
    </row>
    <row r="268" spans="1:18">
      <c r="A268" t="s">
        <v>7030</v>
      </c>
      <c r="B268" t="s">
        <v>2920</v>
      </c>
      <c r="C268">
        <v>45691</v>
      </c>
      <c r="D268" t="s">
        <v>7263</v>
      </c>
      <c r="E268" t="s">
        <v>2921</v>
      </c>
      <c r="F268">
        <v>45688</v>
      </c>
      <c r="G268" t="s">
        <v>2208</v>
      </c>
      <c r="H268" t="s">
        <v>7834</v>
      </c>
      <c r="I268" t="s">
        <v>8101</v>
      </c>
      <c r="J268">
        <v>2</v>
      </c>
      <c r="K268">
        <v>209.22</v>
      </c>
      <c r="L268" t="s">
        <v>2917</v>
      </c>
      <c r="M268">
        <v>209.22</v>
      </c>
      <c r="N268" t="s">
        <v>2917</v>
      </c>
      <c r="O268" t="s">
        <v>2208</v>
      </c>
      <c r="P268" t="s">
        <v>2208</v>
      </c>
      <c r="Q268" t="s">
        <v>2208</v>
      </c>
      <c r="R268" t="s">
        <v>2208</v>
      </c>
    </row>
    <row r="269" spans="1:18">
      <c r="A269" t="s">
        <v>7030</v>
      </c>
      <c r="B269" t="s">
        <v>2920</v>
      </c>
      <c r="C269">
        <v>45691</v>
      </c>
      <c r="D269" t="s">
        <v>7263</v>
      </c>
      <c r="E269" t="s">
        <v>2921</v>
      </c>
      <c r="F269">
        <v>45688</v>
      </c>
      <c r="G269" t="s">
        <v>2208</v>
      </c>
      <c r="H269" t="s">
        <v>7834</v>
      </c>
      <c r="I269" t="s">
        <v>8102</v>
      </c>
      <c r="J269">
        <v>2</v>
      </c>
      <c r="K269">
        <v>209.22</v>
      </c>
      <c r="L269" t="s">
        <v>2917</v>
      </c>
      <c r="M269">
        <v>209.22</v>
      </c>
      <c r="N269" t="s">
        <v>2917</v>
      </c>
      <c r="O269" t="s">
        <v>2208</v>
      </c>
      <c r="P269" t="s">
        <v>2208</v>
      </c>
      <c r="Q269" t="s">
        <v>2208</v>
      </c>
      <c r="R269" t="s">
        <v>2208</v>
      </c>
    </row>
    <row r="270" spans="1:18">
      <c r="A270" t="s">
        <v>7030</v>
      </c>
      <c r="B270" t="s">
        <v>2920</v>
      </c>
      <c r="C270">
        <v>45691</v>
      </c>
      <c r="D270" t="s">
        <v>7263</v>
      </c>
      <c r="E270" t="s">
        <v>2921</v>
      </c>
      <c r="F270">
        <v>45688</v>
      </c>
      <c r="G270" t="s">
        <v>2208</v>
      </c>
      <c r="H270" t="s">
        <v>7834</v>
      </c>
      <c r="I270" t="s">
        <v>8103</v>
      </c>
      <c r="J270">
        <v>2</v>
      </c>
      <c r="K270">
        <v>209.22</v>
      </c>
      <c r="L270" t="s">
        <v>2917</v>
      </c>
      <c r="M270">
        <v>209.22</v>
      </c>
      <c r="N270" t="s">
        <v>2917</v>
      </c>
      <c r="O270" t="s">
        <v>2208</v>
      </c>
      <c r="P270" t="s">
        <v>2208</v>
      </c>
      <c r="Q270" t="s">
        <v>2208</v>
      </c>
      <c r="R270" t="s">
        <v>2208</v>
      </c>
    </row>
    <row r="271" spans="1:18">
      <c r="A271" t="s">
        <v>7030</v>
      </c>
      <c r="B271" t="s">
        <v>2920</v>
      </c>
      <c r="C271">
        <v>45691</v>
      </c>
      <c r="D271" t="s">
        <v>7263</v>
      </c>
      <c r="E271" t="s">
        <v>2921</v>
      </c>
      <c r="F271">
        <v>45688</v>
      </c>
      <c r="G271" t="s">
        <v>2208</v>
      </c>
      <c r="H271" t="s">
        <v>7834</v>
      </c>
      <c r="I271" t="s">
        <v>8104</v>
      </c>
      <c r="J271">
        <v>2</v>
      </c>
      <c r="K271">
        <v>209.22</v>
      </c>
      <c r="L271" t="s">
        <v>2917</v>
      </c>
      <c r="M271">
        <v>209.22</v>
      </c>
      <c r="N271" t="s">
        <v>2917</v>
      </c>
      <c r="O271" t="s">
        <v>2208</v>
      </c>
      <c r="P271" t="s">
        <v>2208</v>
      </c>
      <c r="Q271" t="s">
        <v>2208</v>
      </c>
      <c r="R271" t="s">
        <v>2208</v>
      </c>
    </row>
    <row r="272" spans="1:18">
      <c r="A272" t="s">
        <v>7030</v>
      </c>
      <c r="B272" t="s">
        <v>2920</v>
      </c>
      <c r="C272">
        <v>45691</v>
      </c>
      <c r="D272" t="s">
        <v>7263</v>
      </c>
      <c r="E272" t="s">
        <v>2921</v>
      </c>
      <c r="F272">
        <v>45688</v>
      </c>
      <c r="G272" t="s">
        <v>2208</v>
      </c>
      <c r="H272" t="s">
        <v>7834</v>
      </c>
      <c r="I272" t="s">
        <v>8105</v>
      </c>
      <c r="J272">
        <v>2</v>
      </c>
      <c r="K272">
        <v>209.22</v>
      </c>
      <c r="L272" t="s">
        <v>2917</v>
      </c>
      <c r="M272">
        <v>209.22</v>
      </c>
      <c r="N272" t="s">
        <v>2917</v>
      </c>
      <c r="O272" t="s">
        <v>2208</v>
      </c>
      <c r="P272" t="s">
        <v>2208</v>
      </c>
      <c r="Q272" t="s">
        <v>2208</v>
      </c>
      <c r="R272" t="s">
        <v>2208</v>
      </c>
    </row>
    <row r="273" spans="1:18">
      <c r="A273" t="s">
        <v>7030</v>
      </c>
      <c r="B273" t="s">
        <v>2920</v>
      </c>
      <c r="C273">
        <v>45691</v>
      </c>
      <c r="D273" t="s">
        <v>7263</v>
      </c>
      <c r="E273" t="s">
        <v>2921</v>
      </c>
      <c r="F273">
        <v>45688</v>
      </c>
      <c r="G273" t="s">
        <v>2208</v>
      </c>
      <c r="H273" t="s">
        <v>7834</v>
      </c>
      <c r="I273" t="s">
        <v>8106</v>
      </c>
      <c r="J273">
        <v>2</v>
      </c>
      <c r="K273">
        <v>209.22</v>
      </c>
      <c r="L273" t="s">
        <v>2917</v>
      </c>
      <c r="M273">
        <v>209.22</v>
      </c>
      <c r="N273" t="s">
        <v>2917</v>
      </c>
      <c r="O273" t="s">
        <v>2208</v>
      </c>
      <c r="P273" t="s">
        <v>2208</v>
      </c>
      <c r="Q273" t="s">
        <v>2208</v>
      </c>
      <c r="R273" t="s">
        <v>2208</v>
      </c>
    </row>
    <row r="274" spans="1:18">
      <c r="A274" t="s">
        <v>7030</v>
      </c>
      <c r="B274" t="s">
        <v>2920</v>
      </c>
      <c r="C274">
        <v>45691</v>
      </c>
      <c r="D274" t="s">
        <v>7263</v>
      </c>
      <c r="E274" t="s">
        <v>2921</v>
      </c>
      <c r="F274">
        <v>45688</v>
      </c>
      <c r="G274" t="s">
        <v>2208</v>
      </c>
      <c r="H274" t="s">
        <v>7834</v>
      </c>
      <c r="I274" t="s">
        <v>8107</v>
      </c>
      <c r="J274">
        <v>2</v>
      </c>
      <c r="K274">
        <v>209.22</v>
      </c>
      <c r="L274" t="s">
        <v>2917</v>
      </c>
      <c r="M274">
        <v>209.22</v>
      </c>
      <c r="N274" t="s">
        <v>2917</v>
      </c>
      <c r="O274" t="s">
        <v>2208</v>
      </c>
      <c r="P274" t="s">
        <v>2208</v>
      </c>
      <c r="Q274" t="s">
        <v>2208</v>
      </c>
      <c r="R274" t="s">
        <v>2208</v>
      </c>
    </row>
    <row r="275" spans="1:18">
      <c r="A275" t="s">
        <v>7030</v>
      </c>
      <c r="B275" t="s">
        <v>2920</v>
      </c>
      <c r="C275">
        <v>45691</v>
      </c>
      <c r="D275" t="s">
        <v>7263</v>
      </c>
      <c r="E275" t="s">
        <v>2921</v>
      </c>
      <c r="F275">
        <v>45688</v>
      </c>
      <c r="G275" t="s">
        <v>2208</v>
      </c>
      <c r="H275" t="s">
        <v>7834</v>
      </c>
      <c r="I275" t="s">
        <v>8108</v>
      </c>
      <c r="J275">
        <v>2</v>
      </c>
      <c r="K275">
        <v>209.22</v>
      </c>
      <c r="L275" t="s">
        <v>2917</v>
      </c>
      <c r="M275">
        <v>209.22</v>
      </c>
      <c r="N275" t="s">
        <v>2917</v>
      </c>
      <c r="O275" t="s">
        <v>2208</v>
      </c>
      <c r="P275" t="s">
        <v>2208</v>
      </c>
      <c r="Q275" t="s">
        <v>2208</v>
      </c>
      <c r="R275" t="s">
        <v>2208</v>
      </c>
    </row>
    <row r="276" spans="1:18">
      <c r="A276" t="s">
        <v>7030</v>
      </c>
      <c r="B276" t="s">
        <v>2920</v>
      </c>
      <c r="C276">
        <v>45691</v>
      </c>
      <c r="D276" t="s">
        <v>7263</v>
      </c>
      <c r="E276" t="s">
        <v>2921</v>
      </c>
      <c r="F276">
        <v>45688</v>
      </c>
      <c r="G276" t="s">
        <v>2208</v>
      </c>
      <c r="H276" t="s">
        <v>7834</v>
      </c>
      <c r="I276" t="s">
        <v>8109</v>
      </c>
      <c r="J276">
        <v>1</v>
      </c>
      <c r="K276">
        <v>104.61</v>
      </c>
      <c r="L276" t="s">
        <v>2917</v>
      </c>
      <c r="M276">
        <v>104.61</v>
      </c>
      <c r="N276" t="s">
        <v>2917</v>
      </c>
      <c r="O276" t="s">
        <v>2208</v>
      </c>
      <c r="P276" t="s">
        <v>2208</v>
      </c>
      <c r="Q276" t="s">
        <v>2208</v>
      </c>
      <c r="R276" t="s">
        <v>2208</v>
      </c>
    </row>
    <row r="277" spans="1:18">
      <c r="A277" t="s">
        <v>7030</v>
      </c>
      <c r="B277" t="s">
        <v>2920</v>
      </c>
      <c r="C277">
        <v>45691</v>
      </c>
      <c r="D277" t="s">
        <v>7263</v>
      </c>
      <c r="E277" t="s">
        <v>2921</v>
      </c>
      <c r="F277">
        <v>45688</v>
      </c>
      <c r="G277" t="s">
        <v>2208</v>
      </c>
      <c r="H277" t="s">
        <v>7834</v>
      </c>
      <c r="I277" t="s">
        <v>8110</v>
      </c>
      <c r="J277">
        <v>1</v>
      </c>
      <c r="K277">
        <v>104.61</v>
      </c>
      <c r="L277" t="s">
        <v>2917</v>
      </c>
      <c r="M277">
        <v>104.61</v>
      </c>
      <c r="N277" t="s">
        <v>2917</v>
      </c>
      <c r="O277" t="s">
        <v>2208</v>
      </c>
      <c r="P277" t="s">
        <v>2208</v>
      </c>
      <c r="Q277" t="s">
        <v>2208</v>
      </c>
      <c r="R277" t="s">
        <v>2208</v>
      </c>
    </row>
    <row r="278" spans="1:18">
      <c r="A278" t="s">
        <v>7030</v>
      </c>
      <c r="B278" t="s">
        <v>2920</v>
      </c>
      <c r="C278">
        <v>45691</v>
      </c>
      <c r="D278" t="s">
        <v>7263</v>
      </c>
      <c r="E278" t="s">
        <v>2921</v>
      </c>
      <c r="F278">
        <v>45688</v>
      </c>
      <c r="G278" t="s">
        <v>2208</v>
      </c>
      <c r="H278" t="s">
        <v>7834</v>
      </c>
      <c r="I278" t="s">
        <v>8111</v>
      </c>
      <c r="J278">
        <v>1</v>
      </c>
      <c r="K278">
        <v>104.61</v>
      </c>
      <c r="L278" t="s">
        <v>2917</v>
      </c>
      <c r="M278">
        <v>104.61</v>
      </c>
      <c r="N278" t="s">
        <v>2917</v>
      </c>
      <c r="O278" t="s">
        <v>2208</v>
      </c>
      <c r="P278" t="s">
        <v>2208</v>
      </c>
      <c r="Q278" t="s">
        <v>2208</v>
      </c>
      <c r="R278" t="s">
        <v>2208</v>
      </c>
    </row>
    <row r="279" spans="1:18">
      <c r="A279" t="s">
        <v>7030</v>
      </c>
      <c r="B279" t="s">
        <v>2920</v>
      </c>
      <c r="C279">
        <v>45691</v>
      </c>
      <c r="D279" t="s">
        <v>7263</v>
      </c>
      <c r="E279" t="s">
        <v>2921</v>
      </c>
      <c r="F279">
        <v>45688</v>
      </c>
      <c r="G279" t="s">
        <v>2208</v>
      </c>
      <c r="H279" t="s">
        <v>7834</v>
      </c>
      <c r="I279" t="s">
        <v>8112</v>
      </c>
      <c r="J279">
        <v>2</v>
      </c>
      <c r="K279">
        <v>209.22</v>
      </c>
      <c r="L279" t="s">
        <v>2917</v>
      </c>
      <c r="M279">
        <v>209.22</v>
      </c>
      <c r="N279" t="s">
        <v>2917</v>
      </c>
      <c r="O279" t="s">
        <v>2208</v>
      </c>
      <c r="P279" t="s">
        <v>2208</v>
      </c>
      <c r="Q279" t="s">
        <v>2208</v>
      </c>
      <c r="R279" t="s">
        <v>2208</v>
      </c>
    </row>
    <row r="280" spans="1:18">
      <c r="A280" t="s">
        <v>7030</v>
      </c>
      <c r="B280" t="s">
        <v>2920</v>
      </c>
      <c r="C280">
        <v>45691</v>
      </c>
      <c r="D280" t="s">
        <v>7263</v>
      </c>
      <c r="E280" t="s">
        <v>2921</v>
      </c>
      <c r="F280">
        <v>45688</v>
      </c>
      <c r="G280" t="s">
        <v>2208</v>
      </c>
      <c r="H280" t="s">
        <v>7834</v>
      </c>
      <c r="I280" t="s">
        <v>8113</v>
      </c>
      <c r="J280">
        <v>2.5</v>
      </c>
      <c r="K280">
        <v>261.52999999999997</v>
      </c>
      <c r="L280" t="s">
        <v>2917</v>
      </c>
      <c r="M280">
        <v>261.52999999999997</v>
      </c>
      <c r="N280" t="s">
        <v>2917</v>
      </c>
      <c r="O280" t="s">
        <v>2208</v>
      </c>
      <c r="P280" t="s">
        <v>2208</v>
      </c>
      <c r="Q280" t="s">
        <v>2208</v>
      </c>
      <c r="R280" t="s">
        <v>2208</v>
      </c>
    </row>
    <row r="281" spans="1:18">
      <c r="A281" t="s">
        <v>7030</v>
      </c>
      <c r="B281" t="s">
        <v>2920</v>
      </c>
      <c r="C281">
        <v>45691</v>
      </c>
      <c r="D281" t="s">
        <v>7263</v>
      </c>
      <c r="E281" t="s">
        <v>2921</v>
      </c>
      <c r="F281">
        <v>45688</v>
      </c>
      <c r="G281" t="s">
        <v>2208</v>
      </c>
      <c r="H281" t="s">
        <v>7834</v>
      </c>
      <c r="I281" t="s">
        <v>8114</v>
      </c>
      <c r="J281">
        <v>2.5</v>
      </c>
      <c r="K281">
        <v>261.52999999999997</v>
      </c>
      <c r="L281" t="s">
        <v>2917</v>
      </c>
      <c r="M281">
        <v>261.52999999999997</v>
      </c>
      <c r="N281" t="s">
        <v>2917</v>
      </c>
      <c r="O281" t="s">
        <v>2208</v>
      </c>
      <c r="P281" t="s">
        <v>2208</v>
      </c>
      <c r="Q281" t="s">
        <v>2208</v>
      </c>
      <c r="R281" t="s">
        <v>2208</v>
      </c>
    </row>
    <row r="282" spans="1:18">
      <c r="A282" t="s">
        <v>7030</v>
      </c>
      <c r="B282" t="s">
        <v>2920</v>
      </c>
      <c r="C282">
        <v>45691</v>
      </c>
      <c r="D282" t="s">
        <v>7263</v>
      </c>
      <c r="E282" t="s">
        <v>2921</v>
      </c>
      <c r="F282">
        <v>45688</v>
      </c>
      <c r="G282" t="s">
        <v>2208</v>
      </c>
      <c r="H282" t="s">
        <v>7834</v>
      </c>
      <c r="I282" t="s">
        <v>8115</v>
      </c>
      <c r="J282">
        <v>2.5</v>
      </c>
      <c r="K282">
        <v>261.52999999999997</v>
      </c>
      <c r="L282" t="s">
        <v>2917</v>
      </c>
      <c r="M282">
        <v>261.52999999999997</v>
      </c>
      <c r="N282" t="s">
        <v>2917</v>
      </c>
      <c r="O282" t="s">
        <v>2208</v>
      </c>
      <c r="P282" t="s">
        <v>2208</v>
      </c>
      <c r="Q282" t="s">
        <v>2208</v>
      </c>
      <c r="R282" t="s">
        <v>2208</v>
      </c>
    </row>
    <row r="283" spans="1:18">
      <c r="A283" t="s">
        <v>7030</v>
      </c>
      <c r="B283" t="s">
        <v>2920</v>
      </c>
      <c r="C283">
        <v>45691</v>
      </c>
      <c r="D283" t="s">
        <v>7263</v>
      </c>
      <c r="E283" t="s">
        <v>2921</v>
      </c>
      <c r="F283">
        <v>45688</v>
      </c>
      <c r="G283" t="s">
        <v>2208</v>
      </c>
      <c r="H283" t="s">
        <v>7834</v>
      </c>
      <c r="I283" t="s">
        <v>8116</v>
      </c>
      <c r="J283">
        <v>2.5</v>
      </c>
      <c r="K283">
        <v>261.52999999999997</v>
      </c>
      <c r="L283" t="s">
        <v>2917</v>
      </c>
      <c r="M283">
        <v>261.52999999999997</v>
      </c>
      <c r="N283" t="s">
        <v>2917</v>
      </c>
      <c r="O283" t="s">
        <v>2208</v>
      </c>
      <c r="P283" t="s">
        <v>2208</v>
      </c>
      <c r="Q283" t="s">
        <v>2208</v>
      </c>
      <c r="R283" t="s">
        <v>2208</v>
      </c>
    </row>
    <row r="284" spans="1:18">
      <c r="A284" t="s">
        <v>7030</v>
      </c>
      <c r="B284" t="s">
        <v>2920</v>
      </c>
      <c r="C284">
        <v>45691</v>
      </c>
      <c r="D284" t="s">
        <v>7263</v>
      </c>
      <c r="E284" t="s">
        <v>2921</v>
      </c>
      <c r="F284">
        <v>45688</v>
      </c>
      <c r="G284" t="s">
        <v>2208</v>
      </c>
      <c r="H284" t="s">
        <v>7834</v>
      </c>
      <c r="I284" t="s">
        <v>8117</v>
      </c>
      <c r="J284">
        <v>2.5</v>
      </c>
      <c r="K284">
        <v>261.52999999999997</v>
      </c>
      <c r="L284" t="s">
        <v>2917</v>
      </c>
      <c r="M284">
        <v>261.52999999999997</v>
      </c>
      <c r="N284" t="s">
        <v>2917</v>
      </c>
      <c r="O284" t="s">
        <v>2208</v>
      </c>
      <c r="P284" t="s">
        <v>2208</v>
      </c>
      <c r="Q284" t="s">
        <v>2208</v>
      </c>
      <c r="R284" t="s">
        <v>2208</v>
      </c>
    </row>
    <row r="285" spans="1:18">
      <c r="A285" t="s">
        <v>7030</v>
      </c>
      <c r="B285" t="s">
        <v>2920</v>
      </c>
      <c r="C285">
        <v>45691</v>
      </c>
      <c r="D285" t="s">
        <v>7263</v>
      </c>
      <c r="E285" t="s">
        <v>2921</v>
      </c>
      <c r="F285">
        <v>45688</v>
      </c>
      <c r="G285" t="s">
        <v>2208</v>
      </c>
      <c r="H285" t="s">
        <v>7834</v>
      </c>
      <c r="I285" t="s">
        <v>8118</v>
      </c>
      <c r="J285">
        <v>2.5</v>
      </c>
      <c r="K285">
        <v>261.52999999999997</v>
      </c>
      <c r="L285" t="s">
        <v>2917</v>
      </c>
      <c r="M285">
        <v>261.52999999999997</v>
      </c>
      <c r="N285" t="s">
        <v>2917</v>
      </c>
      <c r="O285" t="s">
        <v>2208</v>
      </c>
      <c r="P285" t="s">
        <v>2208</v>
      </c>
      <c r="Q285" t="s">
        <v>2208</v>
      </c>
      <c r="R285" t="s">
        <v>2208</v>
      </c>
    </row>
    <row r="286" spans="1:18">
      <c r="A286" t="s">
        <v>7030</v>
      </c>
      <c r="B286" t="s">
        <v>2920</v>
      </c>
      <c r="C286">
        <v>45691</v>
      </c>
      <c r="D286" t="s">
        <v>7263</v>
      </c>
      <c r="E286" t="s">
        <v>2921</v>
      </c>
      <c r="F286">
        <v>45688</v>
      </c>
      <c r="G286" t="s">
        <v>2208</v>
      </c>
      <c r="H286" t="s">
        <v>7834</v>
      </c>
      <c r="I286" t="s">
        <v>8119</v>
      </c>
      <c r="J286">
        <v>2.5</v>
      </c>
      <c r="K286">
        <v>261.52999999999997</v>
      </c>
      <c r="L286" t="s">
        <v>2917</v>
      </c>
      <c r="M286">
        <v>261.52999999999997</v>
      </c>
      <c r="N286" t="s">
        <v>2917</v>
      </c>
      <c r="O286" t="s">
        <v>2208</v>
      </c>
      <c r="P286" t="s">
        <v>2208</v>
      </c>
      <c r="Q286" t="s">
        <v>2208</v>
      </c>
      <c r="R286" t="s">
        <v>2208</v>
      </c>
    </row>
    <row r="287" spans="1:18">
      <c r="A287" t="s">
        <v>7030</v>
      </c>
      <c r="B287" t="s">
        <v>2920</v>
      </c>
      <c r="C287">
        <v>45691</v>
      </c>
      <c r="D287" t="s">
        <v>7263</v>
      </c>
      <c r="E287" t="s">
        <v>2921</v>
      </c>
      <c r="F287">
        <v>45688</v>
      </c>
      <c r="G287" t="s">
        <v>2208</v>
      </c>
      <c r="H287" t="s">
        <v>7834</v>
      </c>
      <c r="I287" t="s">
        <v>8120</v>
      </c>
      <c r="J287">
        <v>2.5</v>
      </c>
      <c r="K287">
        <v>261.52999999999997</v>
      </c>
      <c r="L287" t="s">
        <v>2917</v>
      </c>
      <c r="M287">
        <v>261.52999999999997</v>
      </c>
      <c r="N287" t="s">
        <v>2917</v>
      </c>
      <c r="O287" t="s">
        <v>2208</v>
      </c>
      <c r="P287" t="s">
        <v>2208</v>
      </c>
      <c r="Q287" t="s">
        <v>2208</v>
      </c>
      <c r="R287" t="s">
        <v>2208</v>
      </c>
    </row>
    <row r="288" spans="1:18">
      <c r="A288" t="s">
        <v>7030</v>
      </c>
      <c r="B288" t="s">
        <v>2920</v>
      </c>
      <c r="C288">
        <v>45691</v>
      </c>
      <c r="D288" t="s">
        <v>7263</v>
      </c>
      <c r="E288" t="s">
        <v>2921</v>
      </c>
      <c r="F288">
        <v>45688</v>
      </c>
      <c r="G288" t="s">
        <v>2208</v>
      </c>
      <c r="H288" t="s">
        <v>7834</v>
      </c>
      <c r="I288" t="s">
        <v>8121</v>
      </c>
      <c r="J288">
        <v>2.5</v>
      </c>
      <c r="K288">
        <v>261.52999999999997</v>
      </c>
      <c r="L288" t="s">
        <v>2917</v>
      </c>
      <c r="M288">
        <v>261.52999999999997</v>
      </c>
      <c r="N288" t="s">
        <v>2917</v>
      </c>
      <c r="O288" t="s">
        <v>2208</v>
      </c>
      <c r="P288" t="s">
        <v>2208</v>
      </c>
      <c r="Q288" t="s">
        <v>2208</v>
      </c>
      <c r="R288" t="s">
        <v>2208</v>
      </c>
    </row>
    <row r="289" spans="1:18">
      <c r="A289" t="s">
        <v>7030</v>
      </c>
      <c r="B289" t="s">
        <v>2920</v>
      </c>
      <c r="C289">
        <v>45691</v>
      </c>
      <c r="D289" t="s">
        <v>7263</v>
      </c>
      <c r="E289" t="s">
        <v>2921</v>
      </c>
      <c r="F289">
        <v>45688</v>
      </c>
      <c r="G289" t="s">
        <v>2208</v>
      </c>
      <c r="H289" t="s">
        <v>7834</v>
      </c>
      <c r="I289" t="s">
        <v>8122</v>
      </c>
      <c r="J289">
        <v>2.5</v>
      </c>
      <c r="K289">
        <v>261.52999999999997</v>
      </c>
      <c r="L289" t="s">
        <v>2917</v>
      </c>
      <c r="M289">
        <v>261.52999999999997</v>
      </c>
      <c r="N289" t="s">
        <v>2917</v>
      </c>
      <c r="O289" t="s">
        <v>2208</v>
      </c>
      <c r="P289" t="s">
        <v>2208</v>
      </c>
      <c r="Q289" t="s">
        <v>2208</v>
      </c>
      <c r="R289" t="s">
        <v>2208</v>
      </c>
    </row>
    <row r="290" spans="1:18">
      <c r="A290" t="s">
        <v>7030</v>
      </c>
      <c r="B290" t="s">
        <v>2920</v>
      </c>
      <c r="C290">
        <v>45691</v>
      </c>
      <c r="D290" t="s">
        <v>7263</v>
      </c>
      <c r="E290" t="s">
        <v>2921</v>
      </c>
      <c r="F290">
        <v>45688</v>
      </c>
      <c r="G290" t="s">
        <v>2208</v>
      </c>
      <c r="H290" t="s">
        <v>7834</v>
      </c>
      <c r="I290" t="s">
        <v>8123</v>
      </c>
      <c r="J290">
        <v>2.5</v>
      </c>
      <c r="K290">
        <v>261.52999999999997</v>
      </c>
      <c r="L290" t="s">
        <v>2917</v>
      </c>
      <c r="M290">
        <v>261.52999999999997</v>
      </c>
      <c r="N290" t="s">
        <v>2917</v>
      </c>
      <c r="O290" t="s">
        <v>2208</v>
      </c>
      <c r="P290" t="s">
        <v>2208</v>
      </c>
      <c r="Q290" t="s">
        <v>2208</v>
      </c>
      <c r="R290" t="s">
        <v>2208</v>
      </c>
    </row>
    <row r="291" spans="1:18">
      <c r="A291" t="s">
        <v>7030</v>
      </c>
      <c r="B291" t="s">
        <v>2920</v>
      </c>
      <c r="C291">
        <v>45691</v>
      </c>
      <c r="D291" t="s">
        <v>7263</v>
      </c>
      <c r="E291" t="s">
        <v>2921</v>
      </c>
      <c r="F291">
        <v>45688</v>
      </c>
      <c r="G291" t="s">
        <v>2208</v>
      </c>
      <c r="H291" t="s">
        <v>7834</v>
      </c>
      <c r="I291" t="s">
        <v>8124</v>
      </c>
      <c r="J291">
        <v>2.5</v>
      </c>
      <c r="K291">
        <v>261.52999999999997</v>
      </c>
      <c r="L291" t="s">
        <v>2917</v>
      </c>
      <c r="M291">
        <v>261.52999999999997</v>
      </c>
      <c r="N291" t="s">
        <v>2917</v>
      </c>
      <c r="O291" t="s">
        <v>2208</v>
      </c>
      <c r="P291" t="s">
        <v>2208</v>
      </c>
      <c r="Q291" t="s">
        <v>2208</v>
      </c>
      <c r="R291" t="s">
        <v>2208</v>
      </c>
    </row>
    <row r="292" spans="1:18">
      <c r="A292" t="s">
        <v>7030</v>
      </c>
      <c r="B292" t="s">
        <v>2920</v>
      </c>
      <c r="C292">
        <v>45691</v>
      </c>
      <c r="D292" t="s">
        <v>7263</v>
      </c>
      <c r="E292" t="s">
        <v>2921</v>
      </c>
      <c r="F292">
        <v>45688</v>
      </c>
      <c r="G292" t="s">
        <v>2208</v>
      </c>
      <c r="H292" t="s">
        <v>7834</v>
      </c>
      <c r="I292" t="s">
        <v>8125</v>
      </c>
      <c r="J292">
        <v>1</v>
      </c>
      <c r="K292">
        <v>104.61</v>
      </c>
      <c r="L292" t="s">
        <v>2917</v>
      </c>
      <c r="M292">
        <v>104.61</v>
      </c>
      <c r="N292" t="s">
        <v>2917</v>
      </c>
      <c r="O292" t="s">
        <v>2208</v>
      </c>
      <c r="P292" t="s">
        <v>2208</v>
      </c>
      <c r="Q292" t="s">
        <v>2208</v>
      </c>
      <c r="R292" t="s">
        <v>2208</v>
      </c>
    </row>
    <row r="293" spans="1:18">
      <c r="A293" t="s">
        <v>7030</v>
      </c>
      <c r="B293" t="s">
        <v>2920</v>
      </c>
      <c r="C293">
        <v>45691</v>
      </c>
      <c r="D293" t="s">
        <v>7263</v>
      </c>
      <c r="E293" t="s">
        <v>2921</v>
      </c>
      <c r="F293">
        <v>45688</v>
      </c>
      <c r="G293" t="s">
        <v>2208</v>
      </c>
      <c r="H293" t="s">
        <v>7834</v>
      </c>
      <c r="I293" t="s">
        <v>8126</v>
      </c>
      <c r="J293">
        <v>1</v>
      </c>
      <c r="K293">
        <v>104.61</v>
      </c>
      <c r="L293" t="s">
        <v>2917</v>
      </c>
      <c r="M293">
        <v>104.61</v>
      </c>
      <c r="N293" t="s">
        <v>2917</v>
      </c>
      <c r="O293" t="s">
        <v>2208</v>
      </c>
      <c r="P293" t="s">
        <v>2208</v>
      </c>
      <c r="Q293" t="s">
        <v>2208</v>
      </c>
      <c r="R293" t="s">
        <v>2208</v>
      </c>
    </row>
    <row r="294" spans="1:18">
      <c r="A294" t="s">
        <v>7030</v>
      </c>
      <c r="B294" t="s">
        <v>2920</v>
      </c>
      <c r="C294">
        <v>45691</v>
      </c>
      <c r="D294" t="s">
        <v>7263</v>
      </c>
      <c r="E294" t="s">
        <v>2921</v>
      </c>
      <c r="F294">
        <v>45688</v>
      </c>
      <c r="G294" t="s">
        <v>2208</v>
      </c>
      <c r="H294" t="s">
        <v>7834</v>
      </c>
      <c r="I294" t="s">
        <v>8127</v>
      </c>
      <c r="J294">
        <v>1</v>
      </c>
      <c r="K294">
        <v>104.61</v>
      </c>
      <c r="L294" t="s">
        <v>2917</v>
      </c>
      <c r="M294">
        <v>104.61</v>
      </c>
      <c r="N294" t="s">
        <v>2917</v>
      </c>
      <c r="O294" t="s">
        <v>2208</v>
      </c>
      <c r="P294" t="s">
        <v>2208</v>
      </c>
      <c r="Q294" t="s">
        <v>2208</v>
      </c>
      <c r="R294" t="s">
        <v>2208</v>
      </c>
    </row>
    <row r="295" spans="1:18">
      <c r="A295" t="s">
        <v>7030</v>
      </c>
      <c r="B295" t="s">
        <v>2920</v>
      </c>
      <c r="C295">
        <v>45691</v>
      </c>
      <c r="D295" t="s">
        <v>7263</v>
      </c>
      <c r="E295" t="s">
        <v>2921</v>
      </c>
      <c r="F295">
        <v>45688</v>
      </c>
      <c r="G295" t="s">
        <v>2208</v>
      </c>
      <c r="H295" t="s">
        <v>7834</v>
      </c>
      <c r="I295" t="s">
        <v>8128</v>
      </c>
      <c r="J295">
        <v>1</v>
      </c>
      <c r="K295">
        <v>104.61</v>
      </c>
      <c r="L295" t="s">
        <v>2917</v>
      </c>
      <c r="M295">
        <v>104.61</v>
      </c>
      <c r="N295" t="s">
        <v>2917</v>
      </c>
      <c r="O295" t="s">
        <v>2208</v>
      </c>
      <c r="P295" t="s">
        <v>2208</v>
      </c>
      <c r="Q295" t="s">
        <v>2208</v>
      </c>
      <c r="R295" t="s">
        <v>2208</v>
      </c>
    </row>
    <row r="296" spans="1:18">
      <c r="A296" t="s">
        <v>7030</v>
      </c>
      <c r="B296" t="s">
        <v>2920</v>
      </c>
      <c r="C296">
        <v>45691</v>
      </c>
      <c r="D296" t="s">
        <v>7263</v>
      </c>
      <c r="E296" t="s">
        <v>2921</v>
      </c>
      <c r="F296">
        <v>45688</v>
      </c>
      <c r="G296" t="s">
        <v>2208</v>
      </c>
      <c r="H296" t="s">
        <v>7834</v>
      </c>
      <c r="I296" t="s">
        <v>8129</v>
      </c>
      <c r="J296">
        <v>1</v>
      </c>
      <c r="K296">
        <v>104.61</v>
      </c>
      <c r="L296" t="s">
        <v>2917</v>
      </c>
      <c r="M296">
        <v>104.61</v>
      </c>
      <c r="N296" t="s">
        <v>2917</v>
      </c>
      <c r="O296" t="s">
        <v>2208</v>
      </c>
      <c r="P296" t="s">
        <v>2208</v>
      </c>
      <c r="Q296" t="s">
        <v>2208</v>
      </c>
      <c r="R296" t="s">
        <v>2208</v>
      </c>
    </row>
    <row r="297" spans="1:18">
      <c r="A297" t="s">
        <v>7030</v>
      </c>
      <c r="B297" t="s">
        <v>2920</v>
      </c>
      <c r="C297">
        <v>45691</v>
      </c>
      <c r="D297" t="s">
        <v>7263</v>
      </c>
      <c r="E297" t="s">
        <v>2921</v>
      </c>
      <c r="F297">
        <v>45688</v>
      </c>
      <c r="G297" t="s">
        <v>2208</v>
      </c>
      <c r="H297" t="s">
        <v>7834</v>
      </c>
      <c r="I297" t="s">
        <v>8130</v>
      </c>
      <c r="J297">
        <v>1</v>
      </c>
      <c r="K297">
        <v>104.61</v>
      </c>
      <c r="L297" t="s">
        <v>2917</v>
      </c>
      <c r="M297">
        <v>104.61</v>
      </c>
      <c r="N297" t="s">
        <v>2917</v>
      </c>
      <c r="O297" t="s">
        <v>2208</v>
      </c>
      <c r="P297" t="s">
        <v>2208</v>
      </c>
      <c r="Q297" t="s">
        <v>2208</v>
      </c>
      <c r="R297" t="s">
        <v>2208</v>
      </c>
    </row>
    <row r="298" spans="1:18">
      <c r="A298" t="s">
        <v>7030</v>
      </c>
      <c r="B298" t="s">
        <v>2920</v>
      </c>
      <c r="C298">
        <v>45691</v>
      </c>
      <c r="D298" t="s">
        <v>7263</v>
      </c>
      <c r="E298" t="s">
        <v>2921</v>
      </c>
      <c r="F298">
        <v>45688</v>
      </c>
      <c r="G298" t="s">
        <v>2208</v>
      </c>
      <c r="H298" t="s">
        <v>7834</v>
      </c>
      <c r="I298" t="s">
        <v>8131</v>
      </c>
      <c r="J298">
        <v>1</v>
      </c>
      <c r="K298">
        <v>104.61</v>
      </c>
      <c r="L298" t="s">
        <v>2917</v>
      </c>
      <c r="M298">
        <v>104.61</v>
      </c>
      <c r="N298" t="s">
        <v>2917</v>
      </c>
      <c r="O298" t="s">
        <v>2208</v>
      </c>
      <c r="P298" t="s">
        <v>2208</v>
      </c>
      <c r="Q298" t="s">
        <v>2208</v>
      </c>
      <c r="R298" t="s">
        <v>2208</v>
      </c>
    </row>
    <row r="299" spans="1:18">
      <c r="A299" t="s">
        <v>7030</v>
      </c>
      <c r="B299" t="s">
        <v>2920</v>
      </c>
      <c r="C299">
        <v>45691</v>
      </c>
      <c r="D299" t="s">
        <v>7263</v>
      </c>
      <c r="E299" t="s">
        <v>2921</v>
      </c>
      <c r="F299">
        <v>45688</v>
      </c>
      <c r="G299" t="s">
        <v>2208</v>
      </c>
      <c r="H299" t="s">
        <v>7834</v>
      </c>
      <c r="I299" t="s">
        <v>8132</v>
      </c>
      <c r="J299">
        <v>1</v>
      </c>
      <c r="K299">
        <v>104.61</v>
      </c>
      <c r="L299" t="s">
        <v>2917</v>
      </c>
      <c r="M299">
        <v>104.61</v>
      </c>
      <c r="N299" t="s">
        <v>2917</v>
      </c>
      <c r="O299" t="s">
        <v>2208</v>
      </c>
      <c r="P299" t="s">
        <v>2208</v>
      </c>
      <c r="Q299" t="s">
        <v>2208</v>
      </c>
      <c r="R299" t="s">
        <v>2208</v>
      </c>
    </row>
    <row r="300" spans="1:18">
      <c r="A300" t="s">
        <v>7030</v>
      </c>
      <c r="B300" t="s">
        <v>2920</v>
      </c>
      <c r="C300">
        <v>45691</v>
      </c>
      <c r="D300" t="s">
        <v>7263</v>
      </c>
      <c r="E300" t="s">
        <v>2921</v>
      </c>
      <c r="F300">
        <v>45688</v>
      </c>
      <c r="G300" t="s">
        <v>2208</v>
      </c>
      <c r="H300" t="s">
        <v>7834</v>
      </c>
      <c r="I300" t="s">
        <v>8133</v>
      </c>
      <c r="J300">
        <v>2</v>
      </c>
      <c r="K300">
        <v>209.22</v>
      </c>
      <c r="L300" t="s">
        <v>2917</v>
      </c>
      <c r="M300">
        <v>209.22</v>
      </c>
      <c r="N300" t="s">
        <v>2917</v>
      </c>
      <c r="O300" t="s">
        <v>2208</v>
      </c>
      <c r="P300" t="s">
        <v>2208</v>
      </c>
      <c r="Q300" t="s">
        <v>2208</v>
      </c>
      <c r="R300" t="s">
        <v>2208</v>
      </c>
    </row>
    <row r="301" spans="1:18">
      <c r="A301" t="s">
        <v>7030</v>
      </c>
      <c r="B301" t="s">
        <v>2920</v>
      </c>
      <c r="C301">
        <v>45691</v>
      </c>
      <c r="D301" t="s">
        <v>7263</v>
      </c>
      <c r="E301" t="s">
        <v>2921</v>
      </c>
      <c r="F301">
        <v>45688</v>
      </c>
      <c r="G301" t="s">
        <v>2208</v>
      </c>
      <c r="H301" t="s">
        <v>7834</v>
      </c>
      <c r="I301" t="s">
        <v>8134</v>
      </c>
      <c r="J301">
        <v>1</v>
      </c>
      <c r="K301">
        <v>104.61</v>
      </c>
      <c r="L301" t="s">
        <v>2917</v>
      </c>
      <c r="M301">
        <v>104.61</v>
      </c>
      <c r="N301" t="s">
        <v>2917</v>
      </c>
      <c r="O301" t="s">
        <v>2208</v>
      </c>
      <c r="P301" t="s">
        <v>2208</v>
      </c>
      <c r="Q301" t="s">
        <v>2208</v>
      </c>
      <c r="R301" t="s">
        <v>2208</v>
      </c>
    </row>
    <row r="302" spans="1:18">
      <c r="A302" t="s">
        <v>7030</v>
      </c>
      <c r="B302" t="s">
        <v>2920</v>
      </c>
      <c r="C302">
        <v>45691</v>
      </c>
      <c r="D302" t="s">
        <v>7263</v>
      </c>
      <c r="E302" t="s">
        <v>2921</v>
      </c>
      <c r="F302">
        <v>45688</v>
      </c>
      <c r="G302" t="s">
        <v>2208</v>
      </c>
      <c r="H302" t="s">
        <v>7834</v>
      </c>
      <c r="I302" t="s">
        <v>8135</v>
      </c>
      <c r="J302">
        <v>1</v>
      </c>
      <c r="K302">
        <v>104.61</v>
      </c>
      <c r="L302" t="s">
        <v>2917</v>
      </c>
      <c r="M302">
        <v>104.61</v>
      </c>
      <c r="N302" t="s">
        <v>2917</v>
      </c>
      <c r="O302" t="s">
        <v>2208</v>
      </c>
      <c r="P302" t="s">
        <v>2208</v>
      </c>
      <c r="Q302" t="s">
        <v>2208</v>
      </c>
      <c r="R302" t="s">
        <v>2208</v>
      </c>
    </row>
    <row r="303" spans="1:18">
      <c r="A303" t="s">
        <v>7030</v>
      </c>
      <c r="B303" t="s">
        <v>2920</v>
      </c>
      <c r="C303">
        <v>45691</v>
      </c>
      <c r="D303" t="s">
        <v>7263</v>
      </c>
      <c r="E303" t="s">
        <v>2921</v>
      </c>
      <c r="F303">
        <v>45688</v>
      </c>
      <c r="G303" t="s">
        <v>2208</v>
      </c>
      <c r="H303" t="s">
        <v>7834</v>
      </c>
      <c r="I303" t="s">
        <v>8136</v>
      </c>
      <c r="J303">
        <v>2</v>
      </c>
      <c r="K303">
        <v>209.22</v>
      </c>
      <c r="L303" t="s">
        <v>2917</v>
      </c>
      <c r="M303">
        <v>209.22</v>
      </c>
      <c r="N303" t="s">
        <v>2917</v>
      </c>
      <c r="O303" t="s">
        <v>2208</v>
      </c>
      <c r="P303" t="s">
        <v>2208</v>
      </c>
      <c r="Q303" t="s">
        <v>2208</v>
      </c>
      <c r="R303" t="s">
        <v>2208</v>
      </c>
    </row>
    <row r="304" spans="1:18">
      <c r="A304" t="s">
        <v>7030</v>
      </c>
      <c r="B304" t="s">
        <v>2920</v>
      </c>
      <c r="C304">
        <v>45691</v>
      </c>
      <c r="D304" t="s">
        <v>7263</v>
      </c>
      <c r="E304" t="s">
        <v>2921</v>
      </c>
      <c r="F304">
        <v>45688</v>
      </c>
      <c r="G304" t="s">
        <v>2208</v>
      </c>
      <c r="H304" t="s">
        <v>7834</v>
      </c>
      <c r="I304" t="s">
        <v>8137</v>
      </c>
      <c r="J304">
        <v>2</v>
      </c>
      <c r="K304">
        <v>209.22</v>
      </c>
      <c r="L304" t="s">
        <v>2917</v>
      </c>
      <c r="M304">
        <v>209.22</v>
      </c>
      <c r="N304" t="s">
        <v>2917</v>
      </c>
      <c r="O304" t="s">
        <v>2208</v>
      </c>
      <c r="P304" t="s">
        <v>2208</v>
      </c>
      <c r="Q304" t="s">
        <v>2208</v>
      </c>
      <c r="R304" t="s">
        <v>2208</v>
      </c>
    </row>
    <row r="305" spans="1:18">
      <c r="A305" t="s">
        <v>7030</v>
      </c>
      <c r="B305" t="s">
        <v>2920</v>
      </c>
      <c r="C305">
        <v>45691</v>
      </c>
      <c r="D305" t="s">
        <v>7263</v>
      </c>
      <c r="E305" t="s">
        <v>2921</v>
      </c>
      <c r="F305">
        <v>45688</v>
      </c>
      <c r="G305" t="s">
        <v>2208</v>
      </c>
      <c r="H305" t="s">
        <v>7834</v>
      </c>
      <c r="I305" t="s">
        <v>8138</v>
      </c>
      <c r="J305">
        <v>2</v>
      </c>
      <c r="K305">
        <v>209.22</v>
      </c>
      <c r="L305" t="s">
        <v>2917</v>
      </c>
      <c r="M305">
        <v>209.22</v>
      </c>
      <c r="N305" t="s">
        <v>2917</v>
      </c>
      <c r="O305" t="s">
        <v>2208</v>
      </c>
      <c r="P305" t="s">
        <v>2208</v>
      </c>
      <c r="Q305" t="s">
        <v>2208</v>
      </c>
      <c r="R305" t="s">
        <v>2208</v>
      </c>
    </row>
    <row r="306" spans="1:18">
      <c r="A306" t="s">
        <v>7030</v>
      </c>
      <c r="B306" t="s">
        <v>2920</v>
      </c>
      <c r="C306">
        <v>45691</v>
      </c>
      <c r="D306" t="s">
        <v>7263</v>
      </c>
      <c r="E306" t="s">
        <v>2921</v>
      </c>
      <c r="F306">
        <v>45688</v>
      </c>
      <c r="G306" t="s">
        <v>2208</v>
      </c>
      <c r="H306" t="s">
        <v>7834</v>
      </c>
      <c r="I306" t="s">
        <v>8139</v>
      </c>
      <c r="J306">
        <v>2</v>
      </c>
      <c r="K306">
        <v>209.22</v>
      </c>
      <c r="L306" t="s">
        <v>2917</v>
      </c>
      <c r="M306">
        <v>209.22</v>
      </c>
      <c r="N306" t="s">
        <v>2917</v>
      </c>
      <c r="O306" t="s">
        <v>2208</v>
      </c>
      <c r="P306" t="s">
        <v>2208</v>
      </c>
      <c r="Q306" t="s">
        <v>2208</v>
      </c>
      <c r="R306" t="s">
        <v>2208</v>
      </c>
    </row>
    <row r="307" spans="1:18">
      <c r="A307" t="s">
        <v>7030</v>
      </c>
      <c r="B307" t="s">
        <v>2920</v>
      </c>
      <c r="C307">
        <v>45691</v>
      </c>
      <c r="D307" t="s">
        <v>7263</v>
      </c>
      <c r="E307" t="s">
        <v>2921</v>
      </c>
      <c r="F307">
        <v>45688</v>
      </c>
      <c r="G307" t="s">
        <v>2208</v>
      </c>
      <c r="H307" t="s">
        <v>7834</v>
      </c>
      <c r="I307" t="s">
        <v>8140</v>
      </c>
      <c r="J307">
        <v>1</v>
      </c>
      <c r="K307">
        <v>104.61</v>
      </c>
      <c r="L307" t="s">
        <v>2917</v>
      </c>
      <c r="M307">
        <v>104.61</v>
      </c>
      <c r="N307" t="s">
        <v>2917</v>
      </c>
      <c r="O307" t="s">
        <v>2208</v>
      </c>
      <c r="P307" t="s">
        <v>2208</v>
      </c>
      <c r="Q307" t="s">
        <v>2208</v>
      </c>
      <c r="R307" t="s">
        <v>2208</v>
      </c>
    </row>
    <row r="308" spans="1:18">
      <c r="A308" t="s">
        <v>7030</v>
      </c>
      <c r="B308" t="s">
        <v>2920</v>
      </c>
      <c r="C308">
        <v>45691</v>
      </c>
      <c r="D308" t="s">
        <v>7263</v>
      </c>
      <c r="E308" t="s">
        <v>2921</v>
      </c>
      <c r="F308">
        <v>45688</v>
      </c>
      <c r="G308" t="s">
        <v>2208</v>
      </c>
      <c r="H308" t="s">
        <v>7834</v>
      </c>
      <c r="I308" t="s">
        <v>8141</v>
      </c>
      <c r="J308">
        <v>1</v>
      </c>
      <c r="K308">
        <v>104.61</v>
      </c>
      <c r="L308" t="s">
        <v>2917</v>
      </c>
      <c r="M308">
        <v>104.61</v>
      </c>
      <c r="N308" t="s">
        <v>2917</v>
      </c>
      <c r="O308" t="s">
        <v>2208</v>
      </c>
      <c r="P308" t="s">
        <v>2208</v>
      </c>
      <c r="Q308" t="s">
        <v>2208</v>
      </c>
      <c r="R308" t="s">
        <v>2208</v>
      </c>
    </row>
    <row r="309" spans="1:18">
      <c r="A309" t="s">
        <v>7030</v>
      </c>
      <c r="B309" t="s">
        <v>2920</v>
      </c>
      <c r="C309">
        <v>45691</v>
      </c>
      <c r="D309" t="s">
        <v>7263</v>
      </c>
      <c r="E309" t="s">
        <v>2921</v>
      </c>
      <c r="F309">
        <v>45688</v>
      </c>
      <c r="G309" t="s">
        <v>2208</v>
      </c>
      <c r="H309" t="s">
        <v>7834</v>
      </c>
      <c r="I309" t="s">
        <v>8142</v>
      </c>
      <c r="J309">
        <v>3</v>
      </c>
      <c r="K309">
        <v>313.83</v>
      </c>
      <c r="L309" t="s">
        <v>2917</v>
      </c>
      <c r="M309">
        <v>313.83</v>
      </c>
      <c r="N309" t="s">
        <v>2917</v>
      </c>
      <c r="O309" t="s">
        <v>2208</v>
      </c>
      <c r="P309" t="s">
        <v>2208</v>
      </c>
      <c r="Q309" t="s">
        <v>2208</v>
      </c>
      <c r="R309" t="s">
        <v>2208</v>
      </c>
    </row>
    <row r="310" spans="1:18">
      <c r="A310" t="s">
        <v>7030</v>
      </c>
      <c r="B310" t="s">
        <v>2920</v>
      </c>
      <c r="C310">
        <v>45691</v>
      </c>
      <c r="D310" t="s">
        <v>7263</v>
      </c>
      <c r="E310" t="s">
        <v>2921</v>
      </c>
      <c r="F310">
        <v>45688</v>
      </c>
      <c r="G310" t="s">
        <v>2208</v>
      </c>
      <c r="H310" t="s">
        <v>7834</v>
      </c>
      <c r="I310" t="s">
        <v>8143</v>
      </c>
      <c r="J310">
        <v>3</v>
      </c>
      <c r="K310">
        <v>313.83</v>
      </c>
      <c r="L310" t="s">
        <v>2917</v>
      </c>
      <c r="M310">
        <v>313.83</v>
      </c>
      <c r="N310" t="s">
        <v>2917</v>
      </c>
      <c r="O310" t="s">
        <v>2208</v>
      </c>
      <c r="P310" t="s">
        <v>2208</v>
      </c>
      <c r="Q310" t="s">
        <v>2208</v>
      </c>
      <c r="R310" t="s">
        <v>2208</v>
      </c>
    </row>
    <row r="311" spans="1:18">
      <c r="A311" t="s">
        <v>7030</v>
      </c>
      <c r="B311" t="s">
        <v>2920</v>
      </c>
      <c r="C311">
        <v>45691</v>
      </c>
      <c r="D311" t="s">
        <v>7263</v>
      </c>
      <c r="E311" t="s">
        <v>2921</v>
      </c>
      <c r="F311">
        <v>45688</v>
      </c>
      <c r="G311" t="s">
        <v>2208</v>
      </c>
      <c r="H311" t="s">
        <v>7834</v>
      </c>
      <c r="I311" t="s">
        <v>8144</v>
      </c>
      <c r="J311">
        <v>3</v>
      </c>
      <c r="K311">
        <v>313.83</v>
      </c>
      <c r="L311" t="s">
        <v>2917</v>
      </c>
      <c r="M311">
        <v>313.83</v>
      </c>
      <c r="N311" t="s">
        <v>2917</v>
      </c>
      <c r="O311" t="s">
        <v>2208</v>
      </c>
      <c r="P311" t="s">
        <v>2208</v>
      </c>
      <c r="Q311" t="s">
        <v>2208</v>
      </c>
      <c r="R311" t="s">
        <v>2208</v>
      </c>
    </row>
    <row r="312" spans="1:18">
      <c r="A312" t="s">
        <v>7030</v>
      </c>
      <c r="B312" t="s">
        <v>2920</v>
      </c>
      <c r="C312">
        <v>45691</v>
      </c>
      <c r="D312" t="s">
        <v>7263</v>
      </c>
      <c r="E312" t="s">
        <v>2921</v>
      </c>
      <c r="F312">
        <v>45688</v>
      </c>
      <c r="G312" t="s">
        <v>2208</v>
      </c>
      <c r="H312" t="s">
        <v>7834</v>
      </c>
      <c r="I312" t="s">
        <v>8145</v>
      </c>
      <c r="J312">
        <v>1</v>
      </c>
      <c r="K312">
        <v>104.61</v>
      </c>
      <c r="L312" t="s">
        <v>2917</v>
      </c>
      <c r="M312">
        <v>104.61</v>
      </c>
      <c r="N312" t="s">
        <v>2917</v>
      </c>
      <c r="O312" t="s">
        <v>2208</v>
      </c>
      <c r="P312" t="s">
        <v>2208</v>
      </c>
      <c r="Q312" t="s">
        <v>2208</v>
      </c>
      <c r="R312" t="s">
        <v>2208</v>
      </c>
    </row>
    <row r="313" spans="1:18">
      <c r="A313" t="s">
        <v>7030</v>
      </c>
      <c r="B313" t="s">
        <v>2920</v>
      </c>
      <c r="C313">
        <v>45691</v>
      </c>
      <c r="D313" t="s">
        <v>7263</v>
      </c>
      <c r="E313" t="s">
        <v>2921</v>
      </c>
      <c r="F313">
        <v>45688</v>
      </c>
      <c r="G313" t="s">
        <v>2208</v>
      </c>
      <c r="H313" t="s">
        <v>7834</v>
      </c>
      <c r="I313" t="s">
        <v>8146</v>
      </c>
      <c r="J313">
        <v>6</v>
      </c>
      <c r="K313">
        <v>627.66</v>
      </c>
      <c r="L313" t="s">
        <v>2917</v>
      </c>
      <c r="M313">
        <v>627.66</v>
      </c>
      <c r="N313" t="s">
        <v>2917</v>
      </c>
      <c r="O313" t="s">
        <v>2208</v>
      </c>
      <c r="P313" t="s">
        <v>2208</v>
      </c>
      <c r="Q313" t="s">
        <v>2208</v>
      </c>
      <c r="R313" t="s">
        <v>2208</v>
      </c>
    </row>
    <row r="314" spans="1:18">
      <c r="A314" t="s">
        <v>7030</v>
      </c>
      <c r="B314" t="s">
        <v>2920</v>
      </c>
      <c r="C314">
        <v>45691</v>
      </c>
      <c r="D314" t="s">
        <v>7263</v>
      </c>
      <c r="E314" t="s">
        <v>2921</v>
      </c>
      <c r="F314">
        <v>45688</v>
      </c>
      <c r="G314" t="s">
        <v>2208</v>
      </c>
      <c r="H314" t="s">
        <v>7834</v>
      </c>
      <c r="I314" t="s">
        <v>8147</v>
      </c>
      <c r="J314">
        <v>1</v>
      </c>
      <c r="K314">
        <v>104.61</v>
      </c>
      <c r="L314" t="s">
        <v>2917</v>
      </c>
      <c r="M314">
        <v>104.61</v>
      </c>
      <c r="N314" t="s">
        <v>2917</v>
      </c>
      <c r="O314" t="s">
        <v>2208</v>
      </c>
      <c r="P314" t="s">
        <v>2208</v>
      </c>
      <c r="Q314" t="s">
        <v>2208</v>
      </c>
      <c r="R314" t="s">
        <v>2208</v>
      </c>
    </row>
    <row r="315" spans="1:18">
      <c r="A315" t="s">
        <v>7030</v>
      </c>
      <c r="B315" t="s">
        <v>2920</v>
      </c>
      <c r="C315">
        <v>45691</v>
      </c>
      <c r="D315" t="s">
        <v>7263</v>
      </c>
      <c r="E315" t="s">
        <v>2921</v>
      </c>
      <c r="F315">
        <v>45688</v>
      </c>
      <c r="G315" t="s">
        <v>2208</v>
      </c>
      <c r="H315" t="s">
        <v>7834</v>
      </c>
      <c r="I315" t="s">
        <v>8148</v>
      </c>
      <c r="J315">
        <v>1</v>
      </c>
      <c r="K315">
        <v>104.61</v>
      </c>
      <c r="L315" t="s">
        <v>2917</v>
      </c>
      <c r="M315">
        <v>104.61</v>
      </c>
      <c r="N315" t="s">
        <v>2917</v>
      </c>
      <c r="O315" t="s">
        <v>2208</v>
      </c>
      <c r="P315" t="s">
        <v>2208</v>
      </c>
      <c r="Q315" t="s">
        <v>2208</v>
      </c>
      <c r="R315" t="s">
        <v>2208</v>
      </c>
    </row>
    <row r="316" spans="1:18">
      <c r="A316" t="s">
        <v>7030</v>
      </c>
      <c r="B316" t="s">
        <v>2920</v>
      </c>
      <c r="C316">
        <v>45691</v>
      </c>
      <c r="D316" t="s">
        <v>7263</v>
      </c>
      <c r="E316" t="s">
        <v>2921</v>
      </c>
      <c r="F316">
        <v>45688</v>
      </c>
      <c r="G316" t="s">
        <v>2208</v>
      </c>
      <c r="H316" t="s">
        <v>7834</v>
      </c>
      <c r="I316" t="s">
        <v>8149</v>
      </c>
      <c r="J316">
        <v>2</v>
      </c>
      <c r="K316">
        <v>209.22</v>
      </c>
      <c r="L316" t="s">
        <v>2917</v>
      </c>
      <c r="M316">
        <v>209.22</v>
      </c>
      <c r="N316" t="s">
        <v>2917</v>
      </c>
      <c r="O316" t="s">
        <v>2208</v>
      </c>
      <c r="P316" t="s">
        <v>2208</v>
      </c>
      <c r="Q316" t="s">
        <v>2208</v>
      </c>
      <c r="R316" t="s">
        <v>2208</v>
      </c>
    </row>
    <row r="317" spans="1:18">
      <c r="A317" t="s">
        <v>7030</v>
      </c>
      <c r="B317" t="s">
        <v>2920</v>
      </c>
      <c r="C317">
        <v>45691</v>
      </c>
      <c r="D317" t="s">
        <v>7263</v>
      </c>
      <c r="E317" t="s">
        <v>2921</v>
      </c>
      <c r="F317">
        <v>45688</v>
      </c>
      <c r="G317" t="s">
        <v>2208</v>
      </c>
      <c r="H317" t="s">
        <v>7834</v>
      </c>
      <c r="I317" t="s">
        <v>8150</v>
      </c>
      <c r="J317">
        <v>1.1000000000000001</v>
      </c>
      <c r="K317">
        <v>115.07</v>
      </c>
      <c r="L317" t="s">
        <v>2917</v>
      </c>
      <c r="M317">
        <v>115.07</v>
      </c>
      <c r="N317" t="s">
        <v>2917</v>
      </c>
      <c r="O317" t="s">
        <v>2208</v>
      </c>
      <c r="P317" t="s">
        <v>2208</v>
      </c>
      <c r="Q317" t="s">
        <v>2208</v>
      </c>
      <c r="R317" t="s">
        <v>2208</v>
      </c>
    </row>
    <row r="318" spans="1:18">
      <c r="A318" t="s">
        <v>7030</v>
      </c>
      <c r="B318" t="s">
        <v>2920</v>
      </c>
      <c r="C318">
        <v>45691</v>
      </c>
      <c r="D318" t="s">
        <v>7263</v>
      </c>
      <c r="E318" t="s">
        <v>2921</v>
      </c>
      <c r="F318">
        <v>45688</v>
      </c>
      <c r="G318" t="s">
        <v>2208</v>
      </c>
      <c r="H318" t="s">
        <v>7834</v>
      </c>
      <c r="I318" t="s">
        <v>8151</v>
      </c>
      <c r="J318">
        <v>1</v>
      </c>
      <c r="K318">
        <v>104.61</v>
      </c>
      <c r="L318" t="s">
        <v>2917</v>
      </c>
      <c r="M318">
        <v>104.61</v>
      </c>
      <c r="N318" t="s">
        <v>2917</v>
      </c>
      <c r="O318" t="s">
        <v>2208</v>
      </c>
      <c r="P318" t="s">
        <v>2208</v>
      </c>
      <c r="Q318" t="s">
        <v>2208</v>
      </c>
      <c r="R318" t="s">
        <v>2208</v>
      </c>
    </row>
    <row r="319" spans="1:18">
      <c r="A319" t="s">
        <v>7030</v>
      </c>
      <c r="B319" t="s">
        <v>2920</v>
      </c>
      <c r="C319">
        <v>45691</v>
      </c>
      <c r="D319" t="s">
        <v>7263</v>
      </c>
      <c r="E319" t="s">
        <v>2921</v>
      </c>
      <c r="F319">
        <v>45688</v>
      </c>
      <c r="G319" t="s">
        <v>2208</v>
      </c>
      <c r="H319" t="s">
        <v>7834</v>
      </c>
      <c r="I319" t="s">
        <v>8152</v>
      </c>
      <c r="J319">
        <v>1</v>
      </c>
      <c r="K319">
        <v>104.61</v>
      </c>
      <c r="L319" t="s">
        <v>2917</v>
      </c>
      <c r="M319">
        <v>104.61</v>
      </c>
      <c r="N319" t="s">
        <v>2917</v>
      </c>
      <c r="O319" t="s">
        <v>2208</v>
      </c>
      <c r="P319" t="s">
        <v>2208</v>
      </c>
      <c r="Q319" t="s">
        <v>2208</v>
      </c>
      <c r="R319" t="s">
        <v>2208</v>
      </c>
    </row>
    <row r="320" spans="1:18">
      <c r="A320" t="s">
        <v>7030</v>
      </c>
      <c r="B320" t="s">
        <v>2920</v>
      </c>
      <c r="C320">
        <v>45691</v>
      </c>
      <c r="D320" t="s">
        <v>7263</v>
      </c>
      <c r="E320" t="s">
        <v>2921</v>
      </c>
      <c r="F320">
        <v>45688</v>
      </c>
      <c r="G320" t="s">
        <v>2208</v>
      </c>
      <c r="H320" t="s">
        <v>7834</v>
      </c>
      <c r="I320" t="s">
        <v>8153</v>
      </c>
      <c r="J320">
        <v>1</v>
      </c>
      <c r="K320">
        <v>104.61</v>
      </c>
      <c r="L320" t="s">
        <v>2917</v>
      </c>
      <c r="M320">
        <v>104.61</v>
      </c>
      <c r="N320" t="s">
        <v>2917</v>
      </c>
      <c r="O320" t="s">
        <v>2208</v>
      </c>
      <c r="P320" t="s">
        <v>2208</v>
      </c>
      <c r="Q320" t="s">
        <v>2208</v>
      </c>
      <c r="R320" t="s">
        <v>2208</v>
      </c>
    </row>
    <row r="321" spans="1:18">
      <c r="A321" t="s">
        <v>7030</v>
      </c>
      <c r="B321" t="s">
        <v>2920</v>
      </c>
      <c r="C321">
        <v>45691</v>
      </c>
      <c r="D321" t="s">
        <v>7263</v>
      </c>
      <c r="E321" t="s">
        <v>2921</v>
      </c>
      <c r="F321">
        <v>45688</v>
      </c>
      <c r="G321" t="s">
        <v>2208</v>
      </c>
      <c r="H321" t="s">
        <v>7834</v>
      </c>
      <c r="I321" t="s">
        <v>8154</v>
      </c>
      <c r="J321">
        <v>1</v>
      </c>
      <c r="K321">
        <v>104.61</v>
      </c>
      <c r="L321" t="s">
        <v>2917</v>
      </c>
      <c r="M321">
        <v>104.61</v>
      </c>
      <c r="N321" t="s">
        <v>2917</v>
      </c>
      <c r="O321" t="s">
        <v>2208</v>
      </c>
      <c r="P321" t="s">
        <v>2208</v>
      </c>
      <c r="Q321" t="s">
        <v>2208</v>
      </c>
      <c r="R321" t="s">
        <v>2208</v>
      </c>
    </row>
    <row r="322" spans="1:18">
      <c r="A322" t="s">
        <v>7030</v>
      </c>
      <c r="B322" t="s">
        <v>2920</v>
      </c>
      <c r="C322">
        <v>45691</v>
      </c>
      <c r="D322" t="s">
        <v>7263</v>
      </c>
      <c r="E322" t="s">
        <v>2921</v>
      </c>
      <c r="F322">
        <v>45688</v>
      </c>
      <c r="G322" t="s">
        <v>2208</v>
      </c>
      <c r="H322" t="s">
        <v>7834</v>
      </c>
      <c r="I322" t="s">
        <v>8155</v>
      </c>
      <c r="J322">
        <v>1</v>
      </c>
      <c r="K322">
        <v>104.61</v>
      </c>
      <c r="L322" t="s">
        <v>2917</v>
      </c>
      <c r="M322">
        <v>104.61</v>
      </c>
      <c r="N322" t="s">
        <v>2917</v>
      </c>
      <c r="O322" t="s">
        <v>2208</v>
      </c>
      <c r="P322" t="s">
        <v>2208</v>
      </c>
      <c r="Q322" t="s">
        <v>2208</v>
      </c>
      <c r="R322" t="s">
        <v>2208</v>
      </c>
    </row>
    <row r="323" spans="1:18">
      <c r="A323" t="s">
        <v>7030</v>
      </c>
      <c r="B323" t="s">
        <v>2920</v>
      </c>
      <c r="C323">
        <v>45691</v>
      </c>
      <c r="D323" t="s">
        <v>7263</v>
      </c>
      <c r="E323" t="s">
        <v>2921</v>
      </c>
      <c r="F323">
        <v>45688</v>
      </c>
      <c r="G323" t="s">
        <v>2208</v>
      </c>
      <c r="H323" t="s">
        <v>7834</v>
      </c>
      <c r="I323" t="s">
        <v>8156</v>
      </c>
      <c r="J323">
        <v>1</v>
      </c>
      <c r="K323">
        <v>104.61</v>
      </c>
      <c r="L323" t="s">
        <v>2917</v>
      </c>
      <c r="M323">
        <v>104.61</v>
      </c>
      <c r="N323" t="s">
        <v>2917</v>
      </c>
      <c r="O323" t="s">
        <v>2208</v>
      </c>
      <c r="P323" t="s">
        <v>2208</v>
      </c>
      <c r="Q323" t="s">
        <v>2208</v>
      </c>
      <c r="R323" t="s">
        <v>2208</v>
      </c>
    </row>
    <row r="324" spans="1:18">
      <c r="A324" t="s">
        <v>7030</v>
      </c>
      <c r="B324" t="s">
        <v>2920</v>
      </c>
      <c r="C324">
        <v>45691</v>
      </c>
      <c r="D324" t="s">
        <v>7263</v>
      </c>
      <c r="E324" t="s">
        <v>2921</v>
      </c>
      <c r="F324">
        <v>45688</v>
      </c>
      <c r="G324" t="s">
        <v>2208</v>
      </c>
      <c r="H324" t="s">
        <v>7834</v>
      </c>
      <c r="I324" t="s">
        <v>8157</v>
      </c>
      <c r="J324">
        <v>2</v>
      </c>
      <c r="K324">
        <v>209.22</v>
      </c>
      <c r="L324" t="s">
        <v>2917</v>
      </c>
      <c r="M324">
        <v>209.22</v>
      </c>
      <c r="N324" t="s">
        <v>2917</v>
      </c>
      <c r="O324" t="s">
        <v>2208</v>
      </c>
      <c r="P324" t="s">
        <v>2208</v>
      </c>
      <c r="Q324" t="s">
        <v>2208</v>
      </c>
      <c r="R324" t="s">
        <v>2208</v>
      </c>
    </row>
    <row r="325" spans="1:18">
      <c r="A325" t="s">
        <v>7030</v>
      </c>
      <c r="B325" t="s">
        <v>2920</v>
      </c>
      <c r="C325">
        <v>45691</v>
      </c>
      <c r="D325" t="s">
        <v>7263</v>
      </c>
      <c r="E325" t="s">
        <v>2921</v>
      </c>
      <c r="F325">
        <v>45688</v>
      </c>
      <c r="G325" t="s">
        <v>2208</v>
      </c>
      <c r="H325" t="s">
        <v>7834</v>
      </c>
      <c r="I325" t="s">
        <v>8158</v>
      </c>
      <c r="J325">
        <v>2</v>
      </c>
      <c r="K325">
        <v>209.22</v>
      </c>
      <c r="L325" t="s">
        <v>2917</v>
      </c>
      <c r="M325">
        <v>209.22</v>
      </c>
      <c r="N325" t="s">
        <v>2917</v>
      </c>
      <c r="O325" t="s">
        <v>2208</v>
      </c>
      <c r="P325" t="s">
        <v>2208</v>
      </c>
      <c r="Q325" t="s">
        <v>2208</v>
      </c>
      <c r="R325" t="s">
        <v>2208</v>
      </c>
    </row>
    <row r="326" spans="1:18">
      <c r="A326" t="s">
        <v>7030</v>
      </c>
      <c r="B326" t="s">
        <v>2920</v>
      </c>
      <c r="C326">
        <v>45691</v>
      </c>
      <c r="D326" t="s">
        <v>7263</v>
      </c>
      <c r="E326" t="s">
        <v>2921</v>
      </c>
      <c r="F326">
        <v>45688</v>
      </c>
      <c r="G326" t="s">
        <v>2208</v>
      </c>
      <c r="H326" t="s">
        <v>7834</v>
      </c>
      <c r="I326" t="s">
        <v>8159</v>
      </c>
      <c r="J326">
        <v>1.5</v>
      </c>
      <c r="K326">
        <v>156.91999999999999</v>
      </c>
      <c r="L326" t="s">
        <v>2917</v>
      </c>
      <c r="M326">
        <v>156.91999999999999</v>
      </c>
      <c r="N326" t="s">
        <v>2917</v>
      </c>
      <c r="O326" t="s">
        <v>2208</v>
      </c>
      <c r="P326" t="s">
        <v>2208</v>
      </c>
      <c r="Q326" t="s">
        <v>2208</v>
      </c>
      <c r="R326" t="s">
        <v>2208</v>
      </c>
    </row>
    <row r="327" spans="1:18">
      <c r="A327" t="s">
        <v>7030</v>
      </c>
      <c r="B327" t="s">
        <v>2920</v>
      </c>
      <c r="C327">
        <v>45691</v>
      </c>
      <c r="D327" t="s">
        <v>7263</v>
      </c>
      <c r="E327" t="s">
        <v>2921</v>
      </c>
      <c r="F327">
        <v>45688</v>
      </c>
      <c r="G327" t="s">
        <v>2208</v>
      </c>
      <c r="H327" t="s">
        <v>7834</v>
      </c>
      <c r="I327" t="s">
        <v>8160</v>
      </c>
      <c r="J327">
        <v>2</v>
      </c>
      <c r="K327">
        <v>209.22</v>
      </c>
      <c r="L327" t="s">
        <v>2917</v>
      </c>
      <c r="M327">
        <v>209.22</v>
      </c>
      <c r="N327" t="s">
        <v>2917</v>
      </c>
      <c r="O327" t="s">
        <v>2208</v>
      </c>
      <c r="P327" t="s">
        <v>2208</v>
      </c>
      <c r="Q327" t="s">
        <v>2208</v>
      </c>
      <c r="R327" t="s">
        <v>2208</v>
      </c>
    </row>
    <row r="328" spans="1:18">
      <c r="A328" t="s">
        <v>7030</v>
      </c>
      <c r="B328" t="s">
        <v>2920</v>
      </c>
      <c r="C328">
        <v>45691</v>
      </c>
      <c r="D328" t="s">
        <v>7263</v>
      </c>
      <c r="E328" t="s">
        <v>2921</v>
      </c>
      <c r="F328">
        <v>45688</v>
      </c>
      <c r="G328" t="s">
        <v>2208</v>
      </c>
      <c r="H328" t="s">
        <v>7834</v>
      </c>
      <c r="I328" t="s">
        <v>8161</v>
      </c>
      <c r="J328">
        <v>1</v>
      </c>
      <c r="K328">
        <v>104.61</v>
      </c>
      <c r="L328" t="s">
        <v>2917</v>
      </c>
      <c r="M328">
        <v>104.61</v>
      </c>
      <c r="N328" t="s">
        <v>2917</v>
      </c>
      <c r="O328" t="s">
        <v>2208</v>
      </c>
      <c r="P328" t="s">
        <v>2208</v>
      </c>
      <c r="Q328" t="s">
        <v>2208</v>
      </c>
      <c r="R328" t="s">
        <v>2208</v>
      </c>
    </row>
    <row r="329" spans="1:18">
      <c r="A329" t="s">
        <v>7030</v>
      </c>
      <c r="B329" t="s">
        <v>2920</v>
      </c>
      <c r="C329">
        <v>45691</v>
      </c>
      <c r="D329" t="s">
        <v>7263</v>
      </c>
      <c r="E329" t="s">
        <v>2921</v>
      </c>
      <c r="F329">
        <v>45688</v>
      </c>
      <c r="G329" t="s">
        <v>2208</v>
      </c>
      <c r="H329" t="s">
        <v>7834</v>
      </c>
      <c r="I329" t="s">
        <v>8162</v>
      </c>
      <c r="J329">
        <v>3</v>
      </c>
      <c r="K329">
        <v>313.83</v>
      </c>
      <c r="L329" t="s">
        <v>2917</v>
      </c>
      <c r="M329">
        <v>313.83</v>
      </c>
      <c r="N329" t="s">
        <v>2917</v>
      </c>
      <c r="O329" t="s">
        <v>2208</v>
      </c>
      <c r="P329" t="s">
        <v>2208</v>
      </c>
      <c r="Q329" t="s">
        <v>2208</v>
      </c>
      <c r="R329" t="s">
        <v>2208</v>
      </c>
    </row>
    <row r="330" spans="1:18">
      <c r="A330" t="s">
        <v>7030</v>
      </c>
      <c r="B330" t="s">
        <v>2920</v>
      </c>
      <c r="C330">
        <v>45691</v>
      </c>
      <c r="D330" t="s">
        <v>7263</v>
      </c>
      <c r="E330" t="s">
        <v>2921</v>
      </c>
      <c r="F330">
        <v>45688</v>
      </c>
      <c r="G330" t="s">
        <v>2208</v>
      </c>
      <c r="H330" t="s">
        <v>7834</v>
      </c>
      <c r="I330" t="s">
        <v>8163</v>
      </c>
      <c r="J330">
        <v>2</v>
      </c>
      <c r="K330">
        <v>209.22</v>
      </c>
      <c r="L330" t="s">
        <v>2917</v>
      </c>
      <c r="M330">
        <v>209.22</v>
      </c>
      <c r="N330" t="s">
        <v>2917</v>
      </c>
      <c r="O330" t="s">
        <v>2208</v>
      </c>
      <c r="P330" t="s">
        <v>2208</v>
      </c>
      <c r="Q330" t="s">
        <v>2208</v>
      </c>
      <c r="R330" t="s">
        <v>2208</v>
      </c>
    </row>
    <row r="331" spans="1:18">
      <c r="A331" t="s">
        <v>7030</v>
      </c>
      <c r="B331" t="s">
        <v>2920</v>
      </c>
      <c r="C331">
        <v>45691</v>
      </c>
      <c r="D331" t="s">
        <v>7263</v>
      </c>
      <c r="E331" t="s">
        <v>2921</v>
      </c>
      <c r="F331">
        <v>45688</v>
      </c>
      <c r="G331" t="s">
        <v>2208</v>
      </c>
      <c r="H331" t="s">
        <v>7834</v>
      </c>
      <c r="I331" t="s">
        <v>8164</v>
      </c>
      <c r="J331">
        <v>2</v>
      </c>
      <c r="K331">
        <v>209.22</v>
      </c>
      <c r="L331" t="s">
        <v>2917</v>
      </c>
      <c r="M331">
        <v>209.22</v>
      </c>
      <c r="N331" t="s">
        <v>2917</v>
      </c>
      <c r="O331" t="s">
        <v>2208</v>
      </c>
      <c r="P331" t="s">
        <v>2208</v>
      </c>
      <c r="Q331" t="s">
        <v>2208</v>
      </c>
      <c r="R331" t="s">
        <v>2208</v>
      </c>
    </row>
    <row r="332" spans="1:18">
      <c r="A332" t="s">
        <v>7030</v>
      </c>
      <c r="B332" t="s">
        <v>2920</v>
      </c>
      <c r="C332">
        <v>45691</v>
      </c>
      <c r="D332" t="s">
        <v>7263</v>
      </c>
      <c r="E332" t="s">
        <v>2921</v>
      </c>
      <c r="F332">
        <v>45688</v>
      </c>
      <c r="G332" t="s">
        <v>2208</v>
      </c>
      <c r="H332" t="s">
        <v>7834</v>
      </c>
      <c r="I332" t="s">
        <v>8165</v>
      </c>
      <c r="J332">
        <v>1</v>
      </c>
      <c r="K332">
        <v>104.61</v>
      </c>
      <c r="L332" t="s">
        <v>2917</v>
      </c>
      <c r="M332">
        <v>104.61</v>
      </c>
      <c r="N332" t="s">
        <v>2917</v>
      </c>
      <c r="O332" t="s">
        <v>2208</v>
      </c>
      <c r="P332" t="s">
        <v>2208</v>
      </c>
      <c r="Q332" t="s">
        <v>2208</v>
      </c>
      <c r="R332" t="s">
        <v>2208</v>
      </c>
    </row>
    <row r="333" spans="1:18">
      <c r="A333" t="s">
        <v>7030</v>
      </c>
      <c r="B333" t="s">
        <v>2920</v>
      </c>
      <c r="C333">
        <v>45691</v>
      </c>
      <c r="D333" t="s">
        <v>7263</v>
      </c>
      <c r="E333" t="s">
        <v>2921</v>
      </c>
      <c r="F333">
        <v>45688</v>
      </c>
      <c r="G333" t="s">
        <v>2208</v>
      </c>
      <c r="H333" t="s">
        <v>7834</v>
      </c>
      <c r="I333" t="s">
        <v>8166</v>
      </c>
      <c r="J333">
        <v>1</v>
      </c>
      <c r="K333">
        <v>104.61</v>
      </c>
      <c r="L333" t="s">
        <v>2917</v>
      </c>
      <c r="M333">
        <v>104.61</v>
      </c>
      <c r="N333" t="s">
        <v>2917</v>
      </c>
      <c r="O333" t="s">
        <v>2208</v>
      </c>
      <c r="P333" t="s">
        <v>2208</v>
      </c>
      <c r="Q333" t="s">
        <v>2208</v>
      </c>
      <c r="R333" t="s">
        <v>2208</v>
      </c>
    </row>
    <row r="334" spans="1:18">
      <c r="A334" t="s">
        <v>7030</v>
      </c>
      <c r="B334" t="s">
        <v>2920</v>
      </c>
      <c r="C334">
        <v>45691</v>
      </c>
      <c r="D334" t="s">
        <v>7263</v>
      </c>
      <c r="E334" t="s">
        <v>2921</v>
      </c>
      <c r="F334">
        <v>45688</v>
      </c>
      <c r="G334" t="s">
        <v>2208</v>
      </c>
      <c r="H334" t="s">
        <v>7834</v>
      </c>
      <c r="I334" t="s">
        <v>8167</v>
      </c>
      <c r="J334">
        <v>2</v>
      </c>
      <c r="K334">
        <v>209.22</v>
      </c>
      <c r="L334" t="s">
        <v>2917</v>
      </c>
      <c r="M334">
        <v>209.22</v>
      </c>
      <c r="N334" t="s">
        <v>2917</v>
      </c>
      <c r="O334" t="s">
        <v>2208</v>
      </c>
      <c r="P334" t="s">
        <v>2208</v>
      </c>
      <c r="Q334" t="s">
        <v>2208</v>
      </c>
      <c r="R334" t="s">
        <v>2208</v>
      </c>
    </row>
    <row r="335" spans="1:18">
      <c r="A335" t="s">
        <v>7030</v>
      </c>
      <c r="B335" t="s">
        <v>2920</v>
      </c>
      <c r="C335">
        <v>45691</v>
      </c>
      <c r="D335" t="s">
        <v>7263</v>
      </c>
      <c r="E335" t="s">
        <v>2921</v>
      </c>
      <c r="F335">
        <v>45688</v>
      </c>
      <c r="G335" t="s">
        <v>2208</v>
      </c>
      <c r="H335" t="s">
        <v>7834</v>
      </c>
      <c r="I335" t="s">
        <v>8168</v>
      </c>
      <c r="J335">
        <v>2</v>
      </c>
      <c r="K335">
        <v>209.22</v>
      </c>
      <c r="L335" t="s">
        <v>2917</v>
      </c>
      <c r="M335">
        <v>209.22</v>
      </c>
      <c r="N335" t="s">
        <v>2917</v>
      </c>
      <c r="O335" t="s">
        <v>2208</v>
      </c>
      <c r="P335" t="s">
        <v>2208</v>
      </c>
      <c r="Q335" t="s">
        <v>2208</v>
      </c>
      <c r="R335" t="s">
        <v>2208</v>
      </c>
    </row>
    <row r="336" spans="1:18">
      <c r="A336" t="s">
        <v>7030</v>
      </c>
      <c r="B336" t="s">
        <v>2920</v>
      </c>
      <c r="C336">
        <v>45691</v>
      </c>
      <c r="D336" t="s">
        <v>7263</v>
      </c>
      <c r="E336" t="s">
        <v>2921</v>
      </c>
      <c r="F336">
        <v>45688</v>
      </c>
      <c r="G336" t="s">
        <v>2208</v>
      </c>
      <c r="H336" t="s">
        <v>7834</v>
      </c>
      <c r="I336" t="s">
        <v>8169</v>
      </c>
      <c r="J336">
        <v>3</v>
      </c>
      <c r="K336">
        <v>313.83</v>
      </c>
      <c r="L336" t="s">
        <v>2917</v>
      </c>
      <c r="M336">
        <v>313.83</v>
      </c>
      <c r="N336" t="s">
        <v>2917</v>
      </c>
      <c r="O336" t="s">
        <v>2208</v>
      </c>
      <c r="P336" t="s">
        <v>2208</v>
      </c>
      <c r="Q336" t="s">
        <v>2208</v>
      </c>
      <c r="R336" t="s">
        <v>2208</v>
      </c>
    </row>
    <row r="337" spans="1:18">
      <c r="A337" t="s">
        <v>7030</v>
      </c>
      <c r="B337" t="s">
        <v>2920</v>
      </c>
      <c r="C337">
        <v>45691</v>
      </c>
      <c r="D337" t="s">
        <v>7263</v>
      </c>
      <c r="E337" t="s">
        <v>2921</v>
      </c>
      <c r="F337">
        <v>45688</v>
      </c>
      <c r="G337" t="s">
        <v>2208</v>
      </c>
      <c r="H337" t="s">
        <v>7834</v>
      </c>
      <c r="I337" t="s">
        <v>8170</v>
      </c>
      <c r="J337">
        <v>1</v>
      </c>
      <c r="K337">
        <v>104.61</v>
      </c>
      <c r="L337" t="s">
        <v>2917</v>
      </c>
      <c r="M337">
        <v>104.61</v>
      </c>
      <c r="N337" t="s">
        <v>2917</v>
      </c>
      <c r="O337" t="s">
        <v>2208</v>
      </c>
      <c r="P337" t="s">
        <v>2208</v>
      </c>
      <c r="Q337" t="s">
        <v>2208</v>
      </c>
      <c r="R337" t="s">
        <v>2208</v>
      </c>
    </row>
    <row r="338" spans="1:18">
      <c r="A338" t="s">
        <v>7030</v>
      </c>
      <c r="B338" t="s">
        <v>2920</v>
      </c>
      <c r="C338">
        <v>45691</v>
      </c>
      <c r="D338" t="s">
        <v>7263</v>
      </c>
      <c r="E338" t="s">
        <v>2921</v>
      </c>
      <c r="F338">
        <v>45688</v>
      </c>
      <c r="G338" t="s">
        <v>2208</v>
      </c>
      <c r="H338" t="s">
        <v>7834</v>
      </c>
      <c r="I338" t="s">
        <v>8171</v>
      </c>
      <c r="J338">
        <v>1</v>
      </c>
      <c r="K338">
        <v>104.61</v>
      </c>
      <c r="L338" t="s">
        <v>2917</v>
      </c>
      <c r="M338">
        <v>104.61</v>
      </c>
      <c r="N338" t="s">
        <v>2917</v>
      </c>
      <c r="O338" t="s">
        <v>2208</v>
      </c>
      <c r="P338" t="s">
        <v>2208</v>
      </c>
      <c r="Q338" t="s">
        <v>2208</v>
      </c>
      <c r="R338" t="s">
        <v>2208</v>
      </c>
    </row>
    <row r="339" spans="1:18">
      <c r="A339" t="s">
        <v>7030</v>
      </c>
      <c r="B339" t="s">
        <v>2920</v>
      </c>
      <c r="C339">
        <v>45691</v>
      </c>
      <c r="D339" t="s">
        <v>7263</v>
      </c>
      <c r="E339" t="s">
        <v>2921</v>
      </c>
      <c r="F339">
        <v>45688</v>
      </c>
      <c r="G339" t="s">
        <v>2208</v>
      </c>
      <c r="H339" t="s">
        <v>7834</v>
      </c>
      <c r="I339" t="s">
        <v>8172</v>
      </c>
      <c r="J339">
        <v>0.7</v>
      </c>
      <c r="K339">
        <v>73.23</v>
      </c>
      <c r="L339" t="s">
        <v>2917</v>
      </c>
      <c r="M339">
        <v>73.23</v>
      </c>
      <c r="N339" t="s">
        <v>2917</v>
      </c>
      <c r="O339" t="s">
        <v>2208</v>
      </c>
      <c r="P339" t="s">
        <v>2208</v>
      </c>
      <c r="Q339" t="s">
        <v>2208</v>
      </c>
      <c r="R339" t="s">
        <v>2208</v>
      </c>
    </row>
    <row r="340" spans="1:18">
      <c r="A340" t="s">
        <v>7030</v>
      </c>
      <c r="B340" t="s">
        <v>2920</v>
      </c>
      <c r="C340">
        <v>45691</v>
      </c>
      <c r="D340" t="s">
        <v>7263</v>
      </c>
      <c r="E340" t="s">
        <v>2921</v>
      </c>
      <c r="F340">
        <v>45688</v>
      </c>
      <c r="G340" t="s">
        <v>2208</v>
      </c>
      <c r="H340" t="s">
        <v>7834</v>
      </c>
      <c r="I340" t="s">
        <v>8173</v>
      </c>
      <c r="J340">
        <v>1</v>
      </c>
      <c r="K340">
        <v>104.61</v>
      </c>
      <c r="L340" t="s">
        <v>2917</v>
      </c>
      <c r="M340">
        <v>104.61</v>
      </c>
      <c r="N340" t="s">
        <v>2917</v>
      </c>
      <c r="O340" t="s">
        <v>2208</v>
      </c>
      <c r="P340" t="s">
        <v>2208</v>
      </c>
      <c r="Q340" t="s">
        <v>2208</v>
      </c>
      <c r="R340" t="s">
        <v>2208</v>
      </c>
    </row>
    <row r="341" spans="1:18">
      <c r="A341" t="s">
        <v>7030</v>
      </c>
      <c r="B341" t="s">
        <v>2920</v>
      </c>
      <c r="C341">
        <v>45691</v>
      </c>
      <c r="D341" t="s">
        <v>7263</v>
      </c>
      <c r="E341" t="s">
        <v>2921</v>
      </c>
      <c r="F341">
        <v>45688</v>
      </c>
      <c r="G341" t="s">
        <v>2208</v>
      </c>
      <c r="H341" t="s">
        <v>7834</v>
      </c>
      <c r="I341" t="s">
        <v>8174</v>
      </c>
      <c r="J341">
        <v>2</v>
      </c>
      <c r="K341">
        <v>209.22</v>
      </c>
      <c r="L341" t="s">
        <v>2917</v>
      </c>
      <c r="M341">
        <v>209.22</v>
      </c>
      <c r="N341" t="s">
        <v>2917</v>
      </c>
      <c r="O341" t="s">
        <v>2208</v>
      </c>
      <c r="P341" t="s">
        <v>2208</v>
      </c>
      <c r="Q341" t="s">
        <v>2208</v>
      </c>
      <c r="R341" t="s">
        <v>2208</v>
      </c>
    </row>
    <row r="342" spans="1:18">
      <c r="A342" t="s">
        <v>7030</v>
      </c>
      <c r="B342" t="s">
        <v>2920</v>
      </c>
      <c r="C342">
        <v>45691</v>
      </c>
      <c r="D342" t="s">
        <v>7263</v>
      </c>
      <c r="E342" t="s">
        <v>2921</v>
      </c>
      <c r="F342">
        <v>45688</v>
      </c>
      <c r="G342" t="s">
        <v>2208</v>
      </c>
      <c r="H342" t="s">
        <v>7834</v>
      </c>
      <c r="I342" t="s">
        <v>8175</v>
      </c>
      <c r="J342">
        <v>2</v>
      </c>
      <c r="K342">
        <v>209.22</v>
      </c>
      <c r="L342" t="s">
        <v>2917</v>
      </c>
      <c r="M342">
        <v>209.22</v>
      </c>
      <c r="N342" t="s">
        <v>2917</v>
      </c>
      <c r="O342" t="s">
        <v>2208</v>
      </c>
      <c r="P342" t="s">
        <v>2208</v>
      </c>
      <c r="Q342" t="s">
        <v>2208</v>
      </c>
      <c r="R342" t="s">
        <v>2208</v>
      </c>
    </row>
    <row r="343" spans="1:18">
      <c r="A343" t="s">
        <v>7030</v>
      </c>
      <c r="B343" t="s">
        <v>2920</v>
      </c>
      <c r="C343">
        <v>45691</v>
      </c>
      <c r="D343" t="s">
        <v>7263</v>
      </c>
      <c r="E343" t="s">
        <v>2921</v>
      </c>
      <c r="F343">
        <v>45688</v>
      </c>
      <c r="G343" t="s">
        <v>2208</v>
      </c>
      <c r="H343" t="s">
        <v>7834</v>
      </c>
      <c r="I343" t="s">
        <v>8176</v>
      </c>
      <c r="J343">
        <v>2</v>
      </c>
      <c r="K343">
        <v>209.22</v>
      </c>
      <c r="L343" t="s">
        <v>2917</v>
      </c>
      <c r="M343">
        <v>209.22</v>
      </c>
      <c r="N343" t="s">
        <v>2917</v>
      </c>
      <c r="O343" t="s">
        <v>2208</v>
      </c>
      <c r="P343" t="s">
        <v>2208</v>
      </c>
      <c r="Q343" t="s">
        <v>2208</v>
      </c>
      <c r="R343" t="s">
        <v>2208</v>
      </c>
    </row>
    <row r="344" spans="1:18">
      <c r="A344" t="s">
        <v>7030</v>
      </c>
      <c r="B344" t="s">
        <v>2920</v>
      </c>
      <c r="C344">
        <v>45691</v>
      </c>
      <c r="D344" t="s">
        <v>7263</v>
      </c>
      <c r="E344" t="s">
        <v>2921</v>
      </c>
      <c r="F344">
        <v>45688</v>
      </c>
      <c r="G344" t="s">
        <v>2208</v>
      </c>
      <c r="H344" t="s">
        <v>7834</v>
      </c>
      <c r="I344" t="s">
        <v>8177</v>
      </c>
      <c r="J344">
        <v>2</v>
      </c>
      <c r="K344">
        <v>209.22</v>
      </c>
      <c r="L344" t="s">
        <v>2917</v>
      </c>
      <c r="M344">
        <v>209.22</v>
      </c>
      <c r="N344" t="s">
        <v>2917</v>
      </c>
      <c r="O344" t="s">
        <v>2208</v>
      </c>
      <c r="P344" t="s">
        <v>2208</v>
      </c>
      <c r="Q344" t="s">
        <v>2208</v>
      </c>
      <c r="R344" t="s">
        <v>2208</v>
      </c>
    </row>
    <row r="345" spans="1:18">
      <c r="A345" t="s">
        <v>7030</v>
      </c>
      <c r="B345" t="s">
        <v>2920</v>
      </c>
      <c r="C345">
        <v>45691</v>
      </c>
      <c r="D345" t="s">
        <v>7263</v>
      </c>
      <c r="E345" t="s">
        <v>2921</v>
      </c>
      <c r="F345">
        <v>45688</v>
      </c>
      <c r="G345" t="s">
        <v>2208</v>
      </c>
      <c r="H345" t="s">
        <v>7834</v>
      </c>
      <c r="I345" t="s">
        <v>8178</v>
      </c>
      <c r="J345">
        <v>2</v>
      </c>
      <c r="K345">
        <v>209.22</v>
      </c>
      <c r="L345" t="s">
        <v>2917</v>
      </c>
      <c r="M345">
        <v>209.22</v>
      </c>
      <c r="N345" t="s">
        <v>2917</v>
      </c>
      <c r="O345" t="s">
        <v>2208</v>
      </c>
      <c r="P345" t="s">
        <v>2208</v>
      </c>
      <c r="Q345" t="s">
        <v>2208</v>
      </c>
      <c r="R345" t="s">
        <v>2208</v>
      </c>
    </row>
    <row r="346" spans="1:18">
      <c r="A346" t="s">
        <v>7030</v>
      </c>
      <c r="B346" t="s">
        <v>2920</v>
      </c>
      <c r="C346">
        <v>45691</v>
      </c>
      <c r="D346" t="s">
        <v>7263</v>
      </c>
      <c r="E346" t="s">
        <v>2921</v>
      </c>
      <c r="F346">
        <v>45688</v>
      </c>
      <c r="G346" t="s">
        <v>2208</v>
      </c>
      <c r="H346" t="s">
        <v>7834</v>
      </c>
      <c r="I346" t="s">
        <v>8179</v>
      </c>
      <c r="J346">
        <v>2</v>
      </c>
      <c r="K346">
        <v>209.22</v>
      </c>
      <c r="L346" t="s">
        <v>2917</v>
      </c>
      <c r="M346">
        <v>209.22</v>
      </c>
      <c r="N346" t="s">
        <v>2917</v>
      </c>
      <c r="O346" t="s">
        <v>2208</v>
      </c>
      <c r="P346" t="s">
        <v>2208</v>
      </c>
      <c r="Q346" t="s">
        <v>2208</v>
      </c>
      <c r="R346" t="s">
        <v>2208</v>
      </c>
    </row>
    <row r="347" spans="1:18">
      <c r="A347" t="s">
        <v>7030</v>
      </c>
      <c r="B347" t="s">
        <v>2920</v>
      </c>
      <c r="C347">
        <v>45691</v>
      </c>
      <c r="D347" t="s">
        <v>7263</v>
      </c>
      <c r="E347" t="s">
        <v>2921</v>
      </c>
      <c r="F347">
        <v>45688</v>
      </c>
      <c r="G347" t="s">
        <v>2208</v>
      </c>
      <c r="H347" t="s">
        <v>7834</v>
      </c>
      <c r="I347" t="s">
        <v>8180</v>
      </c>
      <c r="J347">
        <v>2</v>
      </c>
      <c r="K347">
        <v>209.22</v>
      </c>
      <c r="L347" t="s">
        <v>2917</v>
      </c>
      <c r="M347">
        <v>209.22</v>
      </c>
      <c r="N347" t="s">
        <v>2917</v>
      </c>
      <c r="O347" t="s">
        <v>2208</v>
      </c>
      <c r="P347" t="s">
        <v>2208</v>
      </c>
      <c r="Q347" t="s">
        <v>2208</v>
      </c>
      <c r="R347" t="s">
        <v>2208</v>
      </c>
    </row>
    <row r="348" spans="1:18">
      <c r="A348" t="s">
        <v>7030</v>
      </c>
      <c r="B348" t="s">
        <v>2920</v>
      </c>
      <c r="C348">
        <v>45691</v>
      </c>
      <c r="D348" t="s">
        <v>7263</v>
      </c>
      <c r="E348" t="s">
        <v>2921</v>
      </c>
      <c r="F348">
        <v>45688</v>
      </c>
      <c r="G348" t="s">
        <v>2208</v>
      </c>
      <c r="H348" t="s">
        <v>7834</v>
      </c>
      <c r="I348" t="s">
        <v>8181</v>
      </c>
      <c r="J348">
        <v>2</v>
      </c>
      <c r="K348">
        <v>209.22</v>
      </c>
      <c r="L348" t="s">
        <v>2917</v>
      </c>
      <c r="M348">
        <v>209.22</v>
      </c>
      <c r="N348" t="s">
        <v>2917</v>
      </c>
      <c r="O348" t="s">
        <v>2208</v>
      </c>
      <c r="P348" t="s">
        <v>2208</v>
      </c>
      <c r="Q348" t="s">
        <v>2208</v>
      </c>
      <c r="R348" t="s">
        <v>2208</v>
      </c>
    </row>
    <row r="349" spans="1:18">
      <c r="A349" t="s">
        <v>7030</v>
      </c>
      <c r="B349" t="s">
        <v>2920</v>
      </c>
      <c r="C349">
        <v>45691</v>
      </c>
      <c r="D349" t="s">
        <v>7263</v>
      </c>
      <c r="E349" t="s">
        <v>2921</v>
      </c>
      <c r="F349">
        <v>45688</v>
      </c>
      <c r="G349" t="s">
        <v>2208</v>
      </c>
      <c r="H349" t="s">
        <v>7834</v>
      </c>
      <c r="I349" t="s">
        <v>8182</v>
      </c>
      <c r="J349">
        <v>2</v>
      </c>
      <c r="K349">
        <v>209.22</v>
      </c>
      <c r="L349" t="s">
        <v>2917</v>
      </c>
      <c r="M349">
        <v>209.22</v>
      </c>
      <c r="N349" t="s">
        <v>2917</v>
      </c>
      <c r="O349" t="s">
        <v>2208</v>
      </c>
      <c r="P349" t="s">
        <v>2208</v>
      </c>
      <c r="Q349" t="s">
        <v>2208</v>
      </c>
      <c r="R349" t="s">
        <v>2208</v>
      </c>
    </row>
    <row r="350" spans="1:18">
      <c r="A350" t="s">
        <v>7030</v>
      </c>
      <c r="B350" t="s">
        <v>2920</v>
      </c>
      <c r="C350">
        <v>45691</v>
      </c>
      <c r="D350" t="s">
        <v>7263</v>
      </c>
      <c r="E350" t="s">
        <v>2921</v>
      </c>
      <c r="F350">
        <v>45688</v>
      </c>
      <c r="G350" t="s">
        <v>2208</v>
      </c>
      <c r="H350" t="s">
        <v>7834</v>
      </c>
      <c r="I350" t="s">
        <v>8183</v>
      </c>
      <c r="J350">
        <v>2</v>
      </c>
      <c r="K350">
        <v>209.22</v>
      </c>
      <c r="L350" t="s">
        <v>2917</v>
      </c>
      <c r="M350">
        <v>209.22</v>
      </c>
      <c r="N350" t="s">
        <v>2917</v>
      </c>
      <c r="O350" t="s">
        <v>2208</v>
      </c>
      <c r="P350" t="s">
        <v>2208</v>
      </c>
      <c r="Q350" t="s">
        <v>2208</v>
      </c>
      <c r="R350" t="s">
        <v>2208</v>
      </c>
    </row>
    <row r="351" spans="1:18">
      <c r="A351" t="s">
        <v>7030</v>
      </c>
      <c r="B351" t="s">
        <v>2920</v>
      </c>
      <c r="C351">
        <v>45691</v>
      </c>
      <c r="D351" t="s">
        <v>7263</v>
      </c>
      <c r="E351" t="s">
        <v>2921</v>
      </c>
      <c r="F351">
        <v>45688</v>
      </c>
      <c r="G351" t="s">
        <v>2208</v>
      </c>
      <c r="H351" t="s">
        <v>7834</v>
      </c>
      <c r="I351" t="s">
        <v>8184</v>
      </c>
      <c r="J351">
        <v>2</v>
      </c>
      <c r="K351">
        <v>209.22</v>
      </c>
      <c r="L351" t="s">
        <v>2917</v>
      </c>
      <c r="M351">
        <v>209.22</v>
      </c>
      <c r="N351" t="s">
        <v>2917</v>
      </c>
      <c r="O351" t="s">
        <v>2208</v>
      </c>
      <c r="P351" t="s">
        <v>2208</v>
      </c>
      <c r="Q351" t="s">
        <v>2208</v>
      </c>
      <c r="R351" t="s">
        <v>2208</v>
      </c>
    </row>
    <row r="352" spans="1:18">
      <c r="A352" t="s">
        <v>7030</v>
      </c>
      <c r="B352" t="s">
        <v>2920</v>
      </c>
      <c r="C352">
        <v>45691</v>
      </c>
      <c r="D352" t="s">
        <v>7263</v>
      </c>
      <c r="E352" t="s">
        <v>2921</v>
      </c>
      <c r="F352">
        <v>45688</v>
      </c>
      <c r="G352" t="s">
        <v>2208</v>
      </c>
      <c r="H352" t="s">
        <v>7834</v>
      </c>
      <c r="I352" t="s">
        <v>8185</v>
      </c>
      <c r="J352">
        <v>2</v>
      </c>
      <c r="K352">
        <v>209.22</v>
      </c>
      <c r="L352" t="s">
        <v>2917</v>
      </c>
      <c r="M352">
        <v>209.22</v>
      </c>
      <c r="N352" t="s">
        <v>2917</v>
      </c>
      <c r="O352" t="s">
        <v>2208</v>
      </c>
      <c r="P352" t="s">
        <v>2208</v>
      </c>
      <c r="Q352" t="s">
        <v>2208</v>
      </c>
      <c r="R352" t="s">
        <v>2208</v>
      </c>
    </row>
    <row r="353" spans="1:18">
      <c r="A353" t="s">
        <v>7030</v>
      </c>
      <c r="B353" t="s">
        <v>2920</v>
      </c>
      <c r="C353">
        <v>45691</v>
      </c>
      <c r="D353" t="s">
        <v>7263</v>
      </c>
      <c r="E353" t="s">
        <v>2921</v>
      </c>
      <c r="F353">
        <v>45688</v>
      </c>
      <c r="G353" t="s">
        <v>2208</v>
      </c>
      <c r="H353" t="s">
        <v>7834</v>
      </c>
      <c r="I353" t="s">
        <v>8186</v>
      </c>
      <c r="J353">
        <v>2</v>
      </c>
      <c r="K353">
        <v>209.22</v>
      </c>
      <c r="L353" t="s">
        <v>2917</v>
      </c>
      <c r="M353">
        <v>209.22</v>
      </c>
      <c r="N353" t="s">
        <v>2917</v>
      </c>
      <c r="O353" t="s">
        <v>2208</v>
      </c>
      <c r="P353" t="s">
        <v>2208</v>
      </c>
      <c r="Q353" t="s">
        <v>2208</v>
      </c>
      <c r="R353" t="s">
        <v>2208</v>
      </c>
    </row>
    <row r="354" spans="1:18">
      <c r="A354" t="s">
        <v>7030</v>
      </c>
      <c r="B354" t="s">
        <v>2920</v>
      </c>
      <c r="C354">
        <v>45691</v>
      </c>
      <c r="D354" t="s">
        <v>7263</v>
      </c>
      <c r="E354" t="s">
        <v>2921</v>
      </c>
      <c r="F354">
        <v>45688</v>
      </c>
      <c r="G354" t="s">
        <v>2208</v>
      </c>
      <c r="H354" t="s">
        <v>7834</v>
      </c>
      <c r="I354" t="s">
        <v>8187</v>
      </c>
      <c r="J354">
        <v>2</v>
      </c>
      <c r="K354">
        <v>209.22</v>
      </c>
      <c r="L354" t="s">
        <v>2917</v>
      </c>
      <c r="M354">
        <v>209.22</v>
      </c>
      <c r="N354" t="s">
        <v>2917</v>
      </c>
      <c r="O354" t="s">
        <v>2208</v>
      </c>
      <c r="P354" t="s">
        <v>2208</v>
      </c>
      <c r="Q354" t="s">
        <v>2208</v>
      </c>
      <c r="R354" t="s">
        <v>2208</v>
      </c>
    </row>
    <row r="355" spans="1:18">
      <c r="A355" t="s">
        <v>7030</v>
      </c>
      <c r="B355" t="s">
        <v>2920</v>
      </c>
      <c r="C355">
        <v>45691</v>
      </c>
      <c r="D355" t="s">
        <v>7263</v>
      </c>
      <c r="E355" t="s">
        <v>2921</v>
      </c>
      <c r="F355">
        <v>45688</v>
      </c>
      <c r="G355" t="s">
        <v>2208</v>
      </c>
      <c r="H355" t="s">
        <v>7834</v>
      </c>
      <c r="I355" t="s">
        <v>8188</v>
      </c>
      <c r="J355">
        <v>2</v>
      </c>
      <c r="K355">
        <v>209.22</v>
      </c>
      <c r="L355" t="s">
        <v>2917</v>
      </c>
      <c r="M355">
        <v>209.22</v>
      </c>
      <c r="N355" t="s">
        <v>2917</v>
      </c>
      <c r="O355" t="s">
        <v>2208</v>
      </c>
      <c r="P355" t="s">
        <v>2208</v>
      </c>
      <c r="Q355" t="s">
        <v>2208</v>
      </c>
      <c r="R355" t="s">
        <v>2208</v>
      </c>
    </row>
    <row r="356" spans="1:18">
      <c r="A356" t="s">
        <v>7030</v>
      </c>
      <c r="B356" t="s">
        <v>2920</v>
      </c>
      <c r="C356">
        <v>45691</v>
      </c>
      <c r="D356" t="s">
        <v>7263</v>
      </c>
      <c r="E356" t="s">
        <v>2921</v>
      </c>
      <c r="F356">
        <v>45688</v>
      </c>
      <c r="G356" t="s">
        <v>2208</v>
      </c>
      <c r="H356" t="s">
        <v>7834</v>
      </c>
      <c r="I356" t="s">
        <v>8189</v>
      </c>
      <c r="J356">
        <v>2</v>
      </c>
      <c r="K356">
        <v>209.22</v>
      </c>
      <c r="L356" t="s">
        <v>2917</v>
      </c>
      <c r="M356">
        <v>209.22</v>
      </c>
      <c r="N356" t="s">
        <v>2917</v>
      </c>
      <c r="O356" t="s">
        <v>2208</v>
      </c>
      <c r="P356" t="s">
        <v>2208</v>
      </c>
      <c r="Q356" t="s">
        <v>2208</v>
      </c>
      <c r="R356" t="s">
        <v>2208</v>
      </c>
    </row>
    <row r="357" spans="1:18">
      <c r="A357" t="s">
        <v>7030</v>
      </c>
      <c r="B357" t="s">
        <v>2920</v>
      </c>
      <c r="C357">
        <v>45691</v>
      </c>
      <c r="D357" t="s">
        <v>7263</v>
      </c>
      <c r="E357" t="s">
        <v>2921</v>
      </c>
      <c r="F357">
        <v>45688</v>
      </c>
      <c r="G357" t="s">
        <v>2208</v>
      </c>
      <c r="H357" t="s">
        <v>7834</v>
      </c>
      <c r="I357" t="s">
        <v>8190</v>
      </c>
      <c r="J357">
        <v>2</v>
      </c>
      <c r="K357">
        <v>209.22</v>
      </c>
      <c r="L357" t="s">
        <v>2917</v>
      </c>
      <c r="M357">
        <v>209.22</v>
      </c>
      <c r="N357" t="s">
        <v>2917</v>
      </c>
      <c r="O357" t="s">
        <v>2208</v>
      </c>
      <c r="P357" t="s">
        <v>2208</v>
      </c>
      <c r="Q357" t="s">
        <v>2208</v>
      </c>
      <c r="R357" t="s">
        <v>2208</v>
      </c>
    </row>
    <row r="358" spans="1:18">
      <c r="A358" t="s">
        <v>7030</v>
      </c>
      <c r="B358" t="s">
        <v>2920</v>
      </c>
      <c r="C358">
        <v>45691</v>
      </c>
      <c r="D358" t="s">
        <v>7263</v>
      </c>
      <c r="E358" t="s">
        <v>2921</v>
      </c>
      <c r="F358">
        <v>45688</v>
      </c>
      <c r="G358" t="s">
        <v>2208</v>
      </c>
      <c r="H358" t="s">
        <v>7834</v>
      </c>
      <c r="I358" t="s">
        <v>8191</v>
      </c>
      <c r="J358">
        <v>2</v>
      </c>
      <c r="K358">
        <v>209.22</v>
      </c>
      <c r="L358" t="s">
        <v>2917</v>
      </c>
      <c r="M358">
        <v>209.22</v>
      </c>
      <c r="N358" t="s">
        <v>2917</v>
      </c>
      <c r="O358" t="s">
        <v>2208</v>
      </c>
      <c r="P358" t="s">
        <v>2208</v>
      </c>
      <c r="Q358" t="s">
        <v>2208</v>
      </c>
      <c r="R358" t="s">
        <v>2208</v>
      </c>
    </row>
    <row r="359" spans="1:18">
      <c r="A359" t="s">
        <v>7030</v>
      </c>
      <c r="B359" t="s">
        <v>2920</v>
      </c>
      <c r="C359">
        <v>45691</v>
      </c>
      <c r="D359" t="s">
        <v>7263</v>
      </c>
      <c r="E359" t="s">
        <v>2921</v>
      </c>
      <c r="F359">
        <v>45688</v>
      </c>
      <c r="G359" t="s">
        <v>2208</v>
      </c>
      <c r="H359" t="s">
        <v>7834</v>
      </c>
      <c r="I359" t="s">
        <v>8192</v>
      </c>
      <c r="J359">
        <v>1</v>
      </c>
      <c r="K359">
        <v>104.61</v>
      </c>
      <c r="L359" t="s">
        <v>2917</v>
      </c>
      <c r="M359">
        <v>104.61</v>
      </c>
      <c r="N359" t="s">
        <v>2917</v>
      </c>
      <c r="O359" t="s">
        <v>2208</v>
      </c>
      <c r="P359" t="s">
        <v>2208</v>
      </c>
      <c r="Q359" t="s">
        <v>2208</v>
      </c>
      <c r="R359" t="s">
        <v>2208</v>
      </c>
    </row>
    <row r="360" spans="1:18">
      <c r="A360" t="s">
        <v>7030</v>
      </c>
      <c r="B360" t="s">
        <v>2920</v>
      </c>
      <c r="C360">
        <v>45691</v>
      </c>
      <c r="D360" t="s">
        <v>7263</v>
      </c>
      <c r="E360" t="s">
        <v>2921</v>
      </c>
      <c r="F360">
        <v>45688</v>
      </c>
      <c r="G360" t="s">
        <v>2208</v>
      </c>
      <c r="H360" t="s">
        <v>7834</v>
      </c>
      <c r="I360" t="s">
        <v>8193</v>
      </c>
      <c r="J360">
        <v>1</v>
      </c>
      <c r="K360">
        <v>104.61</v>
      </c>
      <c r="L360" t="s">
        <v>2917</v>
      </c>
      <c r="M360">
        <v>104.61</v>
      </c>
      <c r="N360" t="s">
        <v>2917</v>
      </c>
      <c r="O360" t="s">
        <v>2208</v>
      </c>
      <c r="P360" t="s">
        <v>2208</v>
      </c>
      <c r="Q360" t="s">
        <v>2208</v>
      </c>
      <c r="R360" t="s">
        <v>2208</v>
      </c>
    </row>
    <row r="361" spans="1:18">
      <c r="A361" t="s">
        <v>7030</v>
      </c>
      <c r="B361" t="s">
        <v>2920</v>
      </c>
      <c r="C361">
        <v>45691</v>
      </c>
      <c r="D361" t="s">
        <v>7263</v>
      </c>
      <c r="E361" t="s">
        <v>2921</v>
      </c>
      <c r="F361">
        <v>45688</v>
      </c>
      <c r="G361" t="s">
        <v>2208</v>
      </c>
      <c r="H361" t="s">
        <v>7834</v>
      </c>
      <c r="I361" t="s">
        <v>8194</v>
      </c>
      <c r="J361">
        <v>1</v>
      </c>
      <c r="K361">
        <v>104.61</v>
      </c>
      <c r="L361" t="s">
        <v>2917</v>
      </c>
      <c r="M361">
        <v>104.61</v>
      </c>
      <c r="N361" t="s">
        <v>2917</v>
      </c>
      <c r="O361" t="s">
        <v>2208</v>
      </c>
      <c r="P361" t="s">
        <v>2208</v>
      </c>
      <c r="Q361" t="s">
        <v>2208</v>
      </c>
      <c r="R361" t="s">
        <v>2208</v>
      </c>
    </row>
    <row r="362" spans="1:18">
      <c r="A362" t="s">
        <v>7030</v>
      </c>
      <c r="B362" t="s">
        <v>2920</v>
      </c>
      <c r="C362">
        <v>45691</v>
      </c>
      <c r="D362" t="s">
        <v>7263</v>
      </c>
      <c r="E362" t="s">
        <v>2921</v>
      </c>
      <c r="F362">
        <v>45688</v>
      </c>
      <c r="G362" t="s">
        <v>2208</v>
      </c>
      <c r="H362" t="s">
        <v>7834</v>
      </c>
      <c r="I362" t="s">
        <v>8195</v>
      </c>
      <c r="J362">
        <v>2</v>
      </c>
      <c r="K362">
        <v>209.22</v>
      </c>
      <c r="L362" t="s">
        <v>2917</v>
      </c>
      <c r="M362">
        <v>209.22</v>
      </c>
      <c r="N362" t="s">
        <v>2917</v>
      </c>
      <c r="O362" t="s">
        <v>2208</v>
      </c>
      <c r="P362" t="s">
        <v>2208</v>
      </c>
      <c r="Q362" t="s">
        <v>2208</v>
      </c>
      <c r="R362" t="s">
        <v>2208</v>
      </c>
    </row>
    <row r="363" spans="1:18">
      <c r="A363" t="s">
        <v>7030</v>
      </c>
      <c r="B363" t="s">
        <v>2920</v>
      </c>
      <c r="C363">
        <v>45691</v>
      </c>
      <c r="D363" t="s">
        <v>7263</v>
      </c>
      <c r="E363" t="s">
        <v>2921</v>
      </c>
      <c r="F363">
        <v>45688</v>
      </c>
      <c r="G363" t="s">
        <v>2208</v>
      </c>
      <c r="H363" t="s">
        <v>7834</v>
      </c>
      <c r="I363" t="s">
        <v>8196</v>
      </c>
      <c r="J363">
        <v>1</v>
      </c>
      <c r="K363">
        <v>104.61</v>
      </c>
      <c r="L363" t="s">
        <v>2917</v>
      </c>
      <c r="M363">
        <v>104.61</v>
      </c>
      <c r="N363" t="s">
        <v>2917</v>
      </c>
      <c r="O363" t="s">
        <v>2208</v>
      </c>
      <c r="P363" t="s">
        <v>2208</v>
      </c>
      <c r="Q363" t="s">
        <v>2208</v>
      </c>
      <c r="R363" t="s">
        <v>2208</v>
      </c>
    </row>
    <row r="364" spans="1:18">
      <c r="A364" t="s">
        <v>7030</v>
      </c>
      <c r="B364" t="s">
        <v>2920</v>
      </c>
      <c r="C364">
        <v>45691</v>
      </c>
      <c r="D364" t="s">
        <v>7263</v>
      </c>
      <c r="E364" t="s">
        <v>2921</v>
      </c>
      <c r="F364">
        <v>45688</v>
      </c>
      <c r="G364" t="s">
        <v>2208</v>
      </c>
      <c r="H364" t="s">
        <v>7834</v>
      </c>
      <c r="I364" t="s">
        <v>8197</v>
      </c>
      <c r="J364">
        <v>1</v>
      </c>
      <c r="K364">
        <v>104.61</v>
      </c>
      <c r="L364" t="s">
        <v>2917</v>
      </c>
      <c r="M364">
        <v>104.61</v>
      </c>
      <c r="N364" t="s">
        <v>2917</v>
      </c>
      <c r="O364" t="s">
        <v>2208</v>
      </c>
      <c r="P364" t="s">
        <v>2208</v>
      </c>
      <c r="Q364" t="s">
        <v>2208</v>
      </c>
      <c r="R364" t="s">
        <v>2208</v>
      </c>
    </row>
    <row r="365" spans="1:18">
      <c r="A365" t="s">
        <v>7030</v>
      </c>
      <c r="B365" t="s">
        <v>2920</v>
      </c>
      <c r="C365">
        <v>45691</v>
      </c>
      <c r="D365" t="s">
        <v>7263</v>
      </c>
      <c r="E365" t="s">
        <v>2921</v>
      </c>
      <c r="F365">
        <v>45688</v>
      </c>
      <c r="G365" t="s">
        <v>2208</v>
      </c>
      <c r="H365" t="s">
        <v>7834</v>
      </c>
      <c r="I365" t="s">
        <v>8198</v>
      </c>
      <c r="J365">
        <v>1</v>
      </c>
      <c r="K365">
        <v>104.61</v>
      </c>
      <c r="L365" t="s">
        <v>2917</v>
      </c>
      <c r="M365">
        <v>104.61</v>
      </c>
      <c r="N365" t="s">
        <v>2917</v>
      </c>
      <c r="O365" t="s">
        <v>2208</v>
      </c>
      <c r="P365" t="s">
        <v>2208</v>
      </c>
      <c r="Q365" t="s">
        <v>2208</v>
      </c>
      <c r="R365" t="s">
        <v>2208</v>
      </c>
    </row>
    <row r="366" spans="1:18">
      <c r="A366" t="s">
        <v>7030</v>
      </c>
      <c r="B366" t="s">
        <v>2920</v>
      </c>
      <c r="C366">
        <v>45691</v>
      </c>
      <c r="D366" t="s">
        <v>7263</v>
      </c>
      <c r="E366" t="s">
        <v>2921</v>
      </c>
      <c r="F366">
        <v>45688</v>
      </c>
      <c r="G366" t="s">
        <v>2208</v>
      </c>
      <c r="H366" t="s">
        <v>7834</v>
      </c>
      <c r="I366" t="s">
        <v>8199</v>
      </c>
      <c r="J366">
        <v>1</v>
      </c>
      <c r="K366">
        <v>104.61</v>
      </c>
      <c r="L366" t="s">
        <v>2917</v>
      </c>
      <c r="M366">
        <v>104.61</v>
      </c>
      <c r="N366" t="s">
        <v>2917</v>
      </c>
      <c r="O366" t="s">
        <v>2208</v>
      </c>
      <c r="P366" t="s">
        <v>2208</v>
      </c>
      <c r="Q366" t="s">
        <v>2208</v>
      </c>
      <c r="R366" t="s">
        <v>2208</v>
      </c>
    </row>
    <row r="367" spans="1:18">
      <c r="A367" t="s">
        <v>7030</v>
      </c>
      <c r="B367" t="s">
        <v>2920</v>
      </c>
      <c r="C367">
        <v>45691</v>
      </c>
      <c r="D367" t="s">
        <v>7263</v>
      </c>
      <c r="E367" t="s">
        <v>2921</v>
      </c>
      <c r="F367">
        <v>45688</v>
      </c>
      <c r="G367" t="s">
        <v>2208</v>
      </c>
      <c r="H367" t="s">
        <v>7834</v>
      </c>
      <c r="I367" t="s">
        <v>8200</v>
      </c>
      <c r="J367">
        <v>2</v>
      </c>
      <c r="K367">
        <v>209.22</v>
      </c>
      <c r="L367" t="s">
        <v>2917</v>
      </c>
      <c r="M367">
        <v>209.22</v>
      </c>
      <c r="N367" t="s">
        <v>2917</v>
      </c>
      <c r="O367" t="s">
        <v>2208</v>
      </c>
      <c r="P367" t="s">
        <v>2208</v>
      </c>
      <c r="Q367" t="s">
        <v>2208</v>
      </c>
      <c r="R367" t="s">
        <v>2208</v>
      </c>
    </row>
    <row r="368" spans="1:18">
      <c r="A368" t="s">
        <v>7030</v>
      </c>
      <c r="B368" t="s">
        <v>2920</v>
      </c>
      <c r="C368">
        <v>45691</v>
      </c>
      <c r="D368" t="s">
        <v>7263</v>
      </c>
      <c r="E368" t="s">
        <v>2921</v>
      </c>
      <c r="F368">
        <v>45688</v>
      </c>
      <c r="G368" t="s">
        <v>2208</v>
      </c>
      <c r="H368" t="s">
        <v>7834</v>
      </c>
      <c r="I368" t="s">
        <v>8201</v>
      </c>
      <c r="J368">
        <v>1</v>
      </c>
      <c r="K368">
        <v>104.61</v>
      </c>
      <c r="L368" t="s">
        <v>2917</v>
      </c>
      <c r="M368">
        <v>104.61</v>
      </c>
      <c r="N368" t="s">
        <v>2917</v>
      </c>
      <c r="O368" t="s">
        <v>2208</v>
      </c>
      <c r="P368" t="s">
        <v>2208</v>
      </c>
      <c r="Q368" t="s">
        <v>2208</v>
      </c>
      <c r="R368" t="s">
        <v>2208</v>
      </c>
    </row>
    <row r="369" spans="1:18">
      <c r="A369" t="s">
        <v>7030</v>
      </c>
      <c r="B369" t="s">
        <v>2920</v>
      </c>
      <c r="C369">
        <v>45691</v>
      </c>
      <c r="D369" t="s">
        <v>7263</v>
      </c>
      <c r="E369" t="s">
        <v>2921</v>
      </c>
      <c r="F369">
        <v>45688</v>
      </c>
      <c r="G369" t="s">
        <v>2208</v>
      </c>
      <c r="H369" t="s">
        <v>7834</v>
      </c>
      <c r="I369" t="s">
        <v>8202</v>
      </c>
      <c r="J369">
        <v>1</v>
      </c>
      <c r="K369">
        <v>104.61</v>
      </c>
      <c r="L369" t="s">
        <v>2917</v>
      </c>
      <c r="M369">
        <v>104.61</v>
      </c>
      <c r="N369" t="s">
        <v>2917</v>
      </c>
      <c r="O369" t="s">
        <v>2208</v>
      </c>
      <c r="P369" t="s">
        <v>2208</v>
      </c>
      <c r="Q369" t="s">
        <v>2208</v>
      </c>
      <c r="R369" t="s">
        <v>2208</v>
      </c>
    </row>
    <row r="370" spans="1:18">
      <c r="A370" t="s">
        <v>7030</v>
      </c>
      <c r="B370" t="s">
        <v>2920</v>
      </c>
      <c r="C370">
        <v>45691</v>
      </c>
      <c r="D370" t="s">
        <v>7263</v>
      </c>
      <c r="E370" t="s">
        <v>2921</v>
      </c>
      <c r="F370">
        <v>45688</v>
      </c>
      <c r="G370" t="s">
        <v>2208</v>
      </c>
      <c r="H370" t="s">
        <v>7834</v>
      </c>
      <c r="I370" t="s">
        <v>8203</v>
      </c>
      <c r="J370">
        <v>1</v>
      </c>
      <c r="K370">
        <v>104.61</v>
      </c>
      <c r="L370" t="s">
        <v>2917</v>
      </c>
      <c r="M370">
        <v>104.61</v>
      </c>
      <c r="N370" t="s">
        <v>2917</v>
      </c>
      <c r="O370" t="s">
        <v>2208</v>
      </c>
      <c r="P370" t="s">
        <v>2208</v>
      </c>
      <c r="Q370" t="s">
        <v>2208</v>
      </c>
      <c r="R370" t="s">
        <v>2208</v>
      </c>
    </row>
    <row r="371" spans="1:18">
      <c r="A371" t="s">
        <v>7030</v>
      </c>
      <c r="B371" t="s">
        <v>2920</v>
      </c>
      <c r="C371">
        <v>45691</v>
      </c>
      <c r="D371" t="s">
        <v>7263</v>
      </c>
      <c r="E371" t="s">
        <v>2921</v>
      </c>
      <c r="F371">
        <v>45688</v>
      </c>
      <c r="G371" t="s">
        <v>2208</v>
      </c>
      <c r="H371" t="s">
        <v>7834</v>
      </c>
      <c r="I371" t="s">
        <v>8204</v>
      </c>
      <c r="J371">
        <v>1</v>
      </c>
      <c r="K371">
        <v>104.61</v>
      </c>
      <c r="L371" t="s">
        <v>2917</v>
      </c>
      <c r="M371">
        <v>104.61</v>
      </c>
      <c r="N371" t="s">
        <v>2917</v>
      </c>
      <c r="O371" t="s">
        <v>2208</v>
      </c>
      <c r="P371" t="s">
        <v>2208</v>
      </c>
      <c r="Q371" t="s">
        <v>2208</v>
      </c>
      <c r="R371" t="s">
        <v>2208</v>
      </c>
    </row>
    <row r="372" spans="1:18">
      <c r="A372" t="s">
        <v>7030</v>
      </c>
      <c r="B372" t="s">
        <v>2920</v>
      </c>
      <c r="C372">
        <v>45691</v>
      </c>
      <c r="D372" t="s">
        <v>7263</v>
      </c>
      <c r="E372" t="s">
        <v>2921</v>
      </c>
      <c r="F372">
        <v>45688</v>
      </c>
      <c r="G372" t="s">
        <v>2208</v>
      </c>
      <c r="H372" t="s">
        <v>7834</v>
      </c>
      <c r="I372" t="s">
        <v>8205</v>
      </c>
      <c r="J372">
        <v>2</v>
      </c>
      <c r="K372">
        <v>209.22</v>
      </c>
      <c r="L372" t="s">
        <v>2917</v>
      </c>
      <c r="M372">
        <v>209.22</v>
      </c>
      <c r="N372" t="s">
        <v>2917</v>
      </c>
      <c r="O372" t="s">
        <v>2208</v>
      </c>
      <c r="P372" t="s">
        <v>2208</v>
      </c>
      <c r="Q372" t="s">
        <v>2208</v>
      </c>
      <c r="R372" t="s">
        <v>2208</v>
      </c>
    </row>
    <row r="373" spans="1:18">
      <c r="A373" t="s">
        <v>7030</v>
      </c>
      <c r="B373" t="s">
        <v>2920</v>
      </c>
      <c r="C373">
        <v>45691</v>
      </c>
      <c r="D373" t="s">
        <v>7263</v>
      </c>
      <c r="E373" t="s">
        <v>2921</v>
      </c>
      <c r="F373">
        <v>45688</v>
      </c>
      <c r="G373" t="s">
        <v>2208</v>
      </c>
      <c r="H373" t="s">
        <v>7834</v>
      </c>
      <c r="I373" t="s">
        <v>8206</v>
      </c>
      <c r="J373">
        <v>8</v>
      </c>
      <c r="K373">
        <v>836.88</v>
      </c>
      <c r="L373" t="s">
        <v>2917</v>
      </c>
      <c r="M373">
        <v>836.88</v>
      </c>
      <c r="N373" t="s">
        <v>2917</v>
      </c>
      <c r="O373" t="s">
        <v>2208</v>
      </c>
      <c r="P373" t="s">
        <v>2208</v>
      </c>
      <c r="Q373" t="s">
        <v>2208</v>
      </c>
      <c r="R373" t="s">
        <v>2208</v>
      </c>
    </row>
    <row r="374" spans="1:18">
      <c r="A374" t="s">
        <v>7030</v>
      </c>
      <c r="B374" t="s">
        <v>2920</v>
      </c>
      <c r="C374">
        <v>45691</v>
      </c>
      <c r="D374" t="s">
        <v>7263</v>
      </c>
      <c r="E374" t="s">
        <v>2921</v>
      </c>
      <c r="F374">
        <v>45688</v>
      </c>
      <c r="G374" t="s">
        <v>2208</v>
      </c>
      <c r="H374" t="s">
        <v>7834</v>
      </c>
      <c r="I374" t="s">
        <v>8207</v>
      </c>
      <c r="J374">
        <v>8</v>
      </c>
      <c r="K374">
        <v>836.88</v>
      </c>
      <c r="L374" t="s">
        <v>2917</v>
      </c>
      <c r="M374">
        <v>836.88</v>
      </c>
      <c r="N374" t="s">
        <v>2917</v>
      </c>
      <c r="O374" t="s">
        <v>2208</v>
      </c>
      <c r="P374" t="s">
        <v>2208</v>
      </c>
      <c r="Q374" t="s">
        <v>2208</v>
      </c>
      <c r="R374" t="s">
        <v>2208</v>
      </c>
    </row>
    <row r="375" spans="1:18">
      <c r="A375" t="s">
        <v>7030</v>
      </c>
      <c r="B375" t="s">
        <v>2920</v>
      </c>
      <c r="C375">
        <v>45691</v>
      </c>
      <c r="D375" t="s">
        <v>7263</v>
      </c>
      <c r="E375" t="s">
        <v>2921</v>
      </c>
      <c r="F375">
        <v>45688</v>
      </c>
      <c r="G375" t="s">
        <v>2208</v>
      </c>
      <c r="H375" t="s">
        <v>7834</v>
      </c>
      <c r="I375" t="s">
        <v>8208</v>
      </c>
      <c r="J375">
        <v>8</v>
      </c>
      <c r="K375">
        <v>836.88</v>
      </c>
      <c r="L375" t="s">
        <v>2917</v>
      </c>
      <c r="M375">
        <v>836.88</v>
      </c>
      <c r="N375" t="s">
        <v>2917</v>
      </c>
      <c r="O375" t="s">
        <v>2208</v>
      </c>
      <c r="P375" t="s">
        <v>2208</v>
      </c>
      <c r="Q375" t="s">
        <v>2208</v>
      </c>
      <c r="R375" t="s">
        <v>2208</v>
      </c>
    </row>
    <row r="376" spans="1:18">
      <c r="A376" t="s">
        <v>7030</v>
      </c>
      <c r="B376" t="s">
        <v>2920</v>
      </c>
      <c r="C376">
        <v>45691</v>
      </c>
      <c r="D376" t="s">
        <v>7263</v>
      </c>
      <c r="E376" t="s">
        <v>2921</v>
      </c>
      <c r="F376">
        <v>45688</v>
      </c>
      <c r="G376" t="s">
        <v>2208</v>
      </c>
      <c r="H376" t="s">
        <v>7834</v>
      </c>
      <c r="I376" t="s">
        <v>8209</v>
      </c>
      <c r="J376">
        <v>4</v>
      </c>
      <c r="K376">
        <v>418.44</v>
      </c>
      <c r="L376" t="s">
        <v>2917</v>
      </c>
      <c r="M376">
        <v>418.44</v>
      </c>
      <c r="N376" t="s">
        <v>2917</v>
      </c>
      <c r="O376" t="s">
        <v>2208</v>
      </c>
      <c r="P376" t="s">
        <v>2208</v>
      </c>
      <c r="Q376" t="s">
        <v>2208</v>
      </c>
      <c r="R376" t="s">
        <v>2208</v>
      </c>
    </row>
    <row r="377" spans="1:18">
      <c r="A377" t="s">
        <v>7030</v>
      </c>
      <c r="B377" t="s">
        <v>2920</v>
      </c>
      <c r="C377">
        <v>45691</v>
      </c>
      <c r="D377" t="s">
        <v>7263</v>
      </c>
      <c r="E377" t="s">
        <v>2921</v>
      </c>
      <c r="F377">
        <v>45688</v>
      </c>
      <c r="G377" t="s">
        <v>2208</v>
      </c>
      <c r="H377" t="s">
        <v>7834</v>
      </c>
      <c r="I377" t="s">
        <v>8210</v>
      </c>
      <c r="J377">
        <v>4</v>
      </c>
      <c r="K377">
        <v>418.44</v>
      </c>
      <c r="L377" t="s">
        <v>2917</v>
      </c>
      <c r="M377">
        <v>418.44</v>
      </c>
      <c r="N377" t="s">
        <v>2917</v>
      </c>
      <c r="O377" t="s">
        <v>2208</v>
      </c>
      <c r="P377" t="s">
        <v>2208</v>
      </c>
      <c r="Q377" t="s">
        <v>2208</v>
      </c>
      <c r="R377" t="s">
        <v>2208</v>
      </c>
    </row>
    <row r="378" spans="1:18">
      <c r="A378" t="s">
        <v>7030</v>
      </c>
      <c r="B378" t="s">
        <v>2920</v>
      </c>
      <c r="C378">
        <v>45691</v>
      </c>
      <c r="D378" t="s">
        <v>7263</v>
      </c>
      <c r="E378" t="s">
        <v>2921</v>
      </c>
      <c r="F378">
        <v>45688</v>
      </c>
      <c r="G378" t="s">
        <v>2208</v>
      </c>
      <c r="H378" t="s">
        <v>7834</v>
      </c>
      <c r="I378" t="s">
        <v>8211</v>
      </c>
      <c r="J378">
        <v>3</v>
      </c>
      <c r="K378">
        <v>313.83</v>
      </c>
      <c r="L378" t="s">
        <v>2917</v>
      </c>
      <c r="M378">
        <v>313.83</v>
      </c>
      <c r="N378" t="s">
        <v>2917</v>
      </c>
      <c r="O378" t="s">
        <v>2208</v>
      </c>
      <c r="P378" t="s">
        <v>2208</v>
      </c>
      <c r="Q378" t="s">
        <v>2208</v>
      </c>
      <c r="R378" t="s">
        <v>2208</v>
      </c>
    </row>
    <row r="379" spans="1:18">
      <c r="A379" t="s">
        <v>7030</v>
      </c>
      <c r="B379" t="s">
        <v>2920</v>
      </c>
      <c r="C379">
        <v>45691</v>
      </c>
      <c r="D379" t="s">
        <v>7263</v>
      </c>
      <c r="E379" t="s">
        <v>2921</v>
      </c>
      <c r="F379">
        <v>45688</v>
      </c>
      <c r="G379" t="s">
        <v>2208</v>
      </c>
      <c r="H379" t="s">
        <v>7834</v>
      </c>
      <c r="I379" t="s">
        <v>8212</v>
      </c>
      <c r="J379">
        <v>2</v>
      </c>
      <c r="K379">
        <v>209.22</v>
      </c>
      <c r="L379" t="s">
        <v>2917</v>
      </c>
      <c r="M379">
        <v>209.22</v>
      </c>
      <c r="N379" t="s">
        <v>2917</v>
      </c>
      <c r="O379" t="s">
        <v>2208</v>
      </c>
      <c r="P379" t="s">
        <v>2208</v>
      </c>
      <c r="Q379" t="s">
        <v>2208</v>
      </c>
      <c r="R379" t="s">
        <v>2208</v>
      </c>
    </row>
    <row r="380" spans="1:18">
      <c r="A380" t="s">
        <v>7030</v>
      </c>
      <c r="B380" t="s">
        <v>2920</v>
      </c>
      <c r="C380">
        <v>45691</v>
      </c>
      <c r="D380" t="s">
        <v>7263</v>
      </c>
      <c r="E380" t="s">
        <v>2921</v>
      </c>
      <c r="F380">
        <v>45688</v>
      </c>
      <c r="G380" t="s">
        <v>2208</v>
      </c>
      <c r="H380" t="s">
        <v>7834</v>
      </c>
      <c r="I380" t="s">
        <v>8213</v>
      </c>
      <c r="J380">
        <v>3</v>
      </c>
      <c r="K380">
        <v>313.83</v>
      </c>
      <c r="L380" t="s">
        <v>2917</v>
      </c>
      <c r="M380">
        <v>313.83</v>
      </c>
      <c r="N380" t="s">
        <v>2917</v>
      </c>
      <c r="O380" t="s">
        <v>2208</v>
      </c>
      <c r="P380" t="s">
        <v>2208</v>
      </c>
      <c r="Q380" t="s">
        <v>2208</v>
      </c>
      <c r="R380" t="s">
        <v>2208</v>
      </c>
    </row>
    <row r="381" spans="1:18">
      <c r="A381" t="s">
        <v>7030</v>
      </c>
      <c r="B381" t="s">
        <v>2920</v>
      </c>
      <c r="C381">
        <v>45691</v>
      </c>
      <c r="D381" t="s">
        <v>7263</v>
      </c>
      <c r="E381" t="s">
        <v>2921</v>
      </c>
      <c r="F381">
        <v>45688</v>
      </c>
      <c r="G381" t="s">
        <v>2208</v>
      </c>
      <c r="H381" t="s">
        <v>7834</v>
      </c>
      <c r="I381" t="s">
        <v>8214</v>
      </c>
      <c r="J381">
        <v>1</v>
      </c>
      <c r="K381">
        <v>104.61</v>
      </c>
      <c r="L381" t="s">
        <v>2917</v>
      </c>
      <c r="M381">
        <v>104.61</v>
      </c>
      <c r="N381" t="s">
        <v>2917</v>
      </c>
      <c r="O381" t="s">
        <v>2208</v>
      </c>
      <c r="P381" t="s">
        <v>2208</v>
      </c>
      <c r="Q381" t="s">
        <v>2208</v>
      </c>
      <c r="R381" t="s">
        <v>2208</v>
      </c>
    </row>
    <row r="382" spans="1:18">
      <c r="A382" t="s">
        <v>7030</v>
      </c>
      <c r="B382" t="s">
        <v>2920</v>
      </c>
      <c r="C382">
        <v>45691</v>
      </c>
      <c r="D382" t="s">
        <v>7263</v>
      </c>
      <c r="E382" t="s">
        <v>2921</v>
      </c>
      <c r="F382">
        <v>45688</v>
      </c>
      <c r="G382" t="s">
        <v>2208</v>
      </c>
      <c r="H382" t="s">
        <v>7834</v>
      </c>
      <c r="I382" t="s">
        <v>8215</v>
      </c>
      <c r="J382">
        <v>3</v>
      </c>
      <c r="K382">
        <v>313.83</v>
      </c>
      <c r="L382" t="s">
        <v>2917</v>
      </c>
      <c r="M382">
        <v>313.83</v>
      </c>
      <c r="N382" t="s">
        <v>2917</v>
      </c>
      <c r="O382" t="s">
        <v>2208</v>
      </c>
      <c r="P382" t="s">
        <v>2208</v>
      </c>
      <c r="Q382" t="s">
        <v>2208</v>
      </c>
      <c r="R382" t="s">
        <v>2208</v>
      </c>
    </row>
    <row r="383" spans="1:18">
      <c r="A383" t="s">
        <v>7030</v>
      </c>
      <c r="B383" t="s">
        <v>2920</v>
      </c>
      <c r="C383">
        <v>45691</v>
      </c>
      <c r="D383" t="s">
        <v>7263</v>
      </c>
      <c r="E383" t="s">
        <v>2921</v>
      </c>
      <c r="F383">
        <v>45688</v>
      </c>
      <c r="G383" t="s">
        <v>2208</v>
      </c>
      <c r="H383" t="s">
        <v>7834</v>
      </c>
      <c r="I383" t="s">
        <v>8216</v>
      </c>
      <c r="J383">
        <v>3</v>
      </c>
      <c r="K383">
        <v>313.83</v>
      </c>
      <c r="L383" t="s">
        <v>2917</v>
      </c>
      <c r="M383">
        <v>313.83</v>
      </c>
      <c r="N383" t="s">
        <v>2917</v>
      </c>
      <c r="O383" t="s">
        <v>2208</v>
      </c>
      <c r="P383" t="s">
        <v>2208</v>
      </c>
      <c r="Q383" t="s">
        <v>2208</v>
      </c>
      <c r="R383" t="s">
        <v>2208</v>
      </c>
    </row>
    <row r="384" spans="1:18">
      <c r="A384" t="s">
        <v>7030</v>
      </c>
      <c r="B384" t="s">
        <v>2920</v>
      </c>
      <c r="C384">
        <v>45691</v>
      </c>
      <c r="D384" t="s">
        <v>7263</v>
      </c>
      <c r="E384" t="s">
        <v>2921</v>
      </c>
      <c r="F384">
        <v>45688</v>
      </c>
      <c r="G384" t="s">
        <v>2208</v>
      </c>
      <c r="H384" t="s">
        <v>7834</v>
      </c>
      <c r="I384" t="s">
        <v>8217</v>
      </c>
      <c r="J384">
        <v>1</v>
      </c>
      <c r="K384">
        <v>104.61</v>
      </c>
      <c r="L384" t="s">
        <v>2917</v>
      </c>
      <c r="M384">
        <v>104.61</v>
      </c>
      <c r="N384" t="s">
        <v>2917</v>
      </c>
      <c r="O384" t="s">
        <v>2208</v>
      </c>
      <c r="P384" t="s">
        <v>2208</v>
      </c>
      <c r="Q384" t="s">
        <v>2208</v>
      </c>
      <c r="R384" t="s">
        <v>2208</v>
      </c>
    </row>
    <row r="385" spans="1:18">
      <c r="A385" t="s">
        <v>7030</v>
      </c>
      <c r="B385" t="s">
        <v>2920</v>
      </c>
      <c r="C385">
        <v>45691</v>
      </c>
      <c r="D385" t="s">
        <v>7263</v>
      </c>
      <c r="E385" t="s">
        <v>2921</v>
      </c>
      <c r="F385">
        <v>45688</v>
      </c>
      <c r="G385" t="s">
        <v>2208</v>
      </c>
      <c r="H385" t="s">
        <v>7834</v>
      </c>
      <c r="I385" t="s">
        <v>8218</v>
      </c>
      <c r="J385">
        <v>3</v>
      </c>
      <c r="K385">
        <v>313.83</v>
      </c>
      <c r="L385" t="s">
        <v>2917</v>
      </c>
      <c r="M385">
        <v>313.83</v>
      </c>
      <c r="N385" t="s">
        <v>2917</v>
      </c>
      <c r="O385" t="s">
        <v>2208</v>
      </c>
      <c r="P385" t="s">
        <v>2208</v>
      </c>
      <c r="Q385" t="s">
        <v>2208</v>
      </c>
      <c r="R385" t="s">
        <v>2208</v>
      </c>
    </row>
    <row r="386" spans="1:18">
      <c r="A386" t="s">
        <v>7030</v>
      </c>
      <c r="B386" t="s">
        <v>2920</v>
      </c>
      <c r="C386">
        <v>45691</v>
      </c>
      <c r="D386" t="s">
        <v>7263</v>
      </c>
      <c r="E386" t="s">
        <v>2921</v>
      </c>
      <c r="F386">
        <v>45688</v>
      </c>
      <c r="G386" t="s">
        <v>2208</v>
      </c>
      <c r="H386" t="s">
        <v>7834</v>
      </c>
      <c r="I386" t="s">
        <v>8219</v>
      </c>
      <c r="J386">
        <v>2</v>
      </c>
      <c r="K386">
        <v>209.22</v>
      </c>
      <c r="L386" t="s">
        <v>2917</v>
      </c>
      <c r="M386">
        <v>209.22</v>
      </c>
      <c r="N386" t="s">
        <v>2917</v>
      </c>
      <c r="O386" t="s">
        <v>2208</v>
      </c>
      <c r="P386" t="s">
        <v>2208</v>
      </c>
      <c r="Q386" t="s">
        <v>2208</v>
      </c>
      <c r="R386" t="s">
        <v>2208</v>
      </c>
    </row>
    <row r="387" spans="1:18">
      <c r="A387" t="s">
        <v>7030</v>
      </c>
      <c r="B387" t="s">
        <v>2920</v>
      </c>
      <c r="C387">
        <v>45691</v>
      </c>
      <c r="D387" t="s">
        <v>7263</v>
      </c>
      <c r="E387" t="s">
        <v>2921</v>
      </c>
      <c r="F387">
        <v>45688</v>
      </c>
      <c r="G387" t="s">
        <v>2208</v>
      </c>
      <c r="H387" t="s">
        <v>7834</v>
      </c>
      <c r="I387" t="s">
        <v>8220</v>
      </c>
      <c r="J387">
        <v>2</v>
      </c>
      <c r="K387">
        <v>209.22</v>
      </c>
      <c r="L387" t="s">
        <v>2917</v>
      </c>
      <c r="M387">
        <v>209.22</v>
      </c>
      <c r="N387" t="s">
        <v>2917</v>
      </c>
      <c r="O387" t="s">
        <v>2208</v>
      </c>
      <c r="P387" t="s">
        <v>2208</v>
      </c>
      <c r="Q387" t="s">
        <v>2208</v>
      </c>
      <c r="R387" t="s">
        <v>2208</v>
      </c>
    </row>
    <row r="388" spans="1:18">
      <c r="A388" t="s">
        <v>7030</v>
      </c>
      <c r="B388" t="s">
        <v>2920</v>
      </c>
      <c r="C388">
        <v>45691</v>
      </c>
      <c r="D388" t="s">
        <v>7263</v>
      </c>
      <c r="E388" t="s">
        <v>2921</v>
      </c>
      <c r="F388">
        <v>45688</v>
      </c>
      <c r="G388" t="s">
        <v>2208</v>
      </c>
      <c r="H388" t="s">
        <v>7834</v>
      </c>
      <c r="I388" t="s">
        <v>8221</v>
      </c>
      <c r="J388">
        <v>2</v>
      </c>
      <c r="K388">
        <v>209.22</v>
      </c>
      <c r="L388" t="s">
        <v>2917</v>
      </c>
      <c r="M388">
        <v>209.22</v>
      </c>
      <c r="N388" t="s">
        <v>2917</v>
      </c>
      <c r="O388" t="s">
        <v>2208</v>
      </c>
      <c r="P388" t="s">
        <v>2208</v>
      </c>
      <c r="Q388" t="s">
        <v>2208</v>
      </c>
      <c r="R388" t="s">
        <v>2208</v>
      </c>
    </row>
    <row r="389" spans="1:18">
      <c r="A389" t="s">
        <v>7030</v>
      </c>
      <c r="B389" t="s">
        <v>2920</v>
      </c>
      <c r="C389">
        <v>45691</v>
      </c>
      <c r="D389" t="s">
        <v>7263</v>
      </c>
      <c r="E389" t="s">
        <v>2921</v>
      </c>
      <c r="F389">
        <v>45688</v>
      </c>
      <c r="G389" t="s">
        <v>2208</v>
      </c>
      <c r="H389" t="s">
        <v>7834</v>
      </c>
      <c r="I389" t="s">
        <v>8222</v>
      </c>
      <c r="J389">
        <v>2</v>
      </c>
      <c r="K389">
        <v>209.22</v>
      </c>
      <c r="L389" t="s">
        <v>2917</v>
      </c>
      <c r="M389">
        <v>209.22</v>
      </c>
      <c r="N389" t="s">
        <v>2917</v>
      </c>
      <c r="O389" t="s">
        <v>2208</v>
      </c>
      <c r="P389" t="s">
        <v>2208</v>
      </c>
      <c r="Q389" t="s">
        <v>2208</v>
      </c>
      <c r="R389" t="s">
        <v>2208</v>
      </c>
    </row>
    <row r="390" spans="1:18">
      <c r="A390" t="s">
        <v>7030</v>
      </c>
      <c r="B390" t="s">
        <v>2920</v>
      </c>
      <c r="C390">
        <v>45691</v>
      </c>
      <c r="D390" t="s">
        <v>7263</v>
      </c>
      <c r="E390" t="s">
        <v>2921</v>
      </c>
      <c r="F390">
        <v>45688</v>
      </c>
      <c r="G390" t="s">
        <v>2208</v>
      </c>
      <c r="H390" t="s">
        <v>7834</v>
      </c>
      <c r="I390" t="s">
        <v>8223</v>
      </c>
      <c r="J390">
        <v>1</v>
      </c>
      <c r="K390">
        <v>104.61</v>
      </c>
      <c r="L390" t="s">
        <v>2917</v>
      </c>
      <c r="M390">
        <v>104.61</v>
      </c>
      <c r="N390" t="s">
        <v>2917</v>
      </c>
      <c r="O390" t="s">
        <v>2208</v>
      </c>
      <c r="P390" t="s">
        <v>2208</v>
      </c>
      <c r="Q390" t="s">
        <v>2208</v>
      </c>
      <c r="R390" t="s">
        <v>2208</v>
      </c>
    </row>
    <row r="391" spans="1:18">
      <c r="A391" t="s">
        <v>7030</v>
      </c>
      <c r="B391" t="s">
        <v>2920</v>
      </c>
      <c r="C391">
        <v>45691</v>
      </c>
      <c r="D391" t="s">
        <v>7263</v>
      </c>
      <c r="E391" t="s">
        <v>2921</v>
      </c>
      <c r="F391">
        <v>45688</v>
      </c>
      <c r="G391" t="s">
        <v>2208</v>
      </c>
      <c r="H391" t="s">
        <v>7834</v>
      </c>
      <c r="I391" t="s">
        <v>8224</v>
      </c>
      <c r="J391">
        <v>1.75</v>
      </c>
      <c r="K391">
        <v>183.07</v>
      </c>
      <c r="L391" t="s">
        <v>2917</v>
      </c>
      <c r="M391">
        <v>183.07</v>
      </c>
      <c r="N391" t="s">
        <v>2917</v>
      </c>
      <c r="O391" t="s">
        <v>2208</v>
      </c>
      <c r="P391" t="s">
        <v>2208</v>
      </c>
      <c r="Q391" t="s">
        <v>2208</v>
      </c>
      <c r="R391" t="s">
        <v>2208</v>
      </c>
    </row>
    <row r="392" spans="1:18">
      <c r="A392" t="s">
        <v>7030</v>
      </c>
      <c r="B392" t="s">
        <v>2920</v>
      </c>
      <c r="C392">
        <v>45691</v>
      </c>
      <c r="D392" t="s">
        <v>7263</v>
      </c>
      <c r="E392" t="s">
        <v>2921</v>
      </c>
      <c r="F392">
        <v>45688</v>
      </c>
      <c r="G392" t="s">
        <v>2208</v>
      </c>
      <c r="H392" t="s">
        <v>7834</v>
      </c>
      <c r="I392" t="s">
        <v>8225</v>
      </c>
      <c r="J392">
        <v>2</v>
      </c>
      <c r="K392">
        <v>209.22</v>
      </c>
      <c r="L392" t="s">
        <v>2917</v>
      </c>
      <c r="M392">
        <v>209.22</v>
      </c>
      <c r="N392" t="s">
        <v>2917</v>
      </c>
      <c r="O392" t="s">
        <v>2208</v>
      </c>
      <c r="P392" t="s">
        <v>2208</v>
      </c>
      <c r="Q392" t="s">
        <v>2208</v>
      </c>
      <c r="R392" t="s">
        <v>2208</v>
      </c>
    </row>
    <row r="393" spans="1:18">
      <c r="A393" t="s">
        <v>7030</v>
      </c>
      <c r="B393" t="s">
        <v>2920</v>
      </c>
      <c r="C393">
        <v>45691</v>
      </c>
      <c r="D393" t="s">
        <v>7263</v>
      </c>
      <c r="E393" t="s">
        <v>2921</v>
      </c>
      <c r="F393">
        <v>45688</v>
      </c>
      <c r="G393" t="s">
        <v>2208</v>
      </c>
      <c r="H393" t="s">
        <v>7834</v>
      </c>
      <c r="I393" t="s">
        <v>8226</v>
      </c>
      <c r="J393">
        <v>2</v>
      </c>
      <c r="K393">
        <v>209.22</v>
      </c>
      <c r="L393" t="s">
        <v>2917</v>
      </c>
      <c r="M393">
        <v>209.22</v>
      </c>
      <c r="N393" t="s">
        <v>2917</v>
      </c>
      <c r="O393" t="s">
        <v>2208</v>
      </c>
      <c r="P393" t="s">
        <v>2208</v>
      </c>
      <c r="Q393" t="s">
        <v>2208</v>
      </c>
      <c r="R393" t="s">
        <v>2208</v>
      </c>
    </row>
    <row r="394" spans="1:18">
      <c r="A394" t="s">
        <v>7030</v>
      </c>
      <c r="B394" t="s">
        <v>2920</v>
      </c>
      <c r="C394">
        <v>45691</v>
      </c>
      <c r="D394" t="s">
        <v>7263</v>
      </c>
      <c r="E394" t="s">
        <v>2921</v>
      </c>
      <c r="F394">
        <v>45688</v>
      </c>
      <c r="G394" t="s">
        <v>2208</v>
      </c>
      <c r="H394" t="s">
        <v>7834</v>
      </c>
      <c r="I394" t="s">
        <v>8227</v>
      </c>
      <c r="J394">
        <v>2</v>
      </c>
      <c r="K394">
        <v>209.22</v>
      </c>
      <c r="L394" t="s">
        <v>2917</v>
      </c>
      <c r="M394">
        <v>209.22</v>
      </c>
      <c r="N394" t="s">
        <v>2917</v>
      </c>
      <c r="O394" t="s">
        <v>2208</v>
      </c>
      <c r="P394" t="s">
        <v>2208</v>
      </c>
      <c r="Q394" t="s">
        <v>2208</v>
      </c>
      <c r="R394" t="s">
        <v>2208</v>
      </c>
    </row>
    <row r="395" spans="1:18">
      <c r="A395" t="s">
        <v>7030</v>
      </c>
      <c r="B395" t="s">
        <v>2920</v>
      </c>
      <c r="C395">
        <v>45691</v>
      </c>
      <c r="D395" t="s">
        <v>7263</v>
      </c>
      <c r="E395" t="s">
        <v>2921</v>
      </c>
      <c r="F395">
        <v>45688</v>
      </c>
      <c r="G395" t="s">
        <v>2208</v>
      </c>
      <c r="H395" t="s">
        <v>7834</v>
      </c>
      <c r="I395" t="s">
        <v>8228</v>
      </c>
      <c r="J395">
        <v>1</v>
      </c>
      <c r="K395">
        <v>104.61</v>
      </c>
      <c r="L395" t="s">
        <v>2917</v>
      </c>
      <c r="M395">
        <v>104.61</v>
      </c>
      <c r="N395" t="s">
        <v>2917</v>
      </c>
      <c r="O395" t="s">
        <v>2208</v>
      </c>
      <c r="P395" t="s">
        <v>2208</v>
      </c>
      <c r="Q395" t="s">
        <v>2208</v>
      </c>
      <c r="R395" t="s">
        <v>2208</v>
      </c>
    </row>
    <row r="396" spans="1:18">
      <c r="A396" t="s">
        <v>7030</v>
      </c>
      <c r="B396" t="s">
        <v>2920</v>
      </c>
      <c r="C396">
        <v>45691</v>
      </c>
      <c r="D396" t="s">
        <v>7263</v>
      </c>
      <c r="E396" t="s">
        <v>2921</v>
      </c>
      <c r="F396">
        <v>45688</v>
      </c>
      <c r="G396" t="s">
        <v>2208</v>
      </c>
      <c r="H396" t="s">
        <v>7834</v>
      </c>
      <c r="I396" t="s">
        <v>8229</v>
      </c>
      <c r="J396">
        <v>2</v>
      </c>
      <c r="K396">
        <v>209.22</v>
      </c>
      <c r="L396" t="s">
        <v>2917</v>
      </c>
      <c r="M396">
        <v>209.22</v>
      </c>
      <c r="N396" t="s">
        <v>2917</v>
      </c>
      <c r="O396" t="s">
        <v>2208</v>
      </c>
      <c r="P396" t="s">
        <v>2208</v>
      </c>
      <c r="Q396" t="s">
        <v>2208</v>
      </c>
      <c r="R396" t="s">
        <v>2208</v>
      </c>
    </row>
    <row r="397" spans="1:18">
      <c r="A397" t="s">
        <v>7030</v>
      </c>
      <c r="B397" t="s">
        <v>2920</v>
      </c>
      <c r="C397">
        <v>45691</v>
      </c>
      <c r="D397" t="s">
        <v>7263</v>
      </c>
      <c r="E397" t="s">
        <v>2921</v>
      </c>
      <c r="F397">
        <v>45688</v>
      </c>
      <c r="G397" t="s">
        <v>2208</v>
      </c>
      <c r="H397" t="s">
        <v>7834</v>
      </c>
      <c r="I397" t="s">
        <v>8230</v>
      </c>
      <c r="J397">
        <v>1</v>
      </c>
      <c r="K397">
        <v>104.61</v>
      </c>
      <c r="L397" t="s">
        <v>2917</v>
      </c>
      <c r="M397">
        <v>104.61</v>
      </c>
      <c r="N397" t="s">
        <v>2917</v>
      </c>
      <c r="O397" t="s">
        <v>2208</v>
      </c>
      <c r="P397" t="s">
        <v>2208</v>
      </c>
      <c r="Q397" t="s">
        <v>2208</v>
      </c>
      <c r="R397" t="s">
        <v>2208</v>
      </c>
    </row>
    <row r="398" spans="1:18">
      <c r="A398" t="s">
        <v>7030</v>
      </c>
      <c r="B398" t="s">
        <v>2920</v>
      </c>
      <c r="C398">
        <v>45691</v>
      </c>
      <c r="D398" t="s">
        <v>7263</v>
      </c>
      <c r="E398" t="s">
        <v>2921</v>
      </c>
      <c r="F398">
        <v>45688</v>
      </c>
      <c r="G398" t="s">
        <v>2208</v>
      </c>
      <c r="H398" t="s">
        <v>7834</v>
      </c>
      <c r="I398" t="s">
        <v>8231</v>
      </c>
      <c r="J398">
        <v>1</v>
      </c>
      <c r="K398">
        <v>104.61</v>
      </c>
      <c r="L398" t="s">
        <v>2917</v>
      </c>
      <c r="M398">
        <v>104.61</v>
      </c>
      <c r="N398" t="s">
        <v>2917</v>
      </c>
      <c r="O398" t="s">
        <v>2208</v>
      </c>
      <c r="P398" t="s">
        <v>2208</v>
      </c>
      <c r="Q398" t="s">
        <v>2208</v>
      </c>
      <c r="R398" t="s">
        <v>2208</v>
      </c>
    </row>
    <row r="399" spans="1:18">
      <c r="A399" t="s">
        <v>7030</v>
      </c>
      <c r="B399" t="s">
        <v>2920</v>
      </c>
      <c r="C399">
        <v>45691</v>
      </c>
      <c r="D399" t="s">
        <v>7263</v>
      </c>
      <c r="E399" t="s">
        <v>2921</v>
      </c>
      <c r="F399">
        <v>45688</v>
      </c>
      <c r="G399" t="s">
        <v>2208</v>
      </c>
      <c r="H399" t="s">
        <v>7834</v>
      </c>
      <c r="I399" t="s">
        <v>8232</v>
      </c>
      <c r="J399">
        <v>1</v>
      </c>
      <c r="K399">
        <v>104.61</v>
      </c>
      <c r="L399" t="s">
        <v>2917</v>
      </c>
      <c r="M399">
        <v>104.61</v>
      </c>
      <c r="N399" t="s">
        <v>2917</v>
      </c>
      <c r="O399" t="s">
        <v>2208</v>
      </c>
      <c r="P399" t="s">
        <v>2208</v>
      </c>
      <c r="Q399" t="s">
        <v>2208</v>
      </c>
      <c r="R399" t="s">
        <v>2208</v>
      </c>
    </row>
    <row r="400" spans="1:18">
      <c r="A400" t="s">
        <v>7030</v>
      </c>
      <c r="B400" t="s">
        <v>2920</v>
      </c>
      <c r="C400">
        <v>45691</v>
      </c>
      <c r="D400" t="s">
        <v>7263</v>
      </c>
      <c r="E400" t="s">
        <v>2921</v>
      </c>
      <c r="F400">
        <v>45688</v>
      </c>
      <c r="G400" t="s">
        <v>2208</v>
      </c>
      <c r="H400" t="s">
        <v>7834</v>
      </c>
      <c r="I400" t="s">
        <v>8233</v>
      </c>
      <c r="J400">
        <v>1</v>
      </c>
      <c r="K400">
        <v>104.61</v>
      </c>
      <c r="L400" t="s">
        <v>2917</v>
      </c>
      <c r="M400">
        <v>104.61</v>
      </c>
      <c r="N400" t="s">
        <v>2917</v>
      </c>
      <c r="O400" t="s">
        <v>2208</v>
      </c>
      <c r="P400" t="s">
        <v>2208</v>
      </c>
      <c r="Q400" t="s">
        <v>2208</v>
      </c>
      <c r="R400" t="s">
        <v>2208</v>
      </c>
    </row>
    <row r="401" spans="1:18">
      <c r="A401" t="s">
        <v>7030</v>
      </c>
      <c r="B401" t="s">
        <v>2920</v>
      </c>
      <c r="C401">
        <v>45691</v>
      </c>
      <c r="D401" t="s">
        <v>7263</v>
      </c>
      <c r="E401" t="s">
        <v>2921</v>
      </c>
      <c r="F401">
        <v>45688</v>
      </c>
      <c r="G401" t="s">
        <v>2208</v>
      </c>
      <c r="H401" t="s">
        <v>7834</v>
      </c>
      <c r="I401" t="s">
        <v>8234</v>
      </c>
      <c r="J401">
        <v>3</v>
      </c>
      <c r="K401">
        <v>313.83</v>
      </c>
      <c r="L401" t="s">
        <v>2917</v>
      </c>
      <c r="M401">
        <v>313.83</v>
      </c>
      <c r="N401" t="s">
        <v>2917</v>
      </c>
      <c r="O401" t="s">
        <v>2208</v>
      </c>
      <c r="P401" t="s">
        <v>2208</v>
      </c>
      <c r="Q401" t="s">
        <v>2208</v>
      </c>
      <c r="R401" t="s">
        <v>2208</v>
      </c>
    </row>
    <row r="402" spans="1:18">
      <c r="A402" t="s">
        <v>7030</v>
      </c>
      <c r="B402" t="s">
        <v>2920</v>
      </c>
      <c r="C402">
        <v>45691</v>
      </c>
      <c r="D402" t="s">
        <v>7263</v>
      </c>
      <c r="E402" t="s">
        <v>2921</v>
      </c>
      <c r="F402">
        <v>45688</v>
      </c>
      <c r="G402" t="s">
        <v>2208</v>
      </c>
      <c r="H402" t="s">
        <v>7834</v>
      </c>
      <c r="I402" t="s">
        <v>8235</v>
      </c>
      <c r="J402">
        <v>1</v>
      </c>
      <c r="K402">
        <v>104.61</v>
      </c>
      <c r="L402" t="s">
        <v>2917</v>
      </c>
      <c r="M402">
        <v>104.61</v>
      </c>
      <c r="N402" t="s">
        <v>2917</v>
      </c>
      <c r="O402" t="s">
        <v>2208</v>
      </c>
      <c r="P402" t="s">
        <v>2208</v>
      </c>
      <c r="Q402" t="s">
        <v>2208</v>
      </c>
      <c r="R402" t="s">
        <v>2208</v>
      </c>
    </row>
    <row r="403" spans="1:18">
      <c r="A403" t="s">
        <v>7030</v>
      </c>
      <c r="B403" t="s">
        <v>2920</v>
      </c>
      <c r="C403">
        <v>45691</v>
      </c>
      <c r="D403" t="s">
        <v>7263</v>
      </c>
      <c r="E403" t="s">
        <v>2921</v>
      </c>
      <c r="F403">
        <v>45688</v>
      </c>
      <c r="G403" t="s">
        <v>2208</v>
      </c>
      <c r="H403" t="s">
        <v>7834</v>
      </c>
      <c r="I403" t="s">
        <v>8236</v>
      </c>
      <c r="J403">
        <v>2</v>
      </c>
      <c r="K403">
        <v>209.22</v>
      </c>
      <c r="L403" t="s">
        <v>2917</v>
      </c>
      <c r="M403">
        <v>209.22</v>
      </c>
      <c r="N403" t="s">
        <v>2917</v>
      </c>
      <c r="O403" t="s">
        <v>2208</v>
      </c>
      <c r="P403" t="s">
        <v>2208</v>
      </c>
      <c r="Q403" t="s">
        <v>2208</v>
      </c>
      <c r="R403" t="s">
        <v>2208</v>
      </c>
    </row>
    <row r="404" spans="1:18">
      <c r="A404" t="s">
        <v>7030</v>
      </c>
      <c r="B404" t="s">
        <v>2920</v>
      </c>
      <c r="C404">
        <v>45691</v>
      </c>
      <c r="D404" t="s">
        <v>7263</v>
      </c>
      <c r="E404" t="s">
        <v>2921</v>
      </c>
      <c r="F404">
        <v>45688</v>
      </c>
      <c r="G404" t="s">
        <v>2208</v>
      </c>
      <c r="H404" t="s">
        <v>7834</v>
      </c>
      <c r="I404" t="s">
        <v>8237</v>
      </c>
      <c r="J404">
        <v>1</v>
      </c>
      <c r="K404">
        <v>104.61</v>
      </c>
      <c r="L404" t="s">
        <v>2917</v>
      </c>
      <c r="M404">
        <v>104.61</v>
      </c>
      <c r="N404" t="s">
        <v>2917</v>
      </c>
      <c r="O404" t="s">
        <v>2208</v>
      </c>
      <c r="P404" t="s">
        <v>2208</v>
      </c>
      <c r="Q404" t="s">
        <v>2208</v>
      </c>
      <c r="R404" t="s">
        <v>2208</v>
      </c>
    </row>
    <row r="405" spans="1:18">
      <c r="A405" t="s">
        <v>7030</v>
      </c>
      <c r="B405" t="s">
        <v>2920</v>
      </c>
      <c r="C405">
        <v>45691</v>
      </c>
      <c r="D405" t="s">
        <v>7263</v>
      </c>
      <c r="E405" t="s">
        <v>2921</v>
      </c>
      <c r="F405">
        <v>45688</v>
      </c>
      <c r="G405" t="s">
        <v>2208</v>
      </c>
      <c r="H405" t="s">
        <v>7834</v>
      </c>
      <c r="I405" t="s">
        <v>8238</v>
      </c>
      <c r="J405">
        <v>2</v>
      </c>
      <c r="K405">
        <v>209.22</v>
      </c>
      <c r="L405" t="s">
        <v>2917</v>
      </c>
      <c r="M405">
        <v>209.22</v>
      </c>
      <c r="N405" t="s">
        <v>2917</v>
      </c>
      <c r="O405" t="s">
        <v>2208</v>
      </c>
      <c r="P405" t="s">
        <v>2208</v>
      </c>
      <c r="Q405" t="s">
        <v>2208</v>
      </c>
      <c r="R405" t="s">
        <v>2208</v>
      </c>
    </row>
    <row r="406" spans="1:18">
      <c r="A406" t="s">
        <v>7030</v>
      </c>
      <c r="B406" t="s">
        <v>2920</v>
      </c>
      <c r="C406">
        <v>45691</v>
      </c>
      <c r="D406" t="s">
        <v>7263</v>
      </c>
      <c r="E406" t="s">
        <v>2921</v>
      </c>
      <c r="F406">
        <v>45688</v>
      </c>
      <c r="G406" t="s">
        <v>2208</v>
      </c>
      <c r="H406" t="s">
        <v>7834</v>
      </c>
      <c r="I406" t="s">
        <v>8239</v>
      </c>
      <c r="J406">
        <v>2</v>
      </c>
      <c r="K406">
        <v>209.22</v>
      </c>
      <c r="L406" t="s">
        <v>2917</v>
      </c>
      <c r="M406">
        <v>209.22</v>
      </c>
      <c r="N406" t="s">
        <v>2917</v>
      </c>
      <c r="O406" t="s">
        <v>2208</v>
      </c>
      <c r="P406" t="s">
        <v>2208</v>
      </c>
      <c r="Q406" t="s">
        <v>2208</v>
      </c>
      <c r="R406" t="s">
        <v>2208</v>
      </c>
    </row>
    <row r="407" spans="1:18">
      <c r="A407" t="s">
        <v>7030</v>
      </c>
      <c r="B407" t="s">
        <v>2920</v>
      </c>
      <c r="C407">
        <v>45691</v>
      </c>
      <c r="D407" t="s">
        <v>7263</v>
      </c>
      <c r="E407" t="s">
        <v>2921</v>
      </c>
      <c r="F407">
        <v>45688</v>
      </c>
      <c r="G407" t="s">
        <v>2208</v>
      </c>
      <c r="H407" t="s">
        <v>7834</v>
      </c>
      <c r="I407" t="s">
        <v>8240</v>
      </c>
      <c r="J407">
        <v>1</v>
      </c>
      <c r="K407">
        <v>104.61</v>
      </c>
      <c r="L407" t="s">
        <v>2917</v>
      </c>
      <c r="M407">
        <v>104.61</v>
      </c>
      <c r="N407" t="s">
        <v>2917</v>
      </c>
      <c r="O407" t="s">
        <v>2208</v>
      </c>
      <c r="P407" t="s">
        <v>2208</v>
      </c>
      <c r="Q407" t="s">
        <v>2208</v>
      </c>
      <c r="R407" t="s">
        <v>2208</v>
      </c>
    </row>
    <row r="408" spans="1:18">
      <c r="A408" t="s">
        <v>7030</v>
      </c>
      <c r="B408" t="s">
        <v>2920</v>
      </c>
      <c r="C408">
        <v>45691</v>
      </c>
      <c r="D408" t="s">
        <v>7263</v>
      </c>
      <c r="E408" t="s">
        <v>2921</v>
      </c>
      <c r="F408">
        <v>45688</v>
      </c>
      <c r="G408" t="s">
        <v>2208</v>
      </c>
      <c r="H408" t="s">
        <v>7834</v>
      </c>
      <c r="I408" t="s">
        <v>8241</v>
      </c>
      <c r="J408">
        <v>1</v>
      </c>
      <c r="K408">
        <v>104.61</v>
      </c>
      <c r="L408" t="s">
        <v>2917</v>
      </c>
      <c r="M408">
        <v>104.61</v>
      </c>
      <c r="N408" t="s">
        <v>2917</v>
      </c>
      <c r="O408" t="s">
        <v>2208</v>
      </c>
      <c r="P408" t="s">
        <v>2208</v>
      </c>
      <c r="Q408" t="s">
        <v>2208</v>
      </c>
      <c r="R408" t="s">
        <v>2208</v>
      </c>
    </row>
    <row r="409" spans="1:18">
      <c r="A409" t="s">
        <v>7030</v>
      </c>
      <c r="B409" t="s">
        <v>2920</v>
      </c>
      <c r="C409">
        <v>45691</v>
      </c>
      <c r="D409" t="s">
        <v>7263</v>
      </c>
      <c r="E409" t="s">
        <v>2921</v>
      </c>
      <c r="F409">
        <v>45688</v>
      </c>
      <c r="G409" t="s">
        <v>2208</v>
      </c>
      <c r="H409" t="s">
        <v>7834</v>
      </c>
      <c r="I409" t="s">
        <v>8242</v>
      </c>
      <c r="J409">
        <v>2</v>
      </c>
      <c r="K409">
        <v>209.22</v>
      </c>
      <c r="L409" t="s">
        <v>2917</v>
      </c>
      <c r="M409">
        <v>209.22</v>
      </c>
      <c r="N409" t="s">
        <v>2917</v>
      </c>
      <c r="O409" t="s">
        <v>2208</v>
      </c>
      <c r="P409" t="s">
        <v>2208</v>
      </c>
      <c r="Q409" t="s">
        <v>2208</v>
      </c>
      <c r="R409" t="s">
        <v>2208</v>
      </c>
    </row>
    <row r="410" spans="1:18">
      <c r="A410" t="s">
        <v>7030</v>
      </c>
      <c r="B410" t="s">
        <v>2920</v>
      </c>
      <c r="C410">
        <v>45691</v>
      </c>
      <c r="D410" t="s">
        <v>7263</v>
      </c>
      <c r="E410" t="s">
        <v>2921</v>
      </c>
      <c r="F410">
        <v>45688</v>
      </c>
      <c r="G410" t="s">
        <v>2208</v>
      </c>
      <c r="H410" t="s">
        <v>7834</v>
      </c>
      <c r="I410" t="s">
        <v>8243</v>
      </c>
      <c r="J410">
        <v>1</v>
      </c>
      <c r="K410">
        <v>104.61</v>
      </c>
      <c r="L410" t="s">
        <v>2917</v>
      </c>
      <c r="M410">
        <v>104.61</v>
      </c>
      <c r="N410" t="s">
        <v>2917</v>
      </c>
      <c r="O410" t="s">
        <v>2208</v>
      </c>
      <c r="P410" t="s">
        <v>2208</v>
      </c>
      <c r="Q410" t="s">
        <v>2208</v>
      </c>
      <c r="R410" t="s">
        <v>2208</v>
      </c>
    </row>
    <row r="411" spans="1:18">
      <c r="A411" t="s">
        <v>7030</v>
      </c>
      <c r="B411" t="s">
        <v>2920</v>
      </c>
      <c r="C411">
        <v>45691</v>
      </c>
      <c r="D411" t="s">
        <v>7263</v>
      </c>
      <c r="E411" t="s">
        <v>2921</v>
      </c>
      <c r="F411">
        <v>45688</v>
      </c>
      <c r="G411" t="s">
        <v>2208</v>
      </c>
      <c r="H411" t="s">
        <v>7834</v>
      </c>
      <c r="I411" t="s">
        <v>8244</v>
      </c>
      <c r="J411">
        <v>1</v>
      </c>
      <c r="K411">
        <v>104.61</v>
      </c>
      <c r="L411" t="s">
        <v>2917</v>
      </c>
      <c r="M411">
        <v>104.61</v>
      </c>
      <c r="N411" t="s">
        <v>2917</v>
      </c>
      <c r="O411" t="s">
        <v>2208</v>
      </c>
      <c r="P411" t="s">
        <v>2208</v>
      </c>
      <c r="Q411" t="s">
        <v>2208</v>
      </c>
      <c r="R411" t="s">
        <v>2208</v>
      </c>
    </row>
    <row r="412" spans="1:18">
      <c r="A412" t="s">
        <v>7030</v>
      </c>
      <c r="B412" t="s">
        <v>2920</v>
      </c>
      <c r="C412">
        <v>45691</v>
      </c>
      <c r="D412" t="s">
        <v>7263</v>
      </c>
      <c r="E412" t="s">
        <v>2921</v>
      </c>
      <c r="F412">
        <v>45688</v>
      </c>
      <c r="G412" t="s">
        <v>2208</v>
      </c>
      <c r="H412" t="s">
        <v>7834</v>
      </c>
      <c r="I412" t="s">
        <v>8245</v>
      </c>
      <c r="J412">
        <v>2</v>
      </c>
      <c r="K412">
        <v>209.22</v>
      </c>
      <c r="L412" t="s">
        <v>2917</v>
      </c>
      <c r="M412">
        <v>209.22</v>
      </c>
      <c r="N412" t="s">
        <v>2917</v>
      </c>
      <c r="O412" t="s">
        <v>2208</v>
      </c>
      <c r="P412" t="s">
        <v>2208</v>
      </c>
      <c r="Q412" t="s">
        <v>2208</v>
      </c>
      <c r="R412" t="s">
        <v>2208</v>
      </c>
    </row>
    <row r="413" spans="1:18">
      <c r="A413" t="s">
        <v>7030</v>
      </c>
      <c r="B413" t="s">
        <v>2920</v>
      </c>
      <c r="C413">
        <v>45691</v>
      </c>
      <c r="D413" t="s">
        <v>7263</v>
      </c>
      <c r="E413" t="s">
        <v>2921</v>
      </c>
      <c r="F413">
        <v>45688</v>
      </c>
      <c r="G413" t="s">
        <v>2208</v>
      </c>
      <c r="H413" t="s">
        <v>7834</v>
      </c>
      <c r="I413" t="s">
        <v>8246</v>
      </c>
      <c r="J413">
        <v>1</v>
      </c>
      <c r="K413">
        <v>104.61</v>
      </c>
      <c r="L413" t="s">
        <v>2917</v>
      </c>
      <c r="M413">
        <v>104.61</v>
      </c>
      <c r="N413" t="s">
        <v>2917</v>
      </c>
      <c r="O413" t="s">
        <v>2208</v>
      </c>
      <c r="P413" t="s">
        <v>2208</v>
      </c>
      <c r="Q413" t="s">
        <v>2208</v>
      </c>
      <c r="R413" t="s">
        <v>2208</v>
      </c>
    </row>
    <row r="414" spans="1:18">
      <c r="A414" t="s">
        <v>7030</v>
      </c>
      <c r="B414" t="s">
        <v>2920</v>
      </c>
      <c r="C414">
        <v>45691</v>
      </c>
      <c r="D414" t="s">
        <v>7263</v>
      </c>
      <c r="E414" t="s">
        <v>2921</v>
      </c>
      <c r="F414">
        <v>45688</v>
      </c>
      <c r="G414" t="s">
        <v>2208</v>
      </c>
      <c r="H414" t="s">
        <v>7834</v>
      </c>
      <c r="I414" t="s">
        <v>8247</v>
      </c>
      <c r="J414">
        <v>1</v>
      </c>
      <c r="K414">
        <v>104.61</v>
      </c>
      <c r="L414" t="s">
        <v>2917</v>
      </c>
      <c r="M414">
        <v>104.61</v>
      </c>
      <c r="N414" t="s">
        <v>2917</v>
      </c>
      <c r="O414" t="s">
        <v>2208</v>
      </c>
      <c r="P414" t="s">
        <v>2208</v>
      </c>
      <c r="Q414" t="s">
        <v>2208</v>
      </c>
      <c r="R414" t="s">
        <v>2208</v>
      </c>
    </row>
    <row r="415" spans="1:18">
      <c r="A415" t="s">
        <v>7030</v>
      </c>
      <c r="B415" t="s">
        <v>2920</v>
      </c>
      <c r="C415">
        <v>45691</v>
      </c>
      <c r="D415" t="s">
        <v>7263</v>
      </c>
      <c r="E415" t="s">
        <v>2921</v>
      </c>
      <c r="F415">
        <v>45688</v>
      </c>
      <c r="G415" t="s">
        <v>2208</v>
      </c>
      <c r="H415" t="s">
        <v>7834</v>
      </c>
      <c r="I415" t="s">
        <v>8248</v>
      </c>
      <c r="J415">
        <v>2</v>
      </c>
      <c r="K415">
        <v>209.22</v>
      </c>
      <c r="L415" t="s">
        <v>2917</v>
      </c>
      <c r="M415">
        <v>209.22</v>
      </c>
      <c r="N415" t="s">
        <v>2917</v>
      </c>
      <c r="O415" t="s">
        <v>2208</v>
      </c>
      <c r="P415" t="s">
        <v>2208</v>
      </c>
      <c r="Q415" t="s">
        <v>2208</v>
      </c>
      <c r="R415" t="s">
        <v>2208</v>
      </c>
    </row>
    <row r="416" spans="1:18">
      <c r="A416" t="s">
        <v>7030</v>
      </c>
      <c r="B416" t="s">
        <v>2920</v>
      </c>
      <c r="C416">
        <v>45691</v>
      </c>
      <c r="D416" t="s">
        <v>7263</v>
      </c>
      <c r="E416" t="s">
        <v>2921</v>
      </c>
      <c r="F416">
        <v>45688</v>
      </c>
      <c r="G416" t="s">
        <v>2208</v>
      </c>
      <c r="H416" t="s">
        <v>7834</v>
      </c>
      <c r="I416" t="s">
        <v>8249</v>
      </c>
      <c r="J416">
        <v>1</v>
      </c>
      <c r="K416">
        <v>104.61</v>
      </c>
      <c r="L416" t="s">
        <v>2917</v>
      </c>
      <c r="M416">
        <v>104.61</v>
      </c>
      <c r="N416" t="s">
        <v>2917</v>
      </c>
      <c r="O416" t="s">
        <v>2208</v>
      </c>
      <c r="P416" t="s">
        <v>2208</v>
      </c>
      <c r="Q416" t="s">
        <v>2208</v>
      </c>
      <c r="R416" t="s">
        <v>2208</v>
      </c>
    </row>
    <row r="417" spans="1:18">
      <c r="A417" t="s">
        <v>7030</v>
      </c>
      <c r="B417" t="s">
        <v>2920</v>
      </c>
      <c r="C417">
        <v>45691</v>
      </c>
      <c r="D417" t="s">
        <v>7263</v>
      </c>
      <c r="E417" t="s">
        <v>2921</v>
      </c>
      <c r="F417">
        <v>45688</v>
      </c>
      <c r="G417" t="s">
        <v>2208</v>
      </c>
      <c r="H417" t="s">
        <v>7834</v>
      </c>
      <c r="I417" t="s">
        <v>8250</v>
      </c>
      <c r="J417">
        <v>1</v>
      </c>
      <c r="K417">
        <v>104.61</v>
      </c>
      <c r="L417" t="s">
        <v>2917</v>
      </c>
      <c r="M417">
        <v>104.61</v>
      </c>
      <c r="N417" t="s">
        <v>2917</v>
      </c>
      <c r="O417" t="s">
        <v>2208</v>
      </c>
      <c r="P417" t="s">
        <v>2208</v>
      </c>
      <c r="Q417" t="s">
        <v>2208</v>
      </c>
      <c r="R417" t="s">
        <v>2208</v>
      </c>
    </row>
    <row r="418" spans="1:18">
      <c r="A418" t="s">
        <v>7030</v>
      </c>
      <c r="B418" t="s">
        <v>2920</v>
      </c>
      <c r="C418">
        <v>45691</v>
      </c>
      <c r="D418" t="s">
        <v>7263</v>
      </c>
      <c r="E418" t="s">
        <v>2921</v>
      </c>
      <c r="F418">
        <v>45688</v>
      </c>
      <c r="G418" t="s">
        <v>2208</v>
      </c>
      <c r="H418" t="s">
        <v>7834</v>
      </c>
      <c r="I418" t="s">
        <v>8251</v>
      </c>
      <c r="J418">
        <v>2</v>
      </c>
      <c r="K418">
        <v>209.22</v>
      </c>
      <c r="L418" t="s">
        <v>2917</v>
      </c>
      <c r="M418">
        <v>209.22</v>
      </c>
      <c r="N418" t="s">
        <v>2917</v>
      </c>
      <c r="O418" t="s">
        <v>2208</v>
      </c>
      <c r="P418" t="s">
        <v>2208</v>
      </c>
      <c r="Q418" t="s">
        <v>2208</v>
      </c>
      <c r="R418" t="s">
        <v>2208</v>
      </c>
    </row>
    <row r="419" spans="1:18">
      <c r="A419" t="s">
        <v>7030</v>
      </c>
      <c r="B419" t="s">
        <v>2920</v>
      </c>
      <c r="C419">
        <v>45691</v>
      </c>
      <c r="D419" t="s">
        <v>7263</v>
      </c>
      <c r="E419" t="s">
        <v>2921</v>
      </c>
      <c r="F419">
        <v>45688</v>
      </c>
      <c r="G419" t="s">
        <v>2208</v>
      </c>
      <c r="H419" t="s">
        <v>7834</v>
      </c>
      <c r="I419" t="s">
        <v>8252</v>
      </c>
      <c r="J419">
        <v>1</v>
      </c>
      <c r="K419">
        <v>104.61</v>
      </c>
      <c r="L419" t="s">
        <v>2917</v>
      </c>
      <c r="M419">
        <v>104.61</v>
      </c>
      <c r="N419" t="s">
        <v>2917</v>
      </c>
      <c r="O419" t="s">
        <v>2208</v>
      </c>
      <c r="P419" t="s">
        <v>2208</v>
      </c>
      <c r="Q419" t="s">
        <v>2208</v>
      </c>
      <c r="R419" t="s">
        <v>2208</v>
      </c>
    </row>
    <row r="420" spans="1:18">
      <c r="A420" t="s">
        <v>7030</v>
      </c>
      <c r="B420" t="s">
        <v>2920</v>
      </c>
      <c r="C420">
        <v>45691</v>
      </c>
      <c r="D420" t="s">
        <v>7263</v>
      </c>
      <c r="E420" t="s">
        <v>2921</v>
      </c>
      <c r="F420">
        <v>45688</v>
      </c>
      <c r="G420" t="s">
        <v>2208</v>
      </c>
      <c r="H420" t="s">
        <v>7834</v>
      </c>
      <c r="I420" t="s">
        <v>8253</v>
      </c>
      <c r="J420">
        <v>1</v>
      </c>
      <c r="K420">
        <v>104.61</v>
      </c>
      <c r="L420" t="s">
        <v>2917</v>
      </c>
      <c r="M420">
        <v>104.61</v>
      </c>
      <c r="N420" t="s">
        <v>2917</v>
      </c>
      <c r="O420" t="s">
        <v>2208</v>
      </c>
      <c r="P420" t="s">
        <v>2208</v>
      </c>
      <c r="Q420" t="s">
        <v>2208</v>
      </c>
      <c r="R420" t="s">
        <v>2208</v>
      </c>
    </row>
    <row r="421" spans="1:18">
      <c r="A421" t="s">
        <v>7030</v>
      </c>
      <c r="B421" t="s">
        <v>2920</v>
      </c>
      <c r="C421">
        <v>45691</v>
      </c>
      <c r="D421" t="s">
        <v>7263</v>
      </c>
      <c r="E421" t="s">
        <v>2921</v>
      </c>
      <c r="F421">
        <v>45688</v>
      </c>
      <c r="G421" t="s">
        <v>2208</v>
      </c>
      <c r="H421" t="s">
        <v>7834</v>
      </c>
      <c r="I421" t="s">
        <v>8254</v>
      </c>
      <c r="J421">
        <v>1</v>
      </c>
      <c r="K421">
        <v>104.61</v>
      </c>
      <c r="L421" t="s">
        <v>2917</v>
      </c>
      <c r="M421">
        <v>104.61</v>
      </c>
      <c r="N421" t="s">
        <v>2917</v>
      </c>
      <c r="O421" t="s">
        <v>2208</v>
      </c>
      <c r="P421" t="s">
        <v>2208</v>
      </c>
      <c r="Q421" t="s">
        <v>2208</v>
      </c>
      <c r="R421" t="s">
        <v>2208</v>
      </c>
    </row>
    <row r="422" spans="1:18">
      <c r="A422" t="s">
        <v>7030</v>
      </c>
      <c r="B422" t="s">
        <v>2920</v>
      </c>
      <c r="C422">
        <v>45691</v>
      </c>
      <c r="D422" t="s">
        <v>7263</v>
      </c>
      <c r="E422" t="s">
        <v>2921</v>
      </c>
      <c r="F422">
        <v>45688</v>
      </c>
      <c r="G422" t="s">
        <v>2208</v>
      </c>
      <c r="H422" t="s">
        <v>7834</v>
      </c>
      <c r="I422" t="s">
        <v>8255</v>
      </c>
      <c r="J422">
        <v>1</v>
      </c>
      <c r="K422">
        <v>104.61</v>
      </c>
      <c r="L422" t="s">
        <v>2917</v>
      </c>
      <c r="M422">
        <v>104.61</v>
      </c>
      <c r="N422" t="s">
        <v>2917</v>
      </c>
      <c r="O422" t="s">
        <v>2208</v>
      </c>
      <c r="P422" t="s">
        <v>2208</v>
      </c>
      <c r="Q422" t="s">
        <v>2208</v>
      </c>
      <c r="R422" t="s">
        <v>2208</v>
      </c>
    </row>
    <row r="423" spans="1:18">
      <c r="A423" t="s">
        <v>7030</v>
      </c>
      <c r="B423" t="s">
        <v>2920</v>
      </c>
      <c r="C423">
        <v>45691</v>
      </c>
      <c r="D423" t="s">
        <v>7263</v>
      </c>
      <c r="E423" t="s">
        <v>2921</v>
      </c>
      <c r="F423">
        <v>45688</v>
      </c>
      <c r="G423" t="s">
        <v>2208</v>
      </c>
      <c r="H423" t="s">
        <v>7834</v>
      </c>
      <c r="I423" t="s">
        <v>8256</v>
      </c>
      <c r="J423">
        <v>1</v>
      </c>
      <c r="K423">
        <v>104.61</v>
      </c>
      <c r="L423" t="s">
        <v>2917</v>
      </c>
      <c r="M423">
        <v>104.61</v>
      </c>
      <c r="N423" t="s">
        <v>2917</v>
      </c>
      <c r="O423" t="s">
        <v>2208</v>
      </c>
      <c r="P423" t="s">
        <v>2208</v>
      </c>
      <c r="Q423" t="s">
        <v>2208</v>
      </c>
      <c r="R423" t="s">
        <v>2208</v>
      </c>
    </row>
    <row r="424" spans="1:18">
      <c r="A424" t="s">
        <v>7030</v>
      </c>
      <c r="B424" t="s">
        <v>2920</v>
      </c>
      <c r="C424">
        <v>45691</v>
      </c>
      <c r="D424" t="s">
        <v>7263</v>
      </c>
      <c r="E424" t="s">
        <v>2921</v>
      </c>
      <c r="F424">
        <v>45688</v>
      </c>
      <c r="G424" t="s">
        <v>2208</v>
      </c>
      <c r="H424" t="s">
        <v>7834</v>
      </c>
      <c r="I424" t="s">
        <v>8257</v>
      </c>
      <c r="J424">
        <v>1</v>
      </c>
      <c r="K424">
        <v>104.61</v>
      </c>
      <c r="L424" t="s">
        <v>2917</v>
      </c>
      <c r="M424">
        <v>104.61</v>
      </c>
      <c r="N424" t="s">
        <v>2917</v>
      </c>
      <c r="O424" t="s">
        <v>2208</v>
      </c>
      <c r="P424" t="s">
        <v>2208</v>
      </c>
      <c r="Q424" t="s">
        <v>2208</v>
      </c>
      <c r="R424" t="s">
        <v>2208</v>
      </c>
    </row>
    <row r="425" spans="1:18">
      <c r="A425" t="s">
        <v>7030</v>
      </c>
      <c r="B425" t="s">
        <v>2920</v>
      </c>
      <c r="C425">
        <v>45691</v>
      </c>
      <c r="D425" t="s">
        <v>7263</v>
      </c>
      <c r="E425" t="s">
        <v>2921</v>
      </c>
      <c r="F425">
        <v>45688</v>
      </c>
      <c r="G425" t="s">
        <v>2208</v>
      </c>
      <c r="H425" t="s">
        <v>7834</v>
      </c>
      <c r="I425" t="s">
        <v>8258</v>
      </c>
      <c r="J425">
        <v>2</v>
      </c>
      <c r="K425">
        <v>209.22</v>
      </c>
      <c r="L425" t="s">
        <v>2917</v>
      </c>
      <c r="M425">
        <v>209.22</v>
      </c>
      <c r="N425" t="s">
        <v>2917</v>
      </c>
      <c r="O425" t="s">
        <v>2208</v>
      </c>
      <c r="P425" t="s">
        <v>2208</v>
      </c>
      <c r="Q425" t="s">
        <v>2208</v>
      </c>
      <c r="R425" t="s">
        <v>2208</v>
      </c>
    </row>
    <row r="426" spans="1:18">
      <c r="A426" t="s">
        <v>7030</v>
      </c>
      <c r="B426" t="s">
        <v>2920</v>
      </c>
      <c r="C426">
        <v>45691</v>
      </c>
      <c r="D426" t="s">
        <v>7263</v>
      </c>
      <c r="E426" t="s">
        <v>2921</v>
      </c>
      <c r="F426">
        <v>45688</v>
      </c>
      <c r="G426" t="s">
        <v>2208</v>
      </c>
      <c r="H426" t="s">
        <v>7834</v>
      </c>
      <c r="I426" t="s">
        <v>8259</v>
      </c>
      <c r="J426">
        <v>2</v>
      </c>
      <c r="K426">
        <v>209.22</v>
      </c>
      <c r="L426" t="s">
        <v>2917</v>
      </c>
      <c r="M426">
        <v>209.22</v>
      </c>
      <c r="N426" t="s">
        <v>2917</v>
      </c>
      <c r="O426" t="s">
        <v>2208</v>
      </c>
      <c r="P426" t="s">
        <v>2208</v>
      </c>
      <c r="Q426" t="s">
        <v>2208</v>
      </c>
      <c r="R426" t="s">
        <v>2208</v>
      </c>
    </row>
    <row r="427" spans="1:18">
      <c r="A427" t="s">
        <v>7030</v>
      </c>
      <c r="B427" t="s">
        <v>2920</v>
      </c>
      <c r="C427">
        <v>45691</v>
      </c>
      <c r="D427" t="s">
        <v>7263</v>
      </c>
      <c r="E427" t="s">
        <v>2921</v>
      </c>
      <c r="F427">
        <v>45688</v>
      </c>
      <c r="G427" t="s">
        <v>2208</v>
      </c>
      <c r="H427" t="s">
        <v>7834</v>
      </c>
      <c r="I427" t="s">
        <v>8260</v>
      </c>
      <c r="J427">
        <v>2</v>
      </c>
      <c r="K427">
        <v>209.22</v>
      </c>
      <c r="L427" t="s">
        <v>2917</v>
      </c>
      <c r="M427">
        <v>209.22</v>
      </c>
      <c r="N427" t="s">
        <v>2917</v>
      </c>
      <c r="O427" t="s">
        <v>2208</v>
      </c>
      <c r="P427" t="s">
        <v>2208</v>
      </c>
      <c r="Q427" t="s">
        <v>2208</v>
      </c>
      <c r="R427" t="s">
        <v>2208</v>
      </c>
    </row>
    <row r="428" spans="1:18">
      <c r="A428" t="s">
        <v>7030</v>
      </c>
      <c r="B428" t="s">
        <v>2920</v>
      </c>
      <c r="C428">
        <v>45691</v>
      </c>
      <c r="D428" t="s">
        <v>7263</v>
      </c>
      <c r="E428" t="s">
        <v>2921</v>
      </c>
      <c r="F428">
        <v>45688</v>
      </c>
      <c r="G428" t="s">
        <v>2208</v>
      </c>
      <c r="H428" t="s">
        <v>7834</v>
      </c>
      <c r="I428" t="s">
        <v>8261</v>
      </c>
      <c r="J428">
        <v>1</v>
      </c>
      <c r="K428">
        <v>104.61</v>
      </c>
      <c r="L428" t="s">
        <v>2917</v>
      </c>
      <c r="M428">
        <v>104.61</v>
      </c>
      <c r="N428" t="s">
        <v>2917</v>
      </c>
      <c r="O428" t="s">
        <v>2208</v>
      </c>
      <c r="P428" t="s">
        <v>2208</v>
      </c>
      <c r="Q428" t="s">
        <v>2208</v>
      </c>
      <c r="R428" t="s">
        <v>2208</v>
      </c>
    </row>
    <row r="429" spans="1:18">
      <c r="A429" t="s">
        <v>2725</v>
      </c>
      <c r="B429" t="s">
        <v>2920</v>
      </c>
      <c r="C429">
        <v>45692</v>
      </c>
      <c r="D429" t="s">
        <v>7263</v>
      </c>
      <c r="E429" t="s">
        <v>2921</v>
      </c>
      <c r="F429">
        <v>45688</v>
      </c>
      <c r="G429" t="s">
        <v>2208</v>
      </c>
      <c r="H429" t="s">
        <v>7834</v>
      </c>
      <c r="I429" t="s">
        <v>8457</v>
      </c>
      <c r="J429">
        <v>0</v>
      </c>
      <c r="K429">
        <v>17.09</v>
      </c>
      <c r="L429" t="s">
        <v>2917</v>
      </c>
      <c r="M429">
        <v>17.09</v>
      </c>
      <c r="N429" t="s">
        <v>2917</v>
      </c>
      <c r="O429" t="s">
        <v>2208</v>
      </c>
      <c r="P429" t="s">
        <v>2208</v>
      </c>
      <c r="Q429" t="s">
        <v>2208</v>
      </c>
      <c r="R429" t="s">
        <v>2208</v>
      </c>
    </row>
    <row r="430" spans="1:18">
      <c r="A430" t="s">
        <v>6816</v>
      </c>
      <c r="B430" t="s">
        <v>2920</v>
      </c>
      <c r="C430">
        <v>45692</v>
      </c>
      <c r="D430" t="s">
        <v>7263</v>
      </c>
      <c r="E430" t="s">
        <v>2921</v>
      </c>
      <c r="F430">
        <v>45688</v>
      </c>
      <c r="G430" t="s">
        <v>2208</v>
      </c>
      <c r="H430" t="s">
        <v>7834</v>
      </c>
      <c r="I430" t="s">
        <v>8458</v>
      </c>
      <c r="J430">
        <v>0</v>
      </c>
      <c r="K430">
        <v>171</v>
      </c>
      <c r="L430" t="s">
        <v>2917</v>
      </c>
      <c r="M430">
        <v>171</v>
      </c>
      <c r="N430" t="s">
        <v>2917</v>
      </c>
      <c r="O430" t="s">
        <v>2208</v>
      </c>
      <c r="P430" t="s">
        <v>2208</v>
      </c>
      <c r="Q430" t="s">
        <v>2208</v>
      </c>
      <c r="R430" t="s">
        <v>2208</v>
      </c>
    </row>
    <row r="431" spans="1:18">
      <c r="A431" t="s">
        <v>810</v>
      </c>
      <c r="B431" t="s">
        <v>2920</v>
      </c>
      <c r="C431">
        <v>45692</v>
      </c>
      <c r="D431" t="s">
        <v>7263</v>
      </c>
      <c r="E431" t="s">
        <v>2921</v>
      </c>
      <c r="F431">
        <v>45688</v>
      </c>
      <c r="G431" t="s">
        <v>2208</v>
      </c>
      <c r="H431" t="s">
        <v>7834</v>
      </c>
      <c r="I431" t="s">
        <v>8459</v>
      </c>
      <c r="J431">
        <v>0</v>
      </c>
      <c r="K431">
        <v>68.400000000000006</v>
      </c>
      <c r="L431" t="s">
        <v>2917</v>
      </c>
      <c r="M431">
        <v>68.400000000000006</v>
      </c>
      <c r="N431" t="s">
        <v>2917</v>
      </c>
      <c r="O431" t="s">
        <v>2208</v>
      </c>
      <c r="P431" t="s">
        <v>2208</v>
      </c>
      <c r="Q431" t="s">
        <v>2208</v>
      </c>
      <c r="R431" t="s">
        <v>2208</v>
      </c>
    </row>
    <row r="432" spans="1:18">
      <c r="A432" t="s">
        <v>810</v>
      </c>
      <c r="B432" t="s">
        <v>2920</v>
      </c>
      <c r="C432">
        <v>45692</v>
      </c>
      <c r="D432" t="s">
        <v>7263</v>
      </c>
      <c r="E432" t="s">
        <v>2921</v>
      </c>
      <c r="F432">
        <v>45688</v>
      </c>
      <c r="G432" t="s">
        <v>2208</v>
      </c>
      <c r="H432" t="s">
        <v>7834</v>
      </c>
      <c r="I432" t="s">
        <v>8459</v>
      </c>
      <c r="J432">
        <v>0</v>
      </c>
      <c r="K432">
        <v>512.99</v>
      </c>
      <c r="L432" t="s">
        <v>2917</v>
      </c>
      <c r="M432">
        <v>512.99</v>
      </c>
      <c r="N432" t="s">
        <v>2917</v>
      </c>
      <c r="O432" t="s">
        <v>2208</v>
      </c>
      <c r="P432" t="s">
        <v>2208</v>
      </c>
      <c r="Q432" t="s">
        <v>2208</v>
      </c>
      <c r="R432" t="s">
        <v>2208</v>
      </c>
    </row>
    <row r="433" spans="1:18">
      <c r="A433" t="s">
        <v>810</v>
      </c>
      <c r="B433" t="s">
        <v>2920</v>
      </c>
      <c r="C433">
        <v>45692</v>
      </c>
      <c r="D433" t="s">
        <v>7263</v>
      </c>
      <c r="E433" t="s">
        <v>2921</v>
      </c>
      <c r="F433">
        <v>45688</v>
      </c>
      <c r="G433" t="s">
        <v>2208</v>
      </c>
      <c r="H433" t="s">
        <v>7834</v>
      </c>
      <c r="I433" t="s">
        <v>8459</v>
      </c>
      <c r="J433">
        <v>0</v>
      </c>
      <c r="K433">
        <v>68.400000000000006</v>
      </c>
      <c r="L433" t="s">
        <v>2917</v>
      </c>
      <c r="M433">
        <v>68.400000000000006</v>
      </c>
      <c r="N433" t="s">
        <v>2917</v>
      </c>
      <c r="O433" t="s">
        <v>2208</v>
      </c>
      <c r="P433" t="s">
        <v>2208</v>
      </c>
      <c r="Q433" t="s">
        <v>2208</v>
      </c>
      <c r="R433" t="s">
        <v>2208</v>
      </c>
    </row>
    <row r="434" spans="1:18">
      <c r="A434" t="s">
        <v>2237</v>
      </c>
      <c r="B434" t="s">
        <v>2920</v>
      </c>
      <c r="C434">
        <v>45692</v>
      </c>
      <c r="D434" t="s">
        <v>7263</v>
      </c>
      <c r="E434" t="s">
        <v>2921</v>
      </c>
      <c r="F434">
        <v>45688</v>
      </c>
      <c r="G434" t="s">
        <v>2208</v>
      </c>
      <c r="H434" t="s">
        <v>7834</v>
      </c>
      <c r="I434" t="s">
        <v>8460</v>
      </c>
      <c r="J434">
        <v>0</v>
      </c>
      <c r="K434">
        <v>2222.94</v>
      </c>
      <c r="L434" t="s">
        <v>2917</v>
      </c>
      <c r="M434">
        <v>2222.94</v>
      </c>
      <c r="N434" t="s">
        <v>2917</v>
      </c>
      <c r="O434" t="s">
        <v>2208</v>
      </c>
      <c r="P434" t="s">
        <v>2208</v>
      </c>
      <c r="Q434" t="s">
        <v>2208</v>
      </c>
      <c r="R434" t="s">
        <v>2208</v>
      </c>
    </row>
    <row r="435" spans="1:18">
      <c r="A435" t="s">
        <v>2237</v>
      </c>
      <c r="B435" t="s">
        <v>2920</v>
      </c>
      <c r="C435">
        <v>45692</v>
      </c>
      <c r="D435" t="s">
        <v>7263</v>
      </c>
      <c r="E435" t="s">
        <v>2921</v>
      </c>
      <c r="F435">
        <v>45688</v>
      </c>
      <c r="G435" t="s">
        <v>2208</v>
      </c>
      <c r="H435" t="s">
        <v>7834</v>
      </c>
      <c r="I435" t="s">
        <v>8460</v>
      </c>
      <c r="J435">
        <v>0</v>
      </c>
      <c r="K435">
        <v>1402.16</v>
      </c>
      <c r="L435" t="s">
        <v>2917</v>
      </c>
      <c r="M435">
        <v>1402.16</v>
      </c>
      <c r="N435" t="s">
        <v>2917</v>
      </c>
      <c r="O435" t="s">
        <v>2208</v>
      </c>
      <c r="P435" t="s">
        <v>2208</v>
      </c>
      <c r="Q435" t="s">
        <v>2208</v>
      </c>
      <c r="R435" t="s">
        <v>2208</v>
      </c>
    </row>
    <row r="436" spans="1:18">
      <c r="A436" t="s">
        <v>2237</v>
      </c>
      <c r="B436" t="s">
        <v>2920</v>
      </c>
      <c r="C436">
        <v>45692</v>
      </c>
      <c r="D436" t="s">
        <v>7263</v>
      </c>
      <c r="E436" t="s">
        <v>2921</v>
      </c>
      <c r="F436">
        <v>45688</v>
      </c>
      <c r="G436" t="s">
        <v>2208</v>
      </c>
      <c r="H436" t="s">
        <v>7834</v>
      </c>
      <c r="I436" t="s">
        <v>8460</v>
      </c>
      <c r="J436">
        <v>0</v>
      </c>
      <c r="K436">
        <v>2284.42</v>
      </c>
      <c r="L436" t="s">
        <v>2917</v>
      </c>
      <c r="M436">
        <v>2284.42</v>
      </c>
      <c r="N436" t="s">
        <v>2917</v>
      </c>
      <c r="O436" t="s">
        <v>2208</v>
      </c>
      <c r="P436" t="s">
        <v>2208</v>
      </c>
      <c r="Q436" t="s">
        <v>2208</v>
      </c>
      <c r="R436" t="s">
        <v>2208</v>
      </c>
    </row>
    <row r="437" spans="1:18">
      <c r="A437" t="s">
        <v>2600</v>
      </c>
      <c r="B437" t="s">
        <v>2920</v>
      </c>
      <c r="C437">
        <v>45692</v>
      </c>
      <c r="D437" t="s">
        <v>7263</v>
      </c>
      <c r="E437" t="s">
        <v>2921</v>
      </c>
      <c r="F437">
        <v>45688</v>
      </c>
      <c r="G437" t="s">
        <v>2208</v>
      </c>
      <c r="H437" t="s">
        <v>7834</v>
      </c>
      <c r="I437" t="s">
        <v>8461</v>
      </c>
      <c r="J437">
        <v>0</v>
      </c>
      <c r="K437">
        <v>17.09</v>
      </c>
      <c r="L437" t="s">
        <v>2917</v>
      </c>
      <c r="M437">
        <v>17.09</v>
      </c>
      <c r="N437" t="s">
        <v>2917</v>
      </c>
      <c r="O437" t="s">
        <v>2208</v>
      </c>
      <c r="P437" t="s">
        <v>2208</v>
      </c>
      <c r="Q437" t="s">
        <v>2208</v>
      </c>
      <c r="R437" t="s">
        <v>2208</v>
      </c>
    </row>
    <row r="438" spans="1:18">
      <c r="A438" t="s">
        <v>2886</v>
      </c>
      <c r="B438" t="s">
        <v>2920</v>
      </c>
      <c r="C438">
        <v>45692</v>
      </c>
      <c r="D438" t="s">
        <v>7263</v>
      </c>
      <c r="E438" t="s">
        <v>2921</v>
      </c>
      <c r="F438">
        <v>45688</v>
      </c>
      <c r="G438" t="s">
        <v>2208</v>
      </c>
      <c r="H438" t="s">
        <v>7834</v>
      </c>
      <c r="I438" t="s">
        <v>8462</v>
      </c>
      <c r="J438">
        <v>0</v>
      </c>
      <c r="K438">
        <v>273.58999999999997</v>
      </c>
      <c r="L438" t="s">
        <v>2917</v>
      </c>
      <c r="M438">
        <v>273.58999999999997</v>
      </c>
      <c r="N438" t="s">
        <v>2917</v>
      </c>
      <c r="O438" t="s">
        <v>2208</v>
      </c>
      <c r="P438" t="s">
        <v>2208</v>
      </c>
      <c r="Q438" t="s">
        <v>2208</v>
      </c>
      <c r="R438" t="s">
        <v>2208</v>
      </c>
    </row>
    <row r="439" spans="1:18">
      <c r="A439" t="s">
        <v>2724</v>
      </c>
      <c r="B439" t="s">
        <v>2920</v>
      </c>
      <c r="C439">
        <v>45692</v>
      </c>
      <c r="D439" t="s">
        <v>7263</v>
      </c>
      <c r="E439" t="s">
        <v>2921</v>
      </c>
      <c r="F439">
        <v>45688</v>
      </c>
      <c r="G439" t="s">
        <v>2208</v>
      </c>
      <c r="H439" t="s">
        <v>7834</v>
      </c>
      <c r="I439" t="s">
        <v>8463</v>
      </c>
      <c r="J439">
        <v>0</v>
      </c>
      <c r="K439">
        <v>34.200000000000003</v>
      </c>
      <c r="L439" t="s">
        <v>2917</v>
      </c>
      <c r="M439">
        <v>34.200000000000003</v>
      </c>
      <c r="N439" t="s">
        <v>2917</v>
      </c>
      <c r="O439" t="s">
        <v>2208</v>
      </c>
      <c r="P439" t="s">
        <v>2208</v>
      </c>
      <c r="Q439" t="s">
        <v>2208</v>
      </c>
      <c r="R439" t="s">
        <v>2208</v>
      </c>
    </row>
    <row r="440" spans="1:18">
      <c r="A440" t="s">
        <v>709</v>
      </c>
      <c r="B440" t="s">
        <v>2920</v>
      </c>
      <c r="C440">
        <v>45692</v>
      </c>
      <c r="D440" t="s">
        <v>7263</v>
      </c>
      <c r="E440" t="s">
        <v>2921</v>
      </c>
      <c r="F440">
        <v>45688</v>
      </c>
      <c r="G440" t="s">
        <v>2208</v>
      </c>
      <c r="H440" t="s">
        <v>7834</v>
      </c>
      <c r="I440" t="s">
        <v>8464</v>
      </c>
      <c r="J440">
        <v>0</v>
      </c>
      <c r="K440">
        <v>68.400000000000006</v>
      </c>
      <c r="L440" t="s">
        <v>2917</v>
      </c>
      <c r="M440">
        <v>68.400000000000006</v>
      </c>
      <c r="N440" t="s">
        <v>2917</v>
      </c>
      <c r="O440" t="s">
        <v>2208</v>
      </c>
      <c r="P440" t="s">
        <v>2208</v>
      </c>
      <c r="Q440" t="s">
        <v>2208</v>
      </c>
      <c r="R440" t="s">
        <v>2208</v>
      </c>
    </row>
    <row r="441" spans="1:18">
      <c r="A441" t="s">
        <v>709</v>
      </c>
      <c r="B441" t="s">
        <v>2920</v>
      </c>
      <c r="C441">
        <v>45692</v>
      </c>
      <c r="D441" t="s">
        <v>7263</v>
      </c>
      <c r="E441" t="s">
        <v>2921</v>
      </c>
      <c r="F441">
        <v>45688</v>
      </c>
      <c r="G441" t="s">
        <v>2208</v>
      </c>
      <c r="H441" t="s">
        <v>7834</v>
      </c>
      <c r="I441" t="s">
        <v>8464</v>
      </c>
      <c r="J441">
        <v>0</v>
      </c>
      <c r="K441">
        <v>410.39</v>
      </c>
      <c r="L441" t="s">
        <v>2917</v>
      </c>
      <c r="M441">
        <v>410.39</v>
      </c>
      <c r="N441" t="s">
        <v>2917</v>
      </c>
      <c r="O441" t="s">
        <v>2208</v>
      </c>
      <c r="P441" t="s">
        <v>2208</v>
      </c>
      <c r="Q441" t="s">
        <v>2208</v>
      </c>
      <c r="R441" t="s">
        <v>2208</v>
      </c>
    </row>
    <row r="442" spans="1:18">
      <c r="A442" t="s">
        <v>2418</v>
      </c>
      <c r="B442" t="s">
        <v>2920</v>
      </c>
      <c r="C442">
        <v>45692</v>
      </c>
      <c r="D442" t="s">
        <v>7263</v>
      </c>
      <c r="E442" t="s">
        <v>2921</v>
      </c>
      <c r="F442">
        <v>45688</v>
      </c>
      <c r="G442" t="s">
        <v>2208</v>
      </c>
      <c r="H442" t="s">
        <v>7834</v>
      </c>
      <c r="I442" t="s">
        <v>8465</v>
      </c>
      <c r="J442">
        <v>0</v>
      </c>
      <c r="K442">
        <v>2735.89</v>
      </c>
      <c r="L442" t="s">
        <v>2917</v>
      </c>
      <c r="M442">
        <v>2735.89</v>
      </c>
      <c r="N442" t="s">
        <v>2917</v>
      </c>
      <c r="O442" t="s">
        <v>2208</v>
      </c>
      <c r="P442" t="s">
        <v>2208</v>
      </c>
      <c r="Q442" t="s">
        <v>2208</v>
      </c>
      <c r="R442" t="s">
        <v>2208</v>
      </c>
    </row>
    <row r="443" spans="1:18">
      <c r="A443" t="s">
        <v>2418</v>
      </c>
      <c r="B443" t="s">
        <v>2920</v>
      </c>
      <c r="C443">
        <v>45692</v>
      </c>
      <c r="D443" t="s">
        <v>7263</v>
      </c>
      <c r="E443" t="s">
        <v>2921</v>
      </c>
      <c r="F443">
        <v>45688</v>
      </c>
      <c r="G443" t="s">
        <v>2208</v>
      </c>
      <c r="H443" t="s">
        <v>7834</v>
      </c>
      <c r="I443" t="s">
        <v>8465</v>
      </c>
      <c r="J443">
        <v>0</v>
      </c>
      <c r="K443">
        <v>3043.71</v>
      </c>
      <c r="L443" t="s">
        <v>2917</v>
      </c>
      <c r="M443">
        <v>3043.71</v>
      </c>
      <c r="N443" t="s">
        <v>2917</v>
      </c>
      <c r="O443" t="s">
        <v>2208</v>
      </c>
      <c r="P443" t="s">
        <v>2208</v>
      </c>
      <c r="Q443" t="s">
        <v>2208</v>
      </c>
      <c r="R443" t="s">
        <v>2208</v>
      </c>
    </row>
    <row r="444" spans="1:18">
      <c r="A444" t="s">
        <v>2418</v>
      </c>
      <c r="B444" t="s">
        <v>2920</v>
      </c>
      <c r="C444">
        <v>45692</v>
      </c>
      <c r="D444" t="s">
        <v>7263</v>
      </c>
      <c r="E444" t="s">
        <v>2921</v>
      </c>
      <c r="F444">
        <v>45688</v>
      </c>
      <c r="G444" t="s">
        <v>2208</v>
      </c>
      <c r="H444" t="s">
        <v>7834</v>
      </c>
      <c r="I444" t="s">
        <v>8465</v>
      </c>
      <c r="J444">
        <v>0</v>
      </c>
      <c r="K444">
        <v>2419.4899999999998</v>
      </c>
      <c r="L444" t="s">
        <v>2917</v>
      </c>
      <c r="M444">
        <v>2419.4899999999998</v>
      </c>
      <c r="N444" t="s">
        <v>2917</v>
      </c>
      <c r="O444" t="s">
        <v>2208</v>
      </c>
      <c r="P444" t="s">
        <v>2208</v>
      </c>
      <c r="Q444" t="s">
        <v>2208</v>
      </c>
      <c r="R444" t="s">
        <v>2208</v>
      </c>
    </row>
    <row r="445" spans="1:18">
      <c r="A445" t="s">
        <v>2501</v>
      </c>
      <c r="B445" t="s">
        <v>2920</v>
      </c>
      <c r="C445">
        <v>45692</v>
      </c>
      <c r="D445" t="s">
        <v>7263</v>
      </c>
      <c r="E445" t="s">
        <v>2921</v>
      </c>
      <c r="F445">
        <v>45688</v>
      </c>
      <c r="G445" t="s">
        <v>2208</v>
      </c>
      <c r="H445" t="s">
        <v>7834</v>
      </c>
      <c r="I445" t="s">
        <v>8466</v>
      </c>
      <c r="J445">
        <v>0</v>
      </c>
      <c r="K445">
        <v>68.400000000000006</v>
      </c>
      <c r="L445" t="s">
        <v>2917</v>
      </c>
      <c r="M445">
        <v>68.400000000000006</v>
      </c>
      <c r="N445" t="s">
        <v>2917</v>
      </c>
      <c r="O445" t="s">
        <v>2208</v>
      </c>
      <c r="P445" t="s">
        <v>2208</v>
      </c>
      <c r="Q445" t="s">
        <v>2208</v>
      </c>
      <c r="R445" t="s">
        <v>2208</v>
      </c>
    </row>
    <row r="446" spans="1:18">
      <c r="A446" t="s">
        <v>2501</v>
      </c>
      <c r="B446" t="s">
        <v>2920</v>
      </c>
      <c r="C446">
        <v>45692</v>
      </c>
      <c r="D446" t="s">
        <v>7263</v>
      </c>
      <c r="E446" t="s">
        <v>2921</v>
      </c>
      <c r="F446">
        <v>45688</v>
      </c>
      <c r="G446" t="s">
        <v>2208</v>
      </c>
      <c r="H446" t="s">
        <v>7834</v>
      </c>
      <c r="I446" t="s">
        <v>8467</v>
      </c>
      <c r="J446">
        <v>0</v>
      </c>
      <c r="K446">
        <v>34.200000000000003</v>
      </c>
      <c r="L446" t="s">
        <v>2917</v>
      </c>
      <c r="M446">
        <v>34.200000000000003</v>
      </c>
      <c r="N446" t="s">
        <v>2917</v>
      </c>
      <c r="O446" t="s">
        <v>2208</v>
      </c>
      <c r="P446" t="s">
        <v>2208</v>
      </c>
      <c r="Q446" t="s">
        <v>2208</v>
      </c>
      <c r="R446" t="s">
        <v>2208</v>
      </c>
    </row>
    <row r="447" spans="1:18">
      <c r="A447" t="s">
        <v>6815</v>
      </c>
      <c r="B447" t="s">
        <v>2920</v>
      </c>
      <c r="C447">
        <v>45692</v>
      </c>
      <c r="D447" t="s">
        <v>7263</v>
      </c>
      <c r="E447" t="s">
        <v>2921</v>
      </c>
      <c r="F447">
        <v>45688</v>
      </c>
      <c r="G447" t="s">
        <v>2208</v>
      </c>
      <c r="H447" t="s">
        <v>7834</v>
      </c>
      <c r="I447" t="s">
        <v>8468</v>
      </c>
      <c r="J447">
        <v>0</v>
      </c>
      <c r="K447">
        <v>34.200000000000003</v>
      </c>
      <c r="L447" t="s">
        <v>2917</v>
      </c>
      <c r="M447">
        <v>34.200000000000003</v>
      </c>
      <c r="N447" t="s">
        <v>2917</v>
      </c>
      <c r="O447" t="s">
        <v>2208</v>
      </c>
      <c r="P447" t="s">
        <v>2208</v>
      </c>
      <c r="Q447" t="s">
        <v>2208</v>
      </c>
      <c r="R447" t="s">
        <v>2208</v>
      </c>
    </row>
    <row r="448" spans="1:18">
      <c r="A448" t="s">
        <v>7030</v>
      </c>
      <c r="B448" t="s">
        <v>2920</v>
      </c>
      <c r="C448">
        <v>45692</v>
      </c>
      <c r="D448" t="s">
        <v>7263</v>
      </c>
      <c r="E448" t="s">
        <v>2921</v>
      </c>
      <c r="F448">
        <v>45688</v>
      </c>
      <c r="G448" t="s">
        <v>2208</v>
      </c>
      <c r="H448" t="s">
        <v>7834</v>
      </c>
      <c r="I448" t="s">
        <v>8469</v>
      </c>
      <c r="J448">
        <v>0</v>
      </c>
      <c r="K448">
        <v>991.77</v>
      </c>
      <c r="L448" t="s">
        <v>2917</v>
      </c>
      <c r="M448">
        <v>991.77</v>
      </c>
      <c r="N448" t="s">
        <v>2917</v>
      </c>
      <c r="O448" t="s">
        <v>2208</v>
      </c>
      <c r="P448" t="s">
        <v>2208</v>
      </c>
      <c r="Q448" t="s">
        <v>2208</v>
      </c>
      <c r="R448" t="s">
        <v>2208</v>
      </c>
    </row>
    <row r="449" spans="1:18">
      <c r="A449" t="s">
        <v>7030</v>
      </c>
      <c r="B449" t="s">
        <v>2920</v>
      </c>
      <c r="C449">
        <v>45692</v>
      </c>
      <c r="D449" t="s">
        <v>7263</v>
      </c>
      <c r="E449" t="s">
        <v>2921</v>
      </c>
      <c r="F449">
        <v>45688</v>
      </c>
      <c r="G449" t="s">
        <v>2208</v>
      </c>
      <c r="H449" t="s">
        <v>7834</v>
      </c>
      <c r="I449" t="s">
        <v>8470</v>
      </c>
      <c r="J449">
        <v>0</v>
      </c>
      <c r="K449">
        <v>4069.68</v>
      </c>
      <c r="L449" t="s">
        <v>2917</v>
      </c>
      <c r="M449">
        <v>4069.68</v>
      </c>
      <c r="N449" t="s">
        <v>2917</v>
      </c>
      <c r="O449" t="s">
        <v>2208</v>
      </c>
      <c r="P449" t="s">
        <v>2208</v>
      </c>
      <c r="Q449" t="s">
        <v>2208</v>
      </c>
      <c r="R449" t="s">
        <v>2208</v>
      </c>
    </row>
    <row r="450" spans="1:18">
      <c r="A450" t="s">
        <v>7030</v>
      </c>
      <c r="B450" t="s">
        <v>2920</v>
      </c>
      <c r="C450">
        <v>45692</v>
      </c>
      <c r="D450" t="s">
        <v>7263</v>
      </c>
      <c r="E450" t="s">
        <v>2921</v>
      </c>
      <c r="F450">
        <v>45688</v>
      </c>
      <c r="G450" t="s">
        <v>2208</v>
      </c>
      <c r="H450" t="s">
        <v>7834</v>
      </c>
      <c r="I450" t="s">
        <v>8470</v>
      </c>
      <c r="J450">
        <v>0</v>
      </c>
      <c r="K450">
        <v>1831.29</v>
      </c>
      <c r="L450" t="s">
        <v>2917</v>
      </c>
      <c r="M450">
        <v>1831.29</v>
      </c>
      <c r="N450" t="s">
        <v>2917</v>
      </c>
      <c r="O450" t="s">
        <v>2208</v>
      </c>
      <c r="P450" t="s">
        <v>2208</v>
      </c>
      <c r="Q450" t="s">
        <v>2208</v>
      </c>
      <c r="R450" t="s">
        <v>2208</v>
      </c>
    </row>
    <row r="451" spans="1:18">
      <c r="A451" t="s">
        <v>7030</v>
      </c>
      <c r="B451" t="s">
        <v>2920</v>
      </c>
      <c r="C451">
        <v>45692</v>
      </c>
      <c r="D451" t="s">
        <v>7263</v>
      </c>
      <c r="E451" t="s">
        <v>2921</v>
      </c>
      <c r="F451">
        <v>45688</v>
      </c>
      <c r="G451" t="s">
        <v>2208</v>
      </c>
      <c r="H451" t="s">
        <v>7834</v>
      </c>
      <c r="I451" t="s">
        <v>8471</v>
      </c>
      <c r="J451">
        <v>0</v>
      </c>
      <c r="K451">
        <v>273.58999999999997</v>
      </c>
      <c r="L451" t="s">
        <v>2917</v>
      </c>
      <c r="M451">
        <v>273.58999999999997</v>
      </c>
      <c r="N451" t="s">
        <v>2917</v>
      </c>
      <c r="O451" t="s">
        <v>2208</v>
      </c>
      <c r="P451" t="s">
        <v>2208</v>
      </c>
      <c r="Q451" t="s">
        <v>2208</v>
      </c>
      <c r="R451" t="s">
        <v>2208</v>
      </c>
    </row>
    <row r="452" spans="1:18">
      <c r="A452" t="s">
        <v>7030</v>
      </c>
      <c r="B452" t="s">
        <v>2920</v>
      </c>
      <c r="C452">
        <v>45692</v>
      </c>
      <c r="D452" t="s">
        <v>7263</v>
      </c>
      <c r="E452" t="s">
        <v>2921</v>
      </c>
      <c r="F452">
        <v>45688</v>
      </c>
      <c r="G452" t="s">
        <v>2208</v>
      </c>
      <c r="H452" t="s">
        <v>7834</v>
      </c>
      <c r="I452" t="s">
        <v>8471</v>
      </c>
      <c r="J452">
        <v>0</v>
      </c>
      <c r="K452">
        <v>1470.56</v>
      </c>
      <c r="L452" t="s">
        <v>2917</v>
      </c>
      <c r="M452">
        <v>1470.56</v>
      </c>
      <c r="N452" t="s">
        <v>2917</v>
      </c>
      <c r="O452" t="s">
        <v>2208</v>
      </c>
      <c r="P452" t="s">
        <v>2208</v>
      </c>
      <c r="Q452" t="s">
        <v>2208</v>
      </c>
      <c r="R452" t="s">
        <v>2208</v>
      </c>
    </row>
    <row r="453" spans="1:18">
      <c r="A453" t="s">
        <v>7030</v>
      </c>
      <c r="B453" t="s">
        <v>2920</v>
      </c>
      <c r="C453">
        <v>45692</v>
      </c>
      <c r="D453" t="s">
        <v>7263</v>
      </c>
      <c r="E453" t="s">
        <v>2921</v>
      </c>
      <c r="F453">
        <v>45688</v>
      </c>
      <c r="G453" t="s">
        <v>2208</v>
      </c>
      <c r="H453" t="s">
        <v>7834</v>
      </c>
      <c r="I453" t="s">
        <v>8471</v>
      </c>
      <c r="J453">
        <v>0</v>
      </c>
      <c r="K453">
        <v>820.78</v>
      </c>
      <c r="L453" t="s">
        <v>2917</v>
      </c>
      <c r="M453">
        <v>820.78</v>
      </c>
      <c r="N453" t="s">
        <v>2917</v>
      </c>
      <c r="O453" t="s">
        <v>2208</v>
      </c>
      <c r="P453" t="s">
        <v>2208</v>
      </c>
      <c r="Q453" t="s">
        <v>2208</v>
      </c>
      <c r="R453" t="s">
        <v>2208</v>
      </c>
    </row>
    <row r="454" spans="1:18">
      <c r="A454" t="s">
        <v>7030</v>
      </c>
      <c r="B454" t="s">
        <v>2920</v>
      </c>
      <c r="C454">
        <v>45692</v>
      </c>
      <c r="D454" t="s">
        <v>7263</v>
      </c>
      <c r="E454" t="s">
        <v>2921</v>
      </c>
      <c r="F454">
        <v>45688</v>
      </c>
      <c r="G454" t="s">
        <v>2208</v>
      </c>
      <c r="H454" t="s">
        <v>7834</v>
      </c>
      <c r="I454" t="s">
        <v>8471</v>
      </c>
      <c r="J454">
        <v>0</v>
      </c>
      <c r="K454">
        <v>872.07</v>
      </c>
      <c r="L454" t="s">
        <v>2917</v>
      </c>
      <c r="M454">
        <v>872.07</v>
      </c>
      <c r="N454" t="s">
        <v>2917</v>
      </c>
      <c r="O454" t="s">
        <v>2208</v>
      </c>
      <c r="P454" t="s">
        <v>2208</v>
      </c>
      <c r="Q454" t="s">
        <v>2208</v>
      </c>
      <c r="R454" t="s">
        <v>2208</v>
      </c>
    </row>
    <row r="455" spans="1:18">
      <c r="A455" t="s">
        <v>709</v>
      </c>
      <c r="B455" t="s">
        <v>7740</v>
      </c>
      <c r="C455">
        <v>45719</v>
      </c>
      <c r="D455" t="s">
        <v>7263</v>
      </c>
      <c r="E455" t="s">
        <v>2925</v>
      </c>
      <c r="F455">
        <v>45716</v>
      </c>
      <c r="G455" t="s">
        <v>2208</v>
      </c>
      <c r="H455" t="s">
        <v>7834</v>
      </c>
      <c r="I455" t="s">
        <v>9197</v>
      </c>
      <c r="J455">
        <v>0.5</v>
      </c>
      <c r="K455">
        <v>52.31</v>
      </c>
      <c r="L455" t="s">
        <v>2917</v>
      </c>
      <c r="M455">
        <v>52.31</v>
      </c>
      <c r="N455" t="s">
        <v>2917</v>
      </c>
      <c r="O455" t="s">
        <v>2208</v>
      </c>
      <c r="P455" t="s">
        <v>2208</v>
      </c>
      <c r="Q455" t="s">
        <v>2208</v>
      </c>
      <c r="R455" t="s">
        <v>2208</v>
      </c>
    </row>
    <row r="456" spans="1:18">
      <c r="A456" t="s">
        <v>709</v>
      </c>
      <c r="B456" t="s">
        <v>7740</v>
      </c>
      <c r="C456">
        <v>45719</v>
      </c>
      <c r="D456" t="s">
        <v>7263</v>
      </c>
      <c r="E456" t="s">
        <v>2925</v>
      </c>
      <c r="F456">
        <v>45716</v>
      </c>
      <c r="G456" t="s">
        <v>2208</v>
      </c>
      <c r="H456" t="s">
        <v>7834</v>
      </c>
      <c r="I456" t="s">
        <v>9198</v>
      </c>
      <c r="J456">
        <v>4</v>
      </c>
      <c r="K456">
        <v>418.44</v>
      </c>
      <c r="L456" t="s">
        <v>2917</v>
      </c>
      <c r="M456">
        <v>418.44</v>
      </c>
      <c r="N456" t="s">
        <v>2917</v>
      </c>
      <c r="O456" t="s">
        <v>2208</v>
      </c>
      <c r="P456" t="s">
        <v>2208</v>
      </c>
      <c r="Q456" t="s">
        <v>2208</v>
      </c>
      <c r="R456" t="s">
        <v>2208</v>
      </c>
    </row>
    <row r="457" spans="1:18">
      <c r="A457" t="s">
        <v>2237</v>
      </c>
      <c r="B457" t="s">
        <v>7740</v>
      </c>
      <c r="C457">
        <v>45719</v>
      </c>
      <c r="D457" t="s">
        <v>7263</v>
      </c>
      <c r="E457" t="s">
        <v>2925</v>
      </c>
      <c r="F457">
        <v>45716</v>
      </c>
      <c r="G457" t="s">
        <v>2208</v>
      </c>
      <c r="H457" t="s">
        <v>7834</v>
      </c>
      <c r="I457" t="s">
        <v>9199</v>
      </c>
      <c r="J457">
        <v>1</v>
      </c>
      <c r="K457">
        <v>104.61</v>
      </c>
      <c r="L457" t="s">
        <v>2917</v>
      </c>
      <c r="M457">
        <v>104.61</v>
      </c>
      <c r="N457" t="s">
        <v>2917</v>
      </c>
      <c r="O457" t="s">
        <v>2208</v>
      </c>
      <c r="P457" t="s">
        <v>2208</v>
      </c>
      <c r="Q457" t="s">
        <v>2208</v>
      </c>
      <c r="R457" t="s">
        <v>2208</v>
      </c>
    </row>
    <row r="458" spans="1:18">
      <c r="A458" t="s">
        <v>2237</v>
      </c>
      <c r="B458" t="s">
        <v>7740</v>
      </c>
      <c r="C458">
        <v>45719</v>
      </c>
      <c r="D458" t="s">
        <v>7263</v>
      </c>
      <c r="E458" t="s">
        <v>2925</v>
      </c>
      <c r="F458">
        <v>45716</v>
      </c>
      <c r="G458" t="s">
        <v>2208</v>
      </c>
      <c r="H458" t="s">
        <v>7834</v>
      </c>
      <c r="I458" t="s">
        <v>9200</v>
      </c>
      <c r="J458">
        <v>1</v>
      </c>
      <c r="K458">
        <v>104.61</v>
      </c>
      <c r="L458" t="s">
        <v>2917</v>
      </c>
      <c r="M458">
        <v>104.61</v>
      </c>
      <c r="N458" t="s">
        <v>2917</v>
      </c>
      <c r="O458" t="s">
        <v>2208</v>
      </c>
      <c r="P458" t="s">
        <v>2208</v>
      </c>
      <c r="Q458" t="s">
        <v>2208</v>
      </c>
      <c r="R458" t="s">
        <v>2208</v>
      </c>
    </row>
    <row r="459" spans="1:18">
      <c r="A459" t="s">
        <v>2237</v>
      </c>
      <c r="B459" t="s">
        <v>7740</v>
      </c>
      <c r="C459">
        <v>45719</v>
      </c>
      <c r="D459" t="s">
        <v>7263</v>
      </c>
      <c r="E459" t="s">
        <v>2925</v>
      </c>
      <c r="F459">
        <v>45716</v>
      </c>
      <c r="G459" t="s">
        <v>2208</v>
      </c>
      <c r="H459" t="s">
        <v>7834</v>
      </c>
      <c r="I459" t="s">
        <v>9201</v>
      </c>
      <c r="J459">
        <v>1</v>
      </c>
      <c r="K459">
        <v>104.61</v>
      </c>
      <c r="L459" t="s">
        <v>2917</v>
      </c>
      <c r="M459">
        <v>104.61</v>
      </c>
      <c r="N459" t="s">
        <v>2917</v>
      </c>
      <c r="O459" t="s">
        <v>2208</v>
      </c>
      <c r="P459" t="s">
        <v>2208</v>
      </c>
      <c r="Q459" t="s">
        <v>2208</v>
      </c>
      <c r="R459" t="s">
        <v>2208</v>
      </c>
    </row>
    <row r="460" spans="1:18">
      <c r="A460" t="s">
        <v>2237</v>
      </c>
      <c r="B460" t="s">
        <v>7740</v>
      </c>
      <c r="C460">
        <v>45719</v>
      </c>
      <c r="D460" t="s">
        <v>7263</v>
      </c>
      <c r="E460" t="s">
        <v>2925</v>
      </c>
      <c r="F460">
        <v>45716</v>
      </c>
      <c r="G460" t="s">
        <v>2208</v>
      </c>
      <c r="H460" t="s">
        <v>7834</v>
      </c>
      <c r="I460" t="s">
        <v>9202</v>
      </c>
      <c r="J460">
        <v>1</v>
      </c>
      <c r="K460">
        <v>104.61</v>
      </c>
      <c r="L460" t="s">
        <v>2917</v>
      </c>
      <c r="M460">
        <v>104.61</v>
      </c>
      <c r="N460" t="s">
        <v>2917</v>
      </c>
      <c r="O460" t="s">
        <v>2208</v>
      </c>
      <c r="P460" t="s">
        <v>2208</v>
      </c>
      <c r="Q460" t="s">
        <v>2208</v>
      </c>
      <c r="R460" t="s">
        <v>2208</v>
      </c>
    </row>
    <row r="461" spans="1:18">
      <c r="A461" t="s">
        <v>2237</v>
      </c>
      <c r="B461" t="s">
        <v>7740</v>
      </c>
      <c r="C461">
        <v>45719</v>
      </c>
      <c r="D461" t="s">
        <v>7263</v>
      </c>
      <c r="E461" t="s">
        <v>2925</v>
      </c>
      <c r="F461">
        <v>45716</v>
      </c>
      <c r="G461" t="s">
        <v>2208</v>
      </c>
      <c r="H461" t="s">
        <v>7834</v>
      </c>
      <c r="I461" t="s">
        <v>9203</v>
      </c>
      <c r="J461">
        <v>1</v>
      </c>
      <c r="K461">
        <v>104.61</v>
      </c>
      <c r="L461" t="s">
        <v>2917</v>
      </c>
      <c r="M461">
        <v>104.61</v>
      </c>
      <c r="N461" t="s">
        <v>2917</v>
      </c>
      <c r="O461" t="s">
        <v>2208</v>
      </c>
      <c r="P461" t="s">
        <v>2208</v>
      </c>
      <c r="Q461" t="s">
        <v>2208</v>
      </c>
      <c r="R461" t="s">
        <v>2208</v>
      </c>
    </row>
    <row r="462" spans="1:18">
      <c r="A462" t="s">
        <v>2237</v>
      </c>
      <c r="B462" t="s">
        <v>7740</v>
      </c>
      <c r="C462">
        <v>45719</v>
      </c>
      <c r="D462" t="s">
        <v>7263</v>
      </c>
      <c r="E462" t="s">
        <v>2925</v>
      </c>
      <c r="F462">
        <v>45716</v>
      </c>
      <c r="G462" t="s">
        <v>2208</v>
      </c>
      <c r="H462" t="s">
        <v>7834</v>
      </c>
      <c r="I462" t="s">
        <v>9204</v>
      </c>
      <c r="J462">
        <v>1</v>
      </c>
      <c r="K462">
        <v>104.61</v>
      </c>
      <c r="L462" t="s">
        <v>2917</v>
      </c>
      <c r="M462">
        <v>104.61</v>
      </c>
      <c r="N462" t="s">
        <v>2917</v>
      </c>
      <c r="O462" t="s">
        <v>2208</v>
      </c>
      <c r="P462" t="s">
        <v>2208</v>
      </c>
      <c r="Q462" t="s">
        <v>2208</v>
      </c>
      <c r="R462" t="s">
        <v>2208</v>
      </c>
    </row>
    <row r="463" spans="1:18">
      <c r="A463" t="s">
        <v>2237</v>
      </c>
      <c r="B463" t="s">
        <v>7740</v>
      </c>
      <c r="C463">
        <v>45719</v>
      </c>
      <c r="D463" t="s">
        <v>7263</v>
      </c>
      <c r="E463" t="s">
        <v>2925</v>
      </c>
      <c r="F463">
        <v>45716</v>
      </c>
      <c r="G463" t="s">
        <v>2208</v>
      </c>
      <c r="H463" t="s">
        <v>7834</v>
      </c>
      <c r="I463" t="s">
        <v>9205</v>
      </c>
      <c r="J463">
        <v>1</v>
      </c>
      <c r="K463">
        <v>104.61</v>
      </c>
      <c r="L463" t="s">
        <v>2917</v>
      </c>
      <c r="M463">
        <v>104.61</v>
      </c>
      <c r="N463" t="s">
        <v>2917</v>
      </c>
      <c r="O463" t="s">
        <v>2208</v>
      </c>
      <c r="P463" t="s">
        <v>2208</v>
      </c>
      <c r="Q463" t="s">
        <v>2208</v>
      </c>
      <c r="R463" t="s">
        <v>2208</v>
      </c>
    </row>
    <row r="464" spans="1:18">
      <c r="A464" t="s">
        <v>2237</v>
      </c>
      <c r="B464" t="s">
        <v>7740</v>
      </c>
      <c r="C464">
        <v>45719</v>
      </c>
      <c r="D464" t="s">
        <v>7263</v>
      </c>
      <c r="E464" t="s">
        <v>2925</v>
      </c>
      <c r="F464">
        <v>45716</v>
      </c>
      <c r="G464" t="s">
        <v>2208</v>
      </c>
      <c r="H464" t="s">
        <v>7834</v>
      </c>
      <c r="I464" t="s">
        <v>9206</v>
      </c>
      <c r="J464">
        <v>1</v>
      </c>
      <c r="K464">
        <v>104.61</v>
      </c>
      <c r="L464" t="s">
        <v>2917</v>
      </c>
      <c r="M464">
        <v>104.61</v>
      </c>
      <c r="N464" t="s">
        <v>2917</v>
      </c>
      <c r="O464" t="s">
        <v>2208</v>
      </c>
      <c r="P464" t="s">
        <v>2208</v>
      </c>
      <c r="Q464" t="s">
        <v>2208</v>
      </c>
      <c r="R464" t="s">
        <v>2208</v>
      </c>
    </row>
    <row r="465" spans="1:18">
      <c r="A465" t="s">
        <v>2237</v>
      </c>
      <c r="B465" t="s">
        <v>7740</v>
      </c>
      <c r="C465">
        <v>45719</v>
      </c>
      <c r="D465" t="s">
        <v>7263</v>
      </c>
      <c r="E465" t="s">
        <v>2925</v>
      </c>
      <c r="F465">
        <v>45716</v>
      </c>
      <c r="G465" t="s">
        <v>2208</v>
      </c>
      <c r="H465" t="s">
        <v>7834</v>
      </c>
      <c r="I465" t="s">
        <v>9207</v>
      </c>
      <c r="J465">
        <v>1</v>
      </c>
      <c r="K465">
        <v>104.61</v>
      </c>
      <c r="L465" t="s">
        <v>2917</v>
      </c>
      <c r="M465">
        <v>104.61</v>
      </c>
      <c r="N465" t="s">
        <v>2917</v>
      </c>
      <c r="O465" t="s">
        <v>2208</v>
      </c>
      <c r="P465" t="s">
        <v>2208</v>
      </c>
      <c r="Q465" t="s">
        <v>2208</v>
      </c>
      <c r="R465" t="s">
        <v>2208</v>
      </c>
    </row>
    <row r="466" spans="1:18">
      <c r="A466" t="s">
        <v>2237</v>
      </c>
      <c r="B466" t="s">
        <v>7740</v>
      </c>
      <c r="C466">
        <v>45719</v>
      </c>
      <c r="D466" t="s">
        <v>7263</v>
      </c>
      <c r="E466" t="s">
        <v>2925</v>
      </c>
      <c r="F466">
        <v>45716</v>
      </c>
      <c r="G466" t="s">
        <v>2208</v>
      </c>
      <c r="H466" t="s">
        <v>7834</v>
      </c>
      <c r="I466" t="s">
        <v>9208</v>
      </c>
      <c r="J466">
        <v>1</v>
      </c>
      <c r="K466">
        <v>104.61</v>
      </c>
      <c r="L466" t="s">
        <v>2917</v>
      </c>
      <c r="M466">
        <v>104.61</v>
      </c>
      <c r="N466" t="s">
        <v>2917</v>
      </c>
      <c r="O466" t="s">
        <v>2208</v>
      </c>
      <c r="P466" t="s">
        <v>2208</v>
      </c>
      <c r="Q466" t="s">
        <v>2208</v>
      </c>
      <c r="R466" t="s">
        <v>2208</v>
      </c>
    </row>
    <row r="467" spans="1:18">
      <c r="A467" t="s">
        <v>2237</v>
      </c>
      <c r="B467" t="s">
        <v>7740</v>
      </c>
      <c r="C467">
        <v>45719</v>
      </c>
      <c r="D467" t="s">
        <v>7263</v>
      </c>
      <c r="E467" t="s">
        <v>2925</v>
      </c>
      <c r="F467">
        <v>45716</v>
      </c>
      <c r="G467" t="s">
        <v>2208</v>
      </c>
      <c r="H467" t="s">
        <v>7834</v>
      </c>
      <c r="I467" t="s">
        <v>9209</v>
      </c>
      <c r="J467">
        <v>1</v>
      </c>
      <c r="K467">
        <v>104.61</v>
      </c>
      <c r="L467" t="s">
        <v>2917</v>
      </c>
      <c r="M467">
        <v>104.61</v>
      </c>
      <c r="N467" t="s">
        <v>2917</v>
      </c>
      <c r="O467" t="s">
        <v>2208</v>
      </c>
      <c r="P467" t="s">
        <v>2208</v>
      </c>
      <c r="Q467" t="s">
        <v>2208</v>
      </c>
      <c r="R467" t="s">
        <v>2208</v>
      </c>
    </row>
    <row r="468" spans="1:18">
      <c r="A468" t="s">
        <v>2237</v>
      </c>
      <c r="B468" t="s">
        <v>7740</v>
      </c>
      <c r="C468">
        <v>45719</v>
      </c>
      <c r="D468" t="s">
        <v>7263</v>
      </c>
      <c r="E468" t="s">
        <v>2925</v>
      </c>
      <c r="F468">
        <v>45716</v>
      </c>
      <c r="G468" t="s">
        <v>2208</v>
      </c>
      <c r="H468" t="s">
        <v>7834</v>
      </c>
      <c r="I468" t="s">
        <v>9210</v>
      </c>
      <c r="J468">
        <v>1</v>
      </c>
      <c r="K468">
        <v>104.61</v>
      </c>
      <c r="L468" t="s">
        <v>2917</v>
      </c>
      <c r="M468">
        <v>104.61</v>
      </c>
      <c r="N468" t="s">
        <v>2917</v>
      </c>
      <c r="O468" t="s">
        <v>2208</v>
      </c>
      <c r="P468" t="s">
        <v>2208</v>
      </c>
      <c r="Q468" t="s">
        <v>2208</v>
      </c>
      <c r="R468" t="s">
        <v>2208</v>
      </c>
    </row>
    <row r="469" spans="1:18">
      <c r="A469" t="s">
        <v>2237</v>
      </c>
      <c r="B469" t="s">
        <v>7740</v>
      </c>
      <c r="C469">
        <v>45719</v>
      </c>
      <c r="D469" t="s">
        <v>7263</v>
      </c>
      <c r="E469" t="s">
        <v>2925</v>
      </c>
      <c r="F469">
        <v>45716</v>
      </c>
      <c r="G469" t="s">
        <v>2208</v>
      </c>
      <c r="H469" t="s">
        <v>7834</v>
      </c>
      <c r="I469" t="s">
        <v>9211</v>
      </c>
      <c r="J469">
        <v>1</v>
      </c>
      <c r="K469">
        <v>104.61</v>
      </c>
      <c r="L469" t="s">
        <v>2917</v>
      </c>
      <c r="M469">
        <v>104.61</v>
      </c>
      <c r="N469" t="s">
        <v>2917</v>
      </c>
      <c r="O469" t="s">
        <v>2208</v>
      </c>
      <c r="P469" t="s">
        <v>2208</v>
      </c>
      <c r="Q469" t="s">
        <v>2208</v>
      </c>
      <c r="R469" t="s">
        <v>2208</v>
      </c>
    </row>
    <row r="470" spans="1:18">
      <c r="A470" t="s">
        <v>2237</v>
      </c>
      <c r="B470" t="s">
        <v>7740</v>
      </c>
      <c r="C470">
        <v>45719</v>
      </c>
      <c r="D470" t="s">
        <v>7263</v>
      </c>
      <c r="E470" t="s">
        <v>2925</v>
      </c>
      <c r="F470">
        <v>45716</v>
      </c>
      <c r="G470" t="s">
        <v>2208</v>
      </c>
      <c r="H470" t="s">
        <v>7834</v>
      </c>
      <c r="I470" t="s">
        <v>9212</v>
      </c>
      <c r="J470">
        <v>1</v>
      </c>
      <c r="K470">
        <v>104.61</v>
      </c>
      <c r="L470" t="s">
        <v>2917</v>
      </c>
      <c r="M470">
        <v>104.61</v>
      </c>
      <c r="N470" t="s">
        <v>2917</v>
      </c>
      <c r="O470" t="s">
        <v>2208</v>
      </c>
      <c r="P470" t="s">
        <v>2208</v>
      </c>
      <c r="Q470" t="s">
        <v>2208</v>
      </c>
      <c r="R470" t="s">
        <v>2208</v>
      </c>
    </row>
    <row r="471" spans="1:18">
      <c r="A471" t="s">
        <v>2237</v>
      </c>
      <c r="B471" t="s">
        <v>7740</v>
      </c>
      <c r="C471">
        <v>45719</v>
      </c>
      <c r="D471" t="s">
        <v>7263</v>
      </c>
      <c r="E471" t="s">
        <v>2925</v>
      </c>
      <c r="F471">
        <v>45716</v>
      </c>
      <c r="G471" t="s">
        <v>2208</v>
      </c>
      <c r="H471" t="s">
        <v>7834</v>
      </c>
      <c r="I471" t="s">
        <v>9213</v>
      </c>
      <c r="J471">
        <v>1</v>
      </c>
      <c r="K471">
        <v>104.61</v>
      </c>
      <c r="L471" t="s">
        <v>2917</v>
      </c>
      <c r="M471">
        <v>104.61</v>
      </c>
      <c r="N471" t="s">
        <v>2917</v>
      </c>
      <c r="O471" t="s">
        <v>2208</v>
      </c>
      <c r="P471" t="s">
        <v>2208</v>
      </c>
      <c r="Q471" t="s">
        <v>2208</v>
      </c>
      <c r="R471" t="s">
        <v>2208</v>
      </c>
    </row>
    <row r="472" spans="1:18">
      <c r="A472" t="s">
        <v>2237</v>
      </c>
      <c r="B472" t="s">
        <v>7740</v>
      </c>
      <c r="C472">
        <v>45719</v>
      </c>
      <c r="D472" t="s">
        <v>7263</v>
      </c>
      <c r="E472" t="s">
        <v>2925</v>
      </c>
      <c r="F472">
        <v>45716</v>
      </c>
      <c r="G472" t="s">
        <v>2208</v>
      </c>
      <c r="H472" t="s">
        <v>7834</v>
      </c>
      <c r="I472" t="s">
        <v>9214</v>
      </c>
      <c r="J472">
        <v>1</v>
      </c>
      <c r="K472">
        <v>104.61</v>
      </c>
      <c r="L472" t="s">
        <v>2917</v>
      </c>
      <c r="M472">
        <v>104.61</v>
      </c>
      <c r="N472" t="s">
        <v>2917</v>
      </c>
      <c r="O472" t="s">
        <v>2208</v>
      </c>
      <c r="P472" t="s">
        <v>2208</v>
      </c>
      <c r="Q472" t="s">
        <v>2208</v>
      </c>
      <c r="R472" t="s">
        <v>2208</v>
      </c>
    </row>
    <row r="473" spans="1:18">
      <c r="A473" t="s">
        <v>2237</v>
      </c>
      <c r="B473" t="s">
        <v>7740</v>
      </c>
      <c r="C473">
        <v>45719</v>
      </c>
      <c r="D473" t="s">
        <v>7263</v>
      </c>
      <c r="E473" t="s">
        <v>2925</v>
      </c>
      <c r="F473">
        <v>45716</v>
      </c>
      <c r="G473" t="s">
        <v>2208</v>
      </c>
      <c r="H473" t="s">
        <v>7834</v>
      </c>
      <c r="I473" t="s">
        <v>9215</v>
      </c>
      <c r="J473">
        <v>1</v>
      </c>
      <c r="K473">
        <v>104.61</v>
      </c>
      <c r="L473" t="s">
        <v>2917</v>
      </c>
      <c r="M473">
        <v>104.61</v>
      </c>
      <c r="N473" t="s">
        <v>2917</v>
      </c>
      <c r="O473" t="s">
        <v>2208</v>
      </c>
      <c r="P473" t="s">
        <v>2208</v>
      </c>
      <c r="Q473" t="s">
        <v>2208</v>
      </c>
      <c r="R473" t="s">
        <v>2208</v>
      </c>
    </row>
    <row r="474" spans="1:18">
      <c r="A474" t="s">
        <v>2237</v>
      </c>
      <c r="B474" t="s">
        <v>7740</v>
      </c>
      <c r="C474">
        <v>45719</v>
      </c>
      <c r="D474" t="s">
        <v>7263</v>
      </c>
      <c r="E474" t="s">
        <v>2925</v>
      </c>
      <c r="F474">
        <v>45716</v>
      </c>
      <c r="G474" t="s">
        <v>2208</v>
      </c>
      <c r="H474" t="s">
        <v>7834</v>
      </c>
      <c r="I474" t="s">
        <v>9216</v>
      </c>
      <c r="J474">
        <v>2</v>
      </c>
      <c r="K474">
        <v>209.22</v>
      </c>
      <c r="L474" t="s">
        <v>2917</v>
      </c>
      <c r="M474">
        <v>209.22</v>
      </c>
      <c r="N474" t="s">
        <v>2917</v>
      </c>
      <c r="O474" t="s">
        <v>2208</v>
      </c>
      <c r="P474" t="s">
        <v>2208</v>
      </c>
      <c r="Q474" t="s">
        <v>2208</v>
      </c>
      <c r="R474" t="s">
        <v>2208</v>
      </c>
    </row>
    <row r="475" spans="1:18">
      <c r="A475" t="s">
        <v>2237</v>
      </c>
      <c r="B475" t="s">
        <v>7740</v>
      </c>
      <c r="C475">
        <v>45719</v>
      </c>
      <c r="D475" t="s">
        <v>7263</v>
      </c>
      <c r="E475" t="s">
        <v>2925</v>
      </c>
      <c r="F475">
        <v>45716</v>
      </c>
      <c r="G475" t="s">
        <v>2208</v>
      </c>
      <c r="H475" t="s">
        <v>7834</v>
      </c>
      <c r="I475" t="s">
        <v>9217</v>
      </c>
      <c r="J475">
        <v>1</v>
      </c>
      <c r="K475">
        <v>104.61</v>
      </c>
      <c r="L475" t="s">
        <v>2917</v>
      </c>
      <c r="M475">
        <v>104.61</v>
      </c>
      <c r="N475" t="s">
        <v>2917</v>
      </c>
      <c r="O475" t="s">
        <v>2208</v>
      </c>
      <c r="P475" t="s">
        <v>2208</v>
      </c>
      <c r="Q475" t="s">
        <v>2208</v>
      </c>
      <c r="R475" t="s">
        <v>2208</v>
      </c>
    </row>
    <row r="476" spans="1:18">
      <c r="A476" t="s">
        <v>2237</v>
      </c>
      <c r="B476" t="s">
        <v>7740</v>
      </c>
      <c r="C476">
        <v>45719</v>
      </c>
      <c r="D476" t="s">
        <v>7263</v>
      </c>
      <c r="E476" t="s">
        <v>2925</v>
      </c>
      <c r="F476">
        <v>45716</v>
      </c>
      <c r="G476" t="s">
        <v>2208</v>
      </c>
      <c r="H476" t="s">
        <v>7834</v>
      </c>
      <c r="I476" t="s">
        <v>9218</v>
      </c>
      <c r="J476">
        <v>1</v>
      </c>
      <c r="K476">
        <v>104.61</v>
      </c>
      <c r="L476" t="s">
        <v>2917</v>
      </c>
      <c r="M476">
        <v>104.61</v>
      </c>
      <c r="N476" t="s">
        <v>2917</v>
      </c>
      <c r="O476" t="s">
        <v>2208</v>
      </c>
      <c r="P476" t="s">
        <v>2208</v>
      </c>
      <c r="Q476" t="s">
        <v>2208</v>
      </c>
      <c r="R476" t="s">
        <v>2208</v>
      </c>
    </row>
    <row r="477" spans="1:18">
      <c r="A477" t="s">
        <v>2237</v>
      </c>
      <c r="B477" t="s">
        <v>7740</v>
      </c>
      <c r="C477">
        <v>45719</v>
      </c>
      <c r="D477" t="s">
        <v>7263</v>
      </c>
      <c r="E477" t="s">
        <v>2925</v>
      </c>
      <c r="F477">
        <v>45716</v>
      </c>
      <c r="G477" t="s">
        <v>2208</v>
      </c>
      <c r="H477" t="s">
        <v>7834</v>
      </c>
      <c r="I477" t="s">
        <v>9219</v>
      </c>
      <c r="J477">
        <v>1</v>
      </c>
      <c r="K477">
        <v>104.61</v>
      </c>
      <c r="L477" t="s">
        <v>2917</v>
      </c>
      <c r="M477">
        <v>104.61</v>
      </c>
      <c r="N477" t="s">
        <v>2917</v>
      </c>
      <c r="O477" t="s">
        <v>2208</v>
      </c>
      <c r="P477" t="s">
        <v>2208</v>
      </c>
      <c r="Q477" t="s">
        <v>2208</v>
      </c>
      <c r="R477" t="s">
        <v>2208</v>
      </c>
    </row>
    <row r="478" spans="1:18">
      <c r="A478" t="s">
        <v>2237</v>
      </c>
      <c r="B478" t="s">
        <v>7740</v>
      </c>
      <c r="C478">
        <v>45719</v>
      </c>
      <c r="D478" t="s">
        <v>7263</v>
      </c>
      <c r="E478" t="s">
        <v>2925</v>
      </c>
      <c r="F478">
        <v>45716</v>
      </c>
      <c r="G478" t="s">
        <v>2208</v>
      </c>
      <c r="H478" t="s">
        <v>7834</v>
      </c>
      <c r="I478" t="s">
        <v>9220</v>
      </c>
      <c r="J478">
        <v>3</v>
      </c>
      <c r="K478">
        <v>313.83</v>
      </c>
      <c r="L478" t="s">
        <v>2917</v>
      </c>
      <c r="M478">
        <v>313.83</v>
      </c>
      <c r="N478" t="s">
        <v>2917</v>
      </c>
      <c r="O478" t="s">
        <v>2208</v>
      </c>
      <c r="P478" t="s">
        <v>2208</v>
      </c>
      <c r="Q478" t="s">
        <v>2208</v>
      </c>
      <c r="R478" t="s">
        <v>2208</v>
      </c>
    </row>
    <row r="479" spans="1:18">
      <c r="A479" t="s">
        <v>2237</v>
      </c>
      <c r="B479" t="s">
        <v>7740</v>
      </c>
      <c r="C479">
        <v>45719</v>
      </c>
      <c r="D479" t="s">
        <v>7263</v>
      </c>
      <c r="E479" t="s">
        <v>2925</v>
      </c>
      <c r="F479">
        <v>45716</v>
      </c>
      <c r="G479" t="s">
        <v>2208</v>
      </c>
      <c r="H479" t="s">
        <v>7834</v>
      </c>
      <c r="I479" t="s">
        <v>9221</v>
      </c>
      <c r="J479">
        <v>3</v>
      </c>
      <c r="K479">
        <v>313.83</v>
      </c>
      <c r="L479" t="s">
        <v>2917</v>
      </c>
      <c r="M479">
        <v>313.83</v>
      </c>
      <c r="N479" t="s">
        <v>2917</v>
      </c>
      <c r="O479" t="s">
        <v>2208</v>
      </c>
      <c r="P479" t="s">
        <v>2208</v>
      </c>
      <c r="Q479" t="s">
        <v>2208</v>
      </c>
      <c r="R479" t="s">
        <v>2208</v>
      </c>
    </row>
    <row r="480" spans="1:18">
      <c r="A480" t="s">
        <v>2237</v>
      </c>
      <c r="B480" t="s">
        <v>7740</v>
      </c>
      <c r="C480">
        <v>45719</v>
      </c>
      <c r="D480" t="s">
        <v>7263</v>
      </c>
      <c r="E480" t="s">
        <v>2925</v>
      </c>
      <c r="F480">
        <v>45716</v>
      </c>
      <c r="G480" t="s">
        <v>2208</v>
      </c>
      <c r="H480" t="s">
        <v>7834</v>
      </c>
      <c r="I480" t="s">
        <v>9222</v>
      </c>
      <c r="J480">
        <v>3</v>
      </c>
      <c r="K480">
        <v>313.83</v>
      </c>
      <c r="L480" t="s">
        <v>2917</v>
      </c>
      <c r="M480">
        <v>313.83</v>
      </c>
      <c r="N480" t="s">
        <v>2917</v>
      </c>
      <c r="O480" t="s">
        <v>2208</v>
      </c>
      <c r="P480" t="s">
        <v>2208</v>
      </c>
      <c r="Q480" t="s">
        <v>2208</v>
      </c>
      <c r="R480" t="s">
        <v>2208</v>
      </c>
    </row>
    <row r="481" spans="1:18">
      <c r="A481" t="s">
        <v>2237</v>
      </c>
      <c r="B481" t="s">
        <v>7740</v>
      </c>
      <c r="C481">
        <v>45719</v>
      </c>
      <c r="D481" t="s">
        <v>7263</v>
      </c>
      <c r="E481" t="s">
        <v>2925</v>
      </c>
      <c r="F481">
        <v>45716</v>
      </c>
      <c r="G481" t="s">
        <v>2208</v>
      </c>
      <c r="H481" t="s">
        <v>7834</v>
      </c>
      <c r="I481" t="s">
        <v>9223</v>
      </c>
      <c r="J481">
        <v>3</v>
      </c>
      <c r="K481">
        <v>313.83</v>
      </c>
      <c r="L481" t="s">
        <v>2917</v>
      </c>
      <c r="M481">
        <v>313.83</v>
      </c>
      <c r="N481" t="s">
        <v>2917</v>
      </c>
      <c r="O481" t="s">
        <v>2208</v>
      </c>
      <c r="P481" t="s">
        <v>2208</v>
      </c>
      <c r="Q481" t="s">
        <v>2208</v>
      </c>
      <c r="R481" t="s">
        <v>2208</v>
      </c>
    </row>
    <row r="482" spans="1:18">
      <c r="A482" t="s">
        <v>2237</v>
      </c>
      <c r="B482" t="s">
        <v>7740</v>
      </c>
      <c r="C482">
        <v>45719</v>
      </c>
      <c r="D482" t="s">
        <v>7263</v>
      </c>
      <c r="E482" t="s">
        <v>2925</v>
      </c>
      <c r="F482">
        <v>45716</v>
      </c>
      <c r="G482" t="s">
        <v>2208</v>
      </c>
      <c r="H482" t="s">
        <v>7834</v>
      </c>
      <c r="I482" t="s">
        <v>9224</v>
      </c>
      <c r="J482">
        <v>3</v>
      </c>
      <c r="K482">
        <v>313.83</v>
      </c>
      <c r="L482" t="s">
        <v>2917</v>
      </c>
      <c r="M482">
        <v>313.83</v>
      </c>
      <c r="N482" t="s">
        <v>2917</v>
      </c>
      <c r="O482" t="s">
        <v>2208</v>
      </c>
      <c r="P482" t="s">
        <v>2208</v>
      </c>
      <c r="Q482" t="s">
        <v>2208</v>
      </c>
      <c r="R482" t="s">
        <v>2208</v>
      </c>
    </row>
    <row r="483" spans="1:18">
      <c r="A483" t="s">
        <v>2237</v>
      </c>
      <c r="B483" t="s">
        <v>7740</v>
      </c>
      <c r="C483">
        <v>45719</v>
      </c>
      <c r="D483" t="s">
        <v>7263</v>
      </c>
      <c r="E483" t="s">
        <v>2925</v>
      </c>
      <c r="F483">
        <v>45716</v>
      </c>
      <c r="G483" t="s">
        <v>2208</v>
      </c>
      <c r="H483" t="s">
        <v>7834</v>
      </c>
      <c r="I483" t="s">
        <v>9225</v>
      </c>
      <c r="J483">
        <v>3</v>
      </c>
      <c r="K483">
        <v>313.83</v>
      </c>
      <c r="L483" t="s">
        <v>2917</v>
      </c>
      <c r="M483">
        <v>313.83</v>
      </c>
      <c r="N483" t="s">
        <v>2917</v>
      </c>
      <c r="O483" t="s">
        <v>2208</v>
      </c>
      <c r="P483" t="s">
        <v>2208</v>
      </c>
      <c r="Q483" t="s">
        <v>2208</v>
      </c>
      <c r="R483" t="s">
        <v>2208</v>
      </c>
    </row>
    <row r="484" spans="1:18">
      <c r="A484" t="s">
        <v>2237</v>
      </c>
      <c r="B484" t="s">
        <v>7740</v>
      </c>
      <c r="C484">
        <v>45719</v>
      </c>
      <c r="D484" t="s">
        <v>7263</v>
      </c>
      <c r="E484" t="s">
        <v>2925</v>
      </c>
      <c r="F484">
        <v>45716</v>
      </c>
      <c r="G484" t="s">
        <v>2208</v>
      </c>
      <c r="H484" t="s">
        <v>7834</v>
      </c>
      <c r="I484" t="s">
        <v>9226</v>
      </c>
      <c r="J484">
        <v>3</v>
      </c>
      <c r="K484">
        <v>313.83</v>
      </c>
      <c r="L484" t="s">
        <v>2917</v>
      </c>
      <c r="M484">
        <v>313.83</v>
      </c>
      <c r="N484" t="s">
        <v>2917</v>
      </c>
      <c r="O484" t="s">
        <v>2208</v>
      </c>
      <c r="P484" t="s">
        <v>2208</v>
      </c>
      <c r="Q484" t="s">
        <v>2208</v>
      </c>
      <c r="R484" t="s">
        <v>2208</v>
      </c>
    </row>
    <row r="485" spans="1:18">
      <c r="A485" t="s">
        <v>2237</v>
      </c>
      <c r="B485" t="s">
        <v>7740</v>
      </c>
      <c r="C485">
        <v>45719</v>
      </c>
      <c r="D485" t="s">
        <v>7263</v>
      </c>
      <c r="E485" t="s">
        <v>2925</v>
      </c>
      <c r="F485">
        <v>45716</v>
      </c>
      <c r="G485" t="s">
        <v>2208</v>
      </c>
      <c r="H485" t="s">
        <v>7834</v>
      </c>
      <c r="I485" t="s">
        <v>9227</v>
      </c>
      <c r="J485">
        <v>3</v>
      </c>
      <c r="K485">
        <v>313.83</v>
      </c>
      <c r="L485" t="s">
        <v>2917</v>
      </c>
      <c r="M485">
        <v>313.83</v>
      </c>
      <c r="N485" t="s">
        <v>2917</v>
      </c>
      <c r="O485" t="s">
        <v>2208</v>
      </c>
      <c r="P485" t="s">
        <v>2208</v>
      </c>
      <c r="Q485" t="s">
        <v>2208</v>
      </c>
      <c r="R485" t="s">
        <v>2208</v>
      </c>
    </row>
    <row r="486" spans="1:18">
      <c r="A486" t="s">
        <v>2237</v>
      </c>
      <c r="B486" t="s">
        <v>7740</v>
      </c>
      <c r="C486">
        <v>45719</v>
      </c>
      <c r="D486" t="s">
        <v>7263</v>
      </c>
      <c r="E486" t="s">
        <v>2925</v>
      </c>
      <c r="F486">
        <v>45716</v>
      </c>
      <c r="G486" t="s">
        <v>2208</v>
      </c>
      <c r="H486" t="s">
        <v>7834</v>
      </c>
      <c r="I486" t="s">
        <v>9228</v>
      </c>
      <c r="J486">
        <v>3</v>
      </c>
      <c r="K486">
        <v>313.83</v>
      </c>
      <c r="L486" t="s">
        <v>2917</v>
      </c>
      <c r="M486">
        <v>313.83</v>
      </c>
      <c r="N486" t="s">
        <v>2917</v>
      </c>
      <c r="O486" t="s">
        <v>2208</v>
      </c>
      <c r="P486" t="s">
        <v>2208</v>
      </c>
      <c r="Q486" t="s">
        <v>2208</v>
      </c>
      <c r="R486" t="s">
        <v>2208</v>
      </c>
    </row>
    <row r="487" spans="1:18">
      <c r="A487" t="s">
        <v>2237</v>
      </c>
      <c r="B487" t="s">
        <v>7740</v>
      </c>
      <c r="C487">
        <v>45719</v>
      </c>
      <c r="D487" t="s">
        <v>7263</v>
      </c>
      <c r="E487" t="s">
        <v>2925</v>
      </c>
      <c r="F487">
        <v>45716</v>
      </c>
      <c r="G487" t="s">
        <v>2208</v>
      </c>
      <c r="H487" t="s">
        <v>7834</v>
      </c>
      <c r="I487" t="s">
        <v>9229</v>
      </c>
      <c r="J487">
        <v>3</v>
      </c>
      <c r="K487">
        <v>313.83</v>
      </c>
      <c r="L487" t="s">
        <v>2917</v>
      </c>
      <c r="M487">
        <v>313.83</v>
      </c>
      <c r="N487" t="s">
        <v>2917</v>
      </c>
      <c r="O487" t="s">
        <v>2208</v>
      </c>
      <c r="P487" t="s">
        <v>2208</v>
      </c>
      <c r="Q487" t="s">
        <v>2208</v>
      </c>
      <c r="R487" t="s">
        <v>2208</v>
      </c>
    </row>
    <row r="488" spans="1:18">
      <c r="A488" t="s">
        <v>2237</v>
      </c>
      <c r="B488" t="s">
        <v>7740</v>
      </c>
      <c r="C488">
        <v>45719</v>
      </c>
      <c r="D488" t="s">
        <v>7263</v>
      </c>
      <c r="E488" t="s">
        <v>2925</v>
      </c>
      <c r="F488">
        <v>45716</v>
      </c>
      <c r="G488" t="s">
        <v>2208</v>
      </c>
      <c r="H488" t="s">
        <v>7834</v>
      </c>
      <c r="I488" t="s">
        <v>9230</v>
      </c>
      <c r="J488">
        <v>1.1000000000000001</v>
      </c>
      <c r="K488">
        <v>115.07</v>
      </c>
      <c r="L488" t="s">
        <v>2917</v>
      </c>
      <c r="M488">
        <v>115.07</v>
      </c>
      <c r="N488" t="s">
        <v>2917</v>
      </c>
      <c r="O488" t="s">
        <v>2208</v>
      </c>
      <c r="P488" t="s">
        <v>2208</v>
      </c>
      <c r="Q488" t="s">
        <v>2208</v>
      </c>
      <c r="R488" t="s">
        <v>2208</v>
      </c>
    </row>
    <row r="489" spans="1:18">
      <c r="A489" t="s">
        <v>2237</v>
      </c>
      <c r="B489" t="s">
        <v>7740</v>
      </c>
      <c r="C489">
        <v>45719</v>
      </c>
      <c r="D489" t="s">
        <v>7263</v>
      </c>
      <c r="E489" t="s">
        <v>2925</v>
      </c>
      <c r="F489">
        <v>45716</v>
      </c>
      <c r="G489" t="s">
        <v>2208</v>
      </c>
      <c r="H489" t="s">
        <v>7834</v>
      </c>
      <c r="I489" t="s">
        <v>9231</v>
      </c>
      <c r="J489">
        <v>0.25</v>
      </c>
      <c r="K489">
        <v>26.15</v>
      </c>
      <c r="L489" t="s">
        <v>2917</v>
      </c>
      <c r="M489">
        <v>26.15</v>
      </c>
      <c r="N489" t="s">
        <v>2917</v>
      </c>
      <c r="O489" t="s">
        <v>2208</v>
      </c>
      <c r="P489" t="s">
        <v>2208</v>
      </c>
      <c r="Q489" t="s">
        <v>2208</v>
      </c>
      <c r="R489" t="s">
        <v>2208</v>
      </c>
    </row>
    <row r="490" spans="1:18">
      <c r="A490" t="s">
        <v>2237</v>
      </c>
      <c r="B490" t="s">
        <v>7740</v>
      </c>
      <c r="C490">
        <v>45719</v>
      </c>
      <c r="D490" t="s">
        <v>7263</v>
      </c>
      <c r="E490" t="s">
        <v>2925</v>
      </c>
      <c r="F490">
        <v>45716</v>
      </c>
      <c r="G490" t="s">
        <v>2208</v>
      </c>
      <c r="H490" t="s">
        <v>7834</v>
      </c>
      <c r="I490" t="s">
        <v>9232</v>
      </c>
      <c r="J490">
        <v>1</v>
      </c>
      <c r="K490">
        <v>104.61</v>
      </c>
      <c r="L490" t="s">
        <v>2917</v>
      </c>
      <c r="M490">
        <v>104.61</v>
      </c>
      <c r="N490" t="s">
        <v>2917</v>
      </c>
      <c r="O490" t="s">
        <v>2208</v>
      </c>
      <c r="P490" t="s">
        <v>2208</v>
      </c>
      <c r="Q490" t="s">
        <v>2208</v>
      </c>
      <c r="R490" t="s">
        <v>2208</v>
      </c>
    </row>
    <row r="491" spans="1:18">
      <c r="A491" t="s">
        <v>2237</v>
      </c>
      <c r="B491" t="s">
        <v>7740</v>
      </c>
      <c r="C491">
        <v>45719</v>
      </c>
      <c r="D491" t="s">
        <v>7263</v>
      </c>
      <c r="E491" t="s">
        <v>2925</v>
      </c>
      <c r="F491">
        <v>45716</v>
      </c>
      <c r="G491" t="s">
        <v>2208</v>
      </c>
      <c r="H491" t="s">
        <v>7834</v>
      </c>
      <c r="I491" t="s">
        <v>9233</v>
      </c>
      <c r="J491">
        <v>2</v>
      </c>
      <c r="K491">
        <v>209.22</v>
      </c>
      <c r="L491" t="s">
        <v>2917</v>
      </c>
      <c r="M491">
        <v>209.22</v>
      </c>
      <c r="N491" t="s">
        <v>2917</v>
      </c>
      <c r="O491" t="s">
        <v>2208</v>
      </c>
      <c r="P491" t="s">
        <v>2208</v>
      </c>
      <c r="Q491" t="s">
        <v>2208</v>
      </c>
      <c r="R491" t="s">
        <v>2208</v>
      </c>
    </row>
    <row r="492" spans="1:18">
      <c r="A492" t="s">
        <v>2237</v>
      </c>
      <c r="B492" t="s">
        <v>7740</v>
      </c>
      <c r="C492">
        <v>45719</v>
      </c>
      <c r="D492" t="s">
        <v>7263</v>
      </c>
      <c r="E492" t="s">
        <v>2925</v>
      </c>
      <c r="F492">
        <v>45716</v>
      </c>
      <c r="G492" t="s">
        <v>2208</v>
      </c>
      <c r="H492" t="s">
        <v>7834</v>
      </c>
      <c r="I492" t="s">
        <v>9234</v>
      </c>
      <c r="J492">
        <v>3</v>
      </c>
      <c r="K492">
        <v>313.83</v>
      </c>
      <c r="L492" t="s">
        <v>2917</v>
      </c>
      <c r="M492">
        <v>313.83</v>
      </c>
      <c r="N492" t="s">
        <v>2917</v>
      </c>
      <c r="O492" t="s">
        <v>2208</v>
      </c>
      <c r="P492" t="s">
        <v>2208</v>
      </c>
      <c r="Q492" t="s">
        <v>2208</v>
      </c>
      <c r="R492" t="s">
        <v>2208</v>
      </c>
    </row>
    <row r="493" spans="1:18">
      <c r="A493" t="s">
        <v>2237</v>
      </c>
      <c r="B493" t="s">
        <v>7740</v>
      </c>
      <c r="C493">
        <v>45719</v>
      </c>
      <c r="D493" t="s">
        <v>7263</v>
      </c>
      <c r="E493" t="s">
        <v>2925</v>
      </c>
      <c r="F493">
        <v>45716</v>
      </c>
      <c r="G493" t="s">
        <v>2208</v>
      </c>
      <c r="H493" t="s">
        <v>7834</v>
      </c>
      <c r="I493" t="s">
        <v>9235</v>
      </c>
      <c r="J493">
        <v>1</v>
      </c>
      <c r="K493">
        <v>104.61</v>
      </c>
      <c r="L493" t="s">
        <v>2917</v>
      </c>
      <c r="M493">
        <v>104.61</v>
      </c>
      <c r="N493" t="s">
        <v>2917</v>
      </c>
      <c r="O493" t="s">
        <v>2208</v>
      </c>
      <c r="P493" t="s">
        <v>2208</v>
      </c>
      <c r="Q493" t="s">
        <v>2208</v>
      </c>
      <c r="R493" t="s">
        <v>2208</v>
      </c>
    </row>
    <row r="494" spans="1:18">
      <c r="A494" t="s">
        <v>2237</v>
      </c>
      <c r="B494" t="s">
        <v>7740</v>
      </c>
      <c r="C494">
        <v>45719</v>
      </c>
      <c r="D494" t="s">
        <v>7263</v>
      </c>
      <c r="E494" t="s">
        <v>2925</v>
      </c>
      <c r="F494">
        <v>45716</v>
      </c>
      <c r="G494" t="s">
        <v>2208</v>
      </c>
      <c r="H494" t="s">
        <v>7834</v>
      </c>
      <c r="I494" t="s">
        <v>9236</v>
      </c>
      <c r="J494">
        <v>1</v>
      </c>
      <c r="K494">
        <v>104.61</v>
      </c>
      <c r="L494" t="s">
        <v>2917</v>
      </c>
      <c r="M494">
        <v>104.61</v>
      </c>
      <c r="N494" t="s">
        <v>2917</v>
      </c>
      <c r="O494" t="s">
        <v>2208</v>
      </c>
      <c r="P494" t="s">
        <v>2208</v>
      </c>
      <c r="Q494" t="s">
        <v>2208</v>
      </c>
      <c r="R494" t="s">
        <v>2208</v>
      </c>
    </row>
    <row r="495" spans="1:18">
      <c r="A495" t="s">
        <v>2237</v>
      </c>
      <c r="B495" t="s">
        <v>7740</v>
      </c>
      <c r="C495">
        <v>45719</v>
      </c>
      <c r="D495" t="s">
        <v>7263</v>
      </c>
      <c r="E495" t="s">
        <v>2925</v>
      </c>
      <c r="F495">
        <v>45716</v>
      </c>
      <c r="G495" t="s">
        <v>2208</v>
      </c>
      <c r="H495" t="s">
        <v>7834</v>
      </c>
      <c r="I495" t="s">
        <v>9237</v>
      </c>
      <c r="J495">
        <v>1</v>
      </c>
      <c r="K495">
        <v>104.61</v>
      </c>
      <c r="L495" t="s">
        <v>2917</v>
      </c>
      <c r="M495">
        <v>104.61</v>
      </c>
      <c r="N495" t="s">
        <v>2917</v>
      </c>
      <c r="O495" t="s">
        <v>2208</v>
      </c>
      <c r="P495" t="s">
        <v>2208</v>
      </c>
      <c r="Q495" t="s">
        <v>2208</v>
      </c>
      <c r="R495" t="s">
        <v>2208</v>
      </c>
    </row>
    <row r="496" spans="1:18">
      <c r="A496" t="s">
        <v>2237</v>
      </c>
      <c r="B496" t="s">
        <v>7740</v>
      </c>
      <c r="C496">
        <v>45719</v>
      </c>
      <c r="D496" t="s">
        <v>7263</v>
      </c>
      <c r="E496" t="s">
        <v>2925</v>
      </c>
      <c r="F496">
        <v>45716</v>
      </c>
      <c r="G496" t="s">
        <v>2208</v>
      </c>
      <c r="H496" t="s">
        <v>7834</v>
      </c>
      <c r="I496" t="s">
        <v>9238</v>
      </c>
      <c r="J496">
        <v>1</v>
      </c>
      <c r="K496">
        <v>104.61</v>
      </c>
      <c r="L496" t="s">
        <v>2917</v>
      </c>
      <c r="M496">
        <v>104.61</v>
      </c>
      <c r="N496" t="s">
        <v>2917</v>
      </c>
      <c r="O496" t="s">
        <v>2208</v>
      </c>
      <c r="P496" t="s">
        <v>2208</v>
      </c>
      <c r="Q496" t="s">
        <v>2208</v>
      </c>
      <c r="R496" t="s">
        <v>2208</v>
      </c>
    </row>
    <row r="497" spans="1:18">
      <c r="A497" t="s">
        <v>2237</v>
      </c>
      <c r="B497" t="s">
        <v>7740</v>
      </c>
      <c r="C497">
        <v>45719</v>
      </c>
      <c r="D497" t="s">
        <v>7263</v>
      </c>
      <c r="E497" t="s">
        <v>2925</v>
      </c>
      <c r="F497">
        <v>45716</v>
      </c>
      <c r="G497" t="s">
        <v>2208</v>
      </c>
      <c r="H497" t="s">
        <v>7834</v>
      </c>
      <c r="I497" t="s">
        <v>9239</v>
      </c>
      <c r="J497">
        <v>1</v>
      </c>
      <c r="K497">
        <v>104.61</v>
      </c>
      <c r="L497" t="s">
        <v>2917</v>
      </c>
      <c r="M497">
        <v>104.61</v>
      </c>
      <c r="N497" t="s">
        <v>2917</v>
      </c>
      <c r="O497" t="s">
        <v>2208</v>
      </c>
      <c r="P497" t="s">
        <v>2208</v>
      </c>
      <c r="Q497" t="s">
        <v>2208</v>
      </c>
      <c r="R497" t="s">
        <v>2208</v>
      </c>
    </row>
    <row r="498" spans="1:18">
      <c r="A498" t="s">
        <v>2237</v>
      </c>
      <c r="B498" t="s">
        <v>7740</v>
      </c>
      <c r="C498">
        <v>45719</v>
      </c>
      <c r="D498" t="s">
        <v>7263</v>
      </c>
      <c r="E498" t="s">
        <v>2925</v>
      </c>
      <c r="F498">
        <v>45716</v>
      </c>
      <c r="G498" t="s">
        <v>2208</v>
      </c>
      <c r="H498" t="s">
        <v>7834</v>
      </c>
      <c r="I498" t="s">
        <v>9240</v>
      </c>
      <c r="J498">
        <v>3</v>
      </c>
      <c r="K498">
        <v>313.83</v>
      </c>
      <c r="L498" t="s">
        <v>2917</v>
      </c>
      <c r="M498">
        <v>313.83</v>
      </c>
      <c r="N498" t="s">
        <v>2917</v>
      </c>
      <c r="O498" t="s">
        <v>2208</v>
      </c>
      <c r="P498" t="s">
        <v>2208</v>
      </c>
      <c r="Q498" t="s">
        <v>2208</v>
      </c>
      <c r="R498" t="s">
        <v>2208</v>
      </c>
    </row>
    <row r="499" spans="1:18">
      <c r="A499" t="s">
        <v>2237</v>
      </c>
      <c r="B499" t="s">
        <v>7740</v>
      </c>
      <c r="C499">
        <v>45719</v>
      </c>
      <c r="D499" t="s">
        <v>7263</v>
      </c>
      <c r="E499" t="s">
        <v>2925</v>
      </c>
      <c r="F499">
        <v>45716</v>
      </c>
      <c r="G499" t="s">
        <v>2208</v>
      </c>
      <c r="H499" t="s">
        <v>7834</v>
      </c>
      <c r="I499" t="s">
        <v>9241</v>
      </c>
      <c r="J499">
        <v>3</v>
      </c>
      <c r="K499">
        <v>313.83</v>
      </c>
      <c r="L499" t="s">
        <v>2917</v>
      </c>
      <c r="M499">
        <v>313.83</v>
      </c>
      <c r="N499" t="s">
        <v>2917</v>
      </c>
      <c r="O499" t="s">
        <v>2208</v>
      </c>
      <c r="P499" t="s">
        <v>2208</v>
      </c>
      <c r="Q499" t="s">
        <v>2208</v>
      </c>
      <c r="R499" t="s">
        <v>2208</v>
      </c>
    </row>
    <row r="500" spans="1:18">
      <c r="A500" t="s">
        <v>2237</v>
      </c>
      <c r="B500" t="s">
        <v>7740</v>
      </c>
      <c r="C500">
        <v>45719</v>
      </c>
      <c r="D500" t="s">
        <v>7263</v>
      </c>
      <c r="E500" t="s">
        <v>2925</v>
      </c>
      <c r="F500">
        <v>45716</v>
      </c>
      <c r="G500" t="s">
        <v>2208</v>
      </c>
      <c r="H500" t="s">
        <v>7834</v>
      </c>
      <c r="I500" t="s">
        <v>9242</v>
      </c>
      <c r="J500">
        <v>3</v>
      </c>
      <c r="K500">
        <v>313.83</v>
      </c>
      <c r="L500" t="s">
        <v>2917</v>
      </c>
      <c r="M500">
        <v>313.83</v>
      </c>
      <c r="N500" t="s">
        <v>2917</v>
      </c>
      <c r="O500" t="s">
        <v>2208</v>
      </c>
      <c r="P500" t="s">
        <v>2208</v>
      </c>
      <c r="Q500" t="s">
        <v>2208</v>
      </c>
      <c r="R500" t="s">
        <v>2208</v>
      </c>
    </row>
    <row r="501" spans="1:18">
      <c r="A501" t="s">
        <v>2237</v>
      </c>
      <c r="B501" t="s">
        <v>7740</v>
      </c>
      <c r="C501">
        <v>45719</v>
      </c>
      <c r="D501" t="s">
        <v>7263</v>
      </c>
      <c r="E501" t="s">
        <v>2925</v>
      </c>
      <c r="F501">
        <v>45716</v>
      </c>
      <c r="G501" t="s">
        <v>2208</v>
      </c>
      <c r="H501" t="s">
        <v>7834</v>
      </c>
      <c r="I501" t="s">
        <v>9243</v>
      </c>
      <c r="J501">
        <v>3</v>
      </c>
      <c r="K501">
        <v>313.83</v>
      </c>
      <c r="L501" t="s">
        <v>2917</v>
      </c>
      <c r="M501">
        <v>313.83</v>
      </c>
      <c r="N501" t="s">
        <v>2917</v>
      </c>
      <c r="O501" t="s">
        <v>2208</v>
      </c>
      <c r="P501" t="s">
        <v>2208</v>
      </c>
      <c r="Q501" t="s">
        <v>2208</v>
      </c>
      <c r="R501" t="s">
        <v>2208</v>
      </c>
    </row>
    <row r="502" spans="1:18">
      <c r="A502" t="s">
        <v>2237</v>
      </c>
      <c r="B502" t="s">
        <v>7740</v>
      </c>
      <c r="C502">
        <v>45719</v>
      </c>
      <c r="D502" t="s">
        <v>7263</v>
      </c>
      <c r="E502" t="s">
        <v>2925</v>
      </c>
      <c r="F502">
        <v>45716</v>
      </c>
      <c r="G502" t="s">
        <v>2208</v>
      </c>
      <c r="H502" t="s">
        <v>7834</v>
      </c>
      <c r="I502" t="s">
        <v>9244</v>
      </c>
      <c r="J502">
        <v>3</v>
      </c>
      <c r="K502">
        <v>313.83</v>
      </c>
      <c r="L502" t="s">
        <v>2917</v>
      </c>
      <c r="M502">
        <v>313.83</v>
      </c>
      <c r="N502" t="s">
        <v>2917</v>
      </c>
      <c r="O502" t="s">
        <v>2208</v>
      </c>
      <c r="P502" t="s">
        <v>2208</v>
      </c>
      <c r="Q502" t="s">
        <v>2208</v>
      </c>
      <c r="R502" t="s">
        <v>2208</v>
      </c>
    </row>
    <row r="503" spans="1:18">
      <c r="A503" t="s">
        <v>2237</v>
      </c>
      <c r="B503" t="s">
        <v>7740</v>
      </c>
      <c r="C503">
        <v>45719</v>
      </c>
      <c r="D503" t="s">
        <v>7263</v>
      </c>
      <c r="E503" t="s">
        <v>2925</v>
      </c>
      <c r="F503">
        <v>45716</v>
      </c>
      <c r="G503" t="s">
        <v>2208</v>
      </c>
      <c r="H503" t="s">
        <v>7834</v>
      </c>
      <c r="I503" t="s">
        <v>9245</v>
      </c>
      <c r="J503">
        <v>3</v>
      </c>
      <c r="K503">
        <v>313.83</v>
      </c>
      <c r="L503" t="s">
        <v>2917</v>
      </c>
      <c r="M503">
        <v>313.83</v>
      </c>
      <c r="N503" t="s">
        <v>2917</v>
      </c>
      <c r="O503" t="s">
        <v>2208</v>
      </c>
      <c r="P503" t="s">
        <v>2208</v>
      </c>
      <c r="Q503" t="s">
        <v>2208</v>
      </c>
      <c r="R503" t="s">
        <v>2208</v>
      </c>
    </row>
    <row r="504" spans="1:18">
      <c r="A504" t="s">
        <v>2237</v>
      </c>
      <c r="B504" t="s">
        <v>7740</v>
      </c>
      <c r="C504">
        <v>45719</v>
      </c>
      <c r="D504" t="s">
        <v>7263</v>
      </c>
      <c r="E504" t="s">
        <v>2925</v>
      </c>
      <c r="F504">
        <v>45716</v>
      </c>
      <c r="G504" t="s">
        <v>2208</v>
      </c>
      <c r="H504" t="s">
        <v>7834</v>
      </c>
      <c r="I504" t="s">
        <v>9246</v>
      </c>
      <c r="J504">
        <v>3</v>
      </c>
      <c r="K504">
        <v>313.83</v>
      </c>
      <c r="L504" t="s">
        <v>2917</v>
      </c>
      <c r="M504">
        <v>313.83</v>
      </c>
      <c r="N504" t="s">
        <v>2917</v>
      </c>
      <c r="O504" t="s">
        <v>2208</v>
      </c>
      <c r="P504" t="s">
        <v>2208</v>
      </c>
      <c r="Q504" t="s">
        <v>2208</v>
      </c>
      <c r="R504" t="s">
        <v>2208</v>
      </c>
    </row>
    <row r="505" spans="1:18">
      <c r="A505" t="s">
        <v>2237</v>
      </c>
      <c r="B505" t="s">
        <v>7740</v>
      </c>
      <c r="C505">
        <v>45719</v>
      </c>
      <c r="D505" t="s">
        <v>7263</v>
      </c>
      <c r="E505" t="s">
        <v>2925</v>
      </c>
      <c r="F505">
        <v>45716</v>
      </c>
      <c r="G505" t="s">
        <v>2208</v>
      </c>
      <c r="H505" t="s">
        <v>7834</v>
      </c>
      <c r="I505" t="s">
        <v>9247</v>
      </c>
      <c r="J505">
        <v>3</v>
      </c>
      <c r="K505">
        <v>313.83</v>
      </c>
      <c r="L505" t="s">
        <v>2917</v>
      </c>
      <c r="M505">
        <v>313.83</v>
      </c>
      <c r="N505" t="s">
        <v>2917</v>
      </c>
      <c r="O505" t="s">
        <v>2208</v>
      </c>
      <c r="P505" t="s">
        <v>2208</v>
      </c>
      <c r="Q505" t="s">
        <v>2208</v>
      </c>
      <c r="R505" t="s">
        <v>2208</v>
      </c>
    </row>
    <row r="506" spans="1:18">
      <c r="A506" t="s">
        <v>2237</v>
      </c>
      <c r="B506" t="s">
        <v>7740</v>
      </c>
      <c r="C506">
        <v>45719</v>
      </c>
      <c r="D506" t="s">
        <v>7263</v>
      </c>
      <c r="E506" t="s">
        <v>2925</v>
      </c>
      <c r="F506">
        <v>45716</v>
      </c>
      <c r="G506" t="s">
        <v>2208</v>
      </c>
      <c r="H506" t="s">
        <v>7834</v>
      </c>
      <c r="I506" t="s">
        <v>9248</v>
      </c>
      <c r="J506">
        <v>3</v>
      </c>
      <c r="K506">
        <v>313.83</v>
      </c>
      <c r="L506" t="s">
        <v>2917</v>
      </c>
      <c r="M506">
        <v>313.83</v>
      </c>
      <c r="N506" t="s">
        <v>2917</v>
      </c>
      <c r="O506" t="s">
        <v>2208</v>
      </c>
      <c r="P506" t="s">
        <v>2208</v>
      </c>
      <c r="Q506" t="s">
        <v>2208</v>
      </c>
      <c r="R506" t="s">
        <v>2208</v>
      </c>
    </row>
    <row r="507" spans="1:18">
      <c r="A507" t="s">
        <v>2237</v>
      </c>
      <c r="B507" t="s">
        <v>7740</v>
      </c>
      <c r="C507">
        <v>45719</v>
      </c>
      <c r="D507" t="s">
        <v>7263</v>
      </c>
      <c r="E507" t="s">
        <v>2925</v>
      </c>
      <c r="F507">
        <v>45716</v>
      </c>
      <c r="G507" t="s">
        <v>2208</v>
      </c>
      <c r="H507" t="s">
        <v>7834</v>
      </c>
      <c r="I507" t="s">
        <v>9249</v>
      </c>
      <c r="J507">
        <v>3</v>
      </c>
      <c r="K507">
        <v>313.83</v>
      </c>
      <c r="L507" t="s">
        <v>2917</v>
      </c>
      <c r="M507">
        <v>313.83</v>
      </c>
      <c r="N507" t="s">
        <v>2917</v>
      </c>
      <c r="O507" t="s">
        <v>2208</v>
      </c>
      <c r="P507" t="s">
        <v>2208</v>
      </c>
      <c r="Q507" t="s">
        <v>2208</v>
      </c>
      <c r="R507" t="s">
        <v>2208</v>
      </c>
    </row>
    <row r="508" spans="1:18">
      <c r="A508" t="s">
        <v>2237</v>
      </c>
      <c r="B508" t="s">
        <v>7740</v>
      </c>
      <c r="C508">
        <v>45719</v>
      </c>
      <c r="D508" t="s">
        <v>7263</v>
      </c>
      <c r="E508" t="s">
        <v>2925</v>
      </c>
      <c r="F508">
        <v>45716</v>
      </c>
      <c r="G508" t="s">
        <v>2208</v>
      </c>
      <c r="H508" t="s">
        <v>7834</v>
      </c>
      <c r="I508" t="s">
        <v>9250</v>
      </c>
      <c r="J508">
        <v>1</v>
      </c>
      <c r="K508">
        <v>104.61</v>
      </c>
      <c r="L508" t="s">
        <v>2917</v>
      </c>
      <c r="M508">
        <v>104.61</v>
      </c>
      <c r="N508" t="s">
        <v>2917</v>
      </c>
      <c r="O508" t="s">
        <v>2208</v>
      </c>
      <c r="P508" t="s">
        <v>2208</v>
      </c>
      <c r="Q508" t="s">
        <v>2208</v>
      </c>
      <c r="R508" t="s">
        <v>2208</v>
      </c>
    </row>
    <row r="509" spans="1:18">
      <c r="A509" t="s">
        <v>2237</v>
      </c>
      <c r="B509" t="s">
        <v>7740</v>
      </c>
      <c r="C509">
        <v>45719</v>
      </c>
      <c r="D509" t="s">
        <v>7263</v>
      </c>
      <c r="E509" t="s">
        <v>2925</v>
      </c>
      <c r="F509">
        <v>45716</v>
      </c>
      <c r="G509" t="s">
        <v>2208</v>
      </c>
      <c r="H509" t="s">
        <v>7834</v>
      </c>
      <c r="I509" t="s">
        <v>9251</v>
      </c>
      <c r="J509">
        <v>1</v>
      </c>
      <c r="K509">
        <v>104.61</v>
      </c>
      <c r="L509" t="s">
        <v>2917</v>
      </c>
      <c r="M509">
        <v>104.61</v>
      </c>
      <c r="N509" t="s">
        <v>2917</v>
      </c>
      <c r="O509" t="s">
        <v>2208</v>
      </c>
      <c r="P509" t="s">
        <v>2208</v>
      </c>
      <c r="Q509" t="s">
        <v>2208</v>
      </c>
      <c r="R509" t="s">
        <v>2208</v>
      </c>
    </row>
    <row r="510" spans="1:18">
      <c r="A510" t="s">
        <v>2237</v>
      </c>
      <c r="B510" t="s">
        <v>7740</v>
      </c>
      <c r="C510">
        <v>45719</v>
      </c>
      <c r="D510" t="s">
        <v>7263</v>
      </c>
      <c r="E510" t="s">
        <v>2925</v>
      </c>
      <c r="F510">
        <v>45716</v>
      </c>
      <c r="G510" t="s">
        <v>2208</v>
      </c>
      <c r="H510" t="s">
        <v>7834</v>
      </c>
      <c r="I510" t="s">
        <v>9252</v>
      </c>
      <c r="J510">
        <v>2</v>
      </c>
      <c r="K510">
        <v>209.22</v>
      </c>
      <c r="L510" t="s">
        <v>2917</v>
      </c>
      <c r="M510">
        <v>209.22</v>
      </c>
      <c r="N510" t="s">
        <v>2917</v>
      </c>
      <c r="O510" t="s">
        <v>2208</v>
      </c>
      <c r="P510" t="s">
        <v>2208</v>
      </c>
      <c r="Q510" t="s">
        <v>2208</v>
      </c>
      <c r="R510" t="s">
        <v>2208</v>
      </c>
    </row>
    <row r="511" spans="1:18">
      <c r="A511" t="s">
        <v>2237</v>
      </c>
      <c r="B511" t="s">
        <v>7740</v>
      </c>
      <c r="C511">
        <v>45719</v>
      </c>
      <c r="D511" t="s">
        <v>7263</v>
      </c>
      <c r="E511" t="s">
        <v>2925</v>
      </c>
      <c r="F511">
        <v>45716</v>
      </c>
      <c r="G511" t="s">
        <v>2208</v>
      </c>
      <c r="H511" t="s">
        <v>7834</v>
      </c>
      <c r="I511" t="s">
        <v>9253</v>
      </c>
      <c r="J511">
        <v>2</v>
      </c>
      <c r="K511">
        <v>209.22</v>
      </c>
      <c r="L511" t="s">
        <v>2917</v>
      </c>
      <c r="M511">
        <v>209.22</v>
      </c>
      <c r="N511" t="s">
        <v>2917</v>
      </c>
      <c r="O511" t="s">
        <v>2208</v>
      </c>
      <c r="P511" t="s">
        <v>2208</v>
      </c>
      <c r="Q511" t="s">
        <v>2208</v>
      </c>
      <c r="R511" t="s">
        <v>2208</v>
      </c>
    </row>
    <row r="512" spans="1:18">
      <c r="A512" t="s">
        <v>2237</v>
      </c>
      <c r="B512" t="s">
        <v>7740</v>
      </c>
      <c r="C512">
        <v>45719</v>
      </c>
      <c r="D512" t="s">
        <v>7263</v>
      </c>
      <c r="E512" t="s">
        <v>2925</v>
      </c>
      <c r="F512">
        <v>45716</v>
      </c>
      <c r="G512" t="s">
        <v>2208</v>
      </c>
      <c r="H512" t="s">
        <v>7834</v>
      </c>
      <c r="I512" t="s">
        <v>9254</v>
      </c>
      <c r="J512">
        <v>2</v>
      </c>
      <c r="K512">
        <v>209.22</v>
      </c>
      <c r="L512" t="s">
        <v>2917</v>
      </c>
      <c r="M512">
        <v>209.22</v>
      </c>
      <c r="N512" t="s">
        <v>2917</v>
      </c>
      <c r="O512" t="s">
        <v>2208</v>
      </c>
      <c r="P512" t="s">
        <v>2208</v>
      </c>
      <c r="Q512" t="s">
        <v>2208</v>
      </c>
      <c r="R512" t="s">
        <v>2208</v>
      </c>
    </row>
    <row r="513" spans="1:18">
      <c r="A513" t="s">
        <v>2237</v>
      </c>
      <c r="B513" t="s">
        <v>7740</v>
      </c>
      <c r="C513">
        <v>45719</v>
      </c>
      <c r="D513" t="s">
        <v>7263</v>
      </c>
      <c r="E513" t="s">
        <v>2925</v>
      </c>
      <c r="F513">
        <v>45716</v>
      </c>
      <c r="G513" t="s">
        <v>2208</v>
      </c>
      <c r="H513" t="s">
        <v>7834</v>
      </c>
      <c r="I513" t="s">
        <v>9255</v>
      </c>
      <c r="J513">
        <v>3</v>
      </c>
      <c r="K513">
        <v>313.83</v>
      </c>
      <c r="L513" t="s">
        <v>2917</v>
      </c>
      <c r="M513">
        <v>313.83</v>
      </c>
      <c r="N513" t="s">
        <v>2917</v>
      </c>
      <c r="O513" t="s">
        <v>2208</v>
      </c>
      <c r="P513" t="s">
        <v>2208</v>
      </c>
      <c r="Q513" t="s">
        <v>2208</v>
      </c>
      <c r="R513" t="s">
        <v>2208</v>
      </c>
    </row>
    <row r="514" spans="1:18">
      <c r="A514" t="s">
        <v>2237</v>
      </c>
      <c r="B514" t="s">
        <v>7740</v>
      </c>
      <c r="C514">
        <v>45719</v>
      </c>
      <c r="D514" t="s">
        <v>7263</v>
      </c>
      <c r="E514" t="s">
        <v>2925</v>
      </c>
      <c r="F514">
        <v>45716</v>
      </c>
      <c r="G514" t="s">
        <v>2208</v>
      </c>
      <c r="H514" t="s">
        <v>7834</v>
      </c>
      <c r="I514" t="s">
        <v>9256</v>
      </c>
      <c r="J514">
        <v>1</v>
      </c>
      <c r="K514">
        <v>104.61</v>
      </c>
      <c r="L514" t="s">
        <v>2917</v>
      </c>
      <c r="M514">
        <v>104.61</v>
      </c>
      <c r="N514" t="s">
        <v>2917</v>
      </c>
      <c r="O514" t="s">
        <v>2208</v>
      </c>
      <c r="P514" t="s">
        <v>2208</v>
      </c>
      <c r="Q514" t="s">
        <v>2208</v>
      </c>
      <c r="R514" t="s">
        <v>2208</v>
      </c>
    </row>
    <row r="515" spans="1:18">
      <c r="A515" t="s">
        <v>2237</v>
      </c>
      <c r="B515" t="s">
        <v>7740</v>
      </c>
      <c r="C515">
        <v>45719</v>
      </c>
      <c r="D515" t="s">
        <v>7263</v>
      </c>
      <c r="E515" t="s">
        <v>2925</v>
      </c>
      <c r="F515">
        <v>45716</v>
      </c>
      <c r="G515" t="s">
        <v>2208</v>
      </c>
      <c r="H515" t="s">
        <v>7834</v>
      </c>
      <c r="I515" t="s">
        <v>9257</v>
      </c>
      <c r="J515">
        <v>2</v>
      </c>
      <c r="K515">
        <v>209.22</v>
      </c>
      <c r="L515" t="s">
        <v>2917</v>
      </c>
      <c r="M515">
        <v>209.22</v>
      </c>
      <c r="N515" t="s">
        <v>2917</v>
      </c>
      <c r="O515" t="s">
        <v>2208</v>
      </c>
      <c r="P515" t="s">
        <v>2208</v>
      </c>
      <c r="Q515" t="s">
        <v>2208</v>
      </c>
      <c r="R515" t="s">
        <v>2208</v>
      </c>
    </row>
    <row r="516" spans="1:18">
      <c r="A516" t="s">
        <v>2237</v>
      </c>
      <c r="B516" t="s">
        <v>7740</v>
      </c>
      <c r="C516">
        <v>45719</v>
      </c>
      <c r="D516" t="s">
        <v>7263</v>
      </c>
      <c r="E516" t="s">
        <v>2925</v>
      </c>
      <c r="F516">
        <v>45716</v>
      </c>
      <c r="G516" t="s">
        <v>2208</v>
      </c>
      <c r="H516" t="s">
        <v>7834</v>
      </c>
      <c r="I516" t="s">
        <v>9258</v>
      </c>
      <c r="J516">
        <v>2</v>
      </c>
      <c r="K516">
        <v>209.22</v>
      </c>
      <c r="L516" t="s">
        <v>2917</v>
      </c>
      <c r="M516">
        <v>209.22</v>
      </c>
      <c r="N516" t="s">
        <v>2917</v>
      </c>
      <c r="O516" t="s">
        <v>2208</v>
      </c>
      <c r="P516" t="s">
        <v>2208</v>
      </c>
      <c r="Q516" t="s">
        <v>2208</v>
      </c>
      <c r="R516" t="s">
        <v>2208</v>
      </c>
    </row>
    <row r="517" spans="1:18">
      <c r="A517" t="s">
        <v>2237</v>
      </c>
      <c r="B517" t="s">
        <v>7740</v>
      </c>
      <c r="C517">
        <v>45719</v>
      </c>
      <c r="D517" t="s">
        <v>7263</v>
      </c>
      <c r="E517" t="s">
        <v>2925</v>
      </c>
      <c r="F517">
        <v>45716</v>
      </c>
      <c r="G517" t="s">
        <v>2208</v>
      </c>
      <c r="H517" t="s">
        <v>7834</v>
      </c>
      <c r="I517" t="s">
        <v>9259</v>
      </c>
      <c r="J517">
        <v>1</v>
      </c>
      <c r="K517">
        <v>104.61</v>
      </c>
      <c r="L517" t="s">
        <v>2917</v>
      </c>
      <c r="M517">
        <v>104.61</v>
      </c>
      <c r="N517" t="s">
        <v>2917</v>
      </c>
      <c r="O517" t="s">
        <v>2208</v>
      </c>
      <c r="P517" t="s">
        <v>2208</v>
      </c>
      <c r="Q517" t="s">
        <v>2208</v>
      </c>
      <c r="R517" t="s">
        <v>2208</v>
      </c>
    </row>
    <row r="518" spans="1:18">
      <c r="A518" t="s">
        <v>2237</v>
      </c>
      <c r="B518" t="s">
        <v>7740</v>
      </c>
      <c r="C518">
        <v>45719</v>
      </c>
      <c r="D518" t="s">
        <v>7263</v>
      </c>
      <c r="E518" t="s">
        <v>2925</v>
      </c>
      <c r="F518">
        <v>45716</v>
      </c>
      <c r="G518" t="s">
        <v>2208</v>
      </c>
      <c r="H518" t="s">
        <v>7834</v>
      </c>
      <c r="I518" t="s">
        <v>9260</v>
      </c>
      <c r="J518">
        <v>2</v>
      </c>
      <c r="K518">
        <v>209.22</v>
      </c>
      <c r="L518" t="s">
        <v>2917</v>
      </c>
      <c r="M518">
        <v>209.22</v>
      </c>
      <c r="N518" t="s">
        <v>2917</v>
      </c>
      <c r="O518" t="s">
        <v>2208</v>
      </c>
      <c r="P518" t="s">
        <v>2208</v>
      </c>
      <c r="Q518" t="s">
        <v>2208</v>
      </c>
      <c r="R518" t="s">
        <v>2208</v>
      </c>
    </row>
    <row r="519" spans="1:18">
      <c r="A519" t="s">
        <v>2237</v>
      </c>
      <c r="B519" t="s">
        <v>7740</v>
      </c>
      <c r="C519">
        <v>45719</v>
      </c>
      <c r="D519" t="s">
        <v>7263</v>
      </c>
      <c r="E519" t="s">
        <v>2925</v>
      </c>
      <c r="F519">
        <v>45716</v>
      </c>
      <c r="G519" t="s">
        <v>2208</v>
      </c>
      <c r="H519" t="s">
        <v>7834</v>
      </c>
      <c r="I519" t="s">
        <v>9261</v>
      </c>
      <c r="J519">
        <v>2</v>
      </c>
      <c r="K519">
        <v>209.22</v>
      </c>
      <c r="L519" t="s">
        <v>2917</v>
      </c>
      <c r="M519">
        <v>209.22</v>
      </c>
      <c r="N519" t="s">
        <v>2917</v>
      </c>
      <c r="O519" t="s">
        <v>2208</v>
      </c>
      <c r="P519" t="s">
        <v>2208</v>
      </c>
      <c r="Q519" t="s">
        <v>2208</v>
      </c>
      <c r="R519" t="s">
        <v>2208</v>
      </c>
    </row>
    <row r="520" spans="1:18">
      <c r="A520" t="s">
        <v>2237</v>
      </c>
      <c r="B520" t="s">
        <v>7740</v>
      </c>
      <c r="C520">
        <v>45719</v>
      </c>
      <c r="D520" t="s">
        <v>7263</v>
      </c>
      <c r="E520" t="s">
        <v>2925</v>
      </c>
      <c r="F520">
        <v>45716</v>
      </c>
      <c r="G520" t="s">
        <v>2208</v>
      </c>
      <c r="H520" t="s">
        <v>7834</v>
      </c>
      <c r="I520" t="s">
        <v>9262</v>
      </c>
      <c r="J520">
        <v>1</v>
      </c>
      <c r="K520">
        <v>104.61</v>
      </c>
      <c r="L520" t="s">
        <v>2917</v>
      </c>
      <c r="M520">
        <v>104.61</v>
      </c>
      <c r="N520" t="s">
        <v>2917</v>
      </c>
      <c r="O520" t="s">
        <v>2208</v>
      </c>
      <c r="P520" t="s">
        <v>2208</v>
      </c>
      <c r="Q520" t="s">
        <v>2208</v>
      </c>
      <c r="R520" t="s">
        <v>2208</v>
      </c>
    </row>
    <row r="521" spans="1:18">
      <c r="A521" t="s">
        <v>2237</v>
      </c>
      <c r="B521" t="s">
        <v>7740</v>
      </c>
      <c r="C521">
        <v>45719</v>
      </c>
      <c r="D521" t="s">
        <v>7263</v>
      </c>
      <c r="E521" t="s">
        <v>2925</v>
      </c>
      <c r="F521">
        <v>45716</v>
      </c>
      <c r="G521" t="s">
        <v>2208</v>
      </c>
      <c r="H521" t="s">
        <v>7834</v>
      </c>
      <c r="I521" t="s">
        <v>9263</v>
      </c>
      <c r="J521">
        <v>1</v>
      </c>
      <c r="K521">
        <v>104.61</v>
      </c>
      <c r="L521" t="s">
        <v>2917</v>
      </c>
      <c r="M521">
        <v>104.61</v>
      </c>
      <c r="N521" t="s">
        <v>2917</v>
      </c>
      <c r="O521" t="s">
        <v>2208</v>
      </c>
      <c r="P521" t="s">
        <v>2208</v>
      </c>
      <c r="Q521" t="s">
        <v>2208</v>
      </c>
      <c r="R521" t="s">
        <v>2208</v>
      </c>
    </row>
    <row r="522" spans="1:18">
      <c r="A522" t="s">
        <v>2237</v>
      </c>
      <c r="B522" t="s">
        <v>7740</v>
      </c>
      <c r="C522">
        <v>45719</v>
      </c>
      <c r="D522" t="s">
        <v>7263</v>
      </c>
      <c r="E522" t="s">
        <v>2925</v>
      </c>
      <c r="F522">
        <v>45716</v>
      </c>
      <c r="G522" t="s">
        <v>2208</v>
      </c>
      <c r="H522" t="s">
        <v>7834</v>
      </c>
      <c r="I522" t="s">
        <v>9264</v>
      </c>
      <c r="J522">
        <v>1</v>
      </c>
      <c r="K522">
        <v>104.61</v>
      </c>
      <c r="L522" t="s">
        <v>2917</v>
      </c>
      <c r="M522">
        <v>104.61</v>
      </c>
      <c r="N522" t="s">
        <v>2917</v>
      </c>
      <c r="O522" t="s">
        <v>2208</v>
      </c>
      <c r="P522" t="s">
        <v>2208</v>
      </c>
      <c r="Q522" t="s">
        <v>2208</v>
      </c>
      <c r="R522" t="s">
        <v>2208</v>
      </c>
    </row>
    <row r="523" spans="1:18">
      <c r="A523" t="s">
        <v>2237</v>
      </c>
      <c r="B523" t="s">
        <v>7740</v>
      </c>
      <c r="C523">
        <v>45719</v>
      </c>
      <c r="D523" t="s">
        <v>7263</v>
      </c>
      <c r="E523" t="s">
        <v>2925</v>
      </c>
      <c r="F523">
        <v>45716</v>
      </c>
      <c r="G523" t="s">
        <v>2208</v>
      </c>
      <c r="H523" t="s">
        <v>7834</v>
      </c>
      <c r="I523" t="s">
        <v>9265</v>
      </c>
      <c r="J523">
        <v>0.8</v>
      </c>
      <c r="K523">
        <v>83.69</v>
      </c>
      <c r="L523" t="s">
        <v>2917</v>
      </c>
      <c r="M523">
        <v>83.69</v>
      </c>
      <c r="N523" t="s">
        <v>2917</v>
      </c>
      <c r="O523" t="s">
        <v>2208</v>
      </c>
      <c r="P523" t="s">
        <v>2208</v>
      </c>
      <c r="Q523" t="s">
        <v>2208</v>
      </c>
      <c r="R523" t="s">
        <v>2208</v>
      </c>
    </row>
    <row r="524" spans="1:18">
      <c r="A524" t="s">
        <v>2237</v>
      </c>
      <c r="B524" t="s">
        <v>7740</v>
      </c>
      <c r="C524">
        <v>45719</v>
      </c>
      <c r="D524" t="s">
        <v>7263</v>
      </c>
      <c r="E524" t="s">
        <v>2925</v>
      </c>
      <c r="F524">
        <v>45716</v>
      </c>
      <c r="G524" t="s">
        <v>2208</v>
      </c>
      <c r="H524" t="s">
        <v>7834</v>
      </c>
      <c r="I524" t="s">
        <v>9266</v>
      </c>
      <c r="J524">
        <v>4</v>
      </c>
      <c r="K524">
        <v>418.44</v>
      </c>
      <c r="L524" t="s">
        <v>2917</v>
      </c>
      <c r="M524">
        <v>418.44</v>
      </c>
      <c r="N524" t="s">
        <v>2917</v>
      </c>
      <c r="O524" t="s">
        <v>2208</v>
      </c>
      <c r="P524" t="s">
        <v>2208</v>
      </c>
      <c r="Q524" t="s">
        <v>2208</v>
      </c>
      <c r="R524" t="s">
        <v>2208</v>
      </c>
    </row>
    <row r="525" spans="1:18">
      <c r="A525" t="s">
        <v>2237</v>
      </c>
      <c r="B525" t="s">
        <v>7740</v>
      </c>
      <c r="C525">
        <v>45719</v>
      </c>
      <c r="D525" t="s">
        <v>7263</v>
      </c>
      <c r="E525" t="s">
        <v>2925</v>
      </c>
      <c r="F525">
        <v>45716</v>
      </c>
      <c r="G525" t="s">
        <v>2208</v>
      </c>
      <c r="H525" t="s">
        <v>7834</v>
      </c>
      <c r="I525" t="s">
        <v>9267</v>
      </c>
      <c r="J525">
        <v>1</v>
      </c>
      <c r="K525">
        <v>104.61</v>
      </c>
      <c r="L525" t="s">
        <v>2917</v>
      </c>
      <c r="M525">
        <v>104.61</v>
      </c>
      <c r="N525" t="s">
        <v>2917</v>
      </c>
      <c r="O525" t="s">
        <v>2208</v>
      </c>
      <c r="P525" t="s">
        <v>2208</v>
      </c>
      <c r="Q525" t="s">
        <v>2208</v>
      </c>
      <c r="R525" t="s">
        <v>2208</v>
      </c>
    </row>
    <row r="526" spans="1:18">
      <c r="A526" t="s">
        <v>2237</v>
      </c>
      <c r="B526" t="s">
        <v>7740</v>
      </c>
      <c r="C526">
        <v>45719</v>
      </c>
      <c r="D526" t="s">
        <v>7263</v>
      </c>
      <c r="E526" t="s">
        <v>2925</v>
      </c>
      <c r="F526">
        <v>45716</v>
      </c>
      <c r="G526" t="s">
        <v>2208</v>
      </c>
      <c r="H526" t="s">
        <v>7834</v>
      </c>
      <c r="I526" t="s">
        <v>9268</v>
      </c>
      <c r="J526">
        <v>1</v>
      </c>
      <c r="K526">
        <v>104.61</v>
      </c>
      <c r="L526" t="s">
        <v>2917</v>
      </c>
      <c r="M526">
        <v>104.61</v>
      </c>
      <c r="N526" t="s">
        <v>2917</v>
      </c>
      <c r="O526" t="s">
        <v>2208</v>
      </c>
      <c r="P526" t="s">
        <v>2208</v>
      </c>
      <c r="Q526" t="s">
        <v>2208</v>
      </c>
      <c r="R526" t="s">
        <v>2208</v>
      </c>
    </row>
    <row r="527" spans="1:18">
      <c r="A527" t="s">
        <v>2237</v>
      </c>
      <c r="B527" t="s">
        <v>7740</v>
      </c>
      <c r="C527">
        <v>45719</v>
      </c>
      <c r="D527" t="s">
        <v>7263</v>
      </c>
      <c r="E527" t="s">
        <v>2925</v>
      </c>
      <c r="F527">
        <v>45716</v>
      </c>
      <c r="G527" t="s">
        <v>2208</v>
      </c>
      <c r="H527" t="s">
        <v>7834</v>
      </c>
      <c r="I527" t="s">
        <v>9269</v>
      </c>
      <c r="J527">
        <v>1</v>
      </c>
      <c r="K527">
        <v>104.61</v>
      </c>
      <c r="L527" t="s">
        <v>2917</v>
      </c>
      <c r="M527">
        <v>104.61</v>
      </c>
      <c r="N527" t="s">
        <v>2917</v>
      </c>
      <c r="O527" t="s">
        <v>2208</v>
      </c>
      <c r="P527" t="s">
        <v>2208</v>
      </c>
      <c r="Q527" t="s">
        <v>2208</v>
      </c>
      <c r="R527" t="s">
        <v>2208</v>
      </c>
    </row>
    <row r="528" spans="1:18">
      <c r="A528" t="s">
        <v>2237</v>
      </c>
      <c r="B528" t="s">
        <v>7740</v>
      </c>
      <c r="C528">
        <v>45719</v>
      </c>
      <c r="D528" t="s">
        <v>7263</v>
      </c>
      <c r="E528" t="s">
        <v>2925</v>
      </c>
      <c r="F528">
        <v>45716</v>
      </c>
      <c r="G528" t="s">
        <v>2208</v>
      </c>
      <c r="H528" t="s">
        <v>7834</v>
      </c>
      <c r="I528" t="s">
        <v>9270</v>
      </c>
      <c r="J528">
        <v>1</v>
      </c>
      <c r="K528">
        <v>104.61</v>
      </c>
      <c r="L528" t="s">
        <v>2917</v>
      </c>
      <c r="M528">
        <v>104.61</v>
      </c>
      <c r="N528" t="s">
        <v>2917</v>
      </c>
      <c r="O528" t="s">
        <v>2208</v>
      </c>
      <c r="P528" t="s">
        <v>2208</v>
      </c>
      <c r="Q528" t="s">
        <v>2208</v>
      </c>
      <c r="R528" t="s">
        <v>2208</v>
      </c>
    </row>
    <row r="529" spans="1:18">
      <c r="A529" t="s">
        <v>2237</v>
      </c>
      <c r="B529" t="s">
        <v>7740</v>
      </c>
      <c r="C529">
        <v>45719</v>
      </c>
      <c r="D529" t="s">
        <v>7263</v>
      </c>
      <c r="E529" t="s">
        <v>2925</v>
      </c>
      <c r="F529">
        <v>45716</v>
      </c>
      <c r="G529" t="s">
        <v>2208</v>
      </c>
      <c r="H529" t="s">
        <v>7834</v>
      </c>
      <c r="I529" t="s">
        <v>9271</v>
      </c>
      <c r="J529">
        <v>1</v>
      </c>
      <c r="K529">
        <v>104.61</v>
      </c>
      <c r="L529" t="s">
        <v>2917</v>
      </c>
      <c r="M529">
        <v>104.61</v>
      </c>
      <c r="N529" t="s">
        <v>2917</v>
      </c>
      <c r="O529" t="s">
        <v>2208</v>
      </c>
      <c r="P529" t="s">
        <v>2208</v>
      </c>
      <c r="Q529" t="s">
        <v>2208</v>
      </c>
      <c r="R529" t="s">
        <v>2208</v>
      </c>
    </row>
    <row r="530" spans="1:18">
      <c r="A530" t="s">
        <v>2237</v>
      </c>
      <c r="B530" t="s">
        <v>7740</v>
      </c>
      <c r="C530">
        <v>45719</v>
      </c>
      <c r="D530" t="s">
        <v>7263</v>
      </c>
      <c r="E530" t="s">
        <v>2925</v>
      </c>
      <c r="F530">
        <v>45716</v>
      </c>
      <c r="G530" t="s">
        <v>2208</v>
      </c>
      <c r="H530" t="s">
        <v>7834</v>
      </c>
      <c r="I530" t="s">
        <v>9272</v>
      </c>
      <c r="J530">
        <v>1</v>
      </c>
      <c r="K530">
        <v>104.61</v>
      </c>
      <c r="L530" t="s">
        <v>2917</v>
      </c>
      <c r="M530">
        <v>104.61</v>
      </c>
      <c r="N530" t="s">
        <v>2917</v>
      </c>
      <c r="O530" t="s">
        <v>2208</v>
      </c>
      <c r="P530" t="s">
        <v>2208</v>
      </c>
      <c r="Q530" t="s">
        <v>2208</v>
      </c>
      <c r="R530" t="s">
        <v>2208</v>
      </c>
    </row>
    <row r="531" spans="1:18">
      <c r="A531" t="s">
        <v>2237</v>
      </c>
      <c r="B531" t="s">
        <v>7740</v>
      </c>
      <c r="C531">
        <v>45719</v>
      </c>
      <c r="D531" t="s">
        <v>7263</v>
      </c>
      <c r="E531" t="s">
        <v>2925</v>
      </c>
      <c r="F531">
        <v>45716</v>
      </c>
      <c r="G531" t="s">
        <v>2208</v>
      </c>
      <c r="H531" t="s">
        <v>7834</v>
      </c>
      <c r="I531" t="s">
        <v>9273</v>
      </c>
      <c r="J531">
        <v>1</v>
      </c>
      <c r="K531">
        <v>104.61</v>
      </c>
      <c r="L531" t="s">
        <v>2917</v>
      </c>
      <c r="M531">
        <v>104.61</v>
      </c>
      <c r="N531" t="s">
        <v>2917</v>
      </c>
      <c r="O531" t="s">
        <v>2208</v>
      </c>
      <c r="P531" t="s">
        <v>2208</v>
      </c>
      <c r="Q531" t="s">
        <v>2208</v>
      </c>
      <c r="R531" t="s">
        <v>2208</v>
      </c>
    </row>
    <row r="532" spans="1:18">
      <c r="A532" t="s">
        <v>2237</v>
      </c>
      <c r="B532" t="s">
        <v>7740</v>
      </c>
      <c r="C532">
        <v>45719</v>
      </c>
      <c r="D532" t="s">
        <v>7263</v>
      </c>
      <c r="E532" t="s">
        <v>2925</v>
      </c>
      <c r="F532">
        <v>45716</v>
      </c>
      <c r="G532" t="s">
        <v>2208</v>
      </c>
      <c r="H532" t="s">
        <v>7834</v>
      </c>
      <c r="I532" t="s">
        <v>9274</v>
      </c>
      <c r="J532">
        <v>1</v>
      </c>
      <c r="K532">
        <v>104.61</v>
      </c>
      <c r="L532" t="s">
        <v>2917</v>
      </c>
      <c r="M532">
        <v>104.61</v>
      </c>
      <c r="N532" t="s">
        <v>2917</v>
      </c>
      <c r="O532" t="s">
        <v>2208</v>
      </c>
      <c r="P532" t="s">
        <v>2208</v>
      </c>
      <c r="Q532" t="s">
        <v>2208</v>
      </c>
      <c r="R532" t="s">
        <v>2208</v>
      </c>
    </row>
    <row r="533" spans="1:18">
      <c r="A533" t="s">
        <v>2418</v>
      </c>
      <c r="B533" t="s">
        <v>7740</v>
      </c>
      <c r="C533">
        <v>45719</v>
      </c>
      <c r="D533" t="s">
        <v>7263</v>
      </c>
      <c r="E533" t="s">
        <v>2925</v>
      </c>
      <c r="F533">
        <v>45716</v>
      </c>
      <c r="G533" t="s">
        <v>2208</v>
      </c>
      <c r="H533" t="s">
        <v>7834</v>
      </c>
      <c r="I533" t="s">
        <v>9275</v>
      </c>
      <c r="J533">
        <v>1</v>
      </c>
      <c r="K533">
        <v>104.61</v>
      </c>
      <c r="L533" t="s">
        <v>2917</v>
      </c>
      <c r="M533">
        <v>104.61</v>
      </c>
      <c r="N533" t="s">
        <v>2917</v>
      </c>
      <c r="O533" t="s">
        <v>2208</v>
      </c>
      <c r="P533" t="s">
        <v>2208</v>
      </c>
      <c r="Q533" t="s">
        <v>2208</v>
      </c>
      <c r="R533" t="s">
        <v>2208</v>
      </c>
    </row>
    <row r="534" spans="1:18">
      <c r="A534" t="s">
        <v>2418</v>
      </c>
      <c r="B534" t="s">
        <v>7740</v>
      </c>
      <c r="C534">
        <v>45719</v>
      </c>
      <c r="D534" t="s">
        <v>7263</v>
      </c>
      <c r="E534" t="s">
        <v>2925</v>
      </c>
      <c r="F534">
        <v>45716</v>
      </c>
      <c r="G534" t="s">
        <v>2208</v>
      </c>
      <c r="H534" t="s">
        <v>7834</v>
      </c>
      <c r="I534" t="s">
        <v>9276</v>
      </c>
      <c r="J534">
        <v>1</v>
      </c>
      <c r="K534">
        <v>104.61</v>
      </c>
      <c r="L534" t="s">
        <v>2917</v>
      </c>
      <c r="M534">
        <v>104.61</v>
      </c>
      <c r="N534" t="s">
        <v>2917</v>
      </c>
      <c r="O534" t="s">
        <v>2208</v>
      </c>
      <c r="P534" t="s">
        <v>2208</v>
      </c>
      <c r="Q534" t="s">
        <v>2208</v>
      </c>
      <c r="R534" t="s">
        <v>2208</v>
      </c>
    </row>
    <row r="535" spans="1:18">
      <c r="A535" t="s">
        <v>2418</v>
      </c>
      <c r="B535" t="s">
        <v>7740</v>
      </c>
      <c r="C535">
        <v>45719</v>
      </c>
      <c r="D535" t="s">
        <v>7263</v>
      </c>
      <c r="E535" t="s">
        <v>2925</v>
      </c>
      <c r="F535">
        <v>45716</v>
      </c>
      <c r="G535" t="s">
        <v>2208</v>
      </c>
      <c r="H535" t="s">
        <v>7834</v>
      </c>
      <c r="I535" t="s">
        <v>9277</v>
      </c>
      <c r="J535">
        <v>2</v>
      </c>
      <c r="K535">
        <v>209.22</v>
      </c>
      <c r="L535" t="s">
        <v>2917</v>
      </c>
      <c r="M535">
        <v>209.22</v>
      </c>
      <c r="N535" t="s">
        <v>2917</v>
      </c>
      <c r="O535" t="s">
        <v>2208</v>
      </c>
      <c r="P535" t="s">
        <v>2208</v>
      </c>
      <c r="Q535" t="s">
        <v>2208</v>
      </c>
      <c r="R535" t="s">
        <v>2208</v>
      </c>
    </row>
    <row r="536" spans="1:18">
      <c r="A536" t="s">
        <v>2418</v>
      </c>
      <c r="B536" t="s">
        <v>7740</v>
      </c>
      <c r="C536">
        <v>45719</v>
      </c>
      <c r="D536" t="s">
        <v>7263</v>
      </c>
      <c r="E536" t="s">
        <v>2925</v>
      </c>
      <c r="F536">
        <v>45716</v>
      </c>
      <c r="G536" t="s">
        <v>2208</v>
      </c>
      <c r="H536" t="s">
        <v>7834</v>
      </c>
      <c r="I536" t="s">
        <v>9278</v>
      </c>
      <c r="J536">
        <v>1</v>
      </c>
      <c r="K536">
        <v>104.61</v>
      </c>
      <c r="L536" t="s">
        <v>2917</v>
      </c>
      <c r="M536">
        <v>104.61</v>
      </c>
      <c r="N536" t="s">
        <v>2917</v>
      </c>
      <c r="O536" t="s">
        <v>2208</v>
      </c>
      <c r="P536" t="s">
        <v>2208</v>
      </c>
      <c r="Q536" t="s">
        <v>2208</v>
      </c>
      <c r="R536" t="s">
        <v>2208</v>
      </c>
    </row>
    <row r="537" spans="1:18">
      <c r="A537" t="s">
        <v>2418</v>
      </c>
      <c r="B537" t="s">
        <v>7740</v>
      </c>
      <c r="C537">
        <v>45719</v>
      </c>
      <c r="D537" t="s">
        <v>7263</v>
      </c>
      <c r="E537" t="s">
        <v>2925</v>
      </c>
      <c r="F537">
        <v>45716</v>
      </c>
      <c r="G537" t="s">
        <v>2208</v>
      </c>
      <c r="H537" t="s">
        <v>7834</v>
      </c>
      <c r="I537" t="s">
        <v>9279</v>
      </c>
      <c r="J537">
        <v>1</v>
      </c>
      <c r="K537">
        <v>104.61</v>
      </c>
      <c r="L537" t="s">
        <v>2917</v>
      </c>
      <c r="M537">
        <v>104.61</v>
      </c>
      <c r="N537" t="s">
        <v>2917</v>
      </c>
      <c r="O537" t="s">
        <v>2208</v>
      </c>
      <c r="P537" t="s">
        <v>2208</v>
      </c>
      <c r="Q537" t="s">
        <v>2208</v>
      </c>
      <c r="R537" t="s">
        <v>2208</v>
      </c>
    </row>
    <row r="538" spans="1:18">
      <c r="A538" t="s">
        <v>2418</v>
      </c>
      <c r="B538" t="s">
        <v>7740</v>
      </c>
      <c r="C538">
        <v>45719</v>
      </c>
      <c r="D538" t="s">
        <v>7263</v>
      </c>
      <c r="E538" t="s">
        <v>2925</v>
      </c>
      <c r="F538">
        <v>45716</v>
      </c>
      <c r="G538" t="s">
        <v>2208</v>
      </c>
      <c r="H538" t="s">
        <v>7834</v>
      </c>
      <c r="I538" t="s">
        <v>9280</v>
      </c>
      <c r="J538">
        <v>3</v>
      </c>
      <c r="K538">
        <v>313.83</v>
      </c>
      <c r="L538" t="s">
        <v>2917</v>
      </c>
      <c r="M538">
        <v>313.83</v>
      </c>
      <c r="N538" t="s">
        <v>2917</v>
      </c>
      <c r="O538" t="s">
        <v>2208</v>
      </c>
      <c r="P538" t="s">
        <v>2208</v>
      </c>
      <c r="Q538" t="s">
        <v>2208</v>
      </c>
      <c r="R538" t="s">
        <v>2208</v>
      </c>
    </row>
    <row r="539" spans="1:18">
      <c r="A539" t="s">
        <v>2418</v>
      </c>
      <c r="B539" t="s">
        <v>7740</v>
      </c>
      <c r="C539">
        <v>45719</v>
      </c>
      <c r="D539" t="s">
        <v>7263</v>
      </c>
      <c r="E539" t="s">
        <v>2925</v>
      </c>
      <c r="F539">
        <v>45716</v>
      </c>
      <c r="G539" t="s">
        <v>2208</v>
      </c>
      <c r="H539" t="s">
        <v>7834</v>
      </c>
      <c r="I539" t="s">
        <v>9281</v>
      </c>
      <c r="J539">
        <v>1</v>
      </c>
      <c r="K539">
        <v>104.61</v>
      </c>
      <c r="L539" t="s">
        <v>2917</v>
      </c>
      <c r="M539">
        <v>104.61</v>
      </c>
      <c r="N539" t="s">
        <v>2917</v>
      </c>
      <c r="O539" t="s">
        <v>2208</v>
      </c>
      <c r="P539" t="s">
        <v>2208</v>
      </c>
      <c r="Q539" t="s">
        <v>2208</v>
      </c>
      <c r="R539" t="s">
        <v>2208</v>
      </c>
    </row>
    <row r="540" spans="1:18">
      <c r="A540" t="s">
        <v>2418</v>
      </c>
      <c r="B540" t="s">
        <v>7740</v>
      </c>
      <c r="C540">
        <v>45719</v>
      </c>
      <c r="D540" t="s">
        <v>7263</v>
      </c>
      <c r="E540" t="s">
        <v>2925</v>
      </c>
      <c r="F540">
        <v>45716</v>
      </c>
      <c r="G540" t="s">
        <v>2208</v>
      </c>
      <c r="H540" t="s">
        <v>7834</v>
      </c>
      <c r="I540" t="s">
        <v>9282</v>
      </c>
      <c r="J540">
        <v>1</v>
      </c>
      <c r="K540">
        <v>104.61</v>
      </c>
      <c r="L540" t="s">
        <v>2917</v>
      </c>
      <c r="M540">
        <v>104.61</v>
      </c>
      <c r="N540" t="s">
        <v>2917</v>
      </c>
      <c r="O540" t="s">
        <v>2208</v>
      </c>
      <c r="P540" t="s">
        <v>2208</v>
      </c>
      <c r="Q540" t="s">
        <v>2208</v>
      </c>
      <c r="R540" t="s">
        <v>2208</v>
      </c>
    </row>
    <row r="541" spans="1:18">
      <c r="A541" t="s">
        <v>2418</v>
      </c>
      <c r="B541" t="s">
        <v>7740</v>
      </c>
      <c r="C541">
        <v>45719</v>
      </c>
      <c r="D541" t="s">
        <v>7263</v>
      </c>
      <c r="E541" t="s">
        <v>2925</v>
      </c>
      <c r="F541">
        <v>45716</v>
      </c>
      <c r="G541" t="s">
        <v>2208</v>
      </c>
      <c r="H541" t="s">
        <v>7834</v>
      </c>
      <c r="I541" t="s">
        <v>9283</v>
      </c>
      <c r="J541">
        <v>1</v>
      </c>
      <c r="K541">
        <v>104.61</v>
      </c>
      <c r="L541" t="s">
        <v>2917</v>
      </c>
      <c r="M541">
        <v>104.61</v>
      </c>
      <c r="N541" t="s">
        <v>2917</v>
      </c>
      <c r="O541" t="s">
        <v>2208</v>
      </c>
      <c r="P541" t="s">
        <v>2208</v>
      </c>
      <c r="Q541" t="s">
        <v>2208</v>
      </c>
      <c r="R541" t="s">
        <v>2208</v>
      </c>
    </row>
    <row r="542" spans="1:18">
      <c r="A542" t="s">
        <v>2418</v>
      </c>
      <c r="B542" t="s">
        <v>7740</v>
      </c>
      <c r="C542">
        <v>45719</v>
      </c>
      <c r="D542" t="s">
        <v>7263</v>
      </c>
      <c r="E542" t="s">
        <v>2925</v>
      </c>
      <c r="F542">
        <v>45716</v>
      </c>
      <c r="G542" t="s">
        <v>2208</v>
      </c>
      <c r="H542" t="s">
        <v>7834</v>
      </c>
      <c r="I542" t="s">
        <v>9284</v>
      </c>
      <c r="J542">
        <v>1</v>
      </c>
      <c r="K542">
        <v>104.61</v>
      </c>
      <c r="L542" t="s">
        <v>2917</v>
      </c>
      <c r="M542">
        <v>104.61</v>
      </c>
      <c r="N542" t="s">
        <v>2917</v>
      </c>
      <c r="O542" t="s">
        <v>2208</v>
      </c>
      <c r="P542" t="s">
        <v>2208</v>
      </c>
      <c r="Q542" t="s">
        <v>2208</v>
      </c>
      <c r="R542" t="s">
        <v>2208</v>
      </c>
    </row>
    <row r="543" spans="1:18">
      <c r="A543" t="s">
        <v>2418</v>
      </c>
      <c r="B543" t="s">
        <v>7740</v>
      </c>
      <c r="C543">
        <v>45719</v>
      </c>
      <c r="D543" t="s">
        <v>7263</v>
      </c>
      <c r="E543" t="s">
        <v>2925</v>
      </c>
      <c r="F543">
        <v>45716</v>
      </c>
      <c r="G543" t="s">
        <v>2208</v>
      </c>
      <c r="H543" t="s">
        <v>7834</v>
      </c>
      <c r="I543" t="s">
        <v>9285</v>
      </c>
      <c r="J543">
        <v>1</v>
      </c>
      <c r="K543">
        <v>104.61</v>
      </c>
      <c r="L543" t="s">
        <v>2917</v>
      </c>
      <c r="M543">
        <v>104.61</v>
      </c>
      <c r="N543" t="s">
        <v>2917</v>
      </c>
      <c r="O543" t="s">
        <v>2208</v>
      </c>
      <c r="P543" t="s">
        <v>2208</v>
      </c>
      <c r="Q543" t="s">
        <v>2208</v>
      </c>
      <c r="R543" t="s">
        <v>2208</v>
      </c>
    </row>
    <row r="544" spans="1:18">
      <c r="A544" t="s">
        <v>2418</v>
      </c>
      <c r="B544" t="s">
        <v>7740</v>
      </c>
      <c r="C544">
        <v>45719</v>
      </c>
      <c r="D544" t="s">
        <v>7263</v>
      </c>
      <c r="E544" t="s">
        <v>2925</v>
      </c>
      <c r="F544">
        <v>45716</v>
      </c>
      <c r="G544" t="s">
        <v>2208</v>
      </c>
      <c r="H544" t="s">
        <v>7834</v>
      </c>
      <c r="I544" t="s">
        <v>9286</v>
      </c>
      <c r="J544">
        <v>1</v>
      </c>
      <c r="K544">
        <v>104.61</v>
      </c>
      <c r="L544" t="s">
        <v>2917</v>
      </c>
      <c r="M544">
        <v>104.61</v>
      </c>
      <c r="N544" t="s">
        <v>2917</v>
      </c>
      <c r="O544" t="s">
        <v>2208</v>
      </c>
      <c r="P544" t="s">
        <v>2208</v>
      </c>
      <c r="Q544" t="s">
        <v>2208</v>
      </c>
      <c r="R544" t="s">
        <v>2208</v>
      </c>
    </row>
    <row r="545" spans="1:18">
      <c r="A545" t="s">
        <v>2418</v>
      </c>
      <c r="B545" t="s">
        <v>7740</v>
      </c>
      <c r="C545">
        <v>45719</v>
      </c>
      <c r="D545" t="s">
        <v>7263</v>
      </c>
      <c r="E545" t="s">
        <v>2925</v>
      </c>
      <c r="F545">
        <v>45716</v>
      </c>
      <c r="G545" t="s">
        <v>2208</v>
      </c>
      <c r="H545" t="s">
        <v>7834</v>
      </c>
      <c r="I545" t="s">
        <v>9287</v>
      </c>
      <c r="J545">
        <v>1</v>
      </c>
      <c r="K545">
        <v>104.61</v>
      </c>
      <c r="L545" t="s">
        <v>2917</v>
      </c>
      <c r="M545">
        <v>104.61</v>
      </c>
      <c r="N545" t="s">
        <v>2917</v>
      </c>
      <c r="O545" t="s">
        <v>2208</v>
      </c>
      <c r="P545" t="s">
        <v>2208</v>
      </c>
      <c r="Q545" t="s">
        <v>2208</v>
      </c>
      <c r="R545" t="s">
        <v>2208</v>
      </c>
    </row>
    <row r="546" spans="1:18">
      <c r="A546" t="s">
        <v>2418</v>
      </c>
      <c r="B546" t="s">
        <v>7740</v>
      </c>
      <c r="C546">
        <v>45719</v>
      </c>
      <c r="D546" t="s">
        <v>7263</v>
      </c>
      <c r="E546" t="s">
        <v>2925</v>
      </c>
      <c r="F546">
        <v>45716</v>
      </c>
      <c r="G546" t="s">
        <v>2208</v>
      </c>
      <c r="H546" t="s">
        <v>7834</v>
      </c>
      <c r="I546" t="s">
        <v>9288</v>
      </c>
      <c r="J546">
        <v>1</v>
      </c>
      <c r="K546">
        <v>104.61</v>
      </c>
      <c r="L546" t="s">
        <v>2917</v>
      </c>
      <c r="M546">
        <v>104.61</v>
      </c>
      <c r="N546" t="s">
        <v>2917</v>
      </c>
      <c r="O546" t="s">
        <v>2208</v>
      </c>
      <c r="P546" t="s">
        <v>2208</v>
      </c>
      <c r="Q546" t="s">
        <v>2208</v>
      </c>
      <c r="R546" t="s">
        <v>2208</v>
      </c>
    </row>
    <row r="547" spans="1:18">
      <c r="A547" t="s">
        <v>2418</v>
      </c>
      <c r="B547" t="s">
        <v>7740</v>
      </c>
      <c r="C547">
        <v>45719</v>
      </c>
      <c r="D547" t="s">
        <v>7263</v>
      </c>
      <c r="E547" t="s">
        <v>2925</v>
      </c>
      <c r="F547">
        <v>45716</v>
      </c>
      <c r="G547" t="s">
        <v>2208</v>
      </c>
      <c r="H547" t="s">
        <v>7834</v>
      </c>
      <c r="I547" t="s">
        <v>9289</v>
      </c>
      <c r="J547">
        <v>1</v>
      </c>
      <c r="K547">
        <v>104.61</v>
      </c>
      <c r="L547" t="s">
        <v>2917</v>
      </c>
      <c r="M547">
        <v>104.61</v>
      </c>
      <c r="N547" t="s">
        <v>2917</v>
      </c>
      <c r="O547" t="s">
        <v>2208</v>
      </c>
      <c r="P547" t="s">
        <v>2208</v>
      </c>
      <c r="Q547" t="s">
        <v>2208</v>
      </c>
      <c r="R547" t="s">
        <v>2208</v>
      </c>
    </row>
    <row r="548" spans="1:18">
      <c r="A548" t="s">
        <v>2418</v>
      </c>
      <c r="B548" t="s">
        <v>7740</v>
      </c>
      <c r="C548">
        <v>45719</v>
      </c>
      <c r="D548" t="s">
        <v>7263</v>
      </c>
      <c r="E548" t="s">
        <v>2925</v>
      </c>
      <c r="F548">
        <v>45716</v>
      </c>
      <c r="G548" t="s">
        <v>2208</v>
      </c>
      <c r="H548" t="s">
        <v>7834</v>
      </c>
      <c r="I548" t="s">
        <v>9290</v>
      </c>
      <c r="J548">
        <v>1</v>
      </c>
      <c r="K548">
        <v>104.61</v>
      </c>
      <c r="L548" t="s">
        <v>2917</v>
      </c>
      <c r="M548">
        <v>104.61</v>
      </c>
      <c r="N548" t="s">
        <v>2917</v>
      </c>
      <c r="O548" t="s">
        <v>2208</v>
      </c>
      <c r="P548" t="s">
        <v>2208</v>
      </c>
      <c r="Q548" t="s">
        <v>2208</v>
      </c>
      <c r="R548" t="s">
        <v>2208</v>
      </c>
    </row>
    <row r="549" spans="1:18">
      <c r="A549" t="s">
        <v>2418</v>
      </c>
      <c r="B549" t="s">
        <v>7740</v>
      </c>
      <c r="C549">
        <v>45719</v>
      </c>
      <c r="D549" t="s">
        <v>7263</v>
      </c>
      <c r="E549" t="s">
        <v>2925</v>
      </c>
      <c r="F549">
        <v>45716</v>
      </c>
      <c r="G549" t="s">
        <v>2208</v>
      </c>
      <c r="H549" t="s">
        <v>7834</v>
      </c>
      <c r="I549" t="s">
        <v>9291</v>
      </c>
      <c r="J549">
        <v>1</v>
      </c>
      <c r="K549">
        <v>104.61</v>
      </c>
      <c r="L549" t="s">
        <v>2917</v>
      </c>
      <c r="M549">
        <v>104.61</v>
      </c>
      <c r="N549" t="s">
        <v>2917</v>
      </c>
      <c r="O549" t="s">
        <v>2208</v>
      </c>
      <c r="P549" t="s">
        <v>2208</v>
      </c>
      <c r="Q549" t="s">
        <v>2208</v>
      </c>
      <c r="R549" t="s">
        <v>2208</v>
      </c>
    </row>
    <row r="550" spans="1:18">
      <c r="A550" t="s">
        <v>2418</v>
      </c>
      <c r="B550" t="s">
        <v>7740</v>
      </c>
      <c r="C550">
        <v>45719</v>
      </c>
      <c r="D550" t="s">
        <v>7263</v>
      </c>
      <c r="E550" t="s">
        <v>2925</v>
      </c>
      <c r="F550">
        <v>45716</v>
      </c>
      <c r="G550" t="s">
        <v>2208</v>
      </c>
      <c r="H550" t="s">
        <v>7834</v>
      </c>
      <c r="I550" t="s">
        <v>9292</v>
      </c>
      <c r="J550">
        <v>1</v>
      </c>
      <c r="K550">
        <v>104.61</v>
      </c>
      <c r="L550" t="s">
        <v>2917</v>
      </c>
      <c r="M550">
        <v>104.61</v>
      </c>
      <c r="N550" t="s">
        <v>2917</v>
      </c>
      <c r="O550" t="s">
        <v>2208</v>
      </c>
      <c r="P550" t="s">
        <v>2208</v>
      </c>
      <c r="Q550" t="s">
        <v>2208</v>
      </c>
      <c r="R550" t="s">
        <v>2208</v>
      </c>
    </row>
    <row r="551" spans="1:18">
      <c r="A551" t="s">
        <v>2418</v>
      </c>
      <c r="B551" t="s">
        <v>7740</v>
      </c>
      <c r="C551">
        <v>45719</v>
      </c>
      <c r="D551" t="s">
        <v>7263</v>
      </c>
      <c r="E551" t="s">
        <v>2925</v>
      </c>
      <c r="F551">
        <v>45716</v>
      </c>
      <c r="G551" t="s">
        <v>2208</v>
      </c>
      <c r="H551" t="s">
        <v>7834</v>
      </c>
      <c r="I551" t="s">
        <v>9293</v>
      </c>
      <c r="J551">
        <v>1</v>
      </c>
      <c r="K551">
        <v>104.61</v>
      </c>
      <c r="L551" t="s">
        <v>2917</v>
      </c>
      <c r="M551">
        <v>104.61</v>
      </c>
      <c r="N551" t="s">
        <v>2917</v>
      </c>
      <c r="O551" t="s">
        <v>2208</v>
      </c>
      <c r="P551" t="s">
        <v>2208</v>
      </c>
      <c r="Q551" t="s">
        <v>2208</v>
      </c>
      <c r="R551" t="s">
        <v>2208</v>
      </c>
    </row>
    <row r="552" spans="1:18">
      <c r="A552" t="s">
        <v>2418</v>
      </c>
      <c r="B552" t="s">
        <v>7740</v>
      </c>
      <c r="C552">
        <v>45719</v>
      </c>
      <c r="D552" t="s">
        <v>7263</v>
      </c>
      <c r="E552" t="s">
        <v>2925</v>
      </c>
      <c r="F552">
        <v>45716</v>
      </c>
      <c r="G552" t="s">
        <v>2208</v>
      </c>
      <c r="H552" t="s">
        <v>7834</v>
      </c>
      <c r="I552" t="s">
        <v>9294</v>
      </c>
      <c r="J552">
        <v>1</v>
      </c>
      <c r="K552">
        <v>104.61</v>
      </c>
      <c r="L552" t="s">
        <v>2917</v>
      </c>
      <c r="M552">
        <v>104.61</v>
      </c>
      <c r="N552" t="s">
        <v>2917</v>
      </c>
      <c r="O552" t="s">
        <v>2208</v>
      </c>
      <c r="P552" t="s">
        <v>2208</v>
      </c>
      <c r="Q552" t="s">
        <v>2208</v>
      </c>
      <c r="R552" t="s">
        <v>2208</v>
      </c>
    </row>
    <row r="553" spans="1:18">
      <c r="A553" t="s">
        <v>2418</v>
      </c>
      <c r="B553" t="s">
        <v>7740</v>
      </c>
      <c r="C553">
        <v>45719</v>
      </c>
      <c r="D553" t="s">
        <v>7263</v>
      </c>
      <c r="E553" t="s">
        <v>2925</v>
      </c>
      <c r="F553">
        <v>45716</v>
      </c>
      <c r="G553" t="s">
        <v>2208</v>
      </c>
      <c r="H553" t="s">
        <v>7834</v>
      </c>
      <c r="I553" t="s">
        <v>9295</v>
      </c>
      <c r="J553">
        <v>1</v>
      </c>
      <c r="K553">
        <v>104.61</v>
      </c>
      <c r="L553" t="s">
        <v>2917</v>
      </c>
      <c r="M553">
        <v>104.61</v>
      </c>
      <c r="N553" t="s">
        <v>2917</v>
      </c>
      <c r="O553" t="s">
        <v>2208</v>
      </c>
      <c r="P553" t="s">
        <v>2208</v>
      </c>
      <c r="Q553" t="s">
        <v>2208</v>
      </c>
      <c r="R553" t="s">
        <v>2208</v>
      </c>
    </row>
    <row r="554" spans="1:18">
      <c r="A554" t="s">
        <v>2418</v>
      </c>
      <c r="B554" t="s">
        <v>7740</v>
      </c>
      <c r="C554">
        <v>45719</v>
      </c>
      <c r="D554" t="s">
        <v>7263</v>
      </c>
      <c r="E554" t="s">
        <v>2925</v>
      </c>
      <c r="F554">
        <v>45716</v>
      </c>
      <c r="G554" t="s">
        <v>2208</v>
      </c>
      <c r="H554" t="s">
        <v>7834</v>
      </c>
      <c r="I554" t="s">
        <v>9296</v>
      </c>
      <c r="J554">
        <v>1</v>
      </c>
      <c r="K554">
        <v>104.61</v>
      </c>
      <c r="L554" t="s">
        <v>2917</v>
      </c>
      <c r="M554">
        <v>104.61</v>
      </c>
      <c r="N554" t="s">
        <v>2917</v>
      </c>
      <c r="O554" t="s">
        <v>2208</v>
      </c>
      <c r="P554" t="s">
        <v>2208</v>
      </c>
      <c r="Q554" t="s">
        <v>2208</v>
      </c>
      <c r="R554" t="s">
        <v>2208</v>
      </c>
    </row>
    <row r="555" spans="1:18">
      <c r="A555" t="s">
        <v>2418</v>
      </c>
      <c r="B555" t="s">
        <v>7740</v>
      </c>
      <c r="C555">
        <v>45719</v>
      </c>
      <c r="D555" t="s">
        <v>7263</v>
      </c>
      <c r="E555" t="s">
        <v>2925</v>
      </c>
      <c r="F555">
        <v>45716</v>
      </c>
      <c r="G555" t="s">
        <v>2208</v>
      </c>
      <c r="H555" t="s">
        <v>7834</v>
      </c>
      <c r="I555" t="s">
        <v>9297</v>
      </c>
      <c r="J555">
        <v>0.5</v>
      </c>
      <c r="K555">
        <v>52.31</v>
      </c>
      <c r="L555" t="s">
        <v>2917</v>
      </c>
      <c r="M555">
        <v>52.31</v>
      </c>
      <c r="N555" t="s">
        <v>2917</v>
      </c>
      <c r="O555" t="s">
        <v>2208</v>
      </c>
      <c r="P555" t="s">
        <v>2208</v>
      </c>
      <c r="Q555" t="s">
        <v>2208</v>
      </c>
      <c r="R555" t="s">
        <v>2208</v>
      </c>
    </row>
    <row r="556" spans="1:18">
      <c r="A556" t="s">
        <v>2418</v>
      </c>
      <c r="B556" t="s">
        <v>7740</v>
      </c>
      <c r="C556">
        <v>45719</v>
      </c>
      <c r="D556" t="s">
        <v>7263</v>
      </c>
      <c r="E556" t="s">
        <v>2925</v>
      </c>
      <c r="F556">
        <v>45716</v>
      </c>
      <c r="G556" t="s">
        <v>2208</v>
      </c>
      <c r="H556" t="s">
        <v>7834</v>
      </c>
      <c r="I556" t="s">
        <v>9298</v>
      </c>
      <c r="J556">
        <v>0.5</v>
      </c>
      <c r="K556">
        <v>52.31</v>
      </c>
      <c r="L556" t="s">
        <v>2917</v>
      </c>
      <c r="M556">
        <v>52.31</v>
      </c>
      <c r="N556" t="s">
        <v>2917</v>
      </c>
      <c r="O556" t="s">
        <v>2208</v>
      </c>
      <c r="P556" t="s">
        <v>2208</v>
      </c>
      <c r="Q556" t="s">
        <v>2208</v>
      </c>
      <c r="R556" t="s">
        <v>2208</v>
      </c>
    </row>
    <row r="557" spans="1:18">
      <c r="A557" t="s">
        <v>2418</v>
      </c>
      <c r="B557" t="s">
        <v>7740</v>
      </c>
      <c r="C557">
        <v>45719</v>
      </c>
      <c r="D557" t="s">
        <v>7263</v>
      </c>
      <c r="E557" t="s">
        <v>2925</v>
      </c>
      <c r="F557">
        <v>45716</v>
      </c>
      <c r="G557" t="s">
        <v>2208</v>
      </c>
      <c r="H557" t="s">
        <v>7834</v>
      </c>
      <c r="I557" t="s">
        <v>9299</v>
      </c>
      <c r="J557">
        <v>0.5</v>
      </c>
      <c r="K557">
        <v>52.31</v>
      </c>
      <c r="L557" t="s">
        <v>2917</v>
      </c>
      <c r="M557">
        <v>52.31</v>
      </c>
      <c r="N557" t="s">
        <v>2917</v>
      </c>
      <c r="O557" t="s">
        <v>2208</v>
      </c>
      <c r="P557" t="s">
        <v>2208</v>
      </c>
      <c r="Q557" t="s">
        <v>2208</v>
      </c>
      <c r="R557" t="s">
        <v>2208</v>
      </c>
    </row>
    <row r="558" spans="1:18">
      <c r="A558" t="s">
        <v>2418</v>
      </c>
      <c r="B558" t="s">
        <v>7740</v>
      </c>
      <c r="C558">
        <v>45719</v>
      </c>
      <c r="D558" t="s">
        <v>7263</v>
      </c>
      <c r="E558" t="s">
        <v>2925</v>
      </c>
      <c r="F558">
        <v>45716</v>
      </c>
      <c r="G558" t="s">
        <v>2208</v>
      </c>
      <c r="H558" t="s">
        <v>7834</v>
      </c>
      <c r="I558" t="s">
        <v>9300</v>
      </c>
      <c r="J558">
        <v>0.25</v>
      </c>
      <c r="K558">
        <v>26.15</v>
      </c>
      <c r="L558" t="s">
        <v>2917</v>
      </c>
      <c r="M558">
        <v>26.15</v>
      </c>
      <c r="N558" t="s">
        <v>2917</v>
      </c>
      <c r="O558" t="s">
        <v>2208</v>
      </c>
      <c r="P558" t="s">
        <v>2208</v>
      </c>
      <c r="Q558" t="s">
        <v>2208</v>
      </c>
      <c r="R558" t="s">
        <v>2208</v>
      </c>
    </row>
    <row r="559" spans="1:18">
      <c r="A559" t="s">
        <v>2418</v>
      </c>
      <c r="B559" t="s">
        <v>7740</v>
      </c>
      <c r="C559">
        <v>45719</v>
      </c>
      <c r="D559" t="s">
        <v>7263</v>
      </c>
      <c r="E559" t="s">
        <v>2925</v>
      </c>
      <c r="F559">
        <v>45716</v>
      </c>
      <c r="G559" t="s">
        <v>2208</v>
      </c>
      <c r="H559" t="s">
        <v>7834</v>
      </c>
      <c r="I559" t="s">
        <v>9301</v>
      </c>
      <c r="J559">
        <v>1.1000000000000001</v>
      </c>
      <c r="K559">
        <v>115.07</v>
      </c>
      <c r="L559" t="s">
        <v>2917</v>
      </c>
      <c r="M559">
        <v>115.07</v>
      </c>
      <c r="N559" t="s">
        <v>2917</v>
      </c>
      <c r="O559" t="s">
        <v>2208</v>
      </c>
      <c r="P559" t="s">
        <v>2208</v>
      </c>
      <c r="Q559" t="s">
        <v>2208</v>
      </c>
      <c r="R559" t="s">
        <v>2208</v>
      </c>
    </row>
    <row r="560" spans="1:18">
      <c r="A560" t="s">
        <v>2418</v>
      </c>
      <c r="B560" t="s">
        <v>7740</v>
      </c>
      <c r="C560">
        <v>45719</v>
      </c>
      <c r="D560" t="s">
        <v>7263</v>
      </c>
      <c r="E560" t="s">
        <v>2925</v>
      </c>
      <c r="F560">
        <v>45716</v>
      </c>
      <c r="G560" t="s">
        <v>2208</v>
      </c>
      <c r="H560" t="s">
        <v>7834</v>
      </c>
      <c r="I560" t="s">
        <v>9302</v>
      </c>
      <c r="J560">
        <v>1</v>
      </c>
      <c r="K560">
        <v>104.61</v>
      </c>
      <c r="L560" t="s">
        <v>2917</v>
      </c>
      <c r="M560">
        <v>104.61</v>
      </c>
      <c r="N560" t="s">
        <v>2917</v>
      </c>
      <c r="O560" t="s">
        <v>2208</v>
      </c>
      <c r="P560" t="s">
        <v>2208</v>
      </c>
      <c r="Q560" t="s">
        <v>2208</v>
      </c>
      <c r="R560" t="s">
        <v>2208</v>
      </c>
    </row>
    <row r="561" spans="1:18">
      <c r="A561" t="s">
        <v>2418</v>
      </c>
      <c r="B561" t="s">
        <v>7740</v>
      </c>
      <c r="C561">
        <v>45719</v>
      </c>
      <c r="D561" t="s">
        <v>7263</v>
      </c>
      <c r="E561" t="s">
        <v>2925</v>
      </c>
      <c r="F561">
        <v>45716</v>
      </c>
      <c r="G561" t="s">
        <v>2208</v>
      </c>
      <c r="H561" t="s">
        <v>7834</v>
      </c>
      <c r="I561" t="s">
        <v>9303</v>
      </c>
      <c r="J561">
        <v>1</v>
      </c>
      <c r="K561">
        <v>104.61</v>
      </c>
      <c r="L561" t="s">
        <v>2917</v>
      </c>
      <c r="M561">
        <v>104.61</v>
      </c>
      <c r="N561" t="s">
        <v>2917</v>
      </c>
      <c r="O561" t="s">
        <v>2208</v>
      </c>
      <c r="P561" t="s">
        <v>2208</v>
      </c>
      <c r="Q561" t="s">
        <v>2208</v>
      </c>
      <c r="R561" t="s">
        <v>2208</v>
      </c>
    </row>
    <row r="562" spans="1:18">
      <c r="A562" t="s">
        <v>2418</v>
      </c>
      <c r="B562" t="s">
        <v>7740</v>
      </c>
      <c r="C562">
        <v>45719</v>
      </c>
      <c r="D562" t="s">
        <v>7263</v>
      </c>
      <c r="E562" t="s">
        <v>2925</v>
      </c>
      <c r="F562">
        <v>45716</v>
      </c>
      <c r="G562" t="s">
        <v>2208</v>
      </c>
      <c r="H562" t="s">
        <v>7834</v>
      </c>
      <c r="I562" t="s">
        <v>9304</v>
      </c>
      <c r="J562">
        <v>1</v>
      </c>
      <c r="K562">
        <v>104.61</v>
      </c>
      <c r="L562" t="s">
        <v>2917</v>
      </c>
      <c r="M562">
        <v>104.61</v>
      </c>
      <c r="N562" t="s">
        <v>2917</v>
      </c>
      <c r="O562" t="s">
        <v>2208</v>
      </c>
      <c r="P562" t="s">
        <v>2208</v>
      </c>
      <c r="Q562" t="s">
        <v>2208</v>
      </c>
      <c r="R562" t="s">
        <v>2208</v>
      </c>
    </row>
    <row r="563" spans="1:18">
      <c r="A563" t="s">
        <v>2418</v>
      </c>
      <c r="B563" t="s">
        <v>7740</v>
      </c>
      <c r="C563">
        <v>45719</v>
      </c>
      <c r="D563" t="s">
        <v>7263</v>
      </c>
      <c r="E563" t="s">
        <v>2925</v>
      </c>
      <c r="F563">
        <v>45716</v>
      </c>
      <c r="G563" t="s">
        <v>2208</v>
      </c>
      <c r="H563" t="s">
        <v>7834</v>
      </c>
      <c r="I563" t="s">
        <v>9305</v>
      </c>
      <c r="J563">
        <v>1</v>
      </c>
      <c r="K563">
        <v>104.61</v>
      </c>
      <c r="L563" t="s">
        <v>2917</v>
      </c>
      <c r="M563">
        <v>104.61</v>
      </c>
      <c r="N563" t="s">
        <v>2917</v>
      </c>
      <c r="O563" t="s">
        <v>2208</v>
      </c>
      <c r="P563" t="s">
        <v>2208</v>
      </c>
      <c r="Q563" t="s">
        <v>2208</v>
      </c>
      <c r="R563" t="s">
        <v>2208</v>
      </c>
    </row>
    <row r="564" spans="1:18">
      <c r="A564" t="s">
        <v>2418</v>
      </c>
      <c r="B564" t="s">
        <v>7740</v>
      </c>
      <c r="C564">
        <v>45719</v>
      </c>
      <c r="D564" t="s">
        <v>7263</v>
      </c>
      <c r="E564" t="s">
        <v>2925</v>
      </c>
      <c r="F564">
        <v>45716</v>
      </c>
      <c r="G564" t="s">
        <v>2208</v>
      </c>
      <c r="H564" t="s">
        <v>7834</v>
      </c>
      <c r="I564" t="s">
        <v>9306</v>
      </c>
      <c r="J564">
        <v>2</v>
      </c>
      <c r="K564">
        <v>209.22</v>
      </c>
      <c r="L564" t="s">
        <v>2917</v>
      </c>
      <c r="M564">
        <v>209.22</v>
      </c>
      <c r="N564" t="s">
        <v>2917</v>
      </c>
      <c r="O564" t="s">
        <v>2208</v>
      </c>
      <c r="P564" t="s">
        <v>2208</v>
      </c>
      <c r="Q564" t="s">
        <v>2208</v>
      </c>
      <c r="R564" t="s">
        <v>2208</v>
      </c>
    </row>
    <row r="565" spans="1:18">
      <c r="A565" t="s">
        <v>2418</v>
      </c>
      <c r="B565" t="s">
        <v>7740</v>
      </c>
      <c r="C565">
        <v>45719</v>
      </c>
      <c r="D565" t="s">
        <v>7263</v>
      </c>
      <c r="E565" t="s">
        <v>2925</v>
      </c>
      <c r="F565">
        <v>45716</v>
      </c>
      <c r="G565" t="s">
        <v>2208</v>
      </c>
      <c r="H565" t="s">
        <v>7834</v>
      </c>
      <c r="I565" t="s">
        <v>9307</v>
      </c>
      <c r="J565">
        <v>1</v>
      </c>
      <c r="K565">
        <v>104.61</v>
      </c>
      <c r="L565" t="s">
        <v>2917</v>
      </c>
      <c r="M565">
        <v>104.61</v>
      </c>
      <c r="N565" t="s">
        <v>2917</v>
      </c>
      <c r="O565" t="s">
        <v>2208</v>
      </c>
      <c r="P565" t="s">
        <v>2208</v>
      </c>
      <c r="Q565" t="s">
        <v>2208</v>
      </c>
      <c r="R565" t="s">
        <v>2208</v>
      </c>
    </row>
    <row r="566" spans="1:18">
      <c r="A566" t="s">
        <v>2418</v>
      </c>
      <c r="B566" t="s">
        <v>7740</v>
      </c>
      <c r="C566">
        <v>45719</v>
      </c>
      <c r="D566" t="s">
        <v>7263</v>
      </c>
      <c r="E566" t="s">
        <v>2925</v>
      </c>
      <c r="F566">
        <v>45716</v>
      </c>
      <c r="G566" t="s">
        <v>2208</v>
      </c>
      <c r="H566" t="s">
        <v>7834</v>
      </c>
      <c r="I566" t="s">
        <v>9308</v>
      </c>
      <c r="J566">
        <v>2</v>
      </c>
      <c r="K566">
        <v>209.22</v>
      </c>
      <c r="L566" t="s">
        <v>2917</v>
      </c>
      <c r="M566">
        <v>209.22</v>
      </c>
      <c r="N566" t="s">
        <v>2917</v>
      </c>
      <c r="O566" t="s">
        <v>2208</v>
      </c>
      <c r="P566" t="s">
        <v>2208</v>
      </c>
      <c r="Q566" t="s">
        <v>2208</v>
      </c>
      <c r="R566" t="s">
        <v>2208</v>
      </c>
    </row>
    <row r="567" spans="1:18">
      <c r="A567" t="s">
        <v>2418</v>
      </c>
      <c r="B567" t="s">
        <v>7740</v>
      </c>
      <c r="C567">
        <v>45719</v>
      </c>
      <c r="D567" t="s">
        <v>7263</v>
      </c>
      <c r="E567" t="s">
        <v>2925</v>
      </c>
      <c r="F567">
        <v>45716</v>
      </c>
      <c r="G567" t="s">
        <v>2208</v>
      </c>
      <c r="H567" t="s">
        <v>7834</v>
      </c>
      <c r="I567" t="s">
        <v>9309</v>
      </c>
      <c r="J567">
        <v>1</v>
      </c>
      <c r="K567">
        <v>104.61</v>
      </c>
      <c r="L567" t="s">
        <v>2917</v>
      </c>
      <c r="M567">
        <v>104.61</v>
      </c>
      <c r="N567" t="s">
        <v>2917</v>
      </c>
      <c r="O567" t="s">
        <v>2208</v>
      </c>
      <c r="P567" t="s">
        <v>2208</v>
      </c>
      <c r="Q567" t="s">
        <v>2208</v>
      </c>
      <c r="R567" t="s">
        <v>2208</v>
      </c>
    </row>
    <row r="568" spans="1:18">
      <c r="A568" t="s">
        <v>2418</v>
      </c>
      <c r="B568" t="s">
        <v>7740</v>
      </c>
      <c r="C568">
        <v>45719</v>
      </c>
      <c r="D568" t="s">
        <v>7263</v>
      </c>
      <c r="E568" t="s">
        <v>2925</v>
      </c>
      <c r="F568">
        <v>45716</v>
      </c>
      <c r="G568" t="s">
        <v>2208</v>
      </c>
      <c r="H568" t="s">
        <v>7834</v>
      </c>
      <c r="I568" t="s">
        <v>9310</v>
      </c>
      <c r="J568">
        <v>1</v>
      </c>
      <c r="K568">
        <v>104.61</v>
      </c>
      <c r="L568" t="s">
        <v>2917</v>
      </c>
      <c r="M568">
        <v>104.61</v>
      </c>
      <c r="N568" t="s">
        <v>2917</v>
      </c>
      <c r="O568" t="s">
        <v>2208</v>
      </c>
      <c r="P568" t="s">
        <v>2208</v>
      </c>
      <c r="Q568" t="s">
        <v>2208</v>
      </c>
      <c r="R568" t="s">
        <v>2208</v>
      </c>
    </row>
    <row r="569" spans="1:18">
      <c r="A569" t="s">
        <v>2418</v>
      </c>
      <c r="B569" t="s">
        <v>7740</v>
      </c>
      <c r="C569">
        <v>45719</v>
      </c>
      <c r="D569" t="s">
        <v>7263</v>
      </c>
      <c r="E569" t="s">
        <v>2925</v>
      </c>
      <c r="F569">
        <v>45716</v>
      </c>
      <c r="G569" t="s">
        <v>2208</v>
      </c>
      <c r="H569" t="s">
        <v>7834</v>
      </c>
      <c r="I569" t="s">
        <v>9311</v>
      </c>
      <c r="J569">
        <v>2</v>
      </c>
      <c r="K569">
        <v>209.22</v>
      </c>
      <c r="L569" t="s">
        <v>2917</v>
      </c>
      <c r="M569">
        <v>209.22</v>
      </c>
      <c r="N569" t="s">
        <v>2917</v>
      </c>
      <c r="O569" t="s">
        <v>2208</v>
      </c>
      <c r="P569" t="s">
        <v>2208</v>
      </c>
      <c r="Q569" t="s">
        <v>2208</v>
      </c>
      <c r="R569" t="s">
        <v>2208</v>
      </c>
    </row>
    <row r="570" spans="1:18">
      <c r="A570" t="s">
        <v>2418</v>
      </c>
      <c r="B570" t="s">
        <v>7740</v>
      </c>
      <c r="C570">
        <v>45719</v>
      </c>
      <c r="D570" t="s">
        <v>7263</v>
      </c>
      <c r="E570" t="s">
        <v>2925</v>
      </c>
      <c r="F570">
        <v>45716</v>
      </c>
      <c r="G570" t="s">
        <v>2208</v>
      </c>
      <c r="H570" t="s">
        <v>7834</v>
      </c>
      <c r="I570" t="s">
        <v>9312</v>
      </c>
      <c r="J570">
        <v>1</v>
      </c>
      <c r="K570">
        <v>104.61</v>
      </c>
      <c r="L570" t="s">
        <v>2917</v>
      </c>
      <c r="M570">
        <v>104.61</v>
      </c>
      <c r="N570" t="s">
        <v>2917</v>
      </c>
      <c r="O570" t="s">
        <v>2208</v>
      </c>
      <c r="P570" t="s">
        <v>2208</v>
      </c>
      <c r="Q570" t="s">
        <v>2208</v>
      </c>
      <c r="R570" t="s">
        <v>2208</v>
      </c>
    </row>
    <row r="571" spans="1:18">
      <c r="A571" t="s">
        <v>2418</v>
      </c>
      <c r="B571" t="s">
        <v>7740</v>
      </c>
      <c r="C571">
        <v>45719</v>
      </c>
      <c r="D571" t="s">
        <v>7263</v>
      </c>
      <c r="E571" t="s">
        <v>2925</v>
      </c>
      <c r="F571">
        <v>45716</v>
      </c>
      <c r="G571" t="s">
        <v>2208</v>
      </c>
      <c r="H571" t="s">
        <v>7834</v>
      </c>
      <c r="I571" t="s">
        <v>9313</v>
      </c>
      <c r="J571">
        <v>2</v>
      </c>
      <c r="K571">
        <v>209.22</v>
      </c>
      <c r="L571" t="s">
        <v>2917</v>
      </c>
      <c r="M571">
        <v>209.22</v>
      </c>
      <c r="N571" t="s">
        <v>2917</v>
      </c>
      <c r="O571" t="s">
        <v>2208</v>
      </c>
      <c r="P571" t="s">
        <v>2208</v>
      </c>
      <c r="Q571" t="s">
        <v>2208</v>
      </c>
      <c r="R571" t="s">
        <v>2208</v>
      </c>
    </row>
    <row r="572" spans="1:18">
      <c r="A572" t="s">
        <v>2418</v>
      </c>
      <c r="B572" t="s">
        <v>7740</v>
      </c>
      <c r="C572">
        <v>45719</v>
      </c>
      <c r="D572" t="s">
        <v>7263</v>
      </c>
      <c r="E572" t="s">
        <v>2925</v>
      </c>
      <c r="F572">
        <v>45716</v>
      </c>
      <c r="G572" t="s">
        <v>2208</v>
      </c>
      <c r="H572" t="s">
        <v>7834</v>
      </c>
      <c r="I572" t="s">
        <v>9314</v>
      </c>
      <c r="J572">
        <v>1</v>
      </c>
      <c r="K572">
        <v>104.61</v>
      </c>
      <c r="L572" t="s">
        <v>2917</v>
      </c>
      <c r="M572">
        <v>104.61</v>
      </c>
      <c r="N572" t="s">
        <v>2917</v>
      </c>
      <c r="O572" t="s">
        <v>2208</v>
      </c>
      <c r="P572" t="s">
        <v>2208</v>
      </c>
      <c r="Q572" t="s">
        <v>2208</v>
      </c>
      <c r="R572" t="s">
        <v>2208</v>
      </c>
    </row>
    <row r="573" spans="1:18">
      <c r="A573" t="s">
        <v>2418</v>
      </c>
      <c r="B573" t="s">
        <v>7740</v>
      </c>
      <c r="C573">
        <v>45719</v>
      </c>
      <c r="D573" t="s">
        <v>7263</v>
      </c>
      <c r="E573" t="s">
        <v>2925</v>
      </c>
      <c r="F573">
        <v>45716</v>
      </c>
      <c r="G573" t="s">
        <v>2208</v>
      </c>
      <c r="H573" t="s">
        <v>7834</v>
      </c>
      <c r="I573" t="s">
        <v>9315</v>
      </c>
      <c r="J573">
        <v>3</v>
      </c>
      <c r="K573">
        <v>313.83</v>
      </c>
      <c r="L573" t="s">
        <v>2917</v>
      </c>
      <c r="M573">
        <v>313.83</v>
      </c>
      <c r="N573" t="s">
        <v>2917</v>
      </c>
      <c r="O573" t="s">
        <v>2208</v>
      </c>
      <c r="P573" t="s">
        <v>2208</v>
      </c>
      <c r="Q573" t="s">
        <v>2208</v>
      </c>
      <c r="R573" t="s">
        <v>2208</v>
      </c>
    </row>
    <row r="574" spans="1:18">
      <c r="A574" t="s">
        <v>2418</v>
      </c>
      <c r="B574" t="s">
        <v>7740</v>
      </c>
      <c r="C574">
        <v>45719</v>
      </c>
      <c r="D574" t="s">
        <v>7263</v>
      </c>
      <c r="E574" t="s">
        <v>2925</v>
      </c>
      <c r="F574">
        <v>45716</v>
      </c>
      <c r="G574" t="s">
        <v>2208</v>
      </c>
      <c r="H574" t="s">
        <v>7834</v>
      </c>
      <c r="I574" t="s">
        <v>9316</v>
      </c>
      <c r="J574">
        <v>2</v>
      </c>
      <c r="K574">
        <v>209.22</v>
      </c>
      <c r="L574" t="s">
        <v>2917</v>
      </c>
      <c r="M574">
        <v>209.22</v>
      </c>
      <c r="N574" t="s">
        <v>2917</v>
      </c>
      <c r="O574" t="s">
        <v>2208</v>
      </c>
      <c r="P574" t="s">
        <v>2208</v>
      </c>
      <c r="Q574" t="s">
        <v>2208</v>
      </c>
      <c r="R574" t="s">
        <v>2208</v>
      </c>
    </row>
    <row r="575" spans="1:18">
      <c r="A575" t="s">
        <v>2418</v>
      </c>
      <c r="B575" t="s">
        <v>7740</v>
      </c>
      <c r="C575">
        <v>45719</v>
      </c>
      <c r="D575" t="s">
        <v>7263</v>
      </c>
      <c r="E575" t="s">
        <v>2925</v>
      </c>
      <c r="F575">
        <v>45716</v>
      </c>
      <c r="G575" t="s">
        <v>2208</v>
      </c>
      <c r="H575" t="s">
        <v>7834</v>
      </c>
      <c r="I575" t="s">
        <v>9317</v>
      </c>
      <c r="J575">
        <v>2</v>
      </c>
      <c r="K575">
        <v>209.22</v>
      </c>
      <c r="L575" t="s">
        <v>2917</v>
      </c>
      <c r="M575">
        <v>209.22</v>
      </c>
      <c r="N575" t="s">
        <v>2917</v>
      </c>
      <c r="O575" t="s">
        <v>2208</v>
      </c>
      <c r="P575" t="s">
        <v>2208</v>
      </c>
      <c r="Q575" t="s">
        <v>2208</v>
      </c>
      <c r="R575" t="s">
        <v>2208</v>
      </c>
    </row>
    <row r="576" spans="1:18">
      <c r="A576" t="s">
        <v>2418</v>
      </c>
      <c r="B576" t="s">
        <v>7740</v>
      </c>
      <c r="C576">
        <v>45719</v>
      </c>
      <c r="D576" t="s">
        <v>7263</v>
      </c>
      <c r="E576" t="s">
        <v>2925</v>
      </c>
      <c r="F576">
        <v>45716</v>
      </c>
      <c r="G576" t="s">
        <v>2208</v>
      </c>
      <c r="H576" t="s">
        <v>7834</v>
      </c>
      <c r="I576" t="s">
        <v>9318</v>
      </c>
      <c r="J576">
        <v>2</v>
      </c>
      <c r="K576">
        <v>209.22</v>
      </c>
      <c r="L576" t="s">
        <v>2917</v>
      </c>
      <c r="M576">
        <v>209.22</v>
      </c>
      <c r="N576" t="s">
        <v>2917</v>
      </c>
      <c r="O576" t="s">
        <v>2208</v>
      </c>
      <c r="P576" t="s">
        <v>2208</v>
      </c>
      <c r="Q576" t="s">
        <v>2208</v>
      </c>
      <c r="R576" t="s">
        <v>2208</v>
      </c>
    </row>
    <row r="577" spans="1:18">
      <c r="A577" t="s">
        <v>2418</v>
      </c>
      <c r="B577" t="s">
        <v>7740</v>
      </c>
      <c r="C577">
        <v>45719</v>
      </c>
      <c r="D577" t="s">
        <v>7263</v>
      </c>
      <c r="E577" t="s">
        <v>2925</v>
      </c>
      <c r="F577">
        <v>45716</v>
      </c>
      <c r="G577" t="s">
        <v>2208</v>
      </c>
      <c r="H577" t="s">
        <v>7834</v>
      </c>
      <c r="I577" t="s">
        <v>9319</v>
      </c>
      <c r="J577">
        <v>1</v>
      </c>
      <c r="K577">
        <v>104.61</v>
      </c>
      <c r="L577" t="s">
        <v>2917</v>
      </c>
      <c r="M577">
        <v>104.61</v>
      </c>
      <c r="N577" t="s">
        <v>2917</v>
      </c>
      <c r="O577" t="s">
        <v>2208</v>
      </c>
      <c r="P577" t="s">
        <v>2208</v>
      </c>
      <c r="Q577" t="s">
        <v>2208</v>
      </c>
      <c r="R577" t="s">
        <v>2208</v>
      </c>
    </row>
    <row r="578" spans="1:18">
      <c r="A578" t="s">
        <v>2418</v>
      </c>
      <c r="B578" t="s">
        <v>7740</v>
      </c>
      <c r="C578">
        <v>45719</v>
      </c>
      <c r="D578" t="s">
        <v>7263</v>
      </c>
      <c r="E578" t="s">
        <v>2925</v>
      </c>
      <c r="F578">
        <v>45716</v>
      </c>
      <c r="G578" t="s">
        <v>2208</v>
      </c>
      <c r="H578" t="s">
        <v>7834</v>
      </c>
      <c r="I578" t="s">
        <v>9320</v>
      </c>
      <c r="J578">
        <v>1</v>
      </c>
      <c r="K578">
        <v>104.61</v>
      </c>
      <c r="L578" t="s">
        <v>2917</v>
      </c>
      <c r="M578">
        <v>104.61</v>
      </c>
      <c r="N578" t="s">
        <v>2917</v>
      </c>
      <c r="O578" t="s">
        <v>2208</v>
      </c>
      <c r="P578" t="s">
        <v>2208</v>
      </c>
      <c r="Q578" t="s">
        <v>2208</v>
      </c>
      <c r="R578" t="s">
        <v>2208</v>
      </c>
    </row>
    <row r="579" spans="1:18">
      <c r="A579" t="s">
        <v>2418</v>
      </c>
      <c r="B579" t="s">
        <v>7740</v>
      </c>
      <c r="C579">
        <v>45719</v>
      </c>
      <c r="D579" t="s">
        <v>7263</v>
      </c>
      <c r="E579" t="s">
        <v>2925</v>
      </c>
      <c r="F579">
        <v>45716</v>
      </c>
      <c r="G579" t="s">
        <v>2208</v>
      </c>
      <c r="H579" t="s">
        <v>7834</v>
      </c>
      <c r="I579" t="s">
        <v>9321</v>
      </c>
      <c r="J579">
        <v>1</v>
      </c>
      <c r="K579">
        <v>104.61</v>
      </c>
      <c r="L579" t="s">
        <v>2917</v>
      </c>
      <c r="M579">
        <v>104.61</v>
      </c>
      <c r="N579" t="s">
        <v>2917</v>
      </c>
      <c r="O579" t="s">
        <v>2208</v>
      </c>
      <c r="P579" t="s">
        <v>2208</v>
      </c>
      <c r="Q579" t="s">
        <v>2208</v>
      </c>
      <c r="R579" t="s">
        <v>2208</v>
      </c>
    </row>
    <row r="580" spans="1:18">
      <c r="A580" t="s">
        <v>2418</v>
      </c>
      <c r="B580" t="s">
        <v>7740</v>
      </c>
      <c r="C580">
        <v>45719</v>
      </c>
      <c r="D580" t="s">
        <v>7263</v>
      </c>
      <c r="E580" t="s">
        <v>2925</v>
      </c>
      <c r="F580">
        <v>45716</v>
      </c>
      <c r="G580" t="s">
        <v>2208</v>
      </c>
      <c r="H580" t="s">
        <v>7834</v>
      </c>
      <c r="I580" t="s">
        <v>9322</v>
      </c>
      <c r="J580">
        <v>1</v>
      </c>
      <c r="K580">
        <v>104.61</v>
      </c>
      <c r="L580" t="s">
        <v>2917</v>
      </c>
      <c r="M580">
        <v>104.61</v>
      </c>
      <c r="N580" t="s">
        <v>2917</v>
      </c>
      <c r="O580" t="s">
        <v>2208</v>
      </c>
      <c r="P580" t="s">
        <v>2208</v>
      </c>
      <c r="Q580" t="s">
        <v>2208</v>
      </c>
      <c r="R580" t="s">
        <v>2208</v>
      </c>
    </row>
    <row r="581" spans="1:18">
      <c r="A581" t="s">
        <v>2418</v>
      </c>
      <c r="B581" t="s">
        <v>7740</v>
      </c>
      <c r="C581">
        <v>45719</v>
      </c>
      <c r="D581" t="s">
        <v>7263</v>
      </c>
      <c r="E581" t="s">
        <v>2925</v>
      </c>
      <c r="F581">
        <v>45716</v>
      </c>
      <c r="G581" t="s">
        <v>2208</v>
      </c>
      <c r="H581" t="s">
        <v>7834</v>
      </c>
      <c r="I581" t="s">
        <v>9323</v>
      </c>
      <c r="J581">
        <v>1</v>
      </c>
      <c r="K581">
        <v>104.61</v>
      </c>
      <c r="L581" t="s">
        <v>2917</v>
      </c>
      <c r="M581">
        <v>104.61</v>
      </c>
      <c r="N581" t="s">
        <v>2917</v>
      </c>
      <c r="O581" t="s">
        <v>2208</v>
      </c>
      <c r="P581" t="s">
        <v>2208</v>
      </c>
      <c r="Q581" t="s">
        <v>2208</v>
      </c>
      <c r="R581" t="s">
        <v>2208</v>
      </c>
    </row>
    <row r="582" spans="1:18">
      <c r="A582" t="s">
        <v>2418</v>
      </c>
      <c r="B582" t="s">
        <v>7740</v>
      </c>
      <c r="C582">
        <v>45719</v>
      </c>
      <c r="D582" t="s">
        <v>7263</v>
      </c>
      <c r="E582" t="s">
        <v>2925</v>
      </c>
      <c r="F582">
        <v>45716</v>
      </c>
      <c r="G582" t="s">
        <v>2208</v>
      </c>
      <c r="H582" t="s">
        <v>7834</v>
      </c>
      <c r="I582" t="s">
        <v>9324</v>
      </c>
      <c r="J582">
        <v>1</v>
      </c>
      <c r="K582">
        <v>104.61</v>
      </c>
      <c r="L582" t="s">
        <v>2917</v>
      </c>
      <c r="M582">
        <v>104.61</v>
      </c>
      <c r="N582" t="s">
        <v>2917</v>
      </c>
      <c r="O582" t="s">
        <v>2208</v>
      </c>
      <c r="P582" t="s">
        <v>2208</v>
      </c>
      <c r="Q582" t="s">
        <v>2208</v>
      </c>
      <c r="R582" t="s">
        <v>2208</v>
      </c>
    </row>
    <row r="583" spans="1:18">
      <c r="A583" t="s">
        <v>2418</v>
      </c>
      <c r="B583" t="s">
        <v>7740</v>
      </c>
      <c r="C583">
        <v>45719</v>
      </c>
      <c r="D583" t="s">
        <v>7263</v>
      </c>
      <c r="E583" t="s">
        <v>2925</v>
      </c>
      <c r="F583">
        <v>45716</v>
      </c>
      <c r="G583" t="s">
        <v>2208</v>
      </c>
      <c r="H583" t="s">
        <v>7834</v>
      </c>
      <c r="I583" t="s">
        <v>9325</v>
      </c>
      <c r="J583">
        <v>1</v>
      </c>
      <c r="K583">
        <v>104.61</v>
      </c>
      <c r="L583" t="s">
        <v>2917</v>
      </c>
      <c r="M583">
        <v>104.61</v>
      </c>
      <c r="N583" t="s">
        <v>2917</v>
      </c>
      <c r="O583" t="s">
        <v>2208</v>
      </c>
      <c r="P583" t="s">
        <v>2208</v>
      </c>
      <c r="Q583" t="s">
        <v>2208</v>
      </c>
      <c r="R583" t="s">
        <v>2208</v>
      </c>
    </row>
    <row r="584" spans="1:18">
      <c r="A584" t="s">
        <v>2418</v>
      </c>
      <c r="B584" t="s">
        <v>7740</v>
      </c>
      <c r="C584">
        <v>45719</v>
      </c>
      <c r="D584" t="s">
        <v>7263</v>
      </c>
      <c r="E584" t="s">
        <v>2925</v>
      </c>
      <c r="F584">
        <v>45716</v>
      </c>
      <c r="G584" t="s">
        <v>2208</v>
      </c>
      <c r="H584" t="s">
        <v>7834</v>
      </c>
      <c r="I584" t="s">
        <v>9326</v>
      </c>
      <c r="J584">
        <v>2</v>
      </c>
      <c r="K584">
        <v>209.22</v>
      </c>
      <c r="L584" t="s">
        <v>2917</v>
      </c>
      <c r="M584">
        <v>209.22</v>
      </c>
      <c r="N584" t="s">
        <v>2917</v>
      </c>
      <c r="O584" t="s">
        <v>2208</v>
      </c>
      <c r="P584" t="s">
        <v>2208</v>
      </c>
      <c r="Q584" t="s">
        <v>2208</v>
      </c>
      <c r="R584" t="s">
        <v>2208</v>
      </c>
    </row>
    <row r="585" spans="1:18">
      <c r="A585" t="s">
        <v>2418</v>
      </c>
      <c r="B585" t="s">
        <v>7740</v>
      </c>
      <c r="C585">
        <v>45719</v>
      </c>
      <c r="D585" t="s">
        <v>7263</v>
      </c>
      <c r="E585" t="s">
        <v>2925</v>
      </c>
      <c r="F585">
        <v>45716</v>
      </c>
      <c r="G585" t="s">
        <v>2208</v>
      </c>
      <c r="H585" t="s">
        <v>7834</v>
      </c>
      <c r="I585" t="s">
        <v>9327</v>
      </c>
      <c r="J585">
        <v>1</v>
      </c>
      <c r="K585">
        <v>104.61</v>
      </c>
      <c r="L585" t="s">
        <v>2917</v>
      </c>
      <c r="M585">
        <v>104.61</v>
      </c>
      <c r="N585" t="s">
        <v>2917</v>
      </c>
      <c r="O585" t="s">
        <v>2208</v>
      </c>
      <c r="P585" t="s">
        <v>2208</v>
      </c>
      <c r="Q585" t="s">
        <v>2208</v>
      </c>
      <c r="R585" t="s">
        <v>2208</v>
      </c>
    </row>
    <row r="586" spans="1:18">
      <c r="A586" t="s">
        <v>2418</v>
      </c>
      <c r="B586" t="s">
        <v>7740</v>
      </c>
      <c r="C586">
        <v>45719</v>
      </c>
      <c r="D586" t="s">
        <v>7263</v>
      </c>
      <c r="E586" t="s">
        <v>2925</v>
      </c>
      <c r="F586">
        <v>45716</v>
      </c>
      <c r="G586" t="s">
        <v>2208</v>
      </c>
      <c r="H586" t="s">
        <v>7834</v>
      </c>
      <c r="I586" t="s">
        <v>9328</v>
      </c>
      <c r="J586">
        <v>2</v>
      </c>
      <c r="K586">
        <v>209.22</v>
      </c>
      <c r="L586" t="s">
        <v>2917</v>
      </c>
      <c r="M586">
        <v>209.22</v>
      </c>
      <c r="N586" t="s">
        <v>2917</v>
      </c>
      <c r="O586" t="s">
        <v>2208</v>
      </c>
      <c r="P586" t="s">
        <v>2208</v>
      </c>
      <c r="Q586" t="s">
        <v>2208</v>
      </c>
      <c r="R586" t="s">
        <v>2208</v>
      </c>
    </row>
    <row r="587" spans="1:18">
      <c r="A587" t="s">
        <v>2418</v>
      </c>
      <c r="B587" t="s">
        <v>7740</v>
      </c>
      <c r="C587">
        <v>45719</v>
      </c>
      <c r="D587" t="s">
        <v>7263</v>
      </c>
      <c r="E587" t="s">
        <v>2925</v>
      </c>
      <c r="F587">
        <v>45716</v>
      </c>
      <c r="G587" t="s">
        <v>2208</v>
      </c>
      <c r="H587" t="s">
        <v>7834</v>
      </c>
      <c r="I587" t="s">
        <v>9329</v>
      </c>
      <c r="J587">
        <v>2</v>
      </c>
      <c r="K587">
        <v>209.22</v>
      </c>
      <c r="L587" t="s">
        <v>2917</v>
      </c>
      <c r="M587">
        <v>209.22</v>
      </c>
      <c r="N587" t="s">
        <v>2917</v>
      </c>
      <c r="O587" t="s">
        <v>2208</v>
      </c>
      <c r="P587" t="s">
        <v>2208</v>
      </c>
      <c r="Q587" t="s">
        <v>2208</v>
      </c>
      <c r="R587" t="s">
        <v>2208</v>
      </c>
    </row>
    <row r="588" spans="1:18">
      <c r="A588" t="s">
        <v>2418</v>
      </c>
      <c r="B588" t="s">
        <v>7740</v>
      </c>
      <c r="C588">
        <v>45719</v>
      </c>
      <c r="D588" t="s">
        <v>7263</v>
      </c>
      <c r="E588" t="s">
        <v>2925</v>
      </c>
      <c r="F588">
        <v>45716</v>
      </c>
      <c r="G588" t="s">
        <v>2208</v>
      </c>
      <c r="H588" t="s">
        <v>7834</v>
      </c>
      <c r="I588" t="s">
        <v>9330</v>
      </c>
      <c r="J588">
        <v>2</v>
      </c>
      <c r="K588">
        <v>209.22</v>
      </c>
      <c r="L588" t="s">
        <v>2917</v>
      </c>
      <c r="M588">
        <v>209.22</v>
      </c>
      <c r="N588" t="s">
        <v>2917</v>
      </c>
      <c r="O588" t="s">
        <v>2208</v>
      </c>
      <c r="P588" t="s">
        <v>2208</v>
      </c>
      <c r="Q588" t="s">
        <v>2208</v>
      </c>
      <c r="R588" t="s">
        <v>2208</v>
      </c>
    </row>
    <row r="589" spans="1:18">
      <c r="A589" t="s">
        <v>2418</v>
      </c>
      <c r="B589" t="s">
        <v>7740</v>
      </c>
      <c r="C589">
        <v>45719</v>
      </c>
      <c r="D589" t="s">
        <v>7263</v>
      </c>
      <c r="E589" t="s">
        <v>2925</v>
      </c>
      <c r="F589">
        <v>45716</v>
      </c>
      <c r="G589" t="s">
        <v>2208</v>
      </c>
      <c r="H589" t="s">
        <v>7834</v>
      </c>
      <c r="I589" t="s">
        <v>9331</v>
      </c>
      <c r="J589">
        <v>5</v>
      </c>
      <c r="K589">
        <v>523.04999999999995</v>
      </c>
      <c r="L589" t="s">
        <v>2917</v>
      </c>
      <c r="M589">
        <v>523.04999999999995</v>
      </c>
      <c r="N589" t="s">
        <v>2917</v>
      </c>
      <c r="O589" t="s">
        <v>2208</v>
      </c>
      <c r="P589" t="s">
        <v>2208</v>
      </c>
      <c r="Q589" t="s">
        <v>2208</v>
      </c>
      <c r="R589" t="s">
        <v>2208</v>
      </c>
    </row>
    <row r="590" spans="1:18">
      <c r="A590" t="s">
        <v>2418</v>
      </c>
      <c r="B590" t="s">
        <v>7740</v>
      </c>
      <c r="C590">
        <v>45719</v>
      </c>
      <c r="D590" t="s">
        <v>7263</v>
      </c>
      <c r="E590" t="s">
        <v>2925</v>
      </c>
      <c r="F590">
        <v>45716</v>
      </c>
      <c r="G590" t="s">
        <v>2208</v>
      </c>
      <c r="H590" t="s">
        <v>7834</v>
      </c>
      <c r="I590" t="s">
        <v>9332</v>
      </c>
      <c r="J590">
        <v>2</v>
      </c>
      <c r="K590">
        <v>209.22</v>
      </c>
      <c r="L590" t="s">
        <v>2917</v>
      </c>
      <c r="M590">
        <v>209.22</v>
      </c>
      <c r="N590" t="s">
        <v>2917</v>
      </c>
      <c r="O590" t="s">
        <v>2208</v>
      </c>
      <c r="P590" t="s">
        <v>2208</v>
      </c>
      <c r="Q590" t="s">
        <v>2208</v>
      </c>
      <c r="R590" t="s">
        <v>2208</v>
      </c>
    </row>
    <row r="591" spans="1:18">
      <c r="A591" t="s">
        <v>2418</v>
      </c>
      <c r="B591" t="s">
        <v>7740</v>
      </c>
      <c r="C591">
        <v>45719</v>
      </c>
      <c r="D591" t="s">
        <v>7263</v>
      </c>
      <c r="E591" t="s">
        <v>2925</v>
      </c>
      <c r="F591">
        <v>45716</v>
      </c>
      <c r="G591" t="s">
        <v>2208</v>
      </c>
      <c r="H591" t="s">
        <v>7834</v>
      </c>
      <c r="I591" t="s">
        <v>9333</v>
      </c>
      <c r="J591">
        <v>1</v>
      </c>
      <c r="K591">
        <v>104.61</v>
      </c>
      <c r="L591" t="s">
        <v>2917</v>
      </c>
      <c r="M591">
        <v>104.61</v>
      </c>
      <c r="N591" t="s">
        <v>2917</v>
      </c>
      <c r="O591" t="s">
        <v>2208</v>
      </c>
      <c r="P591" t="s">
        <v>2208</v>
      </c>
      <c r="Q591" t="s">
        <v>2208</v>
      </c>
      <c r="R591" t="s">
        <v>2208</v>
      </c>
    </row>
    <row r="592" spans="1:18">
      <c r="A592" t="s">
        <v>2418</v>
      </c>
      <c r="B592" t="s">
        <v>7740</v>
      </c>
      <c r="C592">
        <v>45719</v>
      </c>
      <c r="D592" t="s">
        <v>7263</v>
      </c>
      <c r="E592" t="s">
        <v>2925</v>
      </c>
      <c r="F592">
        <v>45716</v>
      </c>
      <c r="G592" t="s">
        <v>2208</v>
      </c>
      <c r="H592" t="s">
        <v>7834</v>
      </c>
      <c r="I592" t="s">
        <v>9334</v>
      </c>
      <c r="J592">
        <v>1</v>
      </c>
      <c r="K592">
        <v>104.61</v>
      </c>
      <c r="L592" t="s">
        <v>2917</v>
      </c>
      <c r="M592">
        <v>104.61</v>
      </c>
      <c r="N592" t="s">
        <v>2917</v>
      </c>
      <c r="O592" t="s">
        <v>2208</v>
      </c>
      <c r="P592" t="s">
        <v>2208</v>
      </c>
      <c r="Q592" t="s">
        <v>2208</v>
      </c>
      <c r="R592" t="s">
        <v>2208</v>
      </c>
    </row>
    <row r="593" spans="1:18">
      <c r="A593" t="s">
        <v>2418</v>
      </c>
      <c r="B593" t="s">
        <v>7740</v>
      </c>
      <c r="C593">
        <v>45719</v>
      </c>
      <c r="D593" t="s">
        <v>7263</v>
      </c>
      <c r="E593" t="s">
        <v>2925</v>
      </c>
      <c r="F593">
        <v>45716</v>
      </c>
      <c r="G593" t="s">
        <v>2208</v>
      </c>
      <c r="H593" t="s">
        <v>7834</v>
      </c>
      <c r="I593" t="s">
        <v>9335</v>
      </c>
      <c r="J593">
        <v>1</v>
      </c>
      <c r="K593">
        <v>104.61</v>
      </c>
      <c r="L593" t="s">
        <v>2917</v>
      </c>
      <c r="M593">
        <v>104.61</v>
      </c>
      <c r="N593" t="s">
        <v>2917</v>
      </c>
      <c r="O593" t="s">
        <v>2208</v>
      </c>
      <c r="P593" t="s">
        <v>2208</v>
      </c>
      <c r="Q593" t="s">
        <v>2208</v>
      </c>
      <c r="R593" t="s">
        <v>2208</v>
      </c>
    </row>
    <row r="594" spans="1:18">
      <c r="A594" t="s">
        <v>2418</v>
      </c>
      <c r="B594" t="s">
        <v>7740</v>
      </c>
      <c r="C594">
        <v>45719</v>
      </c>
      <c r="D594" t="s">
        <v>7263</v>
      </c>
      <c r="E594" t="s">
        <v>2925</v>
      </c>
      <c r="F594">
        <v>45716</v>
      </c>
      <c r="G594" t="s">
        <v>2208</v>
      </c>
      <c r="H594" t="s">
        <v>7834</v>
      </c>
      <c r="I594" t="s">
        <v>9336</v>
      </c>
      <c r="J594">
        <v>1</v>
      </c>
      <c r="K594">
        <v>104.61</v>
      </c>
      <c r="L594" t="s">
        <v>2917</v>
      </c>
      <c r="M594">
        <v>104.61</v>
      </c>
      <c r="N594" t="s">
        <v>2917</v>
      </c>
      <c r="O594" t="s">
        <v>2208</v>
      </c>
      <c r="P594" t="s">
        <v>2208</v>
      </c>
      <c r="Q594" t="s">
        <v>2208</v>
      </c>
      <c r="R594" t="s">
        <v>2208</v>
      </c>
    </row>
    <row r="595" spans="1:18">
      <c r="A595" t="s">
        <v>2418</v>
      </c>
      <c r="B595" t="s">
        <v>7740</v>
      </c>
      <c r="C595">
        <v>45719</v>
      </c>
      <c r="D595" t="s">
        <v>7263</v>
      </c>
      <c r="E595" t="s">
        <v>2925</v>
      </c>
      <c r="F595">
        <v>45716</v>
      </c>
      <c r="G595" t="s">
        <v>2208</v>
      </c>
      <c r="H595" t="s">
        <v>7834</v>
      </c>
      <c r="I595" t="s">
        <v>9337</v>
      </c>
      <c r="J595">
        <v>4</v>
      </c>
      <c r="K595">
        <v>418.44</v>
      </c>
      <c r="L595" t="s">
        <v>2917</v>
      </c>
      <c r="M595">
        <v>418.44</v>
      </c>
      <c r="N595" t="s">
        <v>2917</v>
      </c>
      <c r="O595" t="s">
        <v>2208</v>
      </c>
      <c r="P595" t="s">
        <v>2208</v>
      </c>
      <c r="Q595" t="s">
        <v>2208</v>
      </c>
      <c r="R595" t="s">
        <v>2208</v>
      </c>
    </row>
    <row r="596" spans="1:18">
      <c r="A596" t="s">
        <v>2418</v>
      </c>
      <c r="B596" t="s">
        <v>7740</v>
      </c>
      <c r="C596">
        <v>45719</v>
      </c>
      <c r="D596" t="s">
        <v>7263</v>
      </c>
      <c r="E596" t="s">
        <v>2925</v>
      </c>
      <c r="F596">
        <v>45716</v>
      </c>
      <c r="G596" t="s">
        <v>2208</v>
      </c>
      <c r="H596" t="s">
        <v>7834</v>
      </c>
      <c r="I596" t="s">
        <v>9338</v>
      </c>
      <c r="J596">
        <v>4</v>
      </c>
      <c r="K596">
        <v>418.44</v>
      </c>
      <c r="L596" t="s">
        <v>2917</v>
      </c>
      <c r="M596">
        <v>418.44</v>
      </c>
      <c r="N596" t="s">
        <v>2917</v>
      </c>
      <c r="O596" t="s">
        <v>2208</v>
      </c>
      <c r="P596" t="s">
        <v>2208</v>
      </c>
      <c r="Q596" t="s">
        <v>2208</v>
      </c>
      <c r="R596" t="s">
        <v>2208</v>
      </c>
    </row>
    <row r="597" spans="1:18">
      <c r="A597" t="s">
        <v>2418</v>
      </c>
      <c r="B597" t="s">
        <v>7740</v>
      </c>
      <c r="C597">
        <v>45719</v>
      </c>
      <c r="D597" t="s">
        <v>7263</v>
      </c>
      <c r="E597" t="s">
        <v>2925</v>
      </c>
      <c r="F597">
        <v>45716</v>
      </c>
      <c r="G597" t="s">
        <v>2208</v>
      </c>
      <c r="H597" t="s">
        <v>7834</v>
      </c>
      <c r="I597" t="s">
        <v>9339</v>
      </c>
      <c r="J597">
        <v>4</v>
      </c>
      <c r="K597">
        <v>418.44</v>
      </c>
      <c r="L597" t="s">
        <v>2917</v>
      </c>
      <c r="M597">
        <v>418.44</v>
      </c>
      <c r="N597" t="s">
        <v>2917</v>
      </c>
      <c r="O597" t="s">
        <v>2208</v>
      </c>
      <c r="P597" t="s">
        <v>2208</v>
      </c>
      <c r="Q597" t="s">
        <v>2208</v>
      </c>
      <c r="R597" t="s">
        <v>2208</v>
      </c>
    </row>
    <row r="598" spans="1:18">
      <c r="A598" t="s">
        <v>2418</v>
      </c>
      <c r="B598" t="s">
        <v>7740</v>
      </c>
      <c r="C598">
        <v>45719</v>
      </c>
      <c r="D598" t="s">
        <v>7263</v>
      </c>
      <c r="E598" t="s">
        <v>2925</v>
      </c>
      <c r="F598">
        <v>45716</v>
      </c>
      <c r="G598" t="s">
        <v>2208</v>
      </c>
      <c r="H598" t="s">
        <v>7834</v>
      </c>
      <c r="I598" t="s">
        <v>9340</v>
      </c>
      <c r="J598">
        <v>4</v>
      </c>
      <c r="K598">
        <v>418.44</v>
      </c>
      <c r="L598" t="s">
        <v>2917</v>
      </c>
      <c r="M598">
        <v>418.44</v>
      </c>
      <c r="N598" t="s">
        <v>2917</v>
      </c>
      <c r="O598" t="s">
        <v>2208</v>
      </c>
      <c r="P598" t="s">
        <v>2208</v>
      </c>
      <c r="Q598" t="s">
        <v>2208</v>
      </c>
      <c r="R598" t="s">
        <v>2208</v>
      </c>
    </row>
    <row r="599" spans="1:18">
      <c r="A599" t="s">
        <v>2418</v>
      </c>
      <c r="B599" t="s">
        <v>7740</v>
      </c>
      <c r="C599">
        <v>45719</v>
      </c>
      <c r="D599" t="s">
        <v>7263</v>
      </c>
      <c r="E599" t="s">
        <v>2925</v>
      </c>
      <c r="F599">
        <v>45716</v>
      </c>
      <c r="G599" t="s">
        <v>2208</v>
      </c>
      <c r="H599" t="s">
        <v>7834</v>
      </c>
      <c r="I599" t="s">
        <v>9341</v>
      </c>
      <c r="J599">
        <v>1</v>
      </c>
      <c r="K599">
        <v>104.61</v>
      </c>
      <c r="L599" t="s">
        <v>2917</v>
      </c>
      <c r="M599">
        <v>104.61</v>
      </c>
      <c r="N599" t="s">
        <v>2917</v>
      </c>
      <c r="O599" t="s">
        <v>2208</v>
      </c>
      <c r="P599" t="s">
        <v>2208</v>
      </c>
      <c r="Q599" t="s">
        <v>2208</v>
      </c>
      <c r="R599" t="s">
        <v>2208</v>
      </c>
    </row>
    <row r="600" spans="1:18">
      <c r="A600" t="s">
        <v>2418</v>
      </c>
      <c r="B600" t="s">
        <v>7740</v>
      </c>
      <c r="C600">
        <v>45719</v>
      </c>
      <c r="D600" t="s">
        <v>7263</v>
      </c>
      <c r="E600" t="s">
        <v>2925</v>
      </c>
      <c r="F600">
        <v>45716</v>
      </c>
      <c r="G600" t="s">
        <v>2208</v>
      </c>
      <c r="H600" t="s">
        <v>7834</v>
      </c>
      <c r="I600" t="s">
        <v>9342</v>
      </c>
      <c r="J600">
        <v>1</v>
      </c>
      <c r="K600">
        <v>104.61</v>
      </c>
      <c r="L600" t="s">
        <v>2917</v>
      </c>
      <c r="M600">
        <v>104.61</v>
      </c>
      <c r="N600" t="s">
        <v>2917</v>
      </c>
      <c r="O600" t="s">
        <v>2208</v>
      </c>
      <c r="P600" t="s">
        <v>2208</v>
      </c>
      <c r="Q600" t="s">
        <v>2208</v>
      </c>
      <c r="R600" t="s">
        <v>2208</v>
      </c>
    </row>
    <row r="601" spans="1:18">
      <c r="A601" t="s">
        <v>2418</v>
      </c>
      <c r="B601" t="s">
        <v>7740</v>
      </c>
      <c r="C601">
        <v>45719</v>
      </c>
      <c r="D601" t="s">
        <v>7263</v>
      </c>
      <c r="E601" t="s">
        <v>2925</v>
      </c>
      <c r="F601">
        <v>45716</v>
      </c>
      <c r="G601" t="s">
        <v>2208</v>
      </c>
      <c r="H601" t="s">
        <v>7834</v>
      </c>
      <c r="I601" t="s">
        <v>9343</v>
      </c>
      <c r="J601">
        <v>4</v>
      </c>
      <c r="K601">
        <v>418.44</v>
      </c>
      <c r="L601" t="s">
        <v>2917</v>
      </c>
      <c r="M601">
        <v>418.44</v>
      </c>
      <c r="N601" t="s">
        <v>2917</v>
      </c>
      <c r="O601" t="s">
        <v>2208</v>
      </c>
      <c r="P601" t="s">
        <v>2208</v>
      </c>
      <c r="Q601" t="s">
        <v>2208</v>
      </c>
      <c r="R601" t="s">
        <v>2208</v>
      </c>
    </row>
    <row r="602" spans="1:18">
      <c r="A602" t="s">
        <v>2418</v>
      </c>
      <c r="B602" t="s">
        <v>7740</v>
      </c>
      <c r="C602">
        <v>45719</v>
      </c>
      <c r="D602" t="s">
        <v>7263</v>
      </c>
      <c r="E602" t="s">
        <v>2925</v>
      </c>
      <c r="F602">
        <v>45716</v>
      </c>
      <c r="G602" t="s">
        <v>2208</v>
      </c>
      <c r="H602" t="s">
        <v>7834</v>
      </c>
      <c r="I602" t="s">
        <v>9344</v>
      </c>
      <c r="J602">
        <v>0.5</v>
      </c>
      <c r="K602">
        <v>52.31</v>
      </c>
      <c r="L602" t="s">
        <v>2917</v>
      </c>
      <c r="M602">
        <v>52.31</v>
      </c>
      <c r="N602" t="s">
        <v>2917</v>
      </c>
      <c r="O602" t="s">
        <v>2208</v>
      </c>
      <c r="P602" t="s">
        <v>2208</v>
      </c>
      <c r="Q602" t="s">
        <v>2208</v>
      </c>
      <c r="R602" t="s">
        <v>2208</v>
      </c>
    </row>
    <row r="603" spans="1:18">
      <c r="A603" t="s">
        <v>2418</v>
      </c>
      <c r="B603" t="s">
        <v>7740</v>
      </c>
      <c r="C603">
        <v>45719</v>
      </c>
      <c r="D603" t="s">
        <v>7263</v>
      </c>
      <c r="E603" t="s">
        <v>2925</v>
      </c>
      <c r="F603">
        <v>45716</v>
      </c>
      <c r="G603" t="s">
        <v>2208</v>
      </c>
      <c r="H603" t="s">
        <v>7834</v>
      </c>
      <c r="I603" t="s">
        <v>9345</v>
      </c>
      <c r="J603">
        <v>0.8</v>
      </c>
      <c r="K603">
        <v>83.69</v>
      </c>
      <c r="L603" t="s">
        <v>2917</v>
      </c>
      <c r="M603">
        <v>83.69</v>
      </c>
      <c r="N603" t="s">
        <v>2917</v>
      </c>
      <c r="O603" t="s">
        <v>2208</v>
      </c>
      <c r="P603" t="s">
        <v>2208</v>
      </c>
      <c r="Q603" t="s">
        <v>2208</v>
      </c>
      <c r="R603" t="s">
        <v>2208</v>
      </c>
    </row>
    <row r="604" spans="1:18">
      <c r="A604" t="s">
        <v>2418</v>
      </c>
      <c r="B604" t="s">
        <v>7740</v>
      </c>
      <c r="C604">
        <v>45719</v>
      </c>
      <c r="D604" t="s">
        <v>7263</v>
      </c>
      <c r="E604" t="s">
        <v>2925</v>
      </c>
      <c r="F604">
        <v>45716</v>
      </c>
      <c r="G604" t="s">
        <v>2208</v>
      </c>
      <c r="H604" t="s">
        <v>7834</v>
      </c>
      <c r="I604" t="s">
        <v>9346</v>
      </c>
      <c r="J604">
        <v>1</v>
      </c>
      <c r="K604">
        <v>104.61</v>
      </c>
      <c r="L604" t="s">
        <v>2917</v>
      </c>
      <c r="M604">
        <v>104.61</v>
      </c>
      <c r="N604" t="s">
        <v>2917</v>
      </c>
      <c r="O604" t="s">
        <v>2208</v>
      </c>
      <c r="P604" t="s">
        <v>2208</v>
      </c>
      <c r="Q604" t="s">
        <v>2208</v>
      </c>
      <c r="R604" t="s">
        <v>2208</v>
      </c>
    </row>
    <row r="605" spans="1:18">
      <c r="A605" t="s">
        <v>2418</v>
      </c>
      <c r="B605" t="s">
        <v>7740</v>
      </c>
      <c r="C605">
        <v>45719</v>
      </c>
      <c r="D605" t="s">
        <v>7263</v>
      </c>
      <c r="E605" t="s">
        <v>2925</v>
      </c>
      <c r="F605">
        <v>45716</v>
      </c>
      <c r="G605" t="s">
        <v>2208</v>
      </c>
      <c r="H605" t="s">
        <v>7834</v>
      </c>
      <c r="I605" t="s">
        <v>9347</v>
      </c>
      <c r="J605">
        <v>3</v>
      </c>
      <c r="K605">
        <v>313.83</v>
      </c>
      <c r="L605" t="s">
        <v>2917</v>
      </c>
      <c r="M605">
        <v>313.83</v>
      </c>
      <c r="N605" t="s">
        <v>2917</v>
      </c>
      <c r="O605" t="s">
        <v>2208</v>
      </c>
      <c r="P605" t="s">
        <v>2208</v>
      </c>
      <c r="Q605" t="s">
        <v>2208</v>
      </c>
      <c r="R605" t="s">
        <v>2208</v>
      </c>
    </row>
    <row r="606" spans="1:18">
      <c r="A606" t="s">
        <v>2418</v>
      </c>
      <c r="B606" t="s">
        <v>7740</v>
      </c>
      <c r="C606">
        <v>45719</v>
      </c>
      <c r="D606" t="s">
        <v>7263</v>
      </c>
      <c r="E606" t="s">
        <v>2925</v>
      </c>
      <c r="F606">
        <v>45716</v>
      </c>
      <c r="G606" t="s">
        <v>2208</v>
      </c>
      <c r="H606" t="s">
        <v>7834</v>
      </c>
      <c r="I606" t="s">
        <v>9348</v>
      </c>
      <c r="J606">
        <v>1</v>
      </c>
      <c r="K606">
        <v>104.61</v>
      </c>
      <c r="L606" t="s">
        <v>2917</v>
      </c>
      <c r="M606">
        <v>104.61</v>
      </c>
      <c r="N606" t="s">
        <v>2917</v>
      </c>
      <c r="O606" t="s">
        <v>2208</v>
      </c>
      <c r="P606" t="s">
        <v>2208</v>
      </c>
      <c r="Q606" t="s">
        <v>2208</v>
      </c>
      <c r="R606" t="s">
        <v>2208</v>
      </c>
    </row>
    <row r="607" spans="1:18">
      <c r="A607" t="s">
        <v>2418</v>
      </c>
      <c r="B607" t="s">
        <v>7740</v>
      </c>
      <c r="C607">
        <v>45719</v>
      </c>
      <c r="D607" t="s">
        <v>7263</v>
      </c>
      <c r="E607" t="s">
        <v>2925</v>
      </c>
      <c r="F607">
        <v>45716</v>
      </c>
      <c r="G607" t="s">
        <v>2208</v>
      </c>
      <c r="H607" t="s">
        <v>7834</v>
      </c>
      <c r="I607" t="s">
        <v>9349</v>
      </c>
      <c r="J607">
        <v>1</v>
      </c>
      <c r="K607">
        <v>104.61</v>
      </c>
      <c r="L607" t="s">
        <v>2917</v>
      </c>
      <c r="M607">
        <v>104.61</v>
      </c>
      <c r="N607" t="s">
        <v>2917</v>
      </c>
      <c r="O607" t="s">
        <v>2208</v>
      </c>
      <c r="P607" t="s">
        <v>2208</v>
      </c>
      <c r="Q607" t="s">
        <v>2208</v>
      </c>
      <c r="R607" t="s">
        <v>2208</v>
      </c>
    </row>
    <row r="608" spans="1:18">
      <c r="A608" t="s">
        <v>2418</v>
      </c>
      <c r="B608" t="s">
        <v>7740</v>
      </c>
      <c r="C608">
        <v>45719</v>
      </c>
      <c r="D608" t="s">
        <v>7263</v>
      </c>
      <c r="E608" t="s">
        <v>2925</v>
      </c>
      <c r="F608">
        <v>45716</v>
      </c>
      <c r="G608" t="s">
        <v>2208</v>
      </c>
      <c r="H608" t="s">
        <v>7834</v>
      </c>
      <c r="I608" t="s">
        <v>9350</v>
      </c>
      <c r="J608">
        <v>3</v>
      </c>
      <c r="K608">
        <v>313.83</v>
      </c>
      <c r="L608" t="s">
        <v>2917</v>
      </c>
      <c r="M608">
        <v>313.83</v>
      </c>
      <c r="N608" t="s">
        <v>2917</v>
      </c>
      <c r="O608" t="s">
        <v>2208</v>
      </c>
      <c r="P608" t="s">
        <v>2208</v>
      </c>
      <c r="Q608" t="s">
        <v>2208</v>
      </c>
      <c r="R608" t="s">
        <v>2208</v>
      </c>
    </row>
    <row r="609" spans="1:18">
      <c r="A609" t="s">
        <v>2418</v>
      </c>
      <c r="B609" t="s">
        <v>7740</v>
      </c>
      <c r="C609">
        <v>45719</v>
      </c>
      <c r="D609" t="s">
        <v>7263</v>
      </c>
      <c r="E609" t="s">
        <v>2925</v>
      </c>
      <c r="F609">
        <v>45716</v>
      </c>
      <c r="G609" t="s">
        <v>2208</v>
      </c>
      <c r="H609" t="s">
        <v>7834</v>
      </c>
      <c r="I609" t="s">
        <v>9351</v>
      </c>
      <c r="J609">
        <v>2</v>
      </c>
      <c r="K609">
        <v>209.22</v>
      </c>
      <c r="L609" t="s">
        <v>2917</v>
      </c>
      <c r="M609">
        <v>209.22</v>
      </c>
      <c r="N609" t="s">
        <v>2917</v>
      </c>
      <c r="O609" t="s">
        <v>2208</v>
      </c>
      <c r="P609" t="s">
        <v>2208</v>
      </c>
      <c r="Q609" t="s">
        <v>2208</v>
      </c>
      <c r="R609" t="s">
        <v>2208</v>
      </c>
    </row>
    <row r="610" spans="1:18">
      <c r="A610" t="s">
        <v>2418</v>
      </c>
      <c r="B610" t="s">
        <v>7740</v>
      </c>
      <c r="C610">
        <v>45719</v>
      </c>
      <c r="D610" t="s">
        <v>7263</v>
      </c>
      <c r="E610" t="s">
        <v>2925</v>
      </c>
      <c r="F610">
        <v>45716</v>
      </c>
      <c r="G610" t="s">
        <v>2208</v>
      </c>
      <c r="H610" t="s">
        <v>7834</v>
      </c>
      <c r="I610" t="s">
        <v>9352</v>
      </c>
      <c r="J610">
        <v>2</v>
      </c>
      <c r="K610">
        <v>209.22</v>
      </c>
      <c r="L610" t="s">
        <v>2917</v>
      </c>
      <c r="M610">
        <v>209.22</v>
      </c>
      <c r="N610" t="s">
        <v>2917</v>
      </c>
      <c r="O610" t="s">
        <v>2208</v>
      </c>
      <c r="P610" t="s">
        <v>2208</v>
      </c>
      <c r="Q610" t="s">
        <v>2208</v>
      </c>
      <c r="R610" t="s">
        <v>2208</v>
      </c>
    </row>
    <row r="611" spans="1:18">
      <c r="A611" t="s">
        <v>2418</v>
      </c>
      <c r="B611" t="s">
        <v>7740</v>
      </c>
      <c r="C611">
        <v>45719</v>
      </c>
      <c r="D611" t="s">
        <v>7263</v>
      </c>
      <c r="E611" t="s">
        <v>2925</v>
      </c>
      <c r="F611">
        <v>45716</v>
      </c>
      <c r="G611" t="s">
        <v>2208</v>
      </c>
      <c r="H611" t="s">
        <v>7834</v>
      </c>
      <c r="I611" t="s">
        <v>9353</v>
      </c>
      <c r="J611">
        <v>1</v>
      </c>
      <c r="K611">
        <v>104.61</v>
      </c>
      <c r="L611" t="s">
        <v>2917</v>
      </c>
      <c r="M611">
        <v>104.61</v>
      </c>
      <c r="N611" t="s">
        <v>2917</v>
      </c>
      <c r="O611" t="s">
        <v>2208</v>
      </c>
      <c r="P611" t="s">
        <v>2208</v>
      </c>
      <c r="Q611" t="s">
        <v>2208</v>
      </c>
      <c r="R611" t="s">
        <v>2208</v>
      </c>
    </row>
    <row r="612" spans="1:18">
      <c r="A612" t="s">
        <v>2418</v>
      </c>
      <c r="B612" t="s">
        <v>7740</v>
      </c>
      <c r="C612">
        <v>45719</v>
      </c>
      <c r="D612" t="s">
        <v>7263</v>
      </c>
      <c r="E612" t="s">
        <v>2925</v>
      </c>
      <c r="F612">
        <v>45716</v>
      </c>
      <c r="G612" t="s">
        <v>2208</v>
      </c>
      <c r="H612" t="s">
        <v>7834</v>
      </c>
      <c r="I612" t="s">
        <v>9354</v>
      </c>
      <c r="J612">
        <v>2</v>
      </c>
      <c r="K612">
        <v>209.22</v>
      </c>
      <c r="L612" t="s">
        <v>2917</v>
      </c>
      <c r="M612">
        <v>209.22</v>
      </c>
      <c r="N612" t="s">
        <v>2917</v>
      </c>
      <c r="O612" t="s">
        <v>2208</v>
      </c>
      <c r="P612" t="s">
        <v>2208</v>
      </c>
      <c r="Q612" t="s">
        <v>2208</v>
      </c>
      <c r="R612" t="s">
        <v>2208</v>
      </c>
    </row>
    <row r="613" spans="1:18">
      <c r="A613" t="s">
        <v>2418</v>
      </c>
      <c r="B613" t="s">
        <v>7740</v>
      </c>
      <c r="C613">
        <v>45719</v>
      </c>
      <c r="D613" t="s">
        <v>7263</v>
      </c>
      <c r="E613" t="s">
        <v>2925</v>
      </c>
      <c r="F613">
        <v>45716</v>
      </c>
      <c r="G613" t="s">
        <v>2208</v>
      </c>
      <c r="H613" t="s">
        <v>7834</v>
      </c>
      <c r="I613" t="s">
        <v>9355</v>
      </c>
      <c r="J613">
        <v>2</v>
      </c>
      <c r="K613">
        <v>209.22</v>
      </c>
      <c r="L613" t="s">
        <v>2917</v>
      </c>
      <c r="M613">
        <v>209.22</v>
      </c>
      <c r="N613" t="s">
        <v>2917</v>
      </c>
      <c r="O613" t="s">
        <v>2208</v>
      </c>
      <c r="P613" t="s">
        <v>2208</v>
      </c>
      <c r="Q613" t="s">
        <v>2208</v>
      </c>
      <c r="R613" t="s">
        <v>2208</v>
      </c>
    </row>
    <row r="614" spans="1:18">
      <c r="A614" t="s">
        <v>2418</v>
      </c>
      <c r="B614" t="s">
        <v>7740</v>
      </c>
      <c r="C614">
        <v>45719</v>
      </c>
      <c r="D614" t="s">
        <v>7263</v>
      </c>
      <c r="E614" t="s">
        <v>2925</v>
      </c>
      <c r="F614">
        <v>45716</v>
      </c>
      <c r="G614" t="s">
        <v>2208</v>
      </c>
      <c r="H614" t="s">
        <v>7834</v>
      </c>
      <c r="I614" t="s">
        <v>9356</v>
      </c>
      <c r="J614">
        <v>3</v>
      </c>
      <c r="K614">
        <v>313.83</v>
      </c>
      <c r="L614" t="s">
        <v>2917</v>
      </c>
      <c r="M614">
        <v>313.83</v>
      </c>
      <c r="N614" t="s">
        <v>2917</v>
      </c>
      <c r="O614" t="s">
        <v>2208</v>
      </c>
      <c r="P614" t="s">
        <v>2208</v>
      </c>
      <c r="Q614" t="s">
        <v>2208</v>
      </c>
      <c r="R614" t="s">
        <v>2208</v>
      </c>
    </row>
    <row r="615" spans="1:18">
      <c r="A615" t="s">
        <v>2418</v>
      </c>
      <c r="B615" t="s">
        <v>7740</v>
      </c>
      <c r="C615">
        <v>45719</v>
      </c>
      <c r="D615" t="s">
        <v>7263</v>
      </c>
      <c r="E615" t="s">
        <v>2925</v>
      </c>
      <c r="F615">
        <v>45716</v>
      </c>
      <c r="G615" t="s">
        <v>2208</v>
      </c>
      <c r="H615" t="s">
        <v>7834</v>
      </c>
      <c r="I615" t="s">
        <v>9357</v>
      </c>
      <c r="J615">
        <v>3</v>
      </c>
      <c r="K615">
        <v>313.83</v>
      </c>
      <c r="L615" t="s">
        <v>2917</v>
      </c>
      <c r="M615">
        <v>313.83</v>
      </c>
      <c r="N615" t="s">
        <v>2917</v>
      </c>
      <c r="O615" t="s">
        <v>2208</v>
      </c>
      <c r="P615" t="s">
        <v>2208</v>
      </c>
      <c r="Q615" t="s">
        <v>2208</v>
      </c>
      <c r="R615" t="s">
        <v>2208</v>
      </c>
    </row>
    <row r="616" spans="1:18">
      <c r="A616" t="s">
        <v>2418</v>
      </c>
      <c r="B616" t="s">
        <v>7740</v>
      </c>
      <c r="C616">
        <v>45719</v>
      </c>
      <c r="D616" t="s">
        <v>7263</v>
      </c>
      <c r="E616" t="s">
        <v>2925</v>
      </c>
      <c r="F616">
        <v>45716</v>
      </c>
      <c r="G616" t="s">
        <v>2208</v>
      </c>
      <c r="H616" t="s">
        <v>7834</v>
      </c>
      <c r="I616" t="s">
        <v>9358</v>
      </c>
      <c r="J616">
        <v>3</v>
      </c>
      <c r="K616">
        <v>313.83</v>
      </c>
      <c r="L616" t="s">
        <v>2917</v>
      </c>
      <c r="M616">
        <v>313.83</v>
      </c>
      <c r="N616" t="s">
        <v>2917</v>
      </c>
      <c r="O616" t="s">
        <v>2208</v>
      </c>
      <c r="P616" t="s">
        <v>2208</v>
      </c>
      <c r="Q616" t="s">
        <v>2208</v>
      </c>
      <c r="R616" t="s">
        <v>2208</v>
      </c>
    </row>
    <row r="617" spans="1:18">
      <c r="A617" t="s">
        <v>2418</v>
      </c>
      <c r="B617" t="s">
        <v>7740</v>
      </c>
      <c r="C617">
        <v>45719</v>
      </c>
      <c r="D617" t="s">
        <v>7263</v>
      </c>
      <c r="E617" t="s">
        <v>2925</v>
      </c>
      <c r="F617">
        <v>45716</v>
      </c>
      <c r="G617" t="s">
        <v>2208</v>
      </c>
      <c r="H617" t="s">
        <v>7834</v>
      </c>
      <c r="I617" t="s">
        <v>9359</v>
      </c>
      <c r="J617">
        <v>2</v>
      </c>
      <c r="K617">
        <v>209.22</v>
      </c>
      <c r="L617" t="s">
        <v>2917</v>
      </c>
      <c r="M617">
        <v>209.22</v>
      </c>
      <c r="N617" t="s">
        <v>2917</v>
      </c>
      <c r="O617" t="s">
        <v>2208</v>
      </c>
      <c r="P617" t="s">
        <v>2208</v>
      </c>
      <c r="Q617" t="s">
        <v>2208</v>
      </c>
      <c r="R617" t="s">
        <v>2208</v>
      </c>
    </row>
    <row r="618" spans="1:18">
      <c r="A618" t="s">
        <v>2418</v>
      </c>
      <c r="B618" t="s">
        <v>7740</v>
      </c>
      <c r="C618">
        <v>45719</v>
      </c>
      <c r="D618" t="s">
        <v>7263</v>
      </c>
      <c r="E618" t="s">
        <v>2925</v>
      </c>
      <c r="F618">
        <v>45716</v>
      </c>
      <c r="G618" t="s">
        <v>2208</v>
      </c>
      <c r="H618" t="s">
        <v>7834</v>
      </c>
      <c r="I618" t="s">
        <v>9360</v>
      </c>
      <c r="J618">
        <v>2</v>
      </c>
      <c r="K618">
        <v>209.22</v>
      </c>
      <c r="L618" t="s">
        <v>2917</v>
      </c>
      <c r="M618">
        <v>209.22</v>
      </c>
      <c r="N618" t="s">
        <v>2917</v>
      </c>
      <c r="O618" t="s">
        <v>2208</v>
      </c>
      <c r="P618" t="s">
        <v>2208</v>
      </c>
      <c r="Q618" t="s">
        <v>2208</v>
      </c>
      <c r="R618" t="s">
        <v>2208</v>
      </c>
    </row>
    <row r="619" spans="1:18">
      <c r="A619" t="s">
        <v>2418</v>
      </c>
      <c r="B619" t="s">
        <v>7740</v>
      </c>
      <c r="C619">
        <v>45719</v>
      </c>
      <c r="D619" t="s">
        <v>7263</v>
      </c>
      <c r="E619" t="s">
        <v>2925</v>
      </c>
      <c r="F619">
        <v>45716</v>
      </c>
      <c r="G619" t="s">
        <v>2208</v>
      </c>
      <c r="H619" t="s">
        <v>7834</v>
      </c>
      <c r="I619" t="s">
        <v>9361</v>
      </c>
      <c r="J619">
        <v>2</v>
      </c>
      <c r="K619">
        <v>209.22</v>
      </c>
      <c r="L619" t="s">
        <v>2917</v>
      </c>
      <c r="M619">
        <v>209.22</v>
      </c>
      <c r="N619" t="s">
        <v>2917</v>
      </c>
      <c r="O619" t="s">
        <v>2208</v>
      </c>
      <c r="P619" t="s">
        <v>2208</v>
      </c>
      <c r="Q619" t="s">
        <v>2208</v>
      </c>
      <c r="R619" t="s">
        <v>2208</v>
      </c>
    </row>
    <row r="620" spans="1:18">
      <c r="A620" t="s">
        <v>2418</v>
      </c>
      <c r="B620" t="s">
        <v>7740</v>
      </c>
      <c r="C620">
        <v>45719</v>
      </c>
      <c r="D620" t="s">
        <v>7263</v>
      </c>
      <c r="E620" t="s">
        <v>2925</v>
      </c>
      <c r="F620">
        <v>45716</v>
      </c>
      <c r="G620" t="s">
        <v>2208</v>
      </c>
      <c r="H620" t="s">
        <v>7834</v>
      </c>
      <c r="I620" t="s">
        <v>9362</v>
      </c>
      <c r="J620">
        <v>2</v>
      </c>
      <c r="K620">
        <v>209.22</v>
      </c>
      <c r="L620" t="s">
        <v>2917</v>
      </c>
      <c r="M620">
        <v>209.22</v>
      </c>
      <c r="N620" t="s">
        <v>2917</v>
      </c>
      <c r="O620" t="s">
        <v>2208</v>
      </c>
      <c r="P620" t="s">
        <v>2208</v>
      </c>
      <c r="Q620" t="s">
        <v>2208</v>
      </c>
      <c r="R620" t="s">
        <v>2208</v>
      </c>
    </row>
    <row r="621" spans="1:18">
      <c r="A621" t="s">
        <v>2418</v>
      </c>
      <c r="B621" t="s">
        <v>7740</v>
      </c>
      <c r="C621">
        <v>45719</v>
      </c>
      <c r="D621" t="s">
        <v>7263</v>
      </c>
      <c r="E621" t="s">
        <v>2925</v>
      </c>
      <c r="F621">
        <v>45716</v>
      </c>
      <c r="G621" t="s">
        <v>2208</v>
      </c>
      <c r="H621" t="s">
        <v>7834</v>
      </c>
      <c r="I621" t="s">
        <v>9363</v>
      </c>
      <c r="J621">
        <v>2</v>
      </c>
      <c r="K621">
        <v>209.22</v>
      </c>
      <c r="L621" t="s">
        <v>2917</v>
      </c>
      <c r="M621">
        <v>209.22</v>
      </c>
      <c r="N621" t="s">
        <v>2917</v>
      </c>
      <c r="O621" t="s">
        <v>2208</v>
      </c>
      <c r="P621" t="s">
        <v>2208</v>
      </c>
      <c r="Q621" t="s">
        <v>2208</v>
      </c>
      <c r="R621" t="s">
        <v>2208</v>
      </c>
    </row>
    <row r="622" spans="1:18">
      <c r="A622" t="s">
        <v>2501</v>
      </c>
      <c r="B622" t="s">
        <v>7740</v>
      </c>
      <c r="C622">
        <v>45719</v>
      </c>
      <c r="D622" t="s">
        <v>7263</v>
      </c>
      <c r="E622" t="s">
        <v>2925</v>
      </c>
      <c r="F622">
        <v>45716</v>
      </c>
      <c r="G622" t="s">
        <v>2208</v>
      </c>
      <c r="H622" t="s">
        <v>7834</v>
      </c>
      <c r="I622" t="s">
        <v>9364</v>
      </c>
      <c r="J622">
        <v>1</v>
      </c>
      <c r="K622">
        <v>104.61</v>
      </c>
      <c r="L622" t="s">
        <v>2917</v>
      </c>
      <c r="M622">
        <v>104.61</v>
      </c>
      <c r="N622" t="s">
        <v>2917</v>
      </c>
      <c r="O622" t="s">
        <v>2208</v>
      </c>
      <c r="P622" t="s">
        <v>2208</v>
      </c>
      <c r="Q622" t="s">
        <v>2208</v>
      </c>
      <c r="R622" t="s">
        <v>2208</v>
      </c>
    </row>
    <row r="623" spans="1:18">
      <c r="A623" t="s">
        <v>2501</v>
      </c>
      <c r="B623" t="s">
        <v>7740</v>
      </c>
      <c r="C623">
        <v>45719</v>
      </c>
      <c r="D623" t="s">
        <v>7263</v>
      </c>
      <c r="E623" t="s">
        <v>2925</v>
      </c>
      <c r="F623">
        <v>45716</v>
      </c>
      <c r="G623" t="s">
        <v>2208</v>
      </c>
      <c r="H623" t="s">
        <v>7834</v>
      </c>
      <c r="I623" t="s">
        <v>9365</v>
      </c>
      <c r="J623">
        <v>1</v>
      </c>
      <c r="K623">
        <v>104.61</v>
      </c>
      <c r="L623" t="s">
        <v>2917</v>
      </c>
      <c r="M623">
        <v>104.61</v>
      </c>
      <c r="N623" t="s">
        <v>2917</v>
      </c>
      <c r="O623" t="s">
        <v>2208</v>
      </c>
      <c r="P623" t="s">
        <v>2208</v>
      </c>
      <c r="Q623" t="s">
        <v>2208</v>
      </c>
      <c r="R623" t="s">
        <v>2208</v>
      </c>
    </row>
    <row r="624" spans="1:18">
      <c r="A624" t="s">
        <v>2501</v>
      </c>
      <c r="B624" t="s">
        <v>7740</v>
      </c>
      <c r="C624">
        <v>45719</v>
      </c>
      <c r="D624" t="s">
        <v>7263</v>
      </c>
      <c r="E624" t="s">
        <v>2925</v>
      </c>
      <c r="F624">
        <v>45716</v>
      </c>
      <c r="G624" t="s">
        <v>2208</v>
      </c>
      <c r="H624" t="s">
        <v>7834</v>
      </c>
      <c r="I624" t="s">
        <v>9366</v>
      </c>
      <c r="J624">
        <v>2</v>
      </c>
      <c r="K624">
        <v>209.22</v>
      </c>
      <c r="L624" t="s">
        <v>2917</v>
      </c>
      <c r="M624">
        <v>209.22</v>
      </c>
      <c r="N624" t="s">
        <v>2917</v>
      </c>
      <c r="O624" t="s">
        <v>2208</v>
      </c>
      <c r="P624" t="s">
        <v>2208</v>
      </c>
      <c r="Q624" t="s">
        <v>2208</v>
      </c>
      <c r="R624" t="s">
        <v>2208</v>
      </c>
    </row>
    <row r="625" spans="1:18">
      <c r="A625" t="s">
        <v>2501</v>
      </c>
      <c r="B625" t="s">
        <v>7740</v>
      </c>
      <c r="C625">
        <v>45719</v>
      </c>
      <c r="D625" t="s">
        <v>7263</v>
      </c>
      <c r="E625" t="s">
        <v>2925</v>
      </c>
      <c r="F625">
        <v>45716</v>
      </c>
      <c r="G625" t="s">
        <v>2208</v>
      </c>
      <c r="H625" t="s">
        <v>7834</v>
      </c>
      <c r="I625" t="s">
        <v>9367</v>
      </c>
      <c r="J625">
        <v>1</v>
      </c>
      <c r="K625">
        <v>104.61</v>
      </c>
      <c r="L625" t="s">
        <v>2917</v>
      </c>
      <c r="M625">
        <v>104.61</v>
      </c>
      <c r="N625" t="s">
        <v>2917</v>
      </c>
      <c r="O625" t="s">
        <v>2208</v>
      </c>
      <c r="P625" t="s">
        <v>2208</v>
      </c>
      <c r="Q625" t="s">
        <v>2208</v>
      </c>
      <c r="R625" t="s">
        <v>2208</v>
      </c>
    </row>
    <row r="626" spans="1:18">
      <c r="A626" t="s">
        <v>2501</v>
      </c>
      <c r="B626" t="s">
        <v>7740</v>
      </c>
      <c r="C626">
        <v>45719</v>
      </c>
      <c r="D626" t="s">
        <v>7263</v>
      </c>
      <c r="E626" t="s">
        <v>2925</v>
      </c>
      <c r="F626">
        <v>45716</v>
      </c>
      <c r="G626" t="s">
        <v>2208</v>
      </c>
      <c r="H626" t="s">
        <v>7834</v>
      </c>
      <c r="I626" t="s">
        <v>9368</v>
      </c>
      <c r="J626">
        <v>1</v>
      </c>
      <c r="K626">
        <v>104.61</v>
      </c>
      <c r="L626" t="s">
        <v>2917</v>
      </c>
      <c r="M626">
        <v>104.61</v>
      </c>
      <c r="N626" t="s">
        <v>2917</v>
      </c>
      <c r="O626" t="s">
        <v>2208</v>
      </c>
      <c r="P626" t="s">
        <v>2208</v>
      </c>
      <c r="Q626" t="s">
        <v>2208</v>
      </c>
      <c r="R626" t="s">
        <v>2208</v>
      </c>
    </row>
    <row r="627" spans="1:18">
      <c r="A627" t="s">
        <v>2501</v>
      </c>
      <c r="B627" t="s">
        <v>7740</v>
      </c>
      <c r="C627">
        <v>45719</v>
      </c>
      <c r="D627" t="s">
        <v>7263</v>
      </c>
      <c r="E627" t="s">
        <v>2925</v>
      </c>
      <c r="F627">
        <v>45716</v>
      </c>
      <c r="G627" t="s">
        <v>2208</v>
      </c>
      <c r="H627" t="s">
        <v>7834</v>
      </c>
      <c r="I627" t="s">
        <v>9369</v>
      </c>
      <c r="J627">
        <v>1</v>
      </c>
      <c r="K627">
        <v>104.61</v>
      </c>
      <c r="L627" t="s">
        <v>2917</v>
      </c>
      <c r="M627">
        <v>104.61</v>
      </c>
      <c r="N627" t="s">
        <v>2917</v>
      </c>
      <c r="O627" t="s">
        <v>2208</v>
      </c>
      <c r="P627" t="s">
        <v>2208</v>
      </c>
      <c r="Q627" t="s">
        <v>2208</v>
      </c>
      <c r="R627" t="s">
        <v>2208</v>
      </c>
    </row>
    <row r="628" spans="1:18">
      <c r="A628" t="s">
        <v>2501</v>
      </c>
      <c r="B628" t="s">
        <v>7740</v>
      </c>
      <c r="C628">
        <v>45719</v>
      </c>
      <c r="D628" t="s">
        <v>7263</v>
      </c>
      <c r="E628" t="s">
        <v>2925</v>
      </c>
      <c r="F628">
        <v>45716</v>
      </c>
      <c r="G628" t="s">
        <v>2208</v>
      </c>
      <c r="H628" t="s">
        <v>7834</v>
      </c>
      <c r="I628" t="s">
        <v>9370</v>
      </c>
      <c r="J628">
        <v>1</v>
      </c>
      <c r="K628">
        <v>104.61</v>
      </c>
      <c r="L628" t="s">
        <v>2917</v>
      </c>
      <c r="M628">
        <v>104.61</v>
      </c>
      <c r="N628" t="s">
        <v>2917</v>
      </c>
      <c r="O628" t="s">
        <v>2208</v>
      </c>
      <c r="P628" t="s">
        <v>2208</v>
      </c>
      <c r="Q628" t="s">
        <v>2208</v>
      </c>
      <c r="R628" t="s">
        <v>2208</v>
      </c>
    </row>
    <row r="629" spans="1:18">
      <c r="A629" t="s">
        <v>2501</v>
      </c>
      <c r="B629" t="s">
        <v>7740</v>
      </c>
      <c r="C629">
        <v>45719</v>
      </c>
      <c r="D629" t="s">
        <v>7263</v>
      </c>
      <c r="E629" t="s">
        <v>2925</v>
      </c>
      <c r="F629">
        <v>45716</v>
      </c>
      <c r="G629" t="s">
        <v>2208</v>
      </c>
      <c r="H629" t="s">
        <v>7834</v>
      </c>
      <c r="I629" t="s">
        <v>9371</v>
      </c>
      <c r="J629">
        <v>0.5</v>
      </c>
      <c r="K629">
        <v>52.31</v>
      </c>
      <c r="L629" t="s">
        <v>2917</v>
      </c>
      <c r="M629">
        <v>52.31</v>
      </c>
      <c r="N629" t="s">
        <v>2917</v>
      </c>
      <c r="O629" t="s">
        <v>2208</v>
      </c>
      <c r="P629" t="s">
        <v>2208</v>
      </c>
      <c r="Q629" t="s">
        <v>2208</v>
      </c>
      <c r="R629" t="s">
        <v>2208</v>
      </c>
    </row>
    <row r="630" spans="1:18">
      <c r="A630" t="s">
        <v>2600</v>
      </c>
      <c r="B630" t="s">
        <v>7740</v>
      </c>
      <c r="C630">
        <v>45719</v>
      </c>
      <c r="D630" t="s">
        <v>7263</v>
      </c>
      <c r="E630" t="s">
        <v>2925</v>
      </c>
      <c r="F630">
        <v>45716</v>
      </c>
      <c r="G630" t="s">
        <v>2208</v>
      </c>
      <c r="H630" t="s">
        <v>7834</v>
      </c>
      <c r="I630" t="s">
        <v>9372</v>
      </c>
      <c r="J630">
        <v>0.5</v>
      </c>
      <c r="K630">
        <v>52.31</v>
      </c>
      <c r="L630" t="s">
        <v>2917</v>
      </c>
      <c r="M630">
        <v>52.31</v>
      </c>
      <c r="N630" t="s">
        <v>2917</v>
      </c>
      <c r="O630" t="s">
        <v>2208</v>
      </c>
      <c r="P630" t="s">
        <v>2208</v>
      </c>
      <c r="Q630" t="s">
        <v>2208</v>
      </c>
      <c r="R630" t="s">
        <v>2208</v>
      </c>
    </row>
    <row r="631" spans="1:18">
      <c r="A631" t="s">
        <v>2600</v>
      </c>
      <c r="B631" t="s">
        <v>7740</v>
      </c>
      <c r="C631">
        <v>45719</v>
      </c>
      <c r="D631" t="s">
        <v>7263</v>
      </c>
      <c r="E631" t="s">
        <v>2925</v>
      </c>
      <c r="F631">
        <v>45716</v>
      </c>
      <c r="G631" t="s">
        <v>2208</v>
      </c>
      <c r="H631" t="s">
        <v>7834</v>
      </c>
      <c r="I631" t="s">
        <v>9373</v>
      </c>
      <c r="J631">
        <v>1</v>
      </c>
      <c r="K631">
        <v>104.61</v>
      </c>
      <c r="L631" t="s">
        <v>2917</v>
      </c>
      <c r="M631">
        <v>104.61</v>
      </c>
      <c r="N631" t="s">
        <v>2917</v>
      </c>
      <c r="O631" t="s">
        <v>2208</v>
      </c>
      <c r="P631" t="s">
        <v>2208</v>
      </c>
      <c r="Q631" t="s">
        <v>2208</v>
      </c>
      <c r="R631" t="s">
        <v>2208</v>
      </c>
    </row>
    <row r="632" spans="1:18">
      <c r="A632" t="s">
        <v>2724</v>
      </c>
      <c r="B632" t="s">
        <v>7740</v>
      </c>
      <c r="C632">
        <v>45719</v>
      </c>
      <c r="D632" t="s">
        <v>7263</v>
      </c>
      <c r="E632" t="s">
        <v>2925</v>
      </c>
      <c r="F632">
        <v>45716</v>
      </c>
      <c r="G632" t="s">
        <v>2208</v>
      </c>
      <c r="H632" t="s">
        <v>7834</v>
      </c>
      <c r="I632" t="s">
        <v>9374</v>
      </c>
      <c r="J632">
        <v>1</v>
      </c>
      <c r="K632">
        <v>104.61</v>
      </c>
      <c r="L632" t="s">
        <v>2917</v>
      </c>
      <c r="M632">
        <v>104.61</v>
      </c>
      <c r="N632" t="s">
        <v>2917</v>
      </c>
      <c r="O632" t="s">
        <v>2208</v>
      </c>
      <c r="P632" t="s">
        <v>2208</v>
      </c>
      <c r="Q632" t="s">
        <v>2208</v>
      </c>
      <c r="R632" t="s">
        <v>2208</v>
      </c>
    </row>
    <row r="633" spans="1:18">
      <c r="A633" t="s">
        <v>2725</v>
      </c>
      <c r="B633" t="s">
        <v>7740</v>
      </c>
      <c r="C633">
        <v>45719</v>
      </c>
      <c r="D633" t="s">
        <v>7263</v>
      </c>
      <c r="E633" t="s">
        <v>2925</v>
      </c>
      <c r="F633">
        <v>45716</v>
      </c>
      <c r="G633" t="s">
        <v>2208</v>
      </c>
      <c r="H633" t="s">
        <v>7834</v>
      </c>
      <c r="I633" t="s">
        <v>9375</v>
      </c>
      <c r="J633">
        <v>1</v>
      </c>
      <c r="K633">
        <v>104.61</v>
      </c>
      <c r="L633" t="s">
        <v>2917</v>
      </c>
      <c r="M633">
        <v>104.61</v>
      </c>
      <c r="N633" t="s">
        <v>2917</v>
      </c>
      <c r="O633" t="s">
        <v>2208</v>
      </c>
      <c r="P633" t="s">
        <v>2208</v>
      </c>
      <c r="Q633" t="s">
        <v>2208</v>
      </c>
      <c r="R633" t="s">
        <v>2208</v>
      </c>
    </row>
    <row r="634" spans="1:18">
      <c r="A634" t="s">
        <v>2725</v>
      </c>
      <c r="B634" t="s">
        <v>7740</v>
      </c>
      <c r="C634">
        <v>45719</v>
      </c>
      <c r="D634" t="s">
        <v>7263</v>
      </c>
      <c r="E634" t="s">
        <v>2925</v>
      </c>
      <c r="F634">
        <v>45716</v>
      </c>
      <c r="G634" t="s">
        <v>2208</v>
      </c>
      <c r="H634" t="s">
        <v>7834</v>
      </c>
      <c r="I634" t="s">
        <v>9376</v>
      </c>
      <c r="J634">
        <v>1</v>
      </c>
      <c r="K634">
        <v>104.61</v>
      </c>
      <c r="L634" t="s">
        <v>2917</v>
      </c>
      <c r="M634">
        <v>104.61</v>
      </c>
      <c r="N634" t="s">
        <v>2917</v>
      </c>
      <c r="O634" t="s">
        <v>2208</v>
      </c>
      <c r="P634" t="s">
        <v>2208</v>
      </c>
      <c r="Q634" t="s">
        <v>2208</v>
      </c>
      <c r="R634" t="s">
        <v>2208</v>
      </c>
    </row>
    <row r="635" spans="1:18">
      <c r="A635" t="s">
        <v>2725</v>
      </c>
      <c r="B635" t="s">
        <v>7740</v>
      </c>
      <c r="C635">
        <v>45719</v>
      </c>
      <c r="D635" t="s">
        <v>7263</v>
      </c>
      <c r="E635" t="s">
        <v>2925</v>
      </c>
      <c r="F635">
        <v>45716</v>
      </c>
      <c r="G635" t="s">
        <v>2208</v>
      </c>
      <c r="H635" t="s">
        <v>7834</v>
      </c>
      <c r="I635" t="s">
        <v>9377</v>
      </c>
      <c r="J635">
        <v>1</v>
      </c>
      <c r="K635">
        <v>104.61</v>
      </c>
      <c r="L635" t="s">
        <v>2917</v>
      </c>
      <c r="M635">
        <v>104.61</v>
      </c>
      <c r="N635" t="s">
        <v>2917</v>
      </c>
      <c r="O635" t="s">
        <v>2208</v>
      </c>
      <c r="P635" t="s">
        <v>2208</v>
      </c>
      <c r="Q635" t="s">
        <v>2208</v>
      </c>
      <c r="R635" t="s">
        <v>2208</v>
      </c>
    </row>
    <row r="636" spans="1:18">
      <c r="A636" t="s">
        <v>2725</v>
      </c>
      <c r="B636" t="s">
        <v>7740</v>
      </c>
      <c r="C636">
        <v>45719</v>
      </c>
      <c r="D636" t="s">
        <v>7263</v>
      </c>
      <c r="E636" t="s">
        <v>2925</v>
      </c>
      <c r="F636">
        <v>45716</v>
      </c>
      <c r="G636" t="s">
        <v>2208</v>
      </c>
      <c r="H636" t="s">
        <v>7834</v>
      </c>
      <c r="I636" t="s">
        <v>9378</v>
      </c>
      <c r="J636">
        <v>1</v>
      </c>
      <c r="K636">
        <v>104.61</v>
      </c>
      <c r="L636" t="s">
        <v>2917</v>
      </c>
      <c r="M636">
        <v>104.61</v>
      </c>
      <c r="N636" t="s">
        <v>2917</v>
      </c>
      <c r="O636" t="s">
        <v>2208</v>
      </c>
      <c r="P636" t="s">
        <v>2208</v>
      </c>
      <c r="Q636" t="s">
        <v>2208</v>
      </c>
      <c r="R636" t="s">
        <v>2208</v>
      </c>
    </row>
    <row r="637" spans="1:18">
      <c r="A637" t="s">
        <v>2725</v>
      </c>
      <c r="B637" t="s">
        <v>7740</v>
      </c>
      <c r="C637">
        <v>45719</v>
      </c>
      <c r="D637" t="s">
        <v>7263</v>
      </c>
      <c r="E637" t="s">
        <v>2925</v>
      </c>
      <c r="F637">
        <v>45716</v>
      </c>
      <c r="G637" t="s">
        <v>2208</v>
      </c>
      <c r="H637" t="s">
        <v>7834</v>
      </c>
      <c r="I637" t="s">
        <v>9379</v>
      </c>
      <c r="J637">
        <v>1</v>
      </c>
      <c r="K637">
        <v>104.61</v>
      </c>
      <c r="L637" t="s">
        <v>2917</v>
      </c>
      <c r="M637">
        <v>104.61</v>
      </c>
      <c r="N637" t="s">
        <v>2917</v>
      </c>
      <c r="O637" t="s">
        <v>2208</v>
      </c>
      <c r="P637" t="s">
        <v>2208</v>
      </c>
      <c r="Q637" t="s">
        <v>2208</v>
      </c>
      <c r="R637" t="s">
        <v>2208</v>
      </c>
    </row>
    <row r="638" spans="1:18">
      <c r="A638" t="s">
        <v>2725</v>
      </c>
      <c r="B638" t="s">
        <v>7740</v>
      </c>
      <c r="C638">
        <v>45719</v>
      </c>
      <c r="D638" t="s">
        <v>7263</v>
      </c>
      <c r="E638" t="s">
        <v>2925</v>
      </c>
      <c r="F638">
        <v>45716</v>
      </c>
      <c r="G638" t="s">
        <v>2208</v>
      </c>
      <c r="H638" t="s">
        <v>7834</v>
      </c>
      <c r="I638" t="s">
        <v>9380</v>
      </c>
      <c r="J638">
        <v>0.5</v>
      </c>
      <c r="K638">
        <v>52.31</v>
      </c>
      <c r="L638" t="s">
        <v>2917</v>
      </c>
      <c r="M638">
        <v>52.31</v>
      </c>
      <c r="N638" t="s">
        <v>2917</v>
      </c>
      <c r="O638" t="s">
        <v>2208</v>
      </c>
      <c r="P638" t="s">
        <v>2208</v>
      </c>
      <c r="Q638" t="s">
        <v>2208</v>
      </c>
      <c r="R638" t="s">
        <v>2208</v>
      </c>
    </row>
    <row r="639" spans="1:18">
      <c r="A639" t="s">
        <v>2725</v>
      </c>
      <c r="B639" t="s">
        <v>7740</v>
      </c>
      <c r="C639">
        <v>45719</v>
      </c>
      <c r="D639" t="s">
        <v>7263</v>
      </c>
      <c r="E639" t="s">
        <v>2925</v>
      </c>
      <c r="F639">
        <v>45716</v>
      </c>
      <c r="G639" t="s">
        <v>2208</v>
      </c>
      <c r="H639" t="s">
        <v>7834</v>
      </c>
      <c r="I639" t="s">
        <v>9381</v>
      </c>
      <c r="J639">
        <v>0.5</v>
      </c>
      <c r="K639">
        <v>52.31</v>
      </c>
      <c r="L639" t="s">
        <v>2917</v>
      </c>
      <c r="M639">
        <v>52.31</v>
      </c>
      <c r="N639" t="s">
        <v>2917</v>
      </c>
      <c r="O639" t="s">
        <v>2208</v>
      </c>
      <c r="P639" t="s">
        <v>2208</v>
      </c>
      <c r="Q639" t="s">
        <v>2208</v>
      </c>
      <c r="R639" t="s">
        <v>2208</v>
      </c>
    </row>
    <row r="640" spans="1:18">
      <c r="A640" t="s">
        <v>2886</v>
      </c>
      <c r="B640" t="s">
        <v>7740</v>
      </c>
      <c r="C640">
        <v>45719</v>
      </c>
      <c r="D640" t="s">
        <v>7263</v>
      </c>
      <c r="E640" t="s">
        <v>2925</v>
      </c>
      <c r="F640">
        <v>45716</v>
      </c>
      <c r="G640" t="s">
        <v>2208</v>
      </c>
      <c r="H640" t="s">
        <v>7834</v>
      </c>
      <c r="I640" t="s">
        <v>9382</v>
      </c>
      <c r="J640">
        <v>1</v>
      </c>
      <c r="K640">
        <v>104.61</v>
      </c>
      <c r="L640" t="s">
        <v>2917</v>
      </c>
      <c r="M640">
        <v>104.61</v>
      </c>
      <c r="N640" t="s">
        <v>2917</v>
      </c>
      <c r="O640" t="s">
        <v>2208</v>
      </c>
      <c r="P640" t="s">
        <v>2208</v>
      </c>
      <c r="Q640" t="s">
        <v>2208</v>
      </c>
      <c r="R640" t="s">
        <v>2208</v>
      </c>
    </row>
    <row r="641" spans="1:18">
      <c r="A641" t="s">
        <v>2886</v>
      </c>
      <c r="B641" t="s">
        <v>7740</v>
      </c>
      <c r="C641">
        <v>45719</v>
      </c>
      <c r="D641" t="s">
        <v>7263</v>
      </c>
      <c r="E641" t="s">
        <v>2925</v>
      </c>
      <c r="F641">
        <v>45716</v>
      </c>
      <c r="G641" t="s">
        <v>2208</v>
      </c>
      <c r="H641" t="s">
        <v>7834</v>
      </c>
      <c r="I641" t="s">
        <v>9383</v>
      </c>
      <c r="J641">
        <v>1</v>
      </c>
      <c r="K641">
        <v>104.61</v>
      </c>
      <c r="L641" t="s">
        <v>2917</v>
      </c>
      <c r="M641">
        <v>104.61</v>
      </c>
      <c r="N641" t="s">
        <v>2917</v>
      </c>
      <c r="O641" t="s">
        <v>2208</v>
      </c>
      <c r="P641" t="s">
        <v>2208</v>
      </c>
      <c r="Q641" t="s">
        <v>2208</v>
      </c>
      <c r="R641" t="s">
        <v>2208</v>
      </c>
    </row>
    <row r="642" spans="1:18">
      <c r="A642" t="s">
        <v>2886</v>
      </c>
      <c r="B642" t="s">
        <v>7740</v>
      </c>
      <c r="C642">
        <v>45719</v>
      </c>
      <c r="D642" t="s">
        <v>7263</v>
      </c>
      <c r="E642" t="s">
        <v>2925</v>
      </c>
      <c r="F642">
        <v>45716</v>
      </c>
      <c r="G642" t="s">
        <v>2208</v>
      </c>
      <c r="H642" t="s">
        <v>7834</v>
      </c>
      <c r="I642" t="s">
        <v>9384</v>
      </c>
      <c r="J642">
        <v>1</v>
      </c>
      <c r="K642">
        <v>104.61</v>
      </c>
      <c r="L642" t="s">
        <v>2917</v>
      </c>
      <c r="M642">
        <v>104.61</v>
      </c>
      <c r="N642" t="s">
        <v>2917</v>
      </c>
      <c r="O642" t="s">
        <v>2208</v>
      </c>
      <c r="P642" t="s">
        <v>2208</v>
      </c>
      <c r="Q642" t="s">
        <v>2208</v>
      </c>
      <c r="R642" t="s">
        <v>2208</v>
      </c>
    </row>
    <row r="643" spans="1:18">
      <c r="A643" t="s">
        <v>6816</v>
      </c>
      <c r="B643" t="s">
        <v>7740</v>
      </c>
      <c r="C643">
        <v>45719</v>
      </c>
      <c r="D643" t="s">
        <v>7263</v>
      </c>
      <c r="E643" t="s">
        <v>2925</v>
      </c>
      <c r="F643">
        <v>45716</v>
      </c>
      <c r="G643" t="s">
        <v>2208</v>
      </c>
      <c r="H643" t="s">
        <v>7834</v>
      </c>
      <c r="I643" t="s">
        <v>9385</v>
      </c>
      <c r="J643">
        <v>1</v>
      </c>
      <c r="K643">
        <v>104.61</v>
      </c>
      <c r="L643" t="s">
        <v>2917</v>
      </c>
      <c r="M643">
        <v>104.61</v>
      </c>
      <c r="N643" t="s">
        <v>2917</v>
      </c>
      <c r="O643" t="s">
        <v>2208</v>
      </c>
      <c r="P643" t="s">
        <v>2208</v>
      </c>
      <c r="Q643" t="s">
        <v>2208</v>
      </c>
      <c r="R643" t="s">
        <v>2208</v>
      </c>
    </row>
    <row r="644" spans="1:18">
      <c r="A644" t="s">
        <v>7030</v>
      </c>
      <c r="B644" t="s">
        <v>7740</v>
      </c>
      <c r="C644">
        <v>45719</v>
      </c>
      <c r="D644" t="s">
        <v>7263</v>
      </c>
      <c r="E644" t="s">
        <v>2925</v>
      </c>
      <c r="F644">
        <v>45716</v>
      </c>
      <c r="G644" t="s">
        <v>2208</v>
      </c>
      <c r="H644" t="s">
        <v>7834</v>
      </c>
      <c r="I644" t="s">
        <v>9386</v>
      </c>
      <c r="J644">
        <v>2</v>
      </c>
      <c r="K644">
        <v>209.22</v>
      </c>
      <c r="L644" t="s">
        <v>2917</v>
      </c>
      <c r="M644">
        <v>209.22</v>
      </c>
      <c r="N644" t="s">
        <v>2917</v>
      </c>
      <c r="O644" t="s">
        <v>2208</v>
      </c>
      <c r="P644" t="s">
        <v>2208</v>
      </c>
      <c r="Q644" t="s">
        <v>2208</v>
      </c>
      <c r="R644" t="s">
        <v>2208</v>
      </c>
    </row>
    <row r="645" spans="1:18">
      <c r="A645" t="s">
        <v>7030</v>
      </c>
      <c r="B645" t="s">
        <v>7740</v>
      </c>
      <c r="C645">
        <v>45719</v>
      </c>
      <c r="D645" t="s">
        <v>7263</v>
      </c>
      <c r="E645" t="s">
        <v>2925</v>
      </c>
      <c r="F645">
        <v>45716</v>
      </c>
      <c r="G645" t="s">
        <v>2208</v>
      </c>
      <c r="H645" t="s">
        <v>7834</v>
      </c>
      <c r="I645" t="s">
        <v>9387</v>
      </c>
      <c r="J645">
        <v>2</v>
      </c>
      <c r="K645">
        <v>209.22</v>
      </c>
      <c r="L645" t="s">
        <v>2917</v>
      </c>
      <c r="M645">
        <v>209.22</v>
      </c>
      <c r="N645" t="s">
        <v>2917</v>
      </c>
      <c r="O645" t="s">
        <v>2208</v>
      </c>
      <c r="P645" t="s">
        <v>2208</v>
      </c>
      <c r="Q645" t="s">
        <v>2208</v>
      </c>
      <c r="R645" t="s">
        <v>2208</v>
      </c>
    </row>
    <row r="646" spans="1:18">
      <c r="A646" t="s">
        <v>7030</v>
      </c>
      <c r="B646" t="s">
        <v>7740</v>
      </c>
      <c r="C646">
        <v>45719</v>
      </c>
      <c r="D646" t="s">
        <v>7263</v>
      </c>
      <c r="E646" t="s">
        <v>2925</v>
      </c>
      <c r="F646">
        <v>45716</v>
      </c>
      <c r="G646" t="s">
        <v>2208</v>
      </c>
      <c r="H646" t="s">
        <v>7834</v>
      </c>
      <c r="I646" t="s">
        <v>9388</v>
      </c>
      <c r="J646">
        <v>2</v>
      </c>
      <c r="K646">
        <v>209.22</v>
      </c>
      <c r="L646" t="s">
        <v>2917</v>
      </c>
      <c r="M646">
        <v>209.22</v>
      </c>
      <c r="N646" t="s">
        <v>2917</v>
      </c>
      <c r="O646" t="s">
        <v>2208</v>
      </c>
      <c r="P646" t="s">
        <v>2208</v>
      </c>
      <c r="Q646" t="s">
        <v>2208</v>
      </c>
      <c r="R646" t="s">
        <v>2208</v>
      </c>
    </row>
    <row r="647" spans="1:18">
      <c r="A647" t="s">
        <v>7030</v>
      </c>
      <c r="B647" t="s">
        <v>7740</v>
      </c>
      <c r="C647">
        <v>45719</v>
      </c>
      <c r="D647" t="s">
        <v>7263</v>
      </c>
      <c r="E647" t="s">
        <v>2925</v>
      </c>
      <c r="F647">
        <v>45716</v>
      </c>
      <c r="G647" t="s">
        <v>2208</v>
      </c>
      <c r="H647" t="s">
        <v>7834</v>
      </c>
      <c r="I647" t="s">
        <v>9389</v>
      </c>
      <c r="J647">
        <v>2</v>
      </c>
      <c r="K647">
        <v>209.22</v>
      </c>
      <c r="L647" t="s">
        <v>2917</v>
      </c>
      <c r="M647">
        <v>209.22</v>
      </c>
      <c r="N647" t="s">
        <v>2917</v>
      </c>
      <c r="O647" t="s">
        <v>2208</v>
      </c>
      <c r="P647" t="s">
        <v>2208</v>
      </c>
      <c r="Q647" t="s">
        <v>2208</v>
      </c>
      <c r="R647" t="s">
        <v>2208</v>
      </c>
    </row>
    <row r="648" spans="1:18">
      <c r="A648" t="s">
        <v>7030</v>
      </c>
      <c r="B648" t="s">
        <v>7740</v>
      </c>
      <c r="C648">
        <v>45719</v>
      </c>
      <c r="D648" t="s">
        <v>7263</v>
      </c>
      <c r="E648" t="s">
        <v>2925</v>
      </c>
      <c r="F648">
        <v>45716</v>
      </c>
      <c r="G648" t="s">
        <v>2208</v>
      </c>
      <c r="H648" t="s">
        <v>7834</v>
      </c>
      <c r="I648" t="s">
        <v>9390</v>
      </c>
      <c r="J648">
        <v>2</v>
      </c>
      <c r="K648">
        <v>209.22</v>
      </c>
      <c r="L648" t="s">
        <v>2917</v>
      </c>
      <c r="M648">
        <v>209.22</v>
      </c>
      <c r="N648" t="s">
        <v>2917</v>
      </c>
      <c r="O648" t="s">
        <v>2208</v>
      </c>
      <c r="P648" t="s">
        <v>2208</v>
      </c>
      <c r="Q648" t="s">
        <v>2208</v>
      </c>
      <c r="R648" t="s">
        <v>2208</v>
      </c>
    </row>
    <row r="649" spans="1:18">
      <c r="A649" t="s">
        <v>7030</v>
      </c>
      <c r="B649" t="s">
        <v>7740</v>
      </c>
      <c r="C649">
        <v>45719</v>
      </c>
      <c r="D649" t="s">
        <v>7263</v>
      </c>
      <c r="E649" t="s">
        <v>2925</v>
      </c>
      <c r="F649">
        <v>45716</v>
      </c>
      <c r="G649" t="s">
        <v>2208</v>
      </c>
      <c r="H649" t="s">
        <v>7834</v>
      </c>
      <c r="I649" t="s">
        <v>9391</v>
      </c>
      <c r="J649">
        <v>2</v>
      </c>
      <c r="K649">
        <v>209.22</v>
      </c>
      <c r="L649" t="s">
        <v>2917</v>
      </c>
      <c r="M649">
        <v>209.22</v>
      </c>
      <c r="N649" t="s">
        <v>2917</v>
      </c>
      <c r="O649" t="s">
        <v>2208</v>
      </c>
      <c r="P649" t="s">
        <v>2208</v>
      </c>
      <c r="Q649" t="s">
        <v>2208</v>
      </c>
      <c r="R649" t="s">
        <v>2208</v>
      </c>
    </row>
    <row r="650" spans="1:18">
      <c r="A650" t="s">
        <v>7030</v>
      </c>
      <c r="B650" t="s">
        <v>7740</v>
      </c>
      <c r="C650">
        <v>45719</v>
      </c>
      <c r="D650" t="s">
        <v>7263</v>
      </c>
      <c r="E650" t="s">
        <v>2925</v>
      </c>
      <c r="F650">
        <v>45716</v>
      </c>
      <c r="G650" t="s">
        <v>2208</v>
      </c>
      <c r="H650" t="s">
        <v>7834</v>
      </c>
      <c r="I650" t="s">
        <v>9392</v>
      </c>
      <c r="J650">
        <v>2</v>
      </c>
      <c r="K650">
        <v>209.22</v>
      </c>
      <c r="L650" t="s">
        <v>2917</v>
      </c>
      <c r="M650">
        <v>209.22</v>
      </c>
      <c r="N650" t="s">
        <v>2917</v>
      </c>
      <c r="O650" t="s">
        <v>2208</v>
      </c>
      <c r="P650" t="s">
        <v>2208</v>
      </c>
      <c r="Q650" t="s">
        <v>2208</v>
      </c>
      <c r="R650" t="s">
        <v>2208</v>
      </c>
    </row>
    <row r="651" spans="1:18">
      <c r="A651" t="s">
        <v>7030</v>
      </c>
      <c r="B651" t="s">
        <v>7740</v>
      </c>
      <c r="C651">
        <v>45719</v>
      </c>
      <c r="D651" t="s">
        <v>7263</v>
      </c>
      <c r="E651" t="s">
        <v>2925</v>
      </c>
      <c r="F651">
        <v>45716</v>
      </c>
      <c r="G651" t="s">
        <v>2208</v>
      </c>
      <c r="H651" t="s">
        <v>7834</v>
      </c>
      <c r="I651" t="s">
        <v>9393</v>
      </c>
      <c r="J651">
        <v>1</v>
      </c>
      <c r="K651">
        <v>104.61</v>
      </c>
      <c r="L651" t="s">
        <v>2917</v>
      </c>
      <c r="M651">
        <v>104.61</v>
      </c>
      <c r="N651" t="s">
        <v>2917</v>
      </c>
      <c r="O651" t="s">
        <v>2208</v>
      </c>
      <c r="P651" t="s">
        <v>2208</v>
      </c>
      <c r="Q651" t="s">
        <v>2208</v>
      </c>
      <c r="R651" t="s">
        <v>2208</v>
      </c>
    </row>
    <row r="652" spans="1:18">
      <c r="A652" t="s">
        <v>7030</v>
      </c>
      <c r="B652" t="s">
        <v>7740</v>
      </c>
      <c r="C652">
        <v>45719</v>
      </c>
      <c r="D652" t="s">
        <v>7263</v>
      </c>
      <c r="E652" t="s">
        <v>2925</v>
      </c>
      <c r="F652">
        <v>45716</v>
      </c>
      <c r="G652" t="s">
        <v>2208</v>
      </c>
      <c r="H652" t="s">
        <v>7834</v>
      </c>
      <c r="I652" t="s">
        <v>9394</v>
      </c>
      <c r="J652">
        <v>2</v>
      </c>
      <c r="K652">
        <v>209.22</v>
      </c>
      <c r="L652" t="s">
        <v>2917</v>
      </c>
      <c r="M652">
        <v>209.22</v>
      </c>
      <c r="N652" t="s">
        <v>2917</v>
      </c>
      <c r="O652" t="s">
        <v>2208</v>
      </c>
      <c r="P652" t="s">
        <v>2208</v>
      </c>
      <c r="Q652" t="s">
        <v>2208</v>
      </c>
      <c r="R652" t="s">
        <v>2208</v>
      </c>
    </row>
    <row r="653" spans="1:18">
      <c r="A653" t="s">
        <v>7030</v>
      </c>
      <c r="B653" t="s">
        <v>7740</v>
      </c>
      <c r="C653">
        <v>45719</v>
      </c>
      <c r="D653" t="s">
        <v>7263</v>
      </c>
      <c r="E653" t="s">
        <v>2925</v>
      </c>
      <c r="F653">
        <v>45716</v>
      </c>
      <c r="G653" t="s">
        <v>2208</v>
      </c>
      <c r="H653" t="s">
        <v>7834</v>
      </c>
      <c r="I653" t="s">
        <v>9395</v>
      </c>
      <c r="J653">
        <v>1</v>
      </c>
      <c r="K653">
        <v>104.61</v>
      </c>
      <c r="L653" t="s">
        <v>2917</v>
      </c>
      <c r="M653">
        <v>104.61</v>
      </c>
      <c r="N653" t="s">
        <v>2917</v>
      </c>
      <c r="O653" t="s">
        <v>2208</v>
      </c>
      <c r="P653" t="s">
        <v>2208</v>
      </c>
      <c r="Q653" t="s">
        <v>2208</v>
      </c>
      <c r="R653" t="s">
        <v>2208</v>
      </c>
    </row>
    <row r="654" spans="1:18">
      <c r="A654" t="s">
        <v>7030</v>
      </c>
      <c r="B654" t="s">
        <v>7740</v>
      </c>
      <c r="C654">
        <v>45719</v>
      </c>
      <c r="D654" t="s">
        <v>7263</v>
      </c>
      <c r="E654" t="s">
        <v>2925</v>
      </c>
      <c r="F654">
        <v>45716</v>
      </c>
      <c r="G654" t="s">
        <v>2208</v>
      </c>
      <c r="H654" t="s">
        <v>7834</v>
      </c>
      <c r="I654" t="s">
        <v>9396</v>
      </c>
      <c r="J654">
        <v>1</v>
      </c>
      <c r="K654">
        <v>104.61</v>
      </c>
      <c r="L654" t="s">
        <v>2917</v>
      </c>
      <c r="M654">
        <v>104.61</v>
      </c>
      <c r="N654" t="s">
        <v>2917</v>
      </c>
      <c r="O654" t="s">
        <v>2208</v>
      </c>
      <c r="P654" t="s">
        <v>2208</v>
      </c>
      <c r="Q654" t="s">
        <v>2208</v>
      </c>
      <c r="R654" t="s">
        <v>2208</v>
      </c>
    </row>
    <row r="655" spans="1:18">
      <c r="A655" t="s">
        <v>7030</v>
      </c>
      <c r="B655" t="s">
        <v>7740</v>
      </c>
      <c r="C655">
        <v>45719</v>
      </c>
      <c r="D655" t="s">
        <v>7263</v>
      </c>
      <c r="E655" t="s">
        <v>2925</v>
      </c>
      <c r="F655">
        <v>45716</v>
      </c>
      <c r="G655" t="s">
        <v>2208</v>
      </c>
      <c r="H655" t="s">
        <v>7834</v>
      </c>
      <c r="I655" t="s">
        <v>9397</v>
      </c>
      <c r="J655">
        <v>1</v>
      </c>
      <c r="K655">
        <v>104.61</v>
      </c>
      <c r="L655" t="s">
        <v>2917</v>
      </c>
      <c r="M655">
        <v>104.61</v>
      </c>
      <c r="N655" t="s">
        <v>2917</v>
      </c>
      <c r="O655" t="s">
        <v>2208</v>
      </c>
      <c r="P655" t="s">
        <v>2208</v>
      </c>
      <c r="Q655" t="s">
        <v>2208</v>
      </c>
      <c r="R655" t="s">
        <v>2208</v>
      </c>
    </row>
    <row r="656" spans="1:18">
      <c r="A656" t="s">
        <v>7030</v>
      </c>
      <c r="B656" t="s">
        <v>7740</v>
      </c>
      <c r="C656">
        <v>45719</v>
      </c>
      <c r="D656" t="s">
        <v>7263</v>
      </c>
      <c r="E656" t="s">
        <v>2925</v>
      </c>
      <c r="F656">
        <v>45716</v>
      </c>
      <c r="G656" t="s">
        <v>2208</v>
      </c>
      <c r="H656" t="s">
        <v>7834</v>
      </c>
      <c r="I656" t="s">
        <v>9398</v>
      </c>
      <c r="J656">
        <v>1</v>
      </c>
      <c r="K656">
        <v>104.61</v>
      </c>
      <c r="L656" t="s">
        <v>2917</v>
      </c>
      <c r="M656">
        <v>104.61</v>
      </c>
      <c r="N656" t="s">
        <v>2917</v>
      </c>
      <c r="O656" t="s">
        <v>2208</v>
      </c>
      <c r="P656" t="s">
        <v>2208</v>
      </c>
      <c r="Q656" t="s">
        <v>2208</v>
      </c>
      <c r="R656" t="s">
        <v>2208</v>
      </c>
    </row>
    <row r="657" spans="1:18">
      <c r="A657" t="s">
        <v>7030</v>
      </c>
      <c r="B657" t="s">
        <v>7740</v>
      </c>
      <c r="C657">
        <v>45719</v>
      </c>
      <c r="D657" t="s">
        <v>7263</v>
      </c>
      <c r="E657" t="s">
        <v>2925</v>
      </c>
      <c r="F657">
        <v>45716</v>
      </c>
      <c r="G657" t="s">
        <v>2208</v>
      </c>
      <c r="H657" t="s">
        <v>7834</v>
      </c>
      <c r="I657" t="s">
        <v>9399</v>
      </c>
      <c r="J657">
        <v>1</v>
      </c>
      <c r="K657">
        <v>104.61</v>
      </c>
      <c r="L657" t="s">
        <v>2917</v>
      </c>
      <c r="M657">
        <v>104.61</v>
      </c>
      <c r="N657" t="s">
        <v>2917</v>
      </c>
      <c r="O657" t="s">
        <v>2208</v>
      </c>
      <c r="P657" t="s">
        <v>2208</v>
      </c>
      <c r="Q657" t="s">
        <v>2208</v>
      </c>
      <c r="R657" t="s">
        <v>2208</v>
      </c>
    </row>
    <row r="658" spans="1:18">
      <c r="A658" t="s">
        <v>7030</v>
      </c>
      <c r="B658" t="s">
        <v>7740</v>
      </c>
      <c r="C658">
        <v>45719</v>
      </c>
      <c r="D658" t="s">
        <v>7263</v>
      </c>
      <c r="E658" t="s">
        <v>2925</v>
      </c>
      <c r="F658">
        <v>45716</v>
      </c>
      <c r="G658" t="s">
        <v>2208</v>
      </c>
      <c r="H658" t="s">
        <v>7834</v>
      </c>
      <c r="I658" t="s">
        <v>9400</v>
      </c>
      <c r="J658">
        <v>1</v>
      </c>
      <c r="K658">
        <v>104.61</v>
      </c>
      <c r="L658" t="s">
        <v>2917</v>
      </c>
      <c r="M658">
        <v>104.61</v>
      </c>
      <c r="N658" t="s">
        <v>2917</v>
      </c>
      <c r="O658" t="s">
        <v>2208</v>
      </c>
      <c r="P658" t="s">
        <v>2208</v>
      </c>
      <c r="Q658" t="s">
        <v>2208</v>
      </c>
      <c r="R658" t="s">
        <v>2208</v>
      </c>
    </row>
    <row r="659" spans="1:18">
      <c r="A659" t="s">
        <v>7030</v>
      </c>
      <c r="B659" t="s">
        <v>7740</v>
      </c>
      <c r="C659">
        <v>45719</v>
      </c>
      <c r="D659" t="s">
        <v>7263</v>
      </c>
      <c r="E659" t="s">
        <v>2925</v>
      </c>
      <c r="F659">
        <v>45716</v>
      </c>
      <c r="G659" t="s">
        <v>2208</v>
      </c>
      <c r="H659" t="s">
        <v>7834</v>
      </c>
      <c r="I659" t="s">
        <v>9401</v>
      </c>
      <c r="J659">
        <v>2</v>
      </c>
      <c r="K659">
        <v>209.22</v>
      </c>
      <c r="L659" t="s">
        <v>2917</v>
      </c>
      <c r="M659">
        <v>209.22</v>
      </c>
      <c r="N659" t="s">
        <v>2917</v>
      </c>
      <c r="O659" t="s">
        <v>2208</v>
      </c>
      <c r="P659" t="s">
        <v>2208</v>
      </c>
      <c r="Q659" t="s">
        <v>2208</v>
      </c>
      <c r="R659" t="s">
        <v>2208</v>
      </c>
    </row>
    <row r="660" spans="1:18">
      <c r="A660" t="s">
        <v>7030</v>
      </c>
      <c r="B660" t="s">
        <v>7740</v>
      </c>
      <c r="C660">
        <v>45719</v>
      </c>
      <c r="D660" t="s">
        <v>7263</v>
      </c>
      <c r="E660" t="s">
        <v>2925</v>
      </c>
      <c r="F660">
        <v>45716</v>
      </c>
      <c r="G660" t="s">
        <v>2208</v>
      </c>
      <c r="H660" t="s">
        <v>7834</v>
      </c>
      <c r="I660" t="s">
        <v>9402</v>
      </c>
      <c r="J660">
        <v>1</v>
      </c>
      <c r="K660">
        <v>104.61</v>
      </c>
      <c r="L660" t="s">
        <v>2917</v>
      </c>
      <c r="M660">
        <v>104.61</v>
      </c>
      <c r="N660" t="s">
        <v>2917</v>
      </c>
      <c r="O660" t="s">
        <v>2208</v>
      </c>
      <c r="P660" t="s">
        <v>2208</v>
      </c>
      <c r="Q660" t="s">
        <v>2208</v>
      </c>
      <c r="R660" t="s">
        <v>2208</v>
      </c>
    </row>
    <row r="661" spans="1:18">
      <c r="A661" t="s">
        <v>7030</v>
      </c>
      <c r="B661" t="s">
        <v>7740</v>
      </c>
      <c r="C661">
        <v>45719</v>
      </c>
      <c r="D661" t="s">
        <v>7263</v>
      </c>
      <c r="E661" t="s">
        <v>2925</v>
      </c>
      <c r="F661">
        <v>45716</v>
      </c>
      <c r="G661" t="s">
        <v>2208</v>
      </c>
      <c r="H661" t="s">
        <v>7834</v>
      </c>
      <c r="I661" t="s">
        <v>9403</v>
      </c>
      <c r="J661">
        <v>3</v>
      </c>
      <c r="K661">
        <v>313.83</v>
      </c>
      <c r="L661" t="s">
        <v>2917</v>
      </c>
      <c r="M661">
        <v>313.83</v>
      </c>
      <c r="N661" t="s">
        <v>2917</v>
      </c>
      <c r="O661" t="s">
        <v>2208</v>
      </c>
      <c r="P661" t="s">
        <v>2208</v>
      </c>
      <c r="Q661" t="s">
        <v>2208</v>
      </c>
      <c r="R661" t="s">
        <v>2208</v>
      </c>
    </row>
    <row r="662" spans="1:18">
      <c r="A662" t="s">
        <v>7030</v>
      </c>
      <c r="B662" t="s">
        <v>7740</v>
      </c>
      <c r="C662">
        <v>45719</v>
      </c>
      <c r="D662" t="s">
        <v>7263</v>
      </c>
      <c r="E662" t="s">
        <v>2925</v>
      </c>
      <c r="F662">
        <v>45716</v>
      </c>
      <c r="G662" t="s">
        <v>2208</v>
      </c>
      <c r="H662" t="s">
        <v>7834</v>
      </c>
      <c r="I662" t="s">
        <v>9404</v>
      </c>
      <c r="J662">
        <v>2</v>
      </c>
      <c r="K662">
        <v>209.22</v>
      </c>
      <c r="L662" t="s">
        <v>2917</v>
      </c>
      <c r="M662">
        <v>209.22</v>
      </c>
      <c r="N662" t="s">
        <v>2917</v>
      </c>
      <c r="O662" t="s">
        <v>2208</v>
      </c>
      <c r="P662" t="s">
        <v>2208</v>
      </c>
      <c r="Q662" t="s">
        <v>2208</v>
      </c>
      <c r="R662" t="s">
        <v>2208</v>
      </c>
    </row>
    <row r="663" spans="1:18">
      <c r="A663" t="s">
        <v>7030</v>
      </c>
      <c r="B663" t="s">
        <v>7740</v>
      </c>
      <c r="C663">
        <v>45719</v>
      </c>
      <c r="D663" t="s">
        <v>7263</v>
      </c>
      <c r="E663" t="s">
        <v>2925</v>
      </c>
      <c r="F663">
        <v>45716</v>
      </c>
      <c r="G663" t="s">
        <v>2208</v>
      </c>
      <c r="H663" t="s">
        <v>7834</v>
      </c>
      <c r="I663" t="s">
        <v>9405</v>
      </c>
      <c r="J663">
        <v>1</v>
      </c>
      <c r="K663">
        <v>104.61</v>
      </c>
      <c r="L663" t="s">
        <v>2917</v>
      </c>
      <c r="M663">
        <v>104.61</v>
      </c>
      <c r="N663" t="s">
        <v>2917</v>
      </c>
      <c r="O663" t="s">
        <v>2208</v>
      </c>
      <c r="P663" t="s">
        <v>2208</v>
      </c>
      <c r="Q663" t="s">
        <v>2208</v>
      </c>
      <c r="R663" t="s">
        <v>2208</v>
      </c>
    </row>
    <row r="664" spans="1:18">
      <c r="A664" t="s">
        <v>7030</v>
      </c>
      <c r="B664" t="s">
        <v>7740</v>
      </c>
      <c r="C664">
        <v>45719</v>
      </c>
      <c r="D664" t="s">
        <v>7263</v>
      </c>
      <c r="E664" t="s">
        <v>2925</v>
      </c>
      <c r="F664">
        <v>45716</v>
      </c>
      <c r="G664" t="s">
        <v>2208</v>
      </c>
      <c r="H664" t="s">
        <v>7834</v>
      </c>
      <c r="I664" t="s">
        <v>9406</v>
      </c>
      <c r="J664">
        <v>2</v>
      </c>
      <c r="K664">
        <v>209.22</v>
      </c>
      <c r="L664" t="s">
        <v>2917</v>
      </c>
      <c r="M664">
        <v>209.22</v>
      </c>
      <c r="N664" t="s">
        <v>2917</v>
      </c>
      <c r="O664" t="s">
        <v>2208</v>
      </c>
      <c r="P664" t="s">
        <v>2208</v>
      </c>
      <c r="Q664" t="s">
        <v>2208</v>
      </c>
      <c r="R664" t="s">
        <v>2208</v>
      </c>
    </row>
    <row r="665" spans="1:18">
      <c r="A665" t="s">
        <v>7030</v>
      </c>
      <c r="B665" t="s">
        <v>7740</v>
      </c>
      <c r="C665">
        <v>45719</v>
      </c>
      <c r="D665" t="s">
        <v>7263</v>
      </c>
      <c r="E665" t="s">
        <v>2925</v>
      </c>
      <c r="F665">
        <v>45716</v>
      </c>
      <c r="G665" t="s">
        <v>2208</v>
      </c>
      <c r="H665" t="s">
        <v>7834</v>
      </c>
      <c r="I665" t="s">
        <v>9407</v>
      </c>
      <c r="J665">
        <v>2</v>
      </c>
      <c r="K665">
        <v>209.22</v>
      </c>
      <c r="L665" t="s">
        <v>2917</v>
      </c>
      <c r="M665">
        <v>209.22</v>
      </c>
      <c r="N665" t="s">
        <v>2917</v>
      </c>
      <c r="O665" t="s">
        <v>2208</v>
      </c>
      <c r="P665" t="s">
        <v>2208</v>
      </c>
      <c r="Q665" t="s">
        <v>2208</v>
      </c>
      <c r="R665" t="s">
        <v>2208</v>
      </c>
    </row>
    <row r="666" spans="1:18">
      <c r="A666" t="s">
        <v>7030</v>
      </c>
      <c r="B666" t="s">
        <v>7740</v>
      </c>
      <c r="C666">
        <v>45719</v>
      </c>
      <c r="D666" t="s">
        <v>7263</v>
      </c>
      <c r="E666" t="s">
        <v>2925</v>
      </c>
      <c r="F666">
        <v>45716</v>
      </c>
      <c r="G666" t="s">
        <v>2208</v>
      </c>
      <c r="H666" t="s">
        <v>7834</v>
      </c>
      <c r="I666" t="s">
        <v>9408</v>
      </c>
      <c r="J666">
        <v>2</v>
      </c>
      <c r="K666">
        <v>209.22</v>
      </c>
      <c r="L666" t="s">
        <v>2917</v>
      </c>
      <c r="M666">
        <v>209.22</v>
      </c>
      <c r="N666" t="s">
        <v>2917</v>
      </c>
      <c r="O666" t="s">
        <v>2208</v>
      </c>
      <c r="P666" t="s">
        <v>2208</v>
      </c>
      <c r="Q666" t="s">
        <v>2208</v>
      </c>
      <c r="R666" t="s">
        <v>2208</v>
      </c>
    </row>
    <row r="667" spans="1:18">
      <c r="A667" t="s">
        <v>7030</v>
      </c>
      <c r="B667" t="s">
        <v>7740</v>
      </c>
      <c r="C667">
        <v>45719</v>
      </c>
      <c r="D667" t="s">
        <v>7263</v>
      </c>
      <c r="E667" t="s">
        <v>2925</v>
      </c>
      <c r="F667">
        <v>45716</v>
      </c>
      <c r="G667" t="s">
        <v>2208</v>
      </c>
      <c r="H667" t="s">
        <v>7834</v>
      </c>
      <c r="I667" t="s">
        <v>9409</v>
      </c>
      <c r="J667">
        <v>3</v>
      </c>
      <c r="K667">
        <v>313.83</v>
      </c>
      <c r="L667" t="s">
        <v>2917</v>
      </c>
      <c r="M667">
        <v>313.83</v>
      </c>
      <c r="N667" t="s">
        <v>2917</v>
      </c>
      <c r="O667" t="s">
        <v>2208</v>
      </c>
      <c r="P667" t="s">
        <v>2208</v>
      </c>
      <c r="Q667" t="s">
        <v>2208</v>
      </c>
      <c r="R667" t="s">
        <v>2208</v>
      </c>
    </row>
    <row r="668" spans="1:18">
      <c r="A668" t="s">
        <v>7030</v>
      </c>
      <c r="B668" t="s">
        <v>7740</v>
      </c>
      <c r="C668">
        <v>45719</v>
      </c>
      <c r="D668" t="s">
        <v>7263</v>
      </c>
      <c r="E668" t="s">
        <v>2925</v>
      </c>
      <c r="F668">
        <v>45716</v>
      </c>
      <c r="G668" t="s">
        <v>2208</v>
      </c>
      <c r="H668" t="s">
        <v>7834</v>
      </c>
      <c r="I668" t="s">
        <v>9410</v>
      </c>
      <c r="J668">
        <v>1</v>
      </c>
      <c r="K668">
        <v>104.61</v>
      </c>
      <c r="L668" t="s">
        <v>2917</v>
      </c>
      <c r="M668">
        <v>104.61</v>
      </c>
      <c r="N668" t="s">
        <v>2917</v>
      </c>
      <c r="O668" t="s">
        <v>2208</v>
      </c>
      <c r="P668" t="s">
        <v>2208</v>
      </c>
      <c r="Q668" t="s">
        <v>2208</v>
      </c>
      <c r="R668" t="s">
        <v>2208</v>
      </c>
    </row>
    <row r="669" spans="1:18">
      <c r="A669" t="s">
        <v>7030</v>
      </c>
      <c r="B669" t="s">
        <v>7740</v>
      </c>
      <c r="C669">
        <v>45719</v>
      </c>
      <c r="D669" t="s">
        <v>7263</v>
      </c>
      <c r="E669" t="s">
        <v>2925</v>
      </c>
      <c r="F669">
        <v>45716</v>
      </c>
      <c r="G669" t="s">
        <v>2208</v>
      </c>
      <c r="H669" t="s">
        <v>7834</v>
      </c>
      <c r="I669" t="s">
        <v>9411</v>
      </c>
      <c r="J669">
        <v>1</v>
      </c>
      <c r="K669">
        <v>104.61</v>
      </c>
      <c r="L669" t="s">
        <v>2917</v>
      </c>
      <c r="M669">
        <v>104.61</v>
      </c>
      <c r="N669" t="s">
        <v>2917</v>
      </c>
      <c r="O669" t="s">
        <v>2208</v>
      </c>
      <c r="P669" t="s">
        <v>2208</v>
      </c>
      <c r="Q669" t="s">
        <v>2208</v>
      </c>
      <c r="R669" t="s">
        <v>2208</v>
      </c>
    </row>
    <row r="670" spans="1:18">
      <c r="A670" t="s">
        <v>7030</v>
      </c>
      <c r="B670" t="s">
        <v>7740</v>
      </c>
      <c r="C670">
        <v>45719</v>
      </c>
      <c r="D670" t="s">
        <v>7263</v>
      </c>
      <c r="E670" t="s">
        <v>2925</v>
      </c>
      <c r="F670">
        <v>45716</v>
      </c>
      <c r="G670" t="s">
        <v>2208</v>
      </c>
      <c r="H670" t="s">
        <v>7834</v>
      </c>
      <c r="I670" t="s">
        <v>9412</v>
      </c>
      <c r="J670">
        <v>1</v>
      </c>
      <c r="K670">
        <v>104.61</v>
      </c>
      <c r="L670" t="s">
        <v>2917</v>
      </c>
      <c r="M670">
        <v>104.61</v>
      </c>
      <c r="N670" t="s">
        <v>2917</v>
      </c>
      <c r="O670" t="s">
        <v>2208</v>
      </c>
      <c r="P670" t="s">
        <v>2208</v>
      </c>
      <c r="Q670" t="s">
        <v>2208</v>
      </c>
      <c r="R670" t="s">
        <v>2208</v>
      </c>
    </row>
    <row r="671" spans="1:18">
      <c r="A671" t="s">
        <v>7030</v>
      </c>
      <c r="B671" t="s">
        <v>7740</v>
      </c>
      <c r="C671">
        <v>45719</v>
      </c>
      <c r="D671" t="s">
        <v>7263</v>
      </c>
      <c r="E671" t="s">
        <v>2925</v>
      </c>
      <c r="F671">
        <v>45716</v>
      </c>
      <c r="G671" t="s">
        <v>2208</v>
      </c>
      <c r="H671" t="s">
        <v>7834</v>
      </c>
      <c r="I671" t="s">
        <v>9413</v>
      </c>
      <c r="J671">
        <v>1</v>
      </c>
      <c r="K671">
        <v>104.61</v>
      </c>
      <c r="L671" t="s">
        <v>2917</v>
      </c>
      <c r="M671">
        <v>104.61</v>
      </c>
      <c r="N671" t="s">
        <v>2917</v>
      </c>
      <c r="O671" t="s">
        <v>2208</v>
      </c>
      <c r="P671" t="s">
        <v>2208</v>
      </c>
      <c r="Q671" t="s">
        <v>2208</v>
      </c>
      <c r="R671" t="s">
        <v>2208</v>
      </c>
    </row>
    <row r="672" spans="1:18">
      <c r="A672" t="s">
        <v>7030</v>
      </c>
      <c r="B672" t="s">
        <v>7740</v>
      </c>
      <c r="C672">
        <v>45719</v>
      </c>
      <c r="D672" t="s">
        <v>7263</v>
      </c>
      <c r="E672" t="s">
        <v>2925</v>
      </c>
      <c r="F672">
        <v>45716</v>
      </c>
      <c r="G672" t="s">
        <v>2208</v>
      </c>
      <c r="H672" t="s">
        <v>7834</v>
      </c>
      <c r="I672" t="s">
        <v>9414</v>
      </c>
      <c r="J672">
        <v>1</v>
      </c>
      <c r="K672">
        <v>104.61</v>
      </c>
      <c r="L672" t="s">
        <v>2917</v>
      </c>
      <c r="M672">
        <v>104.61</v>
      </c>
      <c r="N672" t="s">
        <v>2917</v>
      </c>
      <c r="O672" t="s">
        <v>2208</v>
      </c>
      <c r="P672" t="s">
        <v>2208</v>
      </c>
      <c r="Q672" t="s">
        <v>2208</v>
      </c>
      <c r="R672" t="s">
        <v>2208</v>
      </c>
    </row>
    <row r="673" spans="1:18">
      <c r="A673" t="s">
        <v>7030</v>
      </c>
      <c r="B673" t="s">
        <v>7740</v>
      </c>
      <c r="C673">
        <v>45719</v>
      </c>
      <c r="D673" t="s">
        <v>7263</v>
      </c>
      <c r="E673" t="s">
        <v>2925</v>
      </c>
      <c r="F673">
        <v>45716</v>
      </c>
      <c r="G673" t="s">
        <v>2208</v>
      </c>
      <c r="H673" t="s">
        <v>7834</v>
      </c>
      <c r="I673" t="s">
        <v>9415</v>
      </c>
      <c r="J673">
        <v>2</v>
      </c>
      <c r="K673">
        <v>209.22</v>
      </c>
      <c r="L673" t="s">
        <v>2917</v>
      </c>
      <c r="M673">
        <v>209.22</v>
      </c>
      <c r="N673" t="s">
        <v>2917</v>
      </c>
      <c r="O673" t="s">
        <v>2208</v>
      </c>
      <c r="P673" t="s">
        <v>2208</v>
      </c>
      <c r="Q673" t="s">
        <v>2208</v>
      </c>
      <c r="R673" t="s">
        <v>2208</v>
      </c>
    </row>
    <row r="674" spans="1:18">
      <c r="A674" t="s">
        <v>7030</v>
      </c>
      <c r="B674" t="s">
        <v>7740</v>
      </c>
      <c r="C674">
        <v>45719</v>
      </c>
      <c r="D674" t="s">
        <v>7263</v>
      </c>
      <c r="E674" t="s">
        <v>2925</v>
      </c>
      <c r="F674">
        <v>45716</v>
      </c>
      <c r="G674" t="s">
        <v>2208</v>
      </c>
      <c r="H674" t="s">
        <v>7834</v>
      </c>
      <c r="I674" t="s">
        <v>9416</v>
      </c>
      <c r="J674">
        <v>1</v>
      </c>
      <c r="K674">
        <v>104.61</v>
      </c>
      <c r="L674" t="s">
        <v>2917</v>
      </c>
      <c r="M674">
        <v>104.61</v>
      </c>
      <c r="N674" t="s">
        <v>2917</v>
      </c>
      <c r="O674" t="s">
        <v>2208</v>
      </c>
      <c r="P674" t="s">
        <v>2208</v>
      </c>
      <c r="Q674" t="s">
        <v>2208</v>
      </c>
      <c r="R674" t="s">
        <v>2208</v>
      </c>
    </row>
    <row r="675" spans="1:18">
      <c r="A675" t="s">
        <v>7030</v>
      </c>
      <c r="B675" t="s">
        <v>7740</v>
      </c>
      <c r="C675">
        <v>45719</v>
      </c>
      <c r="D675" t="s">
        <v>7263</v>
      </c>
      <c r="E675" t="s">
        <v>2925</v>
      </c>
      <c r="F675">
        <v>45716</v>
      </c>
      <c r="G675" t="s">
        <v>2208</v>
      </c>
      <c r="H675" t="s">
        <v>7834</v>
      </c>
      <c r="I675" t="s">
        <v>9417</v>
      </c>
      <c r="J675">
        <v>3</v>
      </c>
      <c r="K675">
        <v>313.83</v>
      </c>
      <c r="L675" t="s">
        <v>2917</v>
      </c>
      <c r="M675">
        <v>313.83</v>
      </c>
      <c r="N675" t="s">
        <v>2917</v>
      </c>
      <c r="O675" t="s">
        <v>2208</v>
      </c>
      <c r="P675" t="s">
        <v>2208</v>
      </c>
      <c r="Q675" t="s">
        <v>2208</v>
      </c>
      <c r="R675" t="s">
        <v>2208</v>
      </c>
    </row>
    <row r="676" spans="1:18">
      <c r="A676" t="s">
        <v>7030</v>
      </c>
      <c r="B676" t="s">
        <v>7740</v>
      </c>
      <c r="C676">
        <v>45719</v>
      </c>
      <c r="D676" t="s">
        <v>7263</v>
      </c>
      <c r="E676" t="s">
        <v>2925</v>
      </c>
      <c r="F676">
        <v>45716</v>
      </c>
      <c r="G676" t="s">
        <v>2208</v>
      </c>
      <c r="H676" t="s">
        <v>7834</v>
      </c>
      <c r="I676" t="s">
        <v>9418</v>
      </c>
      <c r="J676">
        <v>6</v>
      </c>
      <c r="K676">
        <v>627.66</v>
      </c>
      <c r="L676" t="s">
        <v>2917</v>
      </c>
      <c r="M676">
        <v>627.66</v>
      </c>
      <c r="N676" t="s">
        <v>2917</v>
      </c>
      <c r="O676" t="s">
        <v>2208</v>
      </c>
      <c r="P676" t="s">
        <v>2208</v>
      </c>
      <c r="Q676" t="s">
        <v>2208</v>
      </c>
      <c r="R676" t="s">
        <v>2208</v>
      </c>
    </row>
    <row r="677" spans="1:18">
      <c r="A677" t="s">
        <v>7030</v>
      </c>
      <c r="B677" t="s">
        <v>7740</v>
      </c>
      <c r="C677">
        <v>45719</v>
      </c>
      <c r="D677" t="s">
        <v>7263</v>
      </c>
      <c r="E677" t="s">
        <v>2925</v>
      </c>
      <c r="F677">
        <v>45716</v>
      </c>
      <c r="G677" t="s">
        <v>2208</v>
      </c>
      <c r="H677" t="s">
        <v>7834</v>
      </c>
      <c r="I677" t="s">
        <v>9419</v>
      </c>
      <c r="J677">
        <v>4</v>
      </c>
      <c r="K677">
        <v>418.44</v>
      </c>
      <c r="L677" t="s">
        <v>2917</v>
      </c>
      <c r="M677">
        <v>418.44</v>
      </c>
      <c r="N677" t="s">
        <v>2917</v>
      </c>
      <c r="O677" t="s">
        <v>2208</v>
      </c>
      <c r="P677" t="s">
        <v>2208</v>
      </c>
      <c r="Q677" t="s">
        <v>2208</v>
      </c>
      <c r="R677" t="s">
        <v>2208</v>
      </c>
    </row>
    <row r="678" spans="1:18">
      <c r="A678" t="s">
        <v>7030</v>
      </c>
      <c r="B678" t="s">
        <v>7740</v>
      </c>
      <c r="C678">
        <v>45719</v>
      </c>
      <c r="D678" t="s">
        <v>7263</v>
      </c>
      <c r="E678" t="s">
        <v>2925</v>
      </c>
      <c r="F678">
        <v>45716</v>
      </c>
      <c r="G678" t="s">
        <v>2208</v>
      </c>
      <c r="H678" t="s">
        <v>7834</v>
      </c>
      <c r="I678" t="s">
        <v>9420</v>
      </c>
      <c r="J678">
        <v>3</v>
      </c>
      <c r="K678">
        <v>313.83</v>
      </c>
      <c r="L678" t="s">
        <v>2917</v>
      </c>
      <c r="M678">
        <v>313.83</v>
      </c>
      <c r="N678" t="s">
        <v>2917</v>
      </c>
      <c r="O678" t="s">
        <v>2208</v>
      </c>
      <c r="P678" t="s">
        <v>2208</v>
      </c>
      <c r="Q678" t="s">
        <v>2208</v>
      </c>
      <c r="R678" t="s">
        <v>2208</v>
      </c>
    </row>
    <row r="679" spans="1:18">
      <c r="A679" t="s">
        <v>7030</v>
      </c>
      <c r="B679" t="s">
        <v>7740</v>
      </c>
      <c r="C679">
        <v>45719</v>
      </c>
      <c r="D679" t="s">
        <v>7263</v>
      </c>
      <c r="E679" t="s">
        <v>2925</v>
      </c>
      <c r="F679">
        <v>45716</v>
      </c>
      <c r="G679" t="s">
        <v>2208</v>
      </c>
      <c r="H679" t="s">
        <v>7834</v>
      </c>
      <c r="I679" t="s">
        <v>9421</v>
      </c>
      <c r="J679">
        <v>2</v>
      </c>
      <c r="K679">
        <v>209.22</v>
      </c>
      <c r="L679" t="s">
        <v>2917</v>
      </c>
      <c r="M679">
        <v>209.22</v>
      </c>
      <c r="N679" t="s">
        <v>2917</v>
      </c>
      <c r="O679" t="s">
        <v>2208</v>
      </c>
      <c r="P679" t="s">
        <v>2208</v>
      </c>
      <c r="Q679" t="s">
        <v>2208</v>
      </c>
      <c r="R679" t="s">
        <v>2208</v>
      </c>
    </row>
    <row r="680" spans="1:18">
      <c r="A680" t="s">
        <v>7030</v>
      </c>
      <c r="B680" t="s">
        <v>7740</v>
      </c>
      <c r="C680">
        <v>45719</v>
      </c>
      <c r="D680" t="s">
        <v>7263</v>
      </c>
      <c r="E680" t="s">
        <v>2925</v>
      </c>
      <c r="F680">
        <v>45716</v>
      </c>
      <c r="G680" t="s">
        <v>2208</v>
      </c>
      <c r="H680" t="s">
        <v>7834</v>
      </c>
      <c r="I680" t="s">
        <v>9422</v>
      </c>
      <c r="J680">
        <v>3</v>
      </c>
      <c r="K680">
        <v>313.83</v>
      </c>
      <c r="L680" t="s">
        <v>2917</v>
      </c>
      <c r="M680">
        <v>313.83</v>
      </c>
      <c r="N680" t="s">
        <v>2917</v>
      </c>
      <c r="O680" t="s">
        <v>2208</v>
      </c>
      <c r="P680" t="s">
        <v>2208</v>
      </c>
      <c r="Q680" t="s">
        <v>2208</v>
      </c>
      <c r="R680" t="s">
        <v>2208</v>
      </c>
    </row>
    <row r="681" spans="1:18">
      <c r="A681" t="s">
        <v>7030</v>
      </c>
      <c r="B681" t="s">
        <v>7740</v>
      </c>
      <c r="C681">
        <v>45719</v>
      </c>
      <c r="D681" t="s">
        <v>7263</v>
      </c>
      <c r="E681" t="s">
        <v>2925</v>
      </c>
      <c r="F681">
        <v>45716</v>
      </c>
      <c r="G681" t="s">
        <v>2208</v>
      </c>
      <c r="H681" t="s">
        <v>7834</v>
      </c>
      <c r="I681" t="s">
        <v>9423</v>
      </c>
      <c r="J681">
        <v>2</v>
      </c>
      <c r="K681">
        <v>209.22</v>
      </c>
      <c r="L681" t="s">
        <v>2917</v>
      </c>
      <c r="M681">
        <v>209.22</v>
      </c>
      <c r="N681" t="s">
        <v>2917</v>
      </c>
      <c r="O681" t="s">
        <v>2208</v>
      </c>
      <c r="P681" t="s">
        <v>2208</v>
      </c>
      <c r="Q681" t="s">
        <v>2208</v>
      </c>
      <c r="R681" t="s">
        <v>2208</v>
      </c>
    </row>
    <row r="682" spans="1:18">
      <c r="A682" t="s">
        <v>7030</v>
      </c>
      <c r="B682" t="s">
        <v>7740</v>
      </c>
      <c r="C682">
        <v>45719</v>
      </c>
      <c r="D682" t="s">
        <v>7263</v>
      </c>
      <c r="E682" t="s">
        <v>2925</v>
      </c>
      <c r="F682">
        <v>45716</v>
      </c>
      <c r="G682" t="s">
        <v>2208</v>
      </c>
      <c r="H682" t="s">
        <v>7834</v>
      </c>
      <c r="I682" t="s">
        <v>9424</v>
      </c>
      <c r="J682">
        <v>0.9</v>
      </c>
      <c r="K682">
        <v>94.15</v>
      </c>
      <c r="L682" t="s">
        <v>2917</v>
      </c>
      <c r="M682">
        <v>94.15</v>
      </c>
      <c r="N682" t="s">
        <v>2917</v>
      </c>
      <c r="O682" t="s">
        <v>2208</v>
      </c>
      <c r="P682" t="s">
        <v>2208</v>
      </c>
      <c r="Q682" t="s">
        <v>2208</v>
      </c>
      <c r="R682" t="s">
        <v>2208</v>
      </c>
    </row>
    <row r="683" spans="1:18">
      <c r="A683" t="s">
        <v>7030</v>
      </c>
      <c r="B683" t="s">
        <v>7740</v>
      </c>
      <c r="C683">
        <v>45719</v>
      </c>
      <c r="D683" t="s">
        <v>7263</v>
      </c>
      <c r="E683" t="s">
        <v>2925</v>
      </c>
      <c r="F683">
        <v>45716</v>
      </c>
      <c r="G683" t="s">
        <v>2208</v>
      </c>
      <c r="H683" t="s">
        <v>7834</v>
      </c>
      <c r="I683" t="s">
        <v>9425</v>
      </c>
      <c r="J683">
        <v>0.2</v>
      </c>
      <c r="K683">
        <v>20.92</v>
      </c>
      <c r="L683" t="s">
        <v>2917</v>
      </c>
      <c r="M683">
        <v>20.92</v>
      </c>
      <c r="N683" t="s">
        <v>2917</v>
      </c>
      <c r="O683" t="s">
        <v>2208</v>
      </c>
      <c r="P683" t="s">
        <v>2208</v>
      </c>
      <c r="Q683" t="s">
        <v>2208</v>
      </c>
      <c r="R683" t="s">
        <v>2208</v>
      </c>
    </row>
    <row r="684" spans="1:18">
      <c r="A684" t="s">
        <v>7030</v>
      </c>
      <c r="B684" t="s">
        <v>7740</v>
      </c>
      <c r="C684">
        <v>45719</v>
      </c>
      <c r="D684" t="s">
        <v>7263</v>
      </c>
      <c r="E684" t="s">
        <v>2925</v>
      </c>
      <c r="F684">
        <v>45716</v>
      </c>
      <c r="G684" t="s">
        <v>2208</v>
      </c>
      <c r="H684" t="s">
        <v>7834</v>
      </c>
      <c r="I684" t="s">
        <v>9426</v>
      </c>
      <c r="J684">
        <v>1</v>
      </c>
      <c r="K684">
        <v>104.61</v>
      </c>
      <c r="L684" t="s">
        <v>2917</v>
      </c>
      <c r="M684">
        <v>104.61</v>
      </c>
      <c r="N684" t="s">
        <v>2917</v>
      </c>
      <c r="O684" t="s">
        <v>2208</v>
      </c>
      <c r="P684" t="s">
        <v>2208</v>
      </c>
      <c r="Q684" t="s">
        <v>2208</v>
      </c>
      <c r="R684" t="s">
        <v>2208</v>
      </c>
    </row>
    <row r="685" spans="1:18">
      <c r="A685" t="s">
        <v>7030</v>
      </c>
      <c r="B685" t="s">
        <v>7740</v>
      </c>
      <c r="C685">
        <v>45719</v>
      </c>
      <c r="D685" t="s">
        <v>7263</v>
      </c>
      <c r="E685" t="s">
        <v>2925</v>
      </c>
      <c r="F685">
        <v>45716</v>
      </c>
      <c r="G685" t="s">
        <v>2208</v>
      </c>
      <c r="H685" t="s">
        <v>7834</v>
      </c>
      <c r="I685" t="s">
        <v>9427</v>
      </c>
      <c r="J685">
        <v>1</v>
      </c>
      <c r="K685">
        <v>104.61</v>
      </c>
      <c r="L685" t="s">
        <v>2917</v>
      </c>
      <c r="M685">
        <v>104.61</v>
      </c>
      <c r="N685" t="s">
        <v>2917</v>
      </c>
      <c r="O685" t="s">
        <v>2208</v>
      </c>
      <c r="P685" t="s">
        <v>2208</v>
      </c>
      <c r="Q685" t="s">
        <v>2208</v>
      </c>
      <c r="R685" t="s">
        <v>2208</v>
      </c>
    </row>
    <row r="686" spans="1:18">
      <c r="A686" t="s">
        <v>7030</v>
      </c>
      <c r="B686" t="s">
        <v>7740</v>
      </c>
      <c r="C686">
        <v>45719</v>
      </c>
      <c r="D686" t="s">
        <v>7263</v>
      </c>
      <c r="E686" t="s">
        <v>2925</v>
      </c>
      <c r="F686">
        <v>45716</v>
      </c>
      <c r="G686" t="s">
        <v>2208</v>
      </c>
      <c r="H686" t="s">
        <v>7834</v>
      </c>
      <c r="I686" t="s">
        <v>9428</v>
      </c>
      <c r="J686">
        <v>1</v>
      </c>
      <c r="K686">
        <v>104.61</v>
      </c>
      <c r="L686" t="s">
        <v>2917</v>
      </c>
      <c r="M686">
        <v>104.61</v>
      </c>
      <c r="N686" t="s">
        <v>2917</v>
      </c>
      <c r="O686" t="s">
        <v>2208</v>
      </c>
      <c r="P686" t="s">
        <v>2208</v>
      </c>
      <c r="Q686" t="s">
        <v>2208</v>
      </c>
      <c r="R686" t="s">
        <v>2208</v>
      </c>
    </row>
    <row r="687" spans="1:18">
      <c r="A687" t="s">
        <v>7030</v>
      </c>
      <c r="B687" t="s">
        <v>7740</v>
      </c>
      <c r="C687">
        <v>45719</v>
      </c>
      <c r="D687" t="s">
        <v>7263</v>
      </c>
      <c r="E687" t="s">
        <v>2925</v>
      </c>
      <c r="F687">
        <v>45716</v>
      </c>
      <c r="G687" t="s">
        <v>2208</v>
      </c>
      <c r="H687" t="s">
        <v>7834</v>
      </c>
      <c r="I687" t="s">
        <v>9429</v>
      </c>
      <c r="J687">
        <v>1</v>
      </c>
      <c r="K687">
        <v>104.61</v>
      </c>
      <c r="L687" t="s">
        <v>2917</v>
      </c>
      <c r="M687">
        <v>104.61</v>
      </c>
      <c r="N687" t="s">
        <v>2917</v>
      </c>
      <c r="O687" t="s">
        <v>2208</v>
      </c>
      <c r="P687" t="s">
        <v>2208</v>
      </c>
      <c r="Q687" t="s">
        <v>2208</v>
      </c>
      <c r="R687" t="s">
        <v>2208</v>
      </c>
    </row>
    <row r="688" spans="1:18">
      <c r="A688" t="s">
        <v>7030</v>
      </c>
      <c r="B688" t="s">
        <v>7740</v>
      </c>
      <c r="C688">
        <v>45719</v>
      </c>
      <c r="D688" t="s">
        <v>7263</v>
      </c>
      <c r="E688" t="s">
        <v>2925</v>
      </c>
      <c r="F688">
        <v>45716</v>
      </c>
      <c r="G688" t="s">
        <v>2208</v>
      </c>
      <c r="H688" t="s">
        <v>7834</v>
      </c>
      <c r="I688" t="s">
        <v>9430</v>
      </c>
      <c r="J688">
        <v>2</v>
      </c>
      <c r="K688">
        <v>209.22</v>
      </c>
      <c r="L688" t="s">
        <v>2917</v>
      </c>
      <c r="M688">
        <v>209.22</v>
      </c>
      <c r="N688" t="s">
        <v>2917</v>
      </c>
      <c r="O688" t="s">
        <v>2208</v>
      </c>
      <c r="P688" t="s">
        <v>2208</v>
      </c>
      <c r="Q688" t="s">
        <v>2208</v>
      </c>
      <c r="R688" t="s">
        <v>2208</v>
      </c>
    </row>
    <row r="689" spans="1:18">
      <c r="A689" t="s">
        <v>7030</v>
      </c>
      <c r="B689" t="s">
        <v>7740</v>
      </c>
      <c r="C689">
        <v>45719</v>
      </c>
      <c r="D689" t="s">
        <v>7263</v>
      </c>
      <c r="E689" t="s">
        <v>2925</v>
      </c>
      <c r="F689">
        <v>45716</v>
      </c>
      <c r="G689" t="s">
        <v>2208</v>
      </c>
      <c r="H689" t="s">
        <v>7834</v>
      </c>
      <c r="I689" t="s">
        <v>9431</v>
      </c>
      <c r="J689">
        <v>1</v>
      </c>
      <c r="K689">
        <v>104.61</v>
      </c>
      <c r="L689" t="s">
        <v>2917</v>
      </c>
      <c r="M689">
        <v>104.61</v>
      </c>
      <c r="N689" t="s">
        <v>2917</v>
      </c>
      <c r="O689" t="s">
        <v>2208</v>
      </c>
      <c r="P689" t="s">
        <v>2208</v>
      </c>
      <c r="Q689" t="s">
        <v>2208</v>
      </c>
      <c r="R689" t="s">
        <v>2208</v>
      </c>
    </row>
    <row r="690" spans="1:18">
      <c r="A690" t="s">
        <v>7030</v>
      </c>
      <c r="B690" t="s">
        <v>7740</v>
      </c>
      <c r="C690">
        <v>45719</v>
      </c>
      <c r="D690" t="s">
        <v>7263</v>
      </c>
      <c r="E690" t="s">
        <v>2925</v>
      </c>
      <c r="F690">
        <v>45716</v>
      </c>
      <c r="G690" t="s">
        <v>2208</v>
      </c>
      <c r="H690" t="s">
        <v>7834</v>
      </c>
      <c r="I690" t="s">
        <v>9432</v>
      </c>
      <c r="J690">
        <v>1</v>
      </c>
      <c r="K690">
        <v>104.61</v>
      </c>
      <c r="L690" t="s">
        <v>2917</v>
      </c>
      <c r="M690">
        <v>104.61</v>
      </c>
      <c r="N690" t="s">
        <v>2917</v>
      </c>
      <c r="O690" t="s">
        <v>2208</v>
      </c>
      <c r="P690" t="s">
        <v>2208</v>
      </c>
      <c r="Q690" t="s">
        <v>2208</v>
      </c>
      <c r="R690" t="s">
        <v>2208</v>
      </c>
    </row>
    <row r="691" spans="1:18">
      <c r="A691" t="s">
        <v>7030</v>
      </c>
      <c r="B691" t="s">
        <v>7740</v>
      </c>
      <c r="C691">
        <v>45719</v>
      </c>
      <c r="D691" t="s">
        <v>7263</v>
      </c>
      <c r="E691" t="s">
        <v>2925</v>
      </c>
      <c r="F691">
        <v>45716</v>
      </c>
      <c r="G691" t="s">
        <v>2208</v>
      </c>
      <c r="H691" t="s">
        <v>7834</v>
      </c>
      <c r="I691" t="s">
        <v>9433</v>
      </c>
      <c r="J691">
        <v>1</v>
      </c>
      <c r="K691">
        <v>104.61</v>
      </c>
      <c r="L691" t="s">
        <v>2917</v>
      </c>
      <c r="M691">
        <v>104.61</v>
      </c>
      <c r="N691" t="s">
        <v>2917</v>
      </c>
      <c r="O691" t="s">
        <v>2208</v>
      </c>
      <c r="P691" t="s">
        <v>2208</v>
      </c>
      <c r="Q691" t="s">
        <v>2208</v>
      </c>
      <c r="R691" t="s">
        <v>2208</v>
      </c>
    </row>
    <row r="692" spans="1:18">
      <c r="A692" t="s">
        <v>7030</v>
      </c>
      <c r="B692" t="s">
        <v>7740</v>
      </c>
      <c r="C692">
        <v>45719</v>
      </c>
      <c r="D692" t="s">
        <v>7263</v>
      </c>
      <c r="E692" t="s">
        <v>2925</v>
      </c>
      <c r="F692">
        <v>45716</v>
      </c>
      <c r="G692" t="s">
        <v>2208</v>
      </c>
      <c r="H692" t="s">
        <v>7834</v>
      </c>
      <c r="I692" t="s">
        <v>9434</v>
      </c>
      <c r="J692">
        <v>2</v>
      </c>
      <c r="K692">
        <v>209.22</v>
      </c>
      <c r="L692" t="s">
        <v>2917</v>
      </c>
      <c r="M692">
        <v>209.22</v>
      </c>
      <c r="N692" t="s">
        <v>2917</v>
      </c>
      <c r="O692" t="s">
        <v>2208</v>
      </c>
      <c r="P692" t="s">
        <v>2208</v>
      </c>
      <c r="Q692" t="s">
        <v>2208</v>
      </c>
      <c r="R692" t="s">
        <v>2208</v>
      </c>
    </row>
    <row r="693" spans="1:18">
      <c r="A693" t="s">
        <v>7030</v>
      </c>
      <c r="B693" t="s">
        <v>7740</v>
      </c>
      <c r="C693">
        <v>45719</v>
      </c>
      <c r="D693" t="s">
        <v>7263</v>
      </c>
      <c r="E693" t="s">
        <v>2925</v>
      </c>
      <c r="F693">
        <v>45716</v>
      </c>
      <c r="G693" t="s">
        <v>2208</v>
      </c>
      <c r="H693" t="s">
        <v>7834</v>
      </c>
      <c r="I693" t="s">
        <v>9435</v>
      </c>
      <c r="J693">
        <v>2</v>
      </c>
      <c r="K693">
        <v>209.22</v>
      </c>
      <c r="L693" t="s">
        <v>2917</v>
      </c>
      <c r="M693">
        <v>209.22</v>
      </c>
      <c r="N693" t="s">
        <v>2917</v>
      </c>
      <c r="O693" t="s">
        <v>2208</v>
      </c>
      <c r="P693" t="s">
        <v>2208</v>
      </c>
      <c r="Q693" t="s">
        <v>2208</v>
      </c>
      <c r="R693" t="s">
        <v>2208</v>
      </c>
    </row>
    <row r="694" spans="1:18">
      <c r="A694" t="s">
        <v>7030</v>
      </c>
      <c r="B694" t="s">
        <v>7740</v>
      </c>
      <c r="C694">
        <v>45719</v>
      </c>
      <c r="D694" t="s">
        <v>7263</v>
      </c>
      <c r="E694" t="s">
        <v>2925</v>
      </c>
      <c r="F694">
        <v>45716</v>
      </c>
      <c r="G694" t="s">
        <v>2208</v>
      </c>
      <c r="H694" t="s">
        <v>7834</v>
      </c>
      <c r="I694" t="s">
        <v>9436</v>
      </c>
      <c r="J694">
        <v>2</v>
      </c>
      <c r="K694">
        <v>209.22</v>
      </c>
      <c r="L694" t="s">
        <v>2917</v>
      </c>
      <c r="M694">
        <v>209.22</v>
      </c>
      <c r="N694" t="s">
        <v>2917</v>
      </c>
      <c r="O694" t="s">
        <v>2208</v>
      </c>
      <c r="P694" t="s">
        <v>2208</v>
      </c>
      <c r="Q694" t="s">
        <v>2208</v>
      </c>
      <c r="R694" t="s">
        <v>2208</v>
      </c>
    </row>
    <row r="695" spans="1:18">
      <c r="A695" t="s">
        <v>7030</v>
      </c>
      <c r="B695" t="s">
        <v>7740</v>
      </c>
      <c r="C695">
        <v>45719</v>
      </c>
      <c r="D695" t="s">
        <v>7263</v>
      </c>
      <c r="E695" t="s">
        <v>2925</v>
      </c>
      <c r="F695">
        <v>45716</v>
      </c>
      <c r="G695" t="s">
        <v>2208</v>
      </c>
      <c r="H695" t="s">
        <v>7834</v>
      </c>
      <c r="I695" t="s">
        <v>9437</v>
      </c>
      <c r="J695">
        <v>2</v>
      </c>
      <c r="K695">
        <v>209.22</v>
      </c>
      <c r="L695" t="s">
        <v>2917</v>
      </c>
      <c r="M695">
        <v>209.22</v>
      </c>
      <c r="N695" t="s">
        <v>2917</v>
      </c>
      <c r="O695" t="s">
        <v>2208</v>
      </c>
      <c r="P695" t="s">
        <v>2208</v>
      </c>
      <c r="Q695" t="s">
        <v>2208</v>
      </c>
      <c r="R695" t="s">
        <v>2208</v>
      </c>
    </row>
    <row r="696" spans="1:18">
      <c r="A696" t="s">
        <v>7030</v>
      </c>
      <c r="B696" t="s">
        <v>7740</v>
      </c>
      <c r="C696">
        <v>45719</v>
      </c>
      <c r="D696" t="s">
        <v>7263</v>
      </c>
      <c r="E696" t="s">
        <v>2925</v>
      </c>
      <c r="F696">
        <v>45716</v>
      </c>
      <c r="G696" t="s">
        <v>2208</v>
      </c>
      <c r="H696" t="s">
        <v>7834</v>
      </c>
      <c r="I696" t="s">
        <v>9438</v>
      </c>
      <c r="J696">
        <v>2</v>
      </c>
      <c r="K696">
        <v>209.22</v>
      </c>
      <c r="L696" t="s">
        <v>2917</v>
      </c>
      <c r="M696">
        <v>209.22</v>
      </c>
      <c r="N696" t="s">
        <v>2917</v>
      </c>
      <c r="O696" t="s">
        <v>2208</v>
      </c>
      <c r="P696" t="s">
        <v>2208</v>
      </c>
      <c r="Q696" t="s">
        <v>2208</v>
      </c>
      <c r="R696" t="s">
        <v>2208</v>
      </c>
    </row>
    <row r="697" spans="1:18">
      <c r="A697" t="s">
        <v>7030</v>
      </c>
      <c r="B697" t="s">
        <v>7740</v>
      </c>
      <c r="C697">
        <v>45719</v>
      </c>
      <c r="D697" t="s">
        <v>7263</v>
      </c>
      <c r="E697" t="s">
        <v>2925</v>
      </c>
      <c r="F697">
        <v>45716</v>
      </c>
      <c r="G697" t="s">
        <v>2208</v>
      </c>
      <c r="H697" t="s">
        <v>7834</v>
      </c>
      <c r="I697" t="s">
        <v>9439</v>
      </c>
      <c r="J697">
        <v>2</v>
      </c>
      <c r="K697">
        <v>209.22</v>
      </c>
      <c r="L697" t="s">
        <v>2917</v>
      </c>
      <c r="M697">
        <v>209.22</v>
      </c>
      <c r="N697" t="s">
        <v>2917</v>
      </c>
      <c r="O697" t="s">
        <v>2208</v>
      </c>
      <c r="P697" t="s">
        <v>2208</v>
      </c>
      <c r="Q697" t="s">
        <v>2208</v>
      </c>
      <c r="R697" t="s">
        <v>2208</v>
      </c>
    </row>
    <row r="698" spans="1:18">
      <c r="A698" t="s">
        <v>7030</v>
      </c>
      <c r="B698" t="s">
        <v>7740</v>
      </c>
      <c r="C698">
        <v>45719</v>
      </c>
      <c r="D698" t="s">
        <v>7263</v>
      </c>
      <c r="E698" t="s">
        <v>2925</v>
      </c>
      <c r="F698">
        <v>45716</v>
      </c>
      <c r="G698" t="s">
        <v>2208</v>
      </c>
      <c r="H698" t="s">
        <v>7834</v>
      </c>
      <c r="I698" t="s">
        <v>9440</v>
      </c>
      <c r="J698">
        <v>3</v>
      </c>
      <c r="K698">
        <v>313.83</v>
      </c>
      <c r="L698" t="s">
        <v>2917</v>
      </c>
      <c r="M698">
        <v>313.83</v>
      </c>
      <c r="N698" t="s">
        <v>2917</v>
      </c>
      <c r="O698" t="s">
        <v>2208</v>
      </c>
      <c r="P698" t="s">
        <v>2208</v>
      </c>
      <c r="Q698" t="s">
        <v>2208</v>
      </c>
      <c r="R698" t="s">
        <v>2208</v>
      </c>
    </row>
    <row r="699" spans="1:18">
      <c r="A699" t="s">
        <v>7030</v>
      </c>
      <c r="B699" t="s">
        <v>7740</v>
      </c>
      <c r="C699">
        <v>45719</v>
      </c>
      <c r="D699" t="s">
        <v>7263</v>
      </c>
      <c r="E699" t="s">
        <v>2925</v>
      </c>
      <c r="F699">
        <v>45716</v>
      </c>
      <c r="G699" t="s">
        <v>2208</v>
      </c>
      <c r="H699" t="s">
        <v>7834</v>
      </c>
      <c r="I699" t="s">
        <v>9441</v>
      </c>
      <c r="J699">
        <v>3</v>
      </c>
      <c r="K699">
        <v>313.83</v>
      </c>
      <c r="L699" t="s">
        <v>2917</v>
      </c>
      <c r="M699">
        <v>313.83</v>
      </c>
      <c r="N699" t="s">
        <v>2917</v>
      </c>
      <c r="O699" t="s">
        <v>2208</v>
      </c>
      <c r="P699" t="s">
        <v>2208</v>
      </c>
      <c r="Q699" t="s">
        <v>2208</v>
      </c>
      <c r="R699" t="s">
        <v>2208</v>
      </c>
    </row>
    <row r="700" spans="1:18">
      <c r="A700" t="s">
        <v>7030</v>
      </c>
      <c r="B700" t="s">
        <v>7740</v>
      </c>
      <c r="C700">
        <v>45719</v>
      </c>
      <c r="D700" t="s">
        <v>7263</v>
      </c>
      <c r="E700" t="s">
        <v>2925</v>
      </c>
      <c r="F700">
        <v>45716</v>
      </c>
      <c r="G700" t="s">
        <v>2208</v>
      </c>
      <c r="H700" t="s">
        <v>7834</v>
      </c>
      <c r="I700" t="s">
        <v>9442</v>
      </c>
      <c r="J700">
        <v>2</v>
      </c>
      <c r="K700">
        <v>209.22</v>
      </c>
      <c r="L700" t="s">
        <v>2917</v>
      </c>
      <c r="M700">
        <v>209.22</v>
      </c>
      <c r="N700" t="s">
        <v>2917</v>
      </c>
      <c r="O700" t="s">
        <v>2208</v>
      </c>
      <c r="P700" t="s">
        <v>2208</v>
      </c>
      <c r="Q700" t="s">
        <v>2208</v>
      </c>
      <c r="R700" t="s">
        <v>2208</v>
      </c>
    </row>
    <row r="701" spans="1:18">
      <c r="A701" t="s">
        <v>7030</v>
      </c>
      <c r="B701" t="s">
        <v>7740</v>
      </c>
      <c r="C701">
        <v>45719</v>
      </c>
      <c r="D701" t="s">
        <v>7263</v>
      </c>
      <c r="E701" t="s">
        <v>2925</v>
      </c>
      <c r="F701">
        <v>45716</v>
      </c>
      <c r="G701" t="s">
        <v>2208</v>
      </c>
      <c r="H701" t="s">
        <v>7834</v>
      </c>
      <c r="I701" t="s">
        <v>9443</v>
      </c>
      <c r="J701">
        <v>2</v>
      </c>
      <c r="K701">
        <v>209.22</v>
      </c>
      <c r="L701" t="s">
        <v>2917</v>
      </c>
      <c r="M701">
        <v>209.22</v>
      </c>
      <c r="N701" t="s">
        <v>2917</v>
      </c>
      <c r="O701" t="s">
        <v>2208</v>
      </c>
      <c r="P701" t="s">
        <v>2208</v>
      </c>
      <c r="Q701" t="s">
        <v>2208</v>
      </c>
      <c r="R701" t="s">
        <v>2208</v>
      </c>
    </row>
    <row r="702" spans="1:18">
      <c r="A702" t="s">
        <v>7030</v>
      </c>
      <c r="B702" t="s">
        <v>7740</v>
      </c>
      <c r="C702">
        <v>45719</v>
      </c>
      <c r="D702" t="s">
        <v>7263</v>
      </c>
      <c r="E702" t="s">
        <v>2925</v>
      </c>
      <c r="F702">
        <v>45716</v>
      </c>
      <c r="G702" t="s">
        <v>2208</v>
      </c>
      <c r="H702" t="s">
        <v>7834</v>
      </c>
      <c r="I702" t="s">
        <v>9444</v>
      </c>
      <c r="J702">
        <v>2</v>
      </c>
      <c r="K702">
        <v>209.22</v>
      </c>
      <c r="L702" t="s">
        <v>2917</v>
      </c>
      <c r="M702">
        <v>209.22</v>
      </c>
      <c r="N702" t="s">
        <v>2917</v>
      </c>
      <c r="O702" t="s">
        <v>2208</v>
      </c>
      <c r="P702" t="s">
        <v>2208</v>
      </c>
      <c r="Q702" t="s">
        <v>2208</v>
      </c>
      <c r="R702" t="s">
        <v>2208</v>
      </c>
    </row>
    <row r="703" spans="1:18">
      <c r="A703" t="s">
        <v>7030</v>
      </c>
      <c r="B703" t="s">
        <v>7740</v>
      </c>
      <c r="C703">
        <v>45719</v>
      </c>
      <c r="D703" t="s">
        <v>7263</v>
      </c>
      <c r="E703" t="s">
        <v>2925</v>
      </c>
      <c r="F703">
        <v>45716</v>
      </c>
      <c r="G703" t="s">
        <v>2208</v>
      </c>
      <c r="H703" t="s">
        <v>7834</v>
      </c>
      <c r="I703" t="s">
        <v>9445</v>
      </c>
      <c r="J703">
        <v>1</v>
      </c>
      <c r="K703">
        <v>104.61</v>
      </c>
      <c r="L703" t="s">
        <v>2917</v>
      </c>
      <c r="M703">
        <v>104.61</v>
      </c>
      <c r="N703" t="s">
        <v>2917</v>
      </c>
      <c r="O703" t="s">
        <v>2208</v>
      </c>
      <c r="P703" t="s">
        <v>2208</v>
      </c>
      <c r="Q703" t="s">
        <v>2208</v>
      </c>
      <c r="R703" t="s">
        <v>2208</v>
      </c>
    </row>
    <row r="704" spans="1:18">
      <c r="A704" t="s">
        <v>7030</v>
      </c>
      <c r="B704" t="s">
        <v>7740</v>
      </c>
      <c r="C704">
        <v>45719</v>
      </c>
      <c r="D704" t="s">
        <v>7263</v>
      </c>
      <c r="E704" t="s">
        <v>2925</v>
      </c>
      <c r="F704">
        <v>45716</v>
      </c>
      <c r="G704" t="s">
        <v>2208</v>
      </c>
      <c r="H704" t="s">
        <v>7834</v>
      </c>
      <c r="I704" t="s">
        <v>9446</v>
      </c>
      <c r="J704">
        <v>4</v>
      </c>
      <c r="K704">
        <v>418.44</v>
      </c>
      <c r="L704" t="s">
        <v>2917</v>
      </c>
      <c r="M704">
        <v>418.44</v>
      </c>
      <c r="N704" t="s">
        <v>2917</v>
      </c>
      <c r="O704" t="s">
        <v>2208</v>
      </c>
      <c r="P704" t="s">
        <v>2208</v>
      </c>
      <c r="Q704" t="s">
        <v>2208</v>
      </c>
      <c r="R704" t="s">
        <v>2208</v>
      </c>
    </row>
    <row r="705" spans="1:18">
      <c r="A705" t="s">
        <v>7030</v>
      </c>
      <c r="B705" t="s">
        <v>7740</v>
      </c>
      <c r="C705">
        <v>45719</v>
      </c>
      <c r="D705" t="s">
        <v>7263</v>
      </c>
      <c r="E705" t="s">
        <v>2925</v>
      </c>
      <c r="F705">
        <v>45716</v>
      </c>
      <c r="G705" t="s">
        <v>2208</v>
      </c>
      <c r="H705" t="s">
        <v>7834</v>
      </c>
      <c r="I705" t="s">
        <v>9447</v>
      </c>
      <c r="J705">
        <v>2</v>
      </c>
      <c r="K705">
        <v>209.22</v>
      </c>
      <c r="L705" t="s">
        <v>2917</v>
      </c>
      <c r="M705">
        <v>209.22</v>
      </c>
      <c r="N705" t="s">
        <v>2917</v>
      </c>
      <c r="O705" t="s">
        <v>2208</v>
      </c>
      <c r="P705" t="s">
        <v>2208</v>
      </c>
      <c r="Q705" t="s">
        <v>2208</v>
      </c>
      <c r="R705" t="s">
        <v>2208</v>
      </c>
    </row>
    <row r="706" spans="1:18">
      <c r="A706" t="s">
        <v>7030</v>
      </c>
      <c r="B706" t="s">
        <v>7740</v>
      </c>
      <c r="C706">
        <v>45719</v>
      </c>
      <c r="D706" t="s">
        <v>7263</v>
      </c>
      <c r="E706" t="s">
        <v>2925</v>
      </c>
      <c r="F706">
        <v>45716</v>
      </c>
      <c r="G706" t="s">
        <v>2208</v>
      </c>
      <c r="H706" t="s">
        <v>7834</v>
      </c>
      <c r="I706" t="s">
        <v>9448</v>
      </c>
      <c r="J706">
        <v>3</v>
      </c>
      <c r="K706">
        <v>313.83</v>
      </c>
      <c r="L706" t="s">
        <v>2917</v>
      </c>
      <c r="M706">
        <v>313.83</v>
      </c>
      <c r="N706" t="s">
        <v>2917</v>
      </c>
      <c r="O706" t="s">
        <v>2208</v>
      </c>
      <c r="P706" t="s">
        <v>2208</v>
      </c>
      <c r="Q706" t="s">
        <v>2208</v>
      </c>
      <c r="R706" t="s">
        <v>2208</v>
      </c>
    </row>
    <row r="707" spans="1:18">
      <c r="A707" t="s">
        <v>7030</v>
      </c>
      <c r="B707" t="s">
        <v>7740</v>
      </c>
      <c r="C707">
        <v>45719</v>
      </c>
      <c r="D707" t="s">
        <v>7263</v>
      </c>
      <c r="E707" t="s">
        <v>2925</v>
      </c>
      <c r="F707">
        <v>45716</v>
      </c>
      <c r="G707" t="s">
        <v>2208</v>
      </c>
      <c r="H707" t="s">
        <v>7834</v>
      </c>
      <c r="I707" t="s">
        <v>9449</v>
      </c>
      <c r="J707">
        <v>2</v>
      </c>
      <c r="K707">
        <v>209.22</v>
      </c>
      <c r="L707" t="s">
        <v>2917</v>
      </c>
      <c r="M707">
        <v>209.22</v>
      </c>
      <c r="N707" t="s">
        <v>2917</v>
      </c>
      <c r="O707" t="s">
        <v>2208</v>
      </c>
      <c r="P707" t="s">
        <v>2208</v>
      </c>
      <c r="Q707" t="s">
        <v>2208</v>
      </c>
      <c r="R707" t="s">
        <v>2208</v>
      </c>
    </row>
    <row r="708" spans="1:18">
      <c r="A708" t="s">
        <v>7030</v>
      </c>
      <c r="B708" t="s">
        <v>7740</v>
      </c>
      <c r="C708">
        <v>45719</v>
      </c>
      <c r="D708" t="s">
        <v>7263</v>
      </c>
      <c r="E708" t="s">
        <v>2925</v>
      </c>
      <c r="F708">
        <v>45716</v>
      </c>
      <c r="G708" t="s">
        <v>2208</v>
      </c>
      <c r="H708" t="s">
        <v>7834</v>
      </c>
      <c r="I708" t="s">
        <v>9450</v>
      </c>
      <c r="J708">
        <v>2</v>
      </c>
      <c r="K708">
        <v>209.22</v>
      </c>
      <c r="L708" t="s">
        <v>2917</v>
      </c>
      <c r="M708">
        <v>209.22</v>
      </c>
      <c r="N708" t="s">
        <v>2917</v>
      </c>
      <c r="O708" t="s">
        <v>2208</v>
      </c>
      <c r="P708" t="s">
        <v>2208</v>
      </c>
      <c r="Q708" t="s">
        <v>2208</v>
      </c>
      <c r="R708" t="s">
        <v>2208</v>
      </c>
    </row>
    <row r="709" spans="1:18">
      <c r="A709" t="s">
        <v>7030</v>
      </c>
      <c r="B709" t="s">
        <v>7740</v>
      </c>
      <c r="C709">
        <v>45719</v>
      </c>
      <c r="D709" t="s">
        <v>7263</v>
      </c>
      <c r="E709" t="s">
        <v>2925</v>
      </c>
      <c r="F709">
        <v>45716</v>
      </c>
      <c r="G709" t="s">
        <v>2208</v>
      </c>
      <c r="H709" t="s">
        <v>7834</v>
      </c>
      <c r="I709" t="s">
        <v>9451</v>
      </c>
      <c r="J709">
        <v>2</v>
      </c>
      <c r="K709">
        <v>209.22</v>
      </c>
      <c r="L709" t="s">
        <v>2917</v>
      </c>
      <c r="M709">
        <v>209.22</v>
      </c>
      <c r="N709" t="s">
        <v>2917</v>
      </c>
      <c r="O709" t="s">
        <v>2208</v>
      </c>
      <c r="P709" t="s">
        <v>2208</v>
      </c>
      <c r="Q709" t="s">
        <v>2208</v>
      </c>
      <c r="R709" t="s">
        <v>2208</v>
      </c>
    </row>
    <row r="710" spans="1:18">
      <c r="A710" t="s">
        <v>7030</v>
      </c>
      <c r="B710" t="s">
        <v>7740</v>
      </c>
      <c r="C710">
        <v>45719</v>
      </c>
      <c r="D710" t="s">
        <v>7263</v>
      </c>
      <c r="E710" t="s">
        <v>2925</v>
      </c>
      <c r="F710">
        <v>45716</v>
      </c>
      <c r="G710" t="s">
        <v>2208</v>
      </c>
      <c r="H710" t="s">
        <v>7834</v>
      </c>
      <c r="I710" t="s">
        <v>9452</v>
      </c>
      <c r="J710">
        <v>2</v>
      </c>
      <c r="K710">
        <v>209.22</v>
      </c>
      <c r="L710" t="s">
        <v>2917</v>
      </c>
      <c r="M710">
        <v>209.22</v>
      </c>
      <c r="N710" t="s">
        <v>2917</v>
      </c>
      <c r="O710" t="s">
        <v>2208</v>
      </c>
      <c r="P710" t="s">
        <v>2208</v>
      </c>
      <c r="Q710" t="s">
        <v>2208</v>
      </c>
      <c r="R710" t="s">
        <v>2208</v>
      </c>
    </row>
    <row r="711" spans="1:18">
      <c r="A711" t="s">
        <v>7030</v>
      </c>
      <c r="B711" t="s">
        <v>7740</v>
      </c>
      <c r="C711">
        <v>45719</v>
      </c>
      <c r="D711" t="s">
        <v>7263</v>
      </c>
      <c r="E711" t="s">
        <v>2925</v>
      </c>
      <c r="F711">
        <v>45716</v>
      </c>
      <c r="G711" t="s">
        <v>2208</v>
      </c>
      <c r="H711" t="s">
        <v>7834</v>
      </c>
      <c r="I711" t="s">
        <v>9453</v>
      </c>
      <c r="J711">
        <v>2</v>
      </c>
      <c r="K711">
        <v>209.22</v>
      </c>
      <c r="L711" t="s">
        <v>2917</v>
      </c>
      <c r="M711">
        <v>209.22</v>
      </c>
      <c r="N711" t="s">
        <v>2917</v>
      </c>
      <c r="O711" t="s">
        <v>2208</v>
      </c>
      <c r="P711" t="s">
        <v>2208</v>
      </c>
      <c r="Q711" t="s">
        <v>2208</v>
      </c>
      <c r="R711" t="s">
        <v>2208</v>
      </c>
    </row>
    <row r="712" spans="1:18">
      <c r="A712" t="s">
        <v>7030</v>
      </c>
      <c r="B712" t="s">
        <v>7740</v>
      </c>
      <c r="C712">
        <v>45719</v>
      </c>
      <c r="D712" t="s">
        <v>7263</v>
      </c>
      <c r="E712" t="s">
        <v>2925</v>
      </c>
      <c r="F712">
        <v>45716</v>
      </c>
      <c r="G712" t="s">
        <v>2208</v>
      </c>
      <c r="H712" t="s">
        <v>7834</v>
      </c>
      <c r="I712" t="s">
        <v>9454</v>
      </c>
      <c r="J712">
        <v>2</v>
      </c>
      <c r="K712">
        <v>209.22</v>
      </c>
      <c r="L712" t="s">
        <v>2917</v>
      </c>
      <c r="M712">
        <v>209.22</v>
      </c>
      <c r="N712" t="s">
        <v>2917</v>
      </c>
      <c r="O712" t="s">
        <v>2208</v>
      </c>
      <c r="P712" t="s">
        <v>2208</v>
      </c>
      <c r="Q712" t="s">
        <v>2208</v>
      </c>
      <c r="R712" t="s">
        <v>2208</v>
      </c>
    </row>
    <row r="713" spans="1:18">
      <c r="A713" t="s">
        <v>7030</v>
      </c>
      <c r="B713" t="s">
        <v>7740</v>
      </c>
      <c r="C713">
        <v>45719</v>
      </c>
      <c r="D713" t="s">
        <v>7263</v>
      </c>
      <c r="E713" t="s">
        <v>2925</v>
      </c>
      <c r="F713">
        <v>45716</v>
      </c>
      <c r="G713" t="s">
        <v>2208</v>
      </c>
      <c r="H713" t="s">
        <v>7834</v>
      </c>
      <c r="I713" t="s">
        <v>9455</v>
      </c>
      <c r="J713">
        <v>2</v>
      </c>
      <c r="K713">
        <v>209.22</v>
      </c>
      <c r="L713" t="s">
        <v>2917</v>
      </c>
      <c r="M713">
        <v>209.22</v>
      </c>
      <c r="N713" t="s">
        <v>2917</v>
      </c>
      <c r="O713" t="s">
        <v>2208</v>
      </c>
      <c r="P713" t="s">
        <v>2208</v>
      </c>
      <c r="Q713" t="s">
        <v>2208</v>
      </c>
      <c r="R713" t="s">
        <v>2208</v>
      </c>
    </row>
    <row r="714" spans="1:18">
      <c r="A714" t="s">
        <v>7030</v>
      </c>
      <c r="B714" t="s">
        <v>7740</v>
      </c>
      <c r="C714">
        <v>45719</v>
      </c>
      <c r="D714" t="s">
        <v>7263</v>
      </c>
      <c r="E714" t="s">
        <v>2925</v>
      </c>
      <c r="F714">
        <v>45716</v>
      </c>
      <c r="G714" t="s">
        <v>2208</v>
      </c>
      <c r="H714" t="s">
        <v>7834</v>
      </c>
      <c r="I714" t="s">
        <v>9456</v>
      </c>
      <c r="J714">
        <v>2</v>
      </c>
      <c r="K714">
        <v>209.22</v>
      </c>
      <c r="L714" t="s">
        <v>2917</v>
      </c>
      <c r="M714">
        <v>209.22</v>
      </c>
      <c r="N714" t="s">
        <v>2917</v>
      </c>
      <c r="O714" t="s">
        <v>2208</v>
      </c>
      <c r="P714" t="s">
        <v>2208</v>
      </c>
      <c r="Q714" t="s">
        <v>2208</v>
      </c>
      <c r="R714" t="s">
        <v>2208</v>
      </c>
    </row>
    <row r="715" spans="1:18">
      <c r="A715" t="s">
        <v>7030</v>
      </c>
      <c r="B715" t="s">
        <v>7740</v>
      </c>
      <c r="C715">
        <v>45719</v>
      </c>
      <c r="D715" t="s">
        <v>7263</v>
      </c>
      <c r="E715" t="s">
        <v>2925</v>
      </c>
      <c r="F715">
        <v>45716</v>
      </c>
      <c r="G715" t="s">
        <v>2208</v>
      </c>
      <c r="H715" t="s">
        <v>7834</v>
      </c>
      <c r="I715" t="s">
        <v>9457</v>
      </c>
      <c r="J715">
        <v>2</v>
      </c>
      <c r="K715">
        <v>209.22</v>
      </c>
      <c r="L715" t="s">
        <v>2917</v>
      </c>
      <c r="M715">
        <v>209.22</v>
      </c>
      <c r="N715" t="s">
        <v>2917</v>
      </c>
      <c r="O715" t="s">
        <v>2208</v>
      </c>
      <c r="P715" t="s">
        <v>2208</v>
      </c>
      <c r="Q715" t="s">
        <v>2208</v>
      </c>
      <c r="R715" t="s">
        <v>2208</v>
      </c>
    </row>
    <row r="716" spans="1:18">
      <c r="A716" t="s">
        <v>7030</v>
      </c>
      <c r="B716" t="s">
        <v>7740</v>
      </c>
      <c r="C716">
        <v>45719</v>
      </c>
      <c r="D716" t="s">
        <v>7263</v>
      </c>
      <c r="E716" t="s">
        <v>2925</v>
      </c>
      <c r="F716">
        <v>45716</v>
      </c>
      <c r="G716" t="s">
        <v>2208</v>
      </c>
      <c r="H716" t="s">
        <v>7834</v>
      </c>
      <c r="I716" t="s">
        <v>9458</v>
      </c>
      <c r="J716">
        <v>2</v>
      </c>
      <c r="K716">
        <v>209.22</v>
      </c>
      <c r="L716" t="s">
        <v>2917</v>
      </c>
      <c r="M716">
        <v>209.22</v>
      </c>
      <c r="N716" t="s">
        <v>2917</v>
      </c>
      <c r="O716" t="s">
        <v>2208</v>
      </c>
      <c r="P716" t="s">
        <v>2208</v>
      </c>
      <c r="Q716" t="s">
        <v>2208</v>
      </c>
      <c r="R716" t="s">
        <v>2208</v>
      </c>
    </row>
    <row r="717" spans="1:18">
      <c r="A717" t="s">
        <v>7030</v>
      </c>
      <c r="B717" t="s">
        <v>7740</v>
      </c>
      <c r="C717">
        <v>45719</v>
      </c>
      <c r="D717" t="s">
        <v>7263</v>
      </c>
      <c r="E717" t="s">
        <v>2925</v>
      </c>
      <c r="F717">
        <v>45716</v>
      </c>
      <c r="G717" t="s">
        <v>2208</v>
      </c>
      <c r="H717" t="s">
        <v>7834</v>
      </c>
      <c r="I717" t="s">
        <v>9459</v>
      </c>
      <c r="J717">
        <v>2</v>
      </c>
      <c r="K717">
        <v>209.22</v>
      </c>
      <c r="L717" t="s">
        <v>2917</v>
      </c>
      <c r="M717">
        <v>209.22</v>
      </c>
      <c r="N717" t="s">
        <v>2917</v>
      </c>
      <c r="O717" t="s">
        <v>2208</v>
      </c>
      <c r="P717" t="s">
        <v>2208</v>
      </c>
      <c r="Q717" t="s">
        <v>2208</v>
      </c>
      <c r="R717" t="s">
        <v>2208</v>
      </c>
    </row>
    <row r="718" spans="1:18">
      <c r="A718" t="s">
        <v>7030</v>
      </c>
      <c r="B718" t="s">
        <v>7740</v>
      </c>
      <c r="C718">
        <v>45719</v>
      </c>
      <c r="D718" t="s">
        <v>7263</v>
      </c>
      <c r="E718" t="s">
        <v>2925</v>
      </c>
      <c r="F718">
        <v>45716</v>
      </c>
      <c r="G718" t="s">
        <v>2208</v>
      </c>
      <c r="H718" t="s">
        <v>7834</v>
      </c>
      <c r="I718" t="s">
        <v>9460</v>
      </c>
      <c r="J718">
        <v>2</v>
      </c>
      <c r="K718">
        <v>209.22</v>
      </c>
      <c r="L718" t="s">
        <v>2917</v>
      </c>
      <c r="M718">
        <v>209.22</v>
      </c>
      <c r="N718" t="s">
        <v>2917</v>
      </c>
      <c r="O718" t="s">
        <v>2208</v>
      </c>
      <c r="P718" t="s">
        <v>2208</v>
      </c>
      <c r="Q718" t="s">
        <v>2208</v>
      </c>
      <c r="R718" t="s">
        <v>2208</v>
      </c>
    </row>
    <row r="719" spans="1:18">
      <c r="A719" t="s">
        <v>7030</v>
      </c>
      <c r="B719" t="s">
        <v>7740</v>
      </c>
      <c r="C719">
        <v>45719</v>
      </c>
      <c r="D719" t="s">
        <v>7263</v>
      </c>
      <c r="E719" t="s">
        <v>2925</v>
      </c>
      <c r="F719">
        <v>45716</v>
      </c>
      <c r="G719" t="s">
        <v>2208</v>
      </c>
      <c r="H719" t="s">
        <v>7834</v>
      </c>
      <c r="I719" t="s">
        <v>9461</v>
      </c>
      <c r="J719">
        <v>1</v>
      </c>
      <c r="K719">
        <v>104.61</v>
      </c>
      <c r="L719" t="s">
        <v>2917</v>
      </c>
      <c r="M719">
        <v>104.61</v>
      </c>
      <c r="N719" t="s">
        <v>2917</v>
      </c>
      <c r="O719" t="s">
        <v>2208</v>
      </c>
      <c r="P719" t="s">
        <v>2208</v>
      </c>
      <c r="Q719" t="s">
        <v>2208</v>
      </c>
      <c r="R719" t="s">
        <v>2208</v>
      </c>
    </row>
    <row r="720" spans="1:18">
      <c r="A720" t="s">
        <v>7030</v>
      </c>
      <c r="B720" t="s">
        <v>7740</v>
      </c>
      <c r="C720">
        <v>45719</v>
      </c>
      <c r="D720" t="s">
        <v>7263</v>
      </c>
      <c r="E720" t="s">
        <v>2925</v>
      </c>
      <c r="F720">
        <v>45716</v>
      </c>
      <c r="G720" t="s">
        <v>2208</v>
      </c>
      <c r="H720" t="s">
        <v>7834</v>
      </c>
      <c r="I720" t="s">
        <v>9462</v>
      </c>
      <c r="J720">
        <v>1</v>
      </c>
      <c r="K720">
        <v>104.61</v>
      </c>
      <c r="L720" t="s">
        <v>2917</v>
      </c>
      <c r="M720">
        <v>104.61</v>
      </c>
      <c r="N720" t="s">
        <v>2917</v>
      </c>
      <c r="O720" t="s">
        <v>2208</v>
      </c>
      <c r="P720" t="s">
        <v>2208</v>
      </c>
      <c r="Q720" t="s">
        <v>2208</v>
      </c>
      <c r="R720" t="s">
        <v>2208</v>
      </c>
    </row>
    <row r="721" spans="1:18">
      <c r="A721" t="s">
        <v>7030</v>
      </c>
      <c r="B721" t="s">
        <v>7740</v>
      </c>
      <c r="C721">
        <v>45719</v>
      </c>
      <c r="D721" t="s">
        <v>7263</v>
      </c>
      <c r="E721" t="s">
        <v>2925</v>
      </c>
      <c r="F721">
        <v>45716</v>
      </c>
      <c r="G721" t="s">
        <v>2208</v>
      </c>
      <c r="H721" t="s">
        <v>7834</v>
      </c>
      <c r="I721" t="s">
        <v>9463</v>
      </c>
      <c r="J721">
        <v>1</v>
      </c>
      <c r="K721">
        <v>104.61</v>
      </c>
      <c r="L721" t="s">
        <v>2917</v>
      </c>
      <c r="M721">
        <v>104.61</v>
      </c>
      <c r="N721" t="s">
        <v>2917</v>
      </c>
      <c r="O721" t="s">
        <v>2208</v>
      </c>
      <c r="P721" t="s">
        <v>2208</v>
      </c>
      <c r="Q721" t="s">
        <v>2208</v>
      </c>
      <c r="R721" t="s">
        <v>2208</v>
      </c>
    </row>
    <row r="722" spans="1:18">
      <c r="A722" t="s">
        <v>7030</v>
      </c>
      <c r="B722" t="s">
        <v>7740</v>
      </c>
      <c r="C722">
        <v>45719</v>
      </c>
      <c r="D722" t="s">
        <v>7263</v>
      </c>
      <c r="E722" t="s">
        <v>2925</v>
      </c>
      <c r="F722">
        <v>45716</v>
      </c>
      <c r="G722" t="s">
        <v>2208</v>
      </c>
      <c r="H722" t="s">
        <v>7834</v>
      </c>
      <c r="I722" t="s">
        <v>9464</v>
      </c>
      <c r="J722">
        <v>1</v>
      </c>
      <c r="K722">
        <v>104.61</v>
      </c>
      <c r="L722" t="s">
        <v>2917</v>
      </c>
      <c r="M722">
        <v>104.61</v>
      </c>
      <c r="N722" t="s">
        <v>2917</v>
      </c>
      <c r="O722" t="s">
        <v>2208</v>
      </c>
      <c r="P722" t="s">
        <v>2208</v>
      </c>
      <c r="Q722" t="s">
        <v>2208</v>
      </c>
      <c r="R722" t="s">
        <v>2208</v>
      </c>
    </row>
    <row r="723" spans="1:18">
      <c r="A723" t="s">
        <v>7030</v>
      </c>
      <c r="B723" t="s">
        <v>7740</v>
      </c>
      <c r="C723">
        <v>45719</v>
      </c>
      <c r="D723" t="s">
        <v>7263</v>
      </c>
      <c r="E723" t="s">
        <v>2925</v>
      </c>
      <c r="F723">
        <v>45716</v>
      </c>
      <c r="G723" t="s">
        <v>2208</v>
      </c>
      <c r="H723" t="s">
        <v>7834</v>
      </c>
      <c r="I723" t="s">
        <v>9465</v>
      </c>
      <c r="J723">
        <v>1</v>
      </c>
      <c r="K723">
        <v>104.61</v>
      </c>
      <c r="L723" t="s">
        <v>2917</v>
      </c>
      <c r="M723">
        <v>104.61</v>
      </c>
      <c r="N723" t="s">
        <v>2917</v>
      </c>
      <c r="O723" t="s">
        <v>2208</v>
      </c>
      <c r="P723" t="s">
        <v>2208</v>
      </c>
      <c r="Q723" t="s">
        <v>2208</v>
      </c>
      <c r="R723" t="s">
        <v>2208</v>
      </c>
    </row>
    <row r="724" spans="1:18">
      <c r="A724" t="s">
        <v>7030</v>
      </c>
      <c r="B724" t="s">
        <v>7740</v>
      </c>
      <c r="C724">
        <v>45719</v>
      </c>
      <c r="D724" t="s">
        <v>7263</v>
      </c>
      <c r="E724" t="s">
        <v>2925</v>
      </c>
      <c r="F724">
        <v>45716</v>
      </c>
      <c r="G724" t="s">
        <v>2208</v>
      </c>
      <c r="H724" t="s">
        <v>7834</v>
      </c>
      <c r="I724" t="s">
        <v>9466</v>
      </c>
      <c r="J724">
        <v>1</v>
      </c>
      <c r="K724">
        <v>104.61</v>
      </c>
      <c r="L724" t="s">
        <v>2917</v>
      </c>
      <c r="M724">
        <v>104.61</v>
      </c>
      <c r="N724" t="s">
        <v>2917</v>
      </c>
      <c r="O724" t="s">
        <v>2208</v>
      </c>
      <c r="P724" t="s">
        <v>2208</v>
      </c>
      <c r="Q724" t="s">
        <v>2208</v>
      </c>
      <c r="R724" t="s">
        <v>2208</v>
      </c>
    </row>
    <row r="725" spans="1:18">
      <c r="A725" t="s">
        <v>7030</v>
      </c>
      <c r="B725" t="s">
        <v>7740</v>
      </c>
      <c r="C725">
        <v>45719</v>
      </c>
      <c r="D725" t="s">
        <v>7263</v>
      </c>
      <c r="E725" t="s">
        <v>2925</v>
      </c>
      <c r="F725">
        <v>45716</v>
      </c>
      <c r="G725" t="s">
        <v>2208</v>
      </c>
      <c r="H725" t="s">
        <v>7834</v>
      </c>
      <c r="I725" t="s">
        <v>9467</v>
      </c>
      <c r="J725">
        <v>1</v>
      </c>
      <c r="K725">
        <v>104.61</v>
      </c>
      <c r="L725" t="s">
        <v>2917</v>
      </c>
      <c r="M725">
        <v>104.61</v>
      </c>
      <c r="N725" t="s">
        <v>2917</v>
      </c>
      <c r="O725" t="s">
        <v>2208</v>
      </c>
      <c r="P725" t="s">
        <v>2208</v>
      </c>
      <c r="Q725" t="s">
        <v>2208</v>
      </c>
      <c r="R725" t="s">
        <v>2208</v>
      </c>
    </row>
    <row r="726" spans="1:18">
      <c r="A726" t="s">
        <v>7030</v>
      </c>
      <c r="B726" t="s">
        <v>7740</v>
      </c>
      <c r="C726">
        <v>45719</v>
      </c>
      <c r="D726" t="s">
        <v>7263</v>
      </c>
      <c r="E726" t="s">
        <v>2925</v>
      </c>
      <c r="F726">
        <v>45716</v>
      </c>
      <c r="G726" t="s">
        <v>2208</v>
      </c>
      <c r="H726" t="s">
        <v>7834</v>
      </c>
      <c r="I726" t="s">
        <v>9468</v>
      </c>
      <c r="J726">
        <v>1</v>
      </c>
      <c r="K726">
        <v>104.61</v>
      </c>
      <c r="L726" t="s">
        <v>2917</v>
      </c>
      <c r="M726">
        <v>104.61</v>
      </c>
      <c r="N726" t="s">
        <v>2917</v>
      </c>
      <c r="O726" t="s">
        <v>2208</v>
      </c>
      <c r="P726" t="s">
        <v>2208</v>
      </c>
      <c r="Q726" t="s">
        <v>2208</v>
      </c>
      <c r="R726" t="s">
        <v>2208</v>
      </c>
    </row>
    <row r="727" spans="1:18">
      <c r="A727" t="s">
        <v>7030</v>
      </c>
      <c r="B727" t="s">
        <v>7740</v>
      </c>
      <c r="C727">
        <v>45719</v>
      </c>
      <c r="D727" t="s">
        <v>7263</v>
      </c>
      <c r="E727" t="s">
        <v>2925</v>
      </c>
      <c r="F727">
        <v>45716</v>
      </c>
      <c r="G727" t="s">
        <v>2208</v>
      </c>
      <c r="H727" t="s">
        <v>7834</v>
      </c>
      <c r="I727" t="s">
        <v>9469</v>
      </c>
      <c r="J727">
        <v>1</v>
      </c>
      <c r="K727">
        <v>104.61</v>
      </c>
      <c r="L727" t="s">
        <v>2917</v>
      </c>
      <c r="M727">
        <v>104.61</v>
      </c>
      <c r="N727" t="s">
        <v>2917</v>
      </c>
      <c r="O727" t="s">
        <v>2208</v>
      </c>
      <c r="P727" t="s">
        <v>2208</v>
      </c>
      <c r="Q727" t="s">
        <v>2208</v>
      </c>
      <c r="R727" t="s">
        <v>2208</v>
      </c>
    </row>
    <row r="728" spans="1:18">
      <c r="A728" t="s">
        <v>7030</v>
      </c>
      <c r="B728" t="s">
        <v>7740</v>
      </c>
      <c r="C728">
        <v>45719</v>
      </c>
      <c r="D728" t="s">
        <v>7263</v>
      </c>
      <c r="E728" t="s">
        <v>2925</v>
      </c>
      <c r="F728">
        <v>45716</v>
      </c>
      <c r="G728" t="s">
        <v>2208</v>
      </c>
      <c r="H728" t="s">
        <v>7834</v>
      </c>
      <c r="I728" t="s">
        <v>9470</v>
      </c>
      <c r="J728">
        <v>1</v>
      </c>
      <c r="K728">
        <v>104.61</v>
      </c>
      <c r="L728" t="s">
        <v>2917</v>
      </c>
      <c r="M728">
        <v>104.61</v>
      </c>
      <c r="N728" t="s">
        <v>2917</v>
      </c>
      <c r="O728" t="s">
        <v>2208</v>
      </c>
      <c r="P728" t="s">
        <v>2208</v>
      </c>
      <c r="Q728" t="s">
        <v>2208</v>
      </c>
      <c r="R728" t="s">
        <v>2208</v>
      </c>
    </row>
    <row r="729" spans="1:18">
      <c r="A729" t="s">
        <v>7030</v>
      </c>
      <c r="B729" t="s">
        <v>7740</v>
      </c>
      <c r="C729">
        <v>45719</v>
      </c>
      <c r="D729" t="s">
        <v>7263</v>
      </c>
      <c r="E729" t="s">
        <v>2925</v>
      </c>
      <c r="F729">
        <v>45716</v>
      </c>
      <c r="G729" t="s">
        <v>2208</v>
      </c>
      <c r="H729" t="s">
        <v>7834</v>
      </c>
      <c r="I729" t="s">
        <v>9471</v>
      </c>
      <c r="J729">
        <v>1</v>
      </c>
      <c r="K729">
        <v>104.61</v>
      </c>
      <c r="L729" t="s">
        <v>2917</v>
      </c>
      <c r="M729">
        <v>104.61</v>
      </c>
      <c r="N729" t="s">
        <v>2917</v>
      </c>
      <c r="O729" t="s">
        <v>2208</v>
      </c>
      <c r="P729" t="s">
        <v>2208</v>
      </c>
      <c r="Q729" t="s">
        <v>2208</v>
      </c>
      <c r="R729" t="s">
        <v>2208</v>
      </c>
    </row>
    <row r="730" spans="1:18">
      <c r="A730" t="s">
        <v>7030</v>
      </c>
      <c r="B730" t="s">
        <v>7740</v>
      </c>
      <c r="C730">
        <v>45719</v>
      </c>
      <c r="D730" t="s">
        <v>7263</v>
      </c>
      <c r="E730" t="s">
        <v>2925</v>
      </c>
      <c r="F730">
        <v>45716</v>
      </c>
      <c r="G730" t="s">
        <v>2208</v>
      </c>
      <c r="H730" t="s">
        <v>7834</v>
      </c>
      <c r="I730" t="s">
        <v>9472</v>
      </c>
      <c r="J730">
        <v>1</v>
      </c>
      <c r="K730">
        <v>104.61</v>
      </c>
      <c r="L730" t="s">
        <v>2917</v>
      </c>
      <c r="M730">
        <v>104.61</v>
      </c>
      <c r="N730" t="s">
        <v>2917</v>
      </c>
      <c r="O730" t="s">
        <v>2208</v>
      </c>
      <c r="P730" t="s">
        <v>2208</v>
      </c>
      <c r="Q730" t="s">
        <v>2208</v>
      </c>
      <c r="R730" t="s">
        <v>2208</v>
      </c>
    </row>
    <row r="731" spans="1:18">
      <c r="A731" t="s">
        <v>7030</v>
      </c>
      <c r="B731" t="s">
        <v>7740</v>
      </c>
      <c r="C731">
        <v>45719</v>
      </c>
      <c r="D731" t="s">
        <v>7263</v>
      </c>
      <c r="E731" t="s">
        <v>2925</v>
      </c>
      <c r="F731">
        <v>45716</v>
      </c>
      <c r="G731" t="s">
        <v>2208</v>
      </c>
      <c r="H731" t="s">
        <v>7834</v>
      </c>
      <c r="I731" t="s">
        <v>9473</v>
      </c>
      <c r="J731">
        <v>1</v>
      </c>
      <c r="K731">
        <v>104.61</v>
      </c>
      <c r="L731" t="s">
        <v>2917</v>
      </c>
      <c r="M731">
        <v>104.61</v>
      </c>
      <c r="N731" t="s">
        <v>2917</v>
      </c>
      <c r="O731" t="s">
        <v>2208</v>
      </c>
      <c r="P731" t="s">
        <v>2208</v>
      </c>
      <c r="Q731" t="s">
        <v>2208</v>
      </c>
      <c r="R731" t="s">
        <v>2208</v>
      </c>
    </row>
    <row r="732" spans="1:18">
      <c r="A732" t="s">
        <v>7030</v>
      </c>
      <c r="B732" t="s">
        <v>7740</v>
      </c>
      <c r="C732">
        <v>45719</v>
      </c>
      <c r="D732" t="s">
        <v>7263</v>
      </c>
      <c r="E732" t="s">
        <v>2925</v>
      </c>
      <c r="F732">
        <v>45716</v>
      </c>
      <c r="G732" t="s">
        <v>2208</v>
      </c>
      <c r="H732" t="s">
        <v>7834</v>
      </c>
      <c r="I732" t="s">
        <v>9474</v>
      </c>
      <c r="J732">
        <v>1</v>
      </c>
      <c r="K732">
        <v>104.61</v>
      </c>
      <c r="L732" t="s">
        <v>2917</v>
      </c>
      <c r="M732">
        <v>104.61</v>
      </c>
      <c r="N732" t="s">
        <v>2917</v>
      </c>
      <c r="O732" t="s">
        <v>2208</v>
      </c>
      <c r="P732" t="s">
        <v>2208</v>
      </c>
      <c r="Q732" t="s">
        <v>2208</v>
      </c>
      <c r="R732" t="s">
        <v>2208</v>
      </c>
    </row>
    <row r="733" spans="1:18">
      <c r="A733" t="s">
        <v>7030</v>
      </c>
      <c r="B733" t="s">
        <v>7740</v>
      </c>
      <c r="C733">
        <v>45719</v>
      </c>
      <c r="D733" t="s">
        <v>7263</v>
      </c>
      <c r="E733" t="s">
        <v>2925</v>
      </c>
      <c r="F733">
        <v>45716</v>
      </c>
      <c r="G733" t="s">
        <v>2208</v>
      </c>
      <c r="H733" t="s">
        <v>7834</v>
      </c>
      <c r="I733" t="s">
        <v>9475</v>
      </c>
      <c r="J733">
        <v>1</v>
      </c>
      <c r="K733">
        <v>104.61</v>
      </c>
      <c r="L733" t="s">
        <v>2917</v>
      </c>
      <c r="M733">
        <v>104.61</v>
      </c>
      <c r="N733" t="s">
        <v>2917</v>
      </c>
      <c r="O733" t="s">
        <v>2208</v>
      </c>
      <c r="P733" t="s">
        <v>2208</v>
      </c>
      <c r="Q733" t="s">
        <v>2208</v>
      </c>
      <c r="R733" t="s">
        <v>2208</v>
      </c>
    </row>
    <row r="734" spans="1:18">
      <c r="A734" t="s">
        <v>7030</v>
      </c>
      <c r="B734" t="s">
        <v>7740</v>
      </c>
      <c r="C734">
        <v>45719</v>
      </c>
      <c r="D734" t="s">
        <v>7263</v>
      </c>
      <c r="E734" t="s">
        <v>2925</v>
      </c>
      <c r="F734">
        <v>45716</v>
      </c>
      <c r="G734" t="s">
        <v>2208</v>
      </c>
      <c r="H734" t="s">
        <v>7834</v>
      </c>
      <c r="I734" t="s">
        <v>9476</v>
      </c>
      <c r="J734">
        <v>1</v>
      </c>
      <c r="K734">
        <v>104.61</v>
      </c>
      <c r="L734" t="s">
        <v>2917</v>
      </c>
      <c r="M734">
        <v>104.61</v>
      </c>
      <c r="N734" t="s">
        <v>2917</v>
      </c>
      <c r="O734" t="s">
        <v>2208</v>
      </c>
      <c r="P734" t="s">
        <v>2208</v>
      </c>
      <c r="Q734" t="s">
        <v>2208</v>
      </c>
      <c r="R734" t="s">
        <v>2208</v>
      </c>
    </row>
    <row r="735" spans="1:18">
      <c r="A735" t="s">
        <v>7030</v>
      </c>
      <c r="B735" t="s">
        <v>7740</v>
      </c>
      <c r="C735">
        <v>45719</v>
      </c>
      <c r="D735" t="s">
        <v>7263</v>
      </c>
      <c r="E735" t="s">
        <v>2925</v>
      </c>
      <c r="F735">
        <v>45716</v>
      </c>
      <c r="G735" t="s">
        <v>2208</v>
      </c>
      <c r="H735" t="s">
        <v>7834</v>
      </c>
      <c r="I735" t="s">
        <v>9477</v>
      </c>
      <c r="J735">
        <v>1</v>
      </c>
      <c r="K735">
        <v>104.61</v>
      </c>
      <c r="L735" t="s">
        <v>2917</v>
      </c>
      <c r="M735">
        <v>104.61</v>
      </c>
      <c r="N735" t="s">
        <v>2917</v>
      </c>
      <c r="O735" t="s">
        <v>2208</v>
      </c>
      <c r="P735" t="s">
        <v>2208</v>
      </c>
      <c r="Q735" t="s">
        <v>2208</v>
      </c>
      <c r="R735" t="s">
        <v>2208</v>
      </c>
    </row>
    <row r="736" spans="1:18">
      <c r="A736" t="s">
        <v>7030</v>
      </c>
      <c r="B736" t="s">
        <v>7740</v>
      </c>
      <c r="C736">
        <v>45719</v>
      </c>
      <c r="D736" t="s">
        <v>7263</v>
      </c>
      <c r="E736" t="s">
        <v>2925</v>
      </c>
      <c r="F736">
        <v>45716</v>
      </c>
      <c r="G736" t="s">
        <v>2208</v>
      </c>
      <c r="H736" t="s">
        <v>7834</v>
      </c>
      <c r="I736" t="s">
        <v>9478</v>
      </c>
      <c r="J736">
        <v>1</v>
      </c>
      <c r="K736">
        <v>104.61</v>
      </c>
      <c r="L736" t="s">
        <v>2917</v>
      </c>
      <c r="M736">
        <v>104.61</v>
      </c>
      <c r="N736" t="s">
        <v>2917</v>
      </c>
      <c r="O736" t="s">
        <v>2208</v>
      </c>
      <c r="P736" t="s">
        <v>2208</v>
      </c>
      <c r="Q736" t="s">
        <v>2208</v>
      </c>
      <c r="R736" t="s">
        <v>2208</v>
      </c>
    </row>
    <row r="737" spans="1:18">
      <c r="A737" t="s">
        <v>7030</v>
      </c>
      <c r="B737" t="s">
        <v>7740</v>
      </c>
      <c r="C737">
        <v>45719</v>
      </c>
      <c r="D737" t="s">
        <v>7263</v>
      </c>
      <c r="E737" t="s">
        <v>2925</v>
      </c>
      <c r="F737">
        <v>45716</v>
      </c>
      <c r="G737" t="s">
        <v>2208</v>
      </c>
      <c r="H737" t="s">
        <v>7834</v>
      </c>
      <c r="I737" t="s">
        <v>9479</v>
      </c>
      <c r="J737">
        <v>1</v>
      </c>
      <c r="K737">
        <v>104.61</v>
      </c>
      <c r="L737" t="s">
        <v>2917</v>
      </c>
      <c r="M737">
        <v>104.61</v>
      </c>
      <c r="N737" t="s">
        <v>2917</v>
      </c>
      <c r="O737" t="s">
        <v>2208</v>
      </c>
      <c r="P737" t="s">
        <v>2208</v>
      </c>
      <c r="Q737" t="s">
        <v>2208</v>
      </c>
      <c r="R737" t="s">
        <v>2208</v>
      </c>
    </row>
    <row r="738" spans="1:18">
      <c r="A738" t="s">
        <v>7030</v>
      </c>
      <c r="B738" t="s">
        <v>7740</v>
      </c>
      <c r="C738">
        <v>45719</v>
      </c>
      <c r="D738" t="s">
        <v>7263</v>
      </c>
      <c r="E738" t="s">
        <v>2925</v>
      </c>
      <c r="F738">
        <v>45716</v>
      </c>
      <c r="G738" t="s">
        <v>2208</v>
      </c>
      <c r="H738" t="s">
        <v>7834</v>
      </c>
      <c r="I738" t="s">
        <v>9480</v>
      </c>
      <c r="J738">
        <v>1</v>
      </c>
      <c r="K738">
        <v>104.61</v>
      </c>
      <c r="L738" t="s">
        <v>2917</v>
      </c>
      <c r="M738">
        <v>104.61</v>
      </c>
      <c r="N738" t="s">
        <v>2917</v>
      </c>
      <c r="O738" t="s">
        <v>2208</v>
      </c>
      <c r="P738" t="s">
        <v>2208</v>
      </c>
      <c r="Q738" t="s">
        <v>2208</v>
      </c>
      <c r="R738" t="s">
        <v>2208</v>
      </c>
    </row>
    <row r="739" spans="1:18">
      <c r="A739" t="s">
        <v>7030</v>
      </c>
      <c r="B739" t="s">
        <v>7740</v>
      </c>
      <c r="C739">
        <v>45719</v>
      </c>
      <c r="D739" t="s">
        <v>7263</v>
      </c>
      <c r="E739" t="s">
        <v>2925</v>
      </c>
      <c r="F739">
        <v>45716</v>
      </c>
      <c r="G739" t="s">
        <v>2208</v>
      </c>
      <c r="H739" t="s">
        <v>7834</v>
      </c>
      <c r="I739" t="s">
        <v>9481</v>
      </c>
      <c r="J739">
        <v>1</v>
      </c>
      <c r="K739">
        <v>104.61</v>
      </c>
      <c r="L739" t="s">
        <v>2917</v>
      </c>
      <c r="M739">
        <v>104.61</v>
      </c>
      <c r="N739" t="s">
        <v>2917</v>
      </c>
      <c r="O739" t="s">
        <v>2208</v>
      </c>
      <c r="P739" t="s">
        <v>2208</v>
      </c>
      <c r="Q739" t="s">
        <v>2208</v>
      </c>
      <c r="R739" t="s">
        <v>2208</v>
      </c>
    </row>
    <row r="740" spans="1:18">
      <c r="A740" t="s">
        <v>7030</v>
      </c>
      <c r="B740" t="s">
        <v>7740</v>
      </c>
      <c r="C740">
        <v>45719</v>
      </c>
      <c r="D740" t="s">
        <v>7263</v>
      </c>
      <c r="E740" t="s">
        <v>2925</v>
      </c>
      <c r="F740">
        <v>45716</v>
      </c>
      <c r="G740" t="s">
        <v>2208</v>
      </c>
      <c r="H740" t="s">
        <v>7834</v>
      </c>
      <c r="I740" t="s">
        <v>9482</v>
      </c>
      <c r="J740">
        <v>1</v>
      </c>
      <c r="K740">
        <v>104.61</v>
      </c>
      <c r="L740" t="s">
        <v>2917</v>
      </c>
      <c r="M740">
        <v>104.61</v>
      </c>
      <c r="N740" t="s">
        <v>2917</v>
      </c>
      <c r="O740" t="s">
        <v>2208</v>
      </c>
      <c r="P740" t="s">
        <v>2208</v>
      </c>
      <c r="Q740" t="s">
        <v>2208</v>
      </c>
      <c r="R740" t="s">
        <v>2208</v>
      </c>
    </row>
    <row r="741" spans="1:18">
      <c r="A741" t="s">
        <v>7030</v>
      </c>
      <c r="B741" t="s">
        <v>7740</v>
      </c>
      <c r="C741">
        <v>45719</v>
      </c>
      <c r="D741" t="s">
        <v>7263</v>
      </c>
      <c r="E741" t="s">
        <v>2925</v>
      </c>
      <c r="F741">
        <v>45716</v>
      </c>
      <c r="G741" t="s">
        <v>2208</v>
      </c>
      <c r="H741" t="s">
        <v>7834</v>
      </c>
      <c r="I741" t="s">
        <v>9483</v>
      </c>
      <c r="J741">
        <v>1</v>
      </c>
      <c r="K741">
        <v>104.61</v>
      </c>
      <c r="L741" t="s">
        <v>2917</v>
      </c>
      <c r="M741">
        <v>104.61</v>
      </c>
      <c r="N741" t="s">
        <v>2917</v>
      </c>
      <c r="O741" t="s">
        <v>2208</v>
      </c>
      <c r="P741" t="s">
        <v>2208</v>
      </c>
      <c r="Q741" t="s">
        <v>2208</v>
      </c>
      <c r="R741" t="s">
        <v>2208</v>
      </c>
    </row>
    <row r="742" spans="1:18">
      <c r="A742" t="s">
        <v>7030</v>
      </c>
      <c r="B742" t="s">
        <v>7740</v>
      </c>
      <c r="C742">
        <v>45719</v>
      </c>
      <c r="D742" t="s">
        <v>7263</v>
      </c>
      <c r="E742" t="s">
        <v>2925</v>
      </c>
      <c r="F742">
        <v>45716</v>
      </c>
      <c r="G742" t="s">
        <v>2208</v>
      </c>
      <c r="H742" t="s">
        <v>7834</v>
      </c>
      <c r="I742" t="s">
        <v>9484</v>
      </c>
      <c r="J742">
        <v>2</v>
      </c>
      <c r="K742">
        <v>209.22</v>
      </c>
      <c r="L742" t="s">
        <v>2917</v>
      </c>
      <c r="M742">
        <v>209.22</v>
      </c>
      <c r="N742" t="s">
        <v>2917</v>
      </c>
      <c r="O742" t="s">
        <v>2208</v>
      </c>
      <c r="P742" t="s">
        <v>2208</v>
      </c>
      <c r="Q742" t="s">
        <v>2208</v>
      </c>
      <c r="R742" t="s">
        <v>2208</v>
      </c>
    </row>
    <row r="743" spans="1:18">
      <c r="A743" t="s">
        <v>7030</v>
      </c>
      <c r="B743" t="s">
        <v>7740</v>
      </c>
      <c r="C743">
        <v>45719</v>
      </c>
      <c r="D743" t="s">
        <v>7263</v>
      </c>
      <c r="E743" t="s">
        <v>2925</v>
      </c>
      <c r="F743">
        <v>45716</v>
      </c>
      <c r="G743" t="s">
        <v>2208</v>
      </c>
      <c r="H743" t="s">
        <v>7834</v>
      </c>
      <c r="I743" t="s">
        <v>9485</v>
      </c>
      <c r="J743">
        <v>2</v>
      </c>
      <c r="K743">
        <v>209.22</v>
      </c>
      <c r="L743" t="s">
        <v>2917</v>
      </c>
      <c r="M743">
        <v>209.22</v>
      </c>
      <c r="N743" t="s">
        <v>2917</v>
      </c>
      <c r="O743" t="s">
        <v>2208</v>
      </c>
      <c r="P743" t="s">
        <v>2208</v>
      </c>
      <c r="Q743" t="s">
        <v>2208</v>
      </c>
      <c r="R743" t="s">
        <v>2208</v>
      </c>
    </row>
    <row r="744" spans="1:18">
      <c r="A744" t="s">
        <v>7030</v>
      </c>
      <c r="B744" t="s">
        <v>7740</v>
      </c>
      <c r="C744">
        <v>45719</v>
      </c>
      <c r="D744" t="s">
        <v>7263</v>
      </c>
      <c r="E744" t="s">
        <v>2925</v>
      </c>
      <c r="F744">
        <v>45716</v>
      </c>
      <c r="G744" t="s">
        <v>2208</v>
      </c>
      <c r="H744" t="s">
        <v>7834</v>
      </c>
      <c r="I744" t="s">
        <v>9486</v>
      </c>
      <c r="J744">
        <v>1</v>
      </c>
      <c r="K744">
        <v>104.61</v>
      </c>
      <c r="L744" t="s">
        <v>2917</v>
      </c>
      <c r="M744">
        <v>104.61</v>
      </c>
      <c r="N744" t="s">
        <v>2917</v>
      </c>
      <c r="O744" t="s">
        <v>2208</v>
      </c>
      <c r="P744" t="s">
        <v>2208</v>
      </c>
      <c r="Q744" t="s">
        <v>2208</v>
      </c>
      <c r="R744" t="s">
        <v>2208</v>
      </c>
    </row>
    <row r="745" spans="1:18">
      <c r="A745" t="s">
        <v>7030</v>
      </c>
      <c r="B745" t="s">
        <v>7740</v>
      </c>
      <c r="C745">
        <v>45719</v>
      </c>
      <c r="D745" t="s">
        <v>7263</v>
      </c>
      <c r="E745" t="s">
        <v>2925</v>
      </c>
      <c r="F745">
        <v>45716</v>
      </c>
      <c r="G745" t="s">
        <v>2208</v>
      </c>
      <c r="H745" t="s">
        <v>7834</v>
      </c>
      <c r="I745" t="s">
        <v>9487</v>
      </c>
      <c r="J745">
        <v>1</v>
      </c>
      <c r="K745">
        <v>104.61</v>
      </c>
      <c r="L745" t="s">
        <v>2917</v>
      </c>
      <c r="M745">
        <v>104.61</v>
      </c>
      <c r="N745" t="s">
        <v>2917</v>
      </c>
      <c r="O745" t="s">
        <v>2208</v>
      </c>
      <c r="P745" t="s">
        <v>2208</v>
      </c>
      <c r="Q745" t="s">
        <v>2208</v>
      </c>
      <c r="R745" t="s">
        <v>2208</v>
      </c>
    </row>
    <row r="746" spans="1:18">
      <c r="A746" t="s">
        <v>7030</v>
      </c>
      <c r="B746" t="s">
        <v>7740</v>
      </c>
      <c r="C746">
        <v>45719</v>
      </c>
      <c r="D746" t="s">
        <v>7263</v>
      </c>
      <c r="E746" t="s">
        <v>2925</v>
      </c>
      <c r="F746">
        <v>45716</v>
      </c>
      <c r="G746" t="s">
        <v>2208</v>
      </c>
      <c r="H746" t="s">
        <v>7834</v>
      </c>
      <c r="I746" t="s">
        <v>9488</v>
      </c>
      <c r="J746">
        <v>1</v>
      </c>
      <c r="K746">
        <v>104.61</v>
      </c>
      <c r="L746" t="s">
        <v>2917</v>
      </c>
      <c r="M746">
        <v>104.61</v>
      </c>
      <c r="N746" t="s">
        <v>2917</v>
      </c>
      <c r="O746" t="s">
        <v>2208</v>
      </c>
      <c r="P746" t="s">
        <v>2208</v>
      </c>
      <c r="Q746" t="s">
        <v>2208</v>
      </c>
      <c r="R746" t="s">
        <v>2208</v>
      </c>
    </row>
    <row r="747" spans="1:18">
      <c r="A747" t="s">
        <v>7030</v>
      </c>
      <c r="B747" t="s">
        <v>7740</v>
      </c>
      <c r="C747">
        <v>45719</v>
      </c>
      <c r="D747" t="s">
        <v>7263</v>
      </c>
      <c r="E747" t="s">
        <v>2925</v>
      </c>
      <c r="F747">
        <v>45716</v>
      </c>
      <c r="G747" t="s">
        <v>2208</v>
      </c>
      <c r="H747" t="s">
        <v>7834</v>
      </c>
      <c r="I747" t="s">
        <v>9489</v>
      </c>
      <c r="J747">
        <v>1</v>
      </c>
      <c r="K747">
        <v>104.61</v>
      </c>
      <c r="L747" t="s">
        <v>2917</v>
      </c>
      <c r="M747">
        <v>104.61</v>
      </c>
      <c r="N747" t="s">
        <v>2917</v>
      </c>
      <c r="O747" t="s">
        <v>2208</v>
      </c>
      <c r="P747" t="s">
        <v>2208</v>
      </c>
      <c r="Q747" t="s">
        <v>2208</v>
      </c>
      <c r="R747" t="s">
        <v>2208</v>
      </c>
    </row>
    <row r="748" spans="1:18">
      <c r="A748" t="s">
        <v>7030</v>
      </c>
      <c r="B748" t="s">
        <v>7740</v>
      </c>
      <c r="C748">
        <v>45719</v>
      </c>
      <c r="D748" t="s">
        <v>7263</v>
      </c>
      <c r="E748" t="s">
        <v>2925</v>
      </c>
      <c r="F748">
        <v>45716</v>
      </c>
      <c r="G748" t="s">
        <v>2208</v>
      </c>
      <c r="H748" t="s">
        <v>7834</v>
      </c>
      <c r="I748" t="s">
        <v>9490</v>
      </c>
      <c r="J748">
        <v>2</v>
      </c>
      <c r="K748">
        <v>209.22</v>
      </c>
      <c r="L748" t="s">
        <v>2917</v>
      </c>
      <c r="M748">
        <v>209.22</v>
      </c>
      <c r="N748" t="s">
        <v>2917</v>
      </c>
      <c r="O748" t="s">
        <v>2208</v>
      </c>
      <c r="P748" t="s">
        <v>2208</v>
      </c>
      <c r="Q748" t="s">
        <v>2208</v>
      </c>
      <c r="R748" t="s">
        <v>2208</v>
      </c>
    </row>
    <row r="749" spans="1:18">
      <c r="A749" t="s">
        <v>7030</v>
      </c>
      <c r="B749" t="s">
        <v>7740</v>
      </c>
      <c r="C749">
        <v>45719</v>
      </c>
      <c r="D749" t="s">
        <v>7263</v>
      </c>
      <c r="E749" t="s">
        <v>2925</v>
      </c>
      <c r="F749">
        <v>45716</v>
      </c>
      <c r="G749" t="s">
        <v>2208</v>
      </c>
      <c r="H749" t="s">
        <v>7834</v>
      </c>
      <c r="I749" t="s">
        <v>9491</v>
      </c>
      <c r="J749">
        <v>1</v>
      </c>
      <c r="K749">
        <v>104.61</v>
      </c>
      <c r="L749" t="s">
        <v>2917</v>
      </c>
      <c r="M749">
        <v>104.61</v>
      </c>
      <c r="N749" t="s">
        <v>2917</v>
      </c>
      <c r="O749" t="s">
        <v>2208</v>
      </c>
      <c r="P749" t="s">
        <v>2208</v>
      </c>
      <c r="Q749" t="s">
        <v>2208</v>
      </c>
      <c r="R749" t="s">
        <v>2208</v>
      </c>
    </row>
    <row r="750" spans="1:18">
      <c r="A750" t="s">
        <v>7030</v>
      </c>
      <c r="B750" t="s">
        <v>7740</v>
      </c>
      <c r="C750">
        <v>45719</v>
      </c>
      <c r="D750" t="s">
        <v>7263</v>
      </c>
      <c r="E750" t="s">
        <v>2925</v>
      </c>
      <c r="F750">
        <v>45716</v>
      </c>
      <c r="G750" t="s">
        <v>2208</v>
      </c>
      <c r="H750" t="s">
        <v>7834</v>
      </c>
      <c r="I750" t="s">
        <v>9492</v>
      </c>
      <c r="J750">
        <v>0.8</v>
      </c>
      <c r="K750">
        <v>83.69</v>
      </c>
      <c r="L750" t="s">
        <v>2917</v>
      </c>
      <c r="M750">
        <v>83.69</v>
      </c>
      <c r="N750" t="s">
        <v>2917</v>
      </c>
      <c r="O750" t="s">
        <v>2208</v>
      </c>
      <c r="P750" t="s">
        <v>2208</v>
      </c>
      <c r="Q750" t="s">
        <v>2208</v>
      </c>
      <c r="R750" t="s">
        <v>2208</v>
      </c>
    </row>
    <row r="751" spans="1:18">
      <c r="A751" t="s">
        <v>7030</v>
      </c>
      <c r="B751" t="s">
        <v>7740</v>
      </c>
      <c r="C751">
        <v>45719</v>
      </c>
      <c r="D751" t="s">
        <v>7263</v>
      </c>
      <c r="E751" t="s">
        <v>2925</v>
      </c>
      <c r="F751">
        <v>45716</v>
      </c>
      <c r="G751" t="s">
        <v>2208</v>
      </c>
      <c r="H751" t="s">
        <v>7834</v>
      </c>
      <c r="I751" t="s">
        <v>9493</v>
      </c>
      <c r="J751">
        <v>1</v>
      </c>
      <c r="K751">
        <v>104.61</v>
      </c>
      <c r="L751" t="s">
        <v>2917</v>
      </c>
      <c r="M751">
        <v>104.61</v>
      </c>
      <c r="N751" t="s">
        <v>2917</v>
      </c>
      <c r="O751" t="s">
        <v>2208</v>
      </c>
      <c r="P751" t="s">
        <v>2208</v>
      </c>
      <c r="Q751" t="s">
        <v>2208</v>
      </c>
      <c r="R751" t="s">
        <v>2208</v>
      </c>
    </row>
    <row r="752" spans="1:18">
      <c r="A752" t="s">
        <v>7030</v>
      </c>
      <c r="B752" t="s">
        <v>7740</v>
      </c>
      <c r="C752">
        <v>45719</v>
      </c>
      <c r="D752" t="s">
        <v>7263</v>
      </c>
      <c r="E752" t="s">
        <v>2925</v>
      </c>
      <c r="F752">
        <v>45716</v>
      </c>
      <c r="G752" t="s">
        <v>2208</v>
      </c>
      <c r="H752" t="s">
        <v>7834</v>
      </c>
      <c r="I752" t="s">
        <v>9494</v>
      </c>
      <c r="J752">
        <v>1</v>
      </c>
      <c r="K752">
        <v>104.61</v>
      </c>
      <c r="L752" t="s">
        <v>2917</v>
      </c>
      <c r="M752">
        <v>104.61</v>
      </c>
      <c r="N752" t="s">
        <v>2917</v>
      </c>
      <c r="O752" t="s">
        <v>2208</v>
      </c>
      <c r="P752" t="s">
        <v>2208</v>
      </c>
      <c r="Q752" t="s">
        <v>2208</v>
      </c>
      <c r="R752" t="s">
        <v>2208</v>
      </c>
    </row>
    <row r="753" spans="1:18">
      <c r="A753" t="s">
        <v>7030</v>
      </c>
      <c r="B753" t="s">
        <v>7740</v>
      </c>
      <c r="C753">
        <v>45719</v>
      </c>
      <c r="D753" t="s">
        <v>7263</v>
      </c>
      <c r="E753" t="s">
        <v>2925</v>
      </c>
      <c r="F753">
        <v>45716</v>
      </c>
      <c r="G753" t="s">
        <v>2208</v>
      </c>
      <c r="H753" t="s">
        <v>7834</v>
      </c>
      <c r="I753" t="s">
        <v>9495</v>
      </c>
      <c r="J753">
        <v>1</v>
      </c>
      <c r="K753">
        <v>104.61</v>
      </c>
      <c r="L753" t="s">
        <v>2917</v>
      </c>
      <c r="M753">
        <v>104.61</v>
      </c>
      <c r="N753" t="s">
        <v>2917</v>
      </c>
      <c r="O753" t="s">
        <v>2208</v>
      </c>
      <c r="P753" t="s">
        <v>2208</v>
      </c>
      <c r="Q753" t="s">
        <v>2208</v>
      </c>
      <c r="R753" t="s">
        <v>2208</v>
      </c>
    </row>
    <row r="754" spans="1:18">
      <c r="A754" t="s">
        <v>7030</v>
      </c>
      <c r="B754" t="s">
        <v>7740</v>
      </c>
      <c r="C754">
        <v>45719</v>
      </c>
      <c r="D754" t="s">
        <v>7263</v>
      </c>
      <c r="E754" t="s">
        <v>2925</v>
      </c>
      <c r="F754">
        <v>45716</v>
      </c>
      <c r="G754" t="s">
        <v>2208</v>
      </c>
      <c r="H754" t="s">
        <v>7834</v>
      </c>
      <c r="I754" t="s">
        <v>9496</v>
      </c>
      <c r="J754">
        <v>1</v>
      </c>
      <c r="K754">
        <v>104.61</v>
      </c>
      <c r="L754" t="s">
        <v>2917</v>
      </c>
      <c r="M754">
        <v>104.61</v>
      </c>
      <c r="N754" t="s">
        <v>2917</v>
      </c>
      <c r="O754" t="s">
        <v>2208</v>
      </c>
      <c r="P754" t="s">
        <v>2208</v>
      </c>
      <c r="Q754" t="s">
        <v>2208</v>
      </c>
      <c r="R754" t="s">
        <v>2208</v>
      </c>
    </row>
    <row r="755" spans="1:18">
      <c r="A755" t="s">
        <v>7030</v>
      </c>
      <c r="B755" t="s">
        <v>7740</v>
      </c>
      <c r="C755">
        <v>45719</v>
      </c>
      <c r="D755" t="s">
        <v>7263</v>
      </c>
      <c r="E755" t="s">
        <v>2925</v>
      </c>
      <c r="F755">
        <v>45716</v>
      </c>
      <c r="G755" t="s">
        <v>2208</v>
      </c>
      <c r="H755" t="s">
        <v>7834</v>
      </c>
      <c r="I755" t="s">
        <v>9497</v>
      </c>
      <c r="J755">
        <v>2</v>
      </c>
      <c r="K755">
        <v>209.22</v>
      </c>
      <c r="L755" t="s">
        <v>2917</v>
      </c>
      <c r="M755">
        <v>209.22</v>
      </c>
      <c r="N755" t="s">
        <v>2917</v>
      </c>
      <c r="O755" t="s">
        <v>2208</v>
      </c>
      <c r="P755" t="s">
        <v>2208</v>
      </c>
      <c r="Q755" t="s">
        <v>2208</v>
      </c>
      <c r="R755" t="s">
        <v>2208</v>
      </c>
    </row>
    <row r="756" spans="1:18">
      <c r="A756" t="s">
        <v>7030</v>
      </c>
      <c r="B756" t="s">
        <v>7740</v>
      </c>
      <c r="C756">
        <v>45719</v>
      </c>
      <c r="D756" t="s">
        <v>7263</v>
      </c>
      <c r="E756" t="s">
        <v>2925</v>
      </c>
      <c r="F756">
        <v>45716</v>
      </c>
      <c r="G756" t="s">
        <v>2208</v>
      </c>
      <c r="H756" t="s">
        <v>7834</v>
      </c>
      <c r="I756" t="s">
        <v>9498</v>
      </c>
      <c r="J756">
        <v>2</v>
      </c>
      <c r="K756">
        <v>209.22</v>
      </c>
      <c r="L756" t="s">
        <v>2917</v>
      </c>
      <c r="M756">
        <v>209.22</v>
      </c>
      <c r="N756" t="s">
        <v>2917</v>
      </c>
      <c r="O756" t="s">
        <v>2208</v>
      </c>
      <c r="P756" t="s">
        <v>2208</v>
      </c>
      <c r="Q756" t="s">
        <v>2208</v>
      </c>
      <c r="R756" t="s">
        <v>2208</v>
      </c>
    </row>
    <row r="757" spans="1:18">
      <c r="A757" t="s">
        <v>7030</v>
      </c>
      <c r="B757" t="s">
        <v>7740</v>
      </c>
      <c r="C757">
        <v>45719</v>
      </c>
      <c r="D757" t="s">
        <v>7263</v>
      </c>
      <c r="E757" t="s">
        <v>2925</v>
      </c>
      <c r="F757">
        <v>45716</v>
      </c>
      <c r="G757" t="s">
        <v>2208</v>
      </c>
      <c r="H757" t="s">
        <v>7834</v>
      </c>
      <c r="I757" t="s">
        <v>9499</v>
      </c>
      <c r="J757">
        <v>1</v>
      </c>
      <c r="K757">
        <v>104.61</v>
      </c>
      <c r="L757" t="s">
        <v>2917</v>
      </c>
      <c r="M757">
        <v>104.61</v>
      </c>
      <c r="N757" t="s">
        <v>2917</v>
      </c>
      <c r="O757" t="s">
        <v>2208</v>
      </c>
      <c r="P757" t="s">
        <v>2208</v>
      </c>
      <c r="Q757" t="s">
        <v>2208</v>
      </c>
      <c r="R757" t="s">
        <v>2208</v>
      </c>
    </row>
    <row r="758" spans="1:18">
      <c r="A758" t="s">
        <v>7030</v>
      </c>
      <c r="B758" t="s">
        <v>7740</v>
      </c>
      <c r="C758">
        <v>45719</v>
      </c>
      <c r="D758" t="s">
        <v>7263</v>
      </c>
      <c r="E758" t="s">
        <v>2925</v>
      </c>
      <c r="F758">
        <v>45716</v>
      </c>
      <c r="G758" t="s">
        <v>2208</v>
      </c>
      <c r="H758" t="s">
        <v>7834</v>
      </c>
      <c r="I758" t="s">
        <v>9500</v>
      </c>
      <c r="J758">
        <v>1</v>
      </c>
      <c r="K758">
        <v>104.61</v>
      </c>
      <c r="L758" t="s">
        <v>2917</v>
      </c>
      <c r="M758">
        <v>104.61</v>
      </c>
      <c r="N758" t="s">
        <v>2917</v>
      </c>
      <c r="O758" t="s">
        <v>2208</v>
      </c>
      <c r="P758" t="s">
        <v>2208</v>
      </c>
      <c r="Q758" t="s">
        <v>2208</v>
      </c>
      <c r="R758" t="s">
        <v>2208</v>
      </c>
    </row>
    <row r="759" spans="1:18">
      <c r="A759" t="s">
        <v>7030</v>
      </c>
      <c r="B759" t="s">
        <v>7740</v>
      </c>
      <c r="C759">
        <v>45719</v>
      </c>
      <c r="D759" t="s">
        <v>7263</v>
      </c>
      <c r="E759" t="s">
        <v>2925</v>
      </c>
      <c r="F759">
        <v>45716</v>
      </c>
      <c r="G759" t="s">
        <v>2208</v>
      </c>
      <c r="H759" t="s">
        <v>7834</v>
      </c>
      <c r="I759" t="s">
        <v>9501</v>
      </c>
      <c r="J759">
        <v>2</v>
      </c>
      <c r="K759">
        <v>209.22</v>
      </c>
      <c r="L759" t="s">
        <v>2917</v>
      </c>
      <c r="M759">
        <v>209.22</v>
      </c>
      <c r="N759" t="s">
        <v>2917</v>
      </c>
      <c r="O759" t="s">
        <v>2208</v>
      </c>
      <c r="P759" t="s">
        <v>2208</v>
      </c>
      <c r="Q759" t="s">
        <v>2208</v>
      </c>
      <c r="R759" t="s">
        <v>2208</v>
      </c>
    </row>
    <row r="760" spans="1:18">
      <c r="A760" t="s">
        <v>7030</v>
      </c>
      <c r="B760" t="s">
        <v>7740</v>
      </c>
      <c r="C760">
        <v>45719</v>
      </c>
      <c r="D760" t="s">
        <v>7263</v>
      </c>
      <c r="E760" t="s">
        <v>2925</v>
      </c>
      <c r="F760">
        <v>45716</v>
      </c>
      <c r="G760" t="s">
        <v>2208</v>
      </c>
      <c r="H760" t="s">
        <v>7834</v>
      </c>
      <c r="I760" t="s">
        <v>9502</v>
      </c>
      <c r="J760">
        <v>4</v>
      </c>
      <c r="K760">
        <v>418.44</v>
      </c>
      <c r="L760" t="s">
        <v>2917</v>
      </c>
      <c r="M760">
        <v>418.44</v>
      </c>
      <c r="N760" t="s">
        <v>2917</v>
      </c>
      <c r="O760" t="s">
        <v>2208</v>
      </c>
      <c r="P760" t="s">
        <v>2208</v>
      </c>
      <c r="Q760" t="s">
        <v>2208</v>
      </c>
      <c r="R760" t="s">
        <v>2208</v>
      </c>
    </row>
    <row r="761" spans="1:18">
      <c r="A761" t="s">
        <v>7030</v>
      </c>
      <c r="B761" t="s">
        <v>7740</v>
      </c>
      <c r="C761">
        <v>45719</v>
      </c>
      <c r="D761" t="s">
        <v>7263</v>
      </c>
      <c r="E761" t="s">
        <v>2925</v>
      </c>
      <c r="F761">
        <v>45716</v>
      </c>
      <c r="G761" t="s">
        <v>2208</v>
      </c>
      <c r="H761" t="s">
        <v>7834</v>
      </c>
      <c r="I761" t="s">
        <v>9503</v>
      </c>
      <c r="J761">
        <v>1</v>
      </c>
      <c r="K761">
        <v>104.61</v>
      </c>
      <c r="L761" t="s">
        <v>2917</v>
      </c>
      <c r="M761">
        <v>104.61</v>
      </c>
      <c r="N761" t="s">
        <v>2917</v>
      </c>
      <c r="O761" t="s">
        <v>2208</v>
      </c>
      <c r="P761" t="s">
        <v>2208</v>
      </c>
      <c r="Q761" t="s">
        <v>2208</v>
      </c>
      <c r="R761" t="s">
        <v>2208</v>
      </c>
    </row>
    <row r="762" spans="1:18">
      <c r="A762" t="s">
        <v>2600</v>
      </c>
      <c r="B762" t="s">
        <v>7740</v>
      </c>
      <c r="C762">
        <v>45720</v>
      </c>
      <c r="D762" t="s">
        <v>7263</v>
      </c>
      <c r="E762" t="s">
        <v>2925</v>
      </c>
      <c r="F762">
        <v>45716</v>
      </c>
      <c r="G762" t="s">
        <v>2208</v>
      </c>
      <c r="H762" t="s">
        <v>7834</v>
      </c>
      <c r="I762" t="s">
        <v>9504</v>
      </c>
      <c r="J762">
        <v>0</v>
      </c>
      <c r="K762">
        <v>-15.56</v>
      </c>
      <c r="L762" t="s">
        <v>2917</v>
      </c>
      <c r="M762">
        <v>-15.56</v>
      </c>
      <c r="N762" t="s">
        <v>2917</v>
      </c>
      <c r="O762" t="s">
        <v>2208</v>
      </c>
      <c r="P762" t="s">
        <v>2208</v>
      </c>
      <c r="Q762" t="s">
        <v>2208</v>
      </c>
      <c r="R762" t="s">
        <v>2208</v>
      </c>
    </row>
    <row r="763" spans="1:18">
      <c r="A763" t="s">
        <v>2886</v>
      </c>
      <c r="B763" t="s">
        <v>7740</v>
      </c>
      <c r="C763">
        <v>45720</v>
      </c>
      <c r="D763" t="s">
        <v>7263</v>
      </c>
      <c r="E763" t="s">
        <v>2925</v>
      </c>
      <c r="F763">
        <v>45716</v>
      </c>
      <c r="G763" t="s">
        <v>2208</v>
      </c>
      <c r="H763" t="s">
        <v>7834</v>
      </c>
      <c r="I763" t="s">
        <v>9505</v>
      </c>
      <c r="J763">
        <v>0</v>
      </c>
      <c r="K763">
        <v>-31.11</v>
      </c>
      <c r="L763" t="s">
        <v>2917</v>
      </c>
      <c r="M763">
        <v>-31.11</v>
      </c>
      <c r="N763" t="s">
        <v>2917</v>
      </c>
      <c r="O763" t="s">
        <v>2208</v>
      </c>
      <c r="P763" t="s">
        <v>2208</v>
      </c>
      <c r="Q763" t="s">
        <v>2208</v>
      </c>
      <c r="R763" t="s">
        <v>2208</v>
      </c>
    </row>
    <row r="764" spans="1:18">
      <c r="A764" t="s">
        <v>6816</v>
      </c>
      <c r="B764" t="s">
        <v>7740</v>
      </c>
      <c r="C764">
        <v>45720</v>
      </c>
      <c r="D764" t="s">
        <v>7263</v>
      </c>
      <c r="E764" t="s">
        <v>2925</v>
      </c>
      <c r="F764">
        <v>45716</v>
      </c>
      <c r="G764" t="s">
        <v>2208</v>
      </c>
      <c r="H764" t="s">
        <v>7834</v>
      </c>
      <c r="I764" t="s">
        <v>9506</v>
      </c>
      <c r="J764">
        <v>0</v>
      </c>
      <c r="K764">
        <v>-10.37</v>
      </c>
      <c r="L764" t="s">
        <v>2917</v>
      </c>
      <c r="M764">
        <v>-10.37</v>
      </c>
      <c r="N764" t="s">
        <v>2917</v>
      </c>
      <c r="O764" t="s">
        <v>2208</v>
      </c>
      <c r="P764" t="s">
        <v>2208</v>
      </c>
      <c r="Q764" t="s">
        <v>2208</v>
      </c>
      <c r="R764" t="s">
        <v>2208</v>
      </c>
    </row>
    <row r="765" spans="1:18">
      <c r="A765" t="s">
        <v>7030</v>
      </c>
      <c r="B765" t="s">
        <v>7740</v>
      </c>
      <c r="C765">
        <v>45720</v>
      </c>
      <c r="D765" t="s">
        <v>7263</v>
      </c>
      <c r="E765" t="s">
        <v>2925</v>
      </c>
      <c r="F765">
        <v>45716</v>
      </c>
      <c r="G765" t="s">
        <v>2208</v>
      </c>
      <c r="H765" t="s">
        <v>7834</v>
      </c>
      <c r="I765" t="s">
        <v>9507</v>
      </c>
      <c r="J765">
        <v>0</v>
      </c>
      <c r="K765">
        <v>-145.19999999999999</v>
      </c>
      <c r="L765" t="s">
        <v>2917</v>
      </c>
      <c r="M765">
        <v>-145.19999999999999</v>
      </c>
      <c r="N765" t="s">
        <v>2917</v>
      </c>
      <c r="O765" t="s">
        <v>2208</v>
      </c>
      <c r="P765" t="s">
        <v>2208</v>
      </c>
      <c r="Q765" t="s">
        <v>2208</v>
      </c>
      <c r="R765" t="s">
        <v>2208</v>
      </c>
    </row>
    <row r="766" spans="1:18">
      <c r="A766" t="s">
        <v>7030</v>
      </c>
      <c r="B766" t="s">
        <v>7740</v>
      </c>
      <c r="C766">
        <v>45720</v>
      </c>
      <c r="D766" t="s">
        <v>7263</v>
      </c>
      <c r="E766" t="s">
        <v>2925</v>
      </c>
      <c r="F766">
        <v>45716</v>
      </c>
      <c r="G766" t="s">
        <v>2208</v>
      </c>
      <c r="H766" t="s">
        <v>7834</v>
      </c>
      <c r="I766" t="s">
        <v>9507</v>
      </c>
      <c r="J766">
        <v>0</v>
      </c>
      <c r="K766">
        <v>-591.17999999999995</v>
      </c>
      <c r="L766" t="s">
        <v>2917</v>
      </c>
      <c r="M766">
        <v>-591.17999999999995</v>
      </c>
      <c r="N766" t="s">
        <v>2917</v>
      </c>
      <c r="O766" t="s">
        <v>2208</v>
      </c>
      <c r="P766" t="s">
        <v>2208</v>
      </c>
      <c r="Q766" t="s">
        <v>2208</v>
      </c>
      <c r="R766" t="s">
        <v>2208</v>
      </c>
    </row>
    <row r="767" spans="1:18">
      <c r="A767" t="s">
        <v>7030</v>
      </c>
      <c r="B767" t="s">
        <v>7740</v>
      </c>
      <c r="C767">
        <v>45720</v>
      </c>
      <c r="D767" t="s">
        <v>7263</v>
      </c>
      <c r="E767" t="s">
        <v>2925</v>
      </c>
      <c r="F767">
        <v>45716</v>
      </c>
      <c r="G767" t="s">
        <v>2208</v>
      </c>
      <c r="H767" t="s">
        <v>7834</v>
      </c>
      <c r="I767" t="s">
        <v>9507</v>
      </c>
      <c r="J767">
        <v>0</v>
      </c>
      <c r="K767">
        <v>-227.14</v>
      </c>
      <c r="L767" t="s">
        <v>2917</v>
      </c>
      <c r="M767">
        <v>-227.14</v>
      </c>
      <c r="N767" t="s">
        <v>2917</v>
      </c>
      <c r="O767" t="s">
        <v>2208</v>
      </c>
      <c r="P767" t="s">
        <v>2208</v>
      </c>
      <c r="Q767" t="s">
        <v>2208</v>
      </c>
      <c r="R767" t="s">
        <v>2208</v>
      </c>
    </row>
    <row r="768" spans="1:18">
      <c r="A768" t="s">
        <v>2237</v>
      </c>
      <c r="B768" t="s">
        <v>7740</v>
      </c>
      <c r="C768">
        <v>45720</v>
      </c>
      <c r="D768" t="s">
        <v>7263</v>
      </c>
      <c r="E768" t="s">
        <v>2925</v>
      </c>
      <c r="F768">
        <v>45716</v>
      </c>
      <c r="G768" t="s">
        <v>2208</v>
      </c>
      <c r="H768" t="s">
        <v>7834</v>
      </c>
      <c r="I768" t="s">
        <v>9508</v>
      </c>
      <c r="J768">
        <v>0</v>
      </c>
      <c r="K768">
        <v>-923.07</v>
      </c>
      <c r="L768" t="s">
        <v>2917</v>
      </c>
      <c r="M768">
        <v>-923.07</v>
      </c>
      <c r="N768" t="s">
        <v>2917</v>
      </c>
      <c r="O768" t="s">
        <v>2208</v>
      </c>
      <c r="P768" t="s">
        <v>2208</v>
      </c>
      <c r="Q768" t="s">
        <v>2208</v>
      </c>
      <c r="R768" t="s">
        <v>2208</v>
      </c>
    </row>
    <row r="769" spans="1:18">
      <c r="A769" t="s">
        <v>2237</v>
      </c>
      <c r="B769" t="s">
        <v>7740</v>
      </c>
      <c r="C769">
        <v>45720</v>
      </c>
      <c r="D769" t="s">
        <v>7263</v>
      </c>
      <c r="E769" t="s">
        <v>2925</v>
      </c>
      <c r="F769">
        <v>45716</v>
      </c>
      <c r="G769" t="s">
        <v>2208</v>
      </c>
      <c r="H769" t="s">
        <v>7834</v>
      </c>
      <c r="I769" t="s">
        <v>9508</v>
      </c>
      <c r="J769">
        <v>0</v>
      </c>
      <c r="K769">
        <v>-207.43</v>
      </c>
      <c r="L769" t="s">
        <v>2917</v>
      </c>
      <c r="M769">
        <v>-207.43</v>
      </c>
      <c r="N769" t="s">
        <v>2917</v>
      </c>
      <c r="O769" t="s">
        <v>2208</v>
      </c>
      <c r="P769" t="s">
        <v>2208</v>
      </c>
      <c r="Q769" t="s">
        <v>2208</v>
      </c>
      <c r="R769" t="s">
        <v>2208</v>
      </c>
    </row>
    <row r="770" spans="1:18">
      <c r="A770" t="s">
        <v>2237</v>
      </c>
      <c r="B770" t="s">
        <v>7740</v>
      </c>
      <c r="C770">
        <v>45720</v>
      </c>
      <c r="D770" t="s">
        <v>7263</v>
      </c>
      <c r="E770" t="s">
        <v>2925</v>
      </c>
      <c r="F770">
        <v>45716</v>
      </c>
      <c r="G770" t="s">
        <v>2208</v>
      </c>
      <c r="H770" t="s">
        <v>7834</v>
      </c>
      <c r="I770" t="s">
        <v>9508</v>
      </c>
      <c r="J770">
        <v>0</v>
      </c>
      <c r="K770">
        <v>-229.73</v>
      </c>
      <c r="L770" t="s">
        <v>2917</v>
      </c>
      <c r="M770">
        <v>-229.73</v>
      </c>
      <c r="N770" t="s">
        <v>2917</v>
      </c>
      <c r="O770" t="s">
        <v>2208</v>
      </c>
      <c r="P770" t="s">
        <v>2208</v>
      </c>
      <c r="Q770" t="s">
        <v>2208</v>
      </c>
      <c r="R770" t="s">
        <v>2208</v>
      </c>
    </row>
    <row r="771" spans="1:18">
      <c r="A771" t="s">
        <v>2725</v>
      </c>
      <c r="B771" t="s">
        <v>7740</v>
      </c>
      <c r="C771">
        <v>45720</v>
      </c>
      <c r="D771" t="s">
        <v>7263</v>
      </c>
      <c r="E771" t="s">
        <v>2925</v>
      </c>
      <c r="F771">
        <v>45716</v>
      </c>
      <c r="G771" t="s">
        <v>2208</v>
      </c>
      <c r="H771" t="s">
        <v>7834</v>
      </c>
      <c r="I771" t="s">
        <v>9509</v>
      </c>
      <c r="J771">
        <v>0</v>
      </c>
      <c r="K771">
        <v>-62.24</v>
      </c>
      <c r="L771" t="s">
        <v>2917</v>
      </c>
      <c r="M771">
        <v>-62.24</v>
      </c>
      <c r="N771" t="s">
        <v>2917</v>
      </c>
      <c r="O771" t="s">
        <v>2208</v>
      </c>
      <c r="P771" t="s">
        <v>2208</v>
      </c>
      <c r="Q771" t="s">
        <v>2208</v>
      </c>
      <c r="R771" t="s">
        <v>2208</v>
      </c>
    </row>
    <row r="772" spans="1:18">
      <c r="A772" t="s">
        <v>709</v>
      </c>
      <c r="B772" t="s">
        <v>7740</v>
      </c>
      <c r="C772">
        <v>45720</v>
      </c>
      <c r="D772" t="s">
        <v>7263</v>
      </c>
      <c r="E772" t="s">
        <v>2925</v>
      </c>
      <c r="F772">
        <v>45716</v>
      </c>
      <c r="G772" t="s">
        <v>2208</v>
      </c>
      <c r="H772" t="s">
        <v>7834</v>
      </c>
      <c r="I772" t="s">
        <v>9510</v>
      </c>
      <c r="J772">
        <v>0</v>
      </c>
      <c r="K772">
        <v>-46.68</v>
      </c>
      <c r="L772" t="s">
        <v>2917</v>
      </c>
      <c r="M772">
        <v>-46.68</v>
      </c>
      <c r="N772" t="s">
        <v>2917</v>
      </c>
      <c r="O772" t="s">
        <v>2208</v>
      </c>
      <c r="P772" t="s">
        <v>2208</v>
      </c>
      <c r="Q772" t="s">
        <v>2208</v>
      </c>
      <c r="R772" t="s">
        <v>2208</v>
      </c>
    </row>
    <row r="773" spans="1:18">
      <c r="A773" t="s">
        <v>7030</v>
      </c>
      <c r="B773" t="s">
        <v>7740</v>
      </c>
      <c r="C773">
        <v>45720</v>
      </c>
      <c r="D773" t="s">
        <v>7263</v>
      </c>
      <c r="E773" t="s">
        <v>2925</v>
      </c>
      <c r="F773">
        <v>45716</v>
      </c>
      <c r="G773" t="s">
        <v>2208</v>
      </c>
      <c r="H773" t="s">
        <v>7834</v>
      </c>
      <c r="I773" t="s">
        <v>9511</v>
      </c>
      <c r="J773">
        <v>0</v>
      </c>
      <c r="K773">
        <v>-342.26</v>
      </c>
      <c r="L773" t="s">
        <v>2917</v>
      </c>
      <c r="M773">
        <v>-342.26</v>
      </c>
      <c r="N773" t="s">
        <v>2917</v>
      </c>
      <c r="O773" t="s">
        <v>2208</v>
      </c>
      <c r="P773" t="s">
        <v>2208</v>
      </c>
      <c r="Q773" t="s">
        <v>2208</v>
      </c>
      <c r="R773" t="s">
        <v>2208</v>
      </c>
    </row>
    <row r="774" spans="1:18">
      <c r="A774" t="s">
        <v>7030</v>
      </c>
      <c r="B774" t="s">
        <v>7740</v>
      </c>
      <c r="C774">
        <v>45720</v>
      </c>
      <c r="D774" t="s">
        <v>7263</v>
      </c>
      <c r="E774" t="s">
        <v>2925</v>
      </c>
      <c r="F774">
        <v>45716</v>
      </c>
      <c r="G774" t="s">
        <v>2208</v>
      </c>
      <c r="H774" t="s">
        <v>7834</v>
      </c>
      <c r="I774" t="s">
        <v>9511</v>
      </c>
      <c r="J774">
        <v>0</v>
      </c>
      <c r="K774">
        <v>-508.21</v>
      </c>
      <c r="L774" t="s">
        <v>2917</v>
      </c>
      <c r="M774">
        <v>-508.21</v>
      </c>
      <c r="N774" t="s">
        <v>2917</v>
      </c>
      <c r="O774" t="s">
        <v>2208</v>
      </c>
      <c r="P774" t="s">
        <v>2208</v>
      </c>
      <c r="Q774" t="s">
        <v>2208</v>
      </c>
      <c r="R774" t="s">
        <v>2208</v>
      </c>
    </row>
    <row r="775" spans="1:18">
      <c r="A775" t="s">
        <v>7030</v>
      </c>
      <c r="B775" t="s">
        <v>7740</v>
      </c>
      <c r="C775">
        <v>45720</v>
      </c>
      <c r="D775" t="s">
        <v>7263</v>
      </c>
      <c r="E775" t="s">
        <v>2925</v>
      </c>
      <c r="F775">
        <v>45716</v>
      </c>
      <c r="G775" t="s">
        <v>2208</v>
      </c>
      <c r="H775" t="s">
        <v>7834</v>
      </c>
      <c r="I775" t="s">
        <v>9511</v>
      </c>
      <c r="J775">
        <v>0</v>
      </c>
      <c r="K775">
        <v>-10.37</v>
      </c>
      <c r="L775" t="s">
        <v>2917</v>
      </c>
      <c r="M775">
        <v>-10.37</v>
      </c>
      <c r="N775" t="s">
        <v>2917</v>
      </c>
      <c r="O775" t="s">
        <v>2208</v>
      </c>
      <c r="P775" t="s">
        <v>2208</v>
      </c>
      <c r="Q775" t="s">
        <v>2208</v>
      </c>
      <c r="R775" t="s">
        <v>2208</v>
      </c>
    </row>
    <row r="776" spans="1:18">
      <c r="A776" t="s">
        <v>2418</v>
      </c>
      <c r="B776" t="s">
        <v>7740</v>
      </c>
      <c r="C776">
        <v>45720</v>
      </c>
      <c r="D776" t="s">
        <v>7263</v>
      </c>
      <c r="E776" t="s">
        <v>2925</v>
      </c>
      <c r="F776">
        <v>45716</v>
      </c>
      <c r="G776" t="s">
        <v>2208</v>
      </c>
      <c r="H776" t="s">
        <v>7834</v>
      </c>
      <c r="I776" t="s">
        <v>9512</v>
      </c>
      <c r="J776">
        <v>0</v>
      </c>
      <c r="K776">
        <v>-250.49</v>
      </c>
      <c r="L776" t="s">
        <v>2917</v>
      </c>
      <c r="M776">
        <v>-250.49</v>
      </c>
      <c r="N776" t="s">
        <v>2917</v>
      </c>
      <c r="O776" t="s">
        <v>2208</v>
      </c>
      <c r="P776" t="s">
        <v>2208</v>
      </c>
      <c r="Q776" t="s">
        <v>2208</v>
      </c>
      <c r="R776" t="s">
        <v>2208</v>
      </c>
    </row>
    <row r="777" spans="1:18">
      <c r="A777" t="s">
        <v>2418</v>
      </c>
      <c r="B777" t="s">
        <v>7740</v>
      </c>
      <c r="C777">
        <v>45720</v>
      </c>
      <c r="D777" t="s">
        <v>7263</v>
      </c>
      <c r="E777" t="s">
        <v>2925</v>
      </c>
      <c r="F777">
        <v>45716</v>
      </c>
      <c r="G777" t="s">
        <v>2208</v>
      </c>
      <c r="H777" t="s">
        <v>7834</v>
      </c>
      <c r="I777" t="s">
        <v>9513</v>
      </c>
      <c r="J777">
        <v>0</v>
      </c>
      <c r="K777">
        <v>-560.07000000000005</v>
      </c>
      <c r="L777" t="s">
        <v>2917</v>
      </c>
      <c r="M777">
        <v>-560.07000000000005</v>
      </c>
      <c r="N777" t="s">
        <v>2917</v>
      </c>
      <c r="O777" t="s">
        <v>2208</v>
      </c>
      <c r="P777" t="s">
        <v>2208</v>
      </c>
      <c r="Q777" t="s">
        <v>2208</v>
      </c>
      <c r="R777" t="s">
        <v>2208</v>
      </c>
    </row>
    <row r="778" spans="1:18">
      <c r="A778" t="s">
        <v>2418</v>
      </c>
      <c r="B778" t="s">
        <v>7740</v>
      </c>
      <c r="C778">
        <v>45720</v>
      </c>
      <c r="D778" t="s">
        <v>7263</v>
      </c>
      <c r="E778" t="s">
        <v>2925</v>
      </c>
      <c r="F778">
        <v>45716</v>
      </c>
      <c r="G778" t="s">
        <v>2208</v>
      </c>
      <c r="H778" t="s">
        <v>7834</v>
      </c>
      <c r="I778" t="s">
        <v>9513</v>
      </c>
      <c r="J778">
        <v>0</v>
      </c>
      <c r="K778">
        <v>-653.41</v>
      </c>
      <c r="L778" t="s">
        <v>2917</v>
      </c>
      <c r="M778">
        <v>-653.41</v>
      </c>
      <c r="N778" t="s">
        <v>2917</v>
      </c>
      <c r="O778" t="s">
        <v>2208</v>
      </c>
      <c r="P778" t="s">
        <v>2208</v>
      </c>
      <c r="Q778" t="s">
        <v>2208</v>
      </c>
      <c r="R778" t="s">
        <v>2208</v>
      </c>
    </row>
    <row r="779" spans="1:18">
      <c r="A779" t="s">
        <v>2501</v>
      </c>
      <c r="B779" t="s">
        <v>7740</v>
      </c>
      <c r="C779">
        <v>45720</v>
      </c>
      <c r="D779" t="s">
        <v>7263</v>
      </c>
      <c r="E779" t="s">
        <v>2925</v>
      </c>
      <c r="F779">
        <v>45716</v>
      </c>
      <c r="G779" t="s">
        <v>2208</v>
      </c>
      <c r="H779" t="s">
        <v>7834</v>
      </c>
      <c r="I779" t="s">
        <v>9514</v>
      </c>
      <c r="J779">
        <v>0</v>
      </c>
      <c r="K779">
        <v>-51.86</v>
      </c>
      <c r="L779" t="s">
        <v>2917</v>
      </c>
      <c r="M779">
        <v>-51.86</v>
      </c>
      <c r="N779" t="s">
        <v>2917</v>
      </c>
      <c r="O779" t="s">
        <v>2208</v>
      </c>
      <c r="P779" t="s">
        <v>2208</v>
      </c>
      <c r="Q779" t="s">
        <v>2208</v>
      </c>
      <c r="R779" t="s">
        <v>2208</v>
      </c>
    </row>
    <row r="780" spans="1:18">
      <c r="A780" t="s">
        <v>2501</v>
      </c>
      <c r="B780" t="s">
        <v>7740</v>
      </c>
      <c r="C780">
        <v>45720</v>
      </c>
      <c r="D780" t="s">
        <v>7263</v>
      </c>
      <c r="E780" t="s">
        <v>2925</v>
      </c>
      <c r="F780">
        <v>45716</v>
      </c>
      <c r="G780" t="s">
        <v>2208</v>
      </c>
      <c r="H780" t="s">
        <v>7834</v>
      </c>
      <c r="I780" t="s">
        <v>9514</v>
      </c>
      <c r="J780">
        <v>0</v>
      </c>
      <c r="K780">
        <v>-36.31</v>
      </c>
      <c r="L780" t="s">
        <v>2917</v>
      </c>
      <c r="M780">
        <v>-36.31</v>
      </c>
      <c r="N780" t="s">
        <v>2917</v>
      </c>
      <c r="O780" t="s">
        <v>2208</v>
      </c>
      <c r="P780" t="s">
        <v>2208</v>
      </c>
      <c r="Q780" t="s">
        <v>2208</v>
      </c>
      <c r="R780" t="s">
        <v>2208</v>
      </c>
    </row>
    <row r="781" spans="1:18">
      <c r="A781" t="s">
        <v>2724</v>
      </c>
      <c r="B781" t="s">
        <v>7740</v>
      </c>
      <c r="C781">
        <v>45720</v>
      </c>
      <c r="D781" t="s">
        <v>7263</v>
      </c>
      <c r="E781" t="s">
        <v>2925</v>
      </c>
      <c r="F781">
        <v>45716</v>
      </c>
      <c r="G781" t="s">
        <v>2208</v>
      </c>
      <c r="H781" t="s">
        <v>7834</v>
      </c>
      <c r="I781" t="s">
        <v>9515</v>
      </c>
      <c r="J781">
        <v>0</v>
      </c>
      <c r="K781">
        <v>-10.37</v>
      </c>
      <c r="L781" t="s">
        <v>2917</v>
      </c>
      <c r="M781">
        <v>-10.37</v>
      </c>
      <c r="N781" t="s">
        <v>2917</v>
      </c>
      <c r="O781" t="s">
        <v>2208</v>
      </c>
      <c r="P781" t="s">
        <v>2208</v>
      </c>
      <c r="Q781" t="s">
        <v>2208</v>
      </c>
      <c r="R781" t="s">
        <v>2208</v>
      </c>
    </row>
    <row r="782" spans="1:18">
      <c r="A782" t="s">
        <v>7030</v>
      </c>
      <c r="B782" t="s">
        <v>7740</v>
      </c>
      <c r="C782">
        <v>45720</v>
      </c>
      <c r="D782" t="s">
        <v>7263</v>
      </c>
      <c r="E782" t="s">
        <v>2925</v>
      </c>
      <c r="F782">
        <v>45716</v>
      </c>
      <c r="G782" t="s">
        <v>2208</v>
      </c>
      <c r="H782" t="s">
        <v>7834</v>
      </c>
      <c r="I782" t="s">
        <v>9516</v>
      </c>
      <c r="J782">
        <v>0</v>
      </c>
      <c r="K782">
        <v>-165.95</v>
      </c>
      <c r="L782" t="s">
        <v>2917</v>
      </c>
      <c r="M782">
        <v>-165.95</v>
      </c>
      <c r="N782" t="s">
        <v>2917</v>
      </c>
      <c r="O782" t="s">
        <v>2208</v>
      </c>
      <c r="P782" t="s">
        <v>2208</v>
      </c>
      <c r="Q782" t="s">
        <v>2208</v>
      </c>
      <c r="R782" t="s">
        <v>2208</v>
      </c>
    </row>
    <row r="783" spans="1:18">
      <c r="A783" t="s">
        <v>709</v>
      </c>
      <c r="B783" t="s">
        <v>9126</v>
      </c>
      <c r="C783">
        <v>45748</v>
      </c>
      <c r="D783" t="s">
        <v>7263</v>
      </c>
      <c r="E783" t="s">
        <v>9127</v>
      </c>
      <c r="F783">
        <v>45747</v>
      </c>
      <c r="G783" t="s">
        <v>2208</v>
      </c>
      <c r="H783" t="s">
        <v>7834</v>
      </c>
      <c r="I783" t="s">
        <v>11456</v>
      </c>
      <c r="J783">
        <v>1</v>
      </c>
      <c r="K783">
        <v>104.61</v>
      </c>
      <c r="L783" t="s">
        <v>2917</v>
      </c>
      <c r="M783">
        <v>104.61</v>
      </c>
      <c r="N783" t="s">
        <v>2917</v>
      </c>
      <c r="O783" t="s">
        <v>2208</v>
      </c>
      <c r="P783" t="s">
        <v>2208</v>
      </c>
      <c r="Q783" t="s">
        <v>2208</v>
      </c>
      <c r="R783" t="s">
        <v>2208</v>
      </c>
    </row>
    <row r="784" spans="1:18">
      <c r="A784" t="s">
        <v>709</v>
      </c>
      <c r="B784" t="s">
        <v>9126</v>
      </c>
      <c r="C784">
        <v>45748</v>
      </c>
      <c r="D784" t="s">
        <v>7263</v>
      </c>
      <c r="E784" t="s">
        <v>9127</v>
      </c>
      <c r="F784">
        <v>45747</v>
      </c>
      <c r="G784" t="s">
        <v>2208</v>
      </c>
      <c r="H784" t="s">
        <v>7834</v>
      </c>
      <c r="I784" t="s">
        <v>11457</v>
      </c>
      <c r="J784">
        <v>1</v>
      </c>
      <c r="K784">
        <v>104.61</v>
      </c>
      <c r="L784" t="s">
        <v>2917</v>
      </c>
      <c r="M784">
        <v>104.61</v>
      </c>
      <c r="N784" t="s">
        <v>2917</v>
      </c>
      <c r="O784" t="s">
        <v>2208</v>
      </c>
      <c r="P784" t="s">
        <v>2208</v>
      </c>
      <c r="Q784" t="s">
        <v>2208</v>
      </c>
      <c r="R784" t="s">
        <v>2208</v>
      </c>
    </row>
    <row r="785" spans="1:18">
      <c r="A785" t="s">
        <v>709</v>
      </c>
      <c r="B785" t="s">
        <v>9126</v>
      </c>
      <c r="C785">
        <v>45748</v>
      </c>
      <c r="D785" t="s">
        <v>7263</v>
      </c>
      <c r="E785" t="s">
        <v>9127</v>
      </c>
      <c r="F785">
        <v>45747</v>
      </c>
      <c r="G785" t="s">
        <v>2208</v>
      </c>
      <c r="H785" t="s">
        <v>7834</v>
      </c>
      <c r="I785" t="s">
        <v>11458</v>
      </c>
      <c r="J785">
        <v>0.5</v>
      </c>
      <c r="K785">
        <v>52.31</v>
      </c>
      <c r="L785" t="s">
        <v>2917</v>
      </c>
      <c r="M785">
        <v>52.31</v>
      </c>
      <c r="N785" t="s">
        <v>2917</v>
      </c>
      <c r="O785" t="s">
        <v>2208</v>
      </c>
      <c r="P785" t="s">
        <v>2208</v>
      </c>
      <c r="Q785" t="s">
        <v>2208</v>
      </c>
      <c r="R785" t="s">
        <v>2208</v>
      </c>
    </row>
    <row r="786" spans="1:18">
      <c r="A786" t="s">
        <v>709</v>
      </c>
      <c r="B786" t="s">
        <v>9126</v>
      </c>
      <c r="C786">
        <v>45748</v>
      </c>
      <c r="D786" t="s">
        <v>7263</v>
      </c>
      <c r="E786" t="s">
        <v>9127</v>
      </c>
      <c r="F786">
        <v>45747</v>
      </c>
      <c r="G786" t="s">
        <v>2208</v>
      </c>
      <c r="H786" t="s">
        <v>7834</v>
      </c>
      <c r="I786" t="s">
        <v>11459</v>
      </c>
      <c r="J786">
        <v>0.25</v>
      </c>
      <c r="K786">
        <v>26.15</v>
      </c>
      <c r="L786" t="s">
        <v>2917</v>
      </c>
      <c r="M786">
        <v>26.15</v>
      </c>
      <c r="N786" t="s">
        <v>2917</v>
      </c>
      <c r="O786" t="s">
        <v>2208</v>
      </c>
      <c r="P786" t="s">
        <v>2208</v>
      </c>
      <c r="Q786" t="s">
        <v>2208</v>
      </c>
      <c r="R786" t="s">
        <v>2208</v>
      </c>
    </row>
    <row r="787" spans="1:18">
      <c r="A787" t="s">
        <v>709</v>
      </c>
      <c r="B787" t="s">
        <v>9126</v>
      </c>
      <c r="C787">
        <v>45748</v>
      </c>
      <c r="D787" t="s">
        <v>7263</v>
      </c>
      <c r="E787" t="s">
        <v>9127</v>
      </c>
      <c r="F787">
        <v>45747</v>
      </c>
      <c r="G787" t="s">
        <v>2208</v>
      </c>
      <c r="H787" t="s">
        <v>7834</v>
      </c>
      <c r="I787" t="s">
        <v>11460</v>
      </c>
      <c r="J787">
        <v>1.25</v>
      </c>
      <c r="K787">
        <v>130.76</v>
      </c>
      <c r="L787" t="s">
        <v>2917</v>
      </c>
      <c r="M787">
        <v>130.76</v>
      </c>
      <c r="N787" t="s">
        <v>2917</v>
      </c>
      <c r="O787" t="s">
        <v>2208</v>
      </c>
      <c r="P787" t="s">
        <v>2208</v>
      </c>
      <c r="Q787" t="s">
        <v>2208</v>
      </c>
      <c r="R787" t="s">
        <v>2208</v>
      </c>
    </row>
    <row r="788" spans="1:18">
      <c r="A788" t="s">
        <v>810</v>
      </c>
      <c r="B788" t="s">
        <v>9126</v>
      </c>
      <c r="C788">
        <v>45748</v>
      </c>
      <c r="D788" t="s">
        <v>7263</v>
      </c>
      <c r="E788" t="s">
        <v>9127</v>
      </c>
      <c r="F788">
        <v>45747</v>
      </c>
      <c r="G788" t="s">
        <v>2208</v>
      </c>
      <c r="H788" t="s">
        <v>7834</v>
      </c>
      <c r="I788" t="s">
        <v>11461</v>
      </c>
      <c r="J788">
        <v>2</v>
      </c>
      <c r="K788">
        <v>209.22</v>
      </c>
      <c r="L788" t="s">
        <v>2917</v>
      </c>
      <c r="M788">
        <v>209.22</v>
      </c>
      <c r="N788" t="s">
        <v>2917</v>
      </c>
      <c r="O788" t="s">
        <v>2208</v>
      </c>
      <c r="P788" t="s">
        <v>2208</v>
      </c>
      <c r="Q788" t="s">
        <v>2208</v>
      </c>
      <c r="R788" t="s">
        <v>2208</v>
      </c>
    </row>
    <row r="789" spans="1:18">
      <c r="A789" t="s">
        <v>2237</v>
      </c>
      <c r="B789" t="s">
        <v>9126</v>
      </c>
      <c r="C789">
        <v>45748</v>
      </c>
      <c r="D789" t="s">
        <v>7263</v>
      </c>
      <c r="E789" t="s">
        <v>9127</v>
      </c>
      <c r="F789">
        <v>45747</v>
      </c>
      <c r="G789" t="s">
        <v>2208</v>
      </c>
      <c r="H789" t="s">
        <v>7834</v>
      </c>
      <c r="I789" t="s">
        <v>11462</v>
      </c>
      <c r="J789">
        <v>2</v>
      </c>
      <c r="K789">
        <v>209.22</v>
      </c>
      <c r="L789" t="s">
        <v>2917</v>
      </c>
      <c r="M789">
        <v>209.22</v>
      </c>
      <c r="N789" t="s">
        <v>2917</v>
      </c>
      <c r="O789" t="s">
        <v>2208</v>
      </c>
      <c r="P789" t="s">
        <v>2208</v>
      </c>
      <c r="Q789" t="s">
        <v>2208</v>
      </c>
      <c r="R789" t="s">
        <v>2208</v>
      </c>
    </row>
    <row r="790" spans="1:18">
      <c r="A790" t="s">
        <v>2237</v>
      </c>
      <c r="B790" t="s">
        <v>9126</v>
      </c>
      <c r="C790">
        <v>45748</v>
      </c>
      <c r="D790" t="s">
        <v>7263</v>
      </c>
      <c r="E790" t="s">
        <v>9127</v>
      </c>
      <c r="F790">
        <v>45747</v>
      </c>
      <c r="G790" t="s">
        <v>2208</v>
      </c>
      <c r="H790" t="s">
        <v>7834</v>
      </c>
      <c r="I790" t="s">
        <v>11463</v>
      </c>
      <c r="J790">
        <v>2</v>
      </c>
      <c r="K790">
        <v>209.22</v>
      </c>
      <c r="L790" t="s">
        <v>2917</v>
      </c>
      <c r="M790">
        <v>209.22</v>
      </c>
      <c r="N790" t="s">
        <v>2917</v>
      </c>
      <c r="O790" t="s">
        <v>2208</v>
      </c>
      <c r="P790" t="s">
        <v>2208</v>
      </c>
      <c r="Q790" t="s">
        <v>2208</v>
      </c>
      <c r="R790" t="s">
        <v>2208</v>
      </c>
    </row>
    <row r="791" spans="1:18">
      <c r="A791" t="s">
        <v>2237</v>
      </c>
      <c r="B791" t="s">
        <v>9126</v>
      </c>
      <c r="C791">
        <v>45748</v>
      </c>
      <c r="D791" t="s">
        <v>7263</v>
      </c>
      <c r="E791" t="s">
        <v>9127</v>
      </c>
      <c r="F791">
        <v>45747</v>
      </c>
      <c r="G791" t="s">
        <v>2208</v>
      </c>
      <c r="H791" t="s">
        <v>7834</v>
      </c>
      <c r="I791" t="s">
        <v>11464</v>
      </c>
      <c r="J791">
        <v>1</v>
      </c>
      <c r="K791">
        <v>104.61</v>
      </c>
      <c r="L791" t="s">
        <v>2917</v>
      </c>
      <c r="M791">
        <v>104.61</v>
      </c>
      <c r="N791" t="s">
        <v>2917</v>
      </c>
      <c r="O791" t="s">
        <v>2208</v>
      </c>
      <c r="P791" t="s">
        <v>2208</v>
      </c>
      <c r="Q791" t="s">
        <v>2208</v>
      </c>
      <c r="R791" t="s">
        <v>2208</v>
      </c>
    </row>
    <row r="792" spans="1:18">
      <c r="A792" t="s">
        <v>2237</v>
      </c>
      <c r="B792" t="s">
        <v>9126</v>
      </c>
      <c r="C792">
        <v>45748</v>
      </c>
      <c r="D792" t="s">
        <v>7263</v>
      </c>
      <c r="E792" t="s">
        <v>9127</v>
      </c>
      <c r="F792">
        <v>45747</v>
      </c>
      <c r="G792" t="s">
        <v>2208</v>
      </c>
      <c r="H792" t="s">
        <v>7834</v>
      </c>
      <c r="I792" t="s">
        <v>11465</v>
      </c>
      <c r="J792">
        <v>2</v>
      </c>
      <c r="K792">
        <v>209.22</v>
      </c>
      <c r="L792" t="s">
        <v>2917</v>
      </c>
      <c r="M792">
        <v>209.22</v>
      </c>
      <c r="N792" t="s">
        <v>2917</v>
      </c>
      <c r="O792" t="s">
        <v>2208</v>
      </c>
      <c r="P792" t="s">
        <v>2208</v>
      </c>
      <c r="Q792" t="s">
        <v>2208</v>
      </c>
      <c r="R792" t="s">
        <v>2208</v>
      </c>
    </row>
    <row r="793" spans="1:18">
      <c r="A793" t="s">
        <v>2237</v>
      </c>
      <c r="B793" t="s">
        <v>9126</v>
      </c>
      <c r="C793">
        <v>45748</v>
      </c>
      <c r="D793" t="s">
        <v>7263</v>
      </c>
      <c r="E793" t="s">
        <v>9127</v>
      </c>
      <c r="F793">
        <v>45747</v>
      </c>
      <c r="G793" t="s">
        <v>2208</v>
      </c>
      <c r="H793" t="s">
        <v>7834</v>
      </c>
      <c r="I793" t="s">
        <v>11466</v>
      </c>
      <c r="J793">
        <v>1</v>
      </c>
      <c r="K793">
        <v>104.61</v>
      </c>
      <c r="L793" t="s">
        <v>2917</v>
      </c>
      <c r="M793">
        <v>104.61</v>
      </c>
      <c r="N793" t="s">
        <v>2917</v>
      </c>
      <c r="O793" t="s">
        <v>2208</v>
      </c>
      <c r="P793" t="s">
        <v>2208</v>
      </c>
      <c r="Q793" t="s">
        <v>2208</v>
      </c>
      <c r="R793" t="s">
        <v>2208</v>
      </c>
    </row>
    <row r="794" spans="1:18">
      <c r="A794" t="s">
        <v>2237</v>
      </c>
      <c r="B794" t="s">
        <v>9126</v>
      </c>
      <c r="C794">
        <v>45748</v>
      </c>
      <c r="D794" t="s">
        <v>7263</v>
      </c>
      <c r="E794" t="s">
        <v>9127</v>
      </c>
      <c r="F794">
        <v>45747</v>
      </c>
      <c r="G794" t="s">
        <v>2208</v>
      </c>
      <c r="H794" t="s">
        <v>7834</v>
      </c>
      <c r="I794" t="s">
        <v>11467</v>
      </c>
      <c r="J794">
        <v>1</v>
      </c>
      <c r="K794">
        <v>104.61</v>
      </c>
      <c r="L794" t="s">
        <v>2917</v>
      </c>
      <c r="M794">
        <v>104.61</v>
      </c>
      <c r="N794" t="s">
        <v>2917</v>
      </c>
      <c r="O794" t="s">
        <v>2208</v>
      </c>
      <c r="P794" t="s">
        <v>2208</v>
      </c>
      <c r="Q794" t="s">
        <v>2208</v>
      </c>
      <c r="R794" t="s">
        <v>2208</v>
      </c>
    </row>
    <row r="795" spans="1:18">
      <c r="A795" t="s">
        <v>2237</v>
      </c>
      <c r="B795" t="s">
        <v>9126</v>
      </c>
      <c r="C795">
        <v>45748</v>
      </c>
      <c r="D795" t="s">
        <v>7263</v>
      </c>
      <c r="E795" t="s">
        <v>9127</v>
      </c>
      <c r="F795">
        <v>45747</v>
      </c>
      <c r="G795" t="s">
        <v>2208</v>
      </c>
      <c r="H795" t="s">
        <v>7834</v>
      </c>
      <c r="I795" t="s">
        <v>11468</v>
      </c>
      <c r="J795">
        <v>1</v>
      </c>
      <c r="K795">
        <v>104.61</v>
      </c>
      <c r="L795" t="s">
        <v>2917</v>
      </c>
      <c r="M795">
        <v>104.61</v>
      </c>
      <c r="N795" t="s">
        <v>2917</v>
      </c>
      <c r="O795" t="s">
        <v>2208</v>
      </c>
      <c r="P795" t="s">
        <v>2208</v>
      </c>
      <c r="Q795" t="s">
        <v>2208</v>
      </c>
      <c r="R795" t="s">
        <v>2208</v>
      </c>
    </row>
    <row r="796" spans="1:18">
      <c r="A796" t="s">
        <v>2237</v>
      </c>
      <c r="B796" t="s">
        <v>9126</v>
      </c>
      <c r="C796">
        <v>45748</v>
      </c>
      <c r="D796" t="s">
        <v>7263</v>
      </c>
      <c r="E796" t="s">
        <v>9127</v>
      </c>
      <c r="F796">
        <v>45747</v>
      </c>
      <c r="G796" t="s">
        <v>2208</v>
      </c>
      <c r="H796" t="s">
        <v>7834</v>
      </c>
      <c r="I796" t="s">
        <v>11469</v>
      </c>
      <c r="J796">
        <v>1</v>
      </c>
      <c r="K796">
        <v>104.61</v>
      </c>
      <c r="L796" t="s">
        <v>2917</v>
      </c>
      <c r="M796">
        <v>104.61</v>
      </c>
      <c r="N796" t="s">
        <v>2917</v>
      </c>
      <c r="O796" t="s">
        <v>2208</v>
      </c>
      <c r="P796" t="s">
        <v>2208</v>
      </c>
      <c r="Q796" t="s">
        <v>2208</v>
      </c>
      <c r="R796" t="s">
        <v>2208</v>
      </c>
    </row>
    <row r="797" spans="1:18">
      <c r="A797" t="s">
        <v>2237</v>
      </c>
      <c r="B797" t="s">
        <v>9126</v>
      </c>
      <c r="C797">
        <v>45748</v>
      </c>
      <c r="D797" t="s">
        <v>7263</v>
      </c>
      <c r="E797" t="s">
        <v>9127</v>
      </c>
      <c r="F797">
        <v>45747</v>
      </c>
      <c r="G797" t="s">
        <v>2208</v>
      </c>
      <c r="H797" t="s">
        <v>7834</v>
      </c>
      <c r="I797" t="s">
        <v>11470</v>
      </c>
      <c r="J797">
        <v>2</v>
      </c>
      <c r="K797">
        <v>209.22</v>
      </c>
      <c r="L797" t="s">
        <v>2917</v>
      </c>
      <c r="M797">
        <v>209.22</v>
      </c>
      <c r="N797" t="s">
        <v>2917</v>
      </c>
      <c r="O797" t="s">
        <v>2208</v>
      </c>
      <c r="P797" t="s">
        <v>2208</v>
      </c>
      <c r="Q797" t="s">
        <v>2208</v>
      </c>
      <c r="R797" t="s">
        <v>2208</v>
      </c>
    </row>
    <row r="798" spans="1:18">
      <c r="A798" t="s">
        <v>2237</v>
      </c>
      <c r="B798" t="s">
        <v>9126</v>
      </c>
      <c r="C798">
        <v>45748</v>
      </c>
      <c r="D798" t="s">
        <v>7263</v>
      </c>
      <c r="E798" t="s">
        <v>9127</v>
      </c>
      <c r="F798">
        <v>45747</v>
      </c>
      <c r="G798" t="s">
        <v>2208</v>
      </c>
      <c r="H798" t="s">
        <v>7834</v>
      </c>
      <c r="I798" t="s">
        <v>11471</v>
      </c>
      <c r="J798">
        <v>0.25</v>
      </c>
      <c r="K798">
        <v>26.15</v>
      </c>
      <c r="L798" t="s">
        <v>2917</v>
      </c>
      <c r="M798">
        <v>26.15</v>
      </c>
      <c r="N798" t="s">
        <v>2917</v>
      </c>
      <c r="O798" t="s">
        <v>2208</v>
      </c>
      <c r="P798" t="s">
        <v>2208</v>
      </c>
      <c r="Q798" t="s">
        <v>2208</v>
      </c>
      <c r="R798" t="s">
        <v>2208</v>
      </c>
    </row>
    <row r="799" spans="1:18">
      <c r="A799" t="s">
        <v>2237</v>
      </c>
      <c r="B799" t="s">
        <v>9126</v>
      </c>
      <c r="C799">
        <v>45748</v>
      </c>
      <c r="D799" t="s">
        <v>7263</v>
      </c>
      <c r="E799" t="s">
        <v>9127</v>
      </c>
      <c r="F799">
        <v>45747</v>
      </c>
      <c r="G799" t="s">
        <v>2208</v>
      </c>
      <c r="H799" t="s">
        <v>7834</v>
      </c>
      <c r="I799" t="s">
        <v>11472</v>
      </c>
      <c r="J799">
        <v>1.25</v>
      </c>
      <c r="K799">
        <v>130.76</v>
      </c>
      <c r="L799" t="s">
        <v>2917</v>
      </c>
      <c r="M799">
        <v>130.76</v>
      </c>
      <c r="N799" t="s">
        <v>2917</v>
      </c>
      <c r="O799" t="s">
        <v>2208</v>
      </c>
      <c r="P799" t="s">
        <v>2208</v>
      </c>
      <c r="Q799" t="s">
        <v>2208</v>
      </c>
      <c r="R799" t="s">
        <v>2208</v>
      </c>
    </row>
    <row r="800" spans="1:18">
      <c r="A800" t="s">
        <v>2237</v>
      </c>
      <c r="B800" t="s">
        <v>9126</v>
      </c>
      <c r="C800">
        <v>45748</v>
      </c>
      <c r="D800" t="s">
        <v>7263</v>
      </c>
      <c r="E800" t="s">
        <v>9127</v>
      </c>
      <c r="F800">
        <v>45747</v>
      </c>
      <c r="G800" t="s">
        <v>2208</v>
      </c>
      <c r="H800" t="s">
        <v>7834</v>
      </c>
      <c r="I800" t="s">
        <v>11473</v>
      </c>
      <c r="J800">
        <v>1</v>
      </c>
      <c r="K800">
        <v>104.61</v>
      </c>
      <c r="L800" t="s">
        <v>2917</v>
      </c>
      <c r="M800">
        <v>104.61</v>
      </c>
      <c r="N800" t="s">
        <v>2917</v>
      </c>
      <c r="O800" t="s">
        <v>2208</v>
      </c>
      <c r="P800" t="s">
        <v>2208</v>
      </c>
      <c r="Q800" t="s">
        <v>2208</v>
      </c>
      <c r="R800" t="s">
        <v>2208</v>
      </c>
    </row>
    <row r="801" spans="1:18">
      <c r="A801" t="s">
        <v>2237</v>
      </c>
      <c r="B801" t="s">
        <v>9126</v>
      </c>
      <c r="C801">
        <v>45748</v>
      </c>
      <c r="D801" t="s">
        <v>7263</v>
      </c>
      <c r="E801" t="s">
        <v>9127</v>
      </c>
      <c r="F801">
        <v>45747</v>
      </c>
      <c r="G801" t="s">
        <v>2208</v>
      </c>
      <c r="H801" t="s">
        <v>7834</v>
      </c>
      <c r="I801" t="s">
        <v>11474</v>
      </c>
      <c r="J801">
        <v>1</v>
      </c>
      <c r="K801">
        <v>104.61</v>
      </c>
      <c r="L801" t="s">
        <v>2917</v>
      </c>
      <c r="M801">
        <v>104.61</v>
      </c>
      <c r="N801" t="s">
        <v>2917</v>
      </c>
      <c r="O801" t="s">
        <v>2208</v>
      </c>
      <c r="P801" t="s">
        <v>2208</v>
      </c>
      <c r="Q801" t="s">
        <v>2208</v>
      </c>
      <c r="R801" t="s">
        <v>2208</v>
      </c>
    </row>
    <row r="802" spans="1:18">
      <c r="A802" t="s">
        <v>2237</v>
      </c>
      <c r="B802" t="s">
        <v>9126</v>
      </c>
      <c r="C802">
        <v>45748</v>
      </c>
      <c r="D802" t="s">
        <v>7263</v>
      </c>
      <c r="E802" t="s">
        <v>9127</v>
      </c>
      <c r="F802">
        <v>45747</v>
      </c>
      <c r="G802" t="s">
        <v>2208</v>
      </c>
      <c r="H802" t="s">
        <v>7834</v>
      </c>
      <c r="I802" t="s">
        <v>11475</v>
      </c>
      <c r="J802">
        <v>1</v>
      </c>
      <c r="K802">
        <v>104.61</v>
      </c>
      <c r="L802" t="s">
        <v>2917</v>
      </c>
      <c r="M802">
        <v>104.61</v>
      </c>
      <c r="N802" t="s">
        <v>2917</v>
      </c>
      <c r="O802" t="s">
        <v>2208</v>
      </c>
      <c r="P802" t="s">
        <v>2208</v>
      </c>
      <c r="Q802" t="s">
        <v>2208</v>
      </c>
      <c r="R802" t="s">
        <v>2208</v>
      </c>
    </row>
    <row r="803" spans="1:18">
      <c r="A803" t="s">
        <v>2237</v>
      </c>
      <c r="B803" t="s">
        <v>9126</v>
      </c>
      <c r="C803">
        <v>45748</v>
      </c>
      <c r="D803" t="s">
        <v>7263</v>
      </c>
      <c r="E803" t="s">
        <v>9127</v>
      </c>
      <c r="F803">
        <v>45747</v>
      </c>
      <c r="G803" t="s">
        <v>2208</v>
      </c>
      <c r="H803" t="s">
        <v>7834</v>
      </c>
      <c r="I803" t="s">
        <v>11476</v>
      </c>
      <c r="J803">
        <v>1</v>
      </c>
      <c r="K803">
        <v>104.61</v>
      </c>
      <c r="L803" t="s">
        <v>2917</v>
      </c>
      <c r="M803">
        <v>104.61</v>
      </c>
      <c r="N803" t="s">
        <v>2917</v>
      </c>
      <c r="O803" t="s">
        <v>2208</v>
      </c>
      <c r="P803" t="s">
        <v>2208</v>
      </c>
      <c r="Q803" t="s">
        <v>2208</v>
      </c>
      <c r="R803" t="s">
        <v>2208</v>
      </c>
    </row>
    <row r="804" spans="1:18">
      <c r="A804" t="s">
        <v>2237</v>
      </c>
      <c r="B804" t="s">
        <v>9126</v>
      </c>
      <c r="C804">
        <v>45748</v>
      </c>
      <c r="D804" t="s">
        <v>7263</v>
      </c>
      <c r="E804" t="s">
        <v>9127</v>
      </c>
      <c r="F804">
        <v>45747</v>
      </c>
      <c r="G804" t="s">
        <v>2208</v>
      </c>
      <c r="H804" t="s">
        <v>7834</v>
      </c>
      <c r="I804" t="s">
        <v>11477</v>
      </c>
      <c r="J804">
        <v>1</v>
      </c>
      <c r="K804">
        <v>104.61</v>
      </c>
      <c r="L804" t="s">
        <v>2917</v>
      </c>
      <c r="M804">
        <v>104.61</v>
      </c>
      <c r="N804" t="s">
        <v>2917</v>
      </c>
      <c r="O804" t="s">
        <v>2208</v>
      </c>
      <c r="P804" t="s">
        <v>2208</v>
      </c>
      <c r="Q804" t="s">
        <v>2208</v>
      </c>
      <c r="R804" t="s">
        <v>2208</v>
      </c>
    </row>
    <row r="805" spans="1:18">
      <c r="A805" t="s">
        <v>2237</v>
      </c>
      <c r="B805" t="s">
        <v>9126</v>
      </c>
      <c r="C805">
        <v>45748</v>
      </c>
      <c r="D805" t="s">
        <v>7263</v>
      </c>
      <c r="E805" t="s">
        <v>9127</v>
      </c>
      <c r="F805">
        <v>45747</v>
      </c>
      <c r="G805" t="s">
        <v>2208</v>
      </c>
      <c r="H805" t="s">
        <v>7834</v>
      </c>
      <c r="I805" t="s">
        <v>11478</v>
      </c>
      <c r="J805">
        <v>1</v>
      </c>
      <c r="K805">
        <v>104.61</v>
      </c>
      <c r="L805" t="s">
        <v>2917</v>
      </c>
      <c r="M805">
        <v>104.61</v>
      </c>
      <c r="N805" t="s">
        <v>2917</v>
      </c>
      <c r="O805" t="s">
        <v>2208</v>
      </c>
      <c r="P805" t="s">
        <v>2208</v>
      </c>
      <c r="Q805" t="s">
        <v>2208</v>
      </c>
      <c r="R805" t="s">
        <v>2208</v>
      </c>
    </row>
    <row r="806" spans="1:18">
      <c r="A806" t="s">
        <v>2237</v>
      </c>
      <c r="B806" t="s">
        <v>9126</v>
      </c>
      <c r="C806">
        <v>45748</v>
      </c>
      <c r="D806" t="s">
        <v>7263</v>
      </c>
      <c r="E806" t="s">
        <v>9127</v>
      </c>
      <c r="F806">
        <v>45747</v>
      </c>
      <c r="G806" t="s">
        <v>2208</v>
      </c>
      <c r="H806" t="s">
        <v>7834</v>
      </c>
      <c r="I806" t="s">
        <v>11479</v>
      </c>
      <c r="J806">
        <v>1</v>
      </c>
      <c r="K806">
        <v>104.61</v>
      </c>
      <c r="L806" t="s">
        <v>2917</v>
      </c>
      <c r="M806">
        <v>104.61</v>
      </c>
      <c r="N806" t="s">
        <v>2917</v>
      </c>
      <c r="O806" t="s">
        <v>2208</v>
      </c>
      <c r="P806" t="s">
        <v>2208</v>
      </c>
      <c r="Q806" t="s">
        <v>2208</v>
      </c>
      <c r="R806" t="s">
        <v>2208</v>
      </c>
    </row>
    <row r="807" spans="1:18">
      <c r="A807" t="s">
        <v>2237</v>
      </c>
      <c r="B807" t="s">
        <v>9126</v>
      </c>
      <c r="C807">
        <v>45748</v>
      </c>
      <c r="D807" t="s">
        <v>7263</v>
      </c>
      <c r="E807" t="s">
        <v>9127</v>
      </c>
      <c r="F807">
        <v>45747</v>
      </c>
      <c r="G807" t="s">
        <v>2208</v>
      </c>
      <c r="H807" t="s">
        <v>7834</v>
      </c>
      <c r="I807" t="s">
        <v>11480</v>
      </c>
      <c r="J807">
        <v>1</v>
      </c>
      <c r="K807">
        <v>104.61</v>
      </c>
      <c r="L807" t="s">
        <v>2917</v>
      </c>
      <c r="M807">
        <v>104.61</v>
      </c>
      <c r="N807" t="s">
        <v>2917</v>
      </c>
      <c r="O807" t="s">
        <v>2208</v>
      </c>
      <c r="P807" t="s">
        <v>2208</v>
      </c>
      <c r="Q807" t="s">
        <v>2208</v>
      </c>
      <c r="R807" t="s">
        <v>2208</v>
      </c>
    </row>
    <row r="808" spans="1:18">
      <c r="A808" t="s">
        <v>2237</v>
      </c>
      <c r="B808" t="s">
        <v>9126</v>
      </c>
      <c r="C808">
        <v>45748</v>
      </c>
      <c r="D808" t="s">
        <v>7263</v>
      </c>
      <c r="E808" t="s">
        <v>9127</v>
      </c>
      <c r="F808">
        <v>45747</v>
      </c>
      <c r="G808" t="s">
        <v>2208</v>
      </c>
      <c r="H808" t="s">
        <v>7834</v>
      </c>
      <c r="I808" t="s">
        <v>11481</v>
      </c>
      <c r="J808">
        <v>1</v>
      </c>
      <c r="K808">
        <v>104.61</v>
      </c>
      <c r="L808" t="s">
        <v>2917</v>
      </c>
      <c r="M808">
        <v>104.61</v>
      </c>
      <c r="N808" t="s">
        <v>2917</v>
      </c>
      <c r="O808" t="s">
        <v>2208</v>
      </c>
      <c r="P808" t="s">
        <v>2208</v>
      </c>
      <c r="Q808" t="s">
        <v>2208</v>
      </c>
      <c r="R808" t="s">
        <v>2208</v>
      </c>
    </row>
    <row r="809" spans="1:18">
      <c r="A809" t="s">
        <v>2237</v>
      </c>
      <c r="B809" t="s">
        <v>9126</v>
      </c>
      <c r="C809">
        <v>45748</v>
      </c>
      <c r="D809" t="s">
        <v>7263</v>
      </c>
      <c r="E809" t="s">
        <v>9127</v>
      </c>
      <c r="F809">
        <v>45747</v>
      </c>
      <c r="G809" t="s">
        <v>2208</v>
      </c>
      <c r="H809" t="s">
        <v>7834</v>
      </c>
      <c r="I809" t="s">
        <v>11482</v>
      </c>
      <c r="J809">
        <v>1</v>
      </c>
      <c r="K809">
        <v>104.61</v>
      </c>
      <c r="L809" t="s">
        <v>2917</v>
      </c>
      <c r="M809">
        <v>104.61</v>
      </c>
      <c r="N809" t="s">
        <v>2917</v>
      </c>
      <c r="O809" t="s">
        <v>2208</v>
      </c>
      <c r="P809" t="s">
        <v>2208</v>
      </c>
      <c r="Q809" t="s">
        <v>2208</v>
      </c>
      <c r="R809" t="s">
        <v>2208</v>
      </c>
    </row>
    <row r="810" spans="1:18">
      <c r="A810" t="s">
        <v>2237</v>
      </c>
      <c r="B810" t="s">
        <v>9126</v>
      </c>
      <c r="C810">
        <v>45748</v>
      </c>
      <c r="D810" t="s">
        <v>7263</v>
      </c>
      <c r="E810" t="s">
        <v>9127</v>
      </c>
      <c r="F810">
        <v>45747</v>
      </c>
      <c r="G810" t="s">
        <v>2208</v>
      </c>
      <c r="H810" t="s">
        <v>7834</v>
      </c>
      <c r="I810" t="s">
        <v>11483</v>
      </c>
      <c r="J810">
        <v>1</v>
      </c>
      <c r="K810">
        <v>104.61</v>
      </c>
      <c r="L810" t="s">
        <v>2917</v>
      </c>
      <c r="M810">
        <v>104.61</v>
      </c>
      <c r="N810" t="s">
        <v>2917</v>
      </c>
      <c r="O810" t="s">
        <v>2208</v>
      </c>
      <c r="P810" t="s">
        <v>2208</v>
      </c>
      <c r="Q810" t="s">
        <v>2208</v>
      </c>
      <c r="R810" t="s">
        <v>2208</v>
      </c>
    </row>
    <row r="811" spans="1:18">
      <c r="A811" t="s">
        <v>2237</v>
      </c>
      <c r="B811" t="s">
        <v>9126</v>
      </c>
      <c r="C811">
        <v>45748</v>
      </c>
      <c r="D811" t="s">
        <v>7263</v>
      </c>
      <c r="E811" t="s">
        <v>9127</v>
      </c>
      <c r="F811">
        <v>45747</v>
      </c>
      <c r="G811" t="s">
        <v>2208</v>
      </c>
      <c r="H811" t="s">
        <v>7834</v>
      </c>
      <c r="I811" t="s">
        <v>11484</v>
      </c>
      <c r="J811">
        <v>1</v>
      </c>
      <c r="K811">
        <v>104.61</v>
      </c>
      <c r="L811" t="s">
        <v>2917</v>
      </c>
      <c r="M811">
        <v>104.61</v>
      </c>
      <c r="N811" t="s">
        <v>2917</v>
      </c>
      <c r="O811" t="s">
        <v>2208</v>
      </c>
      <c r="P811" t="s">
        <v>2208</v>
      </c>
      <c r="Q811" t="s">
        <v>2208</v>
      </c>
      <c r="R811" t="s">
        <v>2208</v>
      </c>
    </row>
    <row r="812" spans="1:18">
      <c r="A812" t="s">
        <v>2237</v>
      </c>
      <c r="B812" t="s">
        <v>9126</v>
      </c>
      <c r="C812">
        <v>45748</v>
      </c>
      <c r="D812" t="s">
        <v>7263</v>
      </c>
      <c r="E812" t="s">
        <v>9127</v>
      </c>
      <c r="F812">
        <v>45747</v>
      </c>
      <c r="G812" t="s">
        <v>2208</v>
      </c>
      <c r="H812" t="s">
        <v>7834</v>
      </c>
      <c r="I812" t="s">
        <v>11485</v>
      </c>
      <c r="J812">
        <v>1</v>
      </c>
      <c r="K812">
        <v>104.61</v>
      </c>
      <c r="L812" t="s">
        <v>2917</v>
      </c>
      <c r="M812">
        <v>104.61</v>
      </c>
      <c r="N812" t="s">
        <v>2917</v>
      </c>
      <c r="O812" t="s">
        <v>2208</v>
      </c>
      <c r="P812" t="s">
        <v>2208</v>
      </c>
      <c r="Q812" t="s">
        <v>2208</v>
      </c>
      <c r="R812" t="s">
        <v>2208</v>
      </c>
    </row>
    <row r="813" spans="1:18">
      <c r="A813" t="s">
        <v>2237</v>
      </c>
      <c r="B813" t="s">
        <v>9126</v>
      </c>
      <c r="C813">
        <v>45748</v>
      </c>
      <c r="D813" t="s">
        <v>7263</v>
      </c>
      <c r="E813" t="s">
        <v>9127</v>
      </c>
      <c r="F813">
        <v>45747</v>
      </c>
      <c r="G813" t="s">
        <v>2208</v>
      </c>
      <c r="H813" t="s">
        <v>7834</v>
      </c>
      <c r="I813" t="s">
        <v>11486</v>
      </c>
      <c r="J813">
        <v>1</v>
      </c>
      <c r="K813">
        <v>104.61</v>
      </c>
      <c r="L813" t="s">
        <v>2917</v>
      </c>
      <c r="M813">
        <v>104.61</v>
      </c>
      <c r="N813" t="s">
        <v>2917</v>
      </c>
      <c r="O813" t="s">
        <v>2208</v>
      </c>
      <c r="P813" t="s">
        <v>2208</v>
      </c>
      <c r="Q813" t="s">
        <v>2208</v>
      </c>
      <c r="R813" t="s">
        <v>2208</v>
      </c>
    </row>
    <row r="814" spans="1:18">
      <c r="A814" t="s">
        <v>2237</v>
      </c>
      <c r="B814" t="s">
        <v>9126</v>
      </c>
      <c r="C814">
        <v>45748</v>
      </c>
      <c r="D814" t="s">
        <v>7263</v>
      </c>
      <c r="E814" t="s">
        <v>9127</v>
      </c>
      <c r="F814">
        <v>45747</v>
      </c>
      <c r="G814" t="s">
        <v>2208</v>
      </c>
      <c r="H814" t="s">
        <v>7834</v>
      </c>
      <c r="I814" t="s">
        <v>11487</v>
      </c>
      <c r="J814">
        <v>3</v>
      </c>
      <c r="K814">
        <v>313.83</v>
      </c>
      <c r="L814" t="s">
        <v>2917</v>
      </c>
      <c r="M814">
        <v>313.83</v>
      </c>
      <c r="N814" t="s">
        <v>2917</v>
      </c>
      <c r="O814" t="s">
        <v>2208</v>
      </c>
      <c r="P814" t="s">
        <v>2208</v>
      </c>
      <c r="Q814" t="s">
        <v>2208</v>
      </c>
      <c r="R814" t="s">
        <v>2208</v>
      </c>
    </row>
    <row r="815" spans="1:18">
      <c r="A815" t="s">
        <v>2237</v>
      </c>
      <c r="B815" t="s">
        <v>9126</v>
      </c>
      <c r="C815">
        <v>45748</v>
      </c>
      <c r="D815" t="s">
        <v>7263</v>
      </c>
      <c r="E815" t="s">
        <v>9127</v>
      </c>
      <c r="F815">
        <v>45747</v>
      </c>
      <c r="G815" t="s">
        <v>2208</v>
      </c>
      <c r="H815" t="s">
        <v>7834</v>
      </c>
      <c r="I815" t="s">
        <v>11488</v>
      </c>
      <c r="J815">
        <v>1</v>
      </c>
      <c r="K815">
        <v>104.61</v>
      </c>
      <c r="L815" t="s">
        <v>2917</v>
      </c>
      <c r="M815">
        <v>104.61</v>
      </c>
      <c r="N815" t="s">
        <v>2917</v>
      </c>
      <c r="O815" t="s">
        <v>2208</v>
      </c>
      <c r="P815" t="s">
        <v>2208</v>
      </c>
      <c r="Q815" t="s">
        <v>2208</v>
      </c>
      <c r="R815" t="s">
        <v>2208</v>
      </c>
    </row>
    <row r="816" spans="1:18">
      <c r="A816" t="s">
        <v>2237</v>
      </c>
      <c r="B816" t="s">
        <v>9126</v>
      </c>
      <c r="C816">
        <v>45748</v>
      </c>
      <c r="D816" t="s">
        <v>7263</v>
      </c>
      <c r="E816" t="s">
        <v>9127</v>
      </c>
      <c r="F816">
        <v>45747</v>
      </c>
      <c r="G816" t="s">
        <v>2208</v>
      </c>
      <c r="H816" t="s">
        <v>7834</v>
      </c>
      <c r="I816" t="s">
        <v>11489</v>
      </c>
      <c r="J816">
        <v>1</v>
      </c>
      <c r="K816">
        <v>104.61</v>
      </c>
      <c r="L816" t="s">
        <v>2917</v>
      </c>
      <c r="M816">
        <v>104.61</v>
      </c>
      <c r="N816" t="s">
        <v>2917</v>
      </c>
      <c r="O816" t="s">
        <v>2208</v>
      </c>
      <c r="P816" t="s">
        <v>2208</v>
      </c>
      <c r="Q816" t="s">
        <v>2208</v>
      </c>
      <c r="R816" t="s">
        <v>2208</v>
      </c>
    </row>
    <row r="817" spans="1:18">
      <c r="A817" t="s">
        <v>2237</v>
      </c>
      <c r="B817" t="s">
        <v>9126</v>
      </c>
      <c r="C817">
        <v>45748</v>
      </c>
      <c r="D817" t="s">
        <v>7263</v>
      </c>
      <c r="E817" t="s">
        <v>9127</v>
      </c>
      <c r="F817">
        <v>45747</v>
      </c>
      <c r="G817" t="s">
        <v>2208</v>
      </c>
      <c r="H817" t="s">
        <v>7834</v>
      </c>
      <c r="I817" t="s">
        <v>11490</v>
      </c>
      <c r="J817">
        <v>1</v>
      </c>
      <c r="K817">
        <v>104.61</v>
      </c>
      <c r="L817" t="s">
        <v>2917</v>
      </c>
      <c r="M817">
        <v>104.61</v>
      </c>
      <c r="N817" t="s">
        <v>2917</v>
      </c>
      <c r="O817" t="s">
        <v>2208</v>
      </c>
      <c r="P817" t="s">
        <v>2208</v>
      </c>
      <c r="Q817" t="s">
        <v>2208</v>
      </c>
      <c r="R817" t="s">
        <v>2208</v>
      </c>
    </row>
    <row r="818" spans="1:18">
      <c r="A818" t="s">
        <v>2237</v>
      </c>
      <c r="B818" t="s">
        <v>9126</v>
      </c>
      <c r="C818">
        <v>45748</v>
      </c>
      <c r="D818" t="s">
        <v>7263</v>
      </c>
      <c r="E818" t="s">
        <v>9127</v>
      </c>
      <c r="F818">
        <v>45747</v>
      </c>
      <c r="G818" t="s">
        <v>2208</v>
      </c>
      <c r="H818" t="s">
        <v>7834</v>
      </c>
      <c r="I818" t="s">
        <v>11491</v>
      </c>
      <c r="J818">
        <v>1</v>
      </c>
      <c r="K818">
        <v>104.61</v>
      </c>
      <c r="L818" t="s">
        <v>2917</v>
      </c>
      <c r="M818">
        <v>104.61</v>
      </c>
      <c r="N818" t="s">
        <v>2917</v>
      </c>
      <c r="O818" t="s">
        <v>2208</v>
      </c>
      <c r="P818" t="s">
        <v>2208</v>
      </c>
      <c r="Q818" t="s">
        <v>2208</v>
      </c>
      <c r="R818" t="s">
        <v>2208</v>
      </c>
    </row>
    <row r="819" spans="1:18">
      <c r="A819" t="s">
        <v>2237</v>
      </c>
      <c r="B819" t="s">
        <v>9126</v>
      </c>
      <c r="C819">
        <v>45748</v>
      </c>
      <c r="D819" t="s">
        <v>7263</v>
      </c>
      <c r="E819" t="s">
        <v>9127</v>
      </c>
      <c r="F819">
        <v>45747</v>
      </c>
      <c r="G819" t="s">
        <v>2208</v>
      </c>
      <c r="H819" t="s">
        <v>7834</v>
      </c>
      <c r="I819" t="s">
        <v>11492</v>
      </c>
      <c r="J819">
        <v>0.4</v>
      </c>
      <c r="K819">
        <v>41.84</v>
      </c>
      <c r="L819" t="s">
        <v>2917</v>
      </c>
      <c r="M819">
        <v>41.84</v>
      </c>
      <c r="N819" t="s">
        <v>2917</v>
      </c>
      <c r="O819" t="s">
        <v>2208</v>
      </c>
      <c r="P819" t="s">
        <v>2208</v>
      </c>
      <c r="Q819" t="s">
        <v>2208</v>
      </c>
      <c r="R819" t="s">
        <v>2208</v>
      </c>
    </row>
    <row r="820" spans="1:18">
      <c r="A820" t="s">
        <v>2237</v>
      </c>
      <c r="B820" t="s">
        <v>9126</v>
      </c>
      <c r="C820">
        <v>45748</v>
      </c>
      <c r="D820" t="s">
        <v>7263</v>
      </c>
      <c r="E820" t="s">
        <v>9127</v>
      </c>
      <c r="F820">
        <v>45747</v>
      </c>
      <c r="G820" t="s">
        <v>2208</v>
      </c>
      <c r="H820" t="s">
        <v>7834</v>
      </c>
      <c r="I820" t="s">
        <v>11493</v>
      </c>
      <c r="J820">
        <v>2</v>
      </c>
      <c r="K820">
        <v>209.22</v>
      </c>
      <c r="L820" t="s">
        <v>2917</v>
      </c>
      <c r="M820">
        <v>209.22</v>
      </c>
      <c r="N820" t="s">
        <v>2917</v>
      </c>
      <c r="O820" t="s">
        <v>2208</v>
      </c>
      <c r="P820" t="s">
        <v>2208</v>
      </c>
      <c r="Q820" t="s">
        <v>2208</v>
      </c>
      <c r="R820" t="s">
        <v>2208</v>
      </c>
    </row>
    <row r="821" spans="1:18">
      <c r="A821" t="s">
        <v>2237</v>
      </c>
      <c r="B821" t="s">
        <v>9126</v>
      </c>
      <c r="C821">
        <v>45748</v>
      </c>
      <c r="D821" t="s">
        <v>7263</v>
      </c>
      <c r="E821" t="s">
        <v>9127</v>
      </c>
      <c r="F821">
        <v>45747</v>
      </c>
      <c r="G821" t="s">
        <v>2208</v>
      </c>
      <c r="H821" t="s">
        <v>7834</v>
      </c>
      <c r="I821" t="s">
        <v>11494</v>
      </c>
      <c r="J821">
        <v>2</v>
      </c>
      <c r="K821">
        <v>209.22</v>
      </c>
      <c r="L821" t="s">
        <v>2917</v>
      </c>
      <c r="M821">
        <v>209.22</v>
      </c>
      <c r="N821" t="s">
        <v>2917</v>
      </c>
      <c r="O821" t="s">
        <v>2208</v>
      </c>
      <c r="P821" t="s">
        <v>2208</v>
      </c>
      <c r="Q821" t="s">
        <v>2208</v>
      </c>
      <c r="R821" t="s">
        <v>2208</v>
      </c>
    </row>
    <row r="822" spans="1:18">
      <c r="A822" t="s">
        <v>2237</v>
      </c>
      <c r="B822" t="s">
        <v>9126</v>
      </c>
      <c r="C822">
        <v>45748</v>
      </c>
      <c r="D822" t="s">
        <v>7263</v>
      </c>
      <c r="E822" t="s">
        <v>9127</v>
      </c>
      <c r="F822">
        <v>45747</v>
      </c>
      <c r="G822" t="s">
        <v>2208</v>
      </c>
      <c r="H822" t="s">
        <v>7834</v>
      </c>
      <c r="I822" t="s">
        <v>11495</v>
      </c>
      <c r="J822">
        <v>3</v>
      </c>
      <c r="K822">
        <v>313.83</v>
      </c>
      <c r="L822" t="s">
        <v>2917</v>
      </c>
      <c r="M822">
        <v>313.83</v>
      </c>
      <c r="N822" t="s">
        <v>2917</v>
      </c>
      <c r="O822" t="s">
        <v>2208</v>
      </c>
      <c r="P822" t="s">
        <v>2208</v>
      </c>
      <c r="Q822" t="s">
        <v>2208</v>
      </c>
      <c r="R822" t="s">
        <v>2208</v>
      </c>
    </row>
    <row r="823" spans="1:18">
      <c r="A823" t="s">
        <v>2237</v>
      </c>
      <c r="B823" t="s">
        <v>9126</v>
      </c>
      <c r="C823">
        <v>45748</v>
      </c>
      <c r="D823" t="s">
        <v>7263</v>
      </c>
      <c r="E823" t="s">
        <v>9127</v>
      </c>
      <c r="F823">
        <v>45747</v>
      </c>
      <c r="G823" t="s">
        <v>2208</v>
      </c>
      <c r="H823" t="s">
        <v>7834</v>
      </c>
      <c r="I823" t="s">
        <v>11496</v>
      </c>
      <c r="J823">
        <v>2</v>
      </c>
      <c r="K823">
        <v>209.22</v>
      </c>
      <c r="L823" t="s">
        <v>2917</v>
      </c>
      <c r="M823">
        <v>209.22</v>
      </c>
      <c r="N823" t="s">
        <v>2917</v>
      </c>
      <c r="O823" t="s">
        <v>2208</v>
      </c>
      <c r="P823" t="s">
        <v>2208</v>
      </c>
      <c r="Q823" t="s">
        <v>2208</v>
      </c>
      <c r="R823" t="s">
        <v>2208</v>
      </c>
    </row>
    <row r="824" spans="1:18">
      <c r="A824" t="s">
        <v>2237</v>
      </c>
      <c r="B824" t="s">
        <v>9126</v>
      </c>
      <c r="C824">
        <v>45748</v>
      </c>
      <c r="D824" t="s">
        <v>7263</v>
      </c>
      <c r="E824" t="s">
        <v>9127</v>
      </c>
      <c r="F824">
        <v>45747</v>
      </c>
      <c r="G824" t="s">
        <v>2208</v>
      </c>
      <c r="H824" t="s">
        <v>7834</v>
      </c>
      <c r="I824" t="s">
        <v>11497</v>
      </c>
      <c r="J824">
        <v>1</v>
      </c>
      <c r="K824">
        <v>104.61</v>
      </c>
      <c r="L824" t="s">
        <v>2917</v>
      </c>
      <c r="M824">
        <v>104.61</v>
      </c>
      <c r="N824" t="s">
        <v>2917</v>
      </c>
      <c r="O824" t="s">
        <v>2208</v>
      </c>
      <c r="P824" t="s">
        <v>2208</v>
      </c>
      <c r="Q824" t="s">
        <v>2208</v>
      </c>
      <c r="R824" t="s">
        <v>2208</v>
      </c>
    </row>
    <row r="825" spans="1:18">
      <c r="A825" t="s">
        <v>2237</v>
      </c>
      <c r="B825" t="s">
        <v>9126</v>
      </c>
      <c r="C825">
        <v>45748</v>
      </c>
      <c r="D825" t="s">
        <v>7263</v>
      </c>
      <c r="E825" t="s">
        <v>9127</v>
      </c>
      <c r="F825">
        <v>45747</v>
      </c>
      <c r="G825" t="s">
        <v>2208</v>
      </c>
      <c r="H825" t="s">
        <v>7834</v>
      </c>
      <c r="I825" t="s">
        <v>11498</v>
      </c>
      <c r="J825">
        <v>2</v>
      </c>
      <c r="K825">
        <v>209.22</v>
      </c>
      <c r="L825" t="s">
        <v>2917</v>
      </c>
      <c r="M825">
        <v>209.22</v>
      </c>
      <c r="N825" t="s">
        <v>2917</v>
      </c>
      <c r="O825" t="s">
        <v>2208</v>
      </c>
      <c r="P825" t="s">
        <v>2208</v>
      </c>
      <c r="Q825" t="s">
        <v>2208</v>
      </c>
      <c r="R825" t="s">
        <v>2208</v>
      </c>
    </row>
    <row r="826" spans="1:18">
      <c r="A826" t="s">
        <v>2237</v>
      </c>
      <c r="B826" t="s">
        <v>9126</v>
      </c>
      <c r="C826">
        <v>45748</v>
      </c>
      <c r="D826" t="s">
        <v>7263</v>
      </c>
      <c r="E826" t="s">
        <v>9127</v>
      </c>
      <c r="F826">
        <v>45747</v>
      </c>
      <c r="G826" t="s">
        <v>2208</v>
      </c>
      <c r="H826" t="s">
        <v>7834</v>
      </c>
      <c r="I826" t="s">
        <v>11499</v>
      </c>
      <c r="J826">
        <v>1</v>
      </c>
      <c r="K826">
        <v>104.61</v>
      </c>
      <c r="L826" t="s">
        <v>2917</v>
      </c>
      <c r="M826">
        <v>104.61</v>
      </c>
      <c r="N826" t="s">
        <v>2917</v>
      </c>
      <c r="O826" t="s">
        <v>2208</v>
      </c>
      <c r="P826" t="s">
        <v>2208</v>
      </c>
      <c r="Q826" t="s">
        <v>2208</v>
      </c>
      <c r="R826" t="s">
        <v>2208</v>
      </c>
    </row>
    <row r="827" spans="1:18">
      <c r="A827" t="s">
        <v>2237</v>
      </c>
      <c r="B827" t="s">
        <v>9126</v>
      </c>
      <c r="C827">
        <v>45748</v>
      </c>
      <c r="D827" t="s">
        <v>7263</v>
      </c>
      <c r="E827" t="s">
        <v>9127</v>
      </c>
      <c r="F827">
        <v>45747</v>
      </c>
      <c r="G827" t="s">
        <v>2208</v>
      </c>
      <c r="H827" t="s">
        <v>7834</v>
      </c>
      <c r="I827" t="s">
        <v>11500</v>
      </c>
      <c r="J827">
        <v>1</v>
      </c>
      <c r="K827">
        <v>104.61</v>
      </c>
      <c r="L827" t="s">
        <v>2917</v>
      </c>
      <c r="M827">
        <v>104.61</v>
      </c>
      <c r="N827" t="s">
        <v>2917</v>
      </c>
      <c r="O827" t="s">
        <v>2208</v>
      </c>
      <c r="P827" t="s">
        <v>2208</v>
      </c>
      <c r="Q827" t="s">
        <v>2208</v>
      </c>
      <c r="R827" t="s">
        <v>2208</v>
      </c>
    </row>
    <row r="828" spans="1:18">
      <c r="A828" t="s">
        <v>2237</v>
      </c>
      <c r="B828" t="s">
        <v>9126</v>
      </c>
      <c r="C828">
        <v>45748</v>
      </c>
      <c r="D828" t="s">
        <v>7263</v>
      </c>
      <c r="E828" t="s">
        <v>9127</v>
      </c>
      <c r="F828">
        <v>45747</v>
      </c>
      <c r="G828" t="s">
        <v>2208</v>
      </c>
      <c r="H828" t="s">
        <v>7834</v>
      </c>
      <c r="I828" t="s">
        <v>11501</v>
      </c>
      <c r="J828">
        <v>1</v>
      </c>
      <c r="K828">
        <v>104.61</v>
      </c>
      <c r="L828" t="s">
        <v>2917</v>
      </c>
      <c r="M828">
        <v>104.61</v>
      </c>
      <c r="N828" t="s">
        <v>2917</v>
      </c>
      <c r="O828" t="s">
        <v>2208</v>
      </c>
      <c r="P828" t="s">
        <v>2208</v>
      </c>
      <c r="Q828" t="s">
        <v>2208</v>
      </c>
      <c r="R828" t="s">
        <v>2208</v>
      </c>
    </row>
    <row r="829" spans="1:18">
      <c r="A829" t="s">
        <v>2237</v>
      </c>
      <c r="B829" t="s">
        <v>9126</v>
      </c>
      <c r="C829">
        <v>45748</v>
      </c>
      <c r="D829" t="s">
        <v>7263</v>
      </c>
      <c r="E829" t="s">
        <v>9127</v>
      </c>
      <c r="F829">
        <v>45747</v>
      </c>
      <c r="G829" t="s">
        <v>2208</v>
      </c>
      <c r="H829" t="s">
        <v>7834</v>
      </c>
      <c r="I829" t="s">
        <v>11502</v>
      </c>
      <c r="J829">
        <v>1</v>
      </c>
      <c r="K829">
        <v>104.61</v>
      </c>
      <c r="L829" t="s">
        <v>2917</v>
      </c>
      <c r="M829">
        <v>104.61</v>
      </c>
      <c r="N829" t="s">
        <v>2917</v>
      </c>
      <c r="O829" t="s">
        <v>2208</v>
      </c>
      <c r="P829" t="s">
        <v>2208</v>
      </c>
      <c r="Q829" t="s">
        <v>2208</v>
      </c>
      <c r="R829" t="s">
        <v>2208</v>
      </c>
    </row>
    <row r="830" spans="1:18">
      <c r="A830" t="s">
        <v>2237</v>
      </c>
      <c r="B830" t="s">
        <v>9126</v>
      </c>
      <c r="C830">
        <v>45748</v>
      </c>
      <c r="D830" t="s">
        <v>7263</v>
      </c>
      <c r="E830" t="s">
        <v>9127</v>
      </c>
      <c r="F830">
        <v>45747</v>
      </c>
      <c r="G830" t="s">
        <v>2208</v>
      </c>
      <c r="H830" t="s">
        <v>7834</v>
      </c>
      <c r="I830" t="s">
        <v>11503</v>
      </c>
      <c r="J830">
        <v>1</v>
      </c>
      <c r="K830">
        <v>104.61</v>
      </c>
      <c r="L830" t="s">
        <v>2917</v>
      </c>
      <c r="M830">
        <v>104.61</v>
      </c>
      <c r="N830" t="s">
        <v>2917</v>
      </c>
      <c r="O830" t="s">
        <v>2208</v>
      </c>
      <c r="P830" t="s">
        <v>2208</v>
      </c>
      <c r="Q830" t="s">
        <v>2208</v>
      </c>
      <c r="R830" t="s">
        <v>2208</v>
      </c>
    </row>
    <row r="831" spans="1:18">
      <c r="A831" t="s">
        <v>2237</v>
      </c>
      <c r="B831" t="s">
        <v>9126</v>
      </c>
      <c r="C831">
        <v>45748</v>
      </c>
      <c r="D831" t="s">
        <v>7263</v>
      </c>
      <c r="E831" t="s">
        <v>9127</v>
      </c>
      <c r="F831">
        <v>45747</v>
      </c>
      <c r="G831" t="s">
        <v>2208</v>
      </c>
      <c r="H831" t="s">
        <v>7834</v>
      </c>
      <c r="I831" t="s">
        <v>11504</v>
      </c>
      <c r="J831">
        <v>1</v>
      </c>
      <c r="K831">
        <v>104.61</v>
      </c>
      <c r="L831" t="s">
        <v>2917</v>
      </c>
      <c r="M831">
        <v>104.61</v>
      </c>
      <c r="N831" t="s">
        <v>2917</v>
      </c>
      <c r="O831" t="s">
        <v>2208</v>
      </c>
      <c r="P831" t="s">
        <v>2208</v>
      </c>
      <c r="Q831" t="s">
        <v>2208</v>
      </c>
      <c r="R831" t="s">
        <v>2208</v>
      </c>
    </row>
    <row r="832" spans="1:18">
      <c r="A832" t="s">
        <v>2237</v>
      </c>
      <c r="B832" t="s">
        <v>9126</v>
      </c>
      <c r="C832">
        <v>45748</v>
      </c>
      <c r="D832" t="s">
        <v>7263</v>
      </c>
      <c r="E832" t="s">
        <v>9127</v>
      </c>
      <c r="F832">
        <v>45747</v>
      </c>
      <c r="G832" t="s">
        <v>2208</v>
      </c>
      <c r="H832" t="s">
        <v>7834</v>
      </c>
      <c r="I832" t="s">
        <v>11505</v>
      </c>
      <c r="J832">
        <v>1</v>
      </c>
      <c r="K832">
        <v>104.61</v>
      </c>
      <c r="L832" t="s">
        <v>2917</v>
      </c>
      <c r="M832">
        <v>104.61</v>
      </c>
      <c r="N832" t="s">
        <v>2917</v>
      </c>
      <c r="O832" t="s">
        <v>2208</v>
      </c>
      <c r="P832" t="s">
        <v>2208</v>
      </c>
      <c r="Q832" t="s">
        <v>2208</v>
      </c>
      <c r="R832" t="s">
        <v>2208</v>
      </c>
    </row>
    <row r="833" spans="1:18">
      <c r="A833" t="s">
        <v>2237</v>
      </c>
      <c r="B833" t="s">
        <v>9126</v>
      </c>
      <c r="C833">
        <v>45748</v>
      </c>
      <c r="D833" t="s">
        <v>7263</v>
      </c>
      <c r="E833" t="s">
        <v>9127</v>
      </c>
      <c r="F833">
        <v>45747</v>
      </c>
      <c r="G833" t="s">
        <v>2208</v>
      </c>
      <c r="H833" t="s">
        <v>7834</v>
      </c>
      <c r="I833" t="s">
        <v>11506</v>
      </c>
      <c r="J833">
        <v>1</v>
      </c>
      <c r="K833">
        <v>104.61</v>
      </c>
      <c r="L833" t="s">
        <v>2917</v>
      </c>
      <c r="M833">
        <v>104.61</v>
      </c>
      <c r="N833" t="s">
        <v>2917</v>
      </c>
      <c r="O833" t="s">
        <v>2208</v>
      </c>
      <c r="P833" t="s">
        <v>2208</v>
      </c>
      <c r="Q833" t="s">
        <v>2208</v>
      </c>
      <c r="R833" t="s">
        <v>2208</v>
      </c>
    </row>
    <row r="834" spans="1:18">
      <c r="A834" t="s">
        <v>2237</v>
      </c>
      <c r="B834" t="s">
        <v>9126</v>
      </c>
      <c r="C834">
        <v>45748</v>
      </c>
      <c r="D834" t="s">
        <v>7263</v>
      </c>
      <c r="E834" t="s">
        <v>9127</v>
      </c>
      <c r="F834">
        <v>45747</v>
      </c>
      <c r="G834" t="s">
        <v>2208</v>
      </c>
      <c r="H834" t="s">
        <v>7834</v>
      </c>
      <c r="I834" t="s">
        <v>11507</v>
      </c>
      <c r="J834">
        <v>1</v>
      </c>
      <c r="K834">
        <v>104.61</v>
      </c>
      <c r="L834" t="s">
        <v>2917</v>
      </c>
      <c r="M834">
        <v>104.61</v>
      </c>
      <c r="N834" t="s">
        <v>2917</v>
      </c>
      <c r="O834" t="s">
        <v>2208</v>
      </c>
      <c r="P834" t="s">
        <v>2208</v>
      </c>
      <c r="Q834" t="s">
        <v>2208</v>
      </c>
      <c r="R834" t="s">
        <v>2208</v>
      </c>
    </row>
    <row r="835" spans="1:18">
      <c r="A835" t="s">
        <v>2237</v>
      </c>
      <c r="B835" t="s">
        <v>9126</v>
      </c>
      <c r="C835">
        <v>45748</v>
      </c>
      <c r="D835" t="s">
        <v>7263</v>
      </c>
      <c r="E835" t="s">
        <v>9127</v>
      </c>
      <c r="F835">
        <v>45747</v>
      </c>
      <c r="G835" t="s">
        <v>2208</v>
      </c>
      <c r="H835" t="s">
        <v>7834</v>
      </c>
      <c r="I835" t="s">
        <v>11508</v>
      </c>
      <c r="J835">
        <v>1</v>
      </c>
      <c r="K835">
        <v>104.61</v>
      </c>
      <c r="L835" t="s">
        <v>2917</v>
      </c>
      <c r="M835">
        <v>104.61</v>
      </c>
      <c r="N835" t="s">
        <v>2917</v>
      </c>
      <c r="O835" t="s">
        <v>2208</v>
      </c>
      <c r="P835" t="s">
        <v>2208</v>
      </c>
      <c r="Q835" t="s">
        <v>2208</v>
      </c>
      <c r="R835" t="s">
        <v>2208</v>
      </c>
    </row>
    <row r="836" spans="1:18">
      <c r="A836" t="s">
        <v>2237</v>
      </c>
      <c r="B836" t="s">
        <v>9126</v>
      </c>
      <c r="C836">
        <v>45748</v>
      </c>
      <c r="D836" t="s">
        <v>7263</v>
      </c>
      <c r="E836" t="s">
        <v>9127</v>
      </c>
      <c r="F836">
        <v>45747</v>
      </c>
      <c r="G836" t="s">
        <v>2208</v>
      </c>
      <c r="H836" t="s">
        <v>7834</v>
      </c>
      <c r="I836" t="s">
        <v>11509</v>
      </c>
      <c r="J836">
        <v>4</v>
      </c>
      <c r="K836">
        <v>418.44</v>
      </c>
      <c r="L836" t="s">
        <v>2917</v>
      </c>
      <c r="M836">
        <v>418.44</v>
      </c>
      <c r="N836" t="s">
        <v>2917</v>
      </c>
      <c r="O836" t="s">
        <v>2208</v>
      </c>
      <c r="P836" t="s">
        <v>2208</v>
      </c>
      <c r="Q836" t="s">
        <v>2208</v>
      </c>
      <c r="R836" t="s">
        <v>2208</v>
      </c>
    </row>
    <row r="837" spans="1:18">
      <c r="A837" t="s">
        <v>2237</v>
      </c>
      <c r="B837" t="s">
        <v>9126</v>
      </c>
      <c r="C837">
        <v>45748</v>
      </c>
      <c r="D837" t="s">
        <v>7263</v>
      </c>
      <c r="E837" t="s">
        <v>9127</v>
      </c>
      <c r="F837">
        <v>45747</v>
      </c>
      <c r="G837" t="s">
        <v>2208</v>
      </c>
      <c r="H837" t="s">
        <v>7834</v>
      </c>
      <c r="I837" t="s">
        <v>11510</v>
      </c>
      <c r="J837">
        <v>4</v>
      </c>
      <c r="K837">
        <v>418.44</v>
      </c>
      <c r="L837" t="s">
        <v>2917</v>
      </c>
      <c r="M837">
        <v>418.44</v>
      </c>
      <c r="N837" t="s">
        <v>2917</v>
      </c>
      <c r="O837" t="s">
        <v>2208</v>
      </c>
      <c r="P837" t="s">
        <v>2208</v>
      </c>
      <c r="Q837" t="s">
        <v>2208</v>
      </c>
      <c r="R837" t="s">
        <v>2208</v>
      </c>
    </row>
    <row r="838" spans="1:18">
      <c r="A838" t="s">
        <v>2237</v>
      </c>
      <c r="B838" t="s">
        <v>9126</v>
      </c>
      <c r="C838">
        <v>45748</v>
      </c>
      <c r="D838" t="s">
        <v>7263</v>
      </c>
      <c r="E838" t="s">
        <v>9127</v>
      </c>
      <c r="F838">
        <v>45747</v>
      </c>
      <c r="G838" t="s">
        <v>2208</v>
      </c>
      <c r="H838" t="s">
        <v>7834</v>
      </c>
      <c r="I838" t="s">
        <v>11511</v>
      </c>
      <c r="J838">
        <v>4</v>
      </c>
      <c r="K838">
        <v>418.44</v>
      </c>
      <c r="L838" t="s">
        <v>2917</v>
      </c>
      <c r="M838">
        <v>418.44</v>
      </c>
      <c r="N838" t="s">
        <v>2917</v>
      </c>
      <c r="O838" t="s">
        <v>2208</v>
      </c>
      <c r="P838" t="s">
        <v>2208</v>
      </c>
      <c r="Q838" t="s">
        <v>2208</v>
      </c>
      <c r="R838" t="s">
        <v>2208</v>
      </c>
    </row>
    <row r="839" spans="1:18">
      <c r="A839" t="s">
        <v>2237</v>
      </c>
      <c r="B839" t="s">
        <v>9126</v>
      </c>
      <c r="C839">
        <v>45748</v>
      </c>
      <c r="D839" t="s">
        <v>7263</v>
      </c>
      <c r="E839" t="s">
        <v>9127</v>
      </c>
      <c r="F839">
        <v>45747</v>
      </c>
      <c r="G839" t="s">
        <v>2208</v>
      </c>
      <c r="H839" t="s">
        <v>7834</v>
      </c>
      <c r="I839" t="s">
        <v>11512</v>
      </c>
      <c r="J839">
        <v>4</v>
      </c>
      <c r="K839">
        <v>418.44</v>
      </c>
      <c r="L839" t="s">
        <v>2917</v>
      </c>
      <c r="M839">
        <v>418.44</v>
      </c>
      <c r="N839" t="s">
        <v>2917</v>
      </c>
      <c r="O839" t="s">
        <v>2208</v>
      </c>
      <c r="P839" t="s">
        <v>2208</v>
      </c>
      <c r="Q839" t="s">
        <v>2208</v>
      </c>
      <c r="R839" t="s">
        <v>2208</v>
      </c>
    </row>
    <row r="840" spans="1:18">
      <c r="A840" t="s">
        <v>2237</v>
      </c>
      <c r="B840" t="s">
        <v>9126</v>
      </c>
      <c r="C840">
        <v>45748</v>
      </c>
      <c r="D840" t="s">
        <v>7263</v>
      </c>
      <c r="E840" t="s">
        <v>9127</v>
      </c>
      <c r="F840">
        <v>45747</v>
      </c>
      <c r="G840" t="s">
        <v>2208</v>
      </c>
      <c r="H840" t="s">
        <v>7834</v>
      </c>
      <c r="I840" t="s">
        <v>11513</v>
      </c>
      <c r="J840">
        <v>4</v>
      </c>
      <c r="K840">
        <v>418.44</v>
      </c>
      <c r="L840" t="s">
        <v>2917</v>
      </c>
      <c r="M840">
        <v>418.44</v>
      </c>
      <c r="N840" t="s">
        <v>2917</v>
      </c>
      <c r="O840" t="s">
        <v>2208</v>
      </c>
      <c r="P840" t="s">
        <v>2208</v>
      </c>
      <c r="Q840" t="s">
        <v>2208</v>
      </c>
      <c r="R840" t="s">
        <v>2208</v>
      </c>
    </row>
    <row r="841" spans="1:18">
      <c r="A841" t="s">
        <v>2237</v>
      </c>
      <c r="B841" t="s">
        <v>9126</v>
      </c>
      <c r="C841">
        <v>45748</v>
      </c>
      <c r="D841" t="s">
        <v>7263</v>
      </c>
      <c r="E841" t="s">
        <v>9127</v>
      </c>
      <c r="F841">
        <v>45747</v>
      </c>
      <c r="G841" t="s">
        <v>2208</v>
      </c>
      <c r="H841" t="s">
        <v>7834</v>
      </c>
      <c r="I841" t="s">
        <v>11514</v>
      </c>
      <c r="J841">
        <v>4</v>
      </c>
      <c r="K841">
        <v>418.44</v>
      </c>
      <c r="L841" t="s">
        <v>2917</v>
      </c>
      <c r="M841">
        <v>418.44</v>
      </c>
      <c r="N841" t="s">
        <v>2917</v>
      </c>
      <c r="O841" t="s">
        <v>2208</v>
      </c>
      <c r="P841" t="s">
        <v>2208</v>
      </c>
      <c r="Q841" t="s">
        <v>2208</v>
      </c>
      <c r="R841" t="s">
        <v>2208</v>
      </c>
    </row>
    <row r="842" spans="1:18">
      <c r="A842" t="s">
        <v>2237</v>
      </c>
      <c r="B842" t="s">
        <v>9126</v>
      </c>
      <c r="C842">
        <v>45748</v>
      </c>
      <c r="D842" t="s">
        <v>7263</v>
      </c>
      <c r="E842" t="s">
        <v>9127</v>
      </c>
      <c r="F842">
        <v>45747</v>
      </c>
      <c r="G842" t="s">
        <v>2208</v>
      </c>
      <c r="H842" t="s">
        <v>7834</v>
      </c>
      <c r="I842" t="s">
        <v>11515</v>
      </c>
      <c r="J842">
        <v>4</v>
      </c>
      <c r="K842">
        <v>418.44</v>
      </c>
      <c r="L842" t="s">
        <v>2917</v>
      </c>
      <c r="M842">
        <v>418.44</v>
      </c>
      <c r="N842" t="s">
        <v>2917</v>
      </c>
      <c r="O842" t="s">
        <v>2208</v>
      </c>
      <c r="P842" t="s">
        <v>2208</v>
      </c>
      <c r="Q842" t="s">
        <v>2208</v>
      </c>
      <c r="R842" t="s">
        <v>2208</v>
      </c>
    </row>
    <row r="843" spans="1:18">
      <c r="A843" t="s">
        <v>2237</v>
      </c>
      <c r="B843" t="s">
        <v>9126</v>
      </c>
      <c r="C843">
        <v>45748</v>
      </c>
      <c r="D843" t="s">
        <v>7263</v>
      </c>
      <c r="E843" t="s">
        <v>9127</v>
      </c>
      <c r="F843">
        <v>45747</v>
      </c>
      <c r="G843" t="s">
        <v>2208</v>
      </c>
      <c r="H843" t="s">
        <v>7834</v>
      </c>
      <c r="I843" t="s">
        <v>11516</v>
      </c>
      <c r="J843">
        <v>4</v>
      </c>
      <c r="K843">
        <v>418.44</v>
      </c>
      <c r="L843" t="s">
        <v>2917</v>
      </c>
      <c r="M843">
        <v>418.44</v>
      </c>
      <c r="N843" t="s">
        <v>2917</v>
      </c>
      <c r="O843" t="s">
        <v>2208</v>
      </c>
      <c r="P843" t="s">
        <v>2208</v>
      </c>
      <c r="Q843" t="s">
        <v>2208</v>
      </c>
      <c r="R843" t="s">
        <v>2208</v>
      </c>
    </row>
    <row r="844" spans="1:18">
      <c r="A844" t="s">
        <v>2237</v>
      </c>
      <c r="B844" t="s">
        <v>9126</v>
      </c>
      <c r="C844">
        <v>45748</v>
      </c>
      <c r="D844" t="s">
        <v>7263</v>
      </c>
      <c r="E844" t="s">
        <v>9127</v>
      </c>
      <c r="F844">
        <v>45747</v>
      </c>
      <c r="G844" t="s">
        <v>2208</v>
      </c>
      <c r="H844" t="s">
        <v>7834</v>
      </c>
      <c r="I844" t="s">
        <v>11517</v>
      </c>
      <c r="J844">
        <v>4</v>
      </c>
      <c r="K844">
        <v>418.44</v>
      </c>
      <c r="L844" t="s">
        <v>2917</v>
      </c>
      <c r="M844">
        <v>418.44</v>
      </c>
      <c r="N844" t="s">
        <v>2917</v>
      </c>
      <c r="O844" t="s">
        <v>2208</v>
      </c>
      <c r="P844" t="s">
        <v>2208</v>
      </c>
      <c r="Q844" t="s">
        <v>2208</v>
      </c>
      <c r="R844" t="s">
        <v>2208</v>
      </c>
    </row>
    <row r="845" spans="1:18">
      <c r="A845" t="s">
        <v>2237</v>
      </c>
      <c r="B845" t="s">
        <v>9126</v>
      </c>
      <c r="C845">
        <v>45748</v>
      </c>
      <c r="D845" t="s">
        <v>7263</v>
      </c>
      <c r="E845" t="s">
        <v>9127</v>
      </c>
      <c r="F845">
        <v>45747</v>
      </c>
      <c r="G845" t="s">
        <v>2208</v>
      </c>
      <c r="H845" t="s">
        <v>7834</v>
      </c>
      <c r="I845" t="s">
        <v>11518</v>
      </c>
      <c r="J845">
        <v>4</v>
      </c>
      <c r="K845">
        <v>418.44</v>
      </c>
      <c r="L845" t="s">
        <v>2917</v>
      </c>
      <c r="M845">
        <v>418.44</v>
      </c>
      <c r="N845" t="s">
        <v>2917</v>
      </c>
      <c r="O845" t="s">
        <v>2208</v>
      </c>
      <c r="P845" t="s">
        <v>2208</v>
      </c>
      <c r="Q845" t="s">
        <v>2208</v>
      </c>
      <c r="R845" t="s">
        <v>2208</v>
      </c>
    </row>
    <row r="846" spans="1:18">
      <c r="A846" t="s">
        <v>2237</v>
      </c>
      <c r="B846" t="s">
        <v>9126</v>
      </c>
      <c r="C846">
        <v>45748</v>
      </c>
      <c r="D846" t="s">
        <v>7263</v>
      </c>
      <c r="E846" t="s">
        <v>9127</v>
      </c>
      <c r="F846">
        <v>45747</v>
      </c>
      <c r="G846" t="s">
        <v>2208</v>
      </c>
      <c r="H846" t="s">
        <v>7834</v>
      </c>
      <c r="I846" t="s">
        <v>11519</v>
      </c>
      <c r="J846">
        <v>3</v>
      </c>
      <c r="K846">
        <v>313.83</v>
      </c>
      <c r="L846" t="s">
        <v>2917</v>
      </c>
      <c r="M846">
        <v>313.83</v>
      </c>
      <c r="N846" t="s">
        <v>2917</v>
      </c>
      <c r="O846" t="s">
        <v>2208</v>
      </c>
      <c r="P846" t="s">
        <v>2208</v>
      </c>
      <c r="Q846" t="s">
        <v>2208</v>
      </c>
      <c r="R846" t="s">
        <v>2208</v>
      </c>
    </row>
    <row r="847" spans="1:18">
      <c r="A847" t="s">
        <v>2237</v>
      </c>
      <c r="B847" t="s">
        <v>9126</v>
      </c>
      <c r="C847">
        <v>45748</v>
      </c>
      <c r="D847" t="s">
        <v>7263</v>
      </c>
      <c r="E847" t="s">
        <v>9127</v>
      </c>
      <c r="F847">
        <v>45747</v>
      </c>
      <c r="G847" t="s">
        <v>2208</v>
      </c>
      <c r="H847" t="s">
        <v>7834</v>
      </c>
      <c r="I847" t="s">
        <v>11520</v>
      </c>
      <c r="J847">
        <v>3</v>
      </c>
      <c r="K847">
        <v>313.83</v>
      </c>
      <c r="L847" t="s">
        <v>2917</v>
      </c>
      <c r="M847">
        <v>313.83</v>
      </c>
      <c r="N847" t="s">
        <v>2917</v>
      </c>
      <c r="O847" t="s">
        <v>2208</v>
      </c>
      <c r="P847" t="s">
        <v>2208</v>
      </c>
      <c r="Q847" t="s">
        <v>2208</v>
      </c>
      <c r="R847" t="s">
        <v>2208</v>
      </c>
    </row>
    <row r="848" spans="1:18">
      <c r="A848" t="s">
        <v>2237</v>
      </c>
      <c r="B848" t="s">
        <v>9126</v>
      </c>
      <c r="C848">
        <v>45748</v>
      </c>
      <c r="D848" t="s">
        <v>7263</v>
      </c>
      <c r="E848" t="s">
        <v>9127</v>
      </c>
      <c r="F848">
        <v>45747</v>
      </c>
      <c r="G848" t="s">
        <v>2208</v>
      </c>
      <c r="H848" t="s">
        <v>7834</v>
      </c>
      <c r="I848" t="s">
        <v>11521</v>
      </c>
      <c r="J848">
        <v>3</v>
      </c>
      <c r="K848">
        <v>313.83</v>
      </c>
      <c r="L848" t="s">
        <v>2917</v>
      </c>
      <c r="M848">
        <v>313.83</v>
      </c>
      <c r="N848" t="s">
        <v>2917</v>
      </c>
      <c r="O848" t="s">
        <v>2208</v>
      </c>
      <c r="P848" t="s">
        <v>2208</v>
      </c>
      <c r="Q848" t="s">
        <v>2208</v>
      </c>
      <c r="R848" t="s">
        <v>2208</v>
      </c>
    </row>
    <row r="849" spans="1:18">
      <c r="A849" t="s">
        <v>2237</v>
      </c>
      <c r="B849" t="s">
        <v>9126</v>
      </c>
      <c r="C849">
        <v>45748</v>
      </c>
      <c r="D849" t="s">
        <v>7263</v>
      </c>
      <c r="E849" t="s">
        <v>9127</v>
      </c>
      <c r="F849">
        <v>45747</v>
      </c>
      <c r="G849" t="s">
        <v>2208</v>
      </c>
      <c r="H849" t="s">
        <v>7834</v>
      </c>
      <c r="I849" t="s">
        <v>11522</v>
      </c>
      <c r="J849">
        <v>3</v>
      </c>
      <c r="K849">
        <v>313.83</v>
      </c>
      <c r="L849" t="s">
        <v>2917</v>
      </c>
      <c r="M849">
        <v>313.83</v>
      </c>
      <c r="N849" t="s">
        <v>2917</v>
      </c>
      <c r="O849" t="s">
        <v>2208</v>
      </c>
      <c r="P849" t="s">
        <v>2208</v>
      </c>
      <c r="Q849" t="s">
        <v>2208</v>
      </c>
      <c r="R849" t="s">
        <v>2208</v>
      </c>
    </row>
    <row r="850" spans="1:18">
      <c r="A850" t="s">
        <v>2237</v>
      </c>
      <c r="B850" t="s">
        <v>9126</v>
      </c>
      <c r="C850">
        <v>45748</v>
      </c>
      <c r="D850" t="s">
        <v>7263</v>
      </c>
      <c r="E850" t="s">
        <v>9127</v>
      </c>
      <c r="F850">
        <v>45747</v>
      </c>
      <c r="G850" t="s">
        <v>2208</v>
      </c>
      <c r="H850" t="s">
        <v>7834</v>
      </c>
      <c r="I850" t="s">
        <v>11523</v>
      </c>
      <c r="J850">
        <v>1</v>
      </c>
      <c r="K850">
        <v>104.61</v>
      </c>
      <c r="L850" t="s">
        <v>2917</v>
      </c>
      <c r="M850">
        <v>104.61</v>
      </c>
      <c r="N850" t="s">
        <v>2917</v>
      </c>
      <c r="O850" t="s">
        <v>2208</v>
      </c>
      <c r="P850" t="s">
        <v>2208</v>
      </c>
      <c r="Q850" t="s">
        <v>2208</v>
      </c>
      <c r="R850" t="s">
        <v>2208</v>
      </c>
    </row>
    <row r="851" spans="1:18">
      <c r="A851" t="s">
        <v>2237</v>
      </c>
      <c r="B851" t="s">
        <v>9126</v>
      </c>
      <c r="C851">
        <v>45748</v>
      </c>
      <c r="D851" t="s">
        <v>7263</v>
      </c>
      <c r="E851" t="s">
        <v>9127</v>
      </c>
      <c r="F851">
        <v>45747</v>
      </c>
      <c r="G851" t="s">
        <v>2208</v>
      </c>
      <c r="H851" t="s">
        <v>7834</v>
      </c>
      <c r="I851" t="s">
        <v>11524</v>
      </c>
      <c r="J851">
        <v>1</v>
      </c>
      <c r="K851">
        <v>104.61</v>
      </c>
      <c r="L851" t="s">
        <v>2917</v>
      </c>
      <c r="M851">
        <v>104.61</v>
      </c>
      <c r="N851" t="s">
        <v>2917</v>
      </c>
      <c r="O851" t="s">
        <v>2208</v>
      </c>
      <c r="P851" t="s">
        <v>2208</v>
      </c>
      <c r="Q851" t="s">
        <v>2208</v>
      </c>
      <c r="R851" t="s">
        <v>2208</v>
      </c>
    </row>
    <row r="852" spans="1:18">
      <c r="A852" t="s">
        <v>2237</v>
      </c>
      <c r="B852" t="s">
        <v>9126</v>
      </c>
      <c r="C852">
        <v>45748</v>
      </c>
      <c r="D852" t="s">
        <v>7263</v>
      </c>
      <c r="E852" t="s">
        <v>9127</v>
      </c>
      <c r="F852">
        <v>45747</v>
      </c>
      <c r="G852" t="s">
        <v>2208</v>
      </c>
      <c r="H852" t="s">
        <v>7834</v>
      </c>
      <c r="I852" t="s">
        <v>11525</v>
      </c>
      <c r="J852">
        <v>1</v>
      </c>
      <c r="K852">
        <v>104.61</v>
      </c>
      <c r="L852" t="s">
        <v>2917</v>
      </c>
      <c r="M852">
        <v>104.61</v>
      </c>
      <c r="N852" t="s">
        <v>2917</v>
      </c>
      <c r="O852" t="s">
        <v>2208</v>
      </c>
      <c r="P852" t="s">
        <v>2208</v>
      </c>
      <c r="Q852" t="s">
        <v>2208</v>
      </c>
      <c r="R852" t="s">
        <v>2208</v>
      </c>
    </row>
    <row r="853" spans="1:18">
      <c r="A853" t="s">
        <v>2237</v>
      </c>
      <c r="B853" t="s">
        <v>9126</v>
      </c>
      <c r="C853">
        <v>45748</v>
      </c>
      <c r="D853" t="s">
        <v>7263</v>
      </c>
      <c r="E853" t="s">
        <v>9127</v>
      </c>
      <c r="F853">
        <v>45747</v>
      </c>
      <c r="G853" t="s">
        <v>2208</v>
      </c>
      <c r="H853" t="s">
        <v>7834</v>
      </c>
      <c r="I853" t="s">
        <v>11526</v>
      </c>
      <c r="J853">
        <v>1</v>
      </c>
      <c r="K853">
        <v>104.61</v>
      </c>
      <c r="L853" t="s">
        <v>2917</v>
      </c>
      <c r="M853">
        <v>104.61</v>
      </c>
      <c r="N853" t="s">
        <v>2917</v>
      </c>
      <c r="O853" t="s">
        <v>2208</v>
      </c>
      <c r="P853" t="s">
        <v>2208</v>
      </c>
      <c r="Q853" t="s">
        <v>2208</v>
      </c>
      <c r="R853" t="s">
        <v>2208</v>
      </c>
    </row>
    <row r="854" spans="1:18">
      <c r="A854" t="s">
        <v>2237</v>
      </c>
      <c r="B854" t="s">
        <v>9126</v>
      </c>
      <c r="C854">
        <v>45748</v>
      </c>
      <c r="D854" t="s">
        <v>7263</v>
      </c>
      <c r="E854" t="s">
        <v>9127</v>
      </c>
      <c r="F854">
        <v>45747</v>
      </c>
      <c r="G854" t="s">
        <v>2208</v>
      </c>
      <c r="H854" t="s">
        <v>7834</v>
      </c>
      <c r="I854" t="s">
        <v>11527</v>
      </c>
      <c r="J854">
        <v>1</v>
      </c>
      <c r="K854">
        <v>104.61</v>
      </c>
      <c r="L854" t="s">
        <v>2917</v>
      </c>
      <c r="M854">
        <v>104.61</v>
      </c>
      <c r="N854" t="s">
        <v>2917</v>
      </c>
      <c r="O854" t="s">
        <v>2208</v>
      </c>
      <c r="P854" t="s">
        <v>2208</v>
      </c>
      <c r="Q854" t="s">
        <v>2208</v>
      </c>
      <c r="R854" t="s">
        <v>2208</v>
      </c>
    </row>
    <row r="855" spans="1:18">
      <c r="A855" t="s">
        <v>2237</v>
      </c>
      <c r="B855" t="s">
        <v>9126</v>
      </c>
      <c r="C855">
        <v>45748</v>
      </c>
      <c r="D855" t="s">
        <v>7263</v>
      </c>
      <c r="E855" t="s">
        <v>9127</v>
      </c>
      <c r="F855">
        <v>45747</v>
      </c>
      <c r="G855" t="s">
        <v>2208</v>
      </c>
      <c r="H855" t="s">
        <v>7834</v>
      </c>
      <c r="I855" t="s">
        <v>11528</v>
      </c>
      <c r="J855">
        <v>1</v>
      </c>
      <c r="K855">
        <v>104.61</v>
      </c>
      <c r="L855" t="s">
        <v>2917</v>
      </c>
      <c r="M855">
        <v>104.61</v>
      </c>
      <c r="N855" t="s">
        <v>2917</v>
      </c>
      <c r="O855" t="s">
        <v>2208</v>
      </c>
      <c r="P855" t="s">
        <v>2208</v>
      </c>
      <c r="Q855" t="s">
        <v>2208</v>
      </c>
      <c r="R855" t="s">
        <v>2208</v>
      </c>
    </row>
    <row r="856" spans="1:18">
      <c r="A856" t="s">
        <v>2237</v>
      </c>
      <c r="B856" t="s">
        <v>9126</v>
      </c>
      <c r="C856">
        <v>45748</v>
      </c>
      <c r="D856" t="s">
        <v>7263</v>
      </c>
      <c r="E856" t="s">
        <v>9127</v>
      </c>
      <c r="F856">
        <v>45747</v>
      </c>
      <c r="G856" t="s">
        <v>2208</v>
      </c>
      <c r="H856" t="s">
        <v>7834</v>
      </c>
      <c r="I856" t="s">
        <v>11529</v>
      </c>
      <c r="J856">
        <v>0.2</v>
      </c>
      <c r="K856">
        <v>20.92</v>
      </c>
      <c r="L856" t="s">
        <v>2917</v>
      </c>
      <c r="M856">
        <v>20.92</v>
      </c>
      <c r="N856" t="s">
        <v>2917</v>
      </c>
      <c r="O856" t="s">
        <v>2208</v>
      </c>
      <c r="P856" t="s">
        <v>2208</v>
      </c>
      <c r="Q856" t="s">
        <v>2208</v>
      </c>
      <c r="R856" t="s">
        <v>2208</v>
      </c>
    </row>
    <row r="857" spans="1:18">
      <c r="A857" t="s">
        <v>2237</v>
      </c>
      <c r="B857" t="s">
        <v>9126</v>
      </c>
      <c r="C857">
        <v>45748</v>
      </c>
      <c r="D857" t="s">
        <v>7263</v>
      </c>
      <c r="E857" t="s">
        <v>9127</v>
      </c>
      <c r="F857">
        <v>45747</v>
      </c>
      <c r="G857" t="s">
        <v>2208</v>
      </c>
      <c r="H857" t="s">
        <v>7834</v>
      </c>
      <c r="I857" t="s">
        <v>11530</v>
      </c>
      <c r="J857">
        <v>0.6</v>
      </c>
      <c r="K857">
        <v>62.77</v>
      </c>
      <c r="L857" t="s">
        <v>2917</v>
      </c>
      <c r="M857">
        <v>62.77</v>
      </c>
      <c r="N857" t="s">
        <v>2917</v>
      </c>
      <c r="O857" t="s">
        <v>2208</v>
      </c>
      <c r="P857" t="s">
        <v>2208</v>
      </c>
      <c r="Q857" t="s">
        <v>2208</v>
      </c>
      <c r="R857" t="s">
        <v>2208</v>
      </c>
    </row>
    <row r="858" spans="1:18">
      <c r="A858" t="s">
        <v>2237</v>
      </c>
      <c r="B858" t="s">
        <v>9126</v>
      </c>
      <c r="C858">
        <v>45748</v>
      </c>
      <c r="D858" t="s">
        <v>7263</v>
      </c>
      <c r="E858" t="s">
        <v>9127</v>
      </c>
      <c r="F858">
        <v>45747</v>
      </c>
      <c r="G858" t="s">
        <v>2208</v>
      </c>
      <c r="H858" t="s">
        <v>7834</v>
      </c>
      <c r="I858" t="s">
        <v>11531</v>
      </c>
      <c r="J858">
        <v>2</v>
      </c>
      <c r="K858">
        <v>209.22</v>
      </c>
      <c r="L858" t="s">
        <v>2917</v>
      </c>
      <c r="M858">
        <v>209.22</v>
      </c>
      <c r="N858" t="s">
        <v>2917</v>
      </c>
      <c r="O858" t="s">
        <v>2208</v>
      </c>
      <c r="P858" t="s">
        <v>2208</v>
      </c>
      <c r="Q858" t="s">
        <v>2208</v>
      </c>
      <c r="R858" t="s">
        <v>2208</v>
      </c>
    </row>
    <row r="859" spans="1:18">
      <c r="A859" t="s">
        <v>2237</v>
      </c>
      <c r="B859" t="s">
        <v>9126</v>
      </c>
      <c r="C859">
        <v>45748</v>
      </c>
      <c r="D859" t="s">
        <v>7263</v>
      </c>
      <c r="E859" t="s">
        <v>9127</v>
      </c>
      <c r="F859">
        <v>45747</v>
      </c>
      <c r="G859" t="s">
        <v>2208</v>
      </c>
      <c r="H859" t="s">
        <v>7834</v>
      </c>
      <c r="I859" t="s">
        <v>11532</v>
      </c>
      <c r="J859">
        <v>2</v>
      </c>
      <c r="K859">
        <v>209.22</v>
      </c>
      <c r="L859" t="s">
        <v>2917</v>
      </c>
      <c r="M859">
        <v>209.22</v>
      </c>
      <c r="N859" t="s">
        <v>2917</v>
      </c>
      <c r="O859" t="s">
        <v>2208</v>
      </c>
      <c r="P859" t="s">
        <v>2208</v>
      </c>
      <c r="Q859" t="s">
        <v>2208</v>
      </c>
      <c r="R859" t="s">
        <v>2208</v>
      </c>
    </row>
    <row r="860" spans="1:18">
      <c r="A860" t="s">
        <v>2237</v>
      </c>
      <c r="B860" t="s">
        <v>9126</v>
      </c>
      <c r="C860">
        <v>45748</v>
      </c>
      <c r="D860" t="s">
        <v>7263</v>
      </c>
      <c r="E860" t="s">
        <v>9127</v>
      </c>
      <c r="F860">
        <v>45747</v>
      </c>
      <c r="G860" t="s">
        <v>2208</v>
      </c>
      <c r="H860" t="s">
        <v>7834</v>
      </c>
      <c r="I860" t="s">
        <v>11533</v>
      </c>
      <c r="J860">
        <v>2</v>
      </c>
      <c r="K860">
        <v>209.22</v>
      </c>
      <c r="L860" t="s">
        <v>2917</v>
      </c>
      <c r="M860">
        <v>209.22</v>
      </c>
      <c r="N860" t="s">
        <v>2917</v>
      </c>
      <c r="O860" t="s">
        <v>2208</v>
      </c>
      <c r="P860" t="s">
        <v>2208</v>
      </c>
      <c r="Q860" t="s">
        <v>2208</v>
      </c>
      <c r="R860" t="s">
        <v>2208</v>
      </c>
    </row>
    <row r="861" spans="1:18">
      <c r="A861" t="s">
        <v>2237</v>
      </c>
      <c r="B861" t="s">
        <v>9126</v>
      </c>
      <c r="C861">
        <v>45748</v>
      </c>
      <c r="D861" t="s">
        <v>7263</v>
      </c>
      <c r="E861" t="s">
        <v>9127</v>
      </c>
      <c r="F861">
        <v>45747</v>
      </c>
      <c r="G861" t="s">
        <v>2208</v>
      </c>
      <c r="H861" t="s">
        <v>7834</v>
      </c>
      <c r="I861" t="s">
        <v>11534</v>
      </c>
      <c r="J861">
        <v>2</v>
      </c>
      <c r="K861">
        <v>209.22</v>
      </c>
      <c r="L861" t="s">
        <v>2917</v>
      </c>
      <c r="M861">
        <v>209.22</v>
      </c>
      <c r="N861" t="s">
        <v>2917</v>
      </c>
      <c r="O861" t="s">
        <v>2208</v>
      </c>
      <c r="P861" t="s">
        <v>2208</v>
      </c>
      <c r="Q861" t="s">
        <v>2208</v>
      </c>
      <c r="R861" t="s">
        <v>2208</v>
      </c>
    </row>
    <row r="862" spans="1:18">
      <c r="A862" t="s">
        <v>2418</v>
      </c>
      <c r="B862" t="s">
        <v>9126</v>
      </c>
      <c r="C862">
        <v>45748</v>
      </c>
      <c r="D862" t="s">
        <v>7263</v>
      </c>
      <c r="E862" t="s">
        <v>9127</v>
      </c>
      <c r="F862">
        <v>45747</v>
      </c>
      <c r="G862" t="s">
        <v>2208</v>
      </c>
      <c r="H862" t="s">
        <v>7834</v>
      </c>
      <c r="I862" t="s">
        <v>11535</v>
      </c>
      <c r="J862">
        <v>2</v>
      </c>
      <c r="K862">
        <v>209.22</v>
      </c>
      <c r="L862" t="s">
        <v>2917</v>
      </c>
      <c r="M862">
        <v>209.22</v>
      </c>
      <c r="N862" t="s">
        <v>2917</v>
      </c>
      <c r="O862" t="s">
        <v>2208</v>
      </c>
      <c r="P862" t="s">
        <v>2208</v>
      </c>
      <c r="Q862" t="s">
        <v>2208</v>
      </c>
      <c r="R862" t="s">
        <v>2208</v>
      </c>
    </row>
    <row r="863" spans="1:18">
      <c r="A863" t="s">
        <v>2418</v>
      </c>
      <c r="B863" t="s">
        <v>9126</v>
      </c>
      <c r="C863">
        <v>45748</v>
      </c>
      <c r="D863" t="s">
        <v>7263</v>
      </c>
      <c r="E863" t="s">
        <v>9127</v>
      </c>
      <c r="F863">
        <v>45747</v>
      </c>
      <c r="G863" t="s">
        <v>2208</v>
      </c>
      <c r="H863" t="s">
        <v>7834</v>
      </c>
      <c r="I863" t="s">
        <v>11536</v>
      </c>
      <c r="J863">
        <v>2</v>
      </c>
      <c r="K863">
        <v>209.22</v>
      </c>
      <c r="L863" t="s">
        <v>2917</v>
      </c>
      <c r="M863">
        <v>209.22</v>
      </c>
      <c r="N863" t="s">
        <v>2917</v>
      </c>
      <c r="O863" t="s">
        <v>2208</v>
      </c>
      <c r="P863" t="s">
        <v>2208</v>
      </c>
      <c r="Q863" t="s">
        <v>2208</v>
      </c>
      <c r="R863" t="s">
        <v>2208</v>
      </c>
    </row>
    <row r="864" spans="1:18">
      <c r="A864" t="s">
        <v>2418</v>
      </c>
      <c r="B864" t="s">
        <v>9126</v>
      </c>
      <c r="C864">
        <v>45748</v>
      </c>
      <c r="D864" t="s">
        <v>7263</v>
      </c>
      <c r="E864" t="s">
        <v>9127</v>
      </c>
      <c r="F864">
        <v>45747</v>
      </c>
      <c r="G864" t="s">
        <v>2208</v>
      </c>
      <c r="H864" t="s">
        <v>7834</v>
      </c>
      <c r="I864" t="s">
        <v>11537</v>
      </c>
      <c r="J864">
        <v>1</v>
      </c>
      <c r="K864">
        <v>104.61</v>
      </c>
      <c r="L864" t="s">
        <v>2917</v>
      </c>
      <c r="M864">
        <v>104.61</v>
      </c>
      <c r="N864" t="s">
        <v>2917</v>
      </c>
      <c r="O864" t="s">
        <v>2208</v>
      </c>
      <c r="P864" t="s">
        <v>2208</v>
      </c>
      <c r="Q864" t="s">
        <v>2208</v>
      </c>
      <c r="R864" t="s">
        <v>2208</v>
      </c>
    </row>
    <row r="865" spans="1:18">
      <c r="A865" t="s">
        <v>2418</v>
      </c>
      <c r="B865" t="s">
        <v>9126</v>
      </c>
      <c r="C865">
        <v>45748</v>
      </c>
      <c r="D865" t="s">
        <v>7263</v>
      </c>
      <c r="E865" t="s">
        <v>9127</v>
      </c>
      <c r="F865">
        <v>45747</v>
      </c>
      <c r="G865" t="s">
        <v>2208</v>
      </c>
      <c r="H865" t="s">
        <v>7834</v>
      </c>
      <c r="I865" t="s">
        <v>11538</v>
      </c>
      <c r="J865">
        <v>1</v>
      </c>
      <c r="K865">
        <v>104.61</v>
      </c>
      <c r="L865" t="s">
        <v>2917</v>
      </c>
      <c r="M865">
        <v>104.61</v>
      </c>
      <c r="N865" t="s">
        <v>2917</v>
      </c>
      <c r="O865" t="s">
        <v>2208</v>
      </c>
      <c r="P865" t="s">
        <v>2208</v>
      </c>
      <c r="Q865" t="s">
        <v>2208</v>
      </c>
      <c r="R865" t="s">
        <v>2208</v>
      </c>
    </row>
    <row r="866" spans="1:18">
      <c r="A866" t="s">
        <v>2418</v>
      </c>
      <c r="B866" t="s">
        <v>9126</v>
      </c>
      <c r="C866">
        <v>45748</v>
      </c>
      <c r="D866" t="s">
        <v>7263</v>
      </c>
      <c r="E866" t="s">
        <v>9127</v>
      </c>
      <c r="F866">
        <v>45747</v>
      </c>
      <c r="G866" t="s">
        <v>2208</v>
      </c>
      <c r="H866" t="s">
        <v>7834</v>
      </c>
      <c r="I866" t="s">
        <v>11539</v>
      </c>
      <c r="J866">
        <v>1</v>
      </c>
      <c r="K866">
        <v>104.61</v>
      </c>
      <c r="L866" t="s">
        <v>2917</v>
      </c>
      <c r="M866">
        <v>104.61</v>
      </c>
      <c r="N866" t="s">
        <v>2917</v>
      </c>
      <c r="O866" t="s">
        <v>2208</v>
      </c>
      <c r="P866" t="s">
        <v>2208</v>
      </c>
      <c r="Q866" t="s">
        <v>2208</v>
      </c>
      <c r="R866" t="s">
        <v>2208</v>
      </c>
    </row>
    <row r="867" spans="1:18">
      <c r="A867" t="s">
        <v>2418</v>
      </c>
      <c r="B867" t="s">
        <v>9126</v>
      </c>
      <c r="C867">
        <v>45748</v>
      </c>
      <c r="D867" t="s">
        <v>7263</v>
      </c>
      <c r="E867" t="s">
        <v>9127</v>
      </c>
      <c r="F867">
        <v>45747</v>
      </c>
      <c r="G867" t="s">
        <v>2208</v>
      </c>
      <c r="H867" t="s">
        <v>7834</v>
      </c>
      <c r="I867" t="s">
        <v>11540</v>
      </c>
      <c r="J867">
        <v>1</v>
      </c>
      <c r="K867">
        <v>104.61</v>
      </c>
      <c r="L867" t="s">
        <v>2917</v>
      </c>
      <c r="M867">
        <v>104.61</v>
      </c>
      <c r="N867" t="s">
        <v>2917</v>
      </c>
      <c r="O867" t="s">
        <v>2208</v>
      </c>
      <c r="P867" t="s">
        <v>2208</v>
      </c>
      <c r="Q867" t="s">
        <v>2208</v>
      </c>
      <c r="R867" t="s">
        <v>2208</v>
      </c>
    </row>
    <row r="868" spans="1:18">
      <c r="A868" t="s">
        <v>2418</v>
      </c>
      <c r="B868" t="s">
        <v>9126</v>
      </c>
      <c r="C868">
        <v>45748</v>
      </c>
      <c r="D868" t="s">
        <v>7263</v>
      </c>
      <c r="E868" t="s">
        <v>9127</v>
      </c>
      <c r="F868">
        <v>45747</v>
      </c>
      <c r="G868" t="s">
        <v>2208</v>
      </c>
      <c r="H868" t="s">
        <v>7834</v>
      </c>
      <c r="I868" t="s">
        <v>11541</v>
      </c>
      <c r="J868">
        <v>1</v>
      </c>
      <c r="K868">
        <v>104.61</v>
      </c>
      <c r="L868" t="s">
        <v>2917</v>
      </c>
      <c r="M868">
        <v>104.61</v>
      </c>
      <c r="N868" t="s">
        <v>2917</v>
      </c>
      <c r="O868" t="s">
        <v>2208</v>
      </c>
      <c r="P868" t="s">
        <v>2208</v>
      </c>
      <c r="Q868" t="s">
        <v>2208</v>
      </c>
      <c r="R868" t="s">
        <v>2208</v>
      </c>
    </row>
    <row r="869" spans="1:18">
      <c r="A869" t="s">
        <v>2418</v>
      </c>
      <c r="B869" t="s">
        <v>9126</v>
      </c>
      <c r="C869">
        <v>45748</v>
      </c>
      <c r="D869" t="s">
        <v>7263</v>
      </c>
      <c r="E869" t="s">
        <v>9127</v>
      </c>
      <c r="F869">
        <v>45747</v>
      </c>
      <c r="G869" t="s">
        <v>2208</v>
      </c>
      <c r="H869" t="s">
        <v>7834</v>
      </c>
      <c r="I869" t="s">
        <v>11542</v>
      </c>
      <c r="J869">
        <v>1</v>
      </c>
      <c r="K869">
        <v>104.61</v>
      </c>
      <c r="L869" t="s">
        <v>2917</v>
      </c>
      <c r="M869">
        <v>104.61</v>
      </c>
      <c r="N869" t="s">
        <v>2917</v>
      </c>
      <c r="O869" t="s">
        <v>2208</v>
      </c>
      <c r="P869" t="s">
        <v>2208</v>
      </c>
      <c r="Q869" t="s">
        <v>2208</v>
      </c>
      <c r="R869" t="s">
        <v>2208</v>
      </c>
    </row>
    <row r="870" spans="1:18">
      <c r="A870" t="s">
        <v>2418</v>
      </c>
      <c r="B870" t="s">
        <v>9126</v>
      </c>
      <c r="C870">
        <v>45748</v>
      </c>
      <c r="D870" t="s">
        <v>7263</v>
      </c>
      <c r="E870" t="s">
        <v>9127</v>
      </c>
      <c r="F870">
        <v>45747</v>
      </c>
      <c r="G870" t="s">
        <v>2208</v>
      </c>
      <c r="H870" t="s">
        <v>7834</v>
      </c>
      <c r="I870" t="s">
        <v>11543</v>
      </c>
      <c r="J870">
        <v>1</v>
      </c>
      <c r="K870">
        <v>104.61</v>
      </c>
      <c r="L870" t="s">
        <v>2917</v>
      </c>
      <c r="M870">
        <v>104.61</v>
      </c>
      <c r="N870" t="s">
        <v>2917</v>
      </c>
      <c r="O870" t="s">
        <v>2208</v>
      </c>
      <c r="P870" t="s">
        <v>2208</v>
      </c>
      <c r="Q870" t="s">
        <v>2208</v>
      </c>
      <c r="R870" t="s">
        <v>2208</v>
      </c>
    </row>
    <row r="871" spans="1:18">
      <c r="A871" t="s">
        <v>2418</v>
      </c>
      <c r="B871" t="s">
        <v>9126</v>
      </c>
      <c r="C871">
        <v>45748</v>
      </c>
      <c r="D871" t="s">
        <v>7263</v>
      </c>
      <c r="E871" t="s">
        <v>9127</v>
      </c>
      <c r="F871">
        <v>45747</v>
      </c>
      <c r="G871" t="s">
        <v>2208</v>
      </c>
      <c r="H871" t="s">
        <v>7834</v>
      </c>
      <c r="I871" t="s">
        <v>11544</v>
      </c>
      <c r="J871">
        <v>2</v>
      </c>
      <c r="K871">
        <v>209.22</v>
      </c>
      <c r="L871" t="s">
        <v>2917</v>
      </c>
      <c r="M871">
        <v>209.22</v>
      </c>
      <c r="N871" t="s">
        <v>2917</v>
      </c>
      <c r="O871" t="s">
        <v>2208</v>
      </c>
      <c r="P871" t="s">
        <v>2208</v>
      </c>
      <c r="Q871" t="s">
        <v>2208</v>
      </c>
      <c r="R871" t="s">
        <v>2208</v>
      </c>
    </row>
    <row r="872" spans="1:18">
      <c r="A872" t="s">
        <v>2418</v>
      </c>
      <c r="B872" t="s">
        <v>9126</v>
      </c>
      <c r="C872">
        <v>45748</v>
      </c>
      <c r="D872" t="s">
        <v>7263</v>
      </c>
      <c r="E872" t="s">
        <v>9127</v>
      </c>
      <c r="F872">
        <v>45747</v>
      </c>
      <c r="G872" t="s">
        <v>2208</v>
      </c>
      <c r="H872" t="s">
        <v>7834</v>
      </c>
      <c r="I872" t="s">
        <v>11545</v>
      </c>
      <c r="J872">
        <v>1</v>
      </c>
      <c r="K872">
        <v>104.61</v>
      </c>
      <c r="L872" t="s">
        <v>2917</v>
      </c>
      <c r="M872">
        <v>104.61</v>
      </c>
      <c r="N872" t="s">
        <v>2917</v>
      </c>
      <c r="O872" t="s">
        <v>2208</v>
      </c>
      <c r="P872" t="s">
        <v>2208</v>
      </c>
      <c r="Q872" t="s">
        <v>2208</v>
      </c>
      <c r="R872" t="s">
        <v>2208</v>
      </c>
    </row>
    <row r="873" spans="1:18">
      <c r="A873" t="s">
        <v>2418</v>
      </c>
      <c r="B873" t="s">
        <v>9126</v>
      </c>
      <c r="C873">
        <v>45748</v>
      </c>
      <c r="D873" t="s">
        <v>7263</v>
      </c>
      <c r="E873" t="s">
        <v>9127</v>
      </c>
      <c r="F873">
        <v>45747</v>
      </c>
      <c r="G873" t="s">
        <v>2208</v>
      </c>
      <c r="H873" t="s">
        <v>7834</v>
      </c>
      <c r="I873" t="s">
        <v>11546</v>
      </c>
      <c r="J873">
        <v>1</v>
      </c>
      <c r="K873">
        <v>104.61</v>
      </c>
      <c r="L873" t="s">
        <v>2917</v>
      </c>
      <c r="M873">
        <v>104.61</v>
      </c>
      <c r="N873" t="s">
        <v>2917</v>
      </c>
      <c r="O873" t="s">
        <v>2208</v>
      </c>
      <c r="P873" t="s">
        <v>2208</v>
      </c>
      <c r="Q873" t="s">
        <v>2208</v>
      </c>
      <c r="R873" t="s">
        <v>2208</v>
      </c>
    </row>
    <row r="874" spans="1:18">
      <c r="A874" t="s">
        <v>2418</v>
      </c>
      <c r="B874" t="s">
        <v>9126</v>
      </c>
      <c r="C874">
        <v>45748</v>
      </c>
      <c r="D874" t="s">
        <v>7263</v>
      </c>
      <c r="E874" t="s">
        <v>9127</v>
      </c>
      <c r="F874">
        <v>45747</v>
      </c>
      <c r="G874" t="s">
        <v>2208</v>
      </c>
      <c r="H874" t="s">
        <v>7834</v>
      </c>
      <c r="I874" t="s">
        <v>11547</v>
      </c>
      <c r="J874">
        <v>3</v>
      </c>
      <c r="K874">
        <v>313.83</v>
      </c>
      <c r="L874" t="s">
        <v>2917</v>
      </c>
      <c r="M874">
        <v>313.83</v>
      </c>
      <c r="N874" t="s">
        <v>2917</v>
      </c>
      <c r="O874" t="s">
        <v>2208</v>
      </c>
      <c r="P874" t="s">
        <v>2208</v>
      </c>
      <c r="Q874" t="s">
        <v>2208</v>
      </c>
      <c r="R874" t="s">
        <v>2208</v>
      </c>
    </row>
    <row r="875" spans="1:18">
      <c r="A875" t="s">
        <v>2418</v>
      </c>
      <c r="B875" t="s">
        <v>9126</v>
      </c>
      <c r="C875">
        <v>45748</v>
      </c>
      <c r="D875" t="s">
        <v>7263</v>
      </c>
      <c r="E875" t="s">
        <v>9127</v>
      </c>
      <c r="F875">
        <v>45747</v>
      </c>
      <c r="G875" t="s">
        <v>2208</v>
      </c>
      <c r="H875" t="s">
        <v>7834</v>
      </c>
      <c r="I875" t="s">
        <v>11548</v>
      </c>
      <c r="J875">
        <v>4</v>
      </c>
      <c r="K875">
        <v>418.44</v>
      </c>
      <c r="L875" t="s">
        <v>2917</v>
      </c>
      <c r="M875">
        <v>418.44</v>
      </c>
      <c r="N875" t="s">
        <v>2917</v>
      </c>
      <c r="O875" t="s">
        <v>2208</v>
      </c>
      <c r="P875" t="s">
        <v>2208</v>
      </c>
      <c r="Q875" t="s">
        <v>2208</v>
      </c>
      <c r="R875" t="s">
        <v>2208</v>
      </c>
    </row>
    <row r="876" spans="1:18">
      <c r="A876" t="s">
        <v>2418</v>
      </c>
      <c r="B876" t="s">
        <v>9126</v>
      </c>
      <c r="C876">
        <v>45748</v>
      </c>
      <c r="D876" t="s">
        <v>7263</v>
      </c>
      <c r="E876" t="s">
        <v>9127</v>
      </c>
      <c r="F876">
        <v>45747</v>
      </c>
      <c r="G876" t="s">
        <v>2208</v>
      </c>
      <c r="H876" t="s">
        <v>7834</v>
      </c>
      <c r="I876" t="s">
        <v>11549</v>
      </c>
      <c r="J876">
        <v>2</v>
      </c>
      <c r="K876">
        <v>209.22</v>
      </c>
      <c r="L876" t="s">
        <v>2917</v>
      </c>
      <c r="M876">
        <v>209.22</v>
      </c>
      <c r="N876" t="s">
        <v>2917</v>
      </c>
      <c r="O876" t="s">
        <v>2208</v>
      </c>
      <c r="P876" t="s">
        <v>2208</v>
      </c>
      <c r="Q876" t="s">
        <v>2208</v>
      </c>
      <c r="R876" t="s">
        <v>2208</v>
      </c>
    </row>
    <row r="877" spans="1:18">
      <c r="A877" t="s">
        <v>2418</v>
      </c>
      <c r="B877" t="s">
        <v>9126</v>
      </c>
      <c r="C877">
        <v>45748</v>
      </c>
      <c r="D877" t="s">
        <v>7263</v>
      </c>
      <c r="E877" t="s">
        <v>9127</v>
      </c>
      <c r="F877">
        <v>45747</v>
      </c>
      <c r="G877" t="s">
        <v>2208</v>
      </c>
      <c r="H877" t="s">
        <v>7834</v>
      </c>
      <c r="I877" t="s">
        <v>11550</v>
      </c>
      <c r="J877">
        <v>2</v>
      </c>
      <c r="K877">
        <v>209.22</v>
      </c>
      <c r="L877" t="s">
        <v>2917</v>
      </c>
      <c r="M877">
        <v>209.22</v>
      </c>
      <c r="N877" t="s">
        <v>2917</v>
      </c>
      <c r="O877" t="s">
        <v>2208</v>
      </c>
      <c r="P877" t="s">
        <v>2208</v>
      </c>
      <c r="Q877" t="s">
        <v>2208</v>
      </c>
      <c r="R877" t="s">
        <v>2208</v>
      </c>
    </row>
    <row r="878" spans="1:18">
      <c r="A878" t="s">
        <v>2418</v>
      </c>
      <c r="B878" t="s">
        <v>9126</v>
      </c>
      <c r="C878">
        <v>45748</v>
      </c>
      <c r="D878" t="s">
        <v>7263</v>
      </c>
      <c r="E878" t="s">
        <v>9127</v>
      </c>
      <c r="F878">
        <v>45747</v>
      </c>
      <c r="G878" t="s">
        <v>2208</v>
      </c>
      <c r="H878" t="s">
        <v>7834</v>
      </c>
      <c r="I878" t="s">
        <v>11551</v>
      </c>
      <c r="J878">
        <v>5</v>
      </c>
      <c r="K878">
        <v>523.04999999999995</v>
      </c>
      <c r="L878" t="s">
        <v>2917</v>
      </c>
      <c r="M878">
        <v>523.04999999999995</v>
      </c>
      <c r="N878" t="s">
        <v>2917</v>
      </c>
      <c r="O878" t="s">
        <v>2208</v>
      </c>
      <c r="P878" t="s">
        <v>2208</v>
      </c>
      <c r="Q878" t="s">
        <v>2208</v>
      </c>
      <c r="R878" t="s">
        <v>2208</v>
      </c>
    </row>
    <row r="879" spans="1:18">
      <c r="A879" t="s">
        <v>2418</v>
      </c>
      <c r="B879" t="s">
        <v>9126</v>
      </c>
      <c r="C879">
        <v>45748</v>
      </c>
      <c r="D879" t="s">
        <v>7263</v>
      </c>
      <c r="E879" t="s">
        <v>9127</v>
      </c>
      <c r="F879">
        <v>45747</v>
      </c>
      <c r="G879" t="s">
        <v>2208</v>
      </c>
      <c r="H879" t="s">
        <v>7834</v>
      </c>
      <c r="I879" t="s">
        <v>11552</v>
      </c>
      <c r="J879">
        <v>3</v>
      </c>
      <c r="K879">
        <v>313.83</v>
      </c>
      <c r="L879" t="s">
        <v>2917</v>
      </c>
      <c r="M879">
        <v>313.83</v>
      </c>
      <c r="N879" t="s">
        <v>2917</v>
      </c>
      <c r="O879" t="s">
        <v>2208</v>
      </c>
      <c r="P879" t="s">
        <v>2208</v>
      </c>
      <c r="Q879" t="s">
        <v>2208</v>
      </c>
      <c r="R879" t="s">
        <v>2208</v>
      </c>
    </row>
    <row r="880" spans="1:18">
      <c r="A880" t="s">
        <v>2418</v>
      </c>
      <c r="B880" t="s">
        <v>9126</v>
      </c>
      <c r="C880">
        <v>45748</v>
      </c>
      <c r="D880" t="s">
        <v>7263</v>
      </c>
      <c r="E880" t="s">
        <v>9127</v>
      </c>
      <c r="F880">
        <v>45747</v>
      </c>
      <c r="G880" t="s">
        <v>2208</v>
      </c>
      <c r="H880" t="s">
        <v>7834</v>
      </c>
      <c r="I880" t="s">
        <v>11553</v>
      </c>
      <c r="J880">
        <v>3</v>
      </c>
      <c r="K880">
        <v>313.83</v>
      </c>
      <c r="L880" t="s">
        <v>2917</v>
      </c>
      <c r="M880">
        <v>313.83</v>
      </c>
      <c r="N880" t="s">
        <v>2917</v>
      </c>
      <c r="O880" t="s">
        <v>2208</v>
      </c>
      <c r="P880" t="s">
        <v>2208</v>
      </c>
      <c r="Q880" t="s">
        <v>2208</v>
      </c>
      <c r="R880" t="s">
        <v>2208</v>
      </c>
    </row>
    <row r="881" spans="1:18">
      <c r="A881" t="s">
        <v>2418</v>
      </c>
      <c r="B881" t="s">
        <v>9126</v>
      </c>
      <c r="C881">
        <v>45748</v>
      </c>
      <c r="D881" t="s">
        <v>7263</v>
      </c>
      <c r="E881" t="s">
        <v>9127</v>
      </c>
      <c r="F881">
        <v>45747</v>
      </c>
      <c r="G881" t="s">
        <v>2208</v>
      </c>
      <c r="H881" t="s">
        <v>7834</v>
      </c>
      <c r="I881" t="s">
        <v>11554</v>
      </c>
      <c r="J881">
        <v>3</v>
      </c>
      <c r="K881">
        <v>313.83</v>
      </c>
      <c r="L881" t="s">
        <v>2917</v>
      </c>
      <c r="M881">
        <v>313.83</v>
      </c>
      <c r="N881" t="s">
        <v>2917</v>
      </c>
      <c r="O881" t="s">
        <v>2208</v>
      </c>
      <c r="P881" t="s">
        <v>2208</v>
      </c>
      <c r="Q881" t="s">
        <v>2208</v>
      </c>
      <c r="R881" t="s">
        <v>2208</v>
      </c>
    </row>
    <row r="882" spans="1:18">
      <c r="A882" t="s">
        <v>2418</v>
      </c>
      <c r="B882" t="s">
        <v>9126</v>
      </c>
      <c r="C882">
        <v>45748</v>
      </c>
      <c r="D882" t="s">
        <v>7263</v>
      </c>
      <c r="E882" t="s">
        <v>9127</v>
      </c>
      <c r="F882">
        <v>45747</v>
      </c>
      <c r="G882" t="s">
        <v>2208</v>
      </c>
      <c r="H882" t="s">
        <v>7834</v>
      </c>
      <c r="I882" t="s">
        <v>11555</v>
      </c>
      <c r="J882">
        <v>2</v>
      </c>
      <c r="K882">
        <v>209.22</v>
      </c>
      <c r="L882" t="s">
        <v>2917</v>
      </c>
      <c r="M882">
        <v>209.22</v>
      </c>
      <c r="N882" t="s">
        <v>2917</v>
      </c>
      <c r="O882" t="s">
        <v>2208</v>
      </c>
      <c r="P882" t="s">
        <v>2208</v>
      </c>
      <c r="Q882" t="s">
        <v>2208</v>
      </c>
      <c r="R882" t="s">
        <v>2208</v>
      </c>
    </row>
    <row r="883" spans="1:18">
      <c r="A883" t="s">
        <v>2418</v>
      </c>
      <c r="B883" t="s">
        <v>9126</v>
      </c>
      <c r="C883">
        <v>45748</v>
      </c>
      <c r="D883" t="s">
        <v>7263</v>
      </c>
      <c r="E883" t="s">
        <v>9127</v>
      </c>
      <c r="F883">
        <v>45747</v>
      </c>
      <c r="G883" t="s">
        <v>2208</v>
      </c>
      <c r="H883" t="s">
        <v>7834</v>
      </c>
      <c r="I883" t="s">
        <v>11556</v>
      </c>
      <c r="J883">
        <v>8</v>
      </c>
      <c r="K883">
        <v>836.88</v>
      </c>
      <c r="L883" t="s">
        <v>2917</v>
      </c>
      <c r="M883">
        <v>836.88</v>
      </c>
      <c r="N883" t="s">
        <v>2917</v>
      </c>
      <c r="O883" t="s">
        <v>2208</v>
      </c>
      <c r="P883" t="s">
        <v>2208</v>
      </c>
      <c r="Q883" t="s">
        <v>2208</v>
      </c>
      <c r="R883" t="s">
        <v>2208</v>
      </c>
    </row>
    <row r="884" spans="1:18">
      <c r="A884" t="s">
        <v>2418</v>
      </c>
      <c r="B884" t="s">
        <v>9126</v>
      </c>
      <c r="C884">
        <v>45748</v>
      </c>
      <c r="D884" t="s">
        <v>7263</v>
      </c>
      <c r="E884" t="s">
        <v>9127</v>
      </c>
      <c r="F884">
        <v>45747</v>
      </c>
      <c r="G884" t="s">
        <v>2208</v>
      </c>
      <c r="H884" t="s">
        <v>7834</v>
      </c>
      <c r="I884" t="s">
        <v>11557</v>
      </c>
      <c r="J884">
        <v>8</v>
      </c>
      <c r="K884">
        <v>836.88</v>
      </c>
      <c r="L884" t="s">
        <v>2917</v>
      </c>
      <c r="M884">
        <v>836.88</v>
      </c>
      <c r="N884" t="s">
        <v>2917</v>
      </c>
      <c r="O884" t="s">
        <v>2208</v>
      </c>
      <c r="P884" t="s">
        <v>2208</v>
      </c>
      <c r="Q884" t="s">
        <v>2208</v>
      </c>
      <c r="R884" t="s">
        <v>2208</v>
      </c>
    </row>
    <row r="885" spans="1:18">
      <c r="A885" t="s">
        <v>2418</v>
      </c>
      <c r="B885" t="s">
        <v>9126</v>
      </c>
      <c r="C885">
        <v>45748</v>
      </c>
      <c r="D885" t="s">
        <v>7263</v>
      </c>
      <c r="E885" t="s">
        <v>9127</v>
      </c>
      <c r="F885">
        <v>45747</v>
      </c>
      <c r="G885" t="s">
        <v>2208</v>
      </c>
      <c r="H885" t="s">
        <v>7834</v>
      </c>
      <c r="I885" t="s">
        <v>11558</v>
      </c>
      <c r="J885">
        <v>8</v>
      </c>
      <c r="K885">
        <v>836.88</v>
      </c>
      <c r="L885" t="s">
        <v>2917</v>
      </c>
      <c r="M885">
        <v>836.88</v>
      </c>
      <c r="N885" t="s">
        <v>2917</v>
      </c>
      <c r="O885" t="s">
        <v>2208</v>
      </c>
      <c r="P885" t="s">
        <v>2208</v>
      </c>
      <c r="Q885" t="s">
        <v>2208</v>
      </c>
      <c r="R885" t="s">
        <v>2208</v>
      </c>
    </row>
    <row r="886" spans="1:18">
      <c r="A886" t="s">
        <v>2418</v>
      </c>
      <c r="B886" t="s">
        <v>9126</v>
      </c>
      <c r="C886">
        <v>45748</v>
      </c>
      <c r="D886" t="s">
        <v>7263</v>
      </c>
      <c r="E886" t="s">
        <v>9127</v>
      </c>
      <c r="F886">
        <v>45747</v>
      </c>
      <c r="G886" t="s">
        <v>2208</v>
      </c>
      <c r="H886" t="s">
        <v>7834</v>
      </c>
      <c r="I886" t="s">
        <v>11559</v>
      </c>
      <c r="J886">
        <v>8</v>
      </c>
      <c r="K886">
        <v>836.88</v>
      </c>
      <c r="L886" t="s">
        <v>2917</v>
      </c>
      <c r="M886">
        <v>836.88</v>
      </c>
      <c r="N886" t="s">
        <v>2917</v>
      </c>
      <c r="O886" t="s">
        <v>2208</v>
      </c>
      <c r="P886" t="s">
        <v>2208</v>
      </c>
      <c r="Q886" t="s">
        <v>2208</v>
      </c>
      <c r="R886" t="s">
        <v>2208</v>
      </c>
    </row>
    <row r="887" spans="1:18">
      <c r="A887" t="s">
        <v>2418</v>
      </c>
      <c r="B887" t="s">
        <v>9126</v>
      </c>
      <c r="C887">
        <v>45748</v>
      </c>
      <c r="D887" t="s">
        <v>7263</v>
      </c>
      <c r="E887" t="s">
        <v>9127</v>
      </c>
      <c r="F887">
        <v>45747</v>
      </c>
      <c r="G887" t="s">
        <v>2208</v>
      </c>
      <c r="H887" t="s">
        <v>7834</v>
      </c>
      <c r="I887" t="s">
        <v>11560</v>
      </c>
      <c r="J887">
        <v>1</v>
      </c>
      <c r="K887">
        <v>104.61</v>
      </c>
      <c r="L887" t="s">
        <v>2917</v>
      </c>
      <c r="M887">
        <v>104.61</v>
      </c>
      <c r="N887" t="s">
        <v>2917</v>
      </c>
      <c r="O887" t="s">
        <v>2208</v>
      </c>
      <c r="P887" t="s">
        <v>2208</v>
      </c>
      <c r="Q887" t="s">
        <v>2208</v>
      </c>
      <c r="R887" t="s">
        <v>2208</v>
      </c>
    </row>
    <row r="888" spans="1:18">
      <c r="A888" t="s">
        <v>2418</v>
      </c>
      <c r="B888" t="s">
        <v>9126</v>
      </c>
      <c r="C888">
        <v>45748</v>
      </c>
      <c r="D888" t="s">
        <v>7263</v>
      </c>
      <c r="E888" t="s">
        <v>9127</v>
      </c>
      <c r="F888">
        <v>45747</v>
      </c>
      <c r="G888" t="s">
        <v>2208</v>
      </c>
      <c r="H888" t="s">
        <v>7834</v>
      </c>
      <c r="I888" t="s">
        <v>11561</v>
      </c>
      <c r="J888">
        <v>1</v>
      </c>
      <c r="K888">
        <v>104.61</v>
      </c>
      <c r="L888" t="s">
        <v>2917</v>
      </c>
      <c r="M888">
        <v>104.61</v>
      </c>
      <c r="N888" t="s">
        <v>2917</v>
      </c>
      <c r="O888" t="s">
        <v>2208</v>
      </c>
      <c r="P888" t="s">
        <v>2208</v>
      </c>
      <c r="Q888" t="s">
        <v>2208</v>
      </c>
      <c r="R888" t="s">
        <v>2208</v>
      </c>
    </row>
    <row r="889" spans="1:18">
      <c r="A889" t="s">
        <v>2418</v>
      </c>
      <c r="B889" t="s">
        <v>9126</v>
      </c>
      <c r="C889">
        <v>45748</v>
      </c>
      <c r="D889" t="s">
        <v>7263</v>
      </c>
      <c r="E889" t="s">
        <v>9127</v>
      </c>
      <c r="F889">
        <v>45747</v>
      </c>
      <c r="G889" t="s">
        <v>2208</v>
      </c>
      <c r="H889" t="s">
        <v>7834</v>
      </c>
      <c r="I889" t="s">
        <v>11562</v>
      </c>
      <c r="J889">
        <v>1</v>
      </c>
      <c r="K889">
        <v>104.61</v>
      </c>
      <c r="L889" t="s">
        <v>2917</v>
      </c>
      <c r="M889">
        <v>104.61</v>
      </c>
      <c r="N889" t="s">
        <v>2917</v>
      </c>
      <c r="O889" t="s">
        <v>2208</v>
      </c>
      <c r="P889" t="s">
        <v>2208</v>
      </c>
      <c r="Q889" t="s">
        <v>2208</v>
      </c>
      <c r="R889" t="s">
        <v>2208</v>
      </c>
    </row>
    <row r="890" spans="1:18">
      <c r="A890" t="s">
        <v>2418</v>
      </c>
      <c r="B890" t="s">
        <v>9126</v>
      </c>
      <c r="C890">
        <v>45748</v>
      </c>
      <c r="D890" t="s">
        <v>7263</v>
      </c>
      <c r="E890" t="s">
        <v>9127</v>
      </c>
      <c r="F890">
        <v>45747</v>
      </c>
      <c r="G890" t="s">
        <v>2208</v>
      </c>
      <c r="H890" t="s">
        <v>7834</v>
      </c>
      <c r="I890" t="s">
        <v>11563</v>
      </c>
      <c r="J890">
        <v>1</v>
      </c>
      <c r="K890">
        <v>104.61</v>
      </c>
      <c r="L890" t="s">
        <v>2917</v>
      </c>
      <c r="M890">
        <v>104.61</v>
      </c>
      <c r="N890" t="s">
        <v>2917</v>
      </c>
      <c r="O890" t="s">
        <v>2208</v>
      </c>
      <c r="P890" t="s">
        <v>2208</v>
      </c>
      <c r="Q890" t="s">
        <v>2208</v>
      </c>
      <c r="R890" t="s">
        <v>2208</v>
      </c>
    </row>
    <row r="891" spans="1:18">
      <c r="A891" t="s">
        <v>2418</v>
      </c>
      <c r="B891" t="s">
        <v>9126</v>
      </c>
      <c r="C891">
        <v>45748</v>
      </c>
      <c r="D891" t="s">
        <v>7263</v>
      </c>
      <c r="E891" t="s">
        <v>9127</v>
      </c>
      <c r="F891">
        <v>45747</v>
      </c>
      <c r="G891" t="s">
        <v>2208</v>
      </c>
      <c r="H891" t="s">
        <v>7834</v>
      </c>
      <c r="I891" t="s">
        <v>11564</v>
      </c>
      <c r="J891">
        <v>0.5</v>
      </c>
      <c r="K891">
        <v>52.31</v>
      </c>
      <c r="L891" t="s">
        <v>2917</v>
      </c>
      <c r="M891">
        <v>52.31</v>
      </c>
      <c r="N891" t="s">
        <v>2917</v>
      </c>
      <c r="O891" t="s">
        <v>2208</v>
      </c>
      <c r="P891" t="s">
        <v>2208</v>
      </c>
      <c r="Q891" t="s">
        <v>2208</v>
      </c>
      <c r="R891" t="s">
        <v>2208</v>
      </c>
    </row>
    <row r="892" spans="1:18">
      <c r="A892" t="s">
        <v>2418</v>
      </c>
      <c r="B892" t="s">
        <v>9126</v>
      </c>
      <c r="C892">
        <v>45748</v>
      </c>
      <c r="D892" t="s">
        <v>7263</v>
      </c>
      <c r="E892" t="s">
        <v>9127</v>
      </c>
      <c r="F892">
        <v>45747</v>
      </c>
      <c r="G892" t="s">
        <v>2208</v>
      </c>
      <c r="H892" t="s">
        <v>7834</v>
      </c>
      <c r="I892" t="s">
        <v>11565</v>
      </c>
      <c r="J892">
        <v>0.5</v>
      </c>
      <c r="K892">
        <v>52.31</v>
      </c>
      <c r="L892" t="s">
        <v>2917</v>
      </c>
      <c r="M892">
        <v>52.31</v>
      </c>
      <c r="N892" t="s">
        <v>2917</v>
      </c>
      <c r="O892" t="s">
        <v>2208</v>
      </c>
      <c r="P892" t="s">
        <v>2208</v>
      </c>
      <c r="Q892" t="s">
        <v>2208</v>
      </c>
      <c r="R892" t="s">
        <v>2208</v>
      </c>
    </row>
    <row r="893" spans="1:18">
      <c r="A893" t="s">
        <v>2418</v>
      </c>
      <c r="B893" t="s">
        <v>9126</v>
      </c>
      <c r="C893">
        <v>45748</v>
      </c>
      <c r="D893" t="s">
        <v>7263</v>
      </c>
      <c r="E893" t="s">
        <v>9127</v>
      </c>
      <c r="F893">
        <v>45747</v>
      </c>
      <c r="G893" t="s">
        <v>2208</v>
      </c>
      <c r="H893" t="s">
        <v>7834</v>
      </c>
      <c r="I893" t="s">
        <v>11566</v>
      </c>
      <c r="J893">
        <v>0.4</v>
      </c>
      <c r="K893">
        <v>41.84</v>
      </c>
      <c r="L893" t="s">
        <v>2917</v>
      </c>
      <c r="M893">
        <v>41.84</v>
      </c>
      <c r="N893" t="s">
        <v>2917</v>
      </c>
      <c r="O893" t="s">
        <v>2208</v>
      </c>
      <c r="P893" t="s">
        <v>2208</v>
      </c>
      <c r="Q893" t="s">
        <v>2208</v>
      </c>
      <c r="R893" t="s">
        <v>2208</v>
      </c>
    </row>
    <row r="894" spans="1:18">
      <c r="A894" t="s">
        <v>2418</v>
      </c>
      <c r="B894" t="s">
        <v>9126</v>
      </c>
      <c r="C894">
        <v>45748</v>
      </c>
      <c r="D894" t="s">
        <v>7263</v>
      </c>
      <c r="E894" t="s">
        <v>9127</v>
      </c>
      <c r="F894">
        <v>45747</v>
      </c>
      <c r="G894" t="s">
        <v>2208</v>
      </c>
      <c r="H894" t="s">
        <v>7834</v>
      </c>
      <c r="I894" t="s">
        <v>11567</v>
      </c>
      <c r="J894">
        <v>1</v>
      </c>
      <c r="K894">
        <v>104.61</v>
      </c>
      <c r="L894" t="s">
        <v>2917</v>
      </c>
      <c r="M894">
        <v>104.61</v>
      </c>
      <c r="N894" t="s">
        <v>2917</v>
      </c>
      <c r="O894" t="s">
        <v>2208</v>
      </c>
      <c r="P894" t="s">
        <v>2208</v>
      </c>
      <c r="Q894" t="s">
        <v>2208</v>
      </c>
      <c r="R894" t="s">
        <v>2208</v>
      </c>
    </row>
    <row r="895" spans="1:18">
      <c r="A895" t="s">
        <v>2418</v>
      </c>
      <c r="B895" t="s">
        <v>9126</v>
      </c>
      <c r="C895">
        <v>45748</v>
      </c>
      <c r="D895" t="s">
        <v>7263</v>
      </c>
      <c r="E895" t="s">
        <v>9127</v>
      </c>
      <c r="F895">
        <v>45747</v>
      </c>
      <c r="G895" t="s">
        <v>2208</v>
      </c>
      <c r="H895" t="s">
        <v>7834</v>
      </c>
      <c r="I895" t="s">
        <v>11568</v>
      </c>
      <c r="J895">
        <v>1</v>
      </c>
      <c r="K895">
        <v>104.61</v>
      </c>
      <c r="L895" t="s">
        <v>2917</v>
      </c>
      <c r="M895">
        <v>104.61</v>
      </c>
      <c r="N895" t="s">
        <v>2917</v>
      </c>
      <c r="O895" t="s">
        <v>2208</v>
      </c>
      <c r="P895" t="s">
        <v>2208</v>
      </c>
      <c r="Q895" t="s">
        <v>2208</v>
      </c>
      <c r="R895" t="s">
        <v>2208</v>
      </c>
    </row>
    <row r="896" spans="1:18">
      <c r="A896" t="s">
        <v>2418</v>
      </c>
      <c r="B896" t="s">
        <v>9126</v>
      </c>
      <c r="C896">
        <v>45748</v>
      </c>
      <c r="D896" t="s">
        <v>7263</v>
      </c>
      <c r="E896" t="s">
        <v>9127</v>
      </c>
      <c r="F896">
        <v>45747</v>
      </c>
      <c r="G896" t="s">
        <v>2208</v>
      </c>
      <c r="H896" t="s">
        <v>7834</v>
      </c>
      <c r="I896" t="s">
        <v>11569</v>
      </c>
      <c r="J896">
        <v>1</v>
      </c>
      <c r="K896">
        <v>104.61</v>
      </c>
      <c r="L896" t="s">
        <v>2917</v>
      </c>
      <c r="M896">
        <v>104.61</v>
      </c>
      <c r="N896" t="s">
        <v>2917</v>
      </c>
      <c r="O896" t="s">
        <v>2208</v>
      </c>
      <c r="P896" t="s">
        <v>2208</v>
      </c>
      <c r="Q896" t="s">
        <v>2208</v>
      </c>
      <c r="R896" t="s">
        <v>2208</v>
      </c>
    </row>
    <row r="897" spans="1:18">
      <c r="A897" t="s">
        <v>2418</v>
      </c>
      <c r="B897" t="s">
        <v>9126</v>
      </c>
      <c r="C897">
        <v>45748</v>
      </c>
      <c r="D897" t="s">
        <v>7263</v>
      </c>
      <c r="E897" t="s">
        <v>9127</v>
      </c>
      <c r="F897">
        <v>45747</v>
      </c>
      <c r="G897" t="s">
        <v>2208</v>
      </c>
      <c r="H897" t="s">
        <v>7834</v>
      </c>
      <c r="I897" t="s">
        <v>11570</v>
      </c>
      <c r="J897">
        <v>2</v>
      </c>
      <c r="K897">
        <v>209.22</v>
      </c>
      <c r="L897" t="s">
        <v>2917</v>
      </c>
      <c r="M897">
        <v>209.22</v>
      </c>
      <c r="N897" t="s">
        <v>2917</v>
      </c>
      <c r="O897" t="s">
        <v>2208</v>
      </c>
      <c r="P897" t="s">
        <v>2208</v>
      </c>
      <c r="Q897" t="s">
        <v>2208</v>
      </c>
      <c r="R897" t="s">
        <v>2208</v>
      </c>
    </row>
    <row r="898" spans="1:18">
      <c r="A898" t="s">
        <v>2418</v>
      </c>
      <c r="B898" t="s">
        <v>9126</v>
      </c>
      <c r="C898">
        <v>45748</v>
      </c>
      <c r="D898" t="s">
        <v>7263</v>
      </c>
      <c r="E898" t="s">
        <v>9127</v>
      </c>
      <c r="F898">
        <v>45747</v>
      </c>
      <c r="G898" t="s">
        <v>2208</v>
      </c>
      <c r="H898" t="s">
        <v>7834</v>
      </c>
      <c r="I898" t="s">
        <v>11571</v>
      </c>
      <c r="J898">
        <v>2</v>
      </c>
      <c r="K898">
        <v>209.22</v>
      </c>
      <c r="L898" t="s">
        <v>2917</v>
      </c>
      <c r="M898">
        <v>209.22</v>
      </c>
      <c r="N898" t="s">
        <v>2917</v>
      </c>
      <c r="O898" t="s">
        <v>2208</v>
      </c>
      <c r="P898" t="s">
        <v>2208</v>
      </c>
      <c r="Q898" t="s">
        <v>2208</v>
      </c>
      <c r="R898" t="s">
        <v>2208</v>
      </c>
    </row>
    <row r="899" spans="1:18">
      <c r="A899" t="s">
        <v>2418</v>
      </c>
      <c r="B899" t="s">
        <v>9126</v>
      </c>
      <c r="C899">
        <v>45748</v>
      </c>
      <c r="D899" t="s">
        <v>7263</v>
      </c>
      <c r="E899" t="s">
        <v>9127</v>
      </c>
      <c r="F899">
        <v>45747</v>
      </c>
      <c r="G899" t="s">
        <v>2208</v>
      </c>
      <c r="H899" t="s">
        <v>7834</v>
      </c>
      <c r="I899" t="s">
        <v>11572</v>
      </c>
      <c r="J899">
        <v>1</v>
      </c>
      <c r="K899">
        <v>104.61</v>
      </c>
      <c r="L899" t="s">
        <v>2917</v>
      </c>
      <c r="M899">
        <v>104.61</v>
      </c>
      <c r="N899" t="s">
        <v>2917</v>
      </c>
      <c r="O899" t="s">
        <v>2208</v>
      </c>
      <c r="P899" t="s">
        <v>2208</v>
      </c>
      <c r="Q899" t="s">
        <v>2208</v>
      </c>
      <c r="R899" t="s">
        <v>2208</v>
      </c>
    </row>
    <row r="900" spans="1:18">
      <c r="A900" t="s">
        <v>2418</v>
      </c>
      <c r="B900" t="s">
        <v>9126</v>
      </c>
      <c r="C900">
        <v>45748</v>
      </c>
      <c r="D900" t="s">
        <v>7263</v>
      </c>
      <c r="E900" t="s">
        <v>9127</v>
      </c>
      <c r="F900">
        <v>45747</v>
      </c>
      <c r="G900" t="s">
        <v>2208</v>
      </c>
      <c r="H900" t="s">
        <v>7834</v>
      </c>
      <c r="I900" t="s">
        <v>11573</v>
      </c>
      <c r="J900">
        <v>1</v>
      </c>
      <c r="K900">
        <v>104.61</v>
      </c>
      <c r="L900" t="s">
        <v>2917</v>
      </c>
      <c r="M900">
        <v>104.61</v>
      </c>
      <c r="N900" t="s">
        <v>2917</v>
      </c>
      <c r="O900" t="s">
        <v>2208</v>
      </c>
      <c r="P900" t="s">
        <v>2208</v>
      </c>
      <c r="Q900" t="s">
        <v>2208</v>
      </c>
      <c r="R900" t="s">
        <v>2208</v>
      </c>
    </row>
    <row r="901" spans="1:18">
      <c r="A901" t="s">
        <v>2418</v>
      </c>
      <c r="B901" t="s">
        <v>9126</v>
      </c>
      <c r="C901">
        <v>45748</v>
      </c>
      <c r="D901" t="s">
        <v>7263</v>
      </c>
      <c r="E901" t="s">
        <v>9127</v>
      </c>
      <c r="F901">
        <v>45747</v>
      </c>
      <c r="G901" t="s">
        <v>2208</v>
      </c>
      <c r="H901" t="s">
        <v>7834</v>
      </c>
      <c r="I901" t="s">
        <v>11574</v>
      </c>
      <c r="J901">
        <v>2</v>
      </c>
      <c r="K901">
        <v>209.22</v>
      </c>
      <c r="L901" t="s">
        <v>2917</v>
      </c>
      <c r="M901">
        <v>209.22</v>
      </c>
      <c r="N901" t="s">
        <v>2917</v>
      </c>
      <c r="O901" t="s">
        <v>2208</v>
      </c>
      <c r="P901" t="s">
        <v>2208</v>
      </c>
      <c r="Q901" t="s">
        <v>2208</v>
      </c>
      <c r="R901" t="s">
        <v>2208</v>
      </c>
    </row>
    <row r="902" spans="1:18">
      <c r="A902" t="s">
        <v>2418</v>
      </c>
      <c r="B902" t="s">
        <v>9126</v>
      </c>
      <c r="C902">
        <v>45748</v>
      </c>
      <c r="D902" t="s">
        <v>7263</v>
      </c>
      <c r="E902" t="s">
        <v>9127</v>
      </c>
      <c r="F902">
        <v>45747</v>
      </c>
      <c r="G902" t="s">
        <v>2208</v>
      </c>
      <c r="H902" t="s">
        <v>7834</v>
      </c>
      <c r="I902" t="s">
        <v>11575</v>
      </c>
      <c r="J902">
        <v>1</v>
      </c>
      <c r="K902">
        <v>104.61</v>
      </c>
      <c r="L902" t="s">
        <v>2917</v>
      </c>
      <c r="M902">
        <v>104.61</v>
      </c>
      <c r="N902" t="s">
        <v>2917</v>
      </c>
      <c r="O902" t="s">
        <v>2208</v>
      </c>
      <c r="P902" t="s">
        <v>2208</v>
      </c>
      <c r="Q902" t="s">
        <v>2208</v>
      </c>
      <c r="R902" t="s">
        <v>2208</v>
      </c>
    </row>
    <row r="903" spans="1:18">
      <c r="A903" t="s">
        <v>2418</v>
      </c>
      <c r="B903" t="s">
        <v>9126</v>
      </c>
      <c r="C903">
        <v>45748</v>
      </c>
      <c r="D903" t="s">
        <v>7263</v>
      </c>
      <c r="E903" t="s">
        <v>9127</v>
      </c>
      <c r="F903">
        <v>45747</v>
      </c>
      <c r="G903" t="s">
        <v>2208</v>
      </c>
      <c r="H903" t="s">
        <v>7834</v>
      </c>
      <c r="I903" t="s">
        <v>11576</v>
      </c>
      <c r="J903">
        <v>1</v>
      </c>
      <c r="K903">
        <v>104.61</v>
      </c>
      <c r="L903" t="s">
        <v>2917</v>
      </c>
      <c r="M903">
        <v>104.61</v>
      </c>
      <c r="N903" t="s">
        <v>2917</v>
      </c>
      <c r="O903" t="s">
        <v>2208</v>
      </c>
      <c r="P903" t="s">
        <v>2208</v>
      </c>
      <c r="Q903" t="s">
        <v>2208</v>
      </c>
      <c r="R903" t="s">
        <v>2208</v>
      </c>
    </row>
    <row r="904" spans="1:18">
      <c r="A904" t="s">
        <v>2418</v>
      </c>
      <c r="B904" t="s">
        <v>9126</v>
      </c>
      <c r="C904">
        <v>45748</v>
      </c>
      <c r="D904" t="s">
        <v>7263</v>
      </c>
      <c r="E904" t="s">
        <v>9127</v>
      </c>
      <c r="F904">
        <v>45747</v>
      </c>
      <c r="G904" t="s">
        <v>2208</v>
      </c>
      <c r="H904" t="s">
        <v>7834</v>
      </c>
      <c r="I904" t="s">
        <v>11577</v>
      </c>
      <c r="J904">
        <v>1</v>
      </c>
      <c r="K904">
        <v>104.61</v>
      </c>
      <c r="L904" t="s">
        <v>2917</v>
      </c>
      <c r="M904">
        <v>104.61</v>
      </c>
      <c r="N904" t="s">
        <v>2917</v>
      </c>
      <c r="O904" t="s">
        <v>2208</v>
      </c>
      <c r="P904" t="s">
        <v>2208</v>
      </c>
      <c r="Q904" t="s">
        <v>2208</v>
      </c>
      <c r="R904" t="s">
        <v>2208</v>
      </c>
    </row>
    <row r="905" spans="1:18">
      <c r="A905" t="s">
        <v>2418</v>
      </c>
      <c r="B905" t="s">
        <v>9126</v>
      </c>
      <c r="C905">
        <v>45748</v>
      </c>
      <c r="D905" t="s">
        <v>7263</v>
      </c>
      <c r="E905" t="s">
        <v>9127</v>
      </c>
      <c r="F905">
        <v>45747</v>
      </c>
      <c r="G905" t="s">
        <v>2208</v>
      </c>
      <c r="H905" t="s">
        <v>7834</v>
      </c>
      <c r="I905" t="s">
        <v>11578</v>
      </c>
      <c r="J905">
        <v>3</v>
      </c>
      <c r="K905">
        <v>313.83</v>
      </c>
      <c r="L905" t="s">
        <v>2917</v>
      </c>
      <c r="M905">
        <v>313.83</v>
      </c>
      <c r="N905" t="s">
        <v>2917</v>
      </c>
      <c r="O905" t="s">
        <v>2208</v>
      </c>
      <c r="P905" t="s">
        <v>2208</v>
      </c>
      <c r="Q905" t="s">
        <v>2208</v>
      </c>
      <c r="R905" t="s">
        <v>2208</v>
      </c>
    </row>
    <row r="906" spans="1:18">
      <c r="A906" t="s">
        <v>2418</v>
      </c>
      <c r="B906" t="s">
        <v>9126</v>
      </c>
      <c r="C906">
        <v>45748</v>
      </c>
      <c r="D906" t="s">
        <v>7263</v>
      </c>
      <c r="E906" t="s">
        <v>9127</v>
      </c>
      <c r="F906">
        <v>45747</v>
      </c>
      <c r="G906" t="s">
        <v>2208</v>
      </c>
      <c r="H906" t="s">
        <v>7834</v>
      </c>
      <c r="I906" t="s">
        <v>11579</v>
      </c>
      <c r="J906">
        <v>2</v>
      </c>
      <c r="K906">
        <v>209.22</v>
      </c>
      <c r="L906" t="s">
        <v>2917</v>
      </c>
      <c r="M906">
        <v>209.22</v>
      </c>
      <c r="N906" t="s">
        <v>2917</v>
      </c>
      <c r="O906" t="s">
        <v>2208</v>
      </c>
      <c r="P906" t="s">
        <v>2208</v>
      </c>
      <c r="Q906" t="s">
        <v>2208</v>
      </c>
      <c r="R906" t="s">
        <v>2208</v>
      </c>
    </row>
    <row r="907" spans="1:18">
      <c r="A907" t="s">
        <v>2418</v>
      </c>
      <c r="B907" t="s">
        <v>9126</v>
      </c>
      <c r="C907">
        <v>45748</v>
      </c>
      <c r="D907" t="s">
        <v>7263</v>
      </c>
      <c r="E907" t="s">
        <v>9127</v>
      </c>
      <c r="F907">
        <v>45747</v>
      </c>
      <c r="G907" t="s">
        <v>2208</v>
      </c>
      <c r="H907" t="s">
        <v>7834</v>
      </c>
      <c r="I907" t="s">
        <v>11580</v>
      </c>
      <c r="J907">
        <v>1</v>
      </c>
      <c r="K907">
        <v>104.61</v>
      </c>
      <c r="L907" t="s">
        <v>2917</v>
      </c>
      <c r="M907">
        <v>104.61</v>
      </c>
      <c r="N907" t="s">
        <v>2917</v>
      </c>
      <c r="O907" t="s">
        <v>2208</v>
      </c>
      <c r="P907" t="s">
        <v>2208</v>
      </c>
      <c r="Q907" t="s">
        <v>2208</v>
      </c>
      <c r="R907" t="s">
        <v>2208</v>
      </c>
    </row>
    <row r="908" spans="1:18">
      <c r="A908" t="s">
        <v>2418</v>
      </c>
      <c r="B908" t="s">
        <v>9126</v>
      </c>
      <c r="C908">
        <v>45748</v>
      </c>
      <c r="D908" t="s">
        <v>7263</v>
      </c>
      <c r="E908" t="s">
        <v>9127</v>
      </c>
      <c r="F908">
        <v>45747</v>
      </c>
      <c r="G908" t="s">
        <v>2208</v>
      </c>
      <c r="H908" t="s">
        <v>7834</v>
      </c>
      <c r="I908" t="s">
        <v>11581</v>
      </c>
      <c r="J908">
        <v>2</v>
      </c>
      <c r="K908">
        <v>209.22</v>
      </c>
      <c r="L908" t="s">
        <v>2917</v>
      </c>
      <c r="M908">
        <v>209.22</v>
      </c>
      <c r="N908" t="s">
        <v>2917</v>
      </c>
      <c r="O908" t="s">
        <v>2208</v>
      </c>
      <c r="P908" t="s">
        <v>2208</v>
      </c>
      <c r="Q908" t="s">
        <v>2208</v>
      </c>
      <c r="R908" t="s">
        <v>2208</v>
      </c>
    </row>
    <row r="909" spans="1:18">
      <c r="A909" t="s">
        <v>2418</v>
      </c>
      <c r="B909" t="s">
        <v>9126</v>
      </c>
      <c r="C909">
        <v>45748</v>
      </c>
      <c r="D909" t="s">
        <v>7263</v>
      </c>
      <c r="E909" t="s">
        <v>9127</v>
      </c>
      <c r="F909">
        <v>45747</v>
      </c>
      <c r="G909" t="s">
        <v>2208</v>
      </c>
      <c r="H909" t="s">
        <v>7834</v>
      </c>
      <c r="I909" t="s">
        <v>11582</v>
      </c>
      <c r="J909">
        <v>1</v>
      </c>
      <c r="K909">
        <v>104.61</v>
      </c>
      <c r="L909" t="s">
        <v>2917</v>
      </c>
      <c r="M909">
        <v>104.61</v>
      </c>
      <c r="N909" t="s">
        <v>2917</v>
      </c>
      <c r="O909" t="s">
        <v>2208</v>
      </c>
      <c r="P909" t="s">
        <v>2208</v>
      </c>
      <c r="Q909" t="s">
        <v>2208</v>
      </c>
      <c r="R909" t="s">
        <v>2208</v>
      </c>
    </row>
    <row r="910" spans="1:18">
      <c r="A910" t="s">
        <v>2418</v>
      </c>
      <c r="B910" t="s">
        <v>9126</v>
      </c>
      <c r="C910">
        <v>45748</v>
      </c>
      <c r="D910" t="s">
        <v>7263</v>
      </c>
      <c r="E910" t="s">
        <v>9127</v>
      </c>
      <c r="F910">
        <v>45747</v>
      </c>
      <c r="G910" t="s">
        <v>2208</v>
      </c>
      <c r="H910" t="s">
        <v>7834</v>
      </c>
      <c r="I910" t="s">
        <v>11583</v>
      </c>
      <c r="J910">
        <v>2</v>
      </c>
      <c r="K910">
        <v>209.22</v>
      </c>
      <c r="L910" t="s">
        <v>2917</v>
      </c>
      <c r="M910">
        <v>209.22</v>
      </c>
      <c r="N910" t="s">
        <v>2917</v>
      </c>
      <c r="O910" t="s">
        <v>2208</v>
      </c>
      <c r="P910" t="s">
        <v>2208</v>
      </c>
      <c r="Q910" t="s">
        <v>2208</v>
      </c>
      <c r="R910" t="s">
        <v>2208</v>
      </c>
    </row>
    <row r="911" spans="1:18">
      <c r="A911" t="s">
        <v>2418</v>
      </c>
      <c r="B911" t="s">
        <v>9126</v>
      </c>
      <c r="C911">
        <v>45748</v>
      </c>
      <c r="D911" t="s">
        <v>7263</v>
      </c>
      <c r="E911" t="s">
        <v>9127</v>
      </c>
      <c r="F911">
        <v>45747</v>
      </c>
      <c r="G911" t="s">
        <v>2208</v>
      </c>
      <c r="H911" t="s">
        <v>7834</v>
      </c>
      <c r="I911" t="s">
        <v>11584</v>
      </c>
      <c r="J911">
        <v>6</v>
      </c>
      <c r="K911">
        <v>627.66</v>
      </c>
      <c r="L911" t="s">
        <v>2917</v>
      </c>
      <c r="M911">
        <v>627.66</v>
      </c>
      <c r="N911" t="s">
        <v>2917</v>
      </c>
      <c r="O911" t="s">
        <v>2208</v>
      </c>
      <c r="P911" t="s">
        <v>2208</v>
      </c>
      <c r="Q911" t="s">
        <v>2208</v>
      </c>
      <c r="R911" t="s">
        <v>2208</v>
      </c>
    </row>
    <row r="912" spans="1:18">
      <c r="A912" t="s">
        <v>2418</v>
      </c>
      <c r="B912" t="s">
        <v>9126</v>
      </c>
      <c r="C912">
        <v>45748</v>
      </c>
      <c r="D912" t="s">
        <v>7263</v>
      </c>
      <c r="E912" t="s">
        <v>9127</v>
      </c>
      <c r="F912">
        <v>45747</v>
      </c>
      <c r="G912" t="s">
        <v>2208</v>
      </c>
      <c r="H912" t="s">
        <v>7834</v>
      </c>
      <c r="I912" t="s">
        <v>11585</v>
      </c>
      <c r="J912">
        <v>8</v>
      </c>
      <c r="K912">
        <v>836.88</v>
      </c>
      <c r="L912" t="s">
        <v>2917</v>
      </c>
      <c r="M912">
        <v>836.88</v>
      </c>
      <c r="N912" t="s">
        <v>2917</v>
      </c>
      <c r="O912" t="s">
        <v>2208</v>
      </c>
      <c r="P912" t="s">
        <v>2208</v>
      </c>
      <c r="Q912" t="s">
        <v>2208</v>
      </c>
      <c r="R912" t="s">
        <v>2208</v>
      </c>
    </row>
    <row r="913" spans="1:18">
      <c r="A913" t="s">
        <v>2418</v>
      </c>
      <c r="B913" t="s">
        <v>9126</v>
      </c>
      <c r="C913">
        <v>45748</v>
      </c>
      <c r="D913" t="s">
        <v>7263</v>
      </c>
      <c r="E913" t="s">
        <v>9127</v>
      </c>
      <c r="F913">
        <v>45747</v>
      </c>
      <c r="G913" t="s">
        <v>2208</v>
      </c>
      <c r="H913" t="s">
        <v>7834</v>
      </c>
      <c r="I913" t="s">
        <v>11586</v>
      </c>
      <c r="J913">
        <v>6.5</v>
      </c>
      <c r="K913">
        <v>679.97</v>
      </c>
      <c r="L913" t="s">
        <v>2917</v>
      </c>
      <c r="M913">
        <v>679.97</v>
      </c>
      <c r="N913" t="s">
        <v>2917</v>
      </c>
      <c r="O913" t="s">
        <v>2208</v>
      </c>
      <c r="P913" t="s">
        <v>2208</v>
      </c>
      <c r="Q913" t="s">
        <v>2208</v>
      </c>
      <c r="R913" t="s">
        <v>2208</v>
      </c>
    </row>
    <row r="914" spans="1:18">
      <c r="A914" t="s">
        <v>2418</v>
      </c>
      <c r="B914" t="s">
        <v>9126</v>
      </c>
      <c r="C914">
        <v>45748</v>
      </c>
      <c r="D914" t="s">
        <v>7263</v>
      </c>
      <c r="E914" t="s">
        <v>9127</v>
      </c>
      <c r="F914">
        <v>45747</v>
      </c>
      <c r="G914" t="s">
        <v>2208</v>
      </c>
      <c r="H914" t="s">
        <v>7834</v>
      </c>
      <c r="I914" t="s">
        <v>11587</v>
      </c>
      <c r="J914">
        <v>5.5</v>
      </c>
      <c r="K914">
        <v>575.36</v>
      </c>
      <c r="L914" t="s">
        <v>2917</v>
      </c>
      <c r="M914">
        <v>575.36</v>
      </c>
      <c r="N914" t="s">
        <v>2917</v>
      </c>
      <c r="O914" t="s">
        <v>2208</v>
      </c>
      <c r="P914" t="s">
        <v>2208</v>
      </c>
      <c r="Q914" t="s">
        <v>2208</v>
      </c>
      <c r="R914" t="s">
        <v>2208</v>
      </c>
    </row>
    <row r="915" spans="1:18">
      <c r="A915" t="s">
        <v>2418</v>
      </c>
      <c r="B915" t="s">
        <v>9126</v>
      </c>
      <c r="C915">
        <v>45748</v>
      </c>
      <c r="D915" t="s">
        <v>7263</v>
      </c>
      <c r="E915" t="s">
        <v>9127</v>
      </c>
      <c r="F915">
        <v>45747</v>
      </c>
      <c r="G915" t="s">
        <v>2208</v>
      </c>
      <c r="H915" t="s">
        <v>7834</v>
      </c>
      <c r="I915" t="s">
        <v>11588</v>
      </c>
      <c r="J915">
        <v>6</v>
      </c>
      <c r="K915">
        <v>627.66</v>
      </c>
      <c r="L915" t="s">
        <v>2917</v>
      </c>
      <c r="M915">
        <v>627.66</v>
      </c>
      <c r="N915" t="s">
        <v>2917</v>
      </c>
      <c r="O915" t="s">
        <v>2208</v>
      </c>
      <c r="P915" t="s">
        <v>2208</v>
      </c>
      <c r="Q915" t="s">
        <v>2208</v>
      </c>
      <c r="R915" t="s">
        <v>2208</v>
      </c>
    </row>
    <row r="916" spans="1:18">
      <c r="A916" t="s">
        <v>2418</v>
      </c>
      <c r="B916" t="s">
        <v>9126</v>
      </c>
      <c r="C916">
        <v>45748</v>
      </c>
      <c r="D916" t="s">
        <v>7263</v>
      </c>
      <c r="E916" t="s">
        <v>9127</v>
      </c>
      <c r="F916">
        <v>45747</v>
      </c>
      <c r="G916" t="s">
        <v>2208</v>
      </c>
      <c r="H916" t="s">
        <v>7834</v>
      </c>
      <c r="I916" t="s">
        <v>11589</v>
      </c>
      <c r="J916">
        <v>1</v>
      </c>
      <c r="K916">
        <v>104.61</v>
      </c>
      <c r="L916" t="s">
        <v>2917</v>
      </c>
      <c r="M916">
        <v>104.61</v>
      </c>
      <c r="N916" t="s">
        <v>2917</v>
      </c>
      <c r="O916" t="s">
        <v>2208</v>
      </c>
      <c r="P916" t="s">
        <v>2208</v>
      </c>
      <c r="Q916" t="s">
        <v>2208</v>
      </c>
      <c r="R916" t="s">
        <v>2208</v>
      </c>
    </row>
    <row r="917" spans="1:18">
      <c r="A917" t="s">
        <v>2418</v>
      </c>
      <c r="B917" t="s">
        <v>9126</v>
      </c>
      <c r="C917">
        <v>45748</v>
      </c>
      <c r="D917" t="s">
        <v>7263</v>
      </c>
      <c r="E917" t="s">
        <v>9127</v>
      </c>
      <c r="F917">
        <v>45747</v>
      </c>
      <c r="G917" t="s">
        <v>2208</v>
      </c>
      <c r="H917" t="s">
        <v>7834</v>
      </c>
      <c r="I917" t="s">
        <v>11590</v>
      </c>
      <c r="J917">
        <v>1</v>
      </c>
      <c r="K917">
        <v>104.61</v>
      </c>
      <c r="L917" t="s">
        <v>2917</v>
      </c>
      <c r="M917">
        <v>104.61</v>
      </c>
      <c r="N917" t="s">
        <v>2917</v>
      </c>
      <c r="O917" t="s">
        <v>2208</v>
      </c>
      <c r="P917" t="s">
        <v>2208</v>
      </c>
      <c r="Q917" t="s">
        <v>2208</v>
      </c>
      <c r="R917" t="s">
        <v>2208</v>
      </c>
    </row>
    <row r="918" spans="1:18">
      <c r="A918" t="s">
        <v>2418</v>
      </c>
      <c r="B918" t="s">
        <v>9126</v>
      </c>
      <c r="C918">
        <v>45748</v>
      </c>
      <c r="D918" t="s">
        <v>7263</v>
      </c>
      <c r="E918" t="s">
        <v>9127</v>
      </c>
      <c r="F918">
        <v>45747</v>
      </c>
      <c r="G918" t="s">
        <v>2208</v>
      </c>
      <c r="H918" t="s">
        <v>7834</v>
      </c>
      <c r="I918" t="s">
        <v>11591</v>
      </c>
      <c r="J918">
        <v>1</v>
      </c>
      <c r="K918">
        <v>104.61</v>
      </c>
      <c r="L918" t="s">
        <v>2917</v>
      </c>
      <c r="M918">
        <v>104.61</v>
      </c>
      <c r="N918" t="s">
        <v>2917</v>
      </c>
      <c r="O918" t="s">
        <v>2208</v>
      </c>
      <c r="P918" t="s">
        <v>2208</v>
      </c>
      <c r="Q918" t="s">
        <v>2208</v>
      </c>
      <c r="R918" t="s">
        <v>2208</v>
      </c>
    </row>
    <row r="919" spans="1:18">
      <c r="A919" t="s">
        <v>2418</v>
      </c>
      <c r="B919" t="s">
        <v>9126</v>
      </c>
      <c r="C919">
        <v>45748</v>
      </c>
      <c r="D919" t="s">
        <v>7263</v>
      </c>
      <c r="E919" t="s">
        <v>9127</v>
      </c>
      <c r="F919">
        <v>45747</v>
      </c>
      <c r="G919" t="s">
        <v>2208</v>
      </c>
      <c r="H919" t="s">
        <v>7834</v>
      </c>
      <c r="I919" t="s">
        <v>11592</v>
      </c>
      <c r="J919">
        <v>1</v>
      </c>
      <c r="K919">
        <v>104.61</v>
      </c>
      <c r="L919" t="s">
        <v>2917</v>
      </c>
      <c r="M919">
        <v>104.61</v>
      </c>
      <c r="N919" t="s">
        <v>2917</v>
      </c>
      <c r="O919" t="s">
        <v>2208</v>
      </c>
      <c r="P919" t="s">
        <v>2208</v>
      </c>
      <c r="Q919" t="s">
        <v>2208</v>
      </c>
      <c r="R919" t="s">
        <v>2208</v>
      </c>
    </row>
    <row r="920" spans="1:18">
      <c r="A920" t="s">
        <v>2418</v>
      </c>
      <c r="B920" t="s">
        <v>9126</v>
      </c>
      <c r="C920">
        <v>45748</v>
      </c>
      <c r="D920" t="s">
        <v>7263</v>
      </c>
      <c r="E920" t="s">
        <v>9127</v>
      </c>
      <c r="F920">
        <v>45747</v>
      </c>
      <c r="G920" t="s">
        <v>2208</v>
      </c>
      <c r="H920" t="s">
        <v>7834</v>
      </c>
      <c r="I920" t="s">
        <v>11593</v>
      </c>
      <c r="J920">
        <v>1</v>
      </c>
      <c r="K920">
        <v>104.61</v>
      </c>
      <c r="L920" t="s">
        <v>2917</v>
      </c>
      <c r="M920">
        <v>104.61</v>
      </c>
      <c r="N920" t="s">
        <v>2917</v>
      </c>
      <c r="O920" t="s">
        <v>2208</v>
      </c>
      <c r="P920" t="s">
        <v>2208</v>
      </c>
      <c r="Q920" t="s">
        <v>2208</v>
      </c>
      <c r="R920" t="s">
        <v>2208</v>
      </c>
    </row>
    <row r="921" spans="1:18">
      <c r="A921" t="s">
        <v>2418</v>
      </c>
      <c r="B921" t="s">
        <v>9126</v>
      </c>
      <c r="C921">
        <v>45748</v>
      </c>
      <c r="D921" t="s">
        <v>7263</v>
      </c>
      <c r="E921" t="s">
        <v>9127</v>
      </c>
      <c r="F921">
        <v>45747</v>
      </c>
      <c r="G921" t="s">
        <v>2208</v>
      </c>
      <c r="H921" t="s">
        <v>7834</v>
      </c>
      <c r="I921" t="s">
        <v>11594</v>
      </c>
      <c r="J921">
        <v>2</v>
      </c>
      <c r="K921">
        <v>209.22</v>
      </c>
      <c r="L921" t="s">
        <v>2917</v>
      </c>
      <c r="M921">
        <v>209.22</v>
      </c>
      <c r="N921" t="s">
        <v>2917</v>
      </c>
      <c r="O921" t="s">
        <v>2208</v>
      </c>
      <c r="P921" t="s">
        <v>2208</v>
      </c>
      <c r="Q921" t="s">
        <v>2208</v>
      </c>
      <c r="R921" t="s">
        <v>2208</v>
      </c>
    </row>
    <row r="922" spans="1:18">
      <c r="A922" t="s">
        <v>2418</v>
      </c>
      <c r="B922" t="s">
        <v>9126</v>
      </c>
      <c r="C922">
        <v>45748</v>
      </c>
      <c r="D922" t="s">
        <v>7263</v>
      </c>
      <c r="E922" t="s">
        <v>9127</v>
      </c>
      <c r="F922">
        <v>45747</v>
      </c>
      <c r="G922" t="s">
        <v>2208</v>
      </c>
      <c r="H922" t="s">
        <v>7834</v>
      </c>
      <c r="I922" t="s">
        <v>11595</v>
      </c>
      <c r="J922">
        <v>2</v>
      </c>
      <c r="K922">
        <v>209.22</v>
      </c>
      <c r="L922" t="s">
        <v>2917</v>
      </c>
      <c r="M922">
        <v>209.22</v>
      </c>
      <c r="N922" t="s">
        <v>2917</v>
      </c>
      <c r="O922" t="s">
        <v>2208</v>
      </c>
      <c r="P922" t="s">
        <v>2208</v>
      </c>
      <c r="Q922" t="s">
        <v>2208</v>
      </c>
      <c r="R922" t="s">
        <v>2208</v>
      </c>
    </row>
    <row r="923" spans="1:18">
      <c r="A923" t="s">
        <v>2418</v>
      </c>
      <c r="B923" t="s">
        <v>9126</v>
      </c>
      <c r="C923">
        <v>45748</v>
      </c>
      <c r="D923" t="s">
        <v>7263</v>
      </c>
      <c r="E923" t="s">
        <v>9127</v>
      </c>
      <c r="F923">
        <v>45747</v>
      </c>
      <c r="G923" t="s">
        <v>2208</v>
      </c>
      <c r="H923" t="s">
        <v>7834</v>
      </c>
      <c r="I923" t="s">
        <v>11596</v>
      </c>
      <c r="J923">
        <v>1</v>
      </c>
      <c r="K923">
        <v>104.61</v>
      </c>
      <c r="L923" t="s">
        <v>2917</v>
      </c>
      <c r="M923">
        <v>104.61</v>
      </c>
      <c r="N923" t="s">
        <v>2917</v>
      </c>
      <c r="O923" t="s">
        <v>2208</v>
      </c>
      <c r="P923" t="s">
        <v>2208</v>
      </c>
      <c r="Q923" t="s">
        <v>2208</v>
      </c>
      <c r="R923" t="s">
        <v>2208</v>
      </c>
    </row>
    <row r="924" spans="1:18">
      <c r="A924" t="s">
        <v>2418</v>
      </c>
      <c r="B924" t="s">
        <v>9126</v>
      </c>
      <c r="C924">
        <v>45748</v>
      </c>
      <c r="D924" t="s">
        <v>7263</v>
      </c>
      <c r="E924" t="s">
        <v>9127</v>
      </c>
      <c r="F924">
        <v>45747</v>
      </c>
      <c r="G924" t="s">
        <v>2208</v>
      </c>
      <c r="H924" t="s">
        <v>7834</v>
      </c>
      <c r="I924" t="s">
        <v>11597</v>
      </c>
      <c r="J924">
        <v>2</v>
      </c>
      <c r="K924">
        <v>209.22</v>
      </c>
      <c r="L924" t="s">
        <v>2917</v>
      </c>
      <c r="M924">
        <v>209.22</v>
      </c>
      <c r="N924" t="s">
        <v>2917</v>
      </c>
      <c r="O924" t="s">
        <v>2208</v>
      </c>
      <c r="P924" t="s">
        <v>2208</v>
      </c>
      <c r="Q924" t="s">
        <v>2208</v>
      </c>
      <c r="R924" t="s">
        <v>2208</v>
      </c>
    </row>
    <row r="925" spans="1:18">
      <c r="A925" t="s">
        <v>2418</v>
      </c>
      <c r="B925" t="s">
        <v>9126</v>
      </c>
      <c r="C925">
        <v>45748</v>
      </c>
      <c r="D925" t="s">
        <v>7263</v>
      </c>
      <c r="E925" t="s">
        <v>9127</v>
      </c>
      <c r="F925">
        <v>45747</v>
      </c>
      <c r="G925" t="s">
        <v>2208</v>
      </c>
      <c r="H925" t="s">
        <v>7834</v>
      </c>
      <c r="I925" t="s">
        <v>11598</v>
      </c>
      <c r="J925">
        <v>1</v>
      </c>
      <c r="K925">
        <v>104.61</v>
      </c>
      <c r="L925" t="s">
        <v>2917</v>
      </c>
      <c r="M925">
        <v>104.61</v>
      </c>
      <c r="N925" t="s">
        <v>2917</v>
      </c>
      <c r="O925" t="s">
        <v>2208</v>
      </c>
      <c r="P925" t="s">
        <v>2208</v>
      </c>
      <c r="Q925" t="s">
        <v>2208</v>
      </c>
      <c r="R925" t="s">
        <v>2208</v>
      </c>
    </row>
    <row r="926" spans="1:18">
      <c r="A926" t="s">
        <v>2418</v>
      </c>
      <c r="B926" t="s">
        <v>9126</v>
      </c>
      <c r="C926">
        <v>45748</v>
      </c>
      <c r="D926" t="s">
        <v>7263</v>
      </c>
      <c r="E926" t="s">
        <v>9127</v>
      </c>
      <c r="F926">
        <v>45747</v>
      </c>
      <c r="G926" t="s">
        <v>2208</v>
      </c>
      <c r="H926" t="s">
        <v>7834</v>
      </c>
      <c r="I926" t="s">
        <v>11599</v>
      </c>
      <c r="J926">
        <v>2</v>
      </c>
      <c r="K926">
        <v>209.22</v>
      </c>
      <c r="L926" t="s">
        <v>2917</v>
      </c>
      <c r="M926">
        <v>209.22</v>
      </c>
      <c r="N926" t="s">
        <v>2917</v>
      </c>
      <c r="O926" t="s">
        <v>2208</v>
      </c>
      <c r="P926" t="s">
        <v>2208</v>
      </c>
      <c r="Q926" t="s">
        <v>2208</v>
      </c>
      <c r="R926" t="s">
        <v>2208</v>
      </c>
    </row>
    <row r="927" spans="1:18">
      <c r="A927" t="s">
        <v>2418</v>
      </c>
      <c r="B927" t="s">
        <v>9126</v>
      </c>
      <c r="C927">
        <v>45748</v>
      </c>
      <c r="D927" t="s">
        <v>7263</v>
      </c>
      <c r="E927" t="s">
        <v>9127</v>
      </c>
      <c r="F927">
        <v>45747</v>
      </c>
      <c r="G927" t="s">
        <v>2208</v>
      </c>
      <c r="H927" t="s">
        <v>7834</v>
      </c>
      <c r="I927" t="s">
        <v>11600</v>
      </c>
      <c r="J927">
        <v>2</v>
      </c>
      <c r="K927">
        <v>209.22</v>
      </c>
      <c r="L927" t="s">
        <v>2917</v>
      </c>
      <c r="M927">
        <v>209.22</v>
      </c>
      <c r="N927" t="s">
        <v>2917</v>
      </c>
      <c r="O927" t="s">
        <v>2208</v>
      </c>
      <c r="P927" t="s">
        <v>2208</v>
      </c>
      <c r="Q927" t="s">
        <v>2208</v>
      </c>
      <c r="R927" t="s">
        <v>2208</v>
      </c>
    </row>
    <row r="928" spans="1:18">
      <c r="A928" t="s">
        <v>2418</v>
      </c>
      <c r="B928" t="s">
        <v>9126</v>
      </c>
      <c r="C928">
        <v>45748</v>
      </c>
      <c r="D928" t="s">
        <v>7263</v>
      </c>
      <c r="E928" t="s">
        <v>9127</v>
      </c>
      <c r="F928">
        <v>45747</v>
      </c>
      <c r="G928" t="s">
        <v>2208</v>
      </c>
      <c r="H928" t="s">
        <v>7834</v>
      </c>
      <c r="I928" t="s">
        <v>11601</v>
      </c>
      <c r="J928">
        <v>2</v>
      </c>
      <c r="K928">
        <v>209.22</v>
      </c>
      <c r="L928" t="s">
        <v>2917</v>
      </c>
      <c r="M928">
        <v>209.22</v>
      </c>
      <c r="N928" t="s">
        <v>2917</v>
      </c>
      <c r="O928" t="s">
        <v>2208</v>
      </c>
      <c r="P928" t="s">
        <v>2208</v>
      </c>
      <c r="Q928" t="s">
        <v>2208</v>
      </c>
      <c r="R928" t="s">
        <v>2208</v>
      </c>
    </row>
    <row r="929" spans="1:18">
      <c r="A929" t="s">
        <v>2418</v>
      </c>
      <c r="B929" t="s">
        <v>9126</v>
      </c>
      <c r="C929">
        <v>45748</v>
      </c>
      <c r="D929" t="s">
        <v>7263</v>
      </c>
      <c r="E929" t="s">
        <v>9127</v>
      </c>
      <c r="F929">
        <v>45747</v>
      </c>
      <c r="G929" t="s">
        <v>2208</v>
      </c>
      <c r="H929" t="s">
        <v>7834</v>
      </c>
      <c r="I929" t="s">
        <v>11602</v>
      </c>
      <c r="J929">
        <v>2</v>
      </c>
      <c r="K929">
        <v>209.22</v>
      </c>
      <c r="L929" t="s">
        <v>2917</v>
      </c>
      <c r="M929">
        <v>209.22</v>
      </c>
      <c r="N929" t="s">
        <v>2917</v>
      </c>
      <c r="O929" t="s">
        <v>2208</v>
      </c>
      <c r="P929" t="s">
        <v>2208</v>
      </c>
      <c r="Q929" t="s">
        <v>2208</v>
      </c>
      <c r="R929" t="s">
        <v>2208</v>
      </c>
    </row>
    <row r="930" spans="1:18">
      <c r="A930" t="s">
        <v>2418</v>
      </c>
      <c r="B930" t="s">
        <v>9126</v>
      </c>
      <c r="C930">
        <v>45748</v>
      </c>
      <c r="D930" t="s">
        <v>7263</v>
      </c>
      <c r="E930" t="s">
        <v>9127</v>
      </c>
      <c r="F930">
        <v>45747</v>
      </c>
      <c r="G930" t="s">
        <v>2208</v>
      </c>
      <c r="H930" t="s">
        <v>7834</v>
      </c>
      <c r="I930" t="s">
        <v>11603</v>
      </c>
      <c r="J930">
        <v>2</v>
      </c>
      <c r="K930">
        <v>209.22</v>
      </c>
      <c r="L930" t="s">
        <v>2917</v>
      </c>
      <c r="M930">
        <v>209.22</v>
      </c>
      <c r="N930" t="s">
        <v>2917</v>
      </c>
      <c r="O930" t="s">
        <v>2208</v>
      </c>
      <c r="P930" t="s">
        <v>2208</v>
      </c>
      <c r="Q930" t="s">
        <v>2208</v>
      </c>
      <c r="R930" t="s">
        <v>2208</v>
      </c>
    </row>
    <row r="931" spans="1:18">
      <c r="A931" t="s">
        <v>2418</v>
      </c>
      <c r="B931" t="s">
        <v>9126</v>
      </c>
      <c r="C931">
        <v>45748</v>
      </c>
      <c r="D931" t="s">
        <v>7263</v>
      </c>
      <c r="E931" t="s">
        <v>9127</v>
      </c>
      <c r="F931">
        <v>45747</v>
      </c>
      <c r="G931" t="s">
        <v>2208</v>
      </c>
      <c r="H931" t="s">
        <v>7834</v>
      </c>
      <c r="I931" t="s">
        <v>11604</v>
      </c>
      <c r="J931">
        <v>2</v>
      </c>
      <c r="K931">
        <v>209.22</v>
      </c>
      <c r="L931" t="s">
        <v>2917</v>
      </c>
      <c r="M931">
        <v>209.22</v>
      </c>
      <c r="N931" t="s">
        <v>2917</v>
      </c>
      <c r="O931" t="s">
        <v>2208</v>
      </c>
      <c r="P931" t="s">
        <v>2208</v>
      </c>
      <c r="Q931" t="s">
        <v>2208</v>
      </c>
      <c r="R931" t="s">
        <v>2208</v>
      </c>
    </row>
    <row r="932" spans="1:18">
      <c r="A932" t="s">
        <v>2418</v>
      </c>
      <c r="B932" t="s">
        <v>9126</v>
      </c>
      <c r="C932">
        <v>45748</v>
      </c>
      <c r="D932" t="s">
        <v>7263</v>
      </c>
      <c r="E932" t="s">
        <v>9127</v>
      </c>
      <c r="F932">
        <v>45747</v>
      </c>
      <c r="G932" t="s">
        <v>2208</v>
      </c>
      <c r="H932" t="s">
        <v>7834</v>
      </c>
      <c r="I932" t="s">
        <v>11605</v>
      </c>
      <c r="J932">
        <v>2</v>
      </c>
      <c r="K932">
        <v>209.22</v>
      </c>
      <c r="L932" t="s">
        <v>2917</v>
      </c>
      <c r="M932">
        <v>209.22</v>
      </c>
      <c r="N932" t="s">
        <v>2917</v>
      </c>
      <c r="O932" t="s">
        <v>2208</v>
      </c>
      <c r="P932" t="s">
        <v>2208</v>
      </c>
      <c r="Q932" t="s">
        <v>2208</v>
      </c>
      <c r="R932" t="s">
        <v>2208</v>
      </c>
    </row>
    <row r="933" spans="1:18">
      <c r="A933" t="s">
        <v>2418</v>
      </c>
      <c r="B933" t="s">
        <v>9126</v>
      </c>
      <c r="C933">
        <v>45748</v>
      </c>
      <c r="D933" t="s">
        <v>7263</v>
      </c>
      <c r="E933" t="s">
        <v>9127</v>
      </c>
      <c r="F933">
        <v>45747</v>
      </c>
      <c r="G933" t="s">
        <v>2208</v>
      </c>
      <c r="H933" t="s">
        <v>7834</v>
      </c>
      <c r="I933" t="s">
        <v>11606</v>
      </c>
      <c r="J933">
        <v>2</v>
      </c>
      <c r="K933">
        <v>209.22</v>
      </c>
      <c r="L933" t="s">
        <v>2917</v>
      </c>
      <c r="M933">
        <v>209.22</v>
      </c>
      <c r="N933" t="s">
        <v>2917</v>
      </c>
      <c r="O933" t="s">
        <v>2208</v>
      </c>
      <c r="P933" t="s">
        <v>2208</v>
      </c>
      <c r="Q933" t="s">
        <v>2208</v>
      </c>
      <c r="R933" t="s">
        <v>2208</v>
      </c>
    </row>
    <row r="934" spans="1:18">
      <c r="A934" t="s">
        <v>2418</v>
      </c>
      <c r="B934" t="s">
        <v>9126</v>
      </c>
      <c r="C934">
        <v>45748</v>
      </c>
      <c r="D934" t="s">
        <v>7263</v>
      </c>
      <c r="E934" t="s">
        <v>9127</v>
      </c>
      <c r="F934">
        <v>45747</v>
      </c>
      <c r="G934" t="s">
        <v>2208</v>
      </c>
      <c r="H934" t="s">
        <v>7834</v>
      </c>
      <c r="I934" t="s">
        <v>11607</v>
      </c>
      <c r="J934">
        <v>2</v>
      </c>
      <c r="K934">
        <v>209.22</v>
      </c>
      <c r="L934" t="s">
        <v>2917</v>
      </c>
      <c r="M934">
        <v>209.22</v>
      </c>
      <c r="N934" t="s">
        <v>2917</v>
      </c>
      <c r="O934" t="s">
        <v>2208</v>
      </c>
      <c r="P934" t="s">
        <v>2208</v>
      </c>
      <c r="Q934" t="s">
        <v>2208</v>
      </c>
      <c r="R934" t="s">
        <v>2208</v>
      </c>
    </row>
    <row r="935" spans="1:18">
      <c r="A935" t="s">
        <v>2418</v>
      </c>
      <c r="B935" t="s">
        <v>9126</v>
      </c>
      <c r="C935">
        <v>45748</v>
      </c>
      <c r="D935" t="s">
        <v>7263</v>
      </c>
      <c r="E935" t="s">
        <v>9127</v>
      </c>
      <c r="F935">
        <v>45747</v>
      </c>
      <c r="G935" t="s">
        <v>2208</v>
      </c>
      <c r="H935" t="s">
        <v>7834</v>
      </c>
      <c r="I935" t="s">
        <v>11608</v>
      </c>
      <c r="J935">
        <v>2</v>
      </c>
      <c r="K935">
        <v>209.22</v>
      </c>
      <c r="L935" t="s">
        <v>2917</v>
      </c>
      <c r="M935">
        <v>209.22</v>
      </c>
      <c r="N935" t="s">
        <v>2917</v>
      </c>
      <c r="O935" t="s">
        <v>2208</v>
      </c>
      <c r="P935" t="s">
        <v>2208</v>
      </c>
      <c r="Q935" t="s">
        <v>2208</v>
      </c>
      <c r="R935" t="s">
        <v>2208</v>
      </c>
    </row>
    <row r="936" spans="1:18">
      <c r="A936" t="s">
        <v>2418</v>
      </c>
      <c r="B936" t="s">
        <v>9126</v>
      </c>
      <c r="C936">
        <v>45748</v>
      </c>
      <c r="D936" t="s">
        <v>7263</v>
      </c>
      <c r="E936" t="s">
        <v>9127</v>
      </c>
      <c r="F936">
        <v>45747</v>
      </c>
      <c r="G936" t="s">
        <v>2208</v>
      </c>
      <c r="H936" t="s">
        <v>7834</v>
      </c>
      <c r="I936" t="s">
        <v>11609</v>
      </c>
      <c r="J936">
        <v>1</v>
      </c>
      <c r="K936">
        <v>104.61</v>
      </c>
      <c r="L936" t="s">
        <v>2917</v>
      </c>
      <c r="M936">
        <v>104.61</v>
      </c>
      <c r="N936" t="s">
        <v>2917</v>
      </c>
      <c r="O936" t="s">
        <v>2208</v>
      </c>
      <c r="P936" t="s">
        <v>2208</v>
      </c>
      <c r="Q936" t="s">
        <v>2208</v>
      </c>
      <c r="R936" t="s">
        <v>2208</v>
      </c>
    </row>
    <row r="937" spans="1:18">
      <c r="A937" t="s">
        <v>2418</v>
      </c>
      <c r="B937" t="s">
        <v>9126</v>
      </c>
      <c r="C937">
        <v>45748</v>
      </c>
      <c r="D937" t="s">
        <v>7263</v>
      </c>
      <c r="E937" t="s">
        <v>9127</v>
      </c>
      <c r="F937">
        <v>45747</v>
      </c>
      <c r="G937" t="s">
        <v>2208</v>
      </c>
      <c r="H937" t="s">
        <v>7834</v>
      </c>
      <c r="I937" t="s">
        <v>11610</v>
      </c>
      <c r="J937">
        <v>1</v>
      </c>
      <c r="K937">
        <v>104.61</v>
      </c>
      <c r="L937" t="s">
        <v>2917</v>
      </c>
      <c r="M937">
        <v>104.61</v>
      </c>
      <c r="N937" t="s">
        <v>2917</v>
      </c>
      <c r="O937" t="s">
        <v>2208</v>
      </c>
      <c r="P937" t="s">
        <v>2208</v>
      </c>
      <c r="Q937" t="s">
        <v>2208</v>
      </c>
      <c r="R937" t="s">
        <v>2208</v>
      </c>
    </row>
    <row r="938" spans="1:18">
      <c r="A938" t="s">
        <v>2418</v>
      </c>
      <c r="B938" t="s">
        <v>9126</v>
      </c>
      <c r="C938">
        <v>45748</v>
      </c>
      <c r="D938" t="s">
        <v>7263</v>
      </c>
      <c r="E938" t="s">
        <v>9127</v>
      </c>
      <c r="F938">
        <v>45747</v>
      </c>
      <c r="G938" t="s">
        <v>2208</v>
      </c>
      <c r="H938" t="s">
        <v>7834</v>
      </c>
      <c r="I938" t="s">
        <v>11611</v>
      </c>
      <c r="J938">
        <v>1</v>
      </c>
      <c r="K938">
        <v>104.61</v>
      </c>
      <c r="L938" t="s">
        <v>2917</v>
      </c>
      <c r="M938">
        <v>104.61</v>
      </c>
      <c r="N938" t="s">
        <v>2917</v>
      </c>
      <c r="O938" t="s">
        <v>2208</v>
      </c>
      <c r="P938" t="s">
        <v>2208</v>
      </c>
      <c r="Q938" t="s">
        <v>2208</v>
      </c>
      <c r="R938" t="s">
        <v>2208</v>
      </c>
    </row>
    <row r="939" spans="1:18">
      <c r="A939" t="s">
        <v>2418</v>
      </c>
      <c r="B939" t="s">
        <v>9126</v>
      </c>
      <c r="C939">
        <v>45748</v>
      </c>
      <c r="D939" t="s">
        <v>7263</v>
      </c>
      <c r="E939" t="s">
        <v>9127</v>
      </c>
      <c r="F939">
        <v>45747</v>
      </c>
      <c r="G939" t="s">
        <v>2208</v>
      </c>
      <c r="H939" t="s">
        <v>7834</v>
      </c>
      <c r="I939" t="s">
        <v>11612</v>
      </c>
      <c r="J939">
        <v>1</v>
      </c>
      <c r="K939">
        <v>104.61</v>
      </c>
      <c r="L939" t="s">
        <v>2917</v>
      </c>
      <c r="M939">
        <v>104.61</v>
      </c>
      <c r="N939" t="s">
        <v>2917</v>
      </c>
      <c r="O939" t="s">
        <v>2208</v>
      </c>
      <c r="P939" t="s">
        <v>2208</v>
      </c>
      <c r="Q939" t="s">
        <v>2208</v>
      </c>
      <c r="R939" t="s">
        <v>2208</v>
      </c>
    </row>
    <row r="940" spans="1:18">
      <c r="A940" t="s">
        <v>2418</v>
      </c>
      <c r="B940" t="s">
        <v>9126</v>
      </c>
      <c r="C940">
        <v>45748</v>
      </c>
      <c r="D940" t="s">
        <v>7263</v>
      </c>
      <c r="E940" t="s">
        <v>9127</v>
      </c>
      <c r="F940">
        <v>45747</v>
      </c>
      <c r="G940" t="s">
        <v>2208</v>
      </c>
      <c r="H940" t="s">
        <v>7834</v>
      </c>
      <c r="I940" t="s">
        <v>11613</v>
      </c>
      <c r="J940">
        <v>1</v>
      </c>
      <c r="K940">
        <v>104.61</v>
      </c>
      <c r="L940" t="s">
        <v>2917</v>
      </c>
      <c r="M940">
        <v>104.61</v>
      </c>
      <c r="N940" t="s">
        <v>2917</v>
      </c>
      <c r="O940" t="s">
        <v>2208</v>
      </c>
      <c r="P940" t="s">
        <v>2208</v>
      </c>
      <c r="Q940" t="s">
        <v>2208</v>
      </c>
      <c r="R940" t="s">
        <v>2208</v>
      </c>
    </row>
    <row r="941" spans="1:18">
      <c r="A941" t="s">
        <v>2418</v>
      </c>
      <c r="B941" t="s">
        <v>9126</v>
      </c>
      <c r="C941">
        <v>45748</v>
      </c>
      <c r="D941" t="s">
        <v>7263</v>
      </c>
      <c r="E941" t="s">
        <v>9127</v>
      </c>
      <c r="F941">
        <v>45747</v>
      </c>
      <c r="G941" t="s">
        <v>2208</v>
      </c>
      <c r="H941" t="s">
        <v>7834</v>
      </c>
      <c r="I941" t="s">
        <v>11614</v>
      </c>
      <c r="J941">
        <v>1</v>
      </c>
      <c r="K941">
        <v>104.61</v>
      </c>
      <c r="L941" t="s">
        <v>2917</v>
      </c>
      <c r="M941">
        <v>104.61</v>
      </c>
      <c r="N941" t="s">
        <v>2917</v>
      </c>
      <c r="O941" t="s">
        <v>2208</v>
      </c>
      <c r="P941" t="s">
        <v>2208</v>
      </c>
      <c r="Q941" t="s">
        <v>2208</v>
      </c>
      <c r="R941" t="s">
        <v>2208</v>
      </c>
    </row>
    <row r="942" spans="1:18">
      <c r="A942" t="s">
        <v>2418</v>
      </c>
      <c r="B942" t="s">
        <v>9126</v>
      </c>
      <c r="C942">
        <v>45748</v>
      </c>
      <c r="D942" t="s">
        <v>7263</v>
      </c>
      <c r="E942" t="s">
        <v>9127</v>
      </c>
      <c r="F942">
        <v>45747</v>
      </c>
      <c r="G942" t="s">
        <v>2208</v>
      </c>
      <c r="H942" t="s">
        <v>7834</v>
      </c>
      <c r="I942" t="s">
        <v>11615</v>
      </c>
      <c r="J942">
        <v>1</v>
      </c>
      <c r="K942">
        <v>104.61</v>
      </c>
      <c r="L942" t="s">
        <v>2917</v>
      </c>
      <c r="M942">
        <v>104.61</v>
      </c>
      <c r="N942" t="s">
        <v>2917</v>
      </c>
      <c r="O942" t="s">
        <v>2208</v>
      </c>
      <c r="P942" t="s">
        <v>2208</v>
      </c>
      <c r="Q942" t="s">
        <v>2208</v>
      </c>
      <c r="R942" t="s">
        <v>2208</v>
      </c>
    </row>
    <row r="943" spans="1:18">
      <c r="A943" t="s">
        <v>2418</v>
      </c>
      <c r="B943" t="s">
        <v>9126</v>
      </c>
      <c r="C943">
        <v>45748</v>
      </c>
      <c r="D943" t="s">
        <v>7263</v>
      </c>
      <c r="E943" t="s">
        <v>9127</v>
      </c>
      <c r="F943">
        <v>45747</v>
      </c>
      <c r="G943" t="s">
        <v>2208</v>
      </c>
      <c r="H943" t="s">
        <v>7834</v>
      </c>
      <c r="I943" t="s">
        <v>11616</v>
      </c>
      <c r="J943">
        <v>1</v>
      </c>
      <c r="K943">
        <v>104.61</v>
      </c>
      <c r="L943" t="s">
        <v>2917</v>
      </c>
      <c r="M943">
        <v>104.61</v>
      </c>
      <c r="N943" t="s">
        <v>2917</v>
      </c>
      <c r="O943" t="s">
        <v>2208</v>
      </c>
      <c r="P943" t="s">
        <v>2208</v>
      </c>
      <c r="Q943" t="s">
        <v>2208</v>
      </c>
      <c r="R943" t="s">
        <v>2208</v>
      </c>
    </row>
    <row r="944" spans="1:18">
      <c r="A944" t="s">
        <v>2418</v>
      </c>
      <c r="B944" t="s">
        <v>9126</v>
      </c>
      <c r="C944">
        <v>45748</v>
      </c>
      <c r="D944" t="s">
        <v>7263</v>
      </c>
      <c r="E944" t="s">
        <v>9127</v>
      </c>
      <c r="F944">
        <v>45747</v>
      </c>
      <c r="G944" t="s">
        <v>2208</v>
      </c>
      <c r="H944" t="s">
        <v>7834</v>
      </c>
      <c r="I944" t="s">
        <v>11617</v>
      </c>
      <c r="J944">
        <v>1</v>
      </c>
      <c r="K944">
        <v>104.61</v>
      </c>
      <c r="L944" t="s">
        <v>2917</v>
      </c>
      <c r="M944">
        <v>104.61</v>
      </c>
      <c r="N944" t="s">
        <v>2917</v>
      </c>
      <c r="O944" t="s">
        <v>2208</v>
      </c>
      <c r="P944" t="s">
        <v>2208</v>
      </c>
      <c r="Q944" t="s">
        <v>2208</v>
      </c>
      <c r="R944" t="s">
        <v>2208</v>
      </c>
    </row>
    <row r="945" spans="1:18">
      <c r="A945" t="s">
        <v>2418</v>
      </c>
      <c r="B945" t="s">
        <v>9126</v>
      </c>
      <c r="C945">
        <v>45748</v>
      </c>
      <c r="D945" t="s">
        <v>7263</v>
      </c>
      <c r="E945" t="s">
        <v>9127</v>
      </c>
      <c r="F945">
        <v>45747</v>
      </c>
      <c r="G945" t="s">
        <v>2208</v>
      </c>
      <c r="H945" t="s">
        <v>7834</v>
      </c>
      <c r="I945" t="s">
        <v>11618</v>
      </c>
      <c r="J945">
        <v>1</v>
      </c>
      <c r="K945">
        <v>104.61</v>
      </c>
      <c r="L945" t="s">
        <v>2917</v>
      </c>
      <c r="M945">
        <v>104.61</v>
      </c>
      <c r="N945" t="s">
        <v>2917</v>
      </c>
      <c r="O945" t="s">
        <v>2208</v>
      </c>
      <c r="P945" t="s">
        <v>2208</v>
      </c>
      <c r="Q945" t="s">
        <v>2208</v>
      </c>
      <c r="R945" t="s">
        <v>2208</v>
      </c>
    </row>
    <row r="946" spans="1:18">
      <c r="A946" t="s">
        <v>2418</v>
      </c>
      <c r="B946" t="s">
        <v>9126</v>
      </c>
      <c r="C946">
        <v>45748</v>
      </c>
      <c r="D946" t="s">
        <v>7263</v>
      </c>
      <c r="E946" t="s">
        <v>9127</v>
      </c>
      <c r="F946">
        <v>45747</v>
      </c>
      <c r="G946" t="s">
        <v>2208</v>
      </c>
      <c r="H946" t="s">
        <v>7834</v>
      </c>
      <c r="I946" t="s">
        <v>11619</v>
      </c>
      <c r="J946">
        <v>1</v>
      </c>
      <c r="K946">
        <v>104.61</v>
      </c>
      <c r="L946" t="s">
        <v>2917</v>
      </c>
      <c r="M946">
        <v>104.61</v>
      </c>
      <c r="N946" t="s">
        <v>2917</v>
      </c>
      <c r="O946" t="s">
        <v>2208</v>
      </c>
      <c r="P946" t="s">
        <v>2208</v>
      </c>
      <c r="Q946" t="s">
        <v>2208</v>
      </c>
      <c r="R946" t="s">
        <v>2208</v>
      </c>
    </row>
    <row r="947" spans="1:18">
      <c r="A947" t="s">
        <v>2418</v>
      </c>
      <c r="B947" t="s">
        <v>9126</v>
      </c>
      <c r="C947">
        <v>45748</v>
      </c>
      <c r="D947" t="s">
        <v>7263</v>
      </c>
      <c r="E947" t="s">
        <v>9127</v>
      </c>
      <c r="F947">
        <v>45747</v>
      </c>
      <c r="G947" t="s">
        <v>2208</v>
      </c>
      <c r="H947" t="s">
        <v>7834</v>
      </c>
      <c r="I947" t="s">
        <v>11620</v>
      </c>
      <c r="J947">
        <v>1</v>
      </c>
      <c r="K947">
        <v>104.61</v>
      </c>
      <c r="L947" t="s">
        <v>2917</v>
      </c>
      <c r="M947">
        <v>104.61</v>
      </c>
      <c r="N947" t="s">
        <v>2917</v>
      </c>
      <c r="O947" t="s">
        <v>2208</v>
      </c>
      <c r="P947" t="s">
        <v>2208</v>
      </c>
      <c r="Q947" t="s">
        <v>2208</v>
      </c>
      <c r="R947" t="s">
        <v>2208</v>
      </c>
    </row>
    <row r="948" spans="1:18">
      <c r="A948" t="s">
        <v>2418</v>
      </c>
      <c r="B948" t="s">
        <v>9126</v>
      </c>
      <c r="C948">
        <v>45748</v>
      </c>
      <c r="D948" t="s">
        <v>7263</v>
      </c>
      <c r="E948" t="s">
        <v>9127</v>
      </c>
      <c r="F948">
        <v>45747</v>
      </c>
      <c r="G948" t="s">
        <v>2208</v>
      </c>
      <c r="H948" t="s">
        <v>7834</v>
      </c>
      <c r="I948" t="s">
        <v>11621</v>
      </c>
      <c r="J948">
        <v>1</v>
      </c>
      <c r="K948">
        <v>104.61</v>
      </c>
      <c r="L948" t="s">
        <v>2917</v>
      </c>
      <c r="M948">
        <v>104.61</v>
      </c>
      <c r="N948" t="s">
        <v>2917</v>
      </c>
      <c r="O948" t="s">
        <v>2208</v>
      </c>
      <c r="P948" t="s">
        <v>2208</v>
      </c>
      <c r="Q948" t="s">
        <v>2208</v>
      </c>
      <c r="R948" t="s">
        <v>2208</v>
      </c>
    </row>
    <row r="949" spans="1:18">
      <c r="A949" t="s">
        <v>2418</v>
      </c>
      <c r="B949" t="s">
        <v>9126</v>
      </c>
      <c r="C949">
        <v>45748</v>
      </c>
      <c r="D949" t="s">
        <v>7263</v>
      </c>
      <c r="E949" t="s">
        <v>9127</v>
      </c>
      <c r="F949">
        <v>45747</v>
      </c>
      <c r="G949" t="s">
        <v>2208</v>
      </c>
      <c r="H949" t="s">
        <v>7834</v>
      </c>
      <c r="I949" t="s">
        <v>11622</v>
      </c>
      <c r="J949">
        <v>1</v>
      </c>
      <c r="K949">
        <v>104.61</v>
      </c>
      <c r="L949" t="s">
        <v>2917</v>
      </c>
      <c r="M949">
        <v>104.61</v>
      </c>
      <c r="N949" t="s">
        <v>2917</v>
      </c>
      <c r="O949" t="s">
        <v>2208</v>
      </c>
      <c r="P949" t="s">
        <v>2208</v>
      </c>
      <c r="Q949" t="s">
        <v>2208</v>
      </c>
      <c r="R949" t="s">
        <v>2208</v>
      </c>
    </row>
    <row r="950" spans="1:18">
      <c r="A950" t="s">
        <v>2418</v>
      </c>
      <c r="B950" t="s">
        <v>9126</v>
      </c>
      <c r="C950">
        <v>45748</v>
      </c>
      <c r="D950" t="s">
        <v>7263</v>
      </c>
      <c r="E950" t="s">
        <v>9127</v>
      </c>
      <c r="F950">
        <v>45747</v>
      </c>
      <c r="G950" t="s">
        <v>2208</v>
      </c>
      <c r="H950" t="s">
        <v>7834</v>
      </c>
      <c r="I950" t="s">
        <v>11623</v>
      </c>
      <c r="J950">
        <v>0.5</v>
      </c>
      <c r="K950">
        <v>52.31</v>
      </c>
      <c r="L950" t="s">
        <v>2917</v>
      </c>
      <c r="M950">
        <v>52.31</v>
      </c>
      <c r="N950" t="s">
        <v>2917</v>
      </c>
      <c r="O950" t="s">
        <v>2208</v>
      </c>
      <c r="P950" t="s">
        <v>2208</v>
      </c>
      <c r="Q950" t="s">
        <v>2208</v>
      </c>
      <c r="R950" t="s">
        <v>2208</v>
      </c>
    </row>
    <row r="951" spans="1:18">
      <c r="A951" t="s">
        <v>2418</v>
      </c>
      <c r="B951" t="s">
        <v>9126</v>
      </c>
      <c r="C951">
        <v>45748</v>
      </c>
      <c r="D951" t="s">
        <v>7263</v>
      </c>
      <c r="E951" t="s">
        <v>9127</v>
      </c>
      <c r="F951">
        <v>45747</v>
      </c>
      <c r="G951" t="s">
        <v>2208</v>
      </c>
      <c r="H951" t="s">
        <v>7834</v>
      </c>
      <c r="I951" t="s">
        <v>11624</v>
      </c>
      <c r="J951">
        <v>0.5</v>
      </c>
      <c r="K951">
        <v>52.31</v>
      </c>
      <c r="L951" t="s">
        <v>2917</v>
      </c>
      <c r="M951">
        <v>52.31</v>
      </c>
      <c r="N951" t="s">
        <v>2917</v>
      </c>
      <c r="O951" t="s">
        <v>2208</v>
      </c>
      <c r="P951" t="s">
        <v>2208</v>
      </c>
      <c r="Q951" t="s">
        <v>2208</v>
      </c>
      <c r="R951" t="s">
        <v>2208</v>
      </c>
    </row>
    <row r="952" spans="1:18">
      <c r="A952" t="s">
        <v>2418</v>
      </c>
      <c r="B952" t="s">
        <v>9126</v>
      </c>
      <c r="C952">
        <v>45748</v>
      </c>
      <c r="D952" t="s">
        <v>7263</v>
      </c>
      <c r="E952" t="s">
        <v>9127</v>
      </c>
      <c r="F952">
        <v>45747</v>
      </c>
      <c r="G952" t="s">
        <v>2208</v>
      </c>
      <c r="H952" t="s">
        <v>7834</v>
      </c>
      <c r="I952" t="s">
        <v>11625</v>
      </c>
      <c r="J952">
        <v>1</v>
      </c>
      <c r="K952">
        <v>104.61</v>
      </c>
      <c r="L952" t="s">
        <v>2917</v>
      </c>
      <c r="M952">
        <v>104.61</v>
      </c>
      <c r="N952" t="s">
        <v>2917</v>
      </c>
      <c r="O952" t="s">
        <v>2208</v>
      </c>
      <c r="P952" t="s">
        <v>2208</v>
      </c>
      <c r="Q952" t="s">
        <v>2208</v>
      </c>
      <c r="R952" t="s">
        <v>2208</v>
      </c>
    </row>
    <row r="953" spans="1:18">
      <c r="A953" t="s">
        <v>2418</v>
      </c>
      <c r="B953" t="s">
        <v>9126</v>
      </c>
      <c r="C953">
        <v>45748</v>
      </c>
      <c r="D953" t="s">
        <v>7263</v>
      </c>
      <c r="E953" t="s">
        <v>9127</v>
      </c>
      <c r="F953">
        <v>45747</v>
      </c>
      <c r="G953" t="s">
        <v>2208</v>
      </c>
      <c r="H953" t="s">
        <v>7834</v>
      </c>
      <c r="I953" t="s">
        <v>11626</v>
      </c>
      <c r="J953">
        <v>1.25</v>
      </c>
      <c r="K953">
        <v>130.76</v>
      </c>
      <c r="L953" t="s">
        <v>2917</v>
      </c>
      <c r="M953">
        <v>130.76</v>
      </c>
      <c r="N953" t="s">
        <v>2917</v>
      </c>
      <c r="O953" t="s">
        <v>2208</v>
      </c>
      <c r="P953" t="s">
        <v>2208</v>
      </c>
      <c r="Q953" t="s">
        <v>2208</v>
      </c>
      <c r="R953" t="s">
        <v>2208</v>
      </c>
    </row>
    <row r="954" spans="1:18">
      <c r="A954" t="s">
        <v>2418</v>
      </c>
      <c r="B954" t="s">
        <v>9126</v>
      </c>
      <c r="C954">
        <v>45748</v>
      </c>
      <c r="D954" t="s">
        <v>7263</v>
      </c>
      <c r="E954" t="s">
        <v>9127</v>
      </c>
      <c r="F954">
        <v>45747</v>
      </c>
      <c r="G954" t="s">
        <v>2208</v>
      </c>
      <c r="H954" t="s">
        <v>7834</v>
      </c>
      <c r="I954" t="s">
        <v>11627</v>
      </c>
      <c r="J954">
        <v>0.25</v>
      </c>
      <c r="K954">
        <v>26.15</v>
      </c>
      <c r="L954" t="s">
        <v>2917</v>
      </c>
      <c r="M954">
        <v>26.15</v>
      </c>
      <c r="N954" t="s">
        <v>2917</v>
      </c>
      <c r="O954" t="s">
        <v>2208</v>
      </c>
      <c r="P954" t="s">
        <v>2208</v>
      </c>
      <c r="Q954" t="s">
        <v>2208</v>
      </c>
      <c r="R954" t="s">
        <v>2208</v>
      </c>
    </row>
    <row r="955" spans="1:18">
      <c r="A955" t="s">
        <v>2418</v>
      </c>
      <c r="B955" t="s">
        <v>9126</v>
      </c>
      <c r="C955">
        <v>45748</v>
      </c>
      <c r="D955" t="s">
        <v>7263</v>
      </c>
      <c r="E955" t="s">
        <v>9127</v>
      </c>
      <c r="F955">
        <v>45747</v>
      </c>
      <c r="G955" t="s">
        <v>2208</v>
      </c>
      <c r="H955" t="s">
        <v>7834</v>
      </c>
      <c r="I955" t="s">
        <v>11628</v>
      </c>
      <c r="J955">
        <v>0.5</v>
      </c>
      <c r="K955">
        <v>52.31</v>
      </c>
      <c r="L955" t="s">
        <v>2917</v>
      </c>
      <c r="M955">
        <v>52.31</v>
      </c>
      <c r="N955" t="s">
        <v>2917</v>
      </c>
      <c r="O955" t="s">
        <v>2208</v>
      </c>
      <c r="P955" t="s">
        <v>2208</v>
      </c>
      <c r="Q955" t="s">
        <v>2208</v>
      </c>
      <c r="R955" t="s">
        <v>2208</v>
      </c>
    </row>
    <row r="956" spans="1:18">
      <c r="A956" t="s">
        <v>2418</v>
      </c>
      <c r="B956" t="s">
        <v>9126</v>
      </c>
      <c r="C956">
        <v>45748</v>
      </c>
      <c r="D956" t="s">
        <v>7263</v>
      </c>
      <c r="E956" t="s">
        <v>9127</v>
      </c>
      <c r="F956">
        <v>45747</v>
      </c>
      <c r="G956" t="s">
        <v>2208</v>
      </c>
      <c r="H956" t="s">
        <v>7834</v>
      </c>
      <c r="I956" t="s">
        <v>11629</v>
      </c>
      <c r="J956">
        <v>2</v>
      </c>
      <c r="K956">
        <v>209.22</v>
      </c>
      <c r="L956" t="s">
        <v>2917</v>
      </c>
      <c r="M956">
        <v>209.22</v>
      </c>
      <c r="N956" t="s">
        <v>2917</v>
      </c>
      <c r="O956" t="s">
        <v>2208</v>
      </c>
      <c r="P956" t="s">
        <v>2208</v>
      </c>
      <c r="Q956" t="s">
        <v>2208</v>
      </c>
      <c r="R956" t="s">
        <v>2208</v>
      </c>
    </row>
    <row r="957" spans="1:18">
      <c r="A957" t="s">
        <v>2418</v>
      </c>
      <c r="B957" t="s">
        <v>9126</v>
      </c>
      <c r="C957">
        <v>45748</v>
      </c>
      <c r="D957" t="s">
        <v>7263</v>
      </c>
      <c r="E957" t="s">
        <v>9127</v>
      </c>
      <c r="F957">
        <v>45747</v>
      </c>
      <c r="G957" t="s">
        <v>2208</v>
      </c>
      <c r="H957" t="s">
        <v>7834</v>
      </c>
      <c r="I957" t="s">
        <v>11630</v>
      </c>
      <c r="J957">
        <v>3</v>
      </c>
      <c r="K957">
        <v>313.83</v>
      </c>
      <c r="L957" t="s">
        <v>2917</v>
      </c>
      <c r="M957">
        <v>313.83</v>
      </c>
      <c r="N957" t="s">
        <v>2917</v>
      </c>
      <c r="O957" t="s">
        <v>2208</v>
      </c>
      <c r="P957" t="s">
        <v>2208</v>
      </c>
      <c r="Q957" t="s">
        <v>2208</v>
      </c>
      <c r="R957" t="s">
        <v>2208</v>
      </c>
    </row>
    <row r="958" spans="1:18">
      <c r="A958" t="s">
        <v>2418</v>
      </c>
      <c r="B958" t="s">
        <v>9126</v>
      </c>
      <c r="C958">
        <v>45748</v>
      </c>
      <c r="D958" t="s">
        <v>7263</v>
      </c>
      <c r="E958" t="s">
        <v>9127</v>
      </c>
      <c r="F958">
        <v>45747</v>
      </c>
      <c r="G958" t="s">
        <v>2208</v>
      </c>
      <c r="H958" t="s">
        <v>7834</v>
      </c>
      <c r="I958" t="s">
        <v>11631</v>
      </c>
      <c r="J958">
        <v>1</v>
      </c>
      <c r="K958">
        <v>104.61</v>
      </c>
      <c r="L958" t="s">
        <v>2917</v>
      </c>
      <c r="M958">
        <v>104.61</v>
      </c>
      <c r="N958" t="s">
        <v>2917</v>
      </c>
      <c r="O958" t="s">
        <v>2208</v>
      </c>
      <c r="P958" t="s">
        <v>2208</v>
      </c>
      <c r="Q958" t="s">
        <v>2208</v>
      </c>
      <c r="R958" t="s">
        <v>2208</v>
      </c>
    </row>
    <row r="959" spans="1:18">
      <c r="A959" t="s">
        <v>2418</v>
      </c>
      <c r="B959" t="s">
        <v>9126</v>
      </c>
      <c r="C959">
        <v>45748</v>
      </c>
      <c r="D959" t="s">
        <v>7263</v>
      </c>
      <c r="E959" t="s">
        <v>9127</v>
      </c>
      <c r="F959">
        <v>45747</v>
      </c>
      <c r="G959" t="s">
        <v>2208</v>
      </c>
      <c r="H959" t="s">
        <v>7834</v>
      </c>
      <c r="I959" t="s">
        <v>11632</v>
      </c>
      <c r="J959">
        <v>2</v>
      </c>
      <c r="K959">
        <v>209.22</v>
      </c>
      <c r="L959" t="s">
        <v>2917</v>
      </c>
      <c r="M959">
        <v>209.22</v>
      </c>
      <c r="N959" t="s">
        <v>2917</v>
      </c>
      <c r="O959" t="s">
        <v>2208</v>
      </c>
      <c r="P959" t="s">
        <v>2208</v>
      </c>
      <c r="Q959" t="s">
        <v>2208</v>
      </c>
      <c r="R959" t="s">
        <v>2208</v>
      </c>
    </row>
    <row r="960" spans="1:18">
      <c r="A960" t="s">
        <v>2418</v>
      </c>
      <c r="B960" t="s">
        <v>9126</v>
      </c>
      <c r="C960">
        <v>45748</v>
      </c>
      <c r="D960" t="s">
        <v>7263</v>
      </c>
      <c r="E960" t="s">
        <v>9127</v>
      </c>
      <c r="F960">
        <v>45747</v>
      </c>
      <c r="G960" t="s">
        <v>2208</v>
      </c>
      <c r="H960" t="s">
        <v>7834</v>
      </c>
      <c r="I960" t="s">
        <v>11633</v>
      </c>
      <c r="J960">
        <v>2</v>
      </c>
      <c r="K960">
        <v>209.22</v>
      </c>
      <c r="L960" t="s">
        <v>2917</v>
      </c>
      <c r="M960">
        <v>209.22</v>
      </c>
      <c r="N960" t="s">
        <v>2917</v>
      </c>
      <c r="O960" t="s">
        <v>2208</v>
      </c>
      <c r="P960" t="s">
        <v>2208</v>
      </c>
      <c r="Q960" t="s">
        <v>2208</v>
      </c>
      <c r="R960" t="s">
        <v>2208</v>
      </c>
    </row>
    <row r="961" spans="1:18">
      <c r="A961" t="s">
        <v>2418</v>
      </c>
      <c r="B961" t="s">
        <v>9126</v>
      </c>
      <c r="C961">
        <v>45748</v>
      </c>
      <c r="D961" t="s">
        <v>7263</v>
      </c>
      <c r="E961" t="s">
        <v>9127</v>
      </c>
      <c r="F961">
        <v>45747</v>
      </c>
      <c r="G961" t="s">
        <v>2208</v>
      </c>
      <c r="H961" t="s">
        <v>7834</v>
      </c>
      <c r="I961" t="s">
        <v>11634</v>
      </c>
      <c r="J961">
        <v>2</v>
      </c>
      <c r="K961">
        <v>209.22</v>
      </c>
      <c r="L961" t="s">
        <v>2917</v>
      </c>
      <c r="M961">
        <v>209.22</v>
      </c>
      <c r="N961" t="s">
        <v>2917</v>
      </c>
      <c r="O961" t="s">
        <v>2208</v>
      </c>
      <c r="P961" t="s">
        <v>2208</v>
      </c>
      <c r="Q961" t="s">
        <v>2208</v>
      </c>
      <c r="R961" t="s">
        <v>2208</v>
      </c>
    </row>
    <row r="962" spans="1:18">
      <c r="A962" t="s">
        <v>2418</v>
      </c>
      <c r="B962" t="s">
        <v>9126</v>
      </c>
      <c r="C962">
        <v>45748</v>
      </c>
      <c r="D962" t="s">
        <v>7263</v>
      </c>
      <c r="E962" t="s">
        <v>9127</v>
      </c>
      <c r="F962">
        <v>45747</v>
      </c>
      <c r="G962" t="s">
        <v>2208</v>
      </c>
      <c r="H962" t="s">
        <v>7834</v>
      </c>
      <c r="I962" t="s">
        <v>11635</v>
      </c>
      <c r="J962">
        <v>2</v>
      </c>
      <c r="K962">
        <v>209.22</v>
      </c>
      <c r="L962" t="s">
        <v>2917</v>
      </c>
      <c r="M962">
        <v>209.22</v>
      </c>
      <c r="N962" t="s">
        <v>2917</v>
      </c>
      <c r="O962" t="s">
        <v>2208</v>
      </c>
      <c r="P962" t="s">
        <v>2208</v>
      </c>
      <c r="Q962" t="s">
        <v>2208</v>
      </c>
      <c r="R962" t="s">
        <v>2208</v>
      </c>
    </row>
    <row r="963" spans="1:18">
      <c r="A963" t="s">
        <v>2418</v>
      </c>
      <c r="B963" t="s">
        <v>9126</v>
      </c>
      <c r="C963">
        <v>45748</v>
      </c>
      <c r="D963" t="s">
        <v>7263</v>
      </c>
      <c r="E963" t="s">
        <v>9127</v>
      </c>
      <c r="F963">
        <v>45747</v>
      </c>
      <c r="G963" t="s">
        <v>2208</v>
      </c>
      <c r="H963" t="s">
        <v>7834</v>
      </c>
      <c r="I963" t="s">
        <v>11636</v>
      </c>
      <c r="J963">
        <v>1</v>
      </c>
      <c r="K963">
        <v>104.61</v>
      </c>
      <c r="L963" t="s">
        <v>2917</v>
      </c>
      <c r="M963">
        <v>104.61</v>
      </c>
      <c r="N963" t="s">
        <v>2917</v>
      </c>
      <c r="O963" t="s">
        <v>2208</v>
      </c>
      <c r="P963" t="s">
        <v>2208</v>
      </c>
      <c r="Q963" t="s">
        <v>2208</v>
      </c>
      <c r="R963" t="s">
        <v>2208</v>
      </c>
    </row>
    <row r="964" spans="1:18">
      <c r="A964" t="s">
        <v>2418</v>
      </c>
      <c r="B964" t="s">
        <v>9126</v>
      </c>
      <c r="C964">
        <v>45748</v>
      </c>
      <c r="D964" t="s">
        <v>7263</v>
      </c>
      <c r="E964" t="s">
        <v>9127</v>
      </c>
      <c r="F964">
        <v>45747</v>
      </c>
      <c r="G964" t="s">
        <v>2208</v>
      </c>
      <c r="H964" t="s">
        <v>7834</v>
      </c>
      <c r="I964" t="s">
        <v>11637</v>
      </c>
      <c r="J964">
        <v>1</v>
      </c>
      <c r="K964">
        <v>104.61</v>
      </c>
      <c r="L964" t="s">
        <v>2917</v>
      </c>
      <c r="M964">
        <v>104.61</v>
      </c>
      <c r="N964" t="s">
        <v>2917</v>
      </c>
      <c r="O964" t="s">
        <v>2208</v>
      </c>
      <c r="P964" t="s">
        <v>2208</v>
      </c>
      <c r="Q964" t="s">
        <v>2208</v>
      </c>
      <c r="R964" t="s">
        <v>2208</v>
      </c>
    </row>
    <row r="965" spans="1:18">
      <c r="A965" t="s">
        <v>2418</v>
      </c>
      <c r="B965" t="s">
        <v>9126</v>
      </c>
      <c r="C965">
        <v>45748</v>
      </c>
      <c r="D965" t="s">
        <v>7263</v>
      </c>
      <c r="E965" t="s">
        <v>9127</v>
      </c>
      <c r="F965">
        <v>45747</v>
      </c>
      <c r="G965" t="s">
        <v>2208</v>
      </c>
      <c r="H965" t="s">
        <v>7834</v>
      </c>
      <c r="I965" t="s">
        <v>11638</v>
      </c>
      <c r="J965">
        <v>2</v>
      </c>
      <c r="K965">
        <v>209.22</v>
      </c>
      <c r="L965" t="s">
        <v>2917</v>
      </c>
      <c r="M965">
        <v>209.22</v>
      </c>
      <c r="N965" t="s">
        <v>2917</v>
      </c>
      <c r="O965" t="s">
        <v>2208</v>
      </c>
      <c r="P965" t="s">
        <v>2208</v>
      </c>
      <c r="Q965" t="s">
        <v>2208</v>
      </c>
      <c r="R965" t="s">
        <v>2208</v>
      </c>
    </row>
    <row r="966" spans="1:18">
      <c r="A966" t="s">
        <v>2418</v>
      </c>
      <c r="B966" t="s">
        <v>9126</v>
      </c>
      <c r="C966">
        <v>45748</v>
      </c>
      <c r="D966" t="s">
        <v>7263</v>
      </c>
      <c r="E966" t="s">
        <v>9127</v>
      </c>
      <c r="F966">
        <v>45747</v>
      </c>
      <c r="G966" t="s">
        <v>2208</v>
      </c>
      <c r="H966" t="s">
        <v>7834</v>
      </c>
      <c r="I966" t="s">
        <v>11639</v>
      </c>
      <c r="J966">
        <v>0.8</v>
      </c>
      <c r="K966">
        <v>83.69</v>
      </c>
      <c r="L966" t="s">
        <v>2917</v>
      </c>
      <c r="M966">
        <v>83.69</v>
      </c>
      <c r="N966" t="s">
        <v>2917</v>
      </c>
      <c r="O966" t="s">
        <v>2208</v>
      </c>
      <c r="P966" t="s">
        <v>2208</v>
      </c>
      <c r="Q966" t="s">
        <v>2208</v>
      </c>
      <c r="R966" t="s">
        <v>2208</v>
      </c>
    </row>
    <row r="967" spans="1:18">
      <c r="A967" t="s">
        <v>2418</v>
      </c>
      <c r="B967" t="s">
        <v>9126</v>
      </c>
      <c r="C967">
        <v>45748</v>
      </c>
      <c r="D967" t="s">
        <v>7263</v>
      </c>
      <c r="E967" t="s">
        <v>9127</v>
      </c>
      <c r="F967">
        <v>45747</v>
      </c>
      <c r="G967" t="s">
        <v>2208</v>
      </c>
      <c r="H967" t="s">
        <v>7834</v>
      </c>
      <c r="I967" t="s">
        <v>11640</v>
      </c>
      <c r="J967">
        <v>1</v>
      </c>
      <c r="K967">
        <v>104.61</v>
      </c>
      <c r="L967" t="s">
        <v>2917</v>
      </c>
      <c r="M967">
        <v>104.61</v>
      </c>
      <c r="N967" t="s">
        <v>2917</v>
      </c>
      <c r="O967" t="s">
        <v>2208</v>
      </c>
      <c r="P967" t="s">
        <v>2208</v>
      </c>
      <c r="Q967" t="s">
        <v>2208</v>
      </c>
      <c r="R967" t="s">
        <v>2208</v>
      </c>
    </row>
    <row r="968" spans="1:18">
      <c r="A968" t="s">
        <v>2418</v>
      </c>
      <c r="B968" t="s">
        <v>9126</v>
      </c>
      <c r="C968">
        <v>45748</v>
      </c>
      <c r="D968" t="s">
        <v>7263</v>
      </c>
      <c r="E968" t="s">
        <v>9127</v>
      </c>
      <c r="F968">
        <v>45747</v>
      </c>
      <c r="G968" t="s">
        <v>2208</v>
      </c>
      <c r="H968" t="s">
        <v>7834</v>
      </c>
      <c r="I968" t="s">
        <v>11641</v>
      </c>
      <c r="J968">
        <v>2</v>
      </c>
      <c r="K968">
        <v>209.22</v>
      </c>
      <c r="L968" t="s">
        <v>2917</v>
      </c>
      <c r="M968">
        <v>209.22</v>
      </c>
      <c r="N968" t="s">
        <v>2917</v>
      </c>
      <c r="O968" t="s">
        <v>2208</v>
      </c>
      <c r="P968" t="s">
        <v>2208</v>
      </c>
      <c r="Q968" t="s">
        <v>2208</v>
      </c>
      <c r="R968" t="s">
        <v>2208</v>
      </c>
    </row>
    <row r="969" spans="1:18">
      <c r="A969" t="s">
        <v>2418</v>
      </c>
      <c r="B969" t="s">
        <v>9126</v>
      </c>
      <c r="C969">
        <v>45748</v>
      </c>
      <c r="D969" t="s">
        <v>7263</v>
      </c>
      <c r="E969" t="s">
        <v>9127</v>
      </c>
      <c r="F969">
        <v>45747</v>
      </c>
      <c r="G969" t="s">
        <v>2208</v>
      </c>
      <c r="H969" t="s">
        <v>7834</v>
      </c>
      <c r="I969" t="s">
        <v>11642</v>
      </c>
      <c r="J969">
        <v>3</v>
      </c>
      <c r="K969">
        <v>313.83</v>
      </c>
      <c r="L969" t="s">
        <v>2917</v>
      </c>
      <c r="M969">
        <v>313.83</v>
      </c>
      <c r="N969" t="s">
        <v>2917</v>
      </c>
      <c r="O969" t="s">
        <v>2208</v>
      </c>
      <c r="P969" t="s">
        <v>2208</v>
      </c>
      <c r="Q969" t="s">
        <v>2208</v>
      </c>
      <c r="R969" t="s">
        <v>2208</v>
      </c>
    </row>
    <row r="970" spans="1:18">
      <c r="A970" t="s">
        <v>2418</v>
      </c>
      <c r="B970" t="s">
        <v>9126</v>
      </c>
      <c r="C970">
        <v>45748</v>
      </c>
      <c r="D970" t="s">
        <v>7263</v>
      </c>
      <c r="E970" t="s">
        <v>9127</v>
      </c>
      <c r="F970">
        <v>45747</v>
      </c>
      <c r="G970" t="s">
        <v>2208</v>
      </c>
      <c r="H970" t="s">
        <v>7834</v>
      </c>
      <c r="I970" t="s">
        <v>11643</v>
      </c>
      <c r="J970">
        <v>4</v>
      </c>
      <c r="K970">
        <v>418.44</v>
      </c>
      <c r="L970" t="s">
        <v>2917</v>
      </c>
      <c r="M970">
        <v>418.44</v>
      </c>
      <c r="N970" t="s">
        <v>2917</v>
      </c>
      <c r="O970" t="s">
        <v>2208</v>
      </c>
      <c r="P970" t="s">
        <v>2208</v>
      </c>
      <c r="Q970" t="s">
        <v>2208</v>
      </c>
      <c r="R970" t="s">
        <v>2208</v>
      </c>
    </row>
    <row r="971" spans="1:18">
      <c r="A971" t="s">
        <v>2418</v>
      </c>
      <c r="B971" t="s">
        <v>9126</v>
      </c>
      <c r="C971">
        <v>45748</v>
      </c>
      <c r="D971" t="s">
        <v>7263</v>
      </c>
      <c r="E971" t="s">
        <v>9127</v>
      </c>
      <c r="F971">
        <v>45747</v>
      </c>
      <c r="G971" t="s">
        <v>2208</v>
      </c>
      <c r="H971" t="s">
        <v>7834</v>
      </c>
      <c r="I971" t="s">
        <v>11644</v>
      </c>
      <c r="J971">
        <v>1</v>
      </c>
      <c r="K971">
        <v>104.61</v>
      </c>
      <c r="L971" t="s">
        <v>2917</v>
      </c>
      <c r="M971">
        <v>104.61</v>
      </c>
      <c r="N971" t="s">
        <v>2917</v>
      </c>
      <c r="O971" t="s">
        <v>2208</v>
      </c>
      <c r="P971" t="s">
        <v>2208</v>
      </c>
      <c r="Q971" t="s">
        <v>2208</v>
      </c>
      <c r="R971" t="s">
        <v>2208</v>
      </c>
    </row>
    <row r="972" spans="1:18">
      <c r="A972" t="s">
        <v>2418</v>
      </c>
      <c r="B972" t="s">
        <v>9126</v>
      </c>
      <c r="C972">
        <v>45748</v>
      </c>
      <c r="D972" t="s">
        <v>7263</v>
      </c>
      <c r="E972" t="s">
        <v>9127</v>
      </c>
      <c r="F972">
        <v>45747</v>
      </c>
      <c r="G972" t="s">
        <v>2208</v>
      </c>
      <c r="H972" t="s">
        <v>7834</v>
      </c>
      <c r="I972" t="s">
        <v>11645</v>
      </c>
      <c r="J972">
        <v>1</v>
      </c>
      <c r="K972">
        <v>104.61</v>
      </c>
      <c r="L972" t="s">
        <v>2917</v>
      </c>
      <c r="M972">
        <v>104.61</v>
      </c>
      <c r="N972" t="s">
        <v>2917</v>
      </c>
      <c r="O972" t="s">
        <v>2208</v>
      </c>
      <c r="P972" t="s">
        <v>2208</v>
      </c>
      <c r="Q972" t="s">
        <v>2208</v>
      </c>
      <c r="R972" t="s">
        <v>2208</v>
      </c>
    </row>
    <row r="973" spans="1:18">
      <c r="A973" t="s">
        <v>2418</v>
      </c>
      <c r="B973" t="s">
        <v>9126</v>
      </c>
      <c r="C973">
        <v>45748</v>
      </c>
      <c r="D973" t="s">
        <v>7263</v>
      </c>
      <c r="E973" t="s">
        <v>9127</v>
      </c>
      <c r="F973">
        <v>45747</v>
      </c>
      <c r="G973" t="s">
        <v>2208</v>
      </c>
      <c r="H973" t="s">
        <v>7834</v>
      </c>
      <c r="I973" t="s">
        <v>11646</v>
      </c>
      <c r="J973">
        <v>2</v>
      </c>
      <c r="K973">
        <v>209.22</v>
      </c>
      <c r="L973" t="s">
        <v>2917</v>
      </c>
      <c r="M973">
        <v>209.22</v>
      </c>
      <c r="N973" t="s">
        <v>2917</v>
      </c>
      <c r="O973" t="s">
        <v>2208</v>
      </c>
      <c r="P973" t="s">
        <v>2208</v>
      </c>
      <c r="Q973" t="s">
        <v>2208</v>
      </c>
      <c r="R973" t="s">
        <v>2208</v>
      </c>
    </row>
    <row r="974" spans="1:18">
      <c r="A974" t="s">
        <v>2418</v>
      </c>
      <c r="B974" t="s">
        <v>9126</v>
      </c>
      <c r="C974">
        <v>45748</v>
      </c>
      <c r="D974" t="s">
        <v>7263</v>
      </c>
      <c r="E974" t="s">
        <v>9127</v>
      </c>
      <c r="F974">
        <v>45747</v>
      </c>
      <c r="G974" t="s">
        <v>2208</v>
      </c>
      <c r="H974" t="s">
        <v>7834</v>
      </c>
      <c r="I974" t="s">
        <v>11647</v>
      </c>
      <c r="J974">
        <v>1</v>
      </c>
      <c r="K974">
        <v>104.61</v>
      </c>
      <c r="L974" t="s">
        <v>2917</v>
      </c>
      <c r="M974">
        <v>104.61</v>
      </c>
      <c r="N974" t="s">
        <v>2917</v>
      </c>
      <c r="O974" t="s">
        <v>2208</v>
      </c>
      <c r="P974" t="s">
        <v>2208</v>
      </c>
      <c r="Q974" t="s">
        <v>2208</v>
      </c>
      <c r="R974" t="s">
        <v>2208</v>
      </c>
    </row>
    <row r="975" spans="1:18">
      <c r="A975" t="s">
        <v>2418</v>
      </c>
      <c r="B975" t="s">
        <v>9126</v>
      </c>
      <c r="C975">
        <v>45748</v>
      </c>
      <c r="D975" t="s">
        <v>7263</v>
      </c>
      <c r="E975" t="s">
        <v>9127</v>
      </c>
      <c r="F975">
        <v>45747</v>
      </c>
      <c r="G975" t="s">
        <v>2208</v>
      </c>
      <c r="H975" t="s">
        <v>7834</v>
      </c>
      <c r="I975" t="s">
        <v>11648</v>
      </c>
      <c r="J975">
        <v>3</v>
      </c>
      <c r="K975">
        <v>313.83</v>
      </c>
      <c r="L975" t="s">
        <v>2917</v>
      </c>
      <c r="M975">
        <v>313.83</v>
      </c>
      <c r="N975" t="s">
        <v>2917</v>
      </c>
      <c r="O975" t="s">
        <v>2208</v>
      </c>
      <c r="P975" t="s">
        <v>2208</v>
      </c>
      <c r="Q975" t="s">
        <v>2208</v>
      </c>
      <c r="R975" t="s">
        <v>2208</v>
      </c>
    </row>
    <row r="976" spans="1:18">
      <c r="A976" t="s">
        <v>2418</v>
      </c>
      <c r="B976" t="s">
        <v>9126</v>
      </c>
      <c r="C976">
        <v>45748</v>
      </c>
      <c r="D976" t="s">
        <v>7263</v>
      </c>
      <c r="E976" t="s">
        <v>9127</v>
      </c>
      <c r="F976">
        <v>45747</v>
      </c>
      <c r="G976" t="s">
        <v>2208</v>
      </c>
      <c r="H976" t="s">
        <v>7834</v>
      </c>
      <c r="I976" t="s">
        <v>11649</v>
      </c>
      <c r="J976">
        <v>2</v>
      </c>
      <c r="K976">
        <v>209.22</v>
      </c>
      <c r="L976" t="s">
        <v>2917</v>
      </c>
      <c r="M976">
        <v>209.22</v>
      </c>
      <c r="N976" t="s">
        <v>2917</v>
      </c>
      <c r="O976" t="s">
        <v>2208</v>
      </c>
      <c r="P976" t="s">
        <v>2208</v>
      </c>
      <c r="Q976" t="s">
        <v>2208</v>
      </c>
      <c r="R976" t="s">
        <v>2208</v>
      </c>
    </row>
    <row r="977" spans="1:18">
      <c r="A977" t="s">
        <v>2418</v>
      </c>
      <c r="B977" t="s">
        <v>9126</v>
      </c>
      <c r="C977">
        <v>45748</v>
      </c>
      <c r="D977" t="s">
        <v>7263</v>
      </c>
      <c r="E977" t="s">
        <v>9127</v>
      </c>
      <c r="F977">
        <v>45747</v>
      </c>
      <c r="G977" t="s">
        <v>2208</v>
      </c>
      <c r="H977" t="s">
        <v>7834</v>
      </c>
      <c r="I977" t="s">
        <v>11650</v>
      </c>
      <c r="J977">
        <v>3</v>
      </c>
      <c r="K977">
        <v>313.83</v>
      </c>
      <c r="L977" t="s">
        <v>2917</v>
      </c>
      <c r="M977">
        <v>313.83</v>
      </c>
      <c r="N977" t="s">
        <v>2917</v>
      </c>
      <c r="O977" t="s">
        <v>2208</v>
      </c>
      <c r="P977" t="s">
        <v>2208</v>
      </c>
      <c r="Q977" t="s">
        <v>2208</v>
      </c>
      <c r="R977" t="s">
        <v>2208</v>
      </c>
    </row>
    <row r="978" spans="1:18">
      <c r="A978" t="s">
        <v>2501</v>
      </c>
      <c r="B978" t="s">
        <v>9126</v>
      </c>
      <c r="C978">
        <v>45748</v>
      </c>
      <c r="D978" t="s">
        <v>7263</v>
      </c>
      <c r="E978" t="s">
        <v>9127</v>
      </c>
      <c r="F978">
        <v>45747</v>
      </c>
      <c r="G978" t="s">
        <v>2208</v>
      </c>
      <c r="H978" t="s">
        <v>7834</v>
      </c>
      <c r="I978" t="s">
        <v>11651</v>
      </c>
      <c r="J978">
        <v>1</v>
      </c>
      <c r="K978">
        <v>104.61</v>
      </c>
      <c r="L978" t="s">
        <v>2917</v>
      </c>
      <c r="M978">
        <v>104.61</v>
      </c>
      <c r="N978" t="s">
        <v>2917</v>
      </c>
      <c r="O978" t="s">
        <v>2208</v>
      </c>
      <c r="P978" t="s">
        <v>2208</v>
      </c>
      <c r="Q978" t="s">
        <v>2208</v>
      </c>
      <c r="R978" t="s">
        <v>2208</v>
      </c>
    </row>
    <row r="979" spans="1:18">
      <c r="A979" t="s">
        <v>2501</v>
      </c>
      <c r="B979" t="s">
        <v>9126</v>
      </c>
      <c r="C979">
        <v>45748</v>
      </c>
      <c r="D979" t="s">
        <v>7263</v>
      </c>
      <c r="E979" t="s">
        <v>9127</v>
      </c>
      <c r="F979">
        <v>45747</v>
      </c>
      <c r="G979" t="s">
        <v>2208</v>
      </c>
      <c r="H979" t="s">
        <v>7834</v>
      </c>
      <c r="I979" t="s">
        <v>11652</v>
      </c>
      <c r="J979">
        <v>1</v>
      </c>
      <c r="K979">
        <v>104.61</v>
      </c>
      <c r="L979" t="s">
        <v>2917</v>
      </c>
      <c r="M979">
        <v>104.61</v>
      </c>
      <c r="N979" t="s">
        <v>2917</v>
      </c>
      <c r="O979" t="s">
        <v>2208</v>
      </c>
      <c r="P979" t="s">
        <v>2208</v>
      </c>
      <c r="Q979" t="s">
        <v>2208</v>
      </c>
      <c r="R979" t="s">
        <v>2208</v>
      </c>
    </row>
    <row r="980" spans="1:18">
      <c r="A980" t="s">
        <v>2501</v>
      </c>
      <c r="B980" t="s">
        <v>9126</v>
      </c>
      <c r="C980">
        <v>45748</v>
      </c>
      <c r="D980" t="s">
        <v>7263</v>
      </c>
      <c r="E980" t="s">
        <v>9127</v>
      </c>
      <c r="F980">
        <v>45747</v>
      </c>
      <c r="G980" t="s">
        <v>2208</v>
      </c>
      <c r="H980" t="s">
        <v>7834</v>
      </c>
      <c r="I980" t="s">
        <v>11653</v>
      </c>
      <c r="J980">
        <v>0.5</v>
      </c>
      <c r="K980">
        <v>52.31</v>
      </c>
      <c r="L980" t="s">
        <v>2917</v>
      </c>
      <c r="M980">
        <v>52.31</v>
      </c>
      <c r="N980" t="s">
        <v>2917</v>
      </c>
      <c r="O980" t="s">
        <v>2208</v>
      </c>
      <c r="P980" t="s">
        <v>2208</v>
      </c>
      <c r="Q980" t="s">
        <v>2208</v>
      </c>
      <c r="R980" t="s">
        <v>2208</v>
      </c>
    </row>
    <row r="981" spans="1:18">
      <c r="A981" t="s">
        <v>2501</v>
      </c>
      <c r="B981" t="s">
        <v>9126</v>
      </c>
      <c r="C981">
        <v>45748</v>
      </c>
      <c r="D981" t="s">
        <v>7263</v>
      </c>
      <c r="E981" t="s">
        <v>9127</v>
      </c>
      <c r="F981">
        <v>45747</v>
      </c>
      <c r="G981" t="s">
        <v>2208</v>
      </c>
      <c r="H981" t="s">
        <v>7834</v>
      </c>
      <c r="I981" t="s">
        <v>11654</v>
      </c>
      <c r="J981">
        <v>0.5</v>
      </c>
      <c r="K981">
        <v>52.31</v>
      </c>
      <c r="L981" t="s">
        <v>2917</v>
      </c>
      <c r="M981">
        <v>52.31</v>
      </c>
      <c r="N981" t="s">
        <v>2917</v>
      </c>
      <c r="O981" t="s">
        <v>2208</v>
      </c>
      <c r="P981" t="s">
        <v>2208</v>
      </c>
      <c r="Q981" t="s">
        <v>2208</v>
      </c>
      <c r="R981" t="s">
        <v>2208</v>
      </c>
    </row>
    <row r="982" spans="1:18">
      <c r="A982" t="s">
        <v>2501</v>
      </c>
      <c r="B982" t="s">
        <v>9126</v>
      </c>
      <c r="C982">
        <v>45748</v>
      </c>
      <c r="D982" t="s">
        <v>7263</v>
      </c>
      <c r="E982" t="s">
        <v>9127</v>
      </c>
      <c r="F982">
        <v>45747</v>
      </c>
      <c r="G982" t="s">
        <v>2208</v>
      </c>
      <c r="H982" t="s">
        <v>7834</v>
      </c>
      <c r="I982" t="s">
        <v>11655</v>
      </c>
      <c r="J982">
        <v>1</v>
      </c>
      <c r="K982">
        <v>104.61</v>
      </c>
      <c r="L982" t="s">
        <v>2917</v>
      </c>
      <c r="M982">
        <v>104.61</v>
      </c>
      <c r="N982" t="s">
        <v>2917</v>
      </c>
      <c r="O982" t="s">
        <v>2208</v>
      </c>
      <c r="P982" t="s">
        <v>2208</v>
      </c>
      <c r="Q982" t="s">
        <v>2208</v>
      </c>
      <c r="R982" t="s">
        <v>2208</v>
      </c>
    </row>
    <row r="983" spans="1:18">
      <c r="A983" t="s">
        <v>2501</v>
      </c>
      <c r="B983" t="s">
        <v>9126</v>
      </c>
      <c r="C983">
        <v>45748</v>
      </c>
      <c r="D983" t="s">
        <v>7263</v>
      </c>
      <c r="E983" t="s">
        <v>9127</v>
      </c>
      <c r="F983">
        <v>45747</v>
      </c>
      <c r="G983" t="s">
        <v>2208</v>
      </c>
      <c r="H983" t="s">
        <v>7834</v>
      </c>
      <c r="I983" t="s">
        <v>11656</v>
      </c>
      <c r="J983">
        <v>1</v>
      </c>
      <c r="K983">
        <v>104.61</v>
      </c>
      <c r="L983" t="s">
        <v>2917</v>
      </c>
      <c r="M983">
        <v>104.61</v>
      </c>
      <c r="N983" t="s">
        <v>2917</v>
      </c>
      <c r="O983" t="s">
        <v>2208</v>
      </c>
      <c r="P983" t="s">
        <v>2208</v>
      </c>
      <c r="Q983" t="s">
        <v>2208</v>
      </c>
      <c r="R983" t="s">
        <v>2208</v>
      </c>
    </row>
    <row r="984" spans="1:18">
      <c r="A984" t="s">
        <v>2501</v>
      </c>
      <c r="B984" t="s">
        <v>9126</v>
      </c>
      <c r="C984">
        <v>45748</v>
      </c>
      <c r="D984" t="s">
        <v>7263</v>
      </c>
      <c r="E984" t="s">
        <v>9127</v>
      </c>
      <c r="F984">
        <v>45747</v>
      </c>
      <c r="G984" t="s">
        <v>2208</v>
      </c>
      <c r="H984" t="s">
        <v>7834</v>
      </c>
      <c r="I984" t="s">
        <v>11657</v>
      </c>
      <c r="J984">
        <v>7</v>
      </c>
      <c r="K984">
        <v>732.27</v>
      </c>
      <c r="L984" t="s">
        <v>2917</v>
      </c>
      <c r="M984">
        <v>732.27</v>
      </c>
      <c r="N984" t="s">
        <v>2917</v>
      </c>
      <c r="O984" t="s">
        <v>2208</v>
      </c>
      <c r="P984" t="s">
        <v>2208</v>
      </c>
      <c r="Q984" t="s">
        <v>2208</v>
      </c>
      <c r="R984" t="s">
        <v>2208</v>
      </c>
    </row>
    <row r="985" spans="1:18">
      <c r="A985" t="s">
        <v>2501</v>
      </c>
      <c r="B985" t="s">
        <v>9126</v>
      </c>
      <c r="C985">
        <v>45748</v>
      </c>
      <c r="D985" t="s">
        <v>7263</v>
      </c>
      <c r="E985" t="s">
        <v>9127</v>
      </c>
      <c r="F985">
        <v>45747</v>
      </c>
      <c r="G985" t="s">
        <v>2208</v>
      </c>
      <c r="H985" t="s">
        <v>7834</v>
      </c>
      <c r="I985" t="s">
        <v>11658</v>
      </c>
      <c r="J985">
        <v>8</v>
      </c>
      <c r="K985">
        <v>836.88</v>
      </c>
      <c r="L985" t="s">
        <v>2917</v>
      </c>
      <c r="M985">
        <v>836.88</v>
      </c>
      <c r="N985" t="s">
        <v>2917</v>
      </c>
      <c r="O985" t="s">
        <v>2208</v>
      </c>
      <c r="P985" t="s">
        <v>2208</v>
      </c>
      <c r="Q985" t="s">
        <v>2208</v>
      </c>
      <c r="R985" t="s">
        <v>2208</v>
      </c>
    </row>
    <row r="986" spans="1:18">
      <c r="A986" t="s">
        <v>2501</v>
      </c>
      <c r="B986" t="s">
        <v>9126</v>
      </c>
      <c r="C986">
        <v>45748</v>
      </c>
      <c r="D986" t="s">
        <v>7263</v>
      </c>
      <c r="E986" t="s">
        <v>9127</v>
      </c>
      <c r="F986">
        <v>45747</v>
      </c>
      <c r="G986" t="s">
        <v>2208</v>
      </c>
      <c r="H986" t="s">
        <v>7834</v>
      </c>
      <c r="I986" t="s">
        <v>11659</v>
      </c>
      <c r="J986">
        <v>8</v>
      </c>
      <c r="K986">
        <v>836.88</v>
      </c>
      <c r="L986" t="s">
        <v>2917</v>
      </c>
      <c r="M986">
        <v>836.88</v>
      </c>
      <c r="N986" t="s">
        <v>2917</v>
      </c>
      <c r="O986" t="s">
        <v>2208</v>
      </c>
      <c r="P986" t="s">
        <v>2208</v>
      </c>
      <c r="Q986" t="s">
        <v>2208</v>
      </c>
      <c r="R986" t="s">
        <v>2208</v>
      </c>
    </row>
    <row r="987" spans="1:18">
      <c r="A987" t="s">
        <v>2501</v>
      </c>
      <c r="B987" t="s">
        <v>9126</v>
      </c>
      <c r="C987">
        <v>45748</v>
      </c>
      <c r="D987" t="s">
        <v>7263</v>
      </c>
      <c r="E987" t="s">
        <v>9127</v>
      </c>
      <c r="F987">
        <v>45747</v>
      </c>
      <c r="G987" t="s">
        <v>2208</v>
      </c>
      <c r="H987" t="s">
        <v>7834</v>
      </c>
      <c r="I987" t="s">
        <v>11660</v>
      </c>
      <c r="J987">
        <v>7</v>
      </c>
      <c r="K987">
        <v>732.27</v>
      </c>
      <c r="L987" t="s">
        <v>2917</v>
      </c>
      <c r="M987">
        <v>732.27</v>
      </c>
      <c r="N987" t="s">
        <v>2917</v>
      </c>
      <c r="O987" t="s">
        <v>2208</v>
      </c>
      <c r="P987" t="s">
        <v>2208</v>
      </c>
      <c r="Q987" t="s">
        <v>2208</v>
      </c>
      <c r="R987" t="s">
        <v>2208</v>
      </c>
    </row>
    <row r="988" spans="1:18">
      <c r="A988" t="s">
        <v>2501</v>
      </c>
      <c r="B988" t="s">
        <v>9126</v>
      </c>
      <c r="C988">
        <v>45748</v>
      </c>
      <c r="D988" t="s">
        <v>7263</v>
      </c>
      <c r="E988" t="s">
        <v>9127</v>
      </c>
      <c r="F988">
        <v>45747</v>
      </c>
      <c r="G988" t="s">
        <v>2208</v>
      </c>
      <c r="H988" t="s">
        <v>7834</v>
      </c>
      <c r="I988" t="s">
        <v>11661</v>
      </c>
      <c r="J988">
        <v>8</v>
      </c>
      <c r="K988">
        <v>836.88</v>
      </c>
      <c r="L988" t="s">
        <v>2917</v>
      </c>
      <c r="M988">
        <v>836.88</v>
      </c>
      <c r="N988" t="s">
        <v>2917</v>
      </c>
      <c r="O988" t="s">
        <v>2208</v>
      </c>
      <c r="P988" t="s">
        <v>2208</v>
      </c>
      <c r="Q988" t="s">
        <v>2208</v>
      </c>
      <c r="R988" t="s">
        <v>2208</v>
      </c>
    </row>
    <row r="989" spans="1:18">
      <c r="A989" t="s">
        <v>2501</v>
      </c>
      <c r="B989" t="s">
        <v>9126</v>
      </c>
      <c r="C989">
        <v>45748</v>
      </c>
      <c r="D989" t="s">
        <v>7263</v>
      </c>
      <c r="E989" t="s">
        <v>9127</v>
      </c>
      <c r="F989">
        <v>45747</v>
      </c>
      <c r="G989" t="s">
        <v>2208</v>
      </c>
      <c r="H989" t="s">
        <v>7834</v>
      </c>
      <c r="I989" t="s">
        <v>11662</v>
      </c>
      <c r="J989">
        <v>7</v>
      </c>
      <c r="K989">
        <v>732.27</v>
      </c>
      <c r="L989" t="s">
        <v>2917</v>
      </c>
      <c r="M989">
        <v>732.27</v>
      </c>
      <c r="N989" t="s">
        <v>2917</v>
      </c>
      <c r="O989" t="s">
        <v>2208</v>
      </c>
      <c r="P989" t="s">
        <v>2208</v>
      </c>
      <c r="Q989" t="s">
        <v>2208</v>
      </c>
      <c r="R989" t="s">
        <v>2208</v>
      </c>
    </row>
    <row r="990" spans="1:18">
      <c r="A990" t="s">
        <v>2501</v>
      </c>
      <c r="B990" t="s">
        <v>9126</v>
      </c>
      <c r="C990">
        <v>45748</v>
      </c>
      <c r="D990" t="s">
        <v>7263</v>
      </c>
      <c r="E990" t="s">
        <v>9127</v>
      </c>
      <c r="F990">
        <v>45747</v>
      </c>
      <c r="G990" t="s">
        <v>2208</v>
      </c>
      <c r="H990" t="s">
        <v>7834</v>
      </c>
      <c r="I990" t="s">
        <v>11663</v>
      </c>
      <c r="J990">
        <v>0.5</v>
      </c>
      <c r="K990">
        <v>52.31</v>
      </c>
      <c r="L990" t="s">
        <v>2917</v>
      </c>
      <c r="M990">
        <v>52.31</v>
      </c>
      <c r="N990" t="s">
        <v>2917</v>
      </c>
      <c r="O990" t="s">
        <v>2208</v>
      </c>
      <c r="P990" t="s">
        <v>2208</v>
      </c>
      <c r="Q990" t="s">
        <v>2208</v>
      </c>
      <c r="R990" t="s">
        <v>2208</v>
      </c>
    </row>
    <row r="991" spans="1:18">
      <c r="A991" t="s">
        <v>2501</v>
      </c>
      <c r="B991" t="s">
        <v>9126</v>
      </c>
      <c r="C991">
        <v>45748</v>
      </c>
      <c r="D991" t="s">
        <v>7263</v>
      </c>
      <c r="E991" t="s">
        <v>9127</v>
      </c>
      <c r="F991">
        <v>45747</v>
      </c>
      <c r="G991" t="s">
        <v>2208</v>
      </c>
      <c r="H991" t="s">
        <v>7834</v>
      </c>
      <c r="I991" t="s">
        <v>11664</v>
      </c>
      <c r="J991">
        <v>0.5</v>
      </c>
      <c r="K991">
        <v>52.31</v>
      </c>
      <c r="L991" t="s">
        <v>2917</v>
      </c>
      <c r="M991">
        <v>52.31</v>
      </c>
      <c r="N991" t="s">
        <v>2917</v>
      </c>
      <c r="O991" t="s">
        <v>2208</v>
      </c>
      <c r="P991" t="s">
        <v>2208</v>
      </c>
      <c r="Q991" t="s">
        <v>2208</v>
      </c>
      <c r="R991" t="s">
        <v>2208</v>
      </c>
    </row>
    <row r="992" spans="1:18">
      <c r="A992" t="s">
        <v>2681</v>
      </c>
      <c r="B992" t="s">
        <v>9126</v>
      </c>
      <c r="C992">
        <v>45748</v>
      </c>
      <c r="D992" t="s">
        <v>7263</v>
      </c>
      <c r="E992" t="s">
        <v>9127</v>
      </c>
      <c r="F992">
        <v>45747</v>
      </c>
      <c r="G992" t="s">
        <v>2208</v>
      </c>
      <c r="H992" t="s">
        <v>7834</v>
      </c>
      <c r="I992" t="s">
        <v>11665</v>
      </c>
      <c r="J992">
        <v>0.5</v>
      </c>
      <c r="K992">
        <v>52.31</v>
      </c>
      <c r="L992" t="s">
        <v>2917</v>
      </c>
      <c r="M992">
        <v>52.31</v>
      </c>
      <c r="N992" t="s">
        <v>2917</v>
      </c>
      <c r="O992" t="s">
        <v>2208</v>
      </c>
      <c r="P992" t="s">
        <v>2208</v>
      </c>
      <c r="Q992" t="s">
        <v>2208</v>
      </c>
      <c r="R992" t="s">
        <v>2208</v>
      </c>
    </row>
    <row r="993" spans="1:18">
      <c r="A993" t="s">
        <v>2681</v>
      </c>
      <c r="B993" t="s">
        <v>9126</v>
      </c>
      <c r="C993">
        <v>45748</v>
      </c>
      <c r="D993" t="s">
        <v>7263</v>
      </c>
      <c r="E993" t="s">
        <v>9127</v>
      </c>
      <c r="F993">
        <v>45747</v>
      </c>
      <c r="G993" t="s">
        <v>2208</v>
      </c>
      <c r="H993" t="s">
        <v>7834</v>
      </c>
      <c r="I993" t="s">
        <v>11666</v>
      </c>
      <c r="J993">
        <v>0.5</v>
      </c>
      <c r="K993">
        <v>52.31</v>
      </c>
      <c r="L993" t="s">
        <v>2917</v>
      </c>
      <c r="M993">
        <v>52.31</v>
      </c>
      <c r="N993" t="s">
        <v>2917</v>
      </c>
      <c r="O993" t="s">
        <v>2208</v>
      </c>
      <c r="P993" t="s">
        <v>2208</v>
      </c>
      <c r="Q993" t="s">
        <v>2208</v>
      </c>
      <c r="R993" t="s">
        <v>2208</v>
      </c>
    </row>
    <row r="994" spans="1:18">
      <c r="A994" t="s">
        <v>2681</v>
      </c>
      <c r="B994" t="s">
        <v>9126</v>
      </c>
      <c r="C994">
        <v>45748</v>
      </c>
      <c r="D994" t="s">
        <v>7263</v>
      </c>
      <c r="E994" t="s">
        <v>9127</v>
      </c>
      <c r="F994">
        <v>45747</v>
      </c>
      <c r="G994" t="s">
        <v>2208</v>
      </c>
      <c r="H994" t="s">
        <v>7834</v>
      </c>
      <c r="I994" t="s">
        <v>11667</v>
      </c>
      <c r="J994">
        <v>1</v>
      </c>
      <c r="K994">
        <v>104.61</v>
      </c>
      <c r="L994" t="s">
        <v>2917</v>
      </c>
      <c r="M994">
        <v>104.61</v>
      </c>
      <c r="N994" t="s">
        <v>2917</v>
      </c>
      <c r="O994" t="s">
        <v>2208</v>
      </c>
      <c r="P994" t="s">
        <v>2208</v>
      </c>
      <c r="Q994" t="s">
        <v>2208</v>
      </c>
      <c r="R994" t="s">
        <v>2208</v>
      </c>
    </row>
    <row r="995" spans="1:18">
      <c r="A995" t="s">
        <v>2681</v>
      </c>
      <c r="B995" t="s">
        <v>9126</v>
      </c>
      <c r="C995">
        <v>45748</v>
      </c>
      <c r="D995" t="s">
        <v>7263</v>
      </c>
      <c r="E995" t="s">
        <v>9127</v>
      </c>
      <c r="F995">
        <v>45747</v>
      </c>
      <c r="G995" t="s">
        <v>2208</v>
      </c>
      <c r="H995" t="s">
        <v>7834</v>
      </c>
      <c r="I995" t="s">
        <v>11668</v>
      </c>
      <c r="J995">
        <v>1</v>
      </c>
      <c r="K995">
        <v>104.61</v>
      </c>
      <c r="L995" t="s">
        <v>2917</v>
      </c>
      <c r="M995">
        <v>104.61</v>
      </c>
      <c r="N995" t="s">
        <v>2917</v>
      </c>
      <c r="O995" t="s">
        <v>2208</v>
      </c>
      <c r="P995" t="s">
        <v>2208</v>
      </c>
      <c r="Q995" t="s">
        <v>2208</v>
      </c>
      <c r="R995" t="s">
        <v>2208</v>
      </c>
    </row>
    <row r="996" spans="1:18">
      <c r="A996" t="s">
        <v>2681</v>
      </c>
      <c r="B996" t="s">
        <v>9126</v>
      </c>
      <c r="C996">
        <v>45748</v>
      </c>
      <c r="D996" t="s">
        <v>7263</v>
      </c>
      <c r="E996" t="s">
        <v>9127</v>
      </c>
      <c r="F996">
        <v>45747</v>
      </c>
      <c r="G996" t="s">
        <v>2208</v>
      </c>
      <c r="H996" t="s">
        <v>7834</v>
      </c>
      <c r="I996" t="s">
        <v>11669</v>
      </c>
      <c r="J996">
        <v>0.5</v>
      </c>
      <c r="K996">
        <v>52.31</v>
      </c>
      <c r="L996" t="s">
        <v>2917</v>
      </c>
      <c r="M996">
        <v>52.31</v>
      </c>
      <c r="N996" t="s">
        <v>2917</v>
      </c>
      <c r="O996" t="s">
        <v>2208</v>
      </c>
      <c r="P996" t="s">
        <v>2208</v>
      </c>
      <c r="Q996" t="s">
        <v>2208</v>
      </c>
      <c r="R996" t="s">
        <v>2208</v>
      </c>
    </row>
    <row r="997" spans="1:18">
      <c r="A997" t="s">
        <v>2681</v>
      </c>
      <c r="B997" t="s">
        <v>9126</v>
      </c>
      <c r="C997">
        <v>45748</v>
      </c>
      <c r="D997" t="s">
        <v>7263</v>
      </c>
      <c r="E997" t="s">
        <v>9127</v>
      </c>
      <c r="F997">
        <v>45747</v>
      </c>
      <c r="G997" t="s">
        <v>2208</v>
      </c>
      <c r="H997" t="s">
        <v>7834</v>
      </c>
      <c r="I997" t="s">
        <v>11670</v>
      </c>
      <c r="J997">
        <v>0.5</v>
      </c>
      <c r="K997">
        <v>52.31</v>
      </c>
      <c r="L997" t="s">
        <v>2917</v>
      </c>
      <c r="M997">
        <v>52.31</v>
      </c>
      <c r="N997" t="s">
        <v>2917</v>
      </c>
      <c r="O997" t="s">
        <v>2208</v>
      </c>
      <c r="P997" t="s">
        <v>2208</v>
      </c>
      <c r="Q997" t="s">
        <v>2208</v>
      </c>
      <c r="R997" t="s">
        <v>2208</v>
      </c>
    </row>
    <row r="998" spans="1:18">
      <c r="A998" t="s">
        <v>2724</v>
      </c>
      <c r="B998" t="s">
        <v>9126</v>
      </c>
      <c r="C998">
        <v>45748</v>
      </c>
      <c r="D998" t="s">
        <v>7263</v>
      </c>
      <c r="E998" t="s">
        <v>9127</v>
      </c>
      <c r="F998">
        <v>45747</v>
      </c>
      <c r="G998" t="s">
        <v>2208</v>
      </c>
      <c r="H998" t="s">
        <v>7834</v>
      </c>
      <c r="I998" t="s">
        <v>11671</v>
      </c>
      <c r="J998">
        <v>1</v>
      </c>
      <c r="K998">
        <v>104.61</v>
      </c>
      <c r="L998" t="s">
        <v>2917</v>
      </c>
      <c r="M998">
        <v>104.61</v>
      </c>
      <c r="N998" t="s">
        <v>2917</v>
      </c>
      <c r="O998" t="s">
        <v>2208</v>
      </c>
      <c r="P998" t="s">
        <v>2208</v>
      </c>
      <c r="Q998" t="s">
        <v>2208</v>
      </c>
      <c r="R998" t="s">
        <v>2208</v>
      </c>
    </row>
    <row r="999" spans="1:18">
      <c r="A999" t="s">
        <v>2724</v>
      </c>
      <c r="B999" t="s">
        <v>9126</v>
      </c>
      <c r="C999">
        <v>45748</v>
      </c>
      <c r="D999" t="s">
        <v>7263</v>
      </c>
      <c r="E999" t="s">
        <v>9127</v>
      </c>
      <c r="F999">
        <v>45747</v>
      </c>
      <c r="G999" t="s">
        <v>2208</v>
      </c>
      <c r="H999" t="s">
        <v>7834</v>
      </c>
      <c r="I999" t="s">
        <v>11672</v>
      </c>
      <c r="J999">
        <v>0.5</v>
      </c>
      <c r="K999">
        <v>52.31</v>
      </c>
      <c r="L999" t="s">
        <v>2917</v>
      </c>
      <c r="M999">
        <v>52.31</v>
      </c>
      <c r="N999" t="s">
        <v>2917</v>
      </c>
      <c r="O999" t="s">
        <v>2208</v>
      </c>
      <c r="P999" t="s">
        <v>2208</v>
      </c>
      <c r="Q999" t="s">
        <v>2208</v>
      </c>
      <c r="R999" t="s">
        <v>2208</v>
      </c>
    </row>
    <row r="1000" spans="1:18">
      <c r="A1000" t="s">
        <v>2724</v>
      </c>
      <c r="B1000" t="s">
        <v>9126</v>
      </c>
      <c r="C1000">
        <v>45748</v>
      </c>
      <c r="D1000" t="s">
        <v>7263</v>
      </c>
      <c r="E1000" t="s">
        <v>9127</v>
      </c>
      <c r="F1000">
        <v>45747</v>
      </c>
      <c r="G1000" t="s">
        <v>2208</v>
      </c>
      <c r="H1000" t="s">
        <v>7834</v>
      </c>
      <c r="I1000" t="s">
        <v>11673</v>
      </c>
      <c r="J1000">
        <v>1</v>
      </c>
      <c r="K1000">
        <v>104.61</v>
      </c>
      <c r="L1000" t="s">
        <v>2917</v>
      </c>
      <c r="M1000">
        <v>104.61</v>
      </c>
      <c r="N1000" t="s">
        <v>2917</v>
      </c>
      <c r="O1000" t="s">
        <v>2208</v>
      </c>
      <c r="P1000" t="s">
        <v>2208</v>
      </c>
      <c r="Q1000" t="s">
        <v>2208</v>
      </c>
      <c r="R1000" t="s">
        <v>2208</v>
      </c>
    </row>
    <row r="1001" spans="1:18">
      <c r="A1001" t="s">
        <v>2724</v>
      </c>
      <c r="B1001" t="s">
        <v>9126</v>
      </c>
      <c r="C1001">
        <v>45748</v>
      </c>
      <c r="D1001" t="s">
        <v>7263</v>
      </c>
      <c r="E1001" t="s">
        <v>9127</v>
      </c>
      <c r="F1001">
        <v>45747</v>
      </c>
      <c r="G1001" t="s">
        <v>2208</v>
      </c>
      <c r="H1001" t="s">
        <v>7834</v>
      </c>
      <c r="I1001" t="s">
        <v>11674</v>
      </c>
      <c r="J1001">
        <v>0.5</v>
      </c>
      <c r="K1001">
        <v>52.31</v>
      </c>
      <c r="L1001" t="s">
        <v>2917</v>
      </c>
      <c r="M1001">
        <v>52.31</v>
      </c>
      <c r="N1001" t="s">
        <v>2917</v>
      </c>
      <c r="O1001" t="s">
        <v>2208</v>
      </c>
      <c r="P1001" t="s">
        <v>2208</v>
      </c>
      <c r="Q1001" t="s">
        <v>2208</v>
      </c>
      <c r="R1001" t="s">
        <v>2208</v>
      </c>
    </row>
    <row r="1002" spans="1:18">
      <c r="A1002" t="s">
        <v>2725</v>
      </c>
      <c r="B1002" t="s">
        <v>9126</v>
      </c>
      <c r="C1002">
        <v>45748</v>
      </c>
      <c r="D1002" t="s">
        <v>7263</v>
      </c>
      <c r="E1002" t="s">
        <v>9127</v>
      </c>
      <c r="F1002">
        <v>45747</v>
      </c>
      <c r="G1002" t="s">
        <v>2208</v>
      </c>
      <c r="H1002" t="s">
        <v>7834</v>
      </c>
      <c r="I1002" t="s">
        <v>11675</v>
      </c>
      <c r="J1002">
        <v>0.5</v>
      </c>
      <c r="K1002">
        <v>52.31</v>
      </c>
      <c r="L1002" t="s">
        <v>2917</v>
      </c>
      <c r="M1002">
        <v>52.31</v>
      </c>
      <c r="N1002" t="s">
        <v>2917</v>
      </c>
      <c r="O1002" t="s">
        <v>2208</v>
      </c>
      <c r="P1002" t="s">
        <v>2208</v>
      </c>
      <c r="Q1002" t="s">
        <v>2208</v>
      </c>
      <c r="R1002" t="s">
        <v>2208</v>
      </c>
    </row>
    <row r="1003" spans="1:18">
      <c r="A1003" t="s">
        <v>2886</v>
      </c>
      <c r="B1003" t="s">
        <v>9126</v>
      </c>
      <c r="C1003">
        <v>45748</v>
      </c>
      <c r="D1003" t="s">
        <v>7263</v>
      </c>
      <c r="E1003" t="s">
        <v>9127</v>
      </c>
      <c r="F1003">
        <v>45747</v>
      </c>
      <c r="G1003" t="s">
        <v>2208</v>
      </c>
      <c r="H1003" t="s">
        <v>7834</v>
      </c>
      <c r="I1003" t="s">
        <v>11676</v>
      </c>
      <c r="J1003">
        <v>1</v>
      </c>
      <c r="K1003">
        <v>104.61</v>
      </c>
      <c r="L1003" t="s">
        <v>2917</v>
      </c>
      <c r="M1003">
        <v>104.61</v>
      </c>
      <c r="N1003" t="s">
        <v>2917</v>
      </c>
      <c r="O1003" t="s">
        <v>2208</v>
      </c>
      <c r="P1003" t="s">
        <v>2208</v>
      </c>
      <c r="Q1003" t="s">
        <v>2208</v>
      </c>
      <c r="R1003" t="s">
        <v>2208</v>
      </c>
    </row>
    <row r="1004" spans="1:18">
      <c r="A1004" t="s">
        <v>2886</v>
      </c>
      <c r="B1004" t="s">
        <v>9126</v>
      </c>
      <c r="C1004">
        <v>45748</v>
      </c>
      <c r="D1004" t="s">
        <v>7263</v>
      </c>
      <c r="E1004" t="s">
        <v>9127</v>
      </c>
      <c r="F1004">
        <v>45747</v>
      </c>
      <c r="G1004" t="s">
        <v>2208</v>
      </c>
      <c r="H1004" t="s">
        <v>7834</v>
      </c>
      <c r="I1004" t="s">
        <v>11677</v>
      </c>
      <c r="J1004">
        <v>1</v>
      </c>
      <c r="K1004">
        <v>104.61</v>
      </c>
      <c r="L1004" t="s">
        <v>2917</v>
      </c>
      <c r="M1004">
        <v>104.61</v>
      </c>
      <c r="N1004" t="s">
        <v>2917</v>
      </c>
      <c r="O1004" t="s">
        <v>2208</v>
      </c>
      <c r="P1004" t="s">
        <v>2208</v>
      </c>
      <c r="Q1004" t="s">
        <v>2208</v>
      </c>
      <c r="R1004" t="s">
        <v>2208</v>
      </c>
    </row>
    <row r="1005" spans="1:18">
      <c r="A1005" t="s">
        <v>2886</v>
      </c>
      <c r="B1005" t="s">
        <v>9126</v>
      </c>
      <c r="C1005">
        <v>45748</v>
      </c>
      <c r="D1005" t="s">
        <v>7263</v>
      </c>
      <c r="E1005" t="s">
        <v>9127</v>
      </c>
      <c r="F1005">
        <v>45747</v>
      </c>
      <c r="G1005" t="s">
        <v>2208</v>
      </c>
      <c r="H1005" t="s">
        <v>7834</v>
      </c>
      <c r="I1005" t="s">
        <v>11678</v>
      </c>
      <c r="J1005">
        <v>1</v>
      </c>
      <c r="K1005">
        <v>104.61</v>
      </c>
      <c r="L1005" t="s">
        <v>2917</v>
      </c>
      <c r="M1005">
        <v>104.61</v>
      </c>
      <c r="N1005" t="s">
        <v>2917</v>
      </c>
      <c r="O1005" t="s">
        <v>2208</v>
      </c>
      <c r="P1005" t="s">
        <v>2208</v>
      </c>
      <c r="Q1005" t="s">
        <v>2208</v>
      </c>
      <c r="R1005" t="s">
        <v>2208</v>
      </c>
    </row>
    <row r="1006" spans="1:18">
      <c r="A1006" t="s">
        <v>2886</v>
      </c>
      <c r="B1006" t="s">
        <v>9126</v>
      </c>
      <c r="C1006">
        <v>45748</v>
      </c>
      <c r="D1006" t="s">
        <v>7263</v>
      </c>
      <c r="E1006" t="s">
        <v>9127</v>
      </c>
      <c r="F1006">
        <v>45747</v>
      </c>
      <c r="G1006" t="s">
        <v>2208</v>
      </c>
      <c r="H1006" t="s">
        <v>7834</v>
      </c>
      <c r="I1006" t="s">
        <v>11679</v>
      </c>
      <c r="J1006">
        <v>0.5</v>
      </c>
      <c r="K1006">
        <v>52.31</v>
      </c>
      <c r="L1006" t="s">
        <v>2917</v>
      </c>
      <c r="M1006">
        <v>52.31</v>
      </c>
      <c r="N1006" t="s">
        <v>2917</v>
      </c>
      <c r="O1006" t="s">
        <v>2208</v>
      </c>
      <c r="P1006" t="s">
        <v>2208</v>
      </c>
      <c r="Q1006" t="s">
        <v>2208</v>
      </c>
      <c r="R1006" t="s">
        <v>2208</v>
      </c>
    </row>
    <row r="1007" spans="1:18">
      <c r="A1007" t="s">
        <v>6815</v>
      </c>
      <c r="B1007" t="s">
        <v>9126</v>
      </c>
      <c r="C1007">
        <v>45748</v>
      </c>
      <c r="D1007" t="s">
        <v>7263</v>
      </c>
      <c r="E1007" t="s">
        <v>9127</v>
      </c>
      <c r="F1007">
        <v>45747</v>
      </c>
      <c r="G1007" t="s">
        <v>2208</v>
      </c>
      <c r="H1007" t="s">
        <v>7834</v>
      </c>
      <c r="I1007" t="s">
        <v>11680</v>
      </c>
      <c r="J1007">
        <v>0.5</v>
      </c>
      <c r="K1007">
        <v>52.31</v>
      </c>
      <c r="L1007" t="s">
        <v>2917</v>
      </c>
      <c r="M1007">
        <v>52.31</v>
      </c>
      <c r="N1007" t="s">
        <v>2917</v>
      </c>
      <c r="O1007" t="s">
        <v>2208</v>
      </c>
      <c r="P1007" t="s">
        <v>2208</v>
      </c>
      <c r="Q1007" t="s">
        <v>2208</v>
      </c>
      <c r="R1007" t="s">
        <v>2208</v>
      </c>
    </row>
    <row r="1008" spans="1:18">
      <c r="A1008" t="s">
        <v>6815</v>
      </c>
      <c r="B1008" t="s">
        <v>9126</v>
      </c>
      <c r="C1008">
        <v>45748</v>
      </c>
      <c r="D1008" t="s">
        <v>7263</v>
      </c>
      <c r="E1008" t="s">
        <v>9127</v>
      </c>
      <c r="F1008">
        <v>45747</v>
      </c>
      <c r="G1008" t="s">
        <v>2208</v>
      </c>
      <c r="H1008" t="s">
        <v>7834</v>
      </c>
      <c r="I1008" t="s">
        <v>11681</v>
      </c>
      <c r="J1008">
        <v>1</v>
      </c>
      <c r="K1008">
        <v>104.61</v>
      </c>
      <c r="L1008" t="s">
        <v>2917</v>
      </c>
      <c r="M1008">
        <v>104.61</v>
      </c>
      <c r="N1008" t="s">
        <v>2917</v>
      </c>
      <c r="O1008" t="s">
        <v>2208</v>
      </c>
      <c r="P1008" t="s">
        <v>2208</v>
      </c>
      <c r="Q1008" t="s">
        <v>2208</v>
      </c>
      <c r="R1008" t="s">
        <v>2208</v>
      </c>
    </row>
    <row r="1009" spans="1:18">
      <c r="A1009" t="s">
        <v>6815</v>
      </c>
      <c r="B1009" t="s">
        <v>9126</v>
      </c>
      <c r="C1009">
        <v>45748</v>
      </c>
      <c r="D1009" t="s">
        <v>7263</v>
      </c>
      <c r="E1009" t="s">
        <v>9127</v>
      </c>
      <c r="F1009">
        <v>45747</v>
      </c>
      <c r="G1009" t="s">
        <v>2208</v>
      </c>
      <c r="H1009" t="s">
        <v>7834</v>
      </c>
      <c r="I1009" t="s">
        <v>11682</v>
      </c>
      <c r="J1009">
        <v>0.5</v>
      </c>
      <c r="K1009">
        <v>52.31</v>
      </c>
      <c r="L1009" t="s">
        <v>2917</v>
      </c>
      <c r="M1009">
        <v>52.31</v>
      </c>
      <c r="N1009" t="s">
        <v>2917</v>
      </c>
      <c r="O1009" t="s">
        <v>2208</v>
      </c>
      <c r="P1009" t="s">
        <v>2208</v>
      </c>
      <c r="Q1009" t="s">
        <v>2208</v>
      </c>
      <c r="R1009" t="s">
        <v>2208</v>
      </c>
    </row>
    <row r="1010" spans="1:18">
      <c r="A1010" t="s">
        <v>6815</v>
      </c>
      <c r="B1010" t="s">
        <v>9126</v>
      </c>
      <c r="C1010">
        <v>45748</v>
      </c>
      <c r="D1010" t="s">
        <v>7263</v>
      </c>
      <c r="E1010" t="s">
        <v>9127</v>
      </c>
      <c r="F1010">
        <v>45747</v>
      </c>
      <c r="G1010" t="s">
        <v>2208</v>
      </c>
      <c r="H1010" t="s">
        <v>7834</v>
      </c>
      <c r="I1010" t="s">
        <v>11683</v>
      </c>
      <c r="J1010">
        <v>0.5</v>
      </c>
      <c r="K1010">
        <v>52.31</v>
      </c>
      <c r="L1010" t="s">
        <v>2917</v>
      </c>
      <c r="M1010">
        <v>52.31</v>
      </c>
      <c r="N1010" t="s">
        <v>2917</v>
      </c>
      <c r="O1010" t="s">
        <v>2208</v>
      </c>
      <c r="P1010" t="s">
        <v>2208</v>
      </c>
      <c r="Q1010" t="s">
        <v>2208</v>
      </c>
      <c r="R1010" t="s">
        <v>2208</v>
      </c>
    </row>
    <row r="1011" spans="1:18">
      <c r="A1011" t="s">
        <v>6816</v>
      </c>
      <c r="B1011" t="s">
        <v>9126</v>
      </c>
      <c r="C1011">
        <v>45748</v>
      </c>
      <c r="D1011" t="s">
        <v>7263</v>
      </c>
      <c r="E1011" t="s">
        <v>9127</v>
      </c>
      <c r="F1011">
        <v>45747</v>
      </c>
      <c r="G1011" t="s">
        <v>2208</v>
      </c>
      <c r="H1011" t="s">
        <v>7834</v>
      </c>
      <c r="I1011" t="s">
        <v>11684</v>
      </c>
      <c r="J1011">
        <v>1</v>
      </c>
      <c r="K1011">
        <v>104.61</v>
      </c>
      <c r="L1011" t="s">
        <v>2917</v>
      </c>
      <c r="M1011">
        <v>104.61</v>
      </c>
      <c r="N1011" t="s">
        <v>2917</v>
      </c>
      <c r="O1011" t="s">
        <v>2208</v>
      </c>
      <c r="P1011" t="s">
        <v>2208</v>
      </c>
      <c r="Q1011" t="s">
        <v>2208</v>
      </c>
      <c r="R1011" t="s">
        <v>2208</v>
      </c>
    </row>
    <row r="1012" spans="1:18">
      <c r="A1012" t="s">
        <v>6816</v>
      </c>
      <c r="B1012" t="s">
        <v>9126</v>
      </c>
      <c r="C1012">
        <v>45748</v>
      </c>
      <c r="D1012" t="s">
        <v>7263</v>
      </c>
      <c r="E1012" t="s">
        <v>9127</v>
      </c>
      <c r="F1012">
        <v>45747</v>
      </c>
      <c r="G1012" t="s">
        <v>2208</v>
      </c>
      <c r="H1012" t="s">
        <v>7834</v>
      </c>
      <c r="I1012" t="s">
        <v>11685</v>
      </c>
      <c r="J1012">
        <v>1</v>
      </c>
      <c r="K1012">
        <v>104.61</v>
      </c>
      <c r="L1012" t="s">
        <v>2917</v>
      </c>
      <c r="M1012">
        <v>104.61</v>
      </c>
      <c r="N1012" t="s">
        <v>2917</v>
      </c>
      <c r="O1012" t="s">
        <v>2208</v>
      </c>
      <c r="P1012" t="s">
        <v>2208</v>
      </c>
      <c r="Q1012" t="s">
        <v>2208</v>
      </c>
      <c r="R1012" t="s">
        <v>2208</v>
      </c>
    </row>
    <row r="1013" spans="1:18">
      <c r="A1013" t="s">
        <v>6816</v>
      </c>
      <c r="B1013" t="s">
        <v>9126</v>
      </c>
      <c r="C1013">
        <v>45748</v>
      </c>
      <c r="D1013" t="s">
        <v>7263</v>
      </c>
      <c r="E1013" t="s">
        <v>9127</v>
      </c>
      <c r="F1013">
        <v>45747</v>
      </c>
      <c r="G1013" t="s">
        <v>2208</v>
      </c>
      <c r="H1013" t="s">
        <v>7834</v>
      </c>
      <c r="I1013" t="s">
        <v>11686</v>
      </c>
      <c r="J1013">
        <v>1</v>
      </c>
      <c r="K1013">
        <v>104.61</v>
      </c>
      <c r="L1013" t="s">
        <v>2917</v>
      </c>
      <c r="M1013">
        <v>104.61</v>
      </c>
      <c r="N1013" t="s">
        <v>2917</v>
      </c>
      <c r="O1013" t="s">
        <v>2208</v>
      </c>
      <c r="P1013" t="s">
        <v>2208</v>
      </c>
      <c r="Q1013" t="s">
        <v>2208</v>
      </c>
      <c r="R1013" t="s">
        <v>2208</v>
      </c>
    </row>
    <row r="1014" spans="1:18">
      <c r="A1014" t="s">
        <v>6816</v>
      </c>
      <c r="B1014" t="s">
        <v>9126</v>
      </c>
      <c r="C1014">
        <v>45748</v>
      </c>
      <c r="D1014" t="s">
        <v>7263</v>
      </c>
      <c r="E1014" t="s">
        <v>9127</v>
      </c>
      <c r="F1014">
        <v>45747</v>
      </c>
      <c r="G1014" t="s">
        <v>2208</v>
      </c>
      <c r="H1014" t="s">
        <v>7834</v>
      </c>
      <c r="I1014" t="s">
        <v>11687</v>
      </c>
      <c r="J1014">
        <v>0.5</v>
      </c>
      <c r="K1014">
        <v>52.31</v>
      </c>
      <c r="L1014" t="s">
        <v>2917</v>
      </c>
      <c r="M1014">
        <v>52.31</v>
      </c>
      <c r="N1014" t="s">
        <v>2917</v>
      </c>
      <c r="O1014" t="s">
        <v>2208</v>
      </c>
      <c r="P1014" t="s">
        <v>2208</v>
      </c>
      <c r="Q1014" t="s">
        <v>2208</v>
      </c>
      <c r="R1014" t="s">
        <v>2208</v>
      </c>
    </row>
    <row r="1015" spans="1:18">
      <c r="A1015" t="s">
        <v>6816</v>
      </c>
      <c r="B1015" t="s">
        <v>9126</v>
      </c>
      <c r="C1015">
        <v>45748</v>
      </c>
      <c r="D1015" t="s">
        <v>7263</v>
      </c>
      <c r="E1015" t="s">
        <v>9127</v>
      </c>
      <c r="F1015">
        <v>45747</v>
      </c>
      <c r="G1015" t="s">
        <v>2208</v>
      </c>
      <c r="H1015" t="s">
        <v>7834</v>
      </c>
      <c r="I1015" t="s">
        <v>11688</v>
      </c>
      <c r="J1015">
        <v>0.5</v>
      </c>
      <c r="K1015">
        <v>52.31</v>
      </c>
      <c r="L1015" t="s">
        <v>2917</v>
      </c>
      <c r="M1015">
        <v>52.31</v>
      </c>
      <c r="N1015" t="s">
        <v>2917</v>
      </c>
      <c r="O1015" t="s">
        <v>2208</v>
      </c>
      <c r="P1015" t="s">
        <v>2208</v>
      </c>
      <c r="Q1015" t="s">
        <v>2208</v>
      </c>
      <c r="R1015" t="s">
        <v>2208</v>
      </c>
    </row>
    <row r="1016" spans="1:18">
      <c r="A1016" t="s">
        <v>7030</v>
      </c>
      <c r="B1016" t="s">
        <v>9126</v>
      </c>
      <c r="C1016">
        <v>45748</v>
      </c>
      <c r="D1016" t="s">
        <v>7263</v>
      </c>
      <c r="E1016" t="s">
        <v>9127</v>
      </c>
      <c r="F1016">
        <v>45747</v>
      </c>
      <c r="G1016" t="s">
        <v>2208</v>
      </c>
      <c r="H1016" t="s">
        <v>7834</v>
      </c>
      <c r="I1016" t="s">
        <v>11689</v>
      </c>
      <c r="J1016">
        <v>2</v>
      </c>
      <c r="K1016">
        <v>209.22</v>
      </c>
      <c r="L1016" t="s">
        <v>2917</v>
      </c>
      <c r="M1016">
        <v>209.22</v>
      </c>
      <c r="N1016" t="s">
        <v>2917</v>
      </c>
      <c r="O1016" t="s">
        <v>2208</v>
      </c>
      <c r="P1016" t="s">
        <v>2208</v>
      </c>
      <c r="Q1016" t="s">
        <v>2208</v>
      </c>
      <c r="R1016" t="s">
        <v>2208</v>
      </c>
    </row>
    <row r="1017" spans="1:18">
      <c r="A1017" t="s">
        <v>7030</v>
      </c>
      <c r="B1017" t="s">
        <v>9126</v>
      </c>
      <c r="C1017">
        <v>45748</v>
      </c>
      <c r="D1017" t="s">
        <v>7263</v>
      </c>
      <c r="E1017" t="s">
        <v>9127</v>
      </c>
      <c r="F1017">
        <v>45747</v>
      </c>
      <c r="G1017" t="s">
        <v>2208</v>
      </c>
      <c r="H1017" t="s">
        <v>7834</v>
      </c>
      <c r="I1017" t="s">
        <v>11690</v>
      </c>
      <c r="J1017">
        <v>2</v>
      </c>
      <c r="K1017">
        <v>209.22</v>
      </c>
      <c r="L1017" t="s">
        <v>2917</v>
      </c>
      <c r="M1017">
        <v>209.22</v>
      </c>
      <c r="N1017" t="s">
        <v>2917</v>
      </c>
      <c r="O1017" t="s">
        <v>2208</v>
      </c>
      <c r="P1017" t="s">
        <v>2208</v>
      </c>
      <c r="Q1017" t="s">
        <v>2208</v>
      </c>
      <c r="R1017" t="s">
        <v>2208</v>
      </c>
    </row>
    <row r="1018" spans="1:18">
      <c r="A1018" t="s">
        <v>7030</v>
      </c>
      <c r="B1018" t="s">
        <v>9126</v>
      </c>
      <c r="C1018">
        <v>45748</v>
      </c>
      <c r="D1018" t="s">
        <v>7263</v>
      </c>
      <c r="E1018" t="s">
        <v>9127</v>
      </c>
      <c r="F1018">
        <v>45747</v>
      </c>
      <c r="G1018" t="s">
        <v>2208</v>
      </c>
      <c r="H1018" t="s">
        <v>7834</v>
      </c>
      <c r="I1018" t="s">
        <v>11691</v>
      </c>
      <c r="J1018">
        <v>2</v>
      </c>
      <c r="K1018">
        <v>209.22</v>
      </c>
      <c r="L1018" t="s">
        <v>2917</v>
      </c>
      <c r="M1018">
        <v>209.22</v>
      </c>
      <c r="N1018" t="s">
        <v>2917</v>
      </c>
      <c r="O1018" t="s">
        <v>2208</v>
      </c>
      <c r="P1018" t="s">
        <v>2208</v>
      </c>
      <c r="Q1018" t="s">
        <v>2208</v>
      </c>
      <c r="R1018" t="s">
        <v>2208</v>
      </c>
    </row>
    <row r="1019" spans="1:18">
      <c r="A1019" t="s">
        <v>7030</v>
      </c>
      <c r="B1019" t="s">
        <v>9126</v>
      </c>
      <c r="C1019">
        <v>45748</v>
      </c>
      <c r="D1019" t="s">
        <v>7263</v>
      </c>
      <c r="E1019" t="s">
        <v>9127</v>
      </c>
      <c r="F1019">
        <v>45747</v>
      </c>
      <c r="G1019" t="s">
        <v>2208</v>
      </c>
      <c r="H1019" t="s">
        <v>7834</v>
      </c>
      <c r="I1019" t="s">
        <v>11692</v>
      </c>
      <c r="J1019">
        <v>2</v>
      </c>
      <c r="K1019">
        <v>209.22</v>
      </c>
      <c r="L1019" t="s">
        <v>2917</v>
      </c>
      <c r="M1019">
        <v>209.22</v>
      </c>
      <c r="N1019" t="s">
        <v>2917</v>
      </c>
      <c r="O1019" t="s">
        <v>2208</v>
      </c>
      <c r="P1019" t="s">
        <v>2208</v>
      </c>
      <c r="Q1019" t="s">
        <v>2208</v>
      </c>
      <c r="R1019" t="s">
        <v>2208</v>
      </c>
    </row>
    <row r="1020" spans="1:18">
      <c r="A1020" t="s">
        <v>7030</v>
      </c>
      <c r="B1020" t="s">
        <v>9126</v>
      </c>
      <c r="C1020">
        <v>45748</v>
      </c>
      <c r="D1020" t="s">
        <v>7263</v>
      </c>
      <c r="E1020" t="s">
        <v>9127</v>
      </c>
      <c r="F1020">
        <v>45747</v>
      </c>
      <c r="G1020" t="s">
        <v>2208</v>
      </c>
      <c r="H1020" t="s">
        <v>7834</v>
      </c>
      <c r="I1020" t="s">
        <v>11693</v>
      </c>
      <c r="J1020">
        <v>2</v>
      </c>
      <c r="K1020">
        <v>209.22</v>
      </c>
      <c r="L1020" t="s">
        <v>2917</v>
      </c>
      <c r="M1020">
        <v>209.22</v>
      </c>
      <c r="N1020" t="s">
        <v>2917</v>
      </c>
      <c r="O1020" t="s">
        <v>2208</v>
      </c>
      <c r="P1020" t="s">
        <v>2208</v>
      </c>
      <c r="Q1020" t="s">
        <v>2208</v>
      </c>
      <c r="R1020" t="s">
        <v>2208</v>
      </c>
    </row>
    <row r="1021" spans="1:18">
      <c r="A1021" t="s">
        <v>7030</v>
      </c>
      <c r="B1021" t="s">
        <v>9126</v>
      </c>
      <c r="C1021">
        <v>45748</v>
      </c>
      <c r="D1021" t="s">
        <v>7263</v>
      </c>
      <c r="E1021" t="s">
        <v>9127</v>
      </c>
      <c r="F1021">
        <v>45747</v>
      </c>
      <c r="G1021" t="s">
        <v>2208</v>
      </c>
      <c r="H1021" t="s">
        <v>7834</v>
      </c>
      <c r="I1021" t="s">
        <v>11694</v>
      </c>
      <c r="J1021">
        <v>2</v>
      </c>
      <c r="K1021">
        <v>209.22</v>
      </c>
      <c r="L1021" t="s">
        <v>2917</v>
      </c>
      <c r="M1021">
        <v>209.22</v>
      </c>
      <c r="N1021" t="s">
        <v>2917</v>
      </c>
      <c r="O1021" t="s">
        <v>2208</v>
      </c>
      <c r="P1021" t="s">
        <v>2208</v>
      </c>
      <c r="Q1021" t="s">
        <v>2208</v>
      </c>
      <c r="R1021" t="s">
        <v>2208</v>
      </c>
    </row>
    <row r="1022" spans="1:18">
      <c r="A1022" t="s">
        <v>7030</v>
      </c>
      <c r="B1022" t="s">
        <v>9126</v>
      </c>
      <c r="C1022">
        <v>45748</v>
      </c>
      <c r="D1022" t="s">
        <v>7263</v>
      </c>
      <c r="E1022" t="s">
        <v>9127</v>
      </c>
      <c r="F1022">
        <v>45747</v>
      </c>
      <c r="G1022" t="s">
        <v>2208</v>
      </c>
      <c r="H1022" t="s">
        <v>7834</v>
      </c>
      <c r="I1022" t="s">
        <v>11695</v>
      </c>
      <c r="J1022">
        <v>2</v>
      </c>
      <c r="K1022">
        <v>209.22</v>
      </c>
      <c r="L1022" t="s">
        <v>2917</v>
      </c>
      <c r="M1022">
        <v>209.22</v>
      </c>
      <c r="N1022" t="s">
        <v>2917</v>
      </c>
      <c r="O1022" t="s">
        <v>2208</v>
      </c>
      <c r="P1022" t="s">
        <v>2208</v>
      </c>
      <c r="Q1022" t="s">
        <v>2208</v>
      </c>
      <c r="R1022" t="s">
        <v>2208</v>
      </c>
    </row>
    <row r="1023" spans="1:18">
      <c r="A1023" t="s">
        <v>7030</v>
      </c>
      <c r="B1023" t="s">
        <v>9126</v>
      </c>
      <c r="C1023">
        <v>45748</v>
      </c>
      <c r="D1023" t="s">
        <v>7263</v>
      </c>
      <c r="E1023" t="s">
        <v>9127</v>
      </c>
      <c r="F1023">
        <v>45747</v>
      </c>
      <c r="G1023" t="s">
        <v>2208</v>
      </c>
      <c r="H1023" t="s">
        <v>7834</v>
      </c>
      <c r="I1023" t="s">
        <v>11696</v>
      </c>
      <c r="J1023">
        <v>2</v>
      </c>
      <c r="K1023">
        <v>209.22</v>
      </c>
      <c r="L1023" t="s">
        <v>2917</v>
      </c>
      <c r="M1023">
        <v>209.22</v>
      </c>
      <c r="N1023" t="s">
        <v>2917</v>
      </c>
      <c r="O1023" t="s">
        <v>2208</v>
      </c>
      <c r="P1023" t="s">
        <v>2208</v>
      </c>
      <c r="Q1023" t="s">
        <v>2208</v>
      </c>
      <c r="R1023" t="s">
        <v>2208</v>
      </c>
    </row>
    <row r="1024" spans="1:18">
      <c r="A1024" t="s">
        <v>7030</v>
      </c>
      <c r="B1024" t="s">
        <v>9126</v>
      </c>
      <c r="C1024">
        <v>45748</v>
      </c>
      <c r="D1024" t="s">
        <v>7263</v>
      </c>
      <c r="E1024" t="s">
        <v>9127</v>
      </c>
      <c r="F1024">
        <v>45747</v>
      </c>
      <c r="G1024" t="s">
        <v>2208</v>
      </c>
      <c r="H1024" t="s">
        <v>7834</v>
      </c>
      <c r="I1024" t="s">
        <v>11697</v>
      </c>
      <c r="J1024">
        <v>3</v>
      </c>
      <c r="K1024">
        <v>313.83</v>
      </c>
      <c r="L1024" t="s">
        <v>2917</v>
      </c>
      <c r="M1024">
        <v>313.83</v>
      </c>
      <c r="N1024" t="s">
        <v>2917</v>
      </c>
      <c r="O1024" t="s">
        <v>2208</v>
      </c>
      <c r="P1024" t="s">
        <v>2208</v>
      </c>
      <c r="Q1024" t="s">
        <v>2208</v>
      </c>
      <c r="R1024" t="s">
        <v>2208</v>
      </c>
    </row>
    <row r="1025" spans="1:18">
      <c r="A1025" t="s">
        <v>7030</v>
      </c>
      <c r="B1025" t="s">
        <v>9126</v>
      </c>
      <c r="C1025">
        <v>45748</v>
      </c>
      <c r="D1025" t="s">
        <v>7263</v>
      </c>
      <c r="E1025" t="s">
        <v>9127</v>
      </c>
      <c r="F1025">
        <v>45747</v>
      </c>
      <c r="G1025" t="s">
        <v>2208</v>
      </c>
      <c r="H1025" t="s">
        <v>7834</v>
      </c>
      <c r="I1025" t="s">
        <v>11698</v>
      </c>
      <c r="J1025">
        <v>1</v>
      </c>
      <c r="K1025">
        <v>104.61</v>
      </c>
      <c r="L1025" t="s">
        <v>2917</v>
      </c>
      <c r="M1025">
        <v>104.61</v>
      </c>
      <c r="N1025" t="s">
        <v>2917</v>
      </c>
      <c r="O1025" t="s">
        <v>2208</v>
      </c>
      <c r="P1025" t="s">
        <v>2208</v>
      </c>
      <c r="Q1025" t="s">
        <v>2208</v>
      </c>
      <c r="R1025" t="s">
        <v>2208</v>
      </c>
    </row>
    <row r="1026" spans="1:18">
      <c r="A1026" t="s">
        <v>7030</v>
      </c>
      <c r="B1026" t="s">
        <v>9126</v>
      </c>
      <c r="C1026">
        <v>45748</v>
      </c>
      <c r="D1026" t="s">
        <v>7263</v>
      </c>
      <c r="E1026" t="s">
        <v>9127</v>
      </c>
      <c r="F1026">
        <v>45747</v>
      </c>
      <c r="G1026" t="s">
        <v>2208</v>
      </c>
      <c r="H1026" t="s">
        <v>7834</v>
      </c>
      <c r="I1026" t="s">
        <v>11699</v>
      </c>
      <c r="J1026">
        <v>1</v>
      </c>
      <c r="K1026">
        <v>104.61</v>
      </c>
      <c r="L1026" t="s">
        <v>2917</v>
      </c>
      <c r="M1026">
        <v>104.61</v>
      </c>
      <c r="N1026" t="s">
        <v>2917</v>
      </c>
      <c r="O1026" t="s">
        <v>2208</v>
      </c>
      <c r="P1026" t="s">
        <v>2208</v>
      </c>
      <c r="Q1026" t="s">
        <v>2208</v>
      </c>
      <c r="R1026" t="s">
        <v>2208</v>
      </c>
    </row>
    <row r="1027" spans="1:18">
      <c r="A1027" t="s">
        <v>7030</v>
      </c>
      <c r="B1027" t="s">
        <v>9126</v>
      </c>
      <c r="C1027">
        <v>45748</v>
      </c>
      <c r="D1027" t="s">
        <v>7263</v>
      </c>
      <c r="E1027" t="s">
        <v>9127</v>
      </c>
      <c r="F1027">
        <v>45747</v>
      </c>
      <c r="G1027" t="s">
        <v>2208</v>
      </c>
      <c r="H1027" t="s">
        <v>7834</v>
      </c>
      <c r="I1027" t="s">
        <v>11700</v>
      </c>
      <c r="J1027">
        <v>1</v>
      </c>
      <c r="K1027">
        <v>104.61</v>
      </c>
      <c r="L1027" t="s">
        <v>2917</v>
      </c>
      <c r="M1027">
        <v>104.61</v>
      </c>
      <c r="N1027" t="s">
        <v>2917</v>
      </c>
      <c r="O1027" t="s">
        <v>2208</v>
      </c>
      <c r="P1027" t="s">
        <v>2208</v>
      </c>
      <c r="Q1027" t="s">
        <v>2208</v>
      </c>
      <c r="R1027" t="s">
        <v>2208</v>
      </c>
    </row>
    <row r="1028" spans="1:18">
      <c r="A1028" t="s">
        <v>7030</v>
      </c>
      <c r="B1028" t="s">
        <v>9126</v>
      </c>
      <c r="C1028">
        <v>45748</v>
      </c>
      <c r="D1028" t="s">
        <v>7263</v>
      </c>
      <c r="E1028" t="s">
        <v>9127</v>
      </c>
      <c r="F1028">
        <v>45747</v>
      </c>
      <c r="G1028" t="s">
        <v>2208</v>
      </c>
      <c r="H1028" t="s">
        <v>7834</v>
      </c>
      <c r="I1028" t="s">
        <v>11701</v>
      </c>
      <c r="J1028">
        <v>1</v>
      </c>
      <c r="K1028">
        <v>104.61</v>
      </c>
      <c r="L1028" t="s">
        <v>2917</v>
      </c>
      <c r="M1028">
        <v>104.61</v>
      </c>
      <c r="N1028" t="s">
        <v>2917</v>
      </c>
      <c r="O1028" t="s">
        <v>2208</v>
      </c>
      <c r="P1028" t="s">
        <v>2208</v>
      </c>
      <c r="Q1028" t="s">
        <v>2208</v>
      </c>
      <c r="R1028" t="s">
        <v>2208</v>
      </c>
    </row>
    <row r="1029" spans="1:18">
      <c r="A1029" t="s">
        <v>7030</v>
      </c>
      <c r="B1029" t="s">
        <v>9126</v>
      </c>
      <c r="C1029">
        <v>45748</v>
      </c>
      <c r="D1029" t="s">
        <v>7263</v>
      </c>
      <c r="E1029" t="s">
        <v>9127</v>
      </c>
      <c r="F1029">
        <v>45747</v>
      </c>
      <c r="G1029" t="s">
        <v>2208</v>
      </c>
      <c r="H1029" t="s">
        <v>7834</v>
      </c>
      <c r="I1029" t="s">
        <v>11702</v>
      </c>
      <c r="J1029">
        <v>1</v>
      </c>
      <c r="K1029">
        <v>104.61</v>
      </c>
      <c r="L1029" t="s">
        <v>2917</v>
      </c>
      <c r="M1029">
        <v>104.61</v>
      </c>
      <c r="N1029" t="s">
        <v>2917</v>
      </c>
      <c r="O1029" t="s">
        <v>2208</v>
      </c>
      <c r="P1029" t="s">
        <v>2208</v>
      </c>
      <c r="Q1029" t="s">
        <v>2208</v>
      </c>
      <c r="R1029" t="s">
        <v>2208</v>
      </c>
    </row>
    <row r="1030" spans="1:18">
      <c r="A1030" t="s">
        <v>7030</v>
      </c>
      <c r="B1030" t="s">
        <v>9126</v>
      </c>
      <c r="C1030">
        <v>45748</v>
      </c>
      <c r="D1030" t="s">
        <v>7263</v>
      </c>
      <c r="E1030" t="s">
        <v>9127</v>
      </c>
      <c r="F1030">
        <v>45747</v>
      </c>
      <c r="G1030" t="s">
        <v>2208</v>
      </c>
      <c r="H1030" t="s">
        <v>7834</v>
      </c>
      <c r="I1030" t="s">
        <v>11703</v>
      </c>
      <c r="J1030">
        <v>1</v>
      </c>
      <c r="K1030">
        <v>104.61</v>
      </c>
      <c r="L1030" t="s">
        <v>2917</v>
      </c>
      <c r="M1030">
        <v>104.61</v>
      </c>
      <c r="N1030" t="s">
        <v>2917</v>
      </c>
      <c r="O1030" t="s">
        <v>2208</v>
      </c>
      <c r="P1030" t="s">
        <v>2208</v>
      </c>
      <c r="Q1030" t="s">
        <v>2208</v>
      </c>
      <c r="R1030" t="s">
        <v>2208</v>
      </c>
    </row>
    <row r="1031" spans="1:18">
      <c r="A1031" t="s">
        <v>7030</v>
      </c>
      <c r="B1031" t="s">
        <v>9126</v>
      </c>
      <c r="C1031">
        <v>45748</v>
      </c>
      <c r="D1031" t="s">
        <v>7263</v>
      </c>
      <c r="E1031" t="s">
        <v>9127</v>
      </c>
      <c r="F1031">
        <v>45747</v>
      </c>
      <c r="G1031" t="s">
        <v>2208</v>
      </c>
      <c r="H1031" t="s">
        <v>7834</v>
      </c>
      <c r="I1031" t="s">
        <v>11704</v>
      </c>
      <c r="J1031">
        <v>1</v>
      </c>
      <c r="K1031">
        <v>104.61</v>
      </c>
      <c r="L1031" t="s">
        <v>2917</v>
      </c>
      <c r="M1031">
        <v>104.61</v>
      </c>
      <c r="N1031" t="s">
        <v>2917</v>
      </c>
      <c r="O1031" t="s">
        <v>2208</v>
      </c>
      <c r="P1031" t="s">
        <v>2208</v>
      </c>
      <c r="Q1031" t="s">
        <v>2208</v>
      </c>
      <c r="R1031" t="s">
        <v>2208</v>
      </c>
    </row>
    <row r="1032" spans="1:18">
      <c r="A1032" t="s">
        <v>7030</v>
      </c>
      <c r="B1032" t="s">
        <v>9126</v>
      </c>
      <c r="C1032">
        <v>45748</v>
      </c>
      <c r="D1032" t="s">
        <v>7263</v>
      </c>
      <c r="E1032" t="s">
        <v>9127</v>
      </c>
      <c r="F1032">
        <v>45747</v>
      </c>
      <c r="G1032" t="s">
        <v>2208</v>
      </c>
      <c r="H1032" t="s">
        <v>7834</v>
      </c>
      <c r="I1032" t="s">
        <v>11705</v>
      </c>
      <c r="J1032">
        <v>1</v>
      </c>
      <c r="K1032">
        <v>104.61</v>
      </c>
      <c r="L1032" t="s">
        <v>2917</v>
      </c>
      <c r="M1032">
        <v>104.61</v>
      </c>
      <c r="N1032" t="s">
        <v>2917</v>
      </c>
      <c r="O1032" t="s">
        <v>2208</v>
      </c>
      <c r="P1032" t="s">
        <v>2208</v>
      </c>
      <c r="Q1032" t="s">
        <v>2208</v>
      </c>
      <c r="R1032" t="s">
        <v>2208</v>
      </c>
    </row>
    <row r="1033" spans="1:18">
      <c r="A1033" t="s">
        <v>7030</v>
      </c>
      <c r="B1033" t="s">
        <v>9126</v>
      </c>
      <c r="C1033">
        <v>45748</v>
      </c>
      <c r="D1033" t="s">
        <v>7263</v>
      </c>
      <c r="E1033" t="s">
        <v>9127</v>
      </c>
      <c r="F1033">
        <v>45747</v>
      </c>
      <c r="G1033" t="s">
        <v>2208</v>
      </c>
      <c r="H1033" t="s">
        <v>7834</v>
      </c>
      <c r="I1033" t="s">
        <v>11706</v>
      </c>
      <c r="J1033">
        <v>1</v>
      </c>
      <c r="K1033">
        <v>104.61</v>
      </c>
      <c r="L1033" t="s">
        <v>2917</v>
      </c>
      <c r="M1033">
        <v>104.61</v>
      </c>
      <c r="N1033" t="s">
        <v>2917</v>
      </c>
      <c r="O1033" t="s">
        <v>2208</v>
      </c>
      <c r="P1033" t="s">
        <v>2208</v>
      </c>
      <c r="Q1033" t="s">
        <v>2208</v>
      </c>
      <c r="R1033" t="s">
        <v>2208</v>
      </c>
    </row>
    <row r="1034" spans="1:18">
      <c r="A1034" t="s">
        <v>7030</v>
      </c>
      <c r="B1034" t="s">
        <v>9126</v>
      </c>
      <c r="C1034">
        <v>45748</v>
      </c>
      <c r="D1034" t="s">
        <v>7263</v>
      </c>
      <c r="E1034" t="s">
        <v>9127</v>
      </c>
      <c r="F1034">
        <v>45747</v>
      </c>
      <c r="G1034" t="s">
        <v>2208</v>
      </c>
      <c r="H1034" t="s">
        <v>7834</v>
      </c>
      <c r="I1034" t="s">
        <v>11707</v>
      </c>
      <c r="J1034">
        <v>1</v>
      </c>
      <c r="K1034">
        <v>104.61</v>
      </c>
      <c r="L1034" t="s">
        <v>2917</v>
      </c>
      <c r="M1034">
        <v>104.61</v>
      </c>
      <c r="N1034" t="s">
        <v>2917</v>
      </c>
      <c r="O1034" t="s">
        <v>2208</v>
      </c>
      <c r="P1034" t="s">
        <v>2208</v>
      </c>
      <c r="Q1034" t="s">
        <v>2208</v>
      </c>
      <c r="R1034" t="s">
        <v>2208</v>
      </c>
    </row>
    <row r="1035" spans="1:18">
      <c r="A1035" t="s">
        <v>7030</v>
      </c>
      <c r="B1035" t="s">
        <v>9126</v>
      </c>
      <c r="C1035">
        <v>45748</v>
      </c>
      <c r="D1035" t="s">
        <v>7263</v>
      </c>
      <c r="E1035" t="s">
        <v>9127</v>
      </c>
      <c r="F1035">
        <v>45747</v>
      </c>
      <c r="G1035" t="s">
        <v>2208</v>
      </c>
      <c r="H1035" t="s">
        <v>7834</v>
      </c>
      <c r="I1035" t="s">
        <v>11708</v>
      </c>
      <c r="J1035">
        <v>2</v>
      </c>
      <c r="K1035">
        <v>209.22</v>
      </c>
      <c r="L1035" t="s">
        <v>2917</v>
      </c>
      <c r="M1035">
        <v>209.22</v>
      </c>
      <c r="N1035" t="s">
        <v>2917</v>
      </c>
      <c r="O1035" t="s">
        <v>2208</v>
      </c>
      <c r="P1035" t="s">
        <v>2208</v>
      </c>
      <c r="Q1035" t="s">
        <v>2208</v>
      </c>
      <c r="R1035" t="s">
        <v>2208</v>
      </c>
    </row>
    <row r="1036" spans="1:18">
      <c r="A1036" t="s">
        <v>7030</v>
      </c>
      <c r="B1036" t="s">
        <v>9126</v>
      </c>
      <c r="C1036">
        <v>45748</v>
      </c>
      <c r="D1036" t="s">
        <v>7263</v>
      </c>
      <c r="E1036" t="s">
        <v>9127</v>
      </c>
      <c r="F1036">
        <v>45747</v>
      </c>
      <c r="G1036" t="s">
        <v>2208</v>
      </c>
      <c r="H1036" t="s">
        <v>7834</v>
      </c>
      <c r="I1036" t="s">
        <v>11709</v>
      </c>
      <c r="J1036">
        <v>1</v>
      </c>
      <c r="K1036">
        <v>104.61</v>
      </c>
      <c r="L1036" t="s">
        <v>2917</v>
      </c>
      <c r="M1036">
        <v>104.61</v>
      </c>
      <c r="N1036" t="s">
        <v>2917</v>
      </c>
      <c r="O1036" t="s">
        <v>2208</v>
      </c>
      <c r="P1036" t="s">
        <v>2208</v>
      </c>
      <c r="Q1036" t="s">
        <v>2208</v>
      </c>
      <c r="R1036" t="s">
        <v>2208</v>
      </c>
    </row>
    <row r="1037" spans="1:18">
      <c r="A1037" t="s">
        <v>7030</v>
      </c>
      <c r="B1037" t="s">
        <v>9126</v>
      </c>
      <c r="C1037">
        <v>45748</v>
      </c>
      <c r="D1037" t="s">
        <v>7263</v>
      </c>
      <c r="E1037" t="s">
        <v>9127</v>
      </c>
      <c r="F1037">
        <v>45747</v>
      </c>
      <c r="G1037" t="s">
        <v>2208</v>
      </c>
      <c r="H1037" t="s">
        <v>7834</v>
      </c>
      <c r="I1037" t="s">
        <v>11710</v>
      </c>
      <c r="J1037">
        <v>6</v>
      </c>
      <c r="K1037">
        <v>627.66</v>
      </c>
      <c r="L1037" t="s">
        <v>2917</v>
      </c>
      <c r="M1037">
        <v>627.66</v>
      </c>
      <c r="N1037" t="s">
        <v>2917</v>
      </c>
      <c r="O1037" t="s">
        <v>2208</v>
      </c>
      <c r="P1037" t="s">
        <v>2208</v>
      </c>
      <c r="Q1037" t="s">
        <v>2208</v>
      </c>
      <c r="R1037" t="s">
        <v>2208</v>
      </c>
    </row>
    <row r="1038" spans="1:18">
      <c r="A1038" t="s">
        <v>7030</v>
      </c>
      <c r="B1038" t="s">
        <v>9126</v>
      </c>
      <c r="C1038">
        <v>45748</v>
      </c>
      <c r="D1038" t="s">
        <v>7263</v>
      </c>
      <c r="E1038" t="s">
        <v>9127</v>
      </c>
      <c r="F1038">
        <v>45747</v>
      </c>
      <c r="G1038" t="s">
        <v>2208</v>
      </c>
      <c r="H1038" t="s">
        <v>7834</v>
      </c>
      <c r="I1038" t="s">
        <v>11711</v>
      </c>
      <c r="J1038">
        <v>2</v>
      </c>
      <c r="K1038">
        <v>209.22</v>
      </c>
      <c r="L1038" t="s">
        <v>2917</v>
      </c>
      <c r="M1038">
        <v>209.22</v>
      </c>
      <c r="N1038" t="s">
        <v>2917</v>
      </c>
      <c r="O1038" t="s">
        <v>2208</v>
      </c>
      <c r="P1038" t="s">
        <v>2208</v>
      </c>
      <c r="Q1038" t="s">
        <v>2208</v>
      </c>
      <c r="R1038" t="s">
        <v>2208</v>
      </c>
    </row>
    <row r="1039" spans="1:18">
      <c r="A1039" t="s">
        <v>7030</v>
      </c>
      <c r="B1039" t="s">
        <v>9126</v>
      </c>
      <c r="C1039">
        <v>45748</v>
      </c>
      <c r="D1039" t="s">
        <v>7263</v>
      </c>
      <c r="E1039" t="s">
        <v>9127</v>
      </c>
      <c r="F1039">
        <v>45747</v>
      </c>
      <c r="G1039" t="s">
        <v>2208</v>
      </c>
      <c r="H1039" t="s">
        <v>7834</v>
      </c>
      <c r="I1039" t="s">
        <v>11712</v>
      </c>
      <c r="J1039">
        <v>3</v>
      </c>
      <c r="K1039">
        <v>313.83</v>
      </c>
      <c r="L1039" t="s">
        <v>2917</v>
      </c>
      <c r="M1039">
        <v>313.83</v>
      </c>
      <c r="N1039" t="s">
        <v>2917</v>
      </c>
      <c r="O1039" t="s">
        <v>2208</v>
      </c>
      <c r="P1039" t="s">
        <v>2208</v>
      </c>
      <c r="Q1039" t="s">
        <v>2208</v>
      </c>
      <c r="R1039" t="s">
        <v>2208</v>
      </c>
    </row>
    <row r="1040" spans="1:18">
      <c r="A1040" t="s">
        <v>7030</v>
      </c>
      <c r="B1040" t="s">
        <v>9126</v>
      </c>
      <c r="C1040">
        <v>45748</v>
      </c>
      <c r="D1040" t="s">
        <v>7263</v>
      </c>
      <c r="E1040" t="s">
        <v>9127</v>
      </c>
      <c r="F1040">
        <v>45747</v>
      </c>
      <c r="G1040" t="s">
        <v>2208</v>
      </c>
      <c r="H1040" t="s">
        <v>7834</v>
      </c>
      <c r="I1040" t="s">
        <v>11713</v>
      </c>
      <c r="J1040">
        <v>2</v>
      </c>
      <c r="K1040">
        <v>209.22</v>
      </c>
      <c r="L1040" t="s">
        <v>2917</v>
      </c>
      <c r="M1040">
        <v>209.22</v>
      </c>
      <c r="N1040" t="s">
        <v>2917</v>
      </c>
      <c r="O1040" t="s">
        <v>2208</v>
      </c>
      <c r="P1040" t="s">
        <v>2208</v>
      </c>
      <c r="Q1040" t="s">
        <v>2208</v>
      </c>
      <c r="R1040" t="s">
        <v>2208</v>
      </c>
    </row>
    <row r="1041" spans="1:18">
      <c r="A1041" t="s">
        <v>7030</v>
      </c>
      <c r="B1041" t="s">
        <v>9126</v>
      </c>
      <c r="C1041">
        <v>45748</v>
      </c>
      <c r="D1041" t="s">
        <v>7263</v>
      </c>
      <c r="E1041" t="s">
        <v>9127</v>
      </c>
      <c r="F1041">
        <v>45747</v>
      </c>
      <c r="G1041" t="s">
        <v>2208</v>
      </c>
      <c r="H1041" t="s">
        <v>7834</v>
      </c>
      <c r="I1041" t="s">
        <v>11714</v>
      </c>
      <c r="J1041">
        <v>2</v>
      </c>
      <c r="K1041">
        <v>209.22</v>
      </c>
      <c r="L1041" t="s">
        <v>2917</v>
      </c>
      <c r="M1041">
        <v>209.22</v>
      </c>
      <c r="N1041" t="s">
        <v>2917</v>
      </c>
      <c r="O1041" t="s">
        <v>2208</v>
      </c>
      <c r="P1041" t="s">
        <v>2208</v>
      </c>
      <c r="Q1041" t="s">
        <v>2208</v>
      </c>
      <c r="R1041" t="s">
        <v>2208</v>
      </c>
    </row>
    <row r="1042" spans="1:18">
      <c r="A1042" t="s">
        <v>7030</v>
      </c>
      <c r="B1042" t="s">
        <v>9126</v>
      </c>
      <c r="C1042">
        <v>45748</v>
      </c>
      <c r="D1042" t="s">
        <v>7263</v>
      </c>
      <c r="E1042" t="s">
        <v>9127</v>
      </c>
      <c r="F1042">
        <v>45747</v>
      </c>
      <c r="G1042" t="s">
        <v>2208</v>
      </c>
      <c r="H1042" t="s">
        <v>7834</v>
      </c>
      <c r="I1042" t="s">
        <v>11715</v>
      </c>
      <c r="J1042">
        <v>2</v>
      </c>
      <c r="K1042">
        <v>209.22</v>
      </c>
      <c r="L1042" t="s">
        <v>2917</v>
      </c>
      <c r="M1042">
        <v>209.22</v>
      </c>
      <c r="N1042" t="s">
        <v>2917</v>
      </c>
      <c r="O1042" t="s">
        <v>2208</v>
      </c>
      <c r="P1042" t="s">
        <v>2208</v>
      </c>
      <c r="Q1042" t="s">
        <v>2208</v>
      </c>
      <c r="R1042" t="s">
        <v>2208</v>
      </c>
    </row>
    <row r="1043" spans="1:18">
      <c r="A1043" t="s">
        <v>7030</v>
      </c>
      <c r="B1043" t="s">
        <v>9126</v>
      </c>
      <c r="C1043">
        <v>45748</v>
      </c>
      <c r="D1043" t="s">
        <v>7263</v>
      </c>
      <c r="E1043" t="s">
        <v>9127</v>
      </c>
      <c r="F1043">
        <v>45747</v>
      </c>
      <c r="G1043" t="s">
        <v>2208</v>
      </c>
      <c r="H1043" t="s">
        <v>7834</v>
      </c>
      <c r="I1043" t="s">
        <v>11716</v>
      </c>
      <c r="J1043">
        <v>2</v>
      </c>
      <c r="K1043">
        <v>209.22</v>
      </c>
      <c r="L1043" t="s">
        <v>2917</v>
      </c>
      <c r="M1043">
        <v>209.22</v>
      </c>
      <c r="N1043" t="s">
        <v>2917</v>
      </c>
      <c r="O1043" t="s">
        <v>2208</v>
      </c>
      <c r="P1043" t="s">
        <v>2208</v>
      </c>
      <c r="Q1043" t="s">
        <v>2208</v>
      </c>
      <c r="R1043" t="s">
        <v>2208</v>
      </c>
    </row>
    <row r="1044" spans="1:18">
      <c r="A1044" t="s">
        <v>7030</v>
      </c>
      <c r="B1044" t="s">
        <v>9126</v>
      </c>
      <c r="C1044">
        <v>45748</v>
      </c>
      <c r="D1044" t="s">
        <v>7263</v>
      </c>
      <c r="E1044" t="s">
        <v>9127</v>
      </c>
      <c r="F1044">
        <v>45747</v>
      </c>
      <c r="G1044" t="s">
        <v>2208</v>
      </c>
      <c r="H1044" t="s">
        <v>7834</v>
      </c>
      <c r="I1044" t="s">
        <v>11717</v>
      </c>
      <c r="J1044">
        <v>1</v>
      </c>
      <c r="K1044">
        <v>104.61</v>
      </c>
      <c r="L1044" t="s">
        <v>2917</v>
      </c>
      <c r="M1044">
        <v>104.61</v>
      </c>
      <c r="N1044" t="s">
        <v>2917</v>
      </c>
      <c r="O1044" t="s">
        <v>2208</v>
      </c>
      <c r="P1044" t="s">
        <v>2208</v>
      </c>
      <c r="Q1044" t="s">
        <v>2208</v>
      </c>
      <c r="R1044" t="s">
        <v>2208</v>
      </c>
    </row>
    <row r="1045" spans="1:18">
      <c r="A1045" t="s">
        <v>7030</v>
      </c>
      <c r="B1045" t="s">
        <v>9126</v>
      </c>
      <c r="C1045">
        <v>45748</v>
      </c>
      <c r="D1045" t="s">
        <v>7263</v>
      </c>
      <c r="E1045" t="s">
        <v>9127</v>
      </c>
      <c r="F1045">
        <v>45747</v>
      </c>
      <c r="G1045" t="s">
        <v>2208</v>
      </c>
      <c r="H1045" t="s">
        <v>7834</v>
      </c>
      <c r="I1045" t="s">
        <v>11718</v>
      </c>
      <c r="J1045">
        <v>1</v>
      </c>
      <c r="K1045">
        <v>104.61</v>
      </c>
      <c r="L1045" t="s">
        <v>2917</v>
      </c>
      <c r="M1045">
        <v>104.61</v>
      </c>
      <c r="N1045" t="s">
        <v>2917</v>
      </c>
      <c r="O1045" t="s">
        <v>2208</v>
      </c>
      <c r="P1045" t="s">
        <v>2208</v>
      </c>
      <c r="Q1045" t="s">
        <v>2208</v>
      </c>
      <c r="R1045" t="s">
        <v>2208</v>
      </c>
    </row>
    <row r="1046" spans="1:18">
      <c r="A1046" t="s">
        <v>7030</v>
      </c>
      <c r="B1046" t="s">
        <v>9126</v>
      </c>
      <c r="C1046">
        <v>45748</v>
      </c>
      <c r="D1046" t="s">
        <v>7263</v>
      </c>
      <c r="E1046" t="s">
        <v>9127</v>
      </c>
      <c r="F1046">
        <v>45747</v>
      </c>
      <c r="G1046" t="s">
        <v>2208</v>
      </c>
      <c r="H1046" t="s">
        <v>7834</v>
      </c>
      <c r="I1046" t="s">
        <v>11719</v>
      </c>
      <c r="J1046">
        <v>2</v>
      </c>
      <c r="K1046">
        <v>209.22</v>
      </c>
      <c r="L1046" t="s">
        <v>2917</v>
      </c>
      <c r="M1046">
        <v>209.22</v>
      </c>
      <c r="N1046" t="s">
        <v>2917</v>
      </c>
      <c r="O1046" t="s">
        <v>2208</v>
      </c>
      <c r="P1046" t="s">
        <v>2208</v>
      </c>
      <c r="Q1046" t="s">
        <v>2208</v>
      </c>
      <c r="R1046" t="s">
        <v>2208</v>
      </c>
    </row>
    <row r="1047" spans="1:18">
      <c r="A1047" t="s">
        <v>7030</v>
      </c>
      <c r="B1047" t="s">
        <v>9126</v>
      </c>
      <c r="C1047">
        <v>45748</v>
      </c>
      <c r="D1047" t="s">
        <v>7263</v>
      </c>
      <c r="E1047" t="s">
        <v>9127</v>
      </c>
      <c r="F1047">
        <v>45747</v>
      </c>
      <c r="G1047" t="s">
        <v>2208</v>
      </c>
      <c r="H1047" t="s">
        <v>7834</v>
      </c>
      <c r="I1047" t="s">
        <v>11720</v>
      </c>
      <c r="J1047">
        <v>1</v>
      </c>
      <c r="K1047">
        <v>104.61</v>
      </c>
      <c r="L1047" t="s">
        <v>2917</v>
      </c>
      <c r="M1047">
        <v>104.61</v>
      </c>
      <c r="N1047" t="s">
        <v>2917</v>
      </c>
      <c r="O1047" t="s">
        <v>2208</v>
      </c>
      <c r="P1047" t="s">
        <v>2208</v>
      </c>
      <c r="Q1047" t="s">
        <v>2208</v>
      </c>
      <c r="R1047" t="s">
        <v>2208</v>
      </c>
    </row>
    <row r="1048" spans="1:18">
      <c r="A1048" t="s">
        <v>7030</v>
      </c>
      <c r="B1048" t="s">
        <v>9126</v>
      </c>
      <c r="C1048">
        <v>45748</v>
      </c>
      <c r="D1048" t="s">
        <v>7263</v>
      </c>
      <c r="E1048" t="s">
        <v>9127</v>
      </c>
      <c r="F1048">
        <v>45747</v>
      </c>
      <c r="G1048" t="s">
        <v>2208</v>
      </c>
      <c r="H1048" t="s">
        <v>7834</v>
      </c>
      <c r="I1048" t="s">
        <v>11721</v>
      </c>
      <c r="J1048">
        <v>1</v>
      </c>
      <c r="K1048">
        <v>104.61</v>
      </c>
      <c r="L1048" t="s">
        <v>2917</v>
      </c>
      <c r="M1048">
        <v>104.61</v>
      </c>
      <c r="N1048" t="s">
        <v>2917</v>
      </c>
      <c r="O1048" t="s">
        <v>2208</v>
      </c>
      <c r="P1048" t="s">
        <v>2208</v>
      </c>
      <c r="Q1048" t="s">
        <v>2208</v>
      </c>
      <c r="R1048" t="s">
        <v>2208</v>
      </c>
    </row>
    <row r="1049" spans="1:18">
      <c r="A1049" t="s">
        <v>7030</v>
      </c>
      <c r="B1049" t="s">
        <v>9126</v>
      </c>
      <c r="C1049">
        <v>45748</v>
      </c>
      <c r="D1049" t="s">
        <v>7263</v>
      </c>
      <c r="E1049" t="s">
        <v>9127</v>
      </c>
      <c r="F1049">
        <v>45747</v>
      </c>
      <c r="G1049" t="s">
        <v>2208</v>
      </c>
      <c r="H1049" t="s">
        <v>7834</v>
      </c>
      <c r="I1049" t="s">
        <v>11722</v>
      </c>
      <c r="J1049">
        <v>1</v>
      </c>
      <c r="K1049">
        <v>104.61</v>
      </c>
      <c r="L1049" t="s">
        <v>2917</v>
      </c>
      <c r="M1049">
        <v>104.61</v>
      </c>
      <c r="N1049" t="s">
        <v>2917</v>
      </c>
      <c r="O1049" t="s">
        <v>2208</v>
      </c>
      <c r="P1049" t="s">
        <v>2208</v>
      </c>
      <c r="Q1049" t="s">
        <v>2208</v>
      </c>
      <c r="R1049" t="s">
        <v>2208</v>
      </c>
    </row>
    <row r="1050" spans="1:18">
      <c r="A1050" t="s">
        <v>7030</v>
      </c>
      <c r="B1050" t="s">
        <v>9126</v>
      </c>
      <c r="C1050">
        <v>45748</v>
      </c>
      <c r="D1050" t="s">
        <v>7263</v>
      </c>
      <c r="E1050" t="s">
        <v>9127</v>
      </c>
      <c r="F1050">
        <v>45747</v>
      </c>
      <c r="G1050" t="s">
        <v>2208</v>
      </c>
      <c r="H1050" t="s">
        <v>7834</v>
      </c>
      <c r="I1050" t="s">
        <v>11723</v>
      </c>
      <c r="J1050">
        <v>1</v>
      </c>
      <c r="K1050">
        <v>104.61</v>
      </c>
      <c r="L1050" t="s">
        <v>2917</v>
      </c>
      <c r="M1050">
        <v>104.61</v>
      </c>
      <c r="N1050" t="s">
        <v>2917</v>
      </c>
      <c r="O1050" t="s">
        <v>2208</v>
      </c>
      <c r="P1050" t="s">
        <v>2208</v>
      </c>
      <c r="Q1050" t="s">
        <v>2208</v>
      </c>
      <c r="R1050" t="s">
        <v>2208</v>
      </c>
    </row>
    <row r="1051" spans="1:18">
      <c r="A1051" t="s">
        <v>7030</v>
      </c>
      <c r="B1051" t="s">
        <v>9126</v>
      </c>
      <c r="C1051">
        <v>45748</v>
      </c>
      <c r="D1051" t="s">
        <v>7263</v>
      </c>
      <c r="E1051" t="s">
        <v>9127</v>
      </c>
      <c r="F1051">
        <v>45747</v>
      </c>
      <c r="G1051" t="s">
        <v>2208</v>
      </c>
      <c r="H1051" t="s">
        <v>7834</v>
      </c>
      <c r="I1051" t="s">
        <v>11724</v>
      </c>
      <c r="J1051">
        <v>2</v>
      </c>
      <c r="K1051">
        <v>209.22</v>
      </c>
      <c r="L1051" t="s">
        <v>2917</v>
      </c>
      <c r="M1051">
        <v>209.22</v>
      </c>
      <c r="N1051" t="s">
        <v>2917</v>
      </c>
      <c r="O1051" t="s">
        <v>2208</v>
      </c>
      <c r="P1051" t="s">
        <v>2208</v>
      </c>
      <c r="Q1051" t="s">
        <v>2208</v>
      </c>
      <c r="R1051" t="s">
        <v>2208</v>
      </c>
    </row>
    <row r="1052" spans="1:18">
      <c r="A1052" t="s">
        <v>7030</v>
      </c>
      <c r="B1052" t="s">
        <v>9126</v>
      </c>
      <c r="C1052">
        <v>45748</v>
      </c>
      <c r="D1052" t="s">
        <v>7263</v>
      </c>
      <c r="E1052" t="s">
        <v>9127</v>
      </c>
      <c r="F1052">
        <v>45747</v>
      </c>
      <c r="G1052" t="s">
        <v>2208</v>
      </c>
      <c r="H1052" t="s">
        <v>7834</v>
      </c>
      <c r="I1052" t="s">
        <v>11725</v>
      </c>
      <c r="J1052">
        <v>2</v>
      </c>
      <c r="K1052">
        <v>209.22</v>
      </c>
      <c r="L1052" t="s">
        <v>2917</v>
      </c>
      <c r="M1052">
        <v>209.22</v>
      </c>
      <c r="N1052" t="s">
        <v>2917</v>
      </c>
      <c r="O1052" t="s">
        <v>2208</v>
      </c>
      <c r="P1052" t="s">
        <v>2208</v>
      </c>
      <c r="Q1052" t="s">
        <v>2208</v>
      </c>
      <c r="R1052" t="s">
        <v>2208</v>
      </c>
    </row>
    <row r="1053" spans="1:18">
      <c r="A1053" t="s">
        <v>7030</v>
      </c>
      <c r="B1053" t="s">
        <v>9126</v>
      </c>
      <c r="C1053">
        <v>45748</v>
      </c>
      <c r="D1053" t="s">
        <v>7263</v>
      </c>
      <c r="E1053" t="s">
        <v>9127</v>
      </c>
      <c r="F1053">
        <v>45747</v>
      </c>
      <c r="G1053" t="s">
        <v>2208</v>
      </c>
      <c r="H1053" t="s">
        <v>7834</v>
      </c>
      <c r="I1053" t="s">
        <v>11726</v>
      </c>
      <c r="J1053">
        <v>3.5</v>
      </c>
      <c r="K1053">
        <v>366.14</v>
      </c>
      <c r="L1053" t="s">
        <v>2917</v>
      </c>
      <c r="M1053">
        <v>366.14</v>
      </c>
      <c r="N1053" t="s">
        <v>2917</v>
      </c>
      <c r="O1053" t="s">
        <v>2208</v>
      </c>
      <c r="P1053" t="s">
        <v>2208</v>
      </c>
      <c r="Q1053" t="s">
        <v>2208</v>
      </c>
      <c r="R1053" t="s">
        <v>2208</v>
      </c>
    </row>
    <row r="1054" spans="1:18">
      <c r="A1054" t="s">
        <v>7030</v>
      </c>
      <c r="B1054" t="s">
        <v>9126</v>
      </c>
      <c r="C1054">
        <v>45748</v>
      </c>
      <c r="D1054" t="s">
        <v>7263</v>
      </c>
      <c r="E1054" t="s">
        <v>9127</v>
      </c>
      <c r="F1054">
        <v>45747</v>
      </c>
      <c r="G1054" t="s">
        <v>2208</v>
      </c>
      <c r="H1054" t="s">
        <v>7834</v>
      </c>
      <c r="I1054" t="s">
        <v>11727</v>
      </c>
      <c r="J1054">
        <v>1</v>
      </c>
      <c r="K1054">
        <v>104.61</v>
      </c>
      <c r="L1054" t="s">
        <v>2917</v>
      </c>
      <c r="M1054">
        <v>104.61</v>
      </c>
      <c r="N1054" t="s">
        <v>2917</v>
      </c>
      <c r="O1054" t="s">
        <v>2208</v>
      </c>
      <c r="P1054" t="s">
        <v>2208</v>
      </c>
      <c r="Q1054" t="s">
        <v>2208</v>
      </c>
      <c r="R1054" t="s">
        <v>2208</v>
      </c>
    </row>
    <row r="1055" spans="1:18">
      <c r="A1055" t="s">
        <v>7030</v>
      </c>
      <c r="B1055" t="s">
        <v>9126</v>
      </c>
      <c r="C1055">
        <v>45748</v>
      </c>
      <c r="D1055" t="s">
        <v>7263</v>
      </c>
      <c r="E1055" t="s">
        <v>9127</v>
      </c>
      <c r="F1055">
        <v>45747</v>
      </c>
      <c r="G1055" t="s">
        <v>2208</v>
      </c>
      <c r="H1055" t="s">
        <v>7834</v>
      </c>
      <c r="I1055" t="s">
        <v>11728</v>
      </c>
      <c r="J1055">
        <v>1</v>
      </c>
      <c r="K1055">
        <v>104.61</v>
      </c>
      <c r="L1055" t="s">
        <v>2917</v>
      </c>
      <c r="M1055">
        <v>104.61</v>
      </c>
      <c r="N1055" t="s">
        <v>2917</v>
      </c>
      <c r="O1055" t="s">
        <v>2208</v>
      </c>
      <c r="P1055" t="s">
        <v>2208</v>
      </c>
      <c r="Q1055" t="s">
        <v>2208</v>
      </c>
      <c r="R1055" t="s">
        <v>2208</v>
      </c>
    </row>
    <row r="1056" spans="1:18">
      <c r="A1056" t="s">
        <v>7030</v>
      </c>
      <c r="B1056" t="s">
        <v>9126</v>
      </c>
      <c r="C1056">
        <v>45748</v>
      </c>
      <c r="D1056" t="s">
        <v>7263</v>
      </c>
      <c r="E1056" t="s">
        <v>9127</v>
      </c>
      <c r="F1056">
        <v>45747</v>
      </c>
      <c r="G1056" t="s">
        <v>2208</v>
      </c>
      <c r="H1056" t="s">
        <v>7834</v>
      </c>
      <c r="I1056" t="s">
        <v>11729</v>
      </c>
      <c r="J1056">
        <v>1</v>
      </c>
      <c r="K1056">
        <v>104.61</v>
      </c>
      <c r="L1056" t="s">
        <v>2917</v>
      </c>
      <c r="M1056">
        <v>104.61</v>
      </c>
      <c r="N1056" t="s">
        <v>2917</v>
      </c>
      <c r="O1056" t="s">
        <v>2208</v>
      </c>
      <c r="P1056" t="s">
        <v>2208</v>
      </c>
      <c r="Q1056" t="s">
        <v>2208</v>
      </c>
      <c r="R1056" t="s">
        <v>2208</v>
      </c>
    </row>
    <row r="1057" spans="1:18">
      <c r="A1057" t="s">
        <v>7030</v>
      </c>
      <c r="B1057" t="s">
        <v>9126</v>
      </c>
      <c r="C1057">
        <v>45748</v>
      </c>
      <c r="D1057" t="s">
        <v>7263</v>
      </c>
      <c r="E1057" t="s">
        <v>9127</v>
      </c>
      <c r="F1057">
        <v>45747</v>
      </c>
      <c r="G1057" t="s">
        <v>2208</v>
      </c>
      <c r="H1057" t="s">
        <v>7834</v>
      </c>
      <c r="I1057" t="s">
        <v>11730</v>
      </c>
      <c r="J1057">
        <v>3</v>
      </c>
      <c r="K1057">
        <v>313.83</v>
      </c>
      <c r="L1057" t="s">
        <v>2917</v>
      </c>
      <c r="M1057">
        <v>313.83</v>
      </c>
      <c r="N1057" t="s">
        <v>2917</v>
      </c>
      <c r="O1057" t="s">
        <v>2208</v>
      </c>
      <c r="P1057" t="s">
        <v>2208</v>
      </c>
      <c r="Q1057" t="s">
        <v>2208</v>
      </c>
      <c r="R1057" t="s">
        <v>2208</v>
      </c>
    </row>
    <row r="1058" spans="1:18">
      <c r="A1058" t="s">
        <v>7030</v>
      </c>
      <c r="B1058" t="s">
        <v>9126</v>
      </c>
      <c r="C1058">
        <v>45748</v>
      </c>
      <c r="D1058" t="s">
        <v>7263</v>
      </c>
      <c r="E1058" t="s">
        <v>9127</v>
      </c>
      <c r="F1058">
        <v>45747</v>
      </c>
      <c r="G1058" t="s">
        <v>2208</v>
      </c>
      <c r="H1058" t="s">
        <v>7834</v>
      </c>
      <c r="I1058" t="s">
        <v>11731</v>
      </c>
      <c r="J1058">
        <v>4</v>
      </c>
      <c r="K1058">
        <v>418.44</v>
      </c>
      <c r="L1058" t="s">
        <v>2917</v>
      </c>
      <c r="M1058">
        <v>418.44</v>
      </c>
      <c r="N1058" t="s">
        <v>2917</v>
      </c>
      <c r="O1058" t="s">
        <v>2208</v>
      </c>
      <c r="P1058" t="s">
        <v>2208</v>
      </c>
      <c r="Q1058" t="s">
        <v>2208</v>
      </c>
      <c r="R1058" t="s">
        <v>2208</v>
      </c>
    </row>
    <row r="1059" spans="1:18">
      <c r="A1059" t="s">
        <v>7030</v>
      </c>
      <c r="B1059" t="s">
        <v>9126</v>
      </c>
      <c r="C1059">
        <v>45748</v>
      </c>
      <c r="D1059" t="s">
        <v>7263</v>
      </c>
      <c r="E1059" t="s">
        <v>9127</v>
      </c>
      <c r="F1059">
        <v>45747</v>
      </c>
      <c r="G1059" t="s">
        <v>2208</v>
      </c>
      <c r="H1059" t="s">
        <v>7834</v>
      </c>
      <c r="I1059" t="s">
        <v>11732</v>
      </c>
      <c r="J1059">
        <v>1</v>
      </c>
      <c r="K1059">
        <v>104.61</v>
      </c>
      <c r="L1059" t="s">
        <v>2917</v>
      </c>
      <c r="M1059">
        <v>104.61</v>
      </c>
      <c r="N1059" t="s">
        <v>2917</v>
      </c>
      <c r="O1059" t="s">
        <v>2208</v>
      </c>
      <c r="P1059" t="s">
        <v>2208</v>
      </c>
      <c r="Q1059" t="s">
        <v>2208</v>
      </c>
      <c r="R1059" t="s">
        <v>2208</v>
      </c>
    </row>
    <row r="1060" spans="1:18">
      <c r="A1060" t="s">
        <v>7030</v>
      </c>
      <c r="B1060" t="s">
        <v>9126</v>
      </c>
      <c r="C1060">
        <v>45748</v>
      </c>
      <c r="D1060" t="s">
        <v>7263</v>
      </c>
      <c r="E1060" t="s">
        <v>9127</v>
      </c>
      <c r="F1060">
        <v>45747</v>
      </c>
      <c r="G1060" t="s">
        <v>2208</v>
      </c>
      <c r="H1060" t="s">
        <v>7834</v>
      </c>
      <c r="I1060" t="s">
        <v>11733</v>
      </c>
      <c r="J1060">
        <v>2</v>
      </c>
      <c r="K1060">
        <v>209.22</v>
      </c>
      <c r="L1060" t="s">
        <v>2917</v>
      </c>
      <c r="M1060">
        <v>209.22</v>
      </c>
      <c r="N1060" t="s">
        <v>2917</v>
      </c>
      <c r="O1060" t="s">
        <v>2208</v>
      </c>
      <c r="P1060" t="s">
        <v>2208</v>
      </c>
      <c r="Q1060" t="s">
        <v>2208</v>
      </c>
      <c r="R1060" t="s">
        <v>2208</v>
      </c>
    </row>
    <row r="1061" spans="1:18">
      <c r="A1061" t="s">
        <v>7030</v>
      </c>
      <c r="B1061" t="s">
        <v>9126</v>
      </c>
      <c r="C1061">
        <v>45748</v>
      </c>
      <c r="D1061" t="s">
        <v>7263</v>
      </c>
      <c r="E1061" t="s">
        <v>9127</v>
      </c>
      <c r="F1061">
        <v>45747</v>
      </c>
      <c r="G1061" t="s">
        <v>2208</v>
      </c>
      <c r="H1061" t="s">
        <v>7834</v>
      </c>
      <c r="I1061" t="s">
        <v>11734</v>
      </c>
      <c r="J1061">
        <v>2</v>
      </c>
      <c r="K1061">
        <v>209.22</v>
      </c>
      <c r="L1061" t="s">
        <v>2917</v>
      </c>
      <c r="M1061">
        <v>209.22</v>
      </c>
      <c r="N1061" t="s">
        <v>2917</v>
      </c>
      <c r="O1061" t="s">
        <v>2208</v>
      </c>
      <c r="P1061" t="s">
        <v>2208</v>
      </c>
      <c r="Q1061" t="s">
        <v>2208</v>
      </c>
      <c r="R1061" t="s">
        <v>2208</v>
      </c>
    </row>
    <row r="1062" spans="1:18">
      <c r="A1062" t="s">
        <v>7030</v>
      </c>
      <c r="B1062" t="s">
        <v>9126</v>
      </c>
      <c r="C1062">
        <v>45748</v>
      </c>
      <c r="D1062" t="s">
        <v>7263</v>
      </c>
      <c r="E1062" t="s">
        <v>9127</v>
      </c>
      <c r="F1062">
        <v>45747</v>
      </c>
      <c r="G1062" t="s">
        <v>2208</v>
      </c>
      <c r="H1062" t="s">
        <v>7834</v>
      </c>
      <c r="I1062" t="s">
        <v>11735</v>
      </c>
      <c r="J1062">
        <v>2</v>
      </c>
      <c r="K1062">
        <v>209.22</v>
      </c>
      <c r="L1062" t="s">
        <v>2917</v>
      </c>
      <c r="M1062">
        <v>209.22</v>
      </c>
      <c r="N1062" t="s">
        <v>2917</v>
      </c>
      <c r="O1062" t="s">
        <v>2208</v>
      </c>
      <c r="P1062" t="s">
        <v>2208</v>
      </c>
      <c r="Q1062" t="s">
        <v>2208</v>
      </c>
      <c r="R1062" t="s">
        <v>2208</v>
      </c>
    </row>
    <row r="1063" spans="1:18">
      <c r="A1063" t="s">
        <v>7030</v>
      </c>
      <c r="B1063" t="s">
        <v>9126</v>
      </c>
      <c r="C1063">
        <v>45748</v>
      </c>
      <c r="D1063" t="s">
        <v>7263</v>
      </c>
      <c r="E1063" t="s">
        <v>9127</v>
      </c>
      <c r="F1063">
        <v>45747</v>
      </c>
      <c r="G1063" t="s">
        <v>2208</v>
      </c>
      <c r="H1063" t="s">
        <v>7834</v>
      </c>
      <c r="I1063" t="s">
        <v>11736</v>
      </c>
      <c r="J1063">
        <v>0.5</v>
      </c>
      <c r="K1063">
        <v>52.31</v>
      </c>
      <c r="L1063" t="s">
        <v>2917</v>
      </c>
      <c r="M1063">
        <v>52.31</v>
      </c>
      <c r="N1063" t="s">
        <v>2917</v>
      </c>
      <c r="O1063" t="s">
        <v>2208</v>
      </c>
      <c r="P1063" t="s">
        <v>2208</v>
      </c>
      <c r="Q1063" t="s">
        <v>2208</v>
      </c>
      <c r="R1063" t="s">
        <v>2208</v>
      </c>
    </row>
    <row r="1064" spans="1:18">
      <c r="A1064" t="s">
        <v>7030</v>
      </c>
      <c r="B1064" t="s">
        <v>9126</v>
      </c>
      <c r="C1064">
        <v>45748</v>
      </c>
      <c r="D1064" t="s">
        <v>7263</v>
      </c>
      <c r="E1064" t="s">
        <v>9127</v>
      </c>
      <c r="F1064">
        <v>45747</v>
      </c>
      <c r="G1064" t="s">
        <v>2208</v>
      </c>
      <c r="H1064" t="s">
        <v>7834</v>
      </c>
      <c r="I1064" t="s">
        <v>11737</v>
      </c>
      <c r="J1064">
        <v>1.5</v>
      </c>
      <c r="K1064">
        <v>156.91999999999999</v>
      </c>
      <c r="L1064" t="s">
        <v>2917</v>
      </c>
      <c r="M1064">
        <v>156.91999999999999</v>
      </c>
      <c r="N1064" t="s">
        <v>2917</v>
      </c>
      <c r="O1064" t="s">
        <v>2208</v>
      </c>
      <c r="P1064" t="s">
        <v>2208</v>
      </c>
      <c r="Q1064" t="s">
        <v>2208</v>
      </c>
      <c r="R1064" t="s">
        <v>2208</v>
      </c>
    </row>
    <row r="1065" spans="1:18">
      <c r="A1065" t="s">
        <v>7030</v>
      </c>
      <c r="B1065" t="s">
        <v>9126</v>
      </c>
      <c r="C1065">
        <v>45748</v>
      </c>
      <c r="D1065" t="s">
        <v>7263</v>
      </c>
      <c r="E1065" t="s">
        <v>9127</v>
      </c>
      <c r="F1065">
        <v>45747</v>
      </c>
      <c r="G1065" t="s">
        <v>2208</v>
      </c>
      <c r="H1065" t="s">
        <v>7834</v>
      </c>
      <c r="I1065" t="s">
        <v>11738</v>
      </c>
      <c r="J1065">
        <v>0.5</v>
      </c>
      <c r="K1065">
        <v>52.31</v>
      </c>
      <c r="L1065" t="s">
        <v>2917</v>
      </c>
      <c r="M1065">
        <v>52.31</v>
      </c>
      <c r="N1065" t="s">
        <v>2917</v>
      </c>
      <c r="O1065" t="s">
        <v>2208</v>
      </c>
      <c r="P1065" t="s">
        <v>2208</v>
      </c>
      <c r="Q1065" t="s">
        <v>2208</v>
      </c>
      <c r="R1065" t="s">
        <v>2208</v>
      </c>
    </row>
    <row r="1066" spans="1:18">
      <c r="A1066" t="s">
        <v>7030</v>
      </c>
      <c r="B1066" t="s">
        <v>9126</v>
      </c>
      <c r="C1066">
        <v>45748</v>
      </c>
      <c r="D1066" t="s">
        <v>7263</v>
      </c>
      <c r="E1066" t="s">
        <v>9127</v>
      </c>
      <c r="F1066">
        <v>45747</v>
      </c>
      <c r="G1066" t="s">
        <v>2208</v>
      </c>
      <c r="H1066" t="s">
        <v>7834</v>
      </c>
      <c r="I1066" t="s">
        <v>11739</v>
      </c>
      <c r="J1066">
        <v>0.4</v>
      </c>
      <c r="K1066">
        <v>41.84</v>
      </c>
      <c r="L1066" t="s">
        <v>2917</v>
      </c>
      <c r="M1066">
        <v>41.84</v>
      </c>
      <c r="N1066" t="s">
        <v>2917</v>
      </c>
      <c r="O1066" t="s">
        <v>2208</v>
      </c>
      <c r="P1066" t="s">
        <v>2208</v>
      </c>
      <c r="Q1066" t="s">
        <v>2208</v>
      </c>
      <c r="R1066" t="s">
        <v>2208</v>
      </c>
    </row>
    <row r="1067" spans="1:18">
      <c r="A1067" t="s">
        <v>7030</v>
      </c>
      <c r="B1067" t="s">
        <v>9126</v>
      </c>
      <c r="C1067">
        <v>45748</v>
      </c>
      <c r="D1067" t="s">
        <v>7263</v>
      </c>
      <c r="E1067" t="s">
        <v>9127</v>
      </c>
      <c r="F1067">
        <v>45747</v>
      </c>
      <c r="G1067" t="s">
        <v>2208</v>
      </c>
      <c r="H1067" t="s">
        <v>7834</v>
      </c>
      <c r="I1067" t="s">
        <v>11740</v>
      </c>
      <c r="J1067">
        <v>2</v>
      </c>
      <c r="K1067">
        <v>209.22</v>
      </c>
      <c r="L1067" t="s">
        <v>2917</v>
      </c>
      <c r="M1067">
        <v>209.22</v>
      </c>
      <c r="N1067" t="s">
        <v>2917</v>
      </c>
      <c r="O1067" t="s">
        <v>2208</v>
      </c>
      <c r="P1067" t="s">
        <v>2208</v>
      </c>
      <c r="Q1067" t="s">
        <v>2208</v>
      </c>
      <c r="R1067" t="s">
        <v>2208</v>
      </c>
    </row>
    <row r="1068" spans="1:18">
      <c r="A1068" t="s">
        <v>7030</v>
      </c>
      <c r="B1068" t="s">
        <v>9126</v>
      </c>
      <c r="C1068">
        <v>45748</v>
      </c>
      <c r="D1068" t="s">
        <v>7263</v>
      </c>
      <c r="E1068" t="s">
        <v>9127</v>
      </c>
      <c r="F1068">
        <v>45747</v>
      </c>
      <c r="G1068" t="s">
        <v>2208</v>
      </c>
      <c r="H1068" t="s">
        <v>7834</v>
      </c>
      <c r="I1068" t="s">
        <v>11741</v>
      </c>
      <c r="J1068">
        <v>1</v>
      </c>
      <c r="K1068">
        <v>104.61</v>
      </c>
      <c r="L1068" t="s">
        <v>2917</v>
      </c>
      <c r="M1068">
        <v>104.61</v>
      </c>
      <c r="N1068" t="s">
        <v>2917</v>
      </c>
      <c r="O1068" t="s">
        <v>2208</v>
      </c>
      <c r="P1068" t="s">
        <v>2208</v>
      </c>
      <c r="Q1068" t="s">
        <v>2208</v>
      </c>
      <c r="R1068" t="s">
        <v>2208</v>
      </c>
    </row>
    <row r="1069" spans="1:18">
      <c r="A1069" t="s">
        <v>7030</v>
      </c>
      <c r="B1069" t="s">
        <v>9126</v>
      </c>
      <c r="C1069">
        <v>45748</v>
      </c>
      <c r="D1069" t="s">
        <v>7263</v>
      </c>
      <c r="E1069" t="s">
        <v>9127</v>
      </c>
      <c r="F1069">
        <v>45747</v>
      </c>
      <c r="G1069" t="s">
        <v>2208</v>
      </c>
      <c r="H1069" t="s">
        <v>7834</v>
      </c>
      <c r="I1069" t="s">
        <v>11742</v>
      </c>
      <c r="J1069">
        <v>3</v>
      </c>
      <c r="K1069">
        <v>313.83</v>
      </c>
      <c r="L1069" t="s">
        <v>2917</v>
      </c>
      <c r="M1069">
        <v>313.83</v>
      </c>
      <c r="N1069" t="s">
        <v>2917</v>
      </c>
      <c r="O1069" t="s">
        <v>2208</v>
      </c>
      <c r="P1069" t="s">
        <v>2208</v>
      </c>
      <c r="Q1069" t="s">
        <v>2208</v>
      </c>
      <c r="R1069" t="s">
        <v>2208</v>
      </c>
    </row>
    <row r="1070" spans="1:18">
      <c r="A1070" t="s">
        <v>7030</v>
      </c>
      <c r="B1070" t="s">
        <v>9126</v>
      </c>
      <c r="C1070">
        <v>45748</v>
      </c>
      <c r="D1070" t="s">
        <v>7263</v>
      </c>
      <c r="E1070" t="s">
        <v>9127</v>
      </c>
      <c r="F1070">
        <v>45747</v>
      </c>
      <c r="G1070" t="s">
        <v>2208</v>
      </c>
      <c r="H1070" t="s">
        <v>7834</v>
      </c>
      <c r="I1070" t="s">
        <v>11743</v>
      </c>
      <c r="J1070">
        <v>2</v>
      </c>
      <c r="K1070">
        <v>209.22</v>
      </c>
      <c r="L1070" t="s">
        <v>2917</v>
      </c>
      <c r="M1070">
        <v>209.22</v>
      </c>
      <c r="N1070" t="s">
        <v>2917</v>
      </c>
      <c r="O1070" t="s">
        <v>2208</v>
      </c>
      <c r="P1070" t="s">
        <v>2208</v>
      </c>
      <c r="Q1070" t="s">
        <v>2208</v>
      </c>
      <c r="R1070" t="s">
        <v>2208</v>
      </c>
    </row>
    <row r="1071" spans="1:18">
      <c r="A1071" t="s">
        <v>7030</v>
      </c>
      <c r="B1071" t="s">
        <v>9126</v>
      </c>
      <c r="C1071">
        <v>45748</v>
      </c>
      <c r="D1071" t="s">
        <v>7263</v>
      </c>
      <c r="E1071" t="s">
        <v>9127</v>
      </c>
      <c r="F1071">
        <v>45747</v>
      </c>
      <c r="G1071" t="s">
        <v>2208</v>
      </c>
      <c r="H1071" t="s">
        <v>7834</v>
      </c>
      <c r="I1071" t="s">
        <v>11744</v>
      </c>
      <c r="J1071">
        <v>2</v>
      </c>
      <c r="K1071">
        <v>209.22</v>
      </c>
      <c r="L1071" t="s">
        <v>2917</v>
      </c>
      <c r="M1071">
        <v>209.22</v>
      </c>
      <c r="N1071" t="s">
        <v>2917</v>
      </c>
      <c r="O1071" t="s">
        <v>2208</v>
      </c>
      <c r="P1071" t="s">
        <v>2208</v>
      </c>
      <c r="Q1071" t="s">
        <v>2208</v>
      </c>
      <c r="R1071" t="s">
        <v>2208</v>
      </c>
    </row>
    <row r="1072" spans="1:18">
      <c r="A1072" t="s">
        <v>7030</v>
      </c>
      <c r="B1072" t="s">
        <v>9126</v>
      </c>
      <c r="C1072">
        <v>45748</v>
      </c>
      <c r="D1072" t="s">
        <v>7263</v>
      </c>
      <c r="E1072" t="s">
        <v>9127</v>
      </c>
      <c r="F1072">
        <v>45747</v>
      </c>
      <c r="G1072" t="s">
        <v>2208</v>
      </c>
      <c r="H1072" t="s">
        <v>7834</v>
      </c>
      <c r="I1072" t="s">
        <v>11745</v>
      </c>
      <c r="J1072">
        <v>2</v>
      </c>
      <c r="K1072">
        <v>209.22</v>
      </c>
      <c r="L1072" t="s">
        <v>2917</v>
      </c>
      <c r="M1072">
        <v>209.22</v>
      </c>
      <c r="N1072" t="s">
        <v>2917</v>
      </c>
      <c r="O1072" t="s">
        <v>2208</v>
      </c>
      <c r="P1072" t="s">
        <v>2208</v>
      </c>
      <c r="Q1072" t="s">
        <v>2208</v>
      </c>
      <c r="R1072" t="s">
        <v>2208</v>
      </c>
    </row>
    <row r="1073" spans="1:18">
      <c r="A1073" t="s">
        <v>7030</v>
      </c>
      <c r="B1073" t="s">
        <v>9126</v>
      </c>
      <c r="C1073">
        <v>45748</v>
      </c>
      <c r="D1073" t="s">
        <v>7263</v>
      </c>
      <c r="E1073" t="s">
        <v>9127</v>
      </c>
      <c r="F1073">
        <v>45747</v>
      </c>
      <c r="G1073" t="s">
        <v>2208</v>
      </c>
      <c r="H1073" t="s">
        <v>7834</v>
      </c>
      <c r="I1073" t="s">
        <v>11746</v>
      </c>
      <c r="J1073">
        <v>1</v>
      </c>
      <c r="K1073">
        <v>104.61</v>
      </c>
      <c r="L1073" t="s">
        <v>2917</v>
      </c>
      <c r="M1073">
        <v>104.61</v>
      </c>
      <c r="N1073" t="s">
        <v>2917</v>
      </c>
      <c r="O1073" t="s">
        <v>2208</v>
      </c>
      <c r="P1073" t="s">
        <v>2208</v>
      </c>
      <c r="Q1073" t="s">
        <v>2208</v>
      </c>
      <c r="R1073" t="s">
        <v>2208</v>
      </c>
    </row>
    <row r="1074" spans="1:18">
      <c r="A1074" t="s">
        <v>7030</v>
      </c>
      <c r="B1074" t="s">
        <v>9126</v>
      </c>
      <c r="C1074">
        <v>45748</v>
      </c>
      <c r="D1074" t="s">
        <v>7263</v>
      </c>
      <c r="E1074" t="s">
        <v>9127</v>
      </c>
      <c r="F1074">
        <v>45747</v>
      </c>
      <c r="G1074" t="s">
        <v>2208</v>
      </c>
      <c r="H1074" t="s">
        <v>7834</v>
      </c>
      <c r="I1074" t="s">
        <v>11747</v>
      </c>
      <c r="J1074">
        <v>1</v>
      </c>
      <c r="K1074">
        <v>104.61</v>
      </c>
      <c r="L1074" t="s">
        <v>2917</v>
      </c>
      <c r="M1074">
        <v>104.61</v>
      </c>
      <c r="N1074" t="s">
        <v>2917</v>
      </c>
      <c r="O1074" t="s">
        <v>2208</v>
      </c>
      <c r="P1074" t="s">
        <v>2208</v>
      </c>
      <c r="Q1074" t="s">
        <v>2208</v>
      </c>
      <c r="R1074" t="s">
        <v>2208</v>
      </c>
    </row>
    <row r="1075" spans="1:18">
      <c r="A1075" t="s">
        <v>7030</v>
      </c>
      <c r="B1075" t="s">
        <v>9126</v>
      </c>
      <c r="C1075">
        <v>45748</v>
      </c>
      <c r="D1075" t="s">
        <v>7263</v>
      </c>
      <c r="E1075" t="s">
        <v>9127</v>
      </c>
      <c r="F1075">
        <v>45747</v>
      </c>
      <c r="G1075" t="s">
        <v>2208</v>
      </c>
      <c r="H1075" t="s">
        <v>7834</v>
      </c>
      <c r="I1075" t="s">
        <v>11748</v>
      </c>
      <c r="J1075">
        <v>1</v>
      </c>
      <c r="K1075">
        <v>104.61</v>
      </c>
      <c r="L1075" t="s">
        <v>2917</v>
      </c>
      <c r="M1075">
        <v>104.61</v>
      </c>
      <c r="N1075" t="s">
        <v>2917</v>
      </c>
      <c r="O1075" t="s">
        <v>2208</v>
      </c>
      <c r="P1075" t="s">
        <v>2208</v>
      </c>
      <c r="Q1075" t="s">
        <v>2208</v>
      </c>
      <c r="R1075" t="s">
        <v>2208</v>
      </c>
    </row>
    <row r="1076" spans="1:18">
      <c r="A1076" t="s">
        <v>7030</v>
      </c>
      <c r="B1076" t="s">
        <v>9126</v>
      </c>
      <c r="C1076">
        <v>45748</v>
      </c>
      <c r="D1076" t="s">
        <v>7263</v>
      </c>
      <c r="E1076" t="s">
        <v>9127</v>
      </c>
      <c r="F1076">
        <v>45747</v>
      </c>
      <c r="G1076" t="s">
        <v>2208</v>
      </c>
      <c r="H1076" t="s">
        <v>7834</v>
      </c>
      <c r="I1076" t="s">
        <v>11749</v>
      </c>
      <c r="J1076">
        <v>1</v>
      </c>
      <c r="K1076">
        <v>104.61</v>
      </c>
      <c r="L1076" t="s">
        <v>2917</v>
      </c>
      <c r="M1076">
        <v>104.61</v>
      </c>
      <c r="N1076" t="s">
        <v>2917</v>
      </c>
      <c r="O1076" t="s">
        <v>2208</v>
      </c>
      <c r="P1076" t="s">
        <v>2208</v>
      </c>
      <c r="Q1076" t="s">
        <v>2208</v>
      </c>
      <c r="R1076" t="s">
        <v>2208</v>
      </c>
    </row>
    <row r="1077" spans="1:18">
      <c r="A1077" t="s">
        <v>7030</v>
      </c>
      <c r="B1077" t="s">
        <v>9126</v>
      </c>
      <c r="C1077">
        <v>45748</v>
      </c>
      <c r="D1077" t="s">
        <v>7263</v>
      </c>
      <c r="E1077" t="s">
        <v>9127</v>
      </c>
      <c r="F1077">
        <v>45747</v>
      </c>
      <c r="G1077" t="s">
        <v>2208</v>
      </c>
      <c r="H1077" t="s">
        <v>7834</v>
      </c>
      <c r="I1077" t="s">
        <v>11750</v>
      </c>
      <c r="J1077">
        <v>2</v>
      </c>
      <c r="K1077">
        <v>209.22</v>
      </c>
      <c r="L1077" t="s">
        <v>2917</v>
      </c>
      <c r="M1077">
        <v>209.22</v>
      </c>
      <c r="N1077" t="s">
        <v>2917</v>
      </c>
      <c r="O1077" t="s">
        <v>2208</v>
      </c>
      <c r="P1077" t="s">
        <v>2208</v>
      </c>
      <c r="Q1077" t="s">
        <v>2208</v>
      </c>
      <c r="R1077" t="s">
        <v>2208</v>
      </c>
    </row>
    <row r="1078" spans="1:18">
      <c r="A1078" t="s">
        <v>7030</v>
      </c>
      <c r="B1078" t="s">
        <v>9126</v>
      </c>
      <c r="C1078">
        <v>45748</v>
      </c>
      <c r="D1078" t="s">
        <v>7263</v>
      </c>
      <c r="E1078" t="s">
        <v>9127</v>
      </c>
      <c r="F1078">
        <v>45747</v>
      </c>
      <c r="G1078" t="s">
        <v>2208</v>
      </c>
      <c r="H1078" t="s">
        <v>7834</v>
      </c>
      <c r="I1078" t="s">
        <v>11751</v>
      </c>
      <c r="J1078">
        <v>1</v>
      </c>
      <c r="K1078">
        <v>104.61</v>
      </c>
      <c r="L1078" t="s">
        <v>2917</v>
      </c>
      <c r="M1078">
        <v>104.61</v>
      </c>
      <c r="N1078" t="s">
        <v>2917</v>
      </c>
      <c r="O1078" t="s">
        <v>2208</v>
      </c>
      <c r="P1078" t="s">
        <v>2208</v>
      </c>
      <c r="Q1078" t="s">
        <v>2208</v>
      </c>
      <c r="R1078" t="s">
        <v>2208</v>
      </c>
    </row>
    <row r="1079" spans="1:18">
      <c r="A1079" t="s">
        <v>7030</v>
      </c>
      <c r="B1079" t="s">
        <v>9126</v>
      </c>
      <c r="C1079">
        <v>45748</v>
      </c>
      <c r="D1079" t="s">
        <v>7263</v>
      </c>
      <c r="E1079" t="s">
        <v>9127</v>
      </c>
      <c r="F1079">
        <v>45747</v>
      </c>
      <c r="G1079" t="s">
        <v>2208</v>
      </c>
      <c r="H1079" t="s">
        <v>7834</v>
      </c>
      <c r="I1079" t="s">
        <v>11752</v>
      </c>
      <c r="J1079">
        <v>1</v>
      </c>
      <c r="K1079">
        <v>104.61</v>
      </c>
      <c r="L1079" t="s">
        <v>2917</v>
      </c>
      <c r="M1079">
        <v>104.61</v>
      </c>
      <c r="N1079" t="s">
        <v>2917</v>
      </c>
      <c r="O1079" t="s">
        <v>2208</v>
      </c>
      <c r="P1079" t="s">
        <v>2208</v>
      </c>
      <c r="Q1079" t="s">
        <v>2208</v>
      </c>
      <c r="R1079" t="s">
        <v>2208</v>
      </c>
    </row>
    <row r="1080" spans="1:18">
      <c r="A1080" t="s">
        <v>7030</v>
      </c>
      <c r="B1080" t="s">
        <v>9126</v>
      </c>
      <c r="C1080">
        <v>45748</v>
      </c>
      <c r="D1080" t="s">
        <v>7263</v>
      </c>
      <c r="E1080" t="s">
        <v>9127</v>
      </c>
      <c r="F1080">
        <v>45747</v>
      </c>
      <c r="G1080" t="s">
        <v>2208</v>
      </c>
      <c r="H1080" t="s">
        <v>7834</v>
      </c>
      <c r="I1080" t="s">
        <v>11753</v>
      </c>
      <c r="J1080">
        <v>1</v>
      </c>
      <c r="K1080">
        <v>104.61</v>
      </c>
      <c r="L1080" t="s">
        <v>2917</v>
      </c>
      <c r="M1080">
        <v>104.61</v>
      </c>
      <c r="N1080" t="s">
        <v>2917</v>
      </c>
      <c r="O1080" t="s">
        <v>2208</v>
      </c>
      <c r="P1080" t="s">
        <v>2208</v>
      </c>
      <c r="Q1080" t="s">
        <v>2208</v>
      </c>
      <c r="R1080" t="s">
        <v>2208</v>
      </c>
    </row>
    <row r="1081" spans="1:18">
      <c r="A1081" t="s">
        <v>7030</v>
      </c>
      <c r="B1081" t="s">
        <v>9126</v>
      </c>
      <c r="C1081">
        <v>45748</v>
      </c>
      <c r="D1081" t="s">
        <v>7263</v>
      </c>
      <c r="E1081" t="s">
        <v>9127</v>
      </c>
      <c r="F1081">
        <v>45747</v>
      </c>
      <c r="G1081" t="s">
        <v>2208</v>
      </c>
      <c r="H1081" t="s">
        <v>7834</v>
      </c>
      <c r="I1081" t="s">
        <v>11754</v>
      </c>
      <c r="J1081">
        <v>2</v>
      </c>
      <c r="K1081">
        <v>209.22</v>
      </c>
      <c r="L1081" t="s">
        <v>2917</v>
      </c>
      <c r="M1081">
        <v>209.22</v>
      </c>
      <c r="N1081" t="s">
        <v>2917</v>
      </c>
      <c r="O1081" t="s">
        <v>2208</v>
      </c>
      <c r="P1081" t="s">
        <v>2208</v>
      </c>
      <c r="Q1081" t="s">
        <v>2208</v>
      </c>
      <c r="R1081" t="s">
        <v>2208</v>
      </c>
    </row>
    <row r="1082" spans="1:18">
      <c r="A1082" t="s">
        <v>7030</v>
      </c>
      <c r="B1082" t="s">
        <v>9126</v>
      </c>
      <c r="C1082">
        <v>45748</v>
      </c>
      <c r="D1082" t="s">
        <v>7263</v>
      </c>
      <c r="E1082" t="s">
        <v>9127</v>
      </c>
      <c r="F1082">
        <v>45747</v>
      </c>
      <c r="G1082" t="s">
        <v>2208</v>
      </c>
      <c r="H1082" t="s">
        <v>7834</v>
      </c>
      <c r="I1082" t="s">
        <v>11755</v>
      </c>
      <c r="J1082">
        <v>2</v>
      </c>
      <c r="K1082">
        <v>209.22</v>
      </c>
      <c r="L1082" t="s">
        <v>2917</v>
      </c>
      <c r="M1082">
        <v>209.22</v>
      </c>
      <c r="N1082" t="s">
        <v>2917</v>
      </c>
      <c r="O1082" t="s">
        <v>2208</v>
      </c>
      <c r="P1082" t="s">
        <v>2208</v>
      </c>
      <c r="Q1082" t="s">
        <v>2208</v>
      </c>
      <c r="R1082" t="s">
        <v>2208</v>
      </c>
    </row>
    <row r="1083" spans="1:18">
      <c r="A1083" t="s">
        <v>7030</v>
      </c>
      <c r="B1083" t="s">
        <v>9126</v>
      </c>
      <c r="C1083">
        <v>45748</v>
      </c>
      <c r="D1083" t="s">
        <v>7263</v>
      </c>
      <c r="E1083" t="s">
        <v>9127</v>
      </c>
      <c r="F1083">
        <v>45747</v>
      </c>
      <c r="G1083" t="s">
        <v>2208</v>
      </c>
      <c r="H1083" t="s">
        <v>7834</v>
      </c>
      <c r="I1083" t="s">
        <v>11756</v>
      </c>
      <c r="J1083">
        <v>1</v>
      </c>
      <c r="K1083">
        <v>104.61</v>
      </c>
      <c r="L1083" t="s">
        <v>2917</v>
      </c>
      <c r="M1083">
        <v>104.61</v>
      </c>
      <c r="N1083" t="s">
        <v>2917</v>
      </c>
      <c r="O1083" t="s">
        <v>2208</v>
      </c>
      <c r="P1083" t="s">
        <v>2208</v>
      </c>
      <c r="Q1083" t="s">
        <v>2208</v>
      </c>
      <c r="R1083" t="s">
        <v>2208</v>
      </c>
    </row>
    <row r="1084" spans="1:18">
      <c r="A1084" t="s">
        <v>7030</v>
      </c>
      <c r="B1084" t="s">
        <v>9126</v>
      </c>
      <c r="C1084">
        <v>45748</v>
      </c>
      <c r="D1084" t="s">
        <v>7263</v>
      </c>
      <c r="E1084" t="s">
        <v>9127</v>
      </c>
      <c r="F1084">
        <v>45747</v>
      </c>
      <c r="G1084" t="s">
        <v>2208</v>
      </c>
      <c r="H1084" t="s">
        <v>7834</v>
      </c>
      <c r="I1084" t="s">
        <v>11757</v>
      </c>
      <c r="J1084">
        <v>1</v>
      </c>
      <c r="K1084">
        <v>104.61</v>
      </c>
      <c r="L1084" t="s">
        <v>2917</v>
      </c>
      <c r="M1084">
        <v>104.61</v>
      </c>
      <c r="N1084" t="s">
        <v>2917</v>
      </c>
      <c r="O1084" t="s">
        <v>2208</v>
      </c>
      <c r="P1084" t="s">
        <v>2208</v>
      </c>
      <c r="Q1084" t="s">
        <v>2208</v>
      </c>
      <c r="R1084" t="s">
        <v>2208</v>
      </c>
    </row>
    <row r="1085" spans="1:18">
      <c r="A1085" t="s">
        <v>7030</v>
      </c>
      <c r="B1085" t="s">
        <v>9126</v>
      </c>
      <c r="C1085">
        <v>45748</v>
      </c>
      <c r="D1085" t="s">
        <v>7263</v>
      </c>
      <c r="E1085" t="s">
        <v>9127</v>
      </c>
      <c r="F1085">
        <v>45747</v>
      </c>
      <c r="G1085" t="s">
        <v>2208</v>
      </c>
      <c r="H1085" t="s">
        <v>7834</v>
      </c>
      <c r="I1085" t="s">
        <v>11758</v>
      </c>
      <c r="J1085">
        <v>1</v>
      </c>
      <c r="K1085">
        <v>104.61</v>
      </c>
      <c r="L1085" t="s">
        <v>2917</v>
      </c>
      <c r="M1085">
        <v>104.61</v>
      </c>
      <c r="N1085" t="s">
        <v>2917</v>
      </c>
      <c r="O1085" t="s">
        <v>2208</v>
      </c>
      <c r="P1085" t="s">
        <v>2208</v>
      </c>
      <c r="Q1085" t="s">
        <v>2208</v>
      </c>
      <c r="R1085" t="s">
        <v>2208</v>
      </c>
    </row>
    <row r="1086" spans="1:18">
      <c r="A1086" t="s">
        <v>7030</v>
      </c>
      <c r="B1086" t="s">
        <v>9126</v>
      </c>
      <c r="C1086">
        <v>45748</v>
      </c>
      <c r="D1086" t="s">
        <v>7263</v>
      </c>
      <c r="E1086" t="s">
        <v>9127</v>
      </c>
      <c r="F1086">
        <v>45747</v>
      </c>
      <c r="G1086" t="s">
        <v>2208</v>
      </c>
      <c r="H1086" t="s">
        <v>7834</v>
      </c>
      <c r="I1086" t="s">
        <v>11759</v>
      </c>
      <c r="J1086">
        <v>1</v>
      </c>
      <c r="K1086">
        <v>104.61</v>
      </c>
      <c r="L1086" t="s">
        <v>2917</v>
      </c>
      <c r="M1086">
        <v>104.61</v>
      </c>
      <c r="N1086" t="s">
        <v>2917</v>
      </c>
      <c r="O1086" t="s">
        <v>2208</v>
      </c>
      <c r="P1086" t="s">
        <v>2208</v>
      </c>
      <c r="Q1086" t="s">
        <v>2208</v>
      </c>
      <c r="R1086" t="s">
        <v>2208</v>
      </c>
    </row>
    <row r="1087" spans="1:18">
      <c r="A1087" t="s">
        <v>7030</v>
      </c>
      <c r="B1087" t="s">
        <v>9126</v>
      </c>
      <c r="C1087">
        <v>45748</v>
      </c>
      <c r="D1087" t="s">
        <v>7263</v>
      </c>
      <c r="E1087" t="s">
        <v>9127</v>
      </c>
      <c r="F1087">
        <v>45747</v>
      </c>
      <c r="G1087" t="s">
        <v>2208</v>
      </c>
      <c r="H1087" t="s">
        <v>7834</v>
      </c>
      <c r="I1087" t="s">
        <v>11760</v>
      </c>
      <c r="J1087">
        <v>2</v>
      </c>
      <c r="K1087">
        <v>209.22</v>
      </c>
      <c r="L1087" t="s">
        <v>2917</v>
      </c>
      <c r="M1087">
        <v>209.22</v>
      </c>
      <c r="N1087" t="s">
        <v>2917</v>
      </c>
      <c r="O1087" t="s">
        <v>2208</v>
      </c>
      <c r="P1087" t="s">
        <v>2208</v>
      </c>
      <c r="Q1087" t="s">
        <v>2208</v>
      </c>
      <c r="R1087" t="s">
        <v>2208</v>
      </c>
    </row>
    <row r="1088" spans="1:18">
      <c r="A1088" t="s">
        <v>7030</v>
      </c>
      <c r="B1088" t="s">
        <v>9126</v>
      </c>
      <c r="C1088">
        <v>45748</v>
      </c>
      <c r="D1088" t="s">
        <v>7263</v>
      </c>
      <c r="E1088" t="s">
        <v>9127</v>
      </c>
      <c r="F1088">
        <v>45747</v>
      </c>
      <c r="G1088" t="s">
        <v>2208</v>
      </c>
      <c r="H1088" t="s">
        <v>7834</v>
      </c>
      <c r="I1088" t="s">
        <v>11761</v>
      </c>
      <c r="J1088">
        <v>2</v>
      </c>
      <c r="K1088">
        <v>209.22</v>
      </c>
      <c r="L1088" t="s">
        <v>2917</v>
      </c>
      <c r="M1088">
        <v>209.22</v>
      </c>
      <c r="N1088" t="s">
        <v>2917</v>
      </c>
      <c r="O1088" t="s">
        <v>2208</v>
      </c>
      <c r="P1088" t="s">
        <v>2208</v>
      </c>
      <c r="Q1088" t="s">
        <v>2208</v>
      </c>
      <c r="R1088" t="s">
        <v>2208</v>
      </c>
    </row>
    <row r="1089" spans="1:18">
      <c r="A1089" t="s">
        <v>7030</v>
      </c>
      <c r="B1089" t="s">
        <v>9126</v>
      </c>
      <c r="C1089">
        <v>45748</v>
      </c>
      <c r="D1089" t="s">
        <v>7263</v>
      </c>
      <c r="E1089" t="s">
        <v>9127</v>
      </c>
      <c r="F1089">
        <v>45747</v>
      </c>
      <c r="G1089" t="s">
        <v>2208</v>
      </c>
      <c r="H1089" t="s">
        <v>7834</v>
      </c>
      <c r="I1089" t="s">
        <v>11762</v>
      </c>
      <c r="J1089">
        <v>2</v>
      </c>
      <c r="K1089">
        <v>209.22</v>
      </c>
      <c r="L1089" t="s">
        <v>2917</v>
      </c>
      <c r="M1089">
        <v>209.22</v>
      </c>
      <c r="N1089" t="s">
        <v>2917</v>
      </c>
      <c r="O1089" t="s">
        <v>2208</v>
      </c>
      <c r="P1089" t="s">
        <v>2208</v>
      </c>
      <c r="Q1089" t="s">
        <v>2208</v>
      </c>
      <c r="R1089" t="s">
        <v>2208</v>
      </c>
    </row>
    <row r="1090" spans="1:18">
      <c r="A1090" t="s">
        <v>7030</v>
      </c>
      <c r="B1090" t="s">
        <v>9126</v>
      </c>
      <c r="C1090">
        <v>45748</v>
      </c>
      <c r="D1090" t="s">
        <v>7263</v>
      </c>
      <c r="E1090" t="s">
        <v>9127</v>
      </c>
      <c r="F1090">
        <v>45747</v>
      </c>
      <c r="G1090" t="s">
        <v>2208</v>
      </c>
      <c r="H1090" t="s">
        <v>7834</v>
      </c>
      <c r="I1090" t="s">
        <v>11763</v>
      </c>
      <c r="J1090">
        <v>1</v>
      </c>
      <c r="K1090">
        <v>104.61</v>
      </c>
      <c r="L1090" t="s">
        <v>2917</v>
      </c>
      <c r="M1090">
        <v>104.61</v>
      </c>
      <c r="N1090" t="s">
        <v>2917</v>
      </c>
      <c r="O1090" t="s">
        <v>2208</v>
      </c>
      <c r="P1090" t="s">
        <v>2208</v>
      </c>
      <c r="Q1090" t="s">
        <v>2208</v>
      </c>
      <c r="R1090" t="s">
        <v>2208</v>
      </c>
    </row>
    <row r="1091" spans="1:18">
      <c r="A1091" t="s">
        <v>7030</v>
      </c>
      <c r="B1091" t="s">
        <v>9126</v>
      </c>
      <c r="C1091">
        <v>45748</v>
      </c>
      <c r="D1091" t="s">
        <v>7263</v>
      </c>
      <c r="E1091" t="s">
        <v>9127</v>
      </c>
      <c r="F1091">
        <v>45747</v>
      </c>
      <c r="G1091" t="s">
        <v>2208</v>
      </c>
      <c r="H1091" t="s">
        <v>7834</v>
      </c>
      <c r="I1091" t="s">
        <v>11764</v>
      </c>
      <c r="J1091">
        <v>1</v>
      </c>
      <c r="K1091">
        <v>104.61</v>
      </c>
      <c r="L1091" t="s">
        <v>2917</v>
      </c>
      <c r="M1091">
        <v>104.61</v>
      </c>
      <c r="N1091" t="s">
        <v>2917</v>
      </c>
      <c r="O1091" t="s">
        <v>2208</v>
      </c>
      <c r="P1091" t="s">
        <v>2208</v>
      </c>
      <c r="Q1091" t="s">
        <v>2208</v>
      </c>
      <c r="R1091" t="s">
        <v>2208</v>
      </c>
    </row>
    <row r="1092" spans="1:18">
      <c r="A1092" t="s">
        <v>7030</v>
      </c>
      <c r="B1092" t="s">
        <v>9126</v>
      </c>
      <c r="C1092">
        <v>45748</v>
      </c>
      <c r="D1092" t="s">
        <v>7263</v>
      </c>
      <c r="E1092" t="s">
        <v>9127</v>
      </c>
      <c r="F1092">
        <v>45747</v>
      </c>
      <c r="G1092" t="s">
        <v>2208</v>
      </c>
      <c r="H1092" t="s">
        <v>7834</v>
      </c>
      <c r="I1092" t="s">
        <v>11765</v>
      </c>
      <c r="J1092">
        <v>2</v>
      </c>
      <c r="K1092">
        <v>209.22</v>
      </c>
      <c r="L1092" t="s">
        <v>2917</v>
      </c>
      <c r="M1092">
        <v>209.22</v>
      </c>
      <c r="N1092" t="s">
        <v>2917</v>
      </c>
      <c r="O1092" t="s">
        <v>2208</v>
      </c>
      <c r="P1092" t="s">
        <v>2208</v>
      </c>
      <c r="Q1092" t="s">
        <v>2208</v>
      </c>
      <c r="R1092" t="s">
        <v>2208</v>
      </c>
    </row>
    <row r="1093" spans="1:18">
      <c r="A1093" t="s">
        <v>7030</v>
      </c>
      <c r="B1093" t="s">
        <v>9126</v>
      </c>
      <c r="C1093">
        <v>45748</v>
      </c>
      <c r="D1093" t="s">
        <v>7263</v>
      </c>
      <c r="E1093" t="s">
        <v>9127</v>
      </c>
      <c r="F1093">
        <v>45747</v>
      </c>
      <c r="G1093" t="s">
        <v>2208</v>
      </c>
      <c r="H1093" t="s">
        <v>7834</v>
      </c>
      <c r="I1093" t="s">
        <v>11766</v>
      </c>
      <c r="J1093">
        <v>2</v>
      </c>
      <c r="K1093">
        <v>209.22</v>
      </c>
      <c r="L1093" t="s">
        <v>2917</v>
      </c>
      <c r="M1093">
        <v>209.22</v>
      </c>
      <c r="N1093" t="s">
        <v>2917</v>
      </c>
      <c r="O1093" t="s">
        <v>2208</v>
      </c>
      <c r="P1093" t="s">
        <v>2208</v>
      </c>
      <c r="Q1093" t="s">
        <v>2208</v>
      </c>
      <c r="R1093" t="s">
        <v>2208</v>
      </c>
    </row>
    <row r="1094" spans="1:18">
      <c r="A1094" t="s">
        <v>7030</v>
      </c>
      <c r="B1094" t="s">
        <v>9126</v>
      </c>
      <c r="C1094">
        <v>45748</v>
      </c>
      <c r="D1094" t="s">
        <v>7263</v>
      </c>
      <c r="E1094" t="s">
        <v>9127</v>
      </c>
      <c r="F1094">
        <v>45747</v>
      </c>
      <c r="G1094" t="s">
        <v>2208</v>
      </c>
      <c r="H1094" t="s">
        <v>7834</v>
      </c>
      <c r="I1094" t="s">
        <v>11767</v>
      </c>
      <c r="J1094">
        <v>0.8</v>
      </c>
      <c r="K1094">
        <v>83.69</v>
      </c>
      <c r="L1094" t="s">
        <v>2917</v>
      </c>
      <c r="M1094">
        <v>83.69</v>
      </c>
      <c r="N1094" t="s">
        <v>2917</v>
      </c>
      <c r="O1094" t="s">
        <v>2208</v>
      </c>
      <c r="P1094" t="s">
        <v>2208</v>
      </c>
      <c r="Q1094" t="s">
        <v>2208</v>
      </c>
      <c r="R1094" t="s">
        <v>2208</v>
      </c>
    </row>
    <row r="1095" spans="1:18">
      <c r="A1095" t="s">
        <v>7030</v>
      </c>
      <c r="B1095" t="s">
        <v>9126</v>
      </c>
      <c r="C1095">
        <v>45748</v>
      </c>
      <c r="D1095" t="s">
        <v>7263</v>
      </c>
      <c r="E1095" t="s">
        <v>9127</v>
      </c>
      <c r="F1095">
        <v>45747</v>
      </c>
      <c r="G1095" t="s">
        <v>2208</v>
      </c>
      <c r="H1095" t="s">
        <v>7834</v>
      </c>
      <c r="I1095" t="s">
        <v>11768</v>
      </c>
      <c r="J1095">
        <v>1</v>
      </c>
      <c r="K1095">
        <v>104.61</v>
      </c>
      <c r="L1095" t="s">
        <v>2917</v>
      </c>
      <c r="M1095">
        <v>104.61</v>
      </c>
      <c r="N1095" t="s">
        <v>2917</v>
      </c>
      <c r="O1095" t="s">
        <v>2208</v>
      </c>
      <c r="P1095" t="s">
        <v>2208</v>
      </c>
      <c r="Q1095" t="s">
        <v>2208</v>
      </c>
      <c r="R1095" t="s">
        <v>2208</v>
      </c>
    </row>
    <row r="1096" spans="1:18">
      <c r="A1096" t="s">
        <v>7030</v>
      </c>
      <c r="B1096" t="s">
        <v>9126</v>
      </c>
      <c r="C1096">
        <v>45748</v>
      </c>
      <c r="D1096" t="s">
        <v>7263</v>
      </c>
      <c r="E1096" t="s">
        <v>9127</v>
      </c>
      <c r="F1096">
        <v>45747</v>
      </c>
      <c r="G1096" t="s">
        <v>2208</v>
      </c>
      <c r="H1096" t="s">
        <v>7834</v>
      </c>
      <c r="I1096" t="s">
        <v>11769</v>
      </c>
      <c r="J1096">
        <v>2</v>
      </c>
      <c r="K1096">
        <v>209.22</v>
      </c>
      <c r="L1096" t="s">
        <v>2917</v>
      </c>
      <c r="M1096">
        <v>209.22</v>
      </c>
      <c r="N1096" t="s">
        <v>2917</v>
      </c>
      <c r="O1096" t="s">
        <v>2208</v>
      </c>
      <c r="P1096" t="s">
        <v>2208</v>
      </c>
      <c r="Q1096" t="s">
        <v>2208</v>
      </c>
      <c r="R1096" t="s">
        <v>2208</v>
      </c>
    </row>
    <row r="1097" spans="1:18">
      <c r="A1097" t="s">
        <v>7030</v>
      </c>
      <c r="B1097" t="s">
        <v>9126</v>
      </c>
      <c r="C1097">
        <v>45748</v>
      </c>
      <c r="D1097" t="s">
        <v>7263</v>
      </c>
      <c r="E1097" t="s">
        <v>9127</v>
      </c>
      <c r="F1097">
        <v>45747</v>
      </c>
      <c r="G1097" t="s">
        <v>2208</v>
      </c>
      <c r="H1097" t="s">
        <v>7834</v>
      </c>
      <c r="I1097" t="s">
        <v>11770</v>
      </c>
      <c r="J1097">
        <v>2</v>
      </c>
      <c r="K1097">
        <v>209.22</v>
      </c>
      <c r="L1097" t="s">
        <v>2917</v>
      </c>
      <c r="M1097">
        <v>209.22</v>
      </c>
      <c r="N1097" t="s">
        <v>2917</v>
      </c>
      <c r="O1097" t="s">
        <v>2208</v>
      </c>
      <c r="P1097" t="s">
        <v>2208</v>
      </c>
      <c r="Q1097" t="s">
        <v>2208</v>
      </c>
      <c r="R1097" t="s">
        <v>2208</v>
      </c>
    </row>
    <row r="1098" spans="1:18">
      <c r="A1098" t="s">
        <v>7030</v>
      </c>
      <c r="B1098" t="s">
        <v>9126</v>
      </c>
      <c r="C1098">
        <v>45748</v>
      </c>
      <c r="D1098" t="s">
        <v>7263</v>
      </c>
      <c r="E1098" t="s">
        <v>9127</v>
      </c>
      <c r="F1098">
        <v>45747</v>
      </c>
      <c r="G1098" t="s">
        <v>2208</v>
      </c>
      <c r="H1098" t="s">
        <v>7834</v>
      </c>
      <c r="I1098" t="s">
        <v>11771</v>
      </c>
      <c r="J1098">
        <v>2</v>
      </c>
      <c r="K1098">
        <v>209.22</v>
      </c>
      <c r="L1098" t="s">
        <v>2917</v>
      </c>
      <c r="M1098">
        <v>209.22</v>
      </c>
      <c r="N1098" t="s">
        <v>2917</v>
      </c>
      <c r="O1098" t="s">
        <v>2208</v>
      </c>
      <c r="P1098" t="s">
        <v>2208</v>
      </c>
      <c r="Q1098" t="s">
        <v>2208</v>
      </c>
      <c r="R1098" t="s">
        <v>2208</v>
      </c>
    </row>
    <row r="1099" spans="1:18">
      <c r="A1099" t="s">
        <v>7030</v>
      </c>
      <c r="B1099" t="s">
        <v>9126</v>
      </c>
      <c r="C1099">
        <v>45748</v>
      </c>
      <c r="D1099" t="s">
        <v>7263</v>
      </c>
      <c r="E1099" t="s">
        <v>9127</v>
      </c>
      <c r="F1099">
        <v>45747</v>
      </c>
      <c r="G1099" t="s">
        <v>2208</v>
      </c>
      <c r="H1099" t="s">
        <v>7834</v>
      </c>
      <c r="I1099" t="s">
        <v>11772</v>
      </c>
      <c r="J1099">
        <v>2</v>
      </c>
      <c r="K1099">
        <v>209.22</v>
      </c>
      <c r="L1099" t="s">
        <v>2917</v>
      </c>
      <c r="M1099">
        <v>209.22</v>
      </c>
      <c r="N1099" t="s">
        <v>2917</v>
      </c>
      <c r="O1099" t="s">
        <v>2208</v>
      </c>
      <c r="P1099" t="s">
        <v>2208</v>
      </c>
      <c r="Q1099" t="s">
        <v>2208</v>
      </c>
      <c r="R1099" t="s">
        <v>2208</v>
      </c>
    </row>
    <row r="1100" spans="1:18">
      <c r="A1100" t="s">
        <v>7030</v>
      </c>
      <c r="B1100" t="s">
        <v>9126</v>
      </c>
      <c r="C1100">
        <v>45748</v>
      </c>
      <c r="D1100" t="s">
        <v>7263</v>
      </c>
      <c r="E1100" t="s">
        <v>9127</v>
      </c>
      <c r="F1100">
        <v>45747</v>
      </c>
      <c r="G1100" t="s">
        <v>2208</v>
      </c>
      <c r="H1100" t="s">
        <v>7834</v>
      </c>
      <c r="I1100" t="s">
        <v>11773</v>
      </c>
      <c r="J1100">
        <v>2</v>
      </c>
      <c r="K1100">
        <v>209.22</v>
      </c>
      <c r="L1100" t="s">
        <v>2917</v>
      </c>
      <c r="M1100">
        <v>209.22</v>
      </c>
      <c r="N1100" t="s">
        <v>2917</v>
      </c>
      <c r="O1100" t="s">
        <v>2208</v>
      </c>
      <c r="P1100" t="s">
        <v>2208</v>
      </c>
      <c r="Q1100" t="s">
        <v>2208</v>
      </c>
      <c r="R1100" t="s">
        <v>2208</v>
      </c>
    </row>
    <row r="1101" spans="1:18">
      <c r="A1101" t="s">
        <v>7030</v>
      </c>
      <c r="B1101" t="s">
        <v>9126</v>
      </c>
      <c r="C1101">
        <v>45748</v>
      </c>
      <c r="D1101" t="s">
        <v>7263</v>
      </c>
      <c r="E1101" t="s">
        <v>9127</v>
      </c>
      <c r="F1101">
        <v>45747</v>
      </c>
      <c r="G1101" t="s">
        <v>2208</v>
      </c>
      <c r="H1101" t="s">
        <v>7834</v>
      </c>
      <c r="I1101" t="s">
        <v>11774</v>
      </c>
      <c r="J1101">
        <v>2</v>
      </c>
      <c r="K1101">
        <v>209.22</v>
      </c>
      <c r="L1101" t="s">
        <v>2917</v>
      </c>
      <c r="M1101">
        <v>209.22</v>
      </c>
      <c r="N1101" t="s">
        <v>2917</v>
      </c>
      <c r="O1101" t="s">
        <v>2208</v>
      </c>
      <c r="P1101" t="s">
        <v>2208</v>
      </c>
      <c r="Q1101" t="s">
        <v>2208</v>
      </c>
      <c r="R1101" t="s">
        <v>2208</v>
      </c>
    </row>
    <row r="1102" spans="1:18">
      <c r="A1102" t="s">
        <v>7030</v>
      </c>
      <c r="B1102" t="s">
        <v>9126</v>
      </c>
      <c r="C1102">
        <v>45748</v>
      </c>
      <c r="D1102" t="s">
        <v>7263</v>
      </c>
      <c r="E1102" t="s">
        <v>9127</v>
      </c>
      <c r="F1102">
        <v>45747</v>
      </c>
      <c r="G1102" t="s">
        <v>2208</v>
      </c>
      <c r="H1102" t="s">
        <v>7834</v>
      </c>
      <c r="I1102" t="s">
        <v>11775</v>
      </c>
      <c r="J1102">
        <v>2</v>
      </c>
      <c r="K1102">
        <v>209.22</v>
      </c>
      <c r="L1102" t="s">
        <v>2917</v>
      </c>
      <c r="M1102">
        <v>209.22</v>
      </c>
      <c r="N1102" t="s">
        <v>2917</v>
      </c>
      <c r="O1102" t="s">
        <v>2208</v>
      </c>
      <c r="P1102" t="s">
        <v>2208</v>
      </c>
      <c r="Q1102" t="s">
        <v>2208</v>
      </c>
      <c r="R1102" t="s">
        <v>2208</v>
      </c>
    </row>
    <row r="1103" spans="1:18">
      <c r="A1103" t="s">
        <v>7030</v>
      </c>
      <c r="B1103" t="s">
        <v>9126</v>
      </c>
      <c r="C1103">
        <v>45748</v>
      </c>
      <c r="D1103" t="s">
        <v>7263</v>
      </c>
      <c r="E1103" t="s">
        <v>9127</v>
      </c>
      <c r="F1103">
        <v>45747</v>
      </c>
      <c r="G1103" t="s">
        <v>2208</v>
      </c>
      <c r="H1103" t="s">
        <v>7834</v>
      </c>
      <c r="I1103" t="s">
        <v>11776</v>
      </c>
      <c r="J1103">
        <v>2</v>
      </c>
      <c r="K1103">
        <v>209.22</v>
      </c>
      <c r="L1103" t="s">
        <v>2917</v>
      </c>
      <c r="M1103">
        <v>209.22</v>
      </c>
      <c r="N1103" t="s">
        <v>2917</v>
      </c>
      <c r="O1103" t="s">
        <v>2208</v>
      </c>
      <c r="P1103" t="s">
        <v>2208</v>
      </c>
      <c r="Q1103" t="s">
        <v>2208</v>
      </c>
      <c r="R1103" t="s">
        <v>2208</v>
      </c>
    </row>
    <row r="1104" spans="1:18">
      <c r="A1104" t="s">
        <v>7030</v>
      </c>
      <c r="B1104" t="s">
        <v>9126</v>
      </c>
      <c r="C1104">
        <v>45748</v>
      </c>
      <c r="D1104" t="s">
        <v>7263</v>
      </c>
      <c r="E1104" t="s">
        <v>9127</v>
      </c>
      <c r="F1104">
        <v>45747</v>
      </c>
      <c r="G1104" t="s">
        <v>2208</v>
      </c>
      <c r="H1104" t="s">
        <v>7834</v>
      </c>
      <c r="I1104" t="s">
        <v>11777</v>
      </c>
      <c r="J1104">
        <v>2</v>
      </c>
      <c r="K1104">
        <v>209.22</v>
      </c>
      <c r="L1104" t="s">
        <v>2917</v>
      </c>
      <c r="M1104">
        <v>209.22</v>
      </c>
      <c r="N1104" t="s">
        <v>2917</v>
      </c>
      <c r="O1104" t="s">
        <v>2208</v>
      </c>
      <c r="P1104" t="s">
        <v>2208</v>
      </c>
      <c r="Q1104" t="s">
        <v>2208</v>
      </c>
      <c r="R1104" t="s">
        <v>2208</v>
      </c>
    </row>
    <row r="1105" spans="1:18">
      <c r="A1105" t="s">
        <v>7030</v>
      </c>
      <c r="B1105" t="s">
        <v>9126</v>
      </c>
      <c r="C1105">
        <v>45748</v>
      </c>
      <c r="D1105" t="s">
        <v>7263</v>
      </c>
      <c r="E1105" t="s">
        <v>9127</v>
      </c>
      <c r="F1105">
        <v>45747</v>
      </c>
      <c r="G1105" t="s">
        <v>2208</v>
      </c>
      <c r="H1105" t="s">
        <v>7834</v>
      </c>
      <c r="I1105" t="s">
        <v>11778</v>
      </c>
      <c r="J1105">
        <v>2</v>
      </c>
      <c r="K1105">
        <v>209.22</v>
      </c>
      <c r="L1105" t="s">
        <v>2917</v>
      </c>
      <c r="M1105">
        <v>209.22</v>
      </c>
      <c r="N1105" t="s">
        <v>2917</v>
      </c>
      <c r="O1105" t="s">
        <v>2208</v>
      </c>
      <c r="P1105" t="s">
        <v>2208</v>
      </c>
      <c r="Q1105" t="s">
        <v>2208</v>
      </c>
      <c r="R1105" t="s">
        <v>2208</v>
      </c>
    </row>
    <row r="1106" spans="1:18">
      <c r="A1106" t="s">
        <v>7030</v>
      </c>
      <c r="B1106" t="s">
        <v>9126</v>
      </c>
      <c r="C1106">
        <v>45748</v>
      </c>
      <c r="D1106" t="s">
        <v>7263</v>
      </c>
      <c r="E1106" t="s">
        <v>9127</v>
      </c>
      <c r="F1106">
        <v>45747</v>
      </c>
      <c r="G1106" t="s">
        <v>2208</v>
      </c>
      <c r="H1106" t="s">
        <v>7834</v>
      </c>
      <c r="I1106" t="s">
        <v>11779</v>
      </c>
      <c r="J1106">
        <v>1</v>
      </c>
      <c r="K1106">
        <v>104.61</v>
      </c>
      <c r="L1106" t="s">
        <v>2917</v>
      </c>
      <c r="M1106">
        <v>104.61</v>
      </c>
      <c r="N1106" t="s">
        <v>2917</v>
      </c>
      <c r="O1106" t="s">
        <v>2208</v>
      </c>
      <c r="P1106" t="s">
        <v>2208</v>
      </c>
      <c r="Q1106" t="s">
        <v>2208</v>
      </c>
      <c r="R1106" t="s">
        <v>2208</v>
      </c>
    </row>
    <row r="1107" spans="1:18">
      <c r="A1107" t="s">
        <v>7030</v>
      </c>
      <c r="B1107" t="s">
        <v>9126</v>
      </c>
      <c r="C1107">
        <v>45748</v>
      </c>
      <c r="D1107" t="s">
        <v>7263</v>
      </c>
      <c r="E1107" t="s">
        <v>9127</v>
      </c>
      <c r="F1107">
        <v>45747</v>
      </c>
      <c r="G1107" t="s">
        <v>2208</v>
      </c>
      <c r="H1107" t="s">
        <v>7834</v>
      </c>
      <c r="I1107" t="s">
        <v>11780</v>
      </c>
      <c r="J1107">
        <v>3</v>
      </c>
      <c r="K1107">
        <v>313.83</v>
      </c>
      <c r="L1107" t="s">
        <v>2917</v>
      </c>
      <c r="M1107">
        <v>313.83</v>
      </c>
      <c r="N1107" t="s">
        <v>2917</v>
      </c>
      <c r="O1107" t="s">
        <v>2208</v>
      </c>
      <c r="P1107" t="s">
        <v>2208</v>
      </c>
      <c r="Q1107" t="s">
        <v>2208</v>
      </c>
      <c r="R1107" t="s">
        <v>2208</v>
      </c>
    </row>
    <row r="1108" spans="1:18">
      <c r="A1108" t="s">
        <v>7030</v>
      </c>
      <c r="B1108" t="s">
        <v>9126</v>
      </c>
      <c r="C1108">
        <v>45748</v>
      </c>
      <c r="D1108" t="s">
        <v>7263</v>
      </c>
      <c r="E1108" t="s">
        <v>9127</v>
      </c>
      <c r="F1108">
        <v>45747</v>
      </c>
      <c r="G1108" t="s">
        <v>2208</v>
      </c>
      <c r="H1108" t="s">
        <v>7834</v>
      </c>
      <c r="I1108" t="s">
        <v>11781</v>
      </c>
      <c r="J1108">
        <v>3</v>
      </c>
      <c r="K1108">
        <v>313.83</v>
      </c>
      <c r="L1108" t="s">
        <v>2917</v>
      </c>
      <c r="M1108">
        <v>313.83</v>
      </c>
      <c r="N1108" t="s">
        <v>2917</v>
      </c>
      <c r="O1108" t="s">
        <v>2208</v>
      </c>
      <c r="P1108" t="s">
        <v>2208</v>
      </c>
      <c r="Q1108" t="s">
        <v>2208</v>
      </c>
      <c r="R1108" t="s">
        <v>2208</v>
      </c>
    </row>
    <row r="1109" spans="1:18">
      <c r="A1109" t="s">
        <v>7030</v>
      </c>
      <c r="B1109" t="s">
        <v>9126</v>
      </c>
      <c r="C1109">
        <v>45748</v>
      </c>
      <c r="D1109" t="s">
        <v>7263</v>
      </c>
      <c r="E1109" t="s">
        <v>9127</v>
      </c>
      <c r="F1109">
        <v>45747</v>
      </c>
      <c r="G1109" t="s">
        <v>2208</v>
      </c>
      <c r="H1109" t="s">
        <v>7834</v>
      </c>
      <c r="I1109" t="s">
        <v>11782</v>
      </c>
      <c r="J1109">
        <v>1</v>
      </c>
      <c r="K1109">
        <v>104.61</v>
      </c>
      <c r="L1109" t="s">
        <v>2917</v>
      </c>
      <c r="M1109">
        <v>104.61</v>
      </c>
      <c r="N1109" t="s">
        <v>2917</v>
      </c>
      <c r="O1109" t="s">
        <v>2208</v>
      </c>
      <c r="P1109" t="s">
        <v>2208</v>
      </c>
      <c r="Q1109" t="s">
        <v>2208</v>
      </c>
      <c r="R1109" t="s">
        <v>2208</v>
      </c>
    </row>
    <row r="1110" spans="1:18">
      <c r="A1110" t="s">
        <v>7030</v>
      </c>
      <c r="B1110" t="s">
        <v>9126</v>
      </c>
      <c r="C1110">
        <v>45748</v>
      </c>
      <c r="D1110" t="s">
        <v>7263</v>
      </c>
      <c r="E1110" t="s">
        <v>9127</v>
      </c>
      <c r="F1110">
        <v>45747</v>
      </c>
      <c r="G1110" t="s">
        <v>2208</v>
      </c>
      <c r="H1110" t="s">
        <v>7834</v>
      </c>
      <c r="I1110" t="s">
        <v>11783</v>
      </c>
      <c r="J1110">
        <v>2</v>
      </c>
      <c r="K1110">
        <v>209.22</v>
      </c>
      <c r="L1110" t="s">
        <v>2917</v>
      </c>
      <c r="M1110">
        <v>209.22</v>
      </c>
      <c r="N1110" t="s">
        <v>2917</v>
      </c>
      <c r="O1110" t="s">
        <v>2208</v>
      </c>
      <c r="P1110" t="s">
        <v>2208</v>
      </c>
      <c r="Q1110" t="s">
        <v>2208</v>
      </c>
      <c r="R1110" t="s">
        <v>2208</v>
      </c>
    </row>
    <row r="1111" spans="1:18">
      <c r="A1111" t="s">
        <v>7030</v>
      </c>
      <c r="B1111" t="s">
        <v>9126</v>
      </c>
      <c r="C1111">
        <v>45748</v>
      </c>
      <c r="D1111" t="s">
        <v>7263</v>
      </c>
      <c r="E1111" t="s">
        <v>9127</v>
      </c>
      <c r="F1111">
        <v>45747</v>
      </c>
      <c r="G1111" t="s">
        <v>2208</v>
      </c>
      <c r="H1111" t="s">
        <v>7834</v>
      </c>
      <c r="I1111" t="s">
        <v>11784</v>
      </c>
      <c r="J1111">
        <v>1</v>
      </c>
      <c r="K1111">
        <v>104.61</v>
      </c>
      <c r="L1111" t="s">
        <v>2917</v>
      </c>
      <c r="M1111">
        <v>104.61</v>
      </c>
      <c r="N1111" t="s">
        <v>2917</v>
      </c>
      <c r="O1111" t="s">
        <v>2208</v>
      </c>
      <c r="P1111" t="s">
        <v>2208</v>
      </c>
      <c r="Q1111" t="s">
        <v>2208</v>
      </c>
      <c r="R1111" t="s">
        <v>2208</v>
      </c>
    </row>
    <row r="1112" spans="1:18">
      <c r="A1112" t="s">
        <v>7030</v>
      </c>
      <c r="B1112" t="s">
        <v>9126</v>
      </c>
      <c r="C1112">
        <v>45748</v>
      </c>
      <c r="D1112" t="s">
        <v>7263</v>
      </c>
      <c r="E1112" t="s">
        <v>9127</v>
      </c>
      <c r="F1112">
        <v>45747</v>
      </c>
      <c r="G1112" t="s">
        <v>2208</v>
      </c>
      <c r="H1112" t="s">
        <v>7834</v>
      </c>
      <c r="I1112" t="s">
        <v>11785</v>
      </c>
      <c r="J1112">
        <v>1</v>
      </c>
      <c r="K1112">
        <v>104.61</v>
      </c>
      <c r="L1112" t="s">
        <v>2917</v>
      </c>
      <c r="M1112">
        <v>104.61</v>
      </c>
      <c r="N1112" t="s">
        <v>2917</v>
      </c>
      <c r="O1112" t="s">
        <v>2208</v>
      </c>
      <c r="P1112" t="s">
        <v>2208</v>
      </c>
      <c r="Q1112" t="s">
        <v>2208</v>
      </c>
      <c r="R1112" t="s">
        <v>2208</v>
      </c>
    </row>
    <row r="1113" spans="1:18">
      <c r="A1113" t="s">
        <v>7030</v>
      </c>
      <c r="B1113" t="s">
        <v>9126</v>
      </c>
      <c r="C1113">
        <v>45748</v>
      </c>
      <c r="D1113" t="s">
        <v>7263</v>
      </c>
      <c r="E1113" t="s">
        <v>9127</v>
      </c>
      <c r="F1113">
        <v>45747</v>
      </c>
      <c r="G1113" t="s">
        <v>2208</v>
      </c>
      <c r="H1113" t="s">
        <v>7834</v>
      </c>
      <c r="I1113" t="s">
        <v>11786</v>
      </c>
      <c r="J1113">
        <v>1</v>
      </c>
      <c r="K1113">
        <v>104.61</v>
      </c>
      <c r="L1113" t="s">
        <v>2917</v>
      </c>
      <c r="M1113">
        <v>104.61</v>
      </c>
      <c r="N1113" t="s">
        <v>2917</v>
      </c>
      <c r="O1113" t="s">
        <v>2208</v>
      </c>
      <c r="P1113" t="s">
        <v>2208</v>
      </c>
      <c r="Q1113" t="s">
        <v>2208</v>
      </c>
      <c r="R1113" t="s">
        <v>2208</v>
      </c>
    </row>
    <row r="1114" spans="1:18">
      <c r="A1114" t="s">
        <v>7030</v>
      </c>
      <c r="B1114" t="s">
        <v>9126</v>
      </c>
      <c r="C1114">
        <v>45748</v>
      </c>
      <c r="D1114" t="s">
        <v>7263</v>
      </c>
      <c r="E1114" t="s">
        <v>9127</v>
      </c>
      <c r="F1114">
        <v>45747</v>
      </c>
      <c r="G1114" t="s">
        <v>2208</v>
      </c>
      <c r="H1114" t="s">
        <v>7834</v>
      </c>
      <c r="I1114" t="s">
        <v>11787</v>
      </c>
      <c r="J1114">
        <v>2</v>
      </c>
      <c r="K1114">
        <v>209.22</v>
      </c>
      <c r="L1114" t="s">
        <v>2917</v>
      </c>
      <c r="M1114">
        <v>209.22</v>
      </c>
      <c r="N1114" t="s">
        <v>2917</v>
      </c>
      <c r="O1114" t="s">
        <v>2208</v>
      </c>
      <c r="P1114" t="s">
        <v>2208</v>
      </c>
      <c r="Q1114" t="s">
        <v>2208</v>
      </c>
      <c r="R1114" t="s">
        <v>2208</v>
      </c>
    </row>
    <row r="1115" spans="1:18">
      <c r="A1115" t="s">
        <v>7030</v>
      </c>
      <c r="B1115" t="s">
        <v>9126</v>
      </c>
      <c r="C1115">
        <v>45748</v>
      </c>
      <c r="D1115" t="s">
        <v>7263</v>
      </c>
      <c r="E1115" t="s">
        <v>9127</v>
      </c>
      <c r="F1115">
        <v>45747</v>
      </c>
      <c r="G1115" t="s">
        <v>2208</v>
      </c>
      <c r="H1115" t="s">
        <v>7834</v>
      </c>
      <c r="I1115" t="s">
        <v>11788</v>
      </c>
      <c r="J1115">
        <v>1</v>
      </c>
      <c r="K1115">
        <v>104.61</v>
      </c>
      <c r="L1115" t="s">
        <v>2917</v>
      </c>
      <c r="M1115">
        <v>104.61</v>
      </c>
      <c r="N1115" t="s">
        <v>2917</v>
      </c>
      <c r="O1115" t="s">
        <v>2208</v>
      </c>
      <c r="P1115" t="s">
        <v>2208</v>
      </c>
      <c r="Q1115" t="s">
        <v>2208</v>
      </c>
      <c r="R1115" t="s">
        <v>2208</v>
      </c>
    </row>
    <row r="1116" spans="1:18">
      <c r="A1116" t="s">
        <v>7030</v>
      </c>
      <c r="B1116" t="s">
        <v>9126</v>
      </c>
      <c r="C1116">
        <v>45748</v>
      </c>
      <c r="D1116" t="s">
        <v>7263</v>
      </c>
      <c r="E1116" t="s">
        <v>9127</v>
      </c>
      <c r="F1116">
        <v>45747</v>
      </c>
      <c r="G1116" t="s">
        <v>2208</v>
      </c>
      <c r="H1116" t="s">
        <v>7834</v>
      </c>
      <c r="I1116" t="s">
        <v>11789</v>
      </c>
      <c r="J1116">
        <v>2</v>
      </c>
      <c r="K1116">
        <v>209.22</v>
      </c>
      <c r="L1116" t="s">
        <v>2917</v>
      </c>
      <c r="M1116">
        <v>209.22</v>
      </c>
      <c r="N1116" t="s">
        <v>2917</v>
      </c>
      <c r="O1116" t="s">
        <v>2208</v>
      </c>
      <c r="P1116" t="s">
        <v>2208</v>
      </c>
      <c r="Q1116" t="s">
        <v>2208</v>
      </c>
      <c r="R1116" t="s">
        <v>2208</v>
      </c>
    </row>
    <row r="1117" spans="1:18">
      <c r="A1117" t="s">
        <v>7030</v>
      </c>
      <c r="B1117" t="s">
        <v>9126</v>
      </c>
      <c r="C1117">
        <v>45748</v>
      </c>
      <c r="D1117" t="s">
        <v>7263</v>
      </c>
      <c r="E1117" t="s">
        <v>9127</v>
      </c>
      <c r="F1117">
        <v>45747</v>
      </c>
      <c r="G1117" t="s">
        <v>2208</v>
      </c>
      <c r="H1117" t="s">
        <v>7834</v>
      </c>
      <c r="I1117" t="s">
        <v>11790</v>
      </c>
      <c r="J1117">
        <v>2</v>
      </c>
      <c r="K1117">
        <v>209.22</v>
      </c>
      <c r="L1117" t="s">
        <v>2917</v>
      </c>
      <c r="M1117">
        <v>209.22</v>
      </c>
      <c r="N1117" t="s">
        <v>2917</v>
      </c>
      <c r="O1117" t="s">
        <v>2208</v>
      </c>
      <c r="P1117" t="s">
        <v>2208</v>
      </c>
      <c r="Q1117" t="s">
        <v>2208</v>
      </c>
      <c r="R1117" t="s">
        <v>2208</v>
      </c>
    </row>
    <row r="1118" spans="1:18">
      <c r="A1118" t="s">
        <v>7030</v>
      </c>
      <c r="B1118" t="s">
        <v>9126</v>
      </c>
      <c r="C1118">
        <v>45748</v>
      </c>
      <c r="D1118" t="s">
        <v>7263</v>
      </c>
      <c r="E1118" t="s">
        <v>9127</v>
      </c>
      <c r="F1118">
        <v>45747</v>
      </c>
      <c r="G1118" t="s">
        <v>2208</v>
      </c>
      <c r="H1118" t="s">
        <v>7834</v>
      </c>
      <c r="I1118" t="s">
        <v>11791</v>
      </c>
      <c r="J1118">
        <v>1</v>
      </c>
      <c r="K1118">
        <v>104.61</v>
      </c>
      <c r="L1118" t="s">
        <v>2917</v>
      </c>
      <c r="M1118">
        <v>104.61</v>
      </c>
      <c r="N1118" t="s">
        <v>2917</v>
      </c>
      <c r="O1118" t="s">
        <v>2208</v>
      </c>
      <c r="P1118" t="s">
        <v>2208</v>
      </c>
      <c r="Q1118" t="s">
        <v>2208</v>
      </c>
      <c r="R1118" t="s">
        <v>2208</v>
      </c>
    </row>
    <row r="1119" spans="1:18">
      <c r="A1119" t="s">
        <v>7030</v>
      </c>
      <c r="B1119" t="s">
        <v>9126</v>
      </c>
      <c r="C1119">
        <v>45748</v>
      </c>
      <c r="D1119" t="s">
        <v>7263</v>
      </c>
      <c r="E1119" t="s">
        <v>9127</v>
      </c>
      <c r="F1119">
        <v>45747</v>
      </c>
      <c r="G1119" t="s">
        <v>2208</v>
      </c>
      <c r="H1119" t="s">
        <v>7834</v>
      </c>
      <c r="I1119" t="s">
        <v>11792</v>
      </c>
      <c r="J1119">
        <v>1</v>
      </c>
      <c r="K1119">
        <v>104.61</v>
      </c>
      <c r="L1119" t="s">
        <v>2917</v>
      </c>
      <c r="M1119">
        <v>104.61</v>
      </c>
      <c r="N1119" t="s">
        <v>2917</v>
      </c>
      <c r="O1119" t="s">
        <v>2208</v>
      </c>
      <c r="P1119" t="s">
        <v>2208</v>
      </c>
      <c r="Q1119" t="s">
        <v>2208</v>
      </c>
      <c r="R1119" t="s">
        <v>2208</v>
      </c>
    </row>
    <row r="1120" spans="1:18">
      <c r="A1120" t="s">
        <v>7030</v>
      </c>
      <c r="B1120" t="s">
        <v>9126</v>
      </c>
      <c r="C1120">
        <v>45748</v>
      </c>
      <c r="D1120" t="s">
        <v>7263</v>
      </c>
      <c r="E1120" t="s">
        <v>9127</v>
      </c>
      <c r="F1120">
        <v>45747</v>
      </c>
      <c r="G1120" t="s">
        <v>2208</v>
      </c>
      <c r="H1120" t="s">
        <v>7834</v>
      </c>
      <c r="I1120" t="s">
        <v>11793</v>
      </c>
      <c r="J1120">
        <v>1</v>
      </c>
      <c r="K1120">
        <v>104.61</v>
      </c>
      <c r="L1120" t="s">
        <v>2917</v>
      </c>
      <c r="M1120">
        <v>104.61</v>
      </c>
      <c r="N1120" t="s">
        <v>2917</v>
      </c>
      <c r="O1120" t="s">
        <v>2208</v>
      </c>
      <c r="P1120" t="s">
        <v>2208</v>
      </c>
      <c r="Q1120" t="s">
        <v>2208</v>
      </c>
      <c r="R1120" t="s">
        <v>2208</v>
      </c>
    </row>
    <row r="1121" spans="1:18">
      <c r="A1121" t="s">
        <v>7030</v>
      </c>
      <c r="B1121" t="s">
        <v>9126</v>
      </c>
      <c r="C1121">
        <v>45748</v>
      </c>
      <c r="D1121" t="s">
        <v>7263</v>
      </c>
      <c r="E1121" t="s">
        <v>9127</v>
      </c>
      <c r="F1121">
        <v>45747</v>
      </c>
      <c r="G1121" t="s">
        <v>2208</v>
      </c>
      <c r="H1121" t="s">
        <v>7834</v>
      </c>
      <c r="I1121" t="s">
        <v>11794</v>
      </c>
      <c r="J1121">
        <v>1</v>
      </c>
      <c r="K1121">
        <v>104.61</v>
      </c>
      <c r="L1121" t="s">
        <v>2917</v>
      </c>
      <c r="M1121">
        <v>104.61</v>
      </c>
      <c r="N1121" t="s">
        <v>2917</v>
      </c>
      <c r="O1121" t="s">
        <v>2208</v>
      </c>
      <c r="P1121" t="s">
        <v>2208</v>
      </c>
      <c r="Q1121" t="s">
        <v>2208</v>
      </c>
      <c r="R1121" t="s">
        <v>2208</v>
      </c>
    </row>
    <row r="1122" spans="1:18">
      <c r="A1122" t="s">
        <v>7030</v>
      </c>
      <c r="B1122" t="s">
        <v>9126</v>
      </c>
      <c r="C1122">
        <v>45748</v>
      </c>
      <c r="D1122" t="s">
        <v>7263</v>
      </c>
      <c r="E1122" t="s">
        <v>9127</v>
      </c>
      <c r="F1122">
        <v>45747</v>
      </c>
      <c r="G1122" t="s">
        <v>2208</v>
      </c>
      <c r="H1122" t="s">
        <v>7834</v>
      </c>
      <c r="I1122" t="s">
        <v>11795</v>
      </c>
      <c r="J1122">
        <v>1</v>
      </c>
      <c r="K1122">
        <v>104.61</v>
      </c>
      <c r="L1122" t="s">
        <v>2917</v>
      </c>
      <c r="M1122">
        <v>104.61</v>
      </c>
      <c r="N1122" t="s">
        <v>2917</v>
      </c>
      <c r="O1122" t="s">
        <v>2208</v>
      </c>
      <c r="P1122" t="s">
        <v>2208</v>
      </c>
      <c r="Q1122" t="s">
        <v>2208</v>
      </c>
      <c r="R1122" t="s">
        <v>2208</v>
      </c>
    </row>
    <row r="1123" spans="1:18">
      <c r="A1123" t="s">
        <v>7030</v>
      </c>
      <c r="B1123" t="s">
        <v>9126</v>
      </c>
      <c r="C1123">
        <v>45748</v>
      </c>
      <c r="D1123" t="s">
        <v>7263</v>
      </c>
      <c r="E1123" t="s">
        <v>9127</v>
      </c>
      <c r="F1123">
        <v>45747</v>
      </c>
      <c r="G1123" t="s">
        <v>2208</v>
      </c>
      <c r="H1123" t="s">
        <v>7834</v>
      </c>
      <c r="I1123" t="s">
        <v>11796</v>
      </c>
      <c r="J1123">
        <v>1</v>
      </c>
      <c r="K1123">
        <v>104.61</v>
      </c>
      <c r="L1123" t="s">
        <v>2917</v>
      </c>
      <c r="M1123">
        <v>104.61</v>
      </c>
      <c r="N1123" t="s">
        <v>2917</v>
      </c>
      <c r="O1123" t="s">
        <v>2208</v>
      </c>
      <c r="P1123" t="s">
        <v>2208</v>
      </c>
      <c r="Q1123" t="s">
        <v>2208</v>
      </c>
      <c r="R1123" t="s">
        <v>2208</v>
      </c>
    </row>
    <row r="1124" spans="1:18">
      <c r="A1124" t="s">
        <v>7030</v>
      </c>
      <c r="B1124" t="s">
        <v>9126</v>
      </c>
      <c r="C1124">
        <v>45748</v>
      </c>
      <c r="D1124" t="s">
        <v>7263</v>
      </c>
      <c r="E1124" t="s">
        <v>9127</v>
      </c>
      <c r="F1124">
        <v>45747</v>
      </c>
      <c r="G1124" t="s">
        <v>2208</v>
      </c>
      <c r="H1124" t="s">
        <v>7834</v>
      </c>
      <c r="I1124" t="s">
        <v>11797</v>
      </c>
      <c r="J1124">
        <v>1</v>
      </c>
      <c r="K1124">
        <v>104.61</v>
      </c>
      <c r="L1124" t="s">
        <v>2917</v>
      </c>
      <c r="M1124">
        <v>104.61</v>
      </c>
      <c r="N1124" t="s">
        <v>2917</v>
      </c>
      <c r="O1124" t="s">
        <v>2208</v>
      </c>
      <c r="P1124" t="s">
        <v>2208</v>
      </c>
      <c r="Q1124" t="s">
        <v>2208</v>
      </c>
      <c r="R1124" t="s">
        <v>2208</v>
      </c>
    </row>
    <row r="1125" spans="1:18">
      <c r="A1125" t="s">
        <v>7030</v>
      </c>
      <c r="B1125" t="s">
        <v>9126</v>
      </c>
      <c r="C1125">
        <v>45748</v>
      </c>
      <c r="D1125" t="s">
        <v>7263</v>
      </c>
      <c r="E1125" t="s">
        <v>9127</v>
      </c>
      <c r="F1125">
        <v>45747</v>
      </c>
      <c r="G1125" t="s">
        <v>2208</v>
      </c>
      <c r="H1125" t="s">
        <v>7834</v>
      </c>
      <c r="I1125" t="s">
        <v>11798</v>
      </c>
      <c r="J1125">
        <v>1</v>
      </c>
      <c r="K1125">
        <v>104.61</v>
      </c>
      <c r="L1125" t="s">
        <v>2917</v>
      </c>
      <c r="M1125">
        <v>104.61</v>
      </c>
      <c r="N1125" t="s">
        <v>2917</v>
      </c>
      <c r="O1125" t="s">
        <v>2208</v>
      </c>
      <c r="P1125" t="s">
        <v>2208</v>
      </c>
      <c r="Q1125" t="s">
        <v>2208</v>
      </c>
      <c r="R1125" t="s">
        <v>2208</v>
      </c>
    </row>
    <row r="1126" spans="1:18">
      <c r="A1126" t="s">
        <v>7030</v>
      </c>
      <c r="B1126" t="s">
        <v>9126</v>
      </c>
      <c r="C1126">
        <v>45748</v>
      </c>
      <c r="D1126" t="s">
        <v>7263</v>
      </c>
      <c r="E1126" t="s">
        <v>9127</v>
      </c>
      <c r="F1126">
        <v>45747</v>
      </c>
      <c r="G1126" t="s">
        <v>2208</v>
      </c>
      <c r="H1126" t="s">
        <v>7834</v>
      </c>
      <c r="I1126" t="s">
        <v>11799</v>
      </c>
      <c r="J1126">
        <v>1</v>
      </c>
      <c r="K1126">
        <v>104.61</v>
      </c>
      <c r="L1126" t="s">
        <v>2917</v>
      </c>
      <c r="M1126">
        <v>104.61</v>
      </c>
      <c r="N1126" t="s">
        <v>2917</v>
      </c>
      <c r="O1126" t="s">
        <v>2208</v>
      </c>
      <c r="P1126" t="s">
        <v>2208</v>
      </c>
      <c r="Q1126" t="s">
        <v>2208</v>
      </c>
      <c r="R1126" t="s">
        <v>2208</v>
      </c>
    </row>
    <row r="1127" spans="1:18">
      <c r="A1127" t="s">
        <v>7030</v>
      </c>
      <c r="B1127" t="s">
        <v>9126</v>
      </c>
      <c r="C1127">
        <v>45748</v>
      </c>
      <c r="D1127" t="s">
        <v>7263</v>
      </c>
      <c r="E1127" t="s">
        <v>9127</v>
      </c>
      <c r="F1127">
        <v>45747</v>
      </c>
      <c r="G1127" t="s">
        <v>2208</v>
      </c>
      <c r="H1127" t="s">
        <v>7834</v>
      </c>
      <c r="I1127" t="s">
        <v>11800</v>
      </c>
      <c r="J1127">
        <v>1</v>
      </c>
      <c r="K1127">
        <v>104.61</v>
      </c>
      <c r="L1127" t="s">
        <v>2917</v>
      </c>
      <c r="M1127">
        <v>104.61</v>
      </c>
      <c r="N1127" t="s">
        <v>2917</v>
      </c>
      <c r="O1127" t="s">
        <v>2208</v>
      </c>
      <c r="P1127" t="s">
        <v>2208</v>
      </c>
      <c r="Q1127" t="s">
        <v>2208</v>
      </c>
      <c r="R1127" t="s">
        <v>2208</v>
      </c>
    </row>
    <row r="1128" spans="1:18">
      <c r="A1128" t="s">
        <v>7030</v>
      </c>
      <c r="B1128" t="s">
        <v>9126</v>
      </c>
      <c r="C1128">
        <v>45748</v>
      </c>
      <c r="D1128" t="s">
        <v>7263</v>
      </c>
      <c r="E1128" t="s">
        <v>9127</v>
      </c>
      <c r="F1128">
        <v>45747</v>
      </c>
      <c r="G1128" t="s">
        <v>2208</v>
      </c>
      <c r="H1128" t="s">
        <v>7834</v>
      </c>
      <c r="I1128" t="s">
        <v>11801</v>
      </c>
      <c r="J1128">
        <v>1</v>
      </c>
      <c r="K1128">
        <v>104.61</v>
      </c>
      <c r="L1128" t="s">
        <v>2917</v>
      </c>
      <c r="M1128">
        <v>104.61</v>
      </c>
      <c r="N1128" t="s">
        <v>2917</v>
      </c>
      <c r="O1128" t="s">
        <v>2208</v>
      </c>
      <c r="P1128" t="s">
        <v>2208</v>
      </c>
      <c r="Q1128" t="s">
        <v>2208</v>
      </c>
      <c r="R1128" t="s">
        <v>2208</v>
      </c>
    </row>
    <row r="1129" spans="1:18">
      <c r="A1129" t="s">
        <v>7030</v>
      </c>
      <c r="B1129" t="s">
        <v>9126</v>
      </c>
      <c r="C1129">
        <v>45748</v>
      </c>
      <c r="D1129" t="s">
        <v>7263</v>
      </c>
      <c r="E1129" t="s">
        <v>9127</v>
      </c>
      <c r="F1129">
        <v>45747</v>
      </c>
      <c r="G1129" t="s">
        <v>2208</v>
      </c>
      <c r="H1129" t="s">
        <v>7834</v>
      </c>
      <c r="I1129" t="s">
        <v>11802</v>
      </c>
      <c r="J1129">
        <v>1</v>
      </c>
      <c r="K1129">
        <v>104.61</v>
      </c>
      <c r="L1129" t="s">
        <v>2917</v>
      </c>
      <c r="M1129">
        <v>104.61</v>
      </c>
      <c r="N1129" t="s">
        <v>2917</v>
      </c>
      <c r="O1129" t="s">
        <v>2208</v>
      </c>
      <c r="P1129" t="s">
        <v>2208</v>
      </c>
      <c r="Q1129" t="s">
        <v>2208</v>
      </c>
      <c r="R1129" t="s">
        <v>2208</v>
      </c>
    </row>
    <row r="1130" spans="1:18">
      <c r="A1130" t="s">
        <v>7030</v>
      </c>
      <c r="B1130" t="s">
        <v>9126</v>
      </c>
      <c r="C1130">
        <v>45748</v>
      </c>
      <c r="D1130" t="s">
        <v>7263</v>
      </c>
      <c r="E1130" t="s">
        <v>9127</v>
      </c>
      <c r="F1130">
        <v>45747</v>
      </c>
      <c r="G1130" t="s">
        <v>2208</v>
      </c>
      <c r="H1130" t="s">
        <v>7834</v>
      </c>
      <c r="I1130" t="s">
        <v>11803</v>
      </c>
      <c r="J1130">
        <v>1</v>
      </c>
      <c r="K1130">
        <v>104.61</v>
      </c>
      <c r="L1130" t="s">
        <v>2917</v>
      </c>
      <c r="M1130">
        <v>104.61</v>
      </c>
      <c r="N1130" t="s">
        <v>2917</v>
      </c>
      <c r="O1130" t="s">
        <v>2208</v>
      </c>
      <c r="P1130" t="s">
        <v>2208</v>
      </c>
      <c r="Q1130" t="s">
        <v>2208</v>
      </c>
      <c r="R1130" t="s">
        <v>2208</v>
      </c>
    </row>
    <row r="1131" spans="1:18">
      <c r="A1131" t="s">
        <v>7030</v>
      </c>
      <c r="B1131" t="s">
        <v>9126</v>
      </c>
      <c r="C1131">
        <v>45748</v>
      </c>
      <c r="D1131" t="s">
        <v>7263</v>
      </c>
      <c r="E1131" t="s">
        <v>9127</v>
      </c>
      <c r="F1131">
        <v>45747</v>
      </c>
      <c r="G1131" t="s">
        <v>2208</v>
      </c>
      <c r="H1131" t="s">
        <v>7834</v>
      </c>
      <c r="I1131" t="s">
        <v>11804</v>
      </c>
      <c r="J1131">
        <v>1</v>
      </c>
      <c r="K1131">
        <v>104.61</v>
      </c>
      <c r="L1131" t="s">
        <v>2917</v>
      </c>
      <c r="M1131">
        <v>104.61</v>
      </c>
      <c r="N1131" t="s">
        <v>2917</v>
      </c>
      <c r="O1131" t="s">
        <v>2208</v>
      </c>
      <c r="P1131" t="s">
        <v>2208</v>
      </c>
      <c r="Q1131" t="s">
        <v>2208</v>
      </c>
      <c r="R1131" t="s">
        <v>2208</v>
      </c>
    </row>
    <row r="1132" spans="1:18">
      <c r="A1132" t="s">
        <v>7030</v>
      </c>
      <c r="B1132" t="s">
        <v>9126</v>
      </c>
      <c r="C1132">
        <v>45748</v>
      </c>
      <c r="D1132" t="s">
        <v>7263</v>
      </c>
      <c r="E1132" t="s">
        <v>9127</v>
      </c>
      <c r="F1132">
        <v>45747</v>
      </c>
      <c r="G1132" t="s">
        <v>2208</v>
      </c>
      <c r="H1132" t="s">
        <v>7834</v>
      </c>
      <c r="I1132" t="s">
        <v>11805</v>
      </c>
      <c r="J1132">
        <v>1</v>
      </c>
      <c r="K1132">
        <v>104.61</v>
      </c>
      <c r="L1132" t="s">
        <v>2917</v>
      </c>
      <c r="M1132">
        <v>104.61</v>
      </c>
      <c r="N1132" t="s">
        <v>2917</v>
      </c>
      <c r="O1132" t="s">
        <v>2208</v>
      </c>
      <c r="P1132" t="s">
        <v>2208</v>
      </c>
      <c r="Q1132" t="s">
        <v>2208</v>
      </c>
      <c r="R1132" t="s">
        <v>2208</v>
      </c>
    </row>
    <row r="1133" spans="1:18">
      <c r="A1133" t="s">
        <v>7030</v>
      </c>
      <c r="B1133" t="s">
        <v>9126</v>
      </c>
      <c r="C1133">
        <v>45748</v>
      </c>
      <c r="D1133" t="s">
        <v>7263</v>
      </c>
      <c r="E1133" t="s">
        <v>9127</v>
      </c>
      <c r="F1133">
        <v>45747</v>
      </c>
      <c r="G1133" t="s">
        <v>2208</v>
      </c>
      <c r="H1133" t="s">
        <v>7834</v>
      </c>
      <c r="I1133" t="s">
        <v>11806</v>
      </c>
      <c r="J1133">
        <v>1</v>
      </c>
      <c r="K1133">
        <v>104.61</v>
      </c>
      <c r="L1133" t="s">
        <v>2917</v>
      </c>
      <c r="M1133">
        <v>104.61</v>
      </c>
      <c r="N1133" t="s">
        <v>2917</v>
      </c>
      <c r="O1133" t="s">
        <v>2208</v>
      </c>
      <c r="P1133" t="s">
        <v>2208</v>
      </c>
      <c r="Q1133" t="s">
        <v>2208</v>
      </c>
      <c r="R1133" t="s">
        <v>2208</v>
      </c>
    </row>
    <row r="1134" spans="1:18">
      <c r="A1134" t="s">
        <v>7030</v>
      </c>
      <c r="B1134" t="s">
        <v>9126</v>
      </c>
      <c r="C1134">
        <v>45748</v>
      </c>
      <c r="D1134" t="s">
        <v>7263</v>
      </c>
      <c r="E1134" t="s">
        <v>9127</v>
      </c>
      <c r="F1134">
        <v>45747</v>
      </c>
      <c r="G1134" t="s">
        <v>2208</v>
      </c>
      <c r="H1134" t="s">
        <v>7834</v>
      </c>
      <c r="I1134" t="s">
        <v>11807</v>
      </c>
      <c r="J1134">
        <v>1</v>
      </c>
      <c r="K1134">
        <v>104.61</v>
      </c>
      <c r="L1134" t="s">
        <v>2917</v>
      </c>
      <c r="M1134">
        <v>104.61</v>
      </c>
      <c r="N1134" t="s">
        <v>2917</v>
      </c>
      <c r="O1134" t="s">
        <v>2208</v>
      </c>
      <c r="P1134" t="s">
        <v>2208</v>
      </c>
      <c r="Q1134" t="s">
        <v>2208</v>
      </c>
      <c r="R1134" t="s">
        <v>2208</v>
      </c>
    </row>
    <row r="1135" spans="1:18">
      <c r="A1135" t="s">
        <v>7030</v>
      </c>
      <c r="B1135" t="s">
        <v>9126</v>
      </c>
      <c r="C1135">
        <v>45748</v>
      </c>
      <c r="D1135" t="s">
        <v>7263</v>
      </c>
      <c r="E1135" t="s">
        <v>9127</v>
      </c>
      <c r="F1135">
        <v>45747</v>
      </c>
      <c r="G1135" t="s">
        <v>2208</v>
      </c>
      <c r="H1135" t="s">
        <v>7834</v>
      </c>
      <c r="I1135" t="s">
        <v>11808</v>
      </c>
      <c r="J1135">
        <v>1</v>
      </c>
      <c r="K1135">
        <v>104.61</v>
      </c>
      <c r="L1135" t="s">
        <v>2917</v>
      </c>
      <c r="M1135">
        <v>104.61</v>
      </c>
      <c r="N1135" t="s">
        <v>2917</v>
      </c>
      <c r="O1135" t="s">
        <v>2208</v>
      </c>
      <c r="P1135" t="s">
        <v>2208</v>
      </c>
      <c r="Q1135" t="s">
        <v>2208</v>
      </c>
      <c r="R1135" t="s">
        <v>2208</v>
      </c>
    </row>
    <row r="1136" spans="1:18">
      <c r="A1136" t="s">
        <v>7030</v>
      </c>
      <c r="B1136" t="s">
        <v>9126</v>
      </c>
      <c r="C1136">
        <v>45748</v>
      </c>
      <c r="D1136" t="s">
        <v>7263</v>
      </c>
      <c r="E1136" t="s">
        <v>9127</v>
      </c>
      <c r="F1136">
        <v>45747</v>
      </c>
      <c r="G1136" t="s">
        <v>2208</v>
      </c>
      <c r="H1136" t="s">
        <v>7834</v>
      </c>
      <c r="I1136" t="s">
        <v>11809</v>
      </c>
      <c r="J1136">
        <v>1</v>
      </c>
      <c r="K1136">
        <v>104.61</v>
      </c>
      <c r="L1136" t="s">
        <v>2917</v>
      </c>
      <c r="M1136">
        <v>104.61</v>
      </c>
      <c r="N1136" t="s">
        <v>2917</v>
      </c>
      <c r="O1136" t="s">
        <v>2208</v>
      </c>
      <c r="P1136" t="s">
        <v>2208</v>
      </c>
      <c r="Q1136" t="s">
        <v>2208</v>
      </c>
      <c r="R1136" t="s">
        <v>2208</v>
      </c>
    </row>
    <row r="1137" spans="1:18">
      <c r="A1137" t="s">
        <v>7030</v>
      </c>
      <c r="B1137" t="s">
        <v>9126</v>
      </c>
      <c r="C1137">
        <v>45748</v>
      </c>
      <c r="D1137" t="s">
        <v>7263</v>
      </c>
      <c r="E1137" t="s">
        <v>9127</v>
      </c>
      <c r="F1137">
        <v>45747</v>
      </c>
      <c r="G1137" t="s">
        <v>2208</v>
      </c>
      <c r="H1137" t="s">
        <v>7834</v>
      </c>
      <c r="I1137" t="s">
        <v>11810</v>
      </c>
      <c r="J1137">
        <v>1.25</v>
      </c>
      <c r="K1137">
        <v>130.76</v>
      </c>
      <c r="L1137" t="s">
        <v>2917</v>
      </c>
      <c r="M1137">
        <v>130.76</v>
      </c>
      <c r="N1137" t="s">
        <v>2917</v>
      </c>
      <c r="O1137" t="s">
        <v>2208</v>
      </c>
      <c r="P1137" t="s">
        <v>2208</v>
      </c>
      <c r="Q1137" t="s">
        <v>2208</v>
      </c>
      <c r="R1137" t="s">
        <v>2208</v>
      </c>
    </row>
    <row r="1138" spans="1:18">
      <c r="A1138" t="s">
        <v>7030</v>
      </c>
      <c r="B1138" t="s">
        <v>9126</v>
      </c>
      <c r="C1138">
        <v>45748</v>
      </c>
      <c r="D1138" t="s">
        <v>7263</v>
      </c>
      <c r="E1138" t="s">
        <v>9127</v>
      </c>
      <c r="F1138">
        <v>45747</v>
      </c>
      <c r="G1138" t="s">
        <v>2208</v>
      </c>
      <c r="H1138" t="s">
        <v>7834</v>
      </c>
      <c r="I1138" t="s">
        <v>11811</v>
      </c>
      <c r="J1138">
        <v>0.25</v>
      </c>
      <c r="K1138">
        <v>26.15</v>
      </c>
      <c r="L1138" t="s">
        <v>2917</v>
      </c>
      <c r="M1138">
        <v>26.15</v>
      </c>
      <c r="N1138" t="s">
        <v>2917</v>
      </c>
      <c r="O1138" t="s">
        <v>2208</v>
      </c>
      <c r="P1138" t="s">
        <v>2208</v>
      </c>
      <c r="Q1138" t="s">
        <v>2208</v>
      </c>
      <c r="R1138" t="s">
        <v>2208</v>
      </c>
    </row>
    <row r="1139" spans="1:18">
      <c r="A1139" t="s">
        <v>7030</v>
      </c>
      <c r="B1139" t="s">
        <v>9126</v>
      </c>
      <c r="C1139">
        <v>45748</v>
      </c>
      <c r="D1139" t="s">
        <v>7263</v>
      </c>
      <c r="E1139" t="s">
        <v>9127</v>
      </c>
      <c r="F1139">
        <v>45747</v>
      </c>
      <c r="G1139" t="s">
        <v>2208</v>
      </c>
      <c r="H1139" t="s">
        <v>7834</v>
      </c>
      <c r="I1139" t="s">
        <v>11812</v>
      </c>
      <c r="J1139">
        <v>1</v>
      </c>
      <c r="K1139">
        <v>104.61</v>
      </c>
      <c r="L1139" t="s">
        <v>2917</v>
      </c>
      <c r="M1139">
        <v>104.61</v>
      </c>
      <c r="N1139" t="s">
        <v>2917</v>
      </c>
      <c r="O1139" t="s">
        <v>2208</v>
      </c>
      <c r="P1139" t="s">
        <v>2208</v>
      </c>
      <c r="Q1139" t="s">
        <v>2208</v>
      </c>
      <c r="R1139" t="s">
        <v>2208</v>
      </c>
    </row>
    <row r="1140" spans="1:18">
      <c r="A1140" t="s">
        <v>7030</v>
      </c>
      <c r="B1140" t="s">
        <v>9126</v>
      </c>
      <c r="C1140">
        <v>45748</v>
      </c>
      <c r="D1140" t="s">
        <v>7263</v>
      </c>
      <c r="E1140" t="s">
        <v>9127</v>
      </c>
      <c r="F1140">
        <v>45747</v>
      </c>
      <c r="G1140" t="s">
        <v>2208</v>
      </c>
      <c r="H1140" t="s">
        <v>7834</v>
      </c>
      <c r="I1140" t="s">
        <v>11813</v>
      </c>
      <c r="J1140">
        <v>1</v>
      </c>
      <c r="K1140">
        <v>104.61</v>
      </c>
      <c r="L1140" t="s">
        <v>2917</v>
      </c>
      <c r="M1140">
        <v>104.61</v>
      </c>
      <c r="N1140" t="s">
        <v>2917</v>
      </c>
      <c r="O1140" t="s">
        <v>2208</v>
      </c>
      <c r="P1140" t="s">
        <v>2208</v>
      </c>
      <c r="Q1140" t="s">
        <v>2208</v>
      </c>
      <c r="R1140" t="s">
        <v>2208</v>
      </c>
    </row>
    <row r="1141" spans="1:18">
      <c r="A1141" t="s">
        <v>7030</v>
      </c>
      <c r="B1141" t="s">
        <v>9126</v>
      </c>
      <c r="C1141">
        <v>45748</v>
      </c>
      <c r="D1141" t="s">
        <v>7263</v>
      </c>
      <c r="E1141" t="s">
        <v>9127</v>
      </c>
      <c r="F1141">
        <v>45747</v>
      </c>
      <c r="G1141" t="s">
        <v>2208</v>
      </c>
      <c r="H1141" t="s">
        <v>7834</v>
      </c>
      <c r="I1141" t="s">
        <v>11814</v>
      </c>
      <c r="J1141">
        <v>2</v>
      </c>
      <c r="K1141">
        <v>209.22</v>
      </c>
      <c r="L1141" t="s">
        <v>2917</v>
      </c>
      <c r="M1141">
        <v>209.22</v>
      </c>
      <c r="N1141" t="s">
        <v>2917</v>
      </c>
      <c r="O1141" t="s">
        <v>2208</v>
      </c>
      <c r="P1141" t="s">
        <v>2208</v>
      </c>
      <c r="Q1141" t="s">
        <v>2208</v>
      </c>
      <c r="R1141" t="s">
        <v>2208</v>
      </c>
    </row>
    <row r="1142" spans="1:18">
      <c r="A1142" t="s">
        <v>7030</v>
      </c>
      <c r="B1142" t="s">
        <v>9126</v>
      </c>
      <c r="C1142">
        <v>45748</v>
      </c>
      <c r="D1142" t="s">
        <v>7263</v>
      </c>
      <c r="E1142" t="s">
        <v>9127</v>
      </c>
      <c r="F1142">
        <v>45747</v>
      </c>
      <c r="G1142" t="s">
        <v>2208</v>
      </c>
      <c r="H1142" t="s">
        <v>7834</v>
      </c>
      <c r="I1142" t="s">
        <v>11815</v>
      </c>
      <c r="J1142">
        <v>3</v>
      </c>
      <c r="K1142">
        <v>313.83</v>
      </c>
      <c r="L1142" t="s">
        <v>2917</v>
      </c>
      <c r="M1142">
        <v>313.83</v>
      </c>
      <c r="N1142" t="s">
        <v>2917</v>
      </c>
      <c r="O1142" t="s">
        <v>2208</v>
      </c>
      <c r="P1142" t="s">
        <v>2208</v>
      </c>
      <c r="Q1142" t="s">
        <v>2208</v>
      </c>
      <c r="R1142" t="s">
        <v>2208</v>
      </c>
    </row>
    <row r="1143" spans="1:18">
      <c r="A1143" t="s">
        <v>7030</v>
      </c>
      <c r="B1143" t="s">
        <v>9126</v>
      </c>
      <c r="C1143">
        <v>45748</v>
      </c>
      <c r="D1143" t="s">
        <v>7263</v>
      </c>
      <c r="E1143" t="s">
        <v>9127</v>
      </c>
      <c r="F1143">
        <v>45747</v>
      </c>
      <c r="G1143" t="s">
        <v>2208</v>
      </c>
      <c r="H1143" t="s">
        <v>7834</v>
      </c>
      <c r="I1143" t="s">
        <v>11816</v>
      </c>
      <c r="J1143">
        <v>2</v>
      </c>
      <c r="K1143">
        <v>209.22</v>
      </c>
      <c r="L1143" t="s">
        <v>2917</v>
      </c>
      <c r="M1143">
        <v>209.22</v>
      </c>
      <c r="N1143" t="s">
        <v>2917</v>
      </c>
      <c r="O1143" t="s">
        <v>2208</v>
      </c>
      <c r="P1143" t="s">
        <v>2208</v>
      </c>
      <c r="Q1143" t="s">
        <v>2208</v>
      </c>
      <c r="R1143" t="s">
        <v>2208</v>
      </c>
    </row>
    <row r="1144" spans="1:18">
      <c r="A1144" t="s">
        <v>7030</v>
      </c>
      <c r="B1144" t="s">
        <v>9126</v>
      </c>
      <c r="C1144">
        <v>45748</v>
      </c>
      <c r="D1144" t="s">
        <v>7263</v>
      </c>
      <c r="E1144" t="s">
        <v>9127</v>
      </c>
      <c r="F1144">
        <v>45747</v>
      </c>
      <c r="G1144" t="s">
        <v>2208</v>
      </c>
      <c r="H1144" t="s">
        <v>7834</v>
      </c>
      <c r="I1144" t="s">
        <v>11817</v>
      </c>
      <c r="J1144">
        <v>1</v>
      </c>
      <c r="K1144">
        <v>104.61</v>
      </c>
      <c r="L1144" t="s">
        <v>2917</v>
      </c>
      <c r="M1144">
        <v>104.61</v>
      </c>
      <c r="N1144" t="s">
        <v>2917</v>
      </c>
      <c r="O1144" t="s">
        <v>2208</v>
      </c>
      <c r="P1144" t="s">
        <v>2208</v>
      </c>
      <c r="Q1144" t="s">
        <v>2208</v>
      </c>
      <c r="R1144" t="s">
        <v>2208</v>
      </c>
    </row>
    <row r="1145" spans="1:18">
      <c r="A1145" t="s">
        <v>7030</v>
      </c>
      <c r="B1145" t="s">
        <v>9126</v>
      </c>
      <c r="C1145">
        <v>45748</v>
      </c>
      <c r="D1145" t="s">
        <v>7263</v>
      </c>
      <c r="E1145" t="s">
        <v>9127</v>
      </c>
      <c r="F1145">
        <v>45747</v>
      </c>
      <c r="G1145" t="s">
        <v>2208</v>
      </c>
      <c r="H1145" t="s">
        <v>7834</v>
      </c>
      <c r="I1145" t="s">
        <v>11818</v>
      </c>
      <c r="J1145">
        <v>2</v>
      </c>
      <c r="K1145">
        <v>209.22</v>
      </c>
      <c r="L1145" t="s">
        <v>2917</v>
      </c>
      <c r="M1145">
        <v>209.22</v>
      </c>
      <c r="N1145" t="s">
        <v>2917</v>
      </c>
      <c r="O1145" t="s">
        <v>2208</v>
      </c>
      <c r="P1145" t="s">
        <v>2208</v>
      </c>
      <c r="Q1145" t="s">
        <v>2208</v>
      </c>
      <c r="R1145" t="s">
        <v>2208</v>
      </c>
    </row>
    <row r="1146" spans="1:18">
      <c r="A1146" t="s">
        <v>7030</v>
      </c>
      <c r="B1146" t="s">
        <v>9126</v>
      </c>
      <c r="C1146">
        <v>45748</v>
      </c>
      <c r="D1146" t="s">
        <v>7263</v>
      </c>
      <c r="E1146" t="s">
        <v>9127</v>
      </c>
      <c r="F1146">
        <v>45747</v>
      </c>
      <c r="G1146" t="s">
        <v>2208</v>
      </c>
      <c r="H1146" t="s">
        <v>7834</v>
      </c>
      <c r="I1146" t="s">
        <v>11819</v>
      </c>
      <c r="J1146">
        <v>1</v>
      </c>
      <c r="K1146">
        <v>104.61</v>
      </c>
      <c r="L1146" t="s">
        <v>2917</v>
      </c>
      <c r="M1146">
        <v>104.61</v>
      </c>
      <c r="N1146" t="s">
        <v>2917</v>
      </c>
      <c r="O1146" t="s">
        <v>2208</v>
      </c>
      <c r="P1146" t="s">
        <v>2208</v>
      </c>
      <c r="Q1146" t="s">
        <v>2208</v>
      </c>
      <c r="R1146" t="s">
        <v>2208</v>
      </c>
    </row>
    <row r="1147" spans="1:18">
      <c r="A1147" t="s">
        <v>7030</v>
      </c>
      <c r="B1147" t="s">
        <v>9126</v>
      </c>
      <c r="C1147">
        <v>45748</v>
      </c>
      <c r="D1147" t="s">
        <v>7263</v>
      </c>
      <c r="E1147" t="s">
        <v>9127</v>
      </c>
      <c r="F1147">
        <v>45747</v>
      </c>
      <c r="G1147" t="s">
        <v>2208</v>
      </c>
      <c r="H1147" t="s">
        <v>7834</v>
      </c>
      <c r="I1147" t="s">
        <v>11820</v>
      </c>
      <c r="J1147">
        <v>1</v>
      </c>
      <c r="K1147">
        <v>104.61</v>
      </c>
      <c r="L1147" t="s">
        <v>2917</v>
      </c>
      <c r="M1147">
        <v>104.61</v>
      </c>
      <c r="N1147" t="s">
        <v>2917</v>
      </c>
      <c r="O1147" t="s">
        <v>2208</v>
      </c>
      <c r="P1147" t="s">
        <v>2208</v>
      </c>
      <c r="Q1147" t="s">
        <v>2208</v>
      </c>
      <c r="R1147" t="s">
        <v>2208</v>
      </c>
    </row>
    <row r="1148" spans="1:18">
      <c r="A1148" t="s">
        <v>7030</v>
      </c>
      <c r="B1148" t="s">
        <v>9126</v>
      </c>
      <c r="C1148">
        <v>45748</v>
      </c>
      <c r="D1148" t="s">
        <v>7263</v>
      </c>
      <c r="E1148" t="s">
        <v>9127</v>
      </c>
      <c r="F1148">
        <v>45747</v>
      </c>
      <c r="G1148" t="s">
        <v>2208</v>
      </c>
      <c r="H1148" t="s">
        <v>7834</v>
      </c>
      <c r="I1148" t="s">
        <v>11821</v>
      </c>
      <c r="J1148">
        <v>1</v>
      </c>
      <c r="K1148">
        <v>104.61</v>
      </c>
      <c r="L1148" t="s">
        <v>2917</v>
      </c>
      <c r="M1148">
        <v>104.61</v>
      </c>
      <c r="N1148" t="s">
        <v>2917</v>
      </c>
      <c r="O1148" t="s">
        <v>2208</v>
      </c>
      <c r="P1148" t="s">
        <v>2208</v>
      </c>
      <c r="Q1148" t="s">
        <v>2208</v>
      </c>
      <c r="R1148" t="s">
        <v>2208</v>
      </c>
    </row>
    <row r="1149" spans="1:18">
      <c r="A1149" t="s">
        <v>7030</v>
      </c>
      <c r="B1149" t="s">
        <v>9126</v>
      </c>
      <c r="C1149">
        <v>45748</v>
      </c>
      <c r="D1149" t="s">
        <v>7263</v>
      </c>
      <c r="E1149" t="s">
        <v>9127</v>
      </c>
      <c r="F1149">
        <v>45747</v>
      </c>
      <c r="G1149" t="s">
        <v>2208</v>
      </c>
      <c r="H1149" t="s">
        <v>7834</v>
      </c>
      <c r="I1149" t="s">
        <v>11822</v>
      </c>
      <c r="J1149">
        <v>3</v>
      </c>
      <c r="K1149">
        <v>313.83</v>
      </c>
      <c r="L1149" t="s">
        <v>2917</v>
      </c>
      <c r="M1149">
        <v>313.83</v>
      </c>
      <c r="N1149" t="s">
        <v>2917</v>
      </c>
      <c r="O1149" t="s">
        <v>2208</v>
      </c>
      <c r="P1149" t="s">
        <v>2208</v>
      </c>
      <c r="Q1149" t="s">
        <v>2208</v>
      </c>
      <c r="R1149" t="s">
        <v>2208</v>
      </c>
    </row>
    <row r="1150" spans="1:18">
      <c r="A1150" t="s">
        <v>7030</v>
      </c>
      <c r="B1150" t="s">
        <v>9126</v>
      </c>
      <c r="C1150">
        <v>45748</v>
      </c>
      <c r="D1150" t="s">
        <v>7263</v>
      </c>
      <c r="E1150" t="s">
        <v>9127</v>
      </c>
      <c r="F1150">
        <v>45747</v>
      </c>
      <c r="G1150" t="s">
        <v>2208</v>
      </c>
      <c r="H1150" t="s">
        <v>7834</v>
      </c>
      <c r="I1150" t="s">
        <v>11823</v>
      </c>
      <c r="J1150">
        <v>1</v>
      </c>
      <c r="K1150">
        <v>104.61</v>
      </c>
      <c r="L1150" t="s">
        <v>2917</v>
      </c>
      <c r="M1150">
        <v>104.61</v>
      </c>
      <c r="N1150" t="s">
        <v>2917</v>
      </c>
      <c r="O1150" t="s">
        <v>2208</v>
      </c>
      <c r="P1150" t="s">
        <v>2208</v>
      </c>
      <c r="Q1150" t="s">
        <v>2208</v>
      </c>
      <c r="R1150" t="s">
        <v>2208</v>
      </c>
    </row>
    <row r="1151" spans="1:18">
      <c r="A1151" t="s">
        <v>7030</v>
      </c>
      <c r="B1151" t="s">
        <v>9126</v>
      </c>
      <c r="C1151">
        <v>45748</v>
      </c>
      <c r="D1151" t="s">
        <v>7263</v>
      </c>
      <c r="E1151" t="s">
        <v>9127</v>
      </c>
      <c r="F1151">
        <v>45747</v>
      </c>
      <c r="G1151" t="s">
        <v>2208</v>
      </c>
      <c r="H1151" t="s">
        <v>7834</v>
      </c>
      <c r="I1151" t="s">
        <v>11824</v>
      </c>
      <c r="J1151">
        <v>4</v>
      </c>
      <c r="K1151">
        <v>418.44</v>
      </c>
      <c r="L1151" t="s">
        <v>2917</v>
      </c>
      <c r="M1151">
        <v>418.44</v>
      </c>
      <c r="N1151" t="s">
        <v>2917</v>
      </c>
      <c r="O1151" t="s">
        <v>2208</v>
      </c>
      <c r="P1151" t="s">
        <v>2208</v>
      </c>
      <c r="Q1151" t="s">
        <v>2208</v>
      </c>
      <c r="R1151" t="s">
        <v>2208</v>
      </c>
    </row>
    <row r="1152" spans="1:18">
      <c r="A1152" t="s">
        <v>7030</v>
      </c>
      <c r="B1152" t="s">
        <v>9126</v>
      </c>
      <c r="C1152">
        <v>45748</v>
      </c>
      <c r="D1152" t="s">
        <v>7263</v>
      </c>
      <c r="E1152" t="s">
        <v>9127</v>
      </c>
      <c r="F1152">
        <v>45747</v>
      </c>
      <c r="G1152" t="s">
        <v>2208</v>
      </c>
      <c r="H1152" t="s">
        <v>7834</v>
      </c>
      <c r="I1152" t="s">
        <v>11825</v>
      </c>
      <c r="J1152">
        <v>2</v>
      </c>
      <c r="K1152">
        <v>209.22</v>
      </c>
      <c r="L1152" t="s">
        <v>2917</v>
      </c>
      <c r="M1152">
        <v>209.22</v>
      </c>
      <c r="N1152" t="s">
        <v>2917</v>
      </c>
      <c r="O1152" t="s">
        <v>2208</v>
      </c>
      <c r="P1152" t="s">
        <v>2208</v>
      </c>
      <c r="Q1152" t="s">
        <v>2208</v>
      </c>
      <c r="R1152" t="s">
        <v>2208</v>
      </c>
    </row>
    <row r="1153" spans="1:18">
      <c r="A1153" t="s">
        <v>7030</v>
      </c>
      <c r="B1153" t="s">
        <v>9126</v>
      </c>
      <c r="C1153">
        <v>45748</v>
      </c>
      <c r="D1153" t="s">
        <v>7263</v>
      </c>
      <c r="E1153" t="s">
        <v>9127</v>
      </c>
      <c r="F1153">
        <v>45747</v>
      </c>
      <c r="G1153" t="s">
        <v>2208</v>
      </c>
      <c r="H1153" t="s">
        <v>7834</v>
      </c>
      <c r="I1153" t="s">
        <v>11826</v>
      </c>
      <c r="J1153">
        <v>4</v>
      </c>
      <c r="K1153">
        <v>418.44</v>
      </c>
      <c r="L1153" t="s">
        <v>2917</v>
      </c>
      <c r="M1153">
        <v>418.44</v>
      </c>
      <c r="N1153" t="s">
        <v>2917</v>
      </c>
      <c r="O1153" t="s">
        <v>2208</v>
      </c>
      <c r="P1153" t="s">
        <v>2208</v>
      </c>
      <c r="Q1153" t="s">
        <v>2208</v>
      </c>
      <c r="R1153" t="s">
        <v>2208</v>
      </c>
    </row>
    <row r="1154" spans="1:18">
      <c r="A1154" t="s">
        <v>7030</v>
      </c>
      <c r="B1154" t="s">
        <v>9126</v>
      </c>
      <c r="C1154">
        <v>45748</v>
      </c>
      <c r="D1154" t="s">
        <v>7263</v>
      </c>
      <c r="E1154" t="s">
        <v>9127</v>
      </c>
      <c r="F1154">
        <v>45747</v>
      </c>
      <c r="G1154" t="s">
        <v>2208</v>
      </c>
      <c r="H1154" t="s">
        <v>7834</v>
      </c>
      <c r="I1154" t="s">
        <v>11827</v>
      </c>
      <c r="J1154">
        <v>2</v>
      </c>
      <c r="K1154">
        <v>209.22</v>
      </c>
      <c r="L1154" t="s">
        <v>2917</v>
      </c>
      <c r="M1154">
        <v>209.22</v>
      </c>
      <c r="N1154" t="s">
        <v>2917</v>
      </c>
      <c r="O1154" t="s">
        <v>2208</v>
      </c>
      <c r="P1154" t="s">
        <v>2208</v>
      </c>
      <c r="Q1154" t="s">
        <v>2208</v>
      </c>
      <c r="R1154" t="s">
        <v>2208</v>
      </c>
    </row>
    <row r="1155" spans="1:18">
      <c r="A1155" t="s">
        <v>7030</v>
      </c>
      <c r="B1155" t="s">
        <v>9126</v>
      </c>
      <c r="C1155">
        <v>45748</v>
      </c>
      <c r="D1155" t="s">
        <v>7263</v>
      </c>
      <c r="E1155" t="s">
        <v>9127</v>
      </c>
      <c r="F1155">
        <v>45747</v>
      </c>
      <c r="G1155" t="s">
        <v>2208</v>
      </c>
      <c r="H1155" t="s">
        <v>7834</v>
      </c>
      <c r="I1155" t="s">
        <v>11828</v>
      </c>
      <c r="J1155">
        <v>1</v>
      </c>
      <c r="K1155">
        <v>104.61</v>
      </c>
      <c r="L1155" t="s">
        <v>2917</v>
      </c>
      <c r="M1155">
        <v>104.61</v>
      </c>
      <c r="N1155" t="s">
        <v>2917</v>
      </c>
      <c r="O1155" t="s">
        <v>2208</v>
      </c>
      <c r="P1155" t="s">
        <v>2208</v>
      </c>
      <c r="Q1155" t="s">
        <v>2208</v>
      </c>
      <c r="R1155" t="s">
        <v>2208</v>
      </c>
    </row>
    <row r="1156" spans="1:18">
      <c r="A1156" t="s">
        <v>7030</v>
      </c>
      <c r="B1156" t="s">
        <v>9126</v>
      </c>
      <c r="C1156">
        <v>45748</v>
      </c>
      <c r="D1156" t="s">
        <v>7263</v>
      </c>
      <c r="E1156" t="s">
        <v>9127</v>
      </c>
      <c r="F1156">
        <v>45747</v>
      </c>
      <c r="G1156" t="s">
        <v>2208</v>
      </c>
      <c r="H1156" t="s">
        <v>7834</v>
      </c>
      <c r="I1156" t="s">
        <v>11829</v>
      </c>
      <c r="J1156">
        <v>1</v>
      </c>
      <c r="K1156">
        <v>104.61</v>
      </c>
      <c r="L1156" t="s">
        <v>2917</v>
      </c>
      <c r="M1156">
        <v>104.61</v>
      </c>
      <c r="N1156" t="s">
        <v>2917</v>
      </c>
      <c r="O1156" t="s">
        <v>2208</v>
      </c>
      <c r="P1156" t="s">
        <v>2208</v>
      </c>
      <c r="Q1156" t="s">
        <v>2208</v>
      </c>
      <c r="R1156" t="s">
        <v>2208</v>
      </c>
    </row>
    <row r="1157" spans="1:18">
      <c r="A1157" t="s">
        <v>7030</v>
      </c>
      <c r="B1157" t="s">
        <v>9126</v>
      </c>
      <c r="C1157">
        <v>45748</v>
      </c>
      <c r="D1157" t="s">
        <v>7263</v>
      </c>
      <c r="E1157" t="s">
        <v>9127</v>
      </c>
      <c r="F1157">
        <v>45747</v>
      </c>
      <c r="G1157" t="s">
        <v>2208</v>
      </c>
      <c r="H1157" t="s">
        <v>7834</v>
      </c>
      <c r="I1157" t="s">
        <v>11830</v>
      </c>
      <c r="J1157">
        <v>1</v>
      </c>
      <c r="K1157">
        <v>104.61</v>
      </c>
      <c r="L1157" t="s">
        <v>2917</v>
      </c>
      <c r="M1157">
        <v>104.61</v>
      </c>
      <c r="N1157" t="s">
        <v>2917</v>
      </c>
      <c r="O1157" t="s">
        <v>2208</v>
      </c>
      <c r="P1157" t="s">
        <v>2208</v>
      </c>
      <c r="Q1157" t="s">
        <v>2208</v>
      </c>
      <c r="R1157" t="s">
        <v>2208</v>
      </c>
    </row>
    <row r="1158" spans="1:18">
      <c r="A1158" t="s">
        <v>7030</v>
      </c>
      <c r="B1158" t="s">
        <v>9126</v>
      </c>
      <c r="C1158">
        <v>45748</v>
      </c>
      <c r="D1158" t="s">
        <v>7263</v>
      </c>
      <c r="E1158" t="s">
        <v>9127</v>
      </c>
      <c r="F1158">
        <v>45747</v>
      </c>
      <c r="G1158" t="s">
        <v>2208</v>
      </c>
      <c r="H1158" t="s">
        <v>7834</v>
      </c>
      <c r="I1158" t="s">
        <v>11831</v>
      </c>
      <c r="J1158">
        <v>1</v>
      </c>
      <c r="K1158">
        <v>104.61</v>
      </c>
      <c r="L1158" t="s">
        <v>2917</v>
      </c>
      <c r="M1158">
        <v>104.61</v>
      </c>
      <c r="N1158" t="s">
        <v>2917</v>
      </c>
      <c r="O1158" t="s">
        <v>2208</v>
      </c>
      <c r="P1158" t="s">
        <v>2208</v>
      </c>
      <c r="Q1158" t="s">
        <v>2208</v>
      </c>
      <c r="R1158" t="s">
        <v>2208</v>
      </c>
    </row>
    <row r="1159" spans="1:18">
      <c r="A1159" t="s">
        <v>7030</v>
      </c>
      <c r="B1159" t="s">
        <v>9126</v>
      </c>
      <c r="C1159">
        <v>45748</v>
      </c>
      <c r="D1159" t="s">
        <v>7263</v>
      </c>
      <c r="E1159" t="s">
        <v>9127</v>
      </c>
      <c r="F1159">
        <v>45747</v>
      </c>
      <c r="G1159" t="s">
        <v>2208</v>
      </c>
      <c r="H1159" t="s">
        <v>7834</v>
      </c>
      <c r="I1159" t="s">
        <v>11832</v>
      </c>
      <c r="J1159">
        <v>1</v>
      </c>
      <c r="K1159">
        <v>104.61</v>
      </c>
      <c r="L1159" t="s">
        <v>2917</v>
      </c>
      <c r="M1159">
        <v>104.61</v>
      </c>
      <c r="N1159" t="s">
        <v>2917</v>
      </c>
      <c r="O1159" t="s">
        <v>2208</v>
      </c>
      <c r="P1159" t="s">
        <v>2208</v>
      </c>
      <c r="Q1159" t="s">
        <v>2208</v>
      </c>
      <c r="R1159" t="s">
        <v>2208</v>
      </c>
    </row>
    <row r="1160" spans="1:18">
      <c r="A1160" t="s">
        <v>7030</v>
      </c>
      <c r="B1160" t="s">
        <v>9126</v>
      </c>
      <c r="C1160">
        <v>45748</v>
      </c>
      <c r="D1160" t="s">
        <v>7263</v>
      </c>
      <c r="E1160" t="s">
        <v>9127</v>
      </c>
      <c r="F1160">
        <v>45747</v>
      </c>
      <c r="G1160" t="s">
        <v>2208</v>
      </c>
      <c r="H1160" t="s">
        <v>7834</v>
      </c>
      <c r="I1160" t="s">
        <v>11833</v>
      </c>
      <c r="J1160">
        <v>1</v>
      </c>
      <c r="K1160">
        <v>104.61</v>
      </c>
      <c r="L1160" t="s">
        <v>2917</v>
      </c>
      <c r="M1160">
        <v>104.61</v>
      </c>
      <c r="N1160" t="s">
        <v>2917</v>
      </c>
      <c r="O1160" t="s">
        <v>2208</v>
      </c>
      <c r="P1160" t="s">
        <v>2208</v>
      </c>
      <c r="Q1160" t="s">
        <v>2208</v>
      </c>
      <c r="R1160" t="s">
        <v>2208</v>
      </c>
    </row>
    <row r="1161" spans="1:18">
      <c r="A1161" t="s">
        <v>7030</v>
      </c>
      <c r="B1161" t="s">
        <v>9126</v>
      </c>
      <c r="C1161">
        <v>45748</v>
      </c>
      <c r="D1161" t="s">
        <v>7263</v>
      </c>
      <c r="E1161" t="s">
        <v>9127</v>
      </c>
      <c r="F1161">
        <v>45747</v>
      </c>
      <c r="G1161" t="s">
        <v>2208</v>
      </c>
      <c r="H1161" t="s">
        <v>7834</v>
      </c>
      <c r="I1161" t="s">
        <v>11834</v>
      </c>
      <c r="J1161">
        <v>1</v>
      </c>
      <c r="K1161">
        <v>104.61</v>
      </c>
      <c r="L1161" t="s">
        <v>2917</v>
      </c>
      <c r="M1161">
        <v>104.61</v>
      </c>
      <c r="N1161" t="s">
        <v>2917</v>
      </c>
      <c r="O1161" t="s">
        <v>2208</v>
      </c>
      <c r="P1161" t="s">
        <v>2208</v>
      </c>
      <c r="Q1161" t="s">
        <v>2208</v>
      </c>
      <c r="R1161" t="s">
        <v>2208</v>
      </c>
    </row>
    <row r="1162" spans="1:18">
      <c r="A1162" t="s">
        <v>7030</v>
      </c>
      <c r="B1162" t="s">
        <v>9126</v>
      </c>
      <c r="C1162">
        <v>45748</v>
      </c>
      <c r="D1162" t="s">
        <v>7263</v>
      </c>
      <c r="E1162" t="s">
        <v>9127</v>
      </c>
      <c r="F1162">
        <v>45747</v>
      </c>
      <c r="G1162" t="s">
        <v>2208</v>
      </c>
      <c r="H1162" t="s">
        <v>7834</v>
      </c>
      <c r="I1162" t="s">
        <v>11835</v>
      </c>
      <c r="J1162">
        <v>1</v>
      </c>
      <c r="K1162">
        <v>104.61</v>
      </c>
      <c r="L1162" t="s">
        <v>2917</v>
      </c>
      <c r="M1162">
        <v>104.61</v>
      </c>
      <c r="N1162" t="s">
        <v>2917</v>
      </c>
      <c r="O1162" t="s">
        <v>2208</v>
      </c>
      <c r="P1162" t="s">
        <v>2208</v>
      </c>
      <c r="Q1162" t="s">
        <v>2208</v>
      </c>
      <c r="R1162" t="s">
        <v>2208</v>
      </c>
    </row>
    <row r="1163" spans="1:18">
      <c r="A1163" t="s">
        <v>7030</v>
      </c>
      <c r="B1163" t="s">
        <v>9126</v>
      </c>
      <c r="C1163">
        <v>45748</v>
      </c>
      <c r="D1163" t="s">
        <v>7263</v>
      </c>
      <c r="E1163" t="s">
        <v>9127</v>
      </c>
      <c r="F1163">
        <v>45747</v>
      </c>
      <c r="G1163" t="s">
        <v>2208</v>
      </c>
      <c r="H1163" t="s">
        <v>7834</v>
      </c>
      <c r="I1163" t="s">
        <v>11836</v>
      </c>
      <c r="J1163">
        <v>1</v>
      </c>
      <c r="K1163">
        <v>104.61</v>
      </c>
      <c r="L1163" t="s">
        <v>2917</v>
      </c>
      <c r="M1163">
        <v>104.61</v>
      </c>
      <c r="N1163" t="s">
        <v>2917</v>
      </c>
      <c r="O1163" t="s">
        <v>2208</v>
      </c>
      <c r="P1163" t="s">
        <v>2208</v>
      </c>
      <c r="Q1163" t="s">
        <v>2208</v>
      </c>
      <c r="R1163" t="s">
        <v>2208</v>
      </c>
    </row>
    <row r="1164" spans="1:18">
      <c r="A1164" t="s">
        <v>7030</v>
      </c>
      <c r="B1164" t="s">
        <v>9126</v>
      </c>
      <c r="C1164">
        <v>45748</v>
      </c>
      <c r="D1164" t="s">
        <v>7263</v>
      </c>
      <c r="E1164" t="s">
        <v>9127</v>
      </c>
      <c r="F1164">
        <v>45747</v>
      </c>
      <c r="G1164" t="s">
        <v>2208</v>
      </c>
      <c r="H1164" t="s">
        <v>7834</v>
      </c>
      <c r="I1164" t="s">
        <v>11837</v>
      </c>
      <c r="J1164">
        <v>1</v>
      </c>
      <c r="K1164">
        <v>104.61</v>
      </c>
      <c r="L1164" t="s">
        <v>2917</v>
      </c>
      <c r="M1164">
        <v>104.61</v>
      </c>
      <c r="N1164" t="s">
        <v>2917</v>
      </c>
      <c r="O1164" t="s">
        <v>2208</v>
      </c>
      <c r="P1164" t="s">
        <v>2208</v>
      </c>
      <c r="Q1164" t="s">
        <v>2208</v>
      </c>
      <c r="R1164" t="s">
        <v>2208</v>
      </c>
    </row>
    <row r="1165" spans="1:18">
      <c r="A1165" t="s">
        <v>7030</v>
      </c>
      <c r="B1165" t="s">
        <v>9126</v>
      </c>
      <c r="C1165">
        <v>45748</v>
      </c>
      <c r="D1165" t="s">
        <v>7263</v>
      </c>
      <c r="E1165" t="s">
        <v>9127</v>
      </c>
      <c r="F1165">
        <v>45747</v>
      </c>
      <c r="G1165" t="s">
        <v>2208</v>
      </c>
      <c r="H1165" t="s">
        <v>7834</v>
      </c>
      <c r="I1165" t="s">
        <v>11838</v>
      </c>
      <c r="J1165">
        <v>2</v>
      </c>
      <c r="K1165">
        <v>209.22</v>
      </c>
      <c r="L1165" t="s">
        <v>2917</v>
      </c>
      <c r="M1165">
        <v>209.22</v>
      </c>
      <c r="N1165" t="s">
        <v>2917</v>
      </c>
      <c r="O1165" t="s">
        <v>2208</v>
      </c>
      <c r="P1165" t="s">
        <v>2208</v>
      </c>
      <c r="Q1165" t="s">
        <v>2208</v>
      </c>
      <c r="R1165" t="s">
        <v>2208</v>
      </c>
    </row>
    <row r="1166" spans="1:18">
      <c r="A1166" t="s">
        <v>7030</v>
      </c>
      <c r="B1166" t="s">
        <v>9126</v>
      </c>
      <c r="C1166">
        <v>45748</v>
      </c>
      <c r="D1166" t="s">
        <v>7263</v>
      </c>
      <c r="E1166" t="s">
        <v>9127</v>
      </c>
      <c r="F1166">
        <v>45747</v>
      </c>
      <c r="G1166" t="s">
        <v>2208</v>
      </c>
      <c r="H1166" t="s">
        <v>7834</v>
      </c>
      <c r="I1166" t="s">
        <v>11839</v>
      </c>
      <c r="J1166">
        <v>2</v>
      </c>
      <c r="K1166">
        <v>209.22</v>
      </c>
      <c r="L1166" t="s">
        <v>2917</v>
      </c>
      <c r="M1166">
        <v>209.22</v>
      </c>
      <c r="N1166" t="s">
        <v>2917</v>
      </c>
      <c r="O1166" t="s">
        <v>2208</v>
      </c>
      <c r="P1166" t="s">
        <v>2208</v>
      </c>
      <c r="Q1166" t="s">
        <v>2208</v>
      </c>
      <c r="R1166" t="s">
        <v>2208</v>
      </c>
    </row>
    <row r="1167" spans="1:18">
      <c r="A1167" t="s">
        <v>7030</v>
      </c>
      <c r="B1167" t="s">
        <v>9126</v>
      </c>
      <c r="C1167">
        <v>45748</v>
      </c>
      <c r="D1167" t="s">
        <v>7263</v>
      </c>
      <c r="E1167" t="s">
        <v>9127</v>
      </c>
      <c r="F1167">
        <v>45747</v>
      </c>
      <c r="G1167" t="s">
        <v>2208</v>
      </c>
      <c r="H1167" t="s">
        <v>7834</v>
      </c>
      <c r="I1167" t="s">
        <v>11840</v>
      </c>
      <c r="J1167">
        <v>1</v>
      </c>
      <c r="K1167">
        <v>104.61</v>
      </c>
      <c r="L1167" t="s">
        <v>2917</v>
      </c>
      <c r="M1167">
        <v>104.61</v>
      </c>
      <c r="N1167" t="s">
        <v>2917</v>
      </c>
      <c r="O1167" t="s">
        <v>2208</v>
      </c>
      <c r="P1167" t="s">
        <v>2208</v>
      </c>
      <c r="Q1167" t="s">
        <v>2208</v>
      </c>
      <c r="R1167" t="s">
        <v>2208</v>
      </c>
    </row>
    <row r="1168" spans="1:18">
      <c r="A1168" t="s">
        <v>709</v>
      </c>
      <c r="B1168" t="s">
        <v>9126</v>
      </c>
      <c r="C1168">
        <v>45749</v>
      </c>
      <c r="D1168" t="s">
        <v>7263</v>
      </c>
      <c r="E1168" t="s">
        <v>9127</v>
      </c>
      <c r="F1168">
        <v>45747</v>
      </c>
      <c r="G1168" t="s">
        <v>2208</v>
      </c>
      <c r="H1168" t="s">
        <v>7834</v>
      </c>
      <c r="I1168" t="s">
        <v>12079</v>
      </c>
      <c r="J1168">
        <v>0</v>
      </c>
      <c r="K1168">
        <v>65.180000000000007</v>
      </c>
      <c r="L1168" t="s">
        <v>2917</v>
      </c>
      <c r="M1168">
        <v>65.180000000000007</v>
      </c>
      <c r="N1168" t="s">
        <v>2917</v>
      </c>
      <c r="O1168" t="s">
        <v>2208</v>
      </c>
      <c r="P1168" t="s">
        <v>2208</v>
      </c>
      <c r="Q1168" t="s">
        <v>2208</v>
      </c>
      <c r="R1168" t="s">
        <v>2208</v>
      </c>
    </row>
    <row r="1169" spans="1:18">
      <c r="A1169" t="s">
        <v>709</v>
      </c>
      <c r="B1169" t="s">
        <v>9126</v>
      </c>
      <c r="C1169">
        <v>45749</v>
      </c>
      <c r="D1169" t="s">
        <v>7263</v>
      </c>
      <c r="E1169" t="s">
        <v>9127</v>
      </c>
      <c r="F1169">
        <v>45747</v>
      </c>
      <c r="G1169" t="s">
        <v>2208</v>
      </c>
      <c r="H1169" t="s">
        <v>7834</v>
      </c>
      <c r="I1169" t="s">
        <v>12079</v>
      </c>
      <c r="J1169">
        <v>0</v>
      </c>
      <c r="K1169">
        <v>65.180000000000007</v>
      </c>
      <c r="L1169" t="s">
        <v>2917</v>
      </c>
      <c r="M1169">
        <v>65.180000000000007</v>
      </c>
      <c r="N1169" t="s">
        <v>2917</v>
      </c>
      <c r="O1169" t="s">
        <v>2208</v>
      </c>
      <c r="P1169" t="s">
        <v>2208</v>
      </c>
      <c r="Q1169" t="s">
        <v>2208</v>
      </c>
      <c r="R1169" t="s">
        <v>2208</v>
      </c>
    </row>
    <row r="1170" spans="1:18">
      <c r="A1170" t="s">
        <v>2237</v>
      </c>
      <c r="B1170" t="s">
        <v>9126</v>
      </c>
      <c r="C1170">
        <v>45749</v>
      </c>
      <c r="D1170" t="s">
        <v>7263</v>
      </c>
      <c r="E1170" t="s">
        <v>9127</v>
      </c>
      <c r="F1170">
        <v>45747</v>
      </c>
      <c r="G1170" t="s">
        <v>2208</v>
      </c>
      <c r="H1170" t="s">
        <v>7834</v>
      </c>
      <c r="I1170" t="s">
        <v>12080</v>
      </c>
      <c r="J1170">
        <v>0</v>
      </c>
      <c r="K1170">
        <v>716.96</v>
      </c>
      <c r="L1170" t="s">
        <v>2917</v>
      </c>
      <c r="M1170">
        <v>716.96</v>
      </c>
      <c r="N1170" t="s">
        <v>2917</v>
      </c>
      <c r="O1170" t="s">
        <v>2208</v>
      </c>
      <c r="P1170" t="s">
        <v>2208</v>
      </c>
      <c r="Q1170" t="s">
        <v>2208</v>
      </c>
      <c r="R1170" t="s">
        <v>2208</v>
      </c>
    </row>
    <row r="1171" spans="1:18">
      <c r="A1171" t="s">
        <v>2237</v>
      </c>
      <c r="B1171" t="s">
        <v>9126</v>
      </c>
      <c r="C1171">
        <v>45749</v>
      </c>
      <c r="D1171" t="s">
        <v>7263</v>
      </c>
      <c r="E1171" t="s">
        <v>9127</v>
      </c>
      <c r="F1171">
        <v>45747</v>
      </c>
      <c r="G1171" t="s">
        <v>2208</v>
      </c>
      <c r="H1171" t="s">
        <v>7834</v>
      </c>
      <c r="I1171" t="s">
        <v>12080</v>
      </c>
      <c r="J1171">
        <v>0</v>
      </c>
      <c r="K1171">
        <v>837.54</v>
      </c>
      <c r="L1171" t="s">
        <v>2917</v>
      </c>
      <c r="M1171">
        <v>837.54</v>
      </c>
      <c r="N1171" t="s">
        <v>2917</v>
      </c>
      <c r="O1171" t="s">
        <v>2208</v>
      </c>
      <c r="P1171" t="s">
        <v>2208</v>
      </c>
      <c r="Q1171" t="s">
        <v>2208</v>
      </c>
      <c r="R1171" t="s">
        <v>2208</v>
      </c>
    </row>
    <row r="1172" spans="1:18">
      <c r="A1172" t="s">
        <v>810</v>
      </c>
      <c r="B1172" t="s">
        <v>9126</v>
      </c>
      <c r="C1172">
        <v>45749</v>
      </c>
      <c r="D1172" t="s">
        <v>7263</v>
      </c>
      <c r="E1172" t="s">
        <v>9127</v>
      </c>
      <c r="F1172">
        <v>45747</v>
      </c>
      <c r="G1172" t="s">
        <v>2208</v>
      </c>
      <c r="H1172" t="s">
        <v>7834</v>
      </c>
      <c r="I1172" t="s">
        <v>12081</v>
      </c>
      <c r="J1172">
        <v>0</v>
      </c>
      <c r="K1172">
        <v>65.180000000000007</v>
      </c>
      <c r="L1172" t="s">
        <v>2917</v>
      </c>
      <c r="M1172">
        <v>65.180000000000007</v>
      </c>
      <c r="N1172" t="s">
        <v>2917</v>
      </c>
      <c r="O1172" t="s">
        <v>2208</v>
      </c>
      <c r="P1172" t="s">
        <v>2208</v>
      </c>
      <c r="Q1172" t="s">
        <v>2208</v>
      </c>
      <c r="R1172" t="s">
        <v>2208</v>
      </c>
    </row>
    <row r="1173" spans="1:18">
      <c r="A1173" t="s">
        <v>2418</v>
      </c>
      <c r="B1173" t="s">
        <v>9126</v>
      </c>
      <c r="C1173">
        <v>45749</v>
      </c>
      <c r="D1173" t="s">
        <v>7263</v>
      </c>
      <c r="E1173" t="s">
        <v>9127</v>
      </c>
      <c r="F1173">
        <v>45747</v>
      </c>
      <c r="G1173" t="s">
        <v>2208</v>
      </c>
      <c r="H1173" t="s">
        <v>7834</v>
      </c>
      <c r="I1173" t="s">
        <v>12082</v>
      </c>
      <c r="J1173">
        <v>0</v>
      </c>
      <c r="K1173">
        <v>2770.07</v>
      </c>
      <c r="L1173" t="s">
        <v>2917</v>
      </c>
      <c r="M1173">
        <v>2770.07</v>
      </c>
      <c r="N1173" t="s">
        <v>2917</v>
      </c>
      <c r="O1173" t="s">
        <v>2208</v>
      </c>
      <c r="P1173" t="s">
        <v>2208</v>
      </c>
      <c r="Q1173" t="s">
        <v>2208</v>
      </c>
      <c r="R1173" t="s">
        <v>2208</v>
      </c>
    </row>
    <row r="1174" spans="1:18">
      <c r="A1174" t="s">
        <v>2418</v>
      </c>
      <c r="B1174" t="s">
        <v>9126</v>
      </c>
      <c r="C1174">
        <v>45749</v>
      </c>
      <c r="D1174" t="s">
        <v>7263</v>
      </c>
      <c r="E1174" t="s">
        <v>9127</v>
      </c>
      <c r="F1174">
        <v>45747</v>
      </c>
      <c r="G1174" t="s">
        <v>2208</v>
      </c>
      <c r="H1174" t="s">
        <v>7834</v>
      </c>
      <c r="I1174" t="s">
        <v>12082</v>
      </c>
      <c r="J1174">
        <v>0</v>
      </c>
      <c r="K1174">
        <v>984.17</v>
      </c>
      <c r="L1174" t="s">
        <v>2917</v>
      </c>
      <c r="M1174">
        <v>984.17</v>
      </c>
      <c r="N1174" t="s">
        <v>2917</v>
      </c>
      <c r="O1174" t="s">
        <v>2208</v>
      </c>
      <c r="P1174" t="s">
        <v>2208</v>
      </c>
      <c r="Q1174" t="s">
        <v>2208</v>
      </c>
      <c r="R1174" t="s">
        <v>2208</v>
      </c>
    </row>
    <row r="1175" spans="1:18">
      <c r="A1175" t="s">
        <v>2418</v>
      </c>
      <c r="B1175" t="s">
        <v>9126</v>
      </c>
      <c r="C1175">
        <v>45749</v>
      </c>
      <c r="D1175" t="s">
        <v>7263</v>
      </c>
      <c r="E1175" t="s">
        <v>9127</v>
      </c>
      <c r="F1175">
        <v>45747</v>
      </c>
      <c r="G1175" t="s">
        <v>2208</v>
      </c>
      <c r="H1175" t="s">
        <v>7834</v>
      </c>
      <c r="I1175" t="s">
        <v>12083</v>
      </c>
      <c r="J1175">
        <v>0</v>
      </c>
      <c r="K1175">
        <v>3715.14</v>
      </c>
      <c r="L1175" t="s">
        <v>2917</v>
      </c>
      <c r="M1175">
        <v>3715.14</v>
      </c>
      <c r="N1175" t="s">
        <v>2917</v>
      </c>
      <c r="O1175" t="s">
        <v>2208</v>
      </c>
      <c r="P1175" t="s">
        <v>2208</v>
      </c>
      <c r="Q1175" t="s">
        <v>2208</v>
      </c>
      <c r="R1175" t="s">
        <v>2208</v>
      </c>
    </row>
    <row r="1176" spans="1:18">
      <c r="A1176" t="s">
        <v>2724</v>
      </c>
      <c r="B1176" t="s">
        <v>9126</v>
      </c>
      <c r="C1176">
        <v>45749</v>
      </c>
      <c r="D1176" t="s">
        <v>7263</v>
      </c>
      <c r="E1176" t="s">
        <v>9127</v>
      </c>
      <c r="F1176">
        <v>45747</v>
      </c>
      <c r="G1176" t="s">
        <v>2208</v>
      </c>
      <c r="H1176" t="s">
        <v>7834</v>
      </c>
      <c r="I1176" t="s">
        <v>12084</v>
      </c>
      <c r="J1176">
        <v>0</v>
      </c>
      <c r="K1176">
        <v>97.76</v>
      </c>
      <c r="L1176" t="s">
        <v>2917</v>
      </c>
      <c r="M1176">
        <v>97.76</v>
      </c>
      <c r="N1176" t="s">
        <v>2917</v>
      </c>
      <c r="O1176" t="s">
        <v>2208</v>
      </c>
      <c r="P1176" t="s">
        <v>2208</v>
      </c>
      <c r="Q1176" t="s">
        <v>2208</v>
      </c>
      <c r="R1176" t="s">
        <v>2208</v>
      </c>
    </row>
    <row r="1177" spans="1:18">
      <c r="A1177" t="s">
        <v>7030</v>
      </c>
      <c r="B1177" t="s">
        <v>9126</v>
      </c>
      <c r="C1177">
        <v>45749</v>
      </c>
      <c r="D1177" t="s">
        <v>7263</v>
      </c>
      <c r="E1177" t="s">
        <v>9127</v>
      </c>
      <c r="F1177">
        <v>45747</v>
      </c>
      <c r="G1177" t="s">
        <v>2208</v>
      </c>
      <c r="H1177" t="s">
        <v>7834</v>
      </c>
      <c r="I1177" t="s">
        <v>12085</v>
      </c>
      <c r="J1177">
        <v>0</v>
      </c>
      <c r="K1177">
        <v>162.94999999999999</v>
      </c>
      <c r="L1177" t="s">
        <v>2917</v>
      </c>
      <c r="M1177">
        <v>162.94999999999999</v>
      </c>
      <c r="N1177" t="s">
        <v>2917</v>
      </c>
      <c r="O1177" t="s">
        <v>2208</v>
      </c>
      <c r="P1177" t="s">
        <v>2208</v>
      </c>
      <c r="Q1177" t="s">
        <v>2208</v>
      </c>
      <c r="R1177" t="s">
        <v>2208</v>
      </c>
    </row>
    <row r="1178" spans="1:18">
      <c r="A1178" t="s">
        <v>6816</v>
      </c>
      <c r="B1178" t="s">
        <v>9126</v>
      </c>
      <c r="C1178">
        <v>45749</v>
      </c>
      <c r="D1178" t="s">
        <v>7263</v>
      </c>
      <c r="E1178" t="s">
        <v>9127</v>
      </c>
      <c r="F1178">
        <v>45747</v>
      </c>
      <c r="G1178" t="s">
        <v>2208</v>
      </c>
      <c r="H1178" t="s">
        <v>7834</v>
      </c>
      <c r="I1178" t="s">
        <v>12086</v>
      </c>
      <c r="J1178">
        <v>0</v>
      </c>
      <c r="K1178">
        <v>130.35</v>
      </c>
      <c r="L1178" t="s">
        <v>2917</v>
      </c>
      <c r="M1178">
        <v>130.35</v>
      </c>
      <c r="N1178" t="s">
        <v>2917</v>
      </c>
      <c r="O1178" t="s">
        <v>2208</v>
      </c>
      <c r="P1178" t="s">
        <v>2208</v>
      </c>
      <c r="Q1178" t="s">
        <v>2208</v>
      </c>
      <c r="R1178" t="s">
        <v>2208</v>
      </c>
    </row>
    <row r="1179" spans="1:18">
      <c r="A1179" t="s">
        <v>7030</v>
      </c>
      <c r="B1179" t="s">
        <v>9126</v>
      </c>
      <c r="C1179">
        <v>45749</v>
      </c>
      <c r="D1179" t="s">
        <v>7263</v>
      </c>
      <c r="E1179" t="s">
        <v>9127</v>
      </c>
      <c r="F1179">
        <v>45747</v>
      </c>
      <c r="G1179" t="s">
        <v>2208</v>
      </c>
      <c r="H1179" t="s">
        <v>7834</v>
      </c>
      <c r="I1179" t="s">
        <v>12087</v>
      </c>
      <c r="J1179">
        <v>0</v>
      </c>
      <c r="K1179">
        <v>1971.63</v>
      </c>
      <c r="L1179" t="s">
        <v>2917</v>
      </c>
      <c r="M1179">
        <v>1971.63</v>
      </c>
      <c r="N1179" t="s">
        <v>2917</v>
      </c>
      <c r="O1179" t="s">
        <v>2208</v>
      </c>
      <c r="P1179" t="s">
        <v>2208</v>
      </c>
      <c r="Q1179" t="s">
        <v>2208</v>
      </c>
      <c r="R1179" t="s">
        <v>2208</v>
      </c>
    </row>
    <row r="1180" spans="1:18">
      <c r="A1180" t="s">
        <v>7030</v>
      </c>
      <c r="B1180" t="s">
        <v>9126</v>
      </c>
      <c r="C1180">
        <v>45749</v>
      </c>
      <c r="D1180" t="s">
        <v>7263</v>
      </c>
      <c r="E1180" t="s">
        <v>9127</v>
      </c>
      <c r="F1180">
        <v>45747</v>
      </c>
      <c r="G1180" t="s">
        <v>2208</v>
      </c>
      <c r="H1180" t="s">
        <v>7834</v>
      </c>
      <c r="I1180" t="s">
        <v>12087</v>
      </c>
      <c r="J1180">
        <v>0</v>
      </c>
      <c r="K1180">
        <v>1727.22</v>
      </c>
      <c r="L1180" t="s">
        <v>2917</v>
      </c>
      <c r="M1180">
        <v>1727.22</v>
      </c>
      <c r="N1180" t="s">
        <v>2917</v>
      </c>
      <c r="O1180" t="s">
        <v>2208</v>
      </c>
      <c r="P1180" t="s">
        <v>2208</v>
      </c>
      <c r="Q1180" t="s">
        <v>2208</v>
      </c>
      <c r="R1180" t="s">
        <v>2208</v>
      </c>
    </row>
    <row r="1181" spans="1:18">
      <c r="A1181" t="s">
        <v>7030</v>
      </c>
      <c r="B1181" t="s">
        <v>9126</v>
      </c>
      <c r="C1181">
        <v>45749</v>
      </c>
      <c r="D1181" t="s">
        <v>7263</v>
      </c>
      <c r="E1181" t="s">
        <v>9127</v>
      </c>
      <c r="F1181">
        <v>45747</v>
      </c>
      <c r="G1181" t="s">
        <v>2208</v>
      </c>
      <c r="H1181" t="s">
        <v>7834</v>
      </c>
      <c r="I1181" t="s">
        <v>12087</v>
      </c>
      <c r="J1181">
        <v>0</v>
      </c>
      <c r="K1181">
        <v>260.70999999999998</v>
      </c>
      <c r="L1181" t="s">
        <v>2917</v>
      </c>
      <c r="M1181">
        <v>260.70999999999998</v>
      </c>
      <c r="N1181" t="s">
        <v>2917</v>
      </c>
      <c r="O1181" t="s">
        <v>2208</v>
      </c>
      <c r="P1181" t="s">
        <v>2208</v>
      </c>
      <c r="Q1181" t="s">
        <v>2208</v>
      </c>
      <c r="R1181" t="s">
        <v>2208</v>
      </c>
    </row>
    <row r="1182" spans="1:18">
      <c r="A1182" t="s">
        <v>7030</v>
      </c>
      <c r="B1182" t="s">
        <v>9126</v>
      </c>
      <c r="C1182">
        <v>45749</v>
      </c>
      <c r="D1182" t="s">
        <v>7263</v>
      </c>
      <c r="E1182" t="s">
        <v>9127</v>
      </c>
      <c r="F1182">
        <v>45747</v>
      </c>
      <c r="G1182" t="s">
        <v>2208</v>
      </c>
      <c r="H1182" t="s">
        <v>7834</v>
      </c>
      <c r="I1182" t="s">
        <v>12087</v>
      </c>
      <c r="J1182">
        <v>0</v>
      </c>
      <c r="K1182">
        <v>211.81</v>
      </c>
      <c r="L1182" t="s">
        <v>2917</v>
      </c>
      <c r="M1182">
        <v>211.81</v>
      </c>
      <c r="N1182" t="s">
        <v>2917</v>
      </c>
      <c r="O1182" t="s">
        <v>2208</v>
      </c>
      <c r="P1182" t="s">
        <v>2208</v>
      </c>
      <c r="Q1182" t="s">
        <v>2208</v>
      </c>
      <c r="R1182" t="s">
        <v>2208</v>
      </c>
    </row>
    <row r="1183" spans="1:18">
      <c r="A1183" t="s">
        <v>7030</v>
      </c>
      <c r="B1183" t="s">
        <v>9126</v>
      </c>
      <c r="C1183">
        <v>45749</v>
      </c>
      <c r="D1183" t="s">
        <v>7263</v>
      </c>
      <c r="E1183" t="s">
        <v>9127</v>
      </c>
      <c r="F1183">
        <v>45747</v>
      </c>
      <c r="G1183" t="s">
        <v>2208</v>
      </c>
      <c r="H1183" t="s">
        <v>7834</v>
      </c>
      <c r="I1183" t="s">
        <v>12087</v>
      </c>
      <c r="J1183">
        <v>0</v>
      </c>
      <c r="K1183">
        <v>2509.35</v>
      </c>
      <c r="L1183" t="s">
        <v>2917</v>
      </c>
      <c r="M1183">
        <v>2509.35</v>
      </c>
      <c r="N1183" t="s">
        <v>2917</v>
      </c>
      <c r="O1183" t="s">
        <v>2208</v>
      </c>
      <c r="P1183" t="s">
        <v>2208</v>
      </c>
      <c r="Q1183" t="s">
        <v>2208</v>
      </c>
      <c r="R1183" t="s">
        <v>2208</v>
      </c>
    </row>
    <row r="1184" spans="1:18">
      <c r="A1184" t="s">
        <v>7030</v>
      </c>
      <c r="B1184" t="s">
        <v>9126</v>
      </c>
      <c r="C1184">
        <v>45749</v>
      </c>
      <c r="D1184" t="s">
        <v>7263</v>
      </c>
      <c r="E1184" t="s">
        <v>9127</v>
      </c>
      <c r="F1184">
        <v>45747</v>
      </c>
      <c r="G1184" t="s">
        <v>2208</v>
      </c>
      <c r="H1184" t="s">
        <v>7834</v>
      </c>
      <c r="I1184" t="s">
        <v>12087</v>
      </c>
      <c r="J1184">
        <v>0</v>
      </c>
      <c r="K1184">
        <v>837.54</v>
      </c>
      <c r="L1184" t="s">
        <v>2917</v>
      </c>
      <c r="M1184">
        <v>837.54</v>
      </c>
      <c r="N1184" t="s">
        <v>2917</v>
      </c>
      <c r="O1184" t="s">
        <v>2208</v>
      </c>
      <c r="P1184" t="s">
        <v>2208</v>
      </c>
      <c r="Q1184" t="s">
        <v>2208</v>
      </c>
      <c r="R1184" t="s">
        <v>2208</v>
      </c>
    </row>
    <row r="1185" spans="1:18">
      <c r="A1185" t="s">
        <v>2681</v>
      </c>
      <c r="B1185" t="s">
        <v>9126</v>
      </c>
      <c r="C1185">
        <v>45749</v>
      </c>
      <c r="D1185" t="s">
        <v>7263</v>
      </c>
      <c r="E1185" t="s">
        <v>9127</v>
      </c>
      <c r="F1185">
        <v>45747</v>
      </c>
      <c r="G1185" t="s">
        <v>2208</v>
      </c>
      <c r="H1185" t="s">
        <v>7834</v>
      </c>
      <c r="I1185" t="s">
        <v>12088</v>
      </c>
      <c r="J1185">
        <v>0</v>
      </c>
      <c r="K1185">
        <v>130.34</v>
      </c>
      <c r="L1185" t="s">
        <v>2917</v>
      </c>
      <c r="M1185">
        <v>130.34</v>
      </c>
      <c r="N1185" t="s">
        <v>2917</v>
      </c>
      <c r="O1185" t="s">
        <v>2208</v>
      </c>
      <c r="P1185" t="s">
        <v>2208</v>
      </c>
      <c r="Q1185" t="s">
        <v>2208</v>
      </c>
      <c r="R1185" t="s">
        <v>2208</v>
      </c>
    </row>
    <row r="1186" spans="1:18">
      <c r="A1186" t="s">
        <v>2886</v>
      </c>
      <c r="B1186" t="s">
        <v>9126</v>
      </c>
      <c r="C1186">
        <v>45749</v>
      </c>
      <c r="D1186" t="s">
        <v>7263</v>
      </c>
      <c r="E1186" t="s">
        <v>9127</v>
      </c>
      <c r="F1186">
        <v>45747</v>
      </c>
      <c r="G1186" t="s">
        <v>2208</v>
      </c>
      <c r="H1186" t="s">
        <v>7834</v>
      </c>
      <c r="I1186" t="s">
        <v>12089</v>
      </c>
      <c r="J1186">
        <v>0</v>
      </c>
      <c r="K1186">
        <v>97.77</v>
      </c>
      <c r="L1186" t="s">
        <v>2917</v>
      </c>
      <c r="M1186">
        <v>97.77</v>
      </c>
      <c r="N1186" t="s">
        <v>2917</v>
      </c>
      <c r="O1186" t="s">
        <v>2208</v>
      </c>
      <c r="P1186" t="s">
        <v>2208</v>
      </c>
      <c r="Q1186" t="s">
        <v>2208</v>
      </c>
      <c r="R1186" t="s">
        <v>2208</v>
      </c>
    </row>
    <row r="1187" spans="1:18">
      <c r="A1187" t="s">
        <v>2237</v>
      </c>
      <c r="B1187" t="s">
        <v>9126</v>
      </c>
      <c r="C1187">
        <v>45749</v>
      </c>
      <c r="D1187" t="s">
        <v>7263</v>
      </c>
      <c r="E1187" t="s">
        <v>9127</v>
      </c>
      <c r="F1187">
        <v>45747</v>
      </c>
      <c r="G1187" t="s">
        <v>2208</v>
      </c>
      <c r="H1187" t="s">
        <v>7834</v>
      </c>
      <c r="I1187" t="s">
        <v>12090</v>
      </c>
      <c r="J1187">
        <v>0</v>
      </c>
      <c r="K1187">
        <v>2509.35</v>
      </c>
      <c r="L1187" t="s">
        <v>2917</v>
      </c>
      <c r="M1187">
        <v>2509.35</v>
      </c>
      <c r="N1187" t="s">
        <v>2917</v>
      </c>
      <c r="O1187" t="s">
        <v>2208</v>
      </c>
      <c r="P1187" t="s">
        <v>2208</v>
      </c>
      <c r="Q1187" t="s">
        <v>2208</v>
      </c>
      <c r="R1187" t="s">
        <v>2208</v>
      </c>
    </row>
    <row r="1188" spans="1:18">
      <c r="A1188" t="s">
        <v>2501</v>
      </c>
      <c r="B1188" t="s">
        <v>9126</v>
      </c>
      <c r="C1188">
        <v>45749</v>
      </c>
      <c r="D1188" t="s">
        <v>7263</v>
      </c>
      <c r="E1188" t="s">
        <v>9127</v>
      </c>
      <c r="F1188">
        <v>45747</v>
      </c>
      <c r="G1188" t="s">
        <v>2208</v>
      </c>
      <c r="H1188" t="s">
        <v>7834</v>
      </c>
      <c r="I1188" t="s">
        <v>12091</v>
      </c>
      <c r="J1188">
        <v>0</v>
      </c>
      <c r="K1188">
        <v>97.77</v>
      </c>
      <c r="L1188" t="s">
        <v>2917</v>
      </c>
      <c r="M1188">
        <v>97.77</v>
      </c>
      <c r="N1188" t="s">
        <v>2917</v>
      </c>
      <c r="O1188" t="s">
        <v>2208</v>
      </c>
      <c r="P1188" t="s">
        <v>2208</v>
      </c>
      <c r="Q1188" t="s">
        <v>2208</v>
      </c>
      <c r="R1188" t="s">
        <v>2208</v>
      </c>
    </row>
    <row r="1189" spans="1:18">
      <c r="A1189" t="s">
        <v>2501</v>
      </c>
      <c r="B1189" t="s">
        <v>9126</v>
      </c>
      <c r="C1189">
        <v>45749</v>
      </c>
      <c r="D1189" t="s">
        <v>7263</v>
      </c>
      <c r="E1189" t="s">
        <v>9127</v>
      </c>
      <c r="F1189">
        <v>45747</v>
      </c>
      <c r="G1189" t="s">
        <v>2208</v>
      </c>
      <c r="H1189" t="s">
        <v>7834</v>
      </c>
      <c r="I1189" t="s">
        <v>12091</v>
      </c>
      <c r="J1189">
        <v>0</v>
      </c>
      <c r="K1189">
        <v>1466.51</v>
      </c>
      <c r="L1189" t="s">
        <v>2917</v>
      </c>
      <c r="M1189">
        <v>1466.51</v>
      </c>
      <c r="N1189" t="s">
        <v>2917</v>
      </c>
      <c r="O1189" t="s">
        <v>2208</v>
      </c>
      <c r="P1189" t="s">
        <v>2208</v>
      </c>
      <c r="Q1189" t="s">
        <v>2208</v>
      </c>
      <c r="R1189" t="s">
        <v>2208</v>
      </c>
    </row>
    <row r="1190" spans="1:18">
      <c r="A1190" t="s">
        <v>2501</v>
      </c>
      <c r="B1190" t="s">
        <v>9126</v>
      </c>
      <c r="C1190">
        <v>45749</v>
      </c>
      <c r="D1190" t="s">
        <v>7263</v>
      </c>
      <c r="E1190" t="s">
        <v>9127</v>
      </c>
      <c r="F1190">
        <v>45747</v>
      </c>
      <c r="G1190" t="s">
        <v>2208</v>
      </c>
      <c r="H1190" t="s">
        <v>7834</v>
      </c>
      <c r="I1190" t="s">
        <v>12092</v>
      </c>
      <c r="J1190">
        <v>0</v>
      </c>
      <c r="K1190">
        <v>97.75</v>
      </c>
      <c r="L1190" t="s">
        <v>2917</v>
      </c>
      <c r="M1190">
        <v>97.75</v>
      </c>
      <c r="N1190" t="s">
        <v>2917</v>
      </c>
      <c r="O1190" t="s">
        <v>2208</v>
      </c>
      <c r="P1190" t="s">
        <v>2208</v>
      </c>
      <c r="Q1190" t="s">
        <v>2208</v>
      </c>
      <c r="R1190" t="s">
        <v>2208</v>
      </c>
    </row>
    <row r="1191" spans="1:18">
      <c r="A1191" t="s">
        <v>2725</v>
      </c>
      <c r="B1191" t="s">
        <v>9126</v>
      </c>
      <c r="C1191">
        <v>45749</v>
      </c>
      <c r="D1191" t="s">
        <v>7263</v>
      </c>
      <c r="E1191" t="s">
        <v>9127</v>
      </c>
      <c r="F1191">
        <v>45747</v>
      </c>
      <c r="G1191" t="s">
        <v>2208</v>
      </c>
      <c r="H1191" t="s">
        <v>7834</v>
      </c>
      <c r="I1191" t="s">
        <v>12093</v>
      </c>
      <c r="J1191">
        <v>0</v>
      </c>
      <c r="K1191">
        <v>16.29</v>
      </c>
      <c r="L1191" t="s">
        <v>2917</v>
      </c>
      <c r="M1191">
        <v>16.29</v>
      </c>
      <c r="N1191" t="s">
        <v>2917</v>
      </c>
      <c r="O1191" t="s">
        <v>2208</v>
      </c>
      <c r="P1191" t="s">
        <v>2208</v>
      </c>
      <c r="Q1191" t="s">
        <v>2208</v>
      </c>
      <c r="R1191" t="s">
        <v>2208</v>
      </c>
    </row>
    <row r="1192" spans="1:18">
      <c r="A1192" t="s">
        <v>2886</v>
      </c>
      <c r="B1192" t="s">
        <v>9126</v>
      </c>
      <c r="C1192">
        <v>45749</v>
      </c>
      <c r="D1192" t="s">
        <v>7263</v>
      </c>
      <c r="E1192" t="s">
        <v>9127</v>
      </c>
      <c r="F1192">
        <v>45747</v>
      </c>
      <c r="G1192" t="s">
        <v>2208</v>
      </c>
      <c r="H1192" t="s">
        <v>7834</v>
      </c>
      <c r="I1192" t="s">
        <v>12094</v>
      </c>
      <c r="J1192">
        <v>0</v>
      </c>
      <c r="K1192">
        <v>16.29</v>
      </c>
      <c r="L1192" t="s">
        <v>2917</v>
      </c>
      <c r="M1192">
        <v>16.29</v>
      </c>
      <c r="N1192" t="s">
        <v>2917</v>
      </c>
      <c r="O1192" t="s">
        <v>2208</v>
      </c>
      <c r="P1192" t="s">
        <v>2208</v>
      </c>
      <c r="Q1192" t="s">
        <v>2208</v>
      </c>
      <c r="R1192" t="s">
        <v>2208</v>
      </c>
    </row>
    <row r="1193" spans="1:18">
      <c r="A1193" t="s">
        <v>6815</v>
      </c>
      <c r="B1193" t="s">
        <v>9126</v>
      </c>
      <c r="C1193">
        <v>45749</v>
      </c>
      <c r="D1193" t="s">
        <v>7263</v>
      </c>
      <c r="E1193" t="s">
        <v>9127</v>
      </c>
      <c r="F1193">
        <v>45747</v>
      </c>
      <c r="G1193" t="s">
        <v>2208</v>
      </c>
      <c r="H1193" t="s">
        <v>7834</v>
      </c>
      <c r="I1193" t="s">
        <v>12095</v>
      </c>
      <c r="J1193">
        <v>0</v>
      </c>
      <c r="K1193">
        <v>81.459999999999994</v>
      </c>
      <c r="L1193" t="s">
        <v>2917</v>
      </c>
      <c r="M1193">
        <v>81.459999999999994</v>
      </c>
      <c r="N1193" t="s">
        <v>2917</v>
      </c>
      <c r="O1193" t="s">
        <v>2208</v>
      </c>
      <c r="P1193" t="s">
        <v>2208</v>
      </c>
      <c r="Q1193" t="s">
        <v>2208</v>
      </c>
      <c r="R1193" t="s">
        <v>2208</v>
      </c>
    </row>
    <row r="1194" spans="1:18">
      <c r="A1194" t="s">
        <v>709</v>
      </c>
      <c r="B1194" t="s">
        <v>11331</v>
      </c>
      <c r="C1194">
        <v>45778</v>
      </c>
      <c r="D1194" t="s">
        <v>7263</v>
      </c>
      <c r="E1194" t="s">
        <v>11332</v>
      </c>
      <c r="F1194">
        <v>45777</v>
      </c>
      <c r="G1194" t="s">
        <v>2208</v>
      </c>
      <c r="H1194" t="s">
        <v>7834</v>
      </c>
      <c r="I1194" t="s">
        <v>16537</v>
      </c>
      <c r="J1194">
        <v>0.5</v>
      </c>
      <c r="K1194">
        <v>52.31</v>
      </c>
      <c r="L1194" t="s">
        <v>2917</v>
      </c>
      <c r="M1194">
        <v>52.31</v>
      </c>
      <c r="N1194" t="s">
        <v>2917</v>
      </c>
      <c r="O1194" t="s">
        <v>2208</v>
      </c>
      <c r="P1194" t="s">
        <v>2208</v>
      </c>
      <c r="Q1194" t="s">
        <v>2208</v>
      </c>
      <c r="R1194" t="s">
        <v>2208</v>
      </c>
    </row>
    <row r="1195" spans="1:18">
      <c r="A1195" t="s">
        <v>709</v>
      </c>
      <c r="B1195" t="s">
        <v>11331</v>
      </c>
      <c r="C1195">
        <v>45778</v>
      </c>
      <c r="D1195" t="s">
        <v>7263</v>
      </c>
      <c r="E1195" t="s">
        <v>11332</v>
      </c>
      <c r="F1195">
        <v>45777</v>
      </c>
      <c r="G1195" t="s">
        <v>2208</v>
      </c>
      <c r="H1195" t="s">
        <v>7834</v>
      </c>
      <c r="I1195" t="s">
        <v>16538</v>
      </c>
      <c r="J1195">
        <v>1.25</v>
      </c>
      <c r="K1195">
        <v>130.76</v>
      </c>
      <c r="L1195" t="s">
        <v>2917</v>
      </c>
      <c r="M1195">
        <v>130.76</v>
      </c>
      <c r="N1195" t="s">
        <v>2917</v>
      </c>
      <c r="O1195" t="s">
        <v>2208</v>
      </c>
      <c r="P1195" t="s">
        <v>2208</v>
      </c>
      <c r="Q1195" t="s">
        <v>2208</v>
      </c>
      <c r="R1195" t="s">
        <v>2208</v>
      </c>
    </row>
    <row r="1196" spans="1:18">
      <c r="A1196" t="s">
        <v>810</v>
      </c>
      <c r="B1196" t="s">
        <v>11331</v>
      </c>
      <c r="C1196">
        <v>45778</v>
      </c>
      <c r="D1196" t="s">
        <v>7263</v>
      </c>
      <c r="E1196" t="s">
        <v>11332</v>
      </c>
      <c r="F1196">
        <v>45777</v>
      </c>
      <c r="G1196" t="s">
        <v>2208</v>
      </c>
      <c r="H1196" t="s">
        <v>7834</v>
      </c>
      <c r="I1196" t="s">
        <v>16539</v>
      </c>
      <c r="J1196">
        <v>4</v>
      </c>
      <c r="K1196">
        <v>418.44</v>
      </c>
      <c r="L1196" t="s">
        <v>2917</v>
      </c>
      <c r="M1196">
        <v>418.44</v>
      </c>
      <c r="N1196" t="s">
        <v>2917</v>
      </c>
      <c r="O1196" t="s">
        <v>2208</v>
      </c>
      <c r="P1196" t="s">
        <v>2208</v>
      </c>
      <c r="Q1196" t="s">
        <v>2208</v>
      </c>
      <c r="R1196" t="s">
        <v>2208</v>
      </c>
    </row>
    <row r="1197" spans="1:18">
      <c r="A1197" t="s">
        <v>810</v>
      </c>
      <c r="B1197" t="s">
        <v>11331</v>
      </c>
      <c r="C1197">
        <v>45778</v>
      </c>
      <c r="D1197" t="s">
        <v>7263</v>
      </c>
      <c r="E1197" t="s">
        <v>11332</v>
      </c>
      <c r="F1197">
        <v>45777</v>
      </c>
      <c r="G1197" t="s">
        <v>2208</v>
      </c>
      <c r="H1197" t="s">
        <v>7834</v>
      </c>
      <c r="I1197" t="s">
        <v>16540</v>
      </c>
      <c r="J1197">
        <v>1</v>
      </c>
      <c r="K1197">
        <v>104.61</v>
      </c>
      <c r="L1197" t="s">
        <v>2917</v>
      </c>
      <c r="M1197">
        <v>104.61</v>
      </c>
      <c r="N1197" t="s">
        <v>2917</v>
      </c>
      <c r="O1197" t="s">
        <v>2208</v>
      </c>
      <c r="P1197" t="s">
        <v>2208</v>
      </c>
      <c r="Q1197" t="s">
        <v>2208</v>
      </c>
      <c r="R1197" t="s">
        <v>2208</v>
      </c>
    </row>
    <row r="1198" spans="1:18">
      <c r="A1198" t="s">
        <v>810</v>
      </c>
      <c r="B1198" t="s">
        <v>11331</v>
      </c>
      <c r="C1198">
        <v>45778</v>
      </c>
      <c r="D1198" t="s">
        <v>7263</v>
      </c>
      <c r="E1198" t="s">
        <v>11332</v>
      </c>
      <c r="F1198">
        <v>45777</v>
      </c>
      <c r="G1198" t="s">
        <v>2208</v>
      </c>
      <c r="H1198" t="s">
        <v>7834</v>
      </c>
      <c r="I1198" t="s">
        <v>16541</v>
      </c>
      <c r="J1198">
        <v>1</v>
      </c>
      <c r="K1198">
        <v>104.61</v>
      </c>
      <c r="L1198" t="s">
        <v>2917</v>
      </c>
      <c r="M1198">
        <v>104.61</v>
      </c>
      <c r="N1198" t="s">
        <v>2917</v>
      </c>
      <c r="O1198" t="s">
        <v>2208</v>
      </c>
      <c r="P1198" t="s">
        <v>2208</v>
      </c>
      <c r="Q1198" t="s">
        <v>2208</v>
      </c>
      <c r="R1198" t="s">
        <v>2208</v>
      </c>
    </row>
    <row r="1199" spans="1:18">
      <c r="A1199" t="s">
        <v>1095</v>
      </c>
      <c r="B1199" t="s">
        <v>11331</v>
      </c>
      <c r="C1199">
        <v>45778</v>
      </c>
      <c r="D1199" t="s">
        <v>7263</v>
      </c>
      <c r="E1199" t="s">
        <v>11332</v>
      </c>
      <c r="F1199">
        <v>45777</v>
      </c>
      <c r="G1199" t="s">
        <v>2208</v>
      </c>
      <c r="H1199" t="s">
        <v>7834</v>
      </c>
      <c r="I1199" t="s">
        <v>16542</v>
      </c>
      <c r="J1199">
        <v>1</v>
      </c>
      <c r="K1199">
        <v>104.61</v>
      </c>
      <c r="L1199" t="s">
        <v>2917</v>
      </c>
      <c r="M1199">
        <v>104.61</v>
      </c>
      <c r="N1199" t="s">
        <v>2917</v>
      </c>
      <c r="O1199" t="s">
        <v>2208</v>
      </c>
      <c r="P1199" t="s">
        <v>2208</v>
      </c>
      <c r="Q1199" t="s">
        <v>2208</v>
      </c>
      <c r="R1199" t="s">
        <v>2208</v>
      </c>
    </row>
    <row r="1200" spans="1:18">
      <c r="A1200" t="s">
        <v>2237</v>
      </c>
      <c r="B1200" t="s">
        <v>11331</v>
      </c>
      <c r="C1200">
        <v>45778</v>
      </c>
      <c r="D1200" t="s">
        <v>7263</v>
      </c>
      <c r="E1200" t="s">
        <v>11332</v>
      </c>
      <c r="F1200">
        <v>45777</v>
      </c>
      <c r="G1200" t="s">
        <v>2208</v>
      </c>
      <c r="H1200" t="s">
        <v>7834</v>
      </c>
      <c r="I1200" t="s">
        <v>16543</v>
      </c>
      <c r="J1200">
        <v>1</v>
      </c>
      <c r="K1200">
        <v>104.61</v>
      </c>
      <c r="L1200" t="s">
        <v>2917</v>
      </c>
      <c r="M1200">
        <v>104.61</v>
      </c>
      <c r="N1200" t="s">
        <v>2917</v>
      </c>
      <c r="O1200" t="s">
        <v>2208</v>
      </c>
      <c r="P1200" t="s">
        <v>2208</v>
      </c>
      <c r="Q1200" t="s">
        <v>2208</v>
      </c>
      <c r="R1200" t="s">
        <v>2208</v>
      </c>
    </row>
    <row r="1201" spans="1:18">
      <c r="A1201" t="s">
        <v>2237</v>
      </c>
      <c r="B1201" t="s">
        <v>11331</v>
      </c>
      <c r="C1201">
        <v>45778</v>
      </c>
      <c r="D1201" t="s">
        <v>7263</v>
      </c>
      <c r="E1201" t="s">
        <v>11332</v>
      </c>
      <c r="F1201">
        <v>45777</v>
      </c>
      <c r="G1201" t="s">
        <v>2208</v>
      </c>
      <c r="H1201" t="s">
        <v>7834</v>
      </c>
      <c r="I1201" t="s">
        <v>16544</v>
      </c>
      <c r="J1201">
        <v>1</v>
      </c>
      <c r="K1201">
        <v>104.61</v>
      </c>
      <c r="L1201" t="s">
        <v>2917</v>
      </c>
      <c r="M1201">
        <v>104.61</v>
      </c>
      <c r="N1201" t="s">
        <v>2917</v>
      </c>
      <c r="O1201" t="s">
        <v>2208</v>
      </c>
      <c r="P1201" t="s">
        <v>2208</v>
      </c>
      <c r="Q1201" t="s">
        <v>2208</v>
      </c>
      <c r="R1201" t="s">
        <v>2208</v>
      </c>
    </row>
    <row r="1202" spans="1:18">
      <c r="A1202" t="s">
        <v>2237</v>
      </c>
      <c r="B1202" t="s">
        <v>11331</v>
      </c>
      <c r="C1202">
        <v>45778</v>
      </c>
      <c r="D1202" t="s">
        <v>7263</v>
      </c>
      <c r="E1202" t="s">
        <v>11332</v>
      </c>
      <c r="F1202">
        <v>45777</v>
      </c>
      <c r="G1202" t="s">
        <v>2208</v>
      </c>
      <c r="H1202" t="s">
        <v>7834</v>
      </c>
      <c r="I1202" t="s">
        <v>16545</v>
      </c>
      <c r="J1202">
        <v>1</v>
      </c>
      <c r="K1202">
        <v>104.61</v>
      </c>
      <c r="L1202" t="s">
        <v>2917</v>
      </c>
      <c r="M1202">
        <v>104.61</v>
      </c>
      <c r="N1202" t="s">
        <v>2917</v>
      </c>
      <c r="O1202" t="s">
        <v>2208</v>
      </c>
      <c r="P1202" t="s">
        <v>2208</v>
      </c>
      <c r="Q1202" t="s">
        <v>2208</v>
      </c>
      <c r="R1202" t="s">
        <v>2208</v>
      </c>
    </row>
    <row r="1203" spans="1:18">
      <c r="A1203" t="s">
        <v>2237</v>
      </c>
      <c r="B1203" t="s">
        <v>11331</v>
      </c>
      <c r="C1203">
        <v>45778</v>
      </c>
      <c r="D1203" t="s">
        <v>7263</v>
      </c>
      <c r="E1203" t="s">
        <v>11332</v>
      </c>
      <c r="F1203">
        <v>45777</v>
      </c>
      <c r="G1203" t="s">
        <v>2208</v>
      </c>
      <c r="H1203" t="s">
        <v>7834</v>
      </c>
      <c r="I1203" t="s">
        <v>16546</v>
      </c>
      <c r="J1203">
        <v>1.1000000000000001</v>
      </c>
      <c r="K1203">
        <v>115.07</v>
      </c>
      <c r="L1203" t="s">
        <v>2917</v>
      </c>
      <c r="M1203">
        <v>115.07</v>
      </c>
      <c r="N1203" t="s">
        <v>2917</v>
      </c>
      <c r="O1203" t="s">
        <v>2208</v>
      </c>
      <c r="P1203" t="s">
        <v>2208</v>
      </c>
      <c r="Q1203" t="s">
        <v>2208</v>
      </c>
      <c r="R1203" t="s">
        <v>2208</v>
      </c>
    </row>
    <row r="1204" spans="1:18">
      <c r="A1204" t="s">
        <v>2237</v>
      </c>
      <c r="B1204" t="s">
        <v>11331</v>
      </c>
      <c r="C1204">
        <v>45778</v>
      </c>
      <c r="D1204" t="s">
        <v>7263</v>
      </c>
      <c r="E1204" t="s">
        <v>11332</v>
      </c>
      <c r="F1204">
        <v>45777</v>
      </c>
      <c r="G1204" t="s">
        <v>2208</v>
      </c>
      <c r="H1204" t="s">
        <v>7834</v>
      </c>
      <c r="I1204" t="s">
        <v>16547</v>
      </c>
      <c r="J1204">
        <v>0.75</v>
      </c>
      <c r="K1204">
        <v>78.459999999999994</v>
      </c>
      <c r="L1204" t="s">
        <v>2917</v>
      </c>
      <c r="M1204">
        <v>78.459999999999994</v>
      </c>
      <c r="N1204" t="s">
        <v>2917</v>
      </c>
      <c r="O1204" t="s">
        <v>2208</v>
      </c>
      <c r="P1204" t="s">
        <v>2208</v>
      </c>
      <c r="Q1204" t="s">
        <v>2208</v>
      </c>
      <c r="R1204" t="s">
        <v>2208</v>
      </c>
    </row>
    <row r="1205" spans="1:18">
      <c r="A1205" t="s">
        <v>2237</v>
      </c>
      <c r="B1205" t="s">
        <v>11331</v>
      </c>
      <c r="C1205">
        <v>45778</v>
      </c>
      <c r="D1205" t="s">
        <v>7263</v>
      </c>
      <c r="E1205" t="s">
        <v>11332</v>
      </c>
      <c r="F1205">
        <v>45777</v>
      </c>
      <c r="G1205" t="s">
        <v>2208</v>
      </c>
      <c r="H1205" t="s">
        <v>7834</v>
      </c>
      <c r="I1205" t="s">
        <v>16548</v>
      </c>
      <c r="J1205">
        <v>1</v>
      </c>
      <c r="K1205">
        <v>104.61</v>
      </c>
      <c r="L1205" t="s">
        <v>2917</v>
      </c>
      <c r="M1205">
        <v>104.61</v>
      </c>
      <c r="N1205" t="s">
        <v>2917</v>
      </c>
      <c r="O1205" t="s">
        <v>2208</v>
      </c>
      <c r="P1205" t="s">
        <v>2208</v>
      </c>
      <c r="Q1205" t="s">
        <v>2208</v>
      </c>
      <c r="R1205" t="s">
        <v>2208</v>
      </c>
    </row>
    <row r="1206" spans="1:18">
      <c r="A1206" t="s">
        <v>2237</v>
      </c>
      <c r="B1206" t="s">
        <v>11331</v>
      </c>
      <c r="C1206">
        <v>45778</v>
      </c>
      <c r="D1206" t="s">
        <v>7263</v>
      </c>
      <c r="E1206" t="s">
        <v>11332</v>
      </c>
      <c r="F1206">
        <v>45777</v>
      </c>
      <c r="G1206" t="s">
        <v>2208</v>
      </c>
      <c r="H1206" t="s">
        <v>7834</v>
      </c>
      <c r="I1206" t="s">
        <v>16549</v>
      </c>
      <c r="J1206">
        <v>1</v>
      </c>
      <c r="K1206">
        <v>104.61</v>
      </c>
      <c r="L1206" t="s">
        <v>2917</v>
      </c>
      <c r="M1206">
        <v>104.61</v>
      </c>
      <c r="N1206" t="s">
        <v>2917</v>
      </c>
      <c r="O1206" t="s">
        <v>2208</v>
      </c>
      <c r="P1206" t="s">
        <v>2208</v>
      </c>
      <c r="Q1206" t="s">
        <v>2208</v>
      </c>
      <c r="R1206" t="s">
        <v>2208</v>
      </c>
    </row>
    <row r="1207" spans="1:18">
      <c r="A1207" t="s">
        <v>2237</v>
      </c>
      <c r="B1207" t="s">
        <v>11331</v>
      </c>
      <c r="C1207">
        <v>45778</v>
      </c>
      <c r="D1207" t="s">
        <v>7263</v>
      </c>
      <c r="E1207" t="s">
        <v>11332</v>
      </c>
      <c r="F1207">
        <v>45777</v>
      </c>
      <c r="G1207" t="s">
        <v>2208</v>
      </c>
      <c r="H1207" t="s">
        <v>7834</v>
      </c>
      <c r="I1207" t="s">
        <v>16550</v>
      </c>
      <c r="J1207">
        <v>1</v>
      </c>
      <c r="K1207">
        <v>104.61</v>
      </c>
      <c r="L1207" t="s">
        <v>2917</v>
      </c>
      <c r="M1207">
        <v>104.61</v>
      </c>
      <c r="N1207" t="s">
        <v>2917</v>
      </c>
      <c r="O1207" t="s">
        <v>2208</v>
      </c>
      <c r="P1207" t="s">
        <v>2208</v>
      </c>
      <c r="Q1207" t="s">
        <v>2208</v>
      </c>
      <c r="R1207" t="s">
        <v>2208</v>
      </c>
    </row>
    <row r="1208" spans="1:18">
      <c r="A1208" t="s">
        <v>2237</v>
      </c>
      <c r="B1208" t="s">
        <v>11331</v>
      </c>
      <c r="C1208">
        <v>45778</v>
      </c>
      <c r="D1208" t="s">
        <v>7263</v>
      </c>
      <c r="E1208" t="s">
        <v>11332</v>
      </c>
      <c r="F1208">
        <v>45777</v>
      </c>
      <c r="G1208" t="s">
        <v>2208</v>
      </c>
      <c r="H1208" t="s">
        <v>7834</v>
      </c>
      <c r="I1208" t="s">
        <v>16551</v>
      </c>
      <c r="J1208">
        <v>1</v>
      </c>
      <c r="K1208">
        <v>104.61</v>
      </c>
      <c r="L1208" t="s">
        <v>2917</v>
      </c>
      <c r="M1208">
        <v>104.61</v>
      </c>
      <c r="N1208" t="s">
        <v>2917</v>
      </c>
      <c r="O1208" t="s">
        <v>2208</v>
      </c>
      <c r="P1208" t="s">
        <v>2208</v>
      </c>
      <c r="Q1208" t="s">
        <v>2208</v>
      </c>
      <c r="R1208" t="s">
        <v>2208</v>
      </c>
    </row>
    <row r="1209" spans="1:18">
      <c r="A1209" t="s">
        <v>2237</v>
      </c>
      <c r="B1209" t="s">
        <v>11331</v>
      </c>
      <c r="C1209">
        <v>45778</v>
      </c>
      <c r="D1209" t="s">
        <v>7263</v>
      </c>
      <c r="E1209" t="s">
        <v>11332</v>
      </c>
      <c r="F1209">
        <v>45777</v>
      </c>
      <c r="G1209" t="s">
        <v>2208</v>
      </c>
      <c r="H1209" t="s">
        <v>7834</v>
      </c>
      <c r="I1209" t="s">
        <v>16552</v>
      </c>
      <c r="J1209">
        <v>1</v>
      </c>
      <c r="K1209">
        <v>104.61</v>
      </c>
      <c r="L1209" t="s">
        <v>2917</v>
      </c>
      <c r="M1209">
        <v>104.61</v>
      </c>
      <c r="N1209" t="s">
        <v>2917</v>
      </c>
      <c r="O1209" t="s">
        <v>2208</v>
      </c>
      <c r="P1209" t="s">
        <v>2208</v>
      </c>
      <c r="Q1209" t="s">
        <v>2208</v>
      </c>
      <c r="R1209" t="s">
        <v>2208</v>
      </c>
    </row>
    <row r="1210" spans="1:18">
      <c r="A1210" t="s">
        <v>2237</v>
      </c>
      <c r="B1210" t="s">
        <v>11331</v>
      </c>
      <c r="C1210">
        <v>45778</v>
      </c>
      <c r="D1210" t="s">
        <v>7263</v>
      </c>
      <c r="E1210" t="s">
        <v>11332</v>
      </c>
      <c r="F1210">
        <v>45777</v>
      </c>
      <c r="G1210" t="s">
        <v>2208</v>
      </c>
      <c r="H1210" t="s">
        <v>7834</v>
      </c>
      <c r="I1210" t="s">
        <v>16553</v>
      </c>
      <c r="J1210">
        <v>1</v>
      </c>
      <c r="K1210">
        <v>104.61</v>
      </c>
      <c r="L1210" t="s">
        <v>2917</v>
      </c>
      <c r="M1210">
        <v>104.61</v>
      </c>
      <c r="N1210" t="s">
        <v>2917</v>
      </c>
      <c r="O1210" t="s">
        <v>2208</v>
      </c>
      <c r="P1210" t="s">
        <v>2208</v>
      </c>
      <c r="Q1210" t="s">
        <v>2208</v>
      </c>
      <c r="R1210" t="s">
        <v>2208</v>
      </c>
    </row>
    <row r="1211" spans="1:18">
      <c r="A1211" t="s">
        <v>2237</v>
      </c>
      <c r="B1211" t="s">
        <v>11331</v>
      </c>
      <c r="C1211">
        <v>45778</v>
      </c>
      <c r="D1211" t="s">
        <v>7263</v>
      </c>
      <c r="E1211" t="s">
        <v>11332</v>
      </c>
      <c r="F1211">
        <v>45777</v>
      </c>
      <c r="G1211" t="s">
        <v>2208</v>
      </c>
      <c r="H1211" t="s">
        <v>7834</v>
      </c>
      <c r="I1211" t="s">
        <v>16554</v>
      </c>
      <c r="J1211">
        <v>1</v>
      </c>
      <c r="K1211">
        <v>104.61</v>
      </c>
      <c r="L1211" t="s">
        <v>2917</v>
      </c>
      <c r="M1211">
        <v>104.61</v>
      </c>
      <c r="N1211" t="s">
        <v>2917</v>
      </c>
      <c r="O1211" t="s">
        <v>2208</v>
      </c>
      <c r="P1211" t="s">
        <v>2208</v>
      </c>
      <c r="Q1211" t="s">
        <v>2208</v>
      </c>
      <c r="R1211" t="s">
        <v>2208</v>
      </c>
    </row>
    <row r="1212" spans="1:18">
      <c r="A1212" t="s">
        <v>2237</v>
      </c>
      <c r="B1212" t="s">
        <v>11331</v>
      </c>
      <c r="C1212">
        <v>45778</v>
      </c>
      <c r="D1212" t="s">
        <v>7263</v>
      </c>
      <c r="E1212" t="s">
        <v>11332</v>
      </c>
      <c r="F1212">
        <v>45777</v>
      </c>
      <c r="G1212" t="s">
        <v>2208</v>
      </c>
      <c r="H1212" t="s">
        <v>7834</v>
      </c>
      <c r="I1212" t="s">
        <v>16555</v>
      </c>
      <c r="J1212">
        <v>1</v>
      </c>
      <c r="K1212">
        <v>104.61</v>
      </c>
      <c r="L1212" t="s">
        <v>2917</v>
      </c>
      <c r="M1212">
        <v>104.61</v>
      </c>
      <c r="N1212" t="s">
        <v>2917</v>
      </c>
      <c r="O1212" t="s">
        <v>2208</v>
      </c>
      <c r="P1212" t="s">
        <v>2208</v>
      </c>
      <c r="Q1212" t="s">
        <v>2208</v>
      </c>
      <c r="R1212" t="s">
        <v>2208</v>
      </c>
    </row>
    <row r="1213" spans="1:18">
      <c r="A1213" t="s">
        <v>2237</v>
      </c>
      <c r="B1213" t="s">
        <v>11331</v>
      </c>
      <c r="C1213">
        <v>45778</v>
      </c>
      <c r="D1213" t="s">
        <v>7263</v>
      </c>
      <c r="E1213" t="s">
        <v>11332</v>
      </c>
      <c r="F1213">
        <v>45777</v>
      </c>
      <c r="G1213" t="s">
        <v>2208</v>
      </c>
      <c r="H1213" t="s">
        <v>7834</v>
      </c>
      <c r="I1213" t="s">
        <v>16556</v>
      </c>
      <c r="J1213">
        <v>1</v>
      </c>
      <c r="K1213">
        <v>104.61</v>
      </c>
      <c r="L1213" t="s">
        <v>2917</v>
      </c>
      <c r="M1213">
        <v>104.61</v>
      </c>
      <c r="N1213" t="s">
        <v>2917</v>
      </c>
      <c r="O1213" t="s">
        <v>2208</v>
      </c>
      <c r="P1213" t="s">
        <v>2208</v>
      </c>
      <c r="Q1213" t="s">
        <v>2208</v>
      </c>
      <c r="R1213" t="s">
        <v>2208</v>
      </c>
    </row>
    <row r="1214" spans="1:18">
      <c r="A1214" t="s">
        <v>2237</v>
      </c>
      <c r="B1214" t="s">
        <v>11331</v>
      </c>
      <c r="C1214">
        <v>45778</v>
      </c>
      <c r="D1214" t="s">
        <v>7263</v>
      </c>
      <c r="E1214" t="s">
        <v>11332</v>
      </c>
      <c r="F1214">
        <v>45777</v>
      </c>
      <c r="G1214" t="s">
        <v>2208</v>
      </c>
      <c r="H1214" t="s">
        <v>7834</v>
      </c>
      <c r="I1214" t="s">
        <v>16557</v>
      </c>
      <c r="J1214">
        <v>1</v>
      </c>
      <c r="K1214">
        <v>104.61</v>
      </c>
      <c r="L1214" t="s">
        <v>2917</v>
      </c>
      <c r="M1214">
        <v>104.61</v>
      </c>
      <c r="N1214" t="s">
        <v>2917</v>
      </c>
      <c r="O1214" t="s">
        <v>2208</v>
      </c>
      <c r="P1214" t="s">
        <v>2208</v>
      </c>
      <c r="Q1214" t="s">
        <v>2208</v>
      </c>
      <c r="R1214" t="s">
        <v>2208</v>
      </c>
    </row>
    <row r="1215" spans="1:18">
      <c r="A1215" t="s">
        <v>2237</v>
      </c>
      <c r="B1215" t="s">
        <v>11331</v>
      </c>
      <c r="C1215">
        <v>45778</v>
      </c>
      <c r="D1215" t="s">
        <v>7263</v>
      </c>
      <c r="E1215" t="s">
        <v>11332</v>
      </c>
      <c r="F1215">
        <v>45777</v>
      </c>
      <c r="G1215" t="s">
        <v>2208</v>
      </c>
      <c r="H1215" t="s">
        <v>7834</v>
      </c>
      <c r="I1215" t="s">
        <v>16558</v>
      </c>
      <c r="J1215">
        <v>1</v>
      </c>
      <c r="K1215">
        <v>104.61</v>
      </c>
      <c r="L1215" t="s">
        <v>2917</v>
      </c>
      <c r="M1215">
        <v>104.61</v>
      </c>
      <c r="N1215" t="s">
        <v>2917</v>
      </c>
      <c r="O1215" t="s">
        <v>2208</v>
      </c>
      <c r="P1215" t="s">
        <v>2208</v>
      </c>
      <c r="Q1215" t="s">
        <v>2208</v>
      </c>
      <c r="R1215" t="s">
        <v>2208</v>
      </c>
    </row>
    <row r="1216" spans="1:18">
      <c r="A1216" t="s">
        <v>2237</v>
      </c>
      <c r="B1216" t="s">
        <v>11331</v>
      </c>
      <c r="C1216">
        <v>45778</v>
      </c>
      <c r="D1216" t="s">
        <v>7263</v>
      </c>
      <c r="E1216" t="s">
        <v>11332</v>
      </c>
      <c r="F1216">
        <v>45777</v>
      </c>
      <c r="G1216" t="s">
        <v>2208</v>
      </c>
      <c r="H1216" t="s">
        <v>7834</v>
      </c>
      <c r="I1216" t="s">
        <v>16559</v>
      </c>
      <c r="J1216">
        <v>1</v>
      </c>
      <c r="K1216">
        <v>104.61</v>
      </c>
      <c r="L1216" t="s">
        <v>2917</v>
      </c>
      <c r="M1216">
        <v>104.61</v>
      </c>
      <c r="N1216" t="s">
        <v>2917</v>
      </c>
      <c r="O1216" t="s">
        <v>2208</v>
      </c>
      <c r="P1216" t="s">
        <v>2208</v>
      </c>
      <c r="Q1216" t="s">
        <v>2208</v>
      </c>
      <c r="R1216" t="s">
        <v>2208</v>
      </c>
    </row>
    <row r="1217" spans="1:18">
      <c r="A1217" t="s">
        <v>2237</v>
      </c>
      <c r="B1217" t="s">
        <v>11331</v>
      </c>
      <c r="C1217">
        <v>45778</v>
      </c>
      <c r="D1217" t="s">
        <v>7263</v>
      </c>
      <c r="E1217" t="s">
        <v>11332</v>
      </c>
      <c r="F1217">
        <v>45777</v>
      </c>
      <c r="G1217" t="s">
        <v>2208</v>
      </c>
      <c r="H1217" t="s">
        <v>7834</v>
      </c>
      <c r="I1217" t="s">
        <v>16560</v>
      </c>
      <c r="J1217">
        <v>1.3</v>
      </c>
      <c r="K1217">
        <v>135.99</v>
      </c>
      <c r="L1217" t="s">
        <v>2917</v>
      </c>
      <c r="M1217">
        <v>135.99</v>
      </c>
      <c r="N1217" t="s">
        <v>2917</v>
      </c>
      <c r="O1217" t="s">
        <v>2208</v>
      </c>
      <c r="P1217" t="s">
        <v>2208</v>
      </c>
      <c r="Q1217" t="s">
        <v>2208</v>
      </c>
      <c r="R1217" t="s">
        <v>2208</v>
      </c>
    </row>
    <row r="1218" spans="1:18">
      <c r="A1218" t="s">
        <v>2237</v>
      </c>
      <c r="B1218" t="s">
        <v>11331</v>
      </c>
      <c r="C1218">
        <v>45778</v>
      </c>
      <c r="D1218" t="s">
        <v>7263</v>
      </c>
      <c r="E1218" t="s">
        <v>11332</v>
      </c>
      <c r="F1218">
        <v>45777</v>
      </c>
      <c r="G1218" t="s">
        <v>2208</v>
      </c>
      <c r="H1218" t="s">
        <v>7834</v>
      </c>
      <c r="I1218" t="s">
        <v>16561</v>
      </c>
      <c r="J1218">
        <v>2</v>
      </c>
      <c r="K1218">
        <v>209.22</v>
      </c>
      <c r="L1218" t="s">
        <v>2917</v>
      </c>
      <c r="M1218">
        <v>209.22</v>
      </c>
      <c r="N1218" t="s">
        <v>2917</v>
      </c>
      <c r="O1218" t="s">
        <v>2208</v>
      </c>
      <c r="P1218" t="s">
        <v>2208</v>
      </c>
      <c r="Q1218" t="s">
        <v>2208</v>
      </c>
      <c r="R1218" t="s">
        <v>2208</v>
      </c>
    </row>
    <row r="1219" spans="1:18">
      <c r="A1219" t="s">
        <v>2237</v>
      </c>
      <c r="B1219" t="s">
        <v>11331</v>
      </c>
      <c r="C1219">
        <v>45778</v>
      </c>
      <c r="D1219" t="s">
        <v>7263</v>
      </c>
      <c r="E1219" t="s">
        <v>11332</v>
      </c>
      <c r="F1219">
        <v>45777</v>
      </c>
      <c r="G1219" t="s">
        <v>2208</v>
      </c>
      <c r="H1219" t="s">
        <v>7834</v>
      </c>
      <c r="I1219" t="s">
        <v>16562</v>
      </c>
      <c r="J1219">
        <v>1</v>
      </c>
      <c r="K1219">
        <v>104.61</v>
      </c>
      <c r="L1219" t="s">
        <v>2917</v>
      </c>
      <c r="M1219">
        <v>104.61</v>
      </c>
      <c r="N1219" t="s">
        <v>2917</v>
      </c>
      <c r="O1219" t="s">
        <v>2208</v>
      </c>
      <c r="P1219" t="s">
        <v>2208</v>
      </c>
      <c r="Q1219" t="s">
        <v>2208</v>
      </c>
      <c r="R1219" t="s">
        <v>2208</v>
      </c>
    </row>
    <row r="1220" spans="1:18">
      <c r="A1220" t="s">
        <v>2237</v>
      </c>
      <c r="B1220" t="s">
        <v>11331</v>
      </c>
      <c r="C1220">
        <v>45778</v>
      </c>
      <c r="D1220" t="s">
        <v>7263</v>
      </c>
      <c r="E1220" t="s">
        <v>11332</v>
      </c>
      <c r="F1220">
        <v>45777</v>
      </c>
      <c r="G1220" t="s">
        <v>2208</v>
      </c>
      <c r="H1220" t="s">
        <v>7834</v>
      </c>
      <c r="I1220" t="s">
        <v>16563</v>
      </c>
      <c r="J1220">
        <v>2</v>
      </c>
      <c r="K1220">
        <v>209.22</v>
      </c>
      <c r="L1220" t="s">
        <v>2917</v>
      </c>
      <c r="M1220">
        <v>209.22</v>
      </c>
      <c r="N1220" t="s">
        <v>2917</v>
      </c>
      <c r="O1220" t="s">
        <v>2208</v>
      </c>
      <c r="P1220" t="s">
        <v>2208</v>
      </c>
      <c r="Q1220" t="s">
        <v>2208</v>
      </c>
      <c r="R1220" t="s">
        <v>2208</v>
      </c>
    </row>
    <row r="1221" spans="1:18">
      <c r="A1221" t="s">
        <v>2237</v>
      </c>
      <c r="B1221" t="s">
        <v>11331</v>
      </c>
      <c r="C1221">
        <v>45778</v>
      </c>
      <c r="D1221" t="s">
        <v>7263</v>
      </c>
      <c r="E1221" t="s">
        <v>11332</v>
      </c>
      <c r="F1221">
        <v>45777</v>
      </c>
      <c r="G1221" t="s">
        <v>2208</v>
      </c>
      <c r="H1221" t="s">
        <v>7834</v>
      </c>
      <c r="I1221" t="s">
        <v>16564</v>
      </c>
      <c r="J1221">
        <v>2</v>
      </c>
      <c r="K1221">
        <v>209.22</v>
      </c>
      <c r="L1221" t="s">
        <v>2917</v>
      </c>
      <c r="M1221">
        <v>209.22</v>
      </c>
      <c r="N1221" t="s">
        <v>2917</v>
      </c>
      <c r="O1221" t="s">
        <v>2208</v>
      </c>
      <c r="P1221" t="s">
        <v>2208</v>
      </c>
      <c r="Q1221" t="s">
        <v>2208</v>
      </c>
      <c r="R1221" t="s">
        <v>2208</v>
      </c>
    </row>
    <row r="1222" spans="1:18">
      <c r="A1222" t="s">
        <v>2237</v>
      </c>
      <c r="B1222" t="s">
        <v>11331</v>
      </c>
      <c r="C1222">
        <v>45778</v>
      </c>
      <c r="D1222" t="s">
        <v>7263</v>
      </c>
      <c r="E1222" t="s">
        <v>11332</v>
      </c>
      <c r="F1222">
        <v>45777</v>
      </c>
      <c r="G1222" t="s">
        <v>2208</v>
      </c>
      <c r="H1222" t="s">
        <v>7834</v>
      </c>
      <c r="I1222" t="s">
        <v>16565</v>
      </c>
      <c r="J1222">
        <v>2</v>
      </c>
      <c r="K1222">
        <v>209.22</v>
      </c>
      <c r="L1222" t="s">
        <v>2917</v>
      </c>
      <c r="M1222">
        <v>209.22</v>
      </c>
      <c r="N1222" t="s">
        <v>2917</v>
      </c>
      <c r="O1222" t="s">
        <v>2208</v>
      </c>
      <c r="P1222" t="s">
        <v>2208</v>
      </c>
      <c r="Q1222" t="s">
        <v>2208</v>
      </c>
      <c r="R1222" t="s">
        <v>2208</v>
      </c>
    </row>
    <row r="1223" spans="1:18">
      <c r="A1223" t="s">
        <v>2237</v>
      </c>
      <c r="B1223" t="s">
        <v>11331</v>
      </c>
      <c r="C1223">
        <v>45778</v>
      </c>
      <c r="D1223" t="s">
        <v>7263</v>
      </c>
      <c r="E1223" t="s">
        <v>11332</v>
      </c>
      <c r="F1223">
        <v>45777</v>
      </c>
      <c r="G1223" t="s">
        <v>2208</v>
      </c>
      <c r="H1223" t="s">
        <v>7834</v>
      </c>
      <c r="I1223" t="s">
        <v>16566</v>
      </c>
      <c r="J1223">
        <v>0.1</v>
      </c>
      <c r="K1223">
        <v>10.46</v>
      </c>
      <c r="L1223" t="s">
        <v>2917</v>
      </c>
      <c r="M1223">
        <v>10.46</v>
      </c>
      <c r="N1223" t="s">
        <v>2917</v>
      </c>
      <c r="O1223" t="s">
        <v>2208</v>
      </c>
      <c r="P1223" t="s">
        <v>2208</v>
      </c>
      <c r="Q1223" t="s">
        <v>2208</v>
      </c>
      <c r="R1223" t="s">
        <v>2208</v>
      </c>
    </row>
    <row r="1224" spans="1:18">
      <c r="A1224" t="s">
        <v>2237</v>
      </c>
      <c r="B1224" t="s">
        <v>11331</v>
      </c>
      <c r="C1224">
        <v>45778</v>
      </c>
      <c r="D1224" t="s">
        <v>7263</v>
      </c>
      <c r="E1224" t="s">
        <v>11332</v>
      </c>
      <c r="F1224">
        <v>45777</v>
      </c>
      <c r="G1224" t="s">
        <v>2208</v>
      </c>
      <c r="H1224" t="s">
        <v>7834</v>
      </c>
      <c r="I1224" t="s">
        <v>16567</v>
      </c>
      <c r="J1224">
        <v>2</v>
      </c>
      <c r="K1224">
        <v>209.22</v>
      </c>
      <c r="L1224" t="s">
        <v>2917</v>
      </c>
      <c r="M1224">
        <v>209.22</v>
      </c>
      <c r="N1224" t="s">
        <v>2917</v>
      </c>
      <c r="O1224" t="s">
        <v>2208</v>
      </c>
      <c r="P1224" t="s">
        <v>2208</v>
      </c>
      <c r="Q1224" t="s">
        <v>2208</v>
      </c>
      <c r="R1224" t="s">
        <v>2208</v>
      </c>
    </row>
    <row r="1225" spans="1:18">
      <c r="A1225" t="s">
        <v>2237</v>
      </c>
      <c r="B1225" t="s">
        <v>11331</v>
      </c>
      <c r="C1225">
        <v>45778</v>
      </c>
      <c r="D1225" t="s">
        <v>7263</v>
      </c>
      <c r="E1225" t="s">
        <v>11332</v>
      </c>
      <c r="F1225">
        <v>45777</v>
      </c>
      <c r="G1225" t="s">
        <v>2208</v>
      </c>
      <c r="H1225" t="s">
        <v>7834</v>
      </c>
      <c r="I1225" t="s">
        <v>16568</v>
      </c>
      <c r="J1225">
        <v>1</v>
      </c>
      <c r="K1225">
        <v>104.61</v>
      </c>
      <c r="L1225" t="s">
        <v>2917</v>
      </c>
      <c r="M1225">
        <v>104.61</v>
      </c>
      <c r="N1225" t="s">
        <v>2917</v>
      </c>
      <c r="O1225" t="s">
        <v>2208</v>
      </c>
      <c r="P1225" t="s">
        <v>2208</v>
      </c>
      <c r="Q1225" t="s">
        <v>2208</v>
      </c>
      <c r="R1225" t="s">
        <v>2208</v>
      </c>
    </row>
    <row r="1226" spans="1:18">
      <c r="A1226" t="s">
        <v>2237</v>
      </c>
      <c r="B1226" t="s">
        <v>11331</v>
      </c>
      <c r="C1226">
        <v>45778</v>
      </c>
      <c r="D1226" t="s">
        <v>7263</v>
      </c>
      <c r="E1226" t="s">
        <v>11332</v>
      </c>
      <c r="F1226">
        <v>45777</v>
      </c>
      <c r="G1226" t="s">
        <v>2208</v>
      </c>
      <c r="H1226" t="s">
        <v>7834</v>
      </c>
      <c r="I1226" t="s">
        <v>16569</v>
      </c>
      <c r="J1226">
        <v>2</v>
      </c>
      <c r="K1226">
        <v>209.22</v>
      </c>
      <c r="L1226" t="s">
        <v>2917</v>
      </c>
      <c r="M1226">
        <v>209.22</v>
      </c>
      <c r="N1226" t="s">
        <v>2917</v>
      </c>
      <c r="O1226" t="s">
        <v>2208</v>
      </c>
      <c r="P1226" t="s">
        <v>2208</v>
      </c>
      <c r="Q1226" t="s">
        <v>2208</v>
      </c>
      <c r="R1226" t="s">
        <v>2208</v>
      </c>
    </row>
    <row r="1227" spans="1:18">
      <c r="A1227" t="s">
        <v>2237</v>
      </c>
      <c r="B1227" t="s">
        <v>11331</v>
      </c>
      <c r="C1227">
        <v>45778</v>
      </c>
      <c r="D1227" t="s">
        <v>7263</v>
      </c>
      <c r="E1227" t="s">
        <v>11332</v>
      </c>
      <c r="F1227">
        <v>45777</v>
      </c>
      <c r="G1227" t="s">
        <v>2208</v>
      </c>
      <c r="H1227" t="s">
        <v>7834</v>
      </c>
      <c r="I1227" t="s">
        <v>16570</v>
      </c>
      <c r="J1227">
        <v>3</v>
      </c>
      <c r="K1227">
        <v>313.83</v>
      </c>
      <c r="L1227" t="s">
        <v>2917</v>
      </c>
      <c r="M1227">
        <v>313.83</v>
      </c>
      <c r="N1227" t="s">
        <v>2917</v>
      </c>
      <c r="O1227" t="s">
        <v>2208</v>
      </c>
      <c r="P1227" t="s">
        <v>2208</v>
      </c>
      <c r="Q1227" t="s">
        <v>2208</v>
      </c>
      <c r="R1227" t="s">
        <v>2208</v>
      </c>
    </row>
    <row r="1228" spans="1:18">
      <c r="A1228" t="s">
        <v>2237</v>
      </c>
      <c r="B1228" t="s">
        <v>11331</v>
      </c>
      <c r="C1228">
        <v>45778</v>
      </c>
      <c r="D1228" t="s">
        <v>7263</v>
      </c>
      <c r="E1228" t="s">
        <v>11332</v>
      </c>
      <c r="F1228">
        <v>45777</v>
      </c>
      <c r="G1228" t="s">
        <v>2208</v>
      </c>
      <c r="H1228" t="s">
        <v>7834</v>
      </c>
      <c r="I1228" t="s">
        <v>16571</v>
      </c>
      <c r="J1228">
        <v>3</v>
      </c>
      <c r="K1228">
        <v>313.83</v>
      </c>
      <c r="L1228" t="s">
        <v>2917</v>
      </c>
      <c r="M1228">
        <v>313.83</v>
      </c>
      <c r="N1228" t="s">
        <v>2917</v>
      </c>
      <c r="O1228" t="s">
        <v>2208</v>
      </c>
      <c r="P1228" t="s">
        <v>2208</v>
      </c>
      <c r="Q1228" t="s">
        <v>2208</v>
      </c>
      <c r="R1228" t="s">
        <v>2208</v>
      </c>
    </row>
    <row r="1229" spans="1:18">
      <c r="A1229" t="s">
        <v>2237</v>
      </c>
      <c r="B1229" t="s">
        <v>11331</v>
      </c>
      <c r="C1229">
        <v>45778</v>
      </c>
      <c r="D1229" t="s">
        <v>7263</v>
      </c>
      <c r="E1229" t="s">
        <v>11332</v>
      </c>
      <c r="F1229">
        <v>45777</v>
      </c>
      <c r="G1229" t="s">
        <v>2208</v>
      </c>
      <c r="H1229" t="s">
        <v>7834</v>
      </c>
      <c r="I1229" t="s">
        <v>16572</v>
      </c>
      <c r="J1229">
        <v>2</v>
      </c>
      <c r="K1229">
        <v>209.22</v>
      </c>
      <c r="L1229" t="s">
        <v>2917</v>
      </c>
      <c r="M1229">
        <v>209.22</v>
      </c>
      <c r="N1229" t="s">
        <v>2917</v>
      </c>
      <c r="O1229" t="s">
        <v>2208</v>
      </c>
      <c r="P1229" t="s">
        <v>2208</v>
      </c>
      <c r="Q1229" t="s">
        <v>2208</v>
      </c>
      <c r="R1229" t="s">
        <v>2208</v>
      </c>
    </row>
    <row r="1230" spans="1:18">
      <c r="A1230" t="s">
        <v>2237</v>
      </c>
      <c r="B1230" t="s">
        <v>11331</v>
      </c>
      <c r="C1230">
        <v>45778</v>
      </c>
      <c r="D1230" t="s">
        <v>7263</v>
      </c>
      <c r="E1230" t="s">
        <v>11332</v>
      </c>
      <c r="F1230">
        <v>45777</v>
      </c>
      <c r="G1230" t="s">
        <v>2208</v>
      </c>
      <c r="H1230" t="s">
        <v>7834</v>
      </c>
      <c r="I1230" t="s">
        <v>16573</v>
      </c>
      <c r="J1230">
        <v>1</v>
      </c>
      <c r="K1230">
        <v>104.61</v>
      </c>
      <c r="L1230" t="s">
        <v>2917</v>
      </c>
      <c r="M1230">
        <v>104.61</v>
      </c>
      <c r="N1230" t="s">
        <v>2917</v>
      </c>
      <c r="O1230" t="s">
        <v>2208</v>
      </c>
      <c r="P1230" t="s">
        <v>2208</v>
      </c>
      <c r="Q1230" t="s">
        <v>2208</v>
      </c>
      <c r="R1230" t="s">
        <v>2208</v>
      </c>
    </row>
    <row r="1231" spans="1:18">
      <c r="A1231" t="s">
        <v>2237</v>
      </c>
      <c r="B1231" t="s">
        <v>11331</v>
      </c>
      <c r="C1231">
        <v>45778</v>
      </c>
      <c r="D1231" t="s">
        <v>7263</v>
      </c>
      <c r="E1231" t="s">
        <v>11332</v>
      </c>
      <c r="F1231">
        <v>45777</v>
      </c>
      <c r="G1231" t="s">
        <v>2208</v>
      </c>
      <c r="H1231" t="s">
        <v>7834</v>
      </c>
      <c r="I1231" t="s">
        <v>16574</v>
      </c>
      <c r="J1231">
        <v>1</v>
      </c>
      <c r="K1231">
        <v>104.61</v>
      </c>
      <c r="L1231" t="s">
        <v>2917</v>
      </c>
      <c r="M1231">
        <v>104.61</v>
      </c>
      <c r="N1231" t="s">
        <v>2917</v>
      </c>
      <c r="O1231" t="s">
        <v>2208</v>
      </c>
      <c r="P1231" t="s">
        <v>2208</v>
      </c>
      <c r="Q1231" t="s">
        <v>2208</v>
      </c>
      <c r="R1231" t="s">
        <v>2208</v>
      </c>
    </row>
    <row r="1232" spans="1:18">
      <c r="A1232" t="s">
        <v>2237</v>
      </c>
      <c r="B1232" t="s">
        <v>11331</v>
      </c>
      <c r="C1232">
        <v>45778</v>
      </c>
      <c r="D1232" t="s">
        <v>7263</v>
      </c>
      <c r="E1232" t="s">
        <v>11332</v>
      </c>
      <c r="F1232">
        <v>45777</v>
      </c>
      <c r="G1232" t="s">
        <v>2208</v>
      </c>
      <c r="H1232" t="s">
        <v>7834</v>
      </c>
      <c r="I1232" t="s">
        <v>16575</v>
      </c>
      <c r="J1232">
        <v>1</v>
      </c>
      <c r="K1232">
        <v>104.61</v>
      </c>
      <c r="L1232" t="s">
        <v>2917</v>
      </c>
      <c r="M1232">
        <v>104.61</v>
      </c>
      <c r="N1232" t="s">
        <v>2917</v>
      </c>
      <c r="O1232" t="s">
        <v>2208</v>
      </c>
      <c r="P1232" t="s">
        <v>2208</v>
      </c>
      <c r="Q1232" t="s">
        <v>2208</v>
      </c>
      <c r="R1232" t="s">
        <v>2208</v>
      </c>
    </row>
    <row r="1233" spans="1:18">
      <c r="A1233" t="s">
        <v>2237</v>
      </c>
      <c r="B1233" t="s">
        <v>11331</v>
      </c>
      <c r="C1233">
        <v>45778</v>
      </c>
      <c r="D1233" t="s">
        <v>7263</v>
      </c>
      <c r="E1233" t="s">
        <v>11332</v>
      </c>
      <c r="F1233">
        <v>45777</v>
      </c>
      <c r="G1233" t="s">
        <v>2208</v>
      </c>
      <c r="H1233" t="s">
        <v>7834</v>
      </c>
      <c r="I1233" t="s">
        <v>16576</v>
      </c>
      <c r="J1233">
        <v>1</v>
      </c>
      <c r="K1233">
        <v>104.61</v>
      </c>
      <c r="L1233" t="s">
        <v>2917</v>
      </c>
      <c r="M1233">
        <v>104.61</v>
      </c>
      <c r="N1233" t="s">
        <v>2917</v>
      </c>
      <c r="O1233" t="s">
        <v>2208</v>
      </c>
      <c r="P1233" t="s">
        <v>2208</v>
      </c>
      <c r="Q1233" t="s">
        <v>2208</v>
      </c>
      <c r="R1233" t="s">
        <v>2208</v>
      </c>
    </row>
    <row r="1234" spans="1:18">
      <c r="A1234" t="s">
        <v>2237</v>
      </c>
      <c r="B1234" t="s">
        <v>11331</v>
      </c>
      <c r="C1234">
        <v>45778</v>
      </c>
      <c r="D1234" t="s">
        <v>7263</v>
      </c>
      <c r="E1234" t="s">
        <v>11332</v>
      </c>
      <c r="F1234">
        <v>45777</v>
      </c>
      <c r="G1234" t="s">
        <v>2208</v>
      </c>
      <c r="H1234" t="s">
        <v>7834</v>
      </c>
      <c r="I1234" t="s">
        <v>16577</v>
      </c>
      <c r="J1234">
        <v>2</v>
      </c>
      <c r="K1234">
        <v>209.22</v>
      </c>
      <c r="L1234" t="s">
        <v>2917</v>
      </c>
      <c r="M1234">
        <v>209.22</v>
      </c>
      <c r="N1234" t="s">
        <v>2917</v>
      </c>
      <c r="O1234" t="s">
        <v>2208</v>
      </c>
      <c r="P1234" t="s">
        <v>2208</v>
      </c>
      <c r="Q1234" t="s">
        <v>2208</v>
      </c>
      <c r="R1234" t="s">
        <v>2208</v>
      </c>
    </row>
    <row r="1235" spans="1:18">
      <c r="A1235" t="s">
        <v>2237</v>
      </c>
      <c r="B1235" t="s">
        <v>11331</v>
      </c>
      <c r="C1235">
        <v>45778</v>
      </c>
      <c r="D1235" t="s">
        <v>7263</v>
      </c>
      <c r="E1235" t="s">
        <v>11332</v>
      </c>
      <c r="F1235">
        <v>45777</v>
      </c>
      <c r="G1235" t="s">
        <v>2208</v>
      </c>
      <c r="H1235" t="s">
        <v>7834</v>
      </c>
      <c r="I1235" t="s">
        <v>16578</v>
      </c>
      <c r="J1235">
        <v>2</v>
      </c>
      <c r="K1235">
        <v>209.22</v>
      </c>
      <c r="L1235" t="s">
        <v>2917</v>
      </c>
      <c r="M1235">
        <v>209.22</v>
      </c>
      <c r="N1235" t="s">
        <v>2917</v>
      </c>
      <c r="O1235" t="s">
        <v>2208</v>
      </c>
      <c r="P1235" t="s">
        <v>2208</v>
      </c>
      <c r="Q1235" t="s">
        <v>2208</v>
      </c>
      <c r="R1235" t="s">
        <v>2208</v>
      </c>
    </row>
    <row r="1236" spans="1:18">
      <c r="A1236" t="s">
        <v>2237</v>
      </c>
      <c r="B1236" t="s">
        <v>11331</v>
      </c>
      <c r="C1236">
        <v>45778</v>
      </c>
      <c r="D1236" t="s">
        <v>7263</v>
      </c>
      <c r="E1236" t="s">
        <v>11332</v>
      </c>
      <c r="F1236">
        <v>45777</v>
      </c>
      <c r="G1236" t="s">
        <v>2208</v>
      </c>
      <c r="H1236" t="s">
        <v>7834</v>
      </c>
      <c r="I1236" t="s">
        <v>16579</v>
      </c>
      <c r="J1236">
        <v>2</v>
      </c>
      <c r="K1236">
        <v>209.22</v>
      </c>
      <c r="L1236" t="s">
        <v>2917</v>
      </c>
      <c r="M1236">
        <v>209.22</v>
      </c>
      <c r="N1236" t="s">
        <v>2917</v>
      </c>
      <c r="O1236" t="s">
        <v>2208</v>
      </c>
      <c r="P1236" t="s">
        <v>2208</v>
      </c>
      <c r="Q1236" t="s">
        <v>2208</v>
      </c>
      <c r="R1236" t="s">
        <v>2208</v>
      </c>
    </row>
    <row r="1237" spans="1:18">
      <c r="A1237" t="s">
        <v>2237</v>
      </c>
      <c r="B1237" t="s">
        <v>11331</v>
      </c>
      <c r="C1237">
        <v>45778</v>
      </c>
      <c r="D1237" t="s">
        <v>7263</v>
      </c>
      <c r="E1237" t="s">
        <v>11332</v>
      </c>
      <c r="F1237">
        <v>45777</v>
      </c>
      <c r="G1237" t="s">
        <v>2208</v>
      </c>
      <c r="H1237" t="s">
        <v>7834</v>
      </c>
      <c r="I1237" t="s">
        <v>16580</v>
      </c>
      <c r="J1237">
        <v>2</v>
      </c>
      <c r="K1237">
        <v>209.22</v>
      </c>
      <c r="L1237" t="s">
        <v>2917</v>
      </c>
      <c r="M1237">
        <v>209.22</v>
      </c>
      <c r="N1237" t="s">
        <v>2917</v>
      </c>
      <c r="O1237" t="s">
        <v>2208</v>
      </c>
      <c r="P1237" t="s">
        <v>2208</v>
      </c>
      <c r="Q1237" t="s">
        <v>2208</v>
      </c>
      <c r="R1237" t="s">
        <v>2208</v>
      </c>
    </row>
    <row r="1238" spans="1:18">
      <c r="A1238" t="s">
        <v>2237</v>
      </c>
      <c r="B1238" t="s">
        <v>11331</v>
      </c>
      <c r="C1238">
        <v>45778</v>
      </c>
      <c r="D1238" t="s">
        <v>7263</v>
      </c>
      <c r="E1238" t="s">
        <v>11332</v>
      </c>
      <c r="F1238">
        <v>45777</v>
      </c>
      <c r="G1238" t="s">
        <v>2208</v>
      </c>
      <c r="H1238" t="s">
        <v>7834</v>
      </c>
      <c r="I1238" t="s">
        <v>16581</v>
      </c>
      <c r="J1238">
        <v>1</v>
      </c>
      <c r="K1238">
        <v>104.61</v>
      </c>
      <c r="L1238" t="s">
        <v>2917</v>
      </c>
      <c r="M1238">
        <v>104.61</v>
      </c>
      <c r="N1238" t="s">
        <v>2917</v>
      </c>
      <c r="O1238" t="s">
        <v>2208</v>
      </c>
      <c r="P1238" t="s">
        <v>2208</v>
      </c>
      <c r="Q1238" t="s">
        <v>2208</v>
      </c>
      <c r="R1238" t="s">
        <v>2208</v>
      </c>
    </row>
    <row r="1239" spans="1:18">
      <c r="A1239" t="s">
        <v>2237</v>
      </c>
      <c r="B1239" t="s">
        <v>11331</v>
      </c>
      <c r="C1239">
        <v>45778</v>
      </c>
      <c r="D1239" t="s">
        <v>7263</v>
      </c>
      <c r="E1239" t="s">
        <v>11332</v>
      </c>
      <c r="F1239">
        <v>45777</v>
      </c>
      <c r="G1239" t="s">
        <v>2208</v>
      </c>
      <c r="H1239" t="s">
        <v>7834</v>
      </c>
      <c r="I1239" t="s">
        <v>16582</v>
      </c>
      <c r="J1239">
        <v>1</v>
      </c>
      <c r="K1239">
        <v>104.61</v>
      </c>
      <c r="L1239" t="s">
        <v>2917</v>
      </c>
      <c r="M1239">
        <v>104.61</v>
      </c>
      <c r="N1239" t="s">
        <v>2917</v>
      </c>
      <c r="O1239" t="s">
        <v>2208</v>
      </c>
      <c r="P1239" t="s">
        <v>2208</v>
      </c>
      <c r="Q1239" t="s">
        <v>2208</v>
      </c>
      <c r="R1239" t="s">
        <v>2208</v>
      </c>
    </row>
    <row r="1240" spans="1:18">
      <c r="A1240" t="s">
        <v>2237</v>
      </c>
      <c r="B1240" t="s">
        <v>11331</v>
      </c>
      <c r="C1240">
        <v>45778</v>
      </c>
      <c r="D1240" t="s">
        <v>7263</v>
      </c>
      <c r="E1240" t="s">
        <v>11332</v>
      </c>
      <c r="F1240">
        <v>45777</v>
      </c>
      <c r="G1240" t="s">
        <v>2208</v>
      </c>
      <c r="H1240" t="s">
        <v>7834</v>
      </c>
      <c r="I1240" t="s">
        <v>16583</v>
      </c>
      <c r="J1240">
        <v>3</v>
      </c>
      <c r="K1240">
        <v>313.83</v>
      </c>
      <c r="L1240" t="s">
        <v>2917</v>
      </c>
      <c r="M1240">
        <v>313.83</v>
      </c>
      <c r="N1240" t="s">
        <v>2917</v>
      </c>
      <c r="O1240" t="s">
        <v>2208</v>
      </c>
      <c r="P1240" t="s">
        <v>2208</v>
      </c>
      <c r="Q1240" t="s">
        <v>2208</v>
      </c>
      <c r="R1240" t="s">
        <v>2208</v>
      </c>
    </row>
    <row r="1241" spans="1:18">
      <c r="A1241" t="s">
        <v>2237</v>
      </c>
      <c r="B1241" t="s">
        <v>11331</v>
      </c>
      <c r="C1241">
        <v>45778</v>
      </c>
      <c r="D1241" t="s">
        <v>7263</v>
      </c>
      <c r="E1241" t="s">
        <v>11332</v>
      </c>
      <c r="F1241">
        <v>45777</v>
      </c>
      <c r="G1241" t="s">
        <v>2208</v>
      </c>
      <c r="H1241" t="s">
        <v>7834</v>
      </c>
      <c r="I1241" t="s">
        <v>16584</v>
      </c>
      <c r="J1241">
        <v>1</v>
      </c>
      <c r="K1241">
        <v>104.61</v>
      </c>
      <c r="L1241" t="s">
        <v>2917</v>
      </c>
      <c r="M1241">
        <v>104.61</v>
      </c>
      <c r="N1241" t="s">
        <v>2917</v>
      </c>
      <c r="O1241" t="s">
        <v>2208</v>
      </c>
      <c r="P1241" t="s">
        <v>2208</v>
      </c>
      <c r="Q1241" t="s">
        <v>2208</v>
      </c>
      <c r="R1241" t="s">
        <v>2208</v>
      </c>
    </row>
    <row r="1242" spans="1:18">
      <c r="A1242" t="s">
        <v>2237</v>
      </c>
      <c r="B1242" t="s">
        <v>11331</v>
      </c>
      <c r="C1242">
        <v>45778</v>
      </c>
      <c r="D1242" t="s">
        <v>7263</v>
      </c>
      <c r="E1242" t="s">
        <v>11332</v>
      </c>
      <c r="F1242">
        <v>45777</v>
      </c>
      <c r="G1242" t="s">
        <v>2208</v>
      </c>
      <c r="H1242" t="s">
        <v>7834</v>
      </c>
      <c r="I1242" t="s">
        <v>16585</v>
      </c>
      <c r="J1242">
        <v>1</v>
      </c>
      <c r="K1242">
        <v>104.61</v>
      </c>
      <c r="L1242" t="s">
        <v>2917</v>
      </c>
      <c r="M1242">
        <v>104.61</v>
      </c>
      <c r="N1242" t="s">
        <v>2917</v>
      </c>
      <c r="O1242" t="s">
        <v>2208</v>
      </c>
      <c r="P1242" t="s">
        <v>2208</v>
      </c>
      <c r="Q1242" t="s">
        <v>2208</v>
      </c>
      <c r="R1242" t="s">
        <v>2208</v>
      </c>
    </row>
    <row r="1243" spans="1:18">
      <c r="A1243" t="s">
        <v>2237</v>
      </c>
      <c r="B1243" t="s">
        <v>11331</v>
      </c>
      <c r="C1243">
        <v>45778</v>
      </c>
      <c r="D1243" t="s">
        <v>7263</v>
      </c>
      <c r="E1243" t="s">
        <v>11332</v>
      </c>
      <c r="F1243">
        <v>45777</v>
      </c>
      <c r="G1243" t="s">
        <v>2208</v>
      </c>
      <c r="H1243" t="s">
        <v>7834</v>
      </c>
      <c r="I1243" t="s">
        <v>16586</v>
      </c>
      <c r="J1243">
        <v>1</v>
      </c>
      <c r="K1243">
        <v>104.61</v>
      </c>
      <c r="L1243" t="s">
        <v>2917</v>
      </c>
      <c r="M1243">
        <v>104.61</v>
      </c>
      <c r="N1243" t="s">
        <v>2917</v>
      </c>
      <c r="O1243" t="s">
        <v>2208</v>
      </c>
      <c r="P1243" t="s">
        <v>2208</v>
      </c>
      <c r="Q1243" t="s">
        <v>2208</v>
      </c>
      <c r="R1243" t="s">
        <v>2208</v>
      </c>
    </row>
    <row r="1244" spans="1:18">
      <c r="A1244" t="s">
        <v>2237</v>
      </c>
      <c r="B1244" t="s">
        <v>11331</v>
      </c>
      <c r="C1244">
        <v>45778</v>
      </c>
      <c r="D1244" t="s">
        <v>7263</v>
      </c>
      <c r="E1244" t="s">
        <v>11332</v>
      </c>
      <c r="F1244">
        <v>45777</v>
      </c>
      <c r="G1244" t="s">
        <v>2208</v>
      </c>
      <c r="H1244" t="s">
        <v>7834</v>
      </c>
      <c r="I1244" t="s">
        <v>16587</v>
      </c>
      <c r="J1244">
        <v>1</v>
      </c>
      <c r="K1244">
        <v>104.61</v>
      </c>
      <c r="L1244" t="s">
        <v>2917</v>
      </c>
      <c r="M1244">
        <v>104.61</v>
      </c>
      <c r="N1244" t="s">
        <v>2917</v>
      </c>
      <c r="O1244" t="s">
        <v>2208</v>
      </c>
      <c r="P1244" t="s">
        <v>2208</v>
      </c>
      <c r="Q1244" t="s">
        <v>2208</v>
      </c>
      <c r="R1244" t="s">
        <v>2208</v>
      </c>
    </row>
    <row r="1245" spans="1:18">
      <c r="A1245" t="s">
        <v>2237</v>
      </c>
      <c r="B1245" t="s">
        <v>11331</v>
      </c>
      <c r="C1245">
        <v>45778</v>
      </c>
      <c r="D1245" t="s">
        <v>7263</v>
      </c>
      <c r="E1245" t="s">
        <v>11332</v>
      </c>
      <c r="F1245">
        <v>45777</v>
      </c>
      <c r="G1245" t="s">
        <v>2208</v>
      </c>
      <c r="H1245" t="s">
        <v>7834</v>
      </c>
      <c r="I1245" t="s">
        <v>16588</v>
      </c>
      <c r="J1245">
        <v>1</v>
      </c>
      <c r="K1245">
        <v>104.61</v>
      </c>
      <c r="L1245" t="s">
        <v>2917</v>
      </c>
      <c r="M1245">
        <v>104.61</v>
      </c>
      <c r="N1245" t="s">
        <v>2917</v>
      </c>
      <c r="O1245" t="s">
        <v>2208</v>
      </c>
      <c r="P1245" t="s">
        <v>2208</v>
      </c>
      <c r="Q1245" t="s">
        <v>2208</v>
      </c>
      <c r="R1245" t="s">
        <v>2208</v>
      </c>
    </row>
    <row r="1246" spans="1:18">
      <c r="A1246" t="s">
        <v>2237</v>
      </c>
      <c r="B1246" t="s">
        <v>11331</v>
      </c>
      <c r="C1246">
        <v>45778</v>
      </c>
      <c r="D1246" t="s">
        <v>7263</v>
      </c>
      <c r="E1246" t="s">
        <v>11332</v>
      </c>
      <c r="F1246">
        <v>45777</v>
      </c>
      <c r="G1246" t="s">
        <v>2208</v>
      </c>
      <c r="H1246" t="s">
        <v>7834</v>
      </c>
      <c r="I1246" t="s">
        <v>16589</v>
      </c>
      <c r="J1246">
        <v>1</v>
      </c>
      <c r="K1246">
        <v>104.61</v>
      </c>
      <c r="L1246" t="s">
        <v>2917</v>
      </c>
      <c r="M1246">
        <v>104.61</v>
      </c>
      <c r="N1246" t="s">
        <v>2917</v>
      </c>
      <c r="O1246" t="s">
        <v>2208</v>
      </c>
      <c r="P1246" t="s">
        <v>2208</v>
      </c>
      <c r="Q1246" t="s">
        <v>2208</v>
      </c>
      <c r="R1246" t="s">
        <v>2208</v>
      </c>
    </row>
    <row r="1247" spans="1:18">
      <c r="A1247" t="s">
        <v>2237</v>
      </c>
      <c r="B1247" t="s">
        <v>11331</v>
      </c>
      <c r="C1247">
        <v>45778</v>
      </c>
      <c r="D1247" t="s">
        <v>7263</v>
      </c>
      <c r="E1247" t="s">
        <v>11332</v>
      </c>
      <c r="F1247">
        <v>45777</v>
      </c>
      <c r="G1247" t="s">
        <v>2208</v>
      </c>
      <c r="H1247" t="s">
        <v>7834</v>
      </c>
      <c r="I1247" t="s">
        <v>16590</v>
      </c>
      <c r="J1247">
        <v>1</v>
      </c>
      <c r="K1247">
        <v>104.61</v>
      </c>
      <c r="L1247" t="s">
        <v>2917</v>
      </c>
      <c r="M1247">
        <v>104.61</v>
      </c>
      <c r="N1247" t="s">
        <v>2917</v>
      </c>
      <c r="O1247" t="s">
        <v>2208</v>
      </c>
      <c r="P1247" t="s">
        <v>2208</v>
      </c>
      <c r="Q1247" t="s">
        <v>2208</v>
      </c>
      <c r="R1247" t="s">
        <v>2208</v>
      </c>
    </row>
    <row r="1248" spans="1:18">
      <c r="A1248" t="s">
        <v>2237</v>
      </c>
      <c r="B1248" t="s">
        <v>11331</v>
      </c>
      <c r="C1248">
        <v>45778</v>
      </c>
      <c r="D1248" t="s">
        <v>7263</v>
      </c>
      <c r="E1248" t="s">
        <v>11332</v>
      </c>
      <c r="F1248">
        <v>45777</v>
      </c>
      <c r="G1248" t="s">
        <v>2208</v>
      </c>
      <c r="H1248" t="s">
        <v>7834</v>
      </c>
      <c r="I1248" t="s">
        <v>16591</v>
      </c>
      <c r="J1248">
        <v>1</v>
      </c>
      <c r="K1248">
        <v>104.61</v>
      </c>
      <c r="L1248" t="s">
        <v>2917</v>
      </c>
      <c r="M1248">
        <v>104.61</v>
      </c>
      <c r="N1248" t="s">
        <v>2917</v>
      </c>
      <c r="O1248" t="s">
        <v>2208</v>
      </c>
      <c r="P1248" t="s">
        <v>2208</v>
      </c>
      <c r="Q1248" t="s">
        <v>2208</v>
      </c>
      <c r="R1248" t="s">
        <v>2208</v>
      </c>
    </row>
    <row r="1249" spans="1:18">
      <c r="A1249" t="s">
        <v>2237</v>
      </c>
      <c r="B1249" t="s">
        <v>11331</v>
      </c>
      <c r="C1249">
        <v>45778</v>
      </c>
      <c r="D1249" t="s">
        <v>7263</v>
      </c>
      <c r="E1249" t="s">
        <v>11332</v>
      </c>
      <c r="F1249">
        <v>45777</v>
      </c>
      <c r="G1249" t="s">
        <v>2208</v>
      </c>
      <c r="H1249" t="s">
        <v>7834</v>
      </c>
      <c r="I1249" t="s">
        <v>16592</v>
      </c>
      <c r="J1249">
        <v>1</v>
      </c>
      <c r="K1249">
        <v>104.61</v>
      </c>
      <c r="L1249" t="s">
        <v>2917</v>
      </c>
      <c r="M1249">
        <v>104.61</v>
      </c>
      <c r="N1249" t="s">
        <v>2917</v>
      </c>
      <c r="O1249" t="s">
        <v>2208</v>
      </c>
      <c r="P1249" t="s">
        <v>2208</v>
      </c>
      <c r="Q1249" t="s">
        <v>2208</v>
      </c>
      <c r="R1249" t="s">
        <v>2208</v>
      </c>
    </row>
    <row r="1250" spans="1:18">
      <c r="A1250" t="s">
        <v>2237</v>
      </c>
      <c r="B1250" t="s">
        <v>11331</v>
      </c>
      <c r="C1250">
        <v>45778</v>
      </c>
      <c r="D1250" t="s">
        <v>7263</v>
      </c>
      <c r="E1250" t="s">
        <v>11332</v>
      </c>
      <c r="F1250">
        <v>45777</v>
      </c>
      <c r="G1250" t="s">
        <v>2208</v>
      </c>
      <c r="H1250" t="s">
        <v>7834</v>
      </c>
      <c r="I1250" t="s">
        <v>16593</v>
      </c>
      <c r="J1250">
        <v>1</v>
      </c>
      <c r="K1250">
        <v>104.61</v>
      </c>
      <c r="L1250" t="s">
        <v>2917</v>
      </c>
      <c r="M1250">
        <v>104.61</v>
      </c>
      <c r="N1250" t="s">
        <v>2917</v>
      </c>
      <c r="O1250" t="s">
        <v>2208</v>
      </c>
      <c r="P1250" t="s">
        <v>2208</v>
      </c>
      <c r="Q1250" t="s">
        <v>2208</v>
      </c>
      <c r="R1250" t="s">
        <v>2208</v>
      </c>
    </row>
    <row r="1251" spans="1:18">
      <c r="A1251" t="s">
        <v>2237</v>
      </c>
      <c r="B1251" t="s">
        <v>11331</v>
      </c>
      <c r="C1251">
        <v>45778</v>
      </c>
      <c r="D1251" t="s">
        <v>7263</v>
      </c>
      <c r="E1251" t="s">
        <v>11332</v>
      </c>
      <c r="F1251">
        <v>45777</v>
      </c>
      <c r="G1251" t="s">
        <v>2208</v>
      </c>
      <c r="H1251" t="s">
        <v>7834</v>
      </c>
      <c r="I1251" t="s">
        <v>16594</v>
      </c>
      <c r="J1251">
        <v>1</v>
      </c>
      <c r="K1251">
        <v>104.61</v>
      </c>
      <c r="L1251" t="s">
        <v>2917</v>
      </c>
      <c r="M1251">
        <v>104.61</v>
      </c>
      <c r="N1251" t="s">
        <v>2917</v>
      </c>
      <c r="O1251" t="s">
        <v>2208</v>
      </c>
      <c r="P1251" t="s">
        <v>2208</v>
      </c>
      <c r="Q1251" t="s">
        <v>2208</v>
      </c>
      <c r="R1251" t="s">
        <v>2208</v>
      </c>
    </row>
    <row r="1252" spans="1:18">
      <c r="A1252" t="s">
        <v>2418</v>
      </c>
      <c r="B1252" t="s">
        <v>11331</v>
      </c>
      <c r="C1252">
        <v>45778</v>
      </c>
      <c r="D1252" t="s">
        <v>7263</v>
      </c>
      <c r="E1252" t="s">
        <v>11332</v>
      </c>
      <c r="F1252">
        <v>45777</v>
      </c>
      <c r="G1252" t="s">
        <v>2208</v>
      </c>
      <c r="H1252" t="s">
        <v>7834</v>
      </c>
      <c r="I1252" t="s">
        <v>16595</v>
      </c>
      <c r="J1252">
        <v>2</v>
      </c>
      <c r="K1252">
        <v>209.22</v>
      </c>
      <c r="L1252" t="s">
        <v>2917</v>
      </c>
      <c r="M1252">
        <v>209.22</v>
      </c>
      <c r="N1252" t="s">
        <v>2917</v>
      </c>
      <c r="O1252" t="s">
        <v>2208</v>
      </c>
      <c r="P1252" t="s">
        <v>2208</v>
      </c>
      <c r="Q1252" t="s">
        <v>2208</v>
      </c>
      <c r="R1252" t="s">
        <v>2208</v>
      </c>
    </row>
    <row r="1253" spans="1:18">
      <c r="A1253" t="s">
        <v>2418</v>
      </c>
      <c r="B1253" t="s">
        <v>11331</v>
      </c>
      <c r="C1253">
        <v>45778</v>
      </c>
      <c r="D1253" t="s">
        <v>7263</v>
      </c>
      <c r="E1253" t="s">
        <v>11332</v>
      </c>
      <c r="F1253">
        <v>45777</v>
      </c>
      <c r="G1253" t="s">
        <v>2208</v>
      </c>
      <c r="H1253" t="s">
        <v>7834</v>
      </c>
      <c r="I1253" t="s">
        <v>16596</v>
      </c>
      <c r="J1253">
        <v>1</v>
      </c>
      <c r="K1253">
        <v>104.61</v>
      </c>
      <c r="L1253" t="s">
        <v>2917</v>
      </c>
      <c r="M1253">
        <v>104.61</v>
      </c>
      <c r="N1253" t="s">
        <v>2917</v>
      </c>
      <c r="O1253" t="s">
        <v>2208</v>
      </c>
      <c r="P1253" t="s">
        <v>2208</v>
      </c>
      <c r="Q1253" t="s">
        <v>2208</v>
      </c>
      <c r="R1253" t="s">
        <v>2208</v>
      </c>
    </row>
    <row r="1254" spans="1:18">
      <c r="A1254" t="s">
        <v>2418</v>
      </c>
      <c r="B1254" t="s">
        <v>11331</v>
      </c>
      <c r="C1254">
        <v>45778</v>
      </c>
      <c r="D1254" t="s">
        <v>7263</v>
      </c>
      <c r="E1254" t="s">
        <v>11332</v>
      </c>
      <c r="F1254">
        <v>45777</v>
      </c>
      <c r="G1254" t="s">
        <v>2208</v>
      </c>
      <c r="H1254" t="s">
        <v>7834</v>
      </c>
      <c r="I1254" t="s">
        <v>16597</v>
      </c>
      <c r="J1254">
        <v>2</v>
      </c>
      <c r="K1254">
        <v>209.22</v>
      </c>
      <c r="L1254" t="s">
        <v>2917</v>
      </c>
      <c r="M1254">
        <v>209.22</v>
      </c>
      <c r="N1254" t="s">
        <v>2917</v>
      </c>
      <c r="O1254" t="s">
        <v>2208</v>
      </c>
      <c r="P1254" t="s">
        <v>2208</v>
      </c>
      <c r="Q1254" t="s">
        <v>2208</v>
      </c>
      <c r="R1254" t="s">
        <v>2208</v>
      </c>
    </row>
    <row r="1255" spans="1:18">
      <c r="A1255" t="s">
        <v>2418</v>
      </c>
      <c r="B1255" t="s">
        <v>11331</v>
      </c>
      <c r="C1255">
        <v>45778</v>
      </c>
      <c r="D1255" t="s">
        <v>7263</v>
      </c>
      <c r="E1255" t="s">
        <v>11332</v>
      </c>
      <c r="F1255">
        <v>45777</v>
      </c>
      <c r="G1255" t="s">
        <v>2208</v>
      </c>
      <c r="H1255" t="s">
        <v>7834</v>
      </c>
      <c r="I1255" t="s">
        <v>16598</v>
      </c>
      <c r="J1255">
        <v>6</v>
      </c>
      <c r="K1255">
        <v>627.66</v>
      </c>
      <c r="L1255" t="s">
        <v>2917</v>
      </c>
      <c r="M1255">
        <v>627.66</v>
      </c>
      <c r="N1255" t="s">
        <v>2917</v>
      </c>
      <c r="O1255" t="s">
        <v>2208</v>
      </c>
      <c r="P1255" t="s">
        <v>2208</v>
      </c>
      <c r="Q1255" t="s">
        <v>2208</v>
      </c>
      <c r="R1255" t="s">
        <v>2208</v>
      </c>
    </row>
    <row r="1256" spans="1:18">
      <c r="A1256" t="s">
        <v>2418</v>
      </c>
      <c r="B1256" t="s">
        <v>11331</v>
      </c>
      <c r="C1256">
        <v>45778</v>
      </c>
      <c r="D1256" t="s">
        <v>7263</v>
      </c>
      <c r="E1256" t="s">
        <v>11332</v>
      </c>
      <c r="F1256">
        <v>45777</v>
      </c>
      <c r="G1256" t="s">
        <v>2208</v>
      </c>
      <c r="H1256" t="s">
        <v>7834</v>
      </c>
      <c r="I1256" t="s">
        <v>16599</v>
      </c>
      <c r="J1256">
        <v>5</v>
      </c>
      <c r="K1256">
        <v>523.04999999999995</v>
      </c>
      <c r="L1256" t="s">
        <v>2917</v>
      </c>
      <c r="M1256">
        <v>523.04999999999995</v>
      </c>
      <c r="N1256" t="s">
        <v>2917</v>
      </c>
      <c r="O1256" t="s">
        <v>2208</v>
      </c>
      <c r="P1256" t="s">
        <v>2208</v>
      </c>
      <c r="Q1256" t="s">
        <v>2208</v>
      </c>
      <c r="R1256" t="s">
        <v>2208</v>
      </c>
    </row>
    <row r="1257" spans="1:18">
      <c r="A1257" t="s">
        <v>2418</v>
      </c>
      <c r="B1257" t="s">
        <v>11331</v>
      </c>
      <c r="C1257">
        <v>45778</v>
      </c>
      <c r="D1257" t="s">
        <v>7263</v>
      </c>
      <c r="E1257" t="s">
        <v>11332</v>
      </c>
      <c r="F1257">
        <v>45777</v>
      </c>
      <c r="G1257" t="s">
        <v>2208</v>
      </c>
      <c r="H1257" t="s">
        <v>7834</v>
      </c>
      <c r="I1257" t="s">
        <v>16600</v>
      </c>
      <c r="J1257">
        <v>7</v>
      </c>
      <c r="K1257">
        <v>732.27</v>
      </c>
      <c r="L1257" t="s">
        <v>2917</v>
      </c>
      <c r="M1257">
        <v>732.27</v>
      </c>
      <c r="N1257" t="s">
        <v>2917</v>
      </c>
      <c r="O1257" t="s">
        <v>2208</v>
      </c>
      <c r="P1257" t="s">
        <v>2208</v>
      </c>
      <c r="Q1257" t="s">
        <v>2208</v>
      </c>
      <c r="R1257" t="s">
        <v>2208</v>
      </c>
    </row>
    <row r="1258" spans="1:18">
      <c r="A1258" t="s">
        <v>2418</v>
      </c>
      <c r="B1258" t="s">
        <v>11331</v>
      </c>
      <c r="C1258">
        <v>45778</v>
      </c>
      <c r="D1258" t="s">
        <v>7263</v>
      </c>
      <c r="E1258" t="s">
        <v>11332</v>
      </c>
      <c r="F1258">
        <v>45777</v>
      </c>
      <c r="G1258" t="s">
        <v>2208</v>
      </c>
      <c r="H1258" t="s">
        <v>7834</v>
      </c>
      <c r="I1258" t="s">
        <v>16601</v>
      </c>
      <c r="J1258">
        <v>7</v>
      </c>
      <c r="K1258">
        <v>732.27</v>
      </c>
      <c r="L1258" t="s">
        <v>2917</v>
      </c>
      <c r="M1258">
        <v>732.27</v>
      </c>
      <c r="N1258" t="s">
        <v>2917</v>
      </c>
      <c r="O1258" t="s">
        <v>2208</v>
      </c>
      <c r="P1258" t="s">
        <v>2208</v>
      </c>
      <c r="Q1258" t="s">
        <v>2208</v>
      </c>
      <c r="R1258" t="s">
        <v>2208</v>
      </c>
    </row>
    <row r="1259" spans="1:18">
      <c r="A1259" t="s">
        <v>2418</v>
      </c>
      <c r="B1259" t="s">
        <v>11331</v>
      </c>
      <c r="C1259">
        <v>45778</v>
      </c>
      <c r="D1259" t="s">
        <v>7263</v>
      </c>
      <c r="E1259" t="s">
        <v>11332</v>
      </c>
      <c r="F1259">
        <v>45777</v>
      </c>
      <c r="G1259" t="s">
        <v>2208</v>
      </c>
      <c r="H1259" t="s">
        <v>7834</v>
      </c>
      <c r="I1259" t="s">
        <v>16602</v>
      </c>
      <c r="J1259">
        <v>6</v>
      </c>
      <c r="K1259">
        <v>627.66</v>
      </c>
      <c r="L1259" t="s">
        <v>2917</v>
      </c>
      <c r="M1259">
        <v>627.66</v>
      </c>
      <c r="N1259" t="s">
        <v>2917</v>
      </c>
      <c r="O1259" t="s">
        <v>2208</v>
      </c>
      <c r="P1259" t="s">
        <v>2208</v>
      </c>
      <c r="Q1259" t="s">
        <v>2208</v>
      </c>
      <c r="R1259" t="s">
        <v>2208</v>
      </c>
    </row>
    <row r="1260" spans="1:18">
      <c r="A1260" t="s">
        <v>2418</v>
      </c>
      <c r="B1260" t="s">
        <v>11331</v>
      </c>
      <c r="C1260">
        <v>45778</v>
      </c>
      <c r="D1260" t="s">
        <v>7263</v>
      </c>
      <c r="E1260" t="s">
        <v>11332</v>
      </c>
      <c r="F1260">
        <v>45777</v>
      </c>
      <c r="G1260" t="s">
        <v>2208</v>
      </c>
      <c r="H1260" t="s">
        <v>7834</v>
      </c>
      <c r="I1260" t="s">
        <v>16603</v>
      </c>
      <c r="J1260">
        <v>3</v>
      </c>
      <c r="K1260">
        <v>313.83</v>
      </c>
      <c r="L1260" t="s">
        <v>2917</v>
      </c>
      <c r="M1260">
        <v>313.83</v>
      </c>
      <c r="N1260" t="s">
        <v>2917</v>
      </c>
      <c r="O1260" t="s">
        <v>2208</v>
      </c>
      <c r="P1260" t="s">
        <v>2208</v>
      </c>
      <c r="Q1260" t="s">
        <v>2208</v>
      </c>
      <c r="R1260" t="s">
        <v>2208</v>
      </c>
    </row>
    <row r="1261" spans="1:18">
      <c r="A1261" t="s">
        <v>2418</v>
      </c>
      <c r="B1261" t="s">
        <v>11331</v>
      </c>
      <c r="C1261">
        <v>45778</v>
      </c>
      <c r="D1261" t="s">
        <v>7263</v>
      </c>
      <c r="E1261" t="s">
        <v>11332</v>
      </c>
      <c r="F1261">
        <v>45777</v>
      </c>
      <c r="G1261" t="s">
        <v>2208</v>
      </c>
      <c r="H1261" t="s">
        <v>7834</v>
      </c>
      <c r="I1261" t="s">
        <v>16604</v>
      </c>
      <c r="J1261">
        <v>3</v>
      </c>
      <c r="K1261">
        <v>313.83</v>
      </c>
      <c r="L1261" t="s">
        <v>2917</v>
      </c>
      <c r="M1261">
        <v>313.83</v>
      </c>
      <c r="N1261" t="s">
        <v>2917</v>
      </c>
      <c r="O1261" t="s">
        <v>2208</v>
      </c>
      <c r="P1261" t="s">
        <v>2208</v>
      </c>
      <c r="Q1261" t="s">
        <v>2208</v>
      </c>
      <c r="R1261" t="s">
        <v>2208</v>
      </c>
    </row>
    <row r="1262" spans="1:18">
      <c r="A1262" t="s">
        <v>2418</v>
      </c>
      <c r="B1262" t="s">
        <v>11331</v>
      </c>
      <c r="C1262">
        <v>45778</v>
      </c>
      <c r="D1262" t="s">
        <v>7263</v>
      </c>
      <c r="E1262" t="s">
        <v>11332</v>
      </c>
      <c r="F1262">
        <v>45777</v>
      </c>
      <c r="G1262" t="s">
        <v>2208</v>
      </c>
      <c r="H1262" t="s">
        <v>7834</v>
      </c>
      <c r="I1262" t="s">
        <v>16605</v>
      </c>
      <c r="J1262">
        <v>1</v>
      </c>
      <c r="K1262">
        <v>104.61</v>
      </c>
      <c r="L1262" t="s">
        <v>2917</v>
      </c>
      <c r="M1262">
        <v>104.61</v>
      </c>
      <c r="N1262" t="s">
        <v>2917</v>
      </c>
      <c r="O1262" t="s">
        <v>2208</v>
      </c>
      <c r="P1262" t="s">
        <v>2208</v>
      </c>
      <c r="Q1262" t="s">
        <v>2208</v>
      </c>
      <c r="R1262" t="s">
        <v>2208</v>
      </c>
    </row>
    <row r="1263" spans="1:18">
      <c r="A1263" t="s">
        <v>2418</v>
      </c>
      <c r="B1263" t="s">
        <v>11331</v>
      </c>
      <c r="C1263">
        <v>45778</v>
      </c>
      <c r="D1263" t="s">
        <v>7263</v>
      </c>
      <c r="E1263" t="s">
        <v>11332</v>
      </c>
      <c r="F1263">
        <v>45777</v>
      </c>
      <c r="G1263" t="s">
        <v>2208</v>
      </c>
      <c r="H1263" t="s">
        <v>7834</v>
      </c>
      <c r="I1263" t="s">
        <v>16606</v>
      </c>
      <c r="J1263">
        <v>1</v>
      </c>
      <c r="K1263">
        <v>104.61</v>
      </c>
      <c r="L1263" t="s">
        <v>2917</v>
      </c>
      <c r="M1263">
        <v>104.61</v>
      </c>
      <c r="N1263" t="s">
        <v>2917</v>
      </c>
      <c r="O1263" t="s">
        <v>2208</v>
      </c>
      <c r="P1263" t="s">
        <v>2208</v>
      </c>
      <c r="Q1263" t="s">
        <v>2208</v>
      </c>
      <c r="R1263" t="s">
        <v>2208</v>
      </c>
    </row>
    <row r="1264" spans="1:18">
      <c r="A1264" t="s">
        <v>2418</v>
      </c>
      <c r="B1264" t="s">
        <v>11331</v>
      </c>
      <c r="C1264">
        <v>45778</v>
      </c>
      <c r="D1264" t="s">
        <v>7263</v>
      </c>
      <c r="E1264" t="s">
        <v>11332</v>
      </c>
      <c r="F1264">
        <v>45777</v>
      </c>
      <c r="G1264" t="s">
        <v>2208</v>
      </c>
      <c r="H1264" t="s">
        <v>7834</v>
      </c>
      <c r="I1264" t="s">
        <v>16607</v>
      </c>
      <c r="J1264">
        <v>1</v>
      </c>
      <c r="K1264">
        <v>104.61</v>
      </c>
      <c r="L1264" t="s">
        <v>2917</v>
      </c>
      <c r="M1264">
        <v>104.61</v>
      </c>
      <c r="N1264" t="s">
        <v>2917</v>
      </c>
      <c r="O1264" t="s">
        <v>2208</v>
      </c>
      <c r="P1264" t="s">
        <v>2208</v>
      </c>
      <c r="Q1264" t="s">
        <v>2208</v>
      </c>
      <c r="R1264" t="s">
        <v>2208</v>
      </c>
    </row>
    <row r="1265" spans="1:18">
      <c r="A1265" t="s">
        <v>2418</v>
      </c>
      <c r="B1265" t="s">
        <v>11331</v>
      </c>
      <c r="C1265">
        <v>45778</v>
      </c>
      <c r="D1265" t="s">
        <v>7263</v>
      </c>
      <c r="E1265" t="s">
        <v>11332</v>
      </c>
      <c r="F1265">
        <v>45777</v>
      </c>
      <c r="G1265" t="s">
        <v>2208</v>
      </c>
      <c r="H1265" t="s">
        <v>7834</v>
      </c>
      <c r="I1265" t="s">
        <v>16608</v>
      </c>
      <c r="J1265">
        <v>1</v>
      </c>
      <c r="K1265">
        <v>104.61</v>
      </c>
      <c r="L1265" t="s">
        <v>2917</v>
      </c>
      <c r="M1265">
        <v>104.61</v>
      </c>
      <c r="N1265" t="s">
        <v>2917</v>
      </c>
      <c r="O1265" t="s">
        <v>2208</v>
      </c>
      <c r="P1265" t="s">
        <v>2208</v>
      </c>
      <c r="Q1265" t="s">
        <v>2208</v>
      </c>
      <c r="R1265" t="s">
        <v>2208</v>
      </c>
    </row>
    <row r="1266" spans="1:18">
      <c r="A1266" t="s">
        <v>2418</v>
      </c>
      <c r="B1266" t="s">
        <v>11331</v>
      </c>
      <c r="C1266">
        <v>45778</v>
      </c>
      <c r="D1266" t="s">
        <v>7263</v>
      </c>
      <c r="E1266" t="s">
        <v>11332</v>
      </c>
      <c r="F1266">
        <v>45777</v>
      </c>
      <c r="G1266" t="s">
        <v>2208</v>
      </c>
      <c r="H1266" t="s">
        <v>7834</v>
      </c>
      <c r="I1266" t="s">
        <v>16609</v>
      </c>
      <c r="J1266">
        <v>1</v>
      </c>
      <c r="K1266">
        <v>104.61</v>
      </c>
      <c r="L1266" t="s">
        <v>2917</v>
      </c>
      <c r="M1266">
        <v>104.61</v>
      </c>
      <c r="N1266" t="s">
        <v>2917</v>
      </c>
      <c r="O1266" t="s">
        <v>2208</v>
      </c>
      <c r="P1266" t="s">
        <v>2208</v>
      </c>
      <c r="Q1266" t="s">
        <v>2208</v>
      </c>
      <c r="R1266" t="s">
        <v>2208</v>
      </c>
    </row>
    <row r="1267" spans="1:18">
      <c r="A1267" t="s">
        <v>2418</v>
      </c>
      <c r="B1267" t="s">
        <v>11331</v>
      </c>
      <c r="C1267">
        <v>45778</v>
      </c>
      <c r="D1267" t="s">
        <v>7263</v>
      </c>
      <c r="E1267" t="s">
        <v>11332</v>
      </c>
      <c r="F1267">
        <v>45777</v>
      </c>
      <c r="G1267" t="s">
        <v>2208</v>
      </c>
      <c r="H1267" t="s">
        <v>7834</v>
      </c>
      <c r="I1267" t="s">
        <v>16610</v>
      </c>
      <c r="J1267">
        <v>8</v>
      </c>
      <c r="K1267">
        <v>836.88</v>
      </c>
      <c r="L1267" t="s">
        <v>2917</v>
      </c>
      <c r="M1267">
        <v>836.88</v>
      </c>
      <c r="N1267" t="s">
        <v>2917</v>
      </c>
      <c r="O1267" t="s">
        <v>2208</v>
      </c>
      <c r="P1267" t="s">
        <v>2208</v>
      </c>
      <c r="Q1267" t="s">
        <v>2208</v>
      </c>
      <c r="R1267" t="s">
        <v>2208</v>
      </c>
    </row>
    <row r="1268" spans="1:18">
      <c r="A1268" t="s">
        <v>2418</v>
      </c>
      <c r="B1268" t="s">
        <v>11331</v>
      </c>
      <c r="C1268">
        <v>45778</v>
      </c>
      <c r="D1268" t="s">
        <v>7263</v>
      </c>
      <c r="E1268" t="s">
        <v>11332</v>
      </c>
      <c r="F1268">
        <v>45777</v>
      </c>
      <c r="G1268" t="s">
        <v>2208</v>
      </c>
      <c r="H1268" t="s">
        <v>7834</v>
      </c>
      <c r="I1268" t="s">
        <v>16611</v>
      </c>
      <c r="J1268">
        <v>8</v>
      </c>
      <c r="K1268">
        <v>836.88</v>
      </c>
      <c r="L1268" t="s">
        <v>2917</v>
      </c>
      <c r="M1268">
        <v>836.88</v>
      </c>
      <c r="N1268" t="s">
        <v>2917</v>
      </c>
      <c r="O1268" t="s">
        <v>2208</v>
      </c>
      <c r="P1268" t="s">
        <v>2208</v>
      </c>
      <c r="Q1268" t="s">
        <v>2208</v>
      </c>
      <c r="R1268" t="s">
        <v>2208</v>
      </c>
    </row>
    <row r="1269" spans="1:18">
      <c r="A1269" t="s">
        <v>2418</v>
      </c>
      <c r="B1269" t="s">
        <v>11331</v>
      </c>
      <c r="C1269">
        <v>45778</v>
      </c>
      <c r="D1269" t="s">
        <v>7263</v>
      </c>
      <c r="E1269" t="s">
        <v>11332</v>
      </c>
      <c r="F1269">
        <v>45777</v>
      </c>
      <c r="G1269" t="s">
        <v>2208</v>
      </c>
      <c r="H1269" t="s">
        <v>7834</v>
      </c>
      <c r="I1269" t="s">
        <v>16612</v>
      </c>
      <c r="J1269">
        <v>8</v>
      </c>
      <c r="K1269">
        <v>836.88</v>
      </c>
      <c r="L1269" t="s">
        <v>2917</v>
      </c>
      <c r="M1269">
        <v>836.88</v>
      </c>
      <c r="N1269" t="s">
        <v>2917</v>
      </c>
      <c r="O1269" t="s">
        <v>2208</v>
      </c>
      <c r="P1269" t="s">
        <v>2208</v>
      </c>
      <c r="Q1269" t="s">
        <v>2208</v>
      </c>
      <c r="R1269" t="s">
        <v>2208</v>
      </c>
    </row>
    <row r="1270" spans="1:18">
      <c r="A1270" t="s">
        <v>2418</v>
      </c>
      <c r="B1270" t="s">
        <v>11331</v>
      </c>
      <c r="C1270">
        <v>45778</v>
      </c>
      <c r="D1270" t="s">
        <v>7263</v>
      </c>
      <c r="E1270" t="s">
        <v>11332</v>
      </c>
      <c r="F1270">
        <v>45777</v>
      </c>
      <c r="G1270" t="s">
        <v>2208</v>
      </c>
      <c r="H1270" t="s">
        <v>7834</v>
      </c>
      <c r="I1270" t="s">
        <v>16613</v>
      </c>
      <c r="J1270">
        <v>8</v>
      </c>
      <c r="K1270">
        <v>836.88</v>
      </c>
      <c r="L1270" t="s">
        <v>2917</v>
      </c>
      <c r="M1270">
        <v>836.88</v>
      </c>
      <c r="N1270" t="s">
        <v>2917</v>
      </c>
      <c r="O1270" t="s">
        <v>2208</v>
      </c>
      <c r="P1270" t="s">
        <v>2208</v>
      </c>
      <c r="Q1270" t="s">
        <v>2208</v>
      </c>
      <c r="R1270" t="s">
        <v>2208</v>
      </c>
    </row>
    <row r="1271" spans="1:18">
      <c r="A1271" t="s">
        <v>2418</v>
      </c>
      <c r="B1271" t="s">
        <v>11331</v>
      </c>
      <c r="C1271">
        <v>45778</v>
      </c>
      <c r="D1271" t="s">
        <v>7263</v>
      </c>
      <c r="E1271" t="s">
        <v>11332</v>
      </c>
      <c r="F1271">
        <v>45777</v>
      </c>
      <c r="G1271" t="s">
        <v>2208</v>
      </c>
      <c r="H1271" t="s">
        <v>7834</v>
      </c>
      <c r="I1271" t="s">
        <v>16614</v>
      </c>
      <c r="J1271">
        <v>2</v>
      </c>
      <c r="K1271">
        <v>209.22</v>
      </c>
      <c r="L1271" t="s">
        <v>2917</v>
      </c>
      <c r="M1271">
        <v>209.22</v>
      </c>
      <c r="N1271" t="s">
        <v>2917</v>
      </c>
      <c r="O1271" t="s">
        <v>2208</v>
      </c>
      <c r="P1271" t="s">
        <v>2208</v>
      </c>
      <c r="Q1271" t="s">
        <v>2208</v>
      </c>
      <c r="R1271" t="s">
        <v>2208</v>
      </c>
    </row>
    <row r="1272" spans="1:18">
      <c r="A1272" t="s">
        <v>2418</v>
      </c>
      <c r="B1272" t="s">
        <v>11331</v>
      </c>
      <c r="C1272">
        <v>45778</v>
      </c>
      <c r="D1272" t="s">
        <v>7263</v>
      </c>
      <c r="E1272" t="s">
        <v>11332</v>
      </c>
      <c r="F1272">
        <v>45777</v>
      </c>
      <c r="G1272" t="s">
        <v>2208</v>
      </c>
      <c r="H1272" t="s">
        <v>7834</v>
      </c>
      <c r="I1272" t="s">
        <v>16615</v>
      </c>
      <c r="J1272">
        <v>3</v>
      </c>
      <c r="K1272">
        <v>313.83</v>
      </c>
      <c r="L1272" t="s">
        <v>2917</v>
      </c>
      <c r="M1272">
        <v>313.83</v>
      </c>
      <c r="N1272" t="s">
        <v>2917</v>
      </c>
      <c r="O1272" t="s">
        <v>2208</v>
      </c>
      <c r="P1272" t="s">
        <v>2208</v>
      </c>
      <c r="Q1272" t="s">
        <v>2208</v>
      </c>
      <c r="R1272" t="s">
        <v>2208</v>
      </c>
    </row>
    <row r="1273" spans="1:18">
      <c r="A1273" t="s">
        <v>2418</v>
      </c>
      <c r="B1273" t="s">
        <v>11331</v>
      </c>
      <c r="C1273">
        <v>45778</v>
      </c>
      <c r="D1273" t="s">
        <v>7263</v>
      </c>
      <c r="E1273" t="s">
        <v>11332</v>
      </c>
      <c r="F1273">
        <v>45777</v>
      </c>
      <c r="G1273" t="s">
        <v>2208</v>
      </c>
      <c r="H1273" t="s">
        <v>7834</v>
      </c>
      <c r="I1273" t="s">
        <v>16616</v>
      </c>
      <c r="J1273">
        <v>2</v>
      </c>
      <c r="K1273">
        <v>209.22</v>
      </c>
      <c r="L1273" t="s">
        <v>2917</v>
      </c>
      <c r="M1273">
        <v>209.22</v>
      </c>
      <c r="N1273" t="s">
        <v>2917</v>
      </c>
      <c r="O1273" t="s">
        <v>2208</v>
      </c>
      <c r="P1273" t="s">
        <v>2208</v>
      </c>
      <c r="Q1273" t="s">
        <v>2208</v>
      </c>
      <c r="R1273" t="s">
        <v>2208</v>
      </c>
    </row>
    <row r="1274" spans="1:18">
      <c r="A1274" t="s">
        <v>2418</v>
      </c>
      <c r="B1274" t="s">
        <v>11331</v>
      </c>
      <c r="C1274">
        <v>45778</v>
      </c>
      <c r="D1274" t="s">
        <v>7263</v>
      </c>
      <c r="E1274" t="s">
        <v>11332</v>
      </c>
      <c r="F1274">
        <v>45777</v>
      </c>
      <c r="G1274" t="s">
        <v>2208</v>
      </c>
      <c r="H1274" t="s">
        <v>7834</v>
      </c>
      <c r="I1274" t="s">
        <v>16617</v>
      </c>
      <c r="J1274">
        <v>1</v>
      </c>
      <c r="K1274">
        <v>104.61</v>
      </c>
      <c r="L1274" t="s">
        <v>2917</v>
      </c>
      <c r="M1274">
        <v>104.61</v>
      </c>
      <c r="N1274" t="s">
        <v>2917</v>
      </c>
      <c r="O1274" t="s">
        <v>2208</v>
      </c>
      <c r="P1274" t="s">
        <v>2208</v>
      </c>
      <c r="Q1274" t="s">
        <v>2208</v>
      </c>
      <c r="R1274" t="s">
        <v>2208</v>
      </c>
    </row>
    <row r="1275" spans="1:18">
      <c r="A1275" t="s">
        <v>2418</v>
      </c>
      <c r="B1275" t="s">
        <v>11331</v>
      </c>
      <c r="C1275">
        <v>45778</v>
      </c>
      <c r="D1275" t="s">
        <v>7263</v>
      </c>
      <c r="E1275" t="s">
        <v>11332</v>
      </c>
      <c r="F1275">
        <v>45777</v>
      </c>
      <c r="G1275" t="s">
        <v>2208</v>
      </c>
      <c r="H1275" t="s">
        <v>7834</v>
      </c>
      <c r="I1275" t="s">
        <v>16618</v>
      </c>
      <c r="J1275">
        <v>2</v>
      </c>
      <c r="K1275">
        <v>209.22</v>
      </c>
      <c r="L1275" t="s">
        <v>2917</v>
      </c>
      <c r="M1275">
        <v>209.22</v>
      </c>
      <c r="N1275" t="s">
        <v>2917</v>
      </c>
      <c r="O1275" t="s">
        <v>2208</v>
      </c>
      <c r="P1275" t="s">
        <v>2208</v>
      </c>
      <c r="Q1275" t="s">
        <v>2208</v>
      </c>
      <c r="R1275" t="s">
        <v>2208</v>
      </c>
    </row>
    <row r="1276" spans="1:18">
      <c r="A1276" t="s">
        <v>2418</v>
      </c>
      <c r="B1276" t="s">
        <v>11331</v>
      </c>
      <c r="C1276">
        <v>45778</v>
      </c>
      <c r="D1276" t="s">
        <v>7263</v>
      </c>
      <c r="E1276" t="s">
        <v>11332</v>
      </c>
      <c r="F1276">
        <v>45777</v>
      </c>
      <c r="G1276" t="s">
        <v>2208</v>
      </c>
      <c r="H1276" t="s">
        <v>7834</v>
      </c>
      <c r="I1276" t="s">
        <v>16619</v>
      </c>
      <c r="J1276">
        <v>2</v>
      </c>
      <c r="K1276">
        <v>209.22</v>
      </c>
      <c r="L1276" t="s">
        <v>2917</v>
      </c>
      <c r="M1276">
        <v>209.22</v>
      </c>
      <c r="N1276" t="s">
        <v>2917</v>
      </c>
      <c r="O1276" t="s">
        <v>2208</v>
      </c>
      <c r="P1276" t="s">
        <v>2208</v>
      </c>
      <c r="Q1276" t="s">
        <v>2208</v>
      </c>
      <c r="R1276" t="s">
        <v>2208</v>
      </c>
    </row>
    <row r="1277" spans="1:18">
      <c r="A1277" t="s">
        <v>2418</v>
      </c>
      <c r="B1277" t="s">
        <v>11331</v>
      </c>
      <c r="C1277">
        <v>45778</v>
      </c>
      <c r="D1277" t="s">
        <v>7263</v>
      </c>
      <c r="E1277" t="s">
        <v>11332</v>
      </c>
      <c r="F1277">
        <v>45777</v>
      </c>
      <c r="G1277" t="s">
        <v>2208</v>
      </c>
      <c r="H1277" t="s">
        <v>7834</v>
      </c>
      <c r="I1277" t="s">
        <v>16620</v>
      </c>
      <c r="J1277">
        <v>1</v>
      </c>
      <c r="K1277">
        <v>104.61</v>
      </c>
      <c r="L1277" t="s">
        <v>2917</v>
      </c>
      <c r="M1277">
        <v>104.61</v>
      </c>
      <c r="N1277" t="s">
        <v>2917</v>
      </c>
      <c r="O1277" t="s">
        <v>2208</v>
      </c>
      <c r="P1277" t="s">
        <v>2208</v>
      </c>
      <c r="Q1277" t="s">
        <v>2208</v>
      </c>
      <c r="R1277" t="s">
        <v>2208</v>
      </c>
    </row>
    <row r="1278" spans="1:18">
      <c r="A1278" t="s">
        <v>2418</v>
      </c>
      <c r="B1278" t="s">
        <v>11331</v>
      </c>
      <c r="C1278">
        <v>45778</v>
      </c>
      <c r="D1278" t="s">
        <v>7263</v>
      </c>
      <c r="E1278" t="s">
        <v>11332</v>
      </c>
      <c r="F1278">
        <v>45777</v>
      </c>
      <c r="G1278" t="s">
        <v>2208</v>
      </c>
      <c r="H1278" t="s">
        <v>7834</v>
      </c>
      <c r="I1278" t="s">
        <v>16621</v>
      </c>
      <c r="J1278">
        <v>1</v>
      </c>
      <c r="K1278">
        <v>104.61</v>
      </c>
      <c r="L1278" t="s">
        <v>2917</v>
      </c>
      <c r="M1278">
        <v>104.61</v>
      </c>
      <c r="N1278" t="s">
        <v>2917</v>
      </c>
      <c r="O1278" t="s">
        <v>2208</v>
      </c>
      <c r="P1278" t="s">
        <v>2208</v>
      </c>
      <c r="Q1278" t="s">
        <v>2208</v>
      </c>
      <c r="R1278" t="s">
        <v>2208</v>
      </c>
    </row>
    <row r="1279" spans="1:18">
      <c r="A1279" t="s">
        <v>2418</v>
      </c>
      <c r="B1279" t="s">
        <v>11331</v>
      </c>
      <c r="C1279">
        <v>45778</v>
      </c>
      <c r="D1279" t="s">
        <v>7263</v>
      </c>
      <c r="E1279" t="s">
        <v>11332</v>
      </c>
      <c r="F1279">
        <v>45777</v>
      </c>
      <c r="G1279" t="s">
        <v>2208</v>
      </c>
      <c r="H1279" t="s">
        <v>7834</v>
      </c>
      <c r="I1279" t="s">
        <v>16622</v>
      </c>
      <c r="J1279">
        <v>1</v>
      </c>
      <c r="K1279">
        <v>104.61</v>
      </c>
      <c r="L1279" t="s">
        <v>2917</v>
      </c>
      <c r="M1279">
        <v>104.61</v>
      </c>
      <c r="N1279" t="s">
        <v>2917</v>
      </c>
      <c r="O1279" t="s">
        <v>2208</v>
      </c>
      <c r="P1279" t="s">
        <v>2208</v>
      </c>
      <c r="Q1279" t="s">
        <v>2208</v>
      </c>
      <c r="R1279" t="s">
        <v>2208</v>
      </c>
    </row>
    <row r="1280" spans="1:18">
      <c r="A1280" t="s">
        <v>2418</v>
      </c>
      <c r="B1280" t="s">
        <v>11331</v>
      </c>
      <c r="C1280">
        <v>45778</v>
      </c>
      <c r="D1280" t="s">
        <v>7263</v>
      </c>
      <c r="E1280" t="s">
        <v>11332</v>
      </c>
      <c r="F1280">
        <v>45777</v>
      </c>
      <c r="G1280" t="s">
        <v>2208</v>
      </c>
      <c r="H1280" t="s">
        <v>7834</v>
      </c>
      <c r="I1280" t="s">
        <v>16623</v>
      </c>
      <c r="J1280">
        <v>1</v>
      </c>
      <c r="K1280">
        <v>104.61</v>
      </c>
      <c r="L1280" t="s">
        <v>2917</v>
      </c>
      <c r="M1280">
        <v>104.61</v>
      </c>
      <c r="N1280" t="s">
        <v>2917</v>
      </c>
      <c r="O1280" t="s">
        <v>2208</v>
      </c>
      <c r="P1280" t="s">
        <v>2208</v>
      </c>
      <c r="Q1280" t="s">
        <v>2208</v>
      </c>
      <c r="R1280" t="s">
        <v>2208</v>
      </c>
    </row>
    <row r="1281" spans="1:18">
      <c r="A1281" t="s">
        <v>2418</v>
      </c>
      <c r="B1281" t="s">
        <v>11331</v>
      </c>
      <c r="C1281">
        <v>45778</v>
      </c>
      <c r="D1281" t="s">
        <v>7263</v>
      </c>
      <c r="E1281" t="s">
        <v>11332</v>
      </c>
      <c r="F1281">
        <v>45777</v>
      </c>
      <c r="G1281" t="s">
        <v>2208</v>
      </c>
      <c r="H1281" t="s">
        <v>7834</v>
      </c>
      <c r="I1281" t="s">
        <v>16624</v>
      </c>
      <c r="J1281">
        <v>2</v>
      </c>
      <c r="K1281">
        <v>209.22</v>
      </c>
      <c r="L1281" t="s">
        <v>2917</v>
      </c>
      <c r="M1281">
        <v>209.22</v>
      </c>
      <c r="N1281" t="s">
        <v>2917</v>
      </c>
      <c r="O1281" t="s">
        <v>2208</v>
      </c>
      <c r="P1281" t="s">
        <v>2208</v>
      </c>
      <c r="Q1281" t="s">
        <v>2208</v>
      </c>
      <c r="R1281" t="s">
        <v>2208</v>
      </c>
    </row>
    <row r="1282" spans="1:18">
      <c r="A1282" t="s">
        <v>2418</v>
      </c>
      <c r="B1282" t="s">
        <v>11331</v>
      </c>
      <c r="C1282">
        <v>45778</v>
      </c>
      <c r="D1282" t="s">
        <v>7263</v>
      </c>
      <c r="E1282" t="s">
        <v>11332</v>
      </c>
      <c r="F1282">
        <v>45777</v>
      </c>
      <c r="G1282" t="s">
        <v>2208</v>
      </c>
      <c r="H1282" t="s">
        <v>7834</v>
      </c>
      <c r="I1282" t="s">
        <v>16625</v>
      </c>
      <c r="J1282">
        <v>4</v>
      </c>
      <c r="K1282">
        <v>418.44</v>
      </c>
      <c r="L1282" t="s">
        <v>2917</v>
      </c>
      <c r="M1282">
        <v>418.44</v>
      </c>
      <c r="N1282" t="s">
        <v>2917</v>
      </c>
      <c r="O1282" t="s">
        <v>2208</v>
      </c>
      <c r="P1282" t="s">
        <v>2208</v>
      </c>
      <c r="Q1282" t="s">
        <v>2208</v>
      </c>
      <c r="R1282" t="s">
        <v>2208</v>
      </c>
    </row>
    <row r="1283" spans="1:18">
      <c r="A1283" t="s">
        <v>2418</v>
      </c>
      <c r="B1283" t="s">
        <v>11331</v>
      </c>
      <c r="C1283">
        <v>45778</v>
      </c>
      <c r="D1283" t="s">
        <v>7263</v>
      </c>
      <c r="E1283" t="s">
        <v>11332</v>
      </c>
      <c r="F1283">
        <v>45777</v>
      </c>
      <c r="G1283" t="s">
        <v>2208</v>
      </c>
      <c r="H1283" t="s">
        <v>7834</v>
      </c>
      <c r="I1283" t="s">
        <v>16626</v>
      </c>
      <c r="J1283">
        <v>2</v>
      </c>
      <c r="K1283">
        <v>209.22</v>
      </c>
      <c r="L1283" t="s">
        <v>2917</v>
      </c>
      <c r="M1283">
        <v>209.22</v>
      </c>
      <c r="N1283" t="s">
        <v>2917</v>
      </c>
      <c r="O1283" t="s">
        <v>2208</v>
      </c>
      <c r="P1283" t="s">
        <v>2208</v>
      </c>
      <c r="Q1283" t="s">
        <v>2208</v>
      </c>
      <c r="R1283" t="s">
        <v>2208</v>
      </c>
    </row>
    <row r="1284" spans="1:18">
      <c r="A1284" t="s">
        <v>2418</v>
      </c>
      <c r="B1284" t="s">
        <v>11331</v>
      </c>
      <c r="C1284">
        <v>45778</v>
      </c>
      <c r="D1284" t="s">
        <v>7263</v>
      </c>
      <c r="E1284" t="s">
        <v>11332</v>
      </c>
      <c r="F1284">
        <v>45777</v>
      </c>
      <c r="G1284" t="s">
        <v>2208</v>
      </c>
      <c r="H1284" t="s">
        <v>7834</v>
      </c>
      <c r="I1284" t="s">
        <v>16627</v>
      </c>
      <c r="J1284">
        <v>2</v>
      </c>
      <c r="K1284">
        <v>209.22</v>
      </c>
      <c r="L1284" t="s">
        <v>2917</v>
      </c>
      <c r="M1284">
        <v>209.22</v>
      </c>
      <c r="N1284" t="s">
        <v>2917</v>
      </c>
      <c r="O1284" t="s">
        <v>2208</v>
      </c>
      <c r="P1284" t="s">
        <v>2208</v>
      </c>
      <c r="Q1284" t="s">
        <v>2208</v>
      </c>
      <c r="R1284" t="s">
        <v>2208</v>
      </c>
    </row>
    <row r="1285" spans="1:18">
      <c r="A1285" t="s">
        <v>2418</v>
      </c>
      <c r="B1285" t="s">
        <v>11331</v>
      </c>
      <c r="C1285">
        <v>45778</v>
      </c>
      <c r="D1285" t="s">
        <v>7263</v>
      </c>
      <c r="E1285" t="s">
        <v>11332</v>
      </c>
      <c r="F1285">
        <v>45777</v>
      </c>
      <c r="G1285" t="s">
        <v>2208</v>
      </c>
      <c r="H1285" t="s">
        <v>7834</v>
      </c>
      <c r="I1285" t="s">
        <v>16628</v>
      </c>
      <c r="J1285">
        <v>1</v>
      </c>
      <c r="K1285">
        <v>104.61</v>
      </c>
      <c r="L1285" t="s">
        <v>2917</v>
      </c>
      <c r="M1285">
        <v>104.61</v>
      </c>
      <c r="N1285" t="s">
        <v>2917</v>
      </c>
      <c r="O1285" t="s">
        <v>2208</v>
      </c>
      <c r="P1285" t="s">
        <v>2208</v>
      </c>
      <c r="Q1285" t="s">
        <v>2208</v>
      </c>
      <c r="R1285" t="s">
        <v>2208</v>
      </c>
    </row>
    <row r="1286" spans="1:18">
      <c r="A1286" t="s">
        <v>2418</v>
      </c>
      <c r="B1286" t="s">
        <v>11331</v>
      </c>
      <c r="C1286">
        <v>45778</v>
      </c>
      <c r="D1286" t="s">
        <v>7263</v>
      </c>
      <c r="E1286" t="s">
        <v>11332</v>
      </c>
      <c r="F1286">
        <v>45777</v>
      </c>
      <c r="G1286" t="s">
        <v>2208</v>
      </c>
      <c r="H1286" t="s">
        <v>7834</v>
      </c>
      <c r="I1286" t="s">
        <v>16629</v>
      </c>
      <c r="J1286">
        <v>1</v>
      </c>
      <c r="K1286">
        <v>104.61</v>
      </c>
      <c r="L1286" t="s">
        <v>2917</v>
      </c>
      <c r="M1286">
        <v>104.61</v>
      </c>
      <c r="N1286" t="s">
        <v>2917</v>
      </c>
      <c r="O1286" t="s">
        <v>2208</v>
      </c>
      <c r="P1286" t="s">
        <v>2208</v>
      </c>
      <c r="Q1286" t="s">
        <v>2208</v>
      </c>
      <c r="R1286" t="s">
        <v>2208</v>
      </c>
    </row>
    <row r="1287" spans="1:18">
      <c r="A1287" t="s">
        <v>2418</v>
      </c>
      <c r="B1287" t="s">
        <v>11331</v>
      </c>
      <c r="C1287">
        <v>45778</v>
      </c>
      <c r="D1287" t="s">
        <v>7263</v>
      </c>
      <c r="E1287" t="s">
        <v>11332</v>
      </c>
      <c r="F1287">
        <v>45777</v>
      </c>
      <c r="G1287" t="s">
        <v>2208</v>
      </c>
      <c r="H1287" t="s">
        <v>7834</v>
      </c>
      <c r="I1287" t="s">
        <v>16630</v>
      </c>
      <c r="J1287">
        <v>2</v>
      </c>
      <c r="K1287">
        <v>209.22</v>
      </c>
      <c r="L1287" t="s">
        <v>2917</v>
      </c>
      <c r="M1287">
        <v>209.22</v>
      </c>
      <c r="N1287" t="s">
        <v>2917</v>
      </c>
      <c r="O1287" t="s">
        <v>2208</v>
      </c>
      <c r="P1287" t="s">
        <v>2208</v>
      </c>
      <c r="Q1287" t="s">
        <v>2208</v>
      </c>
      <c r="R1287" t="s">
        <v>2208</v>
      </c>
    </row>
    <row r="1288" spans="1:18">
      <c r="A1288" t="s">
        <v>2418</v>
      </c>
      <c r="B1288" t="s">
        <v>11331</v>
      </c>
      <c r="C1288">
        <v>45778</v>
      </c>
      <c r="D1288" t="s">
        <v>7263</v>
      </c>
      <c r="E1288" t="s">
        <v>11332</v>
      </c>
      <c r="F1288">
        <v>45777</v>
      </c>
      <c r="G1288" t="s">
        <v>2208</v>
      </c>
      <c r="H1288" t="s">
        <v>7834</v>
      </c>
      <c r="I1288" t="s">
        <v>16631</v>
      </c>
      <c r="J1288">
        <v>1</v>
      </c>
      <c r="K1288">
        <v>104.61</v>
      </c>
      <c r="L1288" t="s">
        <v>2917</v>
      </c>
      <c r="M1288">
        <v>104.61</v>
      </c>
      <c r="N1288" t="s">
        <v>2917</v>
      </c>
      <c r="O1288" t="s">
        <v>2208</v>
      </c>
      <c r="P1288" t="s">
        <v>2208</v>
      </c>
      <c r="Q1288" t="s">
        <v>2208</v>
      </c>
      <c r="R1288" t="s">
        <v>2208</v>
      </c>
    </row>
    <row r="1289" spans="1:18">
      <c r="A1289" t="s">
        <v>2418</v>
      </c>
      <c r="B1289" t="s">
        <v>11331</v>
      </c>
      <c r="C1289">
        <v>45778</v>
      </c>
      <c r="D1289" t="s">
        <v>7263</v>
      </c>
      <c r="E1289" t="s">
        <v>11332</v>
      </c>
      <c r="F1289">
        <v>45777</v>
      </c>
      <c r="G1289" t="s">
        <v>2208</v>
      </c>
      <c r="H1289" t="s">
        <v>7834</v>
      </c>
      <c r="I1289" t="s">
        <v>16632</v>
      </c>
      <c r="J1289">
        <v>8</v>
      </c>
      <c r="K1289">
        <v>836.88</v>
      </c>
      <c r="L1289" t="s">
        <v>2917</v>
      </c>
      <c r="M1289">
        <v>836.88</v>
      </c>
      <c r="N1289" t="s">
        <v>2917</v>
      </c>
      <c r="O1289" t="s">
        <v>2208</v>
      </c>
      <c r="P1289" t="s">
        <v>2208</v>
      </c>
      <c r="Q1289" t="s">
        <v>2208</v>
      </c>
      <c r="R1289" t="s">
        <v>2208</v>
      </c>
    </row>
    <row r="1290" spans="1:18">
      <c r="A1290" t="s">
        <v>2418</v>
      </c>
      <c r="B1290" t="s">
        <v>11331</v>
      </c>
      <c r="C1290">
        <v>45778</v>
      </c>
      <c r="D1290" t="s">
        <v>7263</v>
      </c>
      <c r="E1290" t="s">
        <v>11332</v>
      </c>
      <c r="F1290">
        <v>45777</v>
      </c>
      <c r="G1290" t="s">
        <v>2208</v>
      </c>
      <c r="H1290" t="s">
        <v>7834</v>
      </c>
      <c r="I1290" t="s">
        <v>16633</v>
      </c>
      <c r="J1290">
        <v>0.5</v>
      </c>
      <c r="K1290">
        <v>52.31</v>
      </c>
      <c r="L1290" t="s">
        <v>2917</v>
      </c>
      <c r="M1290">
        <v>52.31</v>
      </c>
      <c r="N1290" t="s">
        <v>2917</v>
      </c>
      <c r="O1290" t="s">
        <v>2208</v>
      </c>
      <c r="P1290" t="s">
        <v>2208</v>
      </c>
      <c r="Q1290" t="s">
        <v>2208</v>
      </c>
      <c r="R1290" t="s">
        <v>2208</v>
      </c>
    </row>
    <row r="1291" spans="1:18">
      <c r="A1291" t="s">
        <v>2418</v>
      </c>
      <c r="B1291" t="s">
        <v>11331</v>
      </c>
      <c r="C1291">
        <v>45778</v>
      </c>
      <c r="D1291" t="s">
        <v>7263</v>
      </c>
      <c r="E1291" t="s">
        <v>11332</v>
      </c>
      <c r="F1291">
        <v>45777</v>
      </c>
      <c r="G1291" t="s">
        <v>2208</v>
      </c>
      <c r="H1291" t="s">
        <v>7834</v>
      </c>
      <c r="I1291" t="s">
        <v>16634</v>
      </c>
      <c r="J1291">
        <v>2.5</v>
      </c>
      <c r="K1291">
        <v>261.52999999999997</v>
      </c>
      <c r="L1291" t="s">
        <v>2917</v>
      </c>
      <c r="M1291">
        <v>261.52999999999997</v>
      </c>
      <c r="N1291" t="s">
        <v>2917</v>
      </c>
      <c r="O1291" t="s">
        <v>2208</v>
      </c>
      <c r="P1291" t="s">
        <v>2208</v>
      </c>
      <c r="Q1291" t="s">
        <v>2208</v>
      </c>
      <c r="R1291" t="s">
        <v>2208</v>
      </c>
    </row>
    <row r="1292" spans="1:18">
      <c r="A1292" t="s">
        <v>2418</v>
      </c>
      <c r="B1292" t="s">
        <v>11331</v>
      </c>
      <c r="C1292">
        <v>45778</v>
      </c>
      <c r="D1292" t="s">
        <v>7263</v>
      </c>
      <c r="E1292" t="s">
        <v>11332</v>
      </c>
      <c r="F1292">
        <v>45777</v>
      </c>
      <c r="G1292" t="s">
        <v>2208</v>
      </c>
      <c r="H1292" t="s">
        <v>7834</v>
      </c>
      <c r="I1292" t="s">
        <v>16635</v>
      </c>
      <c r="J1292">
        <v>3</v>
      </c>
      <c r="K1292">
        <v>313.83</v>
      </c>
      <c r="L1292" t="s">
        <v>2917</v>
      </c>
      <c r="M1292">
        <v>313.83</v>
      </c>
      <c r="N1292" t="s">
        <v>2917</v>
      </c>
      <c r="O1292" t="s">
        <v>2208</v>
      </c>
      <c r="P1292" t="s">
        <v>2208</v>
      </c>
      <c r="Q1292" t="s">
        <v>2208</v>
      </c>
      <c r="R1292" t="s">
        <v>2208</v>
      </c>
    </row>
    <row r="1293" spans="1:18">
      <c r="A1293" t="s">
        <v>2418</v>
      </c>
      <c r="B1293" t="s">
        <v>11331</v>
      </c>
      <c r="C1293">
        <v>45778</v>
      </c>
      <c r="D1293" t="s">
        <v>7263</v>
      </c>
      <c r="E1293" t="s">
        <v>11332</v>
      </c>
      <c r="F1293">
        <v>45777</v>
      </c>
      <c r="G1293" t="s">
        <v>2208</v>
      </c>
      <c r="H1293" t="s">
        <v>7834</v>
      </c>
      <c r="I1293" t="s">
        <v>16636</v>
      </c>
      <c r="J1293">
        <v>0.75</v>
      </c>
      <c r="K1293">
        <v>78.459999999999994</v>
      </c>
      <c r="L1293" t="s">
        <v>2917</v>
      </c>
      <c r="M1293">
        <v>78.459999999999994</v>
      </c>
      <c r="N1293" t="s">
        <v>2917</v>
      </c>
      <c r="O1293" t="s">
        <v>2208</v>
      </c>
      <c r="P1293" t="s">
        <v>2208</v>
      </c>
      <c r="Q1293" t="s">
        <v>2208</v>
      </c>
      <c r="R1293" t="s">
        <v>2208</v>
      </c>
    </row>
    <row r="1294" spans="1:18">
      <c r="A1294" t="s">
        <v>2418</v>
      </c>
      <c r="B1294" t="s">
        <v>11331</v>
      </c>
      <c r="C1294">
        <v>45778</v>
      </c>
      <c r="D1294" t="s">
        <v>7263</v>
      </c>
      <c r="E1294" t="s">
        <v>11332</v>
      </c>
      <c r="F1294">
        <v>45777</v>
      </c>
      <c r="G1294" t="s">
        <v>2208</v>
      </c>
      <c r="H1294" t="s">
        <v>7834</v>
      </c>
      <c r="I1294" t="s">
        <v>16637</v>
      </c>
      <c r="J1294">
        <v>3</v>
      </c>
      <c r="K1294">
        <v>313.83</v>
      </c>
      <c r="L1294" t="s">
        <v>2917</v>
      </c>
      <c r="M1294">
        <v>313.83</v>
      </c>
      <c r="N1294" t="s">
        <v>2917</v>
      </c>
      <c r="O1294" t="s">
        <v>2208</v>
      </c>
      <c r="P1294" t="s">
        <v>2208</v>
      </c>
      <c r="Q1294" t="s">
        <v>2208</v>
      </c>
      <c r="R1294" t="s">
        <v>2208</v>
      </c>
    </row>
    <row r="1295" spans="1:18">
      <c r="A1295" t="s">
        <v>2418</v>
      </c>
      <c r="B1295" t="s">
        <v>11331</v>
      </c>
      <c r="C1295">
        <v>45778</v>
      </c>
      <c r="D1295" t="s">
        <v>7263</v>
      </c>
      <c r="E1295" t="s">
        <v>11332</v>
      </c>
      <c r="F1295">
        <v>45777</v>
      </c>
      <c r="G1295" t="s">
        <v>2208</v>
      </c>
      <c r="H1295" t="s">
        <v>7834</v>
      </c>
      <c r="I1295" t="s">
        <v>16638</v>
      </c>
      <c r="J1295">
        <v>5</v>
      </c>
      <c r="K1295">
        <v>523.04999999999995</v>
      </c>
      <c r="L1295" t="s">
        <v>2917</v>
      </c>
      <c r="M1295">
        <v>523.04999999999995</v>
      </c>
      <c r="N1295" t="s">
        <v>2917</v>
      </c>
      <c r="O1295" t="s">
        <v>2208</v>
      </c>
      <c r="P1295" t="s">
        <v>2208</v>
      </c>
      <c r="Q1295" t="s">
        <v>2208</v>
      </c>
      <c r="R1295" t="s">
        <v>2208</v>
      </c>
    </row>
    <row r="1296" spans="1:18">
      <c r="A1296" t="s">
        <v>2418</v>
      </c>
      <c r="B1296" t="s">
        <v>11331</v>
      </c>
      <c r="C1296">
        <v>45778</v>
      </c>
      <c r="D1296" t="s">
        <v>7263</v>
      </c>
      <c r="E1296" t="s">
        <v>11332</v>
      </c>
      <c r="F1296">
        <v>45777</v>
      </c>
      <c r="G1296" t="s">
        <v>2208</v>
      </c>
      <c r="H1296" t="s">
        <v>7834</v>
      </c>
      <c r="I1296" t="s">
        <v>16639</v>
      </c>
      <c r="J1296">
        <v>2</v>
      </c>
      <c r="K1296">
        <v>209.22</v>
      </c>
      <c r="L1296" t="s">
        <v>2917</v>
      </c>
      <c r="M1296">
        <v>209.22</v>
      </c>
      <c r="N1296" t="s">
        <v>2917</v>
      </c>
      <c r="O1296" t="s">
        <v>2208</v>
      </c>
      <c r="P1296" t="s">
        <v>2208</v>
      </c>
      <c r="Q1296" t="s">
        <v>2208</v>
      </c>
      <c r="R1296" t="s">
        <v>2208</v>
      </c>
    </row>
    <row r="1297" spans="1:18">
      <c r="A1297" t="s">
        <v>2418</v>
      </c>
      <c r="B1297" t="s">
        <v>11331</v>
      </c>
      <c r="C1297">
        <v>45778</v>
      </c>
      <c r="D1297" t="s">
        <v>7263</v>
      </c>
      <c r="E1297" t="s">
        <v>11332</v>
      </c>
      <c r="F1297">
        <v>45777</v>
      </c>
      <c r="G1297" t="s">
        <v>2208</v>
      </c>
      <c r="H1297" t="s">
        <v>7834</v>
      </c>
      <c r="I1297" t="s">
        <v>16640</v>
      </c>
      <c r="J1297">
        <v>2</v>
      </c>
      <c r="K1297">
        <v>209.22</v>
      </c>
      <c r="L1297" t="s">
        <v>2917</v>
      </c>
      <c r="M1297">
        <v>209.22</v>
      </c>
      <c r="N1297" t="s">
        <v>2917</v>
      </c>
      <c r="O1297" t="s">
        <v>2208</v>
      </c>
      <c r="P1297" t="s">
        <v>2208</v>
      </c>
      <c r="Q1297" t="s">
        <v>2208</v>
      </c>
      <c r="R1297" t="s">
        <v>2208</v>
      </c>
    </row>
    <row r="1298" spans="1:18">
      <c r="A1298" t="s">
        <v>2418</v>
      </c>
      <c r="B1298" t="s">
        <v>11331</v>
      </c>
      <c r="C1298">
        <v>45778</v>
      </c>
      <c r="D1298" t="s">
        <v>7263</v>
      </c>
      <c r="E1298" t="s">
        <v>11332</v>
      </c>
      <c r="F1298">
        <v>45777</v>
      </c>
      <c r="G1298" t="s">
        <v>2208</v>
      </c>
      <c r="H1298" t="s">
        <v>7834</v>
      </c>
      <c r="I1298" t="s">
        <v>16641</v>
      </c>
      <c r="J1298">
        <v>1</v>
      </c>
      <c r="K1298">
        <v>104.61</v>
      </c>
      <c r="L1298" t="s">
        <v>2917</v>
      </c>
      <c r="M1298">
        <v>104.61</v>
      </c>
      <c r="N1298" t="s">
        <v>2917</v>
      </c>
      <c r="O1298" t="s">
        <v>2208</v>
      </c>
      <c r="P1298" t="s">
        <v>2208</v>
      </c>
      <c r="Q1298" t="s">
        <v>2208</v>
      </c>
      <c r="R1298" t="s">
        <v>2208</v>
      </c>
    </row>
    <row r="1299" spans="1:18">
      <c r="A1299" t="s">
        <v>2418</v>
      </c>
      <c r="B1299" t="s">
        <v>11331</v>
      </c>
      <c r="C1299">
        <v>45778</v>
      </c>
      <c r="D1299" t="s">
        <v>7263</v>
      </c>
      <c r="E1299" t="s">
        <v>11332</v>
      </c>
      <c r="F1299">
        <v>45777</v>
      </c>
      <c r="G1299" t="s">
        <v>2208</v>
      </c>
      <c r="H1299" t="s">
        <v>7834</v>
      </c>
      <c r="I1299" t="s">
        <v>16642</v>
      </c>
      <c r="J1299">
        <v>1</v>
      </c>
      <c r="K1299">
        <v>104.61</v>
      </c>
      <c r="L1299" t="s">
        <v>2917</v>
      </c>
      <c r="M1299">
        <v>104.61</v>
      </c>
      <c r="N1299" t="s">
        <v>2917</v>
      </c>
      <c r="O1299" t="s">
        <v>2208</v>
      </c>
      <c r="P1299" t="s">
        <v>2208</v>
      </c>
      <c r="Q1299" t="s">
        <v>2208</v>
      </c>
      <c r="R1299" t="s">
        <v>2208</v>
      </c>
    </row>
    <row r="1300" spans="1:18">
      <c r="A1300" t="s">
        <v>2418</v>
      </c>
      <c r="B1300" t="s">
        <v>11331</v>
      </c>
      <c r="C1300">
        <v>45778</v>
      </c>
      <c r="D1300" t="s">
        <v>7263</v>
      </c>
      <c r="E1300" t="s">
        <v>11332</v>
      </c>
      <c r="F1300">
        <v>45777</v>
      </c>
      <c r="G1300" t="s">
        <v>2208</v>
      </c>
      <c r="H1300" t="s">
        <v>7834</v>
      </c>
      <c r="I1300" t="s">
        <v>16643</v>
      </c>
      <c r="J1300">
        <v>0.1</v>
      </c>
      <c r="K1300">
        <v>10.46</v>
      </c>
      <c r="L1300" t="s">
        <v>2917</v>
      </c>
      <c r="M1300">
        <v>10.46</v>
      </c>
      <c r="N1300" t="s">
        <v>2917</v>
      </c>
      <c r="O1300" t="s">
        <v>2208</v>
      </c>
      <c r="P1300" t="s">
        <v>2208</v>
      </c>
      <c r="Q1300" t="s">
        <v>2208</v>
      </c>
      <c r="R1300" t="s">
        <v>2208</v>
      </c>
    </row>
    <row r="1301" spans="1:18">
      <c r="A1301" t="s">
        <v>2418</v>
      </c>
      <c r="B1301" t="s">
        <v>11331</v>
      </c>
      <c r="C1301">
        <v>45778</v>
      </c>
      <c r="D1301" t="s">
        <v>7263</v>
      </c>
      <c r="E1301" t="s">
        <v>11332</v>
      </c>
      <c r="F1301">
        <v>45777</v>
      </c>
      <c r="G1301" t="s">
        <v>2208</v>
      </c>
      <c r="H1301" t="s">
        <v>7834</v>
      </c>
      <c r="I1301" t="s">
        <v>16644</v>
      </c>
      <c r="J1301">
        <v>2</v>
      </c>
      <c r="K1301">
        <v>209.22</v>
      </c>
      <c r="L1301" t="s">
        <v>2917</v>
      </c>
      <c r="M1301">
        <v>209.22</v>
      </c>
      <c r="N1301" t="s">
        <v>2917</v>
      </c>
      <c r="O1301" t="s">
        <v>2208</v>
      </c>
      <c r="P1301" t="s">
        <v>2208</v>
      </c>
      <c r="Q1301" t="s">
        <v>2208</v>
      </c>
      <c r="R1301" t="s">
        <v>2208</v>
      </c>
    </row>
    <row r="1302" spans="1:18">
      <c r="A1302" t="s">
        <v>2418</v>
      </c>
      <c r="B1302" t="s">
        <v>11331</v>
      </c>
      <c r="C1302">
        <v>45778</v>
      </c>
      <c r="D1302" t="s">
        <v>7263</v>
      </c>
      <c r="E1302" t="s">
        <v>11332</v>
      </c>
      <c r="F1302">
        <v>45777</v>
      </c>
      <c r="G1302" t="s">
        <v>2208</v>
      </c>
      <c r="H1302" t="s">
        <v>7834</v>
      </c>
      <c r="I1302" t="s">
        <v>16645</v>
      </c>
      <c r="J1302">
        <v>2</v>
      </c>
      <c r="K1302">
        <v>209.22</v>
      </c>
      <c r="L1302" t="s">
        <v>2917</v>
      </c>
      <c r="M1302">
        <v>209.22</v>
      </c>
      <c r="N1302" t="s">
        <v>2917</v>
      </c>
      <c r="O1302" t="s">
        <v>2208</v>
      </c>
      <c r="P1302" t="s">
        <v>2208</v>
      </c>
      <c r="Q1302" t="s">
        <v>2208</v>
      </c>
      <c r="R1302" t="s">
        <v>2208</v>
      </c>
    </row>
    <row r="1303" spans="1:18">
      <c r="A1303" t="s">
        <v>2418</v>
      </c>
      <c r="B1303" t="s">
        <v>11331</v>
      </c>
      <c r="C1303">
        <v>45778</v>
      </c>
      <c r="D1303" t="s">
        <v>7263</v>
      </c>
      <c r="E1303" t="s">
        <v>11332</v>
      </c>
      <c r="F1303">
        <v>45777</v>
      </c>
      <c r="G1303" t="s">
        <v>2208</v>
      </c>
      <c r="H1303" t="s">
        <v>7834</v>
      </c>
      <c r="I1303" t="s">
        <v>16646</v>
      </c>
      <c r="J1303">
        <v>2</v>
      </c>
      <c r="K1303">
        <v>209.22</v>
      </c>
      <c r="L1303" t="s">
        <v>2917</v>
      </c>
      <c r="M1303">
        <v>209.22</v>
      </c>
      <c r="N1303" t="s">
        <v>2917</v>
      </c>
      <c r="O1303" t="s">
        <v>2208</v>
      </c>
      <c r="P1303" t="s">
        <v>2208</v>
      </c>
      <c r="Q1303" t="s">
        <v>2208</v>
      </c>
      <c r="R1303" t="s">
        <v>2208</v>
      </c>
    </row>
    <row r="1304" spans="1:18">
      <c r="A1304" t="s">
        <v>2418</v>
      </c>
      <c r="B1304" t="s">
        <v>11331</v>
      </c>
      <c r="C1304">
        <v>45778</v>
      </c>
      <c r="D1304" t="s">
        <v>7263</v>
      </c>
      <c r="E1304" t="s">
        <v>11332</v>
      </c>
      <c r="F1304">
        <v>45777</v>
      </c>
      <c r="G1304" t="s">
        <v>2208</v>
      </c>
      <c r="H1304" t="s">
        <v>7834</v>
      </c>
      <c r="I1304" t="s">
        <v>16647</v>
      </c>
      <c r="J1304">
        <v>2</v>
      </c>
      <c r="K1304">
        <v>209.22</v>
      </c>
      <c r="L1304" t="s">
        <v>2917</v>
      </c>
      <c r="M1304">
        <v>209.22</v>
      </c>
      <c r="N1304" t="s">
        <v>2917</v>
      </c>
      <c r="O1304" t="s">
        <v>2208</v>
      </c>
      <c r="P1304" t="s">
        <v>2208</v>
      </c>
      <c r="Q1304" t="s">
        <v>2208</v>
      </c>
      <c r="R1304" t="s">
        <v>2208</v>
      </c>
    </row>
    <row r="1305" spans="1:18">
      <c r="A1305" t="s">
        <v>2418</v>
      </c>
      <c r="B1305" t="s">
        <v>11331</v>
      </c>
      <c r="C1305">
        <v>45778</v>
      </c>
      <c r="D1305" t="s">
        <v>7263</v>
      </c>
      <c r="E1305" t="s">
        <v>11332</v>
      </c>
      <c r="F1305">
        <v>45777</v>
      </c>
      <c r="G1305" t="s">
        <v>2208</v>
      </c>
      <c r="H1305" t="s">
        <v>7834</v>
      </c>
      <c r="I1305" t="s">
        <v>16648</v>
      </c>
      <c r="J1305">
        <v>2</v>
      </c>
      <c r="K1305">
        <v>209.22</v>
      </c>
      <c r="L1305" t="s">
        <v>2917</v>
      </c>
      <c r="M1305">
        <v>209.22</v>
      </c>
      <c r="N1305" t="s">
        <v>2917</v>
      </c>
      <c r="O1305" t="s">
        <v>2208</v>
      </c>
      <c r="P1305" t="s">
        <v>2208</v>
      </c>
      <c r="Q1305" t="s">
        <v>2208</v>
      </c>
      <c r="R1305" t="s">
        <v>2208</v>
      </c>
    </row>
    <row r="1306" spans="1:18">
      <c r="A1306" t="s">
        <v>2418</v>
      </c>
      <c r="B1306" t="s">
        <v>11331</v>
      </c>
      <c r="C1306">
        <v>45778</v>
      </c>
      <c r="D1306" t="s">
        <v>7263</v>
      </c>
      <c r="E1306" t="s">
        <v>11332</v>
      </c>
      <c r="F1306">
        <v>45777</v>
      </c>
      <c r="G1306" t="s">
        <v>2208</v>
      </c>
      <c r="H1306" t="s">
        <v>7834</v>
      </c>
      <c r="I1306" t="s">
        <v>16649</v>
      </c>
      <c r="J1306">
        <v>1</v>
      </c>
      <c r="K1306">
        <v>104.61</v>
      </c>
      <c r="L1306" t="s">
        <v>2917</v>
      </c>
      <c r="M1306">
        <v>104.61</v>
      </c>
      <c r="N1306" t="s">
        <v>2917</v>
      </c>
      <c r="O1306" t="s">
        <v>2208</v>
      </c>
      <c r="P1306" t="s">
        <v>2208</v>
      </c>
      <c r="Q1306" t="s">
        <v>2208</v>
      </c>
      <c r="R1306" t="s">
        <v>2208</v>
      </c>
    </row>
    <row r="1307" spans="1:18">
      <c r="A1307" t="s">
        <v>2418</v>
      </c>
      <c r="B1307" t="s">
        <v>11331</v>
      </c>
      <c r="C1307">
        <v>45778</v>
      </c>
      <c r="D1307" t="s">
        <v>7263</v>
      </c>
      <c r="E1307" t="s">
        <v>11332</v>
      </c>
      <c r="F1307">
        <v>45777</v>
      </c>
      <c r="G1307" t="s">
        <v>2208</v>
      </c>
      <c r="H1307" t="s">
        <v>7834</v>
      </c>
      <c r="I1307" t="s">
        <v>16650</v>
      </c>
      <c r="J1307">
        <v>1</v>
      </c>
      <c r="K1307">
        <v>104.61</v>
      </c>
      <c r="L1307" t="s">
        <v>2917</v>
      </c>
      <c r="M1307">
        <v>104.61</v>
      </c>
      <c r="N1307" t="s">
        <v>2917</v>
      </c>
      <c r="O1307" t="s">
        <v>2208</v>
      </c>
      <c r="P1307" t="s">
        <v>2208</v>
      </c>
      <c r="Q1307" t="s">
        <v>2208</v>
      </c>
      <c r="R1307" t="s">
        <v>2208</v>
      </c>
    </row>
    <row r="1308" spans="1:18">
      <c r="A1308" t="s">
        <v>2418</v>
      </c>
      <c r="B1308" t="s">
        <v>11331</v>
      </c>
      <c r="C1308">
        <v>45778</v>
      </c>
      <c r="D1308" t="s">
        <v>7263</v>
      </c>
      <c r="E1308" t="s">
        <v>11332</v>
      </c>
      <c r="F1308">
        <v>45777</v>
      </c>
      <c r="G1308" t="s">
        <v>2208</v>
      </c>
      <c r="H1308" t="s">
        <v>7834</v>
      </c>
      <c r="I1308" t="s">
        <v>16651</v>
      </c>
      <c r="J1308">
        <v>1</v>
      </c>
      <c r="K1308">
        <v>104.61</v>
      </c>
      <c r="L1308" t="s">
        <v>2917</v>
      </c>
      <c r="M1308">
        <v>104.61</v>
      </c>
      <c r="N1308" t="s">
        <v>2917</v>
      </c>
      <c r="O1308" t="s">
        <v>2208</v>
      </c>
      <c r="P1308" t="s">
        <v>2208</v>
      </c>
      <c r="Q1308" t="s">
        <v>2208</v>
      </c>
      <c r="R1308" t="s">
        <v>2208</v>
      </c>
    </row>
    <row r="1309" spans="1:18">
      <c r="A1309" t="s">
        <v>2418</v>
      </c>
      <c r="B1309" t="s">
        <v>11331</v>
      </c>
      <c r="C1309">
        <v>45778</v>
      </c>
      <c r="D1309" t="s">
        <v>7263</v>
      </c>
      <c r="E1309" t="s">
        <v>11332</v>
      </c>
      <c r="F1309">
        <v>45777</v>
      </c>
      <c r="G1309" t="s">
        <v>2208</v>
      </c>
      <c r="H1309" t="s">
        <v>7834</v>
      </c>
      <c r="I1309" t="s">
        <v>16652</v>
      </c>
      <c r="J1309">
        <v>1</v>
      </c>
      <c r="K1309">
        <v>104.61</v>
      </c>
      <c r="L1309" t="s">
        <v>2917</v>
      </c>
      <c r="M1309">
        <v>104.61</v>
      </c>
      <c r="N1309" t="s">
        <v>2917</v>
      </c>
      <c r="O1309" t="s">
        <v>2208</v>
      </c>
      <c r="P1309" t="s">
        <v>2208</v>
      </c>
      <c r="Q1309" t="s">
        <v>2208</v>
      </c>
      <c r="R1309" t="s">
        <v>2208</v>
      </c>
    </row>
    <row r="1310" spans="1:18">
      <c r="A1310" t="s">
        <v>2418</v>
      </c>
      <c r="B1310" t="s">
        <v>11331</v>
      </c>
      <c r="C1310">
        <v>45778</v>
      </c>
      <c r="D1310" t="s">
        <v>7263</v>
      </c>
      <c r="E1310" t="s">
        <v>11332</v>
      </c>
      <c r="F1310">
        <v>45777</v>
      </c>
      <c r="G1310" t="s">
        <v>2208</v>
      </c>
      <c r="H1310" t="s">
        <v>7834</v>
      </c>
      <c r="I1310" t="s">
        <v>16653</v>
      </c>
      <c r="J1310">
        <v>1.3</v>
      </c>
      <c r="K1310">
        <v>135.99</v>
      </c>
      <c r="L1310" t="s">
        <v>2917</v>
      </c>
      <c r="M1310">
        <v>135.99</v>
      </c>
      <c r="N1310" t="s">
        <v>2917</v>
      </c>
      <c r="O1310" t="s">
        <v>2208</v>
      </c>
      <c r="P1310" t="s">
        <v>2208</v>
      </c>
      <c r="Q1310" t="s">
        <v>2208</v>
      </c>
      <c r="R1310" t="s">
        <v>2208</v>
      </c>
    </row>
    <row r="1311" spans="1:18">
      <c r="A1311" t="s">
        <v>2418</v>
      </c>
      <c r="B1311" t="s">
        <v>11331</v>
      </c>
      <c r="C1311">
        <v>45778</v>
      </c>
      <c r="D1311" t="s">
        <v>7263</v>
      </c>
      <c r="E1311" t="s">
        <v>11332</v>
      </c>
      <c r="F1311">
        <v>45777</v>
      </c>
      <c r="G1311" t="s">
        <v>2208</v>
      </c>
      <c r="H1311" t="s">
        <v>7834</v>
      </c>
      <c r="I1311" t="s">
        <v>16654</v>
      </c>
      <c r="J1311">
        <v>2</v>
      </c>
      <c r="K1311">
        <v>209.22</v>
      </c>
      <c r="L1311" t="s">
        <v>2917</v>
      </c>
      <c r="M1311">
        <v>209.22</v>
      </c>
      <c r="N1311" t="s">
        <v>2917</v>
      </c>
      <c r="O1311" t="s">
        <v>2208</v>
      </c>
      <c r="P1311" t="s">
        <v>2208</v>
      </c>
      <c r="Q1311" t="s">
        <v>2208</v>
      </c>
      <c r="R1311" t="s">
        <v>2208</v>
      </c>
    </row>
    <row r="1312" spans="1:18">
      <c r="A1312" t="s">
        <v>2418</v>
      </c>
      <c r="B1312" t="s">
        <v>11331</v>
      </c>
      <c r="C1312">
        <v>45778</v>
      </c>
      <c r="D1312" t="s">
        <v>7263</v>
      </c>
      <c r="E1312" t="s">
        <v>11332</v>
      </c>
      <c r="F1312">
        <v>45777</v>
      </c>
      <c r="G1312" t="s">
        <v>2208</v>
      </c>
      <c r="H1312" t="s">
        <v>7834</v>
      </c>
      <c r="I1312" t="s">
        <v>16655</v>
      </c>
      <c r="J1312">
        <v>1</v>
      </c>
      <c r="K1312">
        <v>104.61</v>
      </c>
      <c r="L1312" t="s">
        <v>2917</v>
      </c>
      <c r="M1312">
        <v>104.61</v>
      </c>
      <c r="N1312" t="s">
        <v>2917</v>
      </c>
      <c r="O1312" t="s">
        <v>2208</v>
      </c>
      <c r="P1312" t="s">
        <v>2208</v>
      </c>
      <c r="Q1312" t="s">
        <v>2208</v>
      </c>
      <c r="R1312" t="s">
        <v>2208</v>
      </c>
    </row>
    <row r="1313" spans="1:18">
      <c r="A1313" t="s">
        <v>2418</v>
      </c>
      <c r="B1313" t="s">
        <v>11331</v>
      </c>
      <c r="C1313">
        <v>45778</v>
      </c>
      <c r="D1313" t="s">
        <v>7263</v>
      </c>
      <c r="E1313" t="s">
        <v>11332</v>
      </c>
      <c r="F1313">
        <v>45777</v>
      </c>
      <c r="G1313" t="s">
        <v>2208</v>
      </c>
      <c r="H1313" t="s">
        <v>7834</v>
      </c>
      <c r="I1313" t="s">
        <v>16656</v>
      </c>
      <c r="J1313">
        <v>2</v>
      </c>
      <c r="K1313">
        <v>209.22</v>
      </c>
      <c r="L1313" t="s">
        <v>2917</v>
      </c>
      <c r="M1313">
        <v>209.22</v>
      </c>
      <c r="N1313" t="s">
        <v>2917</v>
      </c>
      <c r="O1313" t="s">
        <v>2208</v>
      </c>
      <c r="P1313" t="s">
        <v>2208</v>
      </c>
      <c r="Q1313" t="s">
        <v>2208</v>
      </c>
      <c r="R1313" t="s">
        <v>2208</v>
      </c>
    </row>
    <row r="1314" spans="1:18">
      <c r="A1314" t="s">
        <v>2418</v>
      </c>
      <c r="B1314" t="s">
        <v>11331</v>
      </c>
      <c r="C1314">
        <v>45778</v>
      </c>
      <c r="D1314" t="s">
        <v>7263</v>
      </c>
      <c r="E1314" t="s">
        <v>11332</v>
      </c>
      <c r="F1314">
        <v>45777</v>
      </c>
      <c r="G1314" t="s">
        <v>2208</v>
      </c>
      <c r="H1314" t="s">
        <v>7834</v>
      </c>
      <c r="I1314" t="s">
        <v>16657</v>
      </c>
      <c r="J1314">
        <v>1</v>
      </c>
      <c r="K1314">
        <v>104.61</v>
      </c>
      <c r="L1314" t="s">
        <v>2917</v>
      </c>
      <c r="M1314">
        <v>104.61</v>
      </c>
      <c r="N1314" t="s">
        <v>2917</v>
      </c>
      <c r="O1314" t="s">
        <v>2208</v>
      </c>
      <c r="P1314" t="s">
        <v>2208</v>
      </c>
      <c r="Q1314" t="s">
        <v>2208</v>
      </c>
      <c r="R1314" t="s">
        <v>2208</v>
      </c>
    </row>
    <row r="1315" spans="1:18">
      <c r="A1315" t="s">
        <v>2418</v>
      </c>
      <c r="B1315" t="s">
        <v>11331</v>
      </c>
      <c r="C1315">
        <v>45778</v>
      </c>
      <c r="D1315" t="s">
        <v>7263</v>
      </c>
      <c r="E1315" t="s">
        <v>11332</v>
      </c>
      <c r="F1315">
        <v>45777</v>
      </c>
      <c r="G1315" t="s">
        <v>2208</v>
      </c>
      <c r="H1315" t="s">
        <v>7834</v>
      </c>
      <c r="I1315" t="s">
        <v>16658</v>
      </c>
      <c r="J1315">
        <v>2</v>
      </c>
      <c r="K1315">
        <v>209.22</v>
      </c>
      <c r="L1315" t="s">
        <v>2917</v>
      </c>
      <c r="M1315">
        <v>209.22</v>
      </c>
      <c r="N1315" t="s">
        <v>2917</v>
      </c>
      <c r="O1315" t="s">
        <v>2208</v>
      </c>
      <c r="P1315" t="s">
        <v>2208</v>
      </c>
      <c r="Q1315" t="s">
        <v>2208</v>
      </c>
      <c r="R1315" t="s">
        <v>2208</v>
      </c>
    </row>
    <row r="1316" spans="1:18">
      <c r="A1316" t="s">
        <v>2418</v>
      </c>
      <c r="B1316" t="s">
        <v>11331</v>
      </c>
      <c r="C1316">
        <v>45778</v>
      </c>
      <c r="D1316" t="s">
        <v>7263</v>
      </c>
      <c r="E1316" t="s">
        <v>11332</v>
      </c>
      <c r="F1316">
        <v>45777</v>
      </c>
      <c r="G1316" t="s">
        <v>2208</v>
      </c>
      <c r="H1316" t="s">
        <v>7834</v>
      </c>
      <c r="I1316" t="s">
        <v>16659</v>
      </c>
      <c r="J1316">
        <v>2</v>
      </c>
      <c r="K1316">
        <v>209.22</v>
      </c>
      <c r="L1316" t="s">
        <v>2917</v>
      </c>
      <c r="M1316">
        <v>209.22</v>
      </c>
      <c r="N1316" t="s">
        <v>2917</v>
      </c>
      <c r="O1316" t="s">
        <v>2208</v>
      </c>
      <c r="P1316" t="s">
        <v>2208</v>
      </c>
      <c r="Q1316" t="s">
        <v>2208</v>
      </c>
      <c r="R1316" t="s">
        <v>2208</v>
      </c>
    </row>
    <row r="1317" spans="1:18">
      <c r="A1317" t="s">
        <v>2418</v>
      </c>
      <c r="B1317" t="s">
        <v>11331</v>
      </c>
      <c r="C1317">
        <v>45778</v>
      </c>
      <c r="D1317" t="s">
        <v>7263</v>
      </c>
      <c r="E1317" t="s">
        <v>11332</v>
      </c>
      <c r="F1317">
        <v>45777</v>
      </c>
      <c r="G1317" t="s">
        <v>2208</v>
      </c>
      <c r="H1317" t="s">
        <v>7834</v>
      </c>
      <c r="I1317" t="s">
        <v>16660</v>
      </c>
      <c r="J1317">
        <v>1</v>
      </c>
      <c r="K1317">
        <v>104.61</v>
      </c>
      <c r="L1317" t="s">
        <v>2917</v>
      </c>
      <c r="M1317">
        <v>104.61</v>
      </c>
      <c r="N1317" t="s">
        <v>2917</v>
      </c>
      <c r="O1317" t="s">
        <v>2208</v>
      </c>
      <c r="P1317" t="s">
        <v>2208</v>
      </c>
      <c r="Q1317" t="s">
        <v>2208</v>
      </c>
      <c r="R1317" t="s">
        <v>2208</v>
      </c>
    </row>
    <row r="1318" spans="1:18">
      <c r="A1318" t="s">
        <v>2418</v>
      </c>
      <c r="B1318" t="s">
        <v>11331</v>
      </c>
      <c r="C1318">
        <v>45778</v>
      </c>
      <c r="D1318" t="s">
        <v>7263</v>
      </c>
      <c r="E1318" t="s">
        <v>11332</v>
      </c>
      <c r="F1318">
        <v>45777</v>
      </c>
      <c r="G1318" t="s">
        <v>2208</v>
      </c>
      <c r="H1318" t="s">
        <v>7834</v>
      </c>
      <c r="I1318" t="s">
        <v>16661</v>
      </c>
      <c r="J1318">
        <v>1</v>
      </c>
      <c r="K1318">
        <v>104.61</v>
      </c>
      <c r="L1318" t="s">
        <v>2917</v>
      </c>
      <c r="M1318">
        <v>104.61</v>
      </c>
      <c r="N1318" t="s">
        <v>2917</v>
      </c>
      <c r="O1318" t="s">
        <v>2208</v>
      </c>
      <c r="P1318" t="s">
        <v>2208</v>
      </c>
      <c r="Q1318" t="s">
        <v>2208</v>
      </c>
      <c r="R1318" t="s">
        <v>2208</v>
      </c>
    </row>
    <row r="1319" spans="1:18">
      <c r="A1319" t="s">
        <v>2418</v>
      </c>
      <c r="B1319" t="s">
        <v>11331</v>
      </c>
      <c r="C1319">
        <v>45778</v>
      </c>
      <c r="D1319" t="s">
        <v>7263</v>
      </c>
      <c r="E1319" t="s">
        <v>11332</v>
      </c>
      <c r="F1319">
        <v>45777</v>
      </c>
      <c r="G1319" t="s">
        <v>2208</v>
      </c>
      <c r="H1319" t="s">
        <v>7834</v>
      </c>
      <c r="I1319" t="s">
        <v>16662</v>
      </c>
      <c r="J1319">
        <v>2</v>
      </c>
      <c r="K1319">
        <v>209.22</v>
      </c>
      <c r="L1319" t="s">
        <v>2917</v>
      </c>
      <c r="M1319">
        <v>209.22</v>
      </c>
      <c r="N1319" t="s">
        <v>2917</v>
      </c>
      <c r="O1319" t="s">
        <v>2208</v>
      </c>
      <c r="P1319" t="s">
        <v>2208</v>
      </c>
      <c r="Q1319" t="s">
        <v>2208</v>
      </c>
      <c r="R1319" t="s">
        <v>2208</v>
      </c>
    </row>
    <row r="1320" spans="1:18">
      <c r="A1320" t="s">
        <v>2418</v>
      </c>
      <c r="B1320" t="s">
        <v>11331</v>
      </c>
      <c r="C1320">
        <v>45778</v>
      </c>
      <c r="D1320" t="s">
        <v>7263</v>
      </c>
      <c r="E1320" t="s">
        <v>11332</v>
      </c>
      <c r="F1320">
        <v>45777</v>
      </c>
      <c r="G1320" t="s">
        <v>2208</v>
      </c>
      <c r="H1320" t="s">
        <v>7834</v>
      </c>
      <c r="I1320" t="s">
        <v>16663</v>
      </c>
      <c r="J1320">
        <v>1</v>
      </c>
      <c r="K1320">
        <v>104.61</v>
      </c>
      <c r="L1320" t="s">
        <v>2917</v>
      </c>
      <c r="M1320">
        <v>104.61</v>
      </c>
      <c r="N1320" t="s">
        <v>2917</v>
      </c>
      <c r="O1320" t="s">
        <v>2208</v>
      </c>
      <c r="P1320" t="s">
        <v>2208</v>
      </c>
      <c r="Q1320" t="s">
        <v>2208</v>
      </c>
      <c r="R1320" t="s">
        <v>2208</v>
      </c>
    </row>
    <row r="1321" spans="1:18">
      <c r="A1321" t="s">
        <v>2418</v>
      </c>
      <c r="B1321" t="s">
        <v>11331</v>
      </c>
      <c r="C1321">
        <v>45778</v>
      </c>
      <c r="D1321" t="s">
        <v>7263</v>
      </c>
      <c r="E1321" t="s">
        <v>11332</v>
      </c>
      <c r="F1321">
        <v>45777</v>
      </c>
      <c r="G1321" t="s">
        <v>2208</v>
      </c>
      <c r="H1321" t="s">
        <v>7834</v>
      </c>
      <c r="I1321" t="s">
        <v>16664</v>
      </c>
      <c r="J1321">
        <v>1</v>
      </c>
      <c r="K1321">
        <v>104.61</v>
      </c>
      <c r="L1321" t="s">
        <v>2917</v>
      </c>
      <c r="M1321">
        <v>104.61</v>
      </c>
      <c r="N1321" t="s">
        <v>2917</v>
      </c>
      <c r="O1321" t="s">
        <v>2208</v>
      </c>
      <c r="P1321" t="s">
        <v>2208</v>
      </c>
      <c r="Q1321" t="s">
        <v>2208</v>
      </c>
      <c r="R1321" t="s">
        <v>2208</v>
      </c>
    </row>
    <row r="1322" spans="1:18">
      <c r="A1322" t="s">
        <v>2418</v>
      </c>
      <c r="B1322" t="s">
        <v>11331</v>
      </c>
      <c r="C1322">
        <v>45778</v>
      </c>
      <c r="D1322" t="s">
        <v>7263</v>
      </c>
      <c r="E1322" t="s">
        <v>11332</v>
      </c>
      <c r="F1322">
        <v>45777</v>
      </c>
      <c r="G1322" t="s">
        <v>2208</v>
      </c>
      <c r="H1322" t="s">
        <v>7834</v>
      </c>
      <c r="I1322" t="s">
        <v>16665</v>
      </c>
      <c r="J1322">
        <v>2</v>
      </c>
      <c r="K1322">
        <v>209.22</v>
      </c>
      <c r="L1322" t="s">
        <v>2917</v>
      </c>
      <c r="M1322">
        <v>209.22</v>
      </c>
      <c r="N1322" t="s">
        <v>2917</v>
      </c>
      <c r="O1322" t="s">
        <v>2208</v>
      </c>
      <c r="P1322" t="s">
        <v>2208</v>
      </c>
      <c r="Q1322" t="s">
        <v>2208</v>
      </c>
      <c r="R1322" t="s">
        <v>2208</v>
      </c>
    </row>
    <row r="1323" spans="1:18">
      <c r="A1323" t="s">
        <v>2418</v>
      </c>
      <c r="B1323" t="s">
        <v>11331</v>
      </c>
      <c r="C1323">
        <v>45778</v>
      </c>
      <c r="D1323" t="s">
        <v>7263</v>
      </c>
      <c r="E1323" t="s">
        <v>11332</v>
      </c>
      <c r="F1323">
        <v>45777</v>
      </c>
      <c r="G1323" t="s">
        <v>2208</v>
      </c>
      <c r="H1323" t="s">
        <v>7834</v>
      </c>
      <c r="I1323" t="s">
        <v>16666</v>
      </c>
      <c r="J1323">
        <v>1</v>
      </c>
      <c r="K1323">
        <v>104.61</v>
      </c>
      <c r="L1323" t="s">
        <v>2917</v>
      </c>
      <c r="M1323">
        <v>104.61</v>
      </c>
      <c r="N1323" t="s">
        <v>2917</v>
      </c>
      <c r="O1323" t="s">
        <v>2208</v>
      </c>
      <c r="P1323" t="s">
        <v>2208</v>
      </c>
      <c r="Q1323" t="s">
        <v>2208</v>
      </c>
      <c r="R1323" t="s">
        <v>2208</v>
      </c>
    </row>
    <row r="1324" spans="1:18">
      <c r="A1324" t="s">
        <v>2418</v>
      </c>
      <c r="B1324" t="s">
        <v>11331</v>
      </c>
      <c r="C1324">
        <v>45778</v>
      </c>
      <c r="D1324" t="s">
        <v>7263</v>
      </c>
      <c r="E1324" t="s">
        <v>11332</v>
      </c>
      <c r="F1324">
        <v>45777</v>
      </c>
      <c r="G1324" t="s">
        <v>2208</v>
      </c>
      <c r="H1324" t="s">
        <v>7834</v>
      </c>
      <c r="I1324" t="s">
        <v>16667</v>
      </c>
      <c r="J1324">
        <v>1</v>
      </c>
      <c r="K1324">
        <v>104.61</v>
      </c>
      <c r="L1324" t="s">
        <v>2917</v>
      </c>
      <c r="M1324">
        <v>104.61</v>
      </c>
      <c r="N1324" t="s">
        <v>2917</v>
      </c>
      <c r="O1324" t="s">
        <v>2208</v>
      </c>
      <c r="P1324" t="s">
        <v>2208</v>
      </c>
      <c r="Q1324" t="s">
        <v>2208</v>
      </c>
      <c r="R1324" t="s">
        <v>2208</v>
      </c>
    </row>
    <row r="1325" spans="1:18">
      <c r="A1325" t="s">
        <v>2418</v>
      </c>
      <c r="B1325" t="s">
        <v>11331</v>
      </c>
      <c r="C1325">
        <v>45778</v>
      </c>
      <c r="D1325" t="s">
        <v>7263</v>
      </c>
      <c r="E1325" t="s">
        <v>11332</v>
      </c>
      <c r="F1325">
        <v>45777</v>
      </c>
      <c r="G1325" t="s">
        <v>2208</v>
      </c>
      <c r="H1325" t="s">
        <v>7834</v>
      </c>
      <c r="I1325" t="s">
        <v>16668</v>
      </c>
      <c r="J1325">
        <v>1</v>
      </c>
      <c r="K1325">
        <v>104.61</v>
      </c>
      <c r="L1325" t="s">
        <v>2917</v>
      </c>
      <c r="M1325">
        <v>104.61</v>
      </c>
      <c r="N1325" t="s">
        <v>2917</v>
      </c>
      <c r="O1325" t="s">
        <v>2208</v>
      </c>
      <c r="P1325" t="s">
        <v>2208</v>
      </c>
      <c r="Q1325" t="s">
        <v>2208</v>
      </c>
      <c r="R1325" t="s">
        <v>2208</v>
      </c>
    </row>
    <row r="1326" spans="1:18">
      <c r="A1326" t="s">
        <v>2418</v>
      </c>
      <c r="B1326" t="s">
        <v>11331</v>
      </c>
      <c r="C1326">
        <v>45778</v>
      </c>
      <c r="D1326" t="s">
        <v>7263</v>
      </c>
      <c r="E1326" t="s">
        <v>11332</v>
      </c>
      <c r="F1326">
        <v>45777</v>
      </c>
      <c r="G1326" t="s">
        <v>2208</v>
      </c>
      <c r="H1326" t="s">
        <v>7834</v>
      </c>
      <c r="I1326" t="s">
        <v>16669</v>
      </c>
      <c r="J1326">
        <v>2</v>
      </c>
      <c r="K1326">
        <v>209.22</v>
      </c>
      <c r="L1326" t="s">
        <v>2917</v>
      </c>
      <c r="M1326">
        <v>209.22</v>
      </c>
      <c r="N1326" t="s">
        <v>2917</v>
      </c>
      <c r="O1326" t="s">
        <v>2208</v>
      </c>
      <c r="P1326" t="s">
        <v>2208</v>
      </c>
      <c r="Q1326" t="s">
        <v>2208</v>
      </c>
      <c r="R1326" t="s">
        <v>2208</v>
      </c>
    </row>
    <row r="1327" spans="1:18">
      <c r="A1327" t="s">
        <v>2418</v>
      </c>
      <c r="B1327" t="s">
        <v>11331</v>
      </c>
      <c r="C1327">
        <v>45778</v>
      </c>
      <c r="D1327" t="s">
        <v>7263</v>
      </c>
      <c r="E1327" t="s">
        <v>11332</v>
      </c>
      <c r="F1327">
        <v>45777</v>
      </c>
      <c r="G1327" t="s">
        <v>2208</v>
      </c>
      <c r="H1327" t="s">
        <v>7834</v>
      </c>
      <c r="I1327" t="s">
        <v>16670</v>
      </c>
      <c r="J1327">
        <v>1</v>
      </c>
      <c r="K1327">
        <v>104.61</v>
      </c>
      <c r="L1327" t="s">
        <v>2917</v>
      </c>
      <c r="M1327">
        <v>104.61</v>
      </c>
      <c r="N1327" t="s">
        <v>2917</v>
      </c>
      <c r="O1327" t="s">
        <v>2208</v>
      </c>
      <c r="P1327" t="s">
        <v>2208</v>
      </c>
      <c r="Q1327" t="s">
        <v>2208</v>
      </c>
      <c r="R1327" t="s">
        <v>2208</v>
      </c>
    </row>
    <row r="1328" spans="1:18">
      <c r="A1328" t="s">
        <v>2418</v>
      </c>
      <c r="B1328" t="s">
        <v>11331</v>
      </c>
      <c r="C1328">
        <v>45778</v>
      </c>
      <c r="D1328" t="s">
        <v>7263</v>
      </c>
      <c r="E1328" t="s">
        <v>11332</v>
      </c>
      <c r="F1328">
        <v>45777</v>
      </c>
      <c r="G1328" t="s">
        <v>2208</v>
      </c>
      <c r="H1328" t="s">
        <v>7834</v>
      </c>
      <c r="I1328" t="s">
        <v>16671</v>
      </c>
      <c r="J1328">
        <v>1</v>
      </c>
      <c r="K1328">
        <v>104.61</v>
      </c>
      <c r="L1328" t="s">
        <v>2917</v>
      </c>
      <c r="M1328">
        <v>104.61</v>
      </c>
      <c r="N1328" t="s">
        <v>2917</v>
      </c>
      <c r="O1328" t="s">
        <v>2208</v>
      </c>
      <c r="P1328" t="s">
        <v>2208</v>
      </c>
      <c r="Q1328" t="s">
        <v>2208</v>
      </c>
      <c r="R1328" t="s">
        <v>2208</v>
      </c>
    </row>
    <row r="1329" spans="1:18">
      <c r="A1329" t="s">
        <v>2418</v>
      </c>
      <c r="B1329" t="s">
        <v>11331</v>
      </c>
      <c r="C1329">
        <v>45778</v>
      </c>
      <c r="D1329" t="s">
        <v>7263</v>
      </c>
      <c r="E1329" t="s">
        <v>11332</v>
      </c>
      <c r="F1329">
        <v>45777</v>
      </c>
      <c r="G1329" t="s">
        <v>2208</v>
      </c>
      <c r="H1329" t="s">
        <v>7834</v>
      </c>
      <c r="I1329" t="s">
        <v>16672</v>
      </c>
      <c r="J1329">
        <v>2</v>
      </c>
      <c r="K1329">
        <v>209.22</v>
      </c>
      <c r="L1329" t="s">
        <v>2917</v>
      </c>
      <c r="M1329">
        <v>209.22</v>
      </c>
      <c r="N1329" t="s">
        <v>2917</v>
      </c>
      <c r="O1329" t="s">
        <v>2208</v>
      </c>
      <c r="P1329" t="s">
        <v>2208</v>
      </c>
      <c r="Q1329" t="s">
        <v>2208</v>
      </c>
      <c r="R1329" t="s">
        <v>2208</v>
      </c>
    </row>
    <row r="1330" spans="1:18">
      <c r="A1330" t="s">
        <v>2418</v>
      </c>
      <c r="B1330" t="s">
        <v>11331</v>
      </c>
      <c r="C1330">
        <v>45778</v>
      </c>
      <c r="D1330" t="s">
        <v>7263</v>
      </c>
      <c r="E1330" t="s">
        <v>11332</v>
      </c>
      <c r="F1330">
        <v>45777</v>
      </c>
      <c r="G1330" t="s">
        <v>2208</v>
      </c>
      <c r="H1330" t="s">
        <v>7834</v>
      </c>
      <c r="I1330" t="s">
        <v>16673</v>
      </c>
      <c r="J1330">
        <v>2</v>
      </c>
      <c r="K1330">
        <v>209.22</v>
      </c>
      <c r="L1330" t="s">
        <v>2917</v>
      </c>
      <c r="M1330">
        <v>209.22</v>
      </c>
      <c r="N1330" t="s">
        <v>2917</v>
      </c>
      <c r="O1330" t="s">
        <v>2208</v>
      </c>
      <c r="P1330" t="s">
        <v>2208</v>
      </c>
      <c r="Q1330" t="s">
        <v>2208</v>
      </c>
      <c r="R1330" t="s">
        <v>2208</v>
      </c>
    </row>
    <row r="1331" spans="1:18">
      <c r="A1331" t="s">
        <v>2418</v>
      </c>
      <c r="B1331" t="s">
        <v>11331</v>
      </c>
      <c r="C1331">
        <v>45778</v>
      </c>
      <c r="D1331" t="s">
        <v>7263</v>
      </c>
      <c r="E1331" t="s">
        <v>11332</v>
      </c>
      <c r="F1331">
        <v>45777</v>
      </c>
      <c r="G1331" t="s">
        <v>2208</v>
      </c>
      <c r="H1331" t="s">
        <v>7834</v>
      </c>
      <c r="I1331" t="s">
        <v>16674</v>
      </c>
      <c r="J1331">
        <v>1</v>
      </c>
      <c r="K1331">
        <v>104.61</v>
      </c>
      <c r="L1331" t="s">
        <v>2917</v>
      </c>
      <c r="M1331">
        <v>104.61</v>
      </c>
      <c r="N1331" t="s">
        <v>2917</v>
      </c>
      <c r="O1331" t="s">
        <v>2208</v>
      </c>
      <c r="P1331" t="s">
        <v>2208</v>
      </c>
      <c r="Q1331" t="s">
        <v>2208</v>
      </c>
      <c r="R1331" t="s">
        <v>2208</v>
      </c>
    </row>
    <row r="1332" spans="1:18">
      <c r="A1332" t="s">
        <v>2418</v>
      </c>
      <c r="B1332" t="s">
        <v>11331</v>
      </c>
      <c r="C1332">
        <v>45778</v>
      </c>
      <c r="D1332" t="s">
        <v>7263</v>
      </c>
      <c r="E1332" t="s">
        <v>11332</v>
      </c>
      <c r="F1332">
        <v>45777</v>
      </c>
      <c r="G1332" t="s">
        <v>2208</v>
      </c>
      <c r="H1332" t="s">
        <v>7834</v>
      </c>
      <c r="I1332" t="s">
        <v>16675</v>
      </c>
      <c r="J1332">
        <v>1</v>
      </c>
      <c r="K1332">
        <v>104.61</v>
      </c>
      <c r="L1332" t="s">
        <v>2917</v>
      </c>
      <c r="M1332">
        <v>104.61</v>
      </c>
      <c r="N1332" t="s">
        <v>2917</v>
      </c>
      <c r="O1332" t="s">
        <v>2208</v>
      </c>
      <c r="P1332" t="s">
        <v>2208</v>
      </c>
      <c r="Q1332" t="s">
        <v>2208</v>
      </c>
      <c r="R1332" t="s">
        <v>2208</v>
      </c>
    </row>
    <row r="1333" spans="1:18">
      <c r="A1333" t="s">
        <v>2418</v>
      </c>
      <c r="B1333" t="s">
        <v>11331</v>
      </c>
      <c r="C1333">
        <v>45778</v>
      </c>
      <c r="D1333" t="s">
        <v>7263</v>
      </c>
      <c r="E1333" t="s">
        <v>11332</v>
      </c>
      <c r="F1333">
        <v>45777</v>
      </c>
      <c r="G1333" t="s">
        <v>2208</v>
      </c>
      <c r="H1333" t="s">
        <v>7834</v>
      </c>
      <c r="I1333" t="s">
        <v>16676</v>
      </c>
      <c r="J1333">
        <v>2</v>
      </c>
      <c r="K1333">
        <v>209.22</v>
      </c>
      <c r="L1333" t="s">
        <v>2917</v>
      </c>
      <c r="M1333">
        <v>209.22</v>
      </c>
      <c r="N1333" t="s">
        <v>2917</v>
      </c>
      <c r="O1333" t="s">
        <v>2208</v>
      </c>
      <c r="P1333" t="s">
        <v>2208</v>
      </c>
      <c r="Q1333" t="s">
        <v>2208</v>
      </c>
      <c r="R1333" t="s">
        <v>2208</v>
      </c>
    </row>
    <row r="1334" spans="1:18">
      <c r="A1334" t="s">
        <v>2418</v>
      </c>
      <c r="B1334" t="s">
        <v>11331</v>
      </c>
      <c r="C1334">
        <v>45778</v>
      </c>
      <c r="D1334" t="s">
        <v>7263</v>
      </c>
      <c r="E1334" t="s">
        <v>11332</v>
      </c>
      <c r="F1334">
        <v>45777</v>
      </c>
      <c r="G1334" t="s">
        <v>2208</v>
      </c>
      <c r="H1334" t="s">
        <v>7834</v>
      </c>
      <c r="I1334" t="s">
        <v>16677</v>
      </c>
      <c r="J1334">
        <v>8</v>
      </c>
      <c r="K1334">
        <v>836.88</v>
      </c>
      <c r="L1334" t="s">
        <v>2917</v>
      </c>
      <c r="M1334">
        <v>836.88</v>
      </c>
      <c r="N1334" t="s">
        <v>2917</v>
      </c>
      <c r="O1334" t="s">
        <v>2208</v>
      </c>
      <c r="P1334" t="s">
        <v>2208</v>
      </c>
      <c r="Q1334" t="s">
        <v>2208</v>
      </c>
      <c r="R1334" t="s">
        <v>2208</v>
      </c>
    </row>
    <row r="1335" spans="1:18">
      <c r="A1335" t="s">
        <v>2418</v>
      </c>
      <c r="B1335" t="s">
        <v>11331</v>
      </c>
      <c r="C1335">
        <v>45778</v>
      </c>
      <c r="D1335" t="s">
        <v>7263</v>
      </c>
      <c r="E1335" t="s">
        <v>11332</v>
      </c>
      <c r="F1335">
        <v>45777</v>
      </c>
      <c r="G1335" t="s">
        <v>2208</v>
      </c>
      <c r="H1335" t="s">
        <v>7834</v>
      </c>
      <c r="I1335" t="s">
        <v>16678</v>
      </c>
      <c r="J1335">
        <v>8</v>
      </c>
      <c r="K1335">
        <v>836.88</v>
      </c>
      <c r="L1335" t="s">
        <v>2917</v>
      </c>
      <c r="M1335">
        <v>836.88</v>
      </c>
      <c r="N1335" t="s">
        <v>2917</v>
      </c>
      <c r="O1335" t="s">
        <v>2208</v>
      </c>
      <c r="P1335" t="s">
        <v>2208</v>
      </c>
      <c r="Q1335" t="s">
        <v>2208</v>
      </c>
      <c r="R1335" t="s">
        <v>2208</v>
      </c>
    </row>
    <row r="1336" spans="1:18">
      <c r="A1336" t="s">
        <v>2418</v>
      </c>
      <c r="B1336" t="s">
        <v>11331</v>
      </c>
      <c r="C1336">
        <v>45778</v>
      </c>
      <c r="D1336" t="s">
        <v>7263</v>
      </c>
      <c r="E1336" t="s">
        <v>11332</v>
      </c>
      <c r="F1336">
        <v>45777</v>
      </c>
      <c r="G1336" t="s">
        <v>2208</v>
      </c>
      <c r="H1336" t="s">
        <v>7834</v>
      </c>
      <c r="I1336" t="s">
        <v>16679</v>
      </c>
      <c r="J1336">
        <v>8</v>
      </c>
      <c r="K1336">
        <v>836.88</v>
      </c>
      <c r="L1336" t="s">
        <v>2917</v>
      </c>
      <c r="M1336">
        <v>836.88</v>
      </c>
      <c r="N1336" t="s">
        <v>2917</v>
      </c>
      <c r="O1336" t="s">
        <v>2208</v>
      </c>
      <c r="P1336" t="s">
        <v>2208</v>
      </c>
      <c r="Q1336" t="s">
        <v>2208</v>
      </c>
      <c r="R1336" t="s">
        <v>2208</v>
      </c>
    </row>
    <row r="1337" spans="1:18">
      <c r="A1337" t="s">
        <v>2418</v>
      </c>
      <c r="B1337" t="s">
        <v>11331</v>
      </c>
      <c r="C1337">
        <v>45778</v>
      </c>
      <c r="D1337" t="s">
        <v>7263</v>
      </c>
      <c r="E1337" t="s">
        <v>11332</v>
      </c>
      <c r="F1337">
        <v>45777</v>
      </c>
      <c r="G1337" t="s">
        <v>2208</v>
      </c>
      <c r="H1337" t="s">
        <v>7834</v>
      </c>
      <c r="I1337" t="s">
        <v>16680</v>
      </c>
      <c r="J1337">
        <v>8</v>
      </c>
      <c r="K1337">
        <v>836.88</v>
      </c>
      <c r="L1337" t="s">
        <v>2917</v>
      </c>
      <c r="M1337">
        <v>836.88</v>
      </c>
      <c r="N1337" t="s">
        <v>2917</v>
      </c>
      <c r="O1337" t="s">
        <v>2208</v>
      </c>
      <c r="P1337" t="s">
        <v>2208</v>
      </c>
      <c r="Q1337" t="s">
        <v>2208</v>
      </c>
      <c r="R1337" t="s">
        <v>2208</v>
      </c>
    </row>
    <row r="1338" spans="1:18">
      <c r="A1338" t="s">
        <v>2418</v>
      </c>
      <c r="B1338" t="s">
        <v>11331</v>
      </c>
      <c r="C1338">
        <v>45778</v>
      </c>
      <c r="D1338" t="s">
        <v>7263</v>
      </c>
      <c r="E1338" t="s">
        <v>11332</v>
      </c>
      <c r="F1338">
        <v>45777</v>
      </c>
      <c r="G1338" t="s">
        <v>2208</v>
      </c>
      <c r="H1338" t="s">
        <v>7834</v>
      </c>
      <c r="I1338" t="s">
        <v>16681</v>
      </c>
      <c r="J1338">
        <v>8</v>
      </c>
      <c r="K1338">
        <v>836.88</v>
      </c>
      <c r="L1338" t="s">
        <v>2917</v>
      </c>
      <c r="M1338">
        <v>836.88</v>
      </c>
      <c r="N1338" t="s">
        <v>2917</v>
      </c>
      <c r="O1338" t="s">
        <v>2208</v>
      </c>
      <c r="P1338" t="s">
        <v>2208</v>
      </c>
      <c r="Q1338" t="s">
        <v>2208</v>
      </c>
      <c r="R1338" t="s">
        <v>2208</v>
      </c>
    </row>
    <row r="1339" spans="1:18">
      <c r="A1339" t="s">
        <v>2418</v>
      </c>
      <c r="B1339" t="s">
        <v>11331</v>
      </c>
      <c r="C1339">
        <v>45778</v>
      </c>
      <c r="D1339" t="s">
        <v>7263</v>
      </c>
      <c r="E1339" t="s">
        <v>11332</v>
      </c>
      <c r="F1339">
        <v>45777</v>
      </c>
      <c r="G1339" t="s">
        <v>2208</v>
      </c>
      <c r="H1339" t="s">
        <v>7834</v>
      </c>
      <c r="I1339" t="s">
        <v>16682</v>
      </c>
      <c r="J1339">
        <v>6</v>
      </c>
      <c r="K1339">
        <v>627.66</v>
      </c>
      <c r="L1339" t="s">
        <v>2917</v>
      </c>
      <c r="M1339">
        <v>627.66</v>
      </c>
      <c r="N1339" t="s">
        <v>2917</v>
      </c>
      <c r="O1339" t="s">
        <v>2208</v>
      </c>
      <c r="P1339" t="s">
        <v>2208</v>
      </c>
      <c r="Q1339" t="s">
        <v>2208</v>
      </c>
      <c r="R1339" t="s">
        <v>2208</v>
      </c>
    </row>
    <row r="1340" spans="1:18">
      <c r="A1340" t="s">
        <v>2418</v>
      </c>
      <c r="B1340" t="s">
        <v>11331</v>
      </c>
      <c r="C1340">
        <v>45778</v>
      </c>
      <c r="D1340" t="s">
        <v>7263</v>
      </c>
      <c r="E1340" t="s">
        <v>11332</v>
      </c>
      <c r="F1340">
        <v>45777</v>
      </c>
      <c r="G1340" t="s">
        <v>2208</v>
      </c>
      <c r="H1340" t="s">
        <v>7834</v>
      </c>
      <c r="I1340" t="s">
        <v>16683</v>
      </c>
      <c r="J1340">
        <v>8</v>
      </c>
      <c r="K1340">
        <v>836.88</v>
      </c>
      <c r="L1340" t="s">
        <v>2917</v>
      </c>
      <c r="M1340">
        <v>836.88</v>
      </c>
      <c r="N1340" t="s">
        <v>2917</v>
      </c>
      <c r="O1340" t="s">
        <v>2208</v>
      </c>
      <c r="P1340" t="s">
        <v>2208</v>
      </c>
      <c r="Q1340" t="s">
        <v>2208</v>
      </c>
      <c r="R1340" t="s">
        <v>2208</v>
      </c>
    </row>
    <row r="1341" spans="1:18">
      <c r="A1341" t="s">
        <v>2418</v>
      </c>
      <c r="B1341" t="s">
        <v>11331</v>
      </c>
      <c r="C1341">
        <v>45778</v>
      </c>
      <c r="D1341" t="s">
        <v>7263</v>
      </c>
      <c r="E1341" t="s">
        <v>11332</v>
      </c>
      <c r="F1341">
        <v>45777</v>
      </c>
      <c r="G1341" t="s">
        <v>2208</v>
      </c>
      <c r="H1341" t="s">
        <v>7834</v>
      </c>
      <c r="I1341" t="s">
        <v>16684</v>
      </c>
      <c r="J1341">
        <v>1</v>
      </c>
      <c r="K1341">
        <v>104.61</v>
      </c>
      <c r="L1341" t="s">
        <v>2917</v>
      </c>
      <c r="M1341">
        <v>104.61</v>
      </c>
      <c r="N1341" t="s">
        <v>2917</v>
      </c>
      <c r="O1341" t="s">
        <v>2208</v>
      </c>
      <c r="P1341" t="s">
        <v>2208</v>
      </c>
      <c r="Q1341" t="s">
        <v>2208</v>
      </c>
      <c r="R1341" t="s">
        <v>2208</v>
      </c>
    </row>
    <row r="1342" spans="1:18">
      <c r="A1342" t="s">
        <v>2418</v>
      </c>
      <c r="B1342" t="s">
        <v>11331</v>
      </c>
      <c r="C1342">
        <v>45778</v>
      </c>
      <c r="D1342" t="s">
        <v>7263</v>
      </c>
      <c r="E1342" t="s">
        <v>11332</v>
      </c>
      <c r="F1342">
        <v>45777</v>
      </c>
      <c r="G1342" t="s">
        <v>2208</v>
      </c>
      <c r="H1342" t="s">
        <v>7834</v>
      </c>
      <c r="I1342" t="s">
        <v>16685</v>
      </c>
      <c r="J1342">
        <v>1</v>
      </c>
      <c r="K1342">
        <v>104.61</v>
      </c>
      <c r="L1342" t="s">
        <v>2917</v>
      </c>
      <c r="M1342">
        <v>104.61</v>
      </c>
      <c r="N1342" t="s">
        <v>2917</v>
      </c>
      <c r="O1342" t="s">
        <v>2208</v>
      </c>
      <c r="P1342" t="s">
        <v>2208</v>
      </c>
      <c r="Q1342" t="s">
        <v>2208</v>
      </c>
      <c r="R1342" t="s">
        <v>2208</v>
      </c>
    </row>
    <row r="1343" spans="1:18">
      <c r="A1343" t="s">
        <v>2418</v>
      </c>
      <c r="B1343" t="s">
        <v>11331</v>
      </c>
      <c r="C1343">
        <v>45778</v>
      </c>
      <c r="D1343" t="s">
        <v>7263</v>
      </c>
      <c r="E1343" t="s">
        <v>11332</v>
      </c>
      <c r="F1343">
        <v>45777</v>
      </c>
      <c r="G1343" t="s">
        <v>2208</v>
      </c>
      <c r="H1343" t="s">
        <v>7834</v>
      </c>
      <c r="I1343" t="s">
        <v>16686</v>
      </c>
      <c r="J1343">
        <v>1</v>
      </c>
      <c r="K1343">
        <v>104.61</v>
      </c>
      <c r="L1343" t="s">
        <v>2917</v>
      </c>
      <c r="M1343">
        <v>104.61</v>
      </c>
      <c r="N1343" t="s">
        <v>2917</v>
      </c>
      <c r="O1343" t="s">
        <v>2208</v>
      </c>
      <c r="P1343" t="s">
        <v>2208</v>
      </c>
      <c r="Q1343" t="s">
        <v>2208</v>
      </c>
      <c r="R1343" t="s">
        <v>2208</v>
      </c>
    </row>
    <row r="1344" spans="1:18">
      <c r="A1344" t="s">
        <v>2418</v>
      </c>
      <c r="B1344" t="s">
        <v>11331</v>
      </c>
      <c r="C1344">
        <v>45778</v>
      </c>
      <c r="D1344" t="s">
        <v>7263</v>
      </c>
      <c r="E1344" t="s">
        <v>11332</v>
      </c>
      <c r="F1344">
        <v>45777</v>
      </c>
      <c r="G1344" t="s">
        <v>2208</v>
      </c>
      <c r="H1344" t="s">
        <v>7834</v>
      </c>
      <c r="I1344" t="s">
        <v>16687</v>
      </c>
      <c r="J1344">
        <v>1</v>
      </c>
      <c r="K1344">
        <v>104.61</v>
      </c>
      <c r="L1344" t="s">
        <v>2917</v>
      </c>
      <c r="M1344">
        <v>104.61</v>
      </c>
      <c r="N1344" t="s">
        <v>2917</v>
      </c>
      <c r="O1344" t="s">
        <v>2208</v>
      </c>
      <c r="P1344" t="s">
        <v>2208</v>
      </c>
      <c r="Q1344" t="s">
        <v>2208</v>
      </c>
      <c r="R1344" t="s">
        <v>2208</v>
      </c>
    </row>
    <row r="1345" spans="1:18">
      <c r="A1345" t="s">
        <v>2418</v>
      </c>
      <c r="B1345" t="s">
        <v>11331</v>
      </c>
      <c r="C1345">
        <v>45778</v>
      </c>
      <c r="D1345" t="s">
        <v>7263</v>
      </c>
      <c r="E1345" t="s">
        <v>11332</v>
      </c>
      <c r="F1345">
        <v>45777</v>
      </c>
      <c r="G1345" t="s">
        <v>2208</v>
      </c>
      <c r="H1345" t="s">
        <v>7834</v>
      </c>
      <c r="I1345" t="s">
        <v>16688</v>
      </c>
      <c r="J1345">
        <v>1</v>
      </c>
      <c r="K1345">
        <v>104.61</v>
      </c>
      <c r="L1345" t="s">
        <v>2917</v>
      </c>
      <c r="M1345">
        <v>104.61</v>
      </c>
      <c r="N1345" t="s">
        <v>2917</v>
      </c>
      <c r="O1345" t="s">
        <v>2208</v>
      </c>
      <c r="P1345" t="s">
        <v>2208</v>
      </c>
      <c r="Q1345" t="s">
        <v>2208</v>
      </c>
      <c r="R1345" t="s">
        <v>2208</v>
      </c>
    </row>
    <row r="1346" spans="1:18">
      <c r="A1346" t="s">
        <v>2418</v>
      </c>
      <c r="B1346" t="s">
        <v>11331</v>
      </c>
      <c r="C1346">
        <v>45778</v>
      </c>
      <c r="D1346" t="s">
        <v>7263</v>
      </c>
      <c r="E1346" t="s">
        <v>11332</v>
      </c>
      <c r="F1346">
        <v>45777</v>
      </c>
      <c r="G1346" t="s">
        <v>2208</v>
      </c>
      <c r="H1346" t="s">
        <v>7834</v>
      </c>
      <c r="I1346" t="s">
        <v>16689</v>
      </c>
      <c r="J1346">
        <v>3</v>
      </c>
      <c r="K1346">
        <v>313.83</v>
      </c>
      <c r="L1346" t="s">
        <v>2917</v>
      </c>
      <c r="M1346">
        <v>313.83</v>
      </c>
      <c r="N1346" t="s">
        <v>2917</v>
      </c>
      <c r="O1346" t="s">
        <v>2208</v>
      </c>
      <c r="P1346" t="s">
        <v>2208</v>
      </c>
      <c r="Q1346" t="s">
        <v>2208</v>
      </c>
      <c r="R1346" t="s">
        <v>2208</v>
      </c>
    </row>
    <row r="1347" spans="1:18">
      <c r="A1347" t="s">
        <v>2418</v>
      </c>
      <c r="B1347" t="s">
        <v>11331</v>
      </c>
      <c r="C1347">
        <v>45778</v>
      </c>
      <c r="D1347" t="s">
        <v>7263</v>
      </c>
      <c r="E1347" t="s">
        <v>11332</v>
      </c>
      <c r="F1347">
        <v>45777</v>
      </c>
      <c r="G1347" t="s">
        <v>2208</v>
      </c>
      <c r="H1347" t="s">
        <v>7834</v>
      </c>
      <c r="I1347" t="s">
        <v>16690</v>
      </c>
      <c r="J1347">
        <v>3</v>
      </c>
      <c r="K1347">
        <v>313.83</v>
      </c>
      <c r="L1347" t="s">
        <v>2917</v>
      </c>
      <c r="M1347">
        <v>313.83</v>
      </c>
      <c r="N1347" t="s">
        <v>2917</v>
      </c>
      <c r="O1347" t="s">
        <v>2208</v>
      </c>
      <c r="P1347" t="s">
        <v>2208</v>
      </c>
      <c r="Q1347" t="s">
        <v>2208</v>
      </c>
      <c r="R1347" t="s">
        <v>2208</v>
      </c>
    </row>
    <row r="1348" spans="1:18">
      <c r="A1348" t="s">
        <v>2418</v>
      </c>
      <c r="B1348" t="s">
        <v>11331</v>
      </c>
      <c r="C1348">
        <v>45778</v>
      </c>
      <c r="D1348" t="s">
        <v>7263</v>
      </c>
      <c r="E1348" t="s">
        <v>11332</v>
      </c>
      <c r="F1348">
        <v>45777</v>
      </c>
      <c r="G1348" t="s">
        <v>2208</v>
      </c>
      <c r="H1348" t="s">
        <v>7834</v>
      </c>
      <c r="I1348" t="s">
        <v>16691</v>
      </c>
      <c r="J1348">
        <v>2</v>
      </c>
      <c r="K1348">
        <v>209.22</v>
      </c>
      <c r="L1348" t="s">
        <v>2917</v>
      </c>
      <c r="M1348">
        <v>209.22</v>
      </c>
      <c r="N1348" t="s">
        <v>2917</v>
      </c>
      <c r="O1348" t="s">
        <v>2208</v>
      </c>
      <c r="P1348" t="s">
        <v>2208</v>
      </c>
      <c r="Q1348" t="s">
        <v>2208</v>
      </c>
      <c r="R1348" t="s">
        <v>2208</v>
      </c>
    </row>
    <row r="1349" spans="1:18">
      <c r="A1349" t="s">
        <v>2418</v>
      </c>
      <c r="B1349" t="s">
        <v>11331</v>
      </c>
      <c r="C1349">
        <v>45778</v>
      </c>
      <c r="D1349" t="s">
        <v>7263</v>
      </c>
      <c r="E1349" t="s">
        <v>11332</v>
      </c>
      <c r="F1349">
        <v>45777</v>
      </c>
      <c r="G1349" t="s">
        <v>2208</v>
      </c>
      <c r="H1349" t="s">
        <v>7834</v>
      </c>
      <c r="I1349" t="s">
        <v>16692</v>
      </c>
      <c r="J1349">
        <v>3</v>
      </c>
      <c r="K1349">
        <v>313.83</v>
      </c>
      <c r="L1349" t="s">
        <v>2917</v>
      </c>
      <c r="M1349">
        <v>313.83</v>
      </c>
      <c r="N1349" t="s">
        <v>2917</v>
      </c>
      <c r="O1349" t="s">
        <v>2208</v>
      </c>
      <c r="P1349" t="s">
        <v>2208</v>
      </c>
      <c r="Q1349" t="s">
        <v>2208</v>
      </c>
      <c r="R1349" t="s">
        <v>2208</v>
      </c>
    </row>
    <row r="1350" spans="1:18">
      <c r="A1350" t="s">
        <v>2418</v>
      </c>
      <c r="B1350" t="s">
        <v>11331</v>
      </c>
      <c r="C1350">
        <v>45778</v>
      </c>
      <c r="D1350" t="s">
        <v>7263</v>
      </c>
      <c r="E1350" t="s">
        <v>11332</v>
      </c>
      <c r="F1350">
        <v>45777</v>
      </c>
      <c r="G1350" t="s">
        <v>2208</v>
      </c>
      <c r="H1350" t="s">
        <v>7834</v>
      </c>
      <c r="I1350" t="s">
        <v>16693</v>
      </c>
      <c r="J1350">
        <v>1</v>
      </c>
      <c r="K1350">
        <v>104.61</v>
      </c>
      <c r="L1350" t="s">
        <v>2917</v>
      </c>
      <c r="M1350">
        <v>104.61</v>
      </c>
      <c r="N1350" t="s">
        <v>2917</v>
      </c>
      <c r="O1350" t="s">
        <v>2208</v>
      </c>
      <c r="P1350" t="s">
        <v>2208</v>
      </c>
      <c r="Q1350" t="s">
        <v>2208</v>
      </c>
      <c r="R1350" t="s">
        <v>2208</v>
      </c>
    </row>
    <row r="1351" spans="1:18">
      <c r="A1351" t="s">
        <v>2418</v>
      </c>
      <c r="B1351" t="s">
        <v>11331</v>
      </c>
      <c r="C1351">
        <v>45778</v>
      </c>
      <c r="D1351" t="s">
        <v>7263</v>
      </c>
      <c r="E1351" t="s">
        <v>11332</v>
      </c>
      <c r="F1351">
        <v>45777</v>
      </c>
      <c r="G1351" t="s">
        <v>2208</v>
      </c>
      <c r="H1351" t="s">
        <v>7834</v>
      </c>
      <c r="I1351" t="s">
        <v>16694</v>
      </c>
      <c r="J1351">
        <v>1</v>
      </c>
      <c r="K1351">
        <v>104.61</v>
      </c>
      <c r="L1351" t="s">
        <v>2917</v>
      </c>
      <c r="M1351">
        <v>104.61</v>
      </c>
      <c r="N1351" t="s">
        <v>2917</v>
      </c>
      <c r="O1351" t="s">
        <v>2208</v>
      </c>
      <c r="P1351" t="s">
        <v>2208</v>
      </c>
      <c r="Q1351" t="s">
        <v>2208</v>
      </c>
      <c r="R1351" t="s">
        <v>2208</v>
      </c>
    </row>
    <row r="1352" spans="1:18">
      <c r="A1352" t="s">
        <v>2418</v>
      </c>
      <c r="B1352" t="s">
        <v>11331</v>
      </c>
      <c r="C1352">
        <v>45778</v>
      </c>
      <c r="D1352" t="s">
        <v>7263</v>
      </c>
      <c r="E1352" t="s">
        <v>11332</v>
      </c>
      <c r="F1352">
        <v>45777</v>
      </c>
      <c r="G1352" t="s">
        <v>2208</v>
      </c>
      <c r="H1352" t="s">
        <v>7834</v>
      </c>
      <c r="I1352" t="s">
        <v>16695</v>
      </c>
      <c r="J1352">
        <v>1</v>
      </c>
      <c r="K1352">
        <v>104.61</v>
      </c>
      <c r="L1352" t="s">
        <v>2917</v>
      </c>
      <c r="M1352">
        <v>104.61</v>
      </c>
      <c r="N1352" t="s">
        <v>2917</v>
      </c>
      <c r="O1352" t="s">
        <v>2208</v>
      </c>
      <c r="P1352" t="s">
        <v>2208</v>
      </c>
      <c r="Q1352" t="s">
        <v>2208</v>
      </c>
      <c r="R1352" t="s">
        <v>2208</v>
      </c>
    </row>
    <row r="1353" spans="1:18">
      <c r="A1353" t="s">
        <v>2418</v>
      </c>
      <c r="B1353" t="s">
        <v>11331</v>
      </c>
      <c r="C1353">
        <v>45778</v>
      </c>
      <c r="D1353" t="s">
        <v>7263</v>
      </c>
      <c r="E1353" t="s">
        <v>11332</v>
      </c>
      <c r="F1353">
        <v>45777</v>
      </c>
      <c r="G1353" t="s">
        <v>2208</v>
      </c>
      <c r="H1353" t="s">
        <v>7834</v>
      </c>
      <c r="I1353" t="s">
        <v>16696</v>
      </c>
      <c r="J1353">
        <v>1</v>
      </c>
      <c r="K1353">
        <v>104.61</v>
      </c>
      <c r="L1353" t="s">
        <v>2917</v>
      </c>
      <c r="M1353">
        <v>104.61</v>
      </c>
      <c r="N1353" t="s">
        <v>2917</v>
      </c>
      <c r="O1353" t="s">
        <v>2208</v>
      </c>
      <c r="P1353" t="s">
        <v>2208</v>
      </c>
      <c r="Q1353" t="s">
        <v>2208</v>
      </c>
      <c r="R1353" t="s">
        <v>2208</v>
      </c>
    </row>
    <row r="1354" spans="1:18">
      <c r="A1354" t="s">
        <v>2418</v>
      </c>
      <c r="B1354" t="s">
        <v>11331</v>
      </c>
      <c r="C1354">
        <v>45778</v>
      </c>
      <c r="D1354" t="s">
        <v>7263</v>
      </c>
      <c r="E1354" t="s">
        <v>11332</v>
      </c>
      <c r="F1354">
        <v>45777</v>
      </c>
      <c r="G1354" t="s">
        <v>2208</v>
      </c>
      <c r="H1354" t="s">
        <v>7834</v>
      </c>
      <c r="I1354" t="s">
        <v>16697</v>
      </c>
      <c r="J1354">
        <v>2</v>
      </c>
      <c r="K1354">
        <v>209.22</v>
      </c>
      <c r="L1354" t="s">
        <v>2917</v>
      </c>
      <c r="M1354">
        <v>209.22</v>
      </c>
      <c r="N1354" t="s">
        <v>2917</v>
      </c>
      <c r="O1354" t="s">
        <v>2208</v>
      </c>
      <c r="P1354" t="s">
        <v>2208</v>
      </c>
      <c r="Q1354" t="s">
        <v>2208</v>
      </c>
      <c r="R1354" t="s">
        <v>2208</v>
      </c>
    </row>
    <row r="1355" spans="1:18">
      <c r="A1355" t="s">
        <v>2418</v>
      </c>
      <c r="B1355" t="s">
        <v>11331</v>
      </c>
      <c r="C1355">
        <v>45778</v>
      </c>
      <c r="D1355" t="s">
        <v>7263</v>
      </c>
      <c r="E1355" t="s">
        <v>11332</v>
      </c>
      <c r="F1355">
        <v>45777</v>
      </c>
      <c r="G1355" t="s">
        <v>2208</v>
      </c>
      <c r="H1355" t="s">
        <v>7834</v>
      </c>
      <c r="I1355" t="s">
        <v>16698</v>
      </c>
      <c r="J1355">
        <v>2</v>
      </c>
      <c r="K1355">
        <v>209.22</v>
      </c>
      <c r="L1355" t="s">
        <v>2917</v>
      </c>
      <c r="M1355">
        <v>209.22</v>
      </c>
      <c r="N1355" t="s">
        <v>2917</v>
      </c>
      <c r="O1355" t="s">
        <v>2208</v>
      </c>
      <c r="P1355" t="s">
        <v>2208</v>
      </c>
      <c r="Q1355" t="s">
        <v>2208</v>
      </c>
      <c r="R1355" t="s">
        <v>2208</v>
      </c>
    </row>
    <row r="1356" spans="1:18">
      <c r="A1356" t="s">
        <v>2418</v>
      </c>
      <c r="B1356" t="s">
        <v>11331</v>
      </c>
      <c r="C1356">
        <v>45778</v>
      </c>
      <c r="D1356" t="s">
        <v>7263</v>
      </c>
      <c r="E1356" t="s">
        <v>11332</v>
      </c>
      <c r="F1356">
        <v>45777</v>
      </c>
      <c r="G1356" t="s">
        <v>2208</v>
      </c>
      <c r="H1356" t="s">
        <v>7834</v>
      </c>
      <c r="I1356" t="s">
        <v>16699</v>
      </c>
      <c r="J1356">
        <v>1.25</v>
      </c>
      <c r="K1356">
        <v>130.76</v>
      </c>
      <c r="L1356" t="s">
        <v>2917</v>
      </c>
      <c r="M1356">
        <v>130.76</v>
      </c>
      <c r="N1356" t="s">
        <v>2917</v>
      </c>
      <c r="O1356" t="s">
        <v>2208</v>
      </c>
      <c r="P1356" t="s">
        <v>2208</v>
      </c>
      <c r="Q1356" t="s">
        <v>2208</v>
      </c>
      <c r="R1356" t="s">
        <v>2208</v>
      </c>
    </row>
    <row r="1357" spans="1:18">
      <c r="A1357" t="s">
        <v>2418</v>
      </c>
      <c r="B1357" t="s">
        <v>11331</v>
      </c>
      <c r="C1357">
        <v>45778</v>
      </c>
      <c r="D1357" t="s">
        <v>7263</v>
      </c>
      <c r="E1357" t="s">
        <v>11332</v>
      </c>
      <c r="F1357">
        <v>45777</v>
      </c>
      <c r="G1357" t="s">
        <v>2208</v>
      </c>
      <c r="H1357" t="s">
        <v>7834</v>
      </c>
      <c r="I1357" t="s">
        <v>16700</v>
      </c>
      <c r="J1357">
        <v>0.25</v>
      </c>
      <c r="K1357">
        <v>26.15</v>
      </c>
      <c r="L1357" t="s">
        <v>2917</v>
      </c>
      <c r="M1357">
        <v>26.15</v>
      </c>
      <c r="N1357" t="s">
        <v>2917</v>
      </c>
      <c r="O1357" t="s">
        <v>2208</v>
      </c>
      <c r="P1357" t="s">
        <v>2208</v>
      </c>
      <c r="Q1357" t="s">
        <v>2208</v>
      </c>
      <c r="R1357" t="s">
        <v>2208</v>
      </c>
    </row>
    <row r="1358" spans="1:18">
      <c r="A1358" t="s">
        <v>2418</v>
      </c>
      <c r="B1358" t="s">
        <v>11331</v>
      </c>
      <c r="C1358">
        <v>45778</v>
      </c>
      <c r="D1358" t="s">
        <v>7263</v>
      </c>
      <c r="E1358" t="s">
        <v>11332</v>
      </c>
      <c r="F1358">
        <v>45777</v>
      </c>
      <c r="G1358" t="s">
        <v>2208</v>
      </c>
      <c r="H1358" t="s">
        <v>7834</v>
      </c>
      <c r="I1358" t="s">
        <v>16701</v>
      </c>
      <c r="J1358">
        <v>0.75</v>
      </c>
      <c r="K1358">
        <v>78.459999999999994</v>
      </c>
      <c r="L1358" t="s">
        <v>2917</v>
      </c>
      <c r="M1358">
        <v>78.459999999999994</v>
      </c>
      <c r="N1358" t="s">
        <v>2917</v>
      </c>
      <c r="O1358" t="s">
        <v>2208</v>
      </c>
      <c r="P1358" t="s">
        <v>2208</v>
      </c>
      <c r="Q1358" t="s">
        <v>2208</v>
      </c>
      <c r="R1358" t="s">
        <v>2208</v>
      </c>
    </row>
    <row r="1359" spans="1:18">
      <c r="A1359" t="s">
        <v>2418</v>
      </c>
      <c r="B1359" t="s">
        <v>11331</v>
      </c>
      <c r="C1359">
        <v>45778</v>
      </c>
      <c r="D1359" t="s">
        <v>7263</v>
      </c>
      <c r="E1359" t="s">
        <v>11332</v>
      </c>
      <c r="F1359">
        <v>45777</v>
      </c>
      <c r="G1359" t="s">
        <v>2208</v>
      </c>
      <c r="H1359" t="s">
        <v>7834</v>
      </c>
      <c r="I1359" t="s">
        <v>16702</v>
      </c>
      <c r="J1359">
        <v>1.5</v>
      </c>
      <c r="K1359">
        <v>156.91999999999999</v>
      </c>
      <c r="L1359" t="s">
        <v>2917</v>
      </c>
      <c r="M1359">
        <v>156.91999999999999</v>
      </c>
      <c r="N1359" t="s">
        <v>2917</v>
      </c>
      <c r="O1359" t="s">
        <v>2208</v>
      </c>
      <c r="P1359" t="s">
        <v>2208</v>
      </c>
      <c r="Q1359" t="s">
        <v>2208</v>
      </c>
      <c r="R1359" t="s">
        <v>2208</v>
      </c>
    </row>
    <row r="1360" spans="1:18">
      <c r="A1360" t="s">
        <v>2418</v>
      </c>
      <c r="B1360" t="s">
        <v>11331</v>
      </c>
      <c r="C1360">
        <v>45778</v>
      </c>
      <c r="D1360" t="s">
        <v>7263</v>
      </c>
      <c r="E1360" t="s">
        <v>11332</v>
      </c>
      <c r="F1360">
        <v>45777</v>
      </c>
      <c r="G1360" t="s">
        <v>2208</v>
      </c>
      <c r="H1360" t="s">
        <v>7834</v>
      </c>
      <c r="I1360" t="s">
        <v>16703</v>
      </c>
      <c r="J1360">
        <v>1</v>
      </c>
      <c r="K1360">
        <v>104.61</v>
      </c>
      <c r="L1360" t="s">
        <v>2917</v>
      </c>
      <c r="M1360">
        <v>104.61</v>
      </c>
      <c r="N1360" t="s">
        <v>2917</v>
      </c>
      <c r="O1360" t="s">
        <v>2208</v>
      </c>
      <c r="P1360" t="s">
        <v>2208</v>
      </c>
      <c r="Q1360" t="s">
        <v>2208</v>
      </c>
      <c r="R1360" t="s">
        <v>2208</v>
      </c>
    </row>
    <row r="1361" spans="1:18">
      <c r="A1361" t="s">
        <v>2418</v>
      </c>
      <c r="B1361" t="s">
        <v>11331</v>
      </c>
      <c r="C1361">
        <v>45778</v>
      </c>
      <c r="D1361" t="s">
        <v>7263</v>
      </c>
      <c r="E1361" t="s">
        <v>11332</v>
      </c>
      <c r="F1361">
        <v>45777</v>
      </c>
      <c r="G1361" t="s">
        <v>2208</v>
      </c>
      <c r="H1361" t="s">
        <v>7834</v>
      </c>
      <c r="I1361" t="s">
        <v>16704</v>
      </c>
      <c r="J1361">
        <v>0.5</v>
      </c>
      <c r="K1361">
        <v>52.31</v>
      </c>
      <c r="L1361" t="s">
        <v>2917</v>
      </c>
      <c r="M1361">
        <v>52.31</v>
      </c>
      <c r="N1361" t="s">
        <v>2917</v>
      </c>
      <c r="O1361" t="s">
        <v>2208</v>
      </c>
      <c r="P1361" t="s">
        <v>2208</v>
      </c>
      <c r="Q1361" t="s">
        <v>2208</v>
      </c>
      <c r="R1361" t="s">
        <v>2208</v>
      </c>
    </row>
    <row r="1362" spans="1:18">
      <c r="A1362" t="s">
        <v>2418</v>
      </c>
      <c r="B1362" t="s">
        <v>11331</v>
      </c>
      <c r="C1362">
        <v>45778</v>
      </c>
      <c r="D1362" t="s">
        <v>7263</v>
      </c>
      <c r="E1362" t="s">
        <v>11332</v>
      </c>
      <c r="F1362">
        <v>45777</v>
      </c>
      <c r="G1362" t="s">
        <v>2208</v>
      </c>
      <c r="H1362" t="s">
        <v>7834</v>
      </c>
      <c r="I1362" t="s">
        <v>16705</v>
      </c>
      <c r="J1362">
        <v>0.5</v>
      </c>
      <c r="K1362">
        <v>52.31</v>
      </c>
      <c r="L1362" t="s">
        <v>2917</v>
      </c>
      <c r="M1362">
        <v>52.31</v>
      </c>
      <c r="N1362" t="s">
        <v>2917</v>
      </c>
      <c r="O1362" t="s">
        <v>2208</v>
      </c>
      <c r="P1362" t="s">
        <v>2208</v>
      </c>
      <c r="Q1362" t="s">
        <v>2208</v>
      </c>
      <c r="R1362" t="s">
        <v>2208</v>
      </c>
    </row>
    <row r="1363" spans="1:18">
      <c r="A1363" t="s">
        <v>2418</v>
      </c>
      <c r="B1363" t="s">
        <v>11331</v>
      </c>
      <c r="C1363">
        <v>45778</v>
      </c>
      <c r="D1363" t="s">
        <v>7263</v>
      </c>
      <c r="E1363" t="s">
        <v>11332</v>
      </c>
      <c r="F1363">
        <v>45777</v>
      </c>
      <c r="G1363" t="s">
        <v>2208</v>
      </c>
      <c r="H1363" t="s">
        <v>7834</v>
      </c>
      <c r="I1363" t="s">
        <v>16706</v>
      </c>
      <c r="J1363">
        <v>0.5</v>
      </c>
      <c r="K1363">
        <v>52.31</v>
      </c>
      <c r="L1363" t="s">
        <v>2917</v>
      </c>
      <c r="M1363">
        <v>52.31</v>
      </c>
      <c r="N1363" t="s">
        <v>2917</v>
      </c>
      <c r="O1363" t="s">
        <v>2208</v>
      </c>
      <c r="P1363" t="s">
        <v>2208</v>
      </c>
      <c r="Q1363" t="s">
        <v>2208</v>
      </c>
      <c r="R1363" t="s">
        <v>2208</v>
      </c>
    </row>
    <row r="1364" spans="1:18">
      <c r="A1364" t="s">
        <v>2418</v>
      </c>
      <c r="B1364" t="s">
        <v>11331</v>
      </c>
      <c r="C1364">
        <v>45778</v>
      </c>
      <c r="D1364" t="s">
        <v>7263</v>
      </c>
      <c r="E1364" t="s">
        <v>11332</v>
      </c>
      <c r="F1364">
        <v>45777</v>
      </c>
      <c r="G1364" t="s">
        <v>2208</v>
      </c>
      <c r="H1364" t="s">
        <v>7834</v>
      </c>
      <c r="I1364" t="s">
        <v>16707</v>
      </c>
      <c r="J1364">
        <v>1</v>
      </c>
      <c r="K1364">
        <v>104.61</v>
      </c>
      <c r="L1364" t="s">
        <v>2917</v>
      </c>
      <c r="M1364">
        <v>104.61</v>
      </c>
      <c r="N1364" t="s">
        <v>2917</v>
      </c>
      <c r="O1364" t="s">
        <v>2208</v>
      </c>
      <c r="P1364" t="s">
        <v>2208</v>
      </c>
      <c r="Q1364" t="s">
        <v>2208</v>
      </c>
      <c r="R1364" t="s">
        <v>2208</v>
      </c>
    </row>
    <row r="1365" spans="1:18">
      <c r="A1365" t="s">
        <v>2418</v>
      </c>
      <c r="B1365" t="s">
        <v>11331</v>
      </c>
      <c r="C1365">
        <v>45778</v>
      </c>
      <c r="D1365" t="s">
        <v>7263</v>
      </c>
      <c r="E1365" t="s">
        <v>11332</v>
      </c>
      <c r="F1365">
        <v>45777</v>
      </c>
      <c r="G1365" t="s">
        <v>2208</v>
      </c>
      <c r="H1365" t="s">
        <v>7834</v>
      </c>
      <c r="I1365" t="s">
        <v>16708</v>
      </c>
      <c r="J1365">
        <v>1.1000000000000001</v>
      </c>
      <c r="K1365">
        <v>115.07</v>
      </c>
      <c r="L1365" t="s">
        <v>2917</v>
      </c>
      <c r="M1365">
        <v>115.07</v>
      </c>
      <c r="N1365" t="s">
        <v>2917</v>
      </c>
      <c r="O1365" t="s">
        <v>2208</v>
      </c>
      <c r="P1365" t="s">
        <v>2208</v>
      </c>
      <c r="Q1365" t="s">
        <v>2208</v>
      </c>
      <c r="R1365" t="s">
        <v>2208</v>
      </c>
    </row>
    <row r="1366" spans="1:18">
      <c r="A1366" t="s">
        <v>2418</v>
      </c>
      <c r="B1366" t="s">
        <v>11331</v>
      </c>
      <c r="C1366">
        <v>45778</v>
      </c>
      <c r="D1366" t="s">
        <v>7263</v>
      </c>
      <c r="E1366" t="s">
        <v>11332</v>
      </c>
      <c r="F1366">
        <v>45777</v>
      </c>
      <c r="G1366" t="s">
        <v>2208</v>
      </c>
      <c r="H1366" t="s">
        <v>7834</v>
      </c>
      <c r="I1366" t="s">
        <v>16709</v>
      </c>
      <c r="J1366">
        <v>1</v>
      </c>
      <c r="K1366">
        <v>104.61</v>
      </c>
      <c r="L1366" t="s">
        <v>2917</v>
      </c>
      <c r="M1366">
        <v>104.61</v>
      </c>
      <c r="N1366" t="s">
        <v>2917</v>
      </c>
      <c r="O1366" t="s">
        <v>2208</v>
      </c>
      <c r="P1366" t="s">
        <v>2208</v>
      </c>
      <c r="Q1366" t="s">
        <v>2208</v>
      </c>
      <c r="R1366" t="s">
        <v>2208</v>
      </c>
    </row>
    <row r="1367" spans="1:18">
      <c r="A1367" t="s">
        <v>2418</v>
      </c>
      <c r="B1367" t="s">
        <v>11331</v>
      </c>
      <c r="C1367">
        <v>45778</v>
      </c>
      <c r="D1367" t="s">
        <v>7263</v>
      </c>
      <c r="E1367" t="s">
        <v>11332</v>
      </c>
      <c r="F1367">
        <v>45777</v>
      </c>
      <c r="G1367" t="s">
        <v>2208</v>
      </c>
      <c r="H1367" t="s">
        <v>7834</v>
      </c>
      <c r="I1367" t="s">
        <v>16710</v>
      </c>
      <c r="J1367">
        <v>1</v>
      </c>
      <c r="K1367">
        <v>104.61</v>
      </c>
      <c r="L1367" t="s">
        <v>2917</v>
      </c>
      <c r="M1367">
        <v>104.61</v>
      </c>
      <c r="N1367" t="s">
        <v>2917</v>
      </c>
      <c r="O1367" t="s">
        <v>2208</v>
      </c>
      <c r="P1367" t="s">
        <v>2208</v>
      </c>
      <c r="Q1367" t="s">
        <v>2208</v>
      </c>
      <c r="R1367" t="s">
        <v>2208</v>
      </c>
    </row>
    <row r="1368" spans="1:18">
      <c r="A1368" t="s">
        <v>2418</v>
      </c>
      <c r="B1368" t="s">
        <v>11331</v>
      </c>
      <c r="C1368">
        <v>45778</v>
      </c>
      <c r="D1368" t="s">
        <v>7263</v>
      </c>
      <c r="E1368" t="s">
        <v>11332</v>
      </c>
      <c r="F1368">
        <v>45777</v>
      </c>
      <c r="G1368" t="s">
        <v>2208</v>
      </c>
      <c r="H1368" t="s">
        <v>7834</v>
      </c>
      <c r="I1368" t="s">
        <v>16711</v>
      </c>
      <c r="J1368">
        <v>1</v>
      </c>
      <c r="K1368">
        <v>104.61</v>
      </c>
      <c r="L1368" t="s">
        <v>2917</v>
      </c>
      <c r="M1368">
        <v>104.61</v>
      </c>
      <c r="N1368" t="s">
        <v>2917</v>
      </c>
      <c r="O1368" t="s">
        <v>2208</v>
      </c>
      <c r="P1368" t="s">
        <v>2208</v>
      </c>
      <c r="Q1368" t="s">
        <v>2208</v>
      </c>
      <c r="R1368" t="s">
        <v>2208</v>
      </c>
    </row>
    <row r="1369" spans="1:18">
      <c r="A1369" t="s">
        <v>2418</v>
      </c>
      <c r="B1369" t="s">
        <v>11331</v>
      </c>
      <c r="C1369">
        <v>45778</v>
      </c>
      <c r="D1369" t="s">
        <v>7263</v>
      </c>
      <c r="E1369" t="s">
        <v>11332</v>
      </c>
      <c r="F1369">
        <v>45777</v>
      </c>
      <c r="G1369" t="s">
        <v>2208</v>
      </c>
      <c r="H1369" t="s">
        <v>7834</v>
      </c>
      <c r="I1369" t="s">
        <v>16712</v>
      </c>
      <c r="J1369">
        <v>1</v>
      </c>
      <c r="K1369">
        <v>104.61</v>
      </c>
      <c r="L1369" t="s">
        <v>2917</v>
      </c>
      <c r="M1369">
        <v>104.61</v>
      </c>
      <c r="N1369" t="s">
        <v>2917</v>
      </c>
      <c r="O1369" t="s">
        <v>2208</v>
      </c>
      <c r="P1369" t="s">
        <v>2208</v>
      </c>
      <c r="Q1369" t="s">
        <v>2208</v>
      </c>
      <c r="R1369" t="s">
        <v>2208</v>
      </c>
    </row>
    <row r="1370" spans="1:18">
      <c r="A1370" t="s">
        <v>2418</v>
      </c>
      <c r="B1370" t="s">
        <v>11331</v>
      </c>
      <c r="C1370">
        <v>45778</v>
      </c>
      <c r="D1370" t="s">
        <v>7263</v>
      </c>
      <c r="E1370" t="s">
        <v>11332</v>
      </c>
      <c r="F1370">
        <v>45777</v>
      </c>
      <c r="G1370" t="s">
        <v>2208</v>
      </c>
      <c r="H1370" t="s">
        <v>7834</v>
      </c>
      <c r="I1370" t="s">
        <v>16713</v>
      </c>
      <c r="J1370">
        <v>1</v>
      </c>
      <c r="K1370">
        <v>104.61</v>
      </c>
      <c r="L1370" t="s">
        <v>2917</v>
      </c>
      <c r="M1370">
        <v>104.61</v>
      </c>
      <c r="N1370" t="s">
        <v>2917</v>
      </c>
      <c r="O1370" t="s">
        <v>2208</v>
      </c>
      <c r="P1370" t="s">
        <v>2208</v>
      </c>
      <c r="Q1370" t="s">
        <v>2208</v>
      </c>
      <c r="R1370" t="s">
        <v>2208</v>
      </c>
    </row>
    <row r="1371" spans="1:18">
      <c r="A1371" t="s">
        <v>2418</v>
      </c>
      <c r="B1371" t="s">
        <v>11331</v>
      </c>
      <c r="C1371">
        <v>45778</v>
      </c>
      <c r="D1371" t="s">
        <v>7263</v>
      </c>
      <c r="E1371" t="s">
        <v>11332</v>
      </c>
      <c r="F1371">
        <v>45777</v>
      </c>
      <c r="G1371" t="s">
        <v>2208</v>
      </c>
      <c r="H1371" t="s">
        <v>7834</v>
      </c>
      <c r="I1371" t="s">
        <v>16714</v>
      </c>
      <c r="J1371">
        <v>1</v>
      </c>
      <c r="K1371">
        <v>104.61</v>
      </c>
      <c r="L1371" t="s">
        <v>2917</v>
      </c>
      <c r="M1371">
        <v>104.61</v>
      </c>
      <c r="N1371" t="s">
        <v>2917</v>
      </c>
      <c r="O1371" t="s">
        <v>2208</v>
      </c>
      <c r="P1371" t="s">
        <v>2208</v>
      </c>
      <c r="Q1371" t="s">
        <v>2208</v>
      </c>
      <c r="R1371" t="s">
        <v>2208</v>
      </c>
    </row>
    <row r="1372" spans="1:18">
      <c r="A1372" t="s">
        <v>2418</v>
      </c>
      <c r="B1372" t="s">
        <v>11331</v>
      </c>
      <c r="C1372">
        <v>45778</v>
      </c>
      <c r="D1372" t="s">
        <v>7263</v>
      </c>
      <c r="E1372" t="s">
        <v>11332</v>
      </c>
      <c r="F1372">
        <v>45777</v>
      </c>
      <c r="G1372" t="s">
        <v>2208</v>
      </c>
      <c r="H1372" t="s">
        <v>7834</v>
      </c>
      <c r="I1372" t="s">
        <v>16715</v>
      </c>
      <c r="J1372">
        <v>1</v>
      </c>
      <c r="K1372">
        <v>104.61</v>
      </c>
      <c r="L1372" t="s">
        <v>2917</v>
      </c>
      <c r="M1372">
        <v>104.61</v>
      </c>
      <c r="N1372" t="s">
        <v>2917</v>
      </c>
      <c r="O1372" t="s">
        <v>2208</v>
      </c>
      <c r="P1372" t="s">
        <v>2208</v>
      </c>
      <c r="Q1372" t="s">
        <v>2208</v>
      </c>
      <c r="R1372" t="s">
        <v>2208</v>
      </c>
    </row>
    <row r="1373" spans="1:18">
      <c r="A1373" t="s">
        <v>2418</v>
      </c>
      <c r="B1373" t="s">
        <v>11331</v>
      </c>
      <c r="C1373">
        <v>45778</v>
      </c>
      <c r="D1373" t="s">
        <v>7263</v>
      </c>
      <c r="E1373" t="s">
        <v>11332</v>
      </c>
      <c r="F1373">
        <v>45777</v>
      </c>
      <c r="G1373" t="s">
        <v>2208</v>
      </c>
      <c r="H1373" t="s">
        <v>7834</v>
      </c>
      <c r="I1373" t="s">
        <v>16716</v>
      </c>
      <c r="J1373">
        <v>1</v>
      </c>
      <c r="K1373">
        <v>104.61</v>
      </c>
      <c r="L1373" t="s">
        <v>2917</v>
      </c>
      <c r="M1373">
        <v>104.61</v>
      </c>
      <c r="N1373" t="s">
        <v>2917</v>
      </c>
      <c r="O1373" t="s">
        <v>2208</v>
      </c>
      <c r="P1373" t="s">
        <v>2208</v>
      </c>
      <c r="Q1373" t="s">
        <v>2208</v>
      </c>
      <c r="R1373" t="s">
        <v>2208</v>
      </c>
    </row>
    <row r="1374" spans="1:18">
      <c r="A1374" t="s">
        <v>2418</v>
      </c>
      <c r="B1374" t="s">
        <v>11331</v>
      </c>
      <c r="C1374">
        <v>45778</v>
      </c>
      <c r="D1374" t="s">
        <v>7263</v>
      </c>
      <c r="E1374" t="s">
        <v>11332</v>
      </c>
      <c r="F1374">
        <v>45777</v>
      </c>
      <c r="G1374" t="s">
        <v>2208</v>
      </c>
      <c r="H1374" t="s">
        <v>7834</v>
      </c>
      <c r="I1374" t="s">
        <v>16717</v>
      </c>
      <c r="J1374">
        <v>1</v>
      </c>
      <c r="K1374">
        <v>104.61</v>
      </c>
      <c r="L1374" t="s">
        <v>2917</v>
      </c>
      <c r="M1374">
        <v>104.61</v>
      </c>
      <c r="N1374" t="s">
        <v>2917</v>
      </c>
      <c r="O1374" t="s">
        <v>2208</v>
      </c>
      <c r="P1374" t="s">
        <v>2208</v>
      </c>
      <c r="Q1374" t="s">
        <v>2208</v>
      </c>
      <c r="R1374" t="s">
        <v>2208</v>
      </c>
    </row>
    <row r="1375" spans="1:18">
      <c r="A1375" t="s">
        <v>2418</v>
      </c>
      <c r="B1375" t="s">
        <v>11331</v>
      </c>
      <c r="C1375">
        <v>45778</v>
      </c>
      <c r="D1375" t="s">
        <v>7263</v>
      </c>
      <c r="E1375" t="s">
        <v>11332</v>
      </c>
      <c r="F1375">
        <v>45777</v>
      </c>
      <c r="G1375" t="s">
        <v>2208</v>
      </c>
      <c r="H1375" t="s">
        <v>7834</v>
      </c>
      <c r="I1375" t="s">
        <v>16718</v>
      </c>
      <c r="J1375">
        <v>1</v>
      </c>
      <c r="K1375">
        <v>104.61</v>
      </c>
      <c r="L1375" t="s">
        <v>2917</v>
      </c>
      <c r="M1375">
        <v>104.61</v>
      </c>
      <c r="N1375" t="s">
        <v>2917</v>
      </c>
      <c r="O1375" t="s">
        <v>2208</v>
      </c>
      <c r="P1375" t="s">
        <v>2208</v>
      </c>
      <c r="Q1375" t="s">
        <v>2208</v>
      </c>
      <c r="R1375" t="s">
        <v>2208</v>
      </c>
    </row>
    <row r="1376" spans="1:18">
      <c r="A1376" t="s">
        <v>2418</v>
      </c>
      <c r="B1376" t="s">
        <v>11331</v>
      </c>
      <c r="C1376">
        <v>45778</v>
      </c>
      <c r="D1376" t="s">
        <v>7263</v>
      </c>
      <c r="E1376" t="s">
        <v>11332</v>
      </c>
      <c r="F1376">
        <v>45777</v>
      </c>
      <c r="G1376" t="s">
        <v>2208</v>
      </c>
      <c r="H1376" t="s">
        <v>7834</v>
      </c>
      <c r="I1376" t="s">
        <v>16719</v>
      </c>
      <c r="J1376">
        <v>1</v>
      </c>
      <c r="K1376">
        <v>104.61</v>
      </c>
      <c r="L1376" t="s">
        <v>2917</v>
      </c>
      <c r="M1376">
        <v>104.61</v>
      </c>
      <c r="N1376" t="s">
        <v>2917</v>
      </c>
      <c r="O1376" t="s">
        <v>2208</v>
      </c>
      <c r="P1376" t="s">
        <v>2208</v>
      </c>
      <c r="Q1376" t="s">
        <v>2208</v>
      </c>
      <c r="R1376" t="s">
        <v>2208</v>
      </c>
    </row>
    <row r="1377" spans="1:18">
      <c r="A1377" t="s">
        <v>2418</v>
      </c>
      <c r="B1377" t="s">
        <v>11331</v>
      </c>
      <c r="C1377">
        <v>45778</v>
      </c>
      <c r="D1377" t="s">
        <v>7263</v>
      </c>
      <c r="E1377" t="s">
        <v>11332</v>
      </c>
      <c r="F1377">
        <v>45777</v>
      </c>
      <c r="G1377" t="s">
        <v>2208</v>
      </c>
      <c r="H1377" t="s">
        <v>7834</v>
      </c>
      <c r="I1377" t="s">
        <v>16720</v>
      </c>
      <c r="J1377">
        <v>1</v>
      </c>
      <c r="K1377">
        <v>104.61</v>
      </c>
      <c r="L1377" t="s">
        <v>2917</v>
      </c>
      <c r="M1377">
        <v>104.61</v>
      </c>
      <c r="N1377" t="s">
        <v>2917</v>
      </c>
      <c r="O1377" t="s">
        <v>2208</v>
      </c>
      <c r="P1377" t="s">
        <v>2208</v>
      </c>
      <c r="Q1377" t="s">
        <v>2208</v>
      </c>
      <c r="R1377" t="s">
        <v>2208</v>
      </c>
    </row>
    <row r="1378" spans="1:18">
      <c r="A1378" t="s">
        <v>2418</v>
      </c>
      <c r="B1378" t="s">
        <v>11331</v>
      </c>
      <c r="C1378">
        <v>45778</v>
      </c>
      <c r="D1378" t="s">
        <v>7263</v>
      </c>
      <c r="E1378" t="s">
        <v>11332</v>
      </c>
      <c r="F1378">
        <v>45777</v>
      </c>
      <c r="G1378" t="s">
        <v>2208</v>
      </c>
      <c r="H1378" t="s">
        <v>7834</v>
      </c>
      <c r="I1378" t="s">
        <v>16721</v>
      </c>
      <c r="J1378">
        <v>0.5</v>
      </c>
      <c r="K1378">
        <v>52.31</v>
      </c>
      <c r="L1378" t="s">
        <v>2917</v>
      </c>
      <c r="M1378">
        <v>52.31</v>
      </c>
      <c r="N1378" t="s">
        <v>2917</v>
      </c>
      <c r="O1378" t="s">
        <v>2208</v>
      </c>
      <c r="P1378" t="s">
        <v>2208</v>
      </c>
      <c r="Q1378" t="s">
        <v>2208</v>
      </c>
      <c r="R1378" t="s">
        <v>2208</v>
      </c>
    </row>
    <row r="1379" spans="1:18">
      <c r="A1379" t="s">
        <v>2418</v>
      </c>
      <c r="B1379" t="s">
        <v>11331</v>
      </c>
      <c r="C1379">
        <v>45778</v>
      </c>
      <c r="D1379" t="s">
        <v>7263</v>
      </c>
      <c r="E1379" t="s">
        <v>11332</v>
      </c>
      <c r="F1379">
        <v>45777</v>
      </c>
      <c r="G1379" t="s">
        <v>2208</v>
      </c>
      <c r="H1379" t="s">
        <v>7834</v>
      </c>
      <c r="I1379" t="s">
        <v>16722</v>
      </c>
      <c r="J1379">
        <v>1</v>
      </c>
      <c r="K1379">
        <v>104.61</v>
      </c>
      <c r="L1379" t="s">
        <v>2917</v>
      </c>
      <c r="M1379">
        <v>104.61</v>
      </c>
      <c r="N1379" t="s">
        <v>2917</v>
      </c>
      <c r="O1379" t="s">
        <v>2208</v>
      </c>
      <c r="P1379" t="s">
        <v>2208</v>
      </c>
      <c r="Q1379" t="s">
        <v>2208</v>
      </c>
      <c r="R1379" t="s">
        <v>2208</v>
      </c>
    </row>
    <row r="1380" spans="1:18">
      <c r="A1380" t="s">
        <v>2418</v>
      </c>
      <c r="B1380" t="s">
        <v>11331</v>
      </c>
      <c r="C1380">
        <v>45778</v>
      </c>
      <c r="D1380" t="s">
        <v>7263</v>
      </c>
      <c r="E1380" t="s">
        <v>11332</v>
      </c>
      <c r="F1380">
        <v>45777</v>
      </c>
      <c r="G1380" t="s">
        <v>2208</v>
      </c>
      <c r="H1380" t="s">
        <v>7834</v>
      </c>
      <c r="I1380" t="s">
        <v>16723</v>
      </c>
      <c r="J1380">
        <v>2</v>
      </c>
      <c r="K1380">
        <v>209.22</v>
      </c>
      <c r="L1380" t="s">
        <v>2917</v>
      </c>
      <c r="M1380">
        <v>209.22</v>
      </c>
      <c r="N1380" t="s">
        <v>2917</v>
      </c>
      <c r="O1380" t="s">
        <v>2208</v>
      </c>
      <c r="P1380" t="s">
        <v>2208</v>
      </c>
      <c r="Q1380" t="s">
        <v>2208</v>
      </c>
      <c r="R1380" t="s">
        <v>2208</v>
      </c>
    </row>
    <row r="1381" spans="1:18">
      <c r="A1381" t="s">
        <v>2418</v>
      </c>
      <c r="B1381" t="s">
        <v>11331</v>
      </c>
      <c r="C1381">
        <v>45778</v>
      </c>
      <c r="D1381" t="s">
        <v>7263</v>
      </c>
      <c r="E1381" t="s">
        <v>11332</v>
      </c>
      <c r="F1381">
        <v>45777</v>
      </c>
      <c r="G1381" t="s">
        <v>2208</v>
      </c>
      <c r="H1381" t="s">
        <v>7834</v>
      </c>
      <c r="I1381" t="s">
        <v>16724</v>
      </c>
      <c r="J1381">
        <v>1</v>
      </c>
      <c r="K1381">
        <v>104.61</v>
      </c>
      <c r="L1381" t="s">
        <v>2917</v>
      </c>
      <c r="M1381">
        <v>104.61</v>
      </c>
      <c r="N1381" t="s">
        <v>2917</v>
      </c>
      <c r="O1381" t="s">
        <v>2208</v>
      </c>
      <c r="P1381" t="s">
        <v>2208</v>
      </c>
      <c r="Q1381" t="s">
        <v>2208</v>
      </c>
      <c r="R1381" t="s">
        <v>2208</v>
      </c>
    </row>
    <row r="1382" spans="1:18">
      <c r="A1382" t="s">
        <v>2418</v>
      </c>
      <c r="B1382" t="s">
        <v>11331</v>
      </c>
      <c r="C1382">
        <v>45778</v>
      </c>
      <c r="D1382" t="s">
        <v>7263</v>
      </c>
      <c r="E1382" t="s">
        <v>11332</v>
      </c>
      <c r="F1382">
        <v>45777</v>
      </c>
      <c r="G1382" t="s">
        <v>2208</v>
      </c>
      <c r="H1382" t="s">
        <v>7834</v>
      </c>
      <c r="I1382" t="s">
        <v>16725</v>
      </c>
      <c r="J1382">
        <v>1</v>
      </c>
      <c r="K1382">
        <v>104.61</v>
      </c>
      <c r="L1382" t="s">
        <v>2917</v>
      </c>
      <c r="M1382">
        <v>104.61</v>
      </c>
      <c r="N1382" t="s">
        <v>2917</v>
      </c>
      <c r="O1382" t="s">
        <v>2208</v>
      </c>
      <c r="P1382" t="s">
        <v>2208</v>
      </c>
      <c r="Q1382" t="s">
        <v>2208</v>
      </c>
      <c r="R1382" t="s">
        <v>2208</v>
      </c>
    </row>
    <row r="1383" spans="1:18">
      <c r="A1383" t="s">
        <v>2501</v>
      </c>
      <c r="B1383" t="s">
        <v>11331</v>
      </c>
      <c r="C1383">
        <v>45778</v>
      </c>
      <c r="D1383" t="s">
        <v>7263</v>
      </c>
      <c r="E1383" t="s">
        <v>11332</v>
      </c>
      <c r="F1383">
        <v>45777</v>
      </c>
      <c r="G1383" t="s">
        <v>2208</v>
      </c>
      <c r="H1383" t="s">
        <v>7834</v>
      </c>
      <c r="I1383" t="s">
        <v>16726</v>
      </c>
      <c r="J1383">
        <v>0.5</v>
      </c>
      <c r="K1383">
        <v>52.31</v>
      </c>
      <c r="L1383" t="s">
        <v>2917</v>
      </c>
      <c r="M1383">
        <v>52.31</v>
      </c>
      <c r="N1383" t="s">
        <v>2917</v>
      </c>
      <c r="O1383" t="s">
        <v>2208</v>
      </c>
      <c r="P1383" t="s">
        <v>2208</v>
      </c>
      <c r="Q1383" t="s">
        <v>2208</v>
      </c>
      <c r="R1383" t="s">
        <v>2208</v>
      </c>
    </row>
    <row r="1384" spans="1:18">
      <c r="A1384" t="s">
        <v>2501</v>
      </c>
      <c r="B1384" t="s">
        <v>11331</v>
      </c>
      <c r="C1384">
        <v>45778</v>
      </c>
      <c r="D1384" t="s">
        <v>7263</v>
      </c>
      <c r="E1384" t="s">
        <v>11332</v>
      </c>
      <c r="F1384">
        <v>45777</v>
      </c>
      <c r="G1384" t="s">
        <v>2208</v>
      </c>
      <c r="H1384" t="s">
        <v>7834</v>
      </c>
      <c r="I1384" t="s">
        <v>16727</v>
      </c>
      <c r="J1384">
        <v>1</v>
      </c>
      <c r="K1384">
        <v>104.61</v>
      </c>
      <c r="L1384" t="s">
        <v>2917</v>
      </c>
      <c r="M1384">
        <v>104.61</v>
      </c>
      <c r="N1384" t="s">
        <v>2917</v>
      </c>
      <c r="O1384" t="s">
        <v>2208</v>
      </c>
      <c r="P1384" t="s">
        <v>2208</v>
      </c>
      <c r="Q1384" t="s">
        <v>2208</v>
      </c>
      <c r="R1384" t="s">
        <v>2208</v>
      </c>
    </row>
    <row r="1385" spans="1:18">
      <c r="A1385" t="s">
        <v>2501</v>
      </c>
      <c r="B1385" t="s">
        <v>11331</v>
      </c>
      <c r="C1385">
        <v>45778</v>
      </c>
      <c r="D1385" t="s">
        <v>7263</v>
      </c>
      <c r="E1385" t="s">
        <v>11332</v>
      </c>
      <c r="F1385">
        <v>45777</v>
      </c>
      <c r="G1385" t="s">
        <v>2208</v>
      </c>
      <c r="H1385" t="s">
        <v>7834</v>
      </c>
      <c r="I1385" t="s">
        <v>16728</v>
      </c>
      <c r="J1385">
        <v>0.5</v>
      </c>
      <c r="K1385">
        <v>52.31</v>
      </c>
      <c r="L1385" t="s">
        <v>2917</v>
      </c>
      <c r="M1385">
        <v>52.31</v>
      </c>
      <c r="N1385" t="s">
        <v>2917</v>
      </c>
      <c r="O1385" t="s">
        <v>2208</v>
      </c>
      <c r="P1385" t="s">
        <v>2208</v>
      </c>
      <c r="Q1385" t="s">
        <v>2208</v>
      </c>
      <c r="R1385" t="s">
        <v>2208</v>
      </c>
    </row>
    <row r="1386" spans="1:18">
      <c r="A1386" t="s">
        <v>2501</v>
      </c>
      <c r="B1386" t="s">
        <v>11331</v>
      </c>
      <c r="C1386">
        <v>45778</v>
      </c>
      <c r="D1386" t="s">
        <v>7263</v>
      </c>
      <c r="E1386" t="s">
        <v>11332</v>
      </c>
      <c r="F1386">
        <v>45777</v>
      </c>
      <c r="G1386" t="s">
        <v>2208</v>
      </c>
      <c r="H1386" t="s">
        <v>7834</v>
      </c>
      <c r="I1386" t="s">
        <v>16729</v>
      </c>
      <c r="J1386">
        <v>0.5</v>
      </c>
      <c r="K1386">
        <v>52.31</v>
      </c>
      <c r="L1386" t="s">
        <v>2917</v>
      </c>
      <c r="M1386">
        <v>52.31</v>
      </c>
      <c r="N1386" t="s">
        <v>2917</v>
      </c>
      <c r="O1386" t="s">
        <v>2208</v>
      </c>
      <c r="P1386" t="s">
        <v>2208</v>
      </c>
      <c r="Q1386" t="s">
        <v>2208</v>
      </c>
      <c r="R1386" t="s">
        <v>2208</v>
      </c>
    </row>
    <row r="1387" spans="1:18">
      <c r="A1387" t="s">
        <v>2501</v>
      </c>
      <c r="B1387" t="s">
        <v>11331</v>
      </c>
      <c r="C1387">
        <v>45778</v>
      </c>
      <c r="D1387" t="s">
        <v>7263</v>
      </c>
      <c r="E1387" t="s">
        <v>11332</v>
      </c>
      <c r="F1387">
        <v>45777</v>
      </c>
      <c r="G1387" t="s">
        <v>2208</v>
      </c>
      <c r="H1387" t="s">
        <v>7834</v>
      </c>
      <c r="I1387" t="s">
        <v>16730</v>
      </c>
      <c r="J1387">
        <v>0.5</v>
      </c>
      <c r="K1387">
        <v>52.31</v>
      </c>
      <c r="L1387" t="s">
        <v>2917</v>
      </c>
      <c r="M1387">
        <v>52.31</v>
      </c>
      <c r="N1387" t="s">
        <v>2917</v>
      </c>
      <c r="O1387" t="s">
        <v>2208</v>
      </c>
      <c r="P1387" t="s">
        <v>2208</v>
      </c>
      <c r="Q1387" t="s">
        <v>2208</v>
      </c>
      <c r="R1387" t="s">
        <v>2208</v>
      </c>
    </row>
    <row r="1388" spans="1:18">
      <c r="A1388" t="s">
        <v>2501</v>
      </c>
      <c r="B1388" t="s">
        <v>11331</v>
      </c>
      <c r="C1388">
        <v>45778</v>
      </c>
      <c r="D1388" t="s">
        <v>7263</v>
      </c>
      <c r="E1388" t="s">
        <v>11332</v>
      </c>
      <c r="F1388">
        <v>45777</v>
      </c>
      <c r="G1388" t="s">
        <v>2208</v>
      </c>
      <c r="H1388" t="s">
        <v>7834</v>
      </c>
      <c r="I1388" t="s">
        <v>16731</v>
      </c>
      <c r="J1388">
        <v>0.5</v>
      </c>
      <c r="K1388">
        <v>52.31</v>
      </c>
      <c r="L1388" t="s">
        <v>2917</v>
      </c>
      <c r="M1388">
        <v>52.31</v>
      </c>
      <c r="N1388" t="s">
        <v>2917</v>
      </c>
      <c r="O1388" t="s">
        <v>2208</v>
      </c>
      <c r="P1388" t="s">
        <v>2208</v>
      </c>
      <c r="Q1388" t="s">
        <v>2208</v>
      </c>
      <c r="R1388" t="s">
        <v>2208</v>
      </c>
    </row>
    <row r="1389" spans="1:18">
      <c r="A1389" t="s">
        <v>2501</v>
      </c>
      <c r="B1389" t="s">
        <v>11331</v>
      </c>
      <c r="C1389">
        <v>45778</v>
      </c>
      <c r="D1389" t="s">
        <v>7263</v>
      </c>
      <c r="E1389" t="s">
        <v>11332</v>
      </c>
      <c r="F1389">
        <v>45777</v>
      </c>
      <c r="G1389" t="s">
        <v>2208</v>
      </c>
      <c r="H1389" t="s">
        <v>7834</v>
      </c>
      <c r="I1389" t="s">
        <v>16732</v>
      </c>
      <c r="J1389">
        <v>0.5</v>
      </c>
      <c r="K1389">
        <v>52.31</v>
      </c>
      <c r="L1389" t="s">
        <v>2917</v>
      </c>
      <c r="M1389">
        <v>52.31</v>
      </c>
      <c r="N1389" t="s">
        <v>2917</v>
      </c>
      <c r="O1389" t="s">
        <v>2208</v>
      </c>
      <c r="P1389" t="s">
        <v>2208</v>
      </c>
      <c r="Q1389" t="s">
        <v>2208</v>
      </c>
      <c r="R1389" t="s">
        <v>2208</v>
      </c>
    </row>
    <row r="1390" spans="1:18">
      <c r="A1390" t="s">
        <v>2600</v>
      </c>
      <c r="B1390" t="s">
        <v>11331</v>
      </c>
      <c r="C1390">
        <v>45778</v>
      </c>
      <c r="D1390" t="s">
        <v>7263</v>
      </c>
      <c r="E1390" t="s">
        <v>11332</v>
      </c>
      <c r="F1390">
        <v>45777</v>
      </c>
      <c r="G1390" t="s">
        <v>2208</v>
      </c>
      <c r="H1390" t="s">
        <v>7834</v>
      </c>
      <c r="I1390" t="s">
        <v>16733</v>
      </c>
      <c r="J1390">
        <v>0.5</v>
      </c>
      <c r="K1390">
        <v>52.31</v>
      </c>
      <c r="L1390" t="s">
        <v>2917</v>
      </c>
      <c r="M1390">
        <v>52.31</v>
      </c>
      <c r="N1390" t="s">
        <v>2917</v>
      </c>
      <c r="O1390" t="s">
        <v>2208</v>
      </c>
      <c r="P1390" t="s">
        <v>2208</v>
      </c>
      <c r="Q1390" t="s">
        <v>2208</v>
      </c>
      <c r="R1390" t="s">
        <v>2208</v>
      </c>
    </row>
    <row r="1391" spans="1:18">
      <c r="A1391" t="s">
        <v>2600</v>
      </c>
      <c r="B1391" t="s">
        <v>11331</v>
      </c>
      <c r="C1391">
        <v>45778</v>
      </c>
      <c r="D1391" t="s">
        <v>7263</v>
      </c>
      <c r="E1391" t="s">
        <v>11332</v>
      </c>
      <c r="F1391">
        <v>45777</v>
      </c>
      <c r="G1391" t="s">
        <v>2208</v>
      </c>
      <c r="H1391" t="s">
        <v>7834</v>
      </c>
      <c r="I1391" t="s">
        <v>16734</v>
      </c>
      <c r="J1391">
        <v>1</v>
      </c>
      <c r="K1391">
        <v>104.61</v>
      </c>
      <c r="L1391" t="s">
        <v>2917</v>
      </c>
      <c r="M1391">
        <v>104.61</v>
      </c>
      <c r="N1391" t="s">
        <v>2917</v>
      </c>
      <c r="O1391" t="s">
        <v>2208</v>
      </c>
      <c r="P1391" t="s">
        <v>2208</v>
      </c>
      <c r="Q1391" t="s">
        <v>2208</v>
      </c>
      <c r="R1391" t="s">
        <v>2208</v>
      </c>
    </row>
    <row r="1392" spans="1:18">
      <c r="A1392" t="s">
        <v>2600</v>
      </c>
      <c r="B1392" t="s">
        <v>11331</v>
      </c>
      <c r="C1392">
        <v>45778</v>
      </c>
      <c r="D1392" t="s">
        <v>7263</v>
      </c>
      <c r="E1392" t="s">
        <v>11332</v>
      </c>
      <c r="F1392">
        <v>45777</v>
      </c>
      <c r="G1392" t="s">
        <v>2208</v>
      </c>
      <c r="H1392" t="s">
        <v>7834</v>
      </c>
      <c r="I1392" t="s">
        <v>16735</v>
      </c>
      <c r="J1392">
        <v>0.5</v>
      </c>
      <c r="K1392">
        <v>52.31</v>
      </c>
      <c r="L1392" t="s">
        <v>2917</v>
      </c>
      <c r="M1392">
        <v>52.31</v>
      </c>
      <c r="N1392" t="s">
        <v>2917</v>
      </c>
      <c r="O1392" t="s">
        <v>2208</v>
      </c>
      <c r="P1392" t="s">
        <v>2208</v>
      </c>
      <c r="Q1392" t="s">
        <v>2208</v>
      </c>
      <c r="R1392" t="s">
        <v>2208</v>
      </c>
    </row>
    <row r="1393" spans="1:18">
      <c r="A1393" t="s">
        <v>2600</v>
      </c>
      <c r="B1393" t="s">
        <v>11331</v>
      </c>
      <c r="C1393">
        <v>45778</v>
      </c>
      <c r="D1393" t="s">
        <v>7263</v>
      </c>
      <c r="E1393" t="s">
        <v>11332</v>
      </c>
      <c r="F1393">
        <v>45777</v>
      </c>
      <c r="G1393" t="s">
        <v>2208</v>
      </c>
      <c r="H1393" t="s">
        <v>7834</v>
      </c>
      <c r="I1393" t="s">
        <v>16736</v>
      </c>
      <c r="J1393">
        <v>0.5</v>
      </c>
      <c r="K1393">
        <v>52.31</v>
      </c>
      <c r="L1393" t="s">
        <v>2917</v>
      </c>
      <c r="M1393">
        <v>52.31</v>
      </c>
      <c r="N1393" t="s">
        <v>2917</v>
      </c>
      <c r="O1393" t="s">
        <v>2208</v>
      </c>
      <c r="P1393" t="s">
        <v>2208</v>
      </c>
      <c r="Q1393" t="s">
        <v>2208</v>
      </c>
      <c r="R1393" t="s">
        <v>2208</v>
      </c>
    </row>
    <row r="1394" spans="1:18">
      <c r="A1394" t="s">
        <v>2600</v>
      </c>
      <c r="B1394" t="s">
        <v>11331</v>
      </c>
      <c r="C1394">
        <v>45778</v>
      </c>
      <c r="D1394" t="s">
        <v>7263</v>
      </c>
      <c r="E1394" t="s">
        <v>11332</v>
      </c>
      <c r="F1394">
        <v>45777</v>
      </c>
      <c r="G1394" t="s">
        <v>2208</v>
      </c>
      <c r="H1394" t="s">
        <v>7834</v>
      </c>
      <c r="I1394" t="s">
        <v>16737</v>
      </c>
      <c r="J1394">
        <v>0.5</v>
      </c>
      <c r="K1394">
        <v>52.31</v>
      </c>
      <c r="L1394" t="s">
        <v>2917</v>
      </c>
      <c r="M1394">
        <v>52.31</v>
      </c>
      <c r="N1394" t="s">
        <v>2917</v>
      </c>
      <c r="O1394" t="s">
        <v>2208</v>
      </c>
      <c r="P1394" t="s">
        <v>2208</v>
      </c>
      <c r="Q1394" t="s">
        <v>2208</v>
      </c>
      <c r="R1394" t="s">
        <v>2208</v>
      </c>
    </row>
    <row r="1395" spans="1:18">
      <c r="A1395" t="s">
        <v>2681</v>
      </c>
      <c r="B1395" t="s">
        <v>11331</v>
      </c>
      <c r="C1395">
        <v>45778</v>
      </c>
      <c r="D1395" t="s">
        <v>7263</v>
      </c>
      <c r="E1395" t="s">
        <v>11332</v>
      </c>
      <c r="F1395">
        <v>45777</v>
      </c>
      <c r="G1395" t="s">
        <v>2208</v>
      </c>
      <c r="H1395" t="s">
        <v>7834</v>
      </c>
      <c r="I1395" t="s">
        <v>16738</v>
      </c>
      <c r="J1395">
        <v>1</v>
      </c>
      <c r="K1395">
        <v>104.61</v>
      </c>
      <c r="L1395" t="s">
        <v>2917</v>
      </c>
      <c r="M1395">
        <v>104.61</v>
      </c>
      <c r="N1395" t="s">
        <v>2917</v>
      </c>
      <c r="O1395" t="s">
        <v>2208</v>
      </c>
      <c r="P1395" t="s">
        <v>2208</v>
      </c>
      <c r="Q1395" t="s">
        <v>2208</v>
      </c>
      <c r="R1395" t="s">
        <v>2208</v>
      </c>
    </row>
    <row r="1396" spans="1:18">
      <c r="A1396" t="s">
        <v>2681</v>
      </c>
      <c r="B1396" t="s">
        <v>11331</v>
      </c>
      <c r="C1396">
        <v>45778</v>
      </c>
      <c r="D1396" t="s">
        <v>7263</v>
      </c>
      <c r="E1396" t="s">
        <v>11332</v>
      </c>
      <c r="F1396">
        <v>45777</v>
      </c>
      <c r="G1396" t="s">
        <v>2208</v>
      </c>
      <c r="H1396" t="s">
        <v>7834</v>
      </c>
      <c r="I1396" t="s">
        <v>16739</v>
      </c>
      <c r="J1396">
        <v>0.5</v>
      </c>
      <c r="K1396">
        <v>52.31</v>
      </c>
      <c r="L1396" t="s">
        <v>2917</v>
      </c>
      <c r="M1396">
        <v>52.31</v>
      </c>
      <c r="N1396" t="s">
        <v>2917</v>
      </c>
      <c r="O1396" t="s">
        <v>2208</v>
      </c>
      <c r="P1396" t="s">
        <v>2208</v>
      </c>
      <c r="Q1396" t="s">
        <v>2208</v>
      </c>
      <c r="R1396" t="s">
        <v>2208</v>
      </c>
    </row>
    <row r="1397" spans="1:18">
      <c r="A1397" t="s">
        <v>2886</v>
      </c>
      <c r="B1397" t="s">
        <v>11331</v>
      </c>
      <c r="C1397">
        <v>45778</v>
      </c>
      <c r="D1397" t="s">
        <v>7263</v>
      </c>
      <c r="E1397" t="s">
        <v>11332</v>
      </c>
      <c r="F1397">
        <v>45777</v>
      </c>
      <c r="G1397" t="s">
        <v>2208</v>
      </c>
      <c r="H1397" t="s">
        <v>7834</v>
      </c>
      <c r="I1397" t="s">
        <v>16740</v>
      </c>
      <c r="J1397">
        <v>0.5</v>
      </c>
      <c r="K1397">
        <v>52.31</v>
      </c>
      <c r="L1397" t="s">
        <v>2917</v>
      </c>
      <c r="M1397">
        <v>52.31</v>
      </c>
      <c r="N1397" t="s">
        <v>2917</v>
      </c>
      <c r="O1397" t="s">
        <v>2208</v>
      </c>
      <c r="P1397" t="s">
        <v>2208</v>
      </c>
      <c r="Q1397" t="s">
        <v>2208</v>
      </c>
      <c r="R1397" t="s">
        <v>2208</v>
      </c>
    </row>
    <row r="1398" spans="1:18">
      <c r="A1398" t="s">
        <v>2886</v>
      </c>
      <c r="B1398" t="s">
        <v>11331</v>
      </c>
      <c r="C1398">
        <v>45778</v>
      </c>
      <c r="D1398" t="s">
        <v>7263</v>
      </c>
      <c r="E1398" t="s">
        <v>11332</v>
      </c>
      <c r="F1398">
        <v>45777</v>
      </c>
      <c r="G1398" t="s">
        <v>2208</v>
      </c>
      <c r="H1398" t="s">
        <v>7834</v>
      </c>
      <c r="I1398" t="s">
        <v>16741</v>
      </c>
      <c r="J1398">
        <v>1</v>
      </c>
      <c r="K1398">
        <v>104.61</v>
      </c>
      <c r="L1398" t="s">
        <v>2917</v>
      </c>
      <c r="M1398">
        <v>104.61</v>
      </c>
      <c r="N1398" t="s">
        <v>2917</v>
      </c>
      <c r="O1398" t="s">
        <v>2208</v>
      </c>
      <c r="P1398" t="s">
        <v>2208</v>
      </c>
      <c r="Q1398" t="s">
        <v>2208</v>
      </c>
      <c r="R1398" t="s">
        <v>2208</v>
      </c>
    </row>
    <row r="1399" spans="1:18">
      <c r="A1399" t="s">
        <v>2886</v>
      </c>
      <c r="B1399" t="s">
        <v>11331</v>
      </c>
      <c r="C1399">
        <v>45778</v>
      </c>
      <c r="D1399" t="s">
        <v>7263</v>
      </c>
      <c r="E1399" t="s">
        <v>11332</v>
      </c>
      <c r="F1399">
        <v>45777</v>
      </c>
      <c r="G1399" t="s">
        <v>2208</v>
      </c>
      <c r="H1399" t="s">
        <v>7834</v>
      </c>
      <c r="I1399" t="s">
        <v>16742</v>
      </c>
      <c r="J1399">
        <v>0.5</v>
      </c>
      <c r="K1399">
        <v>52.31</v>
      </c>
      <c r="L1399" t="s">
        <v>2917</v>
      </c>
      <c r="M1399">
        <v>52.31</v>
      </c>
      <c r="N1399" t="s">
        <v>2917</v>
      </c>
      <c r="O1399" t="s">
        <v>2208</v>
      </c>
      <c r="P1399" t="s">
        <v>2208</v>
      </c>
      <c r="Q1399" t="s">
        <v>2208</v>
      </c>
      <c r="R1399" t="s">
        <v>2208</v>
      </c>
    </row>
    <row r="1400" spans="1:18">
      <c r="A1400" t="s">
        <v>2886</v>
      </c>
      <c r="B1400" t="s">
        <v>11331</v>
      </c>
      <c r="C1400">
        <v>45778</v>
      </c>
      <c r="D1400" t="s">
        <v>7263</v>
      </c>
      <c r="E1400" t="s">
        <v>11332</v>
      </c>
      <c r="F1400">
        <v>45777</v>
      </c>
      <c r="G1400" t="s">
        <v>2208</v>
      </c>
      <c r="H1400" t="s">
        <v>7834</v>
      </c>
      <c r="I1400" t="s">
        <v>16743</v>
      </c>
      <c r="J1400">
        <v>1</v>
      </c>
      <c r="K1400">
        <v>104.61</v>
      </c>
      <c r="L1400" t="s">
        <v>2917</v>
      </c>
      <c r="M1400">
        <v>104.61</v>
      </c>
      <c r="N1400" t="s">
        <v>2917</v>
      </c>
      <c r="O1400" t="s">
        <v>2208</v>
      </c>
      <c r="P1400" t="s">
        <v>2208</v>
      </c>
      <c r="Q1400" t="s">
        <v>2208</v>
      </c>
      <c r="R1400" t="s">
        <v>2208</v>
      </c>
    </row>
    <row r="1401" spans="1:18">
      <c r="A1401" t="s">
        <v>2886</v>
      </c>
      <c r="B1401" t="s">
        <v>11331</v>
      </c>
      <c r="C1401">
        <v>45778</v>
      </c>
      <c r="D1401" t="s">
        <v>7263</v>
      </c>
      <c r="E1401" t="s">
        <v>11332</v>
      </c>
      <c r="F1401">
        <v>45777</v>
      </c>
      <c r="G1401" t="s">
        <v>2208</v>
      </c>
      <c r="H1401" t="s">
        <v>7834</v>
      </c>
      <c r="I1401" t="s">
        <v>16744</v>
      </c>
      <c r="J1401">
        <v>0.5</v>
      </c>
      <c r="K1401">
        <v>52.31</v>
      </c>
      <c r="L1401" t="s">
        <v>2917</v>
      </c>
      <c r="M1401">
        <v>52.31</v>
      </c>
      <c r="N1401" t="s">
        <v>2917</v>
      </c>
      <c r="O1401" t="s">
        <v>2208</v>
      </c>
      <c r="P1401" t="s">
        <v>2208</v>
      </c>
      <c r="Q1401" t="s">
        <v>2208</v>
      </c>
      <c r="R1401" t="s">
        <v>2208</v>
      </c>
    </row>
    <row r="1402" spans="1:18">
      <c r="A1402" t="s">
        <v>2886</v>
      </c>
      <c r="B1402" t="s">
        <v>11331</v>
      </c>
      <c r="C1402">
        <v>45778</v>
      </c>
      <c r="D1402" t="s">
        <v>7263</v>
      </c>
      <c r="E1402" t="s">
        <v>11332</v>
      </c>
      <c r="F1402">
        <v>45777</v>
      </c>
      <c r="G1402" t="s">
        <v>2208</v>
      </c>
      <c r="H1402" t="s">
        <v>7834</v>
      </c>
      <c r="I1402" t="s">
        <v>16745</v>
      </c>
      <c r="J1402">
        <v>1</v>
      </c>
      <c r="K1402">
        <v>104.61</v>
      </c>
      <c r="L1402" t="s">
        <v>2917</v>
      </c>
      <c r="M1402">
        <v>104.61</v>
      </c>
      <c r="N1402" t="s">
        <v>2917</v>
      </c>
      <c r="O1402" t="s">
        <v>2208</v>
      </c>
      <c r="P1402" t="s">
        <v>2208</v>
      </c>
      <c r="Q1402" t="s">
        <v>2208</v>
      </c>
      <c r="R1402" t="s">
        <v>2208</v>
      </c>
    </row>
    <row r="1403" spans="1:18">
      <c r="A1403" t="s">
        <v>2886</v>
      </c>
      <c r="B1403" t="s">
        <v>11331</v>
      </c>
      <c r="C1403">
        <v>45778</v>
      </c>
      <c r="D1403" t="s">
        <v>7263</v>
      </c>
      <c r="E1403" t="s">
        <v>11332</v>
      </c>
      <c r="F1403">
        <v>45777</v>
      </c>
      <c r="G1403" t="s">
        <v>2208</v>
      </c>
      <c r="H1403" t="s">
        <v>7834</v>
      </c>
      <c r="I1403" t="s">
        <v>16746</v>
      </c>
      <c r="J1403">
        <v>0.5</v>
      </c>
      <c r="K1403">
        <v>52.31</v>
      </c>
      <c r="L1403" t="s">
        <v>2917</v>
      </c>
      <c r="M1403">
        <v>52.31</v>
      </c>
      <c r="N1403" t="s">
        <v>2917</v>
      </c>
      <c r="O1403" t="s">
        <v>2208</v>
      </c>
      <c r="P1403" t="s">
        <v>2208</v>
      </c>
      <c r="Q1403" t="s">
        <v>2208</v>
      </c>
      <c r="R1403" t="s">
        <v>2208</v>
      </c>
    </row>
    <row r="1404" spans="1:18">
      <c r="A1404" t="s">
        <v>2886</v>
      </c>
      <c r="B1404" t="s">
        <v>11331</v>
      </c>
      <c r="C1404">
        <v>45778</v>
      </c>
      <c r="D1404" t="s">
        <v>7263</v>
      </c>
      <c r="E1404" t="s">
        <v>11332</v>
      </c>
      <c r="F1404">
        <v>45777</v>
      </c>
      <c r="G1404" t="s">
        <v>2208</v>
      </c>
      <c r="H1404" t="s">
        <v>7834</v>
      </c>
      <c r="I1404" t="s">
        <v>16747</v>
      </c>
      <c r="J1404">
        <v>0.5</v>
      </c>
      <c r="K1404">
        <v>52.31</v>
      </c>
      <c r="L1404" t="s">
        <v>2917</v>
      </c>
      <c r="M1404">
        <v>52.31</v>
      </c>
      <c r="N1404" t="s">
        <v>2917</v>
      </c>
      <c r="O1404" t="s">
        <v>2208</v>
      </c>
      <c r="P1404" t="s">
        <v>2208</v>
      </c>
      <c r="Q1404" t="s">
        <v>2208</v>
      </c>
      <c r="R1404" t="s">
        <v>2208</v>
      </c>
    </row>
    <row r="1405" spans="1:18">
      <c r="A1405" t="s">
        <v>2886</v>
      </c>
      <c r="B1405" t="s">
        <v>11331</v>
      </c>
      <c r="C1405">
        <v>45778</v>
      </c>
      <c r="D1405" t="s">
        <v>7263</v>
      </c>
      <c r="E1405" t="s">
        <v>11332</v>
      </c>
      <c r="F1405">
        <v>45777</v>
      </c>
      <c r="G1405" t="s">
        <v>2208</v>
      </c>
      <c r="H1405" t="s">
        <v>7834</v>
      </c>
      <c r="I1405" t="s">
        <v>16748</v>
      </c>
      <c r="J1405">
        <v>1</v>
      </c>
      <c r="K1405">
        <v>104.61</v>
      </c>
      <c r="L1405" t="s">
        <v>2917</v>
      </c>
      <c r="M1405">
        <v>104.61</v>
      </c>
      <c r="N1405" t="s">
        <v>2917</v>
      </c>
      <c r="O1405" t="s">
        <v>2208</v>
      </c>
      <c r="P1405" t="s">
        <v>2208</v>
      </c>
      <c r="Q1405" t="s">
        <v>2208</v>
      </c>
      <c r="R1405" t="s">
        <v>2208</v>
      </c>
    </row>
    <row r="1406" spans="1:18">
      <c r="A1406" t="s">
        <v>2886</v>
      </c>
      <c r="B1406" t="s">
        <v>11331</v>
      </c>
      <c r="C1406">
        <v>45778</v>
      </c>
      <c r="D1406" t="s">
        <v>7263</v>
      </c>
      <c r="E1406" t="s">
        <v>11332</v>
      </c>
      <c r="F1406">
        <v>45777</v>
      </c>
      <c r="G1406" t="s">
        <v>2208</v>
      </c>
      <c r="H1406" t="s">
        <v>7834</v>
      </c>
      <c r="I1406" t="s">
        <v>16749</v>
      </c>
      <c r="J1406">
        <v>1</v>
      </c>
      <c r="K1406">
        <v>104.61</v>
      </c>
      <c r="L1406" t="s">
        <v>2917</v>
      </c>
      <c r="M1406">
        <v>104.61</v>
      </c>
      <c r="N1406" t="s">
        <v>2917</v>
      </c>
      <c r="O1406" t="s">
        <v>2208</v>
      </c>
      <c r="P1406" t="s">
        <v>2208</v>
      </c>
      <c r="Q1406" t="s">
        <v>2208</v>
      </c>
      <c r="R1406" t="s">
        <v>2208</v>
      </c>
    </row>
    <row r="1407" spans="1:18">
      <c r="A1407" t="s">
        <v>2886</v>
      </c>
      <c r="B1407" t="s">
        <v>11331</v>
      </c>
      <c r="C1407">
        <v>45778</v>
      </c>
      <c r="D1407" t="s">
        <v>7263</v>
      </c>
      <c r="E1407" t="s">
        <v>11332</v>
      </c>
      <c r="F1407">
        <v>45777</v>
      </c>
      <c r="G1407" t="s">
        <v>2208</v>
      </c>
      <c r="H1407" t="s">
        <v>7834</v>
      </c>
      <c r="I1407" t="s">
        <v>16750</v>
      </c>
      <c r="J1407">
        <v>0.5</v>
      </c>
      <c r="K1407">
        <v>52.31</v>
      </c>
      <c r="L1407" t="s">
        <v>2917</v>
      </c>
      <c r="M1407">
        <v>52.31</v>
      </c>
      <c r="N1407" t="s">
        <v>2917</v>
      </c>
      <c r="O1407" t="s">
        <v>2208</v>
      </c>
      <c r="P1407" t="s">
        <v>2208</v>
      </c>
      <c r="Q1407" t="s">
        <v>2208</v>
      </c>
      <c r="R1407" t="s">
        <v>2208</v>
      </c>
    </row>
    <row r="1408" spans="1:18">
      <c r="A1408" t="s">
        <v>2886</v>
      </c>
      <c r="B1408" t="s">
        <v>11331</v>
      </c>
      <c r="C1408">
        <v>45778</v>
      </c>
      <c r="D1408" t="s">
        <v>7263</v>
      </c>
      <c r="E1408" t="s">
        <v>11332</v>
      </c>
      <c r="F1408">
        <v>45777</v>
      </c>
      <c r="G1408" t="s">
        <v>2208</v>
      </c>
      <c r="H1408" t="s">
        <v>7834</v>
      </c>
      <c r="I1408" t="s">
        <v>16751</v>
      </c>
      <c r="J1408">
        <v>0.5</v>
      </c>
      <c r="K1408">
        <v>52.31</v>
      </c>
      <c r="L1408" t="s">
        <v>2917</v>
      </c>
      <c r="M1408">
        <v>52.31</v>
      </c>
      <c r="N1408" t="s">
        <v>2917</v>
      </c>
      <c r="O1408" t="s">
        <v>2208</v>
      </c>
      <c r="P1408" t="s">
        <v>2208</v>
      </c>
      <c r="Q1408" t="s">
        <v>2208</v>
      </c>
      <c r="R1408" t="s">
        <v>2208</v>
      </c>
    </row>
    <row r="1409" spans="1:18">
      <c r="A1409" t="s">
        <v>2886</v>
      </c>
      <c r="B1409" t="s">
        <v>11331</v>
      </c>
      <c r="C1409">
        <v>45778</v>
      </c>
      <c r="D1409" t="s">
        <v>7263</v>
      </c>
      <c r="E1409" t="s">
        <v>11332</v>
      </c>
      <c r="F1409">
        <v>45777</v>
      </c>
      <c r="G1409" t="s">
        <v>2208</v>
      </c>
      <c r="H1409" t="s">
        <v>7834</v>
      </c>
      <c r="I1409" t="s">
        <v>16752</v>
      </c>
      <c r="J1409">
        <v>0.5</v>
      </c>
      <c r="K1409">
        <v>52.31</v>
      </c>
      <c r="L1409" t="s">
        <v>2917</v>
      </c>
      <c r="M1409">
        <v>52.31</v>
      </c>
      <c r="N1409" t="s">
        <v>2917</v>
      </c>
      <c r="O1409" t="s">
        <v>2208</v>
      </c>
      <c r="P1409" t="s">
        <v>2208</v>
      </c>
      <c r="Q1409" t="s">
        <v>2208</v>
      </c>
      <c r="R1409" t="s">
        <v>2208</v>
      </c>
    </row>
    <row r="1410" spans="1:18">
      <c r="A1410" t="s">
        <v>6815</v>
      </c>
      <c r="B1410" t="s">
        <v>11331</v>
      </c>
      <c r="C1410">
        <v>45778</v>
      </c>
      <c r="D1410" t="s">
        <v>7263</v>
      </c>
      <c r="E1410" t="s">
        <v>11332</v>
      </c>
      <c r="F1410">
        <v>45777</v>
      </c>
      <c r="G1410" t="s">
        <v>2208</v>
      </c>
      <c r="H1410" t="s">
        <v>7834</v>
      </c>
      <c r="I1410" t="s">
        <v>16753</v>
      </c>
      <c r="J1410">
        <v>1</v>
      </c>
      <c r="K1410">
        <v>104.61</v>
      </c>
      <c r="L1410" t="s">
        <v>2917</v>
      </c>
      <c r="M1410">
        <v>104.61</v>
      </c>
      <c r="N1410" t="s">
        <v>2917</v>
      </c>
      <c r="O1410" t="s">
        <v>2208</v>
      </c>
      <c r="P1410" t="s">
        <v>2208</v>
      </c>
      <c r="Q1410" t="s">
        <v>2208</v>
      </c>
      <c r="R1410" t="s">
        <v>2208</v>
      </c>
    </row>
    <row r="1411" spans="1:18">
      <c r="A1411" t="s">
        <v>6815</v>
      </c>
      <c r="B1411" t="s">
        <v>11331</v>
      </c>
      <c r="C1411">
        <v>45778</v>
      </c>
      <c r="D1411" t="s">
        <v>7263</v>
      </c>
      <c r="E1411" t="s">
        <v>11332</v>
      </c>
      <c r="F1411">
        <v>45777</v>
      </c>
      <c r="G1411" t="s">
        <v>2208</v>
      </c>
      <c r="H1411" t="s">
        <v>7834</v>
      </c>
      <c r="I1411" t="s">
        <v>16754</v>
      </c>
      <c r="J1411">
        <v>1</v>
      </c>
      <c r="K1411">
        <v>104.61</v>
      </c>
      <c r="L1411" t="s">
        <v>2917</v>
      </c>
      <c r="M1411">
        <v>104.61</v>
      </c>
      <c r="N1411" t="s">
        <v>2917</v>
      </c>
      <c r="O1411" t="s">
        <v>2208</v>
      </c>
      <c r="P1411" t="s">
        <v>2208</v>
      </c>
      <c r="Q1411" t="s">
        <v>2208</v>
      </c>
      <c r="R1411" t="s">
        <v>2208</v>
      </c>
    </row>
    <row r="1412" spans="1:18">
      <c r="A1412" t="s">
        <v>6815</v>
      </c>
      <c r="B1412" t="s">
        <v>11331</v>
      </c>
      <c r="C1412">
        <v>45778</v>
      </c>
      <c r="D1412" t="s">
        <v>7263</v>
      </c>
      <c r="E1412" t="s">
        <v>11332</v>
      </c>
      <c r="F1412">
        <v>45777</v>
      </c>
      <c r="G1412" t="s">
        <v>2208</v>
      </c>
      <c r="H1412" t="s">
        <v>7834</v>
      </c>
      <c r="I1412" t="s">
        <v>16755</v>
      </c>
      <c r="J1412">
        <v>0.5</v>
      </c>
      <c r="K1412">
        <v>52.31</v>
      </c>
      <c r="L1412" t="s">
        <v>2917</v>
      </c>
      <c r="M1412">
        <v>52.31</v>
      </c>
      <c r="N1412" t="s">
        <v>2917</v>
      </c>
      <c r="O1412" t="s">
        <v>2208</v>
      </c>
      <c r="P1412" t="s">
        <v>2208</v>
      </c>
      <c r="Q1412" t="s">
        <v>2208</v>
      </c>
      <c r="R1412" t="s">
        <v>2208</v>
      </c>
    </row>
    <row r="1413" spans="1:18">
      <c r="A1413" t="s">
        <v>6815</v>
      </c>
      <c r="B1413" t="s">
        <v>11331</v>
      </c>
      <c r="C1413">
        <v>45778</v>
      </c>
      <c r="D1413" t="s">
        <v>7263</v>
      </c>
      <c r="E1413" t="s">
        <v>11332</v>
      </c>
      <c r="F1413">
        <v>45777</v>
      </c>
      <c r="G1413" t="s">
        <v>2208</v>
      </c>
      <c r="H1413" t="s">
        <v>7834</v>
      </c>
      <c r="I1413" t="s">
        <v>16756</v>
      </c>
      <c r="J1413">
        <v>0.5</v>
      </c>
      <c r="K1413">
        <v>52.31</v>
      </c>
      <c r="L1413" t="s">
        <v>2917</v>
      </c>
      <c r="M1413">
        <v>52.31</v>
      </c>
      <c r="N1413" t="s">
        <v>2917</v>
      </c>
      <c r="O1413" t="s">
        <v>2208</v>
      </c>
      <c r="P1413" t="s">
        <v>2208</v>
      </c>
      <c r="Q1413" t="s">
        <v>2208</v>
      </c>
      <c r="R1413" t="s">
        <v>2208</v>
      </c>
    </row>
    <row r="1414" spans="1:18">
      <c r="A1414" t="s">
        <v>6815</v>
      </c>
      <c r="B1414" t="s">
        <v>11331</v>
      </c>
      <c r="C1414">
        <v>45778</v>
      </c>
      <c r="D1414" t="s">
        <v>7263</v>
      </c>
      <c r="E1414" t="s">
        <v>11332</v>
      </c>
      <c r="F1414">
        <v>45777</v>
      </c>
      <c r="G1414" t="s">
        <v>2208</v>
      </c>
      <c r="H1414" t="s">
        <v>7834</v>
      </c>
      <c r="I1414" t="s">
        <v>16757</v>
      </c>
      <c r="J1414">
        <v>1</v>
      </c>
      <c r="K1414">
        <v>104.61</v>
      </c>
      <c r="L1414" t="s">
        <v>2917</v>
      </c>
      <c r="M1414">
        <v>104.61</v>
      </c>
      <c r="N1414" t="s">
        <v>2917</v>
      </c>
      <c r="O1414" t="s">
        <v>2208</v>
      </c>
      <c r="P1414" t="s">
        <v>2208</v>
      </c>
      <c r="Q1414" t="s">
        <v>2208</v>
      </c>
      <c r="R1414" t="s">
        <v>2208</v>
      </c>
    </row>
    <row r="1415" spans="1:18">
      <c r="A1415" t="s">
        <v>6816</v>
      </c>
      <c r="B1415" t="s">
        <v>11331</v>
      </c>
      <c r="C1415">
        <v>45778</v>
      </c>
      <c r="D1415" t="s">
        <v>7263</v>
      </c>
      <c r="E1415" t="s">
        <v>11332</v>
      </c>
      <c r="F1415">
        <v>45777</v>
      </c>
      <c r="G1415" t="s">
        <v>2208</v>
      </c>
      <c r="H1415" t="s">
        <v>7834</v>
      </c>
      <c r="I1415" t="s">
        <v>16758</v>
      </c>
      <c r="J1415">
        <v>0.5</v>
      </c>
      <c r="K1415">
        <v>52.31</v>
      </c>
      <c r="L1415" t="s">
        <v>2917</v>
      </c>
      <c r="M1415">
        <v>52.31</v>
      </c>
      <c r="N1415" t="s">
        <v>2917</v>
      </c>
      <c r="O1415" t="s">
        <v>2208</v>
      </c>
      <c r="P1415" t="s">
        <v>2208</v>
      </c>
      <c r="Q1415" t="s">
        <v>2208</v>
      </c>
      <c r="R1415" t="s">
        <v>2208</v>
      </c>
    </row>
    <row r="1416" spans="1:18">
      <c r="A1416" t="s">
        <v>6816</v>
      </c>
      <c r="B1416" t="s">
        <v>11331</v>
      </c>
      <c r="C1416">
        <v>45778</v>
      </c>
      <c r="D1416" t="s">
        <v>7263</v>
      </c>
      <c r="E1416" t="s">
        <v>11332</v>
      </c>
      <c r="F1416">
        <v>45777</v>
      </c>
      <c r="G1416" t="s">
        <v>2208</v>
      </c>
      <c r="H1416" t="s">
        <v>7834</v>
      </c>
      <c r="I1416" t="s">
        <v>16759</v>
      </c>
      <c r="J1416">
        <v>0.5</v>
      </c>
      <c r="K1416">
        <v>52.31</v>
      </c>
      <c r="L1416" t="s">
        <v>2917</v>
      </c>
      <c r="M1416">
        <v>52.31</v>
      </c>
      <c r="N1416" t="s">
        <v>2917</v>
      </c>
      <c r="O1416" t="s">
        <v>2208</v>
      </c>
      <c r="P1416" t="s">
        <v>2208</v>
      </c>
      <c r="Q1416" t="s">
        <v>2208</v>
      </c>
      <c r="R1416" t="s">
        <v>2208</v>
      </c>
    </row>
    <row r="1417" spans="1:18">
      <c r="A1417" t="s">
        <v>7030</v>
      </c>
      <c r="B1417" t="s">
        <v>11331</v>
      </c>
      <c r="C1417">
        <v>45778</v>
      </c>
      <c r="D1417" t="s">
        <v>7263</v>
      </c>
      <c r="E1417" t="s">
        <v>11332</v>
      </c>
      <c r="F1417">
        <v>45777</v>
      </c>
      <c r="G1417" t="s">
        <v>2208</v>
      </c>
      <c r="H1417" t="s">
        <v>7834</v>
      </c>
      <c r="I1417" t="s">
        <v>16760</v>
      </c>
      <c r="J1417">
        <v>4</v>
      </c>
      <c r="K1417">
        <v>418.44</v>
      </c>
      <c r="L1417" t="s">
        <v>2917</v>
      </c>
      <c r="M1417">
        <v>418.44</v>
      </c>
      <c r="N1417" t="s">
        <v>2917</v>
      </c>
      <c r="O1417" t="s">
        <v>2208</v>
      </c>
      <c r="P1417" t="s">
        <v>2208</v>
      </c>
      <c r="Q1417" t="s">
        <v>2208</v>
      </c>
      <c r="R1417" t="s">
        <v>2208</v>
      </c>
    </row>
    <row r="1418" spans="1:18">
      <c r="A1418" t="s">
        <v>7030</v>
      </c>
      <c r="B1418" t="s">
        <v>11331</v>
      </c>
      <c r="C1418">
        <v>45778</v>
      </c>
      <c r="D1418" t="s">
        <v>7263</v>
      </c>
      <c r="E1418" t="s">
        <v>11332</v>
      </c>
      <c r="F1418">
        <v>45777</v>
      </c>
      <c r="G1418" t="s">
        <v>2208</v>
      </c>
      <c r="H1418" t="s">
        <v>7834</v>
      </c>
      <c r="I1418" t="s">
        <v>16761</v>
      </c>
      <c r="J1418">
        <v>1</v>
      </c>
      <c r="K1418">
        <v>104.61</v>
      </c>
      <c r="L1418" t="s">
        <v>2917</v>
      </c>
      <c r="M1418">
        <v>104.61</v>
      </c>
      <c r="N1418" t="s">
        <v>2917</v>
      </c>
      <c r="O1418" t="s">
        <v>2208</v>
      </c>
      <c r="P1418" t="s">
        <v>2208</v>
      </c>
      <c r="Q1418" t="s">
        <v>2208</v>
      </c>
      <c r="R1418" t="s">
        <v>2208</v>
      </c>
    </row>
    <row r="1419" spans="1:18">
      <c r="A1419" t="s">
        <v>7030</v>
      </c>
      <c r="B1419" t="s">
        <v>11331</v>
      </c>
      <c r="C1419">
        <v>45778</v>
      </c>
      <c r="D1419" t="s">
        <v>7263</v>
      </c>
      <c r="E1419" t="s">
        <v>11332</v>
      </c>
      <c r="F1419">
        <v>45777</v>
      </c>
      <c r="G1419" t="s">
        <v>2208</v>
      </c>
      <c r="H1419" t="s">
        <v>7834</v>
      </c>
      <c r="I1419" t="s">
        <v>16762</v>
      </c>
      <c r="J1419">
        <v>1</v>
      </c>
      <c r="K1419">
        <v>104.61</v>
      </c>
      <c r="L1419" t="s">
        <v>2917</v>
      </c>
      <c r="M1419">
        <v>104.61</v>
      </c>
      <c r="N1419" t="s">
        <v>2917</v>
      </c>
      <c r="O1419" t="s">
        <v>2208</v>
      </c>
      <c r="P1419" t="s">
        <v>2208</v>
      </c>
      <c r="Q1419" t="s">
        <v>2208</v>
      </c>
      <c r="R1419" t="s">
        <v>2208</v>
      </c>
    </row>
    <row r="1420" spans="1:18">
      <c r="A1420" t="s">
        <v>7030</v>
      </c>
      <c r="B1420" t="s">
        <v>11331</v>
      </c>
      <c r="C1420">
        <v>45778</v>
      </c>
      <c r="D1420" t="s">
        <v>7263</v>
      </c>
      <c r="E1420" t="s">
        <v>11332</v>
      </c>
      <c r="F1420">
        <v>45777</v>
      </c>
      <c r="G1420" t="s">
        <v>2208</v>
      </c>
      <c r="H1420" t="s">
        <v>7834</v>
      </c>
      <c r="I1420" t="s">
        <v>16763</v>
      </c>
      <c r="J1420">
        <v>1</v>
      </c>
      <c r="K1420">
        <v>104.61</v>
      </c>
      <c r="L1420" t="s">
        <v>2917</v>
      </c>
      <c r="M1420">
        <v>104.61</v>
      </c>
      <c r="N1420" t="s">
        <v>2917</v>
      </c>
      <c r="O1420" t="s">
        <v>2208</v>
      </c>
      <c r="P1420" t="s">
        <v>2208</v>
      </c>
      <c r="Q1420" t="s">
        <v>2208</v>
      </c>
      <c r="R1420" t="s">
        <v>2208</v>
      </c>
    </row>
    <row r="1421" spans="1:18">
      <c r="A1421" t="s">
        <v>7030</v>
      </c>
      <c r="B1421" t="s">
        <v>11331</v>
      </c>
      <c r="C1421">
        <v>45778</v>
      </c>
      <c r="D1421" t="s">
        <v>7263</v>
      </c>
      <c r="E1421" t="s">
        <v>11332</v>
      </c>
      <c r="F1421">
        <v>45777</v>
      </c>
      <c r="G1421" t="s">
        <v>2208</v>
      </c>
      <c r="H1421" t="s">
        <v>7834</v>
      </c>
      <c r="I1421" t="s">
        <v>16764</v>
      </c>
      <c r="J1421">
        <v>1</v>
      </c>
      <c r="K1421">
        <v>104.61</v>
      </c>
      <c r="L1421" t="s">
        <v>2917</v>
      </c>
      <c r="M1421">
        <v>104.61</v>
      </c>
      <c r="N1421" t="s">
        <v>2917</v>
      </c>
      <c r="O1421" t="s">
        <v>2208</v>
      </c>
      <c r="P1421" t="s">
        <v>2208</v>
      </c>
      <c r="Q1421" t="s">
        <v>2208</v>
      </c>
      <c r="R1421" t="s">
        <v>2208</v>
      </c>
    </row>
    <row r="1422" spans="1:18">
      <c r="A1422" t="s">
        <v>7030</v>
      </c>
      <c r="B1422" t="s">
        <v>11331</v>
      </c>
      <c r="C1422">
        <v>45778</v>
      </c>
      <c r="D1422" t="s">
        <v>7263</v>
      </c>
      <c r="E1422" t="s">
        <v>11332</v>
      </c>
      <c r="F1422">
        <v>45777</v>
      </c>
      <c r="G1422" t="s">
        <v>2208</v>
      </c>
      <c r="H1422" t="s">
        <v>7834</v>
      </c>
      <c r="I1422" t="s">
        <v>16765</v>
      </c>
      <c r="J1422">
        <v>1</v>
      </c>
      <c r="K1422">
        <v>104.61</v>
      </c>
      <c r="L1422" t="s">
        <v>2917</v>
      </c>
      <c r="M1422">
        <v>104.61</v>
      </c>
      <c r="N1422" t="s">
        <v>2917</v>
      </c>
      <c r="O1422" t="s">
        <v>2208</v>
      </c>
      <c r="P1422" t="s">
        <v>2208</v>
      </c>
      <c r="Q1422" t="s">
        <v>2208</v>
      </c>
      <c r="R1422" t="s">
        <v>2208</v>
      </c>
    </row>
    <row r="1423" spans="1:18">
      <c r="A1423" t="s">
        <v>7030</v>
      </c>
      <c r="B1423" t="s">
        <v>11331</v>
      </c>
      <c r="C1423">
        <v>45778</v>
      </c>
      <c r="D1423" t="s">
        <v>7263</v>
      </c>
      <c r="E1423" t="s">
        <v>11332</v>
      </c>
      <c r="F1423">
        <v>45777</v>
      </c>
      <c r="G1423" t="s">
        <v>2208</v>
      </c>
      <c r="H1423" t="s">
        <v>7834</v>
      </c>
      <c r="I1423" t="s">
        <v>16766</v>
      </c>
      <c r="J1423">
        <v>1</v>
      </c>
      <c r="K1423">
        <v>104.61</v>
      </c>
      <c r="L1423" t="s">
        <v>2917</v>
      </c>
      <c r="M1423">
        <v>104.61</v>
      </c>
      <c r="N1423" t="s">
        <v>2917</v>
      </c>
      <c r="O1423" t="s">
        <v>2208</v>
      </c>
      <c r="P1423" t="s">
        <v>2208</v>
      </c>
      <c r="Q1423" t="s">
        <v>2208</v>
      </c>
      <c r="R1423" t="s">
        <v>2208</v>
      </c>
    </row>
    <row r="1424" spans="1:18">
      <c r="A1424" t="s">
        <v>7030</v>
      </c>
      <c r="B1424" t="s">
        <v>11331</v>
      </c>
      <c r="C1424">
        <v>45778</v>
      </c>
      <c r="D1424" t="s">
        <v>7263</v>
      </c>
      <c r="E1424" t="s">
        <v>11332</v>
      </c>
      <c r="F1424">
        <v>45777</v>
      </c>
      <c r="G1424" t="s">
        <v>2208</v>
      </c>
      <c r="H1424" t="s">
        <v>7834</v>
      </c>
      <c r="I1424" t="s">
        <v>16767</v>
      </c>
      <c r="J1424">
        <v>1</v>
      </c>
      <c r="K1424">
        <v>104.61</v>
      </c>
      <c r="L1424" t="s">
        <v>2917</v>
      </c>
      <c r="M1424">
        <v>104.61</v>
      </c>
      <c r="N1424" t="s">
        <v>2917</v>
      </c>
      <c r="O1424" t="s">
        <v>2208</v>
      </c>
      <c r="P1424" t="s">
        <v>2208</v>
      </c>
      <c r="Q1424" t="s">
        <v>2208</v>
      </c>
      <c r="R1424" t="s">
        <v>2208</v>
      </c>
    </row>
    <row r="1425" spans="1:18">
      <c r="A1425" t="s">
        <v>7030</v>
      </c>
      <c r="B1425" t="s">
        <v>11331</v>
      </c>
      <c r="C1425">
        <v>45778</v>
      </c>
      <c r="D1425" t="s">
        <v>7263</v>
      </c>
      <c r="E1425" t="s">
        <v>11332</v>
      </c>
      <c r="F1425">
        <v>45777</v>
      </c>
      <c r="G1425" t="s">
        <v>2208</v>
      </c>
      <c r="H1425" t="s">
        <v>7834</v>
      </c>
      <c r="I1425" t="s">
        <v>16768</v>
      </c>
      <c r="J1425">
        <v>1</v>
      </c>
      <c r="K1425">
        <v>104.61</v>
      </c>
      <c r="L1425" t="s">
        <v>2917</v>
      </c>
      <c r="M1425">
        <v>104.61</v>
      </c>
      <c r="N1425" t="s">
        <v>2917</v>
      </c>
      <c r="O1425" t="s">
        <v>2208</v>
      </c>
      <c r="P1425" t="s">
        <v>2208</v>
      </c>
      <c r="Q1425" t="s">
        <v>2208</v>
      </c>
      <c r="R1425" t="s">
        <v>2208</v>
      </c>
    </row>
    <row r="1426" spans="1:18">
      <c r="A1426" t="s">
        <v>7030</v>
      </c>
      <c r="B1426" t="s">
        <v>11331</v>
      </c>
      <c r="C1426">
        <v>45778</v>
      </c>
      <c r="D1426" t="s">
        <v>7263</v>
      </c>
      <c r="E1426" t="s">
        <v>11332</v>
      </c>
      <c r="F1426">
        <v>45777</v>
      </c>
      <c r="G1426" t="s">
        <v>2208</v>
      </c>
      <c r="H1426" t="s">
        <v>7834</v>
      </c>
      <c r="I1426" t="s">
        <v>16769</v>
      </c>
      <c r="J1426">
        <v>1</v>
      </c>
      <c r="K1426">
        <v>104.61</v>
      </c>
      <c r="L1426" t="s">
        <v>2917</v>
      </c>
      <c r="M1426">
        <v>104.61</v>
      </c>
      <c r="N1426" t="s">
        <v>2917</v>
      </c>
      <c r="O1426" t="s">
        <v>2208</v>
      </c>
      <c r="P1426" t="s">
        <v>2208</v>
      </c>
      <c r="Q1426" t="s">
        <v>2208</v>
      </c>
      <c r="R1426" t="s">
        <v>2208</v>
      </c>
    </row>
    <row r="1427" spans="1:18">
      <c r="A1427" t="s">
        <v>7030</v>
      </c>
      <c r="B1427" t="s">
        <v>11331</v>
      </c>
      <c r="C1427">
        <v>45778</v>
      </c>
      <c r="D1427" t="s">
        <v>7263</v>
      </c>
      <c r="E1427" t="s">
        <v>11332</v>
      </c>
      <c r="F1427">
        <v>45777</v>
      </c>
      <c r="G1427" t="s">
        <v>2208</v>
      </c>
      <c r="H1427" t="s">
        <v>7834</v>
      </c>
      <c r="I1427" t="s">
        <v>16770</v>
      </c>
      <c r="J1427">
        <v>1</v>
      </c>
      <c r="K1427">
        <v>104.61</v>
      </c>
      <c r="L1427" t="s">
        <v>2917</v>
      </c>
      <c r="M1427">
        <v>104.61</v>
      </c>
      <c r="N1427" t="s">
        <v>2917</v>
      </c>
      <c r="O1427" t="s">
        <v>2208</v>
      </c>
      <c r="P1427" t="s">
        <v>2208</v>
      </c>
      <c r="Q1427" t="s">
        <v>2208</v>
      </c>
      <c r="R1427" t="s">
        <v>2208</v>
      </c>
    </row>
    <row r="1428" spans="1:18">
      <c r="A1428" t="s">
        <v>7030</v>
      </c>
      <c r="B1428" t="s">
        <v>11331</v>
      </c>
      <c r="C1428">
        <v>45778</v>
      </c>
      <c r="D1428" t="s">
        <v>7263</v>
      </c>
      <c r="E1428" t="s">
        <v>11332</v>
      </c>
      <c r="F1428">
        <v>45777</v>
      </c>
      <c r="G1428" t="s">
        <v>2208</v>
      </c>
      <c r="H1428" t="s">
        <v>7834</v>
      </c>
      <c r="I1428" t="s">
        <v>16771</v>
      </c>
      <c r="J1428">
        <v>1</v>
      </c>
      <c r="K1428">
        <v>104.61</v>
      </c>
      <c r="L1428" t="s">
        <v>2917</v>
      </c>
      <c r="M1428">
        <v>104.61</v>
      </c>
      <c r="N1428" t="s">
        <v>2917</v>
      </c>
      <c r="O1428" t="s">
        <v>2208</v>
      </c>
      <c r="P1428" t="s">
        <v>2208</v>
      </c>
      <c r="Q1428" t="s">
        <v>2208</v>
      </c>
      <c r="R1428" t="s">
        <v>2208</v>
      </c>
    </row>
    <row r="1429" spans="1:18">
      <c r="A1429" t="s">
        <v>7030</v>
      </c>
      <c r="B1429" t="s">
        <v>11331</v>
      </c>
      <c r="C1429">
        <v>45778</v>
      </c>
      <c r="D1429" t="s">
        <v>7263</v>
      </c>
      <c r="E1429" t="s">
        <v>11332</v>
      </c>
      <c r="F1429">
        <v>45777</v>
      </c>
      <c r="G1429" t="s">
        <v>2208</v>
      </c>
      <c r="H1429" t="s">
        <v>7834</v>
      </c>
      <c r="I1429" t="s">
        <v>16772</v>
      </c>
      <c r="J1429">
        <v>1</v>
      </c>
      <c r="K1429">
        <v>104.61</v>
      </c>
      <c r="L1429" t="s">
        <v>2917</v>
      </c>
      <c r="M1429">
        <v>104.61</v>
      </c>
      <c r="N1429" t="s">
        <v>2917</v>
      </c>
      <c r="O1429" t="s">
        <v>2208</v>
      </c>
      <c r="P1429" t="s">
        <v>2208</v>
      </c>
      <c r="Q1429" t="s">
        <v>2208</v>
      </c>
      <c r="R1429" t="s">
        <v>2208</v>
      </c>
    </row>
    <row r="1430" spans="1:18">
      <c r="A1430" t="s">
        <v>7030</v>
      </c>
      <c r="B1430" t="s">
        <v>11331</v>
      </c>
      <c r="C1430">
        <v>45778</v>
      </c>
      <c r="D1430" t="s">
        <v>7263</v>
      </c>
      <c r="E1430" t="s">
        <v>11332</v>
      </c>
      <c r="F1430">
        <v>45777</v>
      </c>
      <c r="G1430" t="s">
        <v>2208</v>
      </c>
      <c r="H1430" t="s">
        <v>7834</v>
      </c>
      <c r="I1430" t="s">
        <v>16773</v>
      </c>
      <c r="J1430">
        <v>1</v>
      </c>
      <c r="K1430">
        <v>104.61</v>
      </c>
      <c r="L1430" t="s">
        <v>2917</v>
      </c>
      <c r="M1430">
        <v>104.61</v>
      </c>
      <c r="N1430" t="s">
        <v>2917</v>
      </c>
      <c r="O1430" t="s">
        <v>2208</v>
      </c>
      <c r="P1430" t="s">
        <v>2208</v>
      </c>
      <c r="Q1430" t="s">
        <v>2208</v>
      </c>
      <c r="R1430" t="s">
        <v>2208</v>
      </c>
    </row>
    <row r="1431" spans="1:18">
      <c r="A1431" t="s">
        <v>7030</v>
      </c>
      <c r="B1431" t="s">
        <v>11331</v>
      </c>
      <c r="C1431">
        <v>45778</v>
      </c>
      <c r="D1431" t="s">
        <v>7263</v>
      </c>
      <c r="E1431" t="s">
        <v>11332</v>
      </c>
      <c r="F1431">
        <v>45777</v>
      </c>
      <c r="G1431" t="s">
        <v>2208</v>
      </c>
      <c r="H1431" t="s">
        <v>7834</v>
      </c>
      <c r="I1431" t="s">
        <v>16774</v>
      </c>
      <c r="J1431">
        <v>2</v>
      </c>
      <c r="K1431">
        <v>209.22</v>
      </c>
      <c r="L1431" t="s">
        <v>2917</v>
      </c>
      <c r="M1431">
        <v>209.22</v>
      </c>
      <c r="N1431" t="s">
        <v>2917</v>
      </c>
      <c r="O1431" t="s">
        <v>2208</v>
      </c>
      <c r="P1431" t="s">
        <v>2208</v>
      </c>
      <c r="Q1431" t="s">
        <v>2208</v>
      </c>
      <c r="R1431" t="s">
        <v>2208</v>
      </c>
    </row>
    <row r="1432" spans="1:18">
      <c r="A1432" t="s">
        <v>7030</v>
      </c>
      <c r="B1432" t="s">
        <v>11331</v>
      </c>
      <c r="C1432">
        <v>45778</v>
      </c>
      <c r="D1432" t="s">
        <v>7263</v>
      </c>
      <c r="E1432" t="s">
        <v>11332</v>
      </c>
      <c r="F1432">
        <v>45777</v>
      </c>
      <c r="G1432" t="s">
        <v>2208</v>
      </c>
      <c r="H1432" t="s">
        <v>7834</v>
      </c>
      <c r="I1432" t="s">
        <v>16775</v>
      </c>
      <c r="J1432">
        <v>2</v>
      </c>
      <c r="K1432">
        <v>209.22</v>
      </c>
      <c r="L1432" t="s">
        <v>2917</v>
      </c>
      <c r="M1432">
        <v>209.22</v>
      </c>
      <c r="N1432" t="s">
        <v>2917</v>
      </c>
      <c r="O1432" t="s">
        <v>2208</v>
      </c>
      <c r="P1432" t="s">
        <v>2208</v>
      </c>
      <c r="Q1432" t="s">
        <v>2208</v>
      </c>
      <c r="R1432" t="s">
        <v>2208</v>
      </c>
    </row>
    <row r="1433" spans="1:18">
      <c r="A1433" t="s">
        <v>7030</v>
      </c>
      <c r="B1433" t="s">
        <v>11331</v>
      </c>
      <c r="C1433">
        <v>45778</v>
      </c>
      <c r="D1433" t="s">
        <v>7263</v>
      </c>
      <c r="E1433" t="s">
        <v>11332</v>
      </c>
      <c r="F1433">
        <v>45777</v>
      </c>
      <c r="G1433" t="s">
        <v>2208</v>
      </c>
      <c r="H1433" t="s">
        <v>7834</v>
      </c>
      <c r="I1433" t="s">
        <v>16776</v>
      </c>
      <c r="J1433">
        <v>3</v>
      </c>
      <c r="K1433">
        <v>313.83</v>
      </c>
      <c r="L1433" t="s">
        <v>2917</v>
      </c>
      <c r="M1433">
        <v>313.83</v>
      </c>
      <c r="N1433" t="s">
        <v>2917</v>
      </c>
      <c r="O1433" t="s">
        <v>2208</v>
      </c>
      <c r="P1433" t="s">
        <v>2208</v>
      </c>
      <c r="Q1433" t="s">
        <v>2208</v>
      </c>
      <c r="R1433" t="s">
        <v>2208</v>
      </c>
    </row>
    <row r="1434" spans="1:18">
      <c r="A1434" t="s">
        <v>7030</v>
      </c>
      <c r="B1434" t="s">
        <v>11331</v>
      </c>
      <c r="C1434">
        <v>45778</v>
      </c>
      <c r="D1434" t="s">
        <v>7263</v>
      </c>
      <c r="E1434" t="s">
        <v>11332</v>
      </c>
      <c r="F1434">
        <v>45777</v>
      </c>
      <c r="G1434" t="s">
        <v>2208</v>
      </c>
      <c r="H1434" t="s">
        <v>7834</v>
      </c>
      <c r="I1434" t="s">
        <v>16777</v>
      </c>
      <c r="J1434">
        <v>1</v>
      </c>
      <c r="K1434">
        <v>104.61</v>
      </c>
      <c r="L1434" t="s">
        <v>2917</v>
      </c>
      <c r="M1434">
        <v>104.61</v>
      </c>
      <c r="N1434" t="s">
        <v>2917</v>
      </c>
      <c r="O1434" t="s">
        <v>2208</v>
      </c>
      <c r="P1434" t="s">
        <v>2208</v>
      </c>
      <c r="Q1434" t="s">
        <v>2208</v>
      </c>
      <c r="R1434" t="s">
        <v>2208</v>
      </c>
    </row>
    <row r="1435" spans="1:18">
      <c r="A1435" t="s">
        <v>7030</v>
      </c>
      <c r="B1435" t="s">
        <v>11331</v>
      </c>
      <c r="C1435">
        <v>45778</v>
      </c>
      <c r="D1435" t="s">
        <v>7263</v>
      </c>
      <c r="E1435" t="s">
        <v>11332</v>
      </c>
      <c r="F1435">
        <v>45777</v>
      </c>
      <c r="G1435" t="s">
        <v>2208</v>
      </c>
      <c r="H1435" t="s">
        <v>7834</v>
      </c>
      <c r="I1435" t="s">
        <v>16778</v>
      </c>
      <c r="J1435">
        <v>1</v>
      </c>
      <c r="K1435">
        <v>104.61</v>
      </c>
      <c r="L1435" t="s">
        <v>2917</v>
      </c>
      <c r="M1435">
        <v>104.61</v>
      </c>
      <c r="N1435" t="s">
        <v>2917</v>
      </c>
      <c r="O1435" t="s">
        <v>2208</v>
      </c>
      <c r="P1435" t="s">
        <v>2208</v>
      </c>
      <c r="Q1435" t="s">
        <v>2208</v>
      </c>
      <c r="R1435" t="s">
        <v>2208</v>
      </c>
    </row>
    <row r="1436" spans="1:18">
      <c r="A1436" t="s">
        <v>7030</v>
      </c>
      <c r="B1436" t="s">
        <v>11331</v>
      </c>
      <c r="C1436">
        <v>45778</v>
      </c>
      <c r="D1436" t="s">
        <v>7263</v>
      </c>
      <c r="E1436" t="s">
        <v>11332</v>
      </c>
      <c r="F1436">
        <v>45777</v>
      </c>
      <c r="G1436" t="s">
        <v>2208</v>
      </c>
      <c r="H1436" t="s">
        <v>7834</v>
      </c>
      <c r="I1436" t="s">
        <v>16779</v>
      </c>
      <c r="J1436">
        <v>2</v>
      </c>
      <c r="K1436">
        <v>209.22</v>
      </c>
      <c r="L1436" t="s">
        <v>2917</v>
      </c>
      <c r="M1436">
        <v>209.22</v>
      </c>
      <c r="N1436" t="s">
        <v>2917</v>
      </c>
      <c r="O1436" t="s">
        <v>2208</v>
      </c>
      <c r="P1436" t="s">
        <v>2208</v>
      </c>
      <c r="Q1436" t="s">
        <v>2208</v>
      </c>
      <c r="R1436" t="s">
        <v>2208</v>
      </c>
    </row>
    <row r="1437" spans="1:18">
      <c r="A1437" t="s">
        <v>7030</v>
      </c>
      <c r="B1437" t="s">
        <v>11331</v>
      </c>
      <c r="C1437">
        <v>45778</v>
      </c>
      <c r="D1437" t="s">
        <v>7263</v>
      </c>
      <c r="E1437" t="s">
        <v>11332</v>
      </c>
      <c r="F1437">
        <v>45777</v>
      </c>
      <c r="G1437" t="s">
        <v>2208</v>
      </c>
      <c r="H1437" t="s">
        <v>7834</v>
      </c>
      <c r="I1437" t="s">
        <v>16780</v>
      </c>
      <c r="J1437">
        <v>5</v>
      </c>
      <c r="K1437">
        <v>523.04999999999995</v>
      </c>
      <c r="L1437" t="s">
        <v>2917</v>
      </c>
      <c r="M1437">
        <v>523.04999999999995</v>
      </c>
      <c r="N1437" t="s">
        <v>2917</v>
      </c>
      <c r="O1437" t="s">
        <v>2208</v>
      </c>
      <c r="P1437" t="s">
        <v>2208</v>
      </c>
      <c r="Q1437" t="s">
        <v>2208</v>
      </c>
      <c r="R1437" t="s">
        <v>2208</v>
      </c>
    </row>
    <row r="1438" spans="1:18">
      <c r="A1438" t="s">
        <v>7030</v>
      </c>
      <c r="B1438" t="s">
        <v>11331</v>
      </c>
      <c r="C1438">
        <v>45778</v>
      </c>
      <c r="D1438" t="s">
        <v>7263</v>
      </c>
      <c r="E1438" t="s">
        <v>11332</v>
      </c>
      <c r="F1438">
        <v>45777</v>
      </c>
      <c r="G1438" t="s">
        <v>2208</v>
      </c>
      <c r="H1438" t="s">
        <v>7834</v>
      </c>
      <c r="I1438" t="s">
        <v>16781</v>
      </c>
      <c r="J1438">
        <v>7</v>
      </c>
      <c r="K1438">
        <v>732.27</v>
      </c>
      <c r="L1438" t="s">
        <v>2917</v>
      </c>
      <c r="M1438">
        <v>732.27</v>
      </c>
      <c r="N1438" t="s">
        <v>2917</v>
      </c>
      <c r="O1438" t="s">
        <v>2208</v>
      </c>
      <c r="P1438" t="s">
        <v>2208</v>
      </c>
      <c r="Q1438" t="s">
        <v>2208</v>
      </c>
      <c r="R1438" t="s">
        <v>2208</v>
      </c>
    </row>
    <row r="1439" spans="1:18">
      <c r="A1439" t="s">
        <v>7030</v>
      </c>
      <c r="B1439" t="s">
        <v>11331</v>
      </c>
      <c r="C1439">
        <v>45778</v>
      </c>
      <c r="D1439" t="s">
        <v>7263</v>
      </c>
      <c r="E1439" t="s">
        <v>11332</v>
      </c>
      <c r="F1439">
        <v>45777</v>
      </c>
      <c r="G1439" t="s">
        <v>2208</v>
      </c>
      <c r="H1439" t="s">
        <v>7834</v>
      </c>
      <c r="I1439" t="s">
        <v>16782</v>
      </c>
      <c r="J1439">
        <v>3</v>
      </c>
      <c r="K1439">
        <v>313.83</v>
      </c>
      <c r="L1439" t="s">
        <v>2917</v>
      </c>
      <c r="M1439">
        <v>313.83</v>
      </c>
      <c r="N1439" t="s">
        <v>2917</v>
      </c>
      <c r="O1439" t="s">
        <v>2208</v>
      </c>
      <c r="P1439" t="s">
        <v>2208</v>
      </c>
      <c r="Q1439" t="s">
        <v>2208</v>
      </c>
      <c r="R1439" t="s">
        <v>2208</v>
      </c>
    </row>
    <row r="1440" spans="1:18">
      <c r="A1440" t="s">
        <v>7030</v>
      </c>
      <c r="B1440" t="s">
        <v>11331</v>
      </c>
      <c r="C1440">
        <v>45778</v>
      </c>
      <c r="D1440" t="s">
        <v>7263</v>
      </c>
      <c r="E1440" t="s">
        <v>11332</v>
      </c>
      <c r="F1440">
        <v>45777</v>
      </c>
      <c r="G1440" t="s">
        <v>2208</v>
      </c>
      <c r="H1440" t="s">
        <v>7834</v>
      </c>
      <c r="I1440" t="s">
        <v>16783</v>
      </c>
      <c r="J1440">
        <v>2.5</v>
      </c>
      <c r="K1440">
        <v>261.52999999999997</v>
      </c>
      <c r="L1440" t="s">
        <v>2917</v>
      </c>
      <c r="M1440">
        <v>261.52999999999997</v>
      </c>
      <c r="N1440" t="s">
        <v>2917</v>
      </c>
      <c r="O1440" t="s">
        <v>2208</v>
      </c>
      <c r="P1440" t="s">
        <v>2208</v>
      </c>
      <c r="Q1440" t="s">
        <v>2208</v>
      </c>
      <c r="R1440" t="s">
        <v>2208</v>
      </c>
    </row>
    <row r="1441" spans="1:18">
      <c r="A1441" t="s">
        <v>7030</v>
      </c>
      <c r="B1441" t="s">
        <v>11331</v>
      </c>
      <c r="C1441">
        <v>45778</v>
      </c>
      <c r="D1441" t="s">
        <v>7263</v>
      </c>
      <c r="E1441" t="s">
        <v>11332</v>
      </c>
      <c r="F1441">
        <v>45777</v>
      </c>
      <c r="G1441" t="s">
        <v>2208</v>
      </c>
      <c r="H1441" t="s">
        <v>7834</v>
      </c>
      <c r="I1441" t="s">
        <v>16784</v>
      </c>
      <c r="J1441">
        <v>3</v>
      </c>
      <c r="K1441">
        <v>313.83</v>
      </c>
      <c r="L1441" t="s">
        <v>2917</v>
      </c>
      <c r="M1441">
        <v>313.83</v>
      </c>
      <c r="N1441" t="s">
        <v>2917</v>
      </c>
      <c r="O1441" t="s">
        <v>2208</v>
      </c>
      <c r="P1441" t="s">
        <v>2208</v>
      </c>
      <c r="Q1441" t="s">
        <v>2208</v>
      </c>
      <c r="R1441" t="s">
        <v>2208</v>
      </c>
    </row>
    <row r="1442" spans="1:18">
      <c r="A1442" t="s">
        <v>7030</v>
      </c>
      <c r="B1442" t="s">
        <v>11331</v>
      </c>
      <c r="C1442">
        <v>45778</v>
      </c>
      <c r="D1442" t="s">
        <v>7263</v>
      </c>
      <c r="E1442" t="s">
        <v>11332</v>
      </c>
      <c r="F1442">
        <v>45777</v>
      </c>
      <c r="G1442" t="s">
        <v>2208</v>
      </c>
      <c r="H1442" t="s">
        <v>7834</v>
      </c>
      <c r="I1442" t="s">
        <v>16785</v>
      </c>
      <c r="J1442">
        <v>3</v>
      </c>
      <c r="K1442">
        <v>313.83</v>
      </c>
      <c r="L1442" t="s">
        <v>2917</v>
      </c>
      <c r="M1442">
        <v>313.83</v>
      </c>
      <c r="N1442" t="s">
        <v>2917</v>
      </c>
      <c r="O1442" t="s">
        <v>2208</v>
      </c>
      <c r="P1442" t="s">
        <v>2208</v>
      </c>
      <c r="Q1442" t="s">
        <v>2208</v>
      </c>
      <c r="R1442" t="s">
        <v>2208</v>
      </c>
    </row>
    <row r="1443" spans="1:18">
      <c r="A1443" t="s">
        <v>7030</v>
      </c>
      <c r="B1443" t="s">
        <v>11331</v>
      </c>
      <c r="C1443">
        <v>45778</v>
      </c>
      <c r="D1443" t="s">
        <v>7263</v>
      </c>
      <c r="E1443" t="s">
        <v>11332</v>
      </c>
      <c r="F1443">
        <v>45777</v>
      </c>
      <c r="G1443" t="s">
        <v>2208</v>
      </c>
      <c r="H1443" t="s">
        <v>7834</v>
      </c>
      <c r="I1443" t="s">
        <v>16786</v>
      </c>
      <c r="J1443">
        <v>1</v>
      </c>
      <c r="K1443">
        <v>104.61</v>
      </c>
      <c r="L1443" t="s">
        <v>2917</v>
      </c>
      <c r="M1443">
        <v>104.61</v>
      </c>
      <c r="N1443" t="s">
        <v>2917</v>
      </c>
      <c r="O1443" t="s">
        <v>2208</v>
      </c>
      <c r="P1443" t="s">
        <v>2208</v>
      </c>
      <c r="Q1443" t="s">
        <v>2208</v>
      </c>
      <c r="R1443" t="s">
        <v>2208</v>
      </c>
    </row>
    <row r="1444" spans="1:18">
      <c r="A1444" t="s">
        <v>7030</v>
      </c>
      <c r="B1444" t="s">
        <v>11331</v>
      </c>
      <c r="C1444">
        <v>45778</v>
      </c>
      <c r="D1444" t="s">
        <v>7263</v>
      </c>
      <c r="E1444" t="s">
        <v>11332</v>
      </c>
      <c r="F1444">
        <v>45777</v>
      </c>
      <c r="G1444" t="s">
        <v>2208</v>
      </c>
      <c r="H1444" t="s">
        <v>7834</v>
      </c>
      <c r="I1444" t="s">
        <v>16787</v>
      </c>
      <c r="J1444">
        <v>1</v>
      </c>
      <c r="K1444">
        <v>104.61</v>
      </c>
      <c r="L1444" t="s">
        <v>2917</v>
      </c>
      <c r="M1444">
        <v>104.61</v>
      </c>
      <c r="N1444" t="s">
        <v>2917</v>
      </c>
      <c r="O1444" t="s">
        <v>2208</v>
      </c>
      <c r="P1444" t="s">
        <v>2208</v>
      </c>
      <c r="Q1444" t="s">
        <v>2208</v>
      </c>
      <c r="R1444" t="s">
        <v>2208</v>
      </c>
    </row>
    <row r="1445" spans="1:18">
      <c r="A1445" t="s">
        <v>7030</v>
      </c>
      <c r="B1445" t="s">
        <v>11331</v>
      </c>
      <c r="C1445">
        <v>45778</v>
      </c>
      <c r="D1445" t="s">
        <v>7263</v>
      </c>
      <c r="E1445" t="s">
        <v>11332</v>
      </c>
      <c r="F1445">
        <v>45777</v>
      </c>
      <c r="G1445" t="s">
        <v>2208</v>
      </c>
      <c r="H1445" t="s">
        <v>7834</v>
      </c>
      <c r="I1445" t="s">
        <v>16788</v>
      </c>
      <c r="J1445">
        <v>1</v>
      </c>
      <c r="K1445">
        <v>104.61</v>
      </c>
      <c r="L1445" t="s">
        <v>2917</v>
      </c>
      <c r="M1445">
        <v>104.61</v>
      </c>
      <c r="N1445" t="s">
        <v>2917</v>
      </c>
      <c r="O1445" t="s">
        <v>2208</v>
      </c>
      <c r="P1445" t="s">
        <v>2208</v>
      </c>
      <c r="Q1445" t="s">
        <v>2208</v>
      </c>
      <c r="R1445" t="s">
        <v>2208</v>
      </c>
    </row>
    <row r="1446" spans="1:18">
      <c r="A1446" t="s">
        <v>7030</v>
      </c>
      <c r="B1446" t="s">
        <v>11331</v>
      </c>
      <c r="C1446">
        <v>45778</v>
      </c>
      <c r="D1446" t="s">
        <v>7263</v>
      </c>
      <c r="E1446" t="s">
        <v>11332</v>
      </c>
      <c r="F1446">
        <v>45777</v>
      </c>
      <c r="G1446" t="s">
        <v>2208</v>
      </c>
      <c r="H1446" t="s">
        <v>7834</v>
      </c>
      <c r="I1446" t="s">
        <v>16789</v>
      </c>
      <c r="J1446">
        <v>1</v>
      </c>
      <c r="K1446">
        <v>104.61</v>
      </c>
      <c r="L1446" t="s">
        <v>2917</v>
      </c>
      <c r="M1446">
        <v>104.61</v>
      </c>
      <c r="N1446" t="s">
        <v>2917</v>
      </c>
      <c r="O1446" t="s">
        <v>2208</v>
      </c>
      <c r="P1446" t="s">
        <v>2208</v>
      </c>
      <c r="Q1446" t="s">
        <v>2208</v>
      </c>
      <c r="R1446" t="s">
        <v>2208</v>
      </c>
    </row>
    <row r="1447" spans="1:18">
      <c r="A1447" t="s">
        <v>7030</v>
      </c>
      <c r="B1447" t="s">
        <v>11331</v>
      </c>
      <c r="C1447">
        <v>45778</v>
      </c>
      <c r="D1447" t="s">
        <v>7263</v>
      </c>
      <c r="E1447" t="s">
        <v>11332</v>
      </c>
      <c r="F1447">
        <v>45777</v>
      </c>
      <c r="G1447" t="s">
        <v>2208</v>
      </c>
      <c r="H1447" t="s">
        <v>7834</v>
      </c>
      <c r="I1447" t="s">
        <v>16790</v>
      </c>
      <c r="J1447">
        <v>1</v>
      </c>
      <c r="K1447">
        <v>104.61</v>
      </c>
      <c r="L1447" t="s">
        <v>2917</v>
      </c>
      <c r="M1447">
        <v>104.61</v>
      </c>
      <c r="N1447" t="s">
        <v>2917</v>
      </c>
      <c r="O1447" t="s">
        <v>2208</v>
      </c>
      <c r="P1447" t="s">
        <v>2208</v>
      </c>
      <c r="Q1447" t="s">
        <v>2208</v>
      </c>
      <c r="R1447" t="s">
        <v>2208</v>
      </c>
    </row>
    <row r="1448" spans="1:18">
      <c r="A1448" t="s">
        <v>7030</v>
      </c>
      <c r="B1448" t="s">
        <v>11331</v>
      </c>
      <c r="C1448">
        <v>45778</v>
      </c>
      <c r="D1448" t="s">
        <v>7263</v>
      </c>
      <c r="E1448" t="s">
        <v>11332</v>
      </c>
      <c r="F1448">
        <v>45777</v>
      </c>
      <c r="G1448" t="s">
        <v>2208</v>
      </c>
      <c r="H1448" t="s">
        <v>7834</v>
      </c>
      <c r="I1448" t="s">
        <v>16791</v>
      </c>
      <c r="J1448">
        <v>2</v>
      </c>
      <c r="K1448">
        <v>209.22</v>
      </c>
      <c r="L1448" t="s">
        <v>2917</v>
      </c>
      <c r="M1448">
        <v>209.22</v>
      </c>
      <c r="N1448" t="s">
        <v>2917</v>
      </c>
      <c r="O1448" t="s">
        <v>2208</v>
      </c>
      <c r="P1448" t="s">
        <v>2208</v>
      </c>
      <c r="Q1448" t="s">
        <v>2208</v>
      </c>
      <c r="R1448" t="s">
        <v>2208</v>
      </c>
    </row>
    <row r="1449" spans="1:18">
      <c r="A1449" t="s">
        <v>7030</v>
      </c>
      <c r="B1449" t="s">
        <v>11331</v>
      </c>
      <c r="C1449">
        <v>45778</v>
      </c>
      <c r="D1449" t="s">
        <v>7263</v>
      </c>
      <c r="E1449" t="s">
        <v>11332</v>
      </c>
      <c r="F1449">
        <v>45777</v>
      </c>
      <c r="G1449" t="s">
        <v>2208</v>
      </c>
      <c r="H1449" t="s">
        <v>7834</v>
      </c>
      <c r="I1449" t="s">
        <v>16792</v>
      </c>
      <c r="J1449">
        <v>2</v>
      </c>
      <c r="K1449">
        <v>209.22</v>
      </c>
      <c r="L1449" t="s">
        <v>2917</v>
      </c>
      <c r="M1449">
        <v>209.22</v>
      </c>
      <c r="N1449" t="s">
        <v>2917</v>
      </c>
      <c r="O1449" t="s">
        <v>2208</v>
      </c>
      <c r="P1449" t="s">
        <v>2208</v>
      </c>
      <c r="Q1449" t="s">
        <v>2208</v>
      </c>
      <c r="R1449" t="s">
        <v>2208</v>
      </c>
    </row>
    <row r="1450" spans="1:18">
      <c r="A1450" t="s">
        <v>7030</v>
      </c>
      <c r="B1450" t="s">
        <v>11331</v>
      </c>
      <c r="C1450">
        <v>45778</v>
      </c>
      <c r="D1450" t="s">
        <v>7263</v>
      </c>
      <c r="E1450" t="s">
        <v>11332</v>
      </c>
      <c r="F1450">
        <v>45777</v>
      </c>
      <c r="G1450" t="s">
        <v>2208</v>
      </c>
      <c r="H1450" t="s">
        <v>7834</v>
      </c>
      <c r="I1450" t="s">
        <v>16793</v>
      </c>
      <c r="J1450">
        <v>1</v>
      </c>
      <c r="K1450">
        <v>104.61</v>
      </c>
      <c r="L1450" t="s">
        <v>2917</v>
      </c>
      <c r="M1450">
        <v>104.61</v>
      </c>
      <c r="N1450" t="s">
        <v>2917</v>
      </c>
      <c r="O1450" t="s">
        <v>2208</v>
      </c>
      <c r="P1450" t="s">
        <v>2208</v>
      </c>
      <c r="Q1450" t="s">
        <v>2208</v>
      </c>
      <c r="R1450" t="s">
        <v>2208</v>
      </c>
    </row>
    <row r="1451" spans="1:18">
      <c r="A1451" t="s">
        <v>7030</v>
      </c>
      <c r="B1451" t="s">
        <v>11331</v>
      </c>
      <c r="C1451">
        <v>45778</v>
      </c>
      <c r="D1451" t="s">
        <v>7263</v>
      </c>
      <c r="E1451" t="s">
        <v>11332</v>
      </c>
      <c r="F1451">
        <v>45777</v>
      </c>
      <c r="G1451" t="s">
        <v>2208</v>
      </c>
      <c r="H1451" t="s">
        <v>7834</v>
      </c>
      <c r="I1451" t="s">
        <v>16794</v>
      </c>
      <c r="J1451">
        <v>2</v>
      </c>
      <c r="K1451">
        <v>209.22</v>
      </c>
      <c r="L1451" t="s">
        <v>2917</v>
      </c>
      <c r="M1451">
        <v>209.22</v>
      </c>
      <c r="N1451" t="s">
        <v>2917</v>
      </c>
      <c r="O1451" t="s">
        <v>2208</v>
      </c>
      <c r="P1451" t="s">
        <v>2208</v>
      </c>
      <c r="Q1451" t="s">
        <v>2208</v>
      </c>
      <c r="R1451" t="s">
        <v>2208</v>
      </c>
    </row>
    <row r="1452" spans="1:18">
      <c r="A1452" t="s">
        <v>7030</v>
      </c>
      <c r="B1452" t="s">
        <v>11331</v>
      </c>
      <c r="C1452">
        <v>45778</v>
      </c>
      <c r="D1452" t="s">
        <v>7263</v>
      </c>
      <c r="E1452" t="s">
        <v>11332</v>
      </c>
      <c r="F1452">
        <v>45777</v>
      </c>
      <c r="G1452" t="s">
        <v>2208</v>
      </c>
      <c r="H1452" t="s">
        <v>7834</v>
      </c>
      <c r="I1452" t="s">
        <v>16795</v>
      </c>
      <c r="J1452">
        <v>1</v>
      </c>
      <c r="K1452">
        <v>104.61</v>
      </c>
      <c r="L1452" t="s">
        <v>2917</v>
      </c>
      <c r="M1452">
        <v>104.61</v>
      </c>
      <c r="N1452" t="s">
        <v>2917</v>
      </c>
      <c r="O1452" t="s">
        <v>2208</v>
      </c>
      <c r="P1452" t="s">
        <v>2208</v>
      </c>
      <c r="Q1452" t="s">
        <v>2208</v>
      </c>
      <c r="R1452" t="s">
        <v>2208</v>
      </c>
    </row>
    <row r="1453" spans="1:18">
      <c r="A1453" t="s">
        <v>7030</v>
      </c>
      <c r="B1453" t="s">
        <v>11331</v>
      </c>
      <c r="C1453">
        <v>45778</v>
      </c>
      <c r="D1453" t="s">
        <v>7263</v>
      </c>
      <c r="E1453" t="s">
        <v>11332</v>
      </c>
      <c r="F1453">
        <v>45777</v>
      </c>
      <c r="G1453" t="s">
        <v>2208</v>
      </c>
      <c r="H1453" t="s">
        <v>7834</v>
      </c>
      <c r="I1453" t="s">
        <v>16796</v>
      </c>
      <c r="J1453">
        <v>2</v>
      </c>
      <c r="K1453">
        <v>209.22</v>
      </c>
      <c r="L1453" t="s">
        <v>2917</v>
      </c>
      <c r="M1453">
        <v>209.22</v>
      </c>
      <c r="N1453" t="s">
        <v>2917</v>
      </c>
      <c r="O1453" t="s">
        <v>2208</v>
      </c>
      <c r="P1453" t="s">
        <v>2208</v>
      </c>
      <c r="Q1453" t="s">
        <v>2208</v>
      </c>
      <c r="R1453" t="s">
        <v>2208</v>
      </c>
    </row>
    <row r="1454" spans="1:18">
      <c r="A1454" t="s">
        <v>7030</v>
      </c>
      <c r="B1454" t="s">
        <v>11331</v>
      </c>
      <c r="C1454">
        <v>45778</v>
      </c>
      <c r="D1454" t="s">
        <v>7263</v>
      </c>
      <c r="E1454" t="s">
        <v>11332</v>
      </c>
      <c r="F1454">
        <v>45777</v>
      </c>
      <c r="G1454" t="s">
        <v>2208</v>
      </c>
      <c r="H1454" t="s">
        <v>7834</v>
      </c>
      <c r="I1454" t="s">
        <v>16797</v>
      </c>
      <c r="J1454">
        <v>1</v>
      </c>
      <c r="K1454">
        <v>104.61</v>
      </c>
      <c r="L1454" t="s">
        <v>2917</v>
      </c>
      <c r="M1454">
        <v>104.61</v>
      </c>
      <c r="N1454" t="s">
        <v>2917</v>
      </c>
      <c r="O1454" t="s">
        <v>2208</v>
      </c>
      <c r="P1454" t="s">
        <v>2208</v>
      </c>
      <c r="Q1454" t="s">
        <v>2208</v>
      </c>
      <c r="R1454" t="s">
        <v>2208</v>
      </c>
    </row>
    <row r="1455" spans="1:18">
      <c r="A1455" t="s">
        <v>7030</v>
      </c>
      <c r="B1455" t="s">
        <v>11331</v>
      </c>
      <c r="C1455">
        <v>45778</v>
      </c>
      <c r="D1455" t="s">
        <v>7263</v>
      </c>
      <c r="E1455" t="s">
        <v>11332</v>
      </c>
      <c r="F1455">
        <v>45777</v>
      </c>
      <c r="G1455" t="s">
        <v>2208</v>
      </c>
      <c r="H1455" t="s">
        <v>7834</v>
      </c>
      <c r="I1455" t="s">
        <v>16798</v>
      </c>
      <c r="J1455">
        <v>1</v>
      </c>
      <c r="K1455">
        <v>104.61</v>
      </c>
      <c r="L1455" t="s">
        <v>2917</v>
      </c>
      <c r="M1455">
        <v>104.61</v>
      </c>
      <c r="N1455" t="s">
        <v>2917</v>
      </c>
      <c r="O1455" t="s">
        <v>2208</v>
      </c>
      <c r="P1455" t="s">
        <v>2208</v>
      </c>
      <c r="Q1455" t="s">
        <v>2208</v>
      </c>
      <c r="R1455" t="s">
        <v>2208</v>
      </c>
    </row>
    <row r="1456" spans="1:18">
      <c r="A1456" t="s">
        <v>7030</v>
      </c>
      <c r="B1456" t="s">
        <v>11331</v>
      </c>
      <c r="C1456">
        <v>45778</v>
      </c>
      <c r="D1456" t="s">
        <v>7263</v>
      </c>
      <c r="E1456" t="s">
        <v>11332</v>
      </c>
      <c r="F1456">
        <v>45777</v>
      </c>
      <c r="G1456" t="s">
        <v>2208</v>
      </c>
      <c r="H1456" t="s">
        <v>7834</v>
      </c>
      <c r="I1456" t="s">
        <v>16799</v>
      </c>
      <c r="J1456">
        <v>1</v>
      </c>
      <c r="K1456">
        <v>104.61</v>
      </c>
      <c r="L1456" t="s">
        <v>2917</v>
      </c>
      <c r="M1456">
        <v>104.61</v>
      </c>
      <c r="N1456" t="s">
        <v>2917</v>
      </c>
      <c r="O1456" t="s">
        <v>2208</v>
      </c>
      <c r="P1456" t="s">
        <v>2208</v>
      </c>
      <c r="Q1456" t="s">
        <v>2208</v>
      </c>
      <c r="R1456" t="s">
        <v>2208</v>
      </c>
    </row>
    <row r="1457" spans="1:18">
      <c r="A1457" t="s">
        <v>7030</v>
      </c>
      <c r="B1457" t="s">
        <v>11331</v>
      </c>
      <c r="C1457">
        <v>45778</v>
      </c>
      <c r="D1457" t="s">
        <v>7263</v>
      </c>
      <c r="E1457" t="s">
        <v>11332</v>
      </c>
      <c r="F1457">
        <v>45777</v>
      </c>
      <c r="G1457" t="s">
        <v>2208</v>
      </c>
      <c r="H1457" t="s">
        <v>7834</v>
      </c>
      <c r="I1457" t="s">
        <v>16800</v>
      </c>
      <c r="J1457">
        <v>1</v>
      </c>
      <c r="K1457">
        <v>104.61</v>
      </c>
      <c r="L1457" t="s">
        <v>2917</v>
      </c>
      <c r="M1457">
        <v>104.61</v>
      </c>
      <c r="N1457" t="s">
        <v>2917</v>
      </c>
      <c r="O1457" t="s">
        <v>2208</v>
      </c>
      <c r="P1457" t="s">
        <v>2208</v>
      </c>
      <c r="Q1457" t="s">
        <v>2208</v>
      </c>
      <c r="R1457" t="s">
        <v>2208</v>
      </c>
    </row>
    <row r="1458" spans="1:18">
      <c r="A1458" t="s">
        <v>7030</v>
      </c>
      <c r="B1458" t="s">
        <v>11331</v>
      </c>
      <c r="C1458">
        <v>45778</v>
      </c>
      <c r="D1458" t="s">
        <v>7263</v>
      </c>
      <c r="E1458" t="s">
        <v>11332</v>
      </c>
      <c r="F1458">
        <v>45777</v>
      </c>
      <c r="G1458" t="s">
        <v>2208</v>
      </c>
      <c r="H1458" t="s">
        <v>7834</v>
      </c>
      <c r="I1458" t="s">
        <v>16801</v>
      </c>
      <c r="J1458">
        <v>3</v>
      </c>
      <c r="K1458">
        <v>313.83</v>
      </c>
      <c r="L1458" t="s">
        <v>2917</v>
      </c>
      <c r="M1458">
        <v>313.83</v>
      </c>
      <c r="N1458" t="s">
        <v>2917</v>
      </c>
      <c r="O1458" t="s">
        <v>2208</v>
      </c>
      <c r="P1458" t="s">
        <v>2208</v>
      </c>
      <c r="Q1458" t="s">
        <v>2208</v>
      </c>
      <c r="R1458" t="s">
        <v>2208</v>
      </c>
    </row>
    <row r="1459" spans="1:18">
      <c r="A1459" t="s">
        <v>7030</v>
      </c>
      <c r="B1459" t="s">
        <v>11331</v>
      </c>
      <c r="C1459">
        <v>45778</v>
      </c>
      <c r="D1459" t="s">
        <v>7263</v>
      </c>
      <c r="E1459" t="s">
        <v>11332</v>
      </c>
      <c r="F1459">
        <v>45777</v>
      </c>
      <c r="G1459" t="s">
        <v>2208</v>
      </c>
      <c r="H1459" t="s">
        <v>7834</v>
      </c>
      <c r="I1459" t="s">
        <v>16802</v>
      </c>
      <c r="J1459">
        <v>2</v>
      </c>
      <c r="K1459">
        <v>209.22</v>
      </c>
      <c r="L1459" t="s">
        <v>2917</v>
      </c>
      <c r="M1459">
        <v>209.22</v>
      </c>
      <c r="N1459" t="s">
        <v>2917</v>
      </c>
      <c r="O1459" t="s">
        <v>2208</v>
      </c>
      <c r="P1459" t="s">
        <v>2208</v>
      </c>
      <c r="Q1459" t="s">
        <v>2208</v>
      </c>
      <c r="R1459" t="s">
        <v>2208</v>
      </c>
    </row>
    <row r="1460" spans="1:18">
      <c r="A1460" t="s">
        <v>7030</v>
      </c>
      <c r="B1460" t="s">
        <v>11331</v>
      </c>
      <c r="C1460">
        <v>45778</v>
      </c>
      <c r="D1460" t="s">
        <v>7263</v>
      </c>
      <c r="E1460" t="s">
        <v>11332</v>
      </c>
      <c r="F1460">
        <v>45777</v>
      </c>
      <c r="G1460" t="s">
        <v>2208</v>
      </c>
      <c r="H1460" t="s">
        <v>7834</v>
      </c>
      <c r="I1460" t="s">
        <v>16803</v>
      </c>
      <c r="J1460">
        <v>0.1</v>
      </c>
      <c r="K1460">
        <v>10.46</v>
      </c>
      <c r="L1460" t="s">
        <v>2917</v>
      </c>
      <c r="M1460">
        <v>10.46</v>
      </c>
      <c r="N1460" t="s">
        <v>2917</v>
      </c>
      <c r="O1460" t="s">
        <v>2208</v>
      </c>
      <c r="P1460" t="s">
        <v>2208</v>
      </c>
      <c r="Q1460" t="s">
        <v>2208</v>
      </c>
      <c r="R1460" t="s">
        <v>2208</v>
      </c>
    </row>
    <row r="1461" spans="1:18">
      <c r="A1461" t="s">
        <v>7030</v>
      </c>
      <c r="B1461" t="s">
        <v>11331</v>
      </c>
      <c r="C1461">
        <v>45778</v>
      </c>
      <c r="D1461" t="s">
        <v>7263</v>
      </c>
      <c r="E1461" t="s">
        <v>11332</v>
      </c>
      <c r="F1461">
        <v>45777</v>
      </c>
      <c r="G1461" t="s">
        <v>2208</v>
      </c>
      <c r="H1461" t="s">
        <v>7834</v>
      </c>
      <c r="I1461" t="s">
        <v>16804</v>
      </c>
      <c r="J1461">
        <v>1.3</v>
      </c>
      <c r="K1461">
        <v>135.99</v>
      </c>
      <c r="L1461" t="s">
        <v>2917</v>
      </c>
      <c r="M1461">
        <v>135.99</v>
      </c>
      <c r="N1461" t="s">
        <v>2917</v>
      </c>
      <c r="O1461" t="s">
        <v>2208</v>
      </c>
      <c r="P1461" t="s">
        <v>2208</v>
      </c>
      <c r="Q1461" t="s">
        <v>2208</v>
      </c>
      <c r="R1461" t="s">
        <v>2208</v>
      </c>
    </row>
    <row r="1462" spans="1:18">
      <c r="A1462" t="s">
        <v>7030</v>
      </c>
      <c r="B1462" t="s">
        <v>11331</v>
      </c>
      <c r="C1462">
        <v>45778</v>
      </c>
      <c r="D1462" t="s">
        <v>7263</v>
      </c>
      <c r="E1462" t="s">
        <v>11332</v>
      </c>
      <c r="F1462">
        <v>45777</v>
      </c>
      <c r="G1462" t="s">
        <v>2208</v>
      </c>
      <c r="H1462" t="s">
        <v>7834</v>
      </c>
      <c r="I1462" t="s">
        <v>16805</v>
      </c>
      <c r="J1462">
        <v>2</v>
      </c>
      <c r="K1462">
        <v>209.22</v>
      </c>
      <c r="L1462" t="s">
        <v>2917</v>
      </c>
      <c r="M1462">
        <v>209.22</v>
      </c>
      <c r="N1462" t="s">
        <v>2917</v>
      </c>
      <c r="O1462" t="s">
        <v>2208</v>
      </c>
      <c r="P1462" t="s">
        <v>2208</v>
      </c>
      <c r="Q1462" t="s">
        <v>2208</v>
      </c>
      <c r="R1462" t="s">
        <v>2208</v>
      </c>
    </row>
    <row r="1463" spans="1:18">
      <c r="A1463" t="s">
        <v>7030</v>
      </c>
      <c r="B1463" t="s">
        <v>11331</v>
      </c>
      <c r="C1463">
        <v>45778</v>
      </c>
      <c r="D1463" t="s">
        <v>7263</v>
      </c>
      <c r="E1463" t="s">
        <v>11332</v>
      </c>
      <c r="F1463">
        <v>45777</v>
      </c>
      <c r="G1463" t="s">
        <v>2208</v>
      </c>
      <c r="H1463" t="s">
        <v>7834</v>
      </c>
      <c r="I1463" t="s">
        <v>16806</v>
      </c>
      <c r="J1463">
        <v>2</v>
      </c>
      <c r="K1463">
        <v>209.22</v>
      </c>
      <c r="L1463" t="s">
        <v>2917</v>
      </c>
      <c r="M1463">
        <v>209.22</v>
      </c>
      <c r="N1463" t="s">
        <v>2917</v>
      </c>
      <c r="O1463" t="s">
        <v>2208</v>
      </c>
      <c r="P1463" t="s">
        <v>2208</v>
      </c>
      <c r="Q1463" t="s">
        <v>2208</v>
      </c>
      <c r="R1463" t="s">
        <v>2208</v>
      </c>
    </row>
    <row r="1464" spans="1:18">
      <c r="A1464" t="s">
        <v>7030</v>
      </c>
      <c r="B1464" t="s">
        <v>11331</v>
      </c>
      <c r="C1464">
        <v>45778</v>
      </c>
      <c r="D1464" t="s">
        <v>7263</v>
      </c>
      <c r="E1464" t="s">
        <v>11332</v>
      </c>
      <c r="F1464">
        <v>45777</v>
      </c>
      <c r="G1464" t="s">
        <v>2208</v>
      </c>
      <c r="H1464" t="s">
        <v>7834</v>
      </c>
      <c r="I1464" t="s">
        <v>16807</v>
      </c>
      <c r="J1464">
        <v>2</v>
      </c>
      <c r="K1464">
        <v>209.22</v>
      </c>
      <c r="L1464" t="s">
        <v>2917</v>
      </c>
      <c r="M1464">
        <v>209.22</v>
      </c>
      <c r="N1464" t="s">
        <v>2917</v>
      </c>
      <c r="O1464" t="s">
        <v>2208</v>
      </c>
      <c r="P1464" t="s">
        <v>2208</v>
      </c>
      <c r="Q1464" t="s">
        <v>2208</v>
      </c>
      <c r="R1464" t="s">
        <v>2208</v>
      </c>
    </row>
    <row r="1465" spans="1:18">
      <c r="A1465" t="s">
        <v>7030</v>
      </c>
      <c r="B1465" t="s">
        <v>11331</v>
      </c>
      <c r="C1465">
        <v>45778</v>
      </c>
      <c r="D1465" t="s">
        <v>7263</v>
      </c>
      <c r="E1465" t="s">
        <v>11332</v>
      </c>
      <c r="F1465">
        <v>45777</v>
      </c>
      <c r="G1465" t="s">
        <v>2208</v>
      </c>
      <c r="H1465" t="s">
        <v>7834</v>
      </c>
      <c r="I1465" t="s">
        <v>16808</v>
      </c>
      <c r="J1465">
        <v>1</v>
      </c>
      <c r="K1465">
        <v>104.61</v>
      </c>
      <c r="L1465" t="s">
        <v>2917</v>
      </c>
      <c r="M1465">
        <v>104.61</v>
      </c>
      <c r="N1465" t="s">
        <v>2917</v>
      </c>
      <c r="O1465" t="s">
        <v>2208</v>
      </c>
      <c r="P1465" t="s">
        <v>2208</v>
      </c>
      <c r="Q1465" t="s">
        <v>2208</v>
      </c>
      <c r="R1465" t="s">
        <v>2208</v>
      </c>
    </row>
    <row r="1466" spans="1:18">
      <c r="A1466" t="s">
        <v>7030</v>
      </c>
      <c r="B1466" t="s">
        <v>11331</v>
      </c>
      <c r="C1466">
        <v>45778</v>
      </c>
      <c r="D1466" t="s">
        <v>7263</v>
      </c>
      <c r="E1466" t="s">
        <v>11332</v>
      </c>
      <c r="F1466">
        <v>45777</v>
      </c>
      <c r="G1466" t="s">
        <v>2208</v>
      </c>
      <c r="H1466" t="s">
        <v>7834</v>
      </c>
      <c r="I1466" t="s">
        <v>16809</v>
      </c>
      <c r="J1466">
        <v>2</v>
      </c>
      <c r="K1466">
        <v>209.22</v>
      </c>
      <c r="L1466" t="s">
        <v>2917</v>
      </c>
      <c r="M1466">
        <v>209.22</v>
      </c>
      <c r="N1466" t="s">
        <v>2917</v>
      </c>
      <c r="O1466" t="s">
        <v>2208</v>
      </c>
      <c r="P1466" t="s">
        <v>2208</v>
      </c>
      <c r="Q1466" t="s">
        <v>2208</v>
      </c>
      <c r="R1466" t="s">
        <v>2208</v>
      </c>
    </row>
    <row r="1467" spans="1:18">
      <c r="A1467" t="s">
        <v>7030</v>
      </c>
      <c r="B1467" t="s">
        <v>11331</v>
      </c>
      <c r="C1467">
        <v>45778</v>
      </c>
      <c r="D1467" t="s">
        <v>7263</v>
      </c>
      <c r="E1467" t="s">
        <v>11332</v>
      </c>
      <c r="F1467">
        <v>45777</v>
      </c>
      <c r="G1467" t="s">
        <v>2208</v>
      </c>
      <c r="H1467" t="s">
        <v>7834</v>
      </c>
      <c r="I1467" t="s">
        <v>16810</v>
      </c>
      <c r="J1467">
        <v>1</v>
      </c>
      <c r="K1467">
        <v>104.61</v>
      </c>
      <c r="L1467" t="s">
        <v>2917</v>
      </c>
      <c r="M1467">
        <v>104.61</v>
      </c>
      <c r="N1467" t="s">
        <v>2917</v>
      </c>
      <c r="O1467" t="s">
        <v>2208</v>
      </c>
      <c r="P1467" t="s">
        <v>2208</v>
      </c>
      <c r="Q1467" t="s">
        <v>2208</v>
      </c>
      <c r="R1467" t="s">
        <v>2208</v>
      </c>
    </row>
    <row r="1468" spans="1:18">
      <c r="A1468" t="s">
        <v>7030</v>
      </c>
      <c r="B1468" t="s">
        <v>11331</v>
      </c>
      <c r="C1468">
        <v>45778</v>
      </c>
      <c r="D1468" t="s">
        <v>7263</v>
      </c>
      <c r="E1468" t="s">
        <v>11332</v>
      </c>
      <c r="F1468">
        <v>45777</v>
      </c>
      <c r="G1468" t="s">
        <v>2208</v>
      </c>
      <c r="H1468" t="s">
        <v>7834</v>
      </c>
      <c r="I1468" t="s">
        <v>16811</v>
      </c>
      <c r="J1468">
        <v>1</v>
      </c>
      <c r="K1468">
        <v>104.61</v>
      </c>
      <c r="L1468" t="s">
        <v>2917</v>
      </c>
      <c r="M1468">
        <v>104.61</v>
      </c>
      <c r="N1468" t="s">
        <v>2917</v>
      </c>
      <c r="O1468" t="s">
        <v>2208</v>
      </c>
      <c r="P1468" t="s">
        <v>2208</v>
      </c>
      <c r="Q1468" t="s">
        <v>2208</v>
      </c>
      <c r="R1468" t="s">
        <v>2208</v>
      </c>
    </row>
    <row r="1469" spans="1:18">
      <c r="A1469" t="s">
        <v>7030</v>
      </c>
      <c r="B1469" t="s">
        <v>11331</v>
      </c>
      <c r="C1469">
        <v>45778</v>
      </c>
      <c r="D1469" t="s">
        <v>7263</v>
      </c>
      <c r="E1469" t="s">
        <v>11332</v>
      </c>
      <c r="F1469">
        <v>45777</v>
      </c>
      <c r="G1469" t="s">
        <v>2208</v>
      </c>
      <c r="H1469" t="s">
        <v>7834</v>
      </c>
      <c r="I1469" t="s">
        <v>16812</v>
      </c>
      <c r="J1469">
        <v>2</v>
      </c>
      <c r="K1469">
        <v>209.22</v>
      </c>
      <c r="L1469" t="s">
        <v>2917</v>
      </c>
      <c r="M1469">
        <v>209.22</v>
      </c>
      <c r="N1469" t="s">
        <v>2917</v>
      </c>
      <c r="O1469" t="s">
        <v>2208</v>
      </c>
      <c r="P1469" t="s">
        <v>2208</v>
      </c>
      <c r="Q1469" t="s">
        <v>2208</v>
      </c>
      <c r="R1469" t="s">
        <v>2208</v>
      </c>
    </row>
    <row r="1470" spans="1:18">
      <c r="A1470" t="s">
        <v>7030</v>
      </c>
      <c r="B1470" t="s">
        <v>11331</v>
      </c>
      <c r="C1470">
        <v>45778</v>
      </c>
      <c r="D1470" t="s">
        <v>7263</v>
      </c>
      <c r="E1470" t="s">
        <v>11332</v>
      </c>
      <c r="F1470">
        <v>45777</v>
      </c>
      <c r="G1470" t="s">
        <v>2208</v>
      </c>
      <c r="H1470" t="s">
        <v>7834</v>
      </c>
      <c r="I1470" t="s">
        <v>16813</v>
      </c>
      <c r="J1470">
        <v>2</v>
      </c>
      <c r="K1470">
        <v>209.22</v>
      </c>
      <c r="L1470" t="s">
        <v>2917</v>
      </c>
      <c r="M1470">
        <v>209.22</v>
      </c>
      <c r="N1470" t="s">
        <v>2917</v>
      </c>
      <c r="O1470" t="s">
        <v>2208</v>
      </c>
      <c r="P1470" t="s">
        <v>2208</v>
      </c>
      <c r="Q1470" t="s">
        <v>2208</v>
      </c>
      <c r="R1470" t="s">
        <v>2208</v>
      </c>
    </row>
    <row r="1471" spans="1:18">
      <c r="A1471" t="s">
        <v>7030</v>
      </c>
      <c r="B1471" t="s">
        <v>11331</v>
      </c>
      <c r="C1471">
        <v>45778</v>
      </c>
      <c r="D1471" t="s">
        <v>7263</v>
      </c>
      <c r="E1471" t="s">
        <v>11332</v>
      </c>
      <c r="F1471">
        <v>45777</v>
      </c>
      <c r="G1471" t="s">
        <v>2208</v>
      </c>
      <c r="H1471" t="s">
        <v>7834</v>
      </c>
      <c r="I1471" t="s">
        <v>16814</v>
      </c>
      <c r="J1471">
        <v>1</v>
      </c>
      <c r="K1471">
        <v>104.61</v>
      </c>
      <c r="L1471" t="s">
        <v>2917</v>
      </c>
      <c r="M1471">
        <v>104.61</v>
      </c>
      <c r="N1471" t="s">
        <v>2917</v>
      </c>
      <c r="O1471" t="s">
        <v>2208</v>
      </c>
      <c r="P1471" t="s">
        <v>2208</v>
      </c>
      <c r="Q1471" t="s">
        <v>2208</v>
      </c>
      <c r="R1471" t="s">
        <v>2208</v>
      </c>
    </row>
    <row r="1472" spans="1:18">
      <c r="A1472" t="s">
        <v>7030</v>
      </c>
      <c r="B1472" t="s">
        <v>11331</v>
      </c>
      <c r="C1472">
        <v>45778</v>
      </c>
      <c r="D1472" t="s">
        <v>7263</v>
      </c>
      <c r="E1472" t="s">
        <v>11332</v>
      </c>
      <c r="F1472">
        <v>45777</v>
      </c>
      <c r="G1472" t="s">
        <v>2208</v>
      </c>
      <c r="H1472" t="s">
        <v>7834</v>
      </c>
      <c r="I1472" t="s">
        <v>16815</v>
      </c>
      <c r="J1472">
        <v>1</v>
      </c>
      <c r="K1472">
        <v>104.61</v>
      </c>
      <c r="L1472" t="s">
        <v>2917</v>
      </c>
      <c r="M1472">
        <v>104.61</v>
      </c>
      <c r="N1472" t="s">
        <v>2917</v>
      </c>
      <c r="O1472" t="s">
        <v>2208</v>
      </c>
      <c r="P1472" t="s">
        <v>2208</v>
      </c>
      <c r="Q1472" t="s">
        <v>2208</v>
      </c>
      <c r="R1472" t="s">
        <v>2208</v>
      </c>
    </row>
    <row r="1473" spans="1:18">
      <c r="A1473" t="s">
        <v>7030</v>
      </c>
      <c r="B1473" t="s">
        <v>11331</v>
      </c>
      <c r="C1473">
        <v>45778</v>
      </c>
      <c r="D1473" t="s">
        <v>7263</v>
      </c>
      <c r="E1473" t="s">
        <v>11332</v>
      </c>
      <c r="F1473">
        <v>45777</v>
      </c>
      <c r="G1473" t="s">
        <v>2208</v>
      </c>
      <c r="H1473" t="s">
        <v>7834</v>
      </c>
      <c r="I1473" t="s">
        <v>16816</v>
      </c>
      <c r="J1473">
        <v>1</v>
      </c>
      <c r="K1473">
        <v>104.61</v>
      </c>
      <c r="L1473" t="s">
        <v>2917</v>
      </c>
      <c r="M1473">
        <v>104.61</v>
      </c>
      <c r="N1473" t="s">
        <v>2917</v>
      </c>
      <c r="O1473" t="s">
        <v>2208</v>
      </c>
      <c r="P1473" t="s">
        <v>2208</v>
      </c>
      <c r="Q1473" t="s">
        <v>2208</v>
      </c>
      <c r="R1473" t="s">
        <v>2208</v>
      </c>
    </row>
    <row r="1474" spans="1:18">
      <c r="A1474" t="s">
        <v>7030</v>
      </c>
      <c r="B1474" t="s">
        <v>11331</v>
      </c>
      <c r="C1474">
        <v>45778</v>
      </c>
      <c r="D1474" t="s">
        <v>7263</v>
      </c>
      <c r="E1474" t="s">
        <v>11332</v>
      </c>
      <c r="F1474">
        <v>45777</v>
      </c>
      <c r="G1474" t="s">
        <v>2208</v>
      </c>
      <c r="H1474" t="s">
        <v>7834</v>
      </c>
      <c r="I1474" t="s">
        <v>16817</v>
      </c>
      <c r="J1474">
        <v>1</v>
      </c>
      <c r="K1474">
        <v>104.61</v>
      </c>
      <c r="L1474" t="s">
        <v>2917</v>
      </c>
      <c r="M1474">
        <v>104.61</v>
      </c>
      <c r="N1474" t="s">
        <v>2917</v>
      </c>
      <c r="O1474" t="s">
        <v>2208</v>
      </c>
      <c r="P1474" t="s">
        <v>2208</v>
      </c>
      <c r="Q1474" t="s">
        <v>2208</v>
      </c>
      <c r="R1474" t="s">
        <v>2208</v>
      </c>
    </row>
    <row r="1475" spans="1:18">
      <c r="A1475" t="s">
        <v>7030</v>
      </c>
      <c r="B1475" t="s">
        <v>11331</v>
      </c>
      <c r="C1475">
        <v>45778</v>
      </c>
      <c r="D1475" t="s">
        <v>7263</v>
      </c>
      <c r="E1475" t="s">
        <v>11332</v>
      </c>
      <c r="F1475">
        <v>45777</v>
      </c>
      <c r="G1475" t="s">
        <v>2208</v>
      </c>
      <c r="H1475" t="s">
        <v>7834</v>
      </c>
      <c r="I1475" t="s">
        <v>16818</v>
      </c>
      <c r="J1475">
        <v>1</v>
      </c>
      <c r="K1475">
        <v>104.61</v>
      </c>
      <c r="L1475" t="s">
        <v>2917</v>
      </c>
      <c r="M1475">
        <v>104.61</v>
      </c>
      <c r="N1475" t="s">
        <v>2917</v>
      </c>
      <c r="O1475" t="s">
        <v>2208</v>
      </c>
      <c r="P1475" t="s">
        <v>2208</v>
      </c>
      <c r="Q1475" t="s">
        <v>2208</v>
      </c>
      <c r="R1475" t="s">
        <v>2208</v>
      </c>
    </row>
    <row r="1476" spans="1:18">
      <c r="A1476" t="s">
        <v>7030</v>
      </c>
      <c r="B1476" t="s">
        <v>11331</v>
      </c>
      <c r="C1476">
        <v>45778</v>
      </c>
      <c r="D1476" t="s">
        <v>7263</v>
      </c>
      <c r="E1476" t="s">
        <v>11332</v>
      </c>
      <c r="F1476">
        <v>45777</v>
      </c>
      <c r="G1476" t="s">
        <v>2208</v>
      </c>
      <c r="H1476" t="s">
        <v>7834</v>
      </c>
      <c r="I1476" t="s">
        <v>16819</v>
      </c>
      <c r="J1476">
        <v>1</v>
      </c>
      <c r="K1476">
        <v>104.61</v>
      </c>
      <c r="L1476" t="s">
        <v>2917</v>
      </c>
      <c r="M1476">
        <v>104.61</v>
      </c>
      <c r="N1476" t="s">
        <v>2917</v>
      </c>
      <c r="O1476" t="s">
        <v>2208</v>
      </c>
      <c r="P1476" t="s">
        <v>2208</v>
      </c>
      <c r="Q1476" t="s">
        <v>2208</v>
      </c>
      <c r="R1476" t="s">
        <v>2208</v>
      </c>
    </row>
    <row r="1477" spans="1:18">
      <c r="A1477" t="s">
        <v>7030</v>
      </c>
      <c r="B1477" t="s">
        <v>11331</v>
      </c>
      <c r="C1477">
        <v>45778</v>
      </c>
      <c r="D1477" t="s">
        <v>7263</v>
      </c>
      <c r="E1477" t="s">
        <v>11332</v>
      </c>
      <c r="F1477">
        <v>45777</v>
      </c>
      <c r="G1477" t="s">
        <v>2208</v>
      </c>
      <c r="H1477" t="s">
        <v>7834</v>
      </c>
      <c r="I1477" t="s">
        <v>16820</v>
      </c>
      <c r="J1477">
        <v>1</v>
      </c>
      <c r="K1477">
        <v>104.61</v>
      </c>
      <c r="L1477" t="s">
        <v>2917</v>
      </c>
      <c r="M1477">
        <v>104.61</v>
      </c>
      <c r="N1477" t="s">
        <v>2917</v>
      </c>
      <c r="O1477" t="s">
        <v>2208</v>
      </c>
      <c r="P1477" t="s">
        <v>2208</v>
      </c>
      <c r="Q1477" t="s">
        <v>2208</v>
      </c>
      <c r="R1477" t="s">
        <v>2208</v>
      </c>
    </row>
    <row r="1478" spans="1:18">
      <c r="A1478" t="s">
        <v>7030</v>
      </c>
      <c r="B1478" t="s">
        <v>11331</v>
      </c>
      <c r="C1478">
        <v>45778</v>
      </c>
      <c r="D1478" t="s">
        <v>7263</v>
      </c>
      <c r="E1478" t="s">
        <v>11332</v>
      </c>
      <c r="F1478">
        <v>45777</v>
      </c>
      <c r="G1478" t="s">
        <v>2208</v>
      </c>
      <c r="H1478" t="s">
        <v>7834</v>
      </c>
      <c r="I1478" t="s">
        <v>16821</v>
      </c>
      <c r="J1478">
        <v>1</v>
      </c>
      <c r="K1478">
        <v>104.61</v>
      </c>
      <c r="L1478" t="s">
        <v>2917</v>
      </c>
      <c r="M1478">
        <v>104.61</v>
      </c>
      <c r="N1478" t="s">
        <v>2917</v>
      </c>
      <c r="O1478" t="s">
        <v>2208</v>
      </c>
      <c r="P1478" t="s">
        <v>2208</v>
      </c>
      <c r="Q1478" t="s">
        <v>2208</v>
      </c>
      <c r="R1478" t="s">
        <v>2208</v>
      </c>
    </row>
    <row r="1479" spans="1:18">
      <c r="A1479" t="s">
        <v>7030</v>
      </c>
      <c r="B1479" t="s">
        <v>11331</v>
      </c>
      <c r="C1479">
        <v>45778</v>
      </c>
      <c r="D1479" t="s">
        <v>7263</v>
      </c>
      <c r="E1479" t="s">
        <v>11332</v>
      </c>
      <c r="F1479">
        <v>45777</v>
      </c>
      <c r="G1479" t="s">
        <v>2208</v>
      </c>
      <c r="H1479" t="s">
        <v>7834</v>
      </c>
      <c r="I1479" t="s">
        <v>16822</v>
      </c>
      <c r="J1479">
        <v>1</v>
      </c>
      <c r="K1479">
        <v>104.61</v>
      </c>
      <c r="L1479" t="s">
        <v>2917</v>
      </c>
      <c r="M1479">
        <v>104.61</v>
      </c>
      <c r="N1479" t="s">
        <v>2917</v>
      </c>
      <c r="O1479" t="s">
        <v>2208</v>
      </c>
      <c r="P1479" t="s">
        <v>2208</v>
      </c>
      <c r="Q1479" t="s">
        <v>2208</v>
      </c>
      <c r="R1479" t="s">
        <v>2208</v>
      </c>
    </row>
    <row r="1480" spans="1:18">
      <c r="A1480" t="s">
        <v>7030</v>
      </c>
      <c r="B1480" t="s">
        <v>11331</v>
      </c>
      <c r="C1480">
        <v>45778</v>
      </c>
      <c r="D1480" t="s">
        <v>7263</v>
      </c>
      <c r="E1480" t="s">
        <v>11332</v>
      </c>
      <c r="F1480">
        <v>45777</v>
      </c>
      <c r="G1480" t="s">
        <v>2208</v>
      </c>
      <c r="H1480" t="s">
        <v>7834</v>
      </c>
      <c r="I1480" t="s">
        <v>16823</v>
      </c>
      <c r="J1480">
        <v>1</v>
      </c>
      <c r="K1480">
        <v>104.61</v>
      </c>
      <c r="L1480" t="s">
        <v>2917</v>
      </c>
      <c r="M1480">
        <v>104.61</v>
      </c>
      <c r="N1480" t="s">
        <v>2917</v>
      </c>
      <c r="O1480" t="s">
        <v>2208</v>
      </c>
      <c r="P1480" t="s">
        <v>2208</v>
      </c>
      <c r="Q1480" t="s">
        <v>2208</v>
      </c>
      <c r="R1480" t="s">
        <v>2208</v>
      </c>
    </row>
    <row r="1481" spans="1:18">
      <c r="A1481" t="s">
        <v>7030</v>
      </c>
      <c r="B1481" t="s">
        <v>11331</v>
      </c>
      <c r="C1481">
        <v>45778</v>
      </c>
      <c r="D1481" t="s">
        <v>7263</v>
      </c>
      <c r="E1481" t="s">
        <v>11332</v>
      </c>
      <c r="F1481">
        <v>45777</v>
      </c>
      <c r="G1481" t="s">
        <v>2208</v>
      </c>
      <c r="H1481" t="s">
        <v>7834</v>
      </c>
      <c r="I1481" t="s">
        <v>16824</v>
      </c>
      <c r="J1481">
        <v>1</v>
      </c>
      <c r="K1481">
        <v>104.61</v>
      </c>
      <c r="L1481" t="s">
        <v>2917</v>
      </c>
      <c r="M1481">
        <v>104.61</v>
      </c>
      <c r="N1481" t="s">
        <v>2917</v>
      </c>
      <c r="O1481" t="s">
        <v>2208</v>
      </c>
      <c r="P1481" t="s">
        <v>2208</v>
      </c>
      <c r="Q1481" t="s">
        <v>2208</v>
      </c>
      <c r="R1481" t="s">
        <v>2208</v>
      </c>
    </row>
    <row r="1482" spans="1:18">
      <c r="A1482" t="s">
        <v>7030</v>
      </c>
      <c r="B1482" t="s">
        <v>11331</v>
      </c>
      <c r="C1482">
        <v>45778</v>
      </c>
      <c r="D1482" t="s">
        <v>7263</v>
      </c>
      <c r="E1482" t="s">
        <v>11332</v>
      </c>
      <c r="F1482">
        <v>45777</v>
      </c>
      <c r="G1482" t="s">
        <v>2208</v>
      </c>
      <c r="H1482" t="s">
        <v>7834</v>
      </c>
      <c r="I1482" t="s">
        <v>16825</v>
      </c>
      <c r="J1482">
        <v>1</v>
      </c>
      <c r="K1482">
        <v>104.61</v>
      </c>
      <c r="L1482" t="s">
        <v>2917</v>
      </c>
      <c r="M1482">
        <v>104.61</v>
      </c>
      <c r="N1482" t="s">
        <v>2917</v>
      </c>
      <c r="O1482" t="s">
        <v>2208</v>
      </c>
      <c r="P1482" t="s">
        <v>2208</v>
      </c>
      <c r="Q1482" t="s">
        <v>2208</v>
      </c>
      <c r="R1482" t="s">
        <v>2208</v>
      </c>
    </row>
    <row r="1483" spans="1:18">
      <c r="A1483" t="s">
        <v>7030</v>
      </c>
      <c r="B1483" t="s">
        <v>11331</v>
      </c>
      <c r="C1483">
        <v>45778</v>
      </c>
      <c r="D1483" t="s">
        <v>7263</v>
      </c>
      <c r="E1483" t="s">
        <v>11332</v>
      </c>
      <c r="F1483">
        <v>45777</v>
      </c>
      <c r="G1483" t="s">
        <v>2208</v>
      </c>
      <c r="H1483" t="s">
        <v>7834</v>
      </c>
      <c r="I1483" t="s">
        <v>16826</v>
      </c>
      <c r="J1483">
        <v>1</v>
      </c>
      <c r="K1483">
        <v>104.61</v>
      </c>
      <c r="L1483" t="s">
        <v>2917</v>
      </c>
      <c r="M1483">
        <v>104.61</v>
      </c>
      <c r="N1483" t="s">
        <v>2917</v>
      </c>
      <c r="O1483" t="s">
        <v>2208</v>
      </c>
      <c r="P1483" t="s">
        <v>2208</v>
      </c>
      <c r="Q1483" t="s">
        <v>2208</v>
      </c>
      <c r="R1483" t="s">
        <v>2208</v>
      </c>
    </row>
    <row r="1484" spans="1:18">
      <c r="A1484" t="s">
        <v>7030</v>
      </c>
      <c r="B1484" t="s">
        <v>11331</v>
      </c>
      <c r="C1484">
        <v>45778</v>
      </c>
      <c r="D1484" t="s">
        <v>7263</v>
      </c>
      <c r="E1484" t="s">
        <v>11332</v>
      </c>
      <c r="F1484">
        <v>45777</v>
      </c>
      <c r="G1484" t="s">
        <v>2208</v>
      </c>
      <c r="H1484" t="s">
        <v>7834</v>
      </c>
      <c r="I1484" t="s">
        <v>16827</v>
      </c>
      <c r="J1484">
        <v>1</v>
      </c>
      <c r="K1484">
        <v>104.61</v>
      </c>
      <c r="L1484" t="s">
        <v>2917</v>
      </c>
      <c r="M1484">
        <v>104.61</v>
      </c>
      <c r="N1484" t="s">
        <v>2917</v>
      </c>
      <c r="O1484" t="s">
        <v>2208</v>
      </c>
      <c r="P1484" t="s">
        <v>2208</v>
      </c>
      <c r="Q1484" t="s">
        <v>2208</v>
      </c>
      <c r="R1484" t="s">
        <v>2208</v>
      </c>
    </row>
    <row r="1485" spans="1:18">
      <c r="A1485" t="s">
        <v>7030</v>
      </c>
      <c r="B1485" t="s">
        <v>11331</v>
      </c>
      <c r="C1485">
        <v>45778</v>
      </c>
      <c r="D1485" t="s">
        <v>7263</v>
      </c>
      <c r="E1485" t="s">
        <v>11332</v>
      </c>
      <c r="F1485">
        <v>45777</v>
      </c>
      <c r="G1485" t="s">
        <v>2208</v>
      </c>
      <c r="H1485" t="s">
        <v>7834</v>
      </c>
      <c r="I1485" t="s">
        <v>16828</v>
      </c>
      <c r="J1485">
        <v>1</v>
      </c>
      <c r="K1485">
        <v>104.61</v>
      </c>
      <c r="L1485" t="s">
        <v>2917</v>
      </c>
      <c r="M1485">
        <v>104.61</v>
      </c>
      <c r="N1485" t="s">
        <v>2917</v>
      </c>
      <c r="O1485" t="s">
        <v>2208</v>
      </c>
      <c r="P1485" t="s">
        <v>2208</v>
      </c>
      <c r="Q1485" t="s">
        <v>2208</v>
      </c>
      <c r="R1485" t="s">
        <v>2208</v>
      </c>
    </row>
    <row r="1486" spans="1:18">
      <c r="A1486" t="s">
        <v>7030</v>
      </c>
      <c r="B1486" t="s">
        <v>11331</v>
      </c>
      <c r="C1486">
        <v>45778</v>
      </c>
      <c r="D1486" t="s">
        <v>7263</v>
      </c>
      <c r="E1486" t="s">
        <v>11332</v>
      </c>
      <c r="F1486">
        <v>45777</v>
      </c>
      <c r="G1486" t="s">
        <v>2208</v>
      </c>
      <c r="H1486" t="s">
        <v>7834</v>
      </c>
      <c r="I1486" t="s">
        <v>16829</v>
      </c>
      <c r="J1486">
        <v>1</v>
      </c>
      <c r="K1486">
        <v>104.61</v>
      </c>
      <c r="L1486" t="s">
        <v>2917</v>
      </c>
      <c r="M1486">
        <v>104.61</v>
      </c>
      <c r="N1486" t="s">
        <v>2917</v>
      </c>
      <c r="O1486" t="s">
        <v>2208</v>
      </c>
      <c r="P1486" t="s">
        <v>2208</v>
      </c>
      <c r="Q1486" t="s">
        <v>2208</v>
      </c>
      <c r="R1486" t="s">
        <v>2208</v>
      </c>
    </row>
    <row r="1487" spans="1:18">
      <c r="A1487" t="s">
        <v>7030</v>
      </c>
      <c r="B1487" t="s">
        <v>11331</v>
      </c>
      <c r="C1487">
        <v>45778</v>
      </c>
      <c r="D1487" t="s">
        <v>7263</v>
      </c>
      <c r="E1487" t="s">
        <v>11332</v>
      </c>
      <c r="F1487">
        <v>45777</v>
      </c>
      <c r="G1487" t="s">
        <v>2208</v>
      </c>
      <c r="H1487" t="s">
        <v>7834</v>
      </c>
      <c r="I1487" t="s">
        <v>16830</v>
      </c>
      <c r="J1487">
        <v>1</v>
      </c>
      <c r="K1487">
        <v>104.61</v>
      </c>
      <c r="L1487" t="s">
        <v>2917</v>
      </c>
      <c r="M1487">
        <v>104.61</v>
      </c>
      <c r="N1487" t="s">
        <v>2917</v>
      </c>
      <c r="O1487" t="s">
        <v>2208</v>
      </c>
      <c r="P1487" t="s">
        <v>2208</v>
      </c>
      <c r="Q1487" t="s">
        <v>2208</v>
      </c>
      <c r="R1487" t="s">
        <v>2208</v>
      </c>
    </row>
    <row r="1488" spans="1:18">
      <c r="A1488" t="s">
        <v>7030</v>
      </c>
      <c r="B1488" t="s">
        <v>11331</v>
      </c>
      <c r="C1488">
        <v>45778</v>
      </c>
      <c r="D1488" t="s">
        <v>7263</v>
      </c>
      <c r="E1488" t="s">
        <v>11332</v>
      </c>
      <c r="F1488">
        <v>45777</v>
      </c>
      <c r="G1488" t="s">
        <v>2208</v>
      </c>
      <c r="H1488" t="s">
        <v>7834</v>
      </c>
      <c r="I1488" t="s">
        <v>16831</v>
      </c>
      <c r="J1488">
        <v>2</v>
      </c>
      <c r="K1488">
        <v>209.22</v>
      </c>
      <c r="L1488" t="s">
        <v>2917</v>
      </c>
      <c r="M1488">
        <v>209.22</v>
      </c>
      <c r="N1488" t="s">
        <v>2917</v>
      </c>
      <c r="O1488" t="s">
        <v>2208</v>
      </c>
      <c r="P1488" t="s">
        <v>2208</v>
      </c>
      <c r="Q1488" t="s">
        <v>2208</v>
      </c>
      <c r="R1488" t="s">
        <v>2208</v>
      </c>
    </row>
    <row r="1489" spans="1:18">
      <c r="A1489" t="s">
        <v>7030</v>
      </c>
      <c r="B1489" t="s">
        <v>11331</v>
      </c>
      <c r="C1489">
        <v>45778</v>
      </c>
      <c r="D1489" t="s">
        <v>7263</v>
      </c>
      <c r="E1489" t="s">
        <v>11332</v>
      </c>
      <c r="F1489">
        <v>45777</v>
      </c>
      <c r="G1489" t="s">
        <v>2208</v>
      </c>
      <c r="H1489" t="s">
        <v>7834</v>
      </c>
      <c r="I1489" t="s">
        <v>16832</v>
      </c>
      <c r="J1489">
        <v>1</v>
      </c>
      <c r="K1489">
        <v>104.61</v>
      </c>
      <c r="L1489" t="s">
        <v>2917</v>
      </c>
      <c r="M1489">
        <v>104.61</v>
      </c>
      <c r="N1489" t="s">
        <v>2917</v>
      </c>
      <c r="O1489" t="s">
        <v>2208</v>
      </c>
      <c r="P1489" t="s">
        <v>2208</v>
      </c>
      <c r="Q1489" t="s">
        <v>2208</v>
      </c>
      <c r="R1489" t="s">
        <v>2208</v>
      </c>
    </row>
    <row r="1490" spans="1:18">
      <c r="A1490" t="s">
        <v>7030</v>
      </c>
      <c r="B1490" t="s">
        <v>11331</v>
      </c>
      <c r="C1490">
        <v>45778</v>
      </c>
      <c r="D1490" t="s">
        <v>7263</v>
      </c>
      <c r="E1490" t="s">
        <v>11332</v>
      </c>
      <c r="F1490">
        <v>45777</v>
      </c>
      <c r="G1490" t="s">
        <v>2208</v>
      </c>
      <c r="H1490" t="s">
        <v>7834</v>
      </c>
      <c r="I1490" t="s">
        <v>16833</v>
      </c>
      <c r="J1490">
        <v>1</v>
      </c>
      <c r="K1490">
        <v>104.61</v>
      </c>
      <c r="L1490" t="s">
        <v>2917</v>
      </c>
      <c r="M1490">
        <v>104.61</v>
      </c>
      <c r="N1490" t="s">
        <v>2917</v>
      </c>
      <c r="O1490" t="s">
        <v>2208</v>
      </c>
      <c r="P1490" t="s">
        <v>2208</v>
      </c>
      <c r="Q1490" t="s">
        <v>2208</v>
      </c>
      <c r="R1490" t="s">
        <v>2208</v>
      </c>
    </row>
    <row r="1491" spans="1:18">
      <c r="A1491" t="s">
        <v>7030</v>
      </c>
      <c r="B1491" t="s">
        <v>11331</v>
      </c>
      <c r="C1491">
        <v>45778</v>
      </c>
      <c r="D1491" t="s">
        <v>7263</v>
      </c>
      <c r="E1491" t="s">
        <v>11332</v>
      </c>
      <c r="F1491">
        <v>45777</v>
      </c>
      <c r="G1491" t="s">
        <v>2208</v>
      </c>
      <c r="H1491" t="s">
        <v>7834</v>
      </c>
      <c r="I1491" t="s">
        <v>16834</v>
      </c>
      <c r="J1491">
        <v>1</v>
      </c>
      <c r="K1491">
        <v>104.61</v>
      </c>
      <c r="L1491" t="s">
        <v>2917</v>
      </c>
      <c r="M1491">
        <v>104.61</v>
      </c>
      <c r="N1491" t="s">
        <v>2917</v>
      </c>
      <c r="O1491" t="s">
        <v>2208</v>
      </c>
      <c r="P1491" t="s">
        <v>2208</v>
      </c>
      <c r="Q1491" t="s">
        <v>2208</v>
      </c>
      <c r="R1491" t="s">
        <v>2208</v>
      </c>
    </row>
    <row r="1492" spans="1:18">
      <c r="A1492" t="s">
        <v>7030</v>
      </c>
      <c r="B1492" t="s">
        <v>11331</v>
      </c>
      <c r="C1492">
        <v>45778</v>
      </c>
      <c r="D1492" t="s">
        <v>7263</v>
      </c>
      <c r="E1492" t="s">
        <v>11332</v>
      </c>
      <c r="F1492">
        <v>45777</v>
      </c>
      <c r="G1492" t="s">
        <v>2208</v>
      </c>
      <c r="H1492" t="s">
        <v>7834</v>
      </c>
      <c r="I1492" t="s">
        <v>16835</v>
      </c>
      <c r="J1492">
        <v>1</v>
      </c>
      <c r="K1492">
        <v>104.61</v>
      </c>
      <c r="L1492" t="s">
        <v>2917</v>
      </c>
      <c r="M1492">
        <v>104.61</v>
      </c>
      <c r="N1492" t="s">
        <v>2917</v>
      </c>
      <c r="O1492" t="s">
        <v>2208</v>
      </c>
      <c r="P1492" t="s">
        <v>2208</v>
      </c>
      <c r="Q1492" t="s">
        <v>2208</v>
      </c>
      <c r="R1492" t="s">
        <v>2208</v>
      </c>
    </row>
    <row r="1493" spans="1:18">
      <c r="A1493" t="s">
        <v>7030</v>
      </c>
      <c r="B1493" t="s">
        <v>11331</v>
      </c>
      <c r="C1493">
        <v>45778</v>
      </c>
      <c r="D1493" t="s">
        <v>7263</v>
      </c>
      <c r="E1493" t="s">
        <v>11332</v>
      </c>
      <c r="F1493">
        <v>45777</v>
      </c>
      <c r="G1493" t="s">
        <v>2208</v>
      </c>
      <c r="H1493" t="s">
        <v>7834</v>
      </c>
      <c r="I1493" t="s">
        <v>16836</v>
      </c>
      <c r="J1493">
        <v>1</v>
      </c>
      <c r="K1493">
        <v>104.61</v>
      </c>
      <c r="L1493" t="s">
        <v>2917</v>
      </c>
      <c r="M1493">
        <v>104.61</v>
      </c>
      <c r="N1493" t="s">
        <v>2917</v>
      </c>
      <c r="O1493" t="s">
        <v>2208</v>
      </c>
      <c r="P1493" t="s">
        <v>2208</v>
      </c>
      <c r="Q1493" t="s">
        <v>2208</v>
      </c>
      <c r="R1493" t="s">
        <v>2208</v>
      </c>
    </row>
    <row r="1494" spans="1:18">
      <c r="A1494" t="s">
        <v>7030</v>
      </c>
      <c r="B1494" t="s">
        <v>11331</v>
      </c>
      <c r="C1494">
        <v>45778</v>
      </c>
      <c r="D1494" t="s">
        <v>7263</v>
      </c>
      <c r="E1494" t="s">
        <v>11332</v>
      </c>
      <c r="F1494">
        <v>45777</v>
      </c>
      <c r="G1494" t="s">
        <v>2208</v>
      </c>
      <c r="H1494" t="s">
        <v>7834</v>
      </c>
      <c r="I1494" t="s">
        <v>16837</v>
      </c>
      <c r="J1494">
        <v>3</v>
      </c>
      <c r="K1494">
        <v>313.83</v>
      </c>
      <c r="L1494" t="s">
        <v>2917</v>
      </c>
      <c r="M1494">
        <v>313.83</v>
      </c>
      <c r="N1494" t="s">
        <v>2917</v>
      </c>
      <c r="O1494" t="s">
        <v>2208</v>
      </c>
      <c r="P1494" t="s">
        <v>2208</v>
      </c>
      <c r="Q1494" t="s">
        <v>2208</v>
      </c>
      <c r="R1494" t="s">
        <v>2208</v>
      </c>
    </row>
    <row r="1495" spans="1:18">
      <c r="A1495" t="s">
        <v>7030</v>
      </c>
      <c r="B1495" t="s">
        <v>11331</v>
      </c>
      <c r="C1495">
        <v>45778</v>
      </c>
      <c r="D1495" t="s">
        <v>7263</v>
      </c>
      <c r="E1495" t="s">
        <v>11332</v>
      </c>
      <c r="F1495">
        <v>45777</v>
      </c>
      <c r="G1495" t="s">
        <v>2208</v>
      </c>
      <c r="H1495" t="s">
        <v>7834</v>
      </c>
      <c r="I1495" t="s">
        <v>16838</v>
      </c>
      <c r="J1495">
        <v>2</v>
      </c>
      <c r="K1495">
        <v>209.22</v>
      </c>
      <c r="L1495" t="s">
        <v>2917</v>
      </c>
      <c r="M1495">
        <v>209.22</v>
      </c>
      <c r="N1495" t="s">
        <v>2917</v>
      </c>
      <c r="O1495" t="s">
        <v>2208</v>
      </c>
      <c r="P1495" t="s">
        <v>2208</v>
      </c>
      <c r="Q1495" t="s">
        <v>2208</v>
      </c>
      <c r="R1495" t="s">
        <v>2208</v>
      </c>
    </row>
    <row r="1496" spans="1:18">
      <c r="A1496" t="s">
        <v>7030</v>
      </c>
      <c r="B1496" t="s">
        <v>11331</v>
      </c>
      <c r="C1496">
        <v>45778</v>
      </c>
      <c r="D1496" t="s">
        <v>7263</v>
      </c>
      <c r="E1496" t="s">
        <v>11332</v>
      </c>
      <c r="F1496">
        <v>45777</v>
      </c>
      <c r="G1496" t="s">
        <v>2208</v>
      </c>
      <c r="H1496" t="s">
        <v>7834</v>
      </c>
      <c r="I1496" t="s">
        <v>16839</v>
      </c>
      <c r="J1496">
        <v>3</v>
      </c>
      <c r="K1496">
        <v>313.83</v>
      </c>
      <c r="L1496" t="s">
        <v>2917</v>
      </c>
      <c r="M1496">
        <v>313.83</v>
      </c>
      <c r="N1496" t="s">
        <v>2917</v>
      </c>
      <c r="O1496" t="s">
        <v>2208</v>
      </c>
      <c r="P1496" t="s">
        <v>2208</v>
      </c>
      <c r="Q1496" t="s">
        <v>2208</v>
      </c>
      <c r="R1496" t="s">
        <v>2208</v>
      </c>
    </row>
    <row r="1497" spans="1:18">
      <c r="A1497" t="s">
        <v>7030</v>
      </c>
      <c r="B1497" t="s">
        <v>11331</v>
      </c>
      <c r="C1497">
        <v>45778</v>
      </c>
      <c r="D1497" t="s">
        <v>7263</v>
      </c>
      <c r="E1497" t="s">
        <v>11332</v>
      </c>
      <c r="F1497">
        <v>45777</v>
      </c>
      <c r="G1497" t="s">
        <v>2208</v>
      </c>
      <c r="H1497" t="s">
        <v>7834</v>
      </c>
      <c r="I1497" t="s">
        <v>16840</v>
      </c>
      <c r="J1497">
        <v>3</v>
      </c>
      <c r="K1497">
        <v>313.83</v>
      </c>
      <c r="L1497" t="s">
        <v>2917</v>
      </c>
      <c r="M1497">
        <v>313.83</v>
      </c>
      <c r="N1497" t="s">
        <v>2917</v>
      </c>
      <c r="O1497" t="s">
        <v>2208</v>
      </c>
      <c r="P1497" t="s">
        <v>2208</v>
      </c>
      <c r="Q1497" t="s">
        <v>2208</v>
      </c>
      <c r="R1497" t="s">
        <v>2208</v>
      </c>
    </row>
    <row r="1498" spans="1:18">
      <c r="A1498" t="s">
        <v>7030</v>
      </c>
      <c r="B1498" t="s">
        <v>11331</v>
      </c>
      <c r="C1498">
        <v>45778</v>
      </c>
      <c r="D1498" t="s">
        <v>7263</v>
      </c>
      <c r="E1498" t="s">
        <v>11332</v>
      </c>
      <c r="F1498">
        <v>45777</v>
      </c>
      <c r="G1498" t="s">
        <v>2208</v>
      </c>
      <c r="H1498" t="s">
        <v>7834</v>
      </c>
      <c r="I1498" t="s">
        <v>16841</v>
      </c>
      <c r="J1498">
        <v>1</v>
      </c>
      <c r="K1498">
        <v>104.61</v>
      </c>
      <c r="L1498" t="s">
        <v>2917</v>
      </c>
      <c r="M1498">
        <v>104.61</v>
      </c>
      <c r="N1498" t="s">
        <v>2917</v>
      </c>
      <c r="O1498" t="s">
        <v>2208</v>
      </c>
      <c r="P1498" t="s">
        <v>2208</v>
      </c>
      <c r="Q1498" t="s">
        <v>2208</v>
      </c>
      <c r="R1498" t="s">
        <v>2208</v>
      </c>
    </row>
    <row r="1499" spans="1:18">
      <c r="A1499" t="s">
        <v>7030</v>
      </c>
      <c r="B1499" t="s">
        <v>11331</v>
      </c>
      <c r="C1499">
        <v>45778</v>
      </c>
      <c r="D1499" t="s">
        <v>7263</v>
      </c>
      <c r="E1499" t="s">
        <v>11332</v>
      </c>
      <c r="F1499">
        <v>45777</v>
      </c>
      <c r="G1499" t="s">
        <v>2208</v>
      </c>
      <c r="H1499" t="s">
        <v>7834</v>
      </c>
      <c r="I1499" t="s">
        <v>16842</v>
      </c>
      <c r="J1499">
        <v>1</v>
      </c>
      <c r="K1499">
        <v>104.61</v>
      </c>
      <c r="L1499" t="s">
        <v>2917</v>
      </c>
      <c r="M1499">
        <v>104.61</v>
      </c>
      <c r="N1499" t="s">
        <v>2917</v>
      </c>
      <c r="O1499" t="s">
        <v>2208</v>
      </c>
      <c r="P1499" t="s">
        <v>2208</v>
      </c>
      <c r="Q1499" t="s">
        <v>2208</v>
      </c>
      <c r="R1499" t="s">
        <v>2208</v>
      </c>
    </row>
    <row r="1500" spans="1:18">
      <c r="A1500" t="s">
        <v>7030</v>
      </c>
      <c r="B1500" t="s">
        <v>11331</v>
      </c>
      <c r="C1500">
        <v>45778</v>
      </c>
      <c r="D1500" t="s">
        <v>7263</v>
      </c>
      <c r="E1500" t="s">
        <v>11332</v>
      </c>
      <c r="F1500">
        <v>45777</v>
      </c>
      <c r="G1500" t="s">
        <v>2208</v>
      </c>
      <c r="H1500" t="s">
        <v>7834</v>
      </c>
      <c r="I1500" t="s">
        <v>16843</v>
      </c>
      <c r="J1500">
        <v>1</v>
      </c>
      <c r="K1500">
        <v>104.61</v>
      </c>
      <c r="L1500" t="s">
        <v>2917</v>
      </c>
      <c r="M1500">
        <v>104.61</v>
      </c>
      <c r="N1500" t="s">
        <v>2917</v>
      </c>
      <c r="O1500" t="s">
        <v>2208</v>
      </c>
      <c r="P1500" t="s">
        <v>2208</v>
      </c>
      <c r="Q1500" t="s">
        <v>2208</v>
      </c>
      <c r="R1500" t="s">
        <v>2208</v>
      </c>
    </row>
    <row r="1501" spans="1:18">
      <c r="A1501" t="s">
        <v>7030</v>
      </c>
      <c r="B1501" t="s">
        <v>11331</v>
      </c>
      <c r="C1501">
        <v>45778</v>
      </c>
      <c r="D1501" t="s">
        <v>7263</v>
      </c>
      <c r="E1501" t="s">
        <v>11332</v>
      </c>
      <c r="F1501">
        <v>45777</v>
      </c>
      <c r="G1501" t="s">
        <v>2208</v>
      </c>
      <c r="H1501" t="s">
        <v>7834</v>
      </c>
      <c r="I1501" t="s">
        <v>16844</v>
      </c>
      <c r="J1501">
        <v>1</v>
      </c>
      <c r="K1501">
        <v>104.61</v>
      </c>
      <c r="L1501" t="s">
        <v>2917</v>
      </c>
      <c r="M1501">
        <v>104.61</v>
      </c>
      <c r="N1501" t="s">
        <v>2917</v>
      </c>
      <c r="O1501" t="s">
        <v>2208</v>
      </c>
      <c r="P1501" t="s">
        <v>2208</v>
      </c>
      <c r="Q1501" t="s">
        <v>2208</v>
      </c>
      <c r="R1501" t="s">
        <v>2208</v>
      </c>
    </row>
    <row r="1502" spans="1:18">
      <c r="A1502" t="s">
        <v>7030</v>
      </c>
      <c r="B1502" t="s">
        <v>11331</v>
      </c>
      <c r="C1502">
        <v>45778</v>
      </c>
      <c r="D1502" t="s">
        <v>7263</v>
      </c>
      <c r="E1502" t="s">
        <v>11332</v>
      </c>
      <c r="F1502">
        <v>45777</v>
      </c>
      <c r="G1502" t="s">
        <v>2208</v>
      </c>
      <c r="H1502" t="s">
        <v>7834</v>
      </c>
      <c r="I1502" t="s">
        <v>16845</v>
      </c>
      <c r="J1502">
        <v>1</v>
      </c>
      <c r="K1502">
        <v>104.61</v>
      </c>
      <c r="L1502" t="s">
        <v>2917</v>
      </c>
      <c r="M1502">
        <v>104.61</v>
      </c>
      <c r="N1502" t="s">
        <v>2917</v>
      </c>
      <c r="O1502" t="s">
        <v>2208</v>
      </c>
      <c r="P1502" t="s">
        <v>2208</v>
      </c>
      <c r="Q1502" t="s">
        <v>2208</v>
      </c>
      <c r="R1502" t="s">
        <v>2208</v>
      </c>
    </row>
    <row r="1503" spans="1:18">
      <c r="A1503" t="s">
        <v>7030</v>
      </c>
      <c r="B1503" t="s">
        <v>11331</v>
      </c>
      <c r="C1503">
        <v>45778</v>
      </c>
      <c r="D1503" t="s">
        <v>7263</v>
      </c>
      <c r="E1503" t="s">
        <v>11332</v>
      </c>
      <c r="F1503">
        <v>45777</v>
      </c>
      <c r="G1503" t="s">
        <v>2208</v>
      </c>
      <c r="H1503" t="s">
        <v>7834</v>
      </c>
      <c r="I1503" t="s">
        <v>16846</v>
      </c>
      <c r="J1503">
        <v>1</v>
      </c>
      <c r="K1503">
        <v>104.61</v>
      </c>
      <c r="L1503" t="s">
        <v>2917</v>
      </c>
      <c r="M1503">
        <v>104.61</v>
      </c>
      <c r="N1503" t="s">
        <v>2917</v>
      </c>
      <c r="O1503" t="s">
        <v>2208</v>
      </c>
      <c r="P1503" t="s">
        <v>2208</v>
      </c>
      <c r="Q1503" t="s">
        <v>2208</v>
      </c>
      <c r="R1503" t="s">
        <v>2208</v>
      </c>
    </row>
    <row r="1504" spans="1:18">
      <c r="A1504" t="s">
        <v>7030</v>
      </c>
      <c r="B1504" t="s">
        <v>11331</v>
      </c>
      <c r="C1504">
        <v>45778</v>
      </c>
      <c r="D1504" t="s">
        <v>7263</v>
      </c>
      <c r="E1504" t="s">
        <v>11332</v>
      </c>
      <c r="F1504">
        <v>45777</v>
      </c>
      <c r="G1504" t="s">
        <v>2208</v>
      </c>
      <c r="H1504" t="s">
        <v>7834</v>
      </c>
      <c r="I1504" t="s">
        <v>16847</v>
      </c>
      <c r="J1504">
        <v>1</v>
      </c>
      <c r="K1504">
        <v>104.61</v>
      </c>
      <c r="L1504" t="s">
        <v>2917</v>
      </c>
      <c r="M1504">
        <v>104.61</v>
      </c>
      <c r="N1504" t="s">
        <v>2917</v>
      </c>
      <c r="O1504" t="s">
        <v>2208</v>
      </c>
      <c r="P1504" t="s">
        <v>2208</v>
      </c>
      <c r="Q1504" t="s">
        <v>2208</v>
      </c>
      <c r="R1504" t="s">
        <v>2208</v>
      </c>
    </row>
    <row r="1505" spans="1:18">
      <c r="A1505" t="s">
        <v>7030</v>
      </c>
      <c r="B1505" t="s">
        <v>11331</v>
      </c>
      <c r="C1505">
        <v>45778</v>
      </c>
      <c r="D1505" t="s">
        <v>7263</v>
      </c>
      <c r="E1505" t="s">
        <v>11332</v>
      </c>
      <c r="F1505">
        <v>45777</v>
      </c>
      <c r="G1505" t="s">
        <v>2208</v>
      </c>
      <c r="H1505" t="s">
        <v>7834</v>
      </c>
      <c r="I1505" t="s">
        <v>16848</v>
      </c>
      <c r="J1505">
        <v>1</v>
      </c>
      <c r="K1505">
        <v>104.61</v>
      </c>
      <c r="L1505" t="s">
        <v>2917</v>
      </c>
      <c r="M1505">
        <v>104.61</v>
      </c>
      <c r="N1505" t="s">
        <v>2917</v>
      </c>
      <c r="O1505" t="s">
        <v>2208</v>
      </c>
      <c r="P1505" t="s">
        <v>2208</v>
      </c>
      <c r="Q1505" t="s">
        <v>2208</v>
      </c>
      <c r="R1505" t="s">
        <v>2208</v>
      </c>
    </row>
    <row r="1506" spans="1:18">
      <c r="A1506" t="s">
        <v>7030</v>
      </c>
      <c r="B1506" t="s">
        <v>11331</v>
      </c>
      <c r="C1506">
        <v>45778</v>
      </c>
      <c r="D1506" t="s">
        <v>7263</v>
      </c>
      <c r="E1506" t="s">
        <v>11332</v>
      </c>
      <c r="F1506">
        <v>45777</v>
      </c>
      <c r="G1506" t="s">
        <v>2208</v>
      </c>
      <c r="H1506" t="s">
        <v>7834</v>
      </c>
      <c r="I1506" t="s">
        <v>16849</v>
      </c>
      <c r="J1506">
        <v>1</v>
      </c>
      <c r="K1506">
        <v>104.61</v>
      </c>
      <c r="L1506" t="s">
        <v>2917</v>
      </c>
      <c r="M1506">
        <v>104.61</v>
      </c>
      <c r="N1506" t="s">
        <v>2917</v>
      </c>
      <c r="O1506" t="s">
        <v>2208</v>
      </c>
      <c r="P1506" t="s">
        <v>2208</v>
      </c>
      <c r="Q1506" t="s">
        <v>2208</v>
      </c>
      <c r="R1506" t="s">
        <v>2208</v>
      </c>
    </row>
    <row r="1507" spans="1:18">
      <c r="A1507" t="s">
        <v>7030</v>
      </c>
      <c r="B1507" t="s">
        <v>11331</v>
      </c>
      <c r="C1507">
        <v>45778</v>
      </c>
      <c r="D1507" t="s">
        <v>7263</v>
      </c>
      <c r="E1507" t="s">
        <v>11332</v>
      </c>
      <c r="F1507">
        <v>45777</v>
      </c>
      <c r="G1507" t="s">
        <v>2208</v>
      </c>
      <c r="H1507" t="s">
        <v>7834</v>
      </c>
      <c r="I1507" t="s">
        <v>16850</v>
      </c>
      <c r="J1507">
        <v>3</v>
      </c>
      <c r="K1507">
        <v>313.83</v>
      </c>
      <c r="L1507" t="s">
        <v>2917</v>
      </c>
      <c r="M1507">
        <v>313.83</v>
      </c>
      <c r="N1507" t="s">
        <v>2917</v>
      </c>
      <c r="O1507" t="s">
        <v>2208</v>
      </c>
      <c r="P1507" t="s">
        <v>2208</v>
      </c>
      <c r="Q1507" t="s">
        <v>2208</v>
      </c>
      <c r="R1507" t="s">
        <v>2208</v>
      </c>
    </row>
    <row r="1508" spans="1:18">
      <c r="A1508" t="s">
        <v>7030</v>
      </c>
      <c r="B1508" t="s">
        <v>11331</v>
      </c>
      <c r="C1508">
        <v>45778</v>
      </c>
      <c r="D1508" t="s">
        <v>7263</v>
      </c>
      <c r="E1508" t="s">
        <v>11332</v>
      </c>
      <c r="F1508">
        <v>45777</v>
      </c>
      <c r="G1508" t="s">
        <v>2208</v>
      </c>
      <c r="H1508" t="s">
        <v>7834</v>
      </c>
      <c r="I1508" t="s">
        <v>16851</v>
      </c>
      <c r="J1508">
        <v>1</v>
      </c>
      <c r="K1508">
        <v>104.61</v>
      </c>
      <c r="L1508" t="s">
        <v>2917</v>
      </c>
      <c r="M1508">
        <v>104.61</v>
      </c>
      <c r="N1508" t="s">
        <v>2917</v>
      </c>
      <c r="O1508" t="s">
        <v>2208</v>
      </c>
      <c r="P1508" t="s">
        <v>2208</v>
      </c>
      <c r="Q1508" t="s">
        <v>2208</v>
      </c>
      <c r="R1508" t="s">
        <v>2208</v>
      </c>
    </row>
    <row r="1509" spans="1:18">
      <c r="A1509" t="s">
        <v>7030</v>
      </c>
      <c r="B1509" t="s">
        <v>11331</v>
      </c>
      <c r="C1509">
        <v>45778</v>
      </c>
      <c r="D1509" t="s">
        <v>7263</v>
      </c>
      <c r="E1509" t="s">
        <v>11332</v>
      </c>
      <c r="F1509">
        <v>45777</v>
      </c>
      <c r="G1509" t="s">
        <v>2208</v>
      </c>
      <c r="H1509" t="s">
        <v>7834</v>
      </c>
      <c r="I1509" t="s">
        <v>16852</v>
      </c>
      <c r="J1509">
        <v>1</v>
      </c>
      <c r="K1509">
        <v>104.61</v>
      </c>
      <c r="L1509" t="s">
        <v>2917</v>
      </c>
      <c r="M1509">
        <v>104.61</v>
      </c>
      <c r="N1509" t="s">
        <v>2917</v>
      </c>
      <c r="O1509" t="s">
        <v>2208</v>
      </c>
      <c r="P1509" t="s">
        <v>2208</v>
      </c>
      <c r="Q1509" t="s">
        <v>2208</v>
      </c>
      <c r="R1509" t="s">
        <v>2208</v>
      </c>
    </row>
    <row r="1510" spans="1:18">
      <c r="A1510" t="s">
        <v>7030</v>
      </c>
      <c r="B1510" t="s">
        <v>11331</v>
      </c>
      <c r="C1510">
        <v>45778</v>
      </c>
      <c r="D1510" t="s">
        <v>7263</v>
      </c>
      <c r="E1510" t="s">
        <v>11332</v>
      </c>
      <c r="F1510">
        <v>45777</v>
      </c>
      <c r="G1510" t="s">
        <v>2208</v>
      </c>
      <c r="H1510" t="s">
        <v>7834</v>
      </c>
      <c r="I1510" t="s">
        <v>16853</v>
      </c>
      <c r="J1510">
        <v>0.25</v>
      </c>
      <c r="K1510">
        <v>26.15</v>
      </c>
      <c r="L1510" t="s">
        <v>2917</v>
      </c>
      <c r="M1510">
        <v>26.15</v>
      </c>
      <c r="N1510" t="s">
        <v>2917</v>
      </c>
      <c r="O1510" t="s">
        <v>2208</v>
      </c>
      <c r="P1510" t="s">
        <v>2208</v>
      </c>
      <c r="Q1510" t="s">
        <v>2208</v>
      </c>
      <c r="R1510" t="s">
        <v>2208</v>
      </c>
    </row>
    <row r="1511" spans="1:18">
      <c r="A1511" t="s">
        <v>7030</v>
      </c>
      <c r="B1511" t="s">
        <v>11331</v>
      </c>
      <c r="C1511">
        <v>45778</v>
      </c>
      <c r="D1511" t="s">
        <v>7263</v>
      </c>
      <c r="E1511" t="s">
        <v>11332</v>
      </c>
      <c r="F1511">
        <v>45777</v>
      </c>
      <c r="G1511" t="s">
        <v>2208</v>
      </c>
      <c r="H1511" t="s">
        <v>7834</v>
      </c>
      <c r="I1511" t="s">
        <v>16854</v>
      </c>
      <c r="J1511">
        <v>1</v>
      </c>
      <c r="K1511">
        <v>104.61</v>
      </c>
      <c r="L1511" t="s">
        <v>2917</v>
      </c>
      <c r="M1511">
        <v>104.61</v>
      </c>
      <c r="N1511" t="s">
        <v>2917</v>
      </c>
      <c r="O1511" t="s">
        <v>2208</v>
      </c>
      <c r="P1511" t="s">
        <v>2208</v>
      </c>
      <c r="Q1511" t="s">
        <v>2208</v>
      </c>
      <c r="R1511" t="s">
        <v>2208</v>
      </c>
    </row>
    <row r="1512" spans="1:18">
      <c r="A1512" t="s">
        <v>7030</v>
      </c>
      <c r="B1512" t="s">
        <v>11331</v>
      </c>
      <c r="C1512">
        <v>45778</v>
      </c>
      <c r="D1512" t="s">
        <v>7263</v>
      </c>
      <c r="E1512" t="s">
        <v>11332</v>
      </c>
      <c r="F1512">
        <v>45777</v>
      </c>
      <c r="G1512" t="s">
        <v>2208</v>
      </c>
      <c r="H1512" t="s">
        <v>7834</v>
      </c>
      <c r="I1512" t="s">
        <v>16855</v>
      </c>
      <c r="J1512">
        <v>1</v>
      </c>
      <c r="K1512">
        <v>104.61</v>
      </c>
      <c r="L1512" t="s">
        <v>2917</v>
      </c>
      <c r="M1512">
        <v>104.61</v>
      </c>
      <c r="N1512" t="s">
        <v>2917</v>
      </c>
      <c r="O1512" t="s">
        <v>2208</v>
      </c>
      <c r="P1512" t="s">
        <v>2208</v>
      </c>
      <c r="Q1512" t="s">
        <v>2208</v>
      </c>
      <c r="R1512" t="s">
        <v>2208</v>
      </c>
    </row>
    <row r="1513" spans="1:18">
      <c r="A1513" t="s">
        <v>7030</v>
      </c>
      <c r="B1513" t="s">
        <v>11331</v>
      </c>
      <c r="C1513">
        <v>45778</v>
      </c>
      <c r="D1513" t="s">
        <v>7263</v>
      </c>
      <c r="E1513" t="s">
        <v>11332</v>
      </c>
      <c r="F1513">
        <v>45777</v>
      </c>
      <c r="G1513" t="s">
        <v>2208</v>
      </c>
      <c r="H1513" t="s">
        <v>7834</v>
      </c>
      <c r="I1513" t="s">
        <v>16856</v>
      </c>
      <c r="J1513">
        <v>1</v>
      </c>
      <c r="K1513">
        <v>104.61</v>
      </c>
      <c r="L1513" t="s">
        <v>2917</v>
      </c>
      <c r="M1513">
        <v>104.61</v>
      </c>
      <c r="N1513" t="s">
        <v>2917</v>
      </c>
      <c r="O1513" t="s">
        <v>2208</v>
      </c>
      <c r="P1513" t="s">
        <v>2208</v>
      </c>
      <c r="Q1513" t="s">
        <v>2208</v>
      </c>
      <c r="R1513" t="s">
        <v>2208</v>
      </c>
    </row>
    <row r="1514" spans="1:18">
      <c r="A1514" t="s">
        <v>7030</v>
      </c>
      <c r="B1514" t="s">
        <v>11331</v>
      </c>
      <c r="C1514">
        <v>45778</v>
      </c>
      <c r="D1514" t="s">
        <v>7263</v>
      </c>
      <c r="E1514" t="s">
        <v>11332</v>
      </c>
      <c r="F1514">
        <v>45777</v>
      </c>
      <c r="G1514" t="s">
        <v>2208</v>
      </c>
      <c r="H1514" t="s">
        <v>7834</v>
      </c>
      <c r="I1514" t="s">
        <v>16857</v>
      </c>
      <c r="J1514">
        <v>1</v>
      </c>
      <c r="K1514">
        <v>104.61</v>
      </c>
      <c r="L1514" t="s">
        <v>2917</v>
      </c>
      <c r="M1514">
        <v>104.61</v>
      </c>
      <c r="N1514" t="s">
        <v>2917</v>
      </c>
      <c r="O1514" t="s">
        <v>2208</v>
      </c>
      <c r="P1514" t="s">
        <v>2208</v>
      </c>
      <c r="Q1514" t="s">
        <v>2208</v>
      </c>
      <c r="R1514" t="s">
        <v>2208</v>
      </c>
    </row>
    <row r="1515" spans="1:18">
      <c r="A1515" t="s">
        <v>7030</v>
      </c>
      <c r="B1515" t="s">
        <v>11331</v>
      </c>
      <c r="C1515">
        <v>45778</v>
      </c>
      <c r="D1515" t="s">
        <v>7263</v>
      </c>
      <c r="E1515" t="s">
        <v>11332</v>
      </c>
      <c r="F1515">
        <v>45777</v>
      </c>
      <c r="G1515" t="s">
        <v>2208</v>
      </c>
      <c r="H1515" t="s">
        <v>7834</v>
      </c>
      <c r="I1515" t="s">
        <v>16858</v>
      </c>
      <c r="J1515">
        <v>1.1000000000000001</v>
      </c>
      <c r="K1515">
        <v>115.07</v>
      </c>
      <c r="L1515" t="s">
        <v>2917</v>
      </c>
      <c r="M1515">
        <v>115.07</v>
      </c>
      <c r="N1515" t="s">
        <v>2917</v>
      </c>
      <c r="O1515" t="s">
        <v>2208</v>
      </c>
      <c r="P1515" t="s">
        <v>2208</v>
      </c>
      <c r="Q1515" t="s">
        <v>2208</v>
      </c>
      <c r="R1515" t="s">
        <v>2208</v>
      </c>
    </row>
    <row r="1516" spans="1:18">
      <c r="A1516" t="s">
        <v>7030</v>
      </c>
      <c r="B1516" t="s">
        <v>11331</v>
      </c>
      <c r="C1516">
        <v>45778</v>
      </c>
      <c r="D1516" t="s">
        <v>7263</v>
      </c>
      <c r="E1516" t="s">
        <v>11332</v>
      </c>
      <c r="F1516">
        <v>45777</v>
      </c>
      <c r="G1516" t="s">
        <v>2208</v>
      </c>
      <c r="H1516" t="s">
        <v>7834</v>
      </c>
      <c r="I1516" t="s">
        <v>16859</v>
      </c>
      <c r="J1516">
        <v>1</v>
      </c>
      <c r="K1516">
        <v>104.61</v>
      </c>
      <c r="L1516" t="s">
        <v>2917</v>
      </c>
      <c r="M1516">
        <v>104.61</v>
      </c>
      <c r="N1516" t="s">
        <v>2917</v>
      </c>
      <c r="O1516" t="s">
        <v>2208</v>
      </c>
      <c r="P1516" t="s">
        <v>2208</v>
      </c>
      <c r="Q1516" t="s">
        <v>2208</v>
      </c>
      <c r="R1516" t="s">
        <v>2208</v>
      </c>
    </row>
    <row r="1517" spans="1:18">
      <c r="A1517" t="s">
        <v>7030</v>
      </c>
      <c r="B1517" t="s">
        <v>11331</v>
      </c>
      <c r="C1517">
        <v>45778</v>
      </c>
      <c r="D1517" t="s">
        <v>7263</v>
      </c>
      <c r="E1517" t="s">
        <v>11332</v>
      </c>
      <c r="F1517">
        <v>45777</v>
      </c>
      <c r="G1517" t="s">
        <v>2208</v>
      </c>
      <c r="H1517" t="s">
        <v>7834</v>
      </c>
      <c r="I1517" t="s">
        <v>16860</v>
      </c>
      <c r="J1517">
        <v>1</v>
      </c>
      <c r="K1517">
        <v>104.61</v>
      </c>
      <c r="L1517" t="s">
        <v>2917</v>
      </c>
      <c r="M1517">
        <v>104.61</v>
      </c>
      <c r="N1517" t="s">
        <v>2917</v>
      </c>
      <c r="O1517" t="s">
        <v>2208</v>
      </c>
      <c r="P1517" t="s">
        <v>2208</v>
      </c>
      <c r="Q1517" t="s">
        <v>2208</v>
      </c>
      <c r="R1517" t="s">
        <v>2208</v>
      </c>
    </row>
    <row r="1518" spans="1:18">
      <c r="A1518" t="s">
        <v>7030</v>
      </c>
      <c r="B1518" t="s">
        <v>11331</v>
      </c>
      <c r="C1518">
        <v>45778</v>
      </c>
      <c r="D1518" t="s">
        <v>7263</v>
      </c>
      <c r="E1518" t="s">
        <v>11332</v>
      </c>
      <c r="F1518">
        <v>45777</v>
      </c>
      <c r="G1518" t="s">
        <v>2208</v>
      </c>
      <c r="H1518" t="s">
        <v>7834</v>
      </c>
      <c r="I1518" t="s">
        <v>16861</v>
      </c>
      <c r="J1518">
        <v>1</v>
      </c>
      <c r="K1518">
        <v>104.61</v>
      </c>
      <c r="L1518" t="s">
        <v>2917</v>
      </c>
      <c r="M1518">
        <v>104.61</v>
      </c>
      <c r="N1518" t="s">
        <v>2917</v>
      </c>
      <c r="O1518" t="s">
        <v>2208</v>
      </c>
      <c r="P1518" t="s">
        <v>2208</v>
      </c>
      <c r="Q1518" t="s">
        <v>2208</v>
      </c>
      <c r="R1518" t="s">
        <v>2208</v>
      </c>
    </row>
    <row r="1519" spans="1:18">
      <c r="A1519" t="s">
        <v>7030</v>
      </c>
      <c r="B1519" t="s">
        <v>11331</v>
      </c>
      <c r="C1519">
        <v>45778</v>
      </c>
      <c r="D1519" t="s">
        <v>7263</v>
      </c>
      <c r="E1519" t="s">
        <v>11332</v>
      </c>
      <c r="F1519">
        <v>45777</v>
      </c>
      <c r="G1519" t="s">
        <v>2208</v>
      </c>
      <c r="H1519" t="s">
        <v>7834</v>
      </c>
      <c r="I1519" t="s">
        <v>16862</v>
      </c>
      <c r="J1519">
        <v>1</v>
      </c>
      <c r="K1519">
        <v>104.61</v>
      </c>
      <c r="L1519" t="s">
        <v>2917</v>
      </c>
      <c r="M1519">
        <v>104.61</v>
      </c>
      <c r="N1519" t="s">
        <v>2917</v>
      </c>
      <c r="O1519" t="s">
        <v>2208</v>
      </c>
      <c r="P1519" t="s">
        <v>2208</v>
      </c>
      <c r="Q1519" t="s">
        <v>2208</v>
      </c>
      <c r="R1519" t="s">
        <v>2208</v>
      </c>
    </row>
    <row r="1520" spans="1:18">
      <c r="A1520" t="s">
        <v>7030</v>
      </c>
      <c r="B1520" t="s">
        <v>11331</v>
      </c>
      <c r="C1520">
        <v>45778</v>
      </c>
      <c r="D1520" t="s">
        <v>7263</v>
      </c>
      <c r="E1520" t="s">
        <v>11332</v>
      </c>
      <c r="F1520">
        <v>45777</v>
      </c>
      <c r="G1520" t="s">
        <v>2208</v>
      </c>
      <c r="H1520" t="s">
        <v>7834</v>
      </c>
      <c r="I1520" t="s">
        <v>16863</v>
      </c>
      <c r="J1520">
        <v>1</v>
      </c>
      <c r="K1520">
        <v>104.61</v>
      </c>
      <c r="L1520" t="s">
        <v>2917</v>
      </c>
      <c r="M1520">
        <v>104.61</v>
      </c>
      <c r="N1520" t="s">
        <v>2917</v>
      </c>
      <c r="O1520" t="s">
        <v>2208</v>
      </c>
      <c r="P1520" t="s">
        <v>2208</v>
      </c>
      <c r="Q1520" t="s">
        <v>2208</v>
      </c>
      <c r="R1520" t="s">
        <v>2208</v>
      </c>
    </row>
    <row r="1521" spans="1:18">
      <c r="A1521" t="s">
        <v>7030</v>
      </c>
      <c r="B1521" t="s">
        <v>11331</v>
      </c>
      <c r="C1521">
        <v>45778</v>
      </c>
      <c r="D1521" t="s">
        <v>7263</v>
      </c>
      <c r="E1521" t="s">
        <v>11332</v>
      </c>
      <c r="F1521">
        <v>45777</v>
      </c>
      <c r="G1521" t="s">
        <v>2208</v>
      </c>
      <c r="H1521" t="s">
        <v>7834</v>
      </c>
      <c r="I1521" t="s">
        <v>16864</v>
      </c>
      <c r="J1521">
        <v>1</v>
      </c>
      <c r="K1521">
        <v>104.61</v>
      </c>
      <c r="L1521" t="s">
        <v>2917</v>
      </c>
      <c r="M1521">
        <v>104.61</v>
      </c>
      <c r="N1521" t="s">
        <v>2917</v>
      </c>
      <c r="O1521" t="s">
        <v>2208</v>
      </c>
      <c r="P1521" t="s">
        <v>2208</v>
      </c>
      <c r="Q1521" t="s">
        <v>2208</v>
      </c>
      <c r="R1521" t="s">
        <v>2208</v>
      </c>
    </row>
    <row r="1522" spans="1:18">
      <c r="A1522" t="s">
        <v>7030</v>
      </c>
      <c r="B1522" t="s">
        <v>11331</v>
      </c>
      <c r="C1522">
        <v>45778</v>
      </c>
      <c r="D1522" t="s">
        <v>7263</v>
      </c>
      <c r="E1522" t="s">
        <v>11332</v>
      </c>
      <c r="F1522">
        <v>45777</v>
      </c>
      <c r="G1522" t="s">
        <v>2208</v>
      </c>
      <c r="H1522" t="s">
        <v>7834</v>
      </c>
      <c r="I1522" t="s">
        <v>16865</v>
      </c>
      <c r="J1522">
        <v>1</v>
      </c>
      <c r="K1522">
        <v>104.61</v>
      </c>
      <c r="L1522" t="s">
        <v>2917</v>
      </c>
      <c r="M1522">
        <v>104.61</v>
      </c>
      <c r="N1522" t="s">
        <v>2917</v>
      </c>
      <c r="O1522" t="s">
        <v>2208</v>
      </c>
      <c r="P1522" t="s">
        <v>2208</v>
      </c>
      <c r="Q1522" t="s">
        <v>2208</v>
      </c>
      <c r="R1522" t="s">
        <v>2208</v>
      </c>
    </row>
    <row r="1523" spans="1:18">
      <c r="A1523" t="s">
        <v>7030</v>
      </c>
      <c r="B1523" t="s">
        <v>11331</v>
      </c>
      <c r="C1523">
        <v>45778</v>
      </c>
      <c r="D1523" t="s">
        <v>7263</v>
      </c>
      <c r="E1523" t="s">
        <v>11332</v>
      </c>
      <c r="F1523">
        <v>45777</v>
      </c>
      <c r="G1523" t="s">
        <v>2208</v>
      </c>
      <c r="H1523" t="s">
        <v>7834</v>
      </c>
      <c r="I1523" t="s">
        <v>16866</v>
      </c>
      <c r="J1523">
        <v>1</v>
      </c>
      <c r="K1523">
        <v>104.61</v>
      </c>
      <c r="L1523" t="s">
        <v>2917</v>
      </c>
      <c r="M1523">
        <v>104.61</v>
      </c>
      <c r="N1523" t="s">
        <v>2917</v>
      </c>
      <c r="O1523" t="s">
        <v>2208</v>
      </c>
      <c r="P1523" t="s">
        <v>2208</v>
      </c>
      <c r="Q1523" t="s">
        <v>2208</v>
      </c>
      <c r="R1523" t="s">
        <v>2208</v>
      </c>
    </row>
    <row r="1524" spans="1:18">
      <c r="A1524" t="s">
        <v>7030</v>
      </c>
      <c r="B1524" t="s">
        <v>11331</v>
      </c>
      <c r="C1524">
        <v>45778</v>
      </c>
      <c r="D1524" t="s">
        <v>7263</v>
      </c>
      <c r="E1524" t="s">
        <v>11332</v>
      </c>
      <c r="F1524">
        <v>45777</v>
      </c>
      <c r="G1524" t="s">
        <v>2208</v>
      </c>
      <c r="H1524" t="s">
        <v>7834</v>
      </c>
      <c r="I1524" t="s">
        <v>16867</v>
      </c>
      <c r="J1524">
        <v>1</v>
      </c>
      <c r="K1524">
        <v>104.61</v>
      </c>
      <c r="L1524" t="s">
        <v>2917</v>
      </c>
      <c r="M1524">
        <v>104.61</v>
      </c>
      <c r="N1524" t="s">
        <v>2917</v>
      </c>
      <c r="O1524" t="s">
        <v>2208</v>
      </c>
      <c r="P1524" t="s">
        <v>2208</v>
      </c>
      <c r="Q1524" t="s">
        <v>2208</v>
      </c>
      <c r="R1524" t="s">
        <v>2208</v>
      </c>
    </row>
    <row r="1525" spans="1:18">
      <c r="A1525" t="s">
        <v>7030</v>
      </c>
      <c r="B1525" t="s">
        <v>11331</v>
      </c>
      <c r="C1525">
        <v>45778</v>
      </c>
      <c r="D1525" t="s">
        <v>7263</v>
      </c>
      <c r="E1525" t="s">
        <v>11332</v>
      </c>
      <c r="F1525">
        <v>45777</v>
      </c>
      <c r="G1525" t="s">
        <v>2208</v>
      </c>
      <c r="H1525" t="s">
        <v>7834</v>
      </c>
      <c r="I1525" t="s">
        <v>16868</v>
      </c>
      <c r="J1525">
        <v>1</v>
      </c>
      <c r="K1525">
        <v>104.61</v>
      </c>
      <c r="L1525" t="s">
        <v>2917</v>
      </c>
      <c r="M1525">
        <v>104.61</v>
      </c>
      <c r="N1525" t="s">
        <v>2917</v>
      </c>
      <c r="O1525" t="s">
        <v>2208</v>
      </c>
      <c r="P1525" t="s">
        <v>2208</v>
      </c>
      <c r="Q1525" t="s">
        <v>2208</v>
      </c>
      <c r="R1525" t="s">
        <v>2208</v>
      </c>
    </row>
    <row r="1526" spans="1:18">
      <c r="A1526" t="s">
        <v>7030</v>
      </c>
      <c r="B1526" t="s">
        <v>11331</v>
      </c>
      <c r="C1526">
        <v>45778</v>
      </c>
      <c r="D1526" t="s">
        <v>7263</v>
      </c>
      <c r="E1526" t="s">
        <v>11332</v>
      </c>
      <c r="F1526">
        <v>45777</v>
      </c>
      <c r="G1526" t="s">
        <v>2208</v>
      </c>
      <c r="H1526" t="s">
        <v>7834</v>
      </c>
      <c r="I1526" t="s">
        <v>16869</v>
      </c>
      <c r="J1526">
        <v>1</v>
      </c>
      <c r="K1526">
        <v>104.61</v>
      </c>
      <c r="L1526" t="s">
        <v>2917</v>
      </c>
      <c r="M1526">
        <v>104.61</v>
      </c>
      <c r="N1526" t="s">
        <v>2917</v>
      </c>
      <c r="O1526" t="s">
        <v>2208</v>
      </c>
      <c r="P1526" t="s">
        <v>2208</v>
      </c>
      <c r="Q1526" t="s">
        <v>2208</v>
      </c>
      <c r="R1526" t="s">
        <v>2208</v>
      </c>
    </row>
    <row r="1527" spans="1:18">
      <c r="A1527" t="s">
        <v>7030</v>
      </c>
      <c r="B1527" t="s">
        <v>11331</v>
      </c>
      <c r="C1527">
        <v>45778</v>
      </c>
      <c r="D1527" t="s">
        <v>7263</v>
      </c>
      <c r="E1527" t="s">
        <v>11332</v>
      </c>
      <c r="F1527">
        <v>45777</v>
      </c>
      <c r="G1527" t="s">
        <v>2208</v>
      </c>
      <c r="H1527" t="s">
        <v>7834</v>
      </c>
      <c r="I1527" t="s">
        <v>16870</v>
      </c>
      <c r="J1527">
        <v>2</v>
      </c>
      <c r="K1527">
        <v>209.22</v>
      </c>
      <c r="L1527" t="s">
        <v>2917</v>
      </c>
      <c r="M1527">
        <v>209.22</v>
      </c>
      <c r="N1527" t="s">
        <v>2917</v>
      </c>
      <c r="O1527" t="s">
        <v>2208</v>
      </c>
      <c r="P1527" t="s">
        <v>2208</v>
      </c>
      <c r="Q1527" t="s">
        <v>2208</v>
      </c>
      <c r="R1527" t="s">
        <v>2208</v>
      </c>
    </row>
    <row r="1528" spans="1:18">
      <c r="A1528" t="s">
        <v>7030</v>
      </c>
      <c r="B1528" t="s">
        <v>11331</v>
      </c>
      <c r="C1528">
        <v>45778</v>
      </c>
      <c r="D1528" t="s">
        <v>7263</v>
      </c>
      <c r="E1528" t="s">
        <v>11332</v>
      </c>
      <c r="F1528">
        <v>45777</v>
      </c>
      <c r="G1528" t="s">
        <v>2208</v>
      </c>
      <c r="H1528" t="s">
        <v>7834</v>
      </c>
      <c r="I1528" t="s">
        <v>16871</v>
      </c>
      <c r="J1528">
        <v>2</v>
      </c>
      <c r="K1528">
        <v>209.22</v>
      </c>
      <c r="L1528" t="s">
        <v>2917</v>
      </c>
      <c r="M1528">
        <v>209.22</v>
      </c>
      <c r="N1528" t="s">
        <v>2917</v>
      </c>
      <c r="O1528" t="s">
        <v>2208</v>
      </c>
      <c r="P1528" t="s">
        <v>2208</v>
      </c>
      <c r="Q1528" t="s">
        <v>2208</v>
      </c>
      <c r="R1528" t="s">
        <v>2208</v>
      </c>
    </row>
    <row r="1529" spans="1:18">
      <c r="A1529" t="s">
        <v>7030</v>
      </c>
      <c r="B1529" t="s">
        <v>11331</v>
      </c>
      <c r="C1529">
        <v>45778</v>
      </c>
      <c r="D1529" t="s">
        <v>7263</v>
      </c>
      <c r="E1529" t="s">
        <v>11332</v>
      </c>
      <c r="F1529">
        <v>45777</v>
      </c>
      <c r="G1529" t="s">
        <v>2208</v>
      </c>
      <c r="H1529" t="s">
        <v>7834</v>
      </c>
      <c r="I1529" t="s">
        <v>16872</v>
      </c>
      <c r="J1529">
        <v>1.5</v>
      </c>
      <c r="K1529">
        <v>156.91999999999999</v>
      </c>
      <c r="L1529" t="s">
        <v>2917</v>
      </c>
      <c r="M1529">
        <v>156.91999999999999</v>
      </c>
      <c r="N1529" t="s">
        <v>2917</v>
      </c>
      <c r="O1529" t="s">
        <v>2208</v>
      </c>
      <c r="P1529" t="s">
        <v>2208</v>
      </c>
      <c r="Q1529" t="s">
        <v>2208</v>
      </c>
      <c r="R1529" t="s">
        <v>2208</v>
      </c>
    </row>
    <row r="1530" spans="1:18">
      <c r="A1530" t="s">
        <v>7030</v>
      </c>
      <c r="B1530" t="s">
        <v>11331</v>
      </c>
      <c r="C1530">
        <v>45778</v>
      </c>
      <c r="D1530" t="s">
        <v>7263</v>
      </c>
      <c r="E1530" t="s">
        <v>11332</v>
      </c>
      <c r="F1530">
        <v>45777</v>
      </c>
      <c r="G1530" t="s">
        <v>2208</v>
      </c>
      <c r="H1530" t="s">
        <v>7834</v>
      </c>
      <c r="I1530" t="s">
        <v>16873</v>
      </c>
      <c r="J1530">
        <v>1</v>
      </c>
      <c r="K1530">
        <v>104.61</v>
      </c>
      <c r="L1530" t="s">
        <v>2917</v>
      </c>
      <c r="M1530">
        <v>104.61</v>
      </c>
      <c r="N1530" t="s">
        <v>2917</v>
      </c>
      <c r="O1530" t="s">
        <v>2208</v>
      </c>
      <c r="P1530" t="s">
        <v>2208</v>
      </c>
      <c r="Q1530" t="s">
        <v>2208</v>
      </c>
      <c r="R1530" t="s">
        <v>2208</v>
      </c>
    </row>
    <row r="1531" spans="1:18">
      <c r="A1531" t="s">
        <v>7030</v>
      </c>
      <c r="B1531" t="s">
        <v>11331</v>
      </c>
      <c r="C1531">
        <v>45778</v>
      </c>
      <c r="D1531" t="s">
        <v>7263</v>
      </c>
      <c r="E1531" t="s">
        <v>11332</v>
      </c>
      <c r="F1531">
        <v>45777</v>
      </c>
      <c r="G1531" t="s">
        <v>2208</v>
      </c>
      <c r="H1531" t="s">
        <v>7834</v>
      </c>
      <c r="I1531" t="s">
        <v>16874</v>
      </c>
      <c r="J1531">
        <v>1</v>
      </c>
      <c r="K1531">
        <v>104.61</v>
      </c>
      <c r="L1531" t="s">
        <v>2917</v>
      </c>
      <c r="M1531">
        <v>104.61</v>
      </c>
      <c r="N1531" t="s">
        <v>2917</v>
      </c>
      <c r="O1531" t="s">
        <v>2208</v>
      </c>
      <c r="P1531" t="s">
        <v>2208</v>
      </c>
      <c r="Q1531" t="s">
        <v>2208</v>
      </c>
      <c r="R1531" t="s">
        <v>2208</v>
      </c>
    </row>
    <row r="1532" spans="1:18">
      <c r="A1532" t="s">
        <v>7030</v>
      </c>
      <c r="B1532" t="s">
        <v>11331</v>
      </c>
      <c r="C1532">
        <v>45778</v>
      </c>
      <c r="D1532" t="s">
        <v>7263</v>
      </c>
      <c r="E1532" t="s">
        <v>11332</v>
      </c>
      <c r="F1532">
        <v>45777</v>
      </c>
      <c r="G1532" t="s">
        <v>2208</v>
      </c>
      <c r="H1532" t="s">
        <v>7834</v>
      </c>
      <c r="I1532" t="s">
        <v>16875</v>
      </c>
      <c r="J1532">
        <v>2</v>
      </c>
      <c r="K1532">
        <v>209.22</v>
      </c>
      <c r="L1532" t="s">
        <v>2917</v>
      </c>
      <c r="M1532">
        <v>209.22</v>
      </c>
      <c r="N1532" t="s">
        <v>2917</v>
      </c>
      <c r="O1532" t="s">
        <v>2208</v>
      </c>
      <c r="P1532" t="s">
        <v>2208</v>
      </c>
      <c r="Q1532" t="s">
        <v>2208</v>
      </c>
      <c r="R1532" t="s">
        <v>2208</v>
      </c>
    </row>
    <row r="1533" spans="1:18">
      <c r="A1533" t="s">
        <v>7030</v>
      </c>
      <c r="B1533" t="s">
        <v>11331</v>
      </c>
      <c r="C1533">
        <v>45778</v>
      </c>
      <c r="D1533" t="s">
        <v>7263</v>
      </c>
      <c r="E1533" t="s">
        <v>11332</v>
      </c>
      <c r="F1533">
        <v>45777</v>
      </c>
      <c r="G1533" t="s">
        <v>2208</v>
      </c>
      <c r="H1533" t="s">
        <v>7834</v>
      </c>
      <c r="I1533" t="s">
        <v>16876</v>
      </c>
      <c r="J1533">
        <v>1</v>
      </c>
      <c r="K1533">
        <v>104.61</v>
      </c>
      <c r="L1533" t="s">
        <v>2917</v>
      </c>
      <c r="M1533">
        <v>104.61</v>
      </c>
      <c r="N1533" t="s">
        <v>2917</v>
      </c>
      <c r="O1533" t="s">
        <v>2208</v>
      </c>
      <c r="P1533" t="s">
        <v>2208</v>
      </c>
      <c r="Q1533" t="s">
        <v>2208</v>
      </c>
      <c r="R1533" t="s">
        <v>2208</v>
      </c>
    </row>
    <row r="1534" spans="1:18">
      <c r="A1534" t="s">
        <v>7030</v>
      </c>
      <c r="B1534" t="s">
        <v>11331</v>
      </c>
      <c r="C1534">
        <v>45778</v>
      </c>
      <c r="D1534" t="s">
        <v>7263</v>
      </c>
      <c r="E1534" t="s">
        <v>11332</v>
      </c>
      <c r="F1534">
        <v>45777</v>
      </c>
      <c r="G1534" t="s">
        <v>2208</v>
      </c>
      <c r="H1534" t="s">
        <v>7834</v>
      </c>
      <c r="I1534" t="s">
        <v>16877</v>
      </c>
      <c r="J1534">
        <v>1</v>
      </c>
      <c r="K1534">
        <v>104.61</v>
      </c>
      <c r="L1534" t="s">
        <v>2917</v>
      </c>
      <c r="M1534">
        <v>104.61</v>
      </c>
      <c r="N1534" t="s">
        <v>2917</v>
      </c>
      <c r="O1534" t="s">
        <v>2208</v>
      </c>
      <c r="P1534" t="s">
        <v>2208</v>
      </c>
      <c r="Q1534" t="s">
        <v>2208</v>
      </c>
      <c r="R1534" t="s">
        <v>2208</v>
      </c>
    </row>
    <row r="1535" spans="1:18">
      <c r="A1535" t="s">
        <v>7030</v>
      </c>
      <c r="B1535" t="s">
        <v>11331</v>
      </c>
      <c r="C1535">
        <v>45778</v>
      </c>
      <c r="D1535" t="s">
        <v>7263</v>
      </c>
      <c r="E1535" t="s">
        <v>11332</v>
      </c>
      <c r="F1535">
        <v>45777</v>
      </c>
      <c r="G1535" t="s">
        <v>2208</v>
      </c>
      <c r="H1535" t="s">
        <v>7834</v>
      </c>
      <c r="I1535" t="s">
        <v>16878</v>
      </c>
      <c r="J1535">
        <v>2</v>
      </c>
      <c r="K1535">
        <v>209.22</v>
      </c>
      <c r="L1535" t="s">
        <v>2917</v>
      </c>
      <c r="M1535">
        <v>209.22</v>
      </c>
      <c r="N1535" t="s">
        <v>2917</v>
      </c>
      <c r="O1535" t="s">
        <v>2208</v>
      </c>
      <c r="P1535" t="s">
        <v>2208</v>
      </c>
      <c r="Q1535" t="s">
        <v>2208</v>
      </c>
      <c r="R1535" t="s">
        <v>2208</v>
      </c>
    </row>
    <row r="1536" spans="1:18">
      <c r="A1536" t="s">
        <v>2501</v>
      </c>
      <c r="B1536" t="s">
        <v>11331</v>
      </c>
      <c r="C1536">
        <v>45779</v>
      </c>
      <c r="D1536" t="s">
        <v>7263</v>
      </c>
      <c r="E1536" t="s">
        <v>11332</v>
      </c>
      <c r="F1536">
        <v>45777</v>
      </c>
      <c r="G1536" t="s">
        <v>2208</v>
      </c>
      <c r="H1536" t="s">
        <v>7834</v>
      </c>
      <c r="I1536" t="s">
        <v>16879</v>
      </c>
      <c r="J1536">
        <v>0</v>
      </c>
      <c r="K1536">
        <v>-45.23</v>
      </c>
      <c r="L1536" t="s">
        <v>2917</v>
      </c>
      <c r="M1536">
        <v>-45.23</v>
      </c>
      <c r="N1536" t="s">
        <v>2917</v>
      </c>
      <c r="O1536" t="s">
        <v>2208</v>
      </c>
      <c r="P1536" t="s">
        <v>2208</v>
      </c>
      <c r="Q1536" t="s">
        <v>2208</v>
      </c>
      <c r="R1536" t="s">
        <v>2208</v>
      </c>
    </row>
    <row r="1537" spans="1:18">
      <c r="A1537" t="s">
        <v>2886</v>
      </c>
      <c r="B1537" t="s">
        <v>11331</v>
      </c>
      <c r="C1537">
        <v>45779</v>
      </c>
      <c r="D1537" t="s">
        <v>7263</v>
      </c>
      <c r="E1537" t="s">
        <v>11332</v>
      </c>
      <c r="F1537">
        <v>45777</v>
      </c>
      <c r="G1537" t="s">
        <v>2208</v>
      </c>
      <c r="H1537" t="s">
        <v>7834</v>
      </c>
      <c r="I1537" t="s">
        <v>16880</v>
      </c>
      <c r="J1537">
        <v>0</v>
      </c>
      <c r="K1537">
        <v>-101.74</v>
      </c>
      <c r="L1537" t="s">
        <v>2917</v>
      </c>
      <c r="M1537">
        <v>-101.74</v>
      </c>
      <c r="N1537" t="s">
        <v>2917</v>
      </c>
      <c r="O1537" t="s">
        <v>2208</v>
      </c>
      <c r="P1537" t="s">
        <v>2208</v>
      </c>
      <c r="Q1537" t="s">
        <v>2208</v>
      </c>
      <c r="R1537" t="s">
        <v>2208</v>
      </c>
    </row>
    <row r="1538" spans="1:18">
      <c r="A1538" t="s">
        <v>6815</v>
      </c>
      <c r="B1538" t="s">
        <v>11331</v>
      </c>
      <c r="C1538">
        <v>45779</v>
      </c>
      <c r="D1538" t="s">
        <v>7263</v>
      </c>
      <c r="E1538" t="s">
        <v>11332</v>
      </c>
      <c r="F1538">
        <v>45777</v>
      </c>
      <c r="G1538" t="s">
        <v>2208</v>
      </c>
      <c r="H1538" t="s">
        <v>7834</v>
      </c>
      <c r="I1538" t="s">
        <v>16881</v>
      </c>
      <c r="J1538">
        <v>0</v>
      </c>
      <c r="K1538">
        <v>-45.21</v>
      </c>
      <c r="L1538" t="s">
        <v>2917</v>
      </c>
      <c r="M1538">
        <v>-45.21</v>
      </c>
      <c r="N1538" t="s">
        <v>2917</v>
      </c>
      <c r="O1538" t="s">
        <v>2208</v>
      </c>
      <c r="P1538" t="s">
        <v>2208</v>
      </c>
      <c r="Q1538" t="s">
        <v>2208</v>
      </c>
      <c r="R1538" t="s">
        <v>2208</v>
      </c>
    </row>
    <row r="1539" spans="1:18">
      <c r="A1539" t="s">
        <v>7030</v>
      </c>
      <c r="B1539" t="s">
        <v>11331</v>
      </c>
      <c r="C1539">
        <v>45779</v>
      </c>
      <c r="D1539" t="s">
        <v>7263</v>
      </c>
      <c r="E1539" t="s">
        <v>11332</v>
      </c>
      <c r="F1539">
        <v>45777</v>
      </c>
      <c r="G1539" t="s">
        <v>2208</v>
      </c>
      <c r="H1539" t="s">
        <v>7834</v>
      </c>
      <c r="I1539" t="s">
        <v>16882</v>
      </c>
      <c r="J1539">
        <v>0</v>
      </c>
      <c r="K1539">
        <v>-163.85</v>
      </c>
      <c r="L1539" t="s">
        <v>2917</v>
      </c>
      <c r="M1539">
        <v>-163.85</v>
      </c>
      <c r="N1539" t="s">
        <v>2917</v>
      </c>
      <c r="O1539" t="s">
        <v>2208</v>
      </c>
      <c r="P1539" t="s">
        <v>2208</v>
      </c>
      <c r="Q1539" t="s">
        <v>2208</v>
      </c>
      <c r="R1539" t="s">
        <v>2208</v>
      </c>
    </row>
    <row r="1540" spans="1:18">
      <c r="A1540" t="s">
        <v>810</v>
      </c>
      <c r="B1540" t="s">
        <v>11331</v>
      </c>
      <c r="C1540">
        <v>45779</v>
      </c>
      <c r="D1540" t="s">
        <v>7263</v>
      </c>
      <c r="E1540" t="s">
        <v>11332</v>
      </c>
      <c r="F1540">
        <v>45777</v>
      </c>
      <c r="G1540" t="s">
        <v>2208</v>
      </c>
      <c r="H1540" t="s">
        <v>7834</v>
      </c>
      <c r="I1540" t="s">
        <v>16883</v>
      </c>
      <c r="J1540">
        <v>0</v>
      </c>
      <c r="K1540">
        <v>-22.6</v>
      </c>
      <c r="L1540" t="s">
        <v>2917</v>
      </c>
      <c r="M1540">
        <v>-22.6</v>
      </c>
      <c r="N1540" t="s">
        <v>2917</v>
      </c>
      <c r="O1540" t="s">
        <v>2208</v>
      </c>
      <c r="P1540" t="s">
        <v>2208</v>
      </c>
      <c r="Q1540" t="s">
        <v>2208</v>
      </c>
      <c r="R1540" t="s">
        <v>2208</v>
      </c>
    </row>
    <row r="1541" spans="1:18">
      <c r="A1541" t="s">
        <v>810</v>
      </c>
      <c r="B1541" t="s">
        <v>11331</v>
      </c>
      <c r="C1541">
        <v>45779</v>
      </c>
      <c r="D1541" t="s">
        <v>7263</v>
      </c>
      <c r="E1541" t="s">
        <v>11332</v>
      </c>
      <c r="F1541">
        <v>45777</v>
      </c>
      <c r="G1541" t="s">
        <v>2208</v>
      </c>
      <c r="H1541" t="s">
        <v>7834</v>
      </c>
      <c r="I1541" t="s">
        <v>16883</v>
      </c>
      <c r="J1541">
        <v>0</v>
      </c>
      <c r="K1541">
        <v>-45.2</v>
      </c>
      <c r="L1541" t="s">
        <v>2917</v>
      </c>
      <c r="M1541">
        <v>-45.2</v>
      </c>
      <c r="N1541" t="s">
        <v>2917</v>
      </c>
      <c r="O1541" t="s">
        <v>2208</v>
      </c>
      <c r="P1541" t="s">
        <v>2208</v>
      </c>
      <c r="Q1541" t="s">
        <v>2208</v>
      </c>
      <c r="R1541" t="s">
        <v>2208</v>
      </c>
    </row>
    <row r="1542" spans="1:18">
      <c r="A1542" t="s">
        <v>2237</v>
      </c>
      <c r="B1542" t="s">
        <v>11331</v>
      </c>
      <c r="C1542">
        <v>45779</v>
      </c>
      <c r="D1542" t="s">
        <v>7263</v>
      </c>
      <c r="E1542" t="s">
        <v>11332</v>
      </c>
      <c r="F1542">
        <v>45777</v>
      </c>
      <c r="G1542" t="s">
        <v>2208</v>
      </c>
      <c r="H1542" t="s">
        <v>7834</v>
      </c>
      <c r="I1542" t="s">
        <v>16884</v>
      </c>
      <c r="J1542">
        <v>0</v>
      </c>
      <c r="K1542">
        <v>-226</v>
      </c>
      <c r="L1542" t="s">
        <v>2917</v>
      </c>
      <c r="M1542">
        <v>-226</v>
      </c>
      <c r="N1542" t="s">
        <v>2917</v>
      </c>
      <c r="O1542" t="s">
        <v>2208</v>
      </c>
      <c r="P1542" t="s">
        <v>2208</v>
      </c>
      <c r="Q1542" t="s">
        <v>2208</v>
      </c>
      <c r="R1542" t="s">
        <v>2208</v>
      </c>
    </row>
    <row r="1543" spans="1:18">
      <c r="A1543" t="s">
        <v>2237</v>
      </c>
      <c r="B1543" t="s">
        <v>11331</v>
      </c>
      <c r="C1543">
        <v>45779</v>
      </c>
      <c r="D1543" t="s">
        <v>7263</v>
      </c>
      <c r="E1543" t="s">
        <v>11332</v>
      </c>
      <c r="F1543">
        <v>45777</v>
      </c>
      <c r="G1543" t="s">
        <v>2208</v>
      </c>
      <c r="H1543" t="s">
        <v>7834</v>
      </c>
      <c r="I1543" t="s">
        <v>16884</v>
      </c>
      <c r="J1543">
        <v>0</v>
      </c>
      <c r="K1543">
        <v>-364.42</v>
      </c>
      <c r="L1543" t="s">
        <v>2917</v>
      </c>
      <c r="M1543">
        <v>-364.42</v>
      </c>
      <c r="N1543" t="s">
        <v>2917</v>
      </c>
      <c r="O1543" t="s">
        <v>2208</v>
      </c>
      <c r="P1543" t="s">
        <v>2208</v>
      </c>
      <c r="Q1543" t="s">
        <v>2208</v>
      </c>
      <c r="R1543" t="s">
        <v>2208</v>
      </c>
    </row>
    <row r="1544" spans="1:18">
      <c r="A1544" t="s">
        <v>2237</v>
      </c>
      <c r="B1544" t="s">
        <v>11331</v>
      </c>
      <c r="C1544">
        <v>45779</v>
      </c>
      <c r="D1544" t="s">
        <v>7263</v>
      </c>
      <c r="E1544" t="s">
        <v>11332</v>
      </c>
      <c r="F1544">
        <v>45777</v>
      </c>
      <c r="G1544" t="s">
        <v>2208</v>
      </c>
      <c r="H1544" t="s">
        <v>7834</v>
      </c>
      <c r="I1544" t="s">
        <v>16885</v>
      </c>
      <c r="J1544">
        <v>0</v>
      </c>
      <c r="K1544">
        <v>-180.8</v>
      </c>
      <c r="L1544" t="s">
        <v>2917</v>
      </c>
      <c r="M1544">
        <v>-180.8</v>
      </c>
      <c r="N1544" t="s">
        <v>2917</v>
      </c>
      <c r="O1544" t="s">
        <v>2208</v>
      </c>
      <c r="P1544" t="s">
        <v>2208</v>
      </c>
      <c r="Q1544" t="s">
        <v>2208</v>
      </c>
      <c r="R1544" t="s">
        <v>2208</v>
      </c>
    </row>
    <row r="1545" spans="1:18">
      <c r="A1545" t="s">
        <v>2418</v>
      </c>
      <c r="B1545" t="s">
        <v>11331</v>
      </c>
      <c r="C1545">
        <v>45779</v>
      </c>
      <c r="D1545" t="s">
        <v>7263</v>
      </c>
      <c r="E1545" t="s">
        <v>11332</v>
      </c>
      <c r="F1545">
        <v>45777</v>
      </c>
      <c r="G1545" t="s">
        <v>2208</v>
      </c>
      <c r="H1545" t="s">
        <v>7834</v>
      </c>
      <c r="I1545" t="s">
        <v>16886</v>
      </c>
      <c r="J1545">
        <v>0</v>
      </c>
      <c r="K1545">
        <v>-677.99</v>
      </c>
      <c r="L1545" t="s">
        <v>2917</v>
      </c>
      <c r="M1545">
        <v>-677.99</v>
      </c>
      <c r="N1545" t="s">
        <v>2917</v>
      </c>
      <c r="O1545" t="s">
        <v>2208</v>
      </c>
      <c r="P1545" t="s">
        <v>2208</v>
      </c>
      <c r="Q1545" t="s">
        <v>2208</v>
      </c>
      <c r="R1545" t="s">
        <v>2208</v>
      </c>
    </row>
    <row r="1546" spans="1:18">
      <c r="A1546" t="s">
        <v>2418</v>
      </c>
      <c r="B1546" t="s">
        <v>11331</v>
      </c>
      <c r="C1546">
        <v>45779</v>
      </c>
      <c r="D1546" t="s">
        <v>7263</v>
      </c>
      <c r="E1546" t="s">
        <v>11332</v>
      </c>
      <c r="F1546">
        <v>45777</v>
      </c>
      <c r="G1546" t="s">
        <v>2208</v>
      </c>
      <c r="H1546" t="s">
        <v>7834</v>
      </c>
      <c r="I1546" t="s">
        <v>16886</v>
      </c>
      <c r="J1546">
        <v>0</v>
      </c>
      <c r="K1546">
        <v>-581.97</v>
      </c>
      <c r="L1546" t="s">
        <v>2917</v>
      </c>
      <c r="M1546">
        <v>-581.97</v>
      </c>
      <c r="N1546" t="s">
        <v>2917</v>
      </c>
      <c r="O1546" t="s">
        <v>2208</v>
      </c>
      <c r="P1546" t="s">
        <v>2208</v>
      </c>
      <c r="Q1546" t="s">
        <v>2208</v>
      </c>
      <c r="R1546" t="s">
        <v>2208</v>
      </c>
    </row>
    <row r="1547" spans="1:18">
      <c r="A1547" t="s">
        <v>2600</v>
      </c>
      <c r="B1547" t="s">
        <v>11331</v>
      </c>
      <c r="C1547">
        <v>45779</v>
      </c>
      <c r="D1547" t="s">
        <v>7263</v>
      </c>
      <c r="E1547" t="s">
        <v>11332</v>
      </c>
      <c r="F1547">
        <v>45777</v>
      </c>
      <c r="G1547" t="s">
        <v>2208</v>
      </c>
      <c r="H1547" t="s">
        <v>7834</v>
      </c>
      <c r="I1547" t="s">
        <v>16887</v>
      </c>
      <c r="J1547">
        <v>0</v>
      </c>
      <c r="K1547">
        <v>-33.92</v>
      </c>
      <c r="L1547" t="s">
        <v>2917</v>
      </c>
      <c r="M1547">
        <v>-33.92</v>
      </c>
      <c r="N1547" t="s">
        <v>2917</v>
      </c>
      <c r="O1547" t="s">
        <v>2208</v>
      </c>
      <c r="P1547" t="s">
        <v>2208</v>
      </c>
      <c r="Q1547" t="s">
        <v>2208</v>
      </c>
      <c r="R1547" t="s">
        <v>2208</v>
      </c>
    </row>
    <row r="1548" spans="1:18">
      <c r="A1548" t="s">
        <v>2681</v>
      </c>
      <c r="B1548" t="s">
        <v>11331</v>
      </c>
      <c r="C1548">
        <v>45779</v>
      </c>
      <c r="D1548" t="s">
        <v>7263</v>
      </c>
      <c r="E1548" t="s">
        <v>11332</v>
      </c>
      <c r="F1548">
        <v>45777</v>
      </c>
      <c r="G1548" t="s">
        <v>2208</v>
      </c>
      <c r="H1548" t="s">
        <v>7834</v>
      </c>
      <c r="I1548" t="s">
        <v>16888</v>
      </c>
      <c r="J1548">
        <v>0</v>
      </c>
      <c r="K1548">
        <v>-16.95</v>
      </c>
      <c r="L1548" t="s">
        <v>2917</v>
      </c>
      <c r="M1548">
        <v>-16.95</v>
      </c>
      <c r="N1548" t="s">
        <v>2917</v>
      </c>
      <c r="O1548" t="s">
        <v>2208</v>
      </c>
      <c r="P1548" t="s">
        <v>2208</v>
      </c>
      <c r="Q1548" t="s">
        <v>2208</v>
      </c>
      <c r="R1548" t="s">
        <v>2208</v>
      </c>
    </row>
    <row r="1549" spans="1:18">
      <c r="A1549" t="s">
        <v>2418</v>
      </c>
      <c r="B1549" t="s">
        <v>11331</v>
      </c>
      <c r="C1549">
        <v>45779</v>
      </c>
      <c r="D1549" t="s">
        <v>7263</v>
      </c>
      <c r="E1549" t="s">
        <v>11332</v>
      </c>
      <c r="F1549">
        <v>45777</v>
      </c>
      <c r="G1549" t="s">
        <v>2208</v>
      </c>
      <c r="H1549" t="s">
        <v>7834</v>
      </c>
      <c r="I1549" t="s">
        <v>16889</v>
      </c>
      <c r="J1549">
        <v>0</v>
      </c>
      <c r="K1549">
        <v>-2028.34</v>
      </c>
      <c r="L1549" t="s">
        <v>2917</v>
      </c>
      <c r="M1549">
        <v>-2028.34</v>
      </c>
      <c r="N1549" t="s">
        <v>2917</v>
      </c>
      <c r="O1549" t="s">
        <v>2208</v>
      </c>
      <c r="P1549" t="s">
        <v>2208</v>
      </c>
      <c r="Q1549" t="s">
        <v>2208</v>
      </c>
      <c r="R1549" t="s">
        <v>2208</v>
      </c>
    </row>
    <row r="1550" spans="1:18">
      <c r="A1550" t="s">
        <v>709</v>
      </c>
      <c r="B1550" t="s">
        <v>11331</v>
      </c>
      <c r="C1550">
        <v>45779</v>
      </c>
      <c r="D1550" t="s">
        <v>7263</v>
      </c>
      <c r="E1550" t="s">
        <v>11332</v>
      </c>
      <c r="F1550">
        <v>45777</v>
      </c>
      <c r="G1550" t="s">
        <v>2208</v>
      </c>
      <c r="H1550" t="s">
        <v>7834</v>
      </c>
      <c r="I1550" t="s">
        <v>16890</v>
      </c>
      <c r="J1550">
        <v>0</v>
      </c>
      <c r="K1550">
        <v>-19.78</v>
      </c>
      <c r="L1550" t="s">
        <v>2917</v>
      </c>
      <c r="M1550">
        <v>-19.78</v>
      </c>
      <c r="N1550" t="s">
        <v>2917</v>
      </c>
      <c r="O1550" t="s">
        <v>2208</v>
      </c>
      <c r="P1550" t="s">
        <v>2208</v>
      </c>
      <c r="Q1550" t="s">
        <v>2208</v>
      </c>
      <c r="R1550" t="s">
        <v>2208</v>
      </c>
    </row>
    <row r="1551" spans="1:18">
      <c r="A1551" t="s">
        <v>1095</v>
      </c>
      <c r="B1551" t="s">
        <v>11331</v>
      </c>
      <c r="C1551">
        <v>45779</v>
      </c>
      <c r="D1551" t="s">
        <v>7263</v>
      </c>
      <c r="E1551" t="s">
        <v>11332</v>
      </c>
      <c r="F1551">
        <v>45777</v>
      </c>
      <c r="G1551" t="s">
        <v>2208</v>
      </c>
      <c r="H1551" t="s">
        <v>7834</v>
      </c>
      <c r="I1551" t="s">
        <v>16891</v>
      </c>
      <c r="J1551">
        <v>0</v>
      </c>
      <c r="K1551">
        <v>-11.3</v>
      </c>
      <c r="L1551" t="s">
        <v>2917</v>
      </c>
      <c r="M1551">
        <v>-11.3</v>
      </c>
      <c r="N1551" t="s">
        <v>2917</v>
      </c>
      <c r="O1551" t="s">
        <v>2208</v>
      </c>
      <c r="P1551" t="s">
        <v>2208</v>
      </c>
      <c r="Q1551" t="s">
        <v>2208</v>
      </c>
      <c r="R1551" t="s">
        <v>2208</v>
      </c>
    </row>
    <row r="1552" spans="1:18">
      <c r="A1552" t="s">
        <v>6816</v>
      </c>
      <c r="B1552" t="s">
        <v>11331</v>
      </c>
      <c r="C1552">
        <v>45779</v>
      </c>
      <c r="D1552" t="s">
        <v>7263</v>
      </c>
      <c r="E1552" t="s">
        <v>11332</v>
      </c>
      <c r="F1552">
        <v>45777</v>
      </c>
      <c r="G1552" t="s">
        <v>2208</v>
      </c>
      <c r="H1552" t="s">
        <v>7834</v>
      </c>
      <c r="I1552" t="s">
        <v>16892</v>
      </c>
      <c r="J1552">
        <v>0</v>
      </c>
      <c r="K1552">
        <v>-11.31</v>
      </c>
      <c r="L1552" t="s">
        <v>2917</v>
      </c>
      <c r="M1552">
        <v>-11.31</v>
      </c>
      <c r="N1552" t="s">
        <v>2917</v>
      </c>
      <c r="O1552" t="s">
        <v>2208</v>
      </c>
      <c r="P1552" t="s">
        <v>2208</v>
      </c>
      <c r="Q1552" t="s">
        <v>2208</v>
      </c>
      <c r="R1552" t="s">
        <v>2208</v>
      </c>
    </row>
    <row r="1553" spans="1:18">
      <c r="A1553" t="s">
        <v>7030</v>
      </c>
      <c r="B1553" t="s">
        <v>11331</v>
      </c>
      <c r="C1553">
        <v>45779</v>
      </c>
      <c r="D1553" t="s">
        <v>7263</v>
      </c>
      <c r="E1553" t="s">
        <v>11332</v>
      </c>
      <c r="F1553">
        <v>45777</v>
      </c>
      <c r="G1553" t="s">
        <v>2208</v>
      </c>
      <c r="H1553" t="s">
        <v>7834</v>
      </c>
      <c r="I1553" t="s">
        <v>16893</v>
      </c>
      <c r="J1553">
        <v>0</v>
      </c>
      <c r="K1553">
        <v>-536.75</v>
      </c>
      <c r="L1553" t="s">
        <v>2917</v>
      </c>
      <c r="M1553">
        <v>-536.75</v>
      </c>
      <c r="N1553" t="s">
        <v>2917</v>
      </c>
      <c r="O1553" t="s">
        <v>2208</v>
      </c>
      <c r="P1553" t="s">
        <v>2208</v>
      </c>
      <c r="Q1553" t="s">
        <v>2208</v>
      </c>
      <c r="R1553" t="s">
        <v>2208</v>
      </c>
    </row>
    <row r="1554" spans="1:18">
      <c r="A1554" t="s">
        <v>7030</v>
      </c>
      <c r="B1554" t="s">
        <v>11331</v>
      </c>
      <c r="C1554">
        <v>45779</v>
      </c>
      <c r="D1554" t="s">
        <v>7263</v>
      </c>
      <c r="E1554" t="s">
        <v>11332</v>
      </c>
      <c r="F1554">
        <v>45777</v>
      </c>
      <c r="G1554" t="s">
        <v>2208</v>
      </c>
      <c r="H1554" t="s">
        <v>7834</v>
      </c>
      <c r="I1554" t="s">
        <v>16893</v>
      </c>
      <c r="J1554">
        <v>0</v>
      </c>
      <c r="K1554">
        <v>-271.2</v>
      </c>
      <c r="L1554" t="s">
        <v>2917</v>
      </c>
      <c r="M1554">
        <v>-271.2</v>
      </c>
      <c r="N1554" t="s">
        <v>2917</v>
      </c>
      <c r="O1554" t="s">
        <v>2208</v>
      </c>
      <c r="P1554" t="s">
        <v>2208</v>
      </c>
      <c r="Q1554" t="s">
        <v>2208</v>
      </c>
      <c r="R1554" t="s">
        <v>2208</v>
      </c>
    </row>
    <row r="1555" spans="1:18">
      <c r="A1555" t="s">
        <v>7030</v>
      </c>
      <c r="B1555" t="s">
        <v>11331</v>
      </c>
      <c r="C1555">
        <v>45779</v>
      </c>
      <c r="D1555" t="s">
        <v>7263</v>
      </c>
      <c r="E1555" t="s">
        <v>11332</v>
      </c>
      <c r="F1555">
        <v>45777</v>
      </c>
      <c r="G1555" t="s">
        <v>2208</v>
      </c>
      <c r="H1555" t="s">
        <v>7834</v>
      </c>
      <c r="I1555" t="s">
        <v>16893</v>
      </c>
      <c r="J1555">
        <v>0</v>
      </c>
      <c r="K1555">
        <v>-33.9</v>
      </c>
      <c r="L1555" t="s">
        <v>2917</v>
      </c>
      <c r="M1555">
        <v>-33.9</v>
      </c>
      <c r="N1555" t="s">
        <v>2917</v>
      </c>
      <c r="O1555" t="s">
        <v>2208</v>
      </c>
      <c r="P1555" t="s">
        <v>2208</v>
      </c>
      <c r="Q1555" t="s">
        <v>2208</v>
      </c>
      <c r="R1555" t="s">
        <v>2208</v>
      </c>
    </row>
    <row r="1556" spans="1:18">
      <c r="A1556" t="s">
        <v>7030</v>
      </c>
      <c r="B1556" t="s">
        <v>11331</v>
      </c>
      <c r="C1556">
        <v>45779</v>
      </c>
      <c r="D1556" t="s">
        <v>7263</v>
      </c>
      <c r="E1556" t="s">
        <v>11332</v>
      </c>
      <c r="F1556">
        <v>45777</v>
      </c>
      <c r="G1556" t="s">
        <v>2208</v>
      </c>
      <c r="H1556" t="s">
        <v>7834</v>
      </c>
      <c r="I1556" t="s">
        <v>16893</v>
      </c>
      <c r="J1556">
        <v>0</v>
      </c>
      <c r="K1556">
        <v>-67.8</v>
      </c>
      <c r="L1556" t="s">
        <v>2917</v>
      </c>
      <c r="M1556">
        <v>-67.8</v>
      </c>
      <c r="N1556" t="s">
        <v>2917</v>
      </c>
      <c r="O1556" t="s">
        <v>2208</v>
      </c>
      <c r="P1556" t="s">
        <v>2208</v>
      </c>
      <c r="Q1556" t="s">
        <v>2208</v>
      </c>
      <c r="R1556" t="s">
        <v>2208</v>
      </c>
    </row>
    <row r="1557" spans="1:18">
      <c r="A1557" t="s">
        <v>7030</v>
      </c>
      <c r="B1557" t="s">
        <v>11331</v>
      </c>
      <c r="C1557">
        <v>45779</v>
      </c>
      <c r="D1557" t="s">
        <v>7263</v>
      </c>
      <c r="E1557" t="s">
        <v>11332</v>
      </c>
      <c r="F1557">
        <v>45777</v>
      </c>
      <c r="G1557" t="s">
        <v>2208</v>
      </c>
      <c r="H1557" t="s">
        <v>7834</v>
      </c>
      <c r="I1557" t="s">
        <v>16893</v>
      </c>
      <c r="J1557">
        <v>0</v>
      </c>
      <c r="K1557">
        <v>-497.2</v>
      </c>
      <c r="L1557" t="s">
        <v>2917</v>
      </c>
      <c r="M1557">
        <v>-497.2</v>
      </c>
      <c r="N1557" t="s">
        <v>2917</v>
      </c>
      <c r="O1557" t="s">
        <v>2208</v>
      </c>
      <c r="P1557" t="s">
        <v>2208</v>
      </c>
      <c r="Q1557" t="s">
        <v>2208</v>
      </c>
      <c r="R1557" t="s">
        <v>2208</v>
      </c>
    </row>
    <row r="1558" spans="1:18">
      <c r="A1558" t="s">
        <v>7030</v>
      </c>
      <c r="B1558" t="s">
        <v>11331</v>
      </c>
      <c r="C1558">
        <v>45779</v>
      </c>
      <c r="D1558" t="s">
        <v>7263</v>
      </c>
      <c r="E1558" t="s">
        <v>11332</v>
      </c>
      <c r="F1558">
        <v>45777</v>
      </c>
      <c r="G1558" t="s">
        <v>2208</v>
      </c>
      <c r="H1558" t="s">
        <v>7834</v>
      </c>
      <c r="I1558" t="s">
        <v>16893</v>
      </c>
      <c r="J1558">
        <v>0</v>
      </c>
      <c r="K1558">
        <v>-358.76</v>
      </c>
      <c r="L1558" t="s">
        <v>2917</v>
      </c>
      <c r="M1558">
        <v>-358.76</v>
      </c>
      <c r="N1558" t="s">
        <v>2917</v>
      </c>
      <c r="O1558" t="s">
        <v>2208</v>
      </c>
      <c r="P1558" t="s">
        <v>2208</v>
      </c>
      <c r="Q1558" t="s">
        <v>2208</v>
      </c>
      <c r="R1558" t="s">
        <v>2208</v>
      </c>
    </row>
    <row r="1559" spans="1:18">
      <c r="A1559" t="s">
        <v>709</v>
      </c>
      <c r="B1559" t="s">
        <v>16360</v>
      </c>
      <c r="C1559">
        <v>45810</v>
      </c>
      <c r="D1559" t="s">
        <v>7263</v>
      </c>
      <c r="E1559" t="s">
        <v>16361</v>
      </c>
      <c r="F1559">
        <v>45808</v>
      </c>
      <c r="G1559" t="s">
        <v>2208</v>
      </c>
      <c r="H1559" t="s">
        <v>7834</v>
      </c>
      <c r="I1559" t="s">
        <v>18006</v>
      </c>
      <c r="J1559">
        <v>1</v>
      </c>
      <c r="K1559">
        <v>104.61</v>
      </c>
      <c r="L1559" t="s">
        <v>2917</v>
      </c>
      <c r="M1559">
        <v>104.61</v>
      </c>
      <c r="N1559" t="s">
        <v>2917</v>
      </c>
      <c r="O1559" t="s">
        <v>2208</v>
      </c>
      <c r="P1559" t="s">
        <v>2208</v>
      </c>
      <c r="Q1559" t="s">
        <v>2208</v>
      </c>
      <c r="R1559" t="s">
        <v>2208</v>
      </c>
    </row>
    <row r="1560" spans="1:18">
      <c r="A1560" t="s">
        <v>709</v>
      </c>
      <c r="B1560" t="s">
        <v>16360</v>
      </c>
      <c r="C1560">
        <v>45810</v>
      </c>
      <c r="D1560" t="s">
        <v>7263</v>
      </c>
      <c r="E1560" t="s">
        <v>16361</v>
      </c>
      <c r="F1560">
        <v>45808</v>
      </c>
      <c r="G1560" t="s">
        <v>2208</v>
      </c>
      <c r="H1560" t="s">
        <v>7834</v>
      </c>
      <c r="I1560" t="s">
        <v>18007</v>
      </c>
      <c r="J1560">
        <v>1.25</v>
      </c>
      <c r="K1560">
        <v>130.76</v>
      </c>
      <c r="L1560" t="s">
        <v>2917</v>
      </c>
      <c r="M1560">
        <v>130.76</v>
      </c>
      <c r="N1560" t="s">
        <v>2917</v>
      </c>
      <c r="O1560" t="s">
        <v>2208</v>
      </c>
      <c r="P1560" t="s">
        <v>2208</v>
      </c>
      <c r="Q1560" t="s">
        <v>2208</v>
      </c>
      <c r="R1560" t="s">
        <v>2208</v>
      </c>
    </row>
    <row r="1561" spans="1:18">
      <c r="A1561" t="s">
        <v>810</v>
      </c>
      <c r="B1561" t="s">
        <v>16360</v>
      </c>
      <c r="C1561">
        <v>45810</v>
      </c>
      <c r="D1561" t="s">
        <v>7263</v>
      </c>
      <c r="E1561" t="s">
        <v>16361</v>
      </c>
      <c r="F1561">
        <v>45808</v>
      </c>
      <c r="G1561" t="s">
        <v>2208</v>
      </c>
      <c r="H1561" t="s">
        <v>7834</v>
      </c>
      <c r="I1561" t="s">
        <v>18008</v>
      </c>
      <c r="J1561">
        <v>0.5</v>
      </c>
      <c r="K1561">
        <v>52.31</v>
      </c>
      <c r="L1561" t="s">
        <v>2917</v>
      </c>
      <c r="M1561">
        <v>52.31</v>
      </c>
      <c r="N1561" t="s">
        <v>2917</v>
      </c>
      <c r="O1561" t="s">
        <v>2208</v>
      </c>
      <c r="P1561" t="s">
        <v>2208</v>
      </c>
      <c r="Q1561" t="s">
        <v>2208</v>
      </c>
      <c r="R1561" t="s">
        <v>2208</v>
      </c>
    </row>
    <row r="1562" spans="1:18">
      <c r="A1562" t="s">
        <v>810</v>
      </c>
      <c r="B1562" t="s">
        <v>16360</v>
      </c>
      <c r="C1562">
        <v>45810</v>
      </c>
      <c r="D1562" t="s">
        <v>7263</v>
      </c>
      <c r="E1562" t="s">
        <v>16361</v>
      </c>
      <c r="F1562">
        <v>45808</v>
      </c>
      <c r="G1562" t="s">
        <v>2208</v>
      </c>
      <c r="H1562" t="s">
        <v>7834</v>
      </c>
      <c r="I1562" t="s">
        <v>18009</v>
      </c>
      <c r="J1562">
        <v>0.5</v>
      </c>
      <c r="K1562">
        <v>52.31</v>
      </c>
      <c r="L1562" t="s">
        <v>2917</v>
      </c>
      <c r="M1562">
        <v>52.31</v>
      </c>
      <c r="N1562" t="s">
        <v>2917</v>
      </c>
      <c r="O1562" t="s">
        <v>2208</v>
      </c>
      <c r="P1562" t="s">
        <v>2208</v>
      </c>
      <c r="Q1562" t="s">
        <v>2208</v>
      </c>
      <c r="R1562" t="s">
        <v>2208</v>
      </c>
    </row>
    <row r="1563" spans="1:18">
      <c r="A1563" t="s">
        <v>810</v>
      </c>
      <c r="B1563" t="s">
        <v>16360</v>
      </c>
      <c r="C1563">
        <v>45810</v>
      </c>
      <c r="D1563" t="s">
        <v>7263</v>
      </c>
      <c r="E1563" t="s">
        <v>16361</v>
      </c>
      <c r="F1563">
        <v>45808</v>
      </c>
      <c r="G1563" t="s">
        <v>2208</v>
      </c>
      <c r="H1563" t="s">
        <v>7834</v>
      </c>
      <c r="I1563" t="s">
        <v>18010</v>
      </c>
      <c r="J1563">
        <v>1</v>
      </c>
      <c r="K1563">
        <v>104.61</v>
      </c>
      <c r="L1563" t="s">
        <v>2917</v>
      </c>
      <c r="M1563">
        <v>104.61</v>
      </c>
      <c r="N1563" t="s">
        <v>2917</v>
      </c>
      <c r="O1563" t="s">
        <v>2208</v>
      </c>
      <c r="P1563" t="s">
        <v>2208</v>
      </c>
      <c r="Q1563" t="s">
        <v>2208</v>
      </c>
      <c r="R1563" t="s">
        <v>2208</v>
      </c>
    </row>
    <row r="1564" spans="1:18">
      <c r="A1564" t="s">
        <v>810</v>
      </c>
      <c r="B1564" t="s">
        <v>16360</v>
      </c>
      <c r="C1564">
        <v>45810</v>
      </c>
      <c r="D1564" t="s">
        <v>7263</v>
      </c>
      <c r="E1564" t="s">
        <v>16361</v>
      </c>
      <c r="F1564">
        <v>45808</v>
      </c>
      <c r="G1564" t="s">
        <v>2208</v>
      </c>
      <c r="H1564" t="s">
        <v>7834</v>
      </c>
      <c r="I1564" t="s">
        <v>18011</v>
      </c>
      <c r="J1564">
        <v>1</v>
      </c>
      <c r="K1564">
        <v>104.61</v>
      </c>
      <c r="L1564" t="s">
        <v>2917</v>
      </c>
      <c r="M1564">
        <v>104.61</v>
      </c>
      <c r="N1564" t="s">
        <v>2917</v>
      </c>
      <c r="O1564" t="s">
        <v>2208</v>
      </c>
      <c r="P1564" t="s">
        <v>2208</v>
      </c>
      <c r="Q1564" t="s">
        <v>2208</v>
      </c>
      <c r="R1564" t="s">
        <v>2208</v>
      </c>
    </row>
    <row r="1565" spans="1:18">
      <c r="A1565" t="s">
        <v>810</v>
      </c>
      <c r="B1565" t="s">
        <v>16360</v>
      </c>
      <c r="C1565">
        <v>45810</v>
      </c>
      <c r="D1565" t="s">
        <v>7263</v>
      </c>
      <c r="E1565" t="s">
        <v>16361</v>
      </c>
      <c r="F1565">
        <v>45808</v>
      </c>
      <c r="G1565" t="s">
        <v>2208</v>
      </c>
      <c r="H1565" t="s">
        <v>7834</v>
      </c>
      <c r="I1565" t="s">
        <v>18012</v>
      </c>
      <c r="J1565">
        <v>1</v>
      </c>
      <c r="K1565">
        <v>104.61</v>
      </c>
      <c r="L1565" t="s">
        <v>2917</v>
      </c>
      <c r="M1565">
        <v>104.61</v>
      </c>
      <c r="N1565" t="s">
        <v>2917</v>
      </c>
      <c r="O1565" t="s">
        <v>2208</v>
      </c>
      <c r="P1565" t="s">
        <v>2208</v>
      </c>
      <c r="Q1565" t="s">
        <v>2208</v>
      </c>
      <c r="R1565" t="s">
        <v>2208</v>
      </c>
    </row>
    <row r="1566" spans="1:18">
      <c r="A1566" t="s">
        <v>2237</v>
      </c>
      <c r="B1566" t="s">
        <v>16360</v>
      </c>
      <c r="C1566">
        <v>45810</v>
      </c>
      <c r="D1566" t="s">
        <v>7263</v>
      </c>
      <c r="E1566" t="s">
        <v>16361</v>
      </c>
      <c r="F1566">
        <v>45808</v>
      </c>
      <c r="G1566" t="s">
        <v>2208</v>
      </c>
      <c r="H1566" t="s">
        <v>7834</v>
      </c>
      <c r="I1566" t="s">
        <v>18013</v>
      </c>
      <c r="J1566">
        <v>1</v>
      </c>
      <c r="K1566">
        <v>104.61</v>
      </c>
      <c r="L1566" t="s">
        <v>2917</v>
      </c>
      <c r="M1566">
        <v>104.61</v>
      </c>
      <c r="N1566" t="s">
        <v>2917</v>
      </c>
      <c r="O1566" t="s">
        <v>2208</v>
      </c>
      <c r="P1566" t="s">
        <v>2208</v>
      </c>
      <c r="Q1566" t="s">
        <v>2208</v>
      </c>
      <c r="R1566" t="s">
        <v>2208</v>
      </c>
    </row>
    <row r="1567" spans="1:18">
      <c r="A1567" t="s">
        <v>2237</v>
      </c>
      <c r="B1567" t="s">
        <v>16360</v>
      </c>
      <c r="C1567">
        <v>45810</v>
      </c>
      <c r="D1567" t="s">
        <v>7263</v>
      </c>
      <c r="E1567" t="s">
        <v>16361</v>
      </c>
      <c r="F1567">
        <v>45808</v>
      </c>
      <c r="G1567" t="s">
        <v>2208</v>
      </c>
      <c r="H1567" t="s">
        <v>7834</v>
      </c>
      <c r="I1567" t="s">
        <v>18014</v>
      </c>
      <c r="J1567">
        <v>0.25</v>
      </c>
      <c r="K1567">
        <v>26.15</v>
      </c>
      <c r="L1567" t="s">
        <v>2917</v>
      </c>
      <c r="M1567">
        <v>26.15</v>
      </c>
      <c r="N1567" t="s">
        <v>2917</v>
      </c>
      <c r="O1567" t="s">
        <v>2208</v>
      </c>
      <c r="P1567" t="s">
        <v>2208</v>
      </c>
      <c r="Q1567" t="s">
        <v>2208</v>
      </c>
      <c r="R1567" t="s">
        <v>2208</v>
      </c>
    </row>
    <row r="1568" spans="1:18">
      <c r="A1568" t="s">
        <v>2237</v>
      </c>
      <c r="B1568" t="s">
        <v>16360</v>
      </c>
      <c r="C1568">
        <v>45810</v>
      </c>
      <c r="D1568" t="s">
        <v>7263</v>
      </c>
      <c r="E1568" t="s">
        <v>16361</v>
      </c>
      <c r="F1568">
        <v>45808</v>
      </c>
      <c r="G1568" t="s">
        <v>2208</v>
      </c>
      <c r="H1568" t="s">
        <v>7834</v>
      </c>
      <c r="I1568" t="s">
        <v>18015</v>
      </c>
      <c r="J1568">
        <v>0.25</v>
      </c>
      <c r="K1568">
        <v>26.15</v>
      </c>
      <c r="L1568" t="s">
        <v>2917</v>
      </c>
      <c r="M1568">
        <v>26.15</v>
      </c>
      <c r="N1568" t="s">
        <v>2917</v>
      </c>
      <c r="O1568" t="s">
        <v>2208</v>
      </c>
      <c r="P1568" t="s">
        <v>2208</v>
      </c>
      <c r="Q1568" t="s">
        <v>2208</v>
      </c>
      <c r="R1568" t="s">
        <v>2208</v>
      </c>
    </row>
    <row r="1569" spans="1:18">
      <c r="A1569" t="s">
        <v>2237</v>
      </c>
      <c r="B1569" t="s">
        <v>16360</v>
      </c>
      <c r="C1569">
        <v>45810</v>
      </c>
      <c r="D1569" t="s">
        <v>7263</v>
      </c>
      <c r="E1569" t="s">
        <v>16361</v>
      </c>
      <c r="F1569">
        <v>45808</v>
      </c>
      <c r="G1569" t="s">
        <v>2208</v>
      </c>
      <c r="H1569" t="s">
        <v>7834</v>
      </c>
      <c r="I1569" t="s">
        <v>18016</v>
      </c>
      <c r="J1569">
        <v>2</v>
      </c>
      <c r="K1569">
        <v>209.22</v>
      </c>
      <c r="L1569" t="s">
        <v>2917</v>
      </c>
      <c r="M1569">
        <v>209.22</v>
      </c>
      <c r="N1569" t="s">
        <v>2917</v>
      </c>
      <c r="O1569" t="s">
        <v>2208</v>
      </c>
      <c r="P1569" t="s">
        <v>2208</v>
      </c>
      <c r="Q1569" t="s">
        <v>2208</v>
      </c>
      <c r="R1569" t="s">
        <v>2208</v>
      </c>
    </row>
    <row r="1570" spans="1:18">
      <c r="A1570" t="s">
        <v>2237</v>
      </c>
      <c r="B1570" t="s">
        <v>16360</v>
      </c>
      <c r="C1570">
        <v>45810</v>
      </c>
      <c r="D1570" t="s">
        <v>7263</v>
      </c>
      <c r="E1570" t="s">
        <v>16361</v>
      </c>
      <c r="F1570">
        <v>45808</v>
      </c>
      <c r="G1570" t="s">
        <v>2208</v>
      </c>
      <c r="H1570" t="s">
        <v>7834</v>
      </c>
      <c r="I1570" t="s">
        <v>18017</v>
      </c>
      <c r="J1570">
        <v>2</v>
      </c>
      <c r="K1570">
        <v>209.22</v>
      </c>
      <c r="L1570" t="s">
        <v>2917</v>
      </c>
      <c r="M1570">
        <v>209.22</v>
      </c>
      <c r="N1570" t="s">
        <v>2917</v>
      </c>
      <c r="O1570" t="s">
        <v>2208</v>
      </c>
      <c r="P1570" t="s">
        <v>2208</v>
      </c>
      <c r="Q1570" t="s">
        <v>2208</v>
      </c>
      <c r="R1570" t="s">
        <v>2208</v>
      </c>
    </row>
    <row r="1571" spans="1:18">
      <c r="A1571" t="s">
        <v>2237</v>
      </c>
      <c r="B1571" t="s">
        <v>16360</v>
      </c>
      <c r="C1571">
        <v>45810</v>
      </c>
      <c r="D1571" t="s">
        <v>7263</v>
      </c>
      <c r="E1571" t="s">
        <v>16361</v>
      </c>
      <c r="F1571">
        <v>45808</v>
      </c>
      <c r="G1571" t="s">
        <v>2208</v>
      </c>
      <c r="H1571" t="s">
        <v>7834</v>
      </c>
      <c r="I1571" t="s">
        <v>18018</v>
      </c>
      <c r="J1571">
        <v>2</v>
      </c>
      <c r="K1571">
        <v>209.22</v>
      </c>
      <c r="L1571" t="s">
        <v>2917</v>
      </c>
      <c r="M1571">
        <v>209.22</v>
      </c>
      <c r="N1571" t="s">
        <v>2917</v>
      </c>
      <c r="O1571" t="s">
        <v>2208</v>
      </c>
      <c r="P1571" t="s">
        <v>2208</v>
      </c>
      <c r="Q1571" t="s">
        <v>2208</v>
      </c>
      <c r="R1571" t="s">
        <v>2208</v>
      </c>
    </row>
    <row r="1572" spans="1:18">
      <c r="A1572" t="s">
        <v>2237</v>
      </c>
      <c r="B1572" t="s">
        <v>16360</v>
      </c>
      <c r="C1572">
        <v>45810</v>
      </c>
      <c r="D1572" t="s">
        <v>7263</v>
      </c>
      <c r="E1572" t="s">
        <v>16361</v>
      </c>
      <c r="F1572">
        <v>45808</v>
      </c>
      <c r="G1572" t="s">
        <v>2208</v>
      </c>
      <c r="H1572" t="s">
        <v>7834</v>
      </c>
      <c r="I1572" t="s">
        <v>18019</v>
      </c>
      <c r="J1572">
        <v>1</v>
      </c>
      <c r="K1572">
        <v>104.61</v>
      </c>
      <c r="L1572" t="s">
        <v>2917</v>
      </c>
      <c r="M1572">
        <v>104.61</v>
      </c>
      <c r="N1572" t="s">
        <v>2917</v>
      </c>
      <c r="O1572" t="s">
        <v>2208</v>
      </c>
      <c r="P1572" t="s">
        <v>2208</v>
      </c>
      <c r="Q1572" t="s">
        <v>2208</v>
      </c>
      <c r="R1572" t="s">
        <v>2208</v>
      </c>
    </row>
    <row r="1573" spans="1:18">
      <c r="A1573" t="s">
        <v>2237</v>
      </c>
      <c r="B1573" t="s">
        <v>16360</v>
      </c>
      <c r="C1573">
        <v>45810</v>
      </c>
      <c r="D1573" t="s">
        <v>7263</v>
      </c>
      <c r="E1573" t="s">
        <v>16361</v>
      </c>
      <c r="F1573">
        <v>45808</v>
      </c>
      <c r="G1573" t="s">
        <v>2208</v>
      </c>
      <c r="H1573" t="s">
        <v>7834</v>
      </c>
      <c r="I1573" t="s">
        <v>18020</v>
      </c>
      <c r="J1573">
        <v>1</v>
      </c>
      <c r="K1573">
        <v>104.61</v>
      </c>
      <c r="L1573" t="s">
        <v>2917</v>
      </c>
      <c r="M1573">
        <v>104.61</v>
      </c>
      <c r="N1573" t="s">
        <v>2917</v>
      </c>
      <c r="O1573" t="s">
        <v>2208</v>
      </c>
      <c r="P1573" t="s">
        <v>2208</v>
      </c>
      <c r="Q1573" t="s">
        <v>2208</v>
      </c>
      <c r="R1573" t="s">
        <v>2208</v>
      </c>
    </row>
    <row r="1574" spans="1:18">
      <c r="A1574" t="s">
        <v>2237</v>
      </c>
      <c r="B1574" t="s">
        <v>16360</v>
      </c>
      <c r="C1574">
        <v>45810</v>
      </c>
      <c r="D1574" t="s">
        <v>7263</v>
      </c>
      <c r="E1574" t="s">
        <v>16361</v>
      </c>
      <c r="F1574">
        <v>45808</v>
      </c>
      <c r="G1574" t="s">
        <v>2208</v>
      </c>
      <c r="H1574" t="s">
        <v>7834</v>
      </c>
      <c r="I1574" t="s">
        <v>18021</v>
      </c>
      <c r="J1574">
        <v>1</v>
      </c>
      <c r="K1574">
        <v>104.61</v>
      </c>
      <c r="L1574" t="s">
        <v>2917</v>
      </c>
      <c r="M1574">
        <v>104.61</v>
      </c>
      <c r="N1574" t="s">
        <v>2917</v>
      </c>
      <c r="O1574" t="s">
        <v>2208</v>
      </c>
      <c r="P1574" t="s">
        <v>2208</v>
      </c>
      <c r="Q1574" t="s">
        <v>2208</v>
      </c>
      <c r="R1574" t="s">
        <v>2208</v>
      </c>
    </row>
    <row r="1575" spans="1:18">
      <c r="A1575" t="s">
        <v>2237</v>
      </c>
      <c r="B1575" t="s">
        <v>16360</v>
      </c>
      <c r="C1575">
        <v>45810</v>
      </c>
      <c r="D1575" t="s">
        <v>7263</v>
      </c>
      <c r="E1575" t="s">
        <v>16361</v>
      </c>
      <c r="F1575">
        <v>45808</v>
      </c>
      <c r="G1575" t="s">
        <v>2208</v>
      </c>
      <c r="H1575" t="s">
        <v>7834</v>
      </c>
      <c r="I1575" t="s">
        <v>18022</v>
      </c>
      <c r="J1575">
        <v>1</v>
      </c>
      <c r="K1575">
        <v>104.61</v>
      </c>
      <c r="L1575" t="s">
        <v>2917</v>
      </c>
      <c r="M1575">
        <v>104.61</v>
      </c>
      <c r="N1575" t="s">
        <v>2917</v>
      </c>
      <c r="O1575" t="s">
        <v>2208</v>
      </c>
      <c r="P1575" t="s">
        <v>2208</v>
      </c>
      <c r="Q1575" t="s">
        <v>2208</v>
      </c>
      <c r="R1575" t="s">
        <v>2208</v>
      </c>
    </row>
    <row r="1576" spans="1:18">
      <c r="A1576" t="s">
        <v>2237</v>
      </c>
      <c r="B1576" t="s">
        <v>16360</v>
      </c>
      <c r="C1576">
        <v>45810</v>
      </c>
      <c r="D1576" t="s">
        <v>7263</v>
      </c>
      <c r="E1576" t="s">
        <v>16361</v>
      </c>
      <c r="F1576">
        <v>45808</v>
      </c>
      <c r="G1576" t="s">
        <v>2208</v>
      </c>
      <c r="H1576" t="s">
        <v>7834</v>
      </c>
      <c r="I1576" t="s">
        <v>18023</v>
      </c>
      <c r="J1576">
        <v>1</v>
      </c>
      <c r="K1576">
        <v>104.61</v>
      </c>
      <c r="L1576" t="s">
        <v>2917</v>
      </c>
      <c r="M1576">
        <v>104.61</v>
      </c>
      <c r="N1576" t="s">
        <v>2917</v>
      </c>
      <c r="O1576" t="s">
        <v>2208</v>
      </c>
      <c r="P1576" t="s">
        <v>2208</v>
      </c>
      <c r="Q1576" t="s">
        <v>2208</v>
      </c>
      <c r="R1576" t="s">
        <v>2208</v>
      </c>
    </row>
    <row r="1577" spans="1:18">
      <c r="A1577" t="s">
        <v>2237</v>
      </c>
      <c r="B1577" t="s">
        <v>16360</v>
      </c>
      <c r="C1577">
        <v>45810</v>
      </c>
      <c r="D1577" t="s">
        <v>7263</v>
      </c>
      <c r="E1577" t="s">
        <v>16361</v>
      </c>
      <c r="F1577">
        <v>45808</v>
      </c>
      <c r="G1577" t="s">
        <v>2208</v>
      </c>
      <c r="H1577" t="s">
        <v>7834</v>
      </c>
      <c r="I1577" t="s">
        <v>18024</v>
      </c>
      <c r="J1577">
        <v>1</v>
      </c>
      <c r="K1577">
        <v>104.61</v>
      </c>
      <c r="L1577" t="s">
        <v>2917</v>
      </c>
      <c r="M1577">
        <v>104.61</v>
      </c>
      <c r="N1577" t="s">
        <v>2917</v>
      </c>
      <c r="O1577" t="s">
        <v>2208</v>
      </c>
      <c r="P1577" t="s">
        <v>2208</v>
      </c>
      <c r="Q1577" t="s">
        <v>2208</v>
      </c>
      <c r="R1577" t="s">
        <v>2208</v>
      </c>
    </row>
    <row r="1578" spans="1:18">
      <c r="A1578" t="s">
        <v>2237</v>
      </c>
      <c r="B1578" t="s">
        <v>16360</v>
      </c>
      <c r="C1578">
        <v>45810</v>
      </c>
      <c r="D1578" t="s">
        <v>7263</v>
      </c>
      <c r="E1578" t="s">
        <v>16361</v>
      </c>
      <c r="F1578">
        <v>45808</v>
      </c>
      <c r="G1578" t="s">
        <v>2208</v>
      </c>
      <c r="H1578" t="s">
        <v>7834</v>
      </c>
      <c r="I1578" t="s">
        <v>18025</v>
      </c>
      <c r="J1578">
        <v>1</v>
      </c>
      <c r="K1578">
        <v>104.61</v>
      </c>
      <c r="L1578" t="s">
        <v>2917</v>
      </c>
      <c r="M1578">
        <v>104.61</v>
      </c>
      <c r="N1578" t="s">
        <v>2917</v>
      </c>
      <c r="O1578" t="s">
        <v>2208</v>
      </c>
      <c r="P1578" t="s">
        <v>2208</v>
      </c>
      <c r="Q1578" t="s">
        <v>2208</v>
      </c>
      <c r="R1578" t="s">
        <v>2208</v>
      </c>
    </row>
    <row r="1579" spans="1:18">
      <c r="A1579" t="s">
        <v>2237</v>
      </c>
      <c r="B1579" t="s">
        <v>16360</v>
      </c>
      <c r="C1579">
        <v>45810</v>
      </c>
      <c r="D1579" t="s">
        <v>7263</v>
      </c>
      <c r="E1579" t="s">
        <v>16361</v>
      </c>
      <c r="F1579">
        <v>45808</v>
      </c>
      <c r="G1579" t="s">
        <v>2208</v>
      </c>
      <c r="H1579" t="s">
        <v>7834</v>
      </c>
      <c r="I1579" t="s">
        <v>18026</v>
      </c>
      <c r="J1579">
        <v>1</v>
      </c>
      <c r="K1579">
        <v>104.61</v>
      </c>
      <c r="L1579" t="s">
        <v>2917</v>
      </c>
      <c r="M1579">
        <v>104.61</v>
      </c>
      <c r="N1579" t="s">
        <v>2917</v>
      </c>
      <c r="O1579" t="s">
        <v>2208</v>
      </c>
      <c r="P1579" t="s">
        <v>2208</v>
      </c>
      <c r="Q1579" t="s">
        <v>2208</v>
      </c>
      <c r="R1579" t="s">
        <v>2208</v>
      </c>
    </row>
    <row r="1580" spans="1:18">
      <c r="A1580" t="s">
        <v>2237</v>
      </c>
      <c r="B1580" t="s">
        <v>16360</v>
      </c>
      <c r="C1580">
        <v>45810</v>
      </c>
      <c r="D1580" t="s">
        <v>7263</v>
      </c>
      <c r="E1580" t="s">
        <v>16361</v>
      </c>
      <c r="F1580">
        <v>45808</v>
      </c>
      <c r="G1580" t="s">
        <v>2208</v>
      </c>
      <c r="H1580" t="s">
        <v>7834</v>
      </c>
      <c r="I1580" t="s">
        <v>18027</v>
      </c>
      <c r="J1580">
        <v>1</v>
      </c>
      <c r="K1580">
        <v>104.61</v>
      </c>
      <c r="L1580" t="s">
        <v>2917</v>
      </c>
      <c r="M1580">
        <v>104.61</v>
      </c>
      <c r="N1580" t="s">
        <v>2917</v>
      </c>
      <c r="O1580" t="s">
        <v>2208</v>
      </c>
      <c r="P1580" t="s">
        <v>2208</v>
      </c>
      <c r="Q1580" t="s">
        <v>2208</v>
      </c>
      <c r="R1580" t="s">
        <v>2208</v>
      </c>
    </row>
    <row r="1581" spans="1:18">
      <c r="A1581" t="s">
        <v>2237</v>
      </c>
      <c r="B1581" t="s">
        <v>16360</v>
      </c>
      <c r="C1581">
        <v>45810</v>
      </c>
      <c r="D1581" t="s">
        <v>7263</v>
      </c>
      <c r="E1581" t="s">
        <v>16361</v>
      </c>
      <c r="F1581">
        <v>45808</v>
      </c>
      <c r="G1581" t="s">
        <v>2208</v>
      </c>
      <c r="H1581" t="s">
        <v>7834</v>
      </c>
      <c r="I1581" t="s">
        <v>18028</v>
      </c>
      <c r="J1581">
        <v>1</v>
      </c>
      <c r="K1581">
        <v>104.61</v>
      </c>
      <c r="L1581" t="s">
        <v>2917</v>
      </c>
      <c r="M1581">
        <v>104.61</v>
      </c>
      <c r="N1581" t="s">
        <v>2917</v>
      </c>
      <c r="O1581" t="s">
        <v>2208</v>
      </c>
      <c r="P1581" t="s">
        <v>2208</v>
      </c>
      <c r="Q1581" t="s">
        <v>2208</v>
      </c>
      <c r="R1581" t="s">
        <v>2208</v>
      </c>
    </row>
    <row r="1582" spans="1:18">
      <c r="A1582" t="s">
        <v>2237</v>
      </c>
      <c r="B1582" t="s">
        <v>16360</v>
      </c>
      <c r="C1582">
        <v>45810</v>
      </c>
      <c r="D1582" t="s">
        <v>7263</v>
      </c>
      <c r="E1582" t="s">
        <v>16361</v>
      </c>
      <c r="F1582">
        <v>45808</v>
      </c>
      <c r="G1582" t="s">
        <v>2208</v>
      </c>
      <c r="H1582" t="s">
        <v>7834</v>
      </c>
      <c r="I1582" t="s">
        <v>18029</v>
      </c>
      <c r="J1582">
        <v>1</v>
      </c>
      <c r="K1582">
        <v>104.61</v>
      </c>
      <c r="L1582" t="s">
        <v>2917</v>
      </c>
      <c r="M1582">
        <v>104.61</v>
      </c>
      <c r="N1582" t="s">
        <v>2917</v>
      </c>
      <c r="O1582" t="s">
        <v>2208</v>
      </c>
      <c r="P1582" t="s">
        <v>2208</v>
      </c>
      <c r="Q1582" t="s">
        <v>2208</v>
      </c>
      <c r="R1582" t="s">
        <v>2208</v>
      </c>
    </row>
    <row r="1583" spans="1:18">
      <c r="A1583" t="s">
        <v>2237</v>
      </c>
      <c r="B1583" t="s">
        <v>16360</v>
      </c>
      <c r="C1583">
        <v>45810</v>
      </c>
      <c r="D1583" t="s">
        <v>7263</v>
      </c>
      <c r="E1583" t="s">
        <v>16361</v>
      </c>
      <c r="F1583">
        <v>45808</v>
      </c>
      <c r="G1583" t="s">
        <v>2208</v>
      </c>
      <c r="H1583" t="s">
        <v>7834</v>
      </c>
      <c r="I1583" t="s">
        <v>18030</v>
      </c>
      <c r="J1583">
        <v>1</v>
      </c>
      <c r="K1583">
        <v>104.61</v>
      </c>
      <c r="L1583" t="s">
        <v>2917</v>
      </c>
      <c r="M1583">
        <v>104.61</v>
      </c>
      <c r="N1583" t="s">
        <v>2917</v>
      </c>
      <c r="O1583" t="s">
        <v>2208</v>
      </c>
      <c r="P1583" t="s">
        <v>2208</v>
      </c>
      <c r="Q1583" t="s">
        <v>2208</v>
      </c>
      <c r="R1583" t="s">
        <v>2208</v>
      </c>
    </row>
    <row r="1584" spans="1:18">
      <c r="A1584" t="s">
        <v>2237</v>
      </c>
      <c r="B1584" t="s">
        <v>16360</v>
      </c>
      <c r="C1584">
        <v>45810</v>
      </c>
      <c r="D1584" t="s">
        <v>7263</v>
      </c>
      <c r="E1584" t="s">
        <v>16361</v>
      </c>
      <c r="F1584">
        <v>45808</v>
      </c>
      <c r="G1584" t="s">
        <v>2208</v>
      </c>
      <c r="H1584" t="s">
        <v>7834</v>
      </c>
      <c r="I1584" t="s">
        <v>18031</v>
      </c>
      <c r="J1584">
        <v>1.5</v>
      </c>
      <c r="K1584">
        <v>156.91999999999999</v>
      </c>
      <c r="L1584" t="s">
        <v>2917</v>
      </c>
      <c r="M1584">
        <v>156.91999999999999</v>
      </c>
      <c r="N1584" t="s">
        <v>2917</v>
      </c>
      <c r="O1584" t="s">
        <v>2208</v>
      </c>
      <c r="P1584" t="s">
        <v>2208</v>
      </c>
      <c r="Q1584" t="s">
        <v>2208</v>
      </c>
      <c r="R1584" t="s">
        <v>2208</v>
      </c>
    </row>
    <row r="1585" spans="1:18">
      <c r="A1585" t="s">
        <v>2237</v>
      </c>
      <c r="B1585" t="s">
        <v>16360</v>
      </c>
      <c r="C1585">
        <v>45810</v>
      </c>
      <c r="D1585" t="s">
        <v>7263</v>
      </c>
      <c r="E1585" t="s">
        <v>16361</v>
      </c>
      <c r="F1585">
        <v>45808</v>
      </c>
      <c r="G1585" t="s">
        <v>2208</v>
      </c>
      <c r="H1585" t="s">
        <v>7834</v>
      </c>
      <c r="I1585" t="s">
        <v>18032</v>
      </c>
      <c r="J1585">
        <v>1.5</v>
      </c>
      <c r="K1585">
        <v>156.91999999999999</v>
      </c>
      <c r="L1585" t="s">
        <v>2917</v>
      </c>
      <c r="M1585">
        <v>156.91999999999999</v>
      </c>
      <c r="N1585" t="s">
        <v>2917</v>
      </c>
      <c r="O1585" t="s">
        <v>2208</v>
      </c>
      <c r="P1585" t="s">
        <v>2208</v>
      </c>
      <c r="Q1585" t="s">
        <v>2208</v>
      </c>
      <c r="R1585" t="s">
        <v>2208</v>
      </c>
    </row>
    <row r="1586" spans="1:18">
      <c r="A1586" t="s">
        <v>2237</v>
      </c>
      <c r="B1586" t="s">
        <v>16360</v>
      </c>
      <c r="C1586">
        <v>45810</v>
      </c>
      <c r="D1586" t="s">
        <v>7263</v>
      </c>
      <c r="E1586" t="s">
        <v>16361</v>
      </c>
      <c r="F1586">
        <v>45808</v>
      </c>
      <c r="G1586" t="s">
        <v>2208</v>
      </c>
      <c r="H1586" t="s">
        <v>7834</v>
      </c>
      <c r="I1586" t="s">
        <v>18033</v>
      </c>
      <c r="J1586">
        <v>0.3</v>
      </c>
      <c r="K1586">
        <v>31.38</v>
      </c>
      <c r="L1586" t="s">
        <v>2917</v>
      </c>
      <c r="M1586">
        <v>31.38</v>
      </c>
      <c r="N1586" t="s">
        <v>2917</v>
      </c>
      <c r="O1586" t="s">
        <v>2208</v>
      </c>
      <c r="P1586" t="s">
        <v>2208</v>
      </c>
      <c r="Q1586" t="s">
        <v>2208</v>
      </c>
      <c r="R1586" t="s">
        <v>2208</v>
      </c>
    </row>
    <row r="1587" spans="1:18">
      <c r="A1587" t="s">
        <v>2237</v>
      </c>
      <c r="B1587" t="s">
        <v>16360</v>
      </c>
      <c r="C1587">
        <v>45810</v>
      </c>
      <c r="D1587" t="s">
        <v>7263</v>
      </c>
      <c r="E1587" t="s">
        <v>16361</v>
      </c>
      <c r="F1587">
        <v>45808</v>
      </c>
      <c r="G1587" t="s">
        <v>2208</v>
      </c>
      <c r="H1587" t="s">
        <v>7834</v>
      </c>
      <c r="I1587" t="s">
        <v>18034</v>
      </c>
      <c r="J1587">
        <v>1.5</v>
      </c>
      <c r="K1587">
        <v>156.91999999999999</v>
      </c>
      <c r="L1587" t="s">
        <v>2917</v>
      </c>
      <c r="M1587">
        <v>156.91999999999999</v>
      </c>
      <c r="N1587" t="s">
        <v>2917</v>
      </c>
      <c r="O1587" t="s">
        <v>2208</v>
      </c>
      <c r="P1587" t="s">
        <v>2208</v>
      </c>
      <c r="Q1587" t="s">
        <v>2208</v>
      </c>
      <c r="R1587" t="s">
        <v>2208</v>
      </c>
    </row>
    <row r="1588" spans="1:18">
      <c r="A1588" t="s">
        <v>2237</v>
      </c>
      <c r="B1588" t="s">
        <v>16360</v>
      </c>
      <c r="C1588">
        <v>45810</v>
      </c>
      <c r="D1588" t="s">
        <v>7263</v>
      </c>
      <c r="E1588" t="s">
        <v>16361</v>
      </c>
      <c r="F1588">
        <v>45808</v>
      </c>
      <c r="G1588" t="s">
        <v>2208</v>
      </c>
      <c r="H1588" t="s">
        <v>7834</v>
      </c>
      <c r="I1588" t="s">
        <v>18035</v>
      </c>
      <c r="J1588">
        <v>1</v>
      </c>
      <c r="K1588">
        <v>104.61</v>
      </c>
      <c r="L1588" t="s">
        <v>2917</v>
      </c>
      <c r="M1588">
        <v>104.61</v>
      </c>
      <c r="N1588" t="s">
        <v>2917</v>
      </c>
      <c r="O1588" t="s">
        <v>2208</v>
      </c>
      <c r="P1588" t="s">
        <v>2208</v>
      </c>
      <c r="Q1588" t="s">
        <v>2208</v>
      </c>
      <c r="R1588" t="s">
        <v>2208</v>
      </c>
    </row>
    <row r="1589" spans="1:18">
      <c r="A1589" t="s">
        <v>2237</v>
      </c>
      <c r="B1589" t="s">
        <v>16360</v>
      </c>
      <c r="C1589">
        <v>45810</v>
      </c>
      <c r="D1589" t="s">
        <v>7263</v>
      </c>
      <c r="E1589" t="s">
        <v>16361</v>
      </c>
      <c r="F1589">
        <v>45808</v>
      </c>
      <c r="G1589" t="s">
        <v>2208</v>
      </c>
      <c r="H1589" t="s">
        <v>7834</v>
      </c>
      <c r="I1589" t="s">
        <v>18036</v>
      </c>
      <c r="J1589">
        <v>1</v>
      </c>
      <c r="K1589">
        <v>104.61</v>
      </c>
      <c r="L1589" t="s">
        <v>2917</v>
      </c>
      <c r="M1589">
        <v>104.61</v>
      </c>
      <c r="N1589" t="s">
        <v>2917</v>
      </c>
      <c r="O1589" t="s">
        <v>2208</v>
      </c>
      <c r="P1589" t="s">
        <v>2208</v>
      </c>
      <c r="Q1589" t="s">
        <v>2208</v>
      </c>
      <c r="R1589" t="s">
        <v>2208</v>
      </c>
    </row>
    <row r="1590" spans="1:18">
      <c r="A1590" t="s">
        <v>2237</v>
      </c>
      <c r="B1590" t="s">
        <v>16360</v>
      </c>
      <c r="C1590">
        <v>45810</v>
      </c>
      <c r="D1590" t="s">
        <v>7263</v>
      </c>
      <c r="E1590" t="s">
        <v>16361</v>
      </c>
      <c r="F1590">
        <v>45808</v>
      </c>
      <c r="G1590" t="s">
        <v>2208</v>
      </c>
      <c r="H1590" t="s">
        <v>7834</v>
      </c>
      <c r="I1590" t="s">
        <v>18037</v>
      </c>
      <c r="J1590">
        <v>1</v>
      </c>
      <c r="K1590">
        <v>104.61</v>
      </c>
      <c r="L1590" t="s">
        <v>2917</v>
      </c>
      <c r="M1590">
        <v>104.61</v>
      </c>
      <c r="N1590" t="s">
        <v>2917</v>
      </c>
      <c r="O1590" t="s">
        <v>2208</v>
      </c>
      <c r="P1590" t="s">
        <v>2208</v>
      </c>
      <c r="Q1590" t="s">
        <v>2208</v>
      </c>
      <c r="R1590" t="s">
        <v>2208</v>
      </c>
    </row>
    <row r="1591" spans="1:18">
      <c r="A1591" t="s">
        <v>2237</v>
      </c>
      <c r="B1591" t="s">
        <v>16360</v>
      </c>
      <c r="C1591">
        <v>45810</v>
      </c>
      <c r="D1591" t="s">
        <v>7263</v>
      </c>
      <c r="E1591" t="s">
        <v>16361</v>
      </c>
      <c r="F1591">
        <v>45808</v>
      </c>
      <c r="G1591" t="s">
        <v>2208</v>
      </c>
      <c r="H1591" t="s">
        <v>7834</v>
      </c>
      <c r="I1591" t="s">
        <v>18038</v>
      </c>
      <c r="J1591">
        <v>1</v>
      </c>
      <c r="K1591">
        <v>104.61</v>
      </c>
      <c r="L1591" t="s">
        <v>2917</v>
      </c>
      <c r="M1591">
        <v>104.61</v>
      </c>
      <c r="N1591" t="s">
        <v>2917</v>
      </c>
      <c r="O1591" t="s">
        <v>2208</v>
      </c>
      <c r="P1591" t="s">
        <v>2208</v>
      </c>
      <c r="Q1591" t="s">
        <v>2208</v>
      </c>
      <c r="R1591" t="s">
        <v>2208</v>
      </c>
    </row>
    <row r="1592" spans="1:18">
      <c r="A1592" t="s">
        <v>2237</v>
      </c>
      <c r="B1592" t="s">
        <v>16360</v>
      </c>
      <c r="C1592">
        <v>45810</v>
      </c>
      <c r="D1592" t="s">
        <v>7263</v>
      </c>
      <c r="E1592" t="s">
        <v>16361</v>
      </c>
      <c r="F1592">
        <v>45808</v>
      </c>
      <c r="G1592" t="s">
        <v>2208</v>
      </c>
      <c r="H1592" t="s">
        <v>7834</v>
      </c>
      <c r="I1592" t="s">
        <v>18039</v>
      </c>
      <c r="J1592">
        <v>1</v>
      </c>
      <c r="K1592">
        <v>104.61</v>
      </c>
      <c r="L1592" t="s">
        <v>2917</v>
      </c>
      <c r="M1592">
        <v>104.61</v>
      </c>
      <c r="N1592" t="s">
        <v>2917</v>
      </c>
      <c r="O1592" t="s">
        <v>2208</v>
      </c>
      <c r="P1592" t="s">
        <v>2208</v>
      </c>
      <c r="Q1592" t="s">
        <v>2208</v>
      </c>
      <c r="R1592" t="s">
        <v>2208</v>
      </c>
    </row>
    <row r="1593" spans="1:18">
      <c r="A1593" t="s">
        <v>2237</v>
      </c>
      <c r="B1593" t="s">
        <v>16360</v>
      </c>
      <c r="C1593">
        <v>45810</v>
      </c>
      <c r="D1593" t="s">
        <v>7263</v>
      </c>
      <c r="E1593" t="s">
        <v>16361</v>
      </c>
      <c r="F1593">
        <v>45808</v>
      </c>
      <c r="G1593" t="s">
        <v>2208</v>
      </c>
      <c r="H1593" t="s">
        <v>7834</v>
      </c>
      <c r="I1593" t="s">
        <v>18040</v>
      </c>
      <c r="J1593">
        <v>1</v>
      </c>
      <c r="K1593">
        <v>104.61</v>
      </c>
      <c r="L1593" t="s">
        <v>2917</v>
      </c>
      <c r="M1593">
        <v>104.61</v>
      </c>
      <c r="N1593" t="s">
        <v>2917</v>
      </c>
      <c r="O1593" t="s">
        <v>2208</v>
      </c>
      <c r="P1593" t="s">
        <v>2208</v>
      </c>
      <c r="Q1593" t="s">
        <v>2208</v>
      </c>
      <c r="R1593" t="s">
        <v>2208</v>
      </c>
    </row>
    <row r="1594" spans="1:18">
      <c r="A1594" t="s">
        <v>2237</v>
      </c>
      <c r="B1594" t="s">
        <v>16360</v>
      </c>
      <c r="C1594">
        <v>45810</v>
      </c>
      <c r="D1594" t="s">
        <v>7263</v>
      </c>
      <c r="E1594" t="s">
        <v>16361</v>
      </c>
      <c r="F1594">
        <v>45808</v>
      </c>
      <c r="G1594" t="s">
        <v>2208</v>
      </c>
      <c r="H1594" t="s">
        <v>7834</v>
      </c>
      <c r="I1594" t="s">
        <v>18041</v>
      </c>
      <c r="J1594">
        <v>1</v>
      </c>
      <c r="K1594">
        <v>104.61</v>
      </c>
      <c r="L1594" t="s">
        <v>2917</v>
      </c>
      <c r="M1594">
        <v>104.61</v>
      </c>
      <c r="N1594" t="s">
        <v>2917</v>
      </c>
      <c r="O1594" t="s">
        <v>2208</v>
      </c>
      <c r="P1594" t="s">
        <v>2208</v>
      </c>
      <c r="Q1594" t="s">
        <v>2208</v>
      </c>
      <c r="R1594" t="s">
        <v>2208</v>
      </c>
    </row>
    <row r="1595" spans="1:18">
      <c r="A1595" t="s">
        <v>2237</v>
      </c>
      <c r="B1595" t="s">
        <v>16360</v>
      </c>
      <c r="C1595">
        <v>45810</v>
      </c>
      <c r="D1595" t="s">
        <v>7263</v>
      </c>
      <c r="E1595" t="s">
        <v>16361</v>
      </c>
      <c r="F1595">
        <v>45808</v>
      </c>
      <c r="G1595" t="s">
        <v>2208</v>
      </c>
      <c r="H1595" t="s">
        <v>7834</v>
      </c>
      <c r="I1595" t="s">
        <v>18042</v>
      </c>
      <c r="J1595">
        <v>1</v>
      </c>
      <c r="K1595">
        <v>104.61</v>
      </c>
      <c r="L1595" t="s">
        <v>2917</v>
      </c>
      <c r="M1595">
        <v>104.61</v>
      </c>
      <c r="N1595" t="s">
        <v>2917</v>
      </c>
      <c r="O1595" t="s">
        <v>2208</v>
      </c>
      <c r="P1595" t="s">
        <v>2208</v>
      </c>
      <c r="Q1595" t="s">
        <v>2208</v>
      </c>
      <c r="R1595" t="s">
        <v>2208</v>
      </c>
    </row>
    <row r="1596" spans="1:18">
      <c r="A1596" t="s">
        <v>2237</v>
      </c>
      <c r="B1596" t="s">
        <v>16360</v>
      </c>
      <c r="C1596">
        <v>45810</v>
      </c>
      <c r="D1596" t="s">
        <v>7263</v>
      </c>
      <c r="E1596" t="s">
        <v>16361</v>
      </c>
      <c r="F1596">
        <v>45808</v>
      </c>
      <c r="G1596" t="s">
        <v>2208</v>
      </c>
      <c r="H1596" t="s">
        <v>7834</v>
      </c>
      <c r="I1596" t="s">
        <v>18043</v>
      </c>
      <c r="J1596">
        <v>1</v>
      </c>
      <c r="K1596">
        <v>104.61</v>
      </c>
      <c r="L1596" t="s">
        <v>2917</v>
      </c>
      <c r="M1596">
        <v>104.61</v>
      </c>
      <c r="N1596" t="s">
        <v>2917</v>
      </c>
      <c r="O1596" t="s">
        <v>2208</v>
      </c>
      <c r="P1596" t="s">
        <v>2208</v>
      </c>
      <c r="Q1596" t="s">
        <v>2208</v>
      </c>
      <c r="R1596" t="s">
        <v>2208</v>
      </c>
    </row>
    <row r="1597" spans="1:18">
      <c r="A1597" t="s">
        <v>2237</v>
      </c>
      <c r="B1597" t="s">
        <v>16360</v>
      </c>
      <c r="C1597">
        <v>45810</v>
      </c>
      <c r="D1597" t="s">
        <v>7263</v>
      </c>
      <c r="E1597" t="s">
        <v>16361</v>
      </c>
      <c r="F1597">
        <v>45808</v>
      </c>
      <c r="G1597" t="s">
        <v>2208</v>
      </c>
      <c r="H1597" t="s">
        <v>7834</v>
      </c>
      <c r="I1597" t="s">
        <v>18044</v>
      </c>
      <c r="J1597">
        <v>1</v>
      </c>
      <c r="K1597">
        <v>104.61</v>
      </c>
      <c r="L1597" t="s">
        <v>2917</v>
      </c>
      <c r="M1597">
        <v>104.61</v>
      </c>
      <c r="N1597" t="s">
        <v>2917</v>
      </c>
      <c r="O1597" t="s">
        <v>2208</v>
      </c>
      <c r="P1597" t="s">
        <v>2208</v>
      </c>
      <c r="Q1597" t="s">
        <v>2208</v>
      </c>
      <c r="R1597" t="s">
        <v>2208</v>
      </c>
    </row>
    <row r="1598" spans="1:18">
      <c r="A1598" t="s">
        <v>2237</v>
      </c>
      <c r="B1598" t="s">
        <v>16360</v>
      </c>
      <c r="C1598">
        <v>45810</v>
      </c>
      <c r="D1598" t="s">
        <v>7263</v>
      </c>
      <c r="E1598" t="s">
        <v>16361</v>
      </c>
      <c r="F1598">
        <v>45808</v>
      </c>
      <c r="G1598" t="s">
        <v>2208</v>
      </c>
      <c r="H1598" t="s">
        <v>7834</v>
      </c>
      <c r="I1598" t="s">
        <v>18045</v>
      </c>
      <c r="J1598">
        <v>1</v>
      </c>
      <c r="K1598">
        <v>104.61</v>
      </c>
      <c r="L1598" t="s">
        <v>2917</v>
      </c>
      <c r="M1598">
        <v>104.61</v>
      </c>
      <c r="N1598" t="s">
        <v>2917</v>
      </c>
      <c r="O1598" t="s">
        <v>2208</v>
      </c>
      <c r="P1598" t="s">
        <v>2208</v>
      </c>
      <c r="Q1598" t="s">
        <v>2208</v>
      </c>
      <c r="R1598" t="s">
        <v>2208</v>
      </c>
    </row>
    <row r="1599" spans="1:18">
      <c r="A1599" t="s">
        <v>2237</v>
      </c>
      <c r="B1599" t="s">
        <v>16360</v>
      </c>
      <c r="C1599">
        <v>45810</v>
      </c>
      <c r="D1599" t="s">
        <v>7263</v>
      </c>
      <c r="E1599" t="s">
        <v>16361</v>
      </c>
      <c r="F1599">
        <v>45808</v>
      </c>
      <c r="G1599" t="s">
        <v>2208</v>
      </c>
      <c r="H1599" t="s">
        <v>7834</v>
      </c>
      <c r="I1599" t="s">
        <v>18046</v>
      </c>
      <c r="J1599">
        <v>1</v>
      </c>
      <c r="K1599">
        <v>104.61</v>
      </c>
      <c r="L1599" t="s">
        <v>2917</v>
      </c>
      <c r="M1599">
        <v>104.61</v>
      </c>
      <c r="N1599" t="s">
        <v>2917</v>
      </c>
      <c r="O1599" t="s">
        <v>2208</v>
      </c>
      <c r="P1599" t="s">
        <v>2208</v>
      </c>
      <c r="Q1599" t="s">
        <v>2208</v>
      </c>
      <c r="R1599" t="s">
        <v>2208</v>
      </c>
    </row>
    <row r="1600" spans="1:18">
      <c r="A1600" t="s">
        <v>2237</v>
      </c>
      <c r="B1600" t="s">
        <v>16360</v>
      </c>
      <c r="C1600">
        <v>45810</v>
      </c>
      <c r="D1600" t="s">
        <v>7263</v>
      </c>
      <c r="E1600" t="s">
        <v>16361</v>
      </c>
      <c r="F1600">
        <v>45808</v>
      </c>
      <c r="G1600" t="s">
        <v>2208</v>
      </c>
      <c r="H1600" t="s">
        <v>7834</v>
      </c>
      <c r="I1600" t="s">
        <v>18047</v>
      </c>
      <c r="J1600">
        <v>1</v>
      </c>
      <c r="K1600">
        <v>104.61</v>
      </c>
      <c r="L1600" t="s">
        <v>2917</v>
      </c>
      <c r="M1600">
        <v>104.61</v>
      </c>
      <c r="N1600" t="s">
        <v>2917</v>
      </c>
      <c r="O1600" t="s">
        <v>2208</v>
      </c>
      <c r="P1600" t="s">
        <v>2208</v>
      </c>
      <c r="Q1600" t="s">
        <v>2208</v>
      </c>
      <c r="R1600" t="s">
        <v>2208</v>
      </c>
    </row>
    <row r="1601" spans="1:18">
      <c r="A1601" t="s">
        <v>2237</v>
      </c>
      <c r="B1601" t="s">
        <v>16360</v>
      </c>
      <c r="C1601">
        <v>45810</v>
      </c>
      <c r="D1601" t="s">
        <v>7263</v>
      </c>
      <c r="E1601" t="s">
        <v>16361</v>
      </c>
      <c r="F1601">
        <v>45808</v>
      </c>
      <c r="G1601" t="s">
        <v>2208</v>
      </c>
      <c r="H1601" t="s">
        <v>7834</v>
      </c>
      <c r="I1601" t="s">
        <v>18048</v>
      </c>
      <c r="J1601">
        <v>1</v>
      </c>
      <c r="K1601">
        <v>104.61</v>
      </c>
      <c r="L1601" t="s">
        <v>2917</v>
      </c>
      <c r="M1601">
        <v>104.61</v>
      </c>
      <c r="N1601" t="s">
        <v>2917</v>
      </c>
      <c r="O1601" t="s">
        <v>2208</v>
      </c>
      <c r="P1601" t="s">
        <v>2208</v>
      </c>
      <c r="Q1601" t="s">
        <v>2208</v>
      </c>
      <c r="R1601" t="s">
        <v>2208</v>
      </c>
    </row>
    <row r="1602" spans="1:18">
      <c r="A1602" t="s">
        <v>2237</v>
      </c>
      <c r="B1602" t="s">
        <v>16360</v>
      </c>
      <c r="C1602">
        <v>45810</v>
      </c>
      <c r="D1602" t="s">
        <v>7263</v>
      </c>
      <c r="E1602" t="s">
        <v>16361</v>
      </c>
      <c r="F1602">
        <v>45808</v>
      </c>
      <c r="G1602" t="s">
        <v>2208</v>
      </c>
      <c r="H1602" t="s">
        <v>7834</v>
      </c>
      <c r="I1602" t="s">
        <v>18049</v>
      </c>
      <c r="J1602">
        <v>1</v>
      </c>
      <c r="K1602">
        <v>104.61</v>
      </c>
      <c r="L1602" t="s">
        <v>2917</v>
      </c>
      <c r="M1602">
        <v>104.61</v>
      </c>
      <c r="N1602" t="s">
        <v>2917</v>
      </c>
      <c r="O1602" t="s">
        <v>2208</v>
      </c>
      <c r="P1602" t="s">
        <v>2208</v>
      </c>
      <c r="Q1602" t="s">
        <v>2208</v>
      </c>
      <c r="R1602" t="s">
        <v>2208</v>
      </c>
    </row>
    <row r="1603" spans="1:18">
      <c r="A1603" t="s">
        <v>2237</v>
      </c>
      <c r="B1603" t="s">
        <v>16360</v>
      </c>
      <c r="C1603">
        <v>45810</v>
      </c>
      <c r="D1603" t="s">
        <v>7263</v>
      </c>
      <c r="E1603" t="s">
        <v>16361</v>
      </c>
      <c r="F1603">
        <v>45808</v>
      </c>
      <c r="G1603" t="s">
        <v>2208</v>
      </c>
      <c r="H1603" t="s">
        <v>7834</v>
      </c>
      <c r="I1603" t="s">
        <v>18050</v>
      </c>
      <c r="J1603">
        <v>2</v>
      </c>
      <c r="K1603">
        <v>209.22</v>
      </c>
      <c r="L1603" t="s">
        <v>2917</v>
      </c>
      <c r="M1603">
        <v>209.22</v>
      </c>
      <c r="N1603" t="s">
        <v>2917</v>
      </c>
      <c r="O1603" t="s">
        <v>2208</v>
      </c>
      <c r="P1603" t="s">
        <v>2208</v>
      </c>
      <c r="Q1603" t="s">
        <v>2208</v>
      </c>
      <c r="R1603" t="s">
        <v>2208</v>
      </c>
    </row>
    <row r="1604" spans="1:18">
      <c r="A1604" t="s">
        <v>2237</v>
      </c>
      <c r="B1604" t="s">
        <v>16360</v>
      </c>
      <c r="C1604">
        <v>45810</v>
      </c>
      <c r="D1604" t="s">
        <v>7263</v>
      </c>
      <c r="E1604" t="s">
        <v>16361</v>
      </c>
      <c r="F1604">
        <v>45808</v>
      </c>
      <c r="G1604" t="s">
        <v>2208</v>
      </c>
      <c r="H1604" t="s">
        <v>7834</v>
      </c>
      <c r="I1604" t="s">
        <v>18051</v>
      </c>
      <c r="J1604">
        <v>1</v>
      </c>
      <c r="K1604">
        <v>104.61</v>
      </c>
      <c r="L1604" t="s">
        <v>2917</v>
      </c>
      <c r="M1604">
        <v>104.61</v>
      </c>
      <c r="N1604" t="s">
        <v>2917</v>
      </c>
      <c r="O1604" t="s">
        <v>2208</v>
      </c>
      <c r="P1604" t="s">
        <v>2208</v>
      </c>
      <c r="Q1604" t="s">
        <v>2208</v>
      </c>
      <c r="R1604" t="s">
        <v>2208</v>
      </c>
    </row>
    <row r="1605" spans="1:18">
      <c r="A1605" t="s">
        <v>2237</v>
      </c>
      <c r="B1605" t="s">
        <v>16360</v>
      </c>
      <c r="C1605">
        <v>45810</v>
      </c>
      <c r="D1605" t="s">
        <v>7263</v>
      </c>
      <c r="E1605" t="s">
        <v>16361</v>
      </c>
      <c r="F1605">
        <v>45808</v>
      </c>
      <c r="G1605" t="s">
        <v>2208</v>
      </c>
      <c r="H1605" t="s">
        <v>7834</v>
      </c>
      <c r="I1605" t="s">
        <v>18052</v>
      </c>
      <c r="J1605">
        <v>1</v>
      </c>
      <c r="K1605">
        <v>104.61</v>
      </c>
      <c r="L1605" t="s">
        <v>2917</v>
      </c>
      <c r="M1605">
        <v>104.61</v>
      </c>
      <c r="N1605" t="s">
        <v>2917</v>
      </c>
      <c r="O1605" t="s">
        <v>2208</v>
      </c>
      <c r="P1605" t="s">
        <v>2208</v>
      </c>
      <c r="Q1605" t="s">
        <v>2208</v>
      </c>
      <c r="R1605" t="s">
        <v>2208</v>
      </c>
    </row>
    <row r="1606" spans="1:18">
      <c r="A1606" t="s">
        <v>2237</v>
      </c>
      <c r="B1606" t="s">
        <v>16360</v>
      </c>
      <c r="C1606">
        <v>45810</v>
      </c>
      <c r="D1606" t="s">
        <v>7263</v>
      </c>
      <c r="E1606" t="s">
        <v>16361</v>
      </c>
      <c r="F1606">
        <v>45808</v>
      </c>
      <c r="G1606" t="s">
        <v>2208</v>
      </c>
      <c r="H1606" t="s">
        <v>7834</v>
      </c>
      <c r="I1606" t="s">
        <v>18053</v>
      </c>
      <c r="J1606">
        <v>1.4</v>
      </c>
      <c r="K1606">
        <v>146.44999999999999</v>
      </c>
      <c r="L1606" t="s">
        <v>2917</v>
      </c>
      <c r="M1606">
        <v>146.44999999999999</v>
      </c>
      <c r="N1606" t="s">
        <v>2917</v>
      </c>
      <c r="O1606" t="s">
        <v>2208</v>
      </c>
      <c r="P1606" t="s">
        <v>2208</v>
      </c>
      <c r="Q1606" t="s">
        <v>2208</v>
      </c>
      <c r="R1606" t="s">
        <v>2208</v>
      </c>
    </row>
    <row r="1607" spans="1:18">
      <c r="A1607" t="s">
        <v>2237</v>
      </c>
      <c r="B1607" t="s">
        <v>16360</v>
      </c>
      <c r="C1607">
        <v>45810</v>
      </c>
      <c r="D1607" t="s">
        <v>7263</v>
      </c>
      <c r="E1607" t="s">
        <v>16361</v>
      </c>
      <c r="F1607">
        <v>45808</v>
      </c>
      <c r="G1607" t="s">
        <v>2208</v>
      </c>
      <c r="H1607" t="s">
        <v>7834</v>
      </c>
      <c r="I1607" t="s">
        <v>18054</v>
      </c>
      <c r="J1607">
        <v>1</v>
      </c>
      <c r="K1607">
        <v>104.61</v>
      </c>
      <c r="L1607" t="s">
        <v>2917</v>
      </c>
      <c r="M1607">
        <v>104.61</v>
      </c>
      <c r="N1607" t="s">
        <v>2917</v>
      </c>
      <c r="O1607" t="s">
        <v>2208</v>
      </c>
      <c r="P1607" t="s">
        <v>2208</v>
      </c>
      <c r="Q1607" t="s">
        <v>2208</v>
      </c>
      <c r="R1607" t="s">
        <v>2208</v>
      </c>
    </row>
    <row r="1608" spans="1:18">
      <c r="A1608" t="s">
        <v>2237</v>
      </c>
      <c r="B1608" t="s">
        <v>16360</v>
      </c>
      <c r="C1608">
        <v>45810</v>
      </c>
      <c r="D1608" t="s">
        <v>7263</v>
      </c>
      <c r="E1608" t="s">
        <v>16361</v>
      </c>
      <c r="F1608">
        <v>45808</v>
      </c>
      <c r="G1608" t="s">
        <v>2208</v>
      </c>
      <c r="H1608" t="s">
        <v>7834</v>
      </c>
      <c r="I1608" t="s">
        <v>18055</v>
      </c>
      <c r="J1608">
        <v>1</v>
      </c>
      <c r="K1608">
        <v>104.61</v>
      </c>
      <c r="L1608" t="s">
        <v>2917</v>
      </c>
      <c r="M1608">
        <v>104.61</v>
      </c>
      <c r="N1608" t="s">
        <v>2917</v>
      </c>
      <c r="O1608" t="s">
        <v>2208</v>
      </c>
      <c r="P1608" t="s">
        <v>2208</v>
      </c>
      <c r="Q1608" t="s">
        <v>2208</v>
      </c>
      <c r="R1608" t="s">
        <v>2208</v>
      </c>
    </row>
    <row r="1609" spans="1:18">
      <c r="A1609" t="s">
        <v>2237</v>
      </c>
      <c r="B1609" t="s">
        <v>16360</v>
      </c>
      <c r="C1609">
        <v>45810</v>
      </c>
      <c r="D1609" t="s">
        <v>7263</v>
      </c>
      <c r="E1609" t="s">
        <v>16361</v>
      </c>
      <c r="F1609">
        <v>45808</v>
      </c>
      <c r="G1609" t="s">
        <v>2208</v>
      </c>
      <c r="H1609" t="s">
        <v>7834</v>
      </c>
      <c r="I1609" t="s">
        <v>18056</v>
      </c>
      <c r="J1609">
        <v>1</v>
      </c>
      <c r="K1609">
        <v>104.61</v>
      </c>
      <c r="L1609" t="s">
        <v>2917</v>
      </c>
      <c r="M1609">
        <v>104.61</v>
      </c>
      <c r="N1609" t="s">
        <v>2917</v>
      </c>
      <c r="O1609" t="s">
        <v>2208</v>
      </c>
      <c r="P1609" t="s">
        <v>2208</v>
      </c>
      <c r="Q1609" t="s">
        <v>2208</v>
      </c>
      <c r="R1609" t="s">
        <v>2208</v>
      </c>
    </row>
    <row r="1610" spans="1:18">
      <c r="A1610" t="s">
        <v>2237</v>
      </c>
      <c r="B1610" t="s">
        <v>16360</v>
      </c>
      <c r="C1610">
        <v>45810</v>
      </c>
      <c r="D1610" t="s">
        <v>7263</v>
      </c>
      <c r="E1610" t="s">
        <v>16361</v>
      </c>
      <c r="F1610">
        <v>45808</v>
      </c>
      <c r="G1610" t="s">
        <v>2208</v>
      </c>
      <c r="H1610" t="s">
        <v>7834</v>
      </c>
      <c r="I1610" t="s">
        <v>18057</v>
      </c>
      <c r="J1610">
        <v>1</v>
      </c>
      <c r="K1610">
        <v>104.61</v>
      </c>
      <c r="L1610" t="s">
        <v>2917</v>
      </c>
      <c r="M1610">
        <v>104.61</v>
      </c>
      <c r="N1610" t="s">
        <v>2917</v>
      </c>
      <c r="O1610" t="s">
        <v>2208</v>
      </c>
      <c r="P1610" t="s">
        <v>2208</v>
      </c>
      <c r="Q1610" t="s">
        <v>2208</v>
      </c>
      <c r="R1610" t="s">
        <v>2208</v>
      </c>
    </row>
    <row r="1611" spans="1:18">
      <c r="A1611" t="s">
        <v>2237</v>
      </c>
      <c r="B1611" t="s">
        <v>16360</v>
      </c>
      <c r="C1611">
        <v>45810</v>
      </c>
      <c r="D1611" t="s">
        <v>7263</v>
      </c>
      <c r="E1611" t="s">
        <v>16361</v>
      </c>
      <c r="F1611">
        <v>45808</v>
      </c>
      <c r="G1611" t="s">
        <v>2208</v>
      </c>
      <c r="H1611" t="s">
        <v>7834</v>
      </c>
      <c r="I1611" t="s">
        <v>18058</v>
      </c>
      <c r="J1611">
        <v>1</v>
      </c>
      <c r="K1611">
        <v>104.61</v>
      </c>
      <c r="L1611" t="s">
        <v>2917</v>
      </c>
      <c r="M1611">
        <v>104.61</v>
      </c>
      <c r="N1611" t="s">
        <v>2917</v>
      </c>
      <c r="O1611" t="s">
        <v>2208</v>
      </c>
      <c r="P1611" t="s">
        <v>2208</v>
      </c>
      <c r="Q1611" t="s">
        <v>2208</v>
      </c>
      <c r="R1611" t="s">
        <v>2208</v>
      </c>
    </row>
    <row r="1612" spans="1:18">
      <c r="A1612" t="s">
        <v>2237</v>
      </c>
      <c r="B1612" t="s">
        <v>16360</v>
      </c>
      <c r="C1612">
        <v>45810</v>
      </c>
      <c r="D1612" t="s">
        <v>7263</v>
      </c>
      <c r="E1612" t="s">
        <v>16361</v>
      </c>
      <c r="F1612">
        <v>45808</v>
      </c>
      <c r="G1612" t="s">
        <v>2208</v>
      </c>
      <c r="H1612" t="s">
        <v>7834</v>
      </c>
      <c r="I1612" t="s">
        <v>18059</v>
      </c>
      <c r="J1612">
        <v>1</v>
      </c>
      <c r="K1612">
        <v>104.61</v>
      </c>
      <c r="L1612" t="s">
        <v>2917</v>
      </c>
      <c r="M1612">
        <v>104.61</v>
      </c>
      <c r="N1612" t="s">
        <v>2917</v>
      </c>
      <c r="O1612" t="s">
        <v>2208</v>
      </c>
      <c r="P1612" t="s">
        <v>2208</v>
      </c>
      <c r="Q1612" t="s">
        <v>2208</v>
      </c>
      <c r="R1612" t="s">
        <v>2208</v>
      </c>
    </row>
    <row r="1613" spans="1:18">
      <c r="A1613" t="s">
        <v>2237</v>
      </c>
      <c r="B1613" t="s">
        <v>16360</v>
      </c>
      <c r="C1613">
        <v>45810</v>
      </c>
      <c r="D1613" t="s">
        <v>7263</v>
      </c>
      <c r="E1613" t="s">
        <v>16361</v>
      </c>
      <c r="F1613">
        <v>45808</v>
      </c>
      <c r="G1613" t="s">
        <v>2208</v>
      </c>
      <c r="H1613" t="s">
        <v>7834</v>
      </c>
      <c r="I1613" t="s">
        <v>18060</v>
      </c>
      <c r="J1613">
        <v>1</v>
      </c>
      <c r="K1613">
        <v>104.61</v>
      </c>
      <c r="L1613" t="s">
        <v>2917</v>
      </c>
      <c r="M1613">
        <v>104.61</v>
      </c>
      <c r="N1613" t="s">
        <v>2917</v>
      </c>
      <c r="O1613" t="s">
        <v>2208</v>
      </c>
      <c r="P1613" t="s">
        <v>2208</v>
      </c>
      <c r="Q1613" t="s">
        <v>2208</v>
      </c>
      <c r="R1613" t="s">
        <v>2208</v>
      </c>
    </row>
    <row r="1614" spans="1:18">
      <c r="A1614" t="s">
        <v>2418</v>
      </c>
      <c r="B1614" t="s">
        <v>16360</v>
      </c>
      <c r="C1614">
        <v>45810</v>
      </c>
      <c r="D1614" t="s">
        <v>7263</v>
      </c>
      <c r="E1614" t="s">
        <v>16361</v>
      </c>
      <c r="F1614">
        <v>45808</v>
      </c>
      <c r="G1614" t="s">
        <v>2208</v>
      </c>
      <c r="H1614" t="s">
        <v>7834</v>
      </c>
      <c r="I1614" t="s">
        <v>18061</v>
      </c>
      <c r="J1614">
        <v>1</v>
      </c>
      <c r="K1614">
        <v>104.61</v>
      </c>
      <c r="L1614" t="s">
        <v>2917</v>
      </c>
      <c r="M1614">
        <v>104.61</v>
      </c>
      <c r="N1614" t="s">
        <v>2917</v>
      </c>
      <c r="O1614" t="s">
        <v>2208</v>
      </c>
      <c r="P1614" t="s">
        <v>2208</v>
      </c>
      <c r="Q1614" t="s">
        <v>2208</v>
      </c>
      <c r="R1614" t="s">
        <v>2208</v>
      </c>
    </row>
    <row r="1615" spans="1:18">
      <c r="A1615" t="s">
        <v>2418</v>
      </c>
      <c r="B1615" t="s">
        <v>16360</v>
      </c>
      <c r="C1615">
        <v>45810</v>
      </c>
      <c r="D1615" t="s">
        <v>7263</v>
      </c>
      <c r="E1615" t="s">
        <v>16361</v>
      </c>
      <c r="F1615">
        <v>45808</v>
      </c>
      <c r="G1615" t="s">
        <v>2208</v>
      </c>
      <c r="H1615" t="s">
        <v>7834</v>
      </c>
      <c r="I1615" t="s">
        <v>18062</v>
      </c>
      <c r="J1615">
        <v>1</v>
      </c>
      <c r="K1615">
        <v>104.61</v>
      </c>
      <c r="L1615" t="s">
        <v>2917</v>
      </c>
      <c r="M1615">
        <v>104.61</v>
      </c>
      <c r="N1615" t="s">
        <v>2917</v>
      </c>
      <c r="O1615" t="s">
        <v>2208</v>
      </c>
      <c r="P1615" t="s">
        <v>2208</v>
      </c>
      <c r="Q1615" t="s">
        <v>2208</v>
      </c>
      <c r="R1615" t="s">
        <v>2208</v>
      </c>
    </row>
    <row r="1616" spans="1:18">
      <c r="A1616" t="s">
        <v>2418</v>
      </c>
      <c r="B1616" t="s">
        <v>16360</v>
      </c>
      <c r="C1616">
        <v>45810</v>
      </c>
      <c r="D1616" t="s">
        <v>7263</v>
      </c>
      <c r="E1616" t="s">
        <v>16361</v>
      </c>
      <c r="F1616">
        <v>45808</v>
      </c>
      <c r="G1616" t="s">
        <v>2208</v>
      </c>
      <c r="H1616" t="s">
        <v>7834</v>
      </c>
      <c r="I1616" t="s">
        <v>18063</v>
      </c>
      <c r="J1616">
        <v>1</v>
      </c>
      <c r="K1616">
        <v>104.61</v>
      </c>
      <c r="L1616" t="s">
        <v>2917</v>
      </c>
      <c r="M1616">
        <v>104.61</v>
      </c>
      <c r="N1616" t="s">
        <v>2917</v>
      </c>
      <c r="O1616" t="s">
        <v>2208</v>
      </c>
      <c r="P1616" t="s">
        <v>2208</v>
      </c>
      <c r="Q1616" t="s">
        <v>2208</v>
      </c>
      <c r="R1616" t="s">
        <v>2208</v>
      </c>
    </row>
    <row r="1617" spans="1:18">
      <c r="A1617" t="s">
        <v>2418</v>
      </c>
      <c r="B1617" t="s">
        <v>16360</v>
      </c>
      <c r="C1617">
        <v>45810</v>
      </c>
      <c r="D1617" t="s">
        <v>7263</v>
      </c>
      <c r="E1617" t="s">
        <v>16361</v>
      </c>
      <c r="F1617">
        <v>45808</v>
      </c>
      <c r="G1617" t="s">
        <v>2208</v>
      </c>
      <c r="H1617" t="s">
        <v>7834</v>
      </c>
      <c r="I1617" t="s">
        <v>18064</v>
      </c>
      <c r="J1617">
        <v>1</v>
      </c>
      <c r="K1617">
        <v>104.61</v>
      </c>
      <c r="L1617" t="s">
        <v>2917</v>
      </c>
      <c r="M1617">
        <v>104.61</v>
      </c>
      <c r="N1617" t="s">
        <v>2917</v>
      </c>
      <c r="O1617" t="s">
        <v>2208</v>
      </c>
      <c r="P1617" t="s">
        <v>2208</v>
      </c>
      <c r="Q1617" t="s">
        <v>2208</v>
      </c>
      <c r="R1617" t="s">
        <v>2208</v>
      </c>
    </row>
    <row r="1618" spans="1:18">
      <c r="A1618" t="s">
        <v>2418</v>
      </c>
      <c r="B1618" t="s">
        <v>16360</v>
      </c>
      <c r="C1618">
        <v>45810</v>
      </c>
      <c r="D1618" t="s">
        <v>7263</v>
      </c>
      <c r="E1618" t="s">
        <v>16361</v>
      </c>
      <c r="F1618">
        <v>45808</v>
      </c>
      <c r="G1618" t="s">
        <v>2208</v>
      </c>
      <c r="H1618" t="s">
        <v>7834</v>
      </c>
      <c r="I1618" t="s">
        <v>18065</v>
      </c>
      <c r="J1618">
        <v>8</v>
      </c>
      <c r="K1618">
        <v>836.88</v>
      </c>
      <c r="L1618" t="s">
        <v>2917</v>
      </c>
      <c r="M1618">
        <v>836.88</v>
      </c>
      <c r="N1618" t="s">
        <v>2917</v>
      </c>
      <c r="O1618" t="s">
        <v>2208</v>
      </c>
      <c r="P1618" t="s">
        <v>2208</v>
      </c>
      <c r="Q1618" t="s">
        <v>2208</v>
      </c>
      <c r="R1618" t="s">
        <v>2208</v>
      </c>
    </row>
    <row r="1619" spans="1:18">
      <c r="A1619" t="s">
        <v>2418</v>
      </c>
      <c r="B1619" t="s">
        <v>16360</v>
      </c>
      <c r="C1619">
        <v>45810</v>
      </c>
      <c r="D1619" t="s">
        <v>7263</v>
      </c>
      <c r="E1619" t="s">
        <v>16361</v>
      </c>
      <c r="F1619">
        <v>45808</v>
      </c>
      <c r="G1619" t="s">
        <v>2208</v>
      </c>
      <c r="H1619" t="s">
        <v>7834</v>
      </c>
      <c r="I1619" t="s">
        <v>18066</v>
      </c>
      <c r="J1619">
        <v>8</v>
      </c>
      <c r="K1619">
        <v>836.88</v>
      </c>
      <c r="L1619" t="s">
        <v>2917</v>
      </c>
      <c r="M1619">
        <v>836.88</v>
      </c>
      <c r="N1619" t="s">
        <v>2917</v>
      </c>
      <c r="O1619" t="s">
        <v>2208</v>
      </c>
      <c r="P1619" t="s">
        <v>2208</v>
      </c>
      <c r="Q1619" t="s">
        <v>2208</v>
      </c>
      <c r="R1619" t="s">
        <v>2208</v>
      </c>
    </row>
    <row r="1620" spans="1:18">
      <c r="A1620" t="s">
        <v>2418</v>
      </c>
      <c r="B1620" t="s">
        <v>16360</v>
      </c>
      <c r="C1620">
        <v>45810</v>
      </c>
      <c r="D1620" t="s">
        <v>7263</v>
      </c>
      <c r="E1620" t="s">
        <v>16361</v>
      </c>
      <c r="F1620">
        <v>45808</v>
      </c>
      <c r="G1620" t="s">
        <v>2208</v>
      </c>
      <c r="H1620" t="s">
        <v>7834</v>
      </c>
      <c r="I1620" t="s">
        <v>18067</v>
      </c>
      <c r="J1620">
        <v>2</v>
      </c>
      <c r="K1620">
        <v>209.22</v>
      </c>
      <c r="L1620" t="s">
        <v>2917</v>
      </c>
      <c r="M1620">
        <v>209.22</v>
      </c>
      <c r="N1620" t="s">
        <v>2917</v>
      </c>
      <c r="O1620" t="s">
        <v>2208</v>
      </c>
      <c r="P1620" t="s">
        <v>2208</v>
      </c>
      <c r="Q1620" t="s">
        <v>2208</v>
      </c>
      <c r="R1620" t="s">
        <v>2208</v>
      </c>
    </row>
    <row r="1621" spans="1:18">
      <c r="A1621" t="s">
        <v>2418</v>
      </c>
      <c r="B1621" t="s">
        <v>16360</v>
      </c>
      <c r="C1621">
        <v>45810</v>
      </c>
      <c r="D1621" t="s">
        <v>7263</v>
      </c>
      <c r="E1621" t="s">
        <v>16361</v>
      </c>
      <c r="F1621">
        <v>45808</v>
      </c>
      <c r="G1621" t="s">
        <v>2208</v>
      </c>
      <c r="H1621" t="s">
        <v>7834</v>
      </c>
      <c r="I1621" t="s">
        <v>18068</v>
      </c>
      <c r="J1621">
        <v>2</v>
      </c>
      <c r="K1621">
        <v>209.22</v>
      </c>
      <c r="L1621" t="s">
        <v>2917</v>
      </c>
      <c r="M1621">
        <v>209.22</v>
      </c>
      <c r="N1621" t="s">
        <v>2917</v>
      </c>
      <c r="O1621" t="s">
        <v>2208</v>
      </c>
      <c r="P1621" t="s">
        <v>2208</v>
      </c>
      <c r="Q1621" t="s">
        <v>2208</v>
      </c>
      <c r="R1621" t="s">
        <v>2208</v>
      </c>
    </row>
    <row r="1622" spans="1:18">
      <c r="A1622" t="s">
        <v>2418</v>
      </c>
      <c r="B1622" t="s">
        <v>16360</v>
      </c>
      <c r="C1622">
        <v>45810</v>
      </c>
      <c r="D1622" t="s">
        <v>7263</v>
      </c>
      <c r="E1622" t="s">
        <v>16361</v>
      </c>
      <c r="F1622">
        <v>45808</v>
      </c>
      <c r="G1622" t="s">
        <v>2208</v>
      </c>
      <c r="H1622" t="s">
        <v>7834</v>
      </c>
      <c r="I1622" t="s">
        <v>18069</v>
      </c>
      <c r="J1622">
        <v>2</v>
      </c>
      <c r="K1622">
        <v>209.22</v>
      </c>
      <c r="L1622" t="s">
        <v>2917</v>
      </c>
      <c r="M1622">
        <v>209.22</v>
      </c>
      <c r="N1622" t="s">
        <v>2917</v>
      </c>
      <c r="O1622" t="s">
        <v>2208</v>
      </c>
      <c r="P1622" t="s">
        <v>2208</v>
      </c>
      <c r="Q1622" t="s">
        <v>2208</v>
      </c>
      <c r="R1622" t="s">
        <v>2208</v>
      </c>
    </row>
    <row r="1623" spans="1:18">
      <c r="A1623" t="s">
        <v>2418</v>
      </c>
      <c r="B1623" t="s">
        <v>16360</v>
      </c>
      <c r="C1623">
        <v>45810</v>
      </c>
      <c r="D1623" t="s">
        <v>7263</v>
      </c>
      <c r="E1623" t="s">
        <v>16361</v>
      </c>
      <c r="F1623">
        <v>45808</v>
      </c>
      <c r="G1623" t="s">
        <v>2208</v>
      </c>
      <c r="H1623" t="s">
        <v>7834</v>
      </c>
      <c r="I1623" t="s">
        <v>18070</v>
      </c>
      <c r="J1623">
        <v>1</v>
      </c>
      <c r="K1623">
        <v>104.61</v>
      </c>
      <c r="L1623" t="s">
        <v>2917</v>
      </c>
      <c r="M1623">
        <v>104.61</v>
      </c>
      <c r="N1623" t="s">
        <v>2917</v>
      </c>
      <c r="O1623" t="s">
        <v>2208</v>
      </c>
      <c r="P1623" t="s">
        <v>2208</v>
      </c>
      <c r="Q1623" t="s">
        <v>2208</v>
      </c>
      <c r="R1623" t="s">
        <v>2208</v>
      </c>
    </row>
    <row r="1624" spans="1:18">
      <c r="A1624" t="s">
        <v>2418</v>
      </c>
      <c r="B1624" t="s">
        <v>16360</v>
      </c>
      <c r="C1624">
        <v>45810</v>
      </c>
      <c r="D1624" t="s">
        <v>7263</v>
      </c>
      <c r="E1624" t="s">
        <v>16361</v>
      </c>
      <c r="F1624">
        <v>45808</v>
      </c>
      <c r="G1624" t="s">
        <v>2208</v>
      </c>
      <c r="H1624" t="s">
        <v>7834</v>
      </c>
      <c r="I1624" t="s">
        <v>18071</v>
      </c>
      <c r="J1624">
        <v>1</v>
      </c>
      <c r="K1624">
        <v>104.61</v>
      </c>
      <c r="L1624" t="s">
        <v>2917</v>
      </c>
      <c r="M1624">
        <v>104.61</v>
      </c>
      <c r="N1624" t="s">
        <v>2917</v>
      </c>
      <c r="O1624" t="s">
        <v>2208</v>
      </c>
      <c r="P1624" t="s">
        <v>2208</v>
      </c>
      <c r="Q1624" t="s">
        <v>2208</v>
      </c>
      <c r="R1624" t="s">
        <v>2208</v>
      </c>
    </row>
    <row r="1625" spans="1:18">
      <c r="A1625" t="s">
        <v>2418</v>
      </c>
      <c r="B1625" t="s">
        <v>16360</v>
      </c>
      <c r="C1625">
        <v>45810</v>
      </c>
      <c r="D1625" t="s">
        <v>7263</v>
      </c>
      <c r="E1625" t="s">
        <v>16361</v>
      </c>
      <c r="F1625">
        <v>45808</v>
      </c>
      <c r="G1625" t="s">
        <v>2208</v>
      </c>
      <c r="H1625" t="s">
        <v>7834</v>
      </c>
      <c r="I1625" t="s">
        <v>18072</v>
      </c>
      <c r="J1625">
        <v>1</v>
      </c>
      <c r="K1625">
        <v>104.61</v>
      </c>
      <c r="L1625" t="s">
        <v>2917</v>
      </c>
      <c r="M1625">
        <v>104.61</v>
      </c>
      <c r="N1625" t="s">
        <v>2917</v>
      </c>
      <c r="O1625" t="s">
        <v>2208</v>
      </c>
      <c r="P1625" t="s">
        <v>2208</v>
      </c>
      <c r="Q1625" t="s">
        <v>2208</v>
      </c>
      <c r="R1625" t="s">
        <v>2208</v>
      </c>
    </row>
    <row r="1626" spans="1:18">
      <c r="A1626" t="s">
        <v>2418</v>
      </c>
      <c r="B1626" t="s">
        <v>16360</v>
      </c>
      <c r="C1626">
        <v>45810</v>
      </c>
      <c r="D1626" t="s">
        <v>7263</v>
      </c>
      <c r="E1626" t="s">
        <v>16361</v>
      </c>
      <c r="F1626">
        <v>45808</v>
      </c>
      <c r="G1626" t="s">
        <v>2208</v>
      </c>
      <c r="H1626" t="s">
        <v>7834</v>
      </c>
      <c r="I1626" t="s">
        <v>18073</v>
      </c>
      <c r="J1626">
        <v>1</v>
      </c>
      <c r="K1626">
        <v>104.61</v>
      </c>
      <c r="L1626" t="s">
        <v>2917</v>
      </c>
      <c r="M1626">
        <v>104.61</v>
      </c>
      <c r="N1626" t="s">
        <v>2917</v>
      </c>
      <c r="O1626" t="s">
        <v>2208</v>
      </c>
      <c r="P1626" t="s">
        <v>2208</v>
      </c>
      <c r="Q1626" t="s">
        <v>2208</v>
      </c>
      <c r="R1626" t="s">
        <v>2208</v>
      </c>
    </row>
    <row r="1627" spans="1:18">
      <c r="A1627" t="s">
        <v>2418</v>
      </c>
      <c r="B1627" t="s">
        <v>16360</v>
      </c>
      <c r="C1627">
        <v>45810</v>
      </c>
      <c r="D1627" t="s">
        <v>7263</v>
      </c>
      <c r="E1627" t="s">
        <v>16361</v>
      </c>
      <c r="F1627">
        <v>45808</v>
      </c>
      <c r="G1627" t="s">
        <v>2208</v>
      </c>
      <c r="H1627" t="s">
        <v>7834</v>
      </c>
      <c r="I1627" t="s">
        <v>18074</v>
      </c>
      <c r="J1627">
        <v>1</v>
      </c>
      <c r="K1627">
        <v>104.61</v>
      </c>
      <c r="L1627" t="s">
        <v>2917</v>
      </c>
      <c r="M1627">
        <v>104.61</v>
      </c>
      <c r="N1627" t="s">
        <v>2917</v>
      </c>
      <c r="O1627" t="s">
        <v>2208</v>
      </c>
      <c r="P1627" t="s">
        <v>2208</v>
      </c>
      <c r="Q1627" t="s">
        <v>2208</v>
      </c>
      <c r="R1627" t="s">
        <v>2208</v>
      </c>
    </row>
    <row r="1628" spans="1:18">
      <c r="A1628" t="s">
        <v>2418</v>
      </c>
      <c r="B1628" t="s">
        <v>16360</v>
      </c>
      <c r="C1628">
        <v>45810</v>
      </c>
      <c r="D1628" t="s">
        <v>7263</v>
      </c>
      <c r="E1628" t="s">
        <v>16361</v>
      </c>
      <c r="F1628">
        <v>45808</v>
      </c>
      <c r="G1628" t="s">
        <v>2208</v>
      </c>
      <c r="H1628" t="s">
        <v>7834</v>
      </c>
      <c r="I1628" t="s">
        <v>18075</v>
      </c>
      <c r="J1628">
        <v>2</v>
      </c>
      <c r="K1628">
        <v>209.22</v>
      </c>
      <c r="L1628" t="s">
        <v>2917</v>
      </c>
      <c r="M1628">
        <v>209.22</v>
      </c>
      <c r="N1628" t="s">
        <v>2917</v>
      </c>
      <c r="O1628" t="s">
        <v>2208</v>
      </c>
      <c r="P1628" t="s">
        <v>2208</v>
      </c>
      <c r="Q1628" t="s">
        <v>2208</v>
      </c>
      <c r="R1628" t="s">
        <v>2208</v>
      </c>
    </row>
    <row r="1629" spans="1:18">
      <c r="A1629" t="s">
        <v>2418</v>
      </c>
      <c r="B1629" t="s">
        <v>16360</v>
      </c>
      <c r="C1629">
        <v>45810</v>
      </c>
      <c r="D1629" t="s">
        <v>7263</v>
      </c>
      <c r="E1629" t="s">
        <v>16361</v>
      </c>
      <c r="F1629">
        <v>45808</v>
      </c>
      <c r="G1629" t="s">
        <v>2208</v>
      </c>
      <c r="H1629" t="s">
        <v>7834</v>
      </c>
      <c r="I1629" t="s">
        <v>18076</v>
      </c>
      <c r="J1629">
        <v>1</v>
      </c>
      <c r="K1629">
        <v>104.61</v>
      </c>
      <c r="L1629" t="s">
        <v>2917</v>
      </c>
      <c r="M1629">
        <v>104.61</v>
      </c>
      <c r="N1629" t="s">
        <v>2917</v>
      </c>
      <c r="O1629" t="s">
        <v>2208</v>
      </c>
      <c r="P1629" t="s">
        <v>2208</v>
      </c>
      <c r="Q1629" t="s">
        <v>2208</v>
      </c>
      <c r="R1629" t="s">
        <v>2208</v>
      </c>
    </row>
    <row r="1630" spans="1:18">
      <c r="A1630" t="s">
        <v>2418</v>
      </c>
      <c r="B1630" t="s">
        <v>16360</v>
      </c>
      <c r="C1630">
        <v>45810</v>
      </c>
      <c r="D1630" t="s">
        <v>7263</v>
      </c>
      <c r="E1630" t="s">
        <v>16361</v>
      </c>
      <c r="F1630">
        <v>45808</v>
      </c>
      <c r="G1630" t="s">
        <v>2208</v>
      </c>
      <c r="H1630" t="s">
        <v>7834</v>
      </c>
      <c r="I1630" t="s">
        <v>18077</v>
      </c>
      <c r="J1630">
        <v>1</v>
      </c>
      <c r="K1630">
        <v>104.61</v>
      </c>
      <c r="L1630" t="s">
        <v>2917</v>
      </c>
      <c r="M1630">
        <v>104.61</v>
      </c>
      <c r="N1630" t="s">
        <v>2917</v>
      </c>
      <c r="O1630" t="s">
        <v>2208</v>
      </c>
      <c r="P1630" t="s">
        <v>2208</v>
      </c>
      <c r="Q1630" t="s">
        <v>2208</v>
      </c>
      <c r="R1630" t="s">
        <v>2208</v>
      </c>
    </row>
    <row r="1631" spans="1:18">
      <c r="A1631" t="s">
        <v>2418</v>
      </c>
      <c r="B1631" t="s">
        <v>16360</v>
      </c>
      <c r="C1631">
        <v>45810</v>
      </c>
      <c r="D1631" t="s">
        <v>7263</v>
      </c>
      <c r="E1631" t="s">
        <v>16361</v>
      </c>
      <c r="F1631">
        <v>45808</v>
      </c>
      <c r="G1631" t="s">
        <v>2208</v>
      </c>
      <c r="H1631" t="s">
        <v>7834</v>
      </c>
      <c r="I1631" t="s">
        <v>18078</v>
      </c>
      <c r="J1631">
        <v>2</v>
      </c>
      <c r="K1631">
        <v>209.22</v>
      </c>
      <c r="L1631" t="s">
        <v>2917</v>
      </c>
      <c r="M1631">
        <v>209.22</v>
      </c>
      <c r="N1631" t="s">
        <v>2917</v>
      </c>
      <c r="O1631" t="s">
        <v>2208</v>
      </c>
      <c r="P1631" t="s">
        <v>2208</v>
      </c>
      <c r="Q1631" t="s">
        <v>2208</v>
      </c>
      <c r="R1631" t="s">
        <v>2208</v>
      </c>
    </row>
    <row r="1632" spans="1:18">
      <c r="A1632" t="s">
        <v>2418</v>
      </c>
      <c r="B1632" t="s">
        <v>16360</v>
      </c>
      <c r="C1632">
        <v>45810</v>
      </c>
      <c r="D1632" t="s">
        <v>7263</v>
      </c>
      <c r="E1632" t="s">
        <v>16361</v>
      </c>
      <c r="F1632">
        <v>45808</v>
      </c>
      <c r="G1632" t="s">
        <v>2208</v>
      </c>
      <c r="H1632" t="s">
        <v>7834</v>
      </c>
      <c r="I1632" t="s">
        <v>18079</v>
      </c>
      <c r="J1632">
        <v>1</v>
      </c>
      <c r="K1632">
        <v>104.61</v>
      </c>
      <c r="L1632" t="s">
        <v>2917</v>
      </c>
      <c r="M1632">
        <v>104.61</v>
      </c>
      <c r="N1632" t="s">
        <v>2917</v>
      </c>
      <c r="O1632" t="s">
        <v>2208</v>
      </c>
      <c r="P1632" t="s">
        <v>2208</v>
      </c>
      <c r="Q1632" t="s">
        <v>2208</v>
      </c>
      <c r="R1632" t="s">
        <v>2208</v>
      </c>
    </row>
    <row r="1633" spans="1:18">
      <c r="A1633" t="s">
        <v>2418</v>
      </c>
      <c r="B1633" t="s">
        <v>16360</v>
      </c>
      <c r="C1633">
        <v>45810</v>
      </c>
      <c r="D1633" t="s">
        <v>7263</v>
      </c>
      <c r="E1633" t="s">
        <v>16361</v>
      </c>
      <c r="F1633">
        <v>45808</v>
      </c>
      <c r="G1633" t="s">
        <v>2208</v>
      </c>
      <c r="H1633" t="s">
        <v>7834</v>
      </c>
      <c r="I1633" t="s">
        <v>18080</v>
      </c>
      <c r="J1633">
        <v>2</v>
      </c>
      <c r="K1633">
        <v>209.22</v>
      </c>
      <c r="L1633" t="s">
        <v>2917</v>
      </c>
      <c r="M1633">
        <v>209.22</v>
      </c>
      <c r="N1633" t="s">
        <v>2917</v>
      </c>
      <c r="O1633" t="s">
        <v>2208</v>
      </c>
      <c r="P1633" t="s">
        <v>2208</v>
      </c>
      <c r="Q1633" t="s">
        <v>2208</v>
      </c>
      <c r="R1633" t="s">
        <v>2208</v>
      </c>
    </row>
    <row r="1634" spans="1:18">
      <c r="A1634" t="s">
        <v>2418</v>
      </c>
      <c r="B1634" t="s">
        <v>16360</v>
      </c>
      <c r="C1634">
        <v>45810</v>
      </c>
      <c r="D1634" t="s">
        <v>7263</v>
      </c>
      <c r="E1634" t="s">
        <v>16361</v>
      </c>
      <c r="F1634">
        <v>45808</v>
      </c>
      <c r="G1634" t="s">
        <v>2208</v>
      </c>
      <c r="H1634" t="s">
        <v>7834</v>
      </c>
      <c r="I1634" t="s">
        <v>18081</v>
      </c>
      <c r="J1634">
        <v>1</v>
      </c>
      <c r="K1634">
        <v>104.61</v>
      </c>
      <c r="L1634" t="s">
        <v>2917</v>
      </c>
      <c r="M1634">
        <v>104.61</v>
      </c>
      <c r="N1634" t="s">
        <v>2917</v>
      </c>
      <c r="O1634" t="s">
        <v>2208</v>
      </c>
      <c r="P1634" t="s">
        <v>2208</v>
      </c>
      <c r="Q1634" t="s">
        <v>2208</v>
      </c>
      <c r="R1634" t="s">
        <v>2208</v>
      </c>
    </row>
    <row r="1635" spans="1:18">
      <c r="A1635" t="s">
        <v>2418</v>
      </c>
      <c r="B1635" t="s">
        <v>16360</v>
      </c>
      <c r="C1635">
        <v>45810</v>
      </c>
      <c r="D1635" t="s">
        <v>7263</v>
      </c>
      <c r="E1635" t="s">
        <v>16361</v>
      </c>
      <c r="F1635">
        <v>45808</v>
      </c>
      <c r="G1635" t="s">
        <v>2208</v>
      </c>
      <c r="H1635" t="s">
        <v>7834</v>
      </c>
      <c r="I1635" t="s">
        <v>18082</v>
      </c>
      <c r="J1635">
        <v>2</v>
      </c>
      <c r="K1635">
        <v>209.22</v>
      </c>
      <c r="L1635" t="s">
        <v>2917</v>
      </c>
      <c r="M1635">
        <v>209.22</v>
      </c>
      <c r="N1635" t="s">
        <v>2917</v>
      </c>
      <c r="O1635" t="s">
        <v>2208</v>
      </c>
      <c r="P1635" t="s">
        <v>2208</v>
      </c>
      <c r="Q1635" t="s">
        <v>2208</v>
      </c>
      <c r="R1635" t="s">
        <v>2208</v>
      </c>
    </row>
    <row r="1636" spans="1:18">
      <c r="A1636" t="s">
        <v>2418</v>
      </c>
      <c r="B1636" t="s">
        <v>16360</v>
      </c>
      <c r="C1636">
        <v>45810</v>
      </c>
      <c r="D1636" t="s">
        <v>7263</v>
      </c>
      <c r="E1636" t="s">
        <v>16361</v>
      </c>
      <c r="F1636">
        <v>45808</v>
      </c>
      <c r="G1636" t="s">
        <v>2208</v>
      </c>
      <c r="H1636" t="s">
        <v>7834</v>
      </c>
      <c r="I1636" t="s">
        <v>18083</v>
      </c>
      <c r="J1636">
        <v>3</v>
      </c>
      <c r="K1636">
        <v>313.83</v>
      </c>
      <c r="L1636" t="s">
        <v>2917</v>
      </c>
      <c r="M1636">
        <v>313.83</v>
      </c>
      <c r="N1636" t="s">
        <v>2917</v>
      </c>
      <c r="O1636" t="s">
        <v>2208</v>
      </c>
      <c r="P1636" t="s">
        <v>2208</v>
      </c>
      <c r="Q1636" t="s">
        <v>2208</v>
      </c>
      <c r="R1636" t="s">
        <v>2208</v>
      </c>
    </row>
    <row r="1637" spans="1:18">
      <c r="A1637" t="s">
        <v>2418</v>
      </c>
      <c r="B1637" t="s">
        <v>16360</v>
      </c>
      <c r="C1637">
        <v>45810</v>
      </c>
      <c r="D1637" t="s">
        <v>7263</v>
      </c>
      <c r="E1637" t="s">
        <v>16361</v>
      </c>
      <c r="F1637">
        <v>45808</v>
      </c>
      <c r="G1637" t="s">
        <v>2208</v>
      </c>
      <c r="H1637" t="s">
        <v>7834</v>
      </c>
      <c r="I1637" t="s">
        <v>18084</v>
      </c>
      <c r="J1637">
        <v>2</v>
      </c>
      <c r="K1637">
        <v>209.22</v>
      </c>
      <c r="L1637" t="s">
        <v>2917</v>
      </c>
      <c r="M1637">
        <v>209.22</v>
      </c>
      <c r="N1637" t="s">
        <v>2917</v>
      </c>
      <c r="O1637" t="s">
        <v>2208</v>
      </c>
      <c r="P1637" t="s">
        <v>2208</v>
      </c>
      <c r="Q1637" t="s">
        <v>2208</v>
      </c>
      <c r="R1637" t="s">
        <v>2208</v>
      </c>
    </row>
    <row r="1638" spans="1:18">
      <c r="A1638" t="s">
        <v>2418</v>
      </c>
      <c r="B1638" t="s">
        <v>16360</v>
      </c>
      <c r="C1638">
        <v>45810</v>
      </c>
      <c r="D1638" t="s">
        <v>7263</v>
      </c>
      <c r="E1638" t="s">
        <v>16361</v>
      </c>
      <c r="F1638">
        <v>45808</v>
      </c>
      <c r="G1638" t="s">
        <v>2208</v>
      </c>
      <c r="H1638" t="s">
        <v>7834</v>
      </c>
      <c r="I1638" t="s">
        <v>18085</v>
      </c>
      <c r="J1638">
        <v>1</v>
      </c>
      <c r="K1638">
        <v>104.61</v>
      </c>
      <c r="L1638" t="s">
        <v>2917</v>
      </c>
      <c r="M1638">
        <v>104.61</v>
      </c>
      <c r="N1638" t="s">
        <v>2917</v>
      </c>
      <c r="O1638" t="s">
        <v>2208</v>
      </c>
      <c r="P1638" t="s">
        <v>2208</v>
      </c>
      <c r="Q1638" t="s">
        <v>2208</v>
      </c>
      <c r="R1638" t="s">
        <v>2208</v>
      </c>
    </row>
    <row r="1639" spans="1:18">
      <c r="A1639" t="s">
        <v>2418</v>
      </c>
      <c r="B1639" t="s">
        <v>16360</v>
      </c>
      <c r="C1639">
        <v>45810</v>
      </c>
      <c r="D1639" t="s">
        <v>7263</v>
      </c>
      <c r="E1639" t="s">
        <v>16361</v>
      </c>
      <c r="F1639">
        <v>45808</v>
      </c>
      <c r="G1639" t="s">
        <v>2208</v>
      </c>
      <c r="H1639" t="s">
        <v>7834</v>
      </c>
      <c r="I1639" t="s">
        <v>18086</v>
      </c>
      <c r="J1639">
        <v>1</v>
      </c>
      <c r="K1639">
        <v>104.61</v>
      </c>
      <c r="L1639" t="s">
        <v>2917</v>
      </c>
      <c r="M1639">
        <v>104.61</v>
      </c>
      <c r="N1639" t="s">
        <v>2917</v>
      </c>
      <c r="O1639" t="s">
        <v>2208</v>
      </c>
      <c r="P1639" t="s">
        <v>2208</v>
      </c>
      <c r="Q1639" t="s">
        <v>2208</v>
      </c>
      <c r="R1639" t="s">
        <v>2208</v>
      </c>
    </row>
    <row r="1640" spans="1:18">
      <c r="A1640" t="s">
        <v>2418</v>
      </c>
      <c r="B1640" t="s">
        <v>16360</v>
      </c>
      <c r="C1640">
        <v>45810</v>
      </c>
      <c r="D1640" t="s">
        <v>7263</v>
      </c>
      <c r="E1640" t="s">
        <v>16361</v>
      </c>
      <c r="F1640">
        <v>45808</v>
      </c>
      <c r="G1640" t="s">
        <v>2208</v>
      </c>
      <c r="H1640" t="s">
        <v>7834</v>
      </c>
      <c r="I1640" t="s">
        <v>18087</v>
      </c>
      <c r="J1640">
        <v>2</v>
      </c>
      <c r="K1640">
        <v>209.22</v>
      </c>
      <c r="L1640" t="s">
        <v>2917</v>
      </c>
      <c r="M1640">
        <v>209.22</v>
      </c>
      <c r="N1640" t="s">
        <v>2917</v>
      </c>
      <c r="O1640" t="s">
        <v>2208</v>
      </c>
      <c r="P1640" t="s">
        <v>2208</v>
      </c>
      <c r="Q1640" t="s">
        <v>2208</v>
      </c>
      <c r="R1640" t="s">
        <v>2208</v>
      </c>
    </row>
    <row r="1641" spans="1:18">
      <c r="A1641" t="s">
        <v>2418</v>
      </c>
      <c r="B1641" t="s">
        <v>16360</v>
      </c>
      <c r="C1641">
        <v>45810</v>
      </c>
      <c r="D1641" t="s">
        <v>7263</v>
      </c>
      <c r="E1641" t="s">
        <v>16361</v>
      </c>
      <c r="F1641">
        <v>45808</v>
      </c>
      <c r="G1641" t="s">
        <v>2208</v>
      </c>
      <c r="H1641" t="s">
        <v>7834</v>
      </c>
      <c r="I1641" t="s">
        <v>18088</v>
      </c>
      <c r="J1641">
        <v>1</v>
      </c>
      <c r="K1641">
        <v>104.61</v>
      </c>
      <c r="L1641" t="s">
        <v>2917</v>
      </c>
      <c r="M1641">
        <v>104.61</v>
      </c>
      <c r="N1641" t="s">
        <v>2917</v>
      </c>
      <c r="O1641" t="s">
        <v>2208</v>
      </c>
      <c r="P1641" t="s">
        <v>2208</v>
      </c>
      <c r="Q1641" t="s">
        <v>2208</v>
      </c>
      <c r="R1641" t="s">
        <v>2208</v>
      </c>
    </row>
    <row r="1642" spans="1:18">
      <c r="A1642" t="s">
        <v>2418</v>
      </c>
      <c r="B1642" t="s">
        <v>16360</v>
      </c>
      <c r="C1642">
        <v>45810</v>
      </c>
      <c r="D1642" t="s">
        <v>7263</v>
      </c>
      <c r="E1642" t="s">
        <v>16361</v>
      </c>
      <c r="F1642">
        <v>45808</v>
      </c>
      <c r="G1642" t="s">
        <v>2208</v>
      </c>
      <c r="H1642" t="s">
        <v>7834</v>
      </c>
      <c r="I1642" t="s">
        <v>18089</v>
      </c>
      <c r="J1642">
        <v>1</v>
      </c>
      <c r="K1642">
        <v>104.61</v>
      </c>
      <c r="L1642" t="s">
        <v>2917</v>
      </c>
      <c r="M1642">
        <v>104.61</v>
      </c>
      <c r="N1642" t="s">
        <v>2917</v>
      </c>
      <c r="O1642" t="s">
        <v>2208</v>
      </c>
      <c r="P1642" t="s">
        <v>2208</v>
      </c>
      <c r="Q1642" t="s">
        <v>2208</v>
      </c>
      <c r="R1642" t="s">
        <v>2208</v>
      </c>
    </row>
    <row r="1643" spans="1:18">
      <c r="A1643" t="s">
        <v>2418</v>
      </c>
      <c r="B1643" t="s">
        <v>16360</v>
      </c>
      <c r="C1643">
        <v>45810</v>
      </c>
      <c r="D1643" t="s">
        <v>7263</v>
      </c>
      <c r="E1643" t="s">
        <v>16361</v>
      </c>
      <c r="F1643">
        <v>45808</v>
      </c>
      <c r="G1643" t="s">
        <v>2208</v>
      </c>
      <c r="H1643" t="s">
        <v>7834</v>
      </c>
      <c r="I1643" t="s">
        <v>18090</v>
      </c>
      <c r="J1643">
        <v>2</v>
      </c>
      <c r="K1643">
        <v>209.22</v>
      </c>
      <c r="L1643" t="s">
        <v>2917</v>
      </c>
      <c r="M1643">
        <v>209.22</v>
      </c>
      <c r="N1643" t="s">
        <v>2917</v>
      </c>
      <c r="O1643" t="s">
        <v>2208</v>
      </c>
      <c r="P1643" t="s">
        <v>2208</v>
      </c>
      <c r="Q1643" t="s">
        <v>2208</v>
      </c>
      <c r="R1643" t="s">
        <v>2208</v>
      </c>
    </row>
    <row r="1644" spans="1:18">
      <c r="A1644" t="s">
        <v>2418</v>
      </c>
      <c r="B1644" t="s">
        <v>16360</v>
      </c>
      <c r="C1644">
        <v>45810</v>
      </c>
      <c r="D1644" t="s">
        <v>7263</v>
      </c>
      <c r="E1644" t="s">
        <v>16361</v>
      </c>
      <c r="F1644">
        <v>45808</v>
      </c>
      <c r="G1644" t="s">
        <v>2208</v>
      </c>
      <c r="H1644" t="s">
        <v>7834</v>
      </c>
      <c r="I1644" t="s">
        <v>18091</v>
      </c>
      <c r="J1644">
        <v>1</v>
      </c>
      <c r="K1644">
        <v>104.61</v>
      </c>
      <c r="L1644" t="s">
        <v>2917</v>
      </c>
      <c r="M1644">
        <v>104.61</v>
      </c>
      <c r="N1644" t="s">
        <v>2917</v>
      </c>
      <c r="O1644" t="s">
        <v>2208</v>
      </c>
      <c r="P1644" t="s">
        <v>2208</v>
      </c>
      <c r="Q1644" t="s">
        <v>2208</v>
      </c>
      <c r="R1644" t="s">
        <v>2208</v>
      </c>
    </row>
    <row r="1645" spans="1:18">
      <c r="A1645" t="s">
        <v>2418</v>
      </c>
      <c r="B1645" t="s">
        <v>16360</v>
      </c>
      <c r="C1645">
        <v>45810</v>
      </c>
      <c r="D1645" t="s">
        <v>7263</v>
      </c>
      <c r="E1645" t="s">
        <v>16361</v>
      </c>
      <c r="F1645">
        <v>45808</v>
      </c>
      <c r="G1645" t="s">
        <v>2208</v>
      </c>
      <c r="H1645" t="s">
        <v>7834</v>
      </c>
      <c r="I1645" t="s">
        <v>18092</v>
      </c>
      <c r="J1645">
        <v>1</v>
      </c>
      <c r="K1645">
        <v>104.61</v>
      </c>
      <c r="L1645" t="s">
        <v>2917</v>
      </c>
      <c r="M1645">
        <v>104.61</v>
      </c>
      <c r="N1645" t="s">
        <v>2917</v>
      </c>
      <c r="O1645" t="s">
        <v>2208</v>
      </c>
      <c r="P1645" t="s">
        <v>2208</v>
      </c>
      <c r="Q1645" t="s">
        <v>2208</v>
      </c>
      <c r="R1645" t="s">
        <v>2208</v>
      </c>
    </row>
    <row r="1646" spans="1:18">
      <c r="A1646" t="s">
        <v>2418</v>
      </c>
      <c r="B1646" t="s">
        <v>16360</v>
      </c>
      <c r="C1646">
        <v>45810</v>
      </c>
      <c r="D1646" t="s">
        <v>7263</v>
      </c>
      <c r="E1646" t="s">
        <v>16361</v>
      </c>
      <c r="F1646">
        <v>45808</v>
      </c>
      <c r="G1646" t="s">
        <v>2208</v>
      </c>
      <c r="H1646" t="s">
        <v>7834</v>
      </c>
      <c r="I1646" t="s">
        <v>18093</v>
      </c>
      <c r="J1646">
        <v>1</v>
      </c>
      <c r="K1646">
        <v>104.61</v>
      </c>
      <c r="L1646" t="s">
        <v>2917</v>
      </c>
      <c r="M1646">
        <v>104.61</v>
      </c>
      <c r="N1646" t="s">
        <v>2917</v>
      </c>
      <c r="O1646" t="s">
        <v>2208</v>
      </c>
      <c r="P1646" t="s">
        <v>2208</v>
      </c>
      <c r="Q1646" t="s">
        <v>2208</v>
      </c>
      <c r="R1646" t="s">
        <v>2208</v>
      </c>
    </row>
    <row r="1647" spans="1:18">
      <c r="A1647" t="s">
        <v>2418</v>
      </c>
      <c r="B1647" t="s">
        <v>16360</v>
      </c>
      <c r="C1647">
        <v>45810</v>
      </c>
      <c r="D1647" t="s">
        <v>7263</v>
      </c>
      <c r="E1647" t="s">
        <v>16361</v>
      </c>
      <c r="F1647">
        <v>45808</v>
      </c>
      <c r="G1647" t="s">
        <v>2208</v>
      </c>
      <c r="H1647" t="s">
        <v>7834</v>
      </c>
      <c r="I1647" t="s">
        <v>18094</v>
      </c>
      <c r="J1647">
        <v>2</v>
      </c>
      <c r="K1647">
        <v>209.22</v>
      </c>
      <c r="L1647" t="s">
        <v>2917</v>
      </c>
      <c r="M1647">
        <v>209.22</v>
      </c>
      <c r="N1647" t="s">
        <v>2917</v>
      </c>
      <c r="O1647" t="s">
        <v>2208</v>
      </c>
      <c r="P1647" t="s">
        <v>2208</v>
      </c>
      <c r="Q1647" t="s">
        <v>2208</v>
      </c>
      <c r="R1647" t="s">
        <v>2208</v>
      </c>
    </row>
    <row r="1648" spans="1:18">
      <c r="A1648" t="s">
        <v>2418</v>
      </c>
      <c r="B1648" t="s">
        <v>16360</v>
      </c>
      <c r="C1648">
        <v>45810</v>
      </c>
      <c r="D1648" t="s">
        <v>7263</v>
      </c>
      <c r="E1648" t="s">
        <v>16361</v>
      </c>
      <c r="F1648">
        <v>45808</v>
      </c>
      <c r="G1648" t="s">
        <v>2208</v>
      </c>
      <c r="H1648" t="s">
        <v>7834</v>
      </c>
      <c r="I1648" t="s">
        <v>18095</v>
      </c>
      <c r="J1648">
        <v>2</v>
      </c>
      <c r="K1648">
        <v>209.22</v>
      </c>
      <c r="L1648" t="s">
        <v>2917</v>
      </c>
      <c r="M1648">
        <v>209.22</v>
      </c>
      <c r="N1648" t="s">
        <v>2917</v>
      </c>
      <c r="O1648" t="s">
        <v>2208</v>
      </c>
      <c r="P1648" t="s">
        <v>2208</v>
      </c>
      <c r="Q1648" t="s">
        <v>2208</v>
      </c>
      <c r="R1648" t="s">
        <v>2208</v>
      </c>
    </row>
    <row r="1649" spans="1:18">
      <c r="A1649" t="s">
        <v>2418</v>
      </c>
      <c r="B1649" t="s">
        <v>16360</v>
      </c>
      <c r="C1649">
        <v>45810</v>
      </c>
      <c r="D1649" t="s">
        <v>7263</v>
      </c>
      <c r="E1649" t="s">
        <v>16361</v>
      </c>
      <c r="F1649">
        <v>45808</v>
      </c>
      <c r="G1649" t="s">
        <v>2208</v>
      </c>
      <c r="H1649" t="s">
        <v>7834</v>
      </c>
      <c r="I1649" t="s">
        <v>18096</v>
      </c>
      <c r="J1649">
        <v>1</v>
      </c>
      <c r="K1649">
        <v>104.61</v>
      </c>
      <c r="L1649" t="s">
        <v>2917</v>
      </c>
      <c r="M1649">
        <v>104.61</v>
      </c>
      <c r="N1649" t="s">
        <v>2917</v>
      </c>
      <c r="O1649" t="s">
        <v>2208</v>
      </c>
      <c r="P1649" t="s">
        <v>2208</v>
      </c>
      <c r="Q1649" t="s">
        <v>2208</v>
      </c>
      <c r="R1649" t="s">
        <v>2208</v>
      </c>
    </row>
    <row r="1650" spans="1:18">
      <c r="A1650" t="s">
        <v>2418</v>
      </c>
      <c r="B1650" t="s">
        <v>16360</v>
      </c>
      <c r="C1650">
        <v>45810</v>
      </c>
      <c r="D1650" t="s">
        <v>7263</v>
      </c>
      <c r="E1650" t="s">
        <v>16361</v>
      </c>
      <c r="F1650">
        <v>45808</v>
      </c>
      <c r="G1650" t="s">
        <v>2208</v>
      </c>
      <c r="H1650" t="s">
        <v>7834</v>
      </c>
      <c r="I1650" t="s">
        <v>18097</v>
      </c>
      <c r="J1650">
        <v>1</v>
      </c>
      <c r="K1650">
        <v>104.61</v>
      </c>
      <c r="L1650" t="s">
        <v>2917</v>
      </c>
      <c r="M1650">
        <v>104.61</v>
      </c>
      <c r="N1650" t="s">
        <v>2917</v>
      </c>
      <c r="O1650" t="s">
        <v>2208</v>
      </c>
      <c r="P1650" t="s">
        <v>2208</v>
      </c>
      <c r="Q1650" t="s">
        <v>2208</v>
      </c>
      <c r="R1650" t="s">
        <v>2208</v>
      </c>
    </row>
    <row r="1651" spans="1:18">
      <c r="A1651" t="s">
        <v>2418</v>
      </c>
      <c r="B1651" t="s">
        <v>16360</v>
      </c>
      <c r="C1651">
        <v>45810</v>
      </c>
      <c r="D1651" t="s">
        <v>7263</v>
      </c>
      <c r="E1651" t="s">
        <v>16361</v>
      </c>
      <c r="F1651">
        <v>45808</v>
      </c>
      <c r="G1651" t="s">
        <v>2208</v>
      </c>
      <c r="H1651" t="s">
        <v>7834</v>
      </c>
      <c r="I1651" t="s">
        <v>18098</v>
      </c>
      <c r="J1651">
        <v>1</v>
      </c>
      <c r="K1651">
        <v>104.61</v>
      </c>
      <c r="L1651" t="s">
        <v>2917</v>
      </c>
      <c r="M1651">
        <v>104.61</v>
      </c>
      <c r="N1651" t="s">
        <v>2917</v>
      </c>
      <c r="O1651" t="s">
        <v>2208</v>
      </c>
      <c r="P1651" t="s">
        <v>2208</v>
      </c>
      <c r="Q1651" t="s">
        <v>2208</v>
      </c>
      <c r="R1651" t="s">
        <v>2208</v>
      </c>
    </row>
    <row r="1652" spans="1:18">
      <c r="A1652" t="s">
        <v>2418</v>
      </c>
      <c r="B1652" t="s">
        <v>16360</v>
      </c>
      <c r="C1652">
        <v>45810</v>
      </c>
      <c r="D1652" t="s">
        <v>7263</v>
      </c>
      <c r="E1652" t="s">
        <v>16361</v>
      </c>
      <c r="F1652">
        <v>45808</v>
      </c>
      <c r="G1652" t="s">
        <v>2208</v>
      </c>
      <c r="H1652" t="s">
        <v>7834</v>
      </c>
      <c r="I1652" t="s">
        <v>18099</v>
      </c>
      <c r="J1652">
        <v>1</v>
      </c>
      <c r="K1652">
        <v>104.61</v>
      </c>
      <c r="L1652" t="s">
        <v>2917</v>
      </c>
      <c r="M1652">
        <v>104.61</v>
      </c>
      <c r="N1652" t="s">
        <v>2917</v>
      </c>
      <c r="O1652" t="s">
        <v>2208</v>
      </c>
      <c r="P1652" t="s">
        <v>2208</v>
      </c>
      <c r="Q1652" t="s">
        <v>2208</v>
      </c>
      <c r="R1652" t="s">
        <v>2208</v>
      </c>
    </row>
    <row r="1653" spans="1:18">
      <c r="A1653" t="s">
        <v>2418</v>
      </c>
      <c r="B1653" t="s">
        <v>16360</v>
      </c>
      <c r="C1653">
        <v>45810</v>
      </c>
      <c r="D1653" t="s">
        <v>7263</v>
      </c>
      <c r="E1653" t="s">
        <v>16361</v>
      </c>
      <c r="F1653">
        <v>45808</v>
      </c>
      <c r="G1653" t="s">
        <v>2208</v>
      </c>
      <c r="H1653" t="s">
        <v>7834</v>
      </c>
      <c r="I1653" t="s">
        <v>18100</v>
      </c>
      <c r="J1653">
        <v>1</v>
      </c>
      <c r="K1653">
        <v>104.61</v>
      </c>
      <c r="L1653" t="s">
        <v>2917</v>
      </c>
      <c r="M1653">
        <v>104.61</v>
      </c>
      <c r="N1653" t="s">
        <v>2917</v>
      </c>
      <c r="O1653" t="s">
        <v>2208</v>
      </c>
      <c r="P1653" t="s">
        <v>2208</v>
      </c>
      <c r="Q1653" t="s">
        <v>2208</v>
      </c>
      <c r="R1653" t="s">
        <v>2208</v>
      </c>
    </row>
    <row r="1654" spans="1:18">
      <c r="A1654" t="s">
        <v>2418</v>
      </c>
      <c r="B1654" t="s">
        <v>16360</v>
      </c>
      <c r="C1654">
        <v>45810</v>
      </c>
      <c r="D1654" t="s">
        <v>7263</v>
      </c>
      <c r="E1654" t="s">
        <v>16361</v>
      </c>
      <c r="F1654">
        <v>45808</v>
      </c>
      <c r="G1654" t="s">
        <v>2208</v>
      </c>
      <c r="H1654" t="s">
        <v>7834</v>
      </c>
      <c r="I1654" t="s">
        <v>18101</v>
      </c>
      <c r="J1654">
        <v>3</v>
      </c>
      <c r="K1654">
        <v>313.83</v>
      </c>
      <c r="L1654" t="s">
        <v>2917</v>
      </c>
      <c r="M1654">
        <v>313.83</v>
      </c>
      <c r="N1654" t="s">
        <v>2917</v>
      </c>
      <c r="O1654" t="s">
        <v>2208</v>
      </c>
      <c r="P1654" t="s">
        <v>2208</v>
      </c>
      <c r="Q1654" t="s">
        <v>2208</v>
      </c>
      <c r="R1654" t="s">
        <v>2208</v>
      </c>
    </row>
    <row r="1655" spans="1:18">
      <c r="A1655" t="s">
        <v>2418</v>
      </c>
      <c r="B1655" t="s">
        <v>16360</v>
      </c>
      <c r="C1655">
        <v>45810</v>
      </c>
      <c r="D1655" t="s">
        <v>7263</v>
      </c>
      <c r="E1655" t="s">
        <v>16361</v>
      </c>
      <c r="F1655">
        <v>45808</v>
      </c>
      <c r="G1655" t="s">
        <v>2208</v>
      </c>
      <c r="H1655" t="s">
        <v>7834</v>
      </c>
      <c r="I1655" t="s">
        <v>18102</v>
      </c>
      <c r="J1655">
        <v>1</v>
      </c>
      <c r="K1655">
        <v>104.61</v>
      </c>
      <c r="L1655" t="s">
        <v>2917</v>
      </c>
      <c r="M1655">
        <v>104.61</v>
      </c>
      <c r="N1655" t="s">
        <v>2917</v>
      </c>
      <c r="O1655" t="s">
        <v>2208</v>
      </c>
      <c r="P1655" t="s">
        <v>2208</v>
      </c>
      <c r="Q1655" t="s">
        <v>2208</v>
      </c>
      <c r="R1655" t="s">
        <v>2208</v>
      </c>
    </row>
    <row r="1656" spans="1:18">
      <c r="A1656" t="s">
        <v>2418</v>
      </c>
      <c r="B1656" t="s">
        <v>16360</v>
      </c>
      <c r="C1656">
        <v>45810</v>
      </c>
      <c r="D1656" t="s">
        <v>7263</v>
      </c>
      <c r="E1656" t="s">
        <v>16361</v>
      </c>
      <c r="F1656">
        <v>45808</v>
      </c>
      <c r="G1656" t="s">
        <v>2208</v>
      </c>
      <c r="H1656" t="s">
        <v>7834</v>
      </c>
      <c r="I1656" t="s">
        <v>18103</v>
      </c>
      <c r="J1656">
        <v>0.5</v>
      </c>
      <c r="K1656">
        <v>52.31</v>
      </c>
      <c r="L1656" t="s">
        <v>2917</v>
      </c>
      <c r="M1656">
        <v>52.31</v>
      </c>
      <c r="N1656" t="s">
        <v>2917</v>
      </c>
      <c r="O1656" t="s">
        <v>2208</v>
      </c>
      <c r="P1656" t="s">
        <v>2208</v>
      </c>
      <c r="Q1656" t="s">
        <v>2208</v>
      </c>
      <c r="R1656" t="s">
        <v>2208</v>
      </c>
    </row>
    <row r="1657" spans="1:18">
      <c r="A1657" t="s">
        <v>2418</v>
      </c>
      <c r="B1657" t="s">
        <v>16360</v>
      </c>
      <c r="C1657">
        <v>45810</v>
      </c>
      <c r="D1657" t="s">
        <v>7263</v>
      </c>
      <c r="E1657" t="s">
        <v>16361</v>
      </c>
      <c r="F1657">
        <v>45808</v>
      </c>
      <c r="G1657" t="s">
        <v>2208</v>
      </c>
      <c r="H1657" t="s">
        <v>7834</v>
      </c>
      <c r="I1657" t="s">
        <v>18104</v>
      </c>
      <c r="J1657">
        <v>1</v>
      </c>
      <c r="K1657">
        <v>104.61</v>
      </c>
      <c r="L1657" t="s">
        <v>2917</v>
      </c>
      <c r="M1657">
        <v>104.61</v>
      </c>
      <c r="N1657" t="s">
        <v>2917</v>
      </c>
      <c r="O1657" t="s">
        <v>2208</v>
      </c>
      <c r="P1657" t="s">
        <v>2208</v>
      </c>
      <c r="Q1657" t="s">
        <v>2208</v>
      </c>
      <c r="R1657" t="s">
        <v>2208</v>
      </c>
    </row>
    <row r="1658" spans="1:18">
      <c r="A1658" t="s">
        <v>2418</v>
      </c>
      <c r="B1658" t="s">
        <v>16360</v>
      </c>
      <c r="C1658">
        <v>45810</v>
      </c>
      <c r="D1658" t="s">
        <v>7263</v>
      </c>
      <c r="E1658" t="s">
        <v>16361</v>
      </c>
      <c r="F1658">
        <v>45808</v>
      </c>
      <c r="G1658" t="s">
        <v>2208</v>
      </c>
      <c r="H1658" t="s">
        <v>7834</v>
      </c>
      <c r="I1658" t="s">
        <v>18105</v>
      </c>
      <c r="J1658">
        <v>1</v>
      </c>
      <c r="K1658">
        <v>104.61</v>
      </c>
      <c r="L1658" t="s">
        <v>2917</v>
      </c>
      <c r="M1658">
        <v>104.61</v>
      </c>
      <c r="N1658" t="s">
        <v>2917</v>
      </c>
      <c r="O1658" t="s">
        <v>2208</v>
      </c>
      <c r="P1658" t="s">
        <v>2208</v>
      </c>
      <c r="Q1658" t="s">
        <v>2208</v>
      </c>
      <c r="R1658" t="s">
        <v>2208</v>
      </c>
    </row>
    <row r="1659" spans="1:18">
      <c r="A1659" t="s">
        <v>2418</v>
      </c>
      <c r="B1659" t="s">
        <v>16360</v>
      </c>
      <c r="C1659">
        <v>45810</v>
      </c>
      <c r="D1659" t="s">
        <v>7263</v>
      </c>
      <c r="E1659" t="s">
        <v>16361</v>
      </c>
      <c r="F1659">
        <v>45808</v>
      </c>
      <c r="G1659" t="s">
        <v>2208</v>
      </c>
      <c r="H1659" t="s">
        <v>7834</v>
      </c>
      <c r="I1659" t="s">
        <v>18106</v>
      </c>
      <c r="J1659">
        <v>1</v>
      </c>
      <c r="K1659">
        <v>104.61</v>
      </c>
      <c r="L1659" t="s">
        <v>2917</v>
      </c>
      <c r="M1659">
        <v>104.61</v>
      </c>
      <c r="N1659" t="s">
        <v>2917</v>
      </c>
      <c r="O1659" t="s">
        <v>2208</v>
      </c>
      <c r="P1659" t="s">
        <v>2208</v>
      </c>
      <c r="Q1659" t="s">
        <v>2208</v>
      </c>
      <c r="R1659" t="s">
        <v>2208</v>
      </c>
    </row>
    <row r="1660" spans="1:18">
      <c r="A1660" t="s">
        <v>2418</v>
      </c>
      <c r="B1660" t="s">
        <v>16360</v>
      </c>
      <c r="C1660">
        <v>45810</v>
      </c>
      <c r="D1660" t="s">
        <v>7263</v>
      </c>
      <c r="E1660" t="s">
        <v>16361</v>
      </c>
      <c r="F1660">
        <v>45808</v>
      </c>
      <c r="G1660" t="s">
        <v>2208</v>
      </c>
      <c r="H1660" t="s">
        <v>7834</v>
      </c>
      <c r="I1660" t="s">
        <v>18107</v>
      </c>
      <c r="J1660">
        <v>1</v>
      </c>
      <c r="K1660">
        <v>104.61</v>
      </c>
      <c r="L1660" t="s">
        <v>2917</v>
      </c>
      <c r="M1660">
        <v>104.61</v>
      </c>
      <c r="N1660" t="s">
        <v>2917</v>
      </c>
      <c r="O1660" t="s">
        <v>2208</v>
      </c>
      <c r="P1660" t="s">
        <v>2208</v>
      </c>
      <c r="Q1660" t="s">
        <v>2208</v>
      </c>
      <c r="R1660" t="s">
        <v>2208</v>
      </c>
    </row>
    <row r="1661" spans="1:18">
      <c r="A1661" t="s">
        <v>2418</v>
      </c>
      <c r="B1661" t="s">
        <v>16360</v>
      </c>
      <c r="C1661">
        <v>45810</v>
      </c>
      <c r="D1661" t="s">
        <v>7263</v>
      </c>
      <c r="E1661" t="s">
        <v>16361</v>
      </c>
      <c r="F1661">
        <v>45808</v>
      </c>
      <c r="G1661" t="s">
        <v>2208</v>
      </c>
      <c r="H1661" t="s">
        <v>7834</v>
      </c>
      <c r="I1661" t="s">
        <v>18108</v>
      </c>
      <c r="J1661">
        <v>1</v>
      </c>
      <c r="K1661">
        <v>104.61</v>
      </c>
      <c r="L1661" t="s">
        <v>2917</v>
      </c>
      <c r="M1661">
        <v>104.61</v>
      </c>
      <c r="N1661" t="s">
        <v>2917</v>
      </c>
      <c r="O1661" t="s">
        <v>2208</v>
      </c>
      <c r="P1661" t="s">
        <v>2208</v>
      </c>
      <c r="Q1661" t="s">
        <v>2208</v>
      </c>
      <c r="R1661" t="s">
        <v>2208</v>
      </c>
    </row>
    <row r="1662" spans="1:18">
      <c r="A1662" t="s">
        <v>2418</v>
      </c>
      <c r="B1662" t="s">
        <v>16360</v>
      </c>
      <c r="C1662">
        <v>45810</v>
      </c>
      <c r="D1662" t="s">
        <v>7263</v>
      </c>
      <c r="E1662" t="s">
        <v>16361</v>
      </c>
      <c r="F1662">
        <v>45808</v>
      </c>
      <c r="G1662" t="s">
        <v>2208</v>
      </c>
      <c r="H1662" t="s">
        <v>7834</v>
      </c>
      <c r="I1662" t="s">
        <v>18109</v>
      </c>
      <c r="J1662">
        <v>2</v>
      </c>
      <c r="K1662">
        <v>209.22</v>
      </c>
      <c r="L1662" t="s">
        <v>2917</v>
      </c>
      <c r="M1662">
        <v>209.22</v>
      </c>
      <c r="N1662" t="s">
        <v>2917</v>
      </c>
      <c r="O1662" t="s">
        <v>2208</v>
      </c>
      <c r="P1662" t="s">
        <v>2208</v>
      </c>
      <c r="Q1662" t="s">
        <v>2208</v>
      </c>
      <c r="R1662" t="s">
        <v>2208</v>
      </c>
    </row>
    <row r="1663" spans="1:18">
      <c r="A1663" t="s">
        <v>2418</v>
      </c>
      <c r="B1663" t="s">
        <v>16360</v>
      </c>
      <c r="C1663">
        <v>45810</v>
      </c>
      <c r="D1663" t="s">
        <v>7263</v>
      </c>
      <c r="E1663" t="s">
        <v>16361</v>
      </c>
      <c r="F1663">
        <v>45808</v>
      </c>
      <c r="G1663" t="s">
        <v>2208</v>
      </c>
      <c r="H1663" t="s">
        <v>7834</v>
      </c>
      <c r="I1663" t="s">
        <v>18110</v>
      </c>
      <c r="J1663">
        <v>2</v>
      </c>
      <c r="K1663">
        <v>209.22</v>
      </c>
      <c r="L1663" t="s">
        <v>2917</v>
      </c>
      <c r="M1663">
        <v>209.22</v>
      </c>
      <c r="N1663" t="s">
        <v>2917</v>
      </c>
      <c r="O1663" t="s">
        <v>2208</v>
      </c>
      <c r="P1663" t="s">
        <v>2208</v>
      </c>
      <c r="Q1663" t="s">
        <v>2208</v>
      </c>
      <c r="R1663" t="s">
        <v>2208</v>
      </c>
    </row>
    <row r="1664" spans="1:18">
      <c r="A1664" t="s">
        <v>2418</v>
      </c>
      <c r="B1664" t="s">
        <v>16360</v>
      </c>
      <c r="C1664">
        <v>45810</v>
      </c>
      <c r="D1664" t="s">
        <v>7263</v>
      </c>
      <c r="E1664" t="s">
        <v>16361</v>
      </c>
      <c r="F1664">
        <v>45808</v>
      </c>
      <c r="G1664" t="s">
        <v>2208</v>
      </c>
      <c r="H1664" t="s">
        <v>7834</v>
      </c>
      <c r="I1664" t="s">
        <v>18111</v>
      </c>
      <c r="J1664">
        <v>2</v>
      </c>
      <c r="K1664">
        <v>209.22</v>
      </c>
      <c r="L1664" t="s">
        <v>2917</v>
      </c>
      <c r="M1664">
        <v>209.22</v>
      </c>
      <c r="N1664" t="s">
        <v>2917</v>
      </c>
      <c r="O1664" t="s">
        <v>2208</v>
      </c>
      <c r="P1664" t="s">
        <v>2208</v>
      </c>
      <c r="Q1664" t="s">
        <v>2208</v>
      </c>
      <c r="R1664" t="s">
        <v>2208</v>
      </c>
    </row>
    <row r="1665" spans="1:18">
      <c r="A1665" t="s">
        <v>2418</v>
      </c>
      <c r="B1665" t="s">
        <v>16360</v>
      </c>
      <c r="C1665">
        <v>45810</v>
      </c>
      <c r="D1665" t="s">
        <v>7263</v>
      </c>
      <c r="E1665" t="s">
        <v>16361</v>
      </c>
      <c r="F1665">
        <v>45808</v>
      </c>
      <c r="G1665" t="s">
        <v>2208</v>
      </c>
      <c r="H1665" t="s">
        <v>7834</v>
      </c>
      <c r="I1665" t="s">
        <v>18112</v>
      </c>
      <c r="J1665">
        <v>2</v>
      </c>
      <c r="K1665">
        <v>209.22</v>
      </c>
      <c r="L1665" t="s">
        <v>2917</v>
      </c>
      <c r="M1665">
        <v>209.22</v>
      </c>
      <c r="N1665" t="s">
        <v>2917</v>
      </c>
      <c r="O1665" t="s">
        <v>2208</v>
      </c>
      <c r="P1665" t="s">
        <v>2208</v>
      </c>
      <c r="Q1665" t="s">
        <v>2208</v>
      </c>
      <c r="R1665" t="s">
        <v>2208</v>
      </c>
    </row>
    <row r="1666" spans="1:18">
      <c r="A1666" t="s">
        <v>2418</v>
      </c>
      <c r="B1666" t="s">
        <v>16360</v>
      </c>
      <c r="C1666">
        <v>45810</v>
      </c>
      <c r="D1666" t="s">
        <v>7263</v>
      </c>
      <c r="E1666" t="s">
        <v>16361</v>
      </c>
      <c r="F1666">
        <v>45808</v>
      </c>
      <c r="G1666" t="s">
        <v>2208</v>
      </c>
      <c r="H1666" t="s">
        <v>7834</v>
      </c>
      <c r="I1666" t="s">
        <v>18113</v>
      </c>
      <c r="J1666">
        <v>1.8</v>
      </c>
      <c r="K1666">
        <v>188.3</v>
      </c>
      <c r="L1666" t="s">
        <v>2917</v>
      </c>
      <c r="M1666">
        <v>188.3</v>
      </c>
      <c r="N1666" t="s">
        <v>2917</v>
      </c>
      <c r="O1666" t="s">
        <v>2208</v>
      </c>
      <c r="P1666" t="s">
        <v>2208</v>
      </c>
      <c r="Q1666" t="s">
        <v>2208</v>
      </c>
      <c r="R1666" t="s">
        <v>2208</v>
      </c>
    </row>
    <row r="1667" spans="1:18">
      <c r="A1667" t="s">
        <v>2418</v>
      </c>
      <c r="B1667" t="s">
        <v>16360</v>
      </c>
      <c r="C1667">
        <v>45810</v>
      </c>
      <c r="D1667" t="s">
        <v>7263</v>
      </c>
      <c r="E1667" t="s">
        <v>16361</v>
      </c>
      <c r="F1667">
        <v>45808</v>
      </c>
      <c r="G1667" t="s">
        <v>2208</v>
      </c>
      <c r="H1667" t="s">
        <v>7834</v>
      </c>
      <c r="I1667" t="s">
        <v>18114</v>
      </c>
      <c r="J1667">
        <v>1</v>
      </c>
      <c r="K1667">
        <v>104.61</v>
      </c>
      <c r="L1667" t="s">
        <v>2917</v>
      </c>
      <c r="M1667">
        <v>104.61</v>
      </c>
      <c r="N1667" t="s">
        <v>2917</v>
      </c>
      <c r="O1667" t="s">
        <v>2208</v>
      </c>
      <c r="P1667" t="s">
        <v>2208</v>
      </c>
      <c r="Q1667" t="s">
        <v>2208</v>
      </c>
      <c r="R1667" t="s">
        <v>2208</v>
      </c>
    </row>
    <row r="1668" spans="1:18">
      <c r="A1668" t="s">
        <v>2418</v>
      </c>
      <c r="B1668" t="s">
        <v>16360</v>
      </c>
      <c r="C1668">
        <v>45810</v>
      </c>
      <c r="D1668" t="s">
        <v>7263</v>
      </c>
      <c r="E1668" t="s">
        <v>16361</v>
      </c>
      <c r="F1668">
        <v>45808</v>
      </c>
      <c r="G1668" t="s">
        <v>2208</v>
      </c>
      <c r="H1668" t="s">
        <v>7834</v>
      </c>
      <c r="I1668" t="s">
        <v>18115</v>
      </c>
      <c r="J1668">
        <v>1</v>
      </c>
      <c r="K1668">
        <v>104.61</v>
      </c>
      <c r="L1668" t="s">
        <v>2917</v>
      </c>
      <c r="M1668">
        <v>104.61</v>
      </c>
      <c r="N1668" t="s">
        <v>2917</v>
      </c>
      <c r="O1668" t="s">
        <v>2208</v>
      </c>
      <c r="P1668" t="s">
        <v>2208</v>
      </c>
      <c r="Q1668" t="s">
        <v>2208</v>
      </c>
      <c r="R1668" t="s">
        <v>2208</v>
      </c>
    </row>
    <row r="1669" spans="1:18">
      <c r="A1669" t="s">
        <v>2418</v>
      </c>
      <c r="B1669" t="s">
        <v>16360</v>
      </c>
      <c r="C1669">
        <v>45810</v>
      </c>
      <c r="D1669" t="s">
        <v>7263</v>
      </c>
      <c r="E1669" t="s">
        <v>16361</v>
      </c>
      <c r="F1669">
        <v>45808</v>
      </c>
      <c r="G1669" t="s">
        <v>2208</v>
      </c>
      <c r="H1669" t="s">
        <v>7834</v>
      </c>
      <c r="I1669" t="s">
        <v>18116</v>
      </c>
      <c r="J1669">
        <v>2</v>
      </c>
      <c r="K1669">
        <v>209.22</v>
      </c>
      <c r="L1669" t="s">
        <v>2917</v>
      </c>
      <c r="M1669">
        <v>209.22</v>
      </c>
      <c r="N1669" t="s">
        <v>2917</v>
      </c>
      <c r="O1669" t="s">
        <v>2208</v>
      </c>
      <c r="P1669" t="s">
        <v>2208</v>
      </c>
      <c r="Q1669" t="s">
        <v>2208</v>
      </c>
      <c r="R1669" t="s">
        <v>2208</v>
      </c>
    </row>
    <row r="1670" spans="1:18">
      <c r="A1670" t="s">
        <v>2418</v>
      </c>
      <c r="B1670" t="s">
        <v>16360</v>
      </c>
      <c r="C1670">
        <v>45810</v>
      </c>
      <c r="D1670" t="s">
        <v>7263</v>
      </c>
      <c r="E1670" t="s">
        <v>16361</v>
      </c>
      <c r="F1670">
        <v>45808</v>
      </c>
      <c r="G1670" t="s">
        <v>2208</v>
      </c>
      <c r="H1670" t="s">
        <v>7834</v>
      </c>
      <c r="I1670" t="s">
        <v>18117</v>
      </c>
      <c r="J1670">
        <v>6</v>
      </c>
      <c r="K1670">
        <v>627.66</v>
      </c>
      <c r="L1670" t="s">
        <v>2917</v>
      </c>
      <c r="M1670">
        <v>627.66</v>
      </c>
      <c r="N1670" t="s">
        <v>2917</v>
      </c>
      <c r="O1670" t="s">
        <v>2208</v>
      </c>
      <c r="P1670" t="s">
        <v>2208</v>
      </c>
      <c r="Q1670" t="s">
        <v>2208</v>
      </c>
      <c r="R1670" t="s">
        <v>2208</v>
      </c>
    </row>
    <row r="1671" spans="1:18">
      <c r="A1671" t="s">
        <v>2418</v>
      </c>
      <c r="B1671" t="s">
        <v>16360</v>
      </c>
      <c r="C1671">
        <v>45810</v>
      </c>
      <c r="D1671" t="s">
        <v>7263</v>
      </c>
      <c r="E1671" t="s">
        <v>16361</v>
      </c>
      <c r="F1671">
        <v>45808</v>
      </c>
      <c r="G1671" t="s">
        <v>2208</v>
      </c>
      <c r="H1671" t="s">
        <v>7834</v>
      </c>
      <c r="I1671" t="s">
        <v>18118</v>
      </c>
      <c r="J1671">
        <v>3</v>
      </c>
      <c r="K1671">
        <v>313.83</v>
      </c>
      <c r="L1671" t="s">
        <v>2917</v>
      </c>
      <c r="M1671">
        <v>313.83</v>
      </c>
      <c r="N1671" t="s">
        <v>2917</v>
      </c>
      <c r="O1671" t="s">
        <v>2208</v>
      </c>
      <c r="P1671" t="s">
        <v>2208</v>
      </c>
      <c r="Q1671" t="s">
        <v>2208</v>
      </c>
      <c r="R1671" t="s">
        <v>2208</v>
      </c>
    </row>
    <row r="1672" spans="1:18">
      <c r="A1672" t="s">
        <v>2418</v>
      </c>
      <c r="B1672" t="s">
        <v>16360</v>
      </c>
      <c r="C1672">
        <v>45810</v>
      </c>
      <c r="D1672" t="s">
        <v>7263</v>
      </c>
      <c r="E1672" t="s">
        <v>16361</v>
      </c>
      <c r="F1672">
        <v>45808</v>
      </c>
      <c r="G1672" t="s">
        <v>2208</v>
      </c>
      <c r="H1672" t="s">
        <v>7834</v>
      </c>
      <c r="I1672" t="s">
        <v>18119</v>
      </c>
      <c r="J1672">
        <v>4</v>
      </c>
      <c r="K1672">
        <v>418.44</v>
      </c>
      <c r="L1672" t="s">
        <v>2917</v>
      </c>
      <c r="M1672">
        <v>418.44</v>
      </c>
      <c r="N1672" t="s">
        <v>2917</v>
      </c>
      <c r="O1672" t="s">
        <v>2208</v>
      </c>
      <c r="P1672" t="s">
        <v>2208</v>
      </c>
      <c r="Q1672" t="s">
        <v>2208</v>
      </c>
      <c r="R1672" t="s">
        <v>2208</v>
      </c>
    </row>
    <row r="1673" spans="1:18">
      <c r="A1673" t="s">
        <v>2418</v>
      </c>
      <c r="B1673" t="s">
        <v>16360</v>
      </c>
      <c r="C1673">
        <v>45810</v>
      </c>
      <c r="D1673" t="s">
        <v>7263</v>
      </c>
      <c r="E1673" t="s">
        <v>16361</v>
      </c>
      <c r="F1673">
        <v>45808</v>
      </c>
      <c r="G1673" t="s">
        <v>2208</v>
      </c>
      <c r="H1673" t="s">
        <v>7834</v>
      </c>
      <c r="I1673" t="s">
        <v>18120</v>
      </c>
      <c r="J1673">
        <v>6</v>
      </c>
      <c r="K1673">
        <v>627.66</v>
      </c>
      <c r="L1673" t="s">
        <v>2917</v>
      </c>
      <c r="M1673">
        <v>627.66</v>
      </c>
      <c r="N1673" t="s">
        <v>2917</v>
      </c>
      <c r="O1673" t="s">
        <v>2208</v>
      </c>
      <c r="P1673" t="s">
        <v>2208</v>
      </c>
      <c r="Q1673" t="s">
        <v>2208</v>
      </c>
      <c r="R1673" t="s">
        <v>2208</v>
      </c>
    </row>
    <row r="1674" spans="1:18">
      <c r="A1674" t="s">
        <v>2418</v>
      </c>
      <c r="B1674" t="s">
        <v>16360</v>
      </c>
      <c r="C1674">
        <v>45810</v>
      </c>
      <c r="D1674" t="s">
        <v>7263</v>
      </c>
      <c r="E1674" t="s">
        <v>16361</v>
      </c>
      <c r="F1674">
        <v>45808</v>
      </c>
      <c r="G1674" t="s">
        <v>2208</v>
      </c>
      <c r="H1674" t="s">
        <v>7834</v>
      </c>
      <c r="I1674" t="s">
        <v>18121</v>
      </c>
      <c r="J1674">
        <v>6.5</v>
      </c>
      <c r="K1674">
        <v>679.97</v>
      </c>
      <c r="L1674" t="s">
        <v>2917</v>
      </c>
      <c r="M1674">
        <v>679.97</v>
      </c>
      <c r="N1674" t="s">
        <v>2917</v>
      </c>
      <c r="O1674" t="s">
        <v>2208</v>
      </c>
      <c r="P1674" t="s">
        <v>2208</v>
      </c>
      <c r="Q1674" t="s">
        <v>2208</v>
      </c>
      <c r="R1674" t="s">
        <v>2208</v>
      </c>
    </row>
    <row r="1675" spans="1:18">
      <c r="A1675" t="s">
        <v>2418</v>
      </c>
      <c r="B1675" t="s">
        <v>16360</v>
      </c>
      <c r="C1675">
        <v>45810</v>
      </c>
      <c r="D1675" t="s">
        <v>7263</v>
      </c>
      <c r="E1675" t="s">
        <v>16361</v>
      </c>
      <c r="F1675">
        <v>45808</v>
      </c>
      <c r="G1675" t="s">
        <v>2208</v>
      </c>
      <c r="H1675" t="s">
        <v>7834</v>
      </c>
      <c r="I1675" t="s">
        <v>18122</v>
      </c>
      <c r="J1675">
        <v>5</v>
      </c>
      <c r="K1675">
        <v>523.04999999999995</v>
      </c>
      <c r="L1675" t="s">
        <v>2917</v>
      </c>
      <c r="M1675">
        <v>523.04999999999995</v>
      </c>
      <c r="N1675" t="s">
        <v>2917</v>
      </c>
      <c r="O1675" t="s">
        <v>2208</v>
      </c>
      <c r="P1675" t="s">
        <v>2208</v>
      </c>
      <c r="Q1675" t="s">
        <v>2208</v>
      </c>
      <c r="R1675" t="s">
        <v>2208</v>
      </c>
    </row>
    <row r="1676" spans="1:18">
      <c r="A1676" t="s">
        <v>2418</v>
      </c>
      <c r="B1676" t="s">
        <v>16360</v>
      </c>
      <c r="C1676">
        <v>45810</v>
      </c>
      <c r="D1676" t="s">
        <v>7263</v>
      </c>
      <c r="E1676" t="s">
        <v>16361</v>
      </c>
      <c r="F1676">
        <v>45808</v>
      </c>
      <c r="G1676" t="s">
        <v>2208</v>
      </c>
      <c r="H1676" t="s">
        <v>7834</v>
      </c>
      <c r="I1676" t="s">
        <v>18123</v>
      </c>
      <c r="J1676">
        <v>4.5</v>
      </c>
      <c r="K1676">
        <v>470.75</v>
      </c>
      <c r="L1676" t="s">
        <v>2917</v>
      </c>
      <c r="M1676">
        <v>470.75</v>
      </c>
      <c r="N1676" t="s">
        <v>2917</v>
      </c>
      <c r="O1676" t="s">
        <v>2208</v>
      </c>
      <c r="P1676" t="s">
        <v>2208</v>
      </c>
      <c r="Q1676" t="s">
        <v>2208</v>
      </c>
      <c r="R1676" t="s">
        <v>2208</v>
      </c>
    </row>
    <row r="1677" spans="1:18">
      <c r="A1677" t="s">
        <v>2418</v>
      </c>
      <c r="B1677" t="s">
        <v>16360</v>
      </c>
      <c r="C1677">
        <v>45810</v>
      </c>
      <c r="D1677" t="s">
        <v>7263</v>
      </c>
      <c r="E1677" t="s">
        <v>16361</v>
      </c>
      <c r="F1677">
        <v>45808</v>
      </c>
      <c r="G1677" t="s">
        <v>2208</v>
      </c>
      <c r="H1677" t="s">
        <v>7834</v>
      </c>
      <c r="I1677" t="s">
        <v>18124</v>
      </c>
      <c r="J1677">
        <v>1</v>
      </c>
      <c r="K1677">
        <v>104.61</v>
      </c>
      <c r="L1677" t="s">
        <v>2917</v>
      </c>
      <c r="M1677">
        <v>104.61</v>
      </c>
      <c r="N1677" t="s">
        <v>2917</v>
      </c>
      <c r="O1677" t="s">
        <v>2208</v>
      </c>
      <c r="P1677" t="s">
        <v>2208</v>
      </c>
      <c r="Q1677" t="s">
        <v>2208</v>
      </c>
      <c r="R1677" t="s">
        <v>2208</v>
      </c>
    </row>
    <row r="1678" spans="1:18">
      <c r="A1678" t="s">
        <v>2418</v>
      </c>
      <c r="B1678" t="s">
        <v>16360</v>
      </c>
      <c r="C1678">
        <v>45810</v>
      </c>
      <c r="D1678" t="s">
        <v>7263</v>
      </c>
      <c r="E1678" t="s">
        <v>16361</v>
      </c>
      <c r="F1678">
        <v>45808</v>
      </c>
      <c r="G1678" t="s">
        <v>2208</v>
      </c>
      <c r="H1678" t="s">
        <v>7834</v>
      </c>
      <c r="I1678" t="s">
        <v>18125</v>
      </c>
      <c r="J1678">
        <v>2</v>
      </c>
      <c r="K1678">
        <v>209.22</v>
      </c>
      <c r="L1678" t="s">
        <v>2917</v>
      </c>
      <c r="M1678">
        <v>209.22</v>
      </c>
      <c r="N1678" t="s">
        <v>2917</v>
      </c>
      <c r="O1678" t="s">
        <v>2208</v>
      </c>
      <c r="P1678" t="s">
        <v>2208</v>
      </c>
      <c r="Q1678" t="s">
        <v>2208</v>
      </c>
      <c r="R1678" t="s">
        <v>2208</v>
      </c>
    </row>
    <row r="1679" spans="1:18">
      <c r="A1679" t="s">
        <v>2418</v>
      </c>
      <c r="B1679" t="s">
        <v>16360</v>
      </c>
      <c r="C1679">
        <v>45810</v>
      </c>
      <c r="D1679" t="s">
        <v>7263</v>
      </c>
      <c r="E1679" t="s">
        <v>16361</v>
      </c>
      <c r="F1679">
        <v>45808</v>
      </c>
      <c r="G1679" t="s">
        <v>2208</v>
      </c>
      <c r="H1679" t="s">
        <v>7834</v>
      </c>
      <c r="I1679" t="s">
        <v>18126</v>
      </c>
      <c r="J1679">
        <v>1</v>
      </c>
      <c r="K1679">
        <v>104.61</v>
      </c>
      <c r="L1679" t="s">
        <v>2917</v>
      </c>
      <c r="M1679">
        <v>104.61</v>
      </c>
      <c r="N1679" t="s">
        <v>2917</v>
      </c>
      <c r="O1679" t="s">
        <v>2208</v>
      </c>
      <c r="P1679" t="s">
        <v>2208</v>
      </c>
      <c r="Q1679" t="s">
        <v>2208</v>
      </c>
      <c r="R1679" t="s">
        <v>2208</v>
      </c>
    </row>
    <row r="1680" spans="1:18">
      <c r="A1680" t="s">
        <v>2418</v>
      </c>
      <c r="B1680" t="s">
        <v>16360</v>
      </c>
      <c r="C1680">
        <v>45810</v>
      </c>
      <c r="D1680" t="s">
        <v>7263</v>
      </c>
      <c r="E1680" t="s">
        <v>16361</v>
      </c>
      <c r="F1680">
        <v>45808</v>
      </c>
      <c r="G1680" t="s">
        <v>2208</v>
      </c>
      <c r="H1680" t="s">
        <v>7834</v>
      </c>
      <c r="I1680" t="s">
        <v>18127</v>
      </c>
      <c r="J1680">
        <v>2</v>
      </c>
      <c r="K1680">
        <v>209.22</v>
      </c>
      <c r="L1680" t="s">
        <v>2917</v>
      </c>
      <c r="M1680">
        <v>209.22</v>
      </c>
      <c r="N1680" t="s">
        <v>2917</v>
      </c>
      <c r="O1680" t="s">
        <v>2208</v>
      </c>
      <c r="P1680" t="s">
        <v>2208</v>
      </c>
      <c r="Q1680" t="s">
        <v>2208</v>
      </c>
      <c r="R1680" t="s">
        <v>2208</v>
      </c>
    </row>
    <row r="1681" spans="1:18">
      <c r="A1681" t="s">
        <v>2418</v>
      </c>
      <c r="B1681" t="s">
        <v>16360</v>
      </c>
      <c r="C1681">
        <v>45810</v>
      </c>
      <c r="D1681" t="s">
        <v>7263</v>
      </c>
      <c r="E1681" t="s">
        <v>16361</v>
      </c>
      <c r="F1681">
        <v>45808</v>
      </c>
      <c r="G1681" t="s">
        <v>2208</v>
      </c>
      <c r="H1681" t="s">
        <v>7834</v>
      </c>
      <c r="I1681" t="s">
        <v>18128</v>
      </c>
      <c r="J1681">
        <v>4</v>
      </c>
      <c r="K1681">
        <v>418.44</v>
      </c>
      <c r="L1681" t="s">
        <v>2917</v>
      </c>
      <c r="M1681">
        <v>418.44</v>
      </c>
      <c r="N1681" t="s">
        <v>2917</v>
      </c>
      <c r="O1681" t="s">
        <v>2208</v>
      </c>
      <c r="P1681" t="s">
        <v>2208</v>
      </c>
      <c r="Q1681" t="s">
        <v>2208</v>
      </c>
      <c r="R1681" t="s">
        <v>2208</v>
      </c>
    </row>
    <row r="1682" spans="1:18">
      <c r="A1682" t="s">
        <v>2418</v>
      </c>
      <c r="B1682" t="s">
        <v>16360</v>
      </c>
      <c r="C1682">
        <v>45810</v>
      </c>
      <c r="D1682" t="s">
        <v>7263</v>
      </c>
      <c r="E1682" t="s">
        <v>16361</v>
      </c>
      <c r="F1682">
        <v>45808</v>
      </c>
      <c r="G1682" t="s">
        <v>2208</v>
      </c>
      <c r="H1682" t="s">
        <v>7834</v>
      </c>
      <c r="I1682" t="s">
        <v>18129</v>
      </c>
      <c r="J1682">
        <v>8</v>
      </c>
      <c r="K1682">
        <v>836.88</v>
      </c>
      <c r="L1682" t="s">
        <v>2917</v>
      </c>
      <c r="M1682">
        <v>836.88</v>
      </c>
      <c r="N1682" t="s">
        <v>2917</v>
      </c>
      <c r="O1682" t="s">
        <v>2208</v>
      </c>
      <c r="P1682" t="s">
        <v>2208</v>
      </c>
      <c r="Q1682" t="s">
        <v>2208</v>
      </c>
      <c r="R1682" t="s">
        <v>2208</v>
      </c>
    </row>
    <row r="1683" spans="1:18">
      <c r="A1683" t="s">
        <v>2418</v>
      </c>
      <c r="B1683" t="s">
        <v>16360</v>
      </c>
      <c r="C1683">
        <v>45810</v>
      </c>
      <c r="D1683" t="s">
        <v>7263</v>
      </c>
      <c r="E1683" t="s">
        <v>16361</v>
      </c>
      <c r="F1683">
        <v>45808</v>
      </c>
      <c r="G1683" t="s">
        <v>2208</v>
      </c>
      <c r="H1683" t="s">
        <v>7834</v>
      </c>
      <c r="I1683" t="s">
        <v>18130</v>
      </c>
      <c r="J1683">
        <v>7</v>
      </c>
      <c r="K1683">
        <v>732.27</v>
      </c>
      <c r="L1683" t="s">
        <v>2917</v>
      </c>
      <c r="M1683">
        <v>732.27</v>
      </c>
      <c r="N1683" t="s">
        <v>2917</v>
      </c>
      <c r="O1683" t="s">
        <v>2208</v>
      </c>
      <c r="P1683" t="s">
        <v>2208</v>
      </c>
      <c r="Q1683" t="s">
        <v>2208</v>
      </c>
      <c r="R1683" t="s">
        <v>2208</v>
      </c>
    </row>
    <row r="1684" spans="1:18">
      <c r="A1684" t="s">
        <v>2418</v>
      </c>
      <c r="B1684" t="s">
        <v>16360</v>
      </c>
      <c r="C1684">
        <v>45810</v>
      </c>
      <c r="D1684" t="s">
        <v>7263</v>
      </c>
      <c r="E1684" t="s">
        <v>16361</v>
      </c>
      <c r="F1684">
        <v>45808</v>
      </c>
      <c r="G1684" t="s">
        <v>2208</v>
      </c>
      <c r="H1684" t="s">
        <v>7834</v>
      </c>
      <c r="I1684" t="s">
        <v>18131</v>
      </c>
      <c r="J1684">
        <v>1</v>
      </c>
      <c r="K1684">
        <v>104.61</v>
      </c>
      <c r="L1684" t="s">
        <v>2917</v>
      </c>
      <c r="M1684">
        <v>104.61</v>
      </c>
      <c r="N1684" t="s">
        <v>2917</v>
      </c>
      <c r="O1684" t="s">
        <v>2208</v>
      </c>
      <c r="P1684" t="s">
        <v>2208</v>
      </c>
      <c r="Q1684" t="s">
        <v>2208</v>
      </c>
      <c r="R1684" t="s">
        <v>2208</v>
      </c>
    </row>
    <row r="1685" spans="1:18">
      <c r="A1685" t="s">
        <v>2418</v>
      </c>
      <c r="B1685" t="s">
        <v>16360</v>
      </c>
      <c r="C1685">
        <v>45810</v>
      </c>
      <c r="D1685" t="s">
        <v>7263</v>
      </c>
      <c r="E1685" t="s">
        <v>16361</v>
      </c>
      <c r="F1685">
        <v>45808</v>
      </c>
      <c r="G1685" t="s">
        <v>2208</v>
      </c>
      <c r="H1685" t="s">
        <v>7834</v>
      </c>
      <c r="I1685" t="s">
        <v>18132</v>
      </c>
      <c r="J1685">
        <v>8</v>
      </c>
      <c r="K1685">
        <v>836.88</v>
      </c>
      <c r="L1685" t="s">
        <v>2917</v>
      </c>
      <c r="M1685">
        <v>836.88</v>
      </c>
      <c r="N1685" t="s">
        <v>2917</v>
      </c>
      <c r="O1685" t="s">
        <v>2208</v>
      </c>
      <c r="P1685" t="s">
        <v>2208</v>
      </c>
      <c r="Q1685" t="s">
        <v>2208</v>
      </c>
      <c r="R1685" t="s">
        <v>2208</v>
      </c>
    </row>
    <row r="1686" spans="1:18">
      <c r="A1686" t="s">
        <v>2418</v>
      </c>
      <c r="B1686" t="s">
        <v>16360</v>
      </c>
      <c r="C1686">
        <v>45810</v>
      </c>
      <c r="D1686" t="s">
        <v>7263</v>
      </c>
      <c r="E1686" t="s">
        <v>16361</v>
      </c>
      <c r="F1686">
        <v>45808</v>
      </c>
      <c r="G1686" t="s">
        <v>2208</v>
      </c>
      <c r="H1686" t="s">
        <v>7834</v>
      </c>
      <c r="I1686" t="s">
        <v>18133</v>
      </c>
      <c r="J1686">
        <v>8</v>
      </c>
      <c r="K1686">
        <v>836.88</v>
      </c>
      <c r="L1686" t="s">
        <v>2917</v>
      </c>
      <c r="M1686">
        <v>836.88</v>
      </c>
      <c r="N1686" t="s">
        <v>2917</v>
      </c>
      <c r="O1686" t="s">
        <v>2208</v>
      </c>
      <c r="P1686" t="s">
        <v>2208</v>
      </c>
      <c r="Q1686" t="s">
        <v>2208</v>
      </c>
      <c r="R1686" t="s">
        <v>2208</v>
      </c>
    </row>
    <row r="1687" spans="1:18">
      <c r="A1687" t="s">
        <v>2418</v>
      </c>
      <c r="B1687" t="s">
        <v>16360</v>
      </c>
      <c r="C1687">
        <v>45810</v>
      </c>
      <c r="D1687" t="s">
        <v>7263</v>
      </c>
      <c r="E1687" t="s">
        <v>16361</v>
      </c>
      <c r="F1687">
        <v>45808</v>
      </c>
      <c r="G1687" t="s">
        <v>2208</v>
      </c>
      <c r="H1687" t="s">
        <v>7834</v>
      </c>
      <c r="I1687" t="s">
        <v>18134</v>
      </c>
      <c r="J1687">
        <v>8</v>
      </c>
      <c r="K1687">
        <v>836.88</v>
      </c>
      <c r="L1687" t="s">
        <v>2917</v>
      </c>
      <c r="M1687">
        <v>836.88</v>
      </c>
      <c r="N1687" t="s">
        <v>2917</v>
      </c>
      <c r="O1687" t="s">
        <v>2208</v>
      </c>
      <c r="P1687" t="s">
        <v>2208</v>
      </c>
      <c r="Q1687" t="s">
        <v>2208</v>
      </c>
      <c r="R1687" t="s">
        <v>2208</v>
      </c>
    </row>
    <row r="1688" spans="1:18">
      <c r="A1688" t="s">
        <v>2418</v>
      </c>
      <c r="B1688" t="s">
        <v>16360</v>
      </c>
      <c r="C1688">
        <v>45810</v>
      </c>
      <c r="D1688" t="s">
        <v>7263</v>
      </c>
      <c r="E1688" t="s">
        <v>16361</v>
      </c>
      <c r="F1688">
        <v>45808</v>
      </c>
      <c r="G1688" t="s">
        <v>2208</v>
      </c>
      <c r="H1688" t="s">
        <v>7834</v>
      </c>
      <c r="I1688" t="s">
        <v>18135</v>
      </c>
      <c r="J1688">
        <v>4</v>
      </c>
      <c r="K1688">
        <v>418.44</v>
      </c>
      <c r="L1688" t="s">
        <v>2917</v>
      </c>
      <c r="M1688">
        <v>418.44</v>
      </c>
      <c r="N1688" t="s">
        <v>2917</v>
      </c>
      <c r="O1688" t="s">
        <v>2208</v>
      </c>
      <c r="P1688" t="s">
        <v>2208</v>
      </c>
      <c r="Q1688" t="s">
        <v>2208</v>
      </c>
      <c r="R1688" t="s">
        <v>2208</v>
      </c>
    </row>
    <row r="1689" spans="1:18">
      <c r="A1689" t="s">
        <v>2418</v>
      </c>
      <c r="B1689" t="s">
        <v>16360</v>
      </c>
      <c r="C1689">
        <v>45810</v>
      </c>
      <c r="D1689" t="s">
        <v>7263</v>
      </c>
      <c r="E1689" t="s">
        <v>16361</v>
      </c>
      <c r="F1689">
        <v>45808</v>
      </c>
      <c r="G1689" t="s">
        <v>2208</v>
      </c>
      <c r="H1689" t="s">
        <v>7834</v>
      </c>
      <c r="I1689" t="s">
        <v>18136</v>
      </c>
      <c r="J1689">
        <v>4</v>
      </c>
      <c r="K1689">
        <v>418.44</v>
      </c>
      <c r="L1689" t="s">
        <v>2917</v>
      </c>
      <c r="M1689">
        <v>418.44</v>
      </c>
      <c r="N1689" t="s">
        <v>2917</v>
      </c>
      <c r="O1689" t="s">
        <v>2208</v>
      </c>
      <c r="P1689" t="s">
        <v>2208</v>
      </c>
      <c r="Q1689" t="s">
        <v>2208</v>
      </c>
      <c r="R1689" t="s">
        <v>2208</v>
      </c>
    </row>
    <row r="1690" spans="1:18">
      <c r="A1690" t="s">
        <v>2418</v>
      </c>
      <c r="B1690" t="s">
        <v>16360</v>
      </c>
      <c r="C1690">
        <v>45810</v>
      </c>
      <c r="D1690" t="s">
        <v>7263</v>
      </c>
      <c r="E1690" t="s">
        <v>16361</v>
      </c>
      <c r="F1690">
        <v>45808</v>
      </c>
      <c r="G1690" t="s">
        <v>2208</v>
      </c>
      <c r="H1690" t="s">
        <v>7834</v>
      </c>
      <c r="I1690" t="s">
        <v>18137</v>
      </c>
      <c r="J1690">
        <v>4</v>
      </c>
      <c r="K1690">
        <v>418.44</v>
      </c>
      <c r="L1690" t="s">
        <v>2917</v>
      </c>
      <c r="M1690">
        <v>418.44</v>
      </c>
      <c r="N1690" t="s">
        <v>2917</v>
      </c>
      <c r="O1690" t="s">
        <v>2208</v>
      </c>
      <c r="P1690" t="s">
        <v>2208</v>
      </c>
      <c r="Q1690" t="s">
        <v>2208</v>
      </c>
      <c r="R1690" t="s">
        <v>2208</v>
      </c>
    </row>
    <row r="1691" spans="1:18">
      <c r="A1691" t="s">
        <v>2418</v>
      </c>
      <c r="B1691" t="s">
        <v>16360</v>
      </c>
      <c r="C1691">
        <v>45810</v>
      </c>
      <c r="D1691" t="s">
        <v>7263</v>
      </c>
      <c r="E1691" t="s">
        <v>16361</v>
      </c>
      <c r="F1691">
        <v>45808</v>
      </c>
      <c r="G1691" t="s">
        <v>2208</v>
      </c>
      <c r="H1691" t="s">
        <v>7834</v>
      </c>
      <c r="I1691" t="s">
        <v>18138</v>
      </c>
      <c r="J1691">
        <v>4</v>
      </c>
      <c r="K1691">
        <v>418.44</v>
      </c>
      <c r="L1691" t="s">
        <v>2917</v>
      </c>
      <c r="M1691">
        <v>418.44</v>
      </c>
      <c r="N1691" t="s">
        <v>2917</v>
      </c>
      <c r="O1691" t="s">
        <v>2208</v>
      </c>
      <c r="P1691" t="s">
        <v>2208</v>
      </c>
      <c r="Q1691" t="s">
        <v>2208</v>
      </c>
      <c r="R1691" t="s">
        <v>2208</v>
      </c>
    </row>
    <row r="1692" spans="1:18">
      <c r="A1692" t="s">
        <v>2418</v>
      </c>
      <c r="B1692" t="s">
        <v>16360</v>
      </c>
      <c r="C1692">
        <v>45810</v>
      </c>
      <c r="D1692" t="s">
        <v>7263</v>
      </c>
      <c r="E1692" t="s">
        <v>16361</v>
      </c>
      <c r="F1692">
        <v>45808</v>
      </c>
      <c r="G1692" t="s">
        <v>2208</v>
      </c>
      <c r="H1692" t="s">
        <v>7834</v>
      </c>
      <c r="I1692" t="s">
        <v>18139</v>
      </c>
      <c r="J1692">
        <v>4</v>
      </c>
      <c r="K1692">
        <v>418.44</v>
      </c>
      <c r="L1692" t="s">
        <v>2917</v>
      </c>
      <c r="M1692">
        <v>418.44</v>
      </c>
      <c r="N1692" t="s">
        <v>2917</v>
      </c>
      <c r="O1692" t="s">
        <v>2208</v>
      </c>
      <c r="P1692" t="s">
        <v>2208</v>
      </c>
      <c r="Q1692" t="s">
        <v>2208</v>
      </c>
      <c r="R1692" t="s">
        <v>2208</v>
      </c>
    </row>
    <row r="1693" spans="1:18">
      <c r="A1693" t="s">
        <v>2418</v>
      </c>
      <c r="B1693" t="s">
        <v>16360</v>
      </c>
      <c r="C1693">
        <v>45810</v>
      </c>
      <c r="D1693" t="s">
        <v>7263</v>
      </c>
      <c r="E1693" t="s">
        <v>16361</v>
      </c>
      <c r="F1693">
        <v>45808</v>
      </c>
      <c r="G1693" t="s">
        <v>2208</v>
      </c>
      <c r="H1693" t="s">
        <v>7834</v>
      </c>
      <c r="I1693" t="s">
        <v>18140</v>
      </c>
      <c r="J1693">
        <v>1</v>
      </c>
      <c r="K1693">
        <v>104.61</v>
      </c>
      <c r="L1693" t="s">
        <v>2917</v>
      </c>
      <c r="M1693">
        <v>104.61</v>
      </c>
      <c r="N1693" t="s">
        <v>2917</v>
      </c>
      <c r="O1693" t="s">
        <v>2208</v>
      </c>
      <c r="P1693" t="s">
        <v>2208</v>
      </c>
      <c r="Q1693" t="s">
        <v>2208</v>
      </c>
      <c r="R1693" t="s">
        <v>2208</v>
      </c>
    </row>
    <row r="1694" spans="1:18">
      <c r="A1694" t="s">
        <v>2418</v>
      </c>
      <c r="B1694" t="s">
        <v>16360</v>
      </c>
      <c r="C1694">
        <v>45810</v>
      </c>
      <c r="D1694" t="s">
        <v>7263</v>
      </c>
      <c r="E1694" t="s">
        <v>16361</v>
      </c>
      <c r="F1694">
        <v>45808</v>
      </c>
      <c r="G1694" t="s">
        <v>2208</v>
      </c>
      <c r="H1694" t="s">
        <v>7834</v>
      </c>
      <c r="I1694" t="s">
        <v>18141</v>
      </c>
      <c r="J1694">
        <v>2</v>
      </c>
      <c r="K1694">
        <v>209.22</v>
      </c>
      <c r="L1694" t="s">
        <v>2917</v>
      </c>
      <c r="M1694">
        <v>209.22</v>
      </c>
      <c r="N1694" t="s">
        <v>2917</v>
      </c>
      <c r="O1694" t="s">
        <v>2208</v>
      </c>
      <c r="P1694" t="s">
        <v>2208</v>
      </c>
      <c r="Q1694" t="s">
        <v>2208</v>
      </c>
      <c r="R1694" t="s">
        <v>2208</v>
      </c>
    </row>
    <row r="1695" spans="1:18">
      <c r="A1695" t="s">
        <v>2418</v>
      </c>
      <c r="B1695" t="s">
        <v>16360</v>
      </c>
      <c r="C1695">
        <v>45810</v>
      </c>
      <c r="D1695" t="s">
        <v>7263</v>
      </c>
      <c r="E1695" t="s">
        <v>16361</v>
      </c>
      <c r="F1695">
        <v>45808</v>
      </c>
      <c r="G1695" t="s">
        <v>2208</v>
      </c>
      <c r="H1695" t="s">
        <v>7834</v>
      </c>
      <c r="I1695" t="s">
        <v>18142</v>
      </c>
      <c r="J1695">
        <v>1</v>
      </c>
      <c r="K1695">
        <v>104.61</v>
      </c>
      <c r="L1695" t="s">
        <v>2917</v>
      </c>
      <c r="M1695">
        <v>104.61</v>
      </c>
      <c r="N1695" t="s">
        <v>2917</v>
      </c>
      <c r="O1695" t="s">
        <v>2208</v>
      </c>
      <c r="P1695" t="s">
        <v>2208</v>
      </c>
      <c r="Q1695" t="s">
        <v>2208</v>
      </c>
      <c r="R1695" t="s">
        <v>2208</v>
      </c>
    </row>
    <row r="1696" spans="1:18">
      <c r="A1696" t="s">
        <v>2418</v>
      </c>
      <c r="B1696" t="s">
        <v>16360</v>
      </c>
      <c r="C1696">
        <v>45810</v>
      </c>
      <c r="D1696" t="s">
        <v>7263</v>
      </c>
      <c r="E1696" t="s">
        <v>16361</v>
      </c>
      <c r="F1696">
        <v>45808</v>
      </c>
      <c r="G1696" t="s">
        <v>2208</v>
      </c>
      <c r="H1696" t="s">
        <v>7834</v>
      </c>
      <c r="I1696" t="s">
        <v>18143</v>
      </c>
      <c r="J1696">
        <v>2</v>
      </c>
      <c r="K1696">
        <v>209.22</v>
      </c>
      <c r="L1696" t="s">
        <v>2917</v>
      </c>
      <c r="M1696">
        <v>209.22</v>
      </c>
      <c r="N1696" t="s">
        <v>2917</v>
      </c>
      <c r="O1696" t="s">
        <v>2208</v>
      </c>
      <c r="P1696" t="s">
        <v>2208</v>
      </c>
      <c r="Q1696" t="s">
        <v>2208</v>
      </c>
      <c r="R1696" t="s">
        <v>2208</v>
      </c>
    </row>
    <row r="1697" spans="1:18">
      <c r="A1697" t="s">
        <v>2418</v>
      </c>
      <c r="B1697" t="s">
        <v>16360</v>
      </c>
      <c r="C1697">
        <v>45810</v>
      </c>
      <c r="D1697" t="s">
        <v>7263</v>
      </c>
      <c r="E1697" t="s">
        <v>16361</v>
      </c>
      <c r="F1697">
        <v>45808</v>
      </c>
      <c r="G1697" t="s">
        <v>2208</v>
      </c>
      <c r="H1697" t="s">
        <v>7834</v>
      </c>
      <c r="I1697" t="s">
        <v>18144</v>
      </c>
      <c r="J1697">
        <v>2</v>
      </c>
      <c r="K1697">
        <v>209.22</v>
      </c>
      <c r="L1697" t="s">
        <v>2917</v>
      </c>
      <c r="M1697">
        <v>209.22</v>
      </c>
      <c r="N1697" t="s">
        <v>2917</v>
      </c>
      <c r="O1697" t="s">
        <v>2208</v>
      </c>
      <c r="P1697" t="s">
        <v>2208</v>
      </c>
      <c r="Q1697" t="s">
        <v>2208</v>
      </c>
      <c r="R1697" t="s">
        <v>2208</v>
      </c>
    </row>
    <row r="1698" spans="1:18">
      <c r="A1698" t="s">
        <v>2418</v>
      </c>
      <c r="B1698" t="s">
        <v>16360</v>
      </c>
      <c r="C1698">
        <v>45810</v>
      </c>
      <c r="D1698" t="s">
        <v>7263</v>
      </c>
      <c r="E1698" t="s">
        <v>16361</v>
      </c>
      <c r="F1698">
        <v>45808</v>
      </c>
      <c r="G1698" t="s">
        <v>2208</v>
      </c>
      <c r="H1698" t="s">
        <v>7834</v>
      </c>
      <c r="I1698" t="s">
        <v>18145</v>
      </c>
      <c r="J1698">
        <v>2</v>
      </c>
      <c r="K1698">
        <v>209.22</v>
      </c>
      <c r="L1698" t="s">
        <v>2917</v>
      </c>
      <c r="M1698">
        <v>209.22</v>
      </c>
      <c r="N1698" t="s">
        <v>2917</v>
      </c>
      <c r="O1698" t="s">
        <v>2208</v>
      </c>
      <c r="P1698" t="s">
        <v>2208</v>
      </c>
      <c r="Q1698" t="s">
        <v>2208</v>
      </c>
      <c r="R1698" t="s">
        <v>2208</v>
      </c>
    </row>
    <row r="1699" spans="1:18">
      <c r="A1699" t="s">
        <v>2418</v>
      </c>
      <c r="B1699" t="s">
        <v>16360</v>
      </c>
      <c r="C1699">
        <v>45810</v>
      </c>
      <c r="D1699" t="s">
        <v>7263</v>
      </c>
      <c r="E1699" t="s">
        <v>16361</v>
      </c>
      <c r="F1699">
        <v>45808</v>
      </c>
      <c r="G1699" t="s">
        <v>2208</v>
      </c>
      <c r="H1699" t="s">
        <v>7834</v>
      </c>
      <c r="I1699" t="s">
        <v>18146</v>
      </c>
      <c r="J1699">
        <v>1</v>
      </c>
      <c r="K1699">
        <v>104.61</v>
      </c>
      <c r="L1699" t="s">
        <v>2917</v>
      </c>
      <c r="M1699">
        <v>104.61</v>
      </c>
      <c r="N1699" t="s">
        <v>2917</v>
      </c>
      <c r="O1699" t="s">
        <v>2208</v>
      </c>
      <c r="P1699" t="s">
        <v>2208</v>
      </c>
      <c r="Q1699" t="s">
        <v>2208</v>
      </c>
      <c r="R1699" t="s">
        <v>2208</v>
      </c>
    </row>
    <row r="1700" spans="1:18">
      <c r="A1700" t="s">
        <v>2418</v>
      </c>
      <c r="B1700" t="s">
        <v>16360</v>
      </c>
      <c r="C1700">
        <v>45810</v>
      </c>
      <c r="D1700" t="s">
        <v>7263</v>
      </c>
      <c r="E1700" t="s">
        <v>16361</v>
      </c>
      <c r="F1700">
        <v>45808</v>
      </c>
      <c r="G1700" t="s">
        <v>2208</v>
      </c>
      <c r="H1700" t="s">
        <v>7834</v>
      </c>
      <c r="I1700" t="s">
        <v>18147</v>
      </c>
      <c r="J1700">
        <v>1</v>
      </c>
      <c r="K1700">
        <v>104.61</v>
      </c>
      <c r="L1700" t="s">
        <v>2917</v>
      </c>
      <c r="M1700">
        <v>104.61</v>
      </c>
      <c r="N1700" t="s">
        <v>2917</v>
      </c>
      <c r="O1700" t="s">
        <v>2208</v>
      </c>
      <c r="P1700" t="s">
        <v>2208</v>
      </c>
      <c r="Q1700" t="s">
        <v>2208</v>
      </c>
      <c r="R1700" t="s">
        <v>2208</v>
      </c>
    </row>
    <row r="1701" spans="1:18">
      <c r="A1701" t="s">
        <v>2418</v>
      </c>
      <c r="B1701" t="s">
        <v>16360</v>
      </c>
      <c r="C1701">
        <v>45810</v>
      </c>
      <c r="D1701" t="s">
        <v>7263</v>
      </c>
      <c r="E1701" t="s">
        <v>16361</v>
      </c>
      <c r="F1701">
        <v>45808</v>
      </c>
      <c r="G1701" t="s">
        <v>2208</v>
      </c>
      <c r="H1701" t="s">
        <v>7834</v>
      </c>
      <c r="I1701" t="s">
        <v>18148</v>
      </c>
      <c r="J1701">
        <v>1</v>
      </c>
      <c r="K1701">
        <v>104.61</v>
      </c>
      <c r="L1701" t="s">
        <v>2917</v>
      </c>
      <c r="M1701">
        <v>104.61</v>
      </c>
      <c r="N1701" t="s">
        <v>2917</v>
      </c>
      <c r="O1701" t="s">
        <v>2208</v>
      </c>
      <c r="P1701" t="s">
        <v>2208</v>
      </c>
      <c r="Q1701" t="s">
        <v>2208</v>
      </c>
      <c r="R1701" t="s">
        <v>2208</v>
      </c>
    </row>
    <row r="1702" spans="1:18">
      <c r="A1702" t="s">
        <v>2418</v>
      </c>
      <c r="B1702" t="s">
        <v>16360</v>
      </c>
      <c r="C1702">
        <v>45810</v>
      </c>
      <c r="D1702" t="s">
        <v>7263</v>
      </c>
      <c r="E1702" t="s">
        <v>16361</v>
      </c>
      <c r="F1702">
        <v>45808</v>
      </c>
      <c r="G1702" t="s">
        <v>2208</v>
      </c>
      <c r="H1702" t="s">
        <v>7834</v>
      </c>
      <c r="I1702" t="s">
        <v>18149</v>
      </c>
      <c r="J1702">
        <v>1</v>
      </c>
      <c r="K1702">
        <v>104.61</v>
      </c>
      <c r="L1702" t="s">
        <v>2917</v>
      </c>
      <c r="M1702">
        <v>104.61</v>
      </c>
      <c r="N1702" t="s">
        <v>2917</v>
      </c>
      <c r="O1702" t="s">
        <v>2208</v>
      </c>
      <c r="P1702" t="s">
        <v>2208</v>
      </c>
      <c r="Q1702" t="s">
        <v>2208</v>
      </c>
      <c r="R1702" t="s">
        <v>2208</v>
      </c>
    </row>
    <row r="1703" spans="1:18">
      <c r="A1703" t="s">
        <v>2418</v>
      </c>
      <c r="B1703" t="s">
        <v>16360</v>
      </c>
      <c r="C1703">
        <v>45810</v>
      </c>
      <c r="D1703" t="s">
        <v>7263</v>
      </c>
      <c r="E1703" t="s">
        <v>16361</v>
      </c>
      <c r="F1703">
        <v>45808</v>
      </c>
      <c r="G1703" t="s">
        <v>2208</v>
      </c>
      <c r="H1703" t="s">
        <v>7834</v>
      </c>
      <c r="I1703" t="s">
        <v>18150</v>
      </c>
      <c r="J1703">
        <v>1</v>
      </c>
      <c r="K1703">
        <v>104.61</v>
      </c>
      <c r="L1703" t="s">
        <v>2917</v>
      </c>
      <c r="M1703">
        <v>104.61</v>
      </c>
      <c r="N1703" t="s">
        <v>2917</v>
      </c>
      <c r="O1703" t="s">
        <v>2208</v>
      </c>
      <c r="P1703" t="s">
        <v>2208</v>
      </c>
      <c r="Q1703" t="s">
        <v>2208</v>
      </c>
      <c r="R1703" t="s">
        <v>2208</v>
      </c>
    </row>
    <row r="1704" spans="1:18">
      <c r="A1704" t="s">
        <v>2418</v>
      </c>
      <c r="B1704" t="s">
        <v>16360</v>
      </c>
      <c r="C1704">
        <v>45810</v>
      </c>
      <c r="D1704" t="s">
        <v>7263</v>
      </c>
      <c r="E1704" t="s">
        <v>16361</v>
      </c>
      <c r="F1704">
        <v>45808</v>
      </c>
      <c r="G1704" t="s">
        <v>2208</v>
      </c>
      <c r="H1704" t="s">
        <v>7834</v>
      </c>
      <c r="I1704" t="s">
        <v>18151</v>
      </c>
      <c r="J1704">
        <v>1</v>
      </c>
      <c r="K1704">
        <v>104.61</v>
      </c>
      <c r="L1704" t="s">
        <v>2917</v>
      </c>
      <c r="M1704">
        <v>104.61</v>
      </c>
      <c r="N1704" t="s">
        <v>2917</v>
      </c>
      <c r="O1704" t="s">
        <v>2208</v>
      </c>
      <c r="P1704" t="s">
        <v>2208</v>
      </c>
      <c r="Q1704" t="s">
        <v>2208</v>
      </c>
      <c r="R1704" t="s">
        <v>2208</v>
      </c>
    </row>
    <row r="1705" spans="1:18">
      <c r="A1705" t="s">
        <v>2418</v>
      </c>
      <c r="B1705" t="s">
        <v>16360</v>
      </c>
      <c r="C1705">
        <v>45810</v>
      </c>
      <c r="D1705" t="s">
        <v>7263</v>
      </c>
      <c r="E1705" t="s">
        <v>16361</v>
      </c>
      <c r="F1705">
        <v>45808</v>
      </c>
      <c r="G1705" t="s">
        <v>2208</v>
      </c>
      <c r="H1705" t="s">
        <v>7834</v>
      </c>
      <c r="I1705" t="s">
        <v>18152</v>
      </c>
      <c r="J1705">
        <v>1</v>
      </c>
      <c r="K1705">
        <v>104.61</v>
      </c>
      <c r="L1705" t="s">
        <v>2917</v>
      </c>
      <c r="M1705">
        <v>104.61</v>
      </c>
      <c r="N1705" t="s">
        <v>2917</v>
      </c>
      <c r="O1705" t="s">
        <v>2208</v>
      </c>
      <c r="P1705" t="s">
        <v>2208</v>
      </c>
      <c r="Q1705" t="s">
        <v>2208</v>
      </c>
      <c r="R1705" t="s">
        <v>2208</v>
      </c>
    </row>
    <row r="1706" spans="1:18">
      <c r="A1706" t="s">
        <v>2418</v>
      </c>
      <c r="B1706" t="s">
        <v>16360</v>
      </c>
      <c r="C1706">
        <v>45810</v>
      </c>
      <c r="D1706" t="s">
        <v>7263</v>
      </c>
      <c r="E1706" t="s">
        <v>16361</v>
      </c>
      <c r="F1706">
        <v>45808</v>
      </c>
      <c r="G1706" t="s">
        <v>2208</v>
      </c>
      <c r="H1706" t="s">
        <v>7834</v>
      </c>
      <c r="I1706" t="s">
        <v>18153</v>
      </c>
      <c r="J1706">
        <v>1</v>
      </c>
      <c r="K1706">
        <v>104.61</v>
      </c>
      <c r="L1706" t="s">
        <v>2917</v>
      </c>
      <c r="M1706">
        <v>104.61</v>
      </c>
      <c r="N1706" t="s">
        <v>2917</v>
      </c>
      <c r="O1706" t="s">
        <v>2208</v>
      </c>
      <c r="P1706" t="s">
        <v>2208</v>
      </c>
      <c r="Q1706" t="s">
        <v>2208</v>
      </c>
      <c r="R1706" t="s">
        <v>2208</v>
      </c>
    </row>
    <row r="1707" spans="1:18">
      <c r="A1707" t="s">
        <v>2418</v>
      </c>
      <c r="B1707" t="s">
        <v>16360</v>
      </c>
      <c r="C1707">
        <v>45810</v>
      </c>
      <c r="D1707" t="s">
        <v>7263</v>
      </c>
      <c r="E1707" t="s">
        <v>16361</v>
      </c>
      <c r="F1707">
        <v>45808</v>
      </c>
      <c r="G1707" t="s">
        <v>2208</v>
      </c>
      <c r="H1707" t="s">
        <v>7834</v>
      </c>
      <c r="I1707" t="s">
        <v>18154</v>
      </c>
      <c r="J1707">
        <v>1</v>
      </c>
      <c r="K1707">
        <v>104.61</v>
      </c>
      <c r="L1707" t="s">
        <v>2917</v>
      </c>
      <c r="M1707">
        <v>104.61</v>
      </c>
      <c r="N1707" t="s">
        <v>2917</v>
      </c>
      <c r="O1707" t="s">
        <v>2208</v>
      </c>
      <c r="P1707" t="s">
        <v>2208</v>
      </c>
      <c r="Q1707" t="s">
        <v>2208</v>
      </c>
      <c r="R1707" t="s">
        <v>2208</v>
      </c>
    </row>
    <row r="1708" spans="1:18">
      <c r="A1708" t="s">
        <v>2418</v>
      </c>
      <c r="B1708" t="s">
        <v>16360</v>
      </c>
      <c r="C1708">
        <v>45810</v>
      </c>
      <c r="D1708" t="s">
        <v>7263</v>
      </c>
      <c r="E1708" t="s">
        <v>16361</v>
      </c>
      <c r="F1708">
        <v>45808</v>
      </c>
      <c r="G1708" t="s">
        <v>2208</v>
      </c>
      <c r="H1708" t="s">
        <v>7834</v>
      </c>
      <c r="I1708" t="s">
        <v>18155</v>
      </c>
      <c r="J1708">
        <v>1</v>
      </c>
      <c r="K1708">
        <v>104.61</v>
      </c>
      <c r="L1708" t="s">
        <v>2917</v>
      </c>
      <c r="M1708">
        <v>104.61</v>
      </c>
      <c r="N1708" t="s">
        <v>2917</v>
      </c>
      <c r="O1708" t="s">
        <v>2208</v>
      </c>
      <c r="P1708" t="s">
        <v>2208</v>
      </c>
      <c r="Q1708" t="s">
        <v>2208</v>
      </c>
      <c r="R1708" t="s">
        <v>2208</v>
      </c>
    </row>
    <row r="1709" spans="1:18">
      <c r="A1709" t="s">
        <v>2418</v>
      </c>
      <c r="B1709" t="s">
        <v>16360</v>
      </c>
      <c r="C1709">
        <v>45810</v>
      </c>
      <c r="D1709" t="s">
        <v>7263</v>
      </c>
      <c r="E1709" t="s">
        <v>16361</v>
      </c>
      <c r="F1709">
        <v>45808</v>
      </c>
      <c r="G1709" t="s">
        <v>2208</v>
      </c>
      <c r="H1709" t="s">
        <v>7834</v>
      </c>
      <c r="I1709" t="s">
        <v>18156</v>
      </c>
      <c r="J1709">
        <v>2</v>
      </c>
      <c r="K1709">
        <v>209.22</v>
      </c>
      <c r="L1709" t="s">
        <v>2917</v>
      </c>
      <c r="M1709">
        <v>209.22</v>
      </c>
      <c r="N1709" t="s">
        <v>2917</v>
      </c>
      <c r="O1709" t="s">
        <v>2208</v>
      </c>
      <c r="P1709" t="s">
        <v>2208</v>
      </c>
      <c r="Q1709" t="s">
        <v>2208</v>
      </c>
      <c r="R1709" t="s">
        <v>2208</v>
      </c>
    </row>
    <row r="1710" spans="1:18">
      <c r="A1710" t="s">
        <v>2418</v>
      </c>
      <c r="B1710" t="s">
        <v>16360</v>
      </c>
      <c r="C1710">
        <v>45810</v>
      </c>
      <c r="D1710" t="s">
        <v>7263</v>
      </c>
      <c r="E1710" t="s">
        <v>16361</v>
      </c>
      <c r="F1710">
        <v>45808</v>
      </c>
      <c r="G1710" t="s">
        <v>2208</v>
      </c>
      <c r="H1710" t="s">
        <v>7834</v>
      </c>
      <c r="I1710" t="s">
        <v>18157</v>
      </c>
      <c r="J1710">
        <v>1</v>
      </c>
      <c r="K1710">
        <v>104.61</v>
      </c>
      <c r="L1710" t="s">
        <v>2917</v>
      </c>
      <c r="M1710">
        <v>104.61</v>
      </c>
      <c r="N1710" t="s">
        <v>2917</v>
      </c>
      <c r="O1710" t="s">
        <v>2208</v>
      </c>
      <c r="P1710" t="s">
        <v>2208</v>
      </c>
      <c r="Q1710" t="s">
        <v>2208</v>
      </c>
      <c r="R1710" t="s">
        <v>2208</v>
      </c>
    </row>
    <row r="1711" spans="1:18">
      <c r="A1711" t="s">
        <v>2418</v>
      </c>
      <c r="B1711" t="s">
        <v>16360</v>
      </c>
      <c r="C1711">
        <v>45810</v>
      </c>
      <c r="D1711" t="s">
        <v>7263</v>
      </c>
      <c r="E1711" t="s">
        <v>16361</v>
      </c>
      <c r="F1711">
        <v>45808</v>
      </c>
      <c r="G1711" t="s">
        <v>2208</v>
      </c>
      <c r="H1711" t="s">
        <v>7834</v>
      </c>
      <c r="I1711" t="s">
        <v>18158</v>
      </c>
      <c r="J1711">
        <v>8</v>
      </c>
      <c r="K1711">
        <v>836.88</v>
      </c>
      <c r="L1711" t="s">
        <v>2917</v>
      </c>
      <c r="M1711">
        <v>836.88</v>
      </c>
      <c r="N1711" t="s">
        <v>2917</v>
      </c>
      <c r="O1711" t="s">
        <v>2208</v>
      </c>
      <c r="P1711" t="s">
        <v>2208</v>
      </c>
      <c r="Q1711" t="s">
        <v>2208</v>
      </c>
      <c r="R1711" t="s">
        <v>2208</v>
      </c>
    </row>
    <row r="1712" spans="1:18">
      <c r="A1712" t="s">
        <v>2418</v>
      </c>
      <c r="B1712" t="s">
        <v>16360</v>
      </c>
      <c r="C1712">
        <v>45810</v>
      </c>
      <c r="D1712" t="s">
        <v>7263</v>
      </c>
      <c r="E1712" t="s">
        <v>16361</v>
      </c>
      <c r="F1712">
        <v>45808</v>
      </c>
      <c r="G1712" t="s">
        <v>2208</v>
      </c>
      <c r="H1712" t="s">
        <v>7834</v>
      </c>
      <c r="I1712" t="s">
        <v>18159</v>
      </c>
      <c r="J1712">
        <v>1</v>
      </c>
      <c r="K1712">
        <v>104.61</v>
      </c>
      <c r="L1712" t="s">
        <v>2917</v>
      </c>
      <c r="M1712">
        <v>104.61</v>
      </c>
      <c r="N1712" t="s">
        <v>2917</v>
      </c>
      <c r="O1712" t="s">
        <v>2208</v>
      </c>
      <c r="P1712" t="s">
        <v>2208</v>
      </c>
      <c r="Q1712" t="s">
        <v>2208</v>
      </c>
      <c r="R1712" t="s">
        <v>2208</v>
      </c>
    </row>
    <row r="1713" spans="1:18">
      <c r="A1713" t="s">
        <v>2418</v>
      </c>
      <c r="B1713" t="s">
        <v>16360</v>
      </c>
      <c r="C1713">
        <v>45810</v>
      </c>
      <c r="D1713" t="s">
        <v>7263</v>
      </c>
      <c r="E1713" t="s">
        <v>16361</v>
      </c>
      <c r="F1713">
        <v>45808</v>
      </c>
      <c r="G1713" t="s">
        <v>2208</v>
      </c>
      <c r="H1713" t="s">
        <v>7834</v>
      </c>
      <c r="I1713" t="s">
        <v>18160</v>
      </c>
      <c r="J1713">
        <v>1</v>
      </c>
      <c r="K1713">
        <v>104.61</v>
      </c>
      <c r="L1713" t="s">
        <v>2917</v>
      </c>
      <c r="M1713">
        <v>104.61</v>
      </c>
      <c r="N1713" t="s">
        <v>2917</v>
      </c>
      <c r="O1713" t="s">
        <v>2208</v>
      </c>
      <c r="P1713" t="s">
        <v>2208</v>
      </c>
      <c r="Q1713" t="s">
        <v>2208</v>
      </c>
      <c r="R1713" t="s">
        <v>2208</v>
      </c>
    </row>
    <row r="1714" spans="1:18">
      <c r="A1714" t="s">
        <v>2418</v>
      </c>
      <c r="B1714" t="s">
        <v>16360</v>
      </c>
      <c r="C1714">
        <v>45810</v>
      </c>
      <c r="D1714" t="s">
        <v>7263</v>
      </c>
      <c r="E1714" t="s">
        <v>16361</v>
      </c>
      <c r="F1714">
        <v>45808</v>
      </c>
      <c r="G1714" t="s">
        <v>2208</v>
      </c>
      <c r="H1714" t="s">
        <v>7834</v>
      </c>
      <c r="I1714" t="s">
        <v>18161</v>
      </c>
      <c r="J1714">
        <v>6</v>
      </c>
      <c r="K1714">
        <v>627.66</v>
      </c>
      <c r="L1714" t="s">
        <v>2917</v>
      </c>
      <c r="M1714">
        <v>627.66</v>
      </c>
      <c r="N1714" t="s">
        <v>2917</v>
      </c>
      <c r="O1714" t="s">
        <v>2208</v>
      </c>
      <c r="P1714" t="s">
        <v>2208</v>
      </c>
      <c r="Q1714" t="s">
        <v>2208</v>
      </c>
      <c r="R1714" t="s">
        <v>2208</v>
      </c>
    </row>
    <row r="1715" spans="1:18">
      <c r="A1715" t="s">
        <v>2418</v>
      </c>
      <c r="B1715" t="s">
        <v>16360</v>
      </c>
      <c r="C1715">
        <v>45810</v>
      </c>
      <c r="D1715" t="s">
        <v>7263</v>
      </c>
      <c r="E1715" t="s">
        <v>16361</v>
      </c>
      <c r="F1715">
        <v>45808</v>
      </c>
      <c r="G1715" t="s">
        <v>2208</v>
      </c>
      <c r="H1715" t="s">
        <v>7834</v>
      </c>
      <c r="I1715" t="s">
        <v>18162</v>
      </c>
      <c r="J1715">
        <v>1</v>
      </c>
      <c r="K1715">
        <v>104.61</v>
      </c>
      <c r="L1715" t="s">
        <v>2917</v>
      </c>
      <c r="M1715">
        <v>104.61</v>
      </c>
      <c r="N1715" t="s">
        <v>2917</v>
      </c>
      <c r="O1715" t="s">
        <v>2208</v>
      </c>
      <c r="P1715" t="s">
        <v>2208</v>
      </c>
      <c r="Q1715" t="s">
        <v>2208</v>
      </c>
      <c r="R1715" t="s">
        <v>2208</v>
      </c>
    </row>
    <row r="1716" spans="1:18">
      <c r="A1716" t="s">
        <v>2418</v>
      </c>
      <c r="B1716" t="s">
        <v>16360</v>
      </c>
      <c r="C1716">
        <v>45810</v>
      </c>
      <c r="D1716" t="s">
        <v>7263</v>
      </c>
      <c r="E1716" t="s">
        <v>16361</v>
      </c>
      <c r="F1716">
        <v>45808</v>
      </c>
      <c r="G1716" t="s">
        <v>2208</v>
      </c>
      <c r="H1716" t="s">
        <v>7834</v>
      </c>
      <c r="I1716" t="s">
        <v>18163</v>
      </c>
      <c r="J1716">
        <v>0.5</v>
      </c>
      <c r="K1716">
        <v>52.31</v>
      </c>
      <c r="L1716" t="s">
        <v>2917</v>
      </c>
      <c r="M1716">
        <v>52.31</v>
      </c>
      <c r="N1716" t="s">
        <v>2917</v>
      </c>
      <c r="O1716" t="s">
        <v>2208</v>
      </c>
      <c r="P1716" t="s">
        <v>2208</v>
      </c>
      <c r="Q1716" t="s">
        <v>2208</v>
      </c>
      <c r="R1716" t="s">
        <v>2208</v>
      </c>
    </row>
    <row r="1717" spans="1:18">
      <c r="A1717" t="s">
        <v>2418</v>
      </c>
      <c r="B1717" t="s">
        <v>16360</v>
      </c>
      <c r="C1717">
        <v>45810</v>
      </c>
      <c r="D1717" t="s">
        <v>7263</v>
      </c>
      <c r="E1717" t="s">
        <v>16361</v>
      </c>
      <c r="F1717">
        <v>45808</v>
      </c>
      <c r="G1717" t="s">
        <v>2208</v>
      </c>
      <c r="H1717" t="s">
        <v>7834</v>
      </c>
      <c r="I1717" t="s">
        <v>18164</v>
      </c>
      <c r="J1717">
        <v>1.75</v>
      </c>
      <c r="K1717">
        <v>183.07</v>
      </c>
      <c r="L1717" t="s">
        <v>2917</v>
      </c>
      <c r="M1717">
        <v>183.07</v>
      </c>
      <c r="N1717" t="s">
        <v>2917</v>
      </c>
      <c r="O1717" t="s">
        <v>2208</v>
      </c>
      <c r="P1717" t="s">
        <v>2208</v>
      </c>
      <c r="Q1717" t="s">
        <v>2208</v>
      </c>
      <c r="R1717" t="s">
        <v>2208</v>
      </c>
    </row>
    <row r="1718" spans="1:18">
      <c r="A1718" t="s">
        <v>2418</v>
      </c>
      <c r="B1718" t="s">
        <v>16360</v>
      </c>
      <c r="C1718">
        <v>45810</v>
      </c>
      <c r="D1718" t="s">
        <v>7263</v>
      </c>
      <c r="E1718" t="s">
        <v>16361</v>
      </c>
      <c r="F1718">
        <v>45808</v>
      </c>
      <c r="G1718" t="s">
        <v>2208</v>
      </c>
      <c r="H1718" t="s">
        <v>7834</v>
      </c>
      <c r="I1718" t="s">
        <v>18165</v>
      </c>
      <c r="J1718">
        <v>0.25</v>
      </c>
      <c r="K1718">
        <v>26.15</v>
      </c>
      <c r="L1718" t="s">
        <v>2917</v>
      </c>
      <c r="M1718">
        <v>26.15</v>
      </c>
      <c r="N1718" t="s">
        <v>2917</v>
      </c>
      <c r="O1718" t="s">
        <v>2208</v>
      </c>
      <c r="P1718" t="s">
        <v>2208</v>
      </c>
      <c r="Q1718" t="s">
        <v>2208</v>
      </c>
      <c r="R1718" t="s">
        <v>2208</v>
      </c>
    </row>
    <row r="1719" spans="1:18">
      <c r="A1719" t="s">
        <v>2418</v>
      </c>
      <c r="B1719" t="s">
        <v>16360</v>
      </c>
      <c r="C1719">
        <v>45810</v>
      </c>
      <c r="D1719" t="s">
        <v>7263</v>
      </c>
      <c r="E1719" t="s">
        <v>16361</v>
      </c>
      <c r="F1719">
        <v>45808</v>
      </c>
      <c r="G1719" t="s">
        <v>2208</v>
      </c>
      <c r="H1719" t="s">
        <v>7834</v>
      </c>
      <c r="I1719" t="s">
        <v>18166</v>
      </c>
      <c r="J1719">
        <v>0.25</v>
      </c>
      <c r="K1719">
        <v>26.15</v>
      </c>
      <c r="L1719" t="s">
        <v>2917</v>
      </c>
      <c r="M1719">
        <v>26.15</v>
      </c>
      <c r="N1719" t="s">
        <v>2917</v>
      </c>
      <c r="O1719" t="s">
        <v>2208</v>
      </c>
      <c r="P1719" t="s">
        <v>2208</v>
      </c>
      <c r="Q1719" t="s">
        <v>2208</v>
      </c>
      <c r="R1719" t="s">
        <v>2208</v>
      </c>
    </row>
    <row r="1720" spans="1:18">
      <c r="A1720" t="s">
        <v>2418</v>
      </c>
      <c r="B1720" t="s">
        <v>16360</v>
      </c>
      <c r="C1720">
        <v>45810</v>
      </c>
      <c r="D1720" t="s">
        <v>7263</v>
      </c>
      <c r="E1720" t="s">
        <v>16361</v>
      </c>
      <c r="F1720">
        <v>45808</v>
      </c>
      <c r="G1720" t="s">
        <v>2208</v>
      </c>
      <c r="H1720" t="s">
        <v>7834</v>
      </c>
      <c r="I1720" t="s">
        <v>18167</v>
      </c>
      <c r="J1720">
        <v>1</v>
      </c>
      <c r="K1720">
        <v>104.61</v>
      </c>
      <c r="L1720" t="s">
        <v>2917</v>
      </c>
      <c r="M1720">
        <v>104.61</v>
      </c>
      <c r="N1720" t="s">
        <v>2917</v>
      </c>
      <c r="O1720" t="s">
        <v>2208</v>
      </c>
      <c r="P1720" t="s">
        <v>2208</v>
      </c>
      <c r="Q1720" t="s">
        <v>2208</v>
      </c>
      <c r="R1720" t="s">
        <v>2208</v>
      </c>
    </row>
    <row r="1721" spans="1:18">
      <c r="A1721" t="s">
        <v>2418</v>
      </c>
      <c r="B1721" t="s">
        <v>16360</v>
      </c>
      <c r="C1721">
        <v>45810</v>
      </c>
      <c r="D1721" t="s">
        <v>7263</v>
      </c>
      <c r="E1721" t="s">
        <v>16361</v>
      </c>
      <c r="F1721">
        <v>45808</v>
      </c>
      <c r="G1721" t="s">
        <v>2208</v>
      </c>
      <c r="H1721" t="s">
        <v>7834</v>
      </c>
      <c r="I1721" t="s">
        <v>18168</v>
      </c>
      <c r="J1721">
        <v>0.5</v>
      </c>
      <c r="K1721">
        <v>52.31</v>
      </c>
      <c r="L1721" t="s">
        <v>2917</v>
      </c>
      <c r="M1721">
        <v>52.31</v>
      </c>
      <c r="N1721" t="s">
        <v>2917</v>
      </c>
      <c r="O1721" t="s">
        <v>2208</v>
      </c>
      <c r="P1721" t="s">
        <v>2208</v>
      </c>
      <c r="Q1721" t="s">
        <v>2208</v>
      </c>
      <c r="R1721" t="s">
        <v>2208</v>
      </c>
    </row>
    <row r="1722" spans="1:18">
      <c r="A1722" t="s">
        <v>2418</v>
      </c>
      <c r="B1722" t="s">
        <v>16360</v>
      </c>
      <c r="C1722">
        <v>45810</v>
      </c>
      <c r="D1722" t="s">
        <v>7263</v>
      </c>
      <c r="E1722" t="s">
        <v>16361</v>
      </c>
      <c r="F1722">
        <v>45808</v>
      </c>
      <c r="G1722" t="s">
        <v>2208</v>
      </c>
      <c r="H1722" t="s">
        <v>7834</v>
      </c>
      <c r="I1722" t="s">
        <v>18169</v>
      </c>
      <c r="J1722">
        <v>0.5</v>
      </c>
      <c r="K1722">
        <v>52.31</v>
      </c>
      <c r="L1722" t="s">
        <v>2917</v>
      </c>
      <c r="M1722">
        <v>52.31</v>
      </c>
      <c r="N1722" t="s">
        <v>2917</v>
      </c>
      <c r="O1722" t="s">
        <v>2208</v>
      </c>
      <c r="P1722" t="s">
        <v>2208</v>
      </c>
      <c r="Q1722" t="s">
        <v>2208</v>
      </c>
      <c r="R1722" t="s">
        <v>2208</v>
      </c>
    </row>
    <row r="1723" spans="1:18">
      <c r="A1723" t="s">
        <v>2418</v>
      </c>
      <c r="B1723" t="s">
        <v>16360</v>
      </c>
      <c r="C1723">
        <v>45810</v>
      </c>
      <c r="D1723" t="s">
        <v>7263</v>
      </c>
      <c r="E1723" t="s">
        <v>16361</v>
      </c>
      <c r="F1723">
        <v>45808</v>
      </c>
      <c r="G1723" t="s">
        <v>2208</v>
      </c>
      <c r="H1723" t="s">
        <v>7834</v>
      </c>
      <c r="I1723" t="s">
        <v>18170</v>
      </c>
      <c r="J1723">
        <v>1</v>
      </c>
      <c r="K1723">
        <v>104.61</v>
      </c>
      <c r="L1723" t="s">
        <v>2917</v>
      </c>
      <c r="M1723">
        <v>104.61</v>
      </c>
      <c r="N1723" t="s">
        <v>2917</v>
      </c>
      <c r="O1723" t="s">
        <v>2208</v>
      </c>
      <c r="P1723" t="s">
        <v>2208</v>
      </c>
      <c r="Q1723" t="s">
        <v>2208</v>
      </c>
      <c r="R1723" t="s">
        <v>2208</v>
      </c>
    </row>
    <row r="1724" spans="1:18">
      <c r="A1724" t="s">
        <v>2418</v>
      </c>
      <c r="B1724" t="s">
        <v>16360</v>
      </c>
      <c r="C1724">
        <v>45810</v>
      </c>
      <c r="D1724" t="s">
        <v>7263</v>
      </c>
      <c r="E1724" t="s">
        <v>16361</v>
      </c>
      <c r="F1724">
        <v>45808</v>
      </c>
      <c r="G1724" t="s">
        <v>2208</v>
      </c>
      <c r="H1724" t="s">
        <v>7834</v>
      </c>
      <c r="I1724" t="s">
        <v>18171</v>
      </c>
      <c r="J1724">
        <v>1</v>
      </c>
      <c r="K1724">
        <v>104.61</v>
      </c>
      <c r="L1724" t="s">
        <v>2917</v>
      </c>
      <c r="M1724">
        <v>104.61</v>
      </c>
      <c r="N1724" t="s">
        <v>2917</v>
      </c>
      <c r="O1724" t="s">
        <v>2208</v>
      </c>
      <c r="P1724" t="s">
        <v>2208</v>
      </c>
      <c r="Q1724" t="s">
        <v>2208</v>
      </c>
      <c r="R1724" t="s">
        <v>2208</v>
      </c>
    </row>
    <row r="1725" spans="1:18">
      <c r="A1725" t="s">
        <v>2418</v>
      </c>
      <c r="B1725" t="s">
        <v>16360</v>
      </c>
      <c r="C1725">
        <v>45810</v>
      </c>
      <c r="D1725" t="s">
        <v>7263</v>
      </c>
      <c r="E1725" t="s">
        <v>16361</v>
      </c>
      <c r="F1725">
        <v>45808</v>
      </c>
      <c r="G1725" t="s">
        <v>2208</v>
      </c>
      <c r="H1725" t="s">
        <v>7834</v>
      </c>
      <c r="I1725" t="s">
        <v>18172</v>
      </c>
      <c r="J1725">
        <v>0.5</v>
      </c>
      <c r="K1725">
        <v>52.31</v>
      </c>
      <c r="L1725" t="s">
        <v>2917</v>
      </c>
      <c r="M1725">
        <v>52.31</v>
      </c>
      <c r="N1725" t="s">
        <v>2917</v>
      </c>
      <c r="O1725" t="s">
        <v>2208</v>
      </c>
      <c r="P1725" t="s">
        <v>2208</v>
      </c>
      <c r="Q1725" t="s">
        <v>2208</v>
      </c>
      <c r="R1725" t="s">
        <v>2208</v>
      </c>
    </row>
    <row r="1726" spans="1:18">
      <c r="A1726" t="s">
        <v>2418</v>
      </c>
      <c r="B1726" t="s">
        <v>16360</v>
      </c>
      <c r="C1726">
        <v>45810</v>
      </c>
      <c r="D1726" t="s">
        <v>7263</v>
      </c>
      <c r="E1726" t="s">
        <v>16361</v>
      </c>
      <c r="F1726">
        <v>45808</v>
      </c>
      <c r="G1726" t="s">
        <v>2208</v>
      </c>
      <c r="H1726" t="s">
        <v>7834</v>
      </c>
      <c r="I1726" t="s">
        <v>18173</v>
      </c>
      <c r="J1726">
        <v>1</v>
      </c>
      <c r="K1726">
        <v>104.61</v>
      </c>
      <c r="L1726" t="s">
        <v>2917</v>
      </c>
      <c r="M1726">
        <v>104.61</v>
      </c>
      <c r="N1726" t="s">
        <v>2917</v>
      </c>
      <c r="O1726" t="s">
        <v>2208</v>
      </c>
      <c r="P1726" t="s">
        <v>2208</v>
      </c>
      <c r="Q1726" t="s">
        <v>2208</v>
      </c>
      <c r="R1726" t="s">
        <v>2208</v>
      </c>
    </row>
    <row r="1727" spans="1:18">
      <c r="A1727" t="s">
        <v>2418</v>
      </c>
      <c r="B1727" t="s">
        <v>16360</v>
      </c>
      <c r="C1727">
        <v>45810</v>
      </c>
      <c r="D1727" t="s">
        <v>7263</v>
      </c>
      <c r="E1727" t="s">
        <v>16361</v>
      </c>
      <c r="F1727">
        <v>45808</v>
      </c>
      <c r="G1727" t="s">
        <v>2208</v>
      </c>
      <c r="H1727" t="s">
        <v>7834</v>
      </c>
      <c r="I1727" t="s">
        <v>18174</v>
      </c>
      <c r="J1727">
        <v>0.5</v>
      </c>
      <c r="K1727">
        <v>52.31</v>
      </c>
      <c r="L1727" t="s">
        <v>2917</v>
      </c>
      <c r="M1727">
        <v>52.31</v>
      </c>
      <c r="N1727" t="s">
        <v>2917</v>
      </c>
      <c r="O1727" t="s">
        <v>2208</v>
      </c>
      <c r="P1727" t="s">
        <v>2208</v>
      </c>
      <c r="Q1727" t="s">
        <v>2208</v>
      </c>
      <c r="R1727" t="s">
        <v>2208</v>
      </c>
    </row>
    <row r="1728" spans="1:18">
      <c r="A1728" t="s">
        <v>2418</v>
      </c>
      <c r="B1728" t="s">
        <v>16360</v>
      </c>
      <c r="C1728">
        <v>45810</v>
      </c>
      <c r="D1728" t="s">
        <v>7263</v>
      </c>
      <c r="E1728" t="s">
        <v>16361</v>
      </c>
      <c r="F1728">
        <v>45808</v>
      </c>
      <c r="G1728" t="s">
        <v>2208</v>
      </c>
      <c r="H1728" t="s">
        <v>7834</v>
      </c>
      <c r="I1728" t="s">
        <v>18175</v>
      </c>
      <c r="J1728">
        <v>1</v>
      </c>
      <c r="K1728">
        <v>104.61</v>
      </c>
      <c r="L1728" t="s">
        <v>2917</v>
      </c>
      <c r="M1728">
        <v>104.61</v>
      </c>
      <c r="N1728" t="s">
        <v>2917</v>
      </c>
      <c r="O1728" t="s">
        <v>2208</v>
      </c>
      <c r="P1728" t="s">
        <v>2208</v>
      </c>
      <c r="Q1728" t="s">
        <v>2208</v>
      </c>
      <c r="R1728" t="s">
        <v>2208</v>
      </c>
    </row>
    <row r="1729" spans="1:18">
      <c r="A1729" t="s">
        <v>2418</v>
      </c>
      <c r="B1729" t="s">
        <v>16360</v>
      </c>
      <c r="C1729">
        <v>45810</v>
      </c>
      <c r="D1729" t="s">
        <v>7263</v>
      </c>
      <c r="E1729" t="s">
        <v>16361</v>
      </c>
      <c r="F1729">
        <v>45808</v>
      </c>
      <c r="G1729" t="s">
        <v>2208</v>
      </c>
      <c r="H1729" t="s">
        <v>7834</v>
      </c>
      <c r="I1729" t="s">
        <v>18176</v>
      </c>
      <c r="J1729">
        <v>1</v>
      </c>
      <c r="K1729">
        <v>104.61</v>
      </c>
      <c r="L1729" t="s">
        <v>2917</v>
      </c>
      <c r="M1729">
        <v>104.61</v>
      </c>
      <c r="N1729" t="s">
        <v>2917</v>
      </c>
      <c r="O1729" t="s">
        <v>2208</v>
      </c>
      <c r="P1729" t="s">
        <v>2208</v>
      </c>
      <c r="Q1729" t="s">
        <v>2208</v>
      </c>
      <c r="R1729" t="s">
        <v>2208</v>
      </c>
    </row>
    <row r="1730" spans="1:18">
      <c r="A1730" t="s">
        <v>2418</v>
      </c>
      <c r="B1730" t="s">
        <v>16360</v>
      </c>
      <c r="C1730">
        <v>45810</v>
      </c>
      <c r="D1730" t="s">
        <v>7263</v>
      </c>
      <c r="E1730" t="s">
        <v>16361</v>
      </c>
      <c r="F1730">
        <v>45808</v>
      </c>
      <c r="G1730" t="s">
        <v>2208</v>
      </c>
      <c r="H1730" t="s">
        <v>7834</v>
      </c>
      <c r="I1730" t="s">
        <v>18177</v>
      </c>
      <c r="J1730">
        <v>1</v>
      </c>
      <c r="K1730">
        <v>104.61</v>
      </c>
      <c r="L1730" t="s">
        <v>2917</v>
      </c>
      <c r="M1730">
        <v>104.61</v>
      </c>
      <c r="N1730" t="s">
        <v>2917</v>
      </c>
      <c r="O1730" t="s">
        <v>2208</v>
      </c>
      <c r="P1730" t="s">
        <v>2208</v>
      </c>
      <c r="Q1730" t="s">
        <v>2208</v>
      </c>
      <c r="R1730" t="s">
        <v>2208</v>
      </c>
    </row>
    <row r="1731" spans="1:18">
      <c r="A1731" t="s">
        <v>2418</v>
      </c>
      <c r="B1731" t="s">
        <v>16360</v>
      </c>
      <c r="C1731">
        <v>45810</v>
      </c>
      <c r="D1731" t="s">
        <v>7263</v>
      </c>
      <c r="E1731" t="s">
        <v>16361</v>
      </c>
      <c r="F1731">
        <v>45808</v>
      </c>
      <c r="G1731" t="s">
        <v>2208</v>
      </c>
      <c r="H1731" t="s">
        <v>7834</v>
      </c>
      <c r="I1731" t="s">
        <v>18178</v>
      </c>
      <c r="J1731">
        <v>1</v>
      </c>
      <c r="K1731">
        <v>104.61</v>
      </c>
      <c r="L1731" t="s">
        <v>2917</v>
      </c>
      <c r="M1731">
        <v>104.61</v>
      </c>
      <c r="N1731" t="s">
        <v>2917</v>
      </c>
      <c r="O1731" t="s">
        <v>2208</v>
      </c>
      <c r="P1731" t="s">
        <v>2208</v>
      </c>
      <c r="Q1731" t="s">
        <v>2208</v>
      </c>
      <c r="R1731" t="s">
        <v>2208</v>
      </c>
    </row>
    <row r="1732" spans="1:18">
      <c r="A1732" t="s">
        <v>2418</v>
      </c>
      <c r="B1732" t="s">
        <v>16360</v>
      </c>
      <c r="C1732">
        <v>45810</v>
      </c>
      <c r="D1732" t="s">
        <v>7263</v>
      </c>
      <c r="E1732" t="s">
        <v>16361</v>
      </c>
      <c r="F1732">
        <v>45808</v>
      </c>
      <c r="G1732" t="s">
        <v>2208</v>
      </c>
      <c r="H1732" t="s">
        <v>7834</v>
      </c>
      <c r="I1732" t="s">
        <v>18179</v>
      </c>
      <c r="J1732">
        <v>1</v>
      </c>
      <c r="K1732">
        <v>104.61</v>
      </c>
      <c r="L1732" t="s">
        <v>2917</v>
      </c>
      <c r="M1732">
        <v>104.61</v>
      </c>
      <c r="N1732" t="s">
        <v>2917</v>
      </c>
      <c r="O1732" t="s">
        <v>2208</v>
      </c>
      <c r="P1732" t="s">
        <v>2208</v>
      </c>
      <c r="Q1732" t="s">
        <v>2208</v>
      </c>
      <c r="R1732" t="s">
        <v>2208</v>
      </c>
    </row>
    <row r="1733" spans="1:18">
      <c r="A1733" t="s">
        <v>2418</v>
      </c>
      <c r="B1733" t="s">
        <v>16360</v>
      </c>
      <c r="C1733">
        <v>45810</v>
      </c>
      <c r="D1733" t="s">
        <v>7263</v>
      </c>
      <c r="E1733" t="s">
        <v>16361</v>
      </c>
      <c r="F1733">
        <v>45808</v>
      </c>
      <c r="G1733" t="s">
        <v>2208</v>
      </c>
      <c r="H1733" t="s">
        <v>7834</v>
      </c>
      <c r="I1733" t="s">
        <v>18180</v>
      </c>
      <c r="J1733">
        <v>1</v>
      </c>
      <c r="K1733">
        <v>104.61</v>
      </c>
      <c r="L1733" t="s">
        <v>2917</v>
      </c>
      <c r="M1733">
        <v>104.61</v>
      </c>
      <c r="N1733" t="s">
        <v>2917</v>
      </c>
      <c r="O1733" t="s">
        <v>2208</v>
      </c>
      <c r="P1733" t="s">
        <v>2208</v>
      </c>
      <c r="Q1733" t="s">
        <v>2208</v>
      </c>
      <c r="R1733" t="s">
        <v>2208</v>
      </c>
    </row>
    <row r="1734" spans="1:18">
      <c r="A1734" t="s">
        <v>2418</v>
      </c>
      <c r="B1734" t="s">
        <v>16360</v>
      </c>
      <c r="C1734">
        <v>45810</v>
      </c>
      <c r="D1734" t="s">
        <v>7263</v>
      </c>
      <c r="E1734" t="s">
        <v>16361</v>
      </c>
      <c r="F1734">
        <v>45808</v>
      </c>
      <c r="G1734" t="s">
        <v>2208</v>
      </c>
      <c r="H1734" t="s">
        <v>7834</v>
      </c>
      <c r="I1734" t="s">
        <v>18181</v>
      </c>
      <c r="J1734">
        <v>1</v>
      </c>
      <c r="K1734">
        <v>104.61</v>
      </c>
      <c r="L1734" t="s">
        <v>2917</v>
      </c>
      <c r="M1734">
        <v>104.61</v>
      </c>
      <c r="N1734" t="s">
        <v>2917</v>
      </c>
      <c r="O1734" t="s">
        <v>2208</v>
      </c>
      <c r="P1734" t="s">
        <v>2208</v>
      </c>
      <c r="Q1734" t="s">
        <v>2208</v>
      </c>
      <c r="R1734" t="s">
        <v>2208</v>
      </c>
    </row>
    <row r="1735" spans="1:18">
      <c r="A1735" t="s">
        <v>2418</v>
      </c>
      <c r="B1735" t="s">
        <v>16360</v>
      </c>
      <c r="C1735">
        <v>45810</v>
      </c>
      <c r="D1735" t="s">
        <v>7263</v>
      </c>
      <c r="E1735" t="s">
        <v>16361</v>
      </c>
      <c r="F1735">
        <v>45808</v>
      </c>
      <c r="G1735" t="s">
        <v>2208</v>
      </c>
      <c r="H1735" t="s">
        <v>7834</v>
      </c>
      <c r="I1735" t="s">
        <v>18182</v>
      </c>
      <c r="J1735">
        <v>1.3</v>
      </c>
      <c r="K1735">
        <v>135.99</v>
      </c>
      <c r="L1735" t="s">
        <v>2917</v>
      </c>
      <c r="M1735">
        <v>135.99</v>
      </c>
      <c r="N1735" t="s">
        <v>2917</v>
      </c>
      <c r="O1735" t="s">
        <v>2208</v>
      </c>
      <c r="P1735" t="s">
        <v>2208</v>
      </c>
      <c r="Q1735" t="s">
        <v>2208</v>
      </c>
      <c r="R1735" t="s">
        <v>2208</v>
      </c>
    </row>
    <row r="1736" spans="1:18">
      <c r="A1736" t="s">
        <v>2418</v>
      </c>
      <c r="B1736" t="s">
        <v>16360</v>
      </c>
      <c r="C1736">
        <v>45810</v>
      </c>
      <c r="D1736" t="s">
        <v>7263</v>
      </c>
      <c r="E1736" t="s">
        <v>16361</v>
      </c>
      <c r="F1736">
        <v>45808</v>
      </c>
      <c r="G1736" t="s">
        <v>2208</v>
      </c>
      <c r="H1736" t="s">
        <v>7834</v>
      </c>
      <c r="I1736" t="s">
        <v>18183</v>
      </c>
      <c r="J1736">
        <v>1</v>
      </c>
      <c r="K1736">
        <v>104.61</v>
      </c>
      <c r="L1736" t="s">
        <v>2917</v>
      </c>
      <c r="M1736">
        <v>104.61</v>
      </c>
      <c r="N1736" t="s">
        <v>2917</v>
      </c>
      <c r="O1736" t="s">
        <v>2208</v>
      </c>
      <c r="P1736" t="s">
        <v>2208</v>
      </c>
      <c r="Q1736" t="s">
        <v>2208</v>
      </c>
      <c r="R1736" t="s">
        <v>2208</v>
      </c>
    </row>
    <row r="1737" spans="1:18">
      <c r="A1737" t="s">
        <v>2418</v>
      </c>
      <c r="B1737" t="s">
        <v>16360</v>
      </c>
      <c r="C1737">
        <v>45810</v>
      </c>
      <c r="D1737" t="s">
        <v>7263</v>
      </c>
      <c r="E1737" t="s">
        <v>16361</v>
      </c>
      <c r="F1737">
        <v>45808</v>
      </c>
      <c r="G1737" t="s">
        <v>2208</v>
      </c>
      <c r="H1737" t="s">
        <v>7834</v>
      </c>
      <c r="I1737" t="s">
        <v>18184</v>
      </c>
      <c r="J1737">
        <v>1</v>
      </c>
      <c r="K1737">
        <v>104.61</v>
      </c>
      <c r="L1737" t="s">
        <v>2917</v>
      </c>
      <c r="M1737">
        <v>104.61</v>
      </c>
      <c r="N1737" t="s">
        <v>2917</v>
      </c>
      <c r="O1737" t="s">
        <v>2208</v>
      </c>
      <c r="P1737" t="s">
        <v>2208</v>
      </c>
      <c r="Q1737" t="s">
        <v>2208</v>
      </c>
      <c r="R1737" t="s">
        <v>2208</v>
      </c>
    </row>
    <row r="1738" spans="1:18">
      <c r="A1738" t="s">
        <v>2418</v>
      </c>
      <c r="B1738" t="s">
        <v>16360</v>
      </c>
      <c r="C1738">
        <v>45810</v>
      </c>
      <c r="D1738" t="s">
        <v>7263</v>
      </c>
      <c r="E1738" t="s">
        <v>16361</v>
      </c>
      <c r="F1738">
        <v>45808</v>
      </c>
      <c r="G1738" t="s">
        <v>2208</v>
      </c>
      <c r="H1738" t="s">
        <v>7834</v>
      </c>
      <c r="I1738" t="s">
        <v>18185</v>
      </c>
      <c r="J1738">
        <v>1</v>
      </c>
      <c r="K1738">
        <v>104.61</v>
      </c>
      <c r="L1738" t="s">
        <v>2917</v>
      </c>
      <c r="M1738">
        <v>104.61</v>
      </c>
      <c r="N1738" t="s">
        <v>2917</v>
      </c>
      <c r="O1738" t="s">
        <v>2208</v>
      </c>
      <c r="P1738" t="s">
        <v>2208</v>
      </c>
      <c r="Q1738" t="s">
        <v>2208</v>
      </c>
      <c r="R1738" t="s">
        <v>2208</v>
      </c>
    </row>
    <row r="1739" spans="1:18">
      <c r="A1739" t="s">
        <v>2418</v>
      </c>
      <c r="B1739" t="s">
        <v>16360</v>
      </c>
      <c r="C1739">
        <v>45810</v>
      </c>
      <c r="D1739" t="s">
        <v>7263</v>
      </c>
      <c r="E1739" t="s">
        <v>16361</v>
      </c>
      <c r="F1739">
        <v>45808</v>
      </c>
      <c r="G1739" t="s">
        <v>2208</v>
      </c>
      <c r="H1739" t="s">
        <v>7834</v>
      </c>
      <c r="I1739" t="s">
        <v>18186</v>
      </c>
      <c r="J1739">
        <v>2</v>
      </c>
      <c r="K1739">
        <v>209.22</v>
      </c>
      <c r="L1739" t="s">
        <v>2917</v>
      </c>
      <c r="M1739">
        <v>209.22</v>
      </c>
      <c r="N1739" t="s">
        <v>2917</v>
      </c>
      <c r="O1739" t="s">
        <v>2208</v>
      </c>
      <c r="P1739" t="s">
        <v>2208</v>
      </c>
      <c r="Q1739" t="s">
        <v>2208</v>
      </c>
      <c r="R1739" t="s">
        <v>2208</v>
      </c>
    </row>
    <row r="1740" spans="1:18">
      <c r="A1740" t="s">
        <v>2418</v>
      </c>
      <c r="B1740" t="s">
        <v>16360</v>
      </c>
      <c r="C1740">
        <v>45810</v>
      </c>
      <c r="D1740" t="s">
        <v>7263</v>
      </c>
      <c r="E1740" t="s">
        <v>16361</v>
      </c>
      <c r="F1740">
        <v>45808</v>
      </c>
      <c r="G1740" t="s">
        <v>2208</v>
      </c>
      <c r="H1740" t="s">
        <v>7834</v>
      </c>
      <c r="I1740" t="s">
        <v>18187</v>
      </c>
      <c r="J1740">
        <v>2</v>
      </c>
      <c r="K1740">
        <v>209.22</v>
      </c>
      <c r="L1740" t="s">
        <v>2917</v>
      </c>
      <c r="M1740">
        <v>209.22</v>
      </c>
      <c r="N1740" t="s">
        <v>2917</v>
      </c>
      <c r="O1740" t="s">
        <v>2208</v>
      </c>
      <c r="P1740" t="s">
        <v>2208</v>
      </c>
      <c r="Q1740" t="s">
        <v>2208</v>
      </c>
      <c r="R1740" t="s">
        <v>2208</v>
      </c>
    </row>
    <row r="1741" spans="1:18">
      <c r="A1741" t="s">
        <v>2418</v>
      </c>
      <c r="B1741" t="s">
        <v>16360</v>
      </c>
      <c r="C1741">
        <v>45810</v>
      </c>
      <c r="D1741" t="s">
        <v>7263</v>
      </c>
      <c r="E1741" t="s">
        <v>16361</v>
      </c>
      <c r="F1741">
        <v>45808</v>
      </c>
      <c r="G1741" t="s">
        <v>2208</v>
      </c>
      <c r="H1741" t="s">
        <v>7834</v>
      </c>
      <c r="I1741" t="s">
        <v>18188</v>
      </c>
      <c r="J1741">
        <v>2</v>
      </c>
      <c r="K1741">
        <v>209.22</v>
      </c>
      <c r="L1741" t="s">
        <v>2917</v>
      </c>
      <c r="M1741">
        <v>209.22</v>
      </c>
      <c r="N1741" t="s">
        <v>2917</v>
      </c>
      <c r="O1741" t="s">
        <v>2208</v>
      </c>
      <c r="P1741" t="s">
        <v>2208</v>
      </c>
      <c r="Q1741" t="s">
        <v>2208</v>
      </c>
      <c r="R1741" t="s">
        <v>2208</v>
      </c>
    </row>
    <row r="1742" spans="1:18">
      <c r="A1742" t="s">
        <v>2418</v>
      </c>
      <c r="B1742" t="s">
        <v>16360</v>
      </c>
      <c r="C1742">
        <v>45810</v>
      </c>
      <c r="D1742" t="s">
        <v>7263</v>
      </c>
      <c r="E1742" t="s">
        <v>16361</v>
      </c>
      <c r="F1742">
        <v>45808</v>
      </c>
      <c r="G1742" t="s">
        <v>2208</v>
      </c>
      <c r="H1742" t="s">
        <v>7834</v>
      </c>
      <c r="I1742" t="s">
        <v>18189</v>
      </c>
      <c r="J1742">
        <v>2</v>
      </c>
      <c r="K1742">
        <v>209.22</v>
      </c>
      <c r="L1742" t="s">
        <v>2917</v>
      </c>
      <c r="M1742">
        <v>209.22</v>
      </c>
      <c r="N1742" t="s">
        <v>2917</v>
      </c>
      <c r="O1742" t="s">
        <v>2208</v>
      </c>
      <c r="P1742" t="s">
        <v>2208</v>
      </c>
      <c r="Q1742" t="s">
        <v>2208</v>
      </c>
      <c r="R1742" t="s">
        <v>2208</v>
      </c>
    </row>
    <row r="1743" spans="1:18">
      <c r="A1743" t="s">
        <v>2418</v>
      </c>
      <c r="B1743" t="s">
        <v>16360</v>
      </c>
      <c r="C1743">
        <v>45810</v>
      </c>
      <c r="D1743" t="s">
        <v>7263</v>
      </c>
      <c r="E1743" t="s">
        <v>16361</v>
      </c>
      <c r="F1743">
        <v>45808</v>
      </c>
      <c r="G1743" t="s">
        <v>2208</v>
      </c>
      <c r="H1743" t="s">
        <v>7834</v>
      </c>
      <c r="I1743" t="s">
        <v>18190</v>
      </c>
      <c r="J1743">
        <v>1</v>
      </c>
      <c r="K1743">
        <v>104.61</v>
      </c>
      <c r="L1743" t="s">
        <v>2917</v>
      </c>
      <c r="M1743">
        <v>104.61</v>
      </c>
      <c r="N1743" t="s">
        <v>2917</v>
      </c>
      <c r="O1743" t="s">
        <v>2208</v>
      </c>
      <c r="P1743" t="s">
        <v>2208</v>
      </c>
      <c r="Q1743" t="s">
        <v>2208</v>
      </c>
      <c r="R1743" t="s">
        <v>2208</v>
      </c>
    </row>
    <row r="1744" spans="1:18">
      <c r="A1744" t="s">
        <v>2418</v>
      </c>
      <c r="B1744" t="s">
        <v>16360</v>
      </c>
      <c r="C1744">
        <v>45810</v>
      </c>
      <c r="D1744" t="s">
        <v>7263</v>
      </c>
      <c r="E1744" t="s">
        <v>16361</v>
      </c>
      <c r="F1744">
        <v>45808</v>
      </c>
      <c r="G1744" t="s">
        <v>2208</v>
      </c>
      <c r="H1744" t="s">
        <v>7834</v>
      </c>
      <c r="I1744" t="s">
        <v>18191</v>
      </c>
      <c r="J1744">
        <v>1</v>
      </c>
      <c r="K1744">
        <v>104.61</v>
      </c>
      <c r="L1744" t="s">
        <v>2917</v>
      </c>
      <c r="M1744">
        <v>104.61</v>
      </c>
      <c r="N1744" t="s">
        <v>2917</v>
      </c>
      <c r="O1744" t="s">
        <v>2208</v>
      </c>
      <c r="P1744" t="s">
        <v>2208</v>
      </c>
      <c r="Q1744" t="s">
        <v>2208</v>
      </c>
      <c r="R1744" t="s">
        <v>2208</v>
      </c>
    </row>
    <row r="1745" spans="1:18">
      <c r="A1745" t="s">
        <v>2418</v>
      </c>
      <c r="B1745" t="s">
        <v>16360</v>
      </c>
      <c r="C1745">
        <v>45810</v>
      </c>
      <c r="D1745" t="s">
        <v>7263</v>
      </c>
      <c r="E1745" t="s">
        <v>16361</v>
      </c>
      <c r="F1745">
        <v>45808</v>
      </c>
      <c r="G1745" t="s">
        <v>2208</v>
      </c>
      <c r="H1745" t="s">
        <v>7834</v>
      </c>
      <c r="I1745" t="s">
        <v>18192</v>
      </c>
      <c r="J1745">
        <v>6</v>
      </c>
      <c r="K1745">
        <v>627.66</v>
      </c>
      <c r="L1745" t="s">
        <v>2917</v>
      </c>
      <c r="M1745">
        <v>627.66</v>
      </c>
      <c r="N1745" t="s">
        <v>2917</v>
      </c>
      <c r="O1745" t="s">
        <v>2208</v>
      </c>
      <c r="P1745" t="s">
        <v>2208</v>
      </c>
      <c r="Q1745" t="s">
        <v>2208</v>
      </c>
      <c r="R1745" t="s">
        <v>2208</v>
      </c>
    </row>
    <row r="1746" spans="1:18">
      <c r="A1746" t="s">
        <v>2418</v>
      </c>
      <c r="B1746" t="s">
        <v>16360</v>
      </c>
      <c r="C1746">
        <v>45810</v>
      </c>
      <c r="D1746" t="s">
        <v>7263</v>
      </c>
      <c r="E1746" t="s">
        <v>16361</v>
      </c>
      <c r="F1746">
        <v>45808</v>
      </c>
      <c r="G1746" t="s">
        <v>2208</v>
      </c>
      <c r="H1746" t="s">
        <v>7834</v>
      </c>
      <c r="I1746" t="s">
        <v>18193</v>
      </c>
      <c r="J1746">
        <v>6</v>
      </c>
      <c r="K1746">
        <v>627.66</v>
      </c>
      <c r="L1746" t="s">
        <v>2917</v>
      </c>
      <c r="M1746">
        <v>627.66</v>
      </c>
      <c r="N1746" t="s">
        <v>2917</v>
      </c>
      <c r="O1746" t="s">
        <v>2208</v>
      </c>
      <c r="P1746" t="s">
        <v>2208</v>
      </c>
      <c r="Q1746" t="s">
        <v>2208</v>
      </c>
      <c r="R1746" t="s">
        <v>2208</v>
      </c>
    </row>
    <row r="1747" spans="1:18">
      <c r="A1747" t="s">
        <v>2418</v>
      </c>
      <c r="B1747" t="s">
        <v>16360</v>
      </c>
      <c r="C1747">
        <v>45810</v>
      </c>
      <c r="D1747" t="s">
        <v>7263</v>
      </c>
      <c r="E1747" t="s">
        <v>16361</v>
      </c>
      <c r="F1747">
        <v>45808</v>
      </c>
      <c r="G1747" t="s">
        <v>2208</v>
      </c>
      <c r="H1747" t="s">
        <v>7834</v>
      </c>
      <c r="I1747" t="s">
        <v>18194</v>
      </c>
      <c r="J1747">
        <v>6.5</v>
      </c>
      <c r="K1747">
        <v>679.97</v>
      </c>
      <c r="L1747" t="s">
        <v>2917</v>
      </c>
      <c r="M1747">
        <v>679.97</v>
      </c>
      <c r="N1747" t="s">
        <v>2917</v>
      </c>
      <c r="O1747" t="s">
        <v>2208</v>
      </c>
      <c r="P1747" t="s">
        <v>2208</v>
      </c>
      <c r="Q1747" t="s">
        <v>2208</v>
      </c>
      <c r="R1747" t="s">
        <v>2208</v>
      </c>
    </row>
    <row r="1748" spans="1:18">
      <c r="A1748" t="s">
        <v>2501</v>
      </c>
      <c r="B1748" t="s">
        <v>16360</v>
      </c>
      <c r="C1748">
        <v>45810</v>
      </c>
      <c r="D1748" t="s">
        <v>7263</v>
      </c>
      <c r="E1748" t="s">
        <v>16361</v>
      </c>
      <c r="F1748">
        <v>45808</v>
      </c>
      <c r="G1748" t="s">
        <v>2208</v>
      </c>
      <c r="H1748" t="s">
        <v>7834</v>
      </c>
      <c r="I1748" t="s">
        <v>18195</v>
      </c>
      <c r="J1748">
        <v>0.5</v>
      </c>
      <c r="K1748">
        <v>52.31</v>
      </c>
      <c r="L1748" t="s">
        <v>2917</v>
      </c>
      <c r="M1748">
        <v>52.31</v>
      </c>
      <c r="N1748" t="s">
        <v>2917</v>
      </c>
      <c r="O1748" t="s">
        <v>2208</v>
      </c>
      <c r="P1748" t="s">
        <v>2208</v>
      </c>
      <c r="Q1748" t="s">
        <v>2208</v>
      </c>
      <c r="R1748" t="s">
        <v>2208</v>
      </c>
    </row>
    <row r="1749" spans="1:18">
      <c r="A1749" t="s">
        <v>2501</v>
      </c>
      <c r="B1749" t="s">
        <v>16360</v>
      </c>
      <c r="C1749">
        <v>45810</v>
      </c>
      <c r="D1749" t="s">
        <v>7263</v>
      </c>
      <c r="E1749" t="s">
        <v>16361</v>
      </c>
      <c r="F1749">
        <v>45808</v>
      </c>
      <c r="G1749" t="s">
        <v>2208</v>
      </c>
      <c r="H1749" t="s">
        <v>7834</v>
      </c>
      <c r="I1749" t="s">
        <v>18196</v>
      </c>
      <c r="J1749">
        <v>0.5</v>
      </c>
      <c r="K1749">
        <v>52.31</v>
      </c>
      <c r="L1749" t="s">
        <v>2917</v>
      </c>
      <c r="M1749">
        <v>52.31</v>
      </c>
      <c r="N1749" t="s">
        <v>2917</v>
      </c>
      <c r="O1749" t="s">
        <v>2208</v>
      </c>
      <c r="P1749" t="s">
        <v>2208</v>
      </c>
      <c r="Q1749" t="s">
        <v>2208</v>
      </c>
      <c r="R1749" t="s">
        <v>2208</v>
      </c>
    </row>
    <row r="1750" spans="1:18">
      <c r="A1750" t="s">
        <v>2600</v>
      </c>
      <c r="B1750" t="s">
        <v>16360</v>
      </c>
      <c r="C1750">
        <v>45810</v>
      </c>
      <c r="D1750" t="s">
        <v>7263</v>
      </c>
      <c r="E1750" t="s">
        <v>16361</v>
      </c>
      <c r="F1750">
        <v>45808</v>
      </c>
      <c r="G1750" t="s">
        <v>2208</v>
      </c>
      <c r="H1750" t="s">
        <v>7834</v>
      </c>
      <c r="I1750" t="s">
        <v>18197</v>
      </c>
      <c r="J1750">
        <v>0.5</v>
      </c>
      <c r="K1750">
        <v>52.31</v>
      </c>
      <c r="L1750" t="s">
        <v>2917</v>
      </c>
      <c r="M1750">
        <v>52.31</v>
      </c>
      <c r="N1750" t="s">
        <v>2917</v>
      </c>
      <c r="O1750" t="s">
        <v>2208</v>
      </c>
      <c r="P1750" t="s">
        <v>2208</v>
      </c>
      <c r="Q1750" t="s">
        <v>2208</v>
      </c>
      <c r="R1750" t="s">
        <v>2208</v>
      </c>
    </row>
    <row r="1751" spans="1:18">
      <c r="A1751" t="s">
        <v>2600</v>
      </c>
      <c r="B1751" t="s">
        <v>16360</v>
      </c>
      <c r="C1751">
        <v>45810</v>
      </c>
      <c r="D1751" t="s">
        <v>7263</v>
      </c>
      <c r="E1751" t="s">
        <v>16361</v>
      </c>
      <c r="F1751">
        <v>45808</v>
      </c>
      <c r="G1751" t="s">
        <v>2208</v>
      </c>
      <c r="H1751" t="s">
        <v>7834</v>
      </c>
      <c r="I1751" t="s">
        <v>18198</v>
      </c>
      <c r="J1751">
        <v>0.5</v>
      </c>
      <c r="K1751">
        <v>52.31</v>
      </c>
      <c r="L1751" t="s">
        <v>2917</v>
      </c>
      <c r="M1751">
        <v>52.31</v>
      </c>
      <c r="N1751" t="s">
        <v>2917</v>
      </c>
      <c r="O1751" t="s">
        <v>2208</v>
      </c>
      <c r="P1751" t="s">
        <v>2208</v>
      </c>
      <c r="Q1751" t="s">
        <v>2208</v>
      </c>
      <c r="R1751" t="s">
        <v>2208</v>
      </c>
    </row>
    <row r="1752" spans="1:18">
      <c r="A1752" t="s">
        <v>2600</v>
      </c>
      <c r="B1752" t="s">
        <v>16360</v>
      </c>
      <c r="C1752">
        <v>45810</v>
      </c>
      <c r="D1752" t="s">
        <v>7263</v>
      </c>
      <c r="E1752" t="s">
        <v>16361</v>
      </c>
      <c r="F1752">
        <v>45808</v>
      </c>
      <c r="G1752" t="s">
        <v>2208</v>
      </c>
      <c r="H1752" t="s">
        <v>7834</v>
      </c>
      <c r="I1752" t="s">
        <v>18199</v>
      </c>
      <c r="J1752">
        <v>2</v>
      </c>
      <c r="K1752">
        <v>209.22</v>
      </c>
      <c r="L1752" t="s">
        <v>2917</v>
      </c>
      <c r="M1752">
        <v>209.22</v>
      </c>
      <c r="N1752" t="s">
        <v>2917</v>
      </c>
      <c r="O1752" t="s">
        <v>2208</v>
      </c>
      <c r="P1752" t="s">
        <v>2208</v>
      </c>
      <c r="Q1752" t="s">
        <v>2208</v>
      </c>
      <c r="R1752" t="s">
        <v>2208</v>
      </c>
    </row>
    <row r="1753" spans="1:18">
      <c r="A1753" t="s">
        <v>2600</v>
      </c>
      <c r="B1753" t="s">
        <v>16360</v>
      </c>
      <c r="C1753">
        <v>45810</v>
      </c>
      <c r="D1753" t="s">
        <v>7263</v>
      </c>
      <c r="E1753" t="s">
        <v>16361</v>
      </c>
      <c r="F1753">
        <v>45808</v>
      </c>
      <c r="G1753" t="s">
        <v>2208</v>
      </c>
      <c r="H1753" t="s">
        <v>7834</v>
      </c>
      <c r="I1753" t="s">
        <v>18200</v>
      </c>
      <c r="J1753">
        <v>0.5</v>
      </c>
      <c r="K1753">
        <v>52.31</v>
      </c>
      <c r="L1753" t="s">
        <v>2917</v>
      </c>
      <c r="M1753">
        <v>52.31</v>
      </c>
      <c r="N1753" t="s">
        <v>2917</v>
      </c>
      <c r="O1753" t="s">
        <v>2208</v>
      </c>
      <c r="P1753" t="s">
        <v>2208</v>
      </c>
      <c r="Q1753" t="s">
        <v>2208</v>
      </c>
      <c r="R1753" t="s">
        <v>2208</v>
      </c>
    </row>
    <row r="1754" spans="1:18">
      <c r="A1754" t="s">
        <v>2681</v>
      </c>
      <c r="B1754" t="s">
        <v>16360</v>
      </c>
      <c r="C1754">
        <v>45810</v>
      </c>
      <c r="D1754" t="s">
        <v>7263</v>
      </c>
      <c r="E1754" t="s">
        <v>16361</v>
      </c>
      <c r="F1754">
        <v>45808</v>
      </c>
      <c r="G1754" t="s">
        <v>2208</v>
      </c>
      <c r="H1754" t="s">
        <v>7834</v>
      </c>
      <c r="I1754" t="s">
        <v>18201</v>
      </c>
      <c r="J1754">
        <v>1</v>
      </c>
      <c r="K1754">
        <v>104.61</v>
      </c>
      <c r="L1754" t="s">
        <v>2917</v>
      </c>
      <c r="M1754">
        <v>104.61</v>
      </c>
      <c r="N1754" t="s">
        <v>2917</v>
      </c>
      <c r="O1754" t="s">
        <v>2208</v>
      </c>
      <c r="P1754" t="s">
        <v>2208</v>
      </c>
      <c r="Q1754" t="s">
        <v>2208</v>
      </c>
      <c r="R1754" t="s">
        <v>2208</v>
      </c>
    </row>
    <row r="1755" spans="1:18">
      <c r="A1755" t="s">
        <v>2724</v>
      </c>
      <c r="B1755" t="s">
        <v>16360</v>
      </c>
      <c r="C1755">
        <v>45810</v>
      </c>
      <c r="D1755" t="s">
        <v>7263</v>
      </c>
      <c r="E1755" t="s">
        <v>16361</v>
      </c>
      <c r="F1755">
        <v>45808</v>
      </c>
      <c r="G1755" t="s">
        <v>2208</v>
      </c>
      <c r="H1755" t="s">
        <v>7834</v>
      </c>
      <c r="I1755" t="s">
        <v>18202</v>
      </c>
      <c r="J1755">
        <v>1</v>
      </c>
      <c r="K1755">
        <v>104.61</v>
      </c>
      <c r="L1755" t="s">
        <v>2917</v>
      </c>
      <c r="M1755">
        <v>104.61</v>
      </c>
      <c r="N1755" t="s">
        <v>2917</v>
      </c>
      <c r="O1755" t="s">
        <v>2208</v>
      </c>
      <c r="P1755" t="s">
        <v>2208</v>
      </c>
      <c r="Q1755" t="s">
        <v>2208</v>
      </c>
      <c r="R1755" t="s">
        <v>2208</v>
      </c>
    </row>
    <row r="1756" spans="1:18">
      <c r="A1756" t="s">
        <v>2886</v>
      </c>
      <c r="B1756" t="s">
        <v>16360</v>
      </c>
      <c r="C1756">
        <v>45810</v>
      </c>
      <c r="D1756" t="s">
        <v>7263</v>
      </c>
      <c r="E1756" t="s">
        <v>16361</v>
      </c>
      <c r="F1756">
        <v>45808</v>
      </c>
      <c r="G1756" t="s">
        <v>2208</v>
      </c>
      <c r="H1756" t="s">
        <v>7834</v>
      </c>
      <c r="I1756" t="s">
        <v>18203</v>
      </c>
      <c r="J1756">
        <v>0.5</v>
      </c>
      <c r="K1756">
        <v>52.31</v>
      </c>
      <c r="L1756" t="s">
        <v>2917</v>
      </c>
      <c r="M1756">
        <v>52.31</v>
      </c>
      <c r="N1756" t="s">
        <v>2917</v>
      </c>
      <c r="O1756" t="s">
        <v>2208</v>
      </c>
      <c r="P1756" t="s">
        <v>2208</v>
      </c>
      <c r="Q1756" t="s">
        <v>2208</v>
      </c>
      <c r="R1756" t="s">
        <v>2208</v>
      </c>
    </row>
    <row r="1757" spans="1:18">
      <c r="A1757" t="s">
        <v>2886</v>
      </c>
      <c r="B1757" t="s">
        <v>16360</v>
      </c>
      <c r="C1757">
        <v>45810</v>
      </c>
      <c r="D1757" t="s">
        <v>7263</v>
      </c>
      <c r="E1757" t="s">
        <v>16361</v>
      </c>
      <c r="F1757">
        <v>45808</v>
      </c>
      <c r="G1757" t="s">
        <v>2208</v>
      </c>
      <c r="H1757" t="s">
        <v>7834</v>
      </c>
      <c r="I1757" t="s">
        <v>18204</v>
      </c>
      <c r="J1757">
        <v>0.5</v>
      </c>
      <c r="K1757">
        <v>52.31</v>
      </c>
      <c r="L1757" t="s">
        <v>2917</v>
      </c>
      <c r="M1757">
        <v>52.31</v>
      </c>
      <c r="N1757" t="s">
        <v>2917</v>
      </c>
      <c r="O1757" t="s">
        <v>2208</v>
      </c>
      <c r="P1757" t="s">
        <v>2208</v>
      </c>
      <c r="Q1757" t="s">
        <v>2208</v>
      </c>
      <c r="R1757" t="s">
        <v>2208</v>
      </c>
    </row>
    <row r="1758" spans="1:18">
      <c r="A1758" t="s">
        <v>2886</v>
      </c>
      <c r="B1758" t="s">
        <v>16360</v>
      </c>
      <c r="C1758">
        <v>45810</v>
      </c>
      <c r="D1758" t="s">
        <v>7263</v>
      </c>
      <c r="E1758" t="s">
        <v>16361</v>
      </c>
      <c r="F1758">
        <v>45808</v>
      </c>
      <c r="G1758" t="s">
        <v>2208</v>
      </c>
      <c r="H1758" t="s">
        <v>7834</v>
      </c>
      <c r="I1758" t="s">
        <v>18205</v>
      </c>
      <c r="J1758">
        <v>1</v>
      </c>
      <c r="K1758">
        <v>104.61</v>
      </c>
      <c r="L1758" t="s">
        <v>2917</v>
      </c>
      <c r="M1758">
        <v>104.61</v>
      </c>
      <c r="N1758" t="s">
        <v>2917</v>
      </c>
      <c r="O1758" t="s">
        <v>2208</v>
      </c>
      <c r="P1758" t="s">
        <v>2208</v>
      </c>
      <c r="Q1758" t="s">
        <v>2208</v>
      </c>
      <c r="R1758" t="s">
        <v>2208</v>
      </c>
    </row>
    <row r="1759" spans="1:18">
      <c r="A1759" t="s">
        <v>2886</v>
      </c>
      <c r="B1759" t="s">
        <v>16360</v>
      </c>
      <c r="C1759">
        <v>45810</v>
      </c>
      <c r="D1759" t="s">
        <v>7263</v>
      </c>
      <c r="E1759" t="s">
        <v>16361</v>
      </c>
      <c r="F1759">
        <v>45808</v>
      </c>
      <c r="G1759" t="s">
        <v>2208</v>
      </c>
      <c r="H1759" t="s">
        <v>7834</v>
      </c>
      <c r="I1759" t="s">
        <v>18206</v>
      </c>
      <c r="J1759">
        <v>1</v>
      </c>
      <c r="K1759">
        <v>104.61</v>
      </c>
      <c r="L1759" t="s">
        <v>2917</v>
      </c>
      <c r="M1759">
        <v>104.61</v>
      </c>
      <c r="N1759" t="s">
        <v>2917</v>
      </c>
      <c r="O1759" t="s">
        <v>2208</v>
      </c>
      <c r="P1759" t="s">
        <v>2208</v>
      </c>
      <c r="Q1759" t="s">
        <v>2208</v>
      </c>
      <c r="R1759" t="s">
        <v>2208</v>
      </c>
    </row>
    <row r="1760" spans="1:18">
      <c r="A1760" t="s">
        <v>2886</v>
      </c>
      <c r="B1760" t="s">
        <v>16360</v>
      </c>
      <c r="C1760">
        <v>45810</v>
      </c>
      <c r="D1760" t="s">
        <v>7263</v>
      </c>
      <c r="E1760" t="s">
        <v>16361</v>
      </c>
      <c r="F1760">
        <v>45808</v>
      </c>
      <c r="G1760" t="s">
        <v>2208</v>
      </c>
      <c r="H1760" t="s">
        <v>7834</v>
      </c>
      <c r="I1760" t="s">
        <v>18207</v>
      </c>
      <c r="J1760">
        <v>0.5</v>
      </c>
      <c r="K1760">
        <v>52.31</v>
      </c>
      <c r="L1760" t="s">
        <v>2917</v>
      </c>
      <c r="M1760">
        <v>52.31</v>
      </c>
      <c r="N1760" t="s">
        <v>2917</v>
      </c>
      <c r="O1760" t="s">
        <v>2208</v>
      </c>
      <c r="P1760" t="s">
        <v>2208</v>
      </c>
      <c r="Q1760" t="s">
        <v>2208</v>
      </c>
      <c r="R1760" t="s">
        <v>2208</v>
      </c>
    </row>
    <row r="1761" spans="1:18">
      <c r="A1761" t="s">
        <v>2886</v>
      </c>
      <c r="B1761" t="s">
        <v>16360</v>
      </c>
      <c r="C1761">
        <v>45810</v>
      </c>
      <c r="D1761" t="s">
        <v>7263</v>
      </c>
      <c r="E1761" t="s">
        <v>16361</v>
      </c>
      <c r="F1761">
        <v>45808</v>
      </c>
      <c r="G1761" t="s">
        <v>2208</v>
      </c>
      <c r="H1761" t="s">
        <v>7834</v>
      </c>
      <c r="I1761" t="s">
        <v>18208</v>
      </c>
      <c r="J1761">
        <v>1</v>
      </c>
      <c r="K1761">
        <v>104.61</v>
      </c>
      <c r="L1761" t="s">
        <v>2917</v>
      </c>
      <c r="M1761">
        <v>104.61</v>
      </c>
      <c r="N1761" t="s">
        <v>2917</v>
      </c>
      <c r="O1761" t="s">
        <v>2208</v>
      </c>
      <c r="P1761" t="s">
        <v>2208</v>
      </c>
      <c r="Q1761" t="s">
        <v>2208</v>
      </c>
      <c r="R1761" t="s">
        <v>2208</v>
      </c>
    </row>
    <row r="1762" spans="1:18">
      <c r="A1762" t="s">
        <v>2886</v>
      </c>
      <c r="B1762" t="s">
        <v>16360</v>
      </c>
      <c r="C1762">
        <v>45810</v>
      </c>
      <c r="D1762" t="s">
        <v>7263</v>
      </c>
      <c r="E1762" t="s">
        <v>16361</v>
      </c>
      <c r="F1762">
        <v>45808</v>
      </c>
      <c r="G1762" t="s">
        <v>2208</v>
      </c>
      <c r="H1762" t="s">
        <v>7834</v>
      </c>
      <c r="I1762" t="s">
        <v>18209</v>
      </c>
      <c r="J1762">
        <v>0.5</v>
      </c>
      <c r="K1762">
        <v>52.31</v>
      </c>
      <c r="L1762" t="s">
        <v>2917</v>
      </c>
      <c r="M1762">
        <v>52.31</v>
      </c>
      <c r="N1762" t="s">
        <v>2917</v>
      </c>
      <c r="O1762" t="s">
        <v>2208</v>
      </c>
      <c r="P1762" t="s">
        <v>2208</v>
      </c>
      <c r="Q1762" t="s">
        <v>2208</v>
      </c>
      <c r="R1762" t="s">
        <v>2208</v>
      </c>
    </row>
    <row r="1763" spans="1:18">
      <c r="A1763" t="s">
        <v>2886</v>
      </c>
      <c r="B1763" t="s">
        <v>16360</v>
      </c>
      <c r="C1763">
        <v>45810</v>
      </c>
      <c r="D1763" t="s">
        <v>7263</v>
      </c>
      <c r="E1763" t="s">
        <v>16361</v>
      </c>
      <c r="F1763">
        <v>45808</v>
      </c>
      <c r="G1763" t="s">
        <v>2208</v>
      </c>
      <c r="H1763" t="s">
        <v>7834</v>
      </c>
      <c r="I1763" t="s">
        <v>18210</v>
      </c>
      <c r="J1763">
        <v>1</v>
      </c>
      <c r="K1763">
        <v>104.61</v>
      </c>
      <c r="L1763" t="s">
        <v>2917</v>
      </c>
      <c r="M1763">
        <v>104.61</v>
      </c>
      <c r="N1763" t="s">
        <v>2917</v>
      </c>
      <c r="O1763" t="s">
        <v>2208</v>
      </c>
      <c r="P1763" t="s">
        <v>2208</v>
      </c>
      <c r="Q1763" t="s">
        <v>2208</v>
      </c>
      <c r="R1763" t="s">
        <v>2208</v>
      </c>
    </row>
    <row r="1764" spans="1:18">
      <c r="A1764" t="s">
        <v>2886</v>
      </c>
      <c r="B1764" t="s">
        <v>16360</v>
      </c>
      <c r="C1764">
        <v>45810</v>
      </c>
      <c r="D1764" t="s">
        <v>7263</v>
      </c>
      <c r="E1764" t="s">
        <v>16361</v>
      </c>
      <c r="F1764">
        <v>45808</v>
      </c>
      <c r="G1764" t="s">
        <v>2208</v>
      </c>
      <c r="H1764" t="s">
        <v>7834</v>
      </c>
      <c r="I1764" t="s">
        <v>18211</v>
      </c>
      <c r="J1764">
        <v>1</v>
      </c>
      <c r="K1764">
        <v>104.61</v>
      </c>
      <c r="L1764" t="s">
        <v>2917</v>
      </c>
      <c r="M1764">
        <v>104.61</v>
      </c>
      <c r="N1764" t="s">
        <v>2917</v>
      </c>
      <c r="O1764" t="s">
        <v>2208</v>
      </c>
      <c r="P1764" t="s">
        <v>2208</v>
      </c>
      <c r="Q1764" t="s">
        <v>2208</v>
      </c>
      <c r="R1764" t="s">
        <v>2208</v>
      </c>
    </row>
    <row r="1765" spans="1:18">
      <c r="A1765" t="s">
        <v>2886</v>
      </c>
      <c r="B1765" t="s">
        <v>16360</v>
      </c>
      <c r="C1765">
        <v>45810</v>
      </c>
      <c r="D1765" t="s">
        <v>7263</v>
      </c>
      <c r="E1765" t="s">
        <v>16361</v>
      </c>
      <c r="F1765">
        <v>45808</v>
      </c>
      <c r="G1765" t="s">
        <v>2208</v>
      </c>
      <c r="H1765" t="s">
        <v>7834</v>
      </c>
      <c r="I1765" t="s">
        <v>18212</v>
      </c>
      <c r="J1765">
        <v>1</v>
      </c>
      <c r="K1765">
        <v>104.61</v>
      </c>
      <c r="L1765" t="s">
        <v>2917</v>
      </c>
      <c r="M1765">
        <v>104.61</v>
      </c>
      <c r="N1765" t="s">
        <v>2917</v>
      </c>
      <c r="O1765" t="s">
        <v>2208</v>
      </c>
      <c r="P1765" t="s">
        <v>2208</v>
      </c>
      <c r="Q1765" t="s">
        <v>2208</v>
      </c>
      <c r="R1765" t="s">
        <v>2208</v>
      </c>
    </row>
    <row r="1766" spans="1:18">
      <c r="A1766" t="s">
        <v>2886</v>
      </c>
      <c r="B1766" t="s">
        <v>16360</v>
      </c>
      <c r="C1766">
        <v>45810</v>
      </c>
      <c r="D1766" t="s">
        <v>7263</v>
      </c>
      <c r="E1766" t="s">
        <v>16361</v>
      </c>
      <c r="F1766">
        <v>45808</v>
      </c>
      <c r="G1766" t="s">
        <v>2208</v>
      </c>
      <c r="H1766" t="s">
        <v>7834</v>
      </c>
      <c r="I1766" t="s">
        <v>18213</v>
      </c>
      <c r="J1766">
        <v>0.5</v>
      </c>
      <c r="K1766">
        <v>52.31</v>
      </c>
      <c r="L1766" t="s">
        <v>2917</v>
      </c>
      <c r="M1766">
        <v>52.31</v>
      </c>
      <c r="N1766" t="s">
        <v>2917</v>
      </c>
      <c r="O1766" t="s">
        <v>2208</v>
      </c>
      <c r="P1766" t="s">
        <v>2208</v>
      </c>
      <c r="Q1766" t="s">
        <v>2208</v>
      </c>
      <c r="R1766" t="s">
        <v>2208</v>
      </c>
    </row>
    <row r="1767" spans="1:18">
      <c r="A1767" t="s">
        <v>2886</v>
      </c>
      <c r="B1767" t="s">
        <v>16360</v>
      </c>
      <c r="C1767">
        <v>45810</v>
      </c>
      <c r="D1767" t="s">
        <v>7263</v>
      </c>
      <c r="E1767" t="s">
        <v>16361</v>
      </c>
      <c r="F1767">
        <v>45808</v>
      </c>
      <c r="G1767" t="s">
        <v>2208</v>
      </c>
      <c r="H1767" t="s">
        <v>7834</v>
      </c>
      <c r="I1767" t="s">
        <v>18214</v>
      </c>
      <c r="J1767">
        <v>1</v>
      </c>
      <c r="K1767">
        <v>104.61</v>
      </c>
      <c r="L1767" t="s">
        <v>2917</v>
      </c>
      <c r="M1767">
        <v>104.61</v>
      </c>
      <c r="N1767" t="s">
        <v>2917</v>
      </c>
      <c r="O1767" t="s">
        <v>2208</v>
      </c>
      <c r="P1767" t="s">
        <v>2208</v>
      </c>
      <c r="Q1767" t="s">
        <v>2208</v>
      </c>
      <c r="R1767" t="s">
        <v>2208</v>
      </c>
    </row>
    <row r="1768" spans="1:18">
      <c r="A1768" t="s">
        <v>2886</v>
      </c>
      <c r="B1768" t="s">
        <v>16360</v>
      </c>
      <c r="C1768">
        <v>45810</v>
      </c>
      <c r="D1768" t="s">
        <v>7263</v>
      </c>
      <c r="E1768" t="s">
        <v>16361</v>
      </c>
      <c r="F1768">
        <v>45808</v>
      </c>
      <c r="G1768" t="s">
        <v>2208</v>
      </c>
      <c r="H1768" t="s">
        <v>7834</v>
      </c>
      <c r="I1768" t="s">
        <v>18215</v>
      </c>
      <c r="J1768">
        <v>0.5</v>
      </c>
      <c r="K1768">
        <v>52.31</v>
      </c>
      <c r="L1768" t="s">
        <v>2917</v>
      </c>
      <c r="M1768">
        <v>52.31</v>
      </c>
      <c r="N1768" t="s">
        <v>2917</v>
      </c>
      <c r="O1768" t="s">
        <v>2208</v>
      </c>
      <c r="P1768" t="s">
        <v>2208</v>
      </c>
      <c r="Q1768" t="s">
        <v>2208</v>
      </c>
      <c r="R1768" t="s">
        <v>2208</v>
      </c>
    </row>
    <row r="1769" spans="1:18">
      <c r="A1769" t="s">
        <v>2886</v>
      </c>
      <c r="B1769" t="s">
        <v>16360</v>
      </c>
      <c r="C1769">
        <v>45810</v>
      </c>
      <c r="D1769" t="s">
        <v>7263</v>
      </c>
      <c r="E1769" t="s">
        <v>16361</v>
      </c>
      <c r="F1769">
        <v>45808</v>
      </c>
      <c r="G1769" t="s">
        <v>2208</v>
      </c>
      <c r="H1769" t="s">
        <v>7834</v>
      </c>
      <c r="I1769" t="s">
        <v>18216</v>
      </c>
      <c r="J1769">
        <v>0.5</v>
      </c>
      <c r="K1769">
        <v>52.31</v>
      </c>
      <c r="L1769" t="s">
        <v>2917</v>
      </c>
      <c r="M1769">
        <v>52.31</v>
      </c>
      <c r="N1769" t="s">
        <v>2917</v>
      </c>
      <c r="O1769" t="s">
        <v>2208</v>
      </c>
      <c r="P1769" t="s">
        <v>2208</v>
      </c>
      <c r="Q1769" t="s">
        <v>2208</v>
      </c>
      <c r="R1769" t="s">
        <v>2208</v>
      </c>
    </row>
    <row r="1770" spans="1:18">
      <c r="A1770" t="s">
        <v>6817</v>
      </c>
      <c r="B1770" t="s">
        <v>16360</v>
      </c>
      <c r="C1770">
        <v>45810</v>
      </c>
      <c r="D1770" t="s">
        <v>7263</v>
      </c>
      <c r="E1770" t="s">
        <v>16361</v>
      </c>
      <c r="F1770">
        <v>45808</v>
      </c>
      <c r="G1770" t="s">
        <v>2208</v>
      </c>
      <c r="H1770" t="s">
        <v>7834</v>
      </c>
      <c r="I1770" t="s">
        <v>18217</v>
      </c>
      <c r="J1770">
        <v>1</v>
      </c>
      <c r="K1770">
        <v>104.61</v>
      </c>
      <c r="L1770" t="s">
        <v>2917</v>
      </c>
      <c r="M1770">
        <v>104.61</v>
      </c>
      <c r="N1770" t="s">
        <v>2917</v>
      </c>
      <c r="O1770" t="s">
        <v>2208</v>
      </c>
      <c r="P1770" t="s">
        <v>2208</v>
      </c>
      <c r="Q1770" t="s">
        <v>2208</v>
      </c>
      <c r="R1770" t="s">
        <v>2208</v>
      </c>
    </row>
    <row r="1771" spans="1:18">
      <c r="A1771" t="s">
        <v>6817</v>
      </c>
      <c r="B1771" t="s">
        <v>16360</v>
      </c>
      <c r="C1771">
        <v>45810</v>
      </c>
      <c r="D1771" t="s">
        <v>7263</v>
      </c>
      <c r="E1771" t="s">
        <v>16361</v>
      </c>
      <c r="F1771">
        <v>45808</v>
      </c>
      <c r="G1771" t="s">
        <v>2208</v>
      </c>
      <c r="H1771" t="s">
        <v>7834</v>
      </c>
      <c r="I1771" t="s">
        <v>18218</v>
      </c>
      <c r="J1771">
        <v>0.5</v>
      </c>
      <c r="K1771">
        <v>52.31</v>
      </c>
      <c r="L1771" t="s">
        <v>2917</v>
      </c>
      <c r="M1771">
        <v>52.31</v>
      </c>
      <c r="N1771" t="s">
        <v>2917</v>
      </c>
      <c r="O1771" t="s">
        <v>2208</v>
      </c>
      <c r="P1771" t="s">
        <v>2208</v>
      </c>
      <c r="Q1771" t="s">
        <v>2208</v>
      </c>
      <c r="R1771" t="s">
        <v>2208</v>
      </c>
    </row>
    <row r="1772" spans="1:18">
      <c r="A1772" t="s">
        <v>6815</v>
      </c>
      <c r="B1772" t="s">
        <v>16360</v>
      </c>
      <c r="C1772">
        <v>45810</v>
      </c>
      <c r="D1772" t="s">
        <v>7263</v>
      </c>
      <c r="E1772" t="s">
        <v>16361</v>
      </c>
      <c r="F1772">
        <v>45808</v>
      </c>
      <c r="G1772" t="s">
        <v>2208</v>
      </c>
      <c r="H1772" t="s">
        <v>7834</v>
      </c>
      <c r="I1772" t="s">
        <v>18219</v>
      </c>
      <c r="J1772">
        <v>1</v>
      </c>
      <c r="K1772">
        <v>104.61</v>
      </c>
      <c r="L1772" t="s">
        <v>2917</v>
      </c>
      <c r="M1772">
        <v>104.61</v>
      </c>
      <c r="N1772" t="s">
        <v>2917</v>
      </c>
      <c r="O1772" t="s">
        <v>2208</v>
      </c>
      <c r="P1772" t="s">
        <v>2208</v>
      </c>
      <c r="Q1772" t="s">
        <v>2208</v>
      </c>
      <c r="R1772" t="s">
        <v>2208</v>
      </c>
    </row>
    <row r="1773" spans="1:18">
      <c r="A1773" t="s">
        <v>6815</v>
      </c>
      <c r="B1773" t="s">
        <v>16360</v>
      </c>
      <c r="C1773">
        <v>45810</v>
      </c>
      <c r="D1773" t="s">
        <v>7263</v>
      </c>
      <c r="E1773" t="s">
        <v>16361</v>
      </c>
      <c r="F1773">
        <v>45808</v>
      </c>
      <c r="G1773" t="s">
        <v>2208</v>
      </c>
      <c r="H1773" t="s">
        <v>7834</v>
      </c>
      <c r="I1773" t="s">
        <v>18220</v>
      </c>
      <c r="J1773">
        <v>1</v>
      </c>
      <c r="K1773">
        <v>104.61</v>
      </c>
      <c r="L1773" t="s">
        <v>2917</v>
      </c>
      <c r="M1773">
        <v>104.61</v>
      </c>
      <c r="N1773" t="s">
        <v>2917</v>
      </c>
      <c r="O1773" t="s">
        <v>2208</v>
      </c>
      <c r="P1773" t="s">
        <v>2208</v>
      </c>
      <c r="Q1773" t="s">
        <v>2208</v>
      </c>
      <c r="R1773" t="s">
        <v>2208</v>
      </c>
    </row>
    <row r="1774" spans="1:18">
      <c r="A1774" t="s">
        <v>6815</v>
      </c>
      <c r="B1774" t="s">
        <v>16360</v>
      </c>
      <c r="C1774">
        <v>45810</v>
      </c>
      <c r="D1774" t="s">
        <v>7263</v>
      </c>
      <c r="E1774" t="s">
        <v>16361</v>
      </c>
      <c r="F1774">
        <v>45808</v>
      </c>
      <c r="G1774" t="s">
        <v>2208</v>
      </c>
      <c r="H1774" t="s">
        <v>7834</v>
      </c>
      <c r="I1774" t="s">
        <v>18221</v>
      </c>
      <c r="J1774">
        <v>0.5</v>
      </c>
      <c r="K1774">
        <v>52.31</v>
      </c>
      <c r="L1774" t="s">
        <v>2917</v>
      </c>
      <c r="M1774">
        <v>52.31</v>
      </c>
      <c r="N1774" t="s">
        <v>2917</v>
      </c>
      <c r="O1774" t="s">
        <v>2208</v>
      </c>
      <c r="P1774" t="s">
        <v>2208</v>
      </c>
      <c r="Q1774" t="s">
        <v>2208</v>
      </c>
      <c r="R1774" t="s">
        <v>2208</v>
      </c>
    </row>
    <row r="1775" spans="1:18">
      <c r="A1775" t="s">
        <v>6815</v>
      </c>
      <c r="B1775" t="s">
        <v>16360</v>
      </c>
      <c r="C1775">
        <v>45810</v>
      </c>
      <c r="D1775" t="s">
        <v>7263</v>
      </c>
      <c r="E1775" t="s">
        <v>16361</v>
      </c>
      <c r="F1775">
        <v>45808</v>
      </c>
      <c r="G1775" t="s">
        <v>2208</v>
      </c>
      <c r="H1775" t="s">
        <v>7834</v>
      </c>
      <c r="I1775" t="s">
        <v>18222</v>
      </c>
      <c r="J1775">
        <v>1</v>
      </c>
      <c r="K1775">
        <v>104.61</v>
      </c>
      <c r="L1775" t="s">
        <v>2917</v>
      </c>
      <c r="M1775">
        <v>104.61</v>
      </c>
      <c r="N1775" t="s">
        <v>2917</v>
      </c>
      <c r="O1775" t="s">
        <v>2208</v>
      </c>
      <c r="P1775" t="s">
        <v>2208</v>
      </c>
      <c r="Q1775" t="s">
        <v>2208</v>
      </c>
      <c r="R1775" t="s">
        <v>2208</v>
      </c>
    </row>
    <row r="1776" spans="1:18">
      <c r="A1776" t="s">
        <v>6815</v>
      </c>
      <c r="B1776" t="s">
        <v>16360</v>
      </c>
      <c r="C1776">
        <v>45810</v>
      </c>
      <c r="D1776" t="s">
        <v>7263</v>
      </c>
      <c r="E1776" t="s">
        <v>16361</v>
      </c>
      <c r="F1776">
        <v>45808</v>
      </c>
      <c r="G1776" t="s">
        <v>2208</v>
      </c>
      <c r="H1776" t="s">
        <v>7834</v>
      </c>
      <c r="I1776" t="s">
        <v>18223</v>
      </c>
      <c r="J1776">
        <v>0.5</v>
      </c>
      <c r="K1776">
        <v>52.31</v>
      </c>
      <c r="L1776" t="s">
        <v>2917</v>
      </c>
      <c r="M1776">
        <v>52.31</v>
      </c>
      <c r="N1776" t="s">
        <v>2917</v>
      </c>
      <c r="O1776" t="s">
        <v>2208</v>
      </c>
      <c r="P1776" t="s">
        <v>2208</v>
      </c>
      <c r="Q1776" t="s">
        <v>2208</v>
      </c>
      <c r="R1776" t="s">
        <v>2208</v>
      </c>
    </row>
    <row r="1777" spans="1:18">
      <c r="A1777" t="s">
        <v>6815</v>
      </c>
      <c r="B1777" t="s">
        <v>16360</v>
      </c>
      <c r="C1777">
        <v>45810</v>
      </c>
      <c r="D1777" t="s">
        <v>7263</v>
      </c>
      <c r="E1777" t="s">
        <v>16361</v>
      </c>
      <c r="F1777">
        <v>45808</v>
      </c>
      <c r="G1777" t="s">
        <v>2208</v>
      </c>
      <c r="H1777" t="s">
        <v>7834</v>
      </c>
      <c r="I1777" t="s">
        <v>18224</v>
      </c>
      <c r="J1777">
        <v>1</v>
      </c>
      <c r="K1777">
        <v>104.61</v>
      </c>
      <c r="L1777" t="s">
        <v>2917</v>
      </c>
      <c r="M1777">
        <v>104.61</v>
      </c>
      <c r="N1777" t="s">
        <v>2917</v>
      </c>
      <c r="O1777" t="s">
        <v>2208</v>
      </c>
      <c r="P1777" t="s">
        <v>2208</v>
      </c>
      <c r="Q1777" t="s">
        <v>2208</v>
      </c>
      <c r="R1777" t="s">
        <v>2208</v>
      </c>
    </row>
    <row r="1778" spans="1:18">
      <c r="A1778" t="s">
        <v>6815</v>
      </c>
      <c r="B1778" t="s">
        <v>16360</v>
      </c>
      <c r="C1778">
        <v>45810</v>
      </c>
      <c r="D1778" t="s">
        <v>7263</v>
      </c>
      <c r="E1778" t="s">
        <v>16361</v>
      </c>
      <c r="F1778">
        <v>45808</v>
      </c>
      <c r="G1778" t="s">
        <v>2208</v>
      </c>
      <c r="H1778" t="s">
        <v>7834</v>
      </c>
      <c r="I1778" t="s">
        <v>18225</v>
      </c>
      <c r="J1778">
        <v>0.5</v>
      </c>
      <c r="K1778">
        <v>52.31</v>
      </c>
      <c r="L1778" t="s">
        <v>2917</v>
      </c>
      <c r="M1778">
        <v>52.31</v>
      </c>
      <c r="N1778" t="s">
        <v>2917</v>
      </c>
      <c r="O1778" t="s">
        <v>2208</v>
      </c>
      <c r="P1778" t="s">
        <v>2208</v>
      </c>
      <c r="Q1778" t="s">
        <v>2208</v>
      </c>
      <c r="R1778" t="s">
        <v>2208</v>
      </c>
    </row>
    <row r="1779" spans="1:18">
      <c r="A1779" t="s">
        <v>6815</v>
      </c>
      <c r="B1779" t="s">
        <v>16360</v>
      </c>
      <c r="C1779">
        <v>45810</v>
      </c>
      <c r="D1779" t="s">
        <v>7263</v>
      </c>
      <c r="E1779" t="s">
        <v>16361</v>
      </c>
      <c r="F1779">
        <v>45808</v>
      </c>
      <c r="G1779" t="s">
        <v>2208</v>
      </c>
      <c r="H1779" t="s">
        <v>7834</v>
      </c>
      <c r="I1779" t="s">
        <v>18226</v>
      </c>
      <c r="J1779">
        <v>1</v>
      </c>
      <c r="K1779">
        <v>104.61</v>
      </c>
      <c r="L1779" t="s">
        <v>2917</v>
      </c>
      <c r="M1779">
        <v>104.61</v>
      </c>
      <c r="N1779" t="s">
        <v>2917</v>
      </c>
      <c r="O1779" t="s">
        <v>2208</v>
      </c>
      <c r="P1779" t="s">
        <v>2208</v>
      </c>
      <c r="Q1779" t="s">
        <v>2208</v>
      </c>
      <c r="R1779" t="s">
        <v>2208</v>
      </c>
    </row>
    <row r="1780" spans="1:18">
      <c r="A1780" t="s">
        <v>6815</v>
      </c>
      <c r="B1780" t="s">
        <v>16360</v>
      </c>
      <c r="C1780">
        <v>45810</v>
      </c>
      <c r="D1780" t="s">
        <v>7263</v>
      </c>
      <c r="E1780" t="s">
        <v>16361</v>
      </c>
      <c r="F1780">
        <v>45808</v>
      </c>
      <c r="G1780" t="s">
        <v>2208</v>
      </c>
      <c r="H1780" t="s">
        <v>7834</v>
      </c>
      <c r="I1780" t="s">
        <v>18227</v>
      </c>
      <c r="J1780">
        <v>0.5</v>
      </c>
      <c r="K1780">
        <v>52.31</v>
      </c>
      <c r="L1780" t="s">
        <v>2917</v>
      </c>
      <c r="M1780">
        <v>52.31</v>
      </c>
      <c r="N1780" t="s">
        <v>2917</v>
      </c>
      <c r="O1780" t="s">
        <v>2208</v>
      </c>
      <c r="P1780" t="s">
        <v>2208</v>
      </c>
      <c r="Q1780" t="s">
        <v>2208</v>
      </c>
      <c r="R1780" t="s">
        <v>2208</v>
      </c>
    </row>
    <row r="1781" spans="1:18">
      <c r="A1781" t="s">
        <v>6815</v>
      </c>
      <c r="B1781" t="s">
        <v>16360</v>
      </c>
      <c r="C1781">
        <v>45810</v>
      </c>
      <c r="D1781" t="s">
        <v>7263</v>
      </c>
      <c r="E1781" t="s">
        <v>16361</v>
      </c>
      <c r="F1781">
        <v>45808</v>
      </c>
      <c r="G1781" t="s">
        <v>2208</v>
      </c>
      <c r="H1781" t="s">
        <v>7834</v>
      </c>
      <c r="I1781" t="s">
        <v>18228</v>
      </c>
      <c r="J1781">
        <v>0.5</v>
      </c>
      <c r="K1781">
        <v>52.31</v>
      </c>
      <c r="L1781" t="s">
        <v>2917</v>
      </c>
      <c r="M1781">
        <v>52.31</v>
      </c>
      <c r="N1781" t="s">
        <v>2917</v>
      </c>
      <c r="O1781" t="s">
        <v>2208</v>
      </c>
      <c r="P1781" t="s">
        <v>2208</v>
      </c>
      <c r="Q1781" t="s">
        <v>2208</v>
      </c>
      <c r="R1781" t="s">
        <v>2208</v>
      </c>
    </row>
    <row r="1782" spans="1:18">
      <c r="A1782" t="s">
        <v>7030</v>
      </c>
      <c r="B1782" t="s">
        <v>16360</v>
      </c>
      <c r="C1782">
        <v>45810</v>
      </c>
      <c r="D1782" t="s">
        <v>7263</v>
      </c>
      <c r="E1782" t="s">
        <v>16361</v>
      </c>
      <c r="F1782">
        <v>45808</v>
      </c>
      <c r="G1782" t="s">
        <v>2208</v>
      </c>
      <c r="H1782" t="s">
        <v>7834</v>
      </c>
      <c r="I1782" t="s">
        <v>18229</v>
      </c>
      <c r="J1782">
        <v>1</v>
      </c>
      <c r="K1782">
        <v>104.61</v>
      </c>
      <c r="L1782" t="s">
        <v>2917</v>
      </c>
      <c r="M1782">
        <v>104.61</v>
      </c>
      <c r="N1782" t="s">
        <v>2917</v>
      </c>
      <c r="O1782" t="s">
        <v>2208</v>
      </c>
      <c r="P1782" t="s">
        <v>2208</v>
      </c>
      <c r="Q1782" t="s">
        <v>2208</v>
      </c>
      <c r="R1782" t="s">
        <v>2208</v>
      </c>
    </row>
    <row r="1783" spans="1:18">
      <c r="A1783" t="s">
        <v>7030</v>
      </c>
      <c r="B1783" t="s">
        <v>16360</v>
      </c>
      <c r="C1783">
        <v>45810</v>
      </c>
      <c r="D1783" t="s">
        <v>7263</v>
      </c>
      <c r="E1783" t="s">
        <v>16361</v>
      </c>
      <c r="F1783">
        <v>45808</v>
      </c>
      <c r="G1783" t="s">
        <v>2208</v>
      </c>
      <c r="H1783" t="s">
        <v>7834</v>
      </c>
      <c r="I1783" t="s">
        <v>18230</v>
      </c>
      <c r="J1783">
        <v>1</v>
      </c>
      <c r="K1783">
        <v>104.61</v>
      </c>
      <c r="L1783" t="s">
        <v>2917</v>
      </c>
      <c r="M1783">
        <v>104.61</v>
      </c>
      <c r="N1783" t="s">
        <v>2917</v>
      </c>
      <c r="O1783" t="s">
        <v>2208</v>
      </c>
      <c r="P1783" t="s">
        <v>2208</v>
      </c>
      <c r="Q1783" t="s">
        <v>2208</v>
      </c>
      <c r="R1783" t="s">
        <v>2208</v>
      </c>
    </row>
    <row r="1784" spans="1:18">
      <c r="A1784" t="s">
        <v>7030</v>
      </c>
      <c r="B1784" t="s">
        <v>16360</v>
      </c>
      <c r="C1784">
        <v>45810</v>
      </c>
      <c r="D1784" t="s">
        <v>7263</v>
      </c>
      <c r="E1784" t="s">
        <v>16361</v>
      </c>
      <c r="F1784">
        <v>45808</v>
      </c>
      <c r="G1784" t="s">
        <v>2208</v>
      </c>
      <c r="H1784" t="s">
        <v>7834</v>
      </c>
      <c r="I1784" t="s">
        <v>18231</v>
      </c>
      <c r="J1784">
        <v>1</v>
      </c>
      <c r="K1784">
        <v>104.61</v>
      </c>
      <c r="L1784" t="s">
        <v>2917</v>
      </c>
      <c r="M1784">
        <v>104.61</v>
      </c>
      <c r="N1784" t="s">
        <v>2917</v>
      </c>
      <c r="O1784" t="s">
        <v>2208</v>
      </c>
      <c r="P1784" t="s">
        <v>2208</v>
      </c>
      <c r="Q1784" t="s">
        <v>2208</v>
      </c>
      <c r="R1784" t="s">
        <v>2208</v>
      </c>
    </row>
    <row r="1785" spans="1:18">
      <c r="A1785" t="s">
        <v>7030</v>
      </c>
      <c r="B1785" t="s">
        <v>16360</v>
      </c>
      <c r="C1785">
        <v>45810</v>
      </c>
      <c r="D1785" t="s">
        <v>7263</v>
      </c>
      <c r="E1785" t="s">
        <v>16361</v>
      </c>
      <c r="F1785">
        <v>45808</v>
      </c>
      <c r="G1785" t="s">
        <v>2208</v>
      </c>
      <c r="H1785" t="s">
        <v>7834</v>
      </c>
      <c r="I1785" t="s">
        <v>18232</v>
      </c>
      <c r="J1785">
        <v>1</v>
      </c>
      <c r="K1785">
        <v>104.61</v>
      </c>
      <c r="L1785" t="s">
        <v>2917</v>
      </c>
      <c r="M1785">
        <v>104.61</v>
      </c>
      <c r="N1785" t="s">
        <v>2917</v>
      </c>
      <c r="O1785" t="s">
        <v>2208</v>
      </c>
      <c r="P1785" t="s">
        <v>2208</v>
      </c>
      <c r="Q1785" t="s">
        <v>2208</v>
      </c>
      <c r="R1785" t="s">
        <v>2208</v>
      </c>
    </row>
    <row r="1786" spans="1:18">
      <c r="A1786" t="s">
        <v>7030</v>
      </c>
      <c r="B1786" t="s">
        <v>16360</v>
      </c>
      <c r="C1786">
        <v>45810</v>
      </c>
      <c r="D1786" t="s">
        <v>7263</v>
      </c>
      <c r="E1786" t="s">
        <v>16361</v>
      </c>
      <c r="F1786">
        <v>45808</v>
      </c>
      <c r="G1786" t="s">
        <v>2208</v>
      </c>
      <c r="H1786" t="s">
        <v>7834</v>
      </c>
      <c r="I1786" t="s">
        <v>18233</v>
      </c>
      <c r="J1786">
        <v>1</v>
      </c>
      <c r="K1786">
        <v>104.61</v>
      </c>
      <c r="L1786" t="s">
        <v>2917</v>
      </c>
      <c r="M1786">
        <v>104.61</v>
      </c>
      <c r="N1786" t="s">
        <v>2917</v>
      </c>
      <c r="O1786" t="s">
        <v>2208</v>
      </c>
      <c r="P1786" t="s">
        <v>2208</v>
      </c>
      <c r="Q1786" t="s">
        <v>2208</v>
      </c>
      <c r="R1786" t="s">
        <v>2208</v>
      </c>
    </row>
    <row r="1787" spans="1:18">
      <c r="A1787" t="s">
        <v>7030</v>
      </c>
      <c r="B1787" t="s">
        <v>16360</v>
      </c>
      <c r="C1787">
        <v>45810</v>
      </c>
      <c r="D1787" t="s">
        <v>7263</v>
      </c>
      <c r="E1787" t="s">
        <v>16361</v>
      </c>
      <c r="F1787">
        <v>45808</v>
      </c>
      <c r="G1787" t="s">
        <v>2208</v>
      </c>
      <c r="H1787" t="s">
        <v>7834</v>
      </c>
      <c r="I1787" t="s">
        <v>18234</v>
      </c>
      <c r="J1787">
        <v>1</v>
      </c>
      <c r="K1787">
        <v>104.61</v>
      </c>
      <c r="L1787" t="s">
        <v>2917</v>
      </c>
      <c r="M1787">
        <v>104.61</v>
      </c>
      <c r="N1787" t="s">
        <v>2917</v>
      </c>
      <c r="O1787" t="s">
        <v>2208</v>
      </c>
      <c r="P1787" t="s">
        <v>2208</v>
      </c>
      <c r="Q1787" t="s">
        <v>2208</v>
      </c>
      <c r="R1787" t="s">
        <v>2208</v>
      </c>
    </row>
    <row r="1788" spans="1:18">
      <c r="A1788" t="s">
        <v>7030</v>
      </c>
      <c r="B1788" t="s">
        <v>16360</v>
      </c>
      <c r="C1788">
        <v>45810</v>
      </c>
      <c r="D1788" t="s">
        <v>7263</v>
      </c>
      <c r="E1788" t="s">
        <v>16361</v>
      </c>
      <c r="F1788">
        <v>45808</v>
      </c>
      <c r="G1788" t="s">
        <v>2208</v>
      </c>
      <c r="H1788" t="s">
        <v>7834</v>
      </c>
      <c r="I1788" t="s">
        <v>18235</v>
      </c>
      <c r="J1788">
        <v>1</v>
      </c>
      <c r="K1788">
        <v>104.61</v>
      </c>
      <c r="L1788" t="s">
        <v>2917</v>
      </c>
      <c r="M1788">
        <v>104.61</v>
      </c>
      <c r="N1788" t="s">
        <v>2917</v>
      </c>
      <c r="O1788" t="s">
        <v>2208</v>
      </c>
      <c r="P1788" t="s">
        <v>2208</v>
      </c>
      <c r="Q1788" t="s">
        <v>2208</v>
      </c>
      <c r="R1788" t="s">
        <v>2208</v>
      </c>
    </row>
    <row r="1789" spans="1:18">
      <c r="A1789" t="s">
        <v>7030</v>
      </c>
      <c r="B1789" t="s">
        <v>16360</v>
      </c>
      <c r="C1789">
        <v>45810</v>
      </c>
      <c r="D1789" t="s">
        <v>7263</v>
      </c>
      <c r="E1789" t="s">
        <v>16361</v>
      </c>
      <c r="F1789">
        <v>45808</v>
      </c>
      <c r="G1789" t="s">
        <v>2208</v>
      </c>
      <c r="H1789" t="s">
        <v>7834</v>
      </c>
      <c r="I1789" t="s">
        <v>18236</v>
      </c>
      <c r="J1789">
        <v>3</v>
      </c>
      <c r="K1789">
        <v>313.83</v>
      </c>
      <c r="L1789" t="s">
        <v>2917</v>
      </c>
      <c r="M1789">
        <v>313.83</v>
      </c>
      <c r="N1789" t="s">
        <v>2917</v>
      </c>
      <c r="O1789" t="s">
        <v>2208</v>
      </c>
      <c r="P1789" t="s">
        <v>2208</v>
      </c>
      <c r="Q1789" t="s">
        <v>2208</v>
      </c>
      <c r="R1789" t="s">
        <v>2208</v>
      </c>
    </row>
    <row r="1790" spans="1:18">
      <c r="A1790" t="s">
        <v>7030</v>
      </c>
      <c r="B1790" t="s">
        <v>16360</v>
      </c>
      <c r="C1790">
        <v>45810</v>
      </c>
      <c r="D1790" t="s">
        <v>7263</v>
      </c>
      <c r="E1790" t="s">
        <v>16361</v>
      </c>
      <c r="F1790">
        <v>45808</v>
      </c>
      <c r="G1790" t="s">
        <v>2208</v>
      </c>
      <c r="H1790" t="s">
        <v>7834</v>
      </c>
      <c r="I1790" t="s">
        <v>18237</v>
      </c>
      <c r="J1790">
        <v>2</v>
      </c>
      <c r="K1790">
        <v>209.22</v>
      </c>
      <c r="L1790" t="s">
        <v>2917</v>
      </c>
      <c r="M1790">
        <v>209.22</v>
      </c>
      <c r="N1790" t="s">
        <v>2917</v>
      </c>
      <c r="O1790" t="s">
        <v>2208</v>
      </c>
      <c r="P1790" t="s">
        <v>2208</v>
      </c>
      <c r="Q1790" t="s">
        <v>2208</v>
      </c>
      <c r="R1790" t="s">
        <v>2208</v>
      </c>
    </row>
    <row r="1791" spans="1:18">
      <c r="A1791" t="s">
        <v>7030</v>
      </c>
      <c r="B1791" t="s">
        <v>16360</v>
      </c>
      <c r="C1791">
        <v>45810</v>
      </c>
      <c r="D1791" t="s">
        <v>7263</v>
      </c>
      <c r="E1791" t="s">
        <v>16361</v>
      </c>
      <c r="F1791">
        <v>45808</v>
      </c>
      <c r="G1791" t="s">
        <v>2208</v>
      </c>
      <c r="H1791" t="s">
        <v>7834</v>
      </c>
      <c r="I1791" t="s">
        <v>18238</v>
      </c>
      <c r="J1791">
        <v>3</v>
      </c>
      <c r="K1791">
        <v>313.83</v>
      </c>
      <c r="L1791" t="s">
        <v>2917</v>
      </c>
      <c r="M1791">
        <v>313.83</v>
      </c>
      <c r="N1791" t="s">
        <v>2917</v>
      </c>
      <c r="O1791" t="s">
        <v>2208</v>
      </c>
      <c r="P1791" t="s">
        <v>2208</v>
      </c>
      <c r="Q1791" t="s">
        <v>2208</v>
      </c>
      <c r="R1791" t="s">
        <v>2208</v>
      </c>
    </row>
    <row r="1792" spans="1:18">
      <c r="A1792" t="s">
        <v>7030</v>
      </c>
      <c r="B1792" t="s">
        <v>16360</v>
      </c>
      <c r="C1792">
        <v>45810</v>
      </c>
      <c r="D1792" t="s">
        <v>7263</v>
      </c>
      <c r="E1792" t="s">
        <v>16361</v>
      </c>
      <c r="F1792">
        <v>45808</v>
      </c>
      <c r="G1792" t="s">
        <v>2208</v>
      </c>
      <c r="H1792" t="s">
        <v>7834</v>
      </c>
      <c r="I1792" t="s">
        <v>18239</v>
      </c>
      <c r="J1792">
        <v>1</v>
      </c>
      <c r="K1792">
        <v>104.61</v>
      </c>
      <c r="L1792" t="s">
        <v>2917</v>
      </c>
      <c r="M1792">
        <v>104.61</v>
      </c>
      <c r="N1792" t="s">
        <v>2917</v>
      </c>
      <c r="O1792" t="s">
        <v>2208</v>
      </c>
      <c r="P1792" t="s">
        <v>2208</v>
      </c>
      <c r="Q1792" t="s">
        <v>2208</v>
      </c>
      <c r="R1792" t="s">
        <v>2208</v>
      </c>
    </row>
    <row r="1793" spans="1:18">
      <c r="A1793" t="s">
        <v>7030</v>
      </c>
      <c r="B1793" t="s">
        <v>16360</v>
      </c>
      <c r="C1793">
        <v>45810</v>
      </c>
      <c r="D1793" t="s">
        <v>7263</v>
      </c>
      <c r="E1793" t="s">
        <v>16361</v>
      </c>
      <c r="F1793">
        <v>45808</v>
      </c>
      <c r="G1793" t="s">
        <v>2208</v>
      </c>
      <c r="H1793" t="s">
        <v>7834</v>
      </c>
      <c r="I1793" t="s">
        <v>18240</v>
      </c>
      <c r="J1793">
        <v>1</v>
      </c>
      <c r="K1793">
        <v>104.61</v>
      </c>
      <c r="L1793" t="s">
        <v>2917</v>
      </c>
      <c r="M1793">
        <v>104.61</v>
      </c>
      <c r="N1793" t="s">
        <v>2917</v>
      </c>
      <c r="O1793" t="s">
        <v>2208</v>
      </c>
      <c r="P1793" t="s">
        <v>2208</v>
      </c>
      <c r="Q1793" t="s">
        <v>2208</v>
      </c>
      <c r="R1793" t="s">
        <v>2208</v>
      </c>
    </row>
    <row r="1794" spans="1:18">
      <c r="A1794" t="s">
        <v>7030</v>
      </c>
      <c r="B1794" t="s">
        <v>16360</v>
      </c>
      <c r="C1794">
        <v>45810</v>
      </c>
      <c r="D1794" t="s">
        <v>7263</v>
      </c>
      <c r="E1794" t="s">
        <v>16361</v>
      </c>
      <c r="F1794">
        <v>45808</v>
      </c>
      <c r="G1794" t="s">
        <v>2208</v>
      </c>
      <c r="H1794" t="s">
        <v>7834</v>
      </c>
      <c r="I1794" t="s">
        <v>18241</v>
      </c>
      <c r="J1794">
        <v>1</v>
      </c>
      <c r="K1794">
        <v>104.61</v>
      </c>
      <c r="L1794" t="s">
        <v>2917</v>
      </c>
      <c r="M1794">
        <v>104.61</v>
      </c>
      <c r="N1794" t="s">
        <v>2917</v>
      </c>
      <c r="O1794" t="s">
        <v>2208</v>
      </c>
      <c r="P1794" t="s">
        <v>2208</v>
      </c>
      <c r="Q1794" t="s">
        <v>2208</v>
      </c>
      <c r="R1794" t="s">
        <v>2208</v>
      </c>
    </row>
    <row r="1795" spans="1:18">
      <c r="A1795" t="s">
        <v>7030</v>
      </c>
      <c r="B1795" t="s">
        <v>16360</v>
      </c>
      <c r="C1795">
        <v>45810</v>
      </c>
      <c r="D1795" t="s">
        <v>7263</v>
      </c>
      <c r="E1795" t="s">
        <v>16361</v>
      </c>
      <c r="F1795">
        <v>45808</v>
      </c>
      <c r="G1795" t="s">
        <v>2208</v>
      </c>
      <c r="H1795" t="s">
        <v>7834</v>
      </c>
      <c r="I1795" t="s">
        <v>18242</v>
      </c>
      <c r="J1795">
        <v>1</v>
      </c>
      <c r="K1795">
        <v>104.61</v>
      </c>
      <c r="L1795" t="s">
        <v>2917</v>
      </c>
      <c r="M1795">
        <v>104.61</v>
      </c>
      <c r="N1795" t="s">
        <v>2917</v>
      </c>
      <c r="O1795" t="s">
        <v>2208</v>
      </c>
      <c r="P1795" t="s">
        <v>2208</v>
      </c>
      <c r="Q1795" t="s">
        <v>2208</v>
      </c>
      <c r="R1795" t="s">
        <v>2208</v>
      </c>
    </row>
    <row r="1796" spans="1:18">
      <c r="A1796" t="s">
        <v>7030</v>
      </c>
      <c r="B1796" t="s">
        <v>16360</v>
      </c>
      <c r="C1796">
        <v>45810</v>
      </c>
      <c r="D1796" t="s">
        <v>7263</v>
      </c>
      <c r="E1796" t="s">
        <v>16361</v>
      </c>
      <c r="F1796">
        <v>45808</v>
      </c>
      <c r="G1796" t="s">
        <v>2208</v>
      </c>
      <c r="H1796" t="s">
        <v>7834</v>
      </c>
      <c r="I1796" t="s">
        <v>18243</v>
      </c>
      <c r="J1796">
        <v>1</v>
      </c>
      <c r="K1796">
        <v>104.61</v>
      </c>
      <c r="L1796" t="s">
        <v>2917</v>
      </c>
      <c r="M1796">
        <v>104.61</v>
      </c>
      <c r="N1796" t="s">
        <v>2917</v>
      </c>
      <c r="O1796" t="s">
        <v>2208</v>
      </c>
      <c r="P1796" t="s">
        <v>2208</v>
      </c>
      <c r="Q1796" t="s">
        <v>2208</v>
      </c>
      <c r="R1796" t="s">
        <v>2208</v>
      </c>
    </row>
    <row r="1797" spans="1:18">
      <c r="A1797" t="s">
        <v>7030</v>
      </c>
      <c r="B1797" t="s">
        <v>16360</v>
      </c>
      <c r="C1797">
        <v>45810</v>
      </c>
      <c r="D1797" t="s">
        <v>7263</v>
      </c>
      <c r="E1797" t="s">
        <v>16361</v>
      </c>
      <c r="F1797">
        <v>45808</v>
      </c>
      <c r="G1797" t="s">
        <v>2208</v>
      </c>
      <c r="H1797" t="s">
        <v>7834</v>
      </c>
      <c r="I1797" t="s">
        <v>18244</v>
      </c>
      <c r="J1797">
        <v>1</v>
      </c>
      <c r="K1797">
        <v>104.61</v>
      </c>
      <c r="L1797" t="s">
        <v>2917</v>
      </c>
      <c r="M1797">
        <v>104.61</v>
      </c>
      <c r="N1797" t="s">
        <v>2917</v>
      </c>
      <c r="O1797" t="s">
        <v>2208</v>
      </c>
      <c r="P1797" t="s">
        <v>2208</v>
      </c>
      <c r="Q1797" t="s">
        <v>2208</v>
      </c>
      <c r="R1797" t="s">
        <v>2208</v>
      </c>
    </row>
    <row r="1798" spans="1:18">
      <c r="A1798" t="s">
        <v>7030</v>
      </c>
      <c r="B1798" t="s">
        <v>16360</v>
      </c>
      <c r="C1798">
        <v>45810</v>
      </c>
      <c r="D1798" t="s">
        <v>7263</v>
      </c>
      <c r="E1798" t="s">
        <v>16361</v>
      </c>
      <c r="F1798">
        <v>45808</v>
      </c>
      <c r="G1798" t="s">
        <v>2208</v>
      </c>
      <c r="H1798" t="s">
        <v>7834</v>
      </c>
      <c r="I1798" t="s">
        <v>18245</v>
      </c>
      <c r="J1798">
        <v>1</v>
      </c>
      <c r="K1798">
        <v>104.61</v>
      </c>
      <c r="L1798" t="s">
        <v>2917</v>
      </c>
      <c r="M1798">
        <v>104.61</v>
      </c>
      <c r="N1798" t="s">
        <v>2917</v>
      </c>
      <c r="O1798" t="s">
        <v>2208</v>
      </c>
      <c r="P1798" t="s">
        <v>2208</v>
      </c>
      <c r="Q1798" t="s">
        <v>2208</v>
      </c>
      <c r="R1798" t="s">
        <v>2208</v>
      </c>
    </row>
    <row r="1799" spans="1:18">
      <c r="A1799" t="s">
        <v>7030</v>
      </c>
      <c r="B1799" t="s">
        <v>16360</v>
      </c>
      <c r="C1799">
        <v>45810</v>
      </c>
      <c r="D1799" t="s">
        <v>7263</v>
      </c>
      <c r="E1799" t="s">
        <v>16361</v>
      </c>
      <c r="F1799">
        <v>45808</v>
      </c>
      <c r="G1799" t="s">
        <v>2208</v>
      </c>
      <c r="H1799" t="s">
        <v>7834</v>
      </c>
      <c r="I1799" t="s">
        <v>18246</v>
      </c>
      <c r="J1799">
        <v>1</v>
      </c>
      <c r="K1799">
        <v>104.61</v>
      </c>
      <c r="L1799" t="s">
        <v>2917</v>
      </c>
      <c r="M1799">
        <v>104.61</v>
      </c>
      <c r="N1799" t="s">
        <v>2917</v>
      </c>
      <c r="O1799" t="s">
        <v>2208</v>
      </c>
      <c r="P1799" t="s">
        <v>2208</v>
      </c>
      <c r="Q1799" t="s">
        <v>2208</v>
      </c>
      <c r="R1799" t="s">
        <v>2208</v>
      </c>
    </row>
    <row r="1800" spans="1:18">
      <c r="A1800" t="s">
        <v>7030</v>
      </c>
      <c r="B1800" t="s">
        <v>16360</v>
      </c>
      <c r="C1800">
        <v>45810</v>
      </c>
      <c r="D1800" t="s">
        <v>7263</v>
      </c>
      <c r="E1800" t="s">
        <v>16361</v>
      </c>
      <c r="F1800">
        <v>45808</v>
      </c>
      <c r="G1800" t="s">
        <v>2208</v>
      </c>
      <c r="H1800" t="s">
        <v>7834</v>
      </c>
      <c r="I1800" t="s">
        <v>18247</v>
      </c>
      <c r="J1800">
        <v>2</v>
      </c>
      <c r="K1800">
        <v>209.22</v>
      </c>
      <c r="L1800" t="s">
        <v>2917</v>
      </c>
      <c r="M1800">
        <v>209.22</v>
      </c>
      <c r="N1800" t="s">
        <v>2917</v>
      </c>
      <c r="O1800" t="s">
        <v>2208</v>
      </c>
      <c r="P1800" t="s">
        <v>2208</v>
      </c>
      <c r="Q1800" t="s">
        <v>2208</v>
      </c>
      <c r="R1800" t="s">
        <v>2208</v>
      </c>
    </row>
    <row r="1801" spans="1:18">
      <c r="A1801" t="s">
        <v>7030</v>
      </c>
      <c r="B1801" t="s">
        <v>16360</v>
      </c>
      <c r="C1801">
        <v>45810</v>
      </c>
      <c r="D1801" t="s">
        <v>7263</v>
      </c>
      <c r="E1801" t="s">
        <v>16361</v>
      </c>
      <c r="F1801">
        <v>45808</v>
      </c>
      <c r="G1801" t="s">
        <v>2208</v>
      </c>
      <c r="H1801" t="s">
        <v>7834</v>
      </c>
      <c r="I1801" t="s">
        <v>18248</v>
      </c>
      <c r="J1801">
        <v>2</v>
      </c>
      <c r="K1801">
        <v>209.22</v>
      </c>
      <c r="L1801" t="s">
        <v>2917</v>
      </c>
      <c r="M1801">
        <v>209.22</v>
      </c>
      <c r="N1801" t="s">
        <v>2917</v>
      </c>
      <c r="O1801" t="s">
        <v>2208</v>
      </c>
      <c r="P1801" t="s">
        <v>2208</v>
      </c>
      <c r="Q1801" t="s">
        <v>2208</v>
      </c>
      <c r="R1801" t="s">
        <v>2208</v>
      </c>
    </row>
    <row r="1802" spans="1:18">
      <c r="A1802" t="s">
        <v>7030</v>
      </c>
      <c r="B1802" t="s">
        <v>16360</v>
      </c>
      <c r="C1802">
        <v>45810</v>
      </c>
      <c r="D1802" t="s">
        <v>7263</v>
      </c>
      <c r="E1802" t="s">
        <v>16361</v>
      </c>
      <c r="F1802">
        <v>45808</v>
      </c>
      <c r="G1802" t="s">
        <v>2208</v>
      </c>
      <c r="H1802" t="s">
        <v>7834</v>
      </c>
      <c r="I1802" t="s">
        <v>18249</v>
      </c>
      <c r="J1802">
        <v>2</v>
      </c>
      <c r="K1802">
        <v>209.22</v>
      </c>
      <c r="L1802" t="s">
        <v>2917</v>
      </c>
      <c r="M1802">
        <v>209.22</v>
      </c>
      <c r="N1802" t="s">
        <v>2917</v>
      </c>
      <c r="O1802" t="s">
        <v>2208</v>
      </c>
      <c r="P1802" t="s">
        <v>2208</v>
      </c>
      <c r="Q1802" t="s">
        <v>2208</v>
      </c>
      <c r="R1802" t="s">
        <v>2208</v>
      </c>
    </row>
    <row r="1803" spans="1:18">
      <c r="A1803" t="s">
        <v>7030</v>
      </c>
      <c r="B1803" t="s">
        <v>16360</v>
      </c>
      <c r="C1803">
        <v>45810</v>
      </c>
      <c r="D1803" t="s">
        <v>7263</v>
      </c>
      <c r="E1803" t="s">
        <v>16361</v>
      </c>
      <c r="F1803">
        <v>45808</v>
      </c>
      <c r="G1803" t="s">
        <v>2208</v>
      </c>
      <c r="H1803" t="s">
        <v>7834</v>
      </c>
      <c r="I1803" t="s">
        <v>18250</v>
      </c>
      <c r="J1803">
        <v>4</v>
      </c>
      <c r="K1803">
        <v>418.44</v>
      </c>
      <c r="L1803" t="s">
        <v>2917</v>
      </c>
      <c r="M1803">
        <v>418.44</v>
      </c>
      <c r="N1803" t="s">
        <v>2917</v>
      </c>
      <c r="O1803" t="s">
        <v>2208</v>
      </c>
      <c r="P1803" t="s">
        <v>2208</v>
      </c>
      <c r="Q1803" t="s">
        <v>2208</v>
      </c>
      <c r="R1803" t="s">
        <v>2208</v>
      </c>
    </row>
    <row r="1804" spans="1:18">
      <c r="A1804" t="s">
        <v>7030</v>
      </c>
      <c r="B1804" t="s">
        <v>16360</v>
      </c>
      <c r="C1804">
        <v>45810</v>
      </c>
      <c r="D1804" t="s">
        <v>7263</v>
      </c>
      <c r="E1804" t="s">
        <v>16361</v>
      </c>
      <c r="F1804">
        <v>45808</v>
      </c>
      <c r="G1804" t="s">
        <v>2208</v>
      </c>
      <c r="H1804" t="s">
        <v>7834</v>
      </c>
      <c r="I1804" t="s">
        <v>18251</v>
      </c>
      <c r="J1804">
        <v>1</v>
      </c>
      <c r="K1804">
        <v>104.61</v>
      </c>
      <c r="L1804" t="s">
        <v>2917</v>
      </c>
      <c r="M1804">
        <v>104.61</v>
      </c>
      <c r="N1804" t="s">
        <v>2917</v>
      </c>
      <c r="O1804" t="s">
        <v>2208</v>
      </c>
      <c r="P1804" t="s">
        <v>2208</v>
      </c>
      <c r="Q1804" t="s">
        <v>2208</v>
      </c>
      <c r="R1804" t="s">
        <v>2208</v>
      </c>
    </row>
    <row r="1805" spans="1:18">
      <c r="A1805" t="s">
        <v>7030</v>
      </c>
      <c r="B1805" t="s">
        <v>16360</v>
      </c>
      <c r="C1805">
        <v>45810</v>
      </c>
      <c r="D1805" t="s">
        <v>7263</v>
      </c>
      <c r="E1805" t="s">
        <v>16361</v>
      </c>
      <c r="F1805">
        <v>45808</v>
      </c>
      <c r="G1805" t="s">
        <v>2208</v>
      </c>
      <c r="H1805" t="s">
        <v>7834</v>
      </c>
      <c r="I1805" t="s">
        <v>18252</v>
      </c>
      <c r="J1805">
        <v>1</v>
      </c>
      <c r="K1805">
        <v>104.61</v>
      </c>
      <c r="L1805" t="s">
        <v>2917</v>
      </c>
      <c r="M1805">
        <v>104.61</v>
      </c>
      <c r="N1805" t="s">
        <v>2917</v>
      </c>
      <c r="O1805" t="s">
        <v>2208</v>
      </c>
      <c r="P1805" t="s">
        <v>2208</v>
      </c>
      <c r="Q1805" t="s">
        <v>2208</v>
      </c>
      <c r="R1805" t="s">
        <v>2208</v>
      </c>
    </row>
    <row r="1806" spans="1:18">
      <c r="A1806" t="s">
        <v>7030</v>
      </c>
      <c r="B1806" t="s">
        <v>16360</v>
      </c>
      <c r="C1806">
        <v>45810</v>
      </c>
      <c r="D1806" t="s">
        <v>7263</v>
      </c>
      <c r="E1806" t="s">
        <v>16361</v>
      </c>
      <c r="F1806">
        <v>45808</v>
      </c>
      <c r="G1806" t="s">
        <v>2208</v>
      </c>
      <c r="H1806" t="s">
        <v>7834</v>
      </c>
      <c r="I1806" t="s">
        <v>18253</v>
      </c>
      <c r="J1806">
        <v>2</v>
      </c>
      <c r="K1806">
        <v>209.22</v>
      </c>
      <c r="L1806" t="s">
        <v>2917</v>
      </c>
      <c r="M1806">
        <v>209.22</v>
      </c>
      <c r="N1806" t="s">
        <v>2917</v>
      </c>
      <c r="O1806" t="s">
        <v>2208</v>
      </c>
      <c r="P1806" t="s">
        <v>2208</v>
      </c>
      <c r="Q1806" t="s">
        <v>2208</v>
      </c>
      <c r="R1806" t="s">
        <v>2208</v>
      </c>
    </row>
    <row r="1807" spans="1:18">
      <c r="A1807" t="s">
        <v>7030</v>
      </c>
      <c r="B1807" t="s">
        <v>16360</v>
      </c>
      <c r="C1807">
        <v>45810</v>
      </c>
      <c r="D1807" t="s">
        <v>7263</v>
      </c>
      <c r="E1807" t="s">
        <v>16361</v>
      </c>
      <c r="F1807">
        <v>45808</v>
      </c>
      <c r="G1807" t="s">
        <v>2208</v>
      </c>
      <c r="H1807" t="s">
        <v>7834</v>
      </c>
      <c r="I1807" t="s">
        <v>18254</v>
      </c>
      <c r="J1807">
        <v>2</v>
      </c>
      <c r="K1807">
        <v>209.22</v>
      </c>
      <c r="L1807" t="s">
        <v>2917</v>
      </c>
      <c r="M1807">
        <v>209.22</v>
      </c>
      <c r="N1807" t="s">
        <v>2917</v>
      </c>
      <c r="O1807" t="s">
        <v>2208</v>
      </c>
      <c r="P1807" t="s">
        <v>2208</v>
      </c>
      <c r="Q1807" t="s">
        <v>2208</v>
      </c>
      <c r="R1807" t="s">
        <v>2208</v>
      </c>
    </row>
    <row r="1808" spans="1:18">
      <c r="A1808" t="s">
        <v>7030</v>
      </c>
      <c r="B1808" t="s">
        <v>16360</v>
      </c>
      <c r="C1808">
        <v>45810</v>
      </c>
      <c r="D1808" t="s">
        <v>7263</v>
      </c>
      <c r="E1808" t="s">
        <v>16361</v>
      </c>
      <c r="F1808">
        <v>45808</v>
      </c>
      <c r="G1808" t="s">
        <v>2208</v>
      </c>
      <c r="H1808" t="s">
        <v>7834</v>
      </c>
      <c r="I1808" t="s">
        <v>18255</v>
      </c>
      <c r="J1808">
        <v>1</v>
      </c>
      <c r="K1808">
        <v>104.61</v>
      </c>
      <c r="L1808" t="s">
        <v>2917</v>
      </c>
      <c r="M1808">
        <v>104.61</v>
      </c>
      <c r="N1808" t="s">
        <v>2917</v>
      </c>
      <c r="O1808" t="s">
        <v>2208</v>
      </c>
      <c r="P1808" t="s">
        <v>2208</v>
      </c>
      <c r="Q1808" t="s">
        <v>2208</v>
      </c>
      <c r="R1808" t="s">
        <v>2208</v>
      </c>
    </row>
    <row r="1809" spans="1:18">
      <c r="A1809" t="s">
        <v>7030</v>
      </c>
      <c r="B1809" t="s">
        <v>16360</v>
      </c>
      <c r="C1809">
        <v>45810</v>
      </c>
      <c r="D1809" t="s">
        <v>7263</v>
      </c>
      <c r="E1809" t="s">
        <v>16361</v>
      </c>
      <c r="F1809">
        <v>45808</v>
      </c>
      <c r="G1809" t="s">
        <v>2208</v>
      </c>
      <c r="H1809" t="s">
        <v>7834</v>
      </c>
      <c r="I1809" t="s">
        <v>18256</v>
      </c>
      <c r="J1809">
        <v>1</v>
      </c>
      <c r="K1809">
        <v>104.61</v>
      </c>
      <c r="L1809" t="s">
        <v>2917</v>
      </c>
      <c r="M1809">
        <v>104.61</v>
      </c>
      <c r="N1809" t="s">
        <v>2917</v>
      </c>
      <c r="O1809" t="s">
        <v>2208</v>
      </c>
      <c r="P1809" t="s">
        <v>2208</v>
      </c>
      <c r="Q1809" t="s">
        <v>2208</v>
      </c>
      <c r="R1809" t="s">
        <v>2208</v>
      </c>
    </row>
    <row r="1810" spans="1:18">
      <c r="A1810" t="s">
        <v>7030</v>
      </c>
      <c r="B1810" t="s">
        <v>16360</v>
      </c>
      <c r="C1810">
        <v>45810</v>
      </c>
      <c r="D1810" t="s">
        <v>7263</v>
      </c>
      <c r="E1810" t="s">
        <v>16361</v>
      </c>
      <c r="F1810">
        <v>45808</v>
      </c>
      <c r="G1810" t="s">
        <v>2208</v>
      </c>
      <c r="H1810" t="s">
        <v>7834</v>
      </c>
      <c r="I1810" t="s">
        <v>18257</v>
      </c>
      <c r="J1810">
        <v>2</v>
      </c>
      <c r="K1810">
        <v>209.22</v>
      </c>
      <c r="L1810" t="s">
        <v>2917</v>
      </c>
      <c r="M1810">
        <v>209.22</v>
      </c>
      <c r="N1810" t="s">
        <v>2917</v>
      </c>
      <c r="O1810" t="s">
        <v>2208</v>
      </c>
      <c r="P1810" t="s">
        <v>2208</v>
      </c>
      <c r="Q1810" t="s">
        <v>2208</v>
      </c>
      <c r="R1810" t="s">
        <v>2208</v>
      </c>
    </row>
    <row r="1811" spans="1:18">
      <c r="A1811" t="s">
        <v>7030</v>
      </c>
      <c r="B1811" t="s">
        <v>16360</v>
      </c>
      <c r="C1811">
        <v>45810</v>
      </c>
      <c r="D1811" t="s">
        <v>7263</v>
      </c>
      <c r="E1811" t="s">
        <v>16361</v>
      </c>
      <c r="F1811">
        <v>45808</v>
      </c>
      <c r="G1811" t="s">
        <v>2208</v>
      </c>
      <c r="H1811" t="s">
        <v>7834</v>
      </c>
      <c r="I1811" t="s">
        <v>18258</v>
      </c>
      <c r="J1811">
        <v>2</v>
      </c>
      <c r="K1811">
        <v>209.22</v>
      </c>
      <c r="L1811" t="s">
        <v>2917</v>
      </c>
      <c r="M1811">
        <v>209.22</v>
      </c>
      <c r="N1811" t="s">
        <v>2917</v>
      </c>
      <c r="O1811" t="s">
        <v>2208</v>
      </c>
      <c r="P1811" t="s">
        <v>2208</v>
      </c>
      <c r="Q1811" t="s">
        <v>2208</v>
      </c>
      <c r="R1811" t="s">
        <v>2208</v>
      </c>
    </row>
    <row r="1812" spans="1:18">
      <c r="A1812" t="s">
        <v>7030</v>
      </c>
      <c r="B1812" t="s">
        <v>16360</v>
      </c>
      <c r="C1812">
        <v>45810</v>
      </c>
      <c r="D1812" t="s">
        <v>7263</v>
      </c>
      <c r="E1812" t="s">
        <v>16361</v>
      </c>
      <c r="F1812">
        <v>45808</v>
      </c>
      <c r="G1812" t="s">
        <v>2208</v>
      </c>
      <c r="H1812" t="s">
        <v>7834</v>
      </c>
      <c r="I1812" t="s">
        <v>18259</v>
      </c>
      <c r="J1812">
        <v>2</v>
      </c>
      <c r="K1812">
        <v>209.22</v>
      </c>
      <c r="L1812" t="s">
        <v>2917</v>
      </c>
      <c r="M1812">
        <v>209.22</v>
      </c>
      <c r="N1812" t="s">
        <v>2917</v>
      </c>
      <c r="O1812" t="s">
        <v>2208</v>
      </c>
      <c r="P1812" t="s">
        <v>2208</v>
      </c>
      <c r="Q1812" t="s">
        <v>2208</v>
      </c>
      <c r="R1812" t="s">
        <v>2208</v>
      </c>
    </row>
    <row r="1813" spans="1:18">
      <c r="A1813" t="s">
        <v>7030</v>
      </c>
      <c r="B1813" t="s">
        <v>16360</v>
      </c>
      <c r="C1813">
        <v>45810</v>
      </c>
      <c r="D1813" t="s">
        <v>7263</v>
      </c>
      <c r="E1813" t="s">
        <v>16361</v>
      </c>
      <c r="F1813">
        <v>45808</v>
      </c>
      <c r="G1813" t="s">
        <v>2208</v>
      </c>
      <c r="H1813" t="s">
        <v>7834</v>
      </c>
      <c r="I1813" t="s">
        <v>18260</v>
      </c>
      <c r="J1813">
        <v>1</v>
      </c>
      <c r="K1813">
        <v>104.61</v>
      </c>
      <c r="L1813" t="s">
        <v>2917</v>
      </c>
      <c r="M1813">
        <v>104.61</v>
      </c>
      <c r="N1813" t="s">
        <v>2917</v>
      </c>
      <c r="O1813" t="s">
        <v>2208</v>
      </c>
      <c r="P1813" t="s">
        <v>2208</v>
      </c>
      <c r="Q1813" t="s">
        <v>2208</v>
      </c>
      <c r="R1813" t="s">
        <v>2208</v>
      </c>
    </row>
    <row r="1814" spans="1:18">
      <c r="A1814" t="s">
        <v>7030</v>
      </c>
      <c r="B1814" t="s">
        <v>16360</v>
      </c>
      <c r="C1814">
        <v>45810</v>
      </c>
      <c r="D1814" t="s">
        <v>7263</v>
      </c>
      <c r="E1814" t="s">
        <v>16361</v>
      </c>
      <c r="F1814">
        <v>45808</v>
      </c>
      <c r="G1814" t="s">
        <v>2208</v>
      </c>
      <c r="H1814" t="s">
        <v>7834</v>
      </c>
      <c r="I1814" t="s">
        <v>18261</v>
      </c>
      <c r="J1814">
        <v>1</v>
      </c>
      <c r="K1814">
        <v>104.61</v>
      </c>
      <c r="L1814" t="s">
        <v>2917</v>
      </c>
      <c r="M1814">
        <v>104.61</v>
      </c>
      <c r="N1814" t="s">
        <v>2917</v>
      </c>
      <c r="O1814" t="s">
        <v>2208</v>
      </c>
      <c r="P1814" t="s">
        <v>2208</v>
      </c>
      <c r="Q1814" t="s">
        <v>2208</v>
      </c>
      <c r="R1814" t="s">
        <v>2208</v>
      </c>
    </row>
    <row r="1815" spans="1:18">
      <c r="A1815" t="s">
        <v>7030</v>
      </c>
      <c r="B1815" t="s">
        <v>16360</v>
      </c>
      <c r="C1815">
        <v>45810</v>
      </c>
      <c r="D1815" t="s">
        <v>7263</v>
      </c>
      <c r="E1815" t="s">
        <v>16361</v>
      </c>
      <c r="F1815">
        <v>45808</v>
      </c>
      <c r="G1815" t="s">
        <v>2208</v>
      </c>
      <c r="H1815" t="s">
        <v>7834</v>
      </c>
      <c r="I1815" t="s">
        <v>18262</v>
      </c>
      <c r="J1815">
        <v>1</v>
      </c>
      <c r="K1815">
        <v>104.61</v>
      </c>
      <c r="L1815" t="s">
        <v>2917</v>
      </c>
      <c r="M1815">
        <v>104.61</v>
      </c>
      <c r="N1815" t="s">
        <v>2917</v>
      </c>
      <c r="O1815" t="s">
        <v>2208</v>
      </c>
      <c r="P1815" t="s">
        <v>2208</v>
      </c>
      <c r="Q1815" t="s">
        <v>2208</v>
      </c>
      <c r="R1815" t="s">
        <v>2208</v>
      </c>
    </row>
    <row r="1816" spans="1:18">
      <c r="A1816" t="s">
        <v>7030</v>
      </c>
      <c r="B1816" t="s">
        <v>16360</v>
      </c>
      <c r="C1816">
        <v>45810</v>
      </c>
      <c r="D1816" t="s">
        <v>7263</v>
      </c>
      <c r="E1816" t="s">
        <v>16361</v>
      </c>
      <c r="F1816">
        <v>45808</v>
      </c>
      <c r="G1816" t="s">
        <v>2208</v>
      </c>
      <c r="H1816" t="s">
        <v>7834</v>
      </c>
      <c r="I1816" t="s">
        <v>18263</v>
      </c>
      <c r="J1816">
        <v>1</v>
      </c>
      <c r="K1816">
        <v>104.61</v>
      </c>
      <c r="L1816" t="s">
        <v>2917</v>
      </c>
      <c r="M1816">
        <v>104.61</v>
      </c>
      <c r="N1816" t="s">
        <v>2917</v>
      </c>
      <c r="O1816" t="s">
        <v>2208</v>
      </c>
      <c r="P1816" t="s">
        <v>2208</v>
      </c>
      <c r="Q1816" t="s">
        <v>2208</v>
      </c>
      <c r="R1816" t="s">
        <v>2208</v>
      </c>
    </row>
    <row r="1817" spans="1:18">
      <c r="A1817" t="s">
        <v>7030</v>
      </c>
      <c r="B1817" t="s">
        <v>16360</v>
      </c>
      <c r="C1817">
        <v>45810</v>
      </c>
      <c r="D1817" t="s">
        <v>7263</v>
      </c>
      <c r="E1817" t="s">
        <v>16361</v>
      </c>
      <c r="F1817">
        <v>45808</v>
      </c>
      <c r="G1817" t="s">
        <v>2208</v>
      </c>
      <c r="H1817" t="s">
        <v>7834</v>
      </c>
      <c r="I1817" t="s">
        <v>18264</v>
      </c>
      <c r="J1817">
        <v>2</v>
      </c>
      <c r="K1817">
        <v>209.22</v>
      </c>
      <c r="L1817" t="s">
        <v>2917</v>
      </c>
      <c r="M1817">
        <v>209.22</v>
      </c>
      <c r="N1817" t="s">
        <v>2917</v>
      </c>
      <c r="O1817" t="s">
        <v>2208</v>
      </c>
      <c r="P1817" t="s">
        <v>2208</v>
      </c>
      <c r="Q1817" t="s">
        <v>2208</v>
      </c>
      <c r="R1817" t="s">
        <v>2208</v>
      </c>
    </row>
    <row r="1818" spans="1:18">
      <c r="A1818" t="s">
        <v>7030</v>
      </c>
      <c r="B1818" t="s">
        <v>16360</v>
      </c>
      <c r="C1818">
        <v>45810</v>
      </c>
      <c r="D1818" t="s">
        <v>7263</v>
      </c>
      <c r="E1818" t="s">
        <v>16361</v>
      </c>
      <c r="F1818">
        <v>45808</v>
      </c>
      <c r="G1818" t="s">
        <v>2208</v>
      </c>
      <c r="H1818" t="s">
        <v>7834</v>
      </c>
      <c r="I1818" t="s">
        <v>18265</v>
      </c>
      <c r="J1818">
        <v>2</v>
      </c>
      <c r="K1818">
        <v>209.22</v>
      </c>
      <c r="L1818" t="s">
        <v>2917</v>
      </c>
      <c r="M1818">
        <v>209.22</v>
      </c>
      <c r="N1818" t="s">
        <v>2917</v>
      </c>
      <c r="O1818" t="s">
        <v>2208</v>
      </c>
      <c r="P1818" t="s">
        <v>2208</v>
      </c>
      <c r="Q1818" t="s">
        <v>2208</v>
      </c>
      <c r="R1818" t="s">
        <v>2208</v>
      </c>
    </row>
    <row r="1819" spans="1:18">
      <c r="A1819" t="s">
        <v>7030</v>
      </c>
      <c r="B1819" t="s">
        <v>16360</v>
      </c>
      <c r="C1819">
        <v>45810</v>
      </c>
      <c r="D1819" t="s">
        <v>7263</v>
      </c>
      <c r="E1819" t="s">
        <v>16361</v>
      </c>
      <c r="F1819">
        <v>45808</v>
      </c>
      <c r="G1819" t="s">
        <v>2208</v>
      </c>
      <c r="H1819" t="s">
        <v>7834</v>
      </c>
      <c r="I1819" t="s">
        <v>18266</v>
      </c>
      <c r="J1819">
        <v>2</v>
      </c>
      <c r="K1819">
        <v>209.22</v>
      </c>
      <c r="L1819" t="s">
        <v>2917</v>
      </c>
      <c r="M1819">
        <v>209.22</v>
      </c>
      <c r="N1819" t="s">
        <v>2917</v>
      </c>
      <c r="O1819" t="s">
        <v>2208</v>
      </c>
      <c r="P1819" t="s">
        <v>2208</v>
      </c>
      <c r="Q1819" t="s">
        <v>2208</v>
      </c>
      <c r="R1819" t="s">
        <v>2208</v>
      </c>
    </row>
    <row r="1820" spans="1:18">
      <c r="A1820" t="s">
        <v>7030</v>
      </c>
      <c r="B1820" t="s">
        <v>16360</v>
      </c>
      <c r="C1820">
        <v>45810</v>
      </c>
      <c r="D1820" t="s">
        <v>7263</v>
      </c>
      <c r="E1820" t="s">
        <v>16361</v>
      </c>
      <c r="F1820">
        <v>45808</v>
      </c>
      <c r="G1820" t="s">
        <v>2208</v>
      </c>
      <c r="H1820" t="s">
        <v>7834</v>
      </c>
      <c r="I1820" t="s">
        <v>18267</v>
      </c>
      <c r="J1820">
        <v>4</v>
      </c>
      <c r="K1820">
        <v>418.44</v>
      </c>
      <c r="L1820" t="s">
        <v>2917</v>
      </c>
      <c r="M1820">
        <v>418.44</v>
      </c>
      <c r="N1820" t="s">
        <v>2917</v>
      </c>
      <c r="O1820" t="s">
        <v>2208</v>
      </c>
      <c r="P1820" t="s">
        <v>2208</v>
      </c>
      <c r="Q1820" t="s">
        <v>2208</v>
      </c>
      <c r="R1820" t="s">
        <v>2208</v>
      </c>
    </row>
    <row r="1821" spans="1:18">
      <c r="A1821" t="s">
        <v>7030</v>
      </c>
      <c r="B1821" t="s">
        <v>16360</v>
      </c>
      <c r="C1821">
        <v>45810</v>
      </c>
      <c r="D1821" t="s">
        <v>7263</v>
      </c>
      <c r="E1821" t="s">
        <v>16361</v>
      </c>
      <c r="F1821">
        <v>45808</v>
      </c>
      <c r="G1821" t="s">
        <v>2208</v>
      </c>
      <c r="H1821" t="s">
        <v>7834</v>
      </c>
      <c r="I1821" t="s">
        <v>18268</v>
      </c>
      <c r="J1821">
        <v>2</v>
      </c>
      <c r="K1821">
        <v>209.22</v>
      </c>
      <c r="L1821" t="s">
        <v>2917</v>
      </c>
      <c r="M1821">
        <v>209.22</v>
      </c>
      <c r="N1821" t="s">
        <v>2917</v>
      </c>
      <c r="O1821" t="s">
        <v>2208</v>
      </c>
      <c r="P1821" t="s">
        <v>2208</v>
      </c>
      <c r="Q1821" t="s">
        <v>2208</v>
      </c>
      <c r="R1821" t="s">
        <v>2208</v>
      </c>
    </row>
    <row r="1822" spans="1:18">
      <c r="A1822" t="s">
        <v>7030</v>
      </c>
      <c r="B1822" t="s">
        <v>16360</v>
      </c>
      <c r="C1822">
        <v>45810</v>
      </c>
      <c r="D1822" t="s">
        <v>7263</v>
      </c>
      <c r="E1822" t="s">
        <v>16361</v>
      </c>
      <c r="F1822">
        <v>45808</v>
      </c>
      <c r="G1822" t="s">
        <v>2208</v>
      </c>
      <c r="H1822" t="s">
        <v>7834</v>
      </c>
      <c r="I1822" t="s">
        <v>18269</v>
      </c>
      <c r="J1822">
        <v>1</v>
      </c>
      <c r="K1822">
        <v>104.61</v>
      </c>
      <c r="L1822" t="s">
        <v>2917</v>
      </c>
      <c r="M1822">
        <v>104.61</v>
      </c>
      <c r="N1822" t="s">
        <v>2917</v>
      </c>
      <c r="O1822" t="s">
        <v>2208</v>
      </c>
      <c r="P1822" t="s">
        <v>2208</v>
      </c>
      <c r="Q1822" t="s">
        <v>2208</v>
      </c>
      <c r="R1822" t="s">
        <v>2208</v>
      </c>
    </row>
    <row r="1823" spans="1:18">
      <c r="A1823" t="s">
        <v>7030</v>
      </c>
      <c r="B1823" t="s">
        <v>16360</v>
      </c>
      <c r="C1823">
        <v>45810</v>
      </c>
      <c r="D1823" t="s">
        <v>7263</v>
      </c>
      <c r="E1823" t="s">
        <v>16361</v>
      </c>
      <c r="F1823">
        <v>45808</v>
      </c>
      <c r="G1823" t="s">
        <v>2208</v>
      </c>
      <c r="H1823" t="s">
        <v>7834</v>
      </c>
      <c r="I1823" t="s">
        <v>18270</v>
      </c>
      <c r="J1823">
        <v>0.5</v>
      </c>
      <c r="K1823">
        <v>52.31</v>
      </c>
      <c r="L1823" t="s">
        <v>2917</v>
      </c>
      <c r="M1823">
        <v>52.31</v>
      </c>
      <c r="N1823" t="s">
        <v>2917</v>
      </c>
      <c r="O1823" t="s">
        <v>2208</v>
      </c>
      <c r="P1823" t="s">
        <v>2208</v>
      </c>
      <c r="Q1823" t="s">
        <v>2208</v>
      </c>
      <c r="R1823" t="s">
        <v>2208</v>
      </c>
    </row>
    <row r="1824" spans="1:18">
      <c r="A1824" t="s">
        <v>7030</v>
      </c>
      <c r="B1824" t="s">
        <v>16360</v>
      </c>
      <c r="C1824">
        <v>45810</v>
      </c>
      <c r="D1824" t="s">
        <v>7263</v>
      </c>
      <c r="E1824" t="s">
        <v>16361</v>
      </c>
      <c r="F1824">
        <v>45808</v>
      </c>
      <c r="G1824" t="s">
        <v>2208</v>
      </c>
      <c r="H1824" t="s">
        <v>7834</v>
      </c>
      <c r="I1824" t="s">
        <v>18271</v>
      </c>
      <c r="J1824">
        <v>0.5</v>
      </c>
      <c r="K1824">
        <v>52.31</v>
      </c>
      <c r="L1824" t="s">
        <v>2917</v>
      </c>
      <c r="M1824">
        <v>52.31</v>
      </c>
      <c r="N1824" t="s">
        <v>2917</v>
      </c>
      <c r="O1824" t="s">
        <v>2208</v>
      </c>
      <c r="P1824" t="s">
        <v>2208</v>
      </c>
      <c r="Q1824" t="s">
        <v>2208</v>
      </c>
      <c r="R1824" t="s">
        <v>2208</v>
      </c>
    </row>
    <row r="1825" spans="1:18">
      <c r="A1825" t="s">
        <v>7030</v>
      </c>
      <c r="B1825" t="s">
        <v>16360</v>
      </c>
      <c r="C1825">
        <v>45810</v>
      </c>
      <c r="D1825" t="s">
        <v>7263</v>
      </c>
      <c r="E1825" t="s">
        <v>16361</v>
      </c>
      <c r="F1825">
        <v>45808</v>
      </c>
      <c r="G1825" t="s">
        <v>2208</v>
      </c>
      <c r="H1825" t="s">
        <v>7834</v>
      </c>
      <c r="I1825" t="s">
        <v>18272</v>
      </c>
      <c r="J1825">
        <v>2</v>
      </c>
      <c r="K1825">
        <v>209.22</v>
      </c>
      <c r="L1825" t="s">
        <v>2917</v>
      </c>
      <c r="M1825">
        <v>209.22</v>
      </c>
      <c r="N1825" t="s">
        <v>2917</v>
      </c>
      <c r="O1825" t="s">
        <v>2208</v>
      </c>
      <c r="P1825" t="s">
        <v>2208</v>
      </c>
      <c r="Q1825" t="s">
        <v>2208</v>
      </c>
      <c r="R1825" t="s">
        <v>2208</v>
      </c>
    </row>
    <row r="1826" spans="1:18">
      <c r="A1826" t="s">
        <v>7030</v>
      </c>
      <c r="B1826" t="s">
        <v>16360</v>
      </c>
      <c r="C1826">
        <v>45810</v>
      </c>
      <c r="D1826" t="s">
        <v>7263</v>
      </c>
      <c r="E1826" t="s">
        <v>16361</v>
      </c>
      <c r="F1826">
        <v>45808</v>
      </c>
      <c r="G1826" t="s">
        <v>2208</v>
      </c>
      <c r="H1826" t="s">
        <v>7834</v>
      </c>
      <c r="I1826" t="s">
        <v>18273</v>
      </c>
      <c r="J1826">
        <v>1</v>
      </c>
      <c r="K1826">
        <v>104.61</v>
      </c>
      <c r="L1826" t="s">
        <v>2917</v>
      </c>
      <c r="M1826">
        <v>104.61</v>
      </c>
      <c r="N1826" t="s">
        <v>2917</v>
      </c>
      <c r="O1826" t="s">
        <v>2208</v>
      </c>
      <c r="P1826" t="s">
        <v>2208</v>
      </c>
      <c r="Q1826" t="s">
        <v>2208</v>
      </c>
      <c r="R1826" t="s">
        <v>2208</v>
      </c>
    </row>
    <row r="1827" spans="1:18">
      <c r="A1827" t="s">
        <v>7030</v>
      </c>
      <c r="B1827" t="s">
        <v>16360</v>
      </c>
      <c r="C1827">
        <v>45810</v>
      </c>
      <c r="D1827" t="s">
        <v>7263</v>
      </c>
      <c r="E1827" t="s">
        <v>16361</v>
      </c>
      <c r="F1827">
        <v>45808</v>
      </c>
      <c r="G1827" t="s">
        <v>2208</v>
      </c>
      <c r="H1827" t="s">
        <v>7834</v>
      </c>
      <c r="I1827" t="s">
        <v>18274</v>
      </c>
      <c r="J1827">
        <v>2</v>
      </c>
      <c r="K1827">
        <v>209.22</v>
      </c>
      <c r="L1827" t="s">
        <v>2917</v>
      </c>
      <c r="M1827">
        <v>209.22</v>
      </c>
      <c r="N1827" t="s">
        <v>2917</v>
      </c>
      <c r="O1827" t="s">
        <v>2208</v>
      </c>
      <c r="P1827" t="s">
        <v>2208</v>
      </c>
      <c r="Q1827" t="s">
        <v>2208</v>
      </c>
      <c r="R1827" t="s">
        <v>2208</v>
      </c>
    </row>
    <row r="1828" spans="1:18">
      <c r="A1828" t="s">
        <v>7030</v>
      </c>
      <c r="B1828" t="s">
        <v>16360</v>
      </c>
      <c r="C1828">
        <v>45810</v>
      </c>
      <c r="D1828" t="s">
        <v>7263</v>
      </c>
      <c r="E1828" t="s">
        <v>16361</v>
      </c>
      <c r="F1828">
        <v>45808</v>
      </c>
      <c r="G1828" t="s">
        <v>2208</v>
      </c>
      <c r="H1828" t="s">
        <v>7834</v>
      </c>
      <c r="I1828" t="s">
        <v>18275</v>
      </c>
      <c r="J1828">
        <v>2</v>
      </c>
      <c r="K1828">
        <v>209.22</v>
      </c>
      <c r="L1828" t="s">
        <v>2917</v>
      </c>
      <c r="M1828">
        <v>209.22</v>
      </c>
      <c r="N1828" t="s">
        <v>2917</v>
      </c>
      <c r="O1828" t="s">
        <v>2208</v>
      </c>
      <c r="P1828" t="s">
        <v>2208</v>
      </c>
      <c r="Q1828" t="s">
        <v>2208</v>
      </c>
      <c r="R1828" t="s">
        <v>2208</v>
      </c>
    </row>
    <row r="1829" spans="1:18">
      <c r="A1829" t="s">
        <v>7030</v>
      </c>
      <c r="B1829" t="s">
        <v>16360</v>
      </c>
      <c r="C1829">
        <v>45810</v>
      </c>
      <c r="D1829" t="s">
        <v>7263</v>
      </c>
      <c r="E1829" t="s">
        <v>16361</v>
      </c>
      <c r="F1829">
        <v>45808</v>
      </c>
      <c r="G1829" t="s">
        <v>2208</v>
      </c>
      <c r="H1829" t="s">
        <v>7834</v>
      </c>
      <c r="I1829" t="s">
        <v>18276</v>
      </c>
      <c r="J1829">
        <v>2</v>
      </c>
      <c r="K1829">
        <v>209.22</v>
      </c>
      <c r="L1829" t="s">
        <v>2917</v>
      </c>
      <c r="M1829">
        <v>209.22</v>
      </c>
      <c r="N1829" t="s">
        <v>2917</v>
      </c>
      <c r="O1829" t="s">
        <v>2208</v>
      </c>
      <c r="P1829" t="s">
        <v>2208</v>
      </c>
      <c r="Q1829" t="s">
        <v>2208</v>
      </c>
      <c r="R1829" t="s">
        <v>2208</v>
      </c>
    </row>
    <row r="1830" spans="1:18">
      <c r="A1830" t="s">
        <v>7030</v>
      </c>
      <c r="B1830" t="s">
        <v>16360</v>
      </c>
      <c r="C1830">
        <v>45810</v>
      </c>
      <c r="D1830" t="s">
        <v>7263</v>
      </c>
      <c r="E1830" t="s">
        <v>16361</v>
      </c>
      <c r="F1830">
        <v>45808</v>
      </c>
      <c r="G1830" t="s">
        <v>2208</v>
      </c>
      <c r="H1830" t="s">
        <v>7834</v>
      </c>
      <c r="I1830" t="s">
        <v>18277</v>
      </c>
      <c r="J1830">
        <v>1</v>
      </c>
      <c r="K1830">
        <v>104.61</v>
      </c>
      <c r="L1830" t="s">
        <v>2917</v>
      </c>
      <c r="M1830">
        <v>104.61</v>
      </c>
      <c r="N1830" t="s">
        <v>2917</v>
      </c>
      <c r="O1830" t="s">
        <v>2208</v>
      </c>
      <c r="P1830" t="s">
        <v>2208</v>
      </c>
      <c r="Q1830" t="s">
        <v>2208</v>
      </c>
      <c r="R1830" t="s">
        <v>2208</v>
      </c>
    </row>
    <row r="1831" spans="1:18">
      <c r="A1831" t="s">
        <v>7030</v>
      </c>
      <c r="B1831" t="s">
        <v>16360</v>
      </c>
      <c r="C1831">
        <v>45810</v>
      </c>
      <c r="D1831" t="s">
        <v>7263</v>
      </c>
      <c r="E1831" t="s">
        <v>16361</v>
      </c>
      <c r="F1831">
        <v>45808</v>
      </c>
      <c r="G1831" t="s">
        <v>2208</v>
      </c>
      <c r="H1831" t="s">
        <v>7834</v>
      </c>
      <c r="I1831" t="s">
        <v>18278</v>
      </c>
      <c r="J1831">
        <v>0.7</v>
      </c>
      <c r="K1831">
        <v>73.23</v>
      </c>
      <c r="L1831" t="s">
        <v>2917</v>
      </c>
      <c r="M1831">
        <v>73.23</v>
      </c>
      <c r="N1831" t="s">
        <v>2917</v>
      </c>
      <c r="O1831" t="s">
        <v>2208</v>
      </c>
      <c r="P1831" t="s">
        <v>2208</v>
      </c>
      <c r="Q1831" t="s">
        <v>2208</v>
      </c>
      <c r="R1831" t="s">
        <v>2208</v>
      </c>
    </row>
    <row r="1832" spans="1:18">
      <c r="A1832" t="s">
        <v>7030</v>
      </c>
      <c r="B1832" t="s">
        <v>16360</v>
      </c>
      <c r="C1832">
        <v>45810</v>
      </c>
      <c r="D1832" t="s">
        <v>7263</v>
      </c>
      <c r="E1832" t="s">
        <v>16361</v>
      </c>
      <c r="F1832">
        <v>45808</v>
      </c>
      <c r="G1832" t="s">
        <v>2208</v>
      </c>
      <c r="H1832" t="s">
        <v>7834</v>
      </c>
      <c r="I1832" t="s">
        <v>18279</v>
      </c>
      <c r="J1832">
        <v>3</v>
      </c>
      <c r="K1832">
        <v>313.83</v>
      </c>
      <c r="L1832" t="s">
        <v>2917</v>
      </c>
      <c r="M1832">
        <v>313.83</v>
      </c>
      <c r="N1832" t="s">
        <v>2917</v>
      </c>
      <c r="O1832" t="s">
        <v>2208</v>
      </c>
      <c r="P1832" t="s">
        <v>2208</v>
      </c>
      <c r="Q1832" t="s">
        <v>2208</v>
      </c>
      <c r="R1832" t="s">
        <v>2208</v>
      </c>
    </row>
    <row r="1833" spans="1:18">
      <c r="A1833" t="s">
        <v>7030</v>
      </c>
      <c r="B1833" t="s">
        <v>16360</v>
      </c>
      <c r="C1833">
        <v>45810</v>
      </c>
      <c r="D1833" t="s">
        <v>7263</v>
      </c>
      <c r="E1833" t="s">
        <v>16361</v>
      </c>
      <c r="F1833">
        <v>45808</v>
      </c>
      <c r="G1833" t="s">
        <v>2208</v>
      </c>
      <c r="H1833" t="s">
        <v>7834</v>
      </c>
      <c r="I1833" t="s">
        <v>18280</v>
      </c>
      <c r="J1833">
        <v>2</v>
      </c>
      <c r="K1833">
        <v>209.22</v>
      </c>
      <c r="L1833" t="s">
        <v>2917</v>
      </c>
      <c r="M1833">
        <v>209.22</v>
      </c>
      <c r="N1833" t="s">
        <v>2917</v>
      </c>
      <c r="O1833" t="s">
        <v>2208</v>
      </c>
      <c r="P1833" t="s">
        <v>2208</v>
      </c>
      <c r="Q1833" t="s">
        <v>2208</v>
      </c>
      <c r="R1833" t="s">
        <v>2208</v>
      </c>
    </row>
    <row r="1834" spans="1:18">
      <c r="A1834" t="s">
        <v>7030</v>
      </c>
      <c r="B1834" t="s">
        <v>16360</v>
      </c>
      <c r="C1834">
        <v>45810</v>
      </c>
      <c r="D1834" t="s">
        <v>7263</v>
      </c>
      <c r="E1834" t="s">
        <v>16361</v>
      </c>
      <c r="F1834">
        <v>45808</v>
      </c>
      <c r="G1834" t="s">
        <v>2208</v>
      </c>
      <c r="H1834" t="s">
        <v>7834</v>
      </c>
      <c r="I1834" t="s">
        <v>18281</v>
      </c>
      <c r="J1834">
        <v>2</v>
      </c>
      <c r="K1834">
        <v>209.22</v>
      </c>
      <c r="L1834" t="s">
        <v>2917</v>
      </c>
      <c r="M1834">
        <v>209.22</v>
      </c>
      <c r="N1834" t="s">
        <v>2917</v>
      </c>
      <c r="O1834" t="s">
        <v>2208</v>
      </c>
      <c r="P1834" t="s">
        <v>2208</v>
      </c>
      <c r="Q1834" t="s">
        <v>2208</v>
      </c>
      <c r="R1834" t="s">
        <v>2208</v>
      </c>
    </row>
    <row r="1835" spans="1:18">
      <c r="A1835" t="s">
        <v>7030</v>
      </c>
      <c r="B1835" t="s">
        <v>16360</v>
      </c>
      <c r="C1835">
        <v>45810</v>
      </c>
      <c r="D1835" t="s">
        <v>7263</v>
      </c>
      <c r="E1835" t="s">
        <v>16361</v>
      </c>
      <c r="F1835">
        <v>45808</v>
      </c>
      <c r="G1835" t="s">
        <v>2208</v>
      </c>
      <c r="H1835" t="s">
        <v>7834</v>
      </c>
      <c r="I1835" t="s">
        <v>18282</v>
      </c>
      <c r="J1835">
        <v>3</v>
      </c>
      <c r="K1835">
        <v>313.83</v>
      </c>
      <c r="L1835" t="s">
        <v>2917</v>
      </c>
      <c r="M1835">
        <v>313.83</v>
      </c>
      <c r="N1835" t="s">
        <v>2917</v>
      </c>
      <c r="O1835" t="s">
        <v>2208</v>
      </c>
      <c r="P1835" t="s">
        <v>2208</v>
      </c>
      <c r="Q1835" t="s">
        <v>2208</v>
      </c>
      <c r="R1835" t="s">
        <v>2208</v>
      </c>
    </row>
    <row r="1836" spans="1:18">
      <c r="A1836" t="s">
        <v>7030</v>
      </c>
      <c r="B1836" t="s">
        <v>16360</v>
      </c>
      <c r="C1836">
        <v>45810</v>
      </c>
      <c r="D1836" t="s">
        <v>7263</v>
      </c>
      <c r="E1836" t="s">
        <v>16361</v>
      </c>
      <c r="F1836">
        <v>45808</v>
      </c>
      <c r="G1836" t="s">
        <v>2208</v>
      </c>
      <c r="H1836" t="s">
        <v>7834</v>
      </c>
      <c r="I1836" t="s">
        <v>18283</v>
      </c>
      <c r="J1836">
        <v>2</v>
      </c>
      <c r="K1836">
        <v>209.22</v>
      </c>
      <c r="L1836" t="s">
        <v>2917</v>
      </c>
      <c r="M1836">
        <v>209.22</v>
      </c>
      <c r="N1836" t="s">
        <v>2917</v>
      </c>
      <c r="O1836" t="s">
        <v>2208</v>
      </c>
      <c r="P1836" t="s">
        <v>2208</v>
      </c>
      <c r="Q1836" t="s">
        <v>2208</v>
      </c>
      <c r="R1836" t="s">
        <v>2208</v>
      </c>
    </row>
    <row r="1837" spans="1:18">
      <c r="A1837" t="s">
        <v>7030</v>
      </c>
      <c r="B1837" t="s">
        <v>16360</v>
      </c>
      <c r="C1837">
        <v>45810</v>
      </c>
      <c r="D1837" t="s">
        <v>7263</v>
      </c>
      <c r="E1837" t="s">
        <v>16361</v>
      </c>
      <c r="F1837">
        <v>45808</v>
      </c>
      <c r="G1837" t="s">
        <v>2208</v>
      </c>
      <c r="H1837" t="s">
        <v>7834</v>
      </c>
      <c r="I1837" t="s">
        <v>18284</v>
      </c>
      <c r="J1837">
        <v>2</v>
      </c>
      <c r="K1837">
        <v>209.22</v>
      </c>
      <c r="L1837" t="s">
        <v>2917</v>
      </c>
      <c r="M1837">
        <v>209.22</v>
      </c>
      <c r="N1837" t="s">
        <v>2917</v>
      </c>
      <c r="O1837" t="s">
        <v>2208</v>
      </c>
      <c r="P1837" t="s">
        <v>2208</v>
      </c>
      <c r="Q1837" t="s">
        <v>2208</v>
      </c>
      <c r="R1837" t="s">
        <v>2208</v>
      </c>
    </row>
    <row r="1838" spans="1:18">
      <c r="A1838" t="s">
        <v>7030</v>
      </c>
      <c r="B1838" t="s">
        <v>16360</v>
      </c>
      <c r="C1838">
        <v>45810</v>
      </c>
      <c r="D1838" t="s">
        <v>7263</v>
      </c>
      <c r="E1838" t="s">
        <v>16361</v>
      </c>
      <c r="F1838">
        <v>45808</v>
      </c>
      <c r="G1838" t="s">
        <v>2208</v>
      </c>
      <c r="H1838" t="s">
        <v>7834</v>
      </c>
      <c r="I1838" t="s">
        <v>18285</v>
      </c>
      <c r="J1838">
        <v>2</v>
      </c>
      <c r="K1838">
        <v>209.22</v>
      </c>
      <c r="L1838" t="s">
        <v>2917</v>
      </c>
      <c r="M1838">
        <v>209.22</v>
      </c>
      <c r="N1838" t="s">
        <v>2917</v>
      </c>
      <c r="O1838" t="s">
        <v>2208</v>
      </c>
      <c r="P1838" t="s">
        <v>2208</v>
      </c>
      <c r="Q1838" t="s">
        <v>2208</v>
      </c>
      <c r="R1838" t="s">
        <v>2208</v>
      </c>
    </row>
    <row r="1839" spans="1:18">
      <c r="A1839" t="s">
        <v>7030</v>
      </c>
      <c r="B1839" t="s">
        <v>16360</v>
      </c>
      <c r="C1839">
        <v>45810</v>
      </c>
      <c r="D1839" t="s">
        <v>7263</v>
      </c>
      <c r="E1839" t="s">
        <v>16361</v>
      </c>
      <c r="F1839">
        <v>45808</v>
      </c>
      <c r="G1839" t="s">
        <v>2208</v>
      </c>
      <c r="H1839" t="s">
        <v>7834</v>
      </c>
      <c r="I1839" t="s">
        <v>18286</v>
      </c>
      <c r="J1839">
        <v>2</v>
      </c>
      <c r="K1839">
        <v>209.22</v>
      </c>
      <c r="L1839" t="s">
        <v>2917</v>
      </c>
      <c r="M1839">
        <v>209.22</v>
      </c>
      <c r="N1839" t="s">
        <v>2917</v>
      </c>
      <c r="O1839" t="s">
        <v>2208</v>
      </c>
      <c r="P1839" t="s">
        <v>2208</v>
      </c>
      <c r="Q1839" t="s">
        <v>2208</v>
      </c>
      <c r="R1839" t="s">
        <v>2208</v>
      </c>
    </row>
    <row r="1840" spans="1:18">
      <c r="A1840" t="s">
        <v>7030</v>
      </c>
      <c r="B1840" t="s">
        <v>16360</v>
      </c>
      <c r="C1840">
        <v>45810</v>
      </c>
      <c r="D1840" t="s">
        <v>7263</v>
      </c>
      <c r="E1840" t="s">
        <v>16361</v>
      </c>
      <c r="F1840">
        <v>45808</v>
      </c>
      <c r="G1840" t="s">
        <v>2208</v>
      </c>
      <c r="H1840" t="s">
        <v>7834</v>
      </c>
      <c r="I1840" t="s">
        <v>18287</v>
      </c>
      <c r="J1840">
        <v>1</v>
      </c>
      <c r="K1840">
        <v>104.61</v>
      </c>
      <c r="L1840" t="s">
        <v>2917</v>
      </c>
      <c r="M1840">
        <v>104.61</v>
      </c>
      <c r="N1840" t="s">
        <v>2917</v>
      </c>
      <c r="O1840" t="s">
        <v>2208</v>
      </c>
      <c r="P1840" t="s">
        <v>2208</v>
      </c>
      <c r="Q1840" t="s">
        <v>2208</v>
      </c>
      <c r="R1840" t="s">
        <v>2208</v>
      </c>
    </row>
    <row r="1841" spans="1:18">
      <c r="A1841" t="s">
        <v>7030</v>
      </c>
      <c r="B1841" t="s">
        <v>16360</v>
      </c>
      <c r="C1841">
        <v>45810</v>
      </c>
      <c r="D1841" t="s">
        <v>7263</v>
      </c>
      <c r="E1841" t="s">
        <v>16361</v>
      </c>
      <c r="F1841">
        <v>45808</v>
      </c>
      <c r="G1841" t="s">
        <v>2208</v>
      </c>
      <c r="H1841" t="s">
        <v>7834</v>
      </c>
      <c r="I1841" t="s">
        <v>18288</v>
      </c>
      <c r="J1841">
        <v>1</v>
      </c>
      <c r="K1841">
        <v>104.61</v>
      </c>
      <c r="L1841" t="s">
        <v>2917</v>
      </c>
      <c r="M1841">
        <v>104.61</v>
      </c>
      <c r="N1841" t="s">
        <v>2917</v>
      </c>
      <c r="O1841" t="s">
        <v>2208</v>
      </c>
      <c r="P1841" t="s">
        <v>2208</v>
      </c>
      <c r="Q1841" t="s">
        <v>2208</v>
      </c>
      <c r="R1841" t="s">
        <v>2208</v>
      </c>
    </row>
    <row r="1842" spans="1:18">
      <c r="A1842" t="s">
        <v>7030</v>
      </c>
      <c r="B1842" t="s">
        <v>16360</v>
      </c>
      <c r="C1842">
        <v>45810</v>
      </c>
      <c r="D1842" t="s">
        <v>7263</v>
      </c>
      <c r="E1842" t="s">
        <v>16361</v>
      </c>
      <c r="F1842">
        <v>45808</v>
      </c>
      <c r="G1842" t="s">
        <v>2208</v>
      </c>
      <c r="H1842" t="s">
        <v>7834</v>
      </c>
      <c r="I1842" t="s">
        <v>18289</v>
      </c>
      <c r="J1842">
        <v>1</v>
      </c>
      <c r="K1842">
        <v>104.61</v>
      </c>
      <c r="L1842" t="s">
        <v>2917</v>
      </c>
      <c r="M1842">
        <v>104.61</v>
      </c>
      <c r="N1842" t="s">
        <v>2917</v>
      </c>
      <c r="O1842" t="s">
        <v>2208</v>
      </c>
      <c r="P1842" t="s">
        <v>2208</v>
      </c>
      <c r="Q1842" t="s">
        <v>2208</v>
      </c>
      <c r="R1842" t="s">
        <v>2208</v>
      </c>
    </row>
    <row r="1843" spans="1:18">
      <c r="A1843" t="s">
        <v>7030</v>
      </c>
      <c r="B1843" t="s">
        <v>16360</v>
      </c>
      <c r="C1843">
        <v>45810</v>
      </c>
      <c r="D1843" t="s">
        <v>7263</v>
      </c>
      <c r="E1843" t="s">
        <v>16361</v>
      </c>
      <c r="F1843">
        <v>45808</v>
      </c>
      <c r="G1843" t="s">
        <v>2208</v>
      </c>
      <c r="H1843" t="s">
        <v>7834</v>
      </c>
      <c r="I1843" t="s">
        <v>18290</v>
      </c>
      <c r="J1843">
        <v>1</v>
      </c>
      <c r="K1843">
        <v>104.61</v>
      </c>
      <c r="L1843" t="s">
        <v>2917</v>
      </c>
      <c r="M1843">
        <v>104.61</v>
      </c>
      <c r="N1843" t="s">
        <v>2917</v>
      </c>
      <c r="O1843" t="s">
        <v>2208</v>
      </c>
      <c r="P1843" t="s">
        <v>2208</v>
      </c>
      <c r="Q1843" t="s">
        <v>2208</v>
      </c>
      <c r="R1843" t="s">
        <v>2208</v>
      </c>
    </row>
    <row r="1844" spans="1:18">
      <c r="A1844" t="s">
        <v>7030</v>
      </c>
      <c r="B1844" t="s">
        <v>16360</v>
      </c>
      <c r="C1844">
        <v>45810</v>
      </c>
      <c r="D1844" t="s">
        <v>7263</v>
      </c>
      <c r="E1844" t="s">
        <v>16361</v>
      </c>
      <c r="F1844">
        <v>45808</v>
      </c>
      <c r="G1844" t="s">
        <v>2208</v>
      </c>
      <c r="H1844" t="s">
        <v>7834</v>
      </c>
      <c r="I1844" t="s">
        <v>18291</v>
      </c>
      <c r="J1844">
        <v>1</v>
      </c>
      <c r="K1844">
        <v>104.61</v>
      </c>
      <c r="L1844" t="s">
        <v>2917</v>
      </c>
      <c r="M1844">
        <v>104.61</v>
      </c>
      <c r="N1844" t="s">
        <v>2917</v>
      </c>
      <c r="O1844" t="s">
        <v>2208</v>
      </c>
      <c r="P1844" t="s">
        <v>2208</v>
      </c>
      <c r="Q1844" t="s">
        <v>2208</v>
      </c>
      <c r="R1844" t="s">
        <v>2208</v>
      </c>
    </row>
    <row r="1845" spans="1:18">
      <c r="A1845" t="s">
        <v>7030</v>
      </c>
      <c r="B1845" t="s">
        <v>16360</v>
      </c>
      <c r="C1845">
        <v>45810</v>
      </c>
      <c r="D1845" t="s">
        <v>7263</v>
      </c>
      <c r="E1845" t="s">
        <v>16361</v>
      </c>
      <c r="F1845">
        <v>45808</v>
      </c>
      <c r="G1845" t="s">
        <v>2208</v>
      </c>
      <c r="H1845" t="s">
        <v>7834</v>
      </c>
      <c r="I1845" t="s">
        <v>18292</v>
      </c>
      <c r="J1845">
        <v>1</v>
      </c>
      <c r="K1845">
        <v>104.61</v>
      </c>
      <c r="L1845" t="s">
        <v>2917</v>
      </c>
      <c r="M1845">
        <v>104.61</v>
      </c>
      <c r="N1845" t="s">
        <v>2917</v>
      </c>
      <c r="O1845" t="s">
        <v>2208</v>
      </c>
      <c r="P1845" t="s">
        <v>2208</v>
      </c>
      <c r="Q1845" t="s">
        <v>2208</v>
      </c>
      <c r="R1845" t="s">
        <v>2208</v>
      </c>
    </row>
    <row r="1846" spans="1:18">
      <c r="A1846" t="s">
        <v>7030</v>
      </c>
      <c r="B1846" t="s">
        <v>16360</v>
      </c>
      <c r="C1846">
        <v>45810</v>
      </c>
      <c r="D1846" t="s">
        <v>7263</v>
      </c>
      <c r="E1846" t="s">
        <v>16361</v>
      </c>
      <c r="F1846">
        <v>45808</v>
      </c>
      <c r="G1846" t="s">
        <v>2208</v>
      </c>
      <c r="H1846" t="s">
        <v>7834</v>
      </c>
      <c r="I1846" t="s">
        <v>18293</v>
      </c>
      <c r="J1846">
        <v>1.6</v>
      </c>
      <c r="K1846">
        <v>167.38</v>
      </c>
      <c r="L1846" t="s">
        <v>2917</v>
      </c>
      <c r="M1846">
        <v>167.38</v>
      </c>
      <c r="N1846" t="s">
        <v>2917</v>
      </c>
      <c r="O1846" t="s">
        <v>2208</v>
      </c>
      <c r="P1846" t="s">
        <v>2208</v>
      </c>
      <c r="Q1846" t="s">
        <v>2208</v>
      </c>
      <c r="R1846" t="s">
        <v>2208</v>
      </c>
    </row>
    <row r="1847" spans="1:18">
      <c r="A1847" t="s">
        <v>7030</v>
      </c>
      <c r="B1847" t="s">
        <v>16360</v>
      </c>
      <c r="C1847">
        <v>45810</v>
      </c>
      <c r="D1847" t="s">
        <v>7263</v>
      </c>
      <c r="E1847" t="s">
        <v>16361</v>
      </c>
      <c r="F1847">
        <v>45808</v>
      </c>
      <c r="G1847" t="s">
        <v>2208</v>
      </c>
      <c r="H1847" t="s">
        <v>7834</v>
      </c>
      <c r="I1847" t="s">
        <v>18294</v>
      </c>
      <c r="J1847">
        <v>1</v>
      </c>
      <c r="K1847">
        <v>104.61</v>
      </c>
      <c r="L1847" t="s">
        <v>2917</v>
      </c>
      <c r="M1847">
        <v>104.61</v>
      </c>
      <c r="N1847" t="s">
        <v>2917</v>
      </c>
      <c r="O1847" t="s">
        <v>2208</v>
      </c>
      <c r="P1847" t="s">
        <v>2208</v>
      </c>
      <c r="Q1847" t="s">
        <v>2208</v>
      </c>
      <c r="R1847" t="s">
        <v>2208</v>
      </c>
    </row>
    <row r="1848" spans="1:18">
      <c r="A1848" t="s">
        <v>7030</v>
      </c>
      <c r="B1848" t="s">
        <v>16360</v>
      </c>
      <c r="C1848">
        <v>45810</v>
      </c>
      <c r="D1848" t="s">
        <v>7263</v>
      </c>
      <c r="E1848" t="s">
        <v>16361</v>
      </c>
      <c r="F1848">
        <v>45808</v>
      </c>
      <c r="G1848" t="s">
        <v>2208</v>
      </c>
      <c r="H1848" t="s">
        <v>7834</v>
      </c>
      <c r="I1848" t="s">
        <v>18295</v>
      </c>
      <c r="J1848">
        <v>1</v>
      </c>
      <c r="K1848">
        <v>104.61</v>
      </c>
      <c r="L1848" t="s">
        <v>2917</v>
      </c>
      <c r="M1848">
        <v>104.61</v>
      </c>
      <c r="N1848" t="s">
        <v>2917</v>
      </c>
      <c r="O1848" t="s">
        <v>2208</v>
      </c>
      <c r="P1848" t="s">
        <v>2208</v>
      </c>
      <c r="Q1848" t="s">
        <v>2208</v>
      </c>
      <c r="R1848" t="s">
        <v>2208</v>
      </c>
    </row>
    <row r="1849" spans="1:18">
      <c r="A1849" t="s">
        <v>7030</v>
      </c>
      <c r="B1849" t="s">
        <v>16360</v>
      </c>
      <c r="C1849">
        <v>45810</v>
      </c>
      <c r="D1849" t="s">
        <v>7263</v>
      </c>
      <c r="E1849" t="s">
        <v>16361</v>
      </c>
      <c r="F1849">
        <v>45808</v>
      </c>
      <c r="G1849" t="s">
        <v>2208</v>
      </c>
      <c r="H1849" t="s">
        <v>7834</v>
      </c>
      <c r="I1849" t="s">
        <v>18296</v>
      </c>
      <c r="J1849">
        <v>1</v>
      </c>
      <c r="K1849">
        <v>104.61</v>
      </c>
      <c r="L1849" t="s">
        <v>2917</v>
      </c>
      <c r="M1849">
        <v>104.61</v>
      </c>
      <c r="N1849" t="s">
        <v>2917</v>
      </c>
      <c r="O1849" t="s">
        <v>2208</v>
      </c>
      <c r="P1849" t="s">
        <v>2208</v>
      </c>
      <c r="Q1849" t="s">
        <v>2208</v>
      </c>
      <c r="R1849" t="s">
        <v>2208</v>
      </c>
    </row>
    <row r="1850" spans="1:18">
      <c r="A1850" t="s">
        <v>7030</v>
      </c>
      <c r="B1850" t="s">
        <v>16360</v>
      </c>
      <c r="C1850">
        <v>45810</v>
      </c>
      <c r="D1850" t="s">
        <v>7263</v>
      </c>
      <c r="E1850" t="s">
        <v>16361</v>
      </c>
      <c r="F1850">
        <v>45808</v>
      </c>
      <c r="G1850" t="s">
        <v>2208</v>
      </c>
      <c r="H1850" t="s">
        <v>7834</v>
      </c>
      <c r="I1850" t="s">
        <v>18297</v>
      </c>
      <c r="J1850">
        <v>2</v>
      </c>
      <c r="K1850">
        <v>209.22</v>
      </c>
      <c r="L1850" t="s">
        <v>2917</v>
      </c>
      <c r="M1850">
        <v>209.22</v>
      </c>
      <c r="N1850" t="s">
        <v>2917</v>
      </c>
      <c r="O1850" t="s">
        <v>2208</v>
      </c>
      <c r="P1850" t="s">
        <v>2208</v>
      </c>
      <c r="Q1850" t="s">
        <v>2208</v>
      </c>
      <c r="R1850" t="s">
        <v>2208</v>
      </c>
    </row>
    <row r="1851" spans="1:18">
      <c r="A1851" t="s">
        <v>7030</v>
      </c>
      <c r="B1851" t="s">
        <v>16360</v>
      </c>
      <c r="C1851">
        <v>45810</v>
      </c>
      <c r="D1851" t="s">
        <v>7263</v>
      </c>
      <c r="E1851" t="s">
        <v>16361</v>
      </c>
      <c r="F1851">
        <v>45808</v>
      </c>
      <c r="G1851" t="s">
        <v>2208</v>
      </c>
      <c r="H1851" t="s">
        <v>7834</v>
      </c>
      <c r="I1851" t="s">
        <v>18298</v>
      </c>
      <c r="J1851">
        <v>2</v>
      </c>
      <c r="K1851">
        <v>209.22</v>
      </c>
      <c r="L1851" t="s">
        <v>2917</v>
      </c>
      <c r="M1851">
        <v>209.22</v>
      </c>
      <c r="N1851" t="s">
        <v>2917</v>
      </c>
      <c r="O1851" t="s">
        <v>2208</v>
      </c>
      <c r="P1851" t="s">
        <v>2208</v>
      </c>
      <c r="Q1851" t="s">
        <v>2208</v>
      </c>
      <c r="R1851" t="s">
        <v>2208</v>
      </c>
    </row>
    <row r="1852" spans="1:18">
      <c r="A1852" t="s">
        <v>7030</v>
      </c>
      <c r="B1852" t="s">
        <v>16360</v>
      </c>
      <c r="C1852">
        <v>45810</v>
      </c>
      <c r="D1852" t="s">
        <v>7263</v>
      </c>
      <c r="E1852" t="s">
        <v>16361</v>
      </c>
      <c r="F1852">
        <v>45808</v>
      </c>
      <c r="G1852" t="s">
        <v>2208</v>
      </c>
      <c r="H1852" t="s">
        <v>7834</v>
      </c>
      <c r="I1852" t="s">
        <v>18299</v>
      </c>
      <c r="J1852">
        <v>1</v>
      </c>
      <c r="K1852">
        <v>104.61</v>
      </c>
      <c r="L1852" t="s">
        <v>2917</v>
      </c>
      <c r="M1852">
        <v>104.61</v>
      </c>
      <c r="N1852" t="s">
        <v>2917</v>
      </c>
      <c r="O1852" t="s">
        <v>2208</v>
      </c>
      <c r="P1852" t="s">
        <v>2208</v>
      </c>
      <c r="Q1852" t="s">
        <v>2208</v>
      </c>
      <c r="R1852" t="s">
        <v>2208</v>
      </c>
    </row>
    <row r="1853" spans="1:18">
      <c r="A1853" t="s">
        <v>7030</v>
      </c>
      <c r="B1853" t="s">
        <v>16360</v>
      </c>
      <c r="C1853">
        <v>45810</v>
      </c>
      <c r="D1853" t="s">
        <v>7263</v>
      </c>
      <c r="E1853" t="s">
        <v>16361</v>
      </c>
      <c r="F1853">
        <v>45808</v>
      </c>
      <c r="G1853" t="s">
        <v>2208</v>
      </c>
      <c r="H1853" t="s">
        <v>7834</v>
      </c>
      <c r="I1853" t="s">
        <v>18300</v>
      </c>
      <c r="J1853">
        <v>1</v>
      </c>
      <c r="K1853">
        <v>104.61</v>
      </c>
      <c r="L1853" t="s">
        <v>2917</v>
      </c>
      <c r="M1853">
        <v>104.61</v>
      </c>
      <c r="N1853" t="s">
        <v>2917</v>
      </c>
      <c r="O1853" t="s">
        <v>2208</v>
      </c>
      <c r="P1853" t="s">
        <v>2208</v>
      </c>
      <c r="Q1853" t="s">
        <v>2208</v>
      </c>
      <c r="R1853" t="s">
        <v>2208</v>
      </c>
    </row>
    <row r="1854" spans="1:18">
      <c r="A1854" t="s">
        <v>7030</v>
      </c>
      <c r="B1854" t="s">
        <v>16360</v>
      </c>
      <c r="C1854">
        <v>45810</v>
      </c>
      <c r="D1854" t="s">
        <v>7263</v>
      </c>
      <c r="E1854" t="s">
        <v>16361</v>
      </c>
      <c r="F1854">
        <v>45808</v>
      </c>
      <c r="G1854" t="s">
        <v>2208</v>
      </c>
      <c r="H1854" t="s">
        <v>7834</v>
      </c>
      <c r="I1854" t="s">
        <v>18301</v>
      </c>
      <c r="J1854">
        <v>1</v>
      </c>
      <c r="K1854">
        <v>104.61</v>
      </c>
      <c r="L1854" t="s">
        <v>2917</v>
      </c>
      <c r="M1854">
        <v>104.61</v>
      </c>
      <c r="N1854" t="s">
        <v>2917</v>
      </c>
      <c r="O1854" t="s">
        <v>2208</v>
      </c>
      <c r="P1854" t="s">
        <v>2208</v>
      </c>
      <c r="Q1854" t="s">
        <v>2208</v>
      </c>
      <c r="R1854" t="s">
        <v>2208</v>
      </c>
    </row>
    <row r="1855" spans="1:18">
      <c r="A1855" t="s">
        <v>7030</v>
      </c>
      <c r="B1855" t="s">
        <v>16360</v>
      </c>
      <c r="C1855">
        <v>45810</v>
      </c>
      <c r="D1855" t="s">
        <v>7263</v>
      </c>
      <c r="E1855" t="s">
        <v>16361</v>
      </c>
      <c r="F1855">
        <v>45808</v>
      </c>
      <c r="G1855" t="s">
        <v>2208</v>
      </c>
      <c r="H1855" t="s">
        <v>7834</v>
      </c>
      <c r="I1855" t="s">
        <v>18302</v>
      </c>
      <c r="J1855">
        <v>1</v>
      </c>
      <c r="K1855">
        <v>104.61</v>
      </c>
      <c r="L1855" t="s">
        <v>2917</v>
      </c>
      <c r="M1855">
        <v>104.61</v>
      </c>
      <c r="N1855" t="s">
        <v>2917</v>
      </c>
      <c r="O1855" t="s">
        <v>2208</v>
      </c>
      <c r="P1855" t="s">
        <v>2208</v>
      </c>
      <c r="Q1855" t="s">
        <v>2208</v>
      </c>
      <c r="R1855" t="s">
        <v>2208</v>
      </c>
    </row>
    <row r="1856" spans="1:18">
      <c r="A1856" t="s">
        <v>7030</v>
      </c>
      <c r="B1856" t="s">
        <v>16360</v>
      </c>
      <c r="C1856">
        <v>45810</v>
      </c>
      <c r="D1856" t="s">
        <v>7263</v>
      </c>
      <c r="E1856" t="s">
        <v>16361</v>
      </c>
      <c r="F1856">
        <v>45808</v>
      </c>
      <c r="G1856" t="s">
        <v>2208</v>
      </c>
      <c r="H1856" t="s">
        <v>7834</v>
      </c>
      <c r="I1856" t="s">
        <v>18303</v>
      </c>
      <c r="J1856">
        <v>1</v>
      </c>
      <c r="K1856">
        <v>104.61</v>
      </c>
      <c r="L1856" t="s">
        <v>2917</v>
      </c>
      <c r="M1856">
        <v>104.61</v>
      </c>
      <c r="N1856" t="s">
        <v>2917</v>
      </c>
      <c r="O1856" t="s">
        <v>2208</v>
      </c>
      <c r="P1856" t="s">
        <v>2208</v>
      </c>
      <c r="Q1856" t="s">
        <v>2208</v>
      </c>
      <c r="R1856" t="s">
        <v>2208</v>
      </c>
    </row>
    <row r="1857" spans="1:18">
      <c r="A1857" t="s">
        <v>7030</v>
      </c>
      <c r="B1857" t="s">
        <v>16360</v>
      </c>
      <c r="C1857">
        <v>45810</v>
      </c>
      <c r="D1857" t="s">
        <v>7263</v>
      </c>
      <c r="E1857" t="s">
        <v>16361</v>
      </c>
      <c r="F1857">
        <v>45808</v>
      </c>
      <c r="G1857" t="s">
        <v>2208</v>
      </c>
      <c r="H1857" t="s">
        <v>7834</v>
      </c>
      <c r="I1857" t="s">
        <v>18304</v>
      </c>
      <c r="J1857">
        <v>1</v>
      </c>
      <c r="K1857">
        <v>104.61</v>
      </c>
      <c r="L1857" t="s">
        <v>2917</v>
      </c>
      <c r="M1857">
        <v>104.61</v>
      </c>
      <c r="N1857" t="s">
        <v>2917</v>
      </c>
      <c r="O1857" t="s">
        <v>2208</v>
      </c>
      <c r="P1857" t="s">
        <v>2208</v>
      </c>
      <c r="Q1857" t="s">
        <v>2208</v>
      </c>
      <c r="R1857" t="s">
        <v>2208</v>
      </c>
    </row>
    <row r="1858" spans="1:18">
      <c r="A1858" t="s">
        <v>7030</v>
      </c>
      <c r="B1858" t="s">
        <v>16360</v>
      </c>
      <c r="C1858">
        <v>45810</v>
      </c>
      <c r="D1858" t="s">
        <v>7263</v>
      </c>
      <c r="E1858" t="s">
        <v>16361</v>
      </c>
      <c r="F1858">
        <v>45808</v>
      </c>
      <c r="G1858" t="s">
        <v>2208</v>
      </c>
      <c r="H1858" t="s">
        <v>7834</v>
      </c>
      <c r="I1858" t="s">
        <v>18305</v>
      </c>
      <c r="J1858">
        <v>1</v>
      </c>
      <c r="K1858">
        <v>104.61</v>
      </c>
      <c r="L1858" t="s">
        <v>2917</v>
      </c>
      <c r="M1858">
        <v>104.61</v>
      </c>
      <c r="N1858" t="s">
        <v>2917</v>
      </c>
      <c r="O1858" t="s">
        <v>2208</v>
      </c>
      <c r="P1858" t="s">
        <v>2208</v>
      </c>
      <c r="Q1858" t="s">
        <v>2208</v>
      </c>
      <c r="R1858" t="s">
        <v>2208</v>
      </c>
    </row>
    <row r="1859" spans="1:18">
      <c r="A1859" t="s">
        <v>7030</v>
      </c>
      <c r="B1859" t="s">
        <v>16360</v>
      </c>
      <c r="C1859">
        <v>45810</v>
      </c>
      <c r="D1859" t="s">
        <v>7263</v>
      </c>
      <c r="E1859" t="s">
        <v>16361</v>
      </c>
      <c r="F1859">
        <v>45808</v>
      </c>
      <c r="G1859" t="s">
        <v>2208</v>
      </c>
      <c r="H1859" t="s">
        <v>7834</v>
      </c>
      <c r="I1859" t="s">
        <v>18306</v>
      </c>
      <c r="J1859">
        <v>1</v>
      </c>
      <c r="K1859">
        <v>104.61</v>
      </c>
      <c r="L1859" t="s">
        <v>2917</v>
      </c>
      <c r="M1859">
        <v>104.61</v>
      </c>
      <c r="N1859" t="s">
        <v>2917</v>
      </c>
      <c r="O1859" t="s">
        <v>2208</v>
      </c>
      <c r="P1859" t="s">
        <v>2208</v>
      </c>
      <c r="Q1859" t="s">
        <v>2208</v>
      </c>
      <c r="R1859" t="s">
        <v>2208</v>
      </c>
    </row>
    <row r="1860" spans="1:18">
      <c r="A1860" t="s">
        <v>7030</v>
      </c>
      <c r="B1860" t="s">
        <v>16360</v>
      </c>
      <c r="C1860">
        <v>45810</v>
      </c>
      <c r="D1860" t="s">
        <v>7263</v>
      </c>
      <c r="E1860" t="s">
        <v>16361</v>
      </c>
      <c r="F1860">
        <v>45808</v>
      </c>
      <c r="G1860" t="s">
        <v>2208</v>
      </c>
      <c r="H1860" t="s">
        <v>7834</v>
      </c>
      <c r="I1860" t="s">
        <v>18307</v>
      </c>
      <c r="J1860">
        <v>1</v>
      </c>
      <c r="K1860">
        <v>104.61</v>
      </c>
      <c r="L1860" t="s">
        <v>2917</v>
      </c>
      <c r="M1860">
        <v>104.61</v>
      </c>
      <c r="N1860" t="s">
        <v>2917</v>
      </c>
      <c r="O1860" t="s">
        <v>2208</v>
      </c>
      <c r="P1860" t="s">
        <v>2208</v>
      </c>
      <c r="Q1860" t="s">
        <v>2208</v>
      </c>
      <c r="R1860" t="s">
        <v>2208</v>
      </c>
    </row>
    <row r="1861" spans="1:18">
      <c r="A1861" t="s">
        <v>7030</v>
      </c>
      <c r="B1861" t="s">
        <v>16360</v>
      </c>
      <c r="C1861">
        <v>45810</v>
      </c>
      <c r="D1861" t="s">
        <v>7263</v>
      </c>
      <c r="E1861" t="s">
        <v>16361</v>
      </c>
      <c r="F1861">
        <v>45808</v>
      </c>
      <c r="G1861" t="s">
        <v>2208</v>
      </c>
      <c r="H1861" t="s">
        <v>7834</v>
      </c>
      <c r="I1861" t="s">
        <v>18308</v>
      </c>
      <c r="J1861">
        <v>1</v>
      </c>
      <c r="K1861">
        <v>104.61</v>
      </c>
      <c r="L1861" t="s">
        <v>2917</v>
      </c>
      <c r="M1861">
        <v>104.61</v>
      </c>
      <c r="N1861" t="s">
        <v>2917</v>
      </c>
      <c r="O1861" t="s">
        <v>2208</v>
      </c>
      <c r="P1861" t="s">
        <v>2208</v>
      </c>
      <c r="Q1861" t="s">
        <v>2208</v>
      </c>
      <c r="R1861" t="s">
        <v>2208</v>
      </c>
    </row>
    <row r="1862" spans="1:18">
      <c r="A1862" t="s">
        <v>7030</v>
      </c>
      <c r="B1862" t="s">
        <v>16360</v>
      </c>
      <c r="C1862">
        <v>45810</v>
      </c>
      <c r="D1862" t="s">
        <v>7263</v>
      </c>
      <c r="E1862" t="s">
        <v>16361</v>
      </c>
      <c r="F1862">
        <v>45808</v>
      </c>
      <c r="G1862" t="s">
        <v>2208</v>
      </c>
      <c r="H1862" t="s">
        <v>7834</v>
      </c>
      <c r="I1862" t="s">
        <v>18309</v>
      </c>
      <c r="J1862">
        <v>1</v>
      </c>
      <c r="K1862">
        <v>104.61</v>
      </c>
      <c r="L1862" t="s">
        <v>2917</v>
      </c>
      <c r="M1862">
        <v>104.61</v>
      </c>
      <c r="N1862" t="s">
        <v>2917</v>
      </c>
      <c r="O1862" t="s">
        <v>2208</v>
      </c>
      <c r="P1862" t="s">
        <v>2208</v>
      </c>
      <c r="Q1862" t="s">
        <v>2208</v>
      </c>
      <c r="R1862" t="s">
        <v>2208</v>
      </c>
    </row>
    <row r="1863" spans="1:18">
      <c r="A1863" t="s">
        <v>7030</v>
      </c>
      <c r="B1863" t="s">
        <v>16360</v>
      </c>
      <c r="C1863">
        <v>45810</v>
      </c>
      <c r="D1863" t="s">
        <v>7263</v>
      </c>
      <c r="E1863" t="s">
        <v>16361</v>
      </c>
      <c r="F1863">
        <v>45808</v>
      </c>
      <c r="G1863" t="s">
        <v>2208</v>
      </c>
      <c r="H1863" t="s">
        <v>7834</v>
      </c>
      <c r="I1863" t="s">
        <v>18310</v>
      </c>
      <c r="J1863">
        <v>2</v>
      </c>
      <c r="K1863">
        <v>209.22</v>
      </c>
      <c r="L1863" t="s">
        <v>2917</v>
      </c>
      <c r="M1863">
        <v>209.22</v>
      </c>
      <c r="N1863" t="s">
        <v>2917</v>
      </c>
      <c r="O1863" t="s">
        <v>2208</v>
      </c>
      <c r="P1863" t="s">
        <v>2208</v>
      </c>
      <c r="Q1863" t="s">
        <v>2208</v>
      </c>
      <c r="R1863" t="s">
        <v>2208</v>
      </c>
    </row>
    <row r="1864" spans="1:18">
      <c r="A1864" t="s">
        <v>7030</v>
      </c>
      <c r="B1864" t="s">
        <v>16360</v>
      </c>
      <c r="C1864">
        <v>45810</v>
      </c>
      <c r="D1864" t="s">
        <v>7263</v>
      </c>
      <c r="E1864" t="s">
        <v>16361</v>
      </c>
      <c r="F1864">
        <v>45808</v>
      </c>
      <c r="G1864" t="s">
        <v>2208</v>
      </c>
      <c r="H1864" t="s">
        <v>7834</v>
      </c>
      <c r="I1864" t="s">
        <v>18311</v>
      </c>
      <c r="J1864">
        <v>2</v>
      </c>
      <c r="K1864">
        <v>209.22</v>
      </c>
      <c r="L1864" t="s">
        <v>2917</v>
      </c>
      <c r="M1864">
        <v>209.22</v>
      </c>
      <c r="N1864" t="s">
        <v>2917</v>
      </c>
      <c r="O1864" t="s">
        <v>2208</v>
      </c>
      <c r="P1864" t="s">
        <v>2208</v>
      </c>
      <c r="Q1864" t="s">
        <v>2208</v>
      </c>
      <c r="R1864" t="s">
        <v>2208</v>
      </c>
    </row>
    <row r="1865" spans="1:18">
      <c r="A1865" t="s">
        <v>7030</v>
      </c>
      <c r="B1865" t="s">
        <v>16360</v>
      </c>
      <c r="C1865">
        <v>45810</v>
      </c>
      <c r="D1865" t="s">
        <v>7263</v>
      </c>
      <c r="E1865" t="s">
        <v>16361</v>
      </c>
      <c r="F1865">
        <v>45808</v>
      </c>
      <c r="G1865" t="s">
        <v>2208</v>
      </c>
      <c r="H1865" t="s">
        <v>7834</v>
      </c>
      <c r="I1865" t="s">
        <v>18312</v>
      </c>
      <c r="J1865">
        <v>1</v>
      </c>
      <c r="K1865">
        <v>104.61</v>
      </c>
      <c r="L1865" t="s">
        <v>2917</v>
      </c>
      <c r="M1865">
        <v>104.61</v>
      </c>
      <c r="N1865" t="s">
        <v>2917</v>
      </c>
      <c r="O1865" t="s">
        <v>2208</v>
      </c>
      <c r="P1865" t="s">
        <v>2208</v>
      </c>
      <c r="Q1865" t="s">
        <v>2208</v>
      </c>
      <c r="R1865" t="s">
        <v>2208</v>
      </c>
    </row>
    <row r="1866" spans="1:18">
      <c r="A1866" t="s">
        <v>7030</v>
      </c>
      <c r="B1866" t="s">
        <v>16360</v>
      </c>
      <c r="C1866">
        <v>45810</v>
      </c>
      <c r="D1866" t="s">
        <v>7263</v>
      </c>
      <c r="E1866" t="s">
        <v>16361</v>
      </c>
      <c r="F1866">
        <v>45808</v>
      </c>
      <c r="G1866" t="s">
        <v>2208</v>
      </c>
      <c r="H1866" t="s">
        <v>7834</v>
      </c>
      <c r="I1866" t="s">
        <v>18313</v>
      </c>
      <c r="J1866">
        <v>1</v>
      </c>
      <c r="K1866">
        <v>104.61</v>
      </c>
      <c r="L1866" t="s">
        <v>2917</v>
      </c>
      <c r="M1866">
        <v>104.61</v>
      </c>
      <c r="N1866" t="s">
        <v>2917</v>
      </c>
      <c r="O1866" t="s">
        <v>2208</v>
      </c>
      <c r="P1866" t="s">
        <v>2208</v>
      </c>
      <c r="Q1866" t="s">
        <v>2208</v>
      </c>
      <c r="R1866" t="s">
        <v>2208</v>
      </c>
    </row>
    <row r="1867" spans="1:18">
      <c r="A1867" t="s">
        <v>7030</v>
      </c>
      <c r="B1867" t="s">
        <v>16360</v>
      </c>
      <c r="C1867">
        <v>45810</v>
      </c>
      <c r="D1867" t="s">
        <v>7263</v>
      </c>
      <c r="E1867" t="s">
        <v>16361</v>
      </c>
      <c r="F1867">
        <v>45808</v>
      </c>
      <c r="G1867" t="s">
        <v>2208</v>
      </c>
      <c r="H1867" t="s">
        <v>7834</v>
      </c>
      <c r="I1867" t="s">
        <v>18314</v>
      </c>
      <c r="J1867">
        <v>1</v>
      </c>
      <c r="K1867">
        <v>104.61</v>
      </c>
      <c r="L1867" t="s">
        <v>2917</v>
      </c>
      <c r="M1867">
        <v>104.61</v>
      </c>
      <c r="N1867" t="s">
        <v>2917</v>
      </c>
      <c r="O1867" t="s">
        <v>2208</v>
      </c>
      <c r="P1867" t="s">
        <v>2208</v>
      </c>
      <c r="Q1867" t="s">
        <v>2208</v>
      </c>
      <c r="R1867" t="s">
        <v>2208</v>
      </c>
    </row>
    <row r="1868" spans="1:18">
      <c r="A1868" t="s">
        <v>7030</v>
      </c>
      <c r="B1868" t="s">
        <v>16360</v>
      </c>
      <c r="C1868">
        <v>45810</v>
      </c>
      <c r="D1868" t="s">
        <v>7263</v>
      </c>
      <c r="E1868" t="s">
        <v>16361</v>
      </c>
      <c r="F1868">
        <v>45808</v>
      </c>
      <c r="G1868" t="s">
        <v>2208</v>
      </c>
      <c r="H1868" t="s">
        <v>7834</v>
      </c>
      <c r="I1868" t="s">
        <v>18315</v>
      </c>
      <c r="J1868">
        <v>1</v>
      </c>
      <c r="K1868">
        <v>104.61</v>
      </c>
      <c r="L1868" t="s">
        <v>2917</v>
      </c>
      <c r="M1868">
        <v>104.61</v>
      </c>
      <c r="N1868" t="s">
        <v>2917</v>
      </c>
      <c r="O1868" t="s">
        <v>2208</v>
      </c>
      <c r="P1868" t="s">
        <v>2208</v>
      </c>
      <c r="Q1868" t="s">
        <v>2208</v>
      </c>
      <c r="R1868" t="s">
        <v>2208</v>
      </c>
    </row>
    <row r="1869" spans="1:18">
      <c r="A1869" t="s">
        <v>7030</v>
      </c>
      <c r="B1869" t="s">
        <v>16360</v>
      </c>
      <c r="C1869">
        <v>45810</v>
      </c>
      <c r="D1869" t="s">
        <v>7263</v>
      </c>
      <c r="E1869" t="s">
        <v>16361</v>
      </c>
      <c r="F1869">
        <v>45808</v>
      </c>
      <c r="G1869" t="s">
        <v>2208</v>
      </c>
      <c r="H1869" t="s">
        <v>7834</v>
      </c>
      <c r="I1869" t="s">
        <v>18316</v>
      </c>
      <c r="J1869">
        <v>1</v>
      </c>
      <c r="K1869">
        <v>104.61</v>
      </c>
      <c r="L1869" t="s">
        <v>2917</v>
      </c>
      <c r="M1869">
        <v>104.61</v>
      </c>
      <c r="N1869" t="s">
        <v>2917</v>
      </c>
      <c r="O1869" t="s">
        <v>2208</v>
      </c>
      <c r="P1869" t="s">
        <v>2208</v>
      </c>
      <c r="Q1869" t="s">
        <v>2208</v>
      </c>
      <c r="R1869" t="s">
        <v>2208</v>
      </c>
    </row>
    <row r="1870" spans="1:18">
      <c r="A1870" t="s">
        <v>7030</v>
      </c>
      <c r="B1870" t="s">
        <v>16360</v>
      </c>
      <c r="C1870">
        <v>45810</v>
      </c>
      <c r="D1870" t="s">
        <v>7263</v>
      </c>
      <c r="E1870" t="s">
        <v>16361</v>
      </c>
      <c r="F1870">
        <v>45808</v>
      </c>
      <c r="G1870" t="s">
        <v>2208</v>
      </c>
      <c r="H1870" t="s">
        <v>7834</v>
      </c>
      <c r="I1870" t="s">
        <v>18317</v>
      </c>
      <c r="J1870">
        <v>1</v>
      </c>
      <c r="K1870">
        <v>104.61</v>
      </c>
      <c r="L1870" t="s">
        <v>2917</v>
      </c>
      <c r="M1870">
        <v>104.61</v>
      </c>
      <c r="N1870" t="s">
        <v>2917</v>
      </c>
      <c r="O1870" t="s">
        <v>2208</v>
      </c>
      <c r="P1870" t="s">
        <v>2208</v>
      </c>
      <c r="Q1870" t="s">
        <v>2208</v>
      </c>
      <c r="R1870" t="s">
        <v>2208</v>
      </c>
    </row>
    <row r="1871" spans="1:18">
      <c r="A1871" t="s">
        <v>7030</v>
      </c>
      <c r="B1871" t="s">
        <v>16360</v>
      </c>
      <c r="C1871">
        <v>45810</v>
      </c>
      <c r="D1871" t="s">
        <v>7263</v>
      </c>
      <c r="E1871" t="s">
        <v>16361</v>
      </c>
      <c r="F1871">
        <v>45808</v>
      </c>
      <c r="G1871" t="s">
        <v>2208</v>
      </c>
      <c r="H1871" t="s">
        <v>7834</v>
      </c>
      <c r="I1871" t="s">
        <v>18318</v>
      </c>
      <c r="J1871">
        <v>1</v>
      </c>
      <c r="K1871">
        <v>104.61</v>
      </c>
      <c r="L1871" t="s">
        <v>2917</v>
      </c>
      <c r="M1871">
        <v>104.61</v>
      </c>
      <c r="N1871" t="s">
        <v>2917</v>
      </c>
      <c r="O1871" t="s">
        <v>2208</v>
      </c>
      <c r="P1871" t="s">
        <v>2208</v>
      </c>
      <c r="Q1871" t="s">
        <v>2208</v>
      </c>
      <c r="R1871" t="s">
        <v>2208</v>
      </c>
    </row>
    <row r="1872" spans="1:18">
      <c r="A1872" t="s">
        <v>7030</v>
      </c>
      <c r="B1872" t="s">
        <v>16360</v>
      </c>
      <c r="C1872">
        <v>45810</v>
      </c>
      <c r="D1872" t="s">
        <v>7263</v>
      </c>
      <c r="E1872" t="s">
        <v>16361</v>
      </c>
      <c r="F1872">
        <v>45808</v>
      </c>
      <c r="G1872" t="s">
        <v>2208</v>
      </c>
      <c r="H1872" t="s">
        <v>7834</v>
      </c>
      <c r="I1872" t="s">
        <v>18319</v>
      </c>
      <c r="J1872">
        <v>1</v>
      </c>
      <c r="K1872">
        <v>104.61</v>
      </c>
      <c r="L1872" t="s">
        <v>2917</v>
      </c>
      <c r="M1872">
        <v>104.61</v>
      </c>
      <c r="N1872" t="s">
        <v>2917</v>
      </c>
      <c r="O1872" t="s">
        <v>2208</v>
      </c>
      <c r="P1872" t="s">
        <v>2208</v>
      </c>
      <c r="Q1872" t="s">
        <v>2208</v>
      </c>
      <c r="R1872" t="s">
        <v>2208</v>
      </c>
    </row>
    <row r="1873" spans="1:18">
      <c r="A1873" t="s">
        <v>7030</v>
      </c>
      <c r="B1873" t="s">
        <v>16360</v>
      </c>
      <c r="C1873">
        <v>45810</v>
      </c>
      <c r="D1873" t="s">
        <v>7263</v>
      </c>
      <c r="E1873" t="s">
        <v>16361</v>
      </c>
      <c r="F1873">
        <v>45808</v>
      </c>
      <c r="G1873" t="s">
        <v>2208</v>
      </c>
      <c r="H1873" t="s">
        <v>7834</v>
      </c>
      <c r="I1873" t="s">
        <v>18320</v>
      </c>
      <c r="J1873">
        <v>1</v>
      </c>
      <c r="K1873">
        <v>104.61</v>
      </c>
      <c r="L1873" t="s">
        <v>2917</v>
      </c>
      <c r="M1873">
        <v>104.61</v>
      </c>
      <c r="N1873" t="s">
        <v>2917</v>
      </c>
      <c r="O1873" t="s">
        <v>2208</v>
      </c>
      <c r="P1873" t="s">
        <v>2208</v>
      </c>
      <c r="Q1873" t="s">
        <v>2208</v>
      </c>
      <c r="R1873" t="s">
        <v>2208</v>
      </c>
    </row>
    <row r="1874" spans="1:18">
      <c r="A1874" t="s">
        <v>7030</v>
      </c>
      <c r="B1874" t="s">
        <v>16360</v>
      </c>
      <c r="C1874">
        <v>45810</v>
      </c>
      <c r="D1874" t="s">
        <v>7263</v>
      </c>
      <c r="E1874" t="s">
        <v>16361</v>
      </c>
      <c r="F1874">
        <v>45808</v>
      </c>
      <c r="G1874" t="s">
        <v>2208</v>
      </c>
      <c r="H1874" t="s">
        <v>7834</v>
      </c>
      <c r="I1874" t="s">
        <v>18321</v>
      </c>
      <c r="J1874">
        <v>1</v>
      </c>
      <c r="K1874">
        <v>104.61</v>
      </c>
      <c r="L1874" t="s">
        <v>2917</v>
      </c>
      <c r="M1874">
        <v>104.61</v>
      </c>
      <c r="N1874" t="s">
        <v>2917</v>
      </c>
      <c r="O1874" t="s">
        <v>2208</v>
      </c>
      <c r="P1874" t="s">
        <v>2208</v>
      </c>
      <c r="Q1874" t="s">
        <v>2208</v>
      </c>
      <c r="R1874" t="s">
        <v>2208</v>
      </c>
    </row>
    <row r="1875" spans="1:18">
      <c r="A1875" t="s">
        <v>7030</v>
      </c>
      <c r="B1875" t="s">
        <v>16360</v>
      </c>
      <c r="C1875">
        <v>45810</v>
      </c>
      <c r="D1875" t="s">
        <v>7263</v>
      </c>
      <c r="E1875" t="s">
        <v>16361</v>
      </c>
      <c r="F1875">
        <v>45808</v>
      </c>
      <c r="G1875" t="s">
        <v>2208</v>
      </c>
      <c r="H1875" t="s">
        <v>7834</v>
      </c>
      <c r="I1875" t="s">
        <v>18322</v>
      </c>
      <c r="J1875">
        <v>1</v>
      </c>
      <c r="K1875">
        <v>104.61</v>
      </c>
      <c r="L1875" t="s">
        <v>2917</v>
      </c>
      <c r="M1875">
        <v>104.61</v>
      </c>
      <c r="N1875" t="s">
        <v>2917</v>
      </c>
      <c r="O1875" t="s">
        <v>2208</v>
      </c>
      <c r="P1875" t="s">
        <v>2208</v>
      </c>
      <c r="Q1875" t="s">
        <v>2208</v>
      </c>
      <c r="R1875" t="s">
        <v>2208</v>
      </c>
    </row>
    <row r="1876" spans="1:18">
      <c r="A1876" t="s">
        <v>7030</v>
      </c>
      <c r="B1876" t="s">
        <v>16360</v>
      </c>
      <c r="C1876">
        <v>45810</v>
      </c>
      <c r="D1876" t="s">
        <v>7263</v>
      </c>
      <c r="E1876" t="s">
        <v>16361</v>
      </c>
      <c r="F1876">
        <v>45808</v>
      </c>
      <c r="G1876" t="s">
        <v>2208</v>
      </c>
      <c r="H1876" t="s">
        <v>7834</v>
      </c>
      <c r="I1876" t="s">
        <v>18323</v>
      </c>
      <c r="J1876">
        <v>1</v>
      </c>
      <c r="K1876">
        <v>104.61</v>
      </c>
      <c r="L1876" t="s">
        <v>2917</v>
      </c>
      <c r="M1876">
        <v>104.61</v>
      </c>
      <c r="N1876" t="s">
        <v>2917</v>
      </c>
      <c r="O1876" t="s">
        <v>2208</v>
      </c>
      <c r="P1876" t="s">
        <v>2208</v>
      </c>
      <c r="Q1876" t="s">
        <v>2208</v>
      </c>
      <c r="R1876" t="s">
        <v>2208</v>
      </c>
    </row>
    <row r="1877" spans="1:18">
      <c r="A1877" t="s">
        <v>7030</v>
      </c>
      <c r="B1877" t="s">
        <v>16360</v>
      </c>
      <c r="C1877">
        <v>45810</v>
      </c>
      <c r="D1877" t="s">
        <v>7263</v>
      </c>
      <c r="E1877" t="s">
        <v>16361</v>
      </c>
      <c r="F1877">
        <v>45808</v>
      </c>
      <c r="G1877" t="s">
        <v>2208</v>
      </c>
      <c r="H1877" t="s">
        <v>7834</v>
      </c>
      <c r="I1877" t="s">
        <v>18324</v>
      </c>
      <c r="J1877">
        <v>1</v>
      </c>
      <c r="K1877">
        <v>104.61</v>
      </c>
      <c r="L1877" t="s">
        <v>2917</v>
      </c>
      <c r="M1877">
        <v>104.61</v>
      </c>
      <c r="N1877" t="s">
        <v>2917</v>
      </c>
      <c r="O1877" t="s">
        <v>2208</v>
      </c>
      <c r="P1877" t="s">
        <v>2208</v>
      </c>
      <c r="Q1877" t="s">
        <v>2208</v>
      </c>
      <c r="R1877" t="s">
        <v>2208</v>
      </c>
    </row>
    <row r="1878" spans="1:18">
      <c r="A1878" t="s">
        <v>7030</v>
      </c>
      <c r="B1878" t="s">
        <v>16360</v>
      </c>
      <c r="C1878">
        <v>45810</v>
      </c>
      <c r="D1878" t="s">
        <v>7263</v>
      </c>
      <c r="E1878" t="s">
        <v>16361</v>
      </c>
      <c r="F1878">
        <v>45808</v>
      </c>
      <c r="G1878" t="s">
        <v>2208</v>
      </c>
      <c r="H1878" t="s">
        <v>7834</v>
      </c>
      <c r="I1878" t="s">
        <v>18325</v>
      </c>
      <c r="J1878">
        <v>1</v>
      </c>
      <c r="K1878">
        <v>104.61</v>
      </c>
      <c r="L1878" t="s">
        <v>2917</v>
      </c>
      <c r="M1878">
        <v>104.61</v>
      </c>
      <c r="N1878" t="s">
        <v>2917</v>
      </c>
      <c r="O1878" t="s">
        <v>2208</v>
      </c>
      <c r="P1878" t="s">
        <v>2208</v>
      </c>
      <c r="Q1878" t="s">
        <v>2208</v>
      </c>
      <c r="R1878" t="s">
        <v>2208</v>
      </c>
    </row>
    <row r="1879" spans="1:18">
      <c r="A1879" t="s">
        <v>7030</v>
      </c>
      <c r="B1879" t="s">
        <v>16360</v>
      </c>
      <c r="C1879">
        <v>45810</v>
      </c>
      <c r="D1879" t="s">
        <v>7263</v>
      </c>
      <c r="E1879" t="s">
        <v>16361</v>
      </c>
      <c r="F1879">
        <v>45808</v>
      </c>
      <c r="G1879" t="s">
        <v>2208</v>
      </c>
      <c r="H1879" t="s">
        <v>7834</v>
      </c>
      <c r="I1879" t="s">
        <v>18326</v>
      </c>
      <c r="J1879">
        <v>2</v>
      </c>
      <c r="K1879">
        <v>209.22</v>
      </c>
      <c r="L1879" t="s">
        <v>2917</v>
      </c>
      <c r="M1879">
        <v>209.22</v>
      </c>
      <c r="N1879" t="s">
        <v>2917</v>
      </c>
      <c r="O1879" t="s">
        <v>2208</v>
      </c>
      <c r="P1879" t="s">
        <v>2208</v>
      </c>
      <c r="Q1879" t="s">
        <v>2208</v>
      </c>
      <c r="R1879" t="s">
        <v>2208</v>
      </c>
    </row>
    <row r="1880" spans="1:18">
      <c r="A1880" t="s">
        <v>7030</v>
      </c>
      <c r="B1880" t="s">
        <v>16360</v>
      </c>
      <c r="C1880">
        <v>45810</v>
      </c>
      <c r="D1880" t="s">
        <v>7263</v>
      </c>
      <c r="E1880" t="s">
        <v>16361</v>
      </c>
      <c r="F1880">
        <v>45808</v>
      </c>
      <c r="G1880" t="s">
        <v>2208</v>
      </c>
      <c r="H1880" t="s">
        <v>7834</v>
      </c>
      <c r="I1880" t="s">
        <v>18327</v>
      </c>
      <c r="J1880">
        <v>3</v>
      </c>
      <c r="K1880">
        <v>313.83</v>
      </c>
      <c r="L1880" t="s">
        <v>2917</v>
      </c>
      <c r="M1880">
        <v>313.83</v>
      </c>
      <c r="N1880" t="s">
        <v>2917</v>
      </c>
      <c r="O1880" t="s">
        <v>2208</v>
      </c>
      <c r="P1880" t="s">
        <v>2208</v>
      </c>
      <c r="Q1880" t="s">
        <v>2208</v>
      </c>
      <c r="R1880" t="s">
        <v>2208</v>
      </c>
    </row>
    <row r="1881" spans="1:18">
      <c r="A1881" t="s">
        <v>7030</v>
      </c>
      <c r="B1881" t="s">
        <v>16360</v>
      </c>
      <c r="C1881">
        <v>45810</v>
      </c>
      <c r="D1881" t="s">
        <v>7263</v>
      </c>
      <c r="E1881" t="s">
        <v>16361</v>
      </c>
      <c r="F1881">
        <v>45808</v>
      </c>
      <c r="G1881" t="s">
        <v>2208</v>
      </c>
      <c r="H1881" t="s">
        <v>7834</v>
      </c>
      <c r="I1881" t="s">
        <v>18328</v>
      </c>
      <c r="J1881">
        <v>1</v>
      </c>
      <c r="K1881">
        <v>104.61</v>
      </c>
      <c r="L1881" t="s">
        <v>2917</v>
      </c>
      <c r="M1881">
        <v>104.61</v>
      </c>
      <c r="N1881" t="s">
        <v>2917</v>
      </c>
      <c r="O1881" t="s">
        <v>2208</v>
      </c>
      <c r="P1881" t="s">
        <v>2208</v>
      </c>
      <c r="Q1881" t="s">
        <v>2208</v>
      </c>
      <c r="R1881" t="s">
        <v>2208</v>
      </c>
    </row>
    <row r="1882" spans="1:18">
      <c r="A1882" t="s">
        <v>7030</v>
      </c>
      <c r="B1882" t="s">
        <v>16360</v>
      </c>
      <c r="C1882">
        <v>45810</v>
      </c>
      <c r="D1882" t="s">
        <v>7263</v>
      </c>
      <c r="E1882" t="s">
        <v>16361</v>
      </c>
      <c r="F1882">
        <v>45808</v>
      </c>
      <c r="G1882" t="s">
        <v>2208</v>
      </c>
      <c r="H1882" t="s">
        <v>7834</v>
      </c>
      <c r="I1882" t="s">
        <v>18329</v>
      </c>
      <c r="J1882">
        <v>1</v>
      </c>
      <c r="K1882">
        <v>104.61</v>
      </c>
      <c r="L1882" t="s">
        <v>2917</v>
      </c>
      <c r="M1882">
        <v>104.61</v>
      </c>
      <c r="N1882" t="s">
        <v>2917</v>
      </c>
      <c r="O1882" t="s">
        <v>2208</v>
      </c>
      <c r="P1882" t="s">
        <v>2208</v>
      </c>
      <c r="Q1882" t="s">
        <v>2208</v>
      </c>
      <c r="R1882" t="s">
        <v>2208</v>
      </c>
    </row>
    <row r="1883" spans="1:18">
      <c r="A1883" t="s">
        <v>7030</v>
      </c>
      <c r="B1883" t="s">
        <v>16360</v>
      </c>
      <c r="C1883">
        <v>45810</v>
      </c>
      <c r="D1883" t="s">
        <v>7263</v>
      </c>
      <c r="E1883" t="s">
        <v>16361</v>
      </c>
      <c r="F1883">
        <v>45808</v>
      </c>
      <c r="G1883" t="s">
        <v>2208</v>
      </c>
      <c r="H1883" t="s">
        <v>7834</v>
      </c>
      <c r="I1883" t="s">
        <v>18330</v>
      </c>
      <c r="J1883">
        <v>1</v>
      </c>
      <c r="K1883">
        <v>104.61</v>
      </c>
      <c r="L1883" t="s">
        <v>2917</v>
      </c>
      <c r="M1883">
        <v>104.61</v>
      </c>
      <c r="N1883" t="s">
        <v>2917</v>
      </c>
      <c r="O1883" t="s">
        <v>2208</v>
      </c>
      <c r="P1883" t="s">
        <v>2208</v>
      </c>
      <c r="Q1883" t="s">
        <v>2208</v>
      </c>
      <c r="R1883" t="s">
        <v>2208</v>
      </c>
    </row>
    <row r="1884" spans="1:18">
      <c r="A1884" t="s">
        <v>7030</v>
      </c>
      <c r="B1884" t="s">
        <v>16360</v>
      </c>
      <c r="C1884">
        <v>45810</v>
      </c>
      <c r="D1884" t="s">
        <v>7263</v>
      </c>
      <c r="E1884" t="s">
        <v>16361</v>
      </c>
      <c r="F1884">
        <v>45808</v>
      </c>
      <c r="G1884" t="s">
        <v>2208</v>
      </c>
      <c r="H1884" t="s">
        <v>7834</v>
      </c>
      <c r="I1884" t="s">
        <v>18331</v>
      </c>
      <c r="J1884">
        <v>1</v>
      </c>
      <c r="K1884">
        <v>104.61</v>
      </c>
      <c r="L1884" t="s">
        <v>2917</v>
      </c>
      <c r="M1884">
        <v>104.61</v>
      </c>
      <c r="N1884" t="s">
        <v>2917</v>
      </c>
      <c r="O1884" t="s">
        <v>2208</v>
      </c>
      <c r="P1884" t="s">
        <v>2208</v>
      </c>
      <c r="Q1884" t="s">
        <v>2208</v>
      </c>
      <c r="R1884" t="s">
        <v>2208</v>
      </c>
    </row>
    <row r="1885" spans="1:18">
      <c r="A1885" t="s">
        <v>7030</v>
      </c>
      <c r="B1885" t="s">
        <v>16360</v>
      </c>
      <c r="C1885">
        <v>45810</v>
      </c>
      <c r="D1885" t="s">
        <v>7263</v>
      </c>
      <c r="E1885" t="s">
        <v>16361</v>
      </c>
      <c r="F1885">
        <v>45808</v>
      </c>
      <c r="G1885" t="s">
        <v>2208</v>
      </c>
      <c r="H1885" t="s">
        <v>7834</v>
      </c>
      <c r="I1885" t="s">
        <v>18332</v>
      </c>
      <c r="J1885">
        <v>1</v>
      </c>
      <c r="K1885">
        <v>104.61</v>
      </c>
      <c r="L1885" t="s">
        <v>2917</v>
      </c>
      <c r="M1885">
        <v>104.61</v>
      </c>
      <c r="N1885" t="s">
        <v>2917</v>
      </c>
      <c r="O1885" t="s">
        <v>2208</v>
      </c>
      <c r="P1885" t="s">
        <v>2208</v>
      </c>
      <c r="Q1885" t="s">
        <v>2208</v>
      </c>
      <c r="R1885" t="s">
        <v>2208</v>
      </c>
    </row>
    <row r="1886" spans="1:18">
      <c r="A1886" t="s">
        <v>7030</v>
      </c>
      <c r="B1886" t="s">
        <v>16360</v>
      </c>
      <c r="C1886">
        <v>45810</v>
      </c>
      <c r="D1886" t="s">
        <v>7263</v>
      </c>
      <c r="E1886" t="s">
        <v>16361</v>
      </c>
      <c r="F1886">
        <v>45808</v>
      </c>
      <c r="G1886" t="s">
        <v>2208</v>
      </c>
      <c r="H1886" t="s">
        <v>7834</v>
      </c>
      <c r="I1886" t="s">
        <v>18333</v>
      </c>
      <c r="J1886">
        <v>1</v>
      </c>
      <c r="K1886">
        <v>104.61</v>
      </c>
      <c r="L1886" t="s">
        <v>2917</v>
      </c>
      <c r="M1886">
        <v>104.61</v>
      </c>
      <c r="N1886" t="s">
        <v>2917</v>
      </c>
      <c r="O1886" t="s">
        <v>2208</v>
      </c>
      <c r="P1886" t="s">
        <v>2208</v>
      </c>
      <c r="Q1886" t="s">
        <v>2208</v>
      </c>
      <c r="R1886" t="s">
        <v>2208</v>
      </c>
    </row>
    <row r="1887" spans="1:18">
      <c r="A1887" t="s">
        <v>7030</v>
      </c>
      <c r="B1887" t="s">
        <v>16360</v>
      </c>
      <c r="C1887">
        <v>45810</v>
      </c>
      <c r="D1887" t="s">
        <v>7263</v>
      </c>
      <c r="E1887" t="s">
        <v>16361</v>
      </c>
      <c r="F1887">
        <v>45808</v>
      </c>
      <c r="G1887" t="s">
        <v>2208</v>
      </c>
      <c r="H1887" t="s">
        <v>7834</v>
      </c>
      <c r="I1887" t="s">
        <v>18334</v>
      </c>
      <c r="J1887">
        <v>1</v>
      </c>
      <c r="K1887">
        <v>104.61</v>
      </c>
      <c r="L1887" t="s">
        <v>2917</v>
      </c>
      <c r="M1887">
        <v>104.61</v>
      </c>
      <c r="N1887" t="s">
        <v>2917</v>
      </c>
      <c r="O1887" t="s">
        <v>2208</v>
      </c>
      <c r="P1887" t="s">
        <v>2208</v>
      </c>
      <c r="Q1887" t="s">
        <v>2208</v>
      </c>
      <c r="R1887" t="s">
        <v>2208</v>
      </c>
    </row>
    <row r="1888" spans="1:18">
      <c r="A1888" t="s">
        <v>7030</v>
      </c>
      <c r="B1888" t="s">
        <v>16360</v>
      </c>
      <c r="C1888">
        <v>45810</v>
      </c>
      <c r="D1888" t="s">
        <v>7263</v>
      </c>
      <c r="E1888" t="s">
        <v>16361</v>
      </c>
      <c r="F1888">
        <v>45808</v>
      </c>
      <c r="G1888" t="s">
        <v>2208</v>
      </c>
      <c r="H1888" t="s">
        <v>7834</v>
      </c>
      <c r="I1888" t="s">
        <v>18335</v>
      </c>
      <c r="J1888">
        <v>1</v>
      </c>
      <c r="K1888">
        <v>104.61</v>
      </c>
      <c r="L1888" t="s">
        <v>2917</v>
      </c>
      <c r="M1888">
        <v>104.61</v>
      </c>
      <c r="N1888" t="s">
        <v>2917</v>
      </c>
      <c r="O1888" t="s">
        <v>2208</v>
      </c>
      <c r="P1888" t="s">
        <v>2208</v>
      </c>
      <c r="Q1888" t="s">
        <v>2208</v>
      </c>
      <c r="R1888" t="s">
        <v>2208</v>
      </c>
    </row>
    <row r="1889" spans="1:18">
      <c r="A1889" t="s">
        <v>7030</v>
      </c>
      <c r="B1889" t="s">
        <v>16360</v>
      </c>
      <c r="C1889">
        <v>45810</v>
      </c>
      <c r="D1889" t="s">
        <v>7263</v>
      </c>
      <c r="E1889" t="s">
        <v>16361</v>
      </c>
      <c r="F1889">
        <v>45808</v>
      </c>
      <c r="G1889" t="s">
        <v>2208</v>
      </c>
      <c r="H1889" t="s">
        <v>7834</v>
      </c>
      <c r="I1889" t="s">
        <v>18336</v>
      </c>
      <c r="J1889">
        <v>1</v>
      </c>
      <c r="K1889">
        <v>104.61</v>
      </c>
      <c r="L1889" t="s">
        <v>2917</v>
      </c>
      <c r="M1889">
        <v>104.61</v>
      </c>
      <c r="N1889" t="s">
        <v>2917</v>
      </c>
      <c r="O1889" t="s">
        <v>2208</v>
      </c>
      <c r="P1889" t="s">
        <v>2208</v>
      </c>
      <c r="Q1889" t="s">
        <v>2208</v>
      </c>
      <c r="R1889" t="s">
        <v>2208</v>
      </c>
    </row>
    <row r="1890" spans="1:18">
      <c r="A1890" t="s">
        <v>7030</v>
      </c>
      <c r="B1890" t="s">
        <v>16360</v>
      </c>
      <c r="C1890">
        <v>45810</v>
      </c>
      <c r="D1890" t="s">
        <v>7263</v>
      </c>
      <c r="E1890" t="s">
        <v>16361</v>
      </c>
      <c r="F1890">
        <v>45808</v>
      </c>
      <c r="G1890" t="s">
        <v>2208</v>
      </c>
      <c r="H1890" t="s">
        <v>7834</v>
      </c>
      <c r="I1890" t="s">
        <v>18337</v>
      </c>
      <c r="J1890">
        <v>1</v>
      </c>
      <c r="K1890">
        <v>104.61</v>
      </c>
      <c r="L1890" t="s">
        <v>2917</v>
      </c>
      <c r="M1890">
        <v>104.61</v>
      </c>
      <c r="N1890" t="s">
        <v>2917</v>
      </c>
      <c r="O1890" t="s">
        <v>2208</v>
      </c>
      <c r="P1890" t="s">
        <v>2208</v>
      </c>
      <c r="Q1890" t="s">
        <v>2208</v>
      </c>
      <c r="R1890" t="s">
        <v>2208</v>
      </c>
    </row>
    <row r="1891" spans="1:18">
      <c r="A1891" t="s">
        <v>7030</v>
      </c>
      <c r="B1891" t="s">
        <v>16360</v>
      </c>
      <c r="C1891">
        <v>45810</v>
      </c>
      <c r="D1891" t="s">
        <v>7263</v>
      </c>
      <c r="E1891" t="s">
        <v>16361</v>
      </c>
      <c r="F1891">
        <v>45808</v>
      </c>
      <c r="G1891" t="s">
        <v>2208</v>
      </c>
      <c r="H1891" t="s">
        <v>7834</v>
      </c>
      <c r="I1891" t="s">
        <v>18338</v>
      </c>
      <c r="J1891">
        <v>1</v>
      </c>
      <c r="K1891">
        <v>104.61</v>
      </c>
      <c r="L1891" t="s">
        <v>2917</v>
      </c>
      <c r="M1891">
        <v>104.61</v>
      </c>
      <c r="N1891" t="s">
        <v>2917</v>
      </c>
      <c r="O1891" t="s">
        <v>2208</v>
      </c>
      <c r="P1891" t="s">
        <v>2208</v>
      </c>
      <c r="Q1891" t="s">
        <v>2208</v>
      </c>
      <c r="R1891" t="s">
        <v>2208</v>
      </c>
    </row>
    <row r="1892" spans="1:18">
      <c r="A1892" t="s">
        <v>7030</v>
      </c>
      <c r="B1892" t="s">
        <v>16360</v>
      </c>
      <c r="C1892">
        <v>45810</v>
      </c>
      <c r="D1892" t="s">
        <v>7263</v>
      </c>
      <c r="E1892" t="s">
        <v>16361</v>
      </c>
      <c r="F1892">
        <v>45808</v>
      </c>
      <c r="G1892" t="s">
        <v>2208</v>
      </c>
      <c r="H1892" t="s">
        <v>7834</v>
      </c>
      <c r="I1892" t="s">
        <v>18339</v>
      </c>
      <c r="J1892">
        <v>1</v>
      </c>
      <c r="K1892">
        <v>104.61</v>
      </c>
      <c r="L1892" t="s">
        <v>2917</v>
      </c>
      <c r="M1892">
        <v>104.61</v>
      </c>
      <c r="N1892" t="s">
        <v>2917</v>
      </c>
      <c r="O1892" t="s">
        <v>2208</v>
      </c>
      <c r="P1892" t="s">
        <v>2208</v>
      </c>
      <c r="Q1892" t="s">
        <v>2208</v>
      </c>
      <c r="R1892" t="s">
        <v>2208</v>
      </c>
    </row>
    <row r="1893" spans="1:18">
      <c r="A1893" t="s">
        <v>7030</v>
      </c>
      <c r="B1893" t="s">
        <v>16360</v>
      </c>
      <c r="C1893">
        <v>45810</v>
      </c>
      <c r="D1893" t="s">
        <v>7263</v>
      </c>
      <c r="E1893" t="s">
        <v>16361</v>
      </c>
      <c r="F1893">
        <v>45808</v>
      </c>
      <c r="G1893" t="s">
        <v>2208</v>
      </c>
      <c r="H1893" t="s">
        <v>7834</v>
      </c>
      <c r="I1893" t="s">
        <v>18340</v>
      </c>
      <c r="J1893">
        <v>1</v>
      </c>
      <c r="K1893">
        <v>104.61</v>
      </c>
      <c r="L1893" t="s">
        <v>2917</v>
      </c>
      <c r="M1893">
        <v>104.61</v>
      </c>
      <c r="N1893" t="s">
        <v>2917</v>
      </c>
      <c r="O1893" t="s">
        <v>2208</v>
      </c>
      <c r="P1893" t="s">
        <v>2208</v>
      </c>
      <c r="Q1893" t="s">
        <v>2208</v>
      </c>
      <c r="R1893" t="s">
        <v>2208</v>
      </c>
    </row>
    <row r="1894" spans="1:18">
      <c r="A1894" t="s">
        <v>7030</v>
      </c>
      <c r="B1894" t="s">
        <v>16360</v>
      </c>
      <c r="C1894">
        <v>45810</v>
      </c>
      <c r="D1894" t="s">
        <v>7263</v>
      </c>
      <c r="E1894" t="s">
        <v>16361</v>
      </c>
      <c r="F1894">
        <v>45808</v>
      </c>
      <c r="G1894" t="s">
        <v>2208</v>
      </c>
      <c r="H1894" t="s">
        <v>7834</v>
      </c>
      <c r="I1894" t="s">
        <v>18341</v>
      </c>
      <c r="J1894">
        <v>1</v>
      </c>
      <c r="K1894">
        <v>104.61</v>
      </c>
      <c r="L1894" t="s">
        <v>2917</v>
      </c>
      <c r="M1894">
        <v>104.61</v>
      </c>
      <c r="N1894" t="s">
        <v>2917</v>
      </c>
      <c r="O1894" t="s">
        <v>2208</v>
      </c>
      <c r="P1894" t="s">
        <v>2208</v>
      </c>
      <c r="Q1894" t="s">
        <v>2208</v>
      </c>
      <c r="R1894" t="s">
        <v>2208</v>
      </c>
    </row>
    <row r="1895" spans="1:18">
      <c r="A1895" t="s">
        <v>7030</v>
      </c>
      <c r="B1895" t="s">
        <v>16360</v>
      </c>
      <c r="C1895">
        <v>45810</v>
      </c>
      <c r="D1895" t="s">
        <v>7263</v>
      </c>
      <c r="E1895" t="s">
        <v>16361</v>
      </c>
      <c r="F1895">
        <v>45808</v>
      </c>
      <c r="G1895" t="s">
        <v>2208</v>
      </c>
      <c r="H1895" t="s">
        <v>7834</v>
      </c>
      <c r="I1895" t="s">
        <v>18342</v>
      </c>
      <c r="J1895">
        <v>1.75</v>
      </c>
      <c r="K1895">
        <v>183.07</v>
      </c>
      <c r="L1895" t="s">
        <v>2917</v>
      </c>
      <c r="M1895">
        <v>183.07</v>
      </c>
      <c r="N1895" t="s">
        <v>2917</v>
      </c>
      <c r="O1895" t="s">
        <v>2208</v>
      </c>
      <c r="P1895" t="s">
        <v>2208</v>
      </c>
      <c r="Q1895" t="s">
        <v>2208</v>
      </c>
      <c r="R1895" t="s">
        <v>2208</v>
      </c>
    </row>
    <row r="1896" spans="1:18">
      <c r="A1896" t="s">
        <v>7030</v>
      </c>
      <c r="B1896" t="s">
        <v>16360</v>
      </c>
      <c r="C1896">
        <v>45810</v>
      </c>
      <c r="D1896" t="s">
        <v>7263</v>
      </c>
      <c r="E1896" t="s">
        <v>16361</v>
      </c>
      <c r="F1896">
        <v>45808</v>
      </c>
      <c r="G1896" t="s">
        <v>2208</v>
      </c>
      <c r="H1896" t="s">
        <v>7834</v>
      </c>
      <c r="I1896" t="s">
        <v>18343</v>
      </c>
      <c r="J1896">
        <v>0.25</v>
      </c>
      <c r="K1896">
        <v>26.15</v>
      </c>
      <c r="L1896" t="s">
        <v>2917</v>
      </c>
      <c r="M1896">
        <v>26.15</v>
      </c>
      <c r="N1896" t="s">
        <v>2917</v>
      </c>
      <c r="O1896" t="s">
        <v>2208</v>
      </c>
      <c r="P1896" t="s">
        <v>2208</v>
      </c>
      <c r="Q1896" t="s">
        <v>2208</v>
      </c>
      <c r="R1896" t="s">
        <v>2208</v>
      </c>
    </row>
    <row r="1897" spans="1:18">
      <c r="A1897" t="s">
        <v>7030</v>
      </c>
      <c r="B1897" t="s">
        <v>16360</v>
      </c>
      <c r="C1897">
        <v>45810</v>
      </c>
      <c r="D1897" t="s">
        <v>7263</v>
      </c>
      <c r="E1897" t="s">
        <v>16361</v>
      </c>
      <c r="F1897">
        <v>45808</v>
      </c>
      <c r="G1897" t="s">
        <v>2208</v>
      </c>
      <c r="H1897" t="s">
        <v>7834</v>
      </c>
      <c r="I1897" t="s">
        <v>18344</v>
      </c>
      <c r="J1897">
        <v>0.25</v>
      </c>
      <c r="K1897">
        <v>26.15</v>
      </c>
      <c r="L1897" t="s">
        <v>2917</v>
      </c>
      <c r="M1897">
        <v>26.15</v>
      </c>
      <c r="N1897" t="s">
        <v>2917</v>
      </c>
      <c r="O1897" t="s">
        <v>2208</v>
      </c>
      <c r="P1897" t="s">
        <v>2208</v>
      </c>
      <c r="Q1897" t="s">
        <v>2208</v>
      </c>
      <c r="R1897" t="s">
        <v>2208</v>
      </c>
    </row>
    <row r="1898" spans="1:18">
      <c r="A1898" t="s">
        <v>7030</v>
      </c>
      <c r="B1898" t="s">
        <v>16360</v>
      </c>
      <c r="C1898">
        <v>45810</v>
      </c>
      <c r="D1898" t="s">
        <v>7263</v>
      </c>
      <c r="E1898" t="s">
        <v>16361</v>
      </c>
      <c r="F1898">
        <v>45808</v>
      </c>
      <c r="G1898" t="s">
        <v>2208</v>
      </c>
      <c r="H1898" t="s">
        <v>7834</v>
      </c>
      <c r="I1898" t="s">
        <v>18345</v>
      </c>
      <c r="J1898">
        <v>2</v>
      </c>
      <c r="K1898">
        <v>209.22</v>
      </c>
      <c r="L1898" t="s">
        <v>2917</v>
      </c>
      <c r="M1898">
        <v>209.22</v>
      </c>
      <c r="N1898" t="s">
        <v>2917</v>
      </c>
      <c r="O1898" t="s">
        <v>2208</v>
      </c>
      <c r="P1898" t="s">
        <v>2208</v>
      </c>
      <c r="Q1898" t="s">
        <v>2208</v>
      </c>
      <c r="R1898" t="s">
        <v>2208</v>
      </c>
    </row>
    <row r="1899" spans="1:18">
      <c r="A1899" t="s">
        <v>7030</v>
      </c>
      <c r="B1899" t="s">
        <v>16360</v>
      </c>
      <c r="C1899">
        <v>45810</v>
      </c>
      <c r="D1899" t="s">
        <v>7263</v>
      </c>
      <c r="E1899" t="s">
        <v>16361</v>
      </c>
      <c r="F1899">
        <v>45808</v>
      </c>
      <c r="G1899" t="s">
        <v>2208</v>
      </c>
      <c r="H1899" t="s">
        <v>7834</v>
      </c>
      <c r="I1899" t="s">
        <v>18346</v>
      </c>
      <c r="J1899">
        <v>1</v>
      </c>
      <c r="K1899">
        <v>104.61</v>
      </c>
      <c r="L1899" t="s">
        <v>2917</v>
      </c>
      <c r="M1899">
        <v>104.61</v>
      </c>
      <c r="N1899" t="s">
        <v>2917</v>
      </c>
      <c r="O1899" t="s">
        <v>2208</v>
      </c>
      <c r="P1899" t="s">
        <v>2208</v>
      </c>
      <c r="Q1899" t="s">
        <v>2208</v>
      </c>
      <c r="R1899" t="s">
        <v>2208</v>
      </c>
    </row>
    <row r="1900" spans="1:18">
      <c r="A1900" t="s">
        <v>7030</v>
      </c>
      <c r="B1900" t="s">
        <v>16360</v>
      </c>
      <c r="C1900">
        <v>45810</v>
      </c>
      <c r="D1900" t="s">
        <v>7263</v>
      </c>
      <c r="E1900" t="s">
        <v>16361</v>
      </c>
      <c r="F1900">
        <v>45808</v>
      </c>
      <c r="G1900" t="s">
        <v>2208</v>
      </c>
      <c r="H1900" t="s">
        <v>7834</v>
      </c>
      <c r="I1900" t="s">
        <v>18347</v>
      </c>
      <c r="J1900">
        <v>1</v>
      </c>
      <c r="K1900">
        <v>104.61</v>
      </c>
      <c r="L1900" t="s">
        <v>2917</v>
      </c>
      <c r="M1900">
        <v>104.61</v>
      </c>
      <c r="N1900" t="s">
        <v>2917</v>
      </c>
      <c r="O1900" t="s">
        <v>2208</v>
      </c>
      <c r="P1900" t="s">
        <v>2208</v>
      </c>
      <c r="Q1900" t="s">
        <v>2208</v>
      </c>
      <c r="R1900" t="s">
        <v>2208</v>
      </c>
    </row>
    <row r="1901" spans="1:18">
      <c r="A1901" t="s">
        <v>7030</v>
      </c>
      <c r="B1901" t="s">
        <v>16360</v>
      </c>
      <c r="C1901">
        <v>45810</v>
      </c>
      <c r="D1901" t="s">
        <v>7263</v>
      </c>
      <c r="E1901" t="s">
        <v>16361</v>
      </c>
      <c r="F1901">
        <v>45808</v>
      </c>
      <c r="G1901" t="s">
        <v>2208</v>
      </c>
      <c r="H1901" t="s">
        <v>7834</v>
      </c>
      <c r="I1901" t="s">
        <v>18348</v>
      </c>
      <c r="J1901">
        <v>1</v>
      </c>
      <c r="K1901">
        <v>104.61</v>
      </c>
      <c r="L1901" t="s">
        <v>2917</v>
      </c>
      <c r="M1901">
        <v>104.61</v>
      </c>
      <c r="N1901" t="s">
        <v>2917</v>
      </c>
      <c r="O1901" t="s">
        <v>2208</v>
      </c>
      <c r="P1901" t="s">
        <v>2208</v>
      </c>
      <c r="Q1901" t="s">
        <v>2208</v>
      </c>
      <c r="R1901" t="s">
        <v>2208</v>
      </c>
    </row>
    <row r="1902" spans="1:18">
      <c r="A1902" t="s">
        <v>7030</v>
      </c>
      <c r="B1902" t="s">
        <v>16360</v>
      </c>
      <c r="C1902">
        <v>45810</v>
      </c>
      <c r="D1902" t="s">
        <v>7263</v>
      </c>
      <c r="E1902" t="s">
        <v>16361</v>
      </c>
      <c r="F1902">
        <v>45808</v>
      </c>
      <c r="G1902" t="s">
        <v>2208</v>
      </c>
      <c r="H1902" t="s">
        <v>7834</v>
      </c>
      <c r="I1902" t="s">
        <v>18349</v>
      </c>
      <c r="J1902">
        <v>1</v>
      </c>
      <c r="K1902">
        <v>104.61</v>
      </c>
      <c r="L1902" t="s">
        <v>2917</v>
      </c>
      <c r="M1902">
        <v>104.61</v>
      </c>
      <c r="N1902" t="s">
        <v>2917</v>
      </c>
      <c r="O1902" t="s">
        <v>2208</v>
      </c>
      <c r="P1902" t="s">
        <v>2208</v>
      </c>
      <c r="Q1902" t="s">
        <v>2208</v>
      </c>
      <c r="R1902" t="s">
        <v>2208</v>
      </c>
    </row>
    <row r="1903" spans="1:18">
      <c r="A1903" t="s">
        <v>7030</v>
      </c>
      <c r="B1903" t="s">
        <v>16360</v>
      </c>
      <c r="C1903">
        <v>45810</v>
      </c>
      <c r="D1903" t="s">
        <v>7263</v>
      </c>
      <c r="E1903" t="s">
        <v>16361</v>
      </c>
      <c r="F1903">
        <v>45808</v>
      </c>
      <c r="G1903" t="s">
        <v>2208</v>
      </c>
      <c r="H1903" t="s">
        <v>7834</v>
      </c>
      <c r="I1903" t="s">
        <v>18350</v>
      </c>
      <c r="J1903">
        <v>1</v>
      </c>
      <c r="K1903">
        <v>104.61</v>
      </c>
      <c r="L1903" t="s">
        <v>2917</v>
      </c>
      <c r="M1903">
        <v>104.61</v>
      </c>
      <c r="N1903" t="s">
        <v>2917</v>
      </c>
      <c r="O1903" t="s">
        <v>2208</v>
      </c>
      <c r="P1903" t="s">
        <v>2208</v>
      </c>
      <c r="Q1903" t="s">
        <v>2208</v>
      </c>
      <c r="R1903" t="s">
        <v>2208</v>
      </c>
    </row>
    <row r="1904" spans="1:18">
      <c r="A1904" t="s">
        <v>7030</v>
      </c>
      <c r="B1904" t="s">
        <v>16360</v>
      </c>
      <c r="C1904">
        <v>45810</v>
      </c>
      <c r="D1904" t="s">
        <v>7263</v>
      </c>
      <c r="E1904" t="s">
        <v>16361</v>
      </c>
      <c r="F1904">
        <v>45808</v>
      </c>
      <c r="G1904" t="s">
        <v>2208</v>
      </c>
      <c r="H1904" t="s">
        <v>7834</v>
      </c>
      <c r="I1904" t="s">
        <v>18351</v>
      </c>
      <c r="J1904">
        <v>1</v>
      </c>
      <c r="K1904">
        <v>104.61</v>
      </c>
      <c r="L1904" t="s">
        <v>2917</v>
      </c>
      <c r="M1904">
        <v>104.61</v>
      </c>
      <c r="N1904" t="s">
        <v>2917</v>
      </c>
      <c r="O1904" t="s">
        <v>2208</v>
      </c>
      <c r="P1904" t="s">
        <v>2208</v>
      </c>
      <c r="Q1904" t="s">
        <v>2208</v>
      </c>
      <c r="R1904" t="s">
        <v>2208</v>
      </c>
    </row>
    <row r="1905" spans="1:18">
      <c r="A1905" t="s">
        <v>7030</v>
      </c>
      <c r="B1905" t="s">
        <v>16360</v>
      </c>
      <c r="C1905">
        <v>45810</v>
      </c>
      <c r="D1905" t="s">
        <v>7263</v>
      </c>
      <c r="E1905" t="s">
        <v>16361</v>
      </c>
      <c r="F1905">
        <v>45808</v>
      </c>
      <c r="G1905" t="s">
        <v>2208</v>
      </c>
      <c r="H1905" t="s">
        <v>7834</v>
      </c>
      <c r="I1905" t="s">
        <v>18352</v>
      </c>
      <c r="J1905">
        <v>1</v>
      </c>
      <c r="K1905">
        <v>104.61</v>
      </c>
      <c r="L1905" t="s">
        <v>2917</v>
      </c>
      <c r="M1905">
        <v>104.61</v>
      </c>
      <c r="N1905" t="s">
        <v>2917</v>
      </c>
      <c r="O1905" t="s">
        <v>2208</v>
      </c>
      <c r="P1905" t="s">
        <v>2208</v>
      </c>
      <c r="Q1905" t="s">
        <v>2208</v>
      </c>
      <c r="R1905" t="s">
        <v>2208</v>
      </c>
    </row>
    <row r="1906" spans="1:18">
      <c r="A1906" t="s">
        <v>7030</v>
      </c>
      <c r="B1906" t="s">
        <v>16360</v>
      </c>
      <c r="C1906">
        <v>45810</v>
      </c>
      <c r="D1906" t="s">
        <v>7263</v>
      </c>
      <c r="E1906" t="s">
        <v>16361</v>
      </c>
      <c r="F1906">
        <v>45808</v>
      </c>
      <c r="G1906" t="s">
        <v>2208</v>
      </c>
      <c r="H1906" t="s">
        <v>7834</v>
      </c>
      <c r="I1906" t="s">
        <v>18353</v>
      </c>
      <c r="J1906">
        <v>1</v>
      </c>
      <c r="K1906">
        <v>104.61</v>
      </c>
      <c r="L1906" t="s">
        <v>2917</v>
      </c>
      <c r="M1906">
        <v>104.61</v>
      </c>
      <c r="N1906" t="s">
        <v>2917</v>
      </c>
      <c r="O1906" t="s">
        <v>2208</v>
      </c>
      <c r="P1906" t="s">
        <v>2208</v>
      </c>
      <c r="Q1906" t="s">
        <v>2208</v>
      </c>
      <c r="R1906" t="s">
        <v>2208</v>
      </c>
    </row>
    <row r="1907" spans="1:18">
      <c r="A1907" t="s">
        <v>7030</v>
      </c>
      <c r="B1907" t="s">
        <v>16360</v>
      </c>
      <c r="C1907">
        <v>45810</v>
      </c>
      <c r="D1907" t="s">
        <v>7263</v>
      </c>
      <c r="E1907" t="s">
        <v>16361</v>
      </c>
      <c r="F1907">
        <v>45808</v>
      </c>
      <c r="G1907" t="s">
        <v>2208</v>
      </c>
      <c r="H1907" t="s">
        <v>7834</v>
      </c>
      <c r="I1907" t="s">
        <v>18354</v>
      </c>
      <c r="J1907">
        <v>1</v>
      </c>
      <c r="K1907">
        <v>104.61</v>
      </c>
      <c r="L1907" t="s">
        <v>2917</v>
      </c>
      <c r="M1907">
        <v>104.61</v>
      </c>
      <c r="N1907" t="s">
        <v>2917</v>
      </c>
      <c r="O1907" t="s">
        <v>2208</v>
      </c>
      <c r="P1907" t="s">
        <v>2208</v>
      </c>
      <c r="Q1907" t="s">
        <v>2208</v>
      </c>
      <c r="R1907" t="s">
        <v>2208</v>
      </c>
    </row>
    <row r="1908" spans="1:18">
      <c r="A1908" t="s">
        <v>7030</v>
      </c>
      <c r="B1908" t="s">
        <v>16360</v>
      </c>
      <c r="C1908">
        <v>45810</v>
      </c>
      <c r="D1908" t="s">
        <v>7263</v>
      </c>
      <c r="E1908" t="s">
        <v>16361</v>
      </c>
      <c r="F1908">
        <v>45808</v>
      </c>
      <c r="G1908" t="s">
        <v>2208</v>
      </c>
      <c r="H1908" t="s">
        <v>7834</v>
      </c>
      <c r="I1908" t="s">
        <v>18355</v>
      </c>
      <c r="J1908">
        <v>1</v>
      </c>
      <c r="K1908">
        <v>104.61</v>
      </c>
      <c r="L1908" t="s">
        <v>2917</v>
      </c>
      <c r="M1908">
        <v>104.61</v>
      </c>
      <c r="N1908" t="s">
        <v>2917</v>
      </c>
      <c r="O1908" t="s">
        <v>2208</v>
      </c>
      <c r="P1908" t="s">
        <v>2208</v>
      </c>
      <c r="Q1908" t="s">
        <v>2208</v>
      </c>
      <c r="R1908" t="s">
        <v>2208</v>
      </c>
    </row>
    <row r="1909" spans="1:18">
      <c r="A1909" t="s">
        <v>7030</v>
      </c>
      <c r="B1909" t="s">
        <v>16360</v>
      </c>
      <c r="C1909">
        <v>45810</v>
      </c>
      <c r="D1909" t="s">
        <v>7263</v>
      </c>
      <c r="E1909" t="s">
        <v>16361</v>
      </c>
      <c r="F1909">
        <v>45808</v>
      </c>
      <c r="G1909" t="s">
        <v>2208</v>
      </c>
      <c r="H1909" t="s">
        <v>7834</v>
      </c>
      <c r="I1909" t="s">
        <v>18356</v>
      </c>
      <c r="J1909">
        <v>1</v>
      </c>
      <c r="K1909">
        <v>104.61</v>
      </c>
      <c r="L1909" t="s">
        <v>2917</v>
      </c>
      <c r="M1909">
        <v>104.61</v>
      </c>
      <c r="N1909" t="s">
        <v>2917</v>
      </c>
      <c r="O1909" t="s">
        <v>2208</v>
      </c>
      <c r="P1909" t="s">
        <v>2208</v>
      </c>
      <c r="Q1909" t="s">
        <v>2208</v>
      </c>
      <c r="R1909" t="s">
        <v>2208</v>
      </c>
    </row>
    <row r="1910" spans="1:18">
      <c r="A1910" t="s">
        <v>7030</v>
      </c>
      <c r="B1910" t="s">
        <v>16360</v>
      </c>
      <c r="C1910">
        <v>45810</v>
      </c>
      <c r="D1910" t="s">
        <v>7263</v>
      </c>
      <c r="E1910" t="s">
        <v>16361</v>
      </c>
      <c r="F1910">
        <v>45808</v>
      </c>
      <c r="G1910" t="s">
        <v>2208</v>
      </c>
      <c r="H1910" t="s">
        <v>7834</v>
      </c>
      <c r="I1910" t="s">
        <v>18357</v>
      </c>
      <c r="J1910">
        <v>1</v>
      </c>
      <c r="K1910">
        <v>104.61</v>
      </c>
      <c r="L1910" t="s">
        <v>2917</v>
      </c>
      <c r="M1910">
        <v>104.61</v>
      </c>
      <c r="N1910" t="s">
        <v>2917</v>
      </c>
      <c r="O1910" t="s">
        <v>2208</v>
      </c>
      <c r="P1910" t="s">
        <v>2208</v>
      </c>
      <c r="Q1910" t="s">
        <v>2208</v>
      </c>
      <c r="R1910" t="s">
        <v>2208</v>
      </c>
    </row>
    <row r="1911" spans="1:18">
      <c r="A1911" t="s">
        <v>7030</v>
      </c>
      <c r="B1911" t="s">
        <v>16360</v>
      </c>
      <c r="C1911">
        <v>45810</v>
      </c>
      <c r="D1911" t="s">
        <v>7263</v>
      </c>
      <c r="E1911" t="s">
        <v>16361</v>
      </c>
      <c r="F1911">
        <v>45808</v>
      </c>
      <c r="G1911" t="s">
        <v>2208</v>
      </c>
      <c r="H1911" t="s">
        <v>7834</v>
      </c>
      <c r="I1911" t="s">
        <v>18358</v>
      </c>
      <c r="J1911">
        <v>2</v>
      </c>
      <c r="K1911">
        <v>209.22</v>
      </c>
      <c r="L1911" t="s">
        <v>2917</v>
      </c>
      <c r="M1911">
        <v>209.22</v>
      </c>
      <c r="N1911" t="s">
        <v>2917</v>
      </c>
      <c r="O1911" t="s">
        <v>2208</v>
      </c>
      <c r="P1911" t="s">
        <v>2208</v>
      </c>
      <c r="Q1911" t="s">
        <v>2208</v>
      </c>
      <c r="R1911" t="s">
        <v>2208</v>
      </c>
    </row>
    <row r="1912" spans="1:18">
      <c r="A1912" t="s">
        <v>709</v>
      </c>
      <c r="B1912" t="s">
        <v>16360</v>
      </c>
      <c r="C1912">
        <v>45811</v>
      </c>
      <c r="D1912" t="s">
        <v>7263</v>
      </c>
      <c r="E1912" t="s">
        <v>16361</v>
      </c>
      <c r="F1912">
        <v>45808</v>
      </c>
      <c r="G1912" t="s">
        <v>2208</v>
      </c>
      <c r="H1912" t="s">
        <v>7834</v>
      </c>
      <c r="I1912" t="s">
        <v>18379</v>
      </c>
      <c r="J1912">
        <v>0</v>
      </c>
      <c r="K1912">
        <v>31.07</v>
      </c>
      <c r="L1912" t="s">
        <v>2917</v>
      </c>
      <c r="M1912">
        <v>31.07</v>
      </c>
      <c r="N1912" t="s">
        <v>2917</v>
      </c>
      <c r="O1912" t="s">
        <v>2208</v>
      </c>
      <c r="P1912" t="s">
        <v>2208</v>
      </c>
      <c r="Q1912" t="s">
        <v>2208</v>
      </c>
      <c r="R1912" t="s">
        <v>2208</v>
      </c>
    </row>
    <row r="1913" spans="1:18">
      <c r="A1913" t="s">
        <v>2418</v>
      </c>
      <c r="B1913" t="s">
        <v>16360</v>
      </c>
      <c r="C1913">
        <v>45811</v>
      </c>
      <c r="D1913" t="s">
        <v>7263</v>
      </c>
      <c r="E1913" t="s">
        <v>16361</v>
      </c>
      <c r="F1913">
        <v>45808</v>
      </c>
      <c r="G1913" t="s">
        <v>2208</v>
      </c>
      <c r="H1913" t="s">
        <v>7834</v>
      </c>
      <c r="I1913" t="s">
        <v>18380</v>
      </c>
      <c r="J1913">
        <v>0</v>
      </c>
      <c r="K1913">
        <v>2692.54</v>
      </c>
      <c r="L1913" t="s">
        <v>2917</v>
      </c>
      <c r="M1913">
        <v>2692.54</v>
      </c>
      <c r="N1913" t="s">
        <v>2917</v>
      </c>
      <c r="O1913" t="s">
        <v>2208</v>
      </c>
      <c r="P1913" t="s">
        <v>2208</v>
      </c>
      <c r="Q1913" t="s">
        <v>2208</v>
      </c>
      <c r="R1913" t="s">
        <v>2208</v>
      </c>
    </row>
    <row r="1914" spans="1:18">
      <c r="A1914" t="s">
        <v>2418</v>
      </c>
      <c r="B1914" t="s">
        <v>16360</v>
      </c>
      <c r="C1914">
        <v>45811</v>
      </c>
      <c r="D1914" t="s">
        <v>7263</v>
      </c>
      <c r="E1914" t="s">
        <v>16361</v>
      </c>
      <c r="F1914">
        <v>45808</v>
      </c>
      <c r="G1914" t="s">
        <v>2208</v>
      </c>
      <c r="H1914" t="s">
        <v>7834</v>
      </c>
      <c r="I1914" t="s">
        <v>18380</v>
      </c>
      <c r="J1914">
        <v>0</v>
      </c>
      <c r="K1914">
        <v>731.82</v>
      </c>
      <c r="L1914" t="s">
        <v>2917</v>
      </c>
      <c r="M1914">
        <v>731.82</v>
      </c>
      <c r="N1914" t="s">
        <v>2917</v>
      </c>
      <c r="O1914" t="s">
        <v>2208</v>
      </c>
      <c r="P1914" t="s">
        <v>2208</v>
      </c>
      <c r="Q1914" t="s">
        <v>2208</v>
      </c>
      <c r="R1914" t="s">
        <v>2208</v>
      </c>
    </row>
    <row r="1915" spans="1:18">
      <c r="A1915" t="s">
        <v>2418</v>
      </c>
      <c r="B1915" t="s">
        <v>16360</v>
      </c>
      <c r="C1915">
        <v>45811</v>
      </c>
      <c r="D1915" t="s">
        <v>7263</v>
      </c>
      <c r="E1915" t="s">
        <v>16361</v>
      </c>
      <c r="F1915">
        <v>45808</v>
      </c>
      <c r="G1915" t="s">
        <v>2208</v>
      </c>
      <c r="H1915" t="s">
        <v>7834</v>
      </c>
      <c r="I1915" t="s">
        <v>18380</v>
      </c>
      <c r="J1915">
        <v>0</v>
      </c>
      <c r="K1915">
        <v>508.8</v>
      </c>
      <c r="L1915" t="s">
        <v>2917</v>
      </c>
      <c r="M1915">
        <v>508.8</v>
      </c>
      <c r="N1915" t="s">
        <v>2917</v>
      </c>
      <c r="O1915" t="s">
        <v>2208</v>
      </c>
      <c r="P1915" t="s">
        <v>2208</v>
      </c>
      <c r="Q1915" t="s">
        <v>2208</v>
      </c>
      <c r="R1915" t="s">
        <v>2208</v>
      </c>
    </row>
    <row r="1916" spans="1:18">
      <c r="A1916" t="s">
        <v>2501</v>
      </c>
      <c r="B1916" t="s">
        <v>16360</v>
      </c>
      <c r="C1916">
        <v>45811</v>
      </c>
      <c r="D1916" t="s">
        <v>7263</v>
      </c>
      <c r="E1916" t="s">
        <v>16361</v>
      </c>
      <c r="F1916">
        <v>45808</v>
      </c>
      <c r="G1916" t="s">
        <v>2208</v>
      </c>
      <c r="H1916" t="s">
        <v>7834</v>
      </c>
      <c r="I1916" t="s">
        <v>18381</v>
      </c>
      <c r="J1916">
        <v>0</v>
      </c>
      <c r="K1916">
        <v>13.8</v>
      </c>
      <c r="L1916" t="s">
        <v>2917</v>
      </c>
      <c r="M1916">
        <v>13.8</v>
      </c>
      <c r="N1916" t="s">
        <v>2917</v>
      </c>
      <c r="O1916" t="s">
        <v>2208</v>
      </c>
      <c r="P1916" t="s">
        <v>2208</v>
      </c>
      <c r="Q1916" t="s">
        <v>2208</v>
      </c>
      <c r="R1916" t="s">
        <v>2208</v>
      </c>
    </row>
    <row r="1917" spans="1:18">
      <c r="A1917" t="s">
        <v>2886</v>
      </c>
      <c r="B1917" t="s">
        <v>16360</v>
      </c>
      <c r="C1917">
        <v>45811</v>
      </c>
      <c r="D1917" t="s">
        <v>7263</v>
      </c>
      <c r="E1917" t="s">
        <v>16361</v>
      </c>
      <c r="F1917">
        <v>45808</v>
      </c>
      <c r="G1917" t="s">
        <v>2208</v>
      </c>
      <c r="H1917" t="s">
        <v>7834</v>
      </c>
      <c r="I1917" t="s">
        <v>18382</v>
      </c>
      <c r="J1917">
        <v>0</v>
      </c>
      <c r="K1917">
        <v>144.94999999999999</v>
      </c>
      <c r="L1917" t="s">
        <v>2917</v>
      </c>
      <c r="M1917">
        <v>144.94999999999999</v>
      </c>
      <c r="N1917" t="s">
        <v>2917</v>
      </c>
      <c r="O1917" t="s">
        <v>2208</v>
      </c>
      <c r="P1917" t="s">
        <v>2208</v>
      </c>
      <c r="Q1917" t="s">
        <v>2208</v>
      </c>
      <c r="R1917" t="s">
        <v>2208</v>
      </c>
    </row>
    <row r="1918" spans="1:18">
      <c r="A1918" t="s">
        <v>2237</v>
      </c>
      <c r="B1918" t="s">
        <v>16360</v>
      </c>
      <c r="C1918">
        <v>45811</v>
      </c>
      <c r="D1918" t="s">
        <v>7263</v>
      </c>
      <c r="E1918" t="s">
        <v>16361</v>
      </c>
      <c r="F1918">
        <v>45808</v>
      </c>
      <c r="G1918" t="s">
        <v>2208</v>
      </c>
      <c r="H1918" t="s">
        <v>7834</v>
      </c>
      <c r="I1918" t="s">
        <v>18383</v>
      </c>
      <c r="J1918">
        <v>0</v>
      </c>
      <c r="K1918">
        <v>110.46</v>
      </c>
      <c r="L1918" t="s">
        <v>2917</v>
      </c>
      <c r="M1918">
        <v>110.46</v>
      </c>
      <c r="N1918" t="s">
        <v>2917</v>
      </c>
      <c r="O1918" t="s">
        <v>2208</v>
      </c>
      <c r="P1918" t="s">
        <v>2208</v>
      </c>
      <c r="Q1918" t="s">
        <v>2208</v>
      </c>
      <c r="R1918" t="s">
        <v>2208</v>
      </c>
    </row>
    <row r="1919" spans="1:18">
      <c r="A1919" t="s">
        <v>2237</v>
      </c>
      <c r="B1919" t="s">
        <v>16360</v>
      </c>
      <c r="C1919">
        <v>45811</v>
      </c>
      <c r="D1919" t="s">
        <v>7263</v>
      </c>
      <c r="E1919" t="s">
        <v>16361</v>
      </c>
      <c r="F1919">
        <v>45808</v>
      </c>
      <c r="G1919" t="s">
        <v>2208</v>
      </c>
      <c r="H1919" t="s">
        <v>7834</v>
      </c>
      <c r="I1919" t="s">
        <v>18383</v>
      </c>
      <c r="J1919">
        <v>0</v>
      </c>
      <c r="K1919">
        <v>207.12</v>
      </c>
      <c r="L1919" t="s">
        <v>2917</v>
      </c>
      <c r="M1919">
        <v>207.12</v>
      </c>
      <c r="N1919" t="s">
        <v>2917</v>
      </c>
      <c r="O1919" t="s">
        <v>2208</v>
      </c>
      <c r="P1919" t="s">
        <v>2208</v>
      </c>
      <c r="Q1919" t="s">
        <v>2208</v>
      </c>
      <c r="R1919" t="s">
        <v>2208</v>
      </c>
    </row>
    <row r="1920" spans="1:18">
      <c r="A1920" t="s">
        <v>2237</v>
      </c>
      <c r="B1920" t="s">
        <v>16360</v>
      </c>
      <c r="C1920">
        <v>45811</v>
      </c>
      <c r="D1920" t="s">
        <v>7263</v>
      </c>
      <c r="E1920" t="s">
        <v>16361</v>
      </c>
      <c r="F1920">
        <v>45808</v>
      </c>
      <c r="G1920" t="s">
        <v>2208</v>
      </c>
      <c r="H1920" t="s">
        <v>7834</v>
      </c>
      <c r="I1920" t="s">
        <v>18383</v>
      </c>
      <c r="J1920">
        <v>0</v>
      </c>
      <c r="K1920">
        <v>396.29</v>
      </c>
      <c r="L1920" t="s">
        <v>2917</v>
      </c>
      <c r="M1920">
        <v>396.29</v>
      </c>
      <c r="N1920" t="s">
        <v>2917</v>
      </c>
      <c r="O1920" t="s">
        <v>2208</v>
      </c>
      <c r="P1920" t="s">
        <v>2208</v>
      </c>
      <c r="Q1920" t="s">
        <v>2208</v>
      </c>
      <c r="R1920" t="s">
        <v>2208</v>
      </c>
    </row>
    <row r="1921" spans="1:18">
      <c r="A1921" t="s">
        <v>2600</v>
      </c>
      <c r="B1921" t="s">
        <v>16360</v>
      </c>
      <c r="C1921">
        <v>45811</v>
      </c>
      <c r="D1921" t="s">
        <v>7263</v>
      </c>
      <c r="E1921" t="s">
        <v>16361</v>
      </c>
      <c r="F1921">
        <v>45808</v>
      </c>
      <c r="G1921" t="s">
        <v>2208</v>
      </c>
      <c r="H1921" t="s">
        <v>7834</v>
      </c>
      <c r="I1921" t="s">
        <v>18384</v>
      </c>
      <c r="J1921">
        <v>0</v>
      </c>
      <c r="K1921">
        <v>48.31</v>
      </c>
      <c r="L1921" t="s">
        <v>2917</v>
      </c>
      <c r="M1921">
        <v>48.31</v>
      </c>
      <c r="N1921" t="s">
        <v>2917</v>
      </c>
      <c r="O1921" t="s">
        <v>2208</v>
      </c>
      <c r="P1921" t="s">
        <v>2208</v>
      </c>
      <c r="Q1921" t="s">
        <v>2208</v>
      </c>
      <c r="R1921" t="s">
        <v>2208</v>
      </c>
    </row>
    <row r="1922" spans="1:18">
      <c r="A1922" t="s">
        <v>6817</v>
      </c>
      <c r="B1922" t="s">
        <v>16360</v>
      </c>
      <c r="C1922">
        <v>45811</v>
      </c>
      <c r="D1922" t="s">
        <v>7263</v>
      </c>
      <c r="E1922" t="s">
        <v>16361</v>
      </c>
      <c r="F1922">
        <v>45808</v>
      </c>
      <c r="G1922" t="s">
        <v>2208</v>
      </c>
      <c r="H1922" t="s">
        <v>7834</v>
      </c>
      <c r="I1922" t="s">
        <v>18385</v>
      </c>
      <c r="J1922">
        <v>0</v>
      </c>
      <c r="K1922">
        <v>20.71</v>
      </c>
      <c r="L1922" t="s">
        <v>2917</v>
      </c>
      <c r="M1922">
        <v>20.71</v>
      </c>
      <c r="N1922" t="s">
        <v>2917</v>
      </c>
      <c r="O1922" t="s">
        <v>2208</v>
      </c>
      <c r="P1922" t="s">
        <v>2208</v>
      </c>
      <c r="Q1922" t="s">
        <v>2208</v>
      </c>
      <c r="R1922" t="s">
        <v>2208</v>
      </c>
    </row>
    <row r="1923" spans="1:18">
      <c r="A1923" t="s">
        <v>6815</v>
      </c>
      <c r="B1923" t="s">
        <v>16360</v>
      </c>
      <c r="C1923">
        <v>45811</v>
      </c>
      <c r="D1923" t="s">
        <v>7263</v>
      </c>
      <c r="E1923" t="s">
        <v>16361</v>
      </c>
      <c r="F1923">
        <v>45808</v>
      </c>
      <c r="G1923" t="s">
        <v>2208</v>
      </c>
      <c r="H1923" t="s">
        <v>7834</v>
      </c>
      <c r="I1923" t="s">
        <v>18386</v>
      </c>
      <c r="J1923">
        <v>0</v>
      </c>
      <c r="K1923">
        <v>103.54</v>
      </c>
      <c r="L1923" t="s">
        <v>2917</v>
      </c>
      <c r="M1923">
        <v>103.54</v>
      </c>
      <c r="N1923" t="s">
        <v>2917</v>
      </c>
      <c r="O1923" t="s">
        <v>2208</v>
      </c>
      <c r="P1923" t="s">
        <v>2208</v>
      </c>
      <c r="Q1923" t="s">
        <v>2208</v>
      </c>
      <c r="R1923" t="s">
        <v>2208</v>
      </c>
    </row>
    <row r="1924" spans="1:18">
      <c r="A1924" t="s">
        <v>7030</v>
      </c>
      <c r="B1924" t="s">
        <v>16360</v>
      </c>
      <c r="C1924">
        <v>45811</v>
      </c>
      <c r="D1924" t="s">
        <v>7263</v>
      </c>
      <c r="E1924" t="s">
        <v>16361</v>
      </c>
      <c r="F1924">
        <v>45808</v>
      </c>
      <c r="G1924" t="s">
        <v>2208</v>
      </c>
      <c r="H1924" t="s">
        <v>7834</v>
      </c>
      <c r="I1924" t="s">
        <v>18387</v>
      </c>
      <c r="J1924">
        <v>0</v>
      </c>
      <c r="K1924">
        <v>138.08000000000001</v>
      </c>
      <c r="L1924" t="s">
        <v>2917</v>
      </c>
      <c r="M1924">
        <v>138.08000000000001</v>
      </c>
      <c r="N1924" t="s">
        <v>2917</v>
      </c>
      <c r="O1924" t="s">
        <v>2208</v>
      </c>
      <c r="P1924" t="s">
        <v>2208</v>
      </c>
      <c r="Q1924" t="s">
        <v>2208</v>
      </c>
      <c r="R1924" t="s">
        <v>2208</v>
      </c>
    </row>
    <row r="1925" spans="1:18">
      <c r="A1925" t="s">
        <v>7030</v>
      </c>
      <c r="B1925" t="s">
        <v>16360</v>
      </c>
      <c r="C1925">
        <v>45811</v>
      </c>
      <c r="D1925" t="s">
        <v>7263</v>
      </c>
      <c r="E1925" t="s">
        <v>16361</v>
      </c>
      <c r="F1925">
        <v>45808</v>
      </c>
      <c r="G1925" t="s">
        <v>2208</v>
      </c>
      <c r="H1925" t="s">
        <v>7834</v>
      </c>
      <c r="I1925" t="s">
        <v>18387</v>
      </c>
      <c r="J1925">
        <v>0</v>
      </c>
      <c r="K1925">
        <v>1159.8699999999999</v>
      </c>
      <c r="L1925" t="s">
        <v>2917</v>
      </c>
      <c r="M1925">
        <v>1159.8699999999999</v>
      </c>
      <c r="N1925" t="s">
        <v>2917</v>
      </c>
      <c r="O1925" t="s">
        <v>2208</v>
      </c>
      <c r="P1925" t="s">
        <v>2208</v>
      </c>
      <c r="Q1925" t="s">
        <v>2208</v>
      </c>
      <c r="R1925" t="s">
        <v>2208</v>
      </c>
    </row>
    <row r="1926" spans="1:18">
      <c r="A1926" t="s">
        <v>7030</v>
      </c>
      <c r="B1926" t="s">
        <v>16360</v>
      </c>
      <c r="C1926">
        <v>45811</v>
      </c>
      <c r="D1926" t="s">
        <v>7263</v>
      </c>
      <c r="E1926" t="s">
        <v>16361</v>
      </c>
      <c r="F1926">
        <v>45808</v>
      </c>
      <c r="G1926" t="s">
        <v>2208</v>
      </c>
      <c r="H1926" t="s">
        <v>7834</v>
      </c>
      <c r="I1926" t="s">
        <v>18387</v>
      </c>
      <c r="J1926">
        <v>0</v>
      </c>
      <c r="K1926">
        <v>352.78</v>
      </c>
      <c r="L1926" t="s">
        <v>2917</v>
      </c>
      <c r="M1926">
        <v>352.78</v>
      </c>
      <c r="N1926" t="s">
        <v>2917</v>
      </c>
      <c r="O1926" t="s">
        <v>2208</v>
      </c>
      <c r="P1926" t="s">
        <v>2208</v>
      </c>
      <c r="Q1926" t="s">
        <v>2208</v>
      </c>
      <c r="R1926" t="s">
        <v>2208</v>
      </c>
    </row>
    <row r="1927" spans="1:18">
      <c r="A1927" t="s">
        <v>810</v>
      </c>
      <c r="B1927" t="s">
        <v>16360</v>
      </c>
      <c r="C1927">
        <v>45811</v>
      </c>
      <c r="D1927" t="s">
        <v>7263</v>
      </c>
      <c r="E1927" t="s">
        <v>16361</v>
      </c>
      <c r="F1927">
        <v>45808</v>
      </c>
      <c r="G1927" t="s">
        <v>2208</v>
      </c>
      <c r="H1927" t="s">
        <v>7834</v>
      </c>
      <c r="I1927" t="s">
        <v>18388</v>
      </c>
      <c r="J1927">
        <v>0</v>
      </c>
      <c r="K1927">
        <v>55.22</v>
      </c>
      <c r="L1927" t="s">
        <v>2917</v>
      </c>
      <c r="M1927">
        <v>55.22</v>
      </c>
      <c r="N1927" t="s">
        <v>2917</v>
      </c>
      <c r="O1927" t="s">
        <v>2208</v>
      </c>
      <c r="P1927" t="s">
        <v>2208</v>
      </c>
      <c r="Q1927" t="s">
        <v>2208</v>
      </c>
      <c r="R1927" t="s">
        <v>2208</v>
      </c>
    </row>
    <row r="1928" spans="1:18">
      <c r="A1928" t="s">
        <v>2681</v>
      </c>
      <c r="B1928" t="s">
        <v>16360</v>
      </c>
      <c r="C1928">
        <v>45811</v>
      </c>
      <c r="D1928" t="s">
        <v>7263</v>
      </c>
      <c r="E1928" t="s">
        <v>16361</v>
      </c>
      <c r="F1928">
        <v>45808</v>
      </c>
      <c r="G1928" t="s">
        <v>2208</v>
      </c>
      <c r="H1928" t="s">
        <v>7834</v>
      </c>
      <c r="I1928" t="s">
        <v>18389</v>
      </c>
      <c r="J1928">
        <v>0</v>
      </c>
      <c r="K1928">
        <v>13.81</v>
      </c>
      <c r="L1928" t="s">
        <v>2917</v>
      </c>
      <c r="M1928">
        <v>13.81</v>
      </c>
      <c r="N1928" t="s">
        <v>2917</v>
      </c>
      <c r="O1928" t="s">
        <v>2208</v>
      </c>
      <c r="P1928" t="s">
        <v>2208</v>
      </c>
      <c r="Q1928" t="s">
        <v>2208</v>
      </c>
      <c r="R1928" t="s">
        <v>2208</v>
      </c>
    </row>
    <row r="1929" spans="1:18">
      <c r="A1929" t="s">
        <v>2724</v>
      </c>
      <c r="B1929" t="s">
        <v>16360</v>
      </c>
      <c r="C1929">
        <v>45811</v>
      </c>
      <c r="D1929" t="s">
        <v>7263</v>
      </c>
      <c r="E1929" t="s">
        <v>16361</v>
      </c>
      <c r="F1929">
        <v>45808</v>
      </c>
      <c r="G1929" t="s">
        <v>2208</v>
      </c>
      <c r="H1929" t="s">
        <v>7834</v>
      </c>
      <c r="I1929" t="s">
        <v>18390</v>
      </c>
      <c r="J1929">
        <v>0</v>
      </c>
      <c r="K1929">
        <v>13.81</v>
      </c>
      <c r="L1929" t="s">
        <v>2917</v>
      </c>
      <c r="M1929">
        <v>13.81</v>
      </c>
      <c r="N1929" t="s">
        <v>2917</v>
      </c>
      <c r="O1929" t="s">
        <v>2208</v>
      </c>
      <c r="P1929" t="s">
        <v>2208</v>
      </c>
      <c r="Q1929" t="s">
        <v>2208</v>
      </c>
      <c r="R1929" t="s">
        <v>2208</v>
      </c>
    </row>
    <row r="1930" spans="1:18">
      <c r="A1930" t="s">
        <v>7030</v>
      </c>
      <c r="B1930" t="s">
        <v>16360</v>
      </c>
      <c r="C1930">
        <v>45811</v>
      </c>
      <c r="D1930" t="s">
        <v>7263</v>
      </c>
      <c r="E1930" t="s">
        <v>16361</v>
      </c>
      <c r="F1930">
        <v>45808</v>
      </c>
      <c r="G1930" t="s">
        <v>2208</v>
      </c>
      <c r="H1930" t="s">
        <v>7834</v>
      </c>
      <c r="I1930" t="s">
        <v>18391</v>
      </c>
      <c r="J1930">
        <v>0</v>
      </c>
      <c r="K1930">
        <v>55.23</v>
      </c>
      <c r="L1930" t="s">
        <v>2917</v>
      </c>
      <c r="M1930">
        <v>55.23</v>
      </c>
      <c r="N1930" t="s">
        <v>2917</v>
      </c>
      <c r="O1930" t="s">
        <v>2208</v>
      </c>
      <c r="P1930" t="s">
        <v>2208</v>
      </c>
      <c r="Q1930" t="s">
        <v>2208</v>
      </c>
      <c r="R1930" t="s">
        <v>2208</v>
      </c>
    </row>
    <row r="1931" spans="1:18">
      <c r="A1931" t="s">
        <v>7030</v>
      </c>
      <c r="B1931" t="s">
        <v>16360</v>
      </c>
      <c r="C1931">
        <v>45811</v>
      </c>
      <c r="D1931" t="s">
        <v>7263</v>
      </c>
      <c r="E1931" t="s">
        <v>16361</v>
      </c>
      <c r="F1931">
        <v>45808</v>
      </c>
      <c r="G1931" t="s">
        <v>2208</v>
      </c>
      <c r="H1931" t="s">
        <v>7834</v>
      </c>
      <c r="I1931" t="s">
        <v>18392</v>
      </c>
      <c r="J1931">
        <v>0</v>
      </c>
      <c r="K1931">
        <v>96.66</v>
      </c>
      <c r="L1931" t="s">
        <v>2917</v>
      </c>
      <c r="M1931">
        <v>96.66</v>
      </c>
      <c r="N1931" t="s">
        <v>2917</v>
      </c>
      <c r="O1931" t="s">
        <v>2208</v>
      </c>
      <c r="P1931" t="s">
        <v>2208</v>
      </c>
      <c r="Q1931" t="s">
        <v>2208</v>
      </c>
      <c r="R1931" t="s">
        <v>2208</v>
      </c>
    </row>
    <row r="1932" spans="1:18">
      <c r="A1932" t="s">
        <v>7030</v>
      </c>
      <c r="B1932" t="s">
        <v>16360</v>
      </c>
      <c r="C1932">
        <v>45811</v>
      </c>
      <c r="D1932" t="s">
        <v>7263</v>
      </c>
      <c r="E1932" t="s">
        <v>16361</v>
      </c>
      <c r="F1932">
        <v>45808</v>
      </c>
      <c r="G1932" t="s">
        <v>2208</v>
      </c>
      <c r="H1932" t="s">
        <v>7834</v>
      </c>
      <c r="I1932" t="s">
        <v>18392</v>
      </c>
      <c r="J1932">
        <v>0</v>
      </c>
      <c r="K1932">
        <v>414.24</v>
      </c>
      <c r="L1932" t="s">
        <v>2917</v>
      </c>
      <c r="M1932">
        <v>414.24</v>
      </c>
      <c r="N1932" t="s">
        <v>2917</v>
      </c>
      <c r="O1932" t="s">
        <v>2208</v>
      </c>
      <c r="P1932" t="s">
        <v>2208</v>
      </c>
      <c r="Q1932" t="s">
        <v>2208</v>
      </c>
      <c r="R1932" t="s">
        <v>2208</v>
      </c>
    </row>
    <row r="1933" spans="1:18">
      <c r="A1933" t="s">
        <v>7030</v>
      </c>
      <c r="B1933" t="s">
        <v>16360</v>
      </c>
      <c r="C1933">
        <v>45811</v>
      </c>
      <c r="D1933" t="s">
        <v>7263</v>
      </c>
      <c r="E1933" t="s">
        <v>16361</v>
      </c>
      <c r="F1933">
        <v>45808</v>
      </c>
      <c r="G1933" t="s">
        <v>2208</v>
      </c>
      <c r="H1933" t="s">
        <v>7834</v>
      </c>
      <c r="I1933" t="s">
        <v>18392</v>
      </c>
      <c r="J1933">
        <v>0</v>
      </c>
      <c r="K1933">
        <v>193.31</v>
      </c>
      <c r="L1933" t="s">
        <v>2917</v>
      </c>
      <c r="M1933">
        <v>193.31</v>
      </c>
      <c r="N1933" t="s">
        <v>2917</v>
      </c>
      <c r="O1933" t="s">
        <v>2208</v>
      </c>
      <c r="P1933" t="s">
        <v>2208</v>
      </c>
      <c r="Q1933" t="s">
        <v>2208</v>
      </c>
      <c r="R1933" t="s">
        <v>2208</v>
      </c>
    </row>
    <row r="1934" spans="1:18">
      <c r="A1934" t="s">
        <v>709</v>
      </c>
      <c r="B1934" t="s">
        <v>17897</v>
      </c>
      <c r="C1934">
        <v>45839</v>
      </c>
      <c r="D1934" t="s">
        <v>7263</v>
      </c>
      <c r="E1934" t="s">
        <v>17898</v>
      </c>
      <c r="F1934">
        <v>45838</v>
      </c>
      <c r="G1934" t="s">
        <v>2208</v>
      </c>
      <c r="H1934" t="s">
        <v>7834</v>
      </c>
      <c r="I1934" t="s">
        <v>19565</v>
      </c>
      <c r="J1934">
        <v>1</v>
      </c>
      <c r="K1934">
        <v>104.61</v>
      </c>
      <c r="L1934" t="s">
        <v>2917</v>
      </c>
      <c r="M1934">
        <v>104.61</v>
      </c>
      <c r="N1934" t="s">
        <v>2917</v>
      </c>
      <c r="O1934" t="s">
        <v>2208</v>
      </c>
      <c r="P1934" t="s">
        <v>2208</v>
      </c>
      <c r="Q1934" t="s">
        <v>2208</v>
      </c>
      <c r="R1934" t="s">
        <v>2208</v>
      </c>
    </row>
    <row r="1935" spans="1:18">
      <c r="A1935" t="s">
        <v>709</v>
      </c>
      <c r="B1935" t="s">
        <v>17897</v>
      </c>
      <c r="C1935">
        <v>45839</v>
      </c>
      <c r="D1935" t="s">
        <v>7263</v>
      </c>
      <c r="E1935" t="s">
        <v>17898</v>
      </c>
      <c r="F1935">
        <v>45838</v>
      </c>
      <c r="G1935" t="s">
        <v>2208</v>
      </c>
      <c r="H1935" t="s">
        <v>7834</v>
      </c>
      <c r="I1935" t="s">
        <v>19566</v>
      </c>
      <c r="J1935">
        <v>2</v>
      </c>
      <c r="K1935">
        <v>209.22</v>
      </c>
      <c r="L1935" t="s">
        <v>2917</v>
      </c>
      <c r="M1935">
        <v>209.22</v>
      </c>
      <c r="N1935" t="s">
        <v>2917</v>
      </c>
      <c r="O1935" t="s">
        <v>2208</v>
      </c>
      <c r="P1935" t="s">
        <v>2208</v>
      </c>
      <c r="Q1935" t="s">
        <v>2208</v>
      </c>
      <c r="R1935" t="s">
        <v>2208</v>
      </c>
    </row>
    <row r="1936" spans="1:18">
      <c r="A1936" t="s">
        <v>709</v>
      </c>
      <c r="B1936" t="s">
        <v>17897</v>
      </c>
      <c r="C1936">
        <v>45839</v>
      </c>
      <c r="D1936" t="s">
        <v>7263</v>
      </c>
      <c r="E1936" t="s">
        <v>17898</v>
      </c>
      <c r="F1936">
        <v>45838</v>
      </c>
      <c r="G1936" t="s">
        <v>2208</v>
      </c>
      <c r="H1936" t="s">
        <v>7834</v>
      </c>
      <c r="I1936" t="s">
        <v>19567</v>
      </c>
      <c r="J1936">
        <v>2</v>
      </c>
      <c r="K1936">
        <v>209.22</v>
      </c>
      <c r="L1936" t="s">
        <v>2917</v>
      </c>
      <c r="M1936">
        <v>209.22</v>
      </c>
      <c r="N1936" t="s">
        <v>2917</v>
      </c>
      <c r="O1936" t="s">
        <v>2208</v>
      </c>
      <c r="P1936" t="s">
        <v>2208</v>
      </c>
      <c r="Q1936" t="s">
        <v>2208</v>
      </c>
      <c r="R1936" t="s">
        <v>2208</v>
      </c>
    </row>
    <row r="1937" spans="1:18">
      <c r="A1937" t="s">
        <v>709</v>
      </c>
      <c r="B1937" t="s">
        <v>17897</v>
      </c>
      <c r="C1937">
        <v>45839</v>
      </c>
      <c r="D1937" t="s">
        <v>7263</v>
      </c>
      <c r="E1937" t="s">
        <v>17898</v>
      </c>
      <c r="F1937">
        <v>45838</v>
      </c>
      <c r="G1937" t="s">
        <v>2208</v>
      </c>
      <c r="H1937" t="s">
        <v>7834</v>
      </c>
      <c r="I1937" t="s">
        <v>19568</v>
      </c>
      <c r="J1937">
        <v>2</v>
      </c>
      <c r="K1937">
        <v>209.22</v>
      </c>
      <c r="L1937" t="s">
        <v>2917</v>
      </c>
      <c r="M1937">
        <v>209.22</v>
      </c>
      <c r="N1937" t="s">
        <v>2917</v>
      </c>
      <c r="O1937" t="s">
        <v>2208</v>
      </c>
      <c r="P1937" t="s">
        <v>2208</v>
      </c>
      <c r="Q1937" t="s">
        <v>2208</v>
      </c>
      <c r="R1937" t="s">
        <v>2208</v>
      </c>
    </row>
    <row r="1938" spans="1:18">
      <c r="A1938" t="s">
        <v>709</v>
      </c>
      <c r="B1938" t="s">
        <v>17897</v>
      </c>
      <c r="C1938">
        <v>45839</v>
      </c>
      <c r="D1938" t="s">
        <v>7263</v>
      </c>
      <c r="E1938" t="s">
        <v>17898</v>
      </c>
      <c r="F1938">
        <v>45838</v>
      </c>
      <c r="G1938" t="s">
        <v>2208</v>
      </c>
      <c r="H1938" t="s">
        <v>7834</v>
      </c>
      <c r="I1938" t="s">
        <v>19569</v>
      </c>
      <c r="J1938">
        <v>1</v>
      </c>
      <c r="K1938">
        <v>104.61</v>
      </c>
      <c r="L1938" t="s">
        <v>2917</v>
      </c>
      <c r="M1938">
        <v>104.61</v>
      </c>
      <c r="N1938" t="s">
        <v>2917</v>
      </c>
      <c r="O1938" t="s">
        <v>2208</v>
      </c>
      <c r="P1938" t="s">
        <v>2208</v>
      </c>
      <c r="Q1938" t="s">
        <v>2208</v>
      </c>
      <c r="R1938" t="s">
        <v>2208</v>
      </c>
    </row>
    <row r="1939" spans="1:18">
      <c r="A1939" t="s">
        <v>810</v>
      </c>
      <c r="B1939" t="s">
        <v>17897</v>
      </c>
      <c r="C1939">
        <v>45839</v>
      </c>
      <c r="D1939" t="s">
        <v>7263</v>
      </c>
      <c r="E1939" t="s">
        <v>17898</v>
      </c>
      <c r="F1939">
        <v>45838</v>
      </c>
      <c r="G1939" t="s">
        <v>2208</v>
      </c>
      <c r="H1939" t="s">
        <v>7834</v>
      </c>
      <c r="I1939" t="s">
        <v>19570</v>
      </c>
      <c r="J1939">
        <v>0.5</v>
      </c>
      <c r="K1939">
        <v>52.31</v>
      </c>
      <c r="L1939" t="s">
        <v>2917</v>
      </c>
      <c r="M1939">
        <v>52.31</v>
      </c>
      <c r="N1939" t="s">
        <v>2917</v>
      </c>
      <c r="O1939" t="s">
        <v>2208</v>
      </c>
      <c r="P1939" t="s">
        <v>2208</v>
      </c>
      <c r="Q1939" t="s">
        <v>2208</v>
      </c>
      <c r="R1939" t="s">
        <v>2208</v>
      </c>
    </row>
    <row r="1940" spans="1:18">
      <c r="A1940" t="s">
        <v>1095</v>
      </c>
      <c r="B1940" t="s">
        <v>17897</v>
      </c>
      <c r="C1940">
        <v>45839</v>
      </c>
      <c r="D1940" t="s">
        <v>7263</v>
      </c>
      <c r="E1940" t="s">
        <v>17898</v>
      </c>
      <c r="F1940">
        <v>45838</v>
      </c>
      <c r="G1940" t="s">
        <v>2208</v>
      </c>
      <c r="H1940" t="s">
        <v>7834</v>
      </c>
      <c r="I1940" t="s">
        <v>19571</v>
      </c>
      <c r="J1940">
        <v>1</v>
      </c>
      <c r="K1940">
        <v>104.61</v>
      </c>
      <c r="L1940" t="s">
        <v>2917</v>
      </c>
      <c r="M1940">
        <v>104.61</v>
      </c>
      <c r="N1940" t="s">
        <v>2917</v>
      </c>
      <c r="O1940" t="s">
        <v>2208</v>
      </c>
      <c r="P1940" t="s">
        <v>2208</v>
      </c>
      <c r="Q1940" t="s">
        <v>2208</v>
      </c>
      <c r="R1940" t="s">
        <v>2208</v>
      </c>
    </row>
    <row r="1941" spans="1:18">
      <c r="A1941" t="s">
        <v>1095</v>
      </c>
      <c r="B1941" t="s">
        <v>17897</v>
      </c>
      <c r="C1941">
        <v>45839</v>
      </c>
      <c r="D1941" t="s">
        <v>7263</v>
      </c>
      <c r="E1941" t="s">
        <v>17898</v>
      </c>
      <c r="F1941">
        <v>45838</v>
      </c>
      <c r="G1941" t="s">
        <v>2208</v>
      </c>
      <c r="H1941" t="s">
        <v>7834</v>
      </c>
      <c r="I1941" t="s">
        <v>19572</v>
      </c>
      <c r="J1941">
        <v>1</v>
      </c>
      <c r="K1941">
        <v>104.61</v>
      </c>
      <c r="L1941" t="s">
        <v>2917</v>
      </c>
      <c r="M1941">
        <v>104.61</v>
      </c>
      <c r="N1941" t="s">
        <v>2917</v>
      </c>
      <c r="O1941" t="s">
        <v>2208</v>
      </c>
      <c r="P1941" t="s">
        <v>2208</v>
      </c>
      <c r="Q1941" t="s">
        <v>2208</v>
      </c>
      <c r="R1941" t="s">
        <v>2208</v>
      </c>
    </row>
    <row r="1942" spans="1:18">
      <c r="A1942" t="s">
        <v>2237</v>
      </c>
      <c r="B1942" t="s">
        <v>17897</v>
      </c>
      <c r="C1942">
        <v>45839</v>
      </c>
      <c r="D1942" t="s">
        <v>7263</v>
      </c>
      <c r="E1942" t="s">
        <v>17898</v>
      </c>
      <c r="F1942">
        <v>45838</v>
      </c>
      <c r="G1942" t="s">
        <v>2208</v>
      </c>
      <c r="H1942" t="s">
        <v>7834</v>
      </c>
      <c r="I1942" t="s">
        <v>19573</v>
      </c>
      <c r="J1942">
        <v>1</v>
      </c>
      <c r="K1942">
        <v>104.61</v>
      </c>
      <c r="L1942" t="s">
        <v>2917</v>
      </c>
      <c r="M1942">
        <v>104.61</v>
      </c>
      <c r="N1942" t="s">
        <v>2917</v>
      </c>
      <c r="O1942" t="s">
        <v>2208</v>
      </c>
      <c r="P1942" t="s">
        <v>2208</v>
      </c>
      <c r="Q1942" t="s">
        <v>2208</v>
      </c>
      <c r="R1942" t="s">
        <v>2208</v>
      </c>
    </row>
    <row r="1943" spans="1:18">
      <c r="A1943" t="s">
        <v>2237</v>
      </c>
      <c r="B1943" t="s">
        <v>17897</v>
      </c>
      <c r="C1943">
        <v>45839</v>
      </c>
      <c r="D1943" t="s">
        <v>7263</v>
      </c>
      <c r="E1943" t="s">
        <v>17898</v>
      </c>
      <c r="F1943">
        <v>45838</v>
      </c>
      <c r="G1943" t="s">
        <v>2208</v>
      </c>
      <c r="H1943" t="s">
        <v>7834</v>
      </c>
      <c r="I1943" t="s">
        <v>19574</v>
      </c>
      <c r="J1943">
        <v>0.1</v>
      </c>
      <c r="K1943">
        <v>10.46</v>
      </c>
      <c r="L1943" t="s">
        <v>2917</v>
      </c>
      <c r="M1943">
        <v>10.46</v>
      </c>
      <c r="N1943" t="s">
        <v>2917</v>
      </c>
      <c r="O1943" t="s">
        <v>2208</v>
      </c>
      <c r="P1943" t="s">
        <v>2208</v>
      </c>
      <c r="Q1943" t="s">
        <v>2208</v>
      </c>
      <c r="R1943" t="s">
        <v>2208</v>
      </c>
    </row>
    <row r="1944" spans="1:18">
      <c r="A1944" t="s">
        <v>2237</v>
      </c>
      <c r="B1944" t="s">
        <v>17897</v>
      </c>
      <c r="C1944">
        <v>45839</v>
      </c>
      <c r="D1944" t="s">
        <v>7263</v>
      </c>
      <c r="E1944" t="s">
        <v>17898</v>
      </c>
      <c r="F1944">
        <v>45838</v>
      </c>
      <c r="G1944" t="s">
        <v>2208</v>
      </c>
      <c r="H1944" t="s">
        <v>7834</v>
      </c>
      <c r="I1944" t="s">
        <v>19575</v>
      </c>
      <c r="J1944">
        <v>1</v>
      </c>
      <c r="K1944">
        <v>104.61</v>
      </c>
      <c r="L1944" t="s">
        <v>2917</v>
      </c>
      <c r="M1944">
        <v>104.61</v>
      </c>
      <c r="N1944" t="s">
        <v>2917</v>
      </c>
      <c r="O1944" t="s">
        <v>2208</v>
      </c>
      <c r="P1944" t="s">
        <v>2208</v>
      </c>
      <c r="Q1944" t="s">
        <v>2208</v>
      </c>
      <c r="R1944" t="s">
        <v>2208</v>
      </c>
    </row>
    <row r="1945" spans="1:18">
      <c r="A1945" t="s">
        <v>2237</v>
      </c>
      <c r="B1945" t="s">
        <v>17897</v>
      </c>
      <c r="C1945">
        <v>45839</v>
      </c>
      <c r="D1945" t="s">
        <v>7263</v>
      </c>
      <c r="E1945" t="s">
        <v>17898</v>
      </c>
      <c r="F1945">
        <v>45838</v>
      </c>
      <c r="G1945" t="s">
        <v>2208</v>
      </c>
      <c r="H1945" t="s">
        <v>7834</v>
      </c>
      <c r="I1945" t="s">
        <v>19576</v>
      </c>
      <c r="J1945">
        <v>1</v>
      </c>
      <c r="K1945">
        <v>104.61</v>
      </c>
      <c r="L1945" t="s">
        <v>2917</v>
      </c>
      <c r="M1945">
        <v>104.61</v>
      </c>
      <c r="N1945" t="s">
        <v>2917</v>
      </c>
      <c r="O1945" t="s">
        <v>2208</v>
      </c>
      <c r="P1945" t="s">
        <v>2208</v>
      </c>
      <c r="Q1945" t="s">
        <v>2208</v>
      </c>
      <c r="R1945" t="s">
        <v>2208</v>
      </c>
    </row>
    <row r="1946" spans="1:18">
      <c r="A1946" t="s">
        <v>2237</v>
      </c>
      <c r="B1946" t="s">
        <v>17897</v>
      </c>
      <c r="C1946">
        <v>45839</v>
      </c>
      <c r="D1946" t="s">
        <v>7263</v>
      </c>
      <c r="E1946" t="s">
        <v>17898</v>
      </c>
      <c r="F1946">
        <v>45838</v>
      </c>
      <c r="G1946" t="s">
        <v>2208</v>
      </c>
      <c r="H1946" t="s">
        <v>7834</v>
      </c>
      <c r="I1946" t="s">
        <v>19577</v>
      </c>
      <c r="J1946">
        <v>1.6</v>
      </c>
      <c r="K1946">
        <v>167.38</v>
      </c>
      <c r="L1946" t="s">
        <v>2917</v>
      </c>
      <c r="M1946">
        <v>167.38</v>
      </c>
      <c r="N1946" t="s">
        <v>2917</v>
      </c>
      <c r="O1946" t="s">
        <v>2208</v>
      </c>
      <c r="P1946" t="s">
        <v>2208</v>
      </c>
      <c r="Q1946" t="s">
        <v>2208</v>
      </c>
      <c r="R1946" t="s">
        <v>2208</v>
      </c>
    </row>
    <row r="1947" spans="1:18">
      <c r="A1947" t="s">
        <v>2237</v>
      </c>
      <c r="B1947" t="s">
        <v>17897</v>
      </c>
      <c r="C1947">
        <v>45839</v>
      </c>
      <c r="D1947" t="s">
        <v>7263</v>
      </c>
      <c r="E1947" t="s">
        <v>17898</v>
      </c>
      <c r="F1947">
        <v>45838</v>
      </c>
      <c r="G1947" t="s">
        <v>2208</v>
      </c>
      <c r="H1947" t="s">
        <v>7834</v>
      </c>
      <c r="I1947" t="s">
        <v>19578</v>
      </c>
      <c r="J1947">
        <v>1</v>
      </c>
      <c r="K1947">
        <v>104.61</v>
      </c>
      <c r="L1947" t="s">
        <v>2917</v>
      </c>
      <c r="M1947">
        <v>104.61</v>
      </c>
      <c r="N1947" t="s">
        <v>2917</v>
      </c>
      <c r="O1947" t="s">
        <v>2208</v>
      </c>
      <c r="P1947" t="s">
        <v>2208</v>
      </c>
      <c r="Q1947" t="s">
        <v>2208</v>
      </c>
      <c r="R1947" t="s">
        <v>2208</v>
      </c>
    </row>
    <row r="1948" spans="1:18">
      <c r="A1948" t="s">
        <v>2237</v>
      </c>
      <c r="B1948" t="s">
        <v>17897</v>
      </c>
      <c r="C1948">
        <v>45839</v>
      </c>
      <c r="D1948" t="s">
        <v>7263</v>
      </c>
      <c r="E1948" t="s">
        <v>17898</v>
      </c>
      <c r="F1948">
        <v>45838</v>
      </c>
      <c r="G1948" t="s">
        <v>2208</v>
      </c>
      <c r="H1948" t="s">
        <v>7834</v>
      </c>
      <c r="I1948" t="s">
        <v>19579</v>
      </c>
      <c r="J1948">
        <v>1</v>
      </c>
      <c r="K1948">
        <v>104.61</v>
      </c>
      <c r="L1948" t="s">
        <v>2917</v>
      </c>
      <c r="M1948">
        <v>104.61</v>
      </c>
      <c r="N1948" t="s">
        <v>2917</v>
      </c>
      <c r="O1948" t="s">
        <v>2208</v>
      </c>
      <c r="P1948" t="s">
        <v>2208</v>
      </c>
      <c r="Q1948" t="s">
        <v>2208</v>
      </c>
      <c r="R1948" t="s">
        <v>2208</v>
      </c>
    </row>
    <row r="1949" spans="1:18">
      <c r="A1949" t="s">
        <v>2237</v>
      </c>
      <c r="B1949" t="s">
        <v>17897</v>
      </c>
      <c r="C1949">
        <v>45839</v>
      </c>
      <c r="D1949" t="s">
        <v>7263</v>
      </c>
      <c r="E1949" t="s">
        <v>17898</v>
      </c>
      <c r="F1949">
        <v>45838</v>
      </c>
      <c r="G1949" t="s">
        <v>2208</v>
      </c>
      <c r="H1949" t="s">
        <v>7834</v>
      </c>
      <c r="I1949" t="s">
        <v>19580</v>
      </c>
      <c r="J1949">
        <v>1</v>
      </c>
      <c r="K1949">
        <v>104.61</v>
      </c>
      <c r="L1949" t="s">
        <v>2917</v>
      </c>
      <c r="M1949">
        <v>104.61</v>
      </c>
      <c r="N1949" t="s">
        <v>2917</v>
      </c>
      <c r="O1949" t="s">
        <v>2208</v>
      </c>
      <c r="P1949" t="s">
        <v>2208</v>
      </c>
      <c r="Q1949" t="s">
        <v>2208</v>
      </c>
      <c r="R1949" t="s">
        <v>2208</v>
      </c>
    </row>
    <row r="1950" spans="1:18">
      <c r="A1950" t="s">
        <v>2237</v>
      </c>
      <c r="B1950" t="s">
        <v>17897</v>
      </c>
      <c r="C1950">
        <v>45839</v>
      </c>
      <c r="D1950" t="s">
        <v>7263</v>
      </c>
      <c r="E1950" t="s">
        <v>17898</v>
      </c>
      <c r="F1950">
        <v>45838</v>
      </c>
      <c r="G1950" t="s">
        <v>2208</v>
      </c>
      <c r="H1950" t="s">
        <v>7834</v>
      </c>
      <c r="I1950" t="s">
        <v>19581</v>
      </c>
      <c r="J1950">
        <v>1</v>
      </c>
      <c r="K1950">
        <v>104.61</v>
      </c>
      <c r="L1950" t="s">
        <v>2917</v>
      </c>
      <c r="M1950">
        <v>104.61</v>
      </c>
      <c r="N1950" t="s">
        <v>2917</v>
      </c>
      <c r="O1950" t="s">
        <v>2208</v>
      </c>
      <c r="P1950" t="s">
        <v>2208</v>
      </c>
      <c r="Q1950" t="s">
        <v>2208</v>
      </c>
      <c r="R1950" t="s">
        <v>2208</v>
      </c>
    </row>
    <row r="1951" spans="1:18">
      <c r="A1951" t="s">
        <v>2237</v>
      </c>
      <c r="B1951" t="s">
        <v>17897</v>
      </c>
      <c r="C1951">
        <v>45839</v>
      </c>
      <c r="D1951" t="s">
        <v>7263</v>
      </c>
      <c r="E1951" t="s">
        <v>17898</v>
      </c>
      <c r="F1951">
        <v>45838</v>
      </c>
      <c r="G1951" t="s">
        <v>2208</v>
      </c>
      <c r="H1951" t="s">
        <v>7834</v>
      </c>
      <c r="I1951" t="s">
        <v>19582</v>
      </c>
      <c r="J1951">
        <v>1</v>
      </c>
      <c r="K1951">
        <v>104.61</v>
      </c>
      <c r="L1951" t="s">
        <v>2917</v>
      </c>
      <c r="M1951">
        <v>104.61</v>
      </c>
      <c r="N1951" t="s">
        <v>2917</v>
      </c>
      <c r="O1951" t="s">
        <v>2208</v>
      </c>
      <c r="P1951" t="s">
        <v>2208</v>
      </c>
      <c r="Q1951" t="s">
        <v>2208</v>
      </c>
      <c r="R1951" t="s">
        <v>2208</v>
      </c>
    </row>
    <row r="1952" spans="1:18">
      <c r="A1952" t="s">
        <v>2237</v>
      </c>
      <c r="B1952" t="s">
        <v>17897</v>
      </c>
      <c r="C1952">
        <v>45839</v>
      </c>
      <c r="D1952" t="s">
        <v>7263</v>
      </c>
      <c r="E1952" t="s">
        <v>17898</v>
      </c>
      <c r="F1952">
        <v>45838</v>
      </c>
      <c r="G1952" t="s">
        <v>2208</v>
      </c>
      <c r="H1952" t="s">
        <v>7834</v>
      </c>
      <c r="I1952" t="s">
        <v>19583</v>
      </c>
      <c r="J1952">
        <v>1</v>
      </c>
      <c r="K1952">
        <v>104.61</v>
      </c>
      <c r="L1952" t="s">
        <v>2917</v>
      </c>
      <c r="M1952">
        <v>104.61</v>
      </c>
      <c r="N1952" t="s">
        <v>2917</v>
      </c>
      <c r="O1952" t="s">
        <v>2208</v>
      </c>
      <c r="P1952" t="s">
        <v>2208</v>
      </c>
      <c r="Q1952" t="s">
        <v>2208</v>
      </c>
      <c r="R1952" t="s">
        <v>2208</v>
      </c>
    </row>
    <row r="1953" spans="1:18">
      <c r="A1953" t="s">
        <v>2237</v>
      </c>
      <c r="B1953" t="s">
        <v>17897</v>
      </c>
      <c r="C1953">
        <v>45839</v>
      </c>
      <c r="D1953" t="s">
        <v>7263</v>
      </c>
      <c r="E1953" t="s">
        <v>17898</v>
      </c>
      <c r="F1953">
        <v>45838</v>
      </c>
      <c r="G1953" t="s">
        <v>2208</v>
      </c>
      <c r="H1953" t="s">
        <v>7834</v>
      </c>
      <c r="I1953" t="s">
        <v>19584</v>
      </c>
      <c r="J1953">
        <v>1</v>
      </c>
      <c r="K1953">
        <v>104.61</v>
      </c>
      <c r="L1953" t="s">
        <v>2917</v>
      </c>
      <c r="M1953">
        <v>104.61</v>
      </c>
      <c r="N1953" t="s">
        <v>2917</v>
      </c>
      <c r="O1953" t="s">
        <v>2208</v>
      </c>
      <c r="P1953" t="s">
        <v>2208</v>
      </c>
      <c r="Q1953" t="s">
        <v>2208</v>
      </c>
      <c r="R1953" t="s">
        <v>2208</v>
      </c>
    </row>
    <row r="1954" spans="1:18">
      <c r="A1954" t="s">
        <v>2237</v>
      </c>
      <c r="B1954" t="s">
        <v>17897</v>
      </c>
      <c r="C1954">
        <v>45839</v>
      </c>
      <c r="D1954" t="s">
        <v>7263</v>
      </c>
      <c r="E1954" t="s">
        <v>17898</v>
      </c>
      <c r="F1954">
        <v>45838</v>
      </c>
      <c r="G1954" t="s">
        <v>2208</v>
      </c>
      <c r="H1954" t="s">
        <v>7834</v>
      </c>
      <c r="I1954" t="s">
        <v>19585</v>
      </c>
      <c r="J1954">
        <v>1</v>
      </c>
      <c r="K1954">
        <v>104.61</v>
      </c>
      <c r="L1954" t="s">
        <v>2917</v>
      </c>
      <c r="M1954">
        <v>104.61</v>
      </c>
      <c r="N1954" t="s">
        <v>2917</v>
      </c>
      <c r="O1954" t="s">
        <v>2208</v>
      </c>
      <c r="P1954" t="s">
        <v>2208</v>
      </c>
      <c r="Q1954" t="s">
        <v>2208</v>
      </c>
      <c r="R1954" t="s">
        <v>2208</v>
      </c>
    </row>
    <row r="1955" spans="1:18">
      <c r="A1955" t="s">
        <v>2237</v>
      </c>
      <c r="B1955" t="s">
        <v>17897</v>
      </c>
      <c r="C1955">
        <v>45839</v>
      </c>
      <c r="D1955" t="s">
        <v>7263</v>
      </c>
      <c r="E1955" t="s">
        <v>17898</v>
      </c>
      <c r="F1955">
        <v>45838</v>
      </c>
      <c r="G1955" t="s">
        <v>2208</v>
      </c>
      <c r="H1955" t="s">
        <v>7834</v>
      </c>
      <c r="I1955" t="s">
        <v>19586</v>
      </c>
      <c r="J1955">
        <v>1</v>
      </c>
      <c r="K1955">
        <v>104.61</v>
      </c>
      <c r="L1955" t="s">
        <v>2917</v>
      </c>
      <c r="M1955">
        <v>104.61</v>
      </c>
      <c r="N1955" t="s">
        <v>2917</v>
      </c>
      <c r="O1955" t="s">
        <v>2208</v>
      </c>
      <c r="P1955" t="s">
        <v>2208</v>
      </c>
      <c r="Q1955" t="s">
        <v>2208</v>
      </c>
      <c r="R1955" t="s">
        <v>2208</v>
      </c>
    </row>
    <row r="1956" spans="1:18">
      <c r="A1956" t="s">
        <v>2237</v>
      </c>
      <c r="B1956" t="s">
        <v>17897</v>
      </c>
      <c r="C1956">
        <v>45839</v>
      </c>
      <c r="D1956" t="s">
        <v>7263</v>
      </c>
      <c r="E1956" t="s">
        <v>17898</v>
      </c>
      <c r="F1956">
        <v>45838</v>
      </c>
      <c r="G1956" t="s">
        <v>2208</v>
      </c>
      <c r="H1956" t="s">
        <v>7834</v>
      </c>
      <c r="I1956" t="s">
        <v>19587</v>
      </c>
      <c r="J1956">
        <v>0.9</v>
      </c>
      <c r="K1956">
        <v>94.15</v>
      </c>
      <c r="L1956" t="s">
        <v>2917</v>
      </c>
      <c r="M1956">
        <v>94.15</v>
      </c>
      <c r="N1956" t="s">
        <v>2917</v>
      </c>
      <c r="O1956" t="s">
        <v>2208</v>
      </c>
      <c r="P1956" t="s">
        <v>2208</v>
      </c>
      <c r="Q1956" t="s">
        <v>2208</v>
      </c>
      <c r="R1956" t="s">
        <v>2208</v>
      </c>
    </row>
    <row r="1957" spans="1:18">
      <c r="A1957" t="s">
        <v>2237</v>
      </c>
      <c r="B1957" t="s">
        <v>17897</v>
      </c>
      <c r="C1957">
        <v>45839</v>
      </c>
      <c r="D1957" t="s">
        <v>7263</v>
      </c>
      <c r="E1957" t="s">
        <v>17898</v>
      </c>
      <c r="F1957">
        <v>45838</v>
      </c>
      <c r="G1957" t="s">
        <v>2208</v>
      </c>
      <c r="H1957" t="s">
        <v>7834</v>
      </c>
      <c r="I1957" t="s">
        <v>19588</v>
      </c>
      <c r="J1957">
        <v>2</v>
      </c>
      <c r="K1957">
        <v>209.22</v>
      </c>
      <c r="L1957" t="s">
        <v>2917</v>
      </c>
      <c r="M1957">
        <v>209.22</v>
      </c>
      <c r="N1957" t="s">
        <v>2917</v>
      </c>
      <c r="O1957" t="s">
        <v>2208</v>
      </c>
      <c r="P1957" t="s">
        <v>2208</v>
      </c>
      <c r="Q1957" t="s">
        <v>2208</v>
      </c>
      <c r="R1957" t="s">
        <v>2208</v>
      </c>
    </row>
    <row r="1958" spans="1:18">
      <c r="A1958" t="s">
        <v>2237</v>
      </c>
      <c r="B1958" t="s">
        <v>17897</v>
      </c>
      <c r="C1958">
        <v>45839</v>
      </c>
      <c r="D1958" t="s">
        <v>7263</v>
      </c>
      <c r="E1958" t="s">
        <v>17898</v>
      </c>
      <c r="F1958">
        <v>45838</v>
      </c>
      <c r="G1958" t="s">
        <v>2208</v>
      </c>
      <c r="H1958" t="s">
        <v>7834</v>
      </c>
      <c r="I1958" t="s">
        <v>19589</v>
      </c>
      <c r="J1958">
        <v>1</v>
      </c>
      <c r="K1958">
        <v>104.61</v>
      </c>
      <c r="L1958" t="s">
        <v>2917</v>
      </c>
      <c r="M1958">
        <v>104.61</v>
      </c>
      <c r="N1958" t="s">
        <v>2917</v>
      </c>
      <c r="O1958" t="s">
        <v>2208</v>
      </c>
      <c r="P1958" t="s">
        <v>2208</v>
      </c>
      <c r="Q1958" t="s">
        <v>2208</v>
      </c>
      <c r="R1958" t="s">
        <v>2208</v>
      </c>
    </row>
    <row r="1959" spans="1:18">
      <c r="A1959" t="s">
        <v>2237</v>
      </c>
      <c r="B1959" t="s">
        <v>17897</v>
      </c>
      <c r="C1959">
        <v>45839</v>
      </c>
      <c r="D1959" t="s">
        <v>7263</v>
      </c>
      <c r="E1959" t="s">
        <v>17898</v>
      </c>
      <c r="F1959">
        <v>45838</v>
      </c>
      <c r="G1959" t="s">
        <v>2208</v>
      </c>
      <c r="H1959" t="s">
        <v>7834</v>
      </c>
      <c r="I1959" t="s">
        <v>19590</v>
      </c>
      <c r="J1959">
        <v>1</v>
      </c>
      <c r="K1959">
        <v>104.61</v>
      </c>
      <c r="L1959" t="s">
        <v>2917</v>
      </c>
      <c r="M1959">
        <v>104.61</v>
      </c>
      <c r="N1959" t="s">
        <v>2917</v>
      </c>
      <c r="O1959" t="s">
        <v>2208</v>
      </c>
      <c r="P1959" t="s">
        <v>2208</v>
      </c>
      <c r="Q1959" t="s">
        <v>2208</v>
      </c>
      <c r="R1959" t="s">
        <v>2208</v>
      </c>
    </row>
    <row r="1960" spans="1:18">
      <c r="A1960" t="s">
        <v>2237</v>
      </c>
      <c r="B1960" t="s">
        <v>17897</v>
      </c>
      <c r="C1960">
        <v>45839</v>
      </c>
      <c r="D1960" t="s">
        <v>7263</v>
      </c>
      <c r="E1960" t="s">
        <v>17898</v>
      </c>
      <c r="F1960">
        <v>45838</v>
      </c>
      <c r="G1960" t="s">
        <v>2208</v>
      </c>
      <c r="H1960" t="s">
        <v>7834</v>
      </c>
      <c r="I1960" t="s">
        <v>19591</v>
      </c>
      <c r="J1960">
        <v>1</v>
      </c>
      <c r="K1960">
        <v>104.61</v>
      </c>
      <c r="L1960" t="s">
        <v>2917</v>
      </c>
      <c r="M1960">
        <v>104.61</v>
      </c>
      <c r="N1960" t="s">
        <v>2917</v>
      </c>
      <c r="O1960" t="s">
        <v>2208</v>
      </c>
      <c r="P1960" t="s">
        <v>2208</v>
      </c>
      <c r="Q1960" t="s">
        <v>2208</v>
      </c>
      <c r="R1960" t="s">
        <v>2208</v>
      </c>
    </row>
    <row r="1961" spans="1:18">
      <c r="A1961" t="s">
        <v>2237</v>
      </c>
      <c r="B1961" t="s">
        <v>17897</v>
      </c>
      <c r="C1961">
        <v>45839</v>
      </c>
      <c r="D1961" t="s">
        <v>7263</v>
      </c>
      <c r="E1961" t="s">
        <v>17898</v>
      </c>
      <c r="F1961">
        <v>45838</v>
      </c>
      <c r="G1961" t="s">
        <v>2208</v>
      </c>
      <c r="H1961" t="s">
        <v>7834</v>
      </c>
      <c r="I1961" t="s">
        <v>19592</v>
      </c>
      <c r="J1961">
        <v>1</v>
      </c>
      <c r="K1961">
        <v>104.61</v>
      </c>
      <c r="L1961" t="s">
        <v>2917</v>
      </c>
      <c r="M1961">
        <v>104.61</v>
      </c>
      <c r="N1961" t="s">
        <v>2917</v>
      </c>
      <c r="O1961" t="s">
        <v>2208</v>
      </c>
      <c r="P1961" t="s">
        <v>2208</v>
      </c>
      <c r="Q1961" t="s">
        <v>2208</v>
      </c>
      <c r="R1961" t="s">
        <v>2208</v>
      </c>
    </row>
    <row r="1962" spans="1:18">
      <c r="A1962" t="s">
        <v>2237</v>
      </c>
      <c r="B1962" t="s">
        <v>17897</v>
      </c>
      <c r="C1962">
        <v>45839</v>
      </c>
      <c r="D1962" t="s">
        <v>7263</v>
      </c>
      <c r="E1962" t="s">
        <v>17898</v>
      </c>
      <c r="F1962">
        <v>45838</v>
      </c>
      <c r="G1962" t="s">
        <v>2208</v>
      </c>
      <c r="H1962" t="s">
        <v>7834</v>
      </c>
      <c r="I1962" t="s">
        <v>19593</v>
      </c>
      <c r="J1962">
        <v>1</v>
      </c>
      <c r="K1962">
        <v>104.61</v>
      </c>
      <c r="L1962" t="s">
        <v>2917</v>
      </c>
      <c r="M1962">
        <v>104.61</v>
      </c>
      <c r="N1962" t="s">
        <v>2917</v>
      </c>
      <c r="O1962" t="s">
        <v>2208</v>
      </c>
      <c r="P1962" t="s">
        <v>2208</v>
      </c>
      <c r="Q1962" t="s">
        <v>2208</v>
      </c>
      <c r="R1962" t="s">
        <v>2208</v>
      </c>
    </row>
    <row r="1963" spans="1:18">
      <c r="A1963" t="s">
        <v>2237</v>
      </c>
      <c r="B1963" t="s">
        <v>17897</v>
      </c>
      <c r="C1963">
        <v>45839</v>
      </c>
      <c r="D1963" t="s">
        <v>7263</v>
      </c>
      <c r="E1963" t="s">
        <v>17898</v>
      </c>
      <c r="F1963">
        <v>45838</v>
      </c>
      <c r="G1963" t="s">
        <v>2208</v>
      </c>
      <c r="H1963" t="s">
        <v>7834</v>
      </c>
      <c r="I1963" t="s">
        <v>19594</v>
      </c>
      <c r="J1963">
        <v>1</v>
      </c>
      <c r="K1963">
        <v>104.61</v>
      </c>
      <c r="L1963" t="s">
        <v>2917</v>
      </c>
      <c r="M1963">
        <v>104.61</v>
      </c>
      <c r="N1963" t="s">
        <v>2917</v>
      </c>
      <c r="O1963" t="s">
        <v>2208</v>
      </c>
      <c r="P1963" t="s">
        <v>2208</v>
      </c>
      <c r="Q1963" t="s">
        <v>2208</v>
      </c>
      <c r="R1963" t="s">
        <v>2208</v>
      </c>
    </row>
    <row r="1964" spans="1:18">
      <c r="A1964" t="s">
        <v>2237</v>
      </c>
      <c r="B1964" t="s">
        <v>17897</v>
      </c>
      <c r="C1964">
        <v>45839</v>
      </c>
      <c r="D1964" t="s">
        <v>7263</v>
      </c>
      <c r="E1964" t="s">
        <v>17898</v>
      </c>
      <c r="F1964">
        <v>45838</v>
      </c>
      <c r="G1964" t="s">
        <v>2208</v>
      </c>
      <c r="H1964" t="s">
        <v>7834</v>
      </c>
      <c r="I1964" t="s">
        <v>19595</v>
      </c>
      <c r="J1964">
        <v>2</v>
      </c>
      <c r="K1964">
        <v>209.22</v>
      </c>
      <c r="L1964" t="s">
        <v>2917</v>
      </c>
      <c r="M1964">
        <v>209.22</v>
      </c>
      <c r="N1964" t="s">
        <v>2917</v>
      </c>
      <c r="O1964" t="s">
        <v>2208</v>
      </c>
      <c r="P1964" t="s">
        <v>2208</v>
      </c>
      <c r="Q1964" t="s">
        <v>2208</v>
      </c>
      <c r="R1964" t="s">
        <v>2208</v>
      </c>
    </row>
    <row r="1965" spans="1:18">
      <c r="A1965" t="s">
        <v>2237</v>
      </c>
      <c r="B1965" t="s">
        <v>17897</v>
      </c>
      <c r="C1965">
        <v>45839</v>
      </c>
      <c r="D1965" t="s">
        <v>7263</v>
      </c>
      <c r="E1965" t="s">
        <v>17898</v>
      </c>
      <c r="F1965">
        <v>45838</v>
      </c>
      <c r="G1965" t="s">
        <v>2208</v>
      </c>
      <c r="H1965" t="s">
        <v>7834</v>
      </c>
      <c r="I1965" t="s">
        <v>19596</v>
      </c>
      <c r="J1965">
        <v>2</v>
      </c>
      <c r="K1965">
        <v>209.22</v>
      </c>
      <c r="L1965" t="s">
        <v>2917</v>
      </c>
      <c r="M1965">
        <v>209.22</v>
      </c>
      <c r="N1965" t="s">
        <v>2917</v>
      </c>
      <c r="O1965" t="s">
        <v>2208</v>
      </c>
      <c r="P1965" t="s">
        <v>2208</v>
      </c>
      <c r="Q1965" t="s">
        <v>2208</v>
      </c>
      <c r="R1965" t="s">
        <v>2208</v>
      </c>
    </row>
    <row r="1966" spans="1:18">
      <c r="A1966" t="s">
        <v>2237</v>
      </c>
      <c r="B1966" t="s">
        <v>17897</v>
      </c>
      <c r="C1966">
        <v>45839</v>
      </c>
      <c r="D1966" t="s">
        <v>7263</v>
      </c>
      <c r="E1966" t="s">
        <v>17898</v>
      </c>
      <c r="F1966">
        <v>45838</v>
      </c>
      <c r="G1966" t="s">
        <v>2208</v>
      </c>
      <c r="H1966" t="s">
        <v>7834</v>
      </c>
      <c r="I1966" t="s">
        <v>19597</v>
      </c>
      <c r="J1966">
        <v>2</v>
      </c>
      <c r="K1966">
        <v>209.22</v>
      </c>
      <c r="L1966" t="s">
        <v>2917</v>
      </c>
      <c r="M1966">
        <v>209.22</v>
      </c>
      <c r="N1966" t="s">
        <v>2917</v>
      </c>
      <c r="O1966" t="s">
        <v>2208</v>
      </c>
      <c r="P1966" t="s">
        <v>2208</v>
      </c>
      <c r="Q1966" t="s">
        <v>2208</v>
      </c>
      <c r="R1966" t="s">
        <v>2208</v>
      </c>
    </row>
    <row r="1967" spans="1:18">
      <c r="A1967" t="s">
        <v>2237</v>
      </c>
      <c r="B1967" t="s">
        <v>17897</v>
      </c>
      <c r="C1967">
        <v>45839</v>
      </c>
      <c r="D1967" t="s">
        <v>7263</v>
      </c>
      <c r="E1967" t="s">
        <v>17898</v>
      </c>
      <c r="F1967">
        <v>45838</v>
      </c>
      <c r="G1967" t="s">
        <v>2208</v>
      </c>
      <c r="H1967" t="s">
        <v>7834</v>
      </c>
      <c r="I1967" t="s">
        <v>19598</v>
      </c>
      <c r="J1967">
        <v>1</v>
      </c>
      <c r="K1967">
        <v>104.61</v>
      </c>
      <c r="L1967" t="s">
        <v>2917</v>
      </c>
      <c r="M1967">
        <v>104.61</v>
      </c>
      <c r="N1967" t="s">
        <v>2917</v>
      </c>
      <c r="O1967" t="s">
        <v>2208</v>
      </c>
      <c r="P1967" t="s">
        <v>2208</v>
      </c>
      <c r="Q1967" t="s">
        <v>2208</v>
      </c>
      <c r="R1967" t="s">
        <v>2208</v>
      </c>
    </row>
    <row r="1968" spans="1:18">
      <c r="A1968" t="s">
        <v>2237</v>
      </c>
      <c r="B1968" t="s">
        <v>17897</v>
      </c>
      <c r="C1968">
        <v>45839</v>
      </c>
      <c r="D1968" t="s">
        <v>7263</v>
      </c>
      <c r="E1968" t="s">
        <v>17898</v>
      </c>
      <c r="F1968">
        <v>45838</v>
      </c>
      <c r="G1968" t="s">
        <v>2208</v>
      </c>
      <c r="H1968" t="s">
        <v>7834</v>
      </c>
      <c r="I1968" t="s">
        <v>19599</v>
      </c>
      <c r="J1968">
        <v>1</v>
      </c>
      <c r="K1968">
        <v>104.61</v>
      </c>
      <c r="L1968" t="s">
        <v>2917</v>
      </c>
      <c r="M1968">
        <v>104.61</v>
      </c>
      <c r="N1968" t="s">
        <v>2917</v>
      </c>
      <c r="O1968" t="s">
        <v>2208</v>
      </c>
      <c r="P1968" t="s">
        <v>2208</v>
      </c>
      <c r="Q1968" t="s">
        <v>2208</v>
      </c>
      <c r="R1968" t="s">
        <v>2208</v>
      </c>
    </row>
    <row r="1969" spans="1:18">
      <c r="A1969" t="s">
        <v>2237</v>
      </c>
      <c r="B1969" t="s">
        <v>17897</v>
      </c>
      <c r="C1969">
        <v>45839</v>
      </c>
      <c r="D1969" t="s">
        <v>7263</v>
      </c>
      <c r="E1969" t="s">
        <v>17898</v>
      </c>
      <c r="F1969">
        <v>45838</v>
      </c>
      <c r="G1969" t="s">
        <v>2208</v>
      </c>
      <c r="H1969" t="s">
        <v>7834</v>
      </c>
      <c r="I1969" t="s">
        <v>19600</v>
      </c>
      <c r="J1969">
        <v>3</v>
      </c>
      <c r="K1969">
        <v>313.83</v>
      </c>
      <c r="L1969" t="s">
        <v>2917</v>
      </c>
      <c r="M1969">
        <v>313.83</v>
      </c>
      <c r="N1969" t="s">
        <v>2917</v>
      </c>
      <c r="O1969" t="s">
        <v>2208</v>
      </c>
      <c r="P1969" t="s">
        <v>2208</v>
      </c>
      <c r="Q1969" t="s">
        <v>2208</v>
      </c>
      <c r="R1969" t="s">
        <v>2208</v>
      </c>
    </row>
    <row r="1970" spans="1:18">
      <c r="A1970" t="s">
        <v>2237</v>
      </c>
      <c r="B1970" t="s">
        <v>17897</v>
      </c>
      <c r="C1970">
        <v>45839</v>
      </c>
      <c r="D1970" t="s">
        <v>7263</v>
      </c>
      <c r="E1970" t="s">
        <v>17898</v>
      </c>
      <c r="F1970">
        <v>45838</v>
      </c>
      <c r="G1970" t="s">
        <v>2208</v>
      </c>
      <c r="H1970" t="s">
        <v>7834</v>
      </c>
      <c r="I1970" t="s">
        <v>19601</v>
      </c>
      <c r="J1970">
        <v>2</v>
      </c>
      <c r="K1970">
        <v>209.22</v>
      </c>
      <c r="L1970" t="s">
        <v>2917</v>
      </c>
      <c r="M1970">
        <v>209.22</v>
      </c>
      <c r="N1970" t="s">
        <v>2917</v>
      </c>
      <c r="O1970" t="s">
        <v>2208</v>
      </c>
      <c r="P1970" t="s">
        <v>2208</v>
      </c>
      <c r="Q1970" t="s">
        <v>2208</v>
      </c>
      <c r="R1970" t="s">
        <v>2208</v>
      </c>
    </row>
    <row r="1971" spans="1:18">
      <c r="A1971" t="s">
        <v>2237</v>
      </c>
      <c r="B1971" t="s">
        <v>17897</v>
      </c>
      <c r="C1971">
        <v>45839</v>
      </c>
      <c r="D1971" t="s">
        <v>7263</v>
      </c>
      <c r="E1971" t="s">
        <v>17898</v>
      </c>
      <c r="F1971">
        <v>45838</v>
      </c>
      <c r="G1971" t="s">
        <v>2208</v>
      </c>
      <c r="H1971" t="s">
        <v>7834</v>
      </c>
      <c r="I1971" t="s">
        <v>19602</v>
      </c>
      <c r="J1971">
        <v>1</v>
      </c>
      <c r="K1971">
        <v>104.61</v>
      </c>
      <c r="L1971" t="s">
        <v>2917</v>
      </c>
      <c r="M1971">
        <v>104.61</v>
      </c>
      <c r="N1971" t="s">
        <v>2917</v>
      </c>
      <c r="O1971" t="s">
        <v>2208</v>
      </c>
      <c r="P1971" t="s">
        <v>2208</v>
      </c>
      <c r="Q1971" t="s">
        <v>2208</v>
      </c>
      <c r="R1971" t="s">
        <v>2208</v>
      </c>
    </row>
    <row r="1972" spans="1:18">
      <c r="A1972" t="s">
        <v>2237</v>
      </c>
      <c r="B1972" t="s">
        <v>17897</v>
      </c>
      <c r="C1972">
        <v>45839</v>
      </c>
      <c r="D1972" t="s">
        <v>7263</v>
      </c>
      <c r="E1972" t="s">
        <v>17898</v>
      </c>
      <c r="F1972">
        <v>45838</v>
      </c>
      <c r="G1972" t="s">
        <v>2208</v>
      </c>
      <c r="H1972" t="s">
        <v>7834</v>
      </c>
      <c r="I1972" t="s">
        <v>19603</v>
      </c>
      <c r="J1972">
        <v>1</v>
      </c>
      <c r="K1972">
        <v>104.61</v>
      </c>
      <c r="L1972" t="s">
        <v>2917</v>
      </c>
      <c r="M1972">
        <v>104.61</v>
      </c>
      <c r="N1972" t="s">
        <v>2917</v>
      </c>
      <c r="O1972" t="s">
        <v>2208</v>
      </c>
      <c r="P1972" t="s">
        <v>2208</v>
      </c>
      <c r="Q1972" t="s">
        <v>2208</v>
      </c>
      <c r="R1972" t="s">
        <v>2208</v>
      </c>
    </row>
    <row r="1973" spans="1:18">
      <c r="A1973" t="s">
        <v>2237</v>
      </c>
      <c r="B1973" t="s">
        <v>17897</v>
      </c>
      <c r="C1973">
        <v>45839</v>
      </c>
      <c r="D1973" t="s">
        <v>7263</v>
      </c>
      <c r="E1973" t="s">
        <v>17898</v>
      </c>
      <c r="F1973">
        <v>45838</v>
      </c>
      <c r="G1973" t="s">
        <v>2208</v>
      </c>
      <c r="H1973" t="s">
        <v>7834</v>
      </c>
      <c r="I1973" t="s">
        <v>19604</v>
      </c>
      <c r="J1973">
        <v>1</v>
      </c>
      <c r="K1973">
        <v>104.61</v>
      </c>
      <c r="L1973" t="s">
        <v>2917</v>
      </c>
      <c r="M1973">
        <v>104.61</v>
      </c>
      <c r="N1973" t="s">
        <v>2917</v>
      </c>
      <c r="O1973" t="s">
        <v>2208</v>
      </c>
      <c r="P1973" t="s">
        <v>2208</v>
      </c>
      <c r="Q1973" t="s">
        <v>2208</v>
      </c>
      <c r="R1973" t="s">
        <v>2208</v>
      </c>
    </row>
    <row r="1974" spans="1:18">
      <c r="A1974" t="s">
        <v>2254</v>
      </c>
      <c r="B1974" t="s">
        <v>17897</v>
      </c>
      <c r="C1974">
        <v>45839</v>
      </c>
      <c r="D1974" t="s">
        <v>7263</v>
      </c>
      <c r="E1974" t="s">
        <v>17898</v>
      </c>
      <c r="F1974">
        <v>45838</v>
      </c>
      <c r="G1974" t="s">
        <v>2208</v>
      </c>
      <c r="H1974" t="s">
        <v>7834</v>
      </c>
      <c r="I1974" t="s">
        <v>19605</v>
      </c>
      <c r="J1974">
        <v>0.5</v>
      </c>
      <c r="K1974">
        <v>52.31</v>
      </c>
      <c r="L1974" t="s">
        <v>2917</v>
      </c>
      <c r="M1974">
        <v>52.31</v>
      </c>
      <c r="N1974" t="s">
        <v>2917</v>
      </c>
      <c r="O1974" t="s">
        <v>2208</v>
      </c>
      <c r="P1974" t="s">
        <v>2208</v>
      </c>
      <c r="Q1974" t="s">
        <v>2208</v>
      </c>
      <c r="R1974" t="s">
        <v>2208</v>
      </c>
    </row>
    <row r="1975" spans="1:18">
      <c r="A1975" t="s">
        <v>2418</v>
      </c>
      <c r="B1975" t="s">
        <v>17897</v>
      </c>
      <c r="C1975">
        <v>45839</v>
      </c>
      <c r="D1975" t="s">
        <v>7263</v>
      </c>
      <c r="E1975" t="s">
        <v>17898</v>
      </c>
      <c r="F1975">
        <v>45838</v>
      </c>
      <c r="G1975" t="s">
        <v>2208</v>
      </c>
      <c r="H1975" t="s">
        <v>7834</v>
      </c>
      <c r="I1975" t="s">
        <v>19606</v>
      </c>
      <c r="J1975">
        <v>4</v>
      </c>
      <c r="K1975">
        <v>418.44</v>
      </c>
      <c r="L1975" t="s">
        <v>2917</v>
      </c>
      <c r="M1975">
        <v>418.44</v>
      </c>
      <c r="N1975" t="s">
        <v>2917</v>
      </c>
      <c r="O1975" t="s">
        <v>2208</v>
      </c>
      <c r="P1975" t="s">
        <v>2208</v>
      </c>
      <c r="Q1975" t="s">
        <v>2208</v>
      </c>
      <c r="R1975" t="s">
        <v>2208</v>
      </c>
    </row>
    <row r="1976" spans="1:18">
      <c r="A1976" t="s">
        <v>2418</v>
      </c>
      <c r="B1976" t="s">
        <v>17897</v>
      </c>
      <c r="C1976">
        <v>45839</v>
      </c>
      <c r="D1976" t="s">
        <v>7263</v>
      </c>
      <c r="E1976" t="s">
        <v>17898</v>
      </c>
      <c r="F1976">
        <v>45838</v>
      </c>
      <c r="G1976" t="s">
        <v>2208</v>
      </c>
      <c r="H1976" t="s">
        <v>7834</v>
      </c>
      <c r="I1976" t="s">
        <v>19607</v>
      </c>
      <c r="J1976">
        <v>8</v>
      </c>
      <c r="K1976">
        <v>836.88</v>
      </c>
      <c r="L1976" t="s">
        <v>2917</v>
      </c>
      <c r="M1976">
        <v>836.88</v>
      </c>
      <c r="N1976" t="s">
        <v>2917</v>
      </c>
      <c r="O1976" t="s">
        <v>2208</v>
      </c>
      <c r="P1976" t="s">
        <v>2208</v>
      </c>
      <c r="Q1976" t="s">
        <v>2208</v>
      </c>
      <c r="R1976" t="s">
        <v>2208</v>
      </c>
    </row>
    <row r="1977" spans="1:18">
      <c r="A1977" t="s">
        <v>2418</v>
      </c>
      <c r="B1977" t="s">
        <v>17897</v>
      </c>
      <c r="C1977">
        <v>45839</v>
      </c>
      <c r="D1977" t="s">
        <v>7263</v>
      </c>
      <c r="E1977" t="s">
        <v>17898</v>
      </c>
      <c r="F1977">
        <v>45838</v>
      </c>
      <c r="G1977" t="s">
        <v>2208</v>
      </c>
      <c r="H1977" t="s">
        <v>7834</v>
      </c>
      <c r="I1977" t="s">
        <v>19608</v>
      </c>
      <c r="J1977">
        <v>8</v>
      </c>
      <c r="K1977">
        <v>836.88</v>
      </c>
      <c r="L1977" t="s">
        <v>2917</v>
      </c>
      <c r="M1977">
        <v>836.88</v>
      </c>
      <c r="N1977" t="s">
        <v>2917</v>
      </c>
      <c r="O1977" t="s">
        <v>2208</v>
      </c>
      <c r="P1977" t="s">
        <v>2208</v>
      </c>
      <c r="Q1977" t="s">
        <v>2208</v>
      </c>
      <c r="R1977" t="s">
        <v>2208</v>
      </c>
    </row>
    <row r="1978" spans="1:18">
      <c r="A1978" t="s">
        <v>2418</v>
      </c>
      <c r="B1978" t="s">
        <v>17897</v>
      </c>
      <c r="C1978">
        <v>45839</v>
      </c>
      <c r="D1978" t="s">
        <v>7263</v>
      </c>
      <c r="E1978" t="s">
        <v>17898</v>
      </c>
      <c r="F1978">
        <v>45838</v>
      </c>
      <c r="G1978" t="s">
        <v>2208</v>
      </c>
      <c r="H1978" t="s">
        <v>7834</v>
      </c>
      <c r="I1978" t="s">
        <v>19609</v>
      </c>
      <c r="J1978">
        <v>8</v>
      </c>
      <c r="K1978">
        <v>836.88</v>
      </c>
      <c r="L1978" t="s">
        <v>2917</v>
      </c>
      <c r="M1978">
        <v>836.88</v>
      </c>
      <c r="N1978" t="s">
        <v>2917</v>
      </c>
      <c r="O1978" t="s">
        <v>2208</v>
      </c>
      <c r="P1978" t="s">
        <v>2208</v>
      </c>
      <c r="Q1978" t="s">
        <v>2208</v>
      </c>
      <c r="R1978" t="s">
        <v>2208</v>
      </c>
    </row>
    <row r="1979" spans="1:18">
      <c r="A1979" t="s">
        <v>2418</v>
      </c>
      <c r="B1979" t="s">
        <v>17897</v>
      </c>
      <c r="C1979">
        <v>45839</v>
      </c>
      <c r="D1979" t="s">
        <v>7263</v>
      </c>
      <c r="E1979" t="s">
        <v>17898</v>
      </c>
      <c r="F1979">
        <v>45838</v>
      </c>
      <c r="G1979" t="s">
        <v>2208</v>
      </c>
      <c r="H1979" t="s">
        <v>7834</v>
      </c>
      <c r="I1979" t="s">
        <v>19610</v>
      </c>
      <c r="J1979">
        <v>8</v>
      </c>
      <c r="K1979">
        <v>836.88</v>
      </c>
      <c r="L1979" t="s">
        <v>2917</v>
      </c>
      <c r="M1979">
        <v>836.88</v>
      </c>
      <c r="N1979" t="s">
        <v>2917</v>
      </c>
      <c r="O1979" t="s">
        <v>2208</v>
      </c>
      <c r="P1979" t="s">
        <v>2208</v>
      </c>
      <c r="Q1979" t="s">
        <v>2208</v>
      </c>
      <c r="R1979" t="s">
        <v>2208</v>
      </c>
    </row>
    <row r="1980" spans="1:18">
      <c r="A1980" t="s">
        <v>2418</v>
      </c>
      <c r="B1980" t="s">
        <v>17897</v>
      </c>
      <c r="C1980">
        <v>45839</v>
      </c>
      <c r="D1980" t="s">
        <v>7263</v>
      </c>
      <c r="E1980" t="s">
        <v>17898</v>
      </c>
      <c r="F1980">
        <v>45838</v>
      </c>
      <c r="G1980" t="s">
        <v>2208</v>
      </c>
      <c r="H1980" t="s">
        <v>7834</v>
      </c>
      <c r="I1980" t="s">
        <v>19611</v>
      </c>
      <c r="J1980">
        <v>4</v>
      </c>
      <c r="K1980">
        <v>418.44</v>
      </c>
      <c r="L1980" t="s">
        <v>2917</v>
      </c>
      <c r="M1980">
        <v>418.44</v>
      </c>
      <c r="N1980" t="s">
        <v>2917</v>
      </c>
      <c r="O1980" t="s">
        <v>2208</v>
      </c>
      <c r="P1980" t="s">
        <v>2208</v>
      </c>
      <c r="Q1980" t="s">
        <v>2208</v>
      </c>
      <c r="R1980" t="s">
        <v>2208</v>
      </c>
    </row>
    <row r="1981" spans="1:18">
      <c r="A1981" t="s">
        <v>2418</v>
      </c>
      <c r="B1981" t="s">
        <v>17897</v>
      </c>
      <c r="C1981">
        <v>45839</v>
      </c>
      <c r="D1981" t="s">
        <v>7263</v>
      </c>
      <c r="E1981" t="s">
        <v>17898</v>
      </c>
      <c r="F1981">
        <v>45838</v>
      </c>
      <c r="G1981" t="s">
        <v>2208</v>
      </c>
      <c r="H1981" t="s">
        <v>7834</v>
      </c>
      <c r="I1981" t="s">
        <v>19612</v>
      </c>
      <c r="J1981">
        <v>8</v>
      </c>
      <c r="K1981">
        <v>836.88</v>
      </c>
      <c r="L1981" t="s">
        <v>2917</v>
      </c>
      <c r="M1981">
        <v>836.88</v>
      </c>
      <c r="N1981" t="s">
        <v>2917</v>
      </c>
      <c r="O1981" t="s">
        <v>2208</v>
      </c>
      <c r="P1981" t="s">
        <v>2208</v>
      </c>
      <c r="Q1981" t="s">
        <v>2208</v>
      </c>
      <c r="R1981" t="s">
        <v>2208</v>
      </c>
    </row>
    <row r="1982" spans="1:18">
      <c r="A1982" t="s">
        <v>2418</v>
      </c>
      <c r="B1982" t="s">
        <v>17897</v>
      </c>
      <c r="C1982">
        <v>45839</v>
      </c>
      <c r="D1982" t="s">
        <v>7263</v>
      </c>
      <c r="E1982" t="s">
        <v>17898</v>
      </c>
      <c r="F1982">
        <v>45838</v>
      </c>
      <c r="G1982" t="s">
        <v>2208</v>
      </c>
      <c r="H1982" t="s">
        <v>7834</v>
      </c>
      <c r="I1982" t="s">
        <v>19613</v>
      </c>
      <c r="J1982">
        <v>1</v>
      </c>
      <c r="K1982">
        <v>104.61</v>
      </c>
      <c r="L1982" t="s">
        <v>2917</v>
      </c>
      <c r="M1982">
        <v>104.61</v>
      </c>
      <c r="N1982" t="s">
        <v>2917</v>
      </c>
      <c r="O1982" t="s">
        <v>2208</v>
      </c>
      <c r="P1982" t="s">
        <v>2208</v>
      </c>
      <c r="Q1982" t="s">
        <v>2208</v>
      </c>
      <c r="R1982" t="s">
        <v>2208</v>
      </c>
    </row>
    <row r="1983" spans="1:18">
      <c r="A1983" t="s">
        <v>2418</v>
      </c>
      <c r="B1983" t="s">
        <v>17897</v>
      </c>
      <c r="C1983">
        <v>45839</v>
      </c>
      <c r="D1983" t="s">
        <v>7263</v>
      </c>
      <c r="E1983" t="s">
        <v>17898</v>
      </c>
      <c r="F1983">
        <v>45838</v>
      </c>
      <c r="G1983" t="s">
        <v>2208</v>
      </c>
      <c r="H1983" t="s">
        <v>7834</v>
      </c>
      <c r="I1983" t="s">
        <v>19614</v>
      </c>
      <c r="J1983">
        <v>1</v>
      </c>
      <c r="K1983">
        <v>104.61</v>
      </c>
      <c r="L1983" t="s">
        <v>2917</v>
      </c>
      <c r="M1983">
        <v>104.61</v>
      </c>
      <c r="N1983" t="s">
        <v>2917</v>
      </c>
      <c r="O1983" t="s">
        <v>2208</v>
      </c>
      <c r="P1983" t="s">
        <v>2208</v>
      </c>
      <c r="Q1983" t="s">
        <v>2208</v>
      </c>
      <c r="R1983" t="s">
        <v>2208</v>
      </c>
    </row>
    <row r="1984" spans="1:18">
      <c r="A1984" t="s">
        <v>2418</v>
      </c>
      <c r="B1984" t="s">
        <v>17897</v>
      </c>
      <c r="C1984">
        <v>45839</v>
      </c>
      <c r="D1984" t="s">
        <v>7263</v>
      </c>
      <c r="E1984" t="s">
        <v>17898</v>
      </c>
      <c r="F1984">
        <v>45838</v>
      </c>
      <c r="G1984" t="s">
        <v>2208</v>
      </c>
      <c r="H1984" t="s">
        <v>7834</v>
      </c>
      <c r="I1984" t="s">
        <v>19615</v>
      </c>
      <c r="J1984">
        <v>1</v>
      </c>
      <c r="K1984">
        <v>104.61</v>
      </c>
      <c r="L1984" t="s">
        <v>2917</v>
      </c>
      <c r="M1984">
        <v>104.61</v>
      </c>
      <c r="N1984" t="s">
        <v>2917</v>
      </c>
      <c r="O1984" t="s">
        <v>2208</v>
      </c>
      <c r="P1984" t="s">
        <v>2208</v>
      </c>
      <c r="Q1984" t="s">
        <v>2208</v>
      </c>
      <c r="R1984" t="s">
        <v>2208</v>
      </c>
    </row>
    <row r="1985" spans="1:18">
      <c r="A1985" t="s">
        <v>2418</v>
      </c>
      <c r="B1985" t="s">
        <v>17897</v>
      </c>
      <c r="C1985">
        <v>45839</v>
      </c>
      <c r="D1985" t="s">
        <v>7263</v>
      </c>
      <c r="E1985" t="s">
        <v>17898</v>
      </c>
      <c r="F1985">
        <v>45838</v>
      </c>
      <c r="G1985" t="s">
        <v>2208</v>
      </c>
      <c r="H1985" t="s">
        <v>7834</v>
      </c>
      <c r="I1985" t="s">
        <v>19616</v>
      </c>
      <c r="J1985">
        <v>1</v>
      </c>
      <c r="K1985">
        <v>104.61</v>
      </c>
      <c r="L1985" t="s">
        <v>2917</v>
      </c>
      <c r="M1985">
        <v>104.61</v>
      </c>
      <c r="N1985" t="s">
        <v>2917</v>
      </c>
      <c r="O1985" t="s">
        <v>2208</v>
      </c>
      <c r="P1985" t="s">
        <v>2208</v>
      </c>
      <c r="Q1985" t="s">
        <v>2208</v>
      </c>
      <c r="R1985" t="s">
        <v>2208</v>
      </c>
    </row>
    <row r="1986" spans="1:18">
      <c r="A1986" t="s">
        <v>2418</v>
      </c>
      <c r="B1986" t="s">
        <v>17897</v>
      </c>
      <c r="C1986">
        <v>45839</v>
      </c>
      <c r="D1986" t="s">
        <v>7263</v>
      </c>
      <c r="E1986" t="s">
        <v>17898</v>
      </c>
      <c r="F1986">
        <v>45838</v>
      </c>
      <c r="G1986" t="s">
        <v>2208</v>
      </c>
      <c r="H1986" t="s">
        <v>7834</v>
      </c>
      <c r="I1986" t="s">
        <v>19617</v>
      </c>
      <c r="J1986">
        <v>1</v>
      </c>
      <c r="K1986">
        <v>104.61</v>
      </c>
      <c r="L1986" t="s">
        <v>2917</v>
      </c>
      <c r="M1986">
        <v>104.61</v>
      </c>
      <c r="N1986" t="s">
        <v>2917</v>
      </c>
      <c r="O1986" t="s">
        <v>2208</v>
      </c>
      <c r="P1986" t="s">
        <v>2208</v>
      </c>
      <c r="Q1986" t="s">
        <v>2208</v>
      </c>
      <c r="R1986" t="s">
        <v>2208</v>
      </c>
    </row>
    <row r="1987" spans="1:18">
      <c r="A1987" t="s">
        <v>2418</v>
      </c>
      <c r="B1987" t="s">
        <v>17897</v>
      </c>
      <c r="C1987">
        <v>45839</v>
      </c>
      <c r="D1987" t="s">
        <v>7263</v>
      </c>
      <c r="E1987" t="s">
        <v>17898</v>
      </c>
      <c r="F1987">
        <v>45838</v>
      </c>
      <c r="G1987" t="s">
        <v>2208</v>
      </c>
      <c r="H1987" t="s">
        <v>7834</v>
      </c>
      <c r="I1987" t="s">
        <v>19618</v>
      </c>
      <c r="J1987">
        <v>1</v>
      </c>
      <c r="K1987">
        <v>104.61</v>
      </c>
      <c r="L1987" t="s">
        <v>2917</v>
      </c>
      <c r="M1987">
        <v>104.61</v>
      </c>
      <c r="N1987" t="s">
        <v>2917</v>
      </c>
      <c r="O1987" t="s">
        <v>2208</v>
      </c>
      <c r="P1987" t="s">
        <v>2208</v>
      </c>
      <c r="Q1987" t="s">
        <v>2208</v>
      </c>
      <c r="R1987" t="s">
        <v>2208</v>
      </c>
    </row>
    <row r="1988" spans="1:18">
      <c r="A1988" t="s">
        <v>2418</v>
      </c>
      <c r="B1988" t="s">
        <v>17897</v>
      </c>
      <c r="C1988">
        <v>45839</v>
      </c>
      <c r="D1988" t="s">
        <v>7263</v>
      </c>
      <c r="E1988" t="s">
        <v>17898</v>
      </c>
      <c r="F1988">
        <v>45838</v>
      </c>
      <c r="G1988" t="s">
        <v>2208</v>
      </c>
      <c r="H1988" t="s">
        <v>7834</v>
      </c>
      <c r="I1988" t="s">
        <v>19619</v>
      </c>
      <c r="J1988">
        <v>1</v>
      </c>
      <c r="K1988">
        <v>104.61</v>
      </c>
      <c r="L1988" t="s">
        <v>2917</v>
      </c>
      <c r="M1988">
        <v>104.61</v>
      </c>
      <c r="N1988" t="s">
        <v>2917</v>
      </c>
      <c r="O1988" t="s">
        <v>2208</v>
      </c>
      <c r="P1988" t="s">
        <v>2208</v>
      </c>
      <c r="Q1988" t="s">
        <v>2208</v>
      </c>
      <c r="R1988" t="s">
        <v>2208</v>
      </c>
    </row>
    <row r="1989" spans="1:18">
      <c r="A1989" t="s">
        <v>2418</v>
      </c>
      <c r="B1989" t="s">
        <v>17897</v>
      </c>
      <c r="C1989">
        <v>45839</v>
      </c>
      <c r="D1989" t="s">
        <v>7263</v>
      </c>
      <c r="E1989" t="s">
        <v>17898</v>
      </c>
      <c r="F1989">
        <v>45838</v>
      </c>
      <c r="G1989" t="s">
        <v>2208</v>
      </c>
      <c r="H1989" t="s">
        <v>7834</v>
      </c>
      <c r="I1989" t="s">
        <v>19620</v>
      </c>
      <c r="J1989">
        <v>4</v>
      </c>
      <c r="K1989">
        <v>418.44</v>
      </c>
      <c r="L1989" t="s">
        <v>2917</v>
      </c>
      <c r="M1989">
        <v>418.44</v>
      </c>
      <c r="N1989" t="s">
        <v>2917</v>
      </c>
      <c r="O1989" t="s">
        <v>2208</v>
      </c>
      <c r="P1989" t="s">
        <v>2208</v>
      </c>
      <c r="Q1989" t="s">
        <v>2208</v>
      </c>
      <c r="R1989" t="s">
        <v>2208</v>
      </c>
    </row>
    <row r="1990" spans="1:18">
      <c r="A1990" t="s">
        <v>2418</v>
      </c>
      <c r="B1990" t="s">
        <v>17897</v>
      </c>
      <c r="C1990">
        <v>45839</v>
      </c>
      <c r="D1990" t="s">
        <v>7263</v>
      </c>
      <c r="E1990" t="s">
        <v>17898</v>
      </c>
      <c r="F1990">
        <v>45838</v>
      </c>
      <c r="G1990" t="s">
        <v>2208</v>
      </c>
      <c r="H1990" t="s">
        <v>7834</v>
      </c>
      <c r="I1990" t="s">
        <v>19621</v>
      </c>
      <c r="J1990">
        <v>4</v>
      </c>
      <c r="K1990">
        <v>418.44</v>
      </c>
      <c r="L1990" t="s">
        <v>2917</v>
      </c>
      <c r="M1990">
        <v>418.44</v>
      </c>
      <c r="N1990" t="s">
        <v>2917</v>
      </c>
      <c r="O1990" t="s">
        <v>2208</v>
      </c>
      <c r="P1990" t="s">
        <v>2208</v>
      </c>
      <c r="Q1990" t="s">
        <v>2208</v>
      </c>
      <c r="R1990" t="s">
        <v>2208</v>
      </c>
    </row>
    <row r="1991" spans="1:18">
      <c r="A1991" t="s">
        <v>2418</v>
      </c>
      <c r="B1991" t="s">
        <v>17897</v>
      </c>
      <c r="C1991">
        <v>45839</v>
      </c>
      <c r="D1991" t="s">
        <v>7263</v>
      </c>
      <c r="E1991" t="s">
        <v>17898</v>
      </c>
      <c r="F1991">
        <v>45838</v>
      </c>
      <c r="G1991" t="s">
        <v>2208</v>
      </c>
      <c r="H1991" t="s">
        <v>7834</v>
      </c>
      <c r="I1991" t="s">
        <v>19622</v>
      </c>
      <c r="J1991">
        <v>1</v>
      </c>
      <c r="K1991">
        <v>104.61</v>
      </c>
      <c r="L1991" t="s">
        <v>2917</v>
      </c>
      <c r="M1991">
        <v>104.61</v>
      </c>
      <c r="N1991" t="s">
        <v>2917</v>
      </c>
      <c r="O1991" t="s">
        <v>2208</v>
      </c>
      <c r="P1991" t="s">
        <v>2208</v>
      </c>
      <c r="Q1991" t="s">
        <v>2208</v>
      </c>
      <c r="R1991" t="s">
        <v>2208</v>
      </c>
    </row>
    <row r="1992" spans="1:18">
      <c r="A1992" t="s">
        <v>2418</v>
      </c>
      <c r="B1992" t="s">
        <v>17897</v>
      </c>
      <c r="C1992">
        <v>45839</v>
      </c>
      <c r="D1992" t="s">
        <v>7263</v>
      </c>
      <c r="E1992" t="s">
        <v>17898</v>
      </c>
      <c r="F1992">
        <v>45838</v>
      </c>
      <c r="G1992" t="s">
        <v>2208</v>
      </c>
      <c r="H1992" t="s">
        <v>7834</v>
      </c>
      <c r="I1992" t="s">
        <v>19623</v>
      </c>
      <c r="J1992">
        <v>1</v>
      </c>
      <c r="K1992">
        <v>104.61</v>
      </c>
      <c r="L1992" t="s">
        <v>2917</v>
      </c>
      <c r="M1992">
        <v>104.61</v>
      </c>
      <c r="N1992" t="s">
        <v>2917</v>
      </c>
      <c r="O1992" t="s">
        <v>2208</v>
      </c>
      <c r="P1992" t="s">
        <v>2208</v>
      </c>
      <c r="Q1992" t="s">
        <v>2208</v>
      </c>
      <c r="R1992" t="s">
        <v>2208</v>
      </c>
    </row>
    <row r="1993" spans="1:18">
      <c r="A1993" t="s">
        <v>2418</v>
      </c>
      <c r="B1993" t="s">
        <v>17897</v>
      </c>
      <c r="C1993">
        <v>45839</v>
      </c>
      <c r="D1993" t="s">
        <v>7263</v>
      </c>
      <c r="E1993" t="s">
        <v>17898</v>
      </c>
      <c r="F1993">
        <v>45838</v>
      </c>
      <c r="G1993" t="s">
        <v>2208</v>
      </c>
      <c r="H1993" t="s">
        <v>7834</v>
      </c>
      <c r="I1993" t="s">
        <v>19624</v>
      </c>
      <c r="J1993">
        <v>1</v>
      </c>
      <c r="K1993">
        <v>104.61</v>
      </c>
      <c r="L1993" t="s">
        <v>2917</v>
      </c>
      <c r="M1993">
        <v>104.61</v>
      </c>
      <c r="N1993" t="s">
        <v>2917</v>
      </c>
      <c r="O1993" t="s">
        <v>2208</v>
      </c>
      <c r="P1993" t="s">
        <v>2208</v>
      </c>
      <c r="Q1993" t="s">
        <v>2208</v>
      </c>
      <c r="R1993" t="s">
        <v>2208</v>
      </c>
    </row>
    <row r="1994" spans="1:18">
      <c r="A1994" t="s">
        <v>2418</v>
      </c>
      <c r="B1994" t="s">
        <v>17897</v>
      </c>
      <c r="C1994">
        <v>45839</v>
      </c>
      <c r="D1994" t="s">
        <v>7263</v>
      </c>
      <c r="E1994" t="s">
        <v>17898</v>
      </c>
      <c r="F1994">
        <v>45838</v>
      </c>
      <c r="G1994" t="s">
        <v>2208</v>
      </c>
      <c r="H1994" t="s">
        <v>7834</v>
      </c>
      <c r="I1994" t="s">
        <v>19625</v>
      </c>
      <c r="J1994">
        <v>1</v>
      </c>
      <c r="K1994">
        <v>104.61</v>
      </c>
      <c r="L1994" t="s">
        <v>2917</v>
      </c>
      <c r="M1994">
        <v>104.61</v>
      </c>
      <c r="N1994" t="s">
        <v>2917</v>
      </c>
      <c r="O1994" t="s">
        <v>2208</v>
      </c>
      <c r="P1994" t="s">
        <v>2208</v>
      </c>
      <c r="Q1994" t="s">
        <v>2208</v>
      </c>
      <c r="R1994" t="s">
        <v>2208</v>
      </c>
    </row>
    <row r="1995" spans="1:18">
      <c r="A1995" t="s">
        <v>2418</v>
      </c>
      <c r="B1995" t="s">
        <v>17897</v>
      </c>
      <c r="C1995">
        <v>45839</v>
      </c>
      <c r="D1995" t="s">
        <v>7263</v>
      </c>
      <c r="E1995" t="s">
        <v>17898</v>
      </c>
      <c r="F1995">
        <v>45838</v>
      </c>
      <c r="G1995" t="s">
        <v>2208</v>
      </c>
      <c r="H1995" t="s">
        <v>7834</v>
      </c>
      <c r="I1995" t="s">
        <v>19626</v>
      </c>
      <c r="J1995">
        <v>1</v>
      </c>
      <c r="K1995">
        <v>104.61</v>
      </c>
      <c r="L1995" t="s">
        <v>2917</v>
      </c>
      <c r="M1995">
        <v>104.61</v>
      </c>
      <c r="N1995" t="s">
        <v>2917</v>
      </c>
      <c r="O1995" t="s">
        <v>2208</v>
      </c>
      <c r="P1995" t="s">
        <v>2208</v>
      </c>
      <c r="Q1995" t="s">
        <v>2208</v>
      </c>
      <c r="R1995" t="s">
        <v>2208</v>
      </c>
    </row>
    <row r="1996" spans="1:18">
      <c r="A1996" t="s">
        <v>2418</v>
      </c>
      <c r="B1996" t="s">
        <v>17897</v>
      </c>
      <c r="C1996">
        <v>45839</v>
      </c>
      <c r="D1996" t="s">
        <v>7263</v>
      </c>
      <c r="E1996" t="s">
        <v>17898</v>
      </c>
      <c r="F1996">
        <v>45838</v>
      </c>
      <c r="G1996" t="s">
        <v>2208</v>
      </c>
      <c r="H1996" t="s">
        <v>7834</v>
      </c>
      <c r="I1996" t="s">
        <v>19627</v>
      </c>
      <c r="J1996">
        <v>1</v>
      </c>
      <c r="K1996">
        <v>104.61</v>
      </c>
      <c r="L1996" t="s">
        <v>2917</v>
      </c>
      <c r="M1996">
        <v>104.61</v>
      </c>
      <c r="N1996" t="s">
        <v>2917</v>
      </c>
      <c r="O1996" t="s">
        <v>2208</v>
      </c>
      <c r="P1996" t="s">
        <v>2208</v>
      </c>
      <c r="Q1996" t="s">
        <v>2208</v>
      </c>
      <c r="R1996" t="s">
        <v>2208</v>
      </c>
    </row>
    <row r="1997" spans="1:18">
      <c r="A1997" t="s">
        <v>2418</v>
      </c>
      <c r="B1997" t="s">
        <v>17897</v>
      </c>
      <c r="C1997">
        <v>45839</v>
      </c>
      <c r="D1997" t="s">
        <v>7263</v>
      </c>
      <c r="E1997" t="s">
        <v>17898</v>
      </c>
      <c r="F1997">
        <v>45838</v>
      </c>
      <c r="G1997" t="s">
        <v>2208</v>
      </c>
      <c r="H1997" t="s">
        <v>7834</v>
      </c>
      <c r="I1997" t="s">
        <v>19628</v>
      </c>
      <c r="J1997">
        <v>1</v>
      </c>
      <c r="K1997">
        <v>104.61</v>
      </c>
      <c r="L1997" t="s">
        <v>2917</v>
      </c>
      <c r="M1997">
        <v>104.61</v>
      </c>
      <c r="N1997" t="s">
        <v>2917</v>
      </c>
      <c r="O1997" t="s">
        <v>2208</v>
      </c>
      <c r="P1997" t="s">
        <v>2208</v>
      </c>
      <c r="Q1997" t="s">
        <v>2208</v>
      </c>
      <c r="R1997" t="s">
        <v>2208</v>
      </c>
    </row>
    <row r="1998" spans="1:18">
      <c r="A1998" t="s">
        <v>2418</v>
      </c>
      <c r="B1998" t="s">
        <v>17897</v>
      </c>
      <c r="C1998">
        <v>45839</v>
      </c>
      <c r="D1998" t="s">
        <v>7263</v>
      </c>
      <c r="E1998" t="s">
        <v>17898</v>
      </c>
      <c r="F1998">
        <v>45838</v>
      </c>
      <c r="G1998" t="s">
        <v>2208</v>
      </c>
      <c r="H1998" t="s">
        <v>7834</v>
      </c>
      <c r="I1998" t="s">
        <v>19629</v>
      </c>
      <c r="J1998">
        <v>1</v>
      </c>
      <c r="K1998">
        <v>104.61</v>
      </c>
      <c r="L1998" t="s">
        <v>2917</v>
      </c>
      <c r="M1998">
        <v>104.61</v>
      </c>
      <c r="N1998" t="s">
        <v>2917</v>
      </c>
      <c r="O1998" t="s">
        <v>2208</v>
      </c>
      <c r="P1998" t="s">
        <v>2208</v>
      </c>
      <c r="Q1998" t="s">
        <v>2208</v>
      </c>
      <c r="R1998" t="s">
        <v>2208</v>
      </c>
    </row>
    <row r="1999" spans="1:18">
      <c r="A1999" t="s">
        <v>2418</v>
      </c>
      <c r="B1999" t="s">
        <v>17897</v>
      </c>
      <c r="C1999">
        <v>45839</v>
      </c>
      <c r="D1999" t="s">
        <v>7263</v>
      </c>
      <c r="E1999" t="s">
        <v>17898</v>
      </c>
      <c r="F1999">
        <v>45838</v>
      </c>
      <c r="G1999" t="s">
        <v>2208</v>
      </c>
      <c r="H1999" t="s">
        <v>7834</v>
      </c>
      <c r="I1999" t="s">
        <v>19630</v>
      </c>
      <c r="J1999">
        <v>1</v>
      </c>
      <c r="K1999">
        <v>104.61</v>
      </c>
      <c r="L1999" t="s">
        <v>2917</v>
      </c>
      <c r="M1999">
        <v>104.61</v>
      </c>
      <c r="N1999" t="s">
        <v>2917</v>
      </c>
      <c r="O1999" t="s">
        <v>2208</v>
      </c>
      <c r="P1999" t="s">
        <v>2208</v>
      </c>
      <c r="Q1999" t="s">
        <v>2208</v>
      </c>
      <c r="R1999" t="s">
        <v>2208</v>
      </c>
    </row>
    <row r="2000" spans="1:18">
      <c r="A2000" t="s">
        <v>2418</v>
      </c>
      <c r="B2000" t="s">
        <v>17897</v>
      </c>
      <c r="C2000">
        <v>45839</v>
      </c>
      <c r="D2000" t="s">
        <v>7263</v>
      </c>
      <c r="E2000" t="s">
        <v>17898</v>
      </c>
      <c r="F2000">
        <v>45838</v>
      </c>
      <c r="G2000" t="s">
        <v>2208</v>
      </c>
      <c r="H2000" t="s">
        <v>7834</v>
      </c>
      <c r="I2000" t="s">
        <v>19631</v>
      </c>
      <c r="J2000">
        <v>3</v>
      </c>
      <c r="K2000">
        <v>313.83</v>
      </c>
      <c r="L2000" t="s">
        <v>2917</v>
      </c>
      <c r="M2000">
        <v>313.83</v>
      </c>
      <c r="N2000" t="s">
        <v>2917</v>
      </c>
      <c r="O2000" t="s">
        <v>2208</v>
      </c>
      <c r="P2000" t="s">
        <v>2208</v>
      </c>
      <c r="Q2000" t="s">
        <v>2208</v>
      </c>
      <c r="R2000" t="s">
        <v>2208</v>
      </c>
    </row>
    <row r="2001" spans="1:18">
      <c r="A2001" t="s">
        <v>2418</v>
      </c>
      <c r="B2001" t="s">
        <v>17897</v>
      </c>
      <c r="C2001">
        <v>45839</v>
      </c>
      <c r="D2001" t="s">
        <v>7263</v>
      </c>
      <c r="E2001" t="s">
        <v>17898</v>
      </c>
      <c r="F2001">
        <v>45838</v>
      </c>
      <c r="G2001" t="s">
        <v>2208</v>
      </c>
      <c r="H2001" t="s">
        <v>7834</v>
      </c>
      <c r="I2001" t="s">
        <v>19632</v>
      </c>
      <c r="J2001">
        <v>3</v>
      </c>
      <c r="K2001">
        <v>313.83</v>
      </c>
      <c r="L2001" t="s">
        <v>2917</v>
      </c>
      <c r="M2001">
        <v>313.83</v>
      </c>
      <c r="N2001" t="s">
        <v>2917</v>
      </c>
      <c r="O2001" t="s">
        <v>2208</v>
      </c>
      <c r="P2001" t="s">
        <v>2208</v>
      </c>
      <c r="Q2001" t="s">
        <v>2208</v>
      </c>
      <c r="R2001" t="s">
        <v>2208</v>
      </c>
    </row>
    <row r="2002" spans="1:18">
      <c r="A2002" t="s">
        <v>2418</v>
      </c>
      <c r="B2002" t="s">
        <v>17897</v>
      </c>
      <c r="C2002">
        <v>45839</v>
      </c>
      <c r="D2002" t="s">
        <v>7263</v>
      </c>
      <c r="E2002" t="s">
        <v>17898</v>
      </c>
      <c r="F2002">
        <v>45838</v>
      </c>
      <c r="G2002" t="s">
        <v>2208</v>
      </c>
      <c r="H2002" t="s">
        <v>7834</v>
      </c>
      <c r="I2002" t="s">
        <v>19633</v>
      </c>
      <c r="J2002">
        <v>2</v>
      </c>
      <c r="K2002">
        <v>209.22</v>
      </c>
      <c r="L2002" t="s">
        <v>2917</v>
      </c>
      <c r="M2002">
        <v>209.22</v>
      </c>
      <c r="N2002" t="s">
        <v>2917</v>
      </c>
      <c r="O2002" t="s">
        <v>2208</v>
      </c>
      <c r="P2002" t="s">
        <v>2208</v>
      </c>
      <c r="Q2002" t="s">
        <v>2208</v>
      </c>
      <c r="R2002" t="s">
        <v>2208</v>
      </c>
    </row>
    <row r="2003" spans="1:18">
      <c r="A2003" t="s">
        <v>2418</v>
      </c>
      <c r="B2003" t="s">
        <v>17897</v>
      </c>
      <c r="C2003">
        <v>45839</v>
      </c>
      <c r="D2003" t="s">
        <v>7263</v>
      </c>
      <c r="E2003" t="s">
        <v>17898</v>
      </c>
      <c r="F2003">
        <v>45838</v>
      </c>
      <c r="G2003" t="s">
        <v>2208</v>
      </c>
      <c r="H2003" t="s">
        <v>7834</v>
      </c>
      <c r="I2003" t="s">
        <v>19634</v>
      </c>
      <c r="J2003">
        <v>1</v>
      </c>
      <c r="K2003">
        <v>104.61</v>
      </c>
      <c r="L2003" t="s">
        <v>2917</v>
      </c>
      <c r="M2003">
        <v>104.61</v>
      </c>
      <c r="N2003" t="s">
        <v>2917</v>
      </c>
      <c r="O2003" t="s">
        <v>2208</v>
      </c>
      <c r="P2003" t="s">
        <v>2208</v>
      </c>
      <c r="Q2003" t="s">
        <v>2208</v>
      </c>
      <c r="R2003" t="s">
        <v>2208</v>
      </c>
    </row>
    <row r="2004" spans="1:18">
      <c r="A2004" t="s">
        <v>2418</v>
      </c>
      <c r="B2004" t="s">
        <v>17897</v>
      </c>
      <c r="C2004">
        <v>45839</v>
      </c>
      <c r="D2004" t="s">
        <v>7263</v>
      </c>
      <c r="E2004" t="s">
        <v>17898</v>
      </c>
      <c r="F2004">
        <v>45838</v>
      </c>
      <c r="G2004" t="s">
        <v>2208</v>
      </c>
      <c r="H2004" t="s">
        <v>7834</v>
      </c>
      <c r="I2004" t="s">
        <v>19635</v>
      </c>
      <c r="J2004">
        <v>1</v>
      </c>
      <c r="K2004">
        <v>104.61</v>
      </c>
      <c r="L2004" t="s">
        <v>2917</v>
      </c>
      <c r="M2004">
        <v>104.61</v>
      </c>
      <c r="N2004" t="s">
        <v>2917</v>
      </c>
      <c r="O2004" t="s">
        <v>2208</v>
      </c>
      <c r="P2004" t="s">
        <v>2208</v>
      </c>
      <c r="Q2004" t="s">
        <v>2208</v>
      </c>
      <c r="R2004" t="s">
        <v>2208</v>
      </c>
    </row>
    <row r="2005" spans="1:18">
      <c r="A2005" t="s">
        <v>2418</v>
      </c>
      <c r="B2005" t="s">
        <v>17897</v>
      </c>
      <c r="C2005">
        <v>45839</v>
      </c>
      <c r="D2005" t="s">
        <v>7263</v>
      </c>
      <c r="E2005" t="s">
        <v>17898</v>
      </c>
      <c r="F2005">
        <v>45838</v>
      </c>
      <c r="G2005" t="s">
        <v>2208</v>
      </c>
      <c r="H2005" t="s">
        <v>7834</v>
      </c>
      <c r="I2005" t="s">
        <v>19636</v>
      </c>
      <c r="J2005">
        <v>1</v>
      </c>
      <c r="K2005">
        <v>104.61</v>
      </c>
      <c r="L2005" t="s">
        <v>2917</v>
      </c>
      <c r="M2005">
        <v>104.61</v>
      </c>
      <c r="N2005" t="s">
        <v>2917</v>
      </c>
      <c r="O2005" t="s">
        <v>2208</v>
      </c>
      <c r="P2005" t="s">
        <v>2208</v>
      </c>
      <c r="Q2005" t="s">
        <v>2208</v>
      </c>
      <c r="R2005" t="s">
        <v>2208</v>
      </c>
    </row>
    <row r="2006" spans="1:18">
      <c r="A2006" t="s">
        <v>2418</v>
      </c>
      <c r="B2006" t="s">
        <v>17897</v>
      </c>
      <c r="C2006">
        <v>45839</v>
      </c>
      <c r="D2006" t="s">
        <v>7263</v>
      </c>
      <c r="E2006" t="s">
        <v>17898</v>
      </c>
      <c r="F2006">
        <v>45838</v>
      </c>
      <c r="G2006" t="s">
        <v>2208</v>
      </c>
      <c r="H2006" t="s">
        <v>7834</v>
      </c>
      <c r="I2006" t="s">
        <v>19637</v>
      </c>
      <c r="J2006">
        <v>1</v>
      </c>
      <c r="K2006">
        <v>104.61</v>
      </c>
      <c r="L2006" t="s">
        <v>2917</v>
      </c>
      <c r="M2006">
        <v>104.61</v>
      </c>
      <c r="N2006" t="s">
        <v>2917</v>
      </c>
      <c r="O2006" t="s">
        <v>2208</v>
      </c>
      <c r="P2006" t="s">
        <v>2208</v>
      </c>
      <c r="Q2006" t="s">
        <v>2208</v>
      </c>
      <c r="R2006" t="s">
        <v>2208</v>
      </c>
    </row>
    <row r="2007" spans="1:18">
      <c r="A2007" t="s">
        <v>2418</v>
      </c>
      <c r="B2007" t="s">
        <v>17897</v>
      </c>
      <c r="C2007">
        <v>45839</v>
      </c>
      <c r="D2007" t="s">
        <v>7263</v>
      </c>
      <c r="E2007" t="s">
        <v>17898</v>
      </c>
      <c r="F2007">
        <v>45838</v>
      </c>
      <c r="G2007" t="s">
        <v>2208</v>
      </c>
      <c r="H2007" t="s">
        <v>7834</v>
      </c>
      <c r="I2007" t="s">
        <v>19638</v>
      </c>
      <c r="J2007">
        <v>1</v>
      </c>
      <c r="K2007">
        <v>104.61</v>
      </c>
      <c r="L2007" t="s">
        <v>2917</v>
      </c>
      <c r="M2007">
        <v>104.61</v>
      </c>
      <c r="N2007" t="s">
        <v>2917</v>
      </c>
      <c r="O2007" t="s">
        <v>2208</v>
      </c>
      <c r="P2007" t="s">
        <v>2208</v>
      </c>
      <c r="Q2007" t="s">
        <v>2208</v>
      </c>
      <c r="R2007" t="s">
        <v>2208</v>
      </c>
    </row>
    <row r="2008" spans="1:18">
      <c r="A2008" t="s">
        <v>2418</v>
      </c>
      <c r="B2008" t="s">
        <v>17897</v>
      </c>
      <c r="C2008">
        <v>45839</v>
      </c>
      <c r="D2008" t="s">
        <v>7263</v>
      </c>
      <c r="E2008" t="s">
        <v>17898</v>
      </c>
      <c r="F2008">
        <v>45838</v>
      </c>
      <c r="G2008" t="s">
        <v>2208</v>
      </c>
      <c r="H2008" t="s">
        <v>7834</v>
      </c>
      <c r="I2008" t="s">
        <v>19639</v>
      </c>
      <c r="J2008">
        <v>2</v>
      </c>
      <c r="K2008">
        <v>209.22</v>
      </c>
      <c r="L2008" t="s">
        <v>2917</v>
      </c>
      <c r="M2008">
        <v>209.22</v>
      </c>
      <c r="N2008" t="s">
        <v>2917</v>
      </c>
      <c r="O2008" t="s">
        <v>2208</v>
      </c>
      <c r="P2008" t="s">
        <v>2208</v>
      </c>
      <c r="Q2008" t="s">
        <v>2208</v>
      </c>
      <c r="R2008" t="s">
        <v>2208</v>
      </c>
    </row>
    <row r="2009" spans="1:18">
      <c r="A2009" t="s">
        <v>2418</v>
      </c>
      <c r="B2009" t="s">
        <v>17897</v>
      </c>
      <c r="C2009">
        <v>45839</v>
      </c>
      <c r="D2009" t="s">
        <v>7263</v>
      </c>
      <c r="E2009" t="s">
        <v>17898</v>
      </c>
      <c r="F2009">
        <v>45838</v>
      </c>
      <c r="G2009" t="s">
        <v>2208</v>
      </c>
      <c r="H2009" t="s">
        <v>7834</v>
      </c>
      <c r="I2009" t="s">
        <v>19640</v>
      </c>
      <c r="J2009">
        <v>0.1</v>
      </c>
      <c r="K2009">
        <v>10.46</v>
      </c>
      <c r="L2009" t="s">
        <v>2917</v>
      </c>
      <c r="M2009">
        <v>10.46</v>
      </c>
      <c r="N2009" t="s">
        <v>2917</v>
      </c>
      <c r="O2009" t="s">
        <v>2208</v>
      </c>
      <c r="P2009" t="s">
        <v>2208</v>
      </c>
      <c r="Q2009" t="s">
        <v>2208</v>
      </c>
      <c r="R2009" t="s">
        <v>2208</v>
      </c>
    </row>
    <row r="2010" spans="1:18">
      <c r="A2010" t="s">
        <v>2418</v>
      </c>
      <c r="B2010" t="s">
        <v>17897</v>
      </c>
      <c r="C2010">
        <v>45839</v>
      </c>
      <c r="D2010" t="s">
        <v>7263</v>
      </c>
      <c r="E2010" t="s">
        <v>17898</v>
      </c>
      <c r="F2010">
        <v>45838</v>
      </c>
      <c r="G2010" t="s">
        <v>2208</v>
      </c>
      <c r="H2010" t="s">
        <v>7834</v>
      </c>
      <c r="I2010" t="s">
        <v>19641</v>
      </c>
      <c r="J2010">
        <v>1</v>
      </c>
      <c r="K2010">
        <v>104.61</v>
      </c>
      <c r="L2010" t="s">
        <v>2917</v>
      </c>
      <c r="M2010">
        <v>104.61</v>
      </c>
      <c r="N2010" t="s">
        <v>2917</v>
      </c>
      <c r="O2010" t="s">
        <v>2208</v>
      </c>
      <c r="P2010" t="s">
        <v>2208</v>
      </c>
      <c r="Q2010" t="s">
        <v>2208</v>
      </c>
      <c r="R2010" t="s">
        <v>2208</v>
      </c>
    </row>
    <row r="2011" spans="1:18">
      <c r="A2011" t="s">
        <v>2418</v>
      </c>
      <c r="B2011" t="s">
        <v>17897</v>
      </c>
      <c r="C2011">
        <v>45839</v>
      </c>
      <c r="D2011" t="s">
        <v>7263</v>
      </c>
      <c r="E2011" t="s">
        <v>17898</v>
      </c>
      <c r="F2011">
        <v>45838</v>
      </c>
      <c r="G2011" t="s">
        <v>2208</v>
      </c>
      <c r="H2011" t="s">
        <v>7834</v>
      </c>
      <c r="I2011" t="s">
        <v>19642</v>
      </c>
      <c r="J2011">
        <v>1.6</v>
      </c>
      <c r="K2011">
        <v>167.38</v>
      </c>
      <c r="L2011" t="s">
        <v>2917</v>
      </c>
      <c r="M2011">
        <v>167.38</v>
      </c>
      <c r="N2011" t="s">
        <v>2917</v>
      </c>
      <c r="O2011" t="s">
        <v>2208</v>
      </c>
      <c r="P2011" t="s">
        <v>2208</v>
      </c>
      <c r="Q2011" t="s">
        <v>2208</v>
      </c>
      <c r="R2011" t="s">
        <v>2208</v>
      </c>
    </row>
    <row r="2012" spans="1:18">
      <c r="A2012" t="s">
        <v>2418</v>
      </c>
      <c r="B2012" t="s">
        <v>17897</v>
      </c>
      <c r="C2012">
        <v>45839</v>
      </c>
      <c r="D2012" t="s">
        <v>7263</v>
      </c>
      <c r="E2012" t="s">
        <v>17898</v>
      </c>
      <c r="F2012">
        <v>45838</v>
      </c>
      <c r="G2012" t="s">
        <v>2208</v>
      </c>
      <c r="H2012" t="s">
        <v>7834</v>
      </c>
      <c r="I2012" t="s">
        <v>19643</v>
      </c>
      <c r="J2012">
        <v>1</v>
      </c>
      <c r="K2012">
        <v>104.61</v>
      </c>
      <c r="L2012" t="s">
        <v>2917</v>
      </c>
      <c r="M2012">
        <v>104.61</v>
      </c>
      <c r="N2012" t="s">
        <v>2917</v>
      </c>
      <c r="O2012" t="s">
        <v>2208</v>
      </c>
      <c r="P2012" t="s">
        <v>2208</v>
      </c>
      <c r="Q2012" t="s">
        <v>2208</v>
      </c>
      <c r="R2012" t="s">
        <v>2208</v>
      </c>
    </row>
    <row r="2013" spans="1:18">
      <c r="A2013" t="s">
        <v>2418</v>
      </c>
      <c r="B2013" t="s">
        <v>17897</v>
      </c>
      <c r="C2013">
        <v>45839</v>
      </c>
      <c r="D2013" t="s">
        <v>7263</v>
      </c>
      <c r="E2013" t="s">
        <v>17898</v>
      </c>
      <c r="F2013">
        <v>45838</v>
      </c>
      <c r="G2013" t="s">
        <v>2208</v>
      </c>
      <c r="H2013" t="s">
        <v>7834</v>
      </c>
      <c r="I2013" t="s">
        <v>19644</v>
      </c>
      <c r="J2013">
        <v>1</v>
      </c>
      <c r="K2013">
        <v>104.61</v>
      </c>
      <c r="L2013" t="s">
        <v>2917</v>
      </c>
      <c r="M2013">
        <v>104.61</v>
      </c>
      <c r="N2013" t="s">
        <v>2917</v>
      </c>
      <c r="O2013" t="s">
        <v>2208</v>
      </c>
      <c r="P2013" t="s">
        <v>2208</v>
      </c>
      <c r="Q2013" t="s">
        <v>2208</v>
      </c>
      <c r="R2013" t="s">
        <v>2208</v>
      </c>
    </row>
    <row r="2014" spans="1:18">
      <c r="A2014" t="s">
        <v>2418</v>
      </c>
      <c r="B2014" t="s">
        <v>17897</v>
      </c>
      <c r="C2014">
        <v>45839</v>
      </c>
      <c r="D2014" t="s">
        <v>7263</v>
      </c>
      <c r="E2014" t="s">
        <v>17898</v>
      </c>
      <c r="F2014">
        <v>45838</v>
      </c>
      <c r="G2014" t="s">
        <v>2208</v>
      </c>
      <c r="H2014" t="s">
        <v>7834</v>
      </c>
      <c r="I2014" t="s">
        <v>19645</v>
      </c>
      <c r="J2014">
        <v>1</v>
      </c>
      <c r="K2014">
        <v>104.61</v>
      </c>
      <c r="L2014" t="s">
        <v>2917</v>
      </c>
      <c r="M2014">
        <v>104.61</v>
      </c>
      <c r="N2014" t="s">
        <v>2917</v>
      </c>
      <c r="O2014" t="s">
        <v>2208</v>
      </c>
      <c r="P2014" t="s">
        <v>2208</v>
      </c>
      <c r="Q2014" t="s">
        <v>2208</v>
      </c>
      <c r="R2014" t="s">
        <v>2208</v>
      </c>
    </row>
    <row r="2015" spans="1:18">
      <c r="A2015" t="s">
        <v>2418</v>
      </c>
      <c r="B2015" t="s">
        <v>17897</v>
      </c>
      <c r="C2015">
        <v>45839</v>
      </c>
      <c r="D2015" t="s">
        <v>7263</v>
      </c>
      <c r="E2015" t="s">
        <v>17898</v>
      </c>
      <c r="F2015">
        <v>45838</v>
      </c>
      <c r="G2015" t="s">
        <v>2208</v>
      </c>
      <c r="H2015" t="s">
        <v>7834</v>
      </c>
      <c r="I2015" t="s">
        <v>19646</v>
      </c>
      <c r="J2015">
        <v>2</v>
      </c>
      <c r="K2015">
        <v>209.22</v>
      </c>
      <c r="L2015" t="s">
        <v>2917</v>
      </c>
      <c r="M2015">
        <v>209.22</v>
      </c>
      <c r="N2015" t="s">
        <v>2917</v>
      </c>
      <c r="O2015" t="s">
        <v>2208</v>
      </c>
      <c r="P2015" t="s">
        <v>2208</v>
      </c>
      <c r="Q2015" t="s">
        <v>2208</v>
      </c>
      <c r="R2015" t="s">
        <v>2208</v>
      </c>
    </row>
    <row r="2016" spans="1:18">
      <c r="A2016" t="s">
        <v>2418</v>
      </c>
      <c r="B2016" t="s">
        <v>17897</v>
      </c>
      <c r="C2016">
        <v>45839</v>
      </c>
      <c r="D2016" t="s">
        <v>7263</v>
      </c>
      <c r="E2016" t="s">
        <v>17898</v>
      </c>
      <c r="F2016">
        <v>45838</v>
      </c>
      <c r="G2016" t="s">
        <v>2208</v>
      </c>
      <c r="H2016" t="s">
        <v>7834</v>
      </c>
      <c r="I2016" t="s">
        <v>19647</v>
      </c>
      <c r="J2016">
        <v>1</v>
      </c>
      <c r="K2016">
        <v>104.61</v>
      </c>
      <c r="L2016" t="s">
        <v>2917</v>
      </c>
      <c r="M2016">
        <v>104.61</v>
      </c>
      <c r="N2016" t="s">
        <v>2917</v>
      </c>
      <c r="O2016" t="s">
        <v>2208</v>
      </c>
      <c r="P2016" t="s">
        <v>2208</v>
      </c>
      <c r="Q2016" t="s">
        <v>2208</v>
      </c>
      <c r="R2016" t="s">
        <v>2208</v>
      </c>
    </row>
    <row r="2017" spans="1:18">
      <c r="A2017" t="s">
        <v>2418</v>
      </c>
      <c r="B2017" t="s">
        <v>17897</v>
      </c>
      <c r="C2017">
        <v>45839</v>
      </c>
      <c r="D2017" t="s">
        <v>7263</v>
      </c>
      <c r="E2017" t="s">
        <v>17898</v>
      </c>
      <c r="F2017">
        <v>45838</v>
      </c>
      <c r="G2017" t="s">
        <v>2208</v>
      </c>
      <c r="H2017" t="s">
        <v>7834</v>
      </c>
      <c r="I2017" t="s">
        <v>19648</v>
      </c>
      <c r="J2017">
        <v>1</v>
      </c>
      <c r="K2017">
        <v>104.61</v>
      </c>
      <c r="L2017" t="s">
        <v>2917</v>
      </c>
      <c r="M2017">
        <v>104.61</v>
      </c>
      <c r="N2017" t="s">
        <v>2917</v>
      </c>
      <c r="O2017" t="s">
        <v>2208</v>
      </c>
      <c r="P2017" t="s">
        <v>2208</v>
      </c>
      <c r="Q2017" t="s">
        <v>2208</v>
      </c>
      <c r="R2017" t="s">
        <v>2208</v>
      </c>
    </row>
    <row r="2018" spans="1:18">
      <c r="A2018" t="s">
        <v>2418</v>
      </c>
      <c r="B2018" t="s">
        <v>17897</v>
      </c>
      <c r="C2018">
        <v>45839</v>
      </c>
      <c r="D2018" t="s">
        <v>7263</v>
      </c>
      <c r="E2018" t="s">
        <v>17898</v>
      </c>
      <c r="F2018">
        <v>45838</v>
      </c>
      <c r="G2018" t="s">
        <v>2208</v>
      </c>
      <c r="H2018" t="s">
        <v>7834</v>
      </c>
      <c r="I2018" t="s">
        <v>19649</v>
      </c>
      <c r="J2018">
        <v>2</v>
      </c>
      <c r="K2018">
        <v>209.22</v>
      </c>
      <c r="L2018" t="s">
        <v>2917</v>
      </c>
      <c r="M2018">
        <v>209.22</v>
      </c>
      <c r="N2018" t="s">
        <v>2917</v>
      </c>
      <c r="O2018" t="s">
        <v>2208</v>
      </c>
      <c r="P2018" t="s">
        <v>2208</v>
      </c>
      <c r="Q2018" t="s">
        <v>2208</v>
      </c>
      <c r="R2018" t="s">
        <v>2208</v>
      </c>
    </row>
    <row r="2019" spans="1:18">
      <c r="A2019" t="s">
        <v>2418</v>
      </c>
      <c r="B2019" t="s">
        <v>17897</v>
      </c>
      <c r="C2019">
        <v>45839</v>
      </c>
      <c r="D2019" t="s">
        <v>7263</v>
      </c>
      <c r="E2019" t="s">
        <v>17898</v>
      </c>
      <c r="F2019">
        <v>45838</v>
      </c>
      <c r="G2019" t="s">
        <v>2208</v>
      </c>
      <c r="H2019" t="s">
        <v>7834</v>
      </c>
      <c r="I2019" t="s">
        <v>19650</v>
      </c>
      <c r="J2019">
        <v>2</v>
      </c>
      <c r="K2019">
        <v>209.22</v>
      </c>
      <c r="L2019" t="s">
        <v>2917</v>
      </c>
      <c r="M2019">
        <v>209.22</v>
      </c>
      <c r="N2019" t="s">
        <v>2917</v>
      </c>
      <c r="O2019" t="s">
        <v>2208</v>
      </c>
      <c r="P2019" t="s">
        <v>2208</v>
      </c>
      <c r="Q2019" t="s">
        <v>2208</v>
      </c>
      <c r="R2019" t="s">
        <v>2208</v>
      </c>
    </row>
    <row r="2020" spans="1:18">
      <c r="A2020" t="s">
        <v>2418</v>
      </c>
      <c r="B2020" t="s">
        <v>17897</v>
      </c>
      <c r="C2020">
        <v>45839</v>
      </c>
      <c r="D2020" t="s">
        <v>7263</v>
      </c>
      <c r="E2020" t="s">
        <v>17898</v>
      </c>
      <c r="F2020">
        <v>45838</v>
      </c>
      <c r="G2020" t="s">
        <v>2208</v>
      </c>
      <c r="H2020" t="s">
        <v>7834</v>
      </c>
      <c r="I2020" t="s">
        <v>19651</v>
      </c>
      <c r="J2020">
        <v>6</v>
      </c>
      <c r="K2020">
        <v>627.66</v>
      </c>
      <c r="L2020" t="s">
        <v>2917</v>
      </c>
      <c r="M2020">
        <v>627.66</v>
      </c>
      <c r="N2020" t="s">
        <v>2917</v>
      </c>
      <c r="O2020" t="s">
        <v>2208</v>
      </c>
      <c r="P2020" t="s">
        <v>2208</v>
      </c>
      <c r="Q2020" t="s">
        <v>2208</v>
      </c>
      <c r="R2020" t="s">
        <v>2208</v>
      </c>
    </row>
    <row r="2021" spans="1:18">
      <c r="A2021" t="s">
        <v>2418</v>
      </c>
      <c r="B2021" t="s">
        <v>17897</v>
      </c>
      <c r="C2021">
        <v>45839</v>
      </c>
      <c r="D2021" t="s">
        <v>7263</v>
      </c>
      <c r="E2021" t="s">
        <v>17898</v>
      </c>
      <c r="F2021">
        <v>45838</v>
      </c>
      <c r="G2021" t="s">
        <v>2208</v>
      </c>
      <c r="H2021" t="s">
        <v>7834</v>
      </c>
      <c r="I2021" t="s">
        <v>19652</v>
      </c>
      <c r="J2021">
        <v>6</v>
      </c>
      <c r="K2021">
        <v>627.66</v>
      </c>
      <c r="L2021" t="s">
        <v>2917</v>
      </c>
      <c r="M2021">
        <v>627.66</v>
      </c>
      <c r="N2021" t="s">
        <v>2917</v>
      </c>
      <c r="O2021" t="s">
        <v>2208</v>
      </c>
      <c r="P2021" t="s">
        <v>2208</v>
      </c>
      <c r="Q2021" t="s">
        <v>2208</v>
      </c>
      <c r="R2021" t="s">
        <v>2208</v>
      </c>
    </row>
    <row r="2022" spans="1:18">
      <c r="A2022" t="s">
        <v>2418</v>
      </c>
      <c r="B2022" t="s">
        <v>17897</v>
      </c>
      <c r="C2022">
        <v>45839</v>
      </c>
      <c r="D2022" t="s">
        <v>7263</v>
      </c>
      <c r="E2022" t="s">
        <v>17898</v>
      </c>
      <c r="F2022">
        <v>45838</v>
      </c>
      <c r="G2022" t="s">
        <v>2208</v>
      </c>
      <c r="H2022" t="s">
        <v>7834</v>
      </c>
      <c r="I2022" t="s">
        <v>19653</v>
      </c>
      <c r="J2022">
        <v>5.5</v>
      </c>
      <c r="K2022">
        <v>575.36</v>
      </c>
      <c r="L2022" t="s">
        <v>2917</v>
      </c>
      <c r="M2022">
        <v>575.36</v>
      </c>
      <c r="N2022" t="s">
        <v>2917</v>
      </c>
      <c r="O2022" t="s">
        <v>2208</v>
      </c>
      <c r="P2022" t="s">
        <v>2208</v>
      </c>
      <c r="Q2022" t="s">
        <v>2208</v>
      </c>
      <c r="R2022" t="s">
        <v>2208</v>
      </c>
    </row>
    <row r="2023" spans="1:18">
      <c r="A2023" t="s">
        <v>2418</v>
      </c>
      <c r="B2023" t="s">
        <v>17897</v>
      </c>
      <c r="C2023">
        <v>45839</v>
      </c>
      <c r="D2023" t="s">
        <v>7263</v>
      </c>
      <c r="E2023" t="s">
        <v>17898</v>
      </c>
      <c r="F2023">
        <v>45838</v>
      </c>
      <c r="G2023" t="s">
        <v>2208</v>
      </c>
      <c r="H2023" t="s">
        <v>7834</v>
      </c>
      <c r="I2023" t="s">
        <v>19654</v>
      </c>
      <c r="J2023">
        <v>1</v>
      </c>
      <c r="K2023">
        <v>104.61</v>
      </c>
      <c r="L2023" t="s">
        <v>2917</v>
      </c>
      <c r="M2023">
        <v>104.61</v>
      </c>
      <c r="N2023" t="s">
        <v>2917</v>
      </c>
      <c r="O2023" t="s">
        <v>2208</v>
      </c>
      <c r="P2023" t="s">
        <v>2208</v>
      </c>
      <c r="Q2023" t="s">
        <v>2208</v>
      </c>
      <c r="R2023" t="s">
        <v>2208</v>
      </c>
    </row>
    <row r="2024" spans="1:18">
      <c r="A2024" t="s">
        <v>2418</v>
      </c>
      <c r="B2024" t="s">
        <v>17897</v>
      </c>
      <c r="C2024">
        <v>45839</v>
      </c>
      <c r="D2024" t="s">
        <v>7263</v>
      </c>
      <c r="E2024" t="s">
        <v>17898</v>
      </c>
      <c r="F2024">
        <v>45838</v>
      </c>
      <c r="G2024" t="s">
        <v>2208</v>
      </c>
      <c r="H2024" t="s">
        <v>7834</v>
      </c>
      <c r="I2024" t="s">
        <v>19655</v>
      </c>
      <c r="J2024">
        <v>1</v>
      </c>
      <c r="K2024">
        <v>104.61</v>
      </c>
      <c r="L2024" t="s">
        <v>2917</v>
      </c>
      <c r="M2024">
        <v>104.61</v>
      </c>
      <c r="N2024" t="s">
        <v>2917</v>
      </c>
      <c r="O2024" t="s">
        <v>2208</v>
      </c>
      <c r="P2024" t="s">
        <v>2208</v>
      </c>
      <c r="Q2024" t="s">
        <v>2208</v>
      </c>
      <c r="R2024" t="s">
        <v>2208</v>
      </c>
    </row>
    <row r="2025" spans="1:18">
      <c r="A2025" t="s">
        <v>2418</v>
      </c>
      <c r="B2025" t="s">
        <v>17897</v>
      </c>
      <c r="C2025">
        <v>45839</v>
      </c>
      <c r="D2025" t="s">
        <v>7263</v>
      </c>
      <c r="E2025" t="s">
        <v>17898</v>
      </c>
      <c r="F2025">
        <v>45838</v>
      </c>
      <c r="G2025" t="s">
        <v>2208</v>
      </c>
      <c r="H2025" t="s">
        <v>7834</v>
      </c>
      <c r="I2025" t="s">
        <v>19656</v>
      </c>
      <c r="J2025">
        <v>1</v>
      </c>
      <c r="K2025">
        <v>104.61</v>
      </c>
      <c r="L2025" t="s">
        <v>2917</v>
      </c>
      <c r="M2025">
        <v>104.61</v>
      </c>
      <c r="N2025" t="s">
        <v>2917</v>
      </c>
      <c r="O2025" t="s">
        <v>2208</v>
      </c>
      <c r="P2025" t="s">
        <v>2208</v>
      </c>
      <c r="Q2025" t="s">
        <v>2208</v>
      </c>
      <c r="R2025" t="s">
        <v>2208</v>
      </c>
    </row>
    <row r="2026" spans="1:18">
      <c r="A2026" t="s">
        <v>2418</v>
      </c>
      <c r="B2026" t="s">
        <v>17897</v>
      </c>
      <c r="C2026">
        <v>45839</v>
      </c>
      <c r="D2026" t="s">
        <v>7263</v>
      </c>
      <c r="E2026" t="s">
        <v>17898</v>
      </c>
      <c r="F2026">
        <v>45838</v>
      </c>
      <c r="G2026" t="s">
        <v>2208</v>
      </c>
      <c r="H2026" t="s">
        <v>7834</v>
      </c>
      <c r="I2026" t="s">
        <v>19657</v>
      </c>
      <c r="J2026">
        <v>1</v>
      </c>
      <c r="K2026">
        <v>104.61</v>
      </c>
      <c r="L2026" t="s">
        <v>2917</v>
      </c>
      <c r="M2026">
        <v>104.61</v>
      </c>
      <c r="N2026" t="s">
        <v>2917</v>
      </c>
      <c r="O2026" t="s">
        <v>2208</v>
      </c>
      <c r="P2026" t="s">
        <v>2208</v>
      </c>
      <c r="Q2026" t="s">
        <v>2208</v>
      </c>
      <c r="R2026" t="s">
        <v>2208</v>
      </c>
    </row>
    <row r="2027" spans="1:18">
      <c r="A2027" t="s">
        <v>2418</v>
      </c>
      <c r="B2027" t="s">
        <v>17897</v>
      </c>
      <c r="C2027">
        <v>45839</v>
      </c>
      <c r="D2027" t="s">
        <v>7263</v>
      </c>
      <c r="E2027" t="s">
        <v>17898</v>
      </c>
      <c r="F2027">
        <v>45838</v>
      </c>
      <c r="G2027" t="s">
        <v>2208</v>
      </c>
      <c r="H2027" t="s">
        <v>7834</v>
      </c>
      <c r="I2027" t="s">
        <v>19658</v>
      </c>
      <c r="J2027">
        <v>1</v>
      </c>
      <c r="K2027">
        <v>104.61</v>
      </c>
      <c r="L2027" t="s">
        <v>2917</v>
      </c>
      <c r="M2027">
        <v>104.61</v>
      </c>
      <c r="N2027" t="s">
        <v>2917</v>
      </c>
      <c r="O2027" t="s">
        <v>2208</v>
      </c>
      <c r="P2027" t="s">
        <v>2208</v>
      </c>
      <c r="Q2027" t="s">
        <v>2208</v>
      </c>
      <c r="R2027" t="s">
        <v>2208</v>
      </c>
    </row>
    <row r="2028" spans="1:18">
      <c r="A2028" t="s">
        <v>2418</v>
      </c>
      <c r="B2028" t="s">
        <v>17897</v>
      </c>
      <c r="C2028">
        <v>45839</v>
      </c>
      <c r="D2028" t="s">
        <v>7263</v>
      </c>
      <c r="E2028" t="s">
        <v>17898</v>
      </c>
      <c r="F2028">
        <v>45838</v>
      </c>
      <c r="G2028" t="s">
        <v>2208</v>
      </c>
      <c r="H2028" t="s">
        <v>7834</v>
      </c>
      <c r="I2028" t="s">
        <v>19659</v>
      </c>
      <c r="J2028">
        <v>1</v>
      </c>
      <c r="K2028">
        <v>104.61</v>
      </c>
      <c r="L2028" t="s">
        <v>2917</v>
      </c>
      <c r="M2028">
        <v>104.61</v>
      </c>
      <c r="N2028" t="s">
        <v>2917</v>
      </c>
      <c r="O2028" t="s">
        <v>2208</v>
      </c>
      <c r="P2028" t="s">
        <v>2208</v>
      </c>
      <c r="Q2028" t="s">
        <v>2208</v>
      </c>
      <c r="R2028" t="s">
        <v>2208</v>
      </c>
    </row>
    <row r="2029" spans="1:18">
      <c r="A2029" t="s">
        <v>2418</v>
      </c>
      <c r="B2029" t="s">
        <v>17897</v>
      </c>
      <c r="C2029">
        <v>45839</v>
      </c>
      <c r="D2029" t="s">
        <v>7263</v>
      </c>
      <c r="E2029" t="s">
        <v>17898</v>
      </c>
      <c r="F2029">
        <v>45838</v>
      </c>
      <c r="G2029" t="s">
        <v>2208</v>
      </c>
      <c r="H2029" t="s">
        <v>7834</v>
      </c>
      <c r="I2029" t="s">
        <v>19660</v>
      </c>
      <c r="J2029">
        <v>8</v>
      </c>
      <c r="K2029">
        <v>836.88</v>
      </c>
      <c r="L2029" t="s">
        <v>2917</v>
      </c>
      <c r="M2029">
        <v>836.88</v>
      </c>
      <c r="N2029" t="s">
        <v>2917</v>
      </c>
      <c r="O2029" t="s">
        <v>2208</v>
      </c>
      <c r="P2029" t="s">
        <v>2208</v>
      </c>
      <c r="Q2029" t="s">
        <v>2208</v>
      </c>
      <c r="R2029" t="s">
        <v>2208</v>
      </c>
    </row>
    <row r="2030" spans="1:18">
      <c r="A2030" t="s">
        <v>2418</v>
      </c>
      <c r="B2030" t="s">
        <v>17897</v>
      </c>
      <c r="C2030">
        <v>45839</v>
      </c>
      <c r="D2030" t="s">
        <v>7263</v>
      </c>
      <c r="E2030" t="s">
        <v>17898</v>
      </c>
      <c r="F2030">
        <v>45838</v>
      </c>
      <c r="G2030" t="s">
        <v>2208</v>
      </c>
      <c r="H2030" t="s">
        <v>7834</v>
      </c>
      <c r="I2030" t="s">
        <v>19661</v>
      </c>
      <c r="J2030">
        <v>1</v>
      </c>
      <c r="K2030">
        <v>104.61</v>
      </c>
      <c r="L2030" t="s">
        <v>2917</v>
      </c>
      <c r="M2030">
        <v>104.61</v>
      </c>
      <c r="N2030" t="s">
        <v>2917</v>
      </c>
      <c r="O2030" t="s">
        <v>2208</v>
      </c>
      <c r="P2030" t="s">
        <v>2208</v>
      </c>
      <c r="Q2030" t="s">
        <v>2208</v>
      </c>
      <c r="R2030" t="s">
        <v>2208</v>
      </c>
    </row>
    <row r="2031" spans="1:18">
      <c r="A2031" t="s">
        <v>2418</v>
      </c>
      <c r="B2031" t="s">
        <v>17897</v>
      </c>
      <c r="C2031">
        <v>45839</v>
      </c>
      <c r="D2031" t="s">
        <v>7263</v>
      </c>
      <c r="E2031" t="s">
        <v>17898</v>
      </c>
      <c r="F2031">
        <v>45838</v>
      </c>
      <c r="G2031" t="s">
        <v>2208</v>
      </c>
      <c r="H2031" t="s">
        <v>7834</v>
      </c>
      <c r="I2031" t="s">
        <v>19662</v>
      </c>
      <c r="J2031">
        <v>1</v>
      </c>
      <c r="K2031">
        <v>104.61</v>
      </c>
      <c r="L2031" t="s">
        <v>2917</v>
      </c>
      <c r="M2031">
        <v>104.61</v>
      </c>
      <c r="N2031" t="s">
        <v>2917</v>
      </c>
      <c r="O2031" t="s">
        <v>2208</v>
      </c>
      <c r="P2031" t="s">
        <v>2208</v>
      </c>
      <c r="Q2031" t="s">
        <v>2208</v>
      </c>
      <c r="R2031" t="s">
        <v>2208</v>
      </c>
    </row>
    <row r="2032" spans="1:18">
      <c r="A2032" t="s">
        <v>2418</v>
      </c>
      <c r="B2032" t="s">
        <v>17897</v>
      </c>
      <c r="C2032">
        <v>45839</v>
      </c>
      <c r="D2032" t="s">
        <v>7263</v>
      </c>
      <c r="E2032" t="s">
        <v>17898</v>
      </c>
      <c r="F2032">
        <v>45838</v>
      </c>
      <c r="G2032" t="s">
        <v>2208</v>
      </c>
      <c r="H2032" t="s">
        <v>7834</v>
      </c>
      <c r="I2032" t="s">
        <v>19663</v>
      </c>
      <c r="J2032">
        <v>2</v>
      </c>
      <c r="K2032">
        <v>209.22</v>
      </c>
      <c r="L2032" t="s">
        <v>2917</v>
      </c>
      <c r="M2032">
        <v>209.22</v>
      </c>
      <c r="N2032" t="s">
        <v>2917</v>
      </c>
      <c r="O2032" t="s">
        <v>2208</v>
      </c>
      <c r="P2032" t="s">
        <v>2208</v>
      </c>
      <c r="Q2032" t="s">
        <v>2208</v>
      </c>
      <c r="R2032" t="s">
        <v>2208</v>
      </c>
    </row>
    <row r="2033" spans="1:18">
      <c r="A2033" t="s">
        <v>2418</v>
      </c>
      <c r="B2033" t="s">
        <v>17897</v>
      </c>
      <c r="C2033">
        <v>45839</v>
      </c>
      <c r="D2033" t="s">
        <v>7263</v>
      </c>
      <c r="E2033" t="s">
        <v>17898</v>
      </c>
      <c r="F2033">
        <v>45838</v>
      </c>
      <c r="G2033" t="s">
        <v>2208</v>
      </c>
      <c r="H2033" t="s">
        <v>7834</v>
      </c>
      <c r="I2033" t="s">
        <v>19664</v>
      </c>
      <c r="J2033">
        <v>2</v>
      </c>
      <c r="K2033">
        <v>209.22</v>
      </c>
      <c r="L2033" t="s">
        <v>2917</v>
      </c>
      <c r="M2033">
        <v>209.22</v>
      </c>
      <c r="N2033" t="s">
        <v>2917</v>
      </c>
      <c r="O2033" t="s">
        <v>2208</v>
      </c>
      <c r="P2033" t="s">
        <v>2208</v>
      </c>
      <c r="Q2033" t="s">
        <v>2208</v>
      </c>
      <c r="R2033" t="s">
        <v>2208</v>
      </c>
    </row>
    <row r="2034" spans="1:18">
      <c r="A2034" t="s">
        <v>2418</v>
      </c>
      <c r="B2034" t="s">
        <v>17897</v>
      </c>
      <c r="C2034">
        <v>45839</v>
      </c>
      <c r="D2034" t="s">
        <v>7263</v>
      </c>
      <c r="E2034" t="s">
        <v>17898</v>
      </c>
      <c r="F2034">
        <v>45838</v>
      </c>
      <c r="G2034" t="s">
        <v>2208</v>
      </c>
      <c r="H2034" t="s">
        <v>7834</v>
      </c>
      <c r="I2034" t="s">
        <v>19665</v>
      </c>
      <c r="J2034">
        <v>2</v>
      </c>
      <c r="K2034">
        <v>209.22</v>
      </c>
      <c r="L2034" t="s">
        <v>2917</v>
      </c>
      <c r="M2034">
        <v>209.22</v>
      </c>
      <c r="N2034" t="s">
        <v>2917</v>
      </c>
      <c r="O2034" t="s">
        <v>2208</v>
      </c>
      <c r="P2034" t="s">
        <v>2208</v>
      </c>
      <c r="Q2034" t="s">
        <v>2208</v>
      </c>
      <c r="R2034" t="s">
        <v>2208</v>
      </c>
    </row>
    <row r="2035" spans="1:18">
      <c r="A2035" t="s">
        <v>2418</v>
      </c>
      <c r="B2035" t="s">
        <v>17897</v>
      </c>
      <c r="C2035">
        <v>45839</v>
      </c>
      <c r="D2035" t="s">
        <v>7263</v>
      </c>
      <c r="E2035" t="s">
        <v>17898</v>
      </c>
      <c r="F2035">
        <v>45838</v>
      </c>
      <c r="G2035" t="s">
        <v>2208</v>
      </c>
      <c r="H2035" t="s">
        <v>7834</v>
      </c>
      <c r="I2035" t="s">
        <v>19666</v>
      </c>
      <c r="J2035">
        <v>1</v>
      </c>
      <c r="K2035">
        <v>104.61</v>
      </c>
      <c r="L2035" t="s">
        <v>2917</v>
      </c>
      <c r="M2035">
        <v>104.61</v>
      </c>
      <c r="N2035" t="s">
        <v>2917</v>
      </c>
      <c r="O2035" t="s">
        <v>2208</v>
      </c>
      <c r="P2035" t="s">
        <v>2208</v>
      </c>
      <c r="Q2035" t="s">
        <v>2208</v>
      </c>
      <c r="R2035" t="s">
        <v>2208</v>
      </c>
    </row>
    <row r="2036" spans="1:18">
      <c r="A2036" t="s">
        <v>2418</v>
      </c>
      <c r="B2036" t="s">
        <v>17897</v>
      </c>
      <c r="C2036">
        <v>45839</v>
      </c>
      <c r="D2036" t="s">
        <v>7263</v>
      </c>
      <c r="E2036" t="s">
        <v>17898</v>
      </c>
      <c r="F2036">
        <v>45838</v>
      </c>
      <c r="G2036" t="s">
        <v>2208</v>
      </c>
      <c r="H2036" t="s">
        <v>7834</v>
      </c>
      <c r="I2036" t="s">
        <v>19667</v>
      </c>
      <c r="J2036">
        <v>4</v>
      </c>
      <c r="K2036">
        <v>418.44</v>
      </c>
      <c r="L2036" t="s">
        <v>2917</v>
      </c>
      <c r="M2036">
        <v>418.44</v>
      </c>
      <c r="N2036" t="s">
        <v>2917</v>
      </c>
      <c r="O2036" t="s">
        <v>2208</v>
      </c>
      <c r="P2036" t="s">
        <v>2208</v>
      </c>
      <c r="Q2036" t="s">
        <v>2208</v>
      </c>
      <c r="R2036" t="s">
        <v>2208</v>
      </c>
    </row>
    <row r="2037" spans="1:18">
      <c r="A2037" t="s">
        <v>2418</v>
      </c>
      <c r="B2037" t="s">
        <v>17897</v>
      </c>
      <c r="C2037">
        <v>45839</v>
      </c>
      <c r="D2037" t="s">
        <v>7263</v>
      </c>
      <c r="E2037" t="s">
        <v>17898</v>
      </c>
      <c r="F2037">
        <v>45838</v>
      </c>
      <c r="G2037" t="s">
        <v>2208</v>
      </c>
      <c r="H2037" t="s">
        <v>7834</v>
      </c>
      <c r="I2037" t="s">
        <v>19668</v>
      </c>
      <c r="J2037">
        <v>0.5</v>
      </c>
      <c r="K2037">
        <v>52.31</v>
      </c>
      <c r="L2037" t="s">
        <v>2917</v>
      </c>
      <c r="M2037">
        <v>52.31</v>
      </c>
      <c r="N2037" t="s">
        <v>2917</v>
      </c>
      <c r="O2037" t="s">
        <v>2208</v>
      </c>
      <c r="P2037" t="s">
        <v>2208</v>
      </c>
      <c r="Q2037" t="s">
        <v>2208</v>
      </c>
      <c r="R2037" t="s">
        <v>2208</v>
      </c>
    </row>
    <row r="2038" spans="1:18">
      <c r="A2038" t="s">
        <v>2418</v>
      </c>
      <c r="B2038" t="s">
        <v>17897</v>
      </c>
      <c r="C2038">
        <v>45839</v>
      </c>
      <c r="D2038" t="s">
        <v>7263</v>
      </c>
      <c r="E2038" t="s">
        <v>17898</v>
      </c>
      <c r="F2038">
        <v>45838</v>
      </c>
      <c r="G2038" t="s">
        <v>2208</v>
      </c>
      <c r="H2038" t="s">
        <v>7834</v>
      </c>
      <c r="I2038" t="s">
        <v>19669</v>
      </c>
      <c r="J2038">
        <v>2</v>
      </c>
      <c r="K2038">
        <v>209.22</v>
      </c>
      <c r="L2038" t="s">
        <v>2917</v>
      </c>
      <c r="M2038">
        <v>209.22</v>
      </c>
      <c r="N2038" t="s">
        <v>2917</v>
      </c>
      <c r="O2038" t="s">
        <v>2208</v>
      </c>
      <c r="P2038" t="s">
        <v>2208</v>
      </c>
      <c r="Q2038" t="s">
        <v>2208</v>
      </c>
      <c r="R2038" t="s">
        <v>2208</v>
      </c>
    </row>
    <row r="2039" spans="1:18">
      <c r="A2039" t="s">
        <v>2418</v>
      </c>
      <c r="B2039" t="s">
        <v>17897</v>
      </c>
      <c r="C2039">
        <v>45839</v>
      </c>
      <c r="D2039" t="s">
        <v>7263</v>
      </c>
      <c r="E2039" t="s">
        <v>17898</v>
      </c>
      <c r="F2039">
        <v>45838</v>
      </c>
      <c r="G2039" t="s">
        <v>2208</v>
      </c>
      <c r="H2039" t="s">
        <v>7834</v>
      </c>
      <c r="I2039" t="s">
        <v>19670</v>
      </c>
      <c r="J2039">
        <v>2</v>
      </c>
      <c r="K2039">
        <v>209.22</v>
      </c>
      <c r="L2039" t="s">
        <v>2917</v>
      </c>
      <c r="M2039">
        <v>209.22</v>
      </c>
      <c r="N2039" t="s">
        <v>2917</v>
      </c>
      <c r="O2039" t="s">
        <v>2208</v>
      </c>
      <c r="P2039" t="s">
        <v>2208</v>
      </c>
      <c r="Q2039" t="s">
        <v>2208</v>
      </c>
      <c r="R2039" t="s">
        <v>2208</v>
      </c>
    </row>
    <row r="2040" spans="1:18">
      <c r="A2040" t="s">
        <v>2418</v>
      </c>
      <c r="B2040" t="s">
        <v>17897</v>
      </c>
      <c r="C2040">
        <v>45839</v>
      </c>
      <c r="D2040" t="s">
        <v>7263</v>
      </c>
      <c r="E2040" t="s">
        <v>17898</v>
      </c>
      <c r="F2040">
        <v>45838</v>
      </c>
      <c r="G2040" t="s">
        <v>2208</v>
      </c>
      <c r="H2040" t="s">
        <v>7834</v>
      </c>
      <c r="I2040" t="s">
        <v>19671</v>
      </c>
      <c r="J2040">
        <v>1</v>
      </c>
      <c r="K2040">
        <v>104.61</v>
      </c>
      <c r="L2040" t="s">
        <v>2917</v>
      </c>
      <c r="M2040">
        <v>104.61</v>
      </c>
      <c r="N2040" t="s">
        <v>2917</v>
      </c>
      <c r="O2040" t="s">
        <v>2208</v>
      </c>
      <c r="P2040" t="s">
        <v>2208</v>
      </c>
      <c r="Q2040" t="s">
        <v>2208</v>
      </c>
      <c r="R2040" t="s">
        <v>2208</v>
      </c>
    </row>
    <row r="2041" spans="1:18">
      <c r="A2041" t="s">
        <v>2418</v>
      </c>
      <c r="B2041" t="s">
        <v>17897</v>
      </c>
      <c r="C2041">
        <v>45839</v>
      </c>
      <c r="D2041" t="s">
        <v>7263</v>
      </c>
      <c r="E2041" t="s">
        <v>17898</v>
      </c>
      <c r="F2041">
        <v>45838</v>
      </c>
      <c r="G2041" t="s">
        <v>2208</v>
      </c>
      <c r="H2041" t="s">
        <v>7834</v>
      </c>
      <c r="I2041" t="s">
        <v>19672</v>
      </c>
      <c r="J2041">
        <v>1</v>
      </c>
      <c r="K2041">
        <v>104.61</v>
      </c>
      <c r="L2041" t="s">
        <v>2917</v>
      </c>
      <c r="M2041">
        <v>104.61</v>
      </c>
      <c r="N2041" t="s">
        <v>2917</v>
      </c>
      <c r="O2041" t="s">
        <v>2208</v>
      </c>
      <c r="P2041" t="s">
        <v>2208</v>
      </c>
      <c r="Q2041" t="s">
        <v>2208</v>
      </c>
      <c r="R2041" t="s">
        <v>2208</v>
      </c>
    </row>
    <row r="2042" spans="1:18">
      <c r="A2042" t="s">
        <v>2418</v>
      </c>
      <c r="B2042" t="s">
        <v>17897</v>
      </c>
      <c r="C2042">
        <v>45839</v>
      </c>
      <c r="D2042" t="s">
        <v>7263</v>
      </c>
      <c r="E2042" t="s">
        <v>17898</v>
      </c>
      <c r="F2042">
        <v>45838</v>
      </c>
      <c r="G2042" t="s">
        <v>2208</v>
      </c>
      <c r="H2042" t="s">
        <v>7834</v>
      </c>
      <c r="I2042" t="s">
        <v>19673</v>
      </c>
      <c r="J2042">
        <v>1</v>
      </c>
      <c r="K2042">
        <v>104.61</v>
      </c>
      <c r="L2042" t="s">
        <v>2917</v>
      </c>
      <c r="M2042">
        <v>104.61</v>
      </c>
      <c r="N2042" t="s">
        <v>2917</v>
      </c>
      <c r="O2042" t="s">
        <v>2208</v>
      </c>
      <c r="P2042" t="s">
        <v>2208</v>
      </c>
      <c r="Q2042" t="s">
        <v>2208</v>
      </c>
      <c r="R2042" t="s">
        <v>2208</v>
      </c>
    </row>
    <row r="2043" spans="1:18">
      <c r="A2043" t="s">
        <v>2418</v>
      </c>
      <c r="B2043" t="s">
        <v>17897</v>
      </c>
      <c r="C2043">
        <v>45839</v>
      </c>
      <c r="D2043" t="s">
        <v>7263</v>
      </c>
      <c r="E2043" t="s">
        <v>17898</v>
      </c>
      <c r="F2043">
        <v>45838</v>
      </c>
      <c r="G2043" t="s">
        <v>2208</v>
      </c>
      <c r="H2043" t="s">
        <v>7834</v>
      </c>
      <c r="I2043" t="s">
        <v>19674</v>
      </c>
      <c r="J2043">
        <v>1</v>
      </c>
      <c r="K2043">
        <v>104.61</v>
      </c>
      <c r="L2043" t="s">
        <v>2917</v>
      </c>
      <c r="M2043">
        <v>104.61</v>
      </c>
      <c r="N2043" t="s">
        <v>2917</v>
      </c>
      <c r="O2043" t="s">
        <v>2208</v>
      </c>
      <c r="P2043" t="s">
        <v>2208</v>
      </c>
      <c r="Q2043" t="s">
        <v>2208</v>
      </c>
      <c r="R2043" t="s">
        <v>2208</v>
      </c>
    </row>
    <row r="2044" spans="1:18">
      <c r="A2044" t="s">
        <v>2418</v>
      </c>
      <c r="B2044" t="s">
        <v>17897</v>
      </c>
      <c r="C2044">
        <v>45839</v>
      </c>
      <c r="D2044" t="s">
        <v>7263</v>
      </c>
      <c r="E2044" t="s">
        <v>17898</v>
      </c>
      <c r="F2044">
        <v>45838</v>
      </c>
      <c r="G2044" t="s">
        <v>2208</v>
      </c>
      <c r="H2044" t="s">
        <v>7834</v>
      </c>
      <c r="I2044" t="s">
        <v>19675</v>
      </c>
      <c r="J2044">
        <v>1</v>
      </c>
      <c r="K2044">
        <v>104.61</v>
      </c>
      <c r="L2044" t="s">
        <v>2917</v>
      </c>
      <c r="M2044">
        <v>104.61</v>
      </c>
      <c r="N2044" t="s">
        <v>2917</v>
      </c>
      <c r="O2044" t="s">
        <v>2208</v>
      </c>
      <c r="P2044" t="s">
        <v>2208</v>
      </c>
      <c r="Q2044" t="s">
        <v>2208</v>
      </c>
      <c r="R2044" t="s">
        <v>2208</v>
      </c>
    </row>
    <row r="2045" spans="1:18">
      <c r="A2045" t="s">
        <v>2418</v>
      </c>
      <c r="B2045" t="s">
        <v>17897</v>
      </c>
      <c r="C2045">
        <v>45839</v>
      </c>
      <c r="D2045" t="s">
        <v>7263</v>
      </c>
      <c r="E2045" t="s">
        <v>17898</v>
      </c>
      <c r="F2045">
        <v>45838</v>
      </c>
      <c r="G2045" t="s">
        <v>2208</v>
      </c>
      <c r="H2045" t="s">
        <v>7834</v>
      </c>
      <c r="I2045" t="s">
        <v>19676</v>
      </c>
      <c r="J2045">
        <v>1</v>
      </c>
      <c r="K2045">
        <v>104.61</v>
      </c>
      <c r="L2045" t="s">
        <v>2917</v>
      </c>
      <c r="M2045">
        <v>104.61</v>
      </c>
      <c r="N2045" t="s">
        <v>2917</v>
      </c>
      <c r="O2045" t="s">
        <v>2208</v>
      </c>
      <c r="P2045" t="s">
        <v>2208</v>
      </c>
      <c r="Q2045" t="s">
        <v>2208</v>
      </c>
      <c r="R2045" t="s">
        <v>2208</v>
      </c>
    </row>
    <row r="2046" spans="1:18">
      <c r="A2046" t="s">
        <v>2418</v>
      </c>
      <c r="B2046" t="s">
        <v>17897</v>
      </c>
      <c r="C2046">
        <v>45839</v>
      </c>
      <c r="D2046" t="s">
        <v>7263</v>
      </c>
      <c r="E2046" t="s">
        <v>17898</v>
      </c>
      <c r="F2046">
        <v>45838</v>
      </c>
      <c r="G2046" t="s">
        <v>2208</v>
      </c>
      <c r="H2046" t="s">
        <v>7834</v>
      </c>
      <c r="I2046" t="s">
        <v>19677</v>
      </c>
      <c r="J2046">
        <v>1</v>
      </c>
      <c r="K2046">
        <v>104.61</v>
      </c>
      <c r="L2046" t="s">
        <v>2917</v>
      </c>
      <c r="M2046">
        <v>104.61</v>
      </c>
      <c r="N2046" t="s">
        <v>2917</v>
      </c>
      <c r="O2046" t="s">
        <v>2208</v>
      </c>
      <c r="P2046" t="s">
        <v>2208</v>
      </c>
      <c r="Q2046" t="s">
        <v>2208</v>
      </c>
      <c r="R2046" t="s">
        <v>2208</v>
      </c>
    </row>
    <row r="2047" spans="1:18">
      <c r="A2047" t="s">
        <v>2418</v>
      </c>
      <c r="B2047" t="s">
        <v>17897</v>
      </c>
      <c r="C2047">
        <v>45839</v>
      </c>
      <c r="D2047" t="s">
        <v>7263</v>
      </c>
      <c r="E2047" t="s">
        <v>17898</v>
      </c>
      <c r="F2047">
        <v>45838</v>
      </c>
      <c r="G2047" t="s">
        <v>2208</v>
      </c>
      <c r="H2047" t="s">
        <v>7834</v>
      </c>
      <c r="I2047" t="s">
        <v>19678</v>
      </c>
      <c r="J2047">
        <v>1</v>
      </c>
      <c r="K2047">
        <v>104.61</v>
      </c>
      <c r="L2047" t="s">
        <v>2917</v>
      </c>
      <c r="M2047">
        <v>104.61</v>
      </c>
      <c r="N2047" t="s">
        <v>2917</v>
      </c>
      <c r="O2047" t="s">
        <v>2208</v>
      </c>
      <c r="P2047" t="s">
        <v>2208</v>
      </c>
      <c r="Q2047" t="s">
        <v>2208</v>
      </c>
      <c r="R2047" t="s">
        <v>2208</v>
      </c>
    </row>
    <row r="2048" spans="1:18">
      <c r="A2048" t="s">
        <v>2418</v>
      </c>
      <c r="B2048" t="s">
        <v>17897</v>
      </c>
      <c r="C2048">
        <v>45839</v>
      </c>
      <c r="D2048" t="s">
        <v>7263</v>
      </c>
      <c r="E2048" t="s">
        <v>17898</v>
      </c>
      <c r="F2048">
        <v>45838</v>
      </c>
      <c r="G2048" t="s">
        <v>2208</v>
      </c>
      <c r="H2048" t="s">
        <v>7834</v>
      </c>
      <c r="I2048" t="s">
        <v>19679</v>
      </c>
      <c r="J2048">
        <v>1</v>
      </c>
      <c r="K2048">
        <v>104.61</v>
      </c>
      <c r="L2048" t="s">
        <v>2917</v>
      </c>
      <c r="M2048">
        <v>104.61</v>
      </c>
      <c r="N2048" t="s">
        <v>2917</v>
      </c>
      <c r="O2048" t="s">
        <v>2208</v>
      </c>
      <c r="P2048" t="s">
        <v>2208</v>
      </c>
      <c r="Q2048" t="s">
        <v>2208</v>
      </c>
      <c r="R2048" t="s">
        <v>2208</v>
      </c>
    </row>
    <row r="2049" spans="1:18">
      <c r="A2049" t="s">
        <v>2418</v>
      </c>
      <c r="B2049" t="s">
        <v>17897</v>
      </c>
      <c r="C2049">
        <v>45839</v>
      </c>
      <c r="D2049" t="s">
        <v>7263</v>
      </c>
      <c r="E2049" t="s">
        <v>17898</v>
      </c>
      <c r="F2049">
        <v>45838</v>
      </c>
      <c r="G2049" t="s">
        <v>2208</v>
      </c>
      <c r="H2049" t="s">
        <v>7834</v>
      </c>
      <c r="I2049" t="s">
        <v>19680</v>
      </c>
      <c r="J2049">
        <v>1</v>
      </c>
      <c r="K2049">
        <v>104.61</v>
      </c>
      <c r="L2049" t="s">
        <v>2917</v>
      </c>
      <c r="M2049">
        <v>104.61</v>
      </c>
      <c r="N2049" t="s">
        <v>2917</v>
      </c>
      <c r="O2049" t="s">
        <v>2208</v>
      </c>
      <c r="P2049" t="s">
        <v>2208</v>
      </c>
      <c r="Q2049" t="s">
        <v>2208</v>
      </c>
      <c r="R2049" t="s">
        <v>2208</v>
      </c>
    </row>
    <row r="2050" spans="1:18">
      <c r="A2050" t="s">
        <v>2418</v>
      </c>
      <c r="B2050" t="s">
        <v>17897</v>
      </c>
      <c r="C2050">
        <v>45839</v>
      </c>
      <c r="D2050" t="s">
        <v>7263</v>
      </c>
      <c r="E2050" t="s">
        <v>17898</v>
      </c>
      <c r="F2050">
        <v>45838</v>
      </c>
      <c r="G2050" t="s">
        <v>2208</v>
      </c>
      <c r="H2050" t="s">
        <v>7834</v>
      </c>
      <c r="I2050" t="s">
        <v>19681</v>
      </c>
      <c r="J2050">
        <v>3.5</v>
      </c>
      <c r="K2050">
        <v>366.14</v>
      </c>
      <c r="L2050" t="s">
        <v>2917</v>
      </c>
      <c r="M2050">
        <v>366.14</v>
      </c>
      <c r="N2050" t="s">
        <v>2917</v>
      </c>
      <c r="O2050" t="s">
        <v>2208</v>
      </c>
      <c r="P2050" t="s">
        <v>2208</v>
      </c>
      <c r="Q2050" t="s">
        <v>2208</v>
      </c>
      <c r="R2050" t="s">
        <v>2208</v>
      </c>
    </row>
    <row r="2051" spans="1:18">
      <c r="A2051" t="s">
        <v>2418</v>
      </c>
      <c r="B2051" t="s">
        <v>17897</v>
      </c>
      <c r="C2051">
        <v>45839</v>
      </c>
      <c r="D2051" t="s">
        <v>7263</v>
      </c>
      <c r="E2051" t="s">
        <v>17898</v>
      </c>
      <c r="F2051">
        <v>45838</v>
      </c>
      <c r="G2051" t="s">
        <v>2208</v>
      </c>
      <c r="H2051" t="s">
        <v>7834</v>
      </c>
      <c r="I2051" t="s">
        <v>19682</v>
      </c>
      <c r="J2051">
        <v>5.5</v>
      </c>
      <c r="K2051">
        <v>575.36</v>
      </c>
      <c r="L2051" t="s">
        <v>2917</v>
      </c>
      <c r="M2051">
        <v>575.36</v>
      </c>
      <c r="N2051" t="s">
        <v>2917</v>
      </c>
      <c r="O2051" t="s">
        <v>2208</v>
      </c>
      <c r="P2051" t="s">
        <v>2208</v>
      </c>
      <c r="Q2051" t="s">
        <v>2208</v>
      </c>
      <c r="R2051" t="s">
        <v>2208</v>
      </c>
    </row>
    <row r="2052" spans="1:18">
      <c r="A2052" t="s">
        <v>2418</v>
      </c>
      <c r="B2052" t="s">
        <v>17897</v>
      </c>
      <c r="C2052">
        <v>45839</v>
      </c>
      <c r="D2052" t="s">
        <v>7263</v>
      </c>
      <c r="E2052" t="s">
        <v>17898</v>
      </c>
      <c r="F2052">
        <v>45838</v>
      </c>
      <c r="G2052" t="s">
        <v>2208</v>
      </c>
      <c r="H2052" t="s">
        <v>7834</v>
      </c>
      <c r="I2052" t="s">
        <v>19683</v>
      </c>
      <c r="J2052">
        <v>3</v>
      </c>
      <c r="K2052">
        <v>313.83</v>
      </c>
      <c r="L2052" t="s">
        <v>2917</v>
      </c>
      <c r="M2052">
        <v>313.83</v>
      </c>
      <c r="N2052" t="s">
        <v>2917</v>
      </c>
      <c r="O2052" t="s">
        <v>2208</v>
      </c>
      <c r="P2052" t="s">
        <v>2208</v>
      </c>
      <c r="Q2052" t="s">
        <v>2208</v>
      </c>
      <c r="R2052" t="s">
        <v>2208</v>
      </c>
    </row>
    <row r="2053" spans="1:18">
      <c r="A2053" t="s">
        <v>2418</v>
      </c>
      <c r="B2053" t="s">
        <v>17897</v>
      </c>
      <c r="C2053">
        <v>45839</v>
      </c>
      <c r="D2053" t="s">
        <v>7263</v>
      </c>
      <c r="E2053" t="s">
        <v>17898</v>
      </c>
      <c r="F2053">
        <v>45838</v>
      </c>
      <c r="G2053" t="s">
        <v>2208</v>
      </c>
      <c r="H2053" t="s">
        <v>7834</v>
      </c>
      <c r="I2053" t="s">
        <v>19684</v>
      </c>
      <c r="J2053">
        <v>5</v>
      </c>
      <c r="K2053">
        <v>523.04999999999995</v>
      </c>
      <c r="L2053" t="s">
        <v>2917</v>
      </c>
      <c r="M2053">
        <v>523.04999999999995</v>
      </c>
      <c r="N2053" t="s">
        <v>2917</v>
      </c>
      <c r="O2053" t="s">
        <v>2208</v>
      </c>
      <c r="P2053" t="s">
        <v>2208</v>
      </c>
      <c r="Q2053" t="s">
        <v>2208</v>
      </c>
      <c r="R2053" t="s">
        <v>2208</v>
      </c>
    </row>
    <row r="2054" spans="1:18">
      <c r="A2054" t="s">
        <v>2418</v>
      </c>
      <c r="B2054" t="s">
        <v>17897</v>
      </c>
      <c r="C2054">
        <v>45839</v>
      </c>
      <c r="D2054" t="s">
        <v>7263</v>
      </c>
      <c r="E2054" t="s">
        <v>17898</v>
      </c>
      <c r="F2054">
        <v>45838</v>
      </c>
      <c r="G2054" t="s">
        <v>2208</v>
      </c>
      <c r="H2054" t="s">
        <v>7834</v>
      </c>
      <c r="I2054" t="s">
        <v>19685</v>
      </c>
      <c r="J2054">
        <v>4</v>
      </c>
      <c r="K2054">
        <v>418.44</v>
      </c>
      <c r="L2054" t="s">
        <v>2917</v>
      </c>
      <c r="M2054">
        <v>418.44</v>
      </c>
      <c r="N2054" t="s">
        <v>2917</v>
      </c>
      <c r="O2054" t="s">
        <v>2208</v>
      </c>
      <c r="P2054" t="s">
        <v>2208</v>
      </c>
      <c r="Q2054" t="s">
        <v>2208</v>
      </c>
      <c r="R2054" t="s">
        <v>2208</v>
      </c>
    </row>
    <row r="2055" spans="1:18">
      <c r="A2055" t="s">
        <v>2418</v>
      </c>
      <c r="B2055" t="s">
        <v>17897</v>
      </c>
      <c r="C2055">
        <v>45839</v>
      </c>
      <c r="D2055" t="s">
        <v>7263</v>
      </c>
      <c r="E2055" t="s">
        <v>17898</v>
      </c>
      <c r="F2055">
        <v>45838</v>
      </c>
      <c r="G2055" t="s">
        <v>2208</v>
      </c>
      <c r="H2055" t="s">
        <v>7834</v>
      </c>
      <c r="I2055" t="s">
        <v>19686</v>
      </c>
      <c r="J2055">
        <v>1</v>
      </c>
      <c r="K2055">
        <v>104.61</v>
      </c>
      <c r="L2055" t="s">
        <v>2917</v>
      </c>
      <c r="M2055">
        <v>104.61</v>
      </c>
      <c r="N2055" t="s">
        <v>2917</v>
      </c>
      <c r="O2055" t="s">
        <v>2208</v>
      </c>
      <c r="P2055" t="s">
        <v>2208</v>
      </c>
      <c r="Q2055" t="s">
        <v>2208</v>
      </c>
      <c r="R2055" t="s">
        <v>2208</v>
      </c>
    </row>
    <row r="2056" spans="1:18">
      <c r="A2056" t="s">
        <v>2418</v>
      </c>
      <c r="B2056" t="s">
        <v>17897</v>
      </c>
      <c r="C2056">
        <v>45839</v>
      </c>
      <c r="D2056" t="s">
        <v>7263</v>
      </c>
      <c r="E2056" t="s">
        <v>17898</v>
      </c>
      <c r="F2056">
        <v>45838</v>
      </c>
      <c r="G2056" t="s">
        <v>2208</v>
      </c>
      <c r="H2056" t="s">
        <v>7834</v>
      </c>
      <c r="I2056" t="s">
        <v>19687</v>
      </c>
      <c r="J2056">
        <v>1</v>
      </c>
      <c r="K2056">
        <v>104.61</v>
      </c>
      <c r="L2056" t="s">
        <v>2917</v>
      </c>
      <c r="M2056">
        <v>104.61</v>
      </c>
      <c r="N2056" t="s">
        <v>2917</v>
      </c>
      <c r="O2056" t="s">
        <v>2208</v>
      </c>
      <c r="P2056" t="s">
        <v>2208</v>
      </c>
      <c r="Q2056" t="s">
        <v>2208</v>
      </c>
      <c r="R2056" t="s">
        <v>2208</v>
      </c>
    </row>
    <row r="2057" spans="1:18">
      <c r="A2057" t="s">
        <v>2418</v>
      </c>
      <c r="B2057" t="s">
        <v>17897</v>
      </c>
      <c r="C2057">
        <v>45839</v>
      </c>
      <c r="D2057" t="s">
        <v>7263</v>
      </c>
      <c r="E2057" t="s">
        <v>17898</v>
      </c>
      <c r="F2057">
        <v>45838</v>
      </c>
      <c r="G2057" t="s">
        <v>2208</v>
      </c>
      <c r="H2057" t="s">
        <v>7834</v>
      </c>
      <c r="I2057" t="s">
        <v>19688</v>
      </c>
      <c r="J2057">
        <v>1</v>
      </c>
      <c r="K2057">
        <v>104.61</v>
      </c>
      <c r="L2057" t="s">
        <v>2917</v>
      </c>
      <c r="M2057">
        <v>104.61</v>
      </c>
      <c r="N2057" t="s">
        <v>2917</v>
      </c>
      <c r="O2057" t="s">
        <v>2208</v>
      </c>
      <c r="P2057" t="s">
        <v>2208</v>
      </c>
      <c r="Q2057" t="s">
        <v>2208</v>
      </c>
      <c r="R2057" t="s">
        <v>2208</v>
      </c>
    </row>
    <row r="2058" spans="1:18">
      <c r="A2058" t="s">
        <v>2418</v>
      </c>
      <c r="B2058" t="s">
        <v>17897</v>
      </c>
      <c r="C2058">
        <v>45839</v>
      </c>
      <c r="D2058" t="s">
        <v>7263</v>
      </c>
      <c r="E2058" t="s">
        <v>17898</v>
      </c>
      <c r="F2058">
        <v>45838</v>
      </c>
      <c r="G2058" t="s">
        <v>2208</v>
      </c>
      <c r="H2058" t="s">
        <v>7834</v>
      </c>
      <c r="I2058" t="s">
        <v>19689</v>
      </c>
      <c r="J2058">
        <v>1</v>
      </c>
      <c r="K2058">
        <v>104.61</v>
      </c>
      <c r="L2058" t="s">
        <v>2917</v>
      </c>
      <c r="M2058">
        <v>104.61</v>
      </c>
      <c r="N2058" t="s">
        <v>2917</v>
      </c>
      <c r="O2058" t="s">
        <v>2208</v>
      </c>
      <c r="P2058" t="s">
        <v>2208</v>
      </c>
      <c r="Q2058" t="s">
        <v>2208</v>
      </c>
      <c r="R2058" t="s">
        <v>2208</v>
      </c>
    </row>
    <row r="2059" spans="1:18">
      <c r="A2059" t="s">
        <v>2418</v>
      </c>
      <c r="B2059" t="s">
        <v>17897</v>
      </c>
      <c r="C2059">
        <v>45839</v>
      </c>
      <c r="D2059" t="s">
        <v>7263</v>
      </c>
      <c r="E2059" t="s">
        <v>17898</v>
      </c>
      <c r="F2059">
        <v>45838</v>
      </c>
      <c r="G2059" t="s">
        <v>2208</v>
      </c>
      <c r="H2059" t="s">
        <v>7834</v>
      </c>
      <c r="I2059" t="s">
        <v>19690</v>
      </c>
      <c r="J2059">
        <v>0.5</v>
      </c>
      <c r="K2059">
        <v>52.31</v>
      </c>
      <c r="L2059" t="s">
        <v>2917</v>
      </c>
      <c r="M2059">
        <v>52.31</v>
      </c>
      <c r="N2059" t="s">
        <v>2917</v>
      </c>
      <c r="O2059" t="s">
        <v>2208</v>
      </c>
      <c r="P2059" t="s">
        <v>2208</v>
      </c>
      <c r="Q2059" t="s">
        <v>2208</v>
      </c>
      <c r="R2059" t="s">
        <v>2208</v>
      </c>
    </row>
    <row r="2060" spans="1:18">
      <c r="A2060" t="s">
        <v>2418</v>
      </c>
      <c r="B2060" t="s">
        <v>17897</v>
      </c>
      <c r="C2060">
        <v>45839</v>
      </c>
      <c r="D2060" t="s">
        <v>7263</v>
      </c>
      <c r="E2060" t="s">
        <v>17898</v>
      </c>
      <c r="F2060">
        <v>45838</v>
      </c>
      <c r="G2060" t="s">
        <v>2208</v>
      </c>
      <c r="H2060" t="s">
        <v>7834</v>
      </c>
      <c r="I2060" t="s">
        <v>19691</v>
      </c>
      <c r="J2060">
        <v>2</v>
      </c>
      <c r="K2060">
        <v>209.22</v>
      </c>
      <c r="L2060" t="s">
        <v>2917</v>
      </c>
      <c r="M2060">
        <v>209.22</v>
      </c>
      <c r="N2060" t="s">
        <v>2917</v>
      </c>
      <c r="O2060" t="s">
        <v>2208</v>
      </c>
      <c r="P2060" t="s">
        <v>2208</v>
      </c>
      <c r="Q2060" t="s">
        <v>2208</v>
      </c>
      <c r="R2060" t="s">
        <v>2208</v>
      </c>
    </row>
    <row r="2061" spans="1:18">
      <c r="A2061" t="s">
        <v>2418</v>
      </c>
      <c r="B2061" t="s">
        <v>17897</v>
      </c>
      <c r="C2061">
        <v>45839</v>
      </c>
      <c r="D2061" t="s">
        <v>7263</v>
      </c>
      <c r="E2061" t="s">
        <v>17898</v>
      </c>
      <c r="F2061">
        <v>45838</v>
      </c>
      <c r="G2061" t="s">
        <v>2208</v>
      </c>
      <c r="H2061" t="s">
        <v>7834</v>
      </c>
      <c r="I2061" t="s">
        <v>19692</v>
      </c>
      <c r="J2061">
        <v>1</v>
      </c>
      <c r="K2061">
        <v>104.61</v>
      </c>
      <c r="L2061" t="s">
        <v>2917</v>
      </c>
      <c r="M2061">
        <v>104.61</v>
      </c>
      <c r="N2061" t="s">
        <v>2917</v>
      </c>
      <c r="O2061" t="s">
        <v>2208</v>
      </c>
      <c r="P2061" t="s">
        <v>2208</v>
      </c>
      <c r="Q2061" t="s">
        <v>2208</v>
      </c>
      <c r="R2061" t="s">
        <v>2208</v>
      </c>
    </row>
    <row r="2062" spans="1:18">
      <c r="A2062" t="s">
        <v>2418</v>
      </c>
      <c r="B2062" t="s">
        <v>17897</v>
      </c>
      <c r="C2062">
        <v>45839</v>
      </c>
      <c r="D2062" t="s">
        <v>7263</v>
      </c>
      <c r="E2062" t="s">
        <v>17898</v>
      </c>
      <c r="F2062">
        <v>45838</v>
      </c>
      <c r="G2062" t="s">
        <v>2208</v>
      </c>
      <c r="H2062" t="s">
        <v>7834</v>
      </c>
      <c r="I2062" t="s">
        <v>19693</v>
      </c>
      <c r="J2062">
        <v>1</v>
      </c>
      <c r="K2062">
        <v>104.61</v>
      </c>
      <c r="L2062" t="s">
        <v>2917</v>
      </c>
      <c r="M2062">
        <v>104.61</v>
      </c>
      <c r="N2062" t="s">
        <v>2917</v>
      </c>
      <c r="O2062" t="s">
        <v>2208</v>
      </c>
      <c r="P2062" t="s">
        <v>2208</v>
      </c>
      <c r="Q2062" t="s">
        <v>2208</v>
      </c>
      <c r="R2062" t="s">
        <v>2208</v>
      </c>
    </row>
    <row r="2063" spans="1:18">
      <c r="A2063" t="s">
        <v>2418</v>
      </c>
      <c r="B2063" t="s">
        <v>17897</v>
      </c>
      <c r="C2063">
        <v>45839</v>
      </c>
      <c r="D2063" t="s">
        <v>7263</v>
      </c>
      <c r="E2063" t="s">
        <v>17898</v>
      </c>
      <c r="F2063">
        <v>45838</v>
      </c>
      <c r="G2063" t="s">
        <v>2208</v>
      </c>
      <c r="H2063" t="s">
        <v>7834</v>
      </c>
      <c r="I2063" t="s">
        <v>19694</v>
      </c>
      <c r="J2063">
        <v>1</v>
      </c>
      <c r="K2063">
        <v>104.61</v>
      </c>
      <c r="L2063" t="s">
        <v>2917</v>
      </c>
      <c r="M2063">
        <v>104.61</v>
      </c>
      <c r="N2063" t="s">
        <v>2917</v>
      </c>
      <c r="O2063" t="s">
        <v>2208</v>
      </c>
      <c r="P2063" t="s">
        <v>2208</v>
      </c>
      <c r="Q2063" t="s">
        <v>2208</v>
      </c>
      <c r="R2063" t="s">
        <v>2208</v>
      </c>
    </row>
    <row r="2064" spans="1:18">
      <c r="A2064" t="s">
        <v>2418</v>
      </c>
      <c r="B2064" t="s">
        <v>17897</v>
      </c>
      <c r="C2064">
        <v>45839</v>
      </c>
      <c r="D2064" t="s">
        <v>7263</v>
      </c>
      <c r="E2064" t="s">
        <v>17898</v>
      </c>
      <c r="F2064">
        <v>45838</v>
      </c>
      <c r="G2064" t="s">
        <v>2208</v>
      </c>
      <c r="H2064" t="s">
        <v>7834</v>
      </c>
      <c r="I2064" t="s">
        <v>19695</v>
      </c>
      <c r="J2064">
        <v>1</v>
      </c>
      <c r="K2064">
        <v>104.61</v>
      </c>
      <c r="L2064" t="s">
        <v>2917</v>
      </c>
      <c r="M2064">
        <v>104.61</v>
      </c>
      <c r="N2064" t="s">
        <v>2917</v>
      </c>
      <c r="O2064" t="s">
        <v>2208</v>
      </c>
      <c r="P2064" t="s">
        <v>2208</v>
      </c>
      <c r="Q2064" t="s">
        <v>2208</v>
      </c>
      <c r="R2064" t="s">
        <v>2208</v>
      </c>
    </row>
    <row r="2065" spans="1:18">
      <c r="A2065" t="s">
        <v>2418</v>
      </c>
      <c r="B2065" t="s">
        <v>17897</v>
      </c>
      <c r="C2065">
        <v>45839</v>
      </c>
      <c r="D2065" t="s">
        <v>7263</v>
      </c>
      <c r="E2065" t="s">
        <v>17898</v>
      </c>
      <c r="F2065">
        <v>45838</v>
      </c>
      <c r="G2065" t="s">
        <v>2208</v>
      </c>
      <c r="H2065" t="s">
        <v>7834</v>
      </c>
      <c r="I2065" t="s">
        <v>19696</v>
      </c>
      <c r="J2065">
        <v>1</v>
      </c>
      <c r="K2065">
        <v>104.61</v>
      </c>
      <c r="L2065" t="s">
        <v>2917</v>
      </c>
      <c r="M2065">
        <v>104.61</v>
      </c>
      <c r="N2065" t="s">
        <v>2917</v>
      </c>
      <c r="O2065" t="s">
        <v>2208</v>
      </c>
      <c r="P2065" t="s">
        <v>2208</v>
      </c>
      <c r="Q2065" t="s">
        <v>2208</v>
      </c>
      <c r="R2065" t="s">
        <v>2208</v>
      </c>
    </row>
    <row r="2066" spans="1:18">
      <c r="A2066" t="s">
        <v>2418</v>
      </c>
      <c r="B2066" t="s">
        <v>17897</v>
      </c>
      <c r="C2066">
        <v>45839</v>
      </c>
      <c r="D2066" t="s">
        <v>7263</v>
      </c>
      <c r="E2066" t="s">
        <v>17898</v>
      </c>
      <c r="F2066">
        <v>45838</v>
      </c>
      <c r="G2066" t="s">
        <v>2208</v>
      </c>
      <c r="H2066" t="s">
        <v>7834</v>
      </c>
      <c r="I2066" t="s">
        <v>19697</v>
      </c>
      <c r="J2066">
        <v>1</v>
      </c>
      <c r="K2066">
        <v>104.61</v>
      </c>
      <c r="L2066" t="s">
        <v>2917</v>
      </c>
      <c r="M2066">
        <v>104.61</v>
      </c>
      <c r="N2066" t="s">
        <v>2917</v>
      </c>
      <c r="O2066" t="s">
        <v>2208</v>
      </c>
      <c r="P2066" t="s">
        <v>2208</v>
      </c>
      <c r="Q2066" t="s">
        <v>2208</v>
      </c>
      <c r="R2066" t="s">
        <v>2208</v>
      </c>
    </row>
    <row r="2067" spans="1:18">
      <c r="A2067" t="s">
        <v>2418</v>
      </c>
      <c r="B2067" t="s">
        <v>17897</v>
      </c>
      <c r="C2067">
        <v>45839</v>
      </c>
      <c r="D2067" t="s">
        <v>7263</v>
      </c>
      <c r="E2067" t="s">
        <v>17898</v>
      </c>
      <c r="F2067">
        <v>45838</v>
      </c>
      <c r="G2067" t="s">
        <v>2208</v>
      </c>
      <c r="H2067" t="s">
        <v>7834</v>
      </c>
      <c r="I2067" t="s">
        <v>19698</v>
      </c>
      <c r="J2067">
        <v>0.9</v>
      </c>
      <c r="K2067">
        <v>94.15</v>
      </c>
      <c r="L2067" t="s">
        <v>2917</v>
      </c>
      <c r="M2067">
        <v>94.15</v>
      </c>
      <c r="N2067" t="s">
        <v>2917</v>
      </c>
      <c r="O2067" t="s">
        <v>2208</v>
      </c>
      <c r="P2067" t="s">
        <v>2208</v>
      </c>
      <c r="Q2067" t="s">
        <v>2208</v>
      </c>
      <c r="R2067" t="s">
        <v>2208</v>
      </c>
    </row>
    <row r="2068" spans="1:18">
      <c r="A2068" t="s">
        <v>2418</v>
      </c>
      <c r="B2068" t="s">
        <v>17897</v>
      </c>
      <c r="C2068">
        <v>45839</v>
      </c>
      <c r="D2068" t="s">
        <v>7263</v>
      </c>
      <c r="E2068" t="s">
        <v>17898</v>
      </c>
      <c r="F2068">
        <v>45838</v>
      </c>
      <c r="G2068" t="s">
        <v>2208</v>
      </c>
      <c r="H2068" t="s">
        <v>7834</v>
      </c>
      <c r="I2068" t="s">
        <v>19699</v>
      </c>
      <c r="J2068">
        <v>2</v>
      </c>
      <c r="K2068">
        <v>209.22</v>
      </c>
      <c r="L2068" t="s">
        <v>2917</v>
      </c>
      <c r="M2068">
        <v>209.22</v>
      </c>
      <c r="N2068" t="s">
        <v>2917</v>
      </c>
      <c r="O2068" t="s">
        <v>2208</v>
      </c>
      <c r="P2068" t="s">
        <v>2208</v>
      </c>
      <c r="Q2068" t="s">
        <v>2208</v>
      </c>
      <c r="R2068" t="s">
        <v>2208</v>
      </c>
    </row>
    <row r="2069" spans="1:18">
      <c r="A2069" t="s">
        <v>2418</v>
      </c>
      <c r="B2069" t="s">
        <v>17897</v>
      </c>
      <c r="C2069">
        <v>45839</v>
      </c>
      <c r="D2069" t="s">
        <v>7263</v>
      </c>
      <c r="E2069" t="s">
        <v>17898</v>
      </c>
      <c r="F2069">
        <v>45838</v>
      </c>
      <c r="G2069" t="s">
        <v>2208</v>
      </c>
      <c r="H2069" t="s">
        <v>7834</v>
      </c>
      <c r="I2069" t="s">
        <v>19700</v>
      </c>
      <c r="J2069">
        <v>1</v>
      </c>
      <c r="K2069">
        <v>104.61</v>
      </c>
      <c r="L2069" t="s">
        <v>2917</v>
      </c>
      <c r="M2069">
        <v>104.61</v>
      </c>
      <c r="N2069" t="s">
        <v>2917</v>
      </c>
      <c r="O2069" t="s">
        <v>2208</v>
      </c>
      <c r="P2069" t="s">
        <v>2208</v>
      </c>
      <c r="Q2069" t="s">
        <v>2208</v>
      </c>
      <c r="R2069" t="s">
        <v>2208</v>
      </c>
    </row>
    <row r="2070" spans="1:18">
      <c r="A2070" t="s">
        <v>2418</v>
      </c>
      <c r="B2070" t="s">
        <v>17897</v>
      </c>
      <c r="C2070">
        <v>45839</v>
      </c>
      <c r="D2070" t="s">
        <v>7263</v>
      </c>
      <c r="E2070" t="s">
        <v>17898</v>
      </c>
      <c r="F2070">
        <v>45838</v>
      </c>
      <c r="G2070" t="s">
        <v>2208</v>
      </c>
      <c r="H2070" t="s">
        <v>7834</v>
      </c>
      <c r="I2070" t="s">
        <v>19701</v>
      </c>
      <c r="J2070">
        <v>1</v>
      </c>
      <c r="K2070">
        <v>104.61</v>
      </c>
      <c r="L2070" t="s">
        <v>2917</v>
      </c>
      <c r="M2070">
        <v>104.61</v>
      </c>
      <c r="N2070" t="s">
        <v>2917</v>
      </c>
      <c r="O2070" t="s">
        <v>2208</v>
      </c>
      <c r="P2070" t="s">
        <v>2208</v>
      </c>
      <c r="Q2070" t="s">
        <v>2208</v>
      </c>
      <c r="R2070" t="s">
        <v>2208</v>
      </c>
    </row>
    <row r="2071" spans="1:18">
      <c r="A2071" t="s">
        <v>2501</v>
      </c>
      <c r="B2071" t="s">
        <v>17897</v>
      </c>
      <c r="C2071">
        <v>45839</v>
      </c>
      <c r="D2071" t="s">
        <v>7263</v>
      </c>
      <c r="E2071" t="s">
        <v>17898</v>
      </c>
      <c r="F2071">
        <v>45838</v>
      </c>
      <c r="G2071" t="s">
        <v>2208</v>
      </c>
      <c r="H2071" t="s">
        <v>7834</v>
      </c>
      <c r="I2071" t="s">
        <v>19702</v>
      </c>
      <c r="J2071">
        <v>1</v>
      </c>
      <c r="K2071">
        <v>104.61</v>
      </c>
      <c r="L2071" t="s">
        <v>2917</v>
      </c>
      <c r="M2071">
        <v>104.61</v>
      </c>
      <c r="N2071" t="s">
        <v>2917</v>
      </c>
      <c r="O2071" t="s">
        <v>2208</v>
      </c>
      <c r="P2071" t="s">
        <v>2208</v>
      </c>
      <c r="Q2071" t="s">
        <v>2208</v>
      </c>
      <c r="R2071" t="s">
        <v>2208</v>
      </c>
    </row>
    <row r="2072" spans="1:18">
      <c r="A2072" t="s">
        <v>2600</v>
      </c>
      <c r="B2072" t="s">
        <v>17897</v>
      </c>
      <c r="C2072">
        <v>45839</v>
      </c>
      <c r="D2072" t="s">
        <v>7263</v>
      </c>
      <c r="E2072" t="s">
        <v>17898</v>
      </c>
      <c r="F2072">
        <v>45838</v>
      </c>
      <c r="G2072" t="s">
        <v>2208</v>
      </c>
      <c r="H2072" t="s">
        <v>7834</v>
      </c>
      <c r="I2072" t="s">
        <v>19703</v>
      </c>
      <c r="J2072">
        <v>0.5</v>
      </c>
      <c r="K2072">
        <v>52.31</v>
      </c>
      <c r="L2072" t="s">
        <v>2917</v>
      </c>
      <c r="M2072">
        <v>52.31</v>
      </c>
      <c r="N2072" t="s">
        <v>2917</v>
      </c>
      <c r="O2072" t="s">
        <v>2208</v>
      </c>
      <c r="P2072" t="s">
        <v>2208</v>
      </c>
      <c r="Q2072" t="s">
        <v>2208</v>
      </c>
      <c r="R2072" t="s">
        <v>2208</v>
      </c>
    </row>
    <row r="2073" spans="1:18">
      <c r="A2073" t="s">
        <v>2600</v>
      </c>
      <c r="B2073" t="s">
        <v>17897</v>
      </c>
      <c r="C2073">
        <v>45839</v>
      </c>
      <c r="D2073" t="s">
        <v>7263</v>
      </c>
      <c r="E2073" t="s">
        <v>17898</v>
      </c>
      <c r="F2073">
        <v>45838</v>
      </c>
      <c r="G2073" t="s">
        <v>2208</v>
      </c>
      <c r="H2073" t="s">
        <v>7834</v>
      </c>
      <c r="I2073" t="s">
        <v>19704</v>
      </c>
      <c r="J2073">
        <v>1</v>
      </c>
      <c r="K2073">
        <v>104.61</v>
      </c>
      <c r="L2073" t="s">
        <v>2917</v>
      </c>
      <c r="M2073">
        <v>104.61</v>
      </c>
      <c r="N2073" t="s">
        <v>2917</v>
      </c>
      <c r="O2073" t="s">
        <v>2208</v>
      </c>
      <c r="P2073" t="s">
        <v>2208</v>
      </c>
      <c r="Q2073" t="s">
        <v>2208</v>
      </c>
      <c r="R2073" t="s">
        <v>2208</v>
      </c>
    </row>
    <row r="2074" spans="1:18">
      <c r="A2074" t="s">
        <v>2600</v>
      </c>
      <c r="B2074" t="s">
        <v>17897</v>
      </c>
      <c r="C2074">
        <v>45839</v>
      </c>
      <c r="D2074" t="s">
        <v>7263</v>
      </c>
      <c r="E2074" t="s">
        <v>17898</v>
      </c>
      <c r="F2074">
        <v>45838</v>
      </c>
      <c r="G2074" t="s">
        <v>2208</v>
      </c>
      <c r="H2074" t="s">
        <v>7834</v>
      </c>
      <c r="I2074" t="s">
        <v>19705</v>
      </c>
      <c r="J2074">
        <v>1</v>
      </c>
      <c r="K2074">
        <v>104.61</v>
      </c>
      <c r="L2074" t="s">
        <v>2917</v>
      </c>
      <c r="M2074">
        <v>104.61</v>
      </c>
      <c r="N2074" t="s">
        <v>2917</v>
      </c>
      <c r="O2074" t="s">
        <v>2208</v>
      </c>
      <c r="P2074" t="s">
        <v>2208</v>
      </c>
      <c r="Q2074" t="s">
        <v>2208</v>
      </c>
      <c r="R2074" t="s">
        <v>2208</v>
      </c>
    </row>
    <row r="2075" spans="1:18">
      <c r="A2075" t="s">
        <v>2600</v>
      </c>
      <c r="B2075" t="s">
        <v>17897</v>
      </c>
      <c r="C2075">
        <v>45839</v>
      </c>
      <c r="D2075" t="s">
        <v>7263</v>
      </c>
      <c r="E2075" t="s">
        <v>17898</v>
      </c>
      <c r="F2075">
        <v>45838</v>
      </c>
      <c r="G2075" t="s">
        <v>2208</v>
      </c>
      <c r="H2075" t="s">
        <v>7834</v>
      </c>
      <c r="I2075" t="s">
        <v>19706</v>
      </c>
      <c r="J2075">
        <v>1</v>
      </c>
      <c r="K2075">
        <v>104.61</v>
      </c>
      <c r="L2075" t="s">
        <v>2917</v>
      </c>
      <c r="M2075">
        <v>104.61</v>
      </c>
      <c r="N2075" t="s">
        <v>2917</v>
      </c>
      <c r="O2075" t="s">
        <v>2208</v>
      </c>
      <c r="P2075" t="s">
        <v>2208</v>
      </c>
      <c r="Q2075" t="s">
        <v>2208</v>
      </c>
      <c r="R2075" t="s">
        <v>2208</v>
      </c>
    </row>
    <row r="2076" spans="1:18">
      <c r="A2076" t="s">
        <v>2600</v>
      </c>
      <c r="B2076" t="s">
        <v>17897</v>
      </c>
      <c r="C2076">
        <v>45839</v>
      </c>
      <c r="D2076" t="s">
        <v>7263</v>
      </c>
      <c r="E2076" t="s">
        <v>17898</v>
      </c>
      <c r="F2076">
        <v>45838</v>
      </c>
      <c r="G2076" t="s">
        <v>2208</v>
      </c>
      <c r="H2076" t="s">
        <v>7834</v>
      </c>
      <c r="I2076" t="s">
        <v>19707</v>
      </c>
      <c r="J2076">
        <v>0.5</v>
      </c>
      <c r="K2076">
        <v>52.31</v>
      </c>
      <c r="L2076" t="s">
        <v>2917</v>
      </c>
      <c r="M2076">
        <v>52.31</v>
      </c>
      <c r="N2076" t="s">
        <v>2917</v>
      </c>
      <c r="O2076" t="s">
        <v>2208</v>
      </c>
      <c r="P2076" t="s">
        <v>2208</v>
      </c>
      <c r="Q2076" t="s">
        <v>2208</v>
      </c>
      <c r="R2076" t="s">
        <v>2208</v>
      </c>
    </row>
    <row r="2077" spans="1:18">
      <c r="A2077" t="s">
        <v>2600</v>
      </c>
      <c r="B2077" t="s">
        <v>17897</v>
      </c>
      <c r="C2077">
        <v>45839</v>
      </c>
      <c r="D2077" t="s">
        <v>7263</v>
      </c>
      <c r="E2077" t="s">
        <v>17898</v>
      </c>
      <c r="F2077">
        <v>45838</v>
      </c>
      <c r="G2077" t="s">
        <v>2208</v>
      </c>
      <c r="H2077" t="s">
        <v>7834</v>
      </c>
      <c r="I2077" t="s">
        <v>19708</v>
      </c>
      <c r="J2077">
        <v>0.5</v>
      </c>
      <c r="K2077">
        <v>52.31</v>
      </c>
      <c r="L2077" t="s">
        <v>2917</v>
      </c>
      <c r="M2077">
        <v>52.31</v>
      </c>
      <c r="N2077" t="s">
        <v>2917</v>
      </c>
      <c r="O2077" t="s">
        <v>2208</v>
      </c>
      <c r="P2077" t="s">
        <v>2208</v>
      </c>
      <c r="Q2077" t="s">
        <v>2208</v>
      </c>
      <c r="R2077" t="s">
        <v>2208</v>
      </c>
    </row>
    <row r="2078" spans="1:18">
      <c r="A2078" t="s">
        <v>2600</v>
      </c>
      <c r="B2078" t="s">
        <v>17897</v>
      </c>
      <c r="C2078">
        <v>45839</v>
      </c>
      <c r="D2078" t="s">
        <v>7263</v>
      </c>
      <c r="E2078" t="s">
        <v>17898</v>
      </c>
      <c r="F2078">
        <v>45838</v>
      </c>
      <c r="G2078" t="s">
        <v>2208</v>
      </c>
      <c r="H2078" t="s">
        <v>7834</v>
      </c>
      <c r="I2078" t="s">
        <v>19709</v>
      </c>
      <c r="J2078">
        <v>1</v>
      </c>
      <c r="K2078">
        <v>104.61</v>
      </c>
      <c r="L2078" t="s">
        <v>2917</v>
      </c>
      <c r="M2078">
        <v>104.61</v>
      </c>
      <c r="N2078" t="s">
        <v>2917</v>
      </c>
      <c r="O2078" t="s">
        <v>2208</v>
      </c>
      <c r="P2078" t="s">
        <v>2208</v>
      </c>
      <c r="Q2078" t="s">
        <v>2208</v>
      </c>
      <c r="R2078" t="s">
        <v>2208</v>
      </c>
    </row>
    <row r="2079" spans="1:18">
      <c r="A2079" t="s">
        <v>2600</v>
      </c>
      <c r="B2079" t="s">
        <v>17897</v>
      </c>
      <c r="C2079">
        <v>45839</v>
      </c>
      <c r="D2079" t="s">
        <v>7263</v>
      </c>
      <c r="E2079" t="s">
        <v>17898</v>
      </c>
      <c r="F2079">
        <v>45838</v>
      </c>
      <c r="G2079" t="s">
        <v>2208</v>
      </c>
      <c r="H2079" t="s">
        <v>7834</v>
      </c>
      <c r="I2079" t="s">
        <v>19710</v>
      </c>
      <c r="J2079">
        <v>1</v>
      </c>
      <c r="K2079">
        <v>104.61</v>
      </c>
      <c r="L2079" t="s">
        <v>2917</v>
      </c>
      <c r="M2079">
        <v>104.61</v>
      </c>
      <c r="N2079" t="s">
        <v>2917</v>
      </c>
      <c r="O2079" t="s">
        <v>2208</v>
      </c>
      <c r="P2079" t="s">
        <v>2208</v>
      </c>
      <c r="Q2079" t="s">
        <v>2208</v>
      </c>
      <c r="R2079" t="s">
        <v>2208</v>
      </c>
    </row>
    <row r="2080" spans="1:18">
      <c r="A2080" t="s">
        <v>2600</v>
      </c>
      <c r="B2080" t="s">
        <v>17897</v>
      </c>
      <c r="C2080">
        <v>45839</v>
      </c>
      <c r="D2080" t="s">
        <v>7263</v>
      </c>
      <c r="E2080" t="s">
        <v>17898</v>
      </c>
      <c r="F2080">
        <v>45838</v>
      </c>
      <c r="G2080" t="s">
        <v>2208</v>
      </c>
      <c r="H2080" t="s">
        <v>7834</v>
      </c>
      <c r="I2080" t="s">
        <v>19711</v>
      </c>
      <c r="J2080">
        <v>0.5</v>
      </c>
      <c r="K2080">
        <v>52.31</v>
      </c>
      <c r="L2080" t="s">
        <v>2917</v>
      </c>
      <c r="M2080">
        <v>52.31</v>
      </c>
      <c r="N2080" t="s">
        <v>2917</v>
      </c>
      <c r="O2080" t="s">
        <v>2208</v>
      </c>
      <c r="P2080" t="s">
        <v>2208</v>
      </c>
      <c r="Q2080" t="s">
        <v>2208</v>
      </c>
      <c r="R2080" t="s">
        <v>2208</v>
      </c>
    </row>
    <row r="2081" spans="1:18">
      <c r="A2081" t="s">
        <v>2600</v>
      </c>
      <c r="B2081" t="s">
        <v>17897</v>
      </c>
      <c r="C2081">
        <v>45839</v>
      </c>
      <c r="D2081" t="s">
        <v>7263</v>
      </c>
      <c r="E2081" t="s">
        <v>17898</v>
      </c>
      <c r="F2081">
        <v>45838</v>
      </c>
      <c r="G2081" t="s">
        <v>2208</v>
      </c>
      <c r="H2081" t="s">
        <v>7834</v>
      </c>
      <c r="I2081" t="s">
        <v>19712</v>
      </c>
      <c r="J2081">
        <v>1</v>
      </c>
      <c r="K2081">
        <v>104.61</v>
      </c>
      <c r="L2081" t="s">
        <v>2917</v>
      </c>
      <c r="M2081">
        <v>104.61</v>
      </c>
      <c r="N2081" t="s">
        <v>2917</v>
      </c>
      <c r="O2081" t="s">
        <v>2208</v>
      </c>
      <c r="P2081" t="s">
        <v>2208</v>
      </c>
      <c r="Q2081" t="s">
        <v>2208</v>
      </c>
      <c r="R2081" t="s">
        <v>2208</v>
      </c>
    </row>
    <row r="2082" spans="1:18">
      <c r="A2082" t="s">
        <v>7030</v>
      </c>
      <c r="B2082" t="s">
        <v>17897</v>
      </c>
      <c r="C2082">
        <v>45839</v>
      </c>
      <c r="D2082" t="s">
        <v>7263</v>
      </c>
      <c r="E2082" t="s">
        <v>17898</v>
      </c>
      <c r="F2082">
        <v>45838</v>
      </c>
      <c r="G2082" t="s">
        <v>2208</v>
      </c>
      <c r="H2082" t="s">
        <v>7834</v>
      </c>
      <c r="I2082" t="s">
        <v>19713</v>
      </c>
      <c r="J2082">
        <v>1</v>
      </c>
      <c r="K2082">
        <v>104.61</v>
      </c>
      <c r="L2082" t="s">
        <v>2917</v>
      </c>
      <c r="M2082">
        <v>104.61</v>
      </c>
      <c r="N2082" t="s">
        <v>2917</v>
      </c>
      <c r="O2082" t="s">
        <v>2208</v>
      </c>
      <c r="P2082" t="s">
        <v>2208</v>
      </c>
      <c r="Q2082" t="s">
        <v>2208</v>
      </c>
      <c r="R2082" t="s">
        <v>2208</v>
      </c>
    </row>
    <row r="2083" spans="1:18">
      <c r="A2083" t="s">
        <v>7030</v>
      </c>
      <c r="B2083" t="s">
        <v>17897</v>
      </c>
      <c r="C2083">
        <v>45839</v>
      </c>
      <c r="D2083" t="s">
        <v>7263</v>
      </c>
      <c r="E2083" t="s">
        <v>17898</v>
      </c>
      <c r="F2083">
        <v>45838</v>
      </c>
      <c r="G2083" t="s">
        <v>2208</v>
      </c>
      <c r="H2083" t="s">
        <v>7834</v>
      </c>
      <c r="I2083" t="s">
        <v>19714</v>
      </c>
      <c r="J2083">
        <v>1</v>
      </c>
      <c r="K2083">
        <v>104.61</v>
      </c>
      <c r="L2083" t="s">
        <v>2917</v>
      </c>
      <c r="M2083">
        <v>104.61</v>
      </c>
      <c r="N2083" t="s">
        <v>2917</v>
      </c>
      <c r="O2083" t="s">
        <v>2208</v>
      </c>
      <c r="P2083" t="s">
        <v>2208</v>
      </c>
      <c r="Q2083" t="s">
        <v>2208</v>
      </c>
      <c r="R2083" t="s">
        <v>2208</v>
      </c>
    </row>
    <row r="2084" spans="1:18">
      <c r="A2084" t="s">
        <v>7030</v>
      </c>
      <c r="B2084" t="s">
        <v>17897</v>
      </c>
      <c r="C2084">
        <v>45839</v>
      </c>
      <c r="D2084" t="s">
        <v>7263</v>
      </c>
      <c r="E2084" t="s">
        <v>17898</v>
      </c>
      <c r="F2084">
        <v>45838</v>
      </c>
      <c r="G2084" t="s">
        <v>2208</v>
      </c>
      <c r="H2084" t="s">
        <v>7834</v>
      </c>
      <c r="I2084" t="s">
        <v>19715</v>
      </c>
      <c r="J2084">
        <v>2</v>
      </c>
      <c r="K2084">
        <v>209.22</v>
      </c>
      <c r="L2084" t="s">
        <v>2917</v>
      </c>
      <c r="M2084">
        <v>209.22</v>
      </c>
      <c r="N2084" t="s">
        <v>2917</v>
      </c>
      <c r="O2084" t="s">
        <v>2208</v>
      </c>
      <c r="P2084" t="s">
        <v>2208</v>
      </c>
      <c r="Q2084" t="s">
        <v>2208</v>
      </c>
      <c r="R2084" t="s">
        <v>2208</v>
      </c>
    </row>
    <row r="2085" spans="1:18">
      <c r="A2085" t="s">
        <v>7030</v>
      </c>
      <c r="B2085" t="s">
        <v>17897</v>
      </c>
      <c r="C2085">
        <v>45839</v>
      </c>
      <c r="D2085" t="s">
        <v>7263</v>
      </c>
      <c r="E2085" t="s">
        <v>17898</v>
      </c>
      <c r="F2085">
        <v>45838</v>
      </c>
      <c r="G2085" t="s">
        <v>2208</v>
      </c>
      <c r="H2085" t="s">
        <v>7834</v>
      </c>
      <c r="I2085" t="s">
        <v>19716</v>
      </c>
      <c r="J2085">
        <v>2</v>
      </c>
      <c r="K2085">
        <v>209.22</v>
      </c>
      <c r="L2085" t="s">
        <v>2917</v>
      </c>
      <c r="M2085">
        <v>209.22</v>
      </c>
      <c r="N2085" t="s">
        <v>2917</v>
      </c>
      <c r="O2085" t="s">
        <v>2208</v>
      </c>
      <c r="P2085" t="s">
        <v>2208</v>
      </c>
      <c r="Q2085" t="s">
        <v>2208</v>
      </c>
      <c r="R2085" t="s">
        <v>2208</v>
      </c>
    </row>
    <row r="2086" spans="1:18">
      <c r="A2086" t="s">
        <v>7030</v>
      </c>
      <c r="B2086" t="s">
        <v>17897</v>
      </c>
      <c r="C2086">
        <v>45839</v>
      </c>
      <c r="D2086" t="s">
        <v>7263</v>
      </c>
      <c r="E2086" t="s">
        <v>17898</v>
      </c>
      <c r="F2086">
        <v>45838</v>
      </c>
      <c r="G2086" t="s">
        <v>2208</v>
      </c>
      <c r="H2086" t="s">
        <v>7834</v>
      </c>
      <c r="I2086" t="s">
        <v>19717</v>
      </c>
      <c r="J2086">
        <v>5</v>
      </c>
      <c r="K2086">
        <v>523.04999999999995</v>
      </c>
      <c r="L2086" t="s">
        <v>2917</v>
      </c>
      <c r="M2086">
        <v>523.04999999999995</v>
      </c>
      <c r="N2086" t="s">
        <v>2917</v>
      </c>
      <c r="O2086" t="s">
        <v>2208</v>
      </c>
      <c r="P2086" t="s">
        <v>2208</v>
      </c>
      <c r="Q2086" t="s">
        <v>2208</v>
      </c>
      <c r="R2086" t="s">
        <v>2208</v>
      </c>
    </row>
    <row r="2087" spans="1:18">
      <c r="A2087" t="s">
        <v>7030</v>
      </c>
      <c r="B2087" t="s">
        <v>17897</v>
      </c>
      <c r="C2087">
        <v>45839</v>
      </c>
      <c r="D2087" t="s">
        <v>7263</v>
      </c>
      <c r="E2087" t="s">
        <v>17898</v>
      </c>
      <c r="F2087">
        <v>45838</v>
      </c>
      <c r="G2087" t="s">
        <v>2208</v>
      </c>
      <c r="H2087" t="s">
        <v>7834</v>
      </c>
      <c r="I2087" t="s">
        <v>19718</v>
      </c>
      <c r="J2087">
        <v>1</v>
      </c>
      <c r="K2087">
        <v>104.61</v>
      </c>
      <c r="L2087" t="s">
        <v>2917</v>
      </c>
      <c r="M2087">
        <v>104.61</v>
      </c>
      <c r="N2087" t="s">
        <v>2917</v>
      </c>
      <c r="O2087" t="s">
        <v>2208</v>
      </c>
      <c r="P2087" t="s">
        <v>2208</v>
      </c>
      <c r="Q2087" t="s">
        <v>2208</v>
      </c>
      <c r="R2087" t="s">
        <v>2208</v>
      </c>
    </row>
    <row r="2088" spans="1:18">
      <c r="A2088" t="s">
        <v>7030</v>
      </c>
      <c r="B2088" t="s">
        <v>17897</v>
      </c>
      <c r="C2088">
        <v>45839</v>
      </c>
      <c r="D2088" t="s">
        <v>7263</v>
      </c>
      <c r="E2088" t="s">
        <v>17898</v>
      </c>
      <c r="F2088">
        <v>45838</v>
      </c>
      <c r="G2088" t="s">
        <v>2208</v>
      </c>
      <c r="H2088" t="s">
        <v>7834</v>
      </c>
      <c r="I2088" t="s">
        <v>19719</v>
      </c>
      <c r="J2088">
        <v>1</v>
      </c>
      <c r="K2088">
        <v>104.61</v>
      </c>
      <c r="L2088" t="s">
        <v>2917</v>
      </c>
      <c r="M2088">
        <v>104.61</v>
      </c>
      <c r="N2088" t="s">
        <v>2917</v>
      </c>
      <c r="O2088" t="s">
        <v>2208</v>
      </c>
      <c r="P2088" t="s">
        <v>2208</v>
      </c>
      <c r="Q2088" t="s">
        <v>2208</v>
      </c>
      <c r="R2088" t="s">
        <v>2208</v>
      </c>
    </row>
    <row r="2089" spans="1:18">
      <c r="A2089" t="s">
        <v>7030</v>
      </c>
      <c r="B2089" t="s">
        <v>17897</v>
      </c>
      <c r="C2089">
        <v>45839</v>
      </c>
      <c r="D2089" t="s">
        <v>7263</v>
      </c>
      <c r="E2089" t="s">
        <v>17898</v>
      </c>
      <c r="F2089">
        <v>45838</v>
      </c>
      <c r="G2089" t="s">
        <v>2208</v>
      </c>
      <c r="H2089" t="s">
        <v>7834</v>
      </c>
      <c r="I2089" t="s">
        <v>19720</v>
      </c>
      <c r="J2089">
        <v>2</v>
      </c>
      <c r="K2089">
        <v>209.22</v>
      </c>
      <c r="L2089" t="s">
        <v>2917</v>
      </c>
      <c r="M2089">
        <v>209.22</v>
      </c>
      <c r="N2089" t="s">
        <v>2917</v>
      </c>
      <c r="O2089" t="s">
        <v>2208</v>
      </c>
      <c r="P2089" t="s">
        <v>2208</v>
      </c>
      <c r="Q2089" t="s">
        <v>2208</v>
      </c>
      <c r="R2089" t="s">
        <v>2208</v>
      </c>
    </row>
    <row r="2090" spans="1:18">
      <c r="A2090" t="s">
        <v>7030</v>
      </c>
      <c r="B2090" t="s">
        <v>17897</v>
      </c>
      <c r="C2090">
        <v>45839</v>
      </c>
      <c r="D2090" t="s">
        <v>7263</v>
      </c>
      <c r="E2090" t="s">
        <v>17898</v>
      </c>
      <c r="F2090">
        <v>45838</v>
      </c>
      <c r="G2090" t="s">
        <v>2208</v>
      </c>
      <c r="H2090" t="s">
        <v>7834</v>
      </c>
      <c r="I2090" t="s">
        <v>19721</v>
      </c>
      <c r="J2090">
        <v>1</v>
      </c>
      <c r="K2090">
        <v>104.61</v>
      </c>
      <c r="L2090" t="s">
        <v>2917</v>
      </c>
      <c r="M2090">
        <v>104.61</v>
      </c>
      <c r="N2090" t="s">
        <v>2917</v>
      </c>
      <c r="O2090" t="s">
        <v>2208</v>
      </c>
      <c r="P2090" t="s">
        <v>2208</v>
      </c>
      <c r="Q2090" t="s">
        <v>2208</v>
      </c>
      <c r="R2090" t="s">
        <v>2208</v>
      </c>
    </row>
    <row r="2091" spans="1:18">
      <c r="A2091" t="s">
        <v>7030</v>
      </c>
      <c r="B2091" t="s">
        <v>17897</v>
      </c>
      <c r="C2091">
        <v>45839</v>
      </c>
      <c r="D2091" t="s">
        <v>7263</v>
      </c>
      <c r="E2091" t="s">
        <v>17898</v>
      </c>
      <c r="F2091">
        <v>45838</v>
      </c>
      <c r="G2091" t="s">
        <v>2208</v>
      </c>
      <c r="H2091" t="s">
        <v>7834</v>
      </c>
      <c r="I2091" t="s">
        <v>19722</v>
      </c>
      <c r="J2091">
        <v>1</v>
      </c>
      <c r="K2091">
        <v>104.61</v>
      </c>
      <c r="L2091" t="s">
        <v>2917</v>
      </c>
      <c r="M2091">
        <v>104.61</v>
      </c>
      <c r="N2091" t="s">
        <v>2917</v>
      </c>
      <c r="O2091" t="s">
        <v>2208</v>
      </c>
      <c r="P2091" t="s">
        <v>2208</v>
      </c>
      <c r="Q2091" t="s">
        <v>2208</v>
      </c>
      <c r="R2091" t="s">
        <v>2208</v>
      </c>
    </row>
    <row r="2092" spans="1:18">
      <c r="A2092" t="s">
        <v>7030</v>
      </c>
      <c r="B2092" t="s">
        <v>17897</v>
      </c>
      <c r="C2092">
        <v>45839</v>
      </c>
      <c r="D2092" t="s">
        <v>7263</v>
      </c>
      <c r="E2092" t="s">
        <v>17898</v>
      </c>
      <c r="F2092">
        <v>45838</v>
      </c>
      <c r="G2092" t="s">
        <v>2208</v>
      </c>
      <c r="H2092" t="s">
        <v>7834</v>
      </c>
      <c r="I2092" t="s">
        <v>19723</v>
      </c>
      <c r="J2092">
        <v>2</v>
      </c>
      <c r="K2092">
        <v>209.22</v>
      </c>
      <c r="L2092" t="s">
        <v>2917</v>
      </c>
      <c r="M2092">
        <v>209.22</v>
      </c>
      <c r="N2092" t="s">
        <v>2917</v>
      </c>
      <c r="O2092" t="s">
        <v>2208</v>
      </c>
      <c r="P2092" t="s">
        <v>2208</v>
      </c>
      <c r="Q2092" t="s">
        <v>2208</v>
      </c>
      <c r="R2092" t="s">
        <v>2208</v>
      </c>
    </row>
    <row r="2093" spans="1:18">
      <c r="A2093" t="s">
        <v>7030</v>
      </c>
      <c r="B2093" t="s">
        <v>17897</v>
      </c>
      <c r="C2093">
        <v>45839</v>
      </c>
      <c r="D2093" t="s">
        <v>7263</v>
      </c>
      <c r="E2093" t="s">
        <v>17898</v>
      </c>
      <c r="F2093">
        <v>45838</v>
      </c>
      <c r="G2093" t="s">
        <v>2208</v>
      </c>
      <c r="H2093" t="s">
        <v>7834</v>
      </c>
      <c r="I2093" t="s">
        <v>19724</v>
      </c>
      <c r="J2093">
        <v>3</v>
      </c>
      <c r="K2093">
        <v>313.83</v>
      </c>
      <c r="L2093" t="s">
        <v>2917</v>
      </c>
      <c r="M2093">
        <v>313.83</v>
      </c>
      <c r="N2093" t="s">
        <v>2917</v>
      </c>
      <c r="O2093" t="s">
        <v>2208</v>
      </c>
      <c r="P2093" t="s">
        <v>2208</v>
      </c>
      <c r="Q2093" t="s">
        <v>2208</v>
      </c>
      <c r="R2093" t="s">
        <v>2208</v>
      </c>
    </row>
    <row r="2094" spans="1:18">
      <c r="A2094" t="s">
        <v>7030</v>
      </c>
      <c r="B2094" t="s">
        <v>17897</v>
      </c>
      <c r="C2094">
        <v>45839</v>
      </c>
      <c r="D2094" t="s">
        <v>7263</v>
      </c>
      <c r="E2094" t="s">
        <v>17898</v>
      </c>
      <c r="F2094">
        <v>45838</v>
      </c>
      <c r="G2094" t="s">
        <v>2208</v>
      </c>
      <c r="H2094" t="s">
        <v>7834</v>
      </c>
      <c r="I2094" t="s">
        <v>19725</v>
      </c>
      <c r="J2094">
        <v>1</v>
      </c>
      <c r="K2094">
        <v>104.61</v>
      </c>
      <c r="L2094" t="s">
        <v>2917</v>
      </c>
      <c r="M2094">
        <v>104.61</v>
      </c>
      <c r="N2094" t="s">
        <v>2917</v>
      </c>
      <c r="O2094" t="s">
        <v>2208</v>
      </c>
      <c r="P2094" t="s">
        <v>2208</v>
      </c>
      <c r="Q2094" t="s">
        <v>2208</v>
      </c>
      <c r="R2094" t="s">
        <v>2208</v>
      </c>
    </row>
    <row r="2095" spans="1:18">
      <c r="A2095" t="s">
        <v>7030</v>
      </c>
      <c r="B2095" t="s">
        <v>17897</v>
      </c>
      <c r="C2095">
        <v>45839</v>
      </c>
      <c r="D2095" t="s">
        <v>7263</v>
      </c>
      <c r="E2095" t="s">
        <v>17898</v>
      </c>
      <c r="F2095">
        <v>45838</v>
      </c>
      <c r="G2095" t="s">
        <v>2208</v>
      </c>
      <c r="H2095" t="s">
        <v>7834</v>
      </c>
      <c r="I2095" t="s">
        <v>19726</v>
      </c>
      <c r="J2095">
        <v>1</v>
      </c>
      <c r="K2095">
        <v>104.61</v>
      </c>
      <c r="L2095" t="s">
        <v>2917</v>
      </c>
      <c r="M2095">
        <v>104.61</v>
      </c>
      <c r="N2095" t="s">
        <v>2917</v>
      </c>
      <c r="O2095" t="s">
        <v>2208</v>
      </c>
      <c r="P2095" t="s">
        <v>2208</v>
      </c>
      <c r="Q2095" t="s">
        <v>2208</v>
      </c>
      <c r="R2095" t="s">
        <v>2208</v>
      </c>
    </row>
    <row r="2096" spans="1:18">
      <c r="A2096" t="s">
        <v>7030</v>
      </c>
      <c r="B2096" t="s">
        <v>17897</v>
      </c>
      <c r="C2096">
        <v>45839</v>
      </c>
      <c r="D2096" t="s">
        <v>7263</v>
      </c>
      <c r="E2096" t="s">
        <v>17898</v>
      </c>
      <c r="F2096">
        <v>45838</v>
      </c>
      <c r="G2096" t="s">
        <v>2208</v>
      </c>
      <c r="H2096" t="s">
        <v>7834</v>
      </c>
      <c r="I2096" t="s">
        <v>19727</v>
      </c>
      <c r="J2096">
        <v>1</v>
      </c>
      <c r="K2096">
        <v>104.61</v>
      </c>
      <c r="L2096" t="s">
        <v>2917</v>
      </c>
      <c r="M2096">
        <v>104.61</v>
      </c>
      <c r="N2096" t="s">
        <v>2917</v>
      </c>
      <c r="O2096" t="s">
        <v>2208</v>
      </c>
      <c r="P2096" t="s">
        <v>2208</v>
      </c>
      <c r="Q2096" t="s">
        <v>2208</v>
      </c>
      <c r="R2096" t="s">
        <v>2208</v>
      </c>
    </row>
    <row r="2097" spans="1:18">
      <c r="A2097" t="s">
        <v>7030</v>
      </c>
      <c r="B2097" t="s">
        <v>17897</v>
      </c>
      <c r="C2097">
        <v>45839</v>
      </c>
      <c r="D2097" t="s">
        <v>7263</v>
      </c>
      <c r="E2097" t="s">
        <v>17898</v>
      </c>
      <c r="F2097">
        <v>45838</v>
      </c>
      <c r="G2097" t="s">
        <v>2208</v>
      </c>
      <c r="H2097" t="s">
        <v>7834</v>
      </c>
      <c r="I2097" t="s">
        <v>19728</v>
      </c>
      <c r="J2097">
        <v>1</v>
      </c>
      <c r="K2097">
        <v>104.61</v>
      </c>
      <c r="L2097" t="s">
        <v>2917</v>
      </c>
      <c r="M2097">
        <v>104.61</v>
      </c>
      <c r="N2097" t="s">
        <v>2917</v>
      </c>
      <c r="O2097" t="s">
        <v>2208</v>
      </c>
      <c r="P2097" t="s">
        <v>2208</v>
      </c>
      <c r="Q2097" t="s">
        <v>2208</v>
      </c>
      <c r="R2097" t="s">
        <v>2208</v>
      </c>
    </row>
    <row r="2098" spans="1:18">
      <c r="A2098" t="s">
        <v>7030</v>
      </c>
      <c r="B2098" t="s">
        <v>17897</v>
      </c>
      <c r="C2098">
        <v>45839</v>
      </c>
      <c r="D2098" t="s">
        <v>7263</v>
      </c>
      <c r="E2098" t="s">
        <v>17898</v>
      </c>
      <c r="F2098">
        <v>45838</v>
      </c>
      <c r="G2098" t="s">
        <v>2208</v>
      </c>
      <c r="H2098" t="s">
        <v>7834</v>
      </c>
      <c r="I2098" t="s">
        <v>19729</v>
      </c>
      <c r="J2098">
        <v>1</v>
      </c>
      <c r="K2098">
        <v>104.61</v>
      </c>
      <c r="L2098" t="s">
        <v>2917</v>
      </c>
      <c r="M2098">
        <v>104.61</v>
      </c>
      <c r="N2098" t="s">
        <v>2917</v>
      </c>
      <c r="O2098" t="s">
        <v>2208</v>
      </c>
      <c r="P2098" t="s">
        <v>2208</v>
      </c>
      <c r="Q2098" t="s">
        <v>2208</v>
      </c>
      <c r="R2098" t="s">
        <v>2208</v>
      </c>
    </row>
    <row r="2099" spans="1:18">
      <c r="A2099" t="s">
        <v>7030</v>
      </c>
      <c r="B2099" t="s">
        <v>17897</v>
      </c>
      <c r="C2099">
        <v>45839</v>
      </c>
      <c r="D2099" t="s">
        <v>7263</v>
      </c>
      <c r="E2099" t="s">
        <v>17898</v>
      </c>
      <c r="F2099">
        <v>45838</v>
      </c>
      <c r="G2099" t="s">
        <v>2208</v>
      </c>
      <c r="H2099" t="s">
        <v>7834</v>
      </c>
      <c r="I2099" t="s">
        <v>19730</v>
      </c>
      <c r="J2099">
        <v>1</v>
      </c>
      <c r="K2099">
        <v>104.61</v>
      </c>
      <c r="L2099" t="s">
        <v>2917</v>
      </c>
      <c r="M2099">
        <v>104.61</v>
      </c>
      <c r="N2099" t="s">
        <v>2917</v>
      </c>
      <c r="O2099" t="s">
        <v>2208</v>
      </c>
      <c r="P2099" t="s">
        <v>2208</v>
      </c>
      <c r="Q2099" t="s">
        <v>2208</v>
      </c>
      <c r="R2099" t="s">
        <v>2208</v>
      </c>
    </row>
    <row r="2100" spans="1:18">
      <c r="A2100" t="s">
        <v>7030</v>
      </c>
      <c r="B2100" t="s">
        <v>17897</v>
      </c>
      <c r="C2100">
        <v>45839</v>
      </c>
      <c r="D2100" t="s">
        <v>7263</v>
      </c>
      <c r="E2100" t="s">
        <v>17898</v>
      </c>
      <c r="F2100">
        <v>45838</v>
      </c>
      <c r="G2100" t="s">
        <v>2208</v>
      </c>
      <c r="H2100" t="s">
        <v>7834</v>
      </c>
      <c r="I2100" t="s">
        <v>19731</v>
      </c>
      <c r="J2100">
        <v>1</v>
      </c>
      <c r="K2100">
        <v>104.61</v>
      </c>
      <c r="L2100" t="s">
        <v>2917</v>
      </c>
      <c r="M2100">
        <v>104.61</v>
      </c>
      <c r="N2100" t="s">
        <v>2917</v>
      </c>
      <c r="O2100" t="s">
        <v>2208</v>
      </c>
      <c r="P2100" t="s">
        <v>2208</v>
      </c>
      <c r="Q2100" t="s">
        <v>2208</v>
      </c>
      <c r="R2100" t="s">
        <v>2208</v>
      </c>
    </row>
    <row r="2101" spans="1:18">
      <c r="A2101" t="s">
        <v>7030</v>
      </c>
      <c r="B2101" t="s">
        <v>17897</v>
      </c>
      <c r="C2101">
        <v>45839</v>
      </c>
      <c r="D2101" t="s">
        <v>7263</v>
      </c>
      <c r="E2101" t="s">
        <v>17898</v>
      </c>
      <c r="F2101">
        <v>45838</v>
      </c>
      <c r="G2101" t="s">
        <v>2208</v>
      </c>
      <c r="H2101" t="s">
        <v>7834</v>
      </c>
      <c r="I2101" t="s">
        <v>19732</v>
      </c>
      <c r="J2101">
        <v>2</v>
      </c>
      <c r="K2101">
        <v>209.22</v>
      </c>
      <c r="L2101" t="s">
        <v>2917</v>
      </c>
      <c r="M2101">
        <v>209.22</v>
      </c>
      <c r="N2101" t="s">
        <v>2917</v>
      </c>
      <c r="O2101" t="s">
        <v>2208</v>
      </c>
      <c r="P2101" t="s">
        <v>2208</v>
      </c>
      <c r="Q2101" t="s">
        <v>2208</v>
      </c>
      <c r="R2101" t="s">
        <v>2208</v>
      </c>
    </row>
    <row r="2102" spans="1:18">
      <c r="A2102" t="s">
        <v>7030</v>
      </c>
      <c r="B2102" t="s">
        <v>17897</v>
      </c>
      <c r="C2102">
        <v>45839</v>
      </c>
      <c r="D2102" t="s">
        <v>7263</v>
      </c>
      <c r="E2102" t="s">
        <v>17898</v>
      </c>
      <c r="F2102">
        <v>45838</v>
      </c>
      <c r="G2102" t="s">
        <v>2208</v>
      </c>
      <c r="H2102" t="s">
        <v>7834</v>
      </c>
      <c r="I2102" t="s">
        <v>19733</v>
      </c>
      <c r="J2102">
        <v>4</v>
      </c>
      <c r="K2102">
        <v>418.44</v>
      </c>
      <c r="L2102" t="s">
        <v>2917</v>
      </c>
      <c r="M2102">
        <v>418.44</v>
      </c>
      <c r="N2102" t="s">
        <v>2917</v>
      </c>
      <c r="O2102" t="s">
        <v>2208</v>
      </c>
      <c r="P2102" t="s">
        <v>2208</v>
      </c>
      <c r="Q2102" t="s">
        <v>2208</v>
      </c>
      <c r="R2102" t="s">
        <v>2208</v>
      </c>
    </row>
    <row r="2103" spans="1:18">
      <c r="A2103" t="s">
        <v>7030</v>
      </c>
      <c r="B2103" t="s">
        <v>17897</v>
      </c>
      <c r="C2103">
        <v>45839</v>
      </c>
      <c r="D2103" t="s">
        <v>7263</v>
      </c>
      <c r="E2103" t="s">
        <v>17898</v>
      </c>
      <c r="F2103">
        <v>45838</v>
      </c>
      <c r="G2103" t="s">
        <v>2208</v>
      </c>
      <c r="H2103" t="s">
        <v>7834</v>
      </c>
      <c r="I2103" t="s">
        <v>19734</v>
      </c>
      <c r="J2103">
        <v>1</v>
      </c>
      <c r="K2103">
        <v>104.61</v>
      </c>
      <c r="L2103" t="s">
        <v>2917</v>
      </c>
      <c r="M2103">
        <v>104.61</v>
      </c>
      <c r="N2103" t="s">
        <v>2917</v>
      </c>
      <c r="O2103" t="s">
        <v>2208</v>
      </c>
      <c r="P2103" t="s">
        <v>2208</v>
      </c>
      <c r="Q2103" t="s">
        <v>2208</v>
      </c>
      <c r="R2103" t="s">
        <v>2208</v>
      </c>
    </row>
    <row r="2104" spans="1:18">
      <c r="A2104" t="s">
        <v>7030</v>
      </c>
      <c r="B2104" t="s">
        <v>17897</v>
      </c>
      <c r="C2104">
        <v>45839</v>
      </c>
      <c r="D2104" t="s">
        <v>7263</v>
      </c>
      <c r="E2104" t="s">
        <v>17898</v>
      </c>
      <c r="F2104">
        <v>45838</v>
      </c>
      <c r="G2104" t="s">
        <v>2208</v>
      </c>
      <c r="H2104" t="s">
        <v>7834</v>
      </c>
      <c r="I2104" t="s">
        <v>19735</v>
      </c>
      <c r="J2104">
        <v>2</v>
      </c>
      <c r="K2104">
        <v>209.22</v>
      </c>
      <c r="L2104" t="s">
        <v>2917</v>
      </c>
      <c r="M2104">
        <v>209.22</v>
      </c>
      <c r="N2104" t="s">
        <v>2917</v>
      </c>
      <c r="O2104" t="s">
        <v>2208</v>
      </c>
      <c r="P2104" t="s">
        <v>2208</v>
      </c>
      <c r="Q2104" t="s">
        <v>2208</v>
      </c>
      <c r="R2104" t="s">
        <v>2208</v>
      </c>
    </row>
    <row r="2105" spans="1:18">
      <c r="A2105" t="s">
        <v>7030</v>
      </c>
      <c r="B2105" t="s">
        <v>17897</v>
      </c>
      <c r="C2105">
        <v>45839</v>
      </c>
      <c r="D2105" t="s">
        <v>7263</v>
      </c>
      <c r="E2105" t="s">
        <v>17898</v>
      </c>
      <c r="F2105">
        <v>45838</v>
      </c>
      <c r="G2105" t="s">
        <v>2208</v>
      </c>
      <c r="H2105" t="s">
        <v>7834</v>
      </c>
      <c r="I2105" t="s">
        <v>19736</v>
      </c>
      <c r="J2105">
        <v>1</v>
      </c>
      <c r="K2105">
        <v>104.61</v>
      </c>
      <c r="L2105" t="s">
        <v>2917</v>
      </c>
      <c r="M2105">
        <v>104.61</v>
      </c>
      <c r="N2105" t="s">
        <v>2917</v>
      </c>
      <c r="O2105" t="s">
        <v>2208</v>
      </c>
      <c r="P2105" t="s">
        <v>2208</v>
      </c>
      <c r="Q2105" t="s">
        <v>2208</v>
      </c>
      <c r="R2105" t="s">
        <v>2208</v>
      </c>
    </row>
    <row r="2106" spans="1:18">
      <c r="A2106" t="s">
        <v>7030</v>
      </c>
      <c r="B2106" t="s">
        <v>17897</v>
      </c>
      <c r="C2106">
        <v>45839</v>
      </c>
      <c r="D2106" t="s">
        <v>7263</v>
      </c>
      <c r="E2106" t="s">
        <v>17898</v>
      </c>
      <c r="F2106">
        <v>45838</v>
      </c>
      <c r="G2106" t="s">
        <v>2208</v>
      </c>
      <c r="H2106" t="s">
        <v>7834</v>
      </c>
      <c r="I2106" t="s">
        <v>19737</v>
      </c>
      <c r="J2106">
        <v>0.5</v>
      </c>
      <c r="K2106">
        <v>52.31</v>
      </c>
      <c r="L2106" t="s">
        <v>2917</v>
      </c>
      <c r="M2106">
        <v>52.31</v>
      </c>
      <c r="N2106" t="s">
        <v>2917</v>
      </c>
      <c r="O2106" t="s">
        <v>2208</v>
      </c>
      <c r="P2106" t="s">
        <v>2208</v>
      </c>
      <c r="Q2106" t="s">
        <v>2208</v>
      </c>
      <c r="R2106" t="s">
        <v>2208</v>
      </c>
    </row>
    <row r="2107" spans="1:18">
      <c r="A2107" t="s">
        <v>7030</v>
      </c>
      <c r="B2107" t="s">
        <v>17897</v>
      </c>
      <c r="C2107">
        <v>45839</v>
      </c>
      <c r="D2107" t="s">
        <v>7263</v>
      </c>
      <c r="E2107" t="s">
        <v>17898</v>
      </c>
      <c r="F2107">
        <v>45838</v>
      </c>
      <c r="G2107" t="s">
        <v>2208</v>
      </c>
      <c r="H2107" t="s">
        <v>7834</v>
      </c>
      <c r="I2107" t="s">
        <v>19738</v>
      </c>
      <c r="J2107">
        <v>2</v>
      </c>
      <c r="K2107">
        <v>209.22</v>
      </c>
      <c r="L2107" t="s">
        <v>2917</v>
      </c>
      <c r="M2107">
        <v>209.22</v>
      </c>
      <c r="N2107" t="s">
        <v>2917</v>
      </c>
      <c r="O2107" t="s">
        <v>2208</v>
      </c>
      <c r="P2107" t="s">
        <v>2208</v>
      </c>
      <c r="Q2107" t="s">
        <v>2208</v>
      </c>
      <c r="R2107" t="s">
        <v>2208</v>
      </c>
    </row>
    <row r="2108" spans="1:18">
      <c r="A2108" t="s">
        <v>7030</v>
      </c>
      <c r="B2108" t="s">
        <v>17897</v>
      </c>
      <c r="C2108">
        <v>45839</v>
      </c>
      <c r="D2108" t="s">
        <v>7263</v>
      </c>
      <c r="E2108" t="s">
        <v>17898</v>
      </c>
      <c r="F2108">
        <v>45838</v>
      </c>
      <c r="G2108" t="s">
        <v>2208</v>
      </c>
      <c r="H2108" t="s">
        <v>7834</v>
      </c>
      <c r="I2108" t="s">
        <v>19739</v>
      </c>
      <c r="J2108">
        <v>1</v>
      </c>
      <c r="K2108">
        <v>104.61</v>
      </c>
      <c r="L2108" t="s">
        <v>2917</v>
      </c>
      <c r="M2108">
        <v>104.61</v>
      </c>
      <c r="N2108" t="s">
        <v>2917</v>
      </c>
      <c r="O2108" t="s">
        <v>2208</v>
      </c>
      <c r="P2108" t="s">
        <v>2208</v>
      </c>
      <c r="Q2108" t="s">
        <v>2208</v>
      </c>
      <c r="R2108" t="s">
        <v>2208</v>
      </c>
    </row>
    <row r="2109" spans="1:18">
      <c r="A2109" t="s">
        <v>7030</v>
      </c>
      <c r="B2109" t="s">
        <v>17897</v>
      </c>
      <c r="C2109">
        <v>45839</v>
      </c>
      <c r="D2109" t="s">
        <v>7263</v>
      </c>
      <c r="E2109" t="s">
        <v>17898</v>
      </c>
      <c r="F2109">
        <v>45838</v>
      </c>
      <c r="G2109" t="s">
        <v>2208</v>
      </c>
      <c r="H2109" t="s">
        <v>7834</v>
      </c>
      <c r="I2109" t="s">
        <v>19740</v>
      </c>
      <c r="J2109">
        <v>2</v>
      </c>
      <c r="K2109">
        <v>209.22</v>
      </c>
      <c r="L2109" t="s">
        <v>2917</v>
      </c>
      <c r="M2109">
        <v>209.22</v>
      </c>
      <c r="N2109" t="s">
        <v>2917</v>
      </c>
      <c r="O2109" t="s">
        <v>2208</v>
      </c>
      <c r="P2109" t="s">
        <v>2208</v>
      </c>
      <c r="Q2109" t="s">
        <v>2208</v>
      </c>
      <c r="R2109" t="s">
        <v>2208</v>
      </c>
    </row>
    <row r="2110" spans="1:18">
      <c r="A2110" t="s">
        <v>7030</v>
      </c>
      <c r="B2110" t="s">
        <v>17897</v>
      </c>
      <c r="C2110">
        <v>45839</v>
      </c>
      <c r="D2110" t="s">
        <v>7263</v>
      </c>
      <c r="E2110" t="s">
        <v>17898</v>
      </c>
      <c r="F2110">
        <v>45838</v>
      </c>
      <c r="G2110" t="s">
        <v>2208</v>
      </c>
      <c r="H2110" t="s">
        <v>7834</v>
      </c>
      <c r="I2110" t="s">
        <v>19741</v>
      </c>
      <c r="J2110">
        <v>3</v>
      </c>
      <c r="K2110">
        <v>313.83</v>
      </c>
      <c r="L2110" t="s">
        <v>2917</v>
      </c>
      <c r="M2110">
        <v>313.83</v>
      </c>
      <c r="N2110" t="s">
        <v>2917</v>
      </c>
      <c r="O2110" t="s">
        <v>2208</v>
      </c>
      <c r="P2110" t="s">
        <v>2208</v>
      </c>
      <c r="Q2110" t="s">
        <v>2208</v>
      </c>
      <c r="R2110" t="s">
        <v>2208</v>
      </c>
    </row>
    <row r="2111" spans="1:18">
      <c r="A2111" t="s">
        <v>7030</v>
      </c>
      <c r="B2111" t="s">
        <v>17897</v>
      </c>
      <c r="C2111">
        <v>45839</v>
      </c>
      <c r="D2111" t="s">
        <v>7263</v>
      </c>
      <c r="E2111" t="s">
        <v>17898</v>
      </c>
      <c r="F2111">
        <v>45838</v>
      </c>
      <c r="G2111" t="s">
        <v>2208</v>
      </c>
      <c r="H2111" t="s">
        <v>7834</v>
      </c>
      <c r="I2111" t="s">
        <v>19742</v>
      </c>
      <c r="J2111">
        <v>3</v>
      </c>
      <c r="K2111">
        <v>313.83</v>
      </c>
      <c r="L2111" t="s">
        <v>2917</v>
      </c>
      <c r="M2111">
        <v>313.83</v>
      </c>
      <c r="N2111" t="s">
        <v>2917</v>
      </c>
      <c r="O2111" t="s">
        <v>2208</v>
      </c>
      <c r="P2111" t="s">
        <v>2208</v>
      </c>
      <c r="Q2111" t="s">
        <v>2208</v>
      </c>
      <c r="R2111" t="s">
        <v>2208</v>
      </c>
    </row>
    <row r="2112" spans="1:18">
      <c r="A2112" t="s">
        <v>7030</v>
      </c>
      <c r="B2112" t="s">
        <v>17897</v>
      </c>
      <c r="C2112">
        <v>45839</v>
      </c>
      <c r="D2112" t="s">
        <v>7263</v>
      </c>
      <c r="E2112" t="s">
        <v>17898</v>
      </c>
      <c r="F2112">
        <v>45838</v>
      </c>
      <c r="G2112" t="s">
        <v>2208</v>
      </c>
      <c r="H2112" t="s">
        <v>7834</v>
      </c>
      <c r="I2112" t="s">
        <v>19743</v>
      </c>
      <c r="J2112">
        <v>1</v>
      </c>
      <c r="K2112">
        <v>104.61</v>
      </c>
      <c r="L2112" t="s">
        <v>2917</v>
      </c>
      <c r="M2112">
        <v>104.61</v>
      </c>
      <c r="N2112" t="s">
        <v>2917</v>
      </c>
      <c r="O2112" t="s">
        <v>2208</v>
      </c>
      <c r="P2112" t="s">
        <v>2208</v>
      </c>
      <c r="Q2112" t="s">
        <v>2208</v>
      </c>
      <c r="R2112" t="s">
        <v>2208</v>
      </c>
    </row>
    <row r="2113" spans="1:18">
      <c r="A2113" t="s">
        <v>7030</v>
      </c>
      <c r="B2113" t="s">
        <v>17897</v>
      </c>
      <c r="C2113">
        <v>45839</v>
      </c>
      <c r="D2113" t="s">
        <v>7263</v>
      </c>
      <c r="E2113" t="s">
        <v>17898</v>
      </c>
      <c r="F2113">
        <v>45838</v>
      </c>
      <c r="G2113" t="s">
        <v>2208</v>
      </c>
      <c r="H2113" t="s">
        <v>7834</v>
      </c>
      <c r="I2113" t="s">
        <v>19744</v>
      </c>
      <c r="J2113">
        <v>2</v>
      </c>
      <c r="K2113">
        <v>209.22</v>
      </c>
      <c r="L2113" t="s">
        <v>2917</v>
      </c>
      <c r="M2113">
        <v>209.22</v>
      </c>
      <c r="N2113" t="s">
        <v>2917</v>
      </c>
      <c r="O2113" t="s">
        <v>2208</v>
      </c>
      <c r="P2113" t="s">
        <v>2208</v>
      </c>
      <c r="Q2113" t="s">
        <v>2208</v>
      </c>
      <c r="R2113" t="s">
        <v>2208</v>
      </c>
    </row>
    <row r="2114" spans="1:18">
      <c r="A2114" t="s">
        <v>7030</v>
      </c>
      <c r="B2114" t="s">
        <v>17897</v>
      </c>
      <c r="C2114">
        <v>45839</v>
      </c>
      <c r="D2114" t="s">
        <v>7263</v>
      </c>
      <c r="E2114" t="s">
        <v>17898</v>
      </c>
      <c r="F2114">
        <v>45838</v>
      </c>
      <c r="G2114" t="s">
        <v>2208</v>
      </c>
      <c r="H2114" t="s">
        <v>7834</v>
      </c>
      <c r="I2114" t="s">
        <v>19745</v>
      </c>
      <c r="J2114">
        <v>1</v>
      </c>
      <c r="K2114">
        <v>104.61</v>
      </c>
      <c r="L2114" t="s">
        <v>2917</v>
      </c>
      <c r="M2114">
        <v>104.61</v>
      </c>
      <c r="N2114" t="s">
        <v>2917</v>
      </c>
      <c r="O2114" t="s">
        <v>2208</v>
      </c>
      <c r="P2114" t="s">
        <v>2208</v>
      </c>
      <c r="Q2114" t="s">
        <v>2208</v>
      </c>
      <c r="R2114" t="s">
        <v>2208</v>
      </c>
    </row>
    <row r="2115" spans="1:18">
      <c r="A2115" t="s">
        <v>7030</v>
      </c>
      <c r="B2115" t="s">
        <v>17897</v>
      </c>
      <c r="C2115">
        <v>45839</v>
      </c>
      <c r="D2115" t="s">
        <v>7263</v>
      </c>
      <c r="E2115" t="s">
        <v>17898</v>
      </c>
      <c r="F2115">
        <v>45838</v>
      </c>
      <c r="G2115" t="s">
        <v>2208</v>
      </c>
      <c r="H2115" t="s">
        <v>7834</v>
      </c>
      <c r="I2115" t="s">
        <v>19746</v>
      </c>
      <c r="J2115">
        <v>1</v>
      </c>
      <c r="K2115">
        <v>104.61</v>
      </c>
      <c r="L2115" t="s">
        <v>2917</v>
      </c>
      <c r="M2115">
        <v>104.61</v>
      </c>
      <c r="N2115" t="s">
        <v>2917</v>
      </c>
      <c r="O2115" t="s">
        <v>2208</v>
      </c>
      <c r="P2115" t="s">
        <v>2208</v>
      </c>
      <c r="Q2115" t="s">
        <v>2208</v>
      </c>
      <c r="R2115" t="s">
        <v>2208</v>
      </c>
    </row>
    <row r="2116" spans="1:18">
      <c r="A2116" t="s">
        <v>7030</v>
      </c>
      <c r="B2116" t="s">
        <v>17897</v>
      </c>
      <c r="C2116">
        <v>45839</v>
      </c>
      <c r="D2116" t="s">
        <v>7263</v>
      </c>
      <c r="E2116" t="s">
        <v>17898</v>
      </c>
      <c r="F2116">
        <v>45838</v>
      </c>
      <c r="G2116" t="s">
        <v>2208</v>
      </c>
      <c r="H2116" t="s">
        <v>7834</v>
      </c>
      <c r="I2116" t="s">
        <v>19747</v>
      </c>
      <c r="J2116">
        <v>1</v>
      </c>
      <c r="K2116">
        <v>104.61</v>
      </c>
      <c r="L2116" t="s">
        <v>2917</v>
      </c>
      <c r="M2116">
        <v>104.61</v>
      </c>
      <c r="N2116" t="s">
        <v>2917</v>
      </c>
      <c r="O2116" t="s">
        <v>2208</v>
      </c>
      <c r="P2116" t="s">
        <v>2208</v>
      </c>
      <c r="Q2116" t="s">
        <v>2208</v>
      </c>
      <c r="R2116" t="s">
        <v>2208</v>
      </c>
    </row>
    <row r="2117" spans="1:18">
      <c r="A2117" t="s">
        <v>7030</v>
      </c>
      <c r="B2117" t="s">
        <v>17897</v>
      </c>
      <c r="C2117">
        <v>45839</v>
      </c>
      <c r="D2117" t="s">
        <v>7263</v>
      </c>
      <c r="E2117" t="s">
        <v>17898</v>
      </c>
      <c r="F2117">
        <v>45838</v>
      </c>
      <c r="G2117" t="s">
        <v>2208</v>
      </c>
      <c r="H2117" t="s">
        <v>7834</v>
      </c>
      <c r="I2117" t="s">
        <v>19748</v>
      </c>
      <c r="J2117">
        <v>3</v>
      </c>
      <c r="K2117">
        <v>313.83</v>
      </c>
      <c r="L2117" t="s">
        <v>2917</v>
      </c>
      <c r="M2117">
        <v>313.83</v>
      </c>
      <c r="N2117" t="s">
        <v>2917</v>
      </c>
      <c r="O2117" t="s">
        <v>2208</v>
      </c>
      <c r="P2117" t="s">
        <v>2208</v>
      </c>
      <c r="Q2117" t="s">
        <v>2208</v>
      </c>
      <c r="R2117" t="s">
        <v>2208</v>
      </c>
    </row>
    <row r="2118" spans="1:18">
      <c r="A2118" t="s">
        <v>7030</v>
      </c>
      <c r="B2118" t="s">
        <v>17897</v>
      </c>
      <c r="C2118">
        <v>45839</v>
      </c>
      <c r="D2118" t="s">
        <v>7263</v>
      </c>
      <c r="E2118" t="s">
        <v>17898</v>
      </c>
      <c r="F2118">
        <v>45838</v>
      </c>
      <c r="G2118" t="s">
        <v>2208</v>
      </c>
      <c r="H2118" t="s">
        <v>7834</v>
      </c>
      <c r="I2118" t="s">
        <v>19749</v>
      </c>
      <c r="J2118">
        <v>0.1</v>
      </c>
      <c r="K2118">
        <v>10.46</v>
      </c>
      <c r="L2118" t="s">
        <v>2917</v>
      </c>
      <c r="M2118">
        <v>10.46</v>
      </c>
      <c r="N2118" t="s">
        <v>2917</v>
      </c>
      <c r="O2118" t="s">
        <v>2208</v>
      </c>
      <c r="P2118" t="s">
        <v>2208</v>
      </c>
      <c r="Q2118" t="s">
        <v>2208</v>
      </c>
      <c r="R2118" t="s">
        <v>2208</v>
      </c>
    </row>
    <row r="2119" spans="1:18">
      <c r="A2119" t="s">
        <v>7030</v>
      </c>
      <c r="B2119" t="s">
        <v>17897</v>
      </c>
      <c r="C2119">
        <v>45839</v>
      </c>
      <c r="D2119" t="s">
        <v>7263</v>
      </c>
      <c r="E2119" t="s">
        <v>17898</v>
      </c>
      <c r="F2119">
        <v>45838</v>
      </c>
      <c r="G2119" t="s">
        <v>2208</v>
      </c>
      <c r="H2119" t="s">
        <v>7834</v>
      </c>
      <c r="I2119" t="s">
        <v>19750</v>
      </c>
      <c r="J2119">
        <v>3</v>
      </c>
      <c r="K2119">
        <v>313.83</v>
      </c>
      <c r="L2119" t="s">
        <v>2917</v>
      </c>
      <c r="M2119">
        <v>313.83</v>
      </c>
      <c r="N2119" t="s">
        <v>2917</v>
      </c>
      <c r="O2119" t="s">
        <v>2208</v>
      </c>
      <c r="P2119" t="s">
        <v>2208</v>
      </c>
      <c r="Q2119" t="s">
        <v>2208</v>
      </c>
      <c r="R2119" t="s">
        <v>2208</v>
      </c>
    </row>
    <row r="2120" spans="1:18">
      <c r="A2120" t="s">
        <v>7030</v>
      </c>
      <c r="B2120" t="s">
        <v>17897</v>
      </c>
      <c r="C2120">
        <v>45839</v>
      </c>
      <c r="D2120" t="s">
        <v>7263</v>
      </c>
      <c r="E2120" t="s">
        <v>17898</v>
      </c>
      <c r="F2120">
        <v>45838</v>
      </c>
      <c r="G2120" t="s">
        <v>2208</v>
      </c>
      <c r="H2120" t="s">
        <v>7834</v>
      </c>
      <c r="I2120" t="s">
        <v>19751</v>
      </c>
      <c r="J2120">
        <v>1</v>
      </c>
      <c r="K2120">
        <v>104.61</v>
      </c>
      <c r="L2120" t="s">
        <v>2917</v>
      </c>
      <c r="M2120">
        <v>104.61</v>
      </c>
      <c r="N2120" t="s">
        <v>2917</v>
      </c>
      <c r="O2120" t="s">
        <v>2208</v>
      </c>
      <c r="P2120" t="s">
        <v>2208</v>
      </c>
      <c r="Q2120" t="s">
        <v>2208</v>
      </c>
      <c r="R2120" t="s">
        <v>2208</v>
      </c>
    </row>
    <row r="2121" spans="1:18">
      <c r="A2121" t="s">
        <v>7030</v>
      </c>
      <c r="B2121" t="s">
        <v>17897</v>
      </c>
      <c r="C2121">
        <v>45839</v>
      </c>
      <c r="D2121" t="s">
        <v>7263</v>
      </c>
      <c r="E2121" t="s">
        <v>17898</v>
      </c>
      <c r="F2121">
        <v>45838</v>
      </c>
      <c r="G2121" t="s">
        <v>2208</v>
      </c>
      <c r="H2121" t="s">
        <v>7834</v>
      </c>
      <c r="I2121" t="s">
        <v>19752</v>
      </c>
      <c r="J2121">
        <v>1</v>
      </c>
      <c r="K2121">
        <v>104.61</v>
      </c>
      <c r="L2121" t="s">
        <v>2917</v>
      </c>
      <c r="M2121">
        <v>104.61</v>
      </c>
      <c r="N2121" t="s">
        <v>2917</v>
      </c>
      <c r="O2121" t="s">
        <v>2208</v>
      </c>
      <c r="P2121" t="s">
        <v>2208</v>
      </c>
      <c r="Q2121" t="s">
        <v>2208</v>
      </c>
      <c r="R2121" t="s">
        <v>2208</v>
      </c>
    </row>
    <row r="2122" spans="1:18">
      <c r="A2122" t="s">
        <v>7030</v>
      </c>
      <c r="B2122" t="s">
        <v>17897</v>
      </c>
      <c r="C2122">
        <v>45839</v>
      </c>
      <c r="D2122" t="s">
        <v>7263</v>
      </c>
      <c r="E2122" t="s">
        <v>17898</v>
      </c>
      <c r="F2122">
        <v>45838</v>
      </c>
      <c r="G2122" t="s">
        <v>2208</v>
      </c>
      <c r="H2122" t="s">
        <v>7834</v>
      </c>
      <c r="I2122" t="s">
        <v>19753</v>
      </c>
      <c r="J2122">
        <v>0.1</v>
      </c>
      <c r="K2122">
        <v>10.46</v>
      </c>
      <c r="L2122" t="s">
        <v>2917</v>
      </c>
      <c r="M2122">
        <v>10.46</v>
      </c>
      <c r="N2122" t="s">
        <v>2917</v>
      </c>
      <c r="O2122" t="s">
        <v>2208</v>
      </c>
      <c r="P2122" t="s">
        <v>2208</v>
      </c>
      <c r="Q2122" t="s">
        <v>2208</v>
      </c>
      <c r="R2122" t="s">
        <v>2208</v>
      </c>
    </row>
    <row r="2123" spans="1:18">
      <c r="A2123" t="s">
        <v>7030</v>
      </c>
      <c r="B2123" t="s">
        <v>17897</v>
      </c>
      <c r="C2123">
        <v>45839</v>
      </c>
      <c r="D2123" t="s">
        <v>7263</v>
      </c>
      <c r="E2123" t="s">
        <v>17898</v>
      </c>
      <c r="F2123">
        <v>45838</v>
      </c>
      <c r="G2123" t="s">
        <v>2208</v>
      </c>
      <c r="H2123" t="s">
        <v>7834</v>
      </c>
      <c r="I2123" t="s">
        <v>19754</v>
      </c>
      <c r="J2123">
        <v>1.5</v>
      </c>
      <c r="K2123">
        <v>156.91999999999999</v>
      </c>
      <c r="L2123" t="s">
        <v>2917</v>
      </c>
      <c r="M2123">
        <v>156.91999999999999</v>
      </c>
      <c r="N2123" t="s">
        <v>2917</v>
      </c>
      <c r="O2123" t="s">
        <v>2208</v>
      </c>
      <c r="P2123" t="s">
        <v>2208</v>
      </c>
      <c r="Q2123" t="s">
        <v>2208</v>
      </c>
      <c r="R2123" t="s">
        <v>2208</v>
      </c>
    </row>
    <row r="2124" spans="1:18">
      <c r="A2124" t="s">
        <v>7030</v>
      </c>
      <c r="B2124" t="s">
        <v>17897</v>
      </c>
      <c r="C2124">
        <v>45839</v>
      </c>
      <c r="D2124" t="s">
        <v>7263</v>
      </c>
      <c r="E2124" t="s">
        <v>17898</v>
      </c>
      <c r="F2124">
        <v>45838</v>
      </c>
      <c r="G2124" t="s">
        <v>2208</v>
      </c>
      <c r="H2124" t="s">
        <v>7834</v>
      </c>
      <c r="I2124" t="s">
        <v>19755</v>
      </c>
      <c r="J2124">
        <v>4</v>
      </c>
      <c r="K2124">
        <v>418.44</v>
      </c>
      <c r="L2124" t="s">
        <v>2917</v>
      </c>
      <c r="M2124">
        <v>418.44</v>
      </c>
      <c r="N2124" t="s">
        <v>2917</v>
      </c>
      <c r="O2124" t="s">
        <v>2208</v>
      </c>
      <c r="P2124" t="s">
        <v>2208</v>
      </c>
      <c r="Q2124" t="s">
        <v>2208</v>
      </c>
      <c r="R2124" t="s">
        <v>2208</v>
      </c>
    </row>
    <row r="2125" spans="1:18">
      <c r="A2125" t="s">
        <v>7030</v>
      </c>
      <c r="B2125" t="s">
        <v>17897</v>
      </c>
      <c r="C2125">
        <v>45839</v>
      </c>
      <c r="D2125" t="s">
        <v>7263</v>
      </c>
      <c r="E2125" t="s">
        <v>17898</v>
      </c>
      <c r="F2125">
        <v>45838</v>
      </c>
      <c r="G2125" t="s">
        <v>2208</v>
      </c>
      <c r="H2125" t="s">
        <v>7834</v>
      </c>
      <c r="I2125" t="s">
        <v>19756</v>
      </c>
      <c r="J2125">
        <v>3</v>
      </c>
      <c r="K2125">
        <v>313.83</v>
      </c>
      <c r="L2125" t="s">
        <v>2917</v>
      </c>
      <c r="M2125">
        <v>313.83</v>
      </c>
      <c r="N2125" t="s">
        <v>2917</v>
      </c>
      <c r="O2125" t="s">
        <v>2208</v>
      </c>
      <c r="P2125" t="s">
        <v>2208</v>
      </c>
      <c r="Q2125" t="s">
        <v>2208</v>
      </c>
      <c r="R2125" t="s">
        <v>2208</v>
      </c>
    </row>
    <row r="2126" spans="1:18">
      <c r="A2126" t="s">
        <v>7030</v>
      </c>
      <c r="B2126" t="s">
        <v>17897</v>
      </c>
      <c r="C2126">
        <v>45839</v>
      </c>
      <c r="D2126" t="s">
        <v>7263</v>
      </c>
      <c r="E2126" t="s">
        <v>17898</v>
      </c>
      <c r="F2126">
        <v>45838</v>
      </c>
      <c r="G2126" t="s">
        <v>2208</v>
      </c>
      <c r="H2126" t="s">
        <v>7834</v>
      </c>
      <c r="I2126" t="s">
        <v>19757</v>
      </c>
      <c r="J2126">
        <v>2</v>
      </c>
      <c r="K2126">
        <v>209.22</v>
      </c>
      <c r="L2126" t="s">
        <v>2917</v>
      </c>
      <c r="M2126">
        <v>209.22</v>
      </c>
      <c r="N2126" t="s">
        <v>2917</v>
      </c>
      <c r="O2126" t="s">
        <v>2208</v>
      </c>
      <c r="P2126" t="s">
        <v>2208</v>
      </c>
      <c r="Q2126" t="s">
        <v>2208</v>
      </c>
      <c r="R2126" t="s">
        <v>2208</v>
      </c>
    </row>
    <row r="2127" spans="1:18">
      <c r="A2127" t="s">
        <v>7030</v>
      </c>
      <c r="B2127" t="s">
        <v>17897</v>
      </c>
      <c r="C2127">
        <v>45839</v>
      </c>
      <c r="D2127" t="s">
        <v>7263</v>
      </c>
      <c r="E2127" t="s">
        <v>17898</v>
      </c>
      <c r="F2127">
        <v>45838</v>
      </c>
      <c r="G2127" t="s">
        <v>2208</v>
      </c>
      <c r="H2127" t="s">
        <v>7834</v>
      </c>
      <c r="I2127" t="s">
        <v>19758</v>
      </c>
      <c r="J2127">
        <v>1</v>
      </c>
      <c r="K2127">
        <v>104.61</v>
      </c>
      <c r="L2127" t="s">
        <v>2917</v>
      </c>
      <c r="M2127">
        <v>104.61</v>
      </c>
      <c r="N2127" t="s">
        <v>2917</v>
      </c>
      <c r="O2127" t="s">
        <v>2208</v>
      </c>
      <c r="P2127" t="s">
        <v>2208</v>
      </c>
      <c r="Q2127" t="s">
        <v>2208</v>
      </c>
      <c r="R2127" t="s">
        <v>2208</v>
      </c>
    </row>
    <row r="2128" spans="1:18">
      <c r="A2128" t="s">
        <v>7030</v>
      </c>
      <c r="B2128" t="s">
        <v>17897</v>
      </c>
      <c r="C2128">
        <v>45839</v>
      </c>
      <c r="D2128" t="s">
        <v>7263</v>
      </c>
      <c r="E2128" t="s">
        <v>17898</v>
      </c>
      <c r="F2128">
        <v>45838</v>
      </c>
      <c r="G2128" t="s">
        <v>2208</v>
      </c>
      <c r="H2128" t="s">
        <v>7834</v>
      </c>
      <c r="I2128" t="s">
        <v>19759</v>
      </c>
      <c r="J2128">
        <v>2</v>
      </c>
      <c r="K2128">
        <v>209.22</v>
      </c>
      <c r="L2128" t="s">
        <v>2917</v>
      </c>
      <c r="M2128">
        <v>209.22</v>
      </c>
      <c r="N2128" t="s">
        <v>2917</v>
      </c>
      <c r="O2128" t="s">
        <v>2208</v>
      </c>
      <c r="P2128" t="s">
        <v>2208</v>
      </c>
      <c r="Q2128" t="s">
        <v>2208</v>
      </c>
      <c r="R2128" t="s">
        <v>2208</v>
      </c>
    </row>
    <row r="2129" spans="1:18">
      <c r="A2129" t="s">
        <v>7030</v>
      </c>
      <c r="B2129" t="s">
        <v>17897</v>
      </c>
      <c r="C2129">
        <v>45839</v>
      </c>
      <c r="D2129" t="s">
        <v>7263</v>
      </c>
      <c r="E2129" t="s">
        <v>17898</v>
      </c>
      <c r="F2129">
        <v>45838</v>
      </c>
      <c r="G2129" t="s">
        <v>2208</v>
      </c>
      <c r="H2129" t="s">
        <v>7834</v>
      </c>
      <c r="I2129" t="s">
        <v>19760</v>
      </c>
      <c r="J2129">
        <v>2</v>
      </c>
      <c r="K2129">
        <v>209.22</v>
      </c>
      <c r="L2129" t="s">
        <v>2917</v>
      </c>
      <c r="M2129">
        <v>209.22</v>
      </c>
      <c r="N2129" t="s">
        <v>2917</v>
      </c>
      <c r="O2129" t="s">
        <v>2208</v>
      </c>
      <c r="P2129" t="s">
        <v>2208</v>
      </c>
      <c r="Q2129" t="s">
        <v>2208</v>
      </c>
      <c r="R2129" t="s">
        <v>2208</v>
      </c>
    </row>
    <row r="2130" spans="1:18">
      <c r="A2130" t="s">
        <v>7030</v>
      </c>
      <c r="B2130" t="s">
        <v>17897</v>
      </c>
      <c r="C2130">
        <v>45839</v>
      </c>
      <c r="D2130" t="s">
        <v>7263</v>
      </c>
      <c r="E2130" t="s">
        <v>17898</v>
      </c>
      <c r="F2130">
        <v>45838</v>
      </c>
      <c r="G2130" t="s">
        <v>2208</v>
      </c>
      <c r="H2130" t="s">
        <v>7834</v>
      </c>
      <c r="I2130" t="s">
        <v>19761</v>
      </c>
      <c r="J2130">
        <v>2</v>
      </c>
      <c r="K2130">
        <v>209.22</v>
      </c>
      <c r="L2130" t="s">
        <v>2917</v>
      </c>
      <c r="M2130">
        <v>209.22</v>
      </c>
      <c r="N2130" t="s">
        <v>2917</v>
      </c>
      <c r="O2130" t="s">
        <v>2208</v>
      </c>
      <c r="P2130" t="s">
        <v>2208</v>
      </c>
      <c r="Q2130" t="s">
        <v>2208</v>
      </c>
      <c r="R2130" t="s">
        <v>2208</v>
      </c>
    </row>
    <row r="2131" spans="1:18">
      <c r="A2131" t="s">
        <v>7030</v>
      </c>
      <c r="B2131" t="s">
        <v>17897</v>
      </c>
      <c r="C2131">
        <v>45839</v>
      </c>
      <c r="D2131" t="s">
        <v>7263</v>
      </c>
      <c r="E2131" t="s">
        <v>17898</v>
      </c>
      <c r="F2131">
        <v>45838</v>
      </c>
      <c r="G2131" t="s">
        <v>2208</v>
      </c>
      <c r="H2131" t="s">
        <v>7834</v>
      </c>
      <c r="I2131" t="s">
        <v>19762</v>
      </c>
      <c r="J2131">
        <v>1</v>
      </c>
      <c r="K2131">
        <v>104.61</v>
      </c>
      <c r="L2131" t="s">
        <v>2917</v>
      </c>
      <c r="M2131">
        <v>104.61</v>
      </c>
      <c r="N2131" t="s">
        <v>2917</v>
      </c>
      <c r="O2131" t="s">
        <v>2208</v>
      </c>
      <c r="P2131" t="s">
        <v>2208</v>
      </c>
      <c r="Q2131" t="s">
        <v>2208</v>
      </c>
      <c r="R2131" t="s">
        <v>2208</v>
      </c>
    </row>
    <row r="2132" spans="1:18">
      <c r="A2132" t="s">
        <v>7030</v>
      </c>
      <c r="B2132" t="s">
        <v>17897</v>
      </c>
      <c r="C2132">
        <v>45839</v>
      </c>
      <c r="D2132" t="s">
        <v>7263</v>
      </c>
      <c r="E2132" t="s">
        <v>17898</v>
      </c>
      <c r="F2132">
        <v>45838</v>
      </c>
      <c r="G2132" t="s">
        <v>2208</v>
      </c>
      <c r="H2132" t="s">
        <v>7834</v>
      </c>
      <c r="I2132" t="s">
        <v>19763</v>
      </c>
      <c r="J2132">
        <v>1</v>
      </c>
      <c r="K2132">
        <v>104.61</v>
      </c>
      <c r="L2132" t="s">
        <v>2917</v>
      </c>
      <c r="M2132">
        <v>104.61</v>
      </c>
      <c r="N2132" t="s">
        <v>2917</v>
      </c>
      <c r="O2132" t="s">
        <v>2208</v>
      </c>
      <c r="P2132" t="s">
        <v>2208</v>
      </c>
      <c r="Q2132" t="s">
        <v>2208</v>
      </c>
      <c r="R2132" t="s">
        <v>2208</v>
      </c>
    </row>
    <row r="2133" spans="1:18">
      <c r="A2133" t="s">
        <v>7030</v>
      </c>
      <c r="B2133" t="s">
        <v>17897</v>
      </c>
      <c r="C2133">
        <v>45839</v>
      </c>
      <c r="D2133" t="s">
        <v>7263</v>
      </c>
      <c r="E2133" t="s">
        <v>17898</v>
      </c>
      <c r="F2133">
        <v>45838</v>
      </c>
      <c r="G2133" t="s">
        <v>2208</v>
      </c>
      <c r="H2133" t="s">
        <v>7834</v>
      </c>
      <c r="I2133" t="s">
        <v>19764</v>
      </c>
      <c r="J2133">
        <v>1</v>
      </c>
      <c r="K2133">
        <v>104.61</v>
      </c>
      <c r="L2133" t="s">
        <v>2917</v>
      </c>
      <c r="M2133">
        <v>104.61</v>
      </c>
      <c r="N2133" t="s">
        <v>2917</v>
      </c>
      <c r="O2133" t="s">
        <v>2208</v>
      </c>
      <c r="P2133" t="s">
        <v>2208</v>
      </c>
      <c r="Q2133" t="s">
        <v>2208</v>
      </c>
      <c r="R2133" t="s">
        <v>2208</v>
      </c>
    </row>
    <row r="2134" spans="1:18">
      <c r="A2134" t="s">
        <v>7030</v>
      </c>
      <c r="B2134" t="s">
        <v>17897</v>
      </c>
      <c r="C2134">
        <v>45839</v>
      </c>
      <c r="D2134" t="s">
        <v>7263</v>
      </c>
      <c r="E2134" t="s">
        <v>17898</v>
      </c>
      <c r="F2134">
        <v>45838</v>
      </c>
      <c r="G2134" t="s">
        <v>2208</v>
      </c>
      <c r="H2134" t="s">
        <v>7834</v>
      </c>
      <c r="I2134" t="s">
        <v>19765</v>
      </c>
      <c r="J2134">
        <v>1</v>
      </c>
      <c r="K2134">
        <v>104.61</v>
      </c>
      <c r="L2134" t="s">
        <v>2917</v>
      </c>
      <c r="M2134">
        <v>104.61</v>
      </c>
      <c r="N2134" t="s">
        <v>2917</v>
      </c>
      <c r="O2134" t="s">
        <v>2208</v>
      </c>
      <c r="P2134" t="s">
        <v>2208</v>
      </c>
      <c r="Q2134" t="s">
        <v>2208</v>
      </c>
      <c r="R2134" t="s">
        <v>2208</v>
      </c>
    </row>
    <row r="2135" spans="1:18">
      <c r="A2135" t="s">
        <v>7030</v>
      </c>
      <c r="B2135" t="s">
        <v>17897</v>
      </c>
      <c r="C2135">
        <v>45839</v>
      </c>
      <c r="D2135" t="s">
        <v>7263</v>
      </c>
      <c r="E2135" t="s">
        <v>17898</v>
      </c>
      <c r="F2135">
        <v>45838</v>
      </c>
      <c r="G2135" t="s">
        <v>2208</v>
      </c>
      <c r="H2135" t="s">
        <v>7834</v>
      </c>
      <c r="I2135" t="s">
        <v>19766</v>
      </c>
      <c r="J2135">
        <v>1</v>
      </c>
      <c r="K2135">
        <v>104.61</v>
      </c>
      <c r="L2135" t="s">
        <v>2917</v>
      </c>
      <c r="M2135">
        <v>104.61</v>
      </c>
      <c r="N2135" t="s">
        <v>2917</v>
      </c>
      <c r="O2135" t="s">
        <v>2208</v>
      </c>
      <c r="P2135" t="s">
        <v>2208</v>
      </c>
      <c r="Q2135" t="s">
        <v>2208</v>
      </c>
      <c r="R2135" t="s">
        <v>2208</v>
      </c>
    </row>
    <row r="2136" spans="1:18">
      <c r="A2136" t="s">
        <v>7030</v>
      </c>
      <c r="B2136" t="s">
        <v>17897</v>
      </c>
      <c r="C2136">
        <v>45839</v>
      </c>
      <c r="D2136" t="s">
        <v>7263</v>
      </c>
      <c r="E2136" t="s">
        <v>17898</v>
      </c>
      <c r="F2136">
        <v>45838</v>
      </c>
      <c r="G2136" t="s">
        <v>2208</v>
      </c>
      <c r="H2136" t="s">
        <v>7834</v>
      </c>
      <c r="I2136" t="s">
        <v>19767</v>
      </c>
      <c r="J2136">
        <v>1</v>
      </c>
      <c r="K2136">
        <v>104.61</v>
      </c>
      <c r="L2136" t="s">
        <v>2917</v>
      </c>
      <c r="M2136">
        <v>104.61</v>
      </c>
      <c r="N2136" t="s">
        <v>2917</v>
      </c>
      <c r="O2136" t="s">
        <v>2208</v>
      </c>
      <c r="P2136" t="s">
        <v>2208</v>
      </c>
      <c r="Q2136" t="s">
        <v>2208</v>
      </c>
      <c r="R2136" t="s">
        <v>2208</v>
      </c>
    </row>
    <row r="2137" spans="1:18">
      <c r="A2137" t="s">
        <v>7030</v>
      </c>
      <c r="B2137" t="s">
        <v>17897</v>
      </c>
      <c r="C2137">
        <v>45839</v>
      </c>
      <c r="D2137" t="s">
        <v>7263</v>
      </c>
      <c r="E2137" t="s">
        <v>17898</v>
      </c>
      <c r="F2137">
        <v>45838</v>
      </c>
      <c r="G2137" t="s">
        <v>2208</v>
      </c>
      <c r="H2137" t="s">
        <v>7834</v>
      </c>
      <c r="I2137" t="s">
        <v>19768</v>
      </c>
      <c r="J2137">
        <v>2</v>
      </c>
      <c r="K2137">
        <v>209.22</v>
      </c>
      <c r="L2137" t="s">
        <v>2917</v>
      </c>
      <c r="M2137">
        <v>209.22</v>
      </c>
      <c r="N2137" t="s">
        <v>2917</v>
      </c>
      <c r="O2137" t="s">
        <v>2208</v>
      </c>
      <c r="P2137" t="s">
        <v>2208</v>
      </c>
      <c r="Q2137" t="s">
        <v>2208</v>
      </c>
      <c r="R2137" t="s">
        <v>2208</v>
      </c>
    </row>
    <row r="2138" spans="1:18">
      <c r="A2138" t="s">
        <v>7030</v>
      </c>
      <c r="B2138" t="s">
        <v>17897</v>
      </c>
      <c r="C2138">
        <v>45839</v>
      </c>
      <c r="D2138" t="s">
        <v>7263</v>
      </c>
      <c r="E2138" t="s">
        <v>17898</v>
      </c>
      <c r="F2138">
        <v>45838</v>
      </c>
      <c r="G2138" t="s">
        <v>2208</v>
      </c>
      <c r="H2138" t="s">
        <v>7834</v>
      </c>
      <c r="I2138" t="s">
        <v>19769</v>
      </c>
      <c r="J2138">
        <v>1</v>
      </c>
      <c r="K2138">
        <v>104.61</v>
      </c>
      <c r="L2138" t="s">
        <v>2917</v>
      </c>
      <c r="M2138">
        <v>104.61</v>
      </c>
      <c r="N2138" t="s">
        <v>2917</v>
      </c>
      <c r="O2138" t="s">
        <v>2208</v>
      </c>
      <c r="P2138" t="s">
        <v>2208</v>
      </c>
      <c r="Q2138" t="s">
        <v>2208</v>
      </c>
      <c r="R2138" t="s">
        <v>2208</v>
      </c>
    </row>
    <row r="2139" spans="1:18">
      <c r="A2139" t="s">
        <v>7030</v>
      </c>
      <c r="B2139" t="s">
        <v>17897</v>
      </c>
      <c r="C2139">
        <v>45839</v>
      </c>
      <c r="D2139" t="s">
        <v>7263</v>
      </c>
      <c r="E2139" t="s">
        <v>17898</v>
      </c>
      <c r="F2139">
        <v>45838</v>
      </c>
      <c r="G2139" t="s">
        <v>2208</v>
      </c>
      <c r="H2139" t="s">
        <v>7834</v>
      </c>
      <c r="I2139" t="s">
        <v>19770</v>
      </c>
      <c r="J2139">
        <v>1</v>
      </c>
      <c r="K2139">
        <v>104.61</v>
      </c>
      <c r="L2139" t="s">
        <v>2917</v>
      </c>
      <c r="M2139">
        <v>104.61</v>
      </c>
      <c r="N2139" t="s">
        <v>2917</v>
      </c>
      <c r="O2139" t="s">
        <v>2208</v>
      </c>
      <c r="P2139" t="s">
        <v>2208</v>
      </c>
      <c r="Q2139" t="s">
        <v>2208</v>
      </c>
      <c r="R2139" t="s">
        <v>2208</v>
      </c>
    </row>
    <row r="2140" spans="1:18">
      <c r="A2140" t="s">
        <v>7030</v>
      </c>
      <c r="B2140" t="s">
        <v>17897</v>
      </c>
      <c r="C2140">
        <v>45839</v>
      </c>
      <c r="D2140" t="s">
        <v>7263</v>
      </c>
      <c r="E2140" t="s">
        <v>17898</v>
      </c>
      <c r="F2140">
        <v>45838</v>
      </c>
      <c r="G2140" t="s">
        <v>2208</v>
      </c>
      <c r="H2140" t="s">
        <v>7834</v>
      </c>
      <c r="I2140" t="s">
        <v>19771</v>
      </c>
      <c r="J2140">
        <v>2</v>
      </c>
      <c r="K2140">
        <v>209.22</v>
      </c>
      <c r="L2140" t="s">
        <v>2917</v>
      </c>
      <c r="M2140">
        <v>209.22</v>
      </c>
      <c r="N2140" t="s">
        <v>2917</v>
      </c>
      <c r="O2140" t="s">
        <v>2208</v>
      </c>
      <c r="P2140" t="s">
        <v>2208</v>
      </c>
      <c r="Q2140" t="s">
        <v>2208</v>
      </c>
      <c r="R2140" t="s">
        <v>2208</v>
      </c>
    </row>
    <row r="2141" spans="1:18">
      <c r="A2141" t="s">
        <v>7030</v>
      </c>
      <c r="B2141" t="s">
        <v>17897</v>
      </c>
      <c r="C2141">
        <v>45839</v>
      </c>
      <c r="D2141" t="s">
        <v>7263</v>
      </c>
      <c r="E2141" t="s">
        <v>17898</v>
      </c>
      <c r="F2141">
        <v>45838</v>
      </c>
      <c r="G2141" t="s">
        <v>2208</v>
      </c>
      <c r="H2141" t="s">
        <v>7834</v>
      </c>
      <c r="I2141" t="s">
        <v>19772</v>
      </c>
      <c r="J2141">
        <v>1</v>
      </c>
      <c r="K2141">
        <v>104.61</v>
      </c>
      <c r="L2141" t="s">
        <v>2917</v>
      </c>
      <c r="M2141">
        <v>104.61</v>
      </c>
      <c r="N2141" t="s">
        <v>2917</v>
      </c>
      <c r="O2141" t="s">
        <v>2208</v>
      </c>
      <c r="P2141" t="s">
        <v>2208</v>
      </c>
      <c r="Q2141" t="s">
        <v>2208</v>
      </c>
      <c r="R2141" t="s">
        <v>2208</v>
      </c>
    </row>
    <row r="2142" spans="1:18">
      <c r="A2142" t="s">
        <v>7030</v>
      </c>
      <c r="B2142" t="s">
        <v>17897</v>
      </c>
      <c r="C2142">
        <v>45839</v>
      </c>
      <c r="D2142" t="s">
        <v>7263</v>
      </c>
      <c r="E2142" t="s">
        <v>17898</v>
      </c>
      <c r="F2142">
        <v>45838</v>
      </c>
      <c r="G2142" t="s">
        <v>2208</v>
      </c>
      <c r="H2142" t="s">
        <v>7834</v>
      </c>
      <c r="I2142" t="s">
        <v>19773</v>
      </c>
      <c r="J2142">
        <v>2</v>
      </c>
      <c r="K2142">
        <v>209.22</v>
      </c>
      <c r="L2142" t="s">
        <v>2917</v>
      </c>
      <c r="M2142">
        <v>209.22</v>
      </c>
      <c r="N2142" t="s">
        <v>2917</v>
      </c>
      <c r="O2142" t="s">
        <v>2208</v>
      </c>
      <c r="P2142" t="s">
        <v>2208</v>
      </c>
      <c r="Q2142" t="s">
        <v>2208</v>
      </c>
      <c r="R2142" t="s">
        <v>2208</v>
      </c>
    </row>
    <row r="2143" spans="1:18">
      <c r="A2143" t="s">
        <v>7030</v>
      </c>
      <c r="B2143" t="s">
        <v>17897</v>
      </c>
      <c r="C2143">
        <v>45839</v>
      </c>
      <c r="D2143" t="s">
        <v>7263</v>
      </c>
      <c r="E2143" t="s">
        <v>17898</v>
      </c>
      <c r="F2143">
        <v>45838</v>
      </c>
      <c r="G2143" t="s">
        <v>2208</v>
      </c>
      <c r="H2143" t="s">
        <v>7834</v>
      </c>
      <c r="I2143" t="s">
        <v>19774</v>
      </c>
      <c r="J2143">
        <v>2</v>
      </c>
      <c r="K2143">
        <v>209.22</v>
      </c>
      <c r="L2143" t="s">
        <v>2917</v>
      </c>
      <c r="M2143">
        <v>209.22</v>
      </c>
      <c r="N2143" t="s">
        <v>2917</v>
      </c>
      <c r="O2143" t="s">
        <v>2208</v>
      </c>
      <c r="P2143" t="s">
        <v>2208</v>
      </c>
      <c r="Q2143" t="s">
        <v>2208</v>
      </c>
      <c r="R2143" t="s">
        <v>2208</v>
      </c>
    </row>
    <row r="2144" spans="1:18">
      <c r="A2144" t="s">
        <v>7030</v>
      </c>
      <c r="B2144" t="s">
        <v>17897</v>
      </c>
      <c r="C2144">
        <v>45839</v>
      </c>
      <c r="D2144" t="s">
        <v>7263</v>
      </c>
      <c r="E2144" t="s">
        <v>17898</v>
      </c>
      <c r="F2144">
        <v>45838</v>
      </c>
      <c r="G2144" t="s">
        <v>2208</v>
      </c>
      <c r="H2144" t="s">
        <v>7834</v>
      </c>
      <c r="I2144" t="s">
        <v>19775</v>
      </c>
      <c r="J2144">
        <v>2</v>
      </c>
      <c r="K2144">
        <v>209.22</v>
      </c>
      <c r="L2144" t="s">
        <v>2917</v>
      </c>
      <c r="M2144">
        <v>209.22</v>
      </c>
      <c r="N2144" t="s">
        <v>2917</v>
      </c>
      <c r="O2144" t="s">
        <v>2208</v>
      </c>
      <c r="P2144" t="s">
        <v>2208</v>
      </c>
      <c r="Q2144" t="s">
        <v>2208</v>
      </c>
      <c r="R2144" t="s">
        <v>2208</v>
      </c>
    </row>
    <row r="2145" spans="1:18">
      <c r="A2145" t="s">
        <v>7030</v>
      </c>
      <c r="B2145" t="s">
        <v>17897</v>
      </c>
      <c r="C2145">
        <v>45839</v>
      </c>
      <c r="D2145" t="s">
        <v>7263</v>
      </c>
      <c r="E2145" t="s">
        <v>17898</v>
      </c>
      <c r="F2145">
        <v>45838</v>
      </c>
      <c r="G2145" t="s">
        <v>2208</v>
      </c>
      <c r="H2145" t="s">
        <v>7834</v>
      </c>
      <c r="I2145" t="s">
        <v>19776</v>
      </c>
      <c r="J2145">
        <v>1</v>
      </c>
      <c r="K2145">
        <v>104.61</v>
      </c>
      <c r="L2145" t="s">
        <v>2917</v>
      </c>
      <c r="M2145">
        <v>104.61</v>
      </c>
      <c r="N2145" t="s">
        <v>2917</v>
      </c>
      <c r="O2145" t="s">
        <v>2208</v>
      </c>
      <c r="P2145" t="s">
        <v>2208</v>
      </c>
      <c r="Q2145" t="s">
        <v>2208</v>
      </c>
      <c r="R2145" t="s">
        <v>2208</v>
      </c>
    </row>
    <row r="2146" spans="1:18">
      <c r="A2146" t="s">
        <v>7030</v>
      </c>
      <c r="B2146" t="s">
        <v>17897</v>
      </c>
      <c r="C2146">
        <v>45839</v>
      </c>
      <c r="D2146" t="s">
        <v>7263</v>
      </c>
      <c r="E2146" t="s">
        <v>17898</v>
      </c>
      <c r="F2146">
        <v>45838</v>
      </c>
      <c r="G2146" t="s">
        <v>2208</v>
      </c>
      <c r="H2146" t="s">
        <v>7834</v>
      </c>
      <c r="I2146" t="s">
        <v>19777</v>
      </c>
      <c r="J2146">
        <v>2</v>
      </c>
      <c r="K2146">
        <v>209.22</v>
      </c>
      <c r="L2146" t="s">
        <v>2917</v>
      </c>
      <c r="M2146">
        <v>209.22</v>
      </c>
      <c r="N2146" t="s">
        <v>2917</v>
      </c>
      <c r="O2146" t="s">
        <v>2208</v>
      </c>
      <c r="P2146" t="s">
        <v>2208</v>
      </c>
      <c r="Q2146" t="s">
        <v>2208</v>
      </c>
      <c r="R2146" t="s">
        <v>2208</v>
      </c>
    </row>
    <row r="2147" spans="1:18">
      <c r="A2147" t="s">
        <v>7030</v>
      </c>
      <c r="B2147" t="s">
        <v>17897</v>
      </c>
      <c r="C2147">
        <v>45839</v>
      </c>
      <c r="D2147" t="s">
        <v>7263</v>
      </c>
      <c r="E2147" t="s">
        <v>17898</v>
      </c>
      <c r="F2147">
        <v>45838</v>
      </c>
      <c r="G2147" t="s">
        <v>2208</v>
      </c>
      <c r="H2147" t="s">
        <v>7834</v>
      </c>
      <c r="I2147" t="s">
        <v>19778</v>
      </c>
      <c r="J2147">
        <v>1</v>
      </c>
      <c r="K2147">
        <v>104.61</v>
      </c>
      <c r="L2147" t="s">
        <v>2917</v>
      </c>
      <c r="M2147">
        <v>104.61</v>
      </c>
      <c r="N2147" t="s">
        <v>2917</v>
      </c>
      <c r="O2147" t="s">
        <v>2208</v>
      </c>
      <c r="P2147" t="s">
        <v>2208</v>
      </c>
      <c r="Q2147" t="s">
        <v>2208</v>
      </c>
      <c r="R2147" t="s">
        <v>2208</v>
      </c>
    </row>
    <row r="2148" spans="1:18">
      <c r="A2148" t="s">
        <v>7030</v>
      </c>
      <c r="B2148" t="s">
        <v>17897</v>
      </c>
      <c r="C2148">
        <v>45839</v>
      </c>
      <c r="D2148" t="s">
        <v>7263</v>
      </c>
      <c r="E2148" t="s">
        <v>17898</v>
      </c>
      <c r="F2148">
        <v>45838</v>
      </c>
      <c r="G2148" t="s">
        <v>2208</v>
      </c>
      <c r="H2148" t="s">
        <v>7834</v>
      </c>
      <c r="I2148" t="s">
        <v>19779</v>
      </c>
      <c r="J2148">
        <v>1</v>
      </c>
      <c r="K2148">
        <v>104.61</v>
      </c>
      <c r="L2148" t="s">
        <v>2917</v>
      </c>
      <c r="M2148">
        <v>104.61</v>
      </c>
      <c r="N2148" t="s">
        <v>2917</v>
      </c>
      <c r="O2148" t="s">
        <v>2208</v>
      </c>
      <c r="P2148" t="s">
        <v>2208</v>
      </c>
      <c r="Q2148" t="s">
        <v>2208</v>
      </c>
      <c r="R2148" t="s">
        <v>2208</v>
      </c>
    </row>
    <row r="2149" spans="1:18">
      <c r="A2149" t="s">
        <v>7030</v>
      </c>
      <c r="B2149" t="s">
        <v>17897</v>
      </c>
      <c r="C2149">
        <v>45839</v>
      </c>
      <c r="D2149" t="s">
        <v>7263</v>
      </c>
      <c r="E2149" t="s">
        <v>17898</v>
      </c>
      <c r="F2149">
        <v>45838</v>
      </c>
      <c r="G2149" t="s">
        <v>2208</v>
      </c>
      <c r="H2149" t="s">
        <v>7834</v>
      </c>
      <c r="I2149" t="s">
        <v>19780</v>
      </c>
      <c r="J2149">
        <v>2</v>
      </c>
      <c r="K2149">
        <v>209.22</v>
      </c>
      <c r="L2149" t="s">
        <v>2917</v>
      </c>
      <c r="M2149">
        <v>209.22</v>
      </c>
      <c r="N2149" t="s">
        <v>2917</v>
      </c>
      <c r="O2149" t="s">
        <v>2208</v>
      </c>
      <c r="P2149" t="s">
        <v>2208</v>
      </c>
      <c r="Q2149" t="s">
        <v>2208</v>
      </c>
      <c r="R2149" t="s">
        <v>2208</v>
      </c>
    </row>
    <row r="2150" spans="1:18">
      <c r="A2150" t="s">
        <v>7030</v>
      </c>
      <c r="B2150" t="s">
        <v>17897</v>
      </c>
      <c r="C2150">
        <v>45839</v>
      </c>
      <c r="D2150" t="s">
        <v>7263</v>
      </c>
      <c r="E2150" t="s">
        <v>17898</v>
      </c>
      <c r="F2150">
        <v>45838</v>
      </c>
      <c r="G2150" t="s">
        <v>2208</v>
      </c>
      <c r="H2150" t="s">
        <v>7834</v>
      </c>
      <c r="I2150" t="s">
        <v>19781</v>
      </c>
      <c r="J2150">
        <v>1</v>
      </c>
      <c r="K2150">
        <v>104.61</v>
      </c>
      <c r="L2150" t="s">
        <v>2917</v>
      </c>
      <c r="M2150">
        <v>104.61</v>
      </c>
      <c r="N2150" t="s">
        <v>2917</v>
      </c>
      <c r="O2150" t="s">
        <v>2208</v>
      </c>
      <c r="P2150" t="s">
        <v>2208</v>
      </c>
      <c r="Q2150" t="s">
        <v>2208</v>
      </c>
      <c r="R2150" t="s">
        <v>2208</v>
      </c>
    </row>
    <row r="2151" spans="1:18">
      <c r="A2151" t="s">
        <v>7030</v>
      </c>
      <c r="B2151" t="s">
        <v>17897</v>
      </c>
      <c r="C2151">
        <v>45839</v>
      </c>
      <c r="D2151" t="s">
        <v>7263</v>
      </c>
      <c r="E2151" t="s">
        <v>17898</v>
      </c>
      <c r="F2151">
        <v>45838</v>
      </c>
      <c r="G2151" t="s">
        <v>2208</v>
      </c>
      <c r="H2151" t="s">
        <v>7834</v>
      </c>
      <c r="I2151" t="s">
        <v>19782</v>
      </c>
      <c r="J2151">
        <v>1</v>
      </c>
      <c r="K2151">
        <v>104.61</v>
      </c>
      <c r="L2151" t="s">
        <v>2917</v>
      </c>
      <c r="M2151">
        <v>104.61</v>
      </c>
      <c r="N2151" t="s">
        <v>2917</v>
      </c>
      <c r="O2151" t="s">
        <v>2208</v>
      </c>
      <c r="P2151" t="s">
        <v>2208</v>
      </c>
      <c r="Q2151" t="s">
        <v>2208</v>
      </c>
      <c r="R2151" t="s">
        <v>2208</v>
      </c>
    </row>
    <row r="2152" spans="1:18">
      <c r="A2152" t="s">
        <v>7030</v>
      </c>
      <c r="B2152" t="s">
        <v>17897</v>
      </c>
      <c r="C2152">
        <v>45839</v>
      </c>
      <c r="D2152" t="s">
        <v>7263</v>
      </c>
      <c r="E2152" t="s">
        <v>17898</v>
      </c>
      <c r="F2152">
        <v>45838</v>
      </c>
      <c r="G2152" t="s">
        <v>2208</v>
      </c>
      <c r="H2152" t="s">
        <v>7834</v>
      </c>
      <c r="I2152" t="s">
        <v>19783</v>
      </c>
      <c r="J2152">
        <v>2</v>
      </c>
      <c r="K2152">
        <v>209.22</v>
      </c>
      <c r="L2152" t="s">
        <v>2917</v>
      </c>
      <c r="M2152">
        <v>209.22</v>
      </c>
      <c r="N2152" t="s">
        <v>2917</v>
      </c>
      <c r="O2152" t="s">
        <v>2208</v>
      </c>
      <c r="P2152" t="s">
        <v>2208</v>
      </c>
      <c r="Q2152" t="s">
        <v>2208</v>
      </c>
      <c r="R2152" t="s">
        <v>2208</v>
      </c>
    </row>
    <row r="2153" spans="1:18">
      <c r="A2153" t="s">
        <v>7030</v>
      </c>
      <c r="B2153" t="s">
        <v>17897</v>
      </c>
      <c r="C2153">
        <v>45839</v>
      </c>
      <c r="D2153" t="s">
        <v>7263</v>
      </c>
      <c r="E2153" t="s">
        <v>17898</v>
      </c>
      <c r="F2153">
        <v>45838</v>
      </c>
      <c r="G2153" t="s">
        <v>2208</v>
      </c>
      <c r="H2153" t="s">
        <v>7834</v>
      </c>
      <c r="I2153" t="s">
        <v>19784</v>
      </c>
      <c r="J2153">
        <v>1</v>
      </c>
      <c r="K2153">
        <v>104.61</v>
      </c>
      <c r="L2153" t="s">
        <v>2917</v>
      </c>
      <c r="M2153">
        <v>104.61</v>
      </c>
      <c r="N2153" t="s">
        <v>2917</v>
      </c>
      <c r="O2153" t="s">
        <v>2208</v>
      </c>
      <c r="P2153" t="s">
        <v>2208</v>
      </c>
      <c r="Q2153" t="s">
        <v>2208</v>
      </c>
      <c r="R2153" t="s">
        <v>2208</v>
      </c>
    </row>
    <row r="2154" spans="1:18">
      <c r="A2154" t="s">
        <v>7030</v>
      </c>
      <c r="B2154" t="s">
        <v>17897</v>
      </c>
      <c r="C2154">
        <v>45839</v>
      </c>
      <c r="D2154" t="s">
        <v>7263</v>
      </c>
      <c r="E2154" t="s">
        <v>17898</v>
      </c>
      <c r="F2154">
        <v>45838</v>
      </c>
      <c r="G2154" t="s">
        <v>2208</v>
      </c>
      <c r="H2154" t="s">
        <v>7834</v>
      </c>
      <c r="I2154" t="s">
        <v>19785</v>
      </c>
      <c r="J2154">
        <v>1</v>
      </c>
      <c r="K2154">
        <v>104.61</v>
      </c>
      <c r="L2154" t="s">
        <v>2917</v>
      </c>
      <c r="M2154">
        <v>104.61</v>
      </c>
      <c r="N2154" t="s">
        <v>2917</v>
      </c>
      <c r="O2154" t="s">
        <v>2208</v>
      </c>
      <c r="P2154" t="s">
        <v>2208</v>
      </c>
      <c r="Q2154" t="s">
        <v>2208</v>
      </c>
      <c r="R2154" t="s">
        <v>2208</v>
      </c>
    </row>
    <row r="2155" spans="1:18">
      <c r="A2155" t="s">
        <v>7030</v>
      </c>
      <c r="B2155" t="s">
        <v>17897</v>
      </c>
      <c r="C2155">
        <v>45839</v>
      </c>
      <c r="D2155" t="s">
        <v>7263</v>
      </c>
      <c r="E2155" t="s">
        <v>17898</v>
      </c>
      <c r="F2155">
        <v>45838</v>
      </c>
      <c r="G2155" t="s">
        <v>2208</v>
      </c>
      <c r="H2155" t="s">
        <v>7834</v>
      </c>
      <c r="I2155" t="s">
        <v>19786</v>
      </c>
      <c r="J2155">
        <v>1</v>
      </c>
      <c r="K2155">
        <v>104.61</v>
      </c>
      <c r="L2155" t="s">
        <v>2917</v>
      </c>
      <c r="M2155">
        <v>104.61</v>
      </c>
      <c r="N2155" t="s">
        <v>2917</v>
      </c>
      <c r="O2155" t="s">
        <v>2208</v>
      </c>
      <c r="P2155" t="s">
        <v>2208</v>
      </c>
      <c r="Q2155" t="s">
        <v>2208</v>
      </c>
      <c r="R2155" t="s">
        <v>2208</v>
      </c>
    </row>
    <row r="2156" spans="1:18">
      <c r="A2156" t="s">
        <v>7030</v>
      </c>
      <c r="B2156" t="s">
        <v>17897</v>
      </c>
      <c r="C2156">
        <v>45839</v>
      </c>
      <c r="D2156" t="s">
        <v>7263</v>
      </c>
      <c r="E2156" t="s">
        <v>17898</v>
      </c>
      <c r="F2156">
        <v>45838</v>
      </c>
      <c r="G2156" t="s">
        <v>2208</v>
      </c>
      <c r="H2156" t="s">
        <v>7834</v>
      </c>
      <c r="I2156" t="s">
        <v>19787</v>
      </c>
      <c r="J2156">
        <v>1</v>
      </c>
      <c r="K2156">
        <v>104.61</v>
      </c>
      <c r="L2156" t="s">
        <v>2917</v>
      </c>
      <c r="M2156">
        <v>104.61</v>
      </c>
      <c r="N2156" t="s">
        <v>2917</v>
      </c>
      <c r="O2156" t="s">
        <v>2208</v>
      </c>
      <c r="P2156" t="s">
        <v>2208</v>
      </c>
      <c r="Q2156" t="s">
        <v>2208</v>
      </c>
      <c r="R2156" t="s">
        <v>2208</v>
      </c>
    </row>
    <row r="2157" spans="1:18">
      <c r="A2157" t="s">
        <v>7030</v>
      </c>
      <c r="B2157" t="s">
        <v>17897</v>
      </c>
      <c r="C2157">
        <v>45839</v>
      </c>
      <c r="D2157" t="s">
        <v>7263</v>
      </c>
      <c r="E2157" t="s">
        <v>17898</v>
      </c>
      <c r="F2157">
        <v>45838</v>
      </c>
      <c r="G2157" t="s">
        <v>2208</v>
      </c>
      <c r="H2157" t="s">
        <v>7834</v>
      </c>
      <c r="I2157" t="s">
        <v>19788</v>
      </c>
      <c r="J2157">
        <v>1</v>
      </c>
      <c r="K2157">
        <v>104.61</v>
      </c>
      <c r="L2157" t="s">
        <v>2917</v>
      </c>
      <c r="M2157">
        <v>104.61</v>
      </c>
      <c r="N2157" t="s">
        <v>2917</v>
      </c>
      <c r="O2157" t="s">
        <v>2208</v>
      </c>
      <c r="P2157" t="s">
        <v>2208</v>
      </c>
      <c r="Q2157" t="s">
        <v>2208</v>
      </c>
      <c r="R2157" t="s">
        <v>2208</v>
      </c>
    </row>
    <row r="2158" spans="1:18">
      <c r="A2158" t="s">
        <v>7030</v>
      </c>
      <c r="B2158" t="s">
        <v>17897</v>
      </c>
      <c r="C2158">
        <v>45839</v>
      </c>
      <c r="D2158" t="s">
        <v>7263</v>
      </c>
      <c r="E2158" t="s">
        <v>17898</v>
      </c>
      <c r="F2158">
        <v>45838</v>
      </c>
      <c r="G2158" t="s">
        <v>2208</v>
      </c>
      <c r="H2158" t="s">
        <v>7834</v>
      </c>
      <c r="I2158" t="s">
        <v>19789</v>
      </c>
      <c r="J2158">
        <v>1</v>
      </c>
      <c r="K2158">
        <v>104.61</v>
      </c>
      <c r="L2158" t="s">
        <v>2917</v>
      </c>
      <c r="M2158">
        <v>104.61</v>
      </c>
      <c r="N2158" t="s">
        <v>2917</v>
      </c>
      <c r="O2158" t="s">
        <v>2208</v>
      </c>
      <c r="P2158" t="s">
        <v>2208</v>
      </c>
      <c r="Q2158" t="s">
        <v>2208</v>
      </c>
      <c r="R2158" t="s">
        <v>2208</v>
      </c>
    </row>
    <row r="2159" spans="1:18">
      <c r="A2159" t="s">
        <v>7030</v>
      </c>
      <c r="B2159" t="s">
        <v>17897</v>
      </c>
      <c r="C2159">
        <v>45839</v>
      </c>
      <c r="D2159" t="s">
        <v>7263</v>
      </c>
      <c r="E2159" t="s">
        <v>17898</v>
      </c>
      <c r="F2159">
        <v>45838</v>
      </c>
      <c r="G2159" t="s">
        <v>2208</v>
      </c>
      <c r="H2159" t="s">
        <v>7834</v>
      </c>
      <c r="I2159" t="s">
        <v>19790</v>
      </c>
      <c r="J2159">
        <v>1</v>
      </c>
      <c r="K2159">
        <v>104.61</v>
      </c>
      <c r="L2159" t="s">
        <v>2917</v>
      </c>
      <c r="M2159">
        <v>104.61</v>
      </c>
      <c r="N2159" t="s">
        <v>2917</v>
      </c>
      <c r="O2159" t="s">
        <v>2208</v>
      </c>
      <c r="P2159" t="s">
        <v>2208</v>
      </c>
      <c r="Q2159" t="s">
        <v>2208</v>
      </c>
      <c r="R2159" t="s">
        <v>2208</v>
      </c>
    </row>
    <row r="2160" spans="1:18">
      <c r="A2160" t="s">
        <v>7030</v>
      </c>
      <c r="B2160" t="s">
        <v>17897</v>
      </c>
      <c r="C2160">
        <v>45839</v>
      </c>
      <c r="D2160" t="s">
        <v>7263</v>
      </c>
      <c r="E2160" t="s">
        <v>17898</v>
      </c>
      <c r="F2160">
        <v>45838</v>
      </c>
      <c r="G2160" t="s">
        <v>2208</v>
      </c>
      <c r="H2160" t="s">
        <v>7834</v>
      </c>
      <c r="I2160" t="s">
        <v>19791</v>
      </c>
      <c r="J2160">
        <v>2</v>
      </c>
      <c r="K2160">
        <v>209.22</v>
      </c>
      <c r="L2160" t="s">
        <v>2917</v>
      </c>
      <c r="M2160">
        <v>209.22</v>
      </c>
      <c r="N2160" t="s">
        <v>2917</v>
      </c>
      <c r="O2160" t="s">
        <v>2208</v>
      </c>
      <c r="P2160" t="s">
        <v>2208</v>
      </c>
      <c r="Q2160" t="s">
        <v>2208</v>
      </c>
      <c r="R2160" t="s">
        <v>2208</v>
      </c>
    </row>
    <row r="2161" spans="1:18">
      <c r="A2161" t="s">
        <v>7030</v>
      </c>
      <c r="B2161" t="s">
        <v>17897</v>
      </c>
      <c r="C2161">
        <v>45839</v>
      </c>
      <c r="D2161" t="s">
        <v>7263</v>
      </c>
      <c r="E2161" t="s">
        <v>17898</v>
      </c>
      <c r="F2161">
        <v>45838</v>
      </c>
      <c r="G2161" t="s">
        <v>2208</v>
      </c>
      <c r="H2161" t="s">
        <v>7834</v>
      </c>
      <c r="I2161" t="s">
        <v>19792</v>
      </c>
      <c r="J2161">
        <v>1</v>
      </c>
      <c r="K2161">
        <v>104.61</v>
      </c>
      <c r="L2161" t="s">
        <v>2917</v>
      </c>
      <c r="M2161">
        <v>104.61</v>
      </c>
      <c r="N2161" t="s">
        <v>2917</v>
      </c>
      <c r="O2161" t="s">
        <v>2208</v>
      </c>
      <c r="P2161" t="s">
        <v>2208</v>
      </c>
      <c r="Q2161" t="s">
        <v>2208</v>
      </c>
      <c r="R2161" t="s">
        <v>2208</v>
      </c>
    </row>
    <row r="2162" spans="1:18">
      <c r="A2162" t="s">
        <v>7030</v>
      </c>
      <c r="B2162" t="s">
        <v>17897</v>
      </c>
      <c r="C2162">
        <v>45839</v>
      </c>
      <c r="D2162" t="s">
        <v>7263</v>
      </c>
      <c r="E2162" t="s">
        <v>17898</v>
      </c>
      <c r="F2162">
        <v>45838</v>
      </c>
      <c r="G2162" t="s">
        <v>2208</v>
      </c>
      <c r="H2162" t="s">
        <v>7834</v>
      </c>
      <c r="I2162" t="s">
        <v>19793</v>
      </c>
      <c r="J2162">
        <v>1</v>
      </c>
      <c r="K2162">
        <v>104.61</v>
      </c>
      <c r="L2162" t="s">
        <v>2917</v>
      </c>
      <c r="M2162">
        <v>104.61</v>
      </c>
      <c r="N2162" t="s">
        <v>2917</v>
      </c>
      <c r="O2162" t="s">
        <v>2208</v>
      </c>
      <c r="P2162" t="s">
        <v>2208</v>
      </c>
      <c r="Q2162" t="s">
        <v>2208</v>
      </c>
      <c r="R2162" t="s">
        <v>2208</v>
      </c>
    </row>
    <row r="2163" spans="1:18">
      <c r="A2163" t="s">
        <v>7030</v>
      </c>
      <c r="B2163" t="s">
        <v>17897</v>
      </c>
      <c r="C2163">
        <v>45839</v>
      </c>
      <c r="D2163" t="s">
        <v>7263</v>
      </c>
      <c r="E2163" t="s">
        <v>17898</v>
      </c>
      <c r="F2163">
        <v>45838</v>
      </c>
      <c r="G2163" t="s">
        <v>2208</v>
      </c>
      <c r="H2163" t="s">
        <v>7834</v>
      </c>
      <c r="I2163" t="s">
        <v>19794</v>
      </c>
      <c r="J2163">
        <v>6</v>
      </c>
      <c r="K2163">
        <v>627.66</v>
      </c>
      <c r="L2163" t="s">
        <v>2917</v>
      </c>
      <c r="M2163">
        <v>627.66</v>
      </c>
      <c r="N2163" t="s">
        <v>2917</v>
      </c>
      <c r="O2163" t="s">
        <v>2208</v>
      </c>
      <c r="P2163" t="s">
        <v>2208</v>
      </c>
      <c r="Q2163" t="s">
        <v>2208</v>
      </c>
      <c r="R2163" t="s">
        <v>2208</v>
      </c>
    </row>
    <row r="2164" spans="1:18">
      <c r="A2164" t="s">
        <v>7030</v>
      </c>
      <c r="B2164" t="s">
        <v>17897</v>
      </c>
      <c r="C2164">
        <v>45839</v>
      </c>
      <c r="D2164" t="s">
        <v>7263</v>
      </c>
      <c r="E2164" t="s">
        <v>17898</v>
      </c>
      <c r="F2164">
        <v>45838</v>
      </c>
      <c r="G2164" t="s">
        <v>2208</v>
      </c>
      <c r="H2164" t="s">
        <v>7834</v>
      </c>
      <c r="I2164" t="s">
        <v>19795</v>
      </c>
      <c r="J2164">
        <v>1</v>
      </c>
      <c r="K2164">
        <v>104.61</v>
      </c>
      <c r="L2164" t="s">
        <v>2917</v>
      </c>
      <c r="M2164">
        <v>104.61</v>
      </c>
      <c r="N2164" t="s">
        <v>2917</v>
      </c>
      <c r="O2164" t="s">
        <v>2208</v>
      </c>
      <c r="P2164" t="s">
        <v>2208</v>
      </c>
      <c r="Q2164" t="s">
        <v>2208</v>
      </c>
      <c r="R2164" t="s">
        <v>2208</v>
      </c>
    </row>
    <row r="2165" spans="1:18">
      <c r="A2165" t="s">
        <v>7030</v>
      </c>
      <c r="B2165" t="s">
        <v>17897</v>
      </c>
      <c r="C2165">
        <v>45839</v>
      </c>
      <c r="D2165" t="s">
        <v>7263</v>
      </c>
      <c r="E2165" t="s">
        <v>17898</v>
      </c>
      <c r="F2165">
        <v>45838</v>
      </c>
      <c r="G2165" t="s">
        <v>2208</v>
      </c>
      <c r="H2165" t="s">
        <v>7834</v>
      </c>
      <c r="I2165" t="s">
        <v>19796</v>
      </c>
      <c r="J2165">
        <v>1</v>
      </c>
      <c r="K2165">
        <v>104.61</v>
      </c>
      <c r="L2165" t="s">
        <v>2917</v>
      </c>
      <c r="M2165">
        <v>104.61</v>
      </c>
      <c r="N2165" t="s">
        <v>2917</v>
      </c>
      <c r="O2165" t="s">
        <v>2208</v>
      </c>
      <c r="P2165" t="s">
        <v>2208</v>
      </c>
      <c r="Q2165" t="s">
        <v>2208</v>
      </c>
      <c r="R2165" t="s">
        <v>2208</v>
      </c>
    </row>
    <row r="2166" spans="1:18">
      <c r="A2166" t="s">
        <v>7030</v>
      </c>
      <c r="B2166" t="s">
        <v>17897</v>
      </c>
      <c r="C2166">
        <v>45839</v>
      </c>
      <c r="D2166" t="s">
        <v>7263</v>
      </c>
      <c r="E2166" t="s">
        <v>17898</v>
      </c>
      <c r="F2166">
        <v>45838</v>
      </c>
      <c r="G2166" t="s">
        <v>2208</v>
      </c>
      <c r="H2166" t="s">
        <v>7834</v>
      </c>
      <c r="I2166" t="s">
        <v>19797</v>
      </c>
      <c r="J2166">
        <v>1</v>
      </c>
      <c r="K2166">
        <v>104.61</v>
      </c>
      <c r="L2166" t="s">
        <v>2917</v>
      </c>
      <c r="M2166">
        <v>104.61</v>
      </c>
      <c r="N2166" t="s">
        <v>2917</v>
      </c>
      <c r="O2166" t="s">
        <v>2208</v>
      </c>
      <c r="P2166" t="s">
        <v>2208</v>
      </c>
      <c r="Q2166" t="s">
        <v>2208</v>
      </c>
      <c r="R2166" t="s">
        <v>2208</v>
      </c>
    </row>
    <row r="2167" spans="1:18">
      <c r="A2167" t="s">
        <v>7030</v>
      </c>
      <c r="B2167" t="s">
        <v>17897</v>
      </c>
      <c r="C2167">
        <v>45839</v>
      </c>
      <c r="D2167" t="s">
        <v>7263</v>
      </c>
      <c r="E2167" t="s">
        <v>17898</v>
      </c>
      <c r="F2167">
        <v>45838</v>
      </c>
      <c r="G2167" t="s">
        <v>2208</v>
      </c>
      <c r="H2167" t="s">
        <v>7834</v>
      </c>
      <c r="I2167" t="s">
        <v>19798</v>
      </c>
      <c r="J2167">
        <v>1</v>
      </c>
      <c r="K2167">
        <v>104.61</v>
      </c>
      <c r="L2167" t="s">
        <v>2917</v>
      </c>
      <c r="M2167">
        <v>104.61</v>
      </c>
      <c r="N2167" t="s">
        <v>2917</v>
      </c>
      <c r="O2167" t="s">
        <v>2208</v>
      </c>
      <c r="P2167" t="s">
        <v>2208</v>
      </c>
      <c r="Q2167" t="s">
        <v>2208</v>
      </c>
      <c r="R2167" t="s">
        <v>2208</v>
      </c>
    </row>
    <row r="2168" spans="1:18">
      <c r="A2168" t="s">
        <v>7030</v>
      </c>
      <c r="B2168" t="s">
        <v>17897</v>
      </c>
      <c r="C2168">
        <v>45839</v>
      </c>
      <c r="D2168" t="s">
        <v>7263</v>
      </c>
      <c r="E2168" t="s">
        <v>17898</v>
      </c>
      <c r="F2168">
        <v>45838</v>
      </c>
      <c r="G2168" t="s">
        <v>2208</v>
      </c>
      <c r="H2168" t="s">
        <v>7834</v>
      </c>
      <c r="I2168" t="s">
        <v>19799</v>
      </c>
      <c r="J2168">
        <v>1</v>
      </c>
      <c r="K2168">
        <v>104.61</v>
      </c>
      <c r="L2168" t="s">
        <v>2917</v>
      </c>
      <c r="M2168">
        <v>104.61</v>
      </c>
      <c r="N2168" t="s">
        <v>2917</v>
      </c>
      <c r="O2168" t="s">
        <v>2208</v>
      </c>
      <c r="P2168" t="s">
        <v>2208</v>
      </c>
      <c r="Q2168" t="s">
        <v>2208</v>
      </c>
      <c r="R2168" t="s">
        <v>2208</v>
      </c>
    </row>
    <row r="2169" spans="1:18">
      <c r="A2169" t="s">
        <v>7030</v>
      </c>
      <c r="B2169" t="s">
        <v>17897</v>
      </c>
      <c r="C2169">
        <v>45839</v>
      </c>
      <c r="D2169" t="s">
        <v>7263</v>
      </c>
      <c r="E2169" t="s">
        <v>17898</v>
      </c>
      <c r="F2169">
        <v>45838</v>
      </c>
      <c r="G2169" t="s">
        <v>2208</v>
      </c>
      <c r="H2169" t="s">
        <v>7834</v>
      </c>
      <c r="I2169" t="s">
        <v>19800</v>
      </c>
      <c r="J2169">
        <v>2</v>
      </c>
      <c r="K2169">
        <v>209.22</v>
      </c>
      <c r="L2169" t="s">
        <v>2917</v>
      </c>
      <c r="M2169">
        <v>209.22</v>
      </c>
      <c r="N2169" t="s">
        <v>2917</v>
      </c>
      <c r="O2169" t="s">
        <v>2208</v>
      </c>
      <c r="P2169" t="s">
        <v>2208</v>
      </c>
      <c r="Q2169" t="s">
        <v>2208</v>
      </c>
      <c r="R2169" t="s">
        <v>2208</v>
      </c>
    </row>
    <row r="2170" spans="1:18">
      <c r="A2170" t="s">
        <v>7030</v>
      </c>
      <c r="B2170" t="s">
        <v>17897</v>
      </c>
      <c r="C2170">
        <v>45839</v>
      </c>
      <c r="D2170" t="s">
        <v>7263</v>
      </c>
      <c r="E2170" t="s">
        <v>17898</v>
      </c>
      <c r="F2170">
        <v>45838</v>
      </c>
      <c r="G2170" t="s">
        <v>2208</v>
      </c>
      <c r="H2170" t="s">
        <v>7834</v>
      </c>
      <c r="I2170" t="s">
        <v>19801</v>
      </c>
      <c r="J2170">
        <v>1</v>
      </c>
      <c r="K2170">
        <v>104.61</v>
      </c>
      <c r="L2170" t="s">
        <v>2917</v>
      </c>
      <c r="M2170">
        <v>104.61</v>
      </c>
      <c r="N2170" t="s">
        <v>2917</v>
      </c>
      <c r="O2170" t="s">
        <v>2208</v>
      </c>
      <c r="P2170" t="s">
        <v>2208</v>
      </c>
      <c r="Q2170" t="s">
        <v>2208</v>
      </c>
      <c r="R2170" t="s">
        <v>2208</v>
      </c>
    </row>
    <row r="2171" spans="1:18">
      <c r="A2171" t="s">
        <v>7030</v>
      </c>
      <c r="B2171" t="s">
        <v>17897</v>
      </c>
      <c r="C2171">
        <v>45839</v>
      </c>
      <c r="D2171" t="s">
        <v>7263</v>
      </c>
      <c r="E2171" t="s">
        <v>17898</v>
      </c>
      <c r="F2171">
        <v>45838</v>
      </c>
      <c r="G2171" t="s">
        <v>2208</v>
      </c>
      <c r="H2171" t="s">
        <v>7834</v>
      </c>
      <c r="I2171" t="s">
        <v>19802</v>
      </c>
      <c r="J2171">
        <v>1</v>
      </c>
      <c r="K2171">
        <v>104.61</v>
      </c>
      <c r="L2171" t="s">
        <v>2917</v>
      </c>
      <c r="M2171">
        <v>104.61</v>
      </c>
      <c r="N2171" t="s">
        <v>2917</v>
      </c>
      <c r="O2171" t="s">
        <v>2208</v>
      </c>
      <c r="P2171" t="s">
        <v>2208</v>
      </c>
      <c r="Q2171" t="s">
        <v>2208</v>
      </c>
      <c r="R2171" t="s">
        <v>2208</v>
      </c>
    </row>
    <row r="2172" spans="1:18">
      <c r="A2172" t="s">
        <v>7030</v>
      </c>
      <c r="B2172" t="s">
        <v>17897</v>
      </c>
      <c r="C2172">
        <v>45839</v>
      </c>
      <c r="D2172" t="s">
        <v>7263</v>
      </c>
      <c r="E2172" t="s">
        <v>17898</v>
      </c>
      <c r="F2172">
        <v>45838</v>
      </c>
      <c r="G2172" t="s">
        <v>2208</v>
      </c>
      <c r="H2172" t="s">
        <v>7834</v>
      </c>
      <c r="I2172" t="s">
        <v>19803</v>
      </c>
      <c r="J2172">
        <v>2</v>
      </c>
      <c r="K2172">
        <v>209.22</v>
      </c>
      <c r="L2172" t="s">
        <v>2917</v>
      </c>
      <c r="M2172">
        <v>209.22</v>
      </c>
      <c r="N2172" t="s">
        <v>2917</v>
      </c>
      <c r="O2172" t="s">
        <v>2208</v>
      </c>
      <c r="P2172" t="s">
        <v>2208</v>
      </c>
      <c r="Q2172" t="s">
        <v>2208</v>
      </c>
      <c r="R2172" t="s">
        <v>2208</v>
      </c>
    </row>
    <row r="2173" spans="1:18">
      <c r="A2173" t="s">
        <v>7030</v>
      </c>
      <c r="B2173" t="s">
        <v>17897</v>
      </c>
      <c r="C2173">
        <v>45839</v>
      </c>
      <c r="D2173" t="s">
        <v>7263</v>
      </c>
      <c r="E2173" t="s">
        <v>17898</v>
      </c>
      <c r="F2173">
        <v>45838</v>
      </c>
      <c r="G2173" t="s">
        <v>2208</v>
      </c>
      <c r="H2173" t="s">
        <v>7834</v>
      </c>
      <c r="I2173" t="s">
        <v>19804</v>
      </c>
      <c r="J2173">
        <v>1</v>
      </c>
      <c r="K2173">
        <v>104.61</v>
      </c>
      <c r="L2173" t="s">
        <v>2917</v>
      </c>
      <c r="M2173">
        <v>104.61</v>
      </c>
      <c r="N2173" t="s">
        <v>2917</v>
      </c>
      <c r="O2173" t="s">
        <v>2208</v>
      </c>
      <c r="P2173" t="s">
        <v>2208</v>
      </c>
      <c r="Q2173" t="s">
        <v>2208</v>
      </c>
      <c r="R2173" t="s">
        <v>2208</v>
      </c>
    </row>
    <row r="2174" spans="1:18">
      <c r="A2174" t="s">
        <v>7030</v>
      </c>
      <c r="B2174" t="s">
        <v>17897</v>
      </c>
      <c r="C2174">
        <v>45839</v>
      </c>
      <c r="D2174" t="s">
        <v>7263</v>
      </c>
      <c r="E2174" t="s">
        <v>17898</v>
      </c>
      <c r="F2174">
        <v>45838</v>
      </c>
      <c r="G2174" t="s">
        <v>2208</v>
      </c>
      <c r="H2174" t="s">
        <v>7834</v>
      </c>
      <c r="I2174" t="s">
        <v>19805</v>
      </c>
      <c r="J2174">
        <v>2</v>
      </c>
      <c r="K2174">
        <v>209.22</v>
      </c>
      <c r="L2174" t="s">
        <v>2917</v>
      </c>
      <c r="M2174">
        <v>209.22</v>
      </c>
      <c r="N2174" t="s">
        <v>2917</v>
      </c>
      <c r="O2174" t="s">
        <v>2208</v>
      </c>
      <c r="P2174" t="s">
        <v>2208</v>
      </c>
      <c r="Q2174" t="s">
        <v>2208</v>
      </c>
      <c r="R2174" t="s">
        <v>2208</v>
      </c>
    </row>
    <row r="2175" spans="1:18">
      <c r="A2175" t="s">
        <v>7030</v>
      </c>
      <c r="B2175" t="s">
        <v>17897</v>
      </c>
      <c r="C2175">
        <v>45839</v>
      </c>
      <c r="D2175" t="s">
        <v>7263</v>
      </c>
      <c r="E2175" t="s">
        <v>17898</v>
      </c>
      <c r="F2175">
        <v>45838</v>
      </c>
      <c r="G2175" t="s">
        <v>2208</v>
      </c>
      <c r="H2175" t="s">
        <v>7834</v>
      </c>
      <c r="I2175" t="s">
        <v>19806</v>
      </c>
      <c r="J2175">
        <v>3</v>
      </c>
      <c r="K2175">
        <v>313.83</v>
      </c>
      <c r="L2175" t="s">
        <v>2917</v>
      </c>
      <c r="M2175">
        <v>313.83</v>
      </c>
      <c r="N2175" t="s">
        <v>2917</v>
      </c>
      <c r="O2175" t="s">
        <v>2208</v>
      </c>
      <c r="P2175" t="s">
        <v>2208</v>
      </c>
      <c r="Q2175" t="s">
        <v>2208</v>
      </c>
      <c r="R2175" t="s">
        <v>2208</v>
      </c>
    </row>
    <row r="2176" spans="1:18">
      <c r="A2176" t="s">
        <v>7030</v>
      </c>
      <c r="B2176" t="s">
        <v>17897</v>
      </c>
      <c r="C2176">
        <v>45839</v>
      </c>
      <c r="D2176" t="s">
        <v>7263</v>
      </c>
      <c r="E2176" t="s">
        <v>17898</v>
      </c>
      <c r="F2176">
        <v>45838</v>
      </c>
      <c r="G2176" t="s">
        <v>2208</v>
      </c>
      <c r="H2176" t="s">
        <v>7834</v>
      </c>
      <c r="I2176" t="s">
        <v>19807</v>
      </c>
      <c r="J2176">
        <v>1</v>
      </c>
      <c r="K2176">
        <v>104.61</v>
      </c>
      <c r="L2176" t="s">
        <v>2917</v>
      </c>
      <c r="M2176">
        <v>104.61</v>
      </c>
      <c r="N2176" t="s">
        <v>2917</v>
      </c>
      <c r="O2176" t="s">
        <v>2208</v>
      </c>
      <c r="P2176" t="s">
        <v>2208</v>
      </c>
      <c r="Q2176" t="s">
        <v>2208</v>
      </c>
      <c r="R2176" t="s">
        <v>2208</v>
      </c>
    </row>
    <row r="2177" spans="1:18">
      <c r="A2177" t="s">
        <v>7030</v>
      </c>
      <c r="B2177" t="s">
        <v>17897</v>
      </c>
      <c r="C2177">
        <v>45839</v>
      </c>
      <c r="D2177" t="s">
        <v>7263</v>
      </c>
      <c r="E2177" t="s">
        <v>17898</v>
      </c>
      <c r="F2177">
        <v>45838</v>
      </c>
      <c r="G2177" t="s">
        <v>2208</v>
      </c>
      <c r="H2177" t="s">
        <v>7834</v>
      </c>
      <c r="I2177" t="s">
        <v>19808</v>
      </c>
      <c r="J2177">
        <v>0.9</v>
      </c>
      <c r="K2177">
        <v>94.15</v>
      </c>
      <c r="L2177" t="s">
        <v>2917</v>
      </c>
      <c r="M2177">
        <v>94.15</v>
      </c>
      <c r="N2177" t="s">
        <v>2917</v>
      </c>
      <c r="O2177" t="s">
        <v>2208</v>
      </c>
      <c r="P2177" t="s">
        <v>2208</v>
      </c>
      <c r="Q2177" t="s">
        <v>2208</v>
      </c>
      <c r="R2177" t="s">
        <v>2208</v>
      </c>
    </row>
    <row r="2178" spans="1:18">
      <c r="A2178" t="s">
        <v>7030</v>
      </c>
      <c r="B2178" t="s">
        <v>17897</v>
      </c>
      <c r="C2178">
        <v>45839</v>
      </c>
      <c r="D2178" t="s">
        <v>7263</v>
      </c>
      <c r="E2178" t="s">
        <v>17898</v>
      </c>
      <c r="F2178">
        <v>45838</v>
      </c>
      <c r="G2178" t="s">
        <v>2208</v>
      </c>
      <c r="H2178" t="s">
        <v>7834</v>
      </c>
      <c r="I2178" t="s">
        <v>19809</v>
      </c>
      <c r="J2178">
        <v>2</v>
      </c>
      <c r="K2178">
        <v>209.22</v>
      </c>
      <c r="L2178" t="s">
        <v>2917</v>
      </c>
      <c r="M2178">
        <v>209.22</v>
      </c>
      <c r="N2178" t="s">
        <v>2917</v>
      </c>
      <c r="O2178" t="s">
        <v>2208</v>
      </c>
      <c r="P2178" t="s">
        <v>2208</v>
      </c>
      <c r="Q2178" t="s">
        <v>2208</v>
      </c>
      <c r="R2178" t="s">
        <v>2208</v>
      </c>
    </row>
    <row r="2179" spans="1:18">
      <c r="A2179" t="s">
        <v>7030</v>
      </c>
      <c r="B2179" t="s">
        <v>17897</v>
      </c>
      <c r="C2179">
        <v>45839</v>
      </c>
      <c r="D2179" t="s">
        <v>7263</v>
      </c>
      <c r="E2179" t="s">
        <v>17898</v>
      </c>
      <c r="F2179">
        <v>45838</v>
      </c>
      <c r="G2179" t="s">
        <v>2208</v>
      </c>
      <c r="H2179" t="s">
        <v>7834</v>
      </c>
      <c r="I2179" t="s">
        <v>19810</v>
      </c>
      <c r="J2179">
        <v>4</v>
      </c>
      <c r="K2179">
        <v>418.44</v>
      </c>
      <c r="L2179" t="s">
        <v>2917</v>
      </c>
      <c r="M2179">
        <v>418.44</v>
      </c>
      <c r="N2179" t="s">
        <v>2917</v>
      </c>
      <c r="O2179" t="s">
        <v>2208</v>
      </c>
      <c r="P2179" t="s">
        <v>2208</v>
      </c>
      <c r="Q2179" t="s">
        <v>2208</v>
      </c>
      <c r="R2179" t="s">
        <v>2208</v>
      </c>
    </row>
    <row r="2180" spans="1:18">
      <c r="A2180" t="s">
        <v>7030</v>
      </c>
      <c r="B2180" t="s">
        <v>17897</v>
      </c>
      <c r="C2180">
        <v>45839</v>
      </c>
      <c r="D2180" t="s">
        <v>7263</v>
      </c>
      <c r="E2180" t="s">
        <v>17898</v>
      </c>
      <c r="F2180">
        <v>45838</v>
      </c>
      <c r="G2180" t="s">
        <v>2208</v>
      </c>
      <c r="H2180" t="s">
        <v>7834</v>
      </c>
      <c r="I2180" t="s">
        <v>19811</v>
      </c>
      <c r="J2180">
        <v>1</v>
      </c>
      <c r="K2180">
        <v>104.61</v>
      </c>
      <c r="L2180" t="s">
        <v>2917</v>
      </c>
      <c r="M2180">
        <v>104.61</v>
      </c>
      <c r="N2180" t="s">
        <v>2917</v>
      </c>
      <c r="O2180" t="s">
        <v>2208</v>
      </c>
      <c r="P2180" t="s">
        <v>2208</v>
      </c>
      <c r="Q2180" t="s">
        <v>2208</v>
      </c>
      <c r="R2180" t="s">
        <v>2208</v>
      </c>
    </row>
    <row r="2181" spans="1:18">
      <c r="A2181" t="s">
        <v>7030</v>
      </c>
      <c r="B2181" t="s">
        <v>17897</v>
      </c>
      <c r="C2181">
        <v>45839</v>
      </c>
      <c r="D2181" t="s">
        <v>7263</v>
      </c>
      <c r="E2181" t="s">
        <v>17898</v>
      </c>
      <c r="F2181">
        <v>45838</v>
      </c>
      <c r="G2181" t="s">
        <v>2208</v>
      </c>
      <c r="H2181" t="s">
        <v>7834</v>
      </c>
      <c r="I2181" t="s">
        <v>19812</v>
      </c>
      <c r="J2181">
        <v>1</v>
      </c>
      <c r="K2181">
        <v>104.61</v>
      </c>
      <c r="L2181" t="s">
        <v>2917</v>
      </c>
      <c r="M2181">
        <v>104.61</v>
      </c>
      <c r="N2181" t="s">
        <v>2917</v>
      </c>
      <c r="O2181" t="s">
        <v>2208</v>
      </c>
      <c r="P2181" t="s">
        <v>2208</v>
      </c>
      <c r="Q2181" t="s">
        <v>2208</v>
      </c>
      <c r="R2181" t="s">
        <v>2208</v>
      </c>
    </row>
    <row r="2182" spans="1:18">
      <c r="A2182" t="s">
        <v>7030</v>
      </c>
      <c r="B2182" t="s">
        <v>17897</v>
      </c>
      <c r="C2182">
        <v>45839</v>
      </c>
      <c r="D2182" t="s">
        <v>7263</v>
      </c>
      <c r="E2182" t="s">
        <v>17898</v>
      </c>
      <c r="F2182">
        <v>45838</v>
      </c>
      <c r="G2182" t="s">
        <v>2208</v>
      </c>
      <c r="H2182" t="s">
        <v>7834</v>
      </c>
      <c r="I2182" t="s">
        <v>19813</v>
      </c>
      <c r="J2182">
        <v>1</v>
      </c>
      <c r="K2182">
        <v>104.61</v>
      </c>
      <c r="L2182" t="s">
        <v>2917</v>
      </c>
      <c r="M2182">
        <v>104.61</v>
      </c>
      <c r="N2182" t="s">
        <v>2917</v>
      </c>
      <c r="O2182" t="s">
        <v>2208</v>
      </c>
      <c r="P2182" t="s">
        <v>2208</v>
      </c>
      <c r="Q2182" t="s">
        <v>2208</v>
      </c>
      <c r="R2182" t="s">
        <v>2208</v>
      </c>
    </row>
    <row r="2183" spans="1:18">
      <c r="A2183" t="s">
        <v>7030</v>
      </c>
      <c r="B2183" t="s">
        <v>17897</v>
      </c>
      <c r="C2183">
        <v>45839</v>
      </c>
      <c r="D2183" t="s">
        <v>7263</v>
      </c>
      <c r="E2183" t="s">
        <v>17898</v>
      </c>
      <c r="F2183">
        <v>45838</v>
      </c>
      <c r="G2183" t="s">
        <v>2208</v>
      </c>
      <c r="H2183" t="s">
        <v>7834</v>
      </c>
      <c r="I2183" t="s">
        <v>19814</v>
      </c>
      <c r="J2183">
        <v>1</v>
      </c>
      <c r="K2183">
        <v>104.61</v>
      </c>
      <c r="L2183" t="s">
        <v>2917</v>
      </c>
      <c r="M2183">
        <v>104.61</v>
      </c>
      <c r="N2183" t="s">
        <v>2917</v>
      </c>
      <c r="O2183" t="s">
        <v>2208</v>
      </c>
      <c r="P2183" t="s">
        <v>2208</v>
      </c>
      <c r="Q2183" t="s">
        <v>2208</v>
      </c>
      <c r="R2183" t="s">
        <v>2208</v>
      </c>
    </row>
    <row r="2184" spans="1:18">
      <c r="A2184" t="s">
        <v>7030</v>
      </c>
      <c r="B2184" t="s">
        <v>17897</v>
      </c>
      <c r="C2184">
        <v>45839</v>
      </c>
      <c r="D2184" t="s">
        <v>7263</v>
      </c>
      <c r="E2184" t="s">
        <v>17898</v>
      </c>
      <c r="F2184">
        <v>45838</v>
      </c>
      <c r="G2184" t="s">
        <v>2208</v>
      </c>
      <c r="H2184" t="s">
        <v>7834</v>
      </c>
      <c r="I2184" t="s">
        <v>19815</v>
      </c>
      <c r="J2184">
        <v>1</v>
      </c>
      <c r="K2184">
        <v>104.61</v>
      </c>
      <c r="L2184" t="s">
        <v>2917</v>
      </c>
      <c r="M2184">
        <v>104.61</v>
      </c>
      <c r="N2184" t="s">
        <v>2917</v>
      </c>
      <c r="O2184" t="s">
        <v>2208</v>
      </c>
      <c r="P2184" t="s">
        <v>2208</v>
      </c>
      <c r="Q2184" t="s">
        <v>2208</v>
      </c>
      <c r="R2184" t="s">
        <v>2208</v>
      </c>
    </row>
    <row r="2185" spans="1:18">
      <c r="A2185" t="s">
        <v>7030</v>
      </c>
      <c r="B2185" t="s">
        <v>17897</v>
      </c>
      <c r="C2185">
        <v>45839</v>
      </c>
      <c r="D2185" t="s">
        <v>7263</v>
      </c>
      <c r="E2185" t="s">
        <v>17898</v>
      </c>
      <c r="F2185">
        <v>45838</v>
      </c>
      <c r="G2185" t="s">
        <v>2208</v>
      </c>
      <c r="H2185" t="s">
        <v>7834</v>
      </c>
      <c r="I2185" t="s">
        <v>19816</v>
      </c>
      <c r="J2185">
        <v>1</v>
      </c>
      <c r="K2185">
        <v>104.61</v>
      </c>
      <c r="L2185" t="s">
        <v>2917</v>
      </c>
      <c r="M2185">
        <v>104.61</v>
      </c>
      <c r="N2185" t="s">
        <v>2917</v>
      </c>
      <c r="O2185" t="s">
        <v>2208</v>
      </c>
      <c r="P2185" t="s">
        <v>2208</v>
      </c>
      <c r="Q2185" t="s">
        <v>2208</v>
      </c>
      <c r="R2185" t="s">
        <v>2208</v>
      </c>
    </row>
    <row r="2186" spans="1:18">
      <c r="A2186" t="s">
        <v>7030</v>
      </c>
      <c r="B2186" t="s">
        <v>17897</v>
      </c>
      <c r="C2186">
        <v>45839</v>
      </c>
      <c r="D2186" t="s">
        <v>7263</v>
      </c>
      <c r="E2186" t="s">
        <v>17898</v>
      </c>
      <c r="F2186">
        <v>45838</v>
      </c>
      <c r="G2186" t="s">
        <v>2208</v>
      </c>
      <c r="H2186" t="s">
        <v>7834</v>
      </c>
      <c r="I2186" t="s">
        <v>19817</v>
      </c>
      <c r="J2186">
        <v>1</v>
      </c>
      <c r="K2186">
        <v>104.61</v>
      </c>
      <c r="L2186" t="s">
        <v>2917</v>
      </c>
      <c r="M2186">
        <v>104.61</v>
      </c>
      <c r="N2186" t="s">
        <v>2917</v>
      </c>
      <c r="O2186" t="s">
        <v>2208</v>
      </c>
      <c r="P2186" t="s">
        <v>2208</v>
      </c>
      <c r="Q2186" t="s">
        <v>2208</v>
      </c>
      <c r="R2186" t="s">
        <v>2208</v>
      </c>
    </row>
    <row r="2187" spans="1:18">
      <c r="A2187" t="s">
        <v>7030</v>
      </c>
      <c r="B2187" t="s">
        <v>17897</v>
      </c>
      <c r="C2187">
        <v>45839</v>
      </c>
      <c r="D2187" t="s">
        <v>7263</v>
      </c>
      <c r="E2187" t="s">
        <v>17898</v>
      </c>
      <c r="F2187">
        <v>45838</v>
      </c>
      <c r="G2187" t="s">
        <v>2208</v>
      </c>
      <c r="H2187" t="s">
        <v>7834</v>
      </c>
      <c r="I2187" t="s">
        <v>19818</v>
      </c>
      <c r="J2187">
        <v>1</v>
      </c>
      <c r="K2187">
        <v>104.61</v>
      </c>
      <c r="L2187" t="s">
        <v>2917</v>
      </c>
      <c r="M2187">
        <v>104.61</v>
      </c>
      <c r="N2187" t="s">
        <v>2917</v>
      </c>
      <c r="O2187" t="s">
        <v>2208</v>
      </c>
      <c r="P2187" t="s">
        <v>2208</v>
      </c>
      <c r="Q2187" t="s">
        <v>2208</v>
      </c>
      <c r="R2187" t="s">
        <v>2208</v>
      </c>
    </row>
    <row r="2188" spans="1:18">
      <c r="A2188" t="s">
        <v>7030</v>
      </c>
      <c r="B2188" t="s">
        <v>17897</v>
      </c>
      <c r="C2188">
        <v>45839</v>
      </c>
      <c r="D2188" t="s">
        <v>7263</v>
      </c>
      <c r="E2188" t="s">
        <v>17898</v>
      </c>
      <c r="F2188">
        <v>45838</v>
      </c>
      <c r="G2188" t="s">
        <v>2208</v>
      </c>
      <c r="H2188" t="s">
        <v>7834</v>
      </c>
      <c r="I2188" t="s">
        <v>19819</v>
      </c>
      <c r="J2188">
        <v>1</v>
      </c>
      <c r="K2188">
        <v>104.61</v>
      </c>
      <c r="L2188" t="s">
        <v>2917</v>
      </c>
      <c r="M2188">
        <v>104.61</v>
      </c>
      <c r="N2188" t="s">
        <v>2917</v>
      </c>
      <c r="O2188" t="s">
        <v>2208</v>
      </c>
      <c r="P2188" t="s">
        <v>2208</v>
      </c>
      <c r="Q2188" t="s">
        <v>2208</v>
      </c>
      <c r="R2188" t="s">
        <v>2208</v>
      </c>
    </row>
    <row r="2189" spans="1:18">
      <c r="A2189" t="s">
        <v>7030</v>
      </c>
      <c r="B2189" t="s">
        <v>17897</v>
      </c>
      <c r="C2189">
        <v>45839</v>
      </c>
      <c r="D2189" t="s">
        <v>7263</v>
      </c>
      <c r="E2189" t="s">
        <v>17898</v>
      </c>
      <c r="F2189">
        <v>45838</v>
      </c>
      <c r="G2189" t="s">
        <v>2208</v>
      </c>
      <c r="H2189" t="s">
        <v>7834</v>
      </c>
      <c r="I2189" t="s">
        <v>19820</v>
      </c>
      <c r="J2189">
        <v>1</v>
      </c>
      <c r="K2189">
        <v>104.61</v>
      </c>
      <c r="L2189" t="s">
        <v>2917</v>
      </c>
      <c r="M2189">
        <v>104.61</v>
      </c>
      <c r="N2189" t="s">
        <v>2917</v>
      </c>
      <c r="O2189" t="s">
        <v>2208</v>
      </c>
      <c r="P2189" t="s">
        <v>2208</v>
      </c>
      <c r="Q2189" t="s">
        <v>2208</v>
      </c>
      <c r="R2189" t="s">
        <v>2208</v>
      </c>
    </row>
    <row r="2190" spans="1:18">
      <c r="A2190" t="s">
        <v>7030</v>
      </c>
      <c r="B2190" t="s">
        <v>17897</v>
      </c>
      <c r="C2190">
        <v>45839</v>
      </c>
      <c r="D2190" t="s">
        <v>7263</v>
      </c>
      <c r="E2190" t="s">
        <v>17898</v>
      </c>
      <c r="F2190">
        <v>45838</v>
      </c>
      <c r="G2190" t="s">
        <v>2208</v>
      </c>
      <c r="H2190" t="s">
        <v>7834</v>
      </c>
      <c r="I2190" t="s">
        <v>19821</v>
      </c>
      <c r="J2190">
        <v>1</v>
      </c>
      <c r="K2190">
        <v>104.61</v>
      </c>
      <c r="L2190" t="s">
        <v>2917</v>
      </c>
      <c r="M2190">
        <v>104.61</v>
      </c>
      <c r="N2190" t="s">
        <v>2917</v>
      </c>
      <c r="O2190" t="s">
        <v>2208</v>
      </c>
      <c r="P2190" t="s">
        <v>2208</v>
      </c>
      <c r="Q2190" t="s">
        <v>2208</v>
      </c>
      <c r="R2190" t="s">
        <v>2208</v>
      </c>
    </row>
    <row r="2191" spans="1:18">
      <c r="A2191" t="s">
        <v>7030</v>
      </c>
      <c r="B2191" t="s">
        <v>17897</v>
      </c>
      <c r="C2191">
        <v>45839</v>
      </c>
      <c r="D2191" t="s">
        <v>7263</v>
      </c>
      <c r="E2191" t="s">
        <v>17898</v>
      </c>
      <c r="F2191">
        <v>45838</v>
      </c>
      <c r="G2191" t="s">
        <v>2208</v>
      </c>
      <c r="H2191" t="s">
        <v>7834</v>
      </c>
      <c r="I2191" t="s">
        <v>19822</v>
      </c>
      <c r="J2191">
        <v>1</v>
      </c>
      <c r="K2191">
        <v>104.61</v>
      </c>
      <c r="L2191" t="s">
        <v>2917</v>
      </c>
      <c r="M2191">
        <v>104.61</v>
      </c>
      <c r="N2191" t="s">
        <v>2917</v>
      </c>
      <c r="O2191" t="s">
        <v>2208</v>
      </c>
      <c r="P2191" t="s">
        <v>2208</v>
      </c>
      <c r="Q2191" t="s">
        <v>2208</v>
      </c>
      <c r="R2191" t="s">
        <v>2208</v>
      </c>
    </row>
    <row r="2192" spans="1:18">
      <c r="A2192" t="s">
        <v>7030</v>
      </c>
      <c r="B2192" t="s">
        <v>17897</v>
      </c>
      <c r="C2192">
        <v>45839</v>
      </c>
      <c r="D2192" t="s">
        <v>7263</v>
      </c>
      <c r="E2192" t="s">
        <v>17898</v>
      </c>
      <c r="F2192">
        <v>45838</v>
      </c>
      <c r="G2192" t="s">
        <v>2208</v>
      </c>
      <c r="H2192" t="s">
        <v>7834</v>
      </c>
      <c r="I2192" t="s">
        <v>19823</v>
      </c>
      <c r="J2192">
        <v>1</v>
      </c>
      <c r="K2192">
        <v>104.61</v>
      </c>
      <c r="L2192" t="s">
        <v>2917</v>
      </c>
      <c r="M2192">
        <v>104.61</v>
      </c>
      <c r="N2192" t="s">
        <v>2917</v>
      </c>
      <c r="O2192" t="s">
        <v>2208</v>
      </c>
      <c r="P2192" t="s">
        <v>2208</v>
      </c>
      <c r="Q2192" t="s">
        <v>2208</v>
      </c>
      <c r="R2192" t="s">
        <v>2208</v>
      </c>
    </row>
    <row r="2193" spans="1:18">
      <c r="A2193" t="s">
        <v>7030</v>
      </c>
      <c r="B2193" t="s">
        <v>17897</v>
      </c>
      <c r="C2193">
        <v>45839</v>
      </c>
      <c r="D2193" t="s">
        <v>7263</v>
      </c>
      <c r="E2193" t="s">
        <v>17898</v>
      </c>
      <c r="F2193">
        <v>45838</v>
      </c>
      <c r="G2193" t="s">
        <v>2208</v>
      </c>
      <c r="H2193" t="s">
        <v>7834</v>
      </c>
      <c r="I2193" t="s">
        <v>19824</v>
      </c>
      <c r="J2193">
        <v>1</v>
      </c>
      <c r="K2193">
        <v>104.61</v>
      </c>
      <c r="L2193" t="s">
        <v>2917</v>
      </c>
      <c r="M2193">
        <v>104.61</v>
      </c>
      <c r="N2193" t="s">
        <v>2917</v>
      </c>
      <c r="O2193" t="s">
        <v>2208</v>
      </c>
      <c r="P2193" t="s">
        <v>2208</v>
      </c>
      <c r="Q2193" t="s">
        <v>2208</v>
      </c>
      <c r="R2193" t="s">
        <v>2208</v>
      </c>
    </row>
    <row r="2194" spans="1:18">
      <c r="A2194" t="s">
        <v>7030</v>
      </c>
      <c r="B2194" t="s">
        <v>17897</v>
      </c>
      <c r="C2194">
        <v>45839</v>
      </c>
      <c r="D2194" t="s">
        <v>7263</v>
      </c>
      <c r="E2194" t="s">
        <v>17898</v>
      </c>
      <c r="F2194">
        <v>45838</v>
      </c>
      <c r="G2194" t="s">
        <v>2208</v>
      </c>
      <c r="H2194" t="s">
        <v>7834</v>
      </c>
      <c r="I2194" t="s">
        <v>19825</v>
      </c>
      <c r="J2194">
        <v>1</v>
      </c>
      <c r="K2194">
        <v>104.61</v>
      </c>
      <c r="L2194" t="s">
        <v>2917</v>
      </c>
      <c r="M2194">
        <v>104.61</v>
      </c>
      <c r="N2194" t="s">
        <v>2917</v>
      </c>
      <c r="O2194" t="s">
        <v>2208</v>
      </c>
      <c r="P2194" t="s">
        <v>2208</v>
      </c>
      <c r="Q2194" t="s">
        <v>2208</v>
      </c>
      <c r="R2194" t="s">
        <v>2208</v>
      </c>
    </row>
    <row r="2195" spans="1:18">
      <c r="A2195" t="s">
        <v>7030</v>
      </c>
      <c r="B2195" t="s">
        <v>17897</v>
      </c>
      <c r="C2195">
        <v>45840</v>
      </c>
      <c r="D2195" t="s">
        <v>7263</v>
      </c>
      <c r="E2195" t="s">
        <v>17898</v>
      </c>
      <c r="F2195">
        <v>45838</v>
      </c>
      <c r="G2195" t="s">
        <v>2208</v>
      </c>
      <c r="H2195" t="s">
        <v>7834</v>
      </c>
      <c r="I2195" t="s">
        <v>19869</v>
      </c>
      <c r="J2195">
        <v>0</v>
      </c>
      <c r="K2195">
        <v>310.33999999999997</v>
      </c>
      <c r="L2195" t="s">
        <v>2917</v>
      </c>
      <c r="M2195">
        <v>310.33999999999997</v>
      </c>
      <c r="N2195" t="s">
        <v>2917</v>
      </c>
      <c r="O2195" t="s">
        <v>2208</v>
      </c>
      <c r="P2195" t="s">
        <v>2208</v>
      </c>
      <c r="Q2195" t="s">
        <v>2208</v>
      </c>
      <c r="R2195" t="s">
        <v>2208</v>
      </c>
    </row>
    <row r="2196" spans="1:18">
      <c r="A2196" t="s">
        <v>810</v>
      </c>
      <c r="B2196" t="s">
        <v>17897</v>
      </c>
      <c r="C2196">
        <v>45840</v>
      </c>
      <c r="D2196" t="s">
        <v>7263</v>
      </c>
      <c r="E2196" t="s">
        <v>17898</v>
      </c>
      <c r="F2196">
        <v>45838</v>
      </c>
      <c r="G2196" t="s">
        <v>2208</v>
      </c>
      <c r="H2196" t="s">
        <v>7834</v>
      </c>
      <c r="I2196" t="s">
        <v>19870</v>
      </c>
      <c r="J2196">
        <v>0</v>
      </c>
      <c r="K2196">
        <v>7.18</v>
      </c>
      <c r="L2196" t="s">
        <v>2917</v>
      </c>
      <c r="M2196">
        <v>7.18</v>
      </c>
      <c r="N2196" t="s">
        <v>2917</v>
      </c>
      <c r="O2196" t="s">
        <v>2208</v>
      </c>
      <c r="P2196" t="s">
        <v>2208</v>
      </c>
      <c r="Q2196" t="s">
        <v>2208</v>
      </c>
      <c r="R2196" t="s">
        <v>2208</v>
      </c>
    </row>
    <row r="2197" spans="1:18">
      <c r="A2197" t="s">
        <v>2237</v>
      </c>
      <c r="B2197" t="s">
        <v>17897</v>
      </c>
      <c r="C2197">
        <v>45840</v>
      </c>
      <c r="D2197" t="s">
        <v>7263</v>
      </c>
      <c r="E2197" t="s">
        <v>17898</v>
      </c>
      <c r="F2197">
        <v>45838</v>
      </c>
      <c r="G2197" t="s">
        <v>2208</v>
      </c>
      <c r="H2197" t="s">
        <v>7834</v>
      </c>
      <c r="I2197" t="s">
        <v>19871</v>
      </c>
      <c r="J2197">
        <v>0</v>
      </c>
      <c r="K2197">
        <v>100.58</v>
      </c>
      <c r="L2197" t="s">
        <v>2917</v>
      </c>
      <c r="M2197">
        <v>100.58</v>
      </c>
      <c r="N2197" t="s">
        <v>2917</v>
      </c>
      <c r="O2197" t="s">
        <v>2208</v>
      </c>
      <c r="P2197" t="s">
        <v>2208</v>
      </c>
      <c r="Q2197" t="s">
        <v>2208</v>
      </c>
      <c r="R2197" t="s">
        <v>2208</v>
      </c>
    </row>
    <row r="2198" spans="1:18">
      <c r="A2198" t="s">
        <v>2237</v>
      </c>
      <c r="B2198" t="s">
        <v>17897</v>
      </c>
      <c r="C2198">
        <v>45840</v>
      </c>
      <c r="D2198" t="s">
        <v>7263</v>
      </c>
      <c r="E2198" t="s">
        <v>17898</v>
      </c>
      <c r="F2198">
        <v>45838</v>
      </c>
      <c r="G2198" t="s">
        <v>2208</v>
      </c>
      <c r="H2198" t="s">
        <v>7834</v>
      </c>
      <c r="I2198" t="s">
        <v>19871</v>
      </c>
      <c r="J2198">
        <v>0</v>
      </c>
      <c r="K2198">
        <v>129.31</v>
      </c>
      <c r="L2198" t="s">
        <v>2917</v>
      </c>
      <c r="M2198">
        <v>129.31</v>
      </c>
      <c r="N2198" t="s">
        <v>2917</v>
      </c>
      <c r="O2198" t="s">
        <v>2208</v>
      </c>
      <c r="P2198" t="s">
        <v>2208</v>
      </c>
      <c r="Q2198" t="s">
        <v>2208</v>
      </c>
      <c r="R2198" t="s">
        <v>2208</v>
      </c>
    </row>
    <row r="2199" spans="1:18">
      <c r="A2199" t="s">
        <v>2237</v>
      </c>
      <c r="B2199" t="s">
        <v>17897</v>
      </c>
      <c r="C2199">
        <v>45840</v>
      </c>
      <c r="D2199" t="s">
        <v>7263</v>
      </c>
      <c r="E2199" t="s">
        <v>17898</v>
      </c>
      <c r="F2199">
        <v>45838</v>
      </c>
      <c r="G2199" t="s">
        <v>2208</v>
      </c>
      <c r="H2199" t="s">
        <v>7834</v>
      </c>
      <c r="I2199" t="s">
        <v>19871</v>
      </c>
      <c r="J2199">
        <v>0</v>
      </c>
      <c r="K2199">
        <v>324.70999999999998</v>
      </c>
      <c r="L2199" t="s">
        <v>2917</v>
      </c>
      <c r="M2199">
        <v>324.70999999999998</v>
      </c>
      <c r="N2199" t="s">
        <v>2917</v>
      </c>
      <c r="O2199" t="s">
        <v>2208</v>
      </c>
      <c r="P2199" t="s">
        <v>2208</v>
      </c>
      <c r="Q2199" t="s">
        <v>2208</v>
      </c>
      <c r="R2199" t="s">
        <v>2208</v>
      </c>
    </row>
    <row r="2200" spans="1:18">
      <c r="A2200" t="s">
        <v>2254</v>
      </c>
      <c r="B2200" t="s">
        <v>17897</v>
      </c>
      <c r="C2200">
        <v>45840</v>
      </c>
      <c r="D2200" t="s">
        <v>7263</v>
      </c>
      <c r="E2200" t="s">
        <v>17898</v>
      </c>
      <c r="F2200">
        <v>45838</v>
      </c>
      <c r="G2200" t="s">
        <v>2208</v>
      </c>
      <c r="H2200" t="s">
        <v>7834</v>
      </c>
      <c r="I2200" t="s">
        <v>19872</v>
      </c>
      <c r="J2200">
        <v>0</v>
      </c>
      <c r="K2200">
        <v>7.18</v>
      </c>
      <c r="L2200" t="s">
        <v>2917</v>
      </c>
      <c r="M2200">
        <v>7.18</v>
      </c>
      <c r="N2200" t="s">
        <v>2917</v>
      </c>
      <c r="O2200" t="s">
        <v>2208</v>
      </c>
      <c r="P2200" t="s">
        <v>2208</v>
      </c>
      <c r="Q2200" t="s">
        <v>2208</v>
      </c>
      <c r="R2200" t="s">
        <v>2208</v>
      </c>
    </row>
    <row r="2201" spans="1:18">
      <c r="A2201" t="s">
        <v>2418</v>
      </c>
      <c r="B2201" t="s">
        <v>17897</v>
      </c>
      <c r="C2201">
        <v>45840</v>
      </c>
      <c r="D2201" t="s">
        <v>7263</v>
      </c>
      <c r="E2201" t="s">
        <v>17898</v>
      </c>
      <c r="F2201">
        <v>45838</v>
      </c>
      <c r="G2201" t="s">
        <v>2208</v>
      </c>
      <c r="H2201" t="s">
        <v>7834</v>
      </c>
      <c r="I2201" t="s">
        <v>19873</v>
      </c>
      <c r="J2201">
        <v>0</v>
      </c>
      <c r="K2201">
        <v>1918.1</v>
      </c>
      <c r="L2201" t="s">
        <v>2917</v>
      </c>
      <c r="M2201">
        <v>1918.1</v>
      </c>
      <c r="N2201" t="s">
        <v>2917</v>
      </c>
      <c r="O2201" t="s">
        <v>2208</v>
      </c>
      <c r="P2201" t="s">
        <v>2208</v>
      </c>
      <c r="Q2201" t="s">
        <v>2208</v>
      </c>
      <c r="R2201" t="s">
        <v>2208</v>
      </c>
    </row>
    <row r="2202" spans="1:18">
      <c r="A2202" t="s">
        <v>2501</v>
      </c>
      <c r="B2202" t="s">
        <v>17897</v>
      </c>
      <c r="C2202">
        <v>45840</v>
      </c>
      <c r="D2202" t="s">
        <v>7263</v>
      </c>
      <c r="E2202" t="s">
        <v>17898</v>
      </c>
      <c r="F2202">
        <v>45838</v>
      </c>
      <c r="G2202" t="s">
        <v>2208</v>
      </c>
      <c r="H2202" t="s">
        <v>7834</v>
      </c>
      <c r="I2202" t="s">
        <v>19874</v>
      </c>
      <c r="J2202">
        <v>0</v>
      </c>
      <c r="K2202">
        <v>14.37</v>
      </c>
      <c r="L2202" t="s">
        <v>2917</v>
      </c>
      <c r="M2202">
        <v>14.37</v>
      </c>
      <c r="N2202" t="s">
        <v>2917</v>
      </c>
      <c r="O2202" t="s">
        <v>2208</v>
      </c>
      <c r="P2202" t="s">
        <v>2208</v>
      </c>
      <c r="Q2202" t="s">
        <v>2208</v>
      </c>
      <c r="R2202" t="s">
        <v>2208</v>
      </c>
    </row>
    <row r="2203" spans="1:18">
      <c r="A2203" t="s">
        <v>2600</v>
      </c>
      <c r="B2203" t="s">
        <v>17897</v>
      </c>
      <c r="C2203">
        <v>45840</v>
      </c>
      <c r="D2203" t="s">
        <v>7263</v>
      </c>
      <c r="E2203" t="s">
        <v>17898</v>
      </c>
      <c r="F2203">
        <v>45838</v>
      </c>
      <c r="G2203" t="s">
        <v>2208</v>
      </c>
      <c r="H2203" t="s">
        <v>7834</v>
      </c>
      <c r="I2203" t="s">
        <v>19875</v>
      </c>
      <c r="J2203">
        <v>0</v>
      </c>
      <c r="K2203">
        <v>28.73</v>
      </c>
      <c r="L2203" t="s">
        <v>2917</v>
      </c>
      <c r="M2203">
        <v>28.73</v>
      </c>
      <c r="N2203" t="s">
        <v>2917</v>
      </c>
      <c r="O2203" t="s">
        <v>2208</v>
      </c>
      <c r="P2203" t="s">
        <v>2208</v>
      </c>
      <c r="Q2203" t="s">
        <v>2208</v>
      </c>
      <c r="R2203" t="s">
        <v>2208</v>
      </c>
    </row>
    <row r="2204" spans="1:18">
      <c r="A2204" t="s">
        <v>2600</v>
      </c>
      <c r="B2204" t="s">
        <v>17897</v>
      </c>
      <c r="C2204">
        <v>45840</v>
      </c>
      <c r="D2204" t="s">
        <v>7263</v>
      </c>
      <c r="E2204" t="s">
        <v>17898</v>
      </c>
      <c r="F2204">
        <v>45838</v>
      </c>
      <c r="G2204" t="s">
        <v>2208</v>
      </c>
      <c r="H2204" t="s">
        <v>7834</v>
      </c>
      <c r="I2204" t="s">
        <v>19875</v>
      </c>
      <c r="J2204">
        <v>0</v>
      </c>
      <c r="K2204">
        <v>86.2</v>
      </c>
      <c r="L2204" t="s">
        <v>2917</v>
      </c>
      <c r="M2204">
        <v>86.2</v>
      </c>
      <c r="N2204" t="s">
        <v>2917</v>
      </c>
      <c r="O2204" t="s">
        <v>2208</v>
      </c>
      <c r="P2204" t="s">
        <v>2208</v>
      </c>
      <c r="Q2204" t="s">
        <v>2208</v>
      </c>
      <c r="R2204" t="s">
        <v>2208</v>
      </c>
    </row>
    <row r="2205" spans="1:18">
      <c r="A2205" t="s">
        <v>2418</v>
      </c>
      <c r="B2205" t="s">
        <v>17897</v>
      </c>
      <c r="C2205">
        <v>45840</v>
      </c>
      <c r="D2205" t="s">
        <v>7263</v>
      </c>
      <c r="E2205" t="s">
        <v>17898</v>
      </c>
      <c r="F2205">
        <v>45838</v>
      </c>
      <c r="G2205" t="s">
        <v>2208</v>
      </c>
      <c r="H2205" t="s">
        <v>7834</v>
      </c>
      <c r="I2205" t="s">
        <v>19876</v>
      </c>
      <c r="J2205">
        <v>0</v>
      </c>
      <c r="K2205">
        <v>474.14</v>
      </c>
      <c r="L2205" t="s">
        <v>2917</v>
      </c>
      <c r="M2205">
        <v>474.14</v>
      </c>
      <c r="N2205" t="s">
        <v>2917</v>
      </c>
      <c r="O2205" t="s">
        <v>2208</v>
      </c>
      <c r="P2205" t="s">
        <v>2208</v>
      </c>
      <c r="Q2205" t="s">
        <v>2208</v>
      </c>
      <c r="R2205" t="s">
        <v>2208</v>
      </c>
    </row>
    <row r="2206" spans="1:18">
      <c r="A2206" t="s">
        <v>2418</v>
      </c>
      <c r="B2206" t="s">
        <v>17897</v>
      </c>
      <c r="C2206">
        <v>45840</v>
      </c>
      <c r="D2206" t="s">
        <v>7263</v>
      </c>
      <c r="E2206" t="s">
        <v>17898</v>
      </c>
      <c r="F2206">
        <v>45838</v>
      </c>
      <c r="G2206" t="s">
        <v>2208</v>
      </c>
      <c r="H2206" t="s">
        <v>7834</v>
      </c>
      <c r="I2206" t="s">
        <v>19876</v>
      </c>
      <c r="J2206">
        <v>0</v>
      </c>
      <c r="K2206">
        <v>454.02</v>
      </c>
      <c r="L2206" t="s">
        <v>2917</v>
      </c>
      <c r="M2206">
        <v>454.02</v>
      </c>
      <c r="N2206" t="s">
        <v>2917</v>
      </c>
      <c r="O2206" t="s">
        <v>2208</v>
      </c>
      <c r="P2206" t="s">
        <v>2208</v>
      </c>
      <c r="Q2206" t="s">
        <v>2208</v>
      </c>
      <c r="R2206" t="s">
        <v>2208</v>
      </c>
    </row>
    <row r="2207" spans="1:18">
      <c r="A2207" t="s">
        <v>709</v>
      </c>
      <c r="B2207" t="s">
        <v>17897</v>
      </c>
      <c r="C2207">
        <v>45840</v>
      </c>
      <c r="D2207" t="s">
        <v>7263</v>
      </c>
      <c r="E2207" t="s">
        <v>17898</v>
      </c>
      <c r="F2207">
        <v>45838</v>
      </c>
      <c r="G2207" t="s">
        <v>2208</v>
      </c>
      <c r="H2207" t="s">
        <v>7834</v>
      </c>
      <c r="I2207" t="s">
        <v>19877</v>
      </c>
      <c r="J2207">
        <v>0</v>
      </c>
      <c r="K2207">
        <v>114.94</v>
      </c>
      <c r="L2207" t="s">
        <v>2917</v>
      </c>
      <c r="M2207">
        <v>114.94</v>
      </c>
      <c r="N2207" t="s">
        <v>2917</v>
      </c>
      <c r="O2207" t="s">
        <v>2208</v>
      </c>
      <c r="P2207" t="s">
        <v>2208</v>
      </c>
      <c r="Q2207" t="s">
        <v>2208</v>
      </c>
      <c r="R2207" t="s">
        <v>2208</v>
      </c>
    </row>
    <row r="2208" spans="1:18">
      <c r="A2208" t="s">
        <v>1095</v>
      </c>
      <c r="B2208" t="s">
        <v>17897</v>
      </c>
      <c r="C2208">
        <v>45840</v>
      </c>
      <c r="D2208" t="s">
        <v>7263</v>
      </c>
      <c r="E2208" t="s">
        <v>17898</v>
      </c>
      <c r="F2208">
        <v>45838</v>
      </c>
      <c r="G2208" t="s">
        <v>2208</v>
      </c>
      <c r="H2208" t="s">
        <v>7834</v>
      </c>
      <c r="I2208" t="s">
        <v>19878</v>
      </c>
      <c r="J2208">
        <v>0</v>
      </c>
      <c r="K2208">
        <v>28.74</v>
      </c>
      <c r="L2208" t="s">
        <v>2917</v>
      </c>
      <c r="M2208">
        <v>28.74</v>
      </c>
      <c r="N2208" t="s">
        <v>2917</v>
      </c>
      <c r="O2208" t="s">
        <v>2208</v>
      </c>
      <c r="P2208" t="s">
        <v>2208</v>
      </c>
      <c r="Q2208" t="s">
        <v>2208</v>
      </c>
      <c r="R2208" t="s">
        <v>2208</v>
      </c>
    </row>
    <row r="2209" spans="1:18">
      <c r="A2209" t="s">
        <v>7030</v>
      </c>
      <c r="B2209" t="s">
        <v>17897</v>
      </c>
      <c r="C2209">
        <v>45840</v>
      </c>
      <c r="D2209" t="s">
        <v>7263</v>
      </c>
      <c r="E2209" t="s">
        <v>17898</v>
      </c>
      <c r="F2209">
        <v>45838</v>
      </c>
      <c r="G2209" t="s">
        <v>2208</v>
      </c>
      <c r="H2209" t="s">
        <v>7834</v>
      </c>
      <c r="I2209" t="s">
        <v>19879</v>
      </c>
      <c r="J2209">
        <v>0</v>
      </c>
      <c r="K2209">
        <v>71.84</v>
      </c>
      <c r="L2209" t="s">
        <v>2917</v>
      </c>
      <c r="M2209">
        <v>71.84</v>
      </c>
      <c r="N2209" t="s">
        <v>2917</v>
      </c>
      <c r="O2209" t="s">
        <v>2208</v>
      </c>
      <c r="P2209" t="s">
        <v>2208</v>
      </c>
      <c r="Q2209" t="s">
        <v>2208</v>
      </c>
      <c r="R2209" t="s">
        <v>2208</v>
      </c>
    </row>
    <row r="2210" spans="1:18">
      <c r="A2210" t="s">
        <v>7030</v>
      </c>
      <c r="B2210" t="s">
        <v>17897</v>
      </c>
      <c r="C2210">
        <v>45840</v>
      </c>
      <c r="D2210" t="s">
        <v>7263</v>
      </c>
      <c r="E2210" t="s">
        <v>17898</v>
      </c>
      <c r="F2210">
        <v>45838</v>
      </c>
      <c r="G2210" t="s">
        <v>2208</v>
      </c>
      <c r="H2210" t="s">
        <v>7834</v>
      </c>
      <c r="I2210" t="s">
        <v>19880</v>
      </c>
      <c r="J2210">
        <v>0</v>
      </c>
      <c r="K2210">
        <v>186.78</v>
      </c>
      <c r="L2210" t="s">
        <v>2917</v>
      </c>
      <c r="M2210">
        <v>186.78</v>
      </c>
      <c r="N2210" t="s">
        <v>2917</v>
      </c>
      <c r="O2210" t="s">
        <v>2208</v>
      </c>
      <c r="P2210" t="s">
        <v>2208</v>
      </c>
      <c r="Q2210" t="s">
        <v>2208</v>
      </c>
      <c r="R2210" t="s">
        <v>2208</v>
      </c>
    </row>
    <row r="2211" spans="1:18">
      <c r="A2211" t="s">
        <v>7030</v>
      </c>
      <c r="B2211" t="s">
        <v>17897</v>
      </c>
      <c r="C2211">
        <v>45840</v>
      </c>
      <c r="D2211" t="s">
        <v>7263</v>
      </c>
      <c r="E2211" t="s">
        <v>17898</v>
      </c>
      <c r="F2211">
        <v>45838</v>
      </c>
      <c r="G2211" t="s">
        <v>2208</v>
      </c>
      <c r="H2211" t="s">
        <v>7834</v>
      </c>
      <c r="I2211" t="s">
        <v>19880</v>
      </c>
      <c r="J2211">
        <v>0</v>
      </c>
      <c r="K2211">
        <v>488.51</v>
      </c>
      <c r="L2211" t="s">
        <v>2917</v>
      </c>
      <c r="M2211">
        <v>488.51</v>
      </c>
      <c r="N2211" t="s">
        <v>2917</v>
      </c>
      <c r="O2211" t="s">
        <v>2208</v>
      </c>
      <c r="P2211" t="s">
        <v>2208</v>
      </c>
      <c r="Q2211" t="s">
        <v>2208</v>
      </c>
      <c r="R2211" t="s">
        <v>2208</v>
      </c>
    </row>
    <row r="2212" spans="1:18">
      <c r="A2212" t="s">
        <v>7030</v>
      </c>
      <c r="B2212" t="s">
        <v>17897</v>
      </c>
      <c r="C2212">
        <v>45840</v>
      </c>
      <c r="D2212" t="s">
        <v>7263</v>
      </c>
      <c r="E2212" t="s">
        <v>17898</v>
      </c>
      <c r="F2212">
        <v>45838</v>
      </c>
      <c r="G2212" t="s">
        <v>2208</v>
      </c>
      <c r="H2212" t="s">
        <v>7834</v>
      </c>
      <c r="I2212" t="s">
        <v>19880</v>
      </c>
      <c r="J2212">
        <v>0</v>
      </c>
      <c r="K2212">
        <v>517.25</v>
      </c>
      <c r="L2212" t="s">
        <v>2917</v>
      </c>
      <c r="M2212">
        <v>517.25</v>
      </c>
      <c r="N2212" t="s">
        <v>2917</v>
      </c>
      <c r="O2212" t="s">
        <v>2208</v>
      </c>
      <c r="P2212" t="s">
        <v>2208</v>
      </c>
      <c r="Q2212" t="s">
        <v>2208</v>
      </c>
      <c r="R2212" t="s">
        <v>2208</v>
      </c>
    </row>
    <row r="2213" spans="1:18">
      <c r="A2213" t="s">
        <v>7030</v>
      </c>
      <c r="B2213" t="s">
        <v>17897</v>
      </c>
      <c r="C2213">
        <v>45840</v>
      </c>
      <c r="D2213" t="s">
        <v>7263</v>
      </c>
      <c r="E2213" t="s">
        <v>17898</v>
      </c>
      <c r="F2213">
        <v>45838</v>
      </c>
      <c r="G2213" t="s">
        <v>2208</v>
      </c>
      <c r="H2213" t="s">
        <v>7834</v>
      </c>
      <c r="I2213" t="s">
        <v>19880</v>
      </c>
      <c r="J2213">
        <v>0</v>
      </c>
      <c r="K2213">
        <v>237.07</v>
      </c>
      <c r="L2213" t="s">
        <v>2917</v>
      </c>
      <c r="M2213">
        <v>237.07</v>
      </c>
      <c r="N2213" t="s">
        <v>2917</v>
      </c>
      <c r="O2213" t="s">
        <v>2208</v>
      </c>
      <c r="P2213" t="s">
        <v>2208</v>
      </c>
      <c r="Q2213" t="s">
        <v>2208</v>
      </c>
      <c r="R2213" t="s">
        <v>2208</v>
      </c>
    </row>
    <row r="2214" spans="1:18">
      <c r="A2214" t="s">
        <v>7030</v>
      </c>
      <c r="B2214" t="s">
        <v>17897</v>
      </c>
      <c r="C2214">
        <v>45840</v>
      </c>
      <c r="D2214" t="s">
        <v>7263</v>
      </c>
      <c r="E2214" t="s">
        <v>17898</v>
      </c>
      <c r="F2214">
        <v>45838</v>
      </c>
      <c r="G2214" t="s">
        <v>2208</v>
      </c>
      <c r="H2214" t="s">
        <v>7834</v>
      </c>
      <c r="I2214" t="s">
        <v>19880</v>
      </c>
      <c r="J2214">
        <v>0</v>
      </c>
      <c r="K2214">
        <v>617.82000000000005</v>
      </c>
      <c r="L2214" t="s">
        <v>2917</v>
      </c>
      <c r="M2214">
        <v>617.82000000000005</v>
      </c>
      <c r="N2214" t="s">
        <v>2917</v>
      </c>
      <c r="O2214" t="s">
        <v>2208</v>
      </c>
      <c r="P2214" t="s">
        <v>2208</v>
      </c>
      <c r="Q2214" t="s">
        <v>2208</v>
      </c>
      <c r="R2214" t="s">
        <v>2208</v>
      </c>
    </row>
    <row r="2215" spans="1:18">
      <c r="A2215" t="s">
        <v>2237</v>
      </c>
      <c r="B2215" t="s">
        <v>2920</v>
      </c>
      <c r="C2215">
        <v>45665</v>
      </c>
      <c r="D2215" t="s">
        <v>7263</v>
      </c>
      <c r="E2215" t="s">
        <v>2921</v>
      </c>
      <c r="F2215">
        <v>45665</v>
      </c>
      <c r="G2215" t="s">
        <v>2208</v>
      </c>
      <c r="H2215" t="s">
        <v>2972</v>
      </c>
      <c r="I2215" t="s">
        <v>7391</v>
      </c>
      <c r="J2215">
        <v>0</v>
      </c>
      <c r="K2215">
        <v>30.6</v>
      </c>
      <c r="L2215" t="s">
        <v>2917</v>
      </c>
      <c r="M2215">
        <v>30.6</v>
      </c>
      <c r="N2215" t="s">
        <v>2917</v>
      </c>
      <c r="O2215" t="s">
        <v>2973</v>
      </c>
      <c r="P2215" t="s">
        <v>2208</v>
      </c>
      <c r="Q2215" t="s">
        <v>2208</v>
      </c>
      <c r="R2215" t="s">
        <v>2208</v>
      </c>
    </row>
    <row r="2216" spans="1:18">
      <c r="A2216" t="s">
        <v>2418</v>
      </c>
      <c r="B2216" t="s">
        <v>2920</v>
      </c>
      <c r="C2216">
        <v>45665</v>
      </c>
      <c r="D2216" t="s">
        <v>7263</v>
      </c>
      <c r="E2216" t="s">
        <v>2921</v>
      </c>
      <c r="F2216">
        <v>45665</v>
      </c>
      <c r="G2216" t="s">
        <v>2208</v>
      </c>
      <c r="H2216" t="s">
        <v>2972</v>
      </c>
      <c r="I2216" t="s">
        <v>7391</v>
      </c>
      <c r="J2216">
        <v>0</v>
      </c>
      <c r="K2216">
        <v>30.6</v>
      </c>
      <c r="L2216" t="s">
        <v>2917</v>
      </c>
      <c r="M2216">
        <v>30.6</v>
      </c>
      <c r="N2216" t="s">
        <v>2917</v>
      </c>
      <c r="O2216" t="s">
        <v>2973</v>
      </c>
      <c r="P2216" t="s">
        <v>2208</v>
      </c>
      <c r="Q2216" t="s">
        <v>2208</v>
      </c>
      <c r="R2216" t="s">
        <v>2208</v>
      </c>
    </row>
    <row r="2217" spans="1:18">
      <c r="A2217" t="s">
        <v>709</v>
      </c>
      <c r="B2217" t="s">
        <v>7740</v>
      </c>
      <c r="C2217">
        <v>45716</v>
      </c>
      <c r="D2217" t="s">
        <v>7263</v>
      </c>
      <c r="E2217" t="s">
        <v>2925</v>
      </c>
      <c r="F2217">
        <v>45716</v>
      </c>
      <c r="G2217" t="s">
        <v>2208</v>
      </c>
      <c r="H2217" t="s">
        <v>9517</v>
      </c>
      <c r="I2217" t="s">
        <v>9518</v>
      </c>
      <c r="J2217">
        <v>0</v>
      </c>
      <c r="K2217">
        <v>45.63</v>
      </c>
      <c r="L2217" t="s">
        <v>2917</v>
      </c>
      <c r="M2217">
        <v>45.63</v>
      </c>
      <c r="N2217" t="s">
        <v>2917</v>
      </c>
      <c r="O2217" t="s">
        <v>9519</v>
      </c>
      <c r="P2217" t="s">
        <v>2208</v>
      </c>
      <c r="Q2217" t="s">
        <v>2208</v>
      </c>
      <c r="R2217" t="s">
        <v>2208</v>
      </c>
    </row>
    <row r="2218" spans="1:18">
      <c r="A2218" t="s">
        <v>2418</v>
      </c>
      <c r="B2218" t="s">
        <v>7740</v>
      </c>
      <c r="C2218">
        <v>45716</v>
      </c>
      <c r="D2218" t="s">
        <v>7263</v>
      </c>
      <c r="E2218" t="s">
        <v>2925</v>
      </c>
      <c r="F2218">
        <v>45716</v>
      </c>
      <c r="G2218" t="s">
        <v>2208</v>
      </c>
      <c r="H2218" t="s">
        <v>9517</v>
      </c>
      <c r="I2218" t="s">
        <v>9518</v>
      </c>
      <c r="J2218">
        <v>0</v>
      </c>
      <c r="K2218">
        <v>91.26</v>
      </c>
      <c r="L2218" t="s">
        <v>2917</v>
      </c>
      <c r="M2218">
        <v>91.26</v>
      </c>
      <c r="N2218" t="s">
        <v>2917</v>
      </c>
      <c r="O2218" t="s">
        <v>9519</v>
      </c>
      <c r="P2218" t="s">
        <v>2208</v>
      </c>
      <c r="Q2218" t="s">
        <v>2208</v>
      </c>
      <c r="R2218" t="s">
        <v>2208</v>
      </c>
    </row>
    <row r="2219" spans="1:18">
      <c r="A2219" t="s">
        <v>7030</v>
      </c>
      <c r="B2219" t="s">
        <v>7740</v>
      </c>
      <c r="C2219">
        <v>45716</v>
      </c>
      <c r="D2219" t="s">
        <v>7263</v>
      </c>
      <c r="E2219" t="s">
        <v>2925</v>
      </c>
      <c r="F2219">
        <v>45716</v>
      </c>
      <c r="G2219" t="s">
        <v>2208</v>
      </c>
      <c r="H2219" t="s">
        <v>9517</v>
      </c>
      <c r="I2219" t="s">
        <v>9518</v>
      </c>
      <c r="J2219">
        <v>0</v>
      </c>
      <c r="K2219">
        <v>60.84</v>
      </c>
      <c r="L2219" t="s">
        <v>2917</v>
      </c>
      <c r="M2219">
        <v>60.84</v>
      </c>
      <c r="N2219" t="s">
        <v>2917</v>
      </c>
      <c r="O2219" t="s">
        <v>9519</v>
      </c>
      <c r="P2219" t="s">
        <v>2208</v>
      </c>
      <c r="Q2219" t="s">
        <v>2208</v>
      </c>
      <c r="R2219" t="s">
        <v>2208</v>
      </c>
    </row>
    <row r="2220" spans="1:18">
      <c r="A2220" t="s">
        <v>7030</v>
      </c>
      <c r="B2220" t="s">
        <v>7740</v>
      </c>
      <c r="C2220">
        <v>45716</v>
      </c>
      <c r="D2220" t="s">
        <v>7263</v>
      </c>
      <c r="E2220" t="s">
        <v>2925</v>
      </c>
      <c r="F2220">
        <v>45716</v>
      </c>
      <c r="G2220" t="s">
        <v>2208</v>
      </c>
      <c r="H2220" t="s">
        <v>9517</v>
      </c>
      <c r="I2220" t="s">
        <v>9520</v>
      </c>
      <c r="J2220">
        <v>0</v>
      </c>
      <c r="K2220">
        <v>29.1</v>
      </c>
      <c r="L2220" t="s">
        <v>2917</v>
      </c>
      <c r="M2220">
        <v>29.1</v>
      </c>
      <c r="N2220" t="s">
        <v>2917</v>
      </c>
      <c r="O2220" t="s">
        <v>9521</v>
      </c>
      <c r="P2220" t="s">
        <v>2208</v>
      </c>
      <c r="Q2220" t="s">
        <v>2208</v>
      </c>
      <c r="R2220" t="s">
        <v>2208</v>
      </c>
    </row>
    <row r="2221" spans="1:18">
      <c r="A2221" t="s">
        <v>2418</v>
      </c>
      <c r="B2221" t="s">
        <v>7740</v>
      </c>
      <c r="C2221">
        <v>45716</v>
      </c>
      <c r="D2221" t="s">
        <v>7263</v>
      </c>
      <c r="E2221" t="s">
        <v>2925</v>
      </c>
      <c r="F2221">
        <v>45716</v>
      </c>
      <c r="G2221" t="s">
        <v>2208</v>
      </c>
      <c r="H2221" t="s">
        <v>2972</v>
      </c>
      <c r="I2221" t="s">
        <v>9522</v>
      </c>
      <c r="J2221">
        <v>0</v>
      </c>
      <c r="K2221">
        <v>66.5</v>
      </c>
      <c r="L2221" t="s">
        <v>2917</v>
      </c>
      <c r="M2221">
        <v>66.5</v>
      </c>
      <c r="N2221" t="s">
        <v>2917</v>
      </c>
      <c r="O2221" t="s">
        <v>2973</v>
      </c>
      <c r="P2221" t="s">
        <v>2208</v>
      </c>
      <c r="Q2221" t="s">
        <v>2208</v>
      </c>
      <c r="R2221" t="s">
        <v>2208</v>
      </c>
    </row>
    <row r="2222" spans="1:18">
      <c r="A2222" t="s">
        <v>2237</v>
      </c>
      <c r="B2222" t="s">
        <v>7740</v>
      </c>
      <c r="C2222">
        <v>45716</v>
      </c>
      <c r="D2222" t="s">
        <v>7263</v>
      </c>
      <c r="E2222" t="s">
        <v>2925</v>
      </c>
      <c r="F2222">
        <v>45716</v>
      </c>
      <c r="G2222" t="s">
        <v>2208</v>
      </c>
      <c r="H2222" t="s">
        <v>2972</v>
      </c>
      <c r="I2222" t="s">
        <v>9522</v>
      </c>
      <c r="J2222">
        <v>0</v>
      </c>
      <c r="K2222">
        <v>57</v>
      </c>
      <c r="L2222" t="s">
        <v>2917</v>
      </c>
      <c r="M2222">
        <v>57</v>
      </c>
      <c r="N2222" t="s">
        <v>2917</v>
      </c>
      <c r="O2222" t="s">
        <v>2973</v>
      </c>
      <c r="P2222" t="s">
        <v>2208</v>
      </c>
      <c r="Q2222" t="s">
        <v>2208</v>
      </c>
      <c r="R2222" t="s">
        <v>2208</v>
      </c>
    </row>
    <row r="2223" spans="1:18">
      <c r="A2223" t="s">
        <v>709</v>
      </c>
      <c r="B2223" t="s">
        <v>7740</v>
      </c>
      <c r="C2223">
        <v>45716</v>
      </c>
      <c r="D2223" t="s">
        <v>7263</v>
      </c>
      <c r="E2223" t="s">
        <v>2925</v>
      </c>
      <c r="F2223">
        <v>45716</v>
      </c>
      <c r="G2223" t="s">
        <v>2208</v>
      </c>
      <c r="H2223" t="s">
        <v>2972</v>
      </c>
      <c r="I2223" t="s">
        <v>9522</v>
      </c>
      <c r="J2223">
        <v>0</v>
      </c>
      <c r="K2223">
        <v>38</v>
      </c>
      <c r="L2223" t="s">
        <v>2917</v>
      </c>
      <c r="M2223">
        <v>38</v>
      </c>
      <c r="N2223" t="s">
        <v>2917</v>
      </c>
      <c r="O2223" t="s">
        <v>2973</v>
      </c>
      <c r="P2223" t="s">
        <v>2208</v>
      </c>
      <c r="Q2223" t="s">
        <v>2208</v>
      </c>
      <c r="R2223" t="s">
        <v>2208</v>
      </c>
    </row>
    <row r="2224" spans="1:18">
      <c r="A2224" t="s">
        <v>6816</v>
      </c>
      <c r="B2224" t="s">
        <v>7740</v>
      </c>
      <c r="C2224">
        <v>45716</v>
      </c>
      <c r="D2224" t="s">
        <v>7263</v>
      </c>
      <c r="E2224" t="s">
        <v>2925</v>
      </c>
      <c r="F2224">
        <v>45716</v>
      </c>
      <c r="G2224" t="s">
        <v>2208</v>
      </c>
      <c r="H2224" t="s">
        <v>2972</v>
      </c>
      <c r="I2224" t="s">
        <v>9522</v>
      </c>
      <c r="J2224">
        <v>0</v>
      </c>
      <c r="K2224">
        <v>19</v>
      </c>
      <c r="L2224" t="s">
        <v>2917</v>
      </c>
      <c r="M2224">
        <v>19</v>
      </c>
      <c r="N2224" t="s">
        <v>2917</v>
      </c>
      <c r="O2224" t="s">
        <v>2973</v>
      </c>
      <c r="P2224" t="s">
        <v>2208</v>
      </c>
      <c r="Q2224" t="s">
        <v>2208</v>
      </c>
      <c r="R2224" t="s">
        <v>2208</v>
      </c>
    </row>
    <row r="2225" spans="1:18">
      <c r="A2225" t="s">
        <v>7030</v>
      </c>
      <c r="B2225" t="s">
        <v>9126</v>
      </c>
      <c r="C2225">
        <v>45723</v>
      </c>
      <c r="D2225" t="s">
        <v>7263</v>
      </c>
      <c r="E2225" t="s">
        <v>9127</v>
      </c>
      <c r="F2225">
        <v>45723</v>
      </c>
      <c r="G2225" t="s">
        <v>2208</v>
      </c>
      <c r="H2225" t="s">
        <v>9517</v>
      </c>
      <c r="I2225" t="s">
        <v>10754</v>
      </c>
      <c r="J2225">
        <v>0</v>
      </c>
      <c r="K2225">
        <v>35.99</v>
      </c>
      <c r="L2225" t="s">
        <v>2917</v>
      </c>
      <c r="M2225">
        <v>35.99</v>
      </c>
      <c r="N2225" t="s">
        <v>2917</v>
      </c>
      <c r="O2225" t="s">
        <v>10755</v>
      </c>
      <c r="P2225" t="s">
        <v>2208</v>
      </c>
      <c r="Q2225" t="s">
        <v>2208</v>
      </c>
      <c r="R2225" t="s">
        <v>2208</v>
      </c>
    </row>
    <row r="2226" spans="1:18">
      <c r="A2226" t="s">
        <v>2724</v>
      </c>
      <c r="B2226" t="s">
        <v>9126</v>
      </c>
      <c r="C2226">
        <v>45723</v>
      </c>
      <c r="D2226" t="s">
        <v>7263</v>
      </c>
      <c r="E2226" t="s">
        <v>9127</v>
      </c>
      <c r="F2226">
        <v>45723</v>
      </c>
      <c r="G2226" t="s">
        <v>2208</v>
      </c>
      <c r="H2226" t="s">
        <v>9517</v>
      </c>
      <c r="I2226" t="s">
        <v>10754</v>
      </c>
      <c r="J2226">
        <v>0</v>
      </c>
      <c r="K2226">
        <v>35.99</v>
      </c>
      <c r="L2226" t="s">
        <v>2917</v>
      </c>
      <c r="M2226">
        <v>35.99</v>
      </c>
      <c r="N2226" t="s">
        <v>2917</v>
      </c>
      <c r="O2226" t="s">
        <v>10755</v>
      </c>
      <c r="P2226" t="s">
        <v>2208</v>
      </c>
      <c r="Q2226" t="s">
        <v>2208</v>
      </c>
      <c r="R2226" t="s">
        <v>2208</v>
      </c>
    </row>
    <row r="2227" spans="1:18">
      <c r="A2227" t="s">
        <v>2418</v>
      </c>
      <c r="B2227" t="s">
        <v>9126</v>
      </c>
      <c r="C2227">
        <v>45723</v>
      </c>
      <c r="D2227" t="s">
        <v>7263</v>
      </c>
      <c r="E2227" t="s">
        <v>9127</v>
      </c>
      <c r="F2227">
        <v>45723</v>
      </c>
      <c r="G2227" t="s">
        <v>2208</v>
      </c>
      <c r="H2227" t="s">
        <v>9517</v>
      </c>
      <c r="I2227" t="s">
        <v>10754</v>
      </c>
      <c r="J2227">
        <v>0</v>
      </c>
      <c r="K2227">
        <v>71.98</v>
      </c>
      <c r="L2227" t="s">
        <v>2917</v>
      </c>
      <c r="M2227">
        <v>71.98</v>
      </c>
      <c r="N2227" t="s">
        <v>2917</v>
      </c>
      <c r="O2227" t="s">
        <v>10755</v>
      </c>
      <c r="P2227" t="s">
        <v>2208</v>
      </c>
      <c r="Q2227" t="s">
        <v>2208</v>
      </c>
      <c r="R2227" t="s">
        <v>2208</v>
      </c>
    </row>
    <row r="2228" spans="1:18">
      <c r="A2228" t="s">
        <v>2494</v>
      </c>
      <c r="B2228" t="s">
        <v>9126</v>
      </c>
      <c r="C2228">
        <v>45723</v>
      </c>
      <c r="D2228" t="s">
        <v>7263</v>
      </c>
      <c r="E2228" t="s">
        <v>9127</v>
      </c>
      <c r="F2228">
        <v>45723</v>
      </c>
      <c r="G2228" t="s">
        <v>2208</v>
      </c>
      <c r="H2228" t="s">
        <v>9517</v>
      </c>
      <c r="I2228" t="s">
        <v>10754</v>
      </c>
      <c r="J2228">
        <v>0</v>
      </c>
      <c r="K2228">
        <v>35.99</v>
      </c>
      <c r="L2228" t="s">
        <v>2917</v>
      </c>
      <c r="M2228">
        <v>35.99</v>
      </c>
      <c r="N2228" t="s">
        <v>2917</v>
      </c>
      <c r="O2228" t="s">
        <v>10755</v>
      </c>
      <c r="P2228" t="s">
        <v>2208</v>
      </c>
      <c r="Q2228" t="s">
        <v>2208</v>
      </c>
      <c r="R2228" t="s">
        <v>2208</v>
      </c>
    </row>
    <row r="2229" spans="1:18">
      <c r="A2229" t="s">
        <v>810</v>
      </c>
      <c r="B2229" t="s">
        <v>9126</v>
      </c>
      <c r="C2229">
        <v>45723</v>
      </c>
      <c r="D2229" t="s">
        <v>7263</v>
      </c>
      <c r="E2229" t="s">
        <v>9127</v>
      </c>
      <c r="F2229">
        <v>45723</v>
      </c>
      <c r="G2229" t="s">
        <v>2208</v>
      </c>
      <c r="H2229" t="s">
        <v>9517</v>
      </c>
      <c r="I2229" t="s">
        <v>10754</v>
      </c>
      <c r="J2229">
        <v>0</v>
      </c>
      <c r="K2229">
        <v>89.97</v>
      </c>
      <c r="L2229" t="s">
        <v>2917</v>
      </c>
      <c r="M2229">
        <v>89.97</v>
      </c>
      <c r="N2229" t="s">
        <v>2917</v>
      </c>
      <c r="O2229" t="s">
        <v>10755</v>
      </c>
      <c r="P2229" t="s">
        <v>2208</v>
      </c>
      <c r="Q2229" t="s">
        <v>2208</v>
      </c>
      <c r="R2229" t="s">
        <v>2208</v>
      </c>
    </row>
    <row r="2230" spans="1:18">
      <c r="A2230" t="s">
        <v>2418</v>
      </c>
      <c r="B2230" t="s">
        <v>11331</v>
      </c>
      <c r="C2230">
        <v>45750</v>
      </c>
      <c r="D2230" t="s">
        <v>7263</v>
      </c>
      <c r="E2230" t="s">
        <v>11332</v>
      </c>
      <c r="F2230">
        <v>45750</v>
      </c>
      <c r="G2230" t="s">
        <v>2208</v>
      </c>
      <c r="H2230" t="s">
        <v>9517</v>
      </c>
      <c r="I2230" t="s">
        <v>12096</v>
      </c>
      <c r="J2230">
        <v>0</v>
      </c>
      <c r="K2230">
        <v>145.66999999999999</v>
      </c>
      <c r="L2230" t="s">
        <v>2917</v>
      </c>
      <c r="M2230">
        <v>145.66999999999999</v>
      </c>
      <c r="N2230" t="s">
        <v>2917</v>
      </c>
      <c r="O2230" t="s">
        <v>12097</v>
      </c>
      <c r="P2230" t="s">
        <v>2208</v>
      </c>
      <c r="Q2230" t="s">
        <v>2208</v>
      </c>
      <c r="R2230" t="s">
        <v>2208</v>
      </c>
    </row>
    <row r="2231" spans="1:18">
      <c r="A2231" t="s">
        <v>810</v>
      </c>
      <c r="B2231" t="s">
        <v>11331</v>
      </c>
      <c r="C2231">
        <v>45750</v>
      </c>
      <c r="D2231" t="s">
        <v>7263</v>
      </c>
      <c r="E2231" t="s">
        <v>11332</v>
      </c>
      <c r="F2231">
        <v>45750</v>
      </c>
      <c r="G2231" t="s">
        <v>2208</v>
      </c>
      <c r="H2231" t="s">
        <v>9517</v>
      </c>
      <c r="I2231" t="s">
        <v>12096</v>
      </c>
      <c r="J2231">
        <v>0</v>
      </c>
      <c r="K2231">
        <v>51.41</v>
      </c>
      <c r="L2231" t="s">
        <v>2917</v>
      </c>
      <c r="M2231">
        <v>51.41</v>
      </c>
      <c r="N2231" t="s">
        <v>2917</v>
      </c>
      <c r="O2231" t="s">
        <v>12097</v>
      </c>
      <c r="P2231" t="s">
        <v>2208</v>
      </c>
      <c r="Q2231" t="s">
        <v>2208</v>
      </c>
      <c r="R2231" t="s">
        <v>2208</v>
      </c>
    </row>
    <row r="2232" spans="1:18">
      <c r="A2232" t="s">
        <v>2418</v>
      </c>
      <c r="B2232" t="s">
        <v>16360</v>
      </c>
      <c r="C2232">
        <v>45808</v>
      </c>
      <c r="D2232" t="s">
        <v>7263</v>
      </c>
      <c r="E2232" t="s">
        <v>16361</v>
      </c>
      <c r="F2232">
        <v>45808</v>
      </c>
      <c r="G2232" t="s">
        <v>2208</v>
      </c>
      <c r="H2232" t="s">
        <v>2972</v>
      </c>
      <c r="I2232" t="s">
        <v>18359</v>
      </c>
      <c r="J2232">
        <v>0</v>
      </c>
      <c r="K2232">
        <v>836.88</v>
      </c>
      <c r="L2232" t="s">
        <v>2917</v>
      </c>
      <c r="M2232">
        <v>836.88</v>
      </c>
      <c r="N2232" t="s">
        <v>2917</v>
      </c>
      <c r="O2232" t="s">
        <v>18360</v>
      </c>
      <c r="P2232" t="s">
        <v>2208</v>
      </c>
      <c r="Q2232" t="s">
        <v>2208</v>
      </c>
      <c r="R2232" t="s">
        <v>2208</v>
      </c>
    </row>
    <row r="2233" spans="1:18">
      <c r="A2233" t="s">
        <v>2418</v>
      </c>
      <c r="B2233" t="s">
        <v>16360</v>
      </c>
      <c r="C2233">
        <v>45808</v>
      </c>
      <c r="D2233" t="s">
        <v>7263</v>
      </c>
      <c r="E2233" t="s">
        <v>16361</v>
      </c>
      <c r="F2233">
        <v>45808</v>
      </c>
      <c r="G2233" t="s">
        <v>2208</v>
      </c>
      <c r="H2233" t="s">
        <v>2972</v>
      </c>
      <c r="I2233" t="s">
        <v>18359</v>
      </c>
      <c r="J2233">
        <v>0</v>
      </c>
      <c r="K2233">
        <v>627.66</v>
      </c>
      <c r="L2233" t="s">
        <v>2917</v>
      </c>
      <c r="M2233">
        <v>627.66</v>
      </c>
      <c r="N2233" t="s">
        <v>2917</v>
      </c>
      <c r="O2233" t="s">
        <v>18360</v>
      </c>
      <c r="P2233" t="s">
        <v>2208</v>
      </c>
      <c r="Q2233" t="s">
        <v>2208</v>
      </c>
      <c r="R2233" t="s">
        <v>2208</v>
      </c>
    </row>
    <row r="2234" spans="1:18">
      <c r="A2234" t="s">
        <v>7030</v>
      </c>
      <c r="B2234" t="s">
        <v>16360</v>
      </c>
      <c r="C2234">
        <v>45808</v>
      </c>
      <c r="D2234" t="s">
        <v>7263</v>
      </c>
      <c r="E2234" t="s">
        <v>16361</v>
      </c>
      <c r="F2234">
        <v>45808</v>
      </c>
      <c r="G2234" t="s">
        <v>2208</v>
      </c>
      <c r="H2234" t="s">
        <v>2972</v>
      </c>
      <c r="I2234" t="s">
        <v>18359</v>
      </c>
      <c r="J2234">
        <v>0</v>
      </c>
      <c r="K2234">
        <v>209.22</v>
      </c>
      <c r="L2234" t="s">
        <v>2917</v>
      </c>
      <c r="M2234">
        <v>209.22</v>
      </c>
      <c r="N2234" t="s">
        <v>2917</v>
      </c>
      <c r="O2234" t="s">
        <v>18360</v>
      </c>
      <c r="P2234" t="s">
        <v>2208</v>
      </c>
      <c r="Q2234" t="s">
        <v>2208</v>
      </c>
      <c r="R2234" t="s">
        <v>2208</v>
      </c>
    </row>
    <row r="2235" spans="1:18">
      <c r="A2235" t="s">
        <v>7030</v>
      </c>
      <c r="B2235" t="s">
        <v>16360</v>
      </c>
      <c r="C2235">
        <v>45808</v>
      </c>
      <c r="D2235" t="s">
        <v>7263</v>
      </c>
      <c r="E2235" t="s">
        <v>16361</v>
      </c>
      <c r="F2235">
        <v>45808</v>
      </c>
      <c r="G2235" t="s">
        <v>2208</v>
      </c>
      <c r="H2235" t="s">
        <v>2972</v>
      </c>
      <c r="I2235" t="s">
        <v>18359</v>
      </c>
      <c r="J2235">
        <v>0</v>
      </c>
      <c r="K2235">
        <v>627.66</v>
      </c>
      <c r="L2235" t="s">
        <v>2917</v>
      </c>
      <c r="M2235">
        <v>627.66</v>
      </c>
      <c r="N2235" t="s">
        <v>2917</v>
      </c>
      <c r="O2235" t="s">
        <v>18360</v>
      </c>
      <c r="P2235" t="s">
        <v>2208</v>
      </c>
      <c r="Q2235" t="s">
        <v>2208</v>
      </c>
      <c r="R2235" t="s">
        <v>2208</v>
      </c>
    </row>
    <row r="2236" spans="1:18">
      <c r="A2236" t="s">
        <v>7030</v>
      </c>
      <c r="B2236" t="s">
        <v>16360</v>
      </c>
      <c r="C2236">
        <v>45808</v>
      </c>
      <c r="D2236" t="s">
        <v>7263</v>
      </c>
      <c r="E2236" t="s">
        <v>16361</v>
      </c>
      <c r="F2236">
        <v>45808</v>
      </c>
      <c r="G2236" t="s">
        <v>2208</v>
      </c>
      <c r="H2236" t="s">
        <v>2972</v>
      </c>
      <c r="I2236" t="s">
        <v>18359</v>
      </c>
      <c r="J2236">
        <v>0</v>
      </c>
      <c r="K2236">
        <v>313.83</v>
      </c>
      <c r="L2236" t="s">
        <v>2917</v>
      </c>
      <c r="M2236">
        <v>313.83</v>
      </c>
      <c r="N2236" t="s">
        <v>2917</v>
      </c>
      <c r="O2236" t="s">
        <v>18360</v>
      </c>
      <c r="P2236" t="s">
        <v>2208</v>
      </c>
      <c r="Q2236" t="s">
        <v>2208</v>
      </c>
      <c r="R2236" t="s">
        <v>2208</v>
      </c>
    </row>
    <row r="2237" spans="1:18">
      <c r="A2237" t="s">
        <v>7030</v>
      </c>
      <c r="B2237" t="s">
        <v>17897</v>
      </c>
      <c r="C2237">
        <v>45826</v>
      </c>
      <c r="D2237" t="s">
        <v>7263</v>
      </c>
      <c r="E2237" t="s">
        <v>17898</v>
      </c>
      <c r="F2237">
        <v>45826</v>
      </c>
      <c r="G2237" t="s">
        <v>2208</v>
      </c>
      <c r="H2237" t="s">
        <v>9517</v>
      </c>
      <c r="I2237" t="s">
        <v>18783</v>
      </c>
      <c r="J2237">
        <v>0</v>
      </c>
      <c r="K2237">
        <v>16.36</v>
      </c>
      <c r="L2237" t="s">
        <v>2917</v>
      </c>
      <c r="M2237">
        <v>16.36</v>
      </c>
      <c r="N2237" t="s">
        <v>2917</v>
      </c>
      <c r="O2237" t="s">
        <v>18784</v>
      </c>
      <c r="P2237" t="s">
        <v>2208</v>
      </c>
      <c r="Q2237" t="s">
        <v>2208</v>
      </c>
      <c r="R2237" t="s">
        <v>2208</v>
      </c>
    </row>
    <row r="2238" spans="1:18">
      <c r="A2238" t="s">
        <v>2418</v>
      </c>
      <c r="B2238" t="s">
        <v>17897</v>
      </c>
      <c r="C2238">
        <v>45826</v>
      </c>
      <c r="D2238" t="s">
        <v>7263</v>
      </c>
      <c r="E2238" t="s">
        <v>17898</v>
      </c>
      <c r="F2238">
        <v>45826</v>
      </c>
      <c r="G2238" t="s">
        <v>2208</v>
      </c>
      <c r="H2238" t="s">
        <v>9517</v>
      </c>
      <c r="I2238" t="s">
        <v>18783</v>
      </c>
      <c r="J2238">
        <v>0</v>
      </c>
      <c r="K2238">
        <v>237.2</v>
      </c>
      <c r="L2238" t="s">
        <v>2917</v>
      </c>
      <c r="M2238">
        <v>237.2</v>
      </c>
      <c r="N2238" t="s">
        <v>2917</v>
      </c>
      <c r="O2238" t="s">
        <v>18784</v>
      </c>
      <c r="P2238" t="s">
        <v>2208</v>
      </c>
      <c r="Q2238" t="s">
        <v>2208</v>
      </c>
      <c r="R2238" t="s">
        <v>2208</v>
      </c>
    </row>
    <row r="2239" spans="1:18">
      <c r="A2239" t="s">
        <v>2237</v>
      </c>
      <c r="B2239" t="s">
        <v>17897</v>
      </c>
      <c r="C2239">
        <v>45826</v>
      </c>
      <c r="D2239" t="s">
        <v>7263</v>
      </c>
      <c r="E2239" t="s">
        <v>17898</v>
      </c>
      <c r="F2239">
        <v>45826</v>
      </c>
      <c r="G2239" t="s">
        <v>2208</v>
      </c>
      <c r="H2239" t="s">
        <v>9517</v>
      </c>
      <c r="I2239" t="s">
        <v>18783</v>
      </c>
      <c r="J2239">
        <v>0</v>
      </c>
      <c r="K2239">
        <v>16.36</v>
      </c>
      <c r="L2239" t="s">
        <v>2917</v>
      </c>
      <c r="M2239">
        <v>16.36</v>
      </c>
      <c r="N2239" t="s">
        <v>2917</v>
      </c>
      <c r="O2239" t="s">
        <v>18784</v>
      </c>
      <c r="P2239" t="s">
        <v>2208</v>
      </c>
      <c r="Q2239" t="s">
        <v>2208</v>
      </c>
      <c r="R2239" t="s">
        <v>2208</v>
      </c>
    </row>
    <row r="2240" spans="1:18">
      <c r="A2240" t="s">
        <v>7030</v>
      </c>
      <c r="B2240" t="s">
        <v>16360</v>
      </c>
      <c r="C2240">
        <v>45793</v>
      </c>
      <c r="D2240" t="s">
        <v>7263</v>
      </c>
      <c r="E2240" t="s">
        <v>16361</v>
      </c>
      <c r="F2240">
        <v>45793</v>
      </c>
      <c r="G2240" t="s">
        <v>2208</v>
      </c>
      <c r="H2240" t="s">
        <v>9517</v>
      </c>
      <c r="I2240" t="s">
        <v>17177</v>
      </c>
      <c r="J2240">
        <v>0</v>
      </c>
      <c r="K2240">
        <v>16.36</v>
      </c>
      <c r="L2240" t="s">
        <v>2917</v>
      </c>
      <c r="M2240">
        <v>16.36</v>
      </c>
      <c r="N2240" t="s">
        <v>2917</v>
      </c>
      <c r="O2240" t="s">
        <v>17178</v>
      </c>
      <c r="P2240" t="s">
        <v>2208</v>
      </c>
      <c r="Q2240" t="s">
        <v>2208</v>
      </c>
      <c r="R2240" t="s">
        <v>2208</v>
      </c>
    </row>
    <row r="2241" spans="1:18">
      <c r="A2241" t="s">
        <v>2418</v>
      </c>
      <c r="B2241" t="s">
        <v>16360</v>
      </c>
      <c r="C2241">
        <v>45793</v>
      </c>
      <c r="D2241" t="s">
        <v>7263</v>
      </c>
      <c r="E2241" t="s">
        <v>16361</v>
      </c>
      <c r="F2241">
        <v>45793</v>
      </c>
      <c r="G2241" t="s">
        <v>2208</v>
      </c>
      <c r="H2241" t="s">
        <v>9517</v>
      </c>
      <c r="I2241" t="s">
        <v>17177</v>
      </c>
      <c r="J2241">
        <v>0</v>
      </c>
      <c r="K2241">
        <v>89.97</v>
      </c>
      <c r="L2241" t="s">
        <v>2917</v>
      </c>
      <c r="M2241">
        <v>89.97</v>
      </c>
      <c r="N2241" t="s">
        <v>2917</v>
      </c>
      <c r="O2241" t="s">
        <v>17178</v>
      </c>
      <c r="P2241" t="s">
        <v>2208</v>
      </c>
      <c r="Q2241" t="s">
        <v>2208</v>
      </c>
      <c r="R2241" t="s">
        <v>2208</v>
      </c>
    </row>
    <row r="2242" spans="1:18">
      <c r="A2242" t="s">
        <v>810</v>
      </c>
      <c r="B2242" t="s">
        <v>16360</v>
      </c>
      <c r="C2242">
        <v>45793</v>
      </c>
      <c r="D2242" t="s">
        <v>7263</v>
      </c>
      <c r="E2242" t="s">
        <v>16361</v>
      </c>
      <c r="F2242">
        <v>45793</v>
      </c>
      <c r="G2242" t="s">
        <v>2208</v>
      </c>
      <c r="H2242" t="s">
        <v>9517</v>
      </c>
      <c r="I2242" t="s">
        <v>17177</v>
      </c>
      <c r="J2242">
        <v>0</v>
      </c>
      <c r="K2242">
        <v>49.08</v>
      </c>
      <c r="L2242" t="s">
        <v>2917</v>
      </c>
      <c r="M2242">
        <v>49.08</v>
      </c>
      <c r="N2242" t="s">
        <v>2917</v>
      </c>
      <c r="O2242" t="s">
        <v>17178</v>
      </c>
      <c r="P2242" t="s">
        <v>2208</v>
      </c>
      <c r="Q2242" t="s">
        <v>2208</v>
      </c>
      <c r="R2242" t="s">
        <v>2208</v>
      </c>
    </row>
    <row r="2243" spans="1:18">
      <c r="A2243" t="s">
        <v>709</v>
      </c>
      <c r="B2243" t="s">
        <v>16360</v>
      </c>
      <c r="C2243">
        <v>45793</v>
      </c>
      <c r="D2243" t="s">
        <v>7263</v>
      </c>
      <c r="E2243" t="s">
        <v>16361</v>
      </c>
      <c r="F2243">
        <v>45793</v>
      </c>
      <c r="G2243" t="s">
        <v>2208</v>
      </c>
      <c r="H2243" t="s">
        <v>9517</v>
      </c>
      <c r="I2243" t="s">
        <v>17177</v>
      </c>
      <c r="J2243">
        <v>0</v>
      </c>
      <c r="K2243">
        <v>8.18</v>
      </c>
      <c r="L2243" t="s">
        <v>2917</v>
      </c>
      <c r="M2243">
        <v>8.18</v>
      </c>
      <c r="N2243" t="s">
        <v>2917</v>
      </c>
      <c r="O2243" t="s">
        <v>17178</v>
      </c>
      <c r="P2243" t="s">
        <v>2208</v>
      </c>
      <c r="Q2243" t="s">
        <v>2208</v>
      </c>
      <c r="R2243" t="s">
        <v>2208</v>
      </c>
    </row>
    <row r="2244" spans="1:18">
      <c r="A2244" t="s">
        <v>1095</v>
      </c>
      <c r="B2244" t="s">
        <v>2920</v>
      </c>
      <c r="C2244">
        <v>45679</v>
      </c>
      <c r="D2244" t="s">
        <v>7263</v>
      </c>
      <c r="E2244" t="s">
        <v>2921</v>
      </c>
      <c r="F2244">
        <v>45679</v>
      </c>
      <c r="G2244" t="s">
        <v>2208</v>
      </c>
      <c r="H2244" t="s">
        <v>2974</v>
      </c>
      <c r="I2244" t="s">
        <v>7392</v>
      </c>
      <c r="J2244">
        <v>0</v>
      </c>
      <c r="K2244">
        <v>-24435</v>
      </c>
      <c r="L2244" t="s">
        <v>2917</v>
      </c>
      <c r="M2244">
        <v>-24435</v>
      </c>
      <c r="N2244" t="s">
        <v>2917</v>
      </c>
      <c r="O2244" t="s">
        <v>7393</v>
      </c>
      <c r="P2244" t="s">
        <v>2208</v>
      </c>
      <c r="Q2244" t="s">
        <v>2975</v>
      </c>
      <c r="R2244" t="s">
        <v>3316</v>
      </c>
    </row>
    <row r="2245" spans="1:18">
      <c r="A2245" t="s">
        <v>810</v>
      </c>
      <c r="B2245" t="s">
        <v>2920</v>
      </c>
      <c r="C2245">
        <v>45679</v>
      </c>
      <c r="D2245" t="s">
        <v>7263</v>
      </c>
      <c r="E2245" t="s">
        <v>2921</v>
      </c>
      <c r="F2245">
        <v>45679</v>
      </c>
      <c r="G2245" t="s">
        <v>2208</v>
      </c>
      <c r="H2245" t="s">
        <v>2974</v>
      </c>
      <c r="I2245" t="s">
        <v>7426</v>
      </c>
      <c r="J2245">
        <v>0</v>
      </c>
      <c r="K2245">
        <v>-61849.13</v>
      </c>
      <c r="L2245" t="s">
        <v>2917</v>
      </c>
      <c r="M2245">
        <v>-61849.13</v>
      </c>
      <c r="N2245" t="s">
        <v>2917</v>
      </c>
      <c r="O2245" t="s">
        <v>7022</v>
      </c>
      <c r="P2245" t="s">
        <v>2208</v>
      </c>
      <c r="Q2245" t="s">
        <v>2975</v>
      </c>
      <c r="R2245" t="s">
        <v>3316</v>
      </c>
    </row>
    <row r="2246" spans="1:18">
      <c r="A2246" t="s">
        <v>6817</v>
      </c>
      <c r="B2246" t="s">
        <v>2920</v>
      </c>
      <c r="C2246">
        <v>45687</v>
      </c>
      <c r="D2246" t="s">
        <v>7263</v>
      </c>
      <c r="E2246" t="s">
        <v>2921</v>
      </c>
      <c r="F2246">
        <v>45687</v>
      </c>
      <c r="G2246" t="s">
        <v>2208</v>
      </c>
      <c r="H2246" t="s">
        <v>2974</v>
      </c>
      <c r="I2246" t="s">
        <v>8262</v>
      </c>
      <c r="J2246">
        <v>0</v>
      </c>
      <c r="K2246">
        <v>-11110</v>
      </c>
      <c r="L2246" t="s">
        <v>2917</v>
      </c>
      <c r="M2246">
        <v>-11110</v>
      </c>
      <c r="N2246" t="s">
        <v>2917</v>
      </c>
      <c r="O2246" t="s">
        <v>8263</v>
      </c>
      <c r="P2246" t="s">
        <v>2208</v>
      </c>
      <c r="Q2246" t="s">
        <v>2975</v>
      </c>
      <c r="R2246" t="s">
        <v>3316</v>
      </c>
    </row>
    <row r="2247" spans="1:18">
      <c r="A2247" t="s">
        <v>6817</v>
      </c>
      <c r="B2247" t="s">
        <v>2920</v>
      </c>
      <c r="C2247">
        <v>45687</v>
      </c>
      <c r="D2247" t="s">
        <v>7263</v>
      </c>
      <c r="E2247" t="s">
        <v>2921</v>
      </c>
      <c r="F2247">
        <v>45687</v>
      </c>
      <c r="G2247" t="s">
        <v>2208</v>
      </c>
      <c r="H2247" t="s">
        <v>2974</v>
      </c>
      <c r="I2247" t="s">
        <v>8264</v>
      </c>
      <c r="J2247">
        <v>0</v>
      </c>
      <c r="K2247">
        <v>-98640</v>
      </c>
      <c r="L2247" t="s">
        <v>2917</v>
      </c>
      <c r="M2247">
        <v>-98640</v>
      </c>
      <c r="N2247" t="s">
        <v>2917</v>
      </c>
      <c r="O2247" t="s">
        <v>8265</v>
      </c>
      <c r="P2247" t="s">
        <v>2208</v>
      </c>
      <c r="Q2247" t="s">
        <v>2975</v>
      </c>
      <c r="R2247" t="s">
        <v>3316</v>
      </c>
    </row>
    <row r="2248" spans="1:18">
      <c r="A2248" t="s">
        <v>1095</v>
      </c>
      <c r="B2248" t="s">
        <v>7740</v>
      </c>
      <c r="C2248">
        <v>45719</v>
      </c>
      <c r="D2248" t="s">
        <v>7263</v>
      </c>
      <c r="E2248" t="s">
        <v>2925</v>
      </c>
      <c r="F2248">
        <v>45716</v>
      </c>
      <c r="G2248" t="s">
        <v>2208</v>
      </c>
      <c r="H2248" t="s">
        <v>2974</v>
      </c>
      <c r="I2248" t="s">
        <v>9523</v>
      </c>
      <c r="J2248">
        <v>0</v>
      </c>
      <c r="K2248">
        <v>-800</v>
      </c>
      <c r="L2248" t="s">
        <v>2917</v>
      </c>
      <c r="M2248">
        <v>-800</v>
      </c>
      <c r="N2248" t="s">
        <v>2917</v>
      </c>
      <c r="O2248" t="s">
        <v>9524</v>
      </c>
      <c r="P2248" t="s">
        <v>2208</v>
      </c>
      <c r="Q2248" t="s">
        <v>2975</v>
      </c>
      <c r="R2248" t="s">
        <v>3316</v>
      </c>
    </row>
    <row r="2249" spans="1:18">
      <c r="A2249" t="s">
        <v>1095</v>
      </c>
      <c r="B2249" t="s">
        <v>7740</v>
      </c>
      <c r="C2249">
        <v>45719</v>
      </c>
      <c r="D2249" t="s">
        <v>7263</v>
      </c>
      <c r="E2249" t="s">
        <v>2925</v>
      </c>
      <c r="F2249">
        <v>45716</v>
      </c>
      <c r="G2249" t="s">
        <v>2208</v>
      </c>
      <c r="H2249" t="s">
        <v>2974</v>
      </c>
      <c r="I2249" t="s">
        <v>9523</v>
      </c>
      <c r="J2249">
        <v>0</v>
      </c>
      <c r="K2249">
        <v>-800</v>
      </c>
      <c r="L2249" t="s">
        <v>2917</v>
      </c>
      <c r="M2249">
        <v>-800</v>
      </c>
      <c r="N2249" t="s">
        <v>2917</v>
      </c>
      <c r="O2249" t="s">
        <v>9524</v>
      </c>
      <c r="P2249" t="s">
        <v>2208</v>
      </c>
      <c r="Q2249" t="s">
        <v>2975</v>
      </c>
      <c r="R2249" t="s">
        <v>3316</v>
      </c>
    </row>
    <row r="2250" spans="1:18">
      <c r="A2250" t="s">
        <v>1095</v>
      </c>
      <c r="B2250" t="s">
        <v>7740</v>
      </c>
      <c r="C2250">
        <v>45719</v>
      </c>
      <c r="D2250" t="s">
        <v>7263</v>
      </c>
      <c r="E2250" t="s">
        <v>2925</v>
      </c>
      <c r="F2250">
        <v>45716</v>
      </c>
      <c r="G2250" t="s">
        <v>2208</v>
      </c>
      <c r="H2250" t="s">
        <v>2974</v>
      </c>
      <c r="I2250" t="s">
        <v>9523</v>
      </c>
      <c r="J2250">
        <v>0</v>
      </c>
      <c r="K2250">
        <v>-250</v>
      </c>
      <c r="L2250" t="s">
        <v>2917</v>
      </c>
      <c r="M2250">
        <v>-250</v>
      </c>
      <c r="N2250" t="s">
        <v>2917</v>
      </c>
      <c r="O2250" t="s">
        <v>9524</v>
      </c>
      <c r="P2250" t="s">
        <v>2208</v>
      </c>
      <c r="Q2250" t="s">
        <v>2975</v>
      </c>
      <c r="R2250" t="s">
        <v>3316</v>
      </c>
    </row>
    <row r="2251" spans="1:18">
      <c r="A2251" t="s">
        <v>1095</v>
      </c>
      <c r="B2251" t="s">
        <v>7740</v>
      </c>
      <c r="C2251">
        <v>45719</v>
      </c>
      <c r="D2251" t="s">
        <v>7263</v>
      </c>
      <c r="E2251" t="s">
        <v>2925</v>
      </c>
      <c r="F2251">
        <v>45716</v>
      </c>
      <c r="G2251" t="s">
        <v>2208</v>
      </c>
      <c r="H2251" t="s">
        <v>2974</v>
      </c>
      <c r="I2251" t="s">
        <v>9525</v>
      </c>
      <c r="J2251">
        <v>0</v>
      </c>
      <c r="K2251">
        <v>-1635.04</v>
      </c>
      <c r="L2251" t="s">
        <v>2917</v>
      </c>
      <c r="M2251">
        <v>-1635.04</v>
      </c>
      <c r="N2251" t="s">
        <v>2917</v>
      </c>
      <c r="O2251" t="s">
        <v>9526</v>
      </c>
      <c r="P2251" t="s">
        <v>2208</v>
      </c>
      <c r="Q2251" t="s">
        <v>2975</v>
      </c>
      <c r="R2251" t="s">
        <v>3316</v>
      </c>
    </row>
    <row r="2252" spans="1:18">
      <c r="A2252" t="s">
        <v>2600</v>
      </c>
      <c r="B2252" t="s">
        <v>7740</v>
      </c>
      <c r="C2252">
        <v>45719</v>
      </c>
      <c r="D2252" t="s">
        <v>7263</v>
      </c>
      <c r="E2252" t="s">
        <v>2925</v>
      </c>
      <c r="F2252">
        <v>45716</v>
      </c>
      <c r="G2252" t="s">
        <v>2208</v>
      </c>
      <c r="H2252" t="s">
        <v>2974</v>
      </c>
      <c r="I2252" t="s">
        <v>9527</v>
      </c>
      <c r="J2252">
        <v>0</v>
      </c>
      <c r="K2252">
        <v>-2650</v>
      </c>
      <c r="L2252" t="s">
        <v>2917</v>
      </c>
      <c r="M2252">
        <v>-2650</v>
      </c>
      <c r="N2252" t="s">
        <v>2917</v>
      </c>
      <c r="O2252" t="s">
        <v>9528</v>
      </c>
      <c r="P2252" t="s">
        <v>2208</v>
      </c>
      <c r="Q2252" t="s">
        <v>2975</v>
      </c>
      <c r="R2252" t="s">
        <v>3316</v>
      </c>
    </row>
    <row r="2253" spans="1:18">
      <c r="A2253" t="s">
        <v>2600</v>
      </c>
      <c r="B2253" t="s">
        <v>7740</v>
      </c>
      <c r="C2253">
        <v>45719</v>
      </c>
      <c r="D2253" t="s">
        <v>7263</v>
      </c>
      <c r="E2253" t="s">
        <v>2925</v>
      </c>
      <c r="F2253">
        <v>45716</v>
      </c>
      <c r="G2253" t="s">
        <v>2208</v>
      </c>
      <c r="H2253" t="s">
        <v>2974</v>
      </c>
      <c r="I2253" t="s">
        <v>9527</v>
      </c>
      <c r="J2253">
        <v>0</v>
      </c>
      <c r="K2253">
        <v>-720</v>
      </c>
      <c r="L2253" t="s">
        <v>2917</v>
      </c>
      <c r="M2253">
        <v>-720</v>
      </c>
      <c r="N2253" t="s">
        <v>2917</v>
      </c>
      <c r="O2253" t="s">
        <v>9528</v>
      </c>
      <c r="P2253" t="s">
        <v>2208</v>
      </c>
      <c r="Q2253" t="s">
        <v>2975</v>
      </c>
      <c r="R2253" t="s">
        <v>3316</v>
      </c>
    </row>
    <row r="2254" spans="1:18">
      <c r="A2254" t="s">
        <v>2600</v>
      </c>
      <c r="B2254" t="s">
        <v>7740</v>
      </c>
      <c r="C2254">
        <v>45719</v>
      </c>
      <c r="D2254" t="s">
        <v>7263</v>
      </c>
      <c r="E2254" t="s">
        <v>2925</v>
      </c>
      <c r="F2254">
        <v>45716</v>
      </c>
      <c r="G2254" t="s">
        <v>2208</v>
      </c>
      <c r="H2254" t="s">
        <v>2974</v>
      </c>
      <c r="I2254" t="s">
        <v>9527</v>
      </c>
      <c r="J2254">
        <v>0</v>
      </c>
      <c r="K2254">
        <v>-30</v>
      </c>
      <c r="L2254" t="s">
        <v>2917</v>
      </c>
      <c r="M2254">
        <v>-30</v>
      </c>
      <c r="N2254" t="s">
        <v>2917</v>
      </c>
      <c r="O2254" t="s">
        <v>9528</v>
      </c>
      <c r="P2254" t="s">
        <v>2208</v>
      </c>
      <c r="Q2254" t="s">
        <v>2975</v>
      </c>
      <c r="R2254" t="s">
        <v>3316</v>
      </c>
    </row>
    <row r="2255" spans="1:18">
      <c r="A2255" t="s">
        <v>1019</v>
      </c>
      <c r="B2255" t="s">
        <v>11331</v>
      </c>
      <c r="C2255">
        <v>45779</v>
      </c>
      <c r="D2255" t="s">
        <v>7263</v>
      </c>
      <c r="E2255" t="s">
        <v>11332</v>
      </c>
      <c r="F2255">
        <v>45777</v>
      </c>
      <c r="G2255" t="s">
        <v>2208</v>
      </c>
      <c r="H2255" t="s">
        <v>2974</v>
      </c>
      <c r="I2255" t="s">
        <v>16894</v>
      </c>
      <c r="J2255">
        <v>0</v>
      </c>
      <c r="K2255">
        <v>-100</v>
      </c>
      <c r="L2255" t="s">
        <v>2917</v>
      </c>
      <c r="M2255">
        <v>-100</v>
      </c>
      <c r="N2255" t="s">
        <v>2917</v>
      </c>
      <c r="O2255" t="s">
        <v>16895</v>
      </c>
      <c r="P2255" t="s">
        <v>2208</v>
      </c>
      <c r="Q2255" t="s">
        <v>2975</v>
      </c>
      <c r="R2255" t="s">
        <v>3316</v>
      </c>
    </row>
    <row r="2256" spans="1:18">
      <c r="A2256" t="s">
        <v>2725</v>
      </c>
      <c r="B2256" t="s">
        <v>17897</v>
      </c>
      <c r="C2256">
        <v>45838</v>
      </c>
      <c r="D2256" t="s">
        <v>7263</v>
      </c>
      <c r="E2256" t="s">
        <v>17898</v>
      </c>
      <c r="F2256">
        <v>45838</v>
      </c>
      <c r="G2256" t="s">
        <v>2208</v>
      </c>
      <c r="H2256" t="s">
        <v>2974</v>
      </c>
      <c r="I2256" t="s">
        <v>19429</v>
      </c>
      <c r="J2256">
        <v>0</v>
      </c>
      <c r="K2256">
        <v>-116213.36</v>
      </c>
      <c r="L2256" t="s">
        <v>2917</v>
      </c>
      <c r="M2256">
        <v>-116213.36</v>
      </c>
      <c r="N2256" t="s">
        <v>2917</v>
      </c>
      <c r="O2256" t="s">
        <v>19430</v>
      </c>
      <c r="P2256" t="s">
        <v>2208</v>
      </c>
      <c r="Q2256" t="s">
        <v>2975</v>
      </c>
      <c r="R2256" t="s">
        <v>3316</v>
      </c>
    </row>
    <row r="2257" spans="1:18">
      <c r="A2257" t="s">
        <v>2724</v>
      </c>
      <c r="B2257" t="s">
        <v>17897</v>
      </c>
      <c r="C2257">
        <v>45838</v>
      </c>
      <c r="D2257" t="s">
        <v>7263</v>
      </c>
      <c r="E2257" t="s">
        <v>17898</v>
      </c>
      <c r="F2257">
        <v>45838</v>
      </c>
      <c r="G2257" t="s">
        <v>2208</v>
      </c>
      <c r="H2257" t="s">
        <v>2974</v>
      </c>
      <c r="I2257" t="s">
        <v>19431</v>
      </c>
      <c r="J2257">
        <v>0</v>
      </c>
      <c r="K2257">
        <v>-221810.52</v>
      </c>
      <c r="L2257" t="s">
        <v>2917</v>
      </c>
      <c r="M2257">
        <v>-221810.52</v>
      </c>
      <c r="N2257" t="s">
        <v>2917</v>
      </c>
      <c r="O2257" t="s">
        <v>19432</v>
      </c>
      <c r="P2257" t="s">
        <v>2208</v>
      </c>
      <c r="Q2257" t="s">
        <v>2975</v>
      </c>
      <c r="R2257" t="s">
        <v>3316</v>
      </c>
    </row>
    <row r="2258" spans="1:18">
      <c r="A2258" t="s">
        <v>2501</v>
      </c>
      <c r="B2258" t="s">
        <v>17897</v>
      </c>
      <c r="C2258">
        <v>45838</v>
      </c>
      <c r="D2258" t="s">
        <v>7263</v>
      </c>
      <c r="E2258" t="s">
        <v>17898</v>
      </c>
      <c r="F2258">
        <v>45838</v>
      </c>
      <c r="G2258" t="s">
        <v>2208</v>
      </c>
      <c r="H2258" t="s">
        <v>2974</v>
      </c>
      <c r="I2258" t="s">
        <v>19433</v>
      </c>
      <c r="J2258">
        <v>0</v>
      </c>
      <c r="K2258">
        <v>-76573</v>
      </c>
      <c r="L2258" t="s">
        <v>2917</v>
      </c>
      <c r="M2258">
        <v>-76573</v>
      </c>
      <c r="N2258" t="s">
        <v>2917</v>
      </c>
      <c r="O2258" t="s">
        <v>19434</v>
      </c>
      <c r="P2258" t="s">
        <v>2208</v>
      </c>
      <c r="Q2258" t="s">
        <v>2975</v>
      </c>
      <c r="R2258" t="s">
        <v>3316</v>
      </c>
    </row>
    <row r="2259" spans="1:18">
      <c r="A2259" t="s">
        <v>6816</v>
      </c>
      <c r="B2259" t="s">
        <v>17897</v>
      </c>
      <c r="C2259">
        <v>45838</v>
      </c>
      <c r="D2259" t="s">
        <v>7263</v>
      </c>
      <c r="E2259" t="s">
        <v>17898</v>
      </c>
      <c r="F2259">
        <v>45838</v>
      </c>
      <c r="G2259" t="s">
        <v>2208</v>
      </c>
      <c r="H2259" t="s">
        <v>2974</v>
      </c>
      <c r="I2259" t="s">
        <v>19435</v>
      </c>
      <c r="J2259">
        <v>0</v>
      </c>
      <c r="K2259">
        <v>-226095</v>
      </c>
      <c r="L2259" t="s">
        <v>2917</v>
      </c>
      <c r="M2259">
        <v>-226095</v>
      </c>
      <c r="N2259" t="s">
        <v>2917</v>
      </c>
      <c r="O2259" t="s">
        <v>19436</v>
      </c>
      <c r="P2259" t="s">
        <v>2208</v>
      </c>
      <c r="Q2259" t="s">
        <v>2975</v>
      </c>
      <c r="R2259" t="s">
        <v>3316</v>
      </c>
    </row>
    <row r="2260" spans="1:18">
      <c r="A2260" t="s">
        <v>6815</v>
      </c>
      <c r="B2260" t="s">
        <v>17897</v>
      </c>
      <c r="C2260">
        <v>45838</v>
      </c>
      <c r="D2260" t="s">
        <v>7263</v>
      </c>
      <c r="E2260" t="s">
        <v>17898</v>
      </c>
      <c r="F2260">
        <v>45838</v>
      </c>
      <c r="G2260" t="s">
        <v>2208</v>
      </c>
      <c r="H2260" t="s">
        <v>2974</v>
      </c>
      <c r="I2260" t="s">
        <v>19437</v>
      </c>
      <c r="J2260">
        <v>0</v>
      </c>
      <c r="K2260">
        <v>-91300</v>
      </c>
      <c r="L2260" t="s">
        <v>2917</v>
      </c>
      <c r="M2260">
        <v>-91300</v>
      </c>
      <c r="N2260" t="s">
        <v>2917</v>
      </c>
      <c r="O2260" t="s">
        <v>19438</v>
      </c>
      <c r="P2260" t="s">
        <v>2208</v>
      </c>
      <c r="Q2260" t="s">
        <v>2975</v>
      </c>
      <c r="R2260" t="s">
        <v>3316</v>
      </c>
    </row>
    <row r="2261" spans="1:18">
      <c r="A2261" t="s">
        <v>709</v>
      </c>
      <c r="B2261" t="s">
        <v>7740</v>
      </c>
      <c r="C2261">
        <v>45687</v>
      </c>
      <c r="D2261" t="s">
        <v>7263</v>
      </c>
      <c r="E2261" t="s">
        <v>2925</v>
      </c>
      <c r="F2261">
        <v>45706</v>
      </c>
      <c r="G2261" t="s">
        <v>2208</v>
      </c>
      <c r="H2261" t="s">
        <v>8283</v>
      </c>
      <c r="I2261" t="s">
        <v>8742</v>
      </c>
      <c r="J2261">
        <v>0</v>
      </c>
      <c r="K2261">
        <v>2969.68</v>
      </c>
      <c r="L2261" t="s">
        <v>2917</v>
      </c>
      <c r="M2261">
        <v>2969.68</v>
      </c>
      <c r="N2261" t="s">
        <v>2917</v>
      </c>
      <c r="O2261" t="s">
        <v>2208</v>
      </c>
      <c r="P2261" t="s">
        <v>2208</v>
      </c>
      <c r="Q2261" t="s">
        <v>8743</v>
      </c>
      <c r="R2261" t="s">
        <v>8744</v>
      </c>
    </row>
    <row r="2262" spans="1:18">
      <c r="A2262" t="s">
        <v>2724</v>
      </c>
      <c r="B2262" t="s">
        <v>9126</v>
      </c>
      <c r="C2262">
        <v>45741</v>
      </c>
      <c r="D2262" t="s">
        <v>7263</v>
      </c>
      <c r="E2262" t="s">
        <v>9127</v>
      </c>
      <c r="F2262">
        <v>45744</v>
      </c>
      <c r="G2262" t="s">
        <v>2208</v>
      </c>
      <c r="H2262" t="s">
        <v>8283</v>
      </c>
      <c r="I2262" t="s">
        <v>11841</v>
      </c>
      <c r="J2262">
        <v>0</v>
      </c>
      <c r="K2262">
        <v>5896.86</v>
      </c>
      <c r="L2262" t="s">
        <v>2917</v>
      </c>
      <c r="M2262">
        <v>5896.86</v>
      </c>
      <c r="N2262" t="s">
        <v>2917</v>
      </c>
      <c r="O2262" t="s">
        <v>2208</v>
      </c>
      <c r="P2262" t="s">
        <v>2208</v>
      </c>
      <c r="Q2262" t="s">
        <v>8743</v>
      </c>
      <c r="R2262" t="s">
        <v>8744</v>
      </c>
    </row>
    <row r="2263" spans="1:18">
      <c r="A2263" t="s">
        <v>2681</v>
      </c>
      <c r="B2263" t="s">
        <v>17897</v>
      </c>
      <c r="C2263">
        <v>45775</v>
      </c>
      <c r="D2263" t="s">
        <v>7263</v>
      </c>
      <c r="E2263" t="s">
        <v>17898</v>
      </c>
      <c r="F2263">
        <v>45809</v>
      </c>
      <c r="G2263" t="s">
        <v>2208</v>
      </c>
      <c r="H2263" t="s">
        <v>8283</v>
      </c>
      <c r="I2263" t="s">
        <v>17955</v>
      </c>
      <c r="J2263">
        <v>0</v>
      </c>
      <c r="K2263">
        <v>2755.15</v>
      </c>
      <c r="L2263" t="s">
        <v>2917</v>
      </c>
      <c r="M2263">
        <v>2755.15</v>
      </c>
      <c r="N2263" t="s">
        <v>2917</v>
      </c>
      <c r="O2263" t="s">
        <v>2208</v>
      </c>
      <c r="P2263" t="s">
        <v>2208</v>
      </c>
      <c r="Q2263" t="s">
        <v>8743</v>
      </c>
      <c r="R2263" t="s">
        <v>8744</v>
      </c>
    </row>
    <row r="2264" spans="1:18">
      <c r="A2264" t="s">
        <v>709</v>
      </c>
      <c r="B2264" t="s">
        <v>2920</v>
      </c>
      <c r="C2264">
        <v>45609</v>
      </c>
      <c r="D2264" t="s">
        <v>7263</v>
      </c>
      <c r="E2264" t="s">
        <v>2921</v>
      </c>
      <c r="F2264">
        <v>45659</v>
      </c>
      <c r="G2264" t="s">
        <v>3011</v>
      </c>
      <c r="H2264" t="s">
        <v>2978</v>
      </c>
      <c r="I2264" t="s">
        <v>7394</v>
      </c>
      <c r="J2264">
        <v>0</v>
      </c>
      <c r="K2264">
        <v>522.5</v>
      </c>
      <c r="L2264" t="s">
        <v>2917</v>
      </c>
      <c r="M2264">
        <v>522.5</v>
      </c>
      <c r="N2264" t="s">
        <v>2917</v>
      </c>
      <c r="O2264" t="s">
        <v>2208</v>
      </c>
      <c r="P2264" t="s">
        <v>3012</v>
      </c>
      <c r="Q2264" t="s">
        <v>3013</v>
      </c>
      <c r="R2264" t="s">
        <v>3014</v>
      </c>
    </row>
    <row r="2265" spans="1:18">
      <c r="A2265" t="s">
        <v>7030</v>
      </c>
      <c r="B2265" t="s">
        <v>2920</v>
      </c>
      <c r="C2265">
        <v>45639</v>
      </c>
      <c r="D2265" t="s">
        <v>7263</v>
      </c>
      <c r="E2265" t="s">
        <v>2921</v>
      </c>
      <c r="F2265">
        <v>45660</v>
      </c>
      <c r="G2265" t="s">
        <v>7059</v>
      </c>
      <c r="H2265" t="s">
        <v>2978</v>
      </c>
      <c r="I2265" t="s">
        <v>7395</v>
      </c>
      <c r="J2265">
        <v>0</v>
      </c>
      <c r="K2265">
        <v>12138</v>
      </c>
      <c r="L2265" t="s">
        <v>2917</v>
      </c>
      <c r="M2265">
        <v>12138</v>
      </c>
      <c r="N2265" t="s">
        <v>2917</v>
      </c>
      <c r="O2265" t="s">
        <v>2208</v>
      </c>
      <c r="P2265" t="s">
        <v>7039</v>
      </c>
      <c r="Q2265" t="s">
        <v>2980</v>
      </c>
      <c r="R2265" t="s">
        <v>2981</v>
      </c>
    </row>
    <row r="2266" spans="1:18">
      <c r="A2266" t="s">
        <v>7030</v>
      </c>
      <c r="B2266" t="s">
        <v>2920</v>
      </c>
      <c r="C2266">
        <v>45639</v>
      </c>
      <c r="D2266" t="s">
        <v>7263</v>
      </c>
      <c r="E2266" t="s">
        <v>2921</v>
      </c>
      <c r="F2266">
        <v>45660</v>
      </c>
      <c r="G2266" t="s">
        <v>7059</v>
      </c>
      <c r="H2266" t="s">
        <v>2978</v>
      </c>
      <c r="I2266" t="s">
        <v>7395</v>
      </c>
      <c r="J2266">
        <v>0</v>
      </c>
      <c r="K2266">
        <v>1.5</v>
      </c>
      <c r="L2266" t="s">
        <v>2917</v>
      </c>
      <c r="M2266">
        <v>1.5</v>
      </c>
      <c r="N2266" t="s">
        <v>2917</v>
      </c>
      <c r="O2266" t="s">
        <v>2208</v>
      </c>
      <c r="P2266" t="s">
        <v>7040</v>
      </c>
      <c r="Q2266" t="s">
        <v>2980</v>
      </c>
      <c r="R2266" t="s">
        <v>2981</v>
      </c>
    </row>
    <row r="2267" spans="1:18">
      <c r="A2267" t="s">
        <v>2418</v>
      </c>
      <c r="B2267" t="s">
        <v>2920</v>
      </c>
      <c r="C2267">
        <v>45639</v>
      </c>
      <c r="D2267" t="s">
        <v>7263</v>
      </c>
      <c r="E2267" t="s">
        <v>2921</v>
      </c>
      <c r="F2267">
        <v>45660</v>
      </c>
      <c r="G2267" t="s">
        <v>2982</v>
      </c>
      <c r="H2267" t="s">
        <v>2978</v>
      </c>
      <c r="I2267" t="s">
        <v>7396</v>
      </c>
      <c r="J2267">
        <v>0</v>
      </c>
      <c r="K2267">
        <v>9154</v>
      </c>
      <c r="L2267" t="s">
        <v>2917</v>
      </c>
      <c r="M2267">
        <v>9154</v>
      </c>
      <c r="N2267" t="s">
        <v>2917</v>
      </c>
      <c r="O2267" t="s">
        <v>2208</v>
      </c>
      <c r="P2267" t="s">
        <v>2983</v>
      </c>
      <c r="Q2267" t="s">
        <v>2980</v>
      </c>
      <c r="R2267" t="s">
        <v>2981</v>
      </c>
    </row>
    <row r="2268" spans="1:18">
      <c r="A2268" t="s">
        <v>2418</v>
      </c>
      <c r="B2268" t="s">
        <v>2920</v>
      </c>
      <c r="C2268">
        <v>45639</v>
      </c>
      <c r="D2268" t="s">
        <v>7263</v>
      </c>
      <c r="E2268" t="s">
        <v>2921</v>
      </c>
      <c r="F2268">
        <v>45660</v>
      </c>
      <c r="G2268" t="s">
        <v>2982</v>
      </c>
      <c r="H2268" t="s">
        <v>2978</v>
      </c>
      <c r="I2268" t="s">
        <v>7396</v>
      </c>
      <c r="J2268">
        <v>0</v>
      </c>
      <c r="K2268">
        <v>9.6</v>
      </c>
      <c r="L2268" t="s">
        <v>2917</v>
      </c>
      <c r="M2268">
        <v>9.6</v>
      </c>
      <c r="N2268" t="s">
        <v>2917</v>
      </c>
      <c r="O2268" t="s">
        <v>2208</v>
      </c>
      <c r="P2268" t="s">
        <v>2984</v>
      </c>
      <c r="Q2268" t="s">
        <v>2980</v>
      </c>
      <c r="R2268" t="s">
        <v>2981</v>
      </c>
    </row>
    <row r="2269" spans="1:18">
      <c r="A2269" t="s">
        <v>2237</v>
      </c>
      <c r="B2269" t="s">
        <v>2920</v>
      </c>
      <c r="C2269">
        <v>45639</v>
      </c>
      <c r="D2269" t="s">
        <v>7263</v>
      </c>
      <c r="E2269" t="s">
        <v>2921</v>
      </c>
      <c r="F2269">
        <v>45660</v>
      </c>
      <c r="G2269" t="s">
        <v>2977</v>
      </c>
      <c r="H2269" t="s">
        <v>2978</v>
      </c>
      <c r="I2269" t="s">
        <v>7397</v>
      </c>
      <c r="J2269">
        <v>0</v>
      </c>
      <c r="K2269">
        <v>864</v>
      </c>
      <c r="L2269" t="s">
        <v>2917</v>
      </c>
      <c r="M2269">
        <v>864</v>
      </c>
      <c r="N2269" t="s">
        <v>2917</v>
      </c>
      <c r="O2269" t="s">
        <v>2208</v>
      </c>
      <c r="P2269" t="s">
        <v>2979</v>
      </c>
      <c r="Q2269" t="s">
        <v>2980</v>
      </c>
      <c r="R2269" t="s">
        <v>2981</v>
      </c>
    </row>
    <row r="2270" spans="1:18">
      <c r="A2270" t="s">
        <v>2418</v>
      </c>
      <c r="B2270" t="s">
        <v>2920</v>
      </c>
      <c r="C2270">
        <v>45644</v>
      </c>
      <c r="D2270" t="s">
        <v>7263</v>
      </c>
      <c r="E2270" t="s">
        <v>2921</v>
      </c>
      <c r="F2270">
        <v>45660</v>
      </c>
      <c r="G2270" t="s">
        <v>7210</v>
      </c>
      <c r="H2270" t="s">
        <v>2976</v>
      </c>
      <c r="I2270" t="s">
        <v>7398</v>
      </c>
      <c r="J2270">
        <v>0</v>
      </c>
      <c r="K2270">
        <v>-30780</v>
      </c>
      <c r="L2270" t="s">
        <v>2917</v>
      </c>
      <c r="M2270">
        <v>-30780</v>
      </c>
      <c r="N2270" t="s">
        <v>2917</v>
      </c>
      <c r="O2270" t="s">
        <v>2208</v>
      </c>
      <c r="P2270" t="s">
        <v>7144</v>
      </c>
      <c r="Q2270" t="s">
        <v>6819</v>
      </c>
      <c r="R2270" t="s">
        <v>3064</v>
      </c>
    </row>
    <row r="2271" spans="1:18">
      <c r="A2271" t="s">
        <v>2418</v>
      </c>
      <c r="B2271" t="s">
        <v>2920</v>
      </c>
      <c r="C2271">
        <v>45644</v>
      </c>
      <c r="D2271" t="s">
        <v>7263</v>
      </c>
      <c r="E2271" t="s">
        <v>2921</v>
      </c>
      <c r="F2271">
        <v>45660</v>
      </c>
      <c r="G2271" t="s">
        <v>7210</v>
      </c>
      <c r="H2271" t="s">
        <v>2976</v>
      </c>
      <c r="I2271" t="s">
        <v>7399</v>
      </c>
      <c r="J2271">
        <v>0</v>
      </c>
      <c r="K2271">
        <v>30780</v>
      </c>
      <c r="L2271" t="s">
        <v>2917</v>
      </c>
      <c r="M2271">
        <v>30780</v>
      </c>
      <c r="N2271" t="s">
        <v>2917</v>
      </c>
      <c r="O2271" t="s">
        <v>2208</v>
      </c>
      <c r="P2271" t="s">
        <v>7144</v>
      </c>
      <c r="Q2271" t="s">
        <v>6819</v>
      </c>
      <c r="R2271" t="s">
        <v>3064</v>
      </c>
    </row>
    <row r="2272" spans="1:18">
      <c r="A2272" t="s">
        <v>2418</v>
      </c>
      <c r="B2272" t="s">
        <v>2920</v>
      </c>
      <c r="C2272">
        <v>45639</v>
      </c>
      <c r="D2272" t="s">
        <v>7263</v>
      </c>
      <c r="E2272" t="s">
        <v>2921</v>
      </c>
      <c r="F2272">
        <v>45665</v>
      </c>
      <c r="G2272" t="s">
        <v>3002</v>
      </c>
      <c r="H2272" t="s">
        <v>2978</v>
      </c>
      <c r="I2272" t="s">
        <v>7400</v>
      </c>
      <c r="J2272">
        <v>0</v>
      </c>
      <c r="K2272">
        <v>2248</v>
      </c>
      <c r="L2272" t="s">
        <v>2917</v>
      </c>
      <c r="M2272">
        <v>2248</v>
      </c>
      <c r="N2272" t="s">
        <v>2917</v>
      </c>
      <c r="O2272" t="s">
        <v>2208</v>
      </c>
      <c r="P2272" t="s">
        <v>3003</v>
      </c>
      <c r="Q2272" t="s">
        <v>2980</v>
      </c>
      <c r="R2272" t="s">
        <v>2981</v>
      </c>
    </row>
    <row r="2273" spans="1:18">
      <c r="A2273" t="s">
        <v>2418</v>
      </c>
      <c r="B2273" t="s">
        <v>2920</v>
      </c>
      <c r="C2273">
        <v>45639</v>
      </c>
      <c r="D2273" t="s">
        <v>7263</v>
      </c>
      <c r="E2273" t="s">
        <v>2921</v>
      </c>
      <c r="F2273">
        <v>45665</v>
      </c>
      <c r="G2273" t="s">
        <v>3002</v>
      </c>
      <c r="H2273" t="s">
        <v>2978</v>
      </c>
      <c r="I2273" t="s">
        <v>7400</v>
      </c>
      <c r="J2273">
        <v>0</v>
      </c>
      <c r="K2273">
        <v>36.75</v>
      </c>
      <c r="L2273" t="s">
        <v>2917</v>
      </c>
      <c r="M2273">
        <v>36.75</v>
      </c>
      <c r="N2273" t="s">
        <v>2917</v>
      </c>
      <c r="O2273" t="s">
        <v>2208</v>
      </c>
      <c r="P2273" t="s">
        <v>3004</v>
      </c>
      <c r="Q2273" t="s">
        <v>2980</v>
      </c>
      <c r="R2273" t="s">
        <v>2981</v>
      </c>
    </row>
    <row r="2274" spans="1:18">
      <c r="A2274" t="s">
        <v>7030</v>
      </c>
      <c r="B2274" t="s">
        <v>2920</v>
      </c>
      <c r="C2274">
        <v>45639</v>
      </c>
      <c r="D2274" t="s">
        <v>7263</v>
      </c>
      <c r="E2274" t="s">
        <v>2921</v>
      </c>
      <c r="F2274">
        <v>45666</v>
      </c>
      <c r="G2274" t="s">
        <v>7133</v>
      </c>
      <c r="H2274" t="s">
        <v>2978</v>
      </c>
      <c r="I2274" t="s">
        <v>7401</v>
      </c>
      <c r="J2274">
        <v>0</v>
      </c>
      <c r="K2274">
        <v>3487</v>
      </c>
      <c r="L2274" t="s">
        <v>2917</v>
      </c>
      <c r="M2274">
        <v>3487</v>
      </c>
      <c r="N2274" t="s">
        <v>2917</v>
      </c>
      <c r="O2274" t="s">
        <v>2208</v>
      </c>
      <c r="P2274" t="s">
        <v>3010</v>
      </c>
      <c r="Q2274" t="s">
        <v>2980</v>
      </c>
      <c r="R2274" t="s">
        <v>2981</v>
      </c>
    </row>
    <row r="2275" spans="1:18">
      <c r="A2275" t="s">
        <v>7030</v>
      </c>
      <c r="B2275" t="s">
        <v>2920</v>
      </c>
      <c r="C2275">
        <v>45639</v>
      </c>
      <c r="D2275" t="s">
        <v>7263</v>
      </c>
      <c r="E2275" t="s">
        <v>2921</v>
      </c>
      <c r="F2275">
        <v>45666</v>
      </c>
      <c r="G2275" t="s">
        <v>7133</v>
      </c>
      <c r="H2275" t="s">
        <v>2978</v>
      </c>
      <c r="I2275" t="s">
        <v>7401</v>
      </c>
      <c r="J2275">
        <v>0</v>
      </c>
      <c r="K2275">
        <v>1.6</v>
      </c>
      <c r="L2275" t="s">
        <v>2917</v>
      </c>
      <c r="M2275">
        <v>1.6</v>
      </c>
      <c r="N2275" t="s">
        <v>2917</v>
      </c>
      <c r="O2275" t="s">
        <v>2208</v>
      </c>
      <c r="P2275" t="s">
        <v>7134</v>
      </c>
      <c r="Q2275" t="s">
        <v>2980</v>
      </c>
      <c r="R2275" t="s">
        <v>2981</v>
      </c>
    </row>
    <row r="2276" spans="1:18">
      <c r="A2276" t="s">
        <v>810</v>
      </c>
      <c r="B2276" t="s">
        <v>2920</v>
      </c>
      <c r="C2276">
        <v>45552</v>
      </c>
      <c r="D2276" t="s">
        <v>7263</v>
      </c>
      <c r="E2276" t="s">
        <v>2921</v>
      </c>
      <c r="F2276">
        <v>45666</v>
      </c>
      <c r="G2276" t="s">
        <v>3157</v>
      </c>
      <c r="H2276" t="s">
        <v>2976</v>
      </c>
      <c r="I2276" t="s">
        <v>7402</v>
      </c>
      <c r="J2276">
        <v>0</v>
      </c>
      <c r="K2276">
        <v>55200</v>
      </c>
      <c r="L2276" t="s">
        <v>2917</v>
      </c>
      <c r="M2276">
        <v>55200</v>
      </c>
      <c r="N2276" t="s">
        <v>2917</v>
      </c>
      <c r="O2276" t="s">
        <v>2208</v>
      </c>
      <c r="P2276" t="s">
        <v>3158</v>
      </c>
      <c r="Q2276" t="s">
        <v>6879</v>
      </c>
      <c r="R2276" t="s">
        <v>3092</v>
      </c>
    </row>
    <row r="2277" spans="1:18">
      <c r="A2277" t="s">
        <v>810</v>
      </c>
      <c r="B2277" t="s">
        <v>2920</v>
      </c>
      <c r="C2277">
        <v>45552</v>
      </c>
      <c r="D2277" t="s">
        <v>7263</v>
      </c>
      <c r="E2277" t="s">
        <v>2921</v>
      </c>
      <c r="F2277">
        <v>45666</v>
      </c>
      <c r="G2277" t="s">
        <v>3157</v>
      </c>
      <c r="H2277" t="s">
        <v>2976</v>
      </c>
      <c r="I2277" t="s">
        <v>7402</v>
      </c>
      <c r="J2277">
        <v>0</v>
      </c>
      <c r="K2277">
        <v>425</v>
      </c>
      <c r="L2277" t="s">
        <v>2917</v>
      </c>
      <c r="M2277">
        <v>425</v>
      </c>
      <c r="N2277" t="s">
        <v>2917</v>
      </c>
      <c r="O2277" t="s">
        <v>2208</v>
      </c>
      <c r="P2277" t="s">
        <v>3159</v>
      </c>
      <c r="Q2277" t="s">
        <v>6879</v>
      </c>
      <c r="R2277" t="s">
        <v>3092</v>
      </c>
    </row>
    <row r="2278" spans="1:18">
      <c r="A2278" t="s">
        <v>810</v>
      </c>
      <c r="B2278" t="s">
        <v>2920</v>
      </c>
      <c r="C2278">
        <v>45552</v>
      </c>
      <c r="D2278" t="s">
        <v>7263</v>
      </c>
      <c r="E2278" t="s">
        <v>2921</v>
      </c>
      <c r="F2278">
        <v>45666</v>
      </c>
      <c r="G2278" t="s">
        <v>3157</v>
      </c>
      <c r="H2278" t="s">
        <v>2976</v>
      </c>
      <c r="I2278" t="s">
        <v>7402</v>
      </c>
      <c r="J2278">
        <v>0</v>
      </c>
      <c r="K2278">
        <v>191</v>
      </c>
      <c r="L2278" t="s">
        <v>2917</v>
      </c>
      <c r="M2278">
        <v>191</v>
      </c>
      <c r="N2278" t="s">
        <v>2917</v>
      </c>
      <c r="O2278" t="s">
        <v>2208</v>
      </c>
      <c r="P2278" t="s">
        <v>3160</v>
      </c>
      <c r="Q2278" t="s">
        <v>6879</v>
      </c>
      <c r="R2278" t="s">
        <v>3092</v>
      </c>
    </row>
    <row r="2279" spans="1:18">
      <c r="A2279" t="s">
        <v>810</v>
      </c>
      <c r="B2279" t="s">
        <v>2920</v>
      </c>
      <c r="C2279">
        <v>45552</v>
      </c>
      <c r="D2279" t="s">
        <v>7263</v>
      </c>
      <c r="E2279" t="s">
        <v>2921</v>
      </c>
      <c r="F2279">
        <v>45666</v>
      </c>
      <c r="G2279" t="s">
        <v>3157</v>
      </c>
      <c r="H2279" t="s">
        <v>2976</v>
      </c>
      <c r="I2279" t="s">
        <v>7402</v>
      </c>
      <c r="J2279">
        <v>0</v>
      </c>
      <c r="K2279">
        <v>2129.5</v>
      </c>
      <c r="L2279" t="s">
        <v>2917</v>
      </c>
      <c r="M2279">
        <v>2129.5</v>
      </c>
      <c r="N2279" t="s">
        <v>2917</v>
      </c>
      <c r="O2279" t="s">
        <v>2208</v>
      </c>
      <c r="P2279" t="s">
        <v>3325</v>
      </c>
      <c r="Q2279" t="s">
        <v>6879</v>
      </c>
      <c r="R2279" t="s">
        <v>3092</v>
      </c>
    </row>
    <row r="2280" spans="1:18">
      <c r="A2280" t="s">
        <v>810</v>
      </c>
      <c r="B2280" t="s">
        <v>2920</v>
      </c>
      <c r="C2280">
        <v>45552</v>
      </c>
      <c r="D2280" t="s">
        <v>7263</v>
      </c>
      <c r="E2280" t="s">
        <v>2921</v>
      </c>
      <c r="F2280">
        <v>45666</v>
      </c>
      <c r="G2280" t="s">
        <v>3157</v>
      </c>
      <c r="H2280" t="s">
        <v>2976</v>
      </c>
      <c r="I2280" t="s">
        <v>7402</v>
      </c>
      <c r="J2280">
        <v>0</v>
      </c>
      <c r="K2280">
        <v>882.15</v>
      </c>
      <c r="L2280" t="s">
        <v>2917</v>
      </c>
      <c r="M2280">
        <v>882.15</v>
      </c>
      <c r="N2280" t="s">
        <v>2917</v>
      </c>
      <c r="O2280" t="s">
        <v>2208</v>
      </c>
      <c r="P2280" t="s">
        <v>3161</v>
      </c>
      <c r="Q2280" t="s">
        <v>6879</v>
      </c>
      <c r="R2280" t="s">
        <v>3092</v>
      </c>
    </row>
    <row r="2281" spans="1:18">
      <c r="A2281" t="s">
        <v>810</v>
      </c>
      <c r="B2281" t="s">
        <v>2920</v>
      </c>
      <c r="C2281">
        <v>45552</v>
      </c>
      <c r="D2281" t="s">
        <v>7263</v>
      </c>
      <c r="E2281" t="s">
        <v>2921</v>
      </c>
      <c r="F2281">
        <v>45666</v>
      </c>
      <c r="G2281" t="s">
        <v>3157</v>
      </c>
      <c r="H2281" t="s">
        <v>2976</v>
      </c>
      <c r="I2281" t="s">
        <v>7402</v>
      </c>
      <c r="J2281">
        <v>0</v>
      </c>
      <c r="K2281">
        <v>1170.1300000000001</v>
      </c>
      <c r="L2281" t="s">
        <v>2917</v>
      </c>
      <c r="M2281">
        <v>1170.1300000000001</v>
      </c>
      <c r="N2281" t="s">
        <v>2917</v>
      </c>
      <c r="O2281" t="s">
        <v>2208</v>
      </c>
      <c r="P2281" t="s">
        <v>3162</v>
      </c>
      <c r="Q2281" t="s">
        <v>6879</v>
      </c>
      <c r="R2281" t="s">
        <v>3092</v>
      </c>
    </row>
    <row r="2282" spans="1:18">
      <c r="A2282" t="s">
        <v>810</v>
      </c>
      <c r="B2282" t="s">
        <v>2920</v>
      </c>
      <c r="C2282">
        <v>45552</v>
      </c>
      <c r="D2282" t="s">
        <v>7263</v>
      </c>
      <c r="E2282" t="s">
        <v>2921</v>
      </c>
      <c r="F2282">
        <v>45666</v>
      </c>
      <c r="G2282" t="s">
        <v>3157</v>
      </c>
      <c r="H2282" t="s">
        <v>2976</v>
      </c>
      <c r="I2282" t="s">
        <v>7402</v>
      </c>
      <c r="J2282">
        <v>0</v>
      </c>
      <c r="K2282">
        <v>494.46</v>
      </c>
      <c r="L2282" t="s">
        <v>2917</v>
      </c>
      <c r="M2282">
        <v>494.46</v>
      </c>
      <c r="N2282" t="s">
        <v>2917</v>
      </c>
      <c r="O2282" t="s">
        <v>2208</v>
      </c>
      <c r="P2282" t="s">
        <v>3163</v>
      </c>
      <c r="Q2282" t="s">
        <v>6879</v>
      </c>
      <c r="R2282" t="s">
        <v>3092</v>
      </c>
    </row>
    <row r="2283" spans="1:18">
      <c r="A2283" t="s">
        <v>810</v>
      </c>
      <c r="B2283" t="s">
        <v>2920</v>
      </c>
      <c r="C2283">
        <v>45552</v>
      </c>
      <c r="D2283" t="s">
        <v>7263</v>
      </c>
      <c r="E2283" t="s">
        <v>2921</v>
      </c>
      <c r="F2283">
        <v>45666</v>
      </c>
      <c r="G2283" t="s">
        <v>3157</v>
      </c>
      <c r="H2283" t="s">
        <v>2976</v>
      </c>
      <c r="I2283" t="s">
        <v>7402</v>
      </c>
      <c r="J2283">
        <v>0</v>
      </c>
      <c r="K2283">
        <v>38.39</v>
      </c>
      <c r="L2283" t="s">
        <v>2917</v>
      </c>
      <c r="M2283">
        <v>38.39</v>
      </c>
      <c r="N2283" t="s">
        <v>2917</v>
      </c>
      <c r="O2283" t="s">
        <v>2208</v>
      </c>
      <c r="P2283" t="s">
        <v>3164</v>
      </c>
      <c r="Q2283" t="s">
        <v>6879</v>
      </c>
      <c r="R2283" t="s">
        <v>3092</v>
      </c>
    </row>
    <row r="2284" spans="1:18">
      <c r="A2284" t="s">
        <v>810</v>
      </c>
      <c r="B2284" t="s">
        <v>2920</v>
      </c>
      <c r="C2284">
        <v>45552</v>
      </c>
      <c r="D2284" t="s">
        <v>7263</v>
      </c>
      <c r="E2284" t="s">
        <v>2921</v>
      </c>
      <c r="F2284">
        <v>45666</v>
      </c>
      <c r="G2284" t="s">
        <v>3157</v>
      </c>
      <c r="H2284" t="s">
        <v>2976</v>
      </c>
      <c r="I2284" t="s">
        <v>7402</v>
      </c>
      <c r="J2284">
        <v>0</v>
      </c>
      <c r="K2284">
        <v>500</v>
      </c>
      <c r="L2284" t="s">
        <v>2917</v>
      </c>
      <c r="M2284">
        <v>500</v>
      </c>
      <c r="N2284" t="s">
        <v>2917</v>
      </c>
      <c r="O2284" t="s">
        <v>2208</v>
      </c>
      <c r="P2284" t="s">
        <v>3165</v>
      </c>
      <c r="Q2284" t="s">
        <v>6879</v>
      </c>
      <c r="R2284" t="s">
        <v>3092</v>
      </c>
    </row>
    <row r="2285" spans="1:18">
      <c r="A2285" t="s">
        <v>810</v>
      </c>
      <c r="B2285" t="s">
        <v>2920</v>
      </c>
      <c r="C2285">
        <v>45552</v>
      </c>
      <c r="D2285" t="s">
        <v>7263</v>
      </c>
      <c r="E2285" t="s">
        <v>2921</v>
      </c>
      <c r="F2285">
        <v>45666</v>
      </c>
      <c r="G2285" t="s">
        <v>3157</v>
      </c>
      <c r="H2285" t="s">
        <v>2976</v>
      </c>
      <c r="I2285" t="s">
        <v>7402</v>
      </c>
      <c r="J2285">
        <v>0</v>
      </c>
      <c r="K2285">
        <v>200</v>
      </c>
      <c r="L2285" t="s">
        <v>2917</v>
      </c>
      <c r="M2285">
        <v>200</v>
      </c>
      <c r="N2285" t="s">
        <v>2917</v>
      </c>
      <c r="O2285" t="s">
        <v>2208</v>
      </c>
      <c r="P2285" t="s">
        <v>3166</v>
      </c>
      <c r="Q2285" t="s">
        <v>6879</v>
      </c>
      <c r="R2285" t="s">
        <v>3092</v>
      </c>
    </row>
    <row r="2286" spans="1:18">
      <c r="A2286" t="s">
        <v>810</v>
      </c>
      <c r="B2286" t="s">
        <v>2920</v>
      </c>
      <c r="C2286">
        <v>45552</v>
      </c>
      <c r="D2286" t="s">
        <v>7263</v>
      </c>
      <c r="E2286" t="s">
        <v>2921</v>
      </c>
      <c r="F2286">
        <v>45666</v>
      </c>
      <c r="G2286" t="s">
        <v>3157</v>
      </c>
      <c r="H2286" t="s">
        <v>2976</v>
      </c>
      <c r="I2286" t="s">
        <v>7402</v>
      </c>
      <c r="J2286">
        <v>0</v>
      </c>
      <c r="K2286">
        <v>618.5</v>
      </c>
      <c r="L2286" t="s">
        <v>2917</v>
      </c>
      <c r="M2286">
        <v>618.5</v>
      </c>
      <c r="N2286" t="s">
        <v>2917</v>
      </c>
      <c r="O2286" t="s">
        <v>2208</v>
      </c>
      <c r="P2286" t="s">
        <v>3167</v>
      </c>
      <c r="Q2286" t="s">
        <v>6879</v>
      </c>
      <c r="R2286" t="s">
        <v>3092</v>
      </c>
    </row>
    <row r="2287" spans="1:18">
      <c r="A2287" t="s">
        <v>2418</v>
      </c>
      <c r="B2287" t="s">
        <v>2920</v>
      </c>
      <c r="C2287">
        <v>45657</v>
      </c>
      <c r="D2287" t="s">
        <v>7263</v>
      </c>
      <c r="E2287" t="s">
        <v>2921</v>
      </c>
      <c r="F2287">
        <v>45667</v>
      </c>
      <c r="G2287" t="s">
        <v>3042</v>
      </c>
      <c r="H2287" t="s">
        <v>2978</v>
      </c>
      <c r="I2287" t="s">
        <v>7403</v>
      </c>
      <c r="J2287">
        <v>0</v>
      </c>
      <c r="K2287">
        <v>1715</v>
      </c>
      <c r="L2287" t="s">
        <v>2917</v>
      </c>
      <c r="M2287">
        <v>1715</v>
      </c>
      <c r="N2287" t="s">
        <v>2917</v>
      </c>
      <c r="O2287" t="s">
        <v>2208</v>
      </c>
      <c r="P2287" t="s">
        <v>3045</v>
      </c>
      <c r="Q2287" t="s">
        <v>3044</v>
      </c>
      <c r="R2287" t="s">
        <v>3321</v>
      </c>
    </row>
    <row r="2288" spans="1:18">
      <c r="A2288" t="s">
        <v>1095</v>
      </c>
      <c r="B2288" t="s">
        <v>2920</v>
      </c>
      <c r="C2288">
        <v>45665</v>
      </c>
      <c r="D2288" t="s">
        <v>7263</v>
      </c>
      <c r="E2288" t="s">
        <v>2921</v>
      </c>
      <c r="F2288">
        <v>45670</v>
      </c>
      <c r="G2288" t="s">
        <v>3056</v>
      </c>
      <c r="H2288" t="s">
        <v>3039</v>
      </c>
      <c r="I2288" t="s">
        <v>7404</v>
      </c>
      <c r="J2288">
        <v>0</v>
      </c>
      <c r="K2288">
        <v>324</v>
      </c>
      <c r="L2288" t="s">
        <v>2917</v>
      </c>
      <c r="M2288">
        <v>324</v>
      </c>
      <c r="N2288" t="s">
        <v>2917</v>
      </c>
      <c r="O2288" t="s">
        <v>2208</v>
      </c>
      <c r="P2288" t="s">
        <v>3057</v>
      </c>
      <c r="Q2288" t="s">
        <v>3040</v>
      </c>
      <c r="R2288" t="s">
        <v>3041</v>
      </c>
    </row>
    <row r="2289" spans="1:18">
      <c r="A2289" t="s">
        <v>2501</v>
      </c>
      <c r="B2289" t="s">
        <v>2920</v>
      </c>
      <c r="C2289">
        <v>45622</v>
      </c>
      <c r="D2289" t="s">
        <v>7263</v>
      </c>
      <c r="E2289" t="s">
        <v>2921</v>
      </c>
      <c r="F2289">
        <v>45670</v>
      </c>
      <c r="G2289" t="s">
        <v>3216</v>
      </c>
      <c r="H2289" t="s">
        <v>2976</v>
      </c>
      <c r="I2289" t="s">
        <v>7405</v>
      </c>
      <c r="J2289">
        <v>0</v>
      </c>
      <c r="K2289">
        <v>22971.9</v>
      </c>
      <c r="L2289" t="s">
        <v>2917</v>
      </c>
      <c r="M2289">
        <v>22971.9</v>
      </c>
      <c r="N2289" t="s">
        <v>2917</v>
      </c>
      <c r="O2289" t="s">
        <v>2208</v>
      </c>
      <c r="P2289" t="s">
        <v>3210</v>
      </c>
      <c r="Q2289" t="s">
        <v>3015</v>
      </c>
      <c r="R2289" t="s">
        <v>3016</v>
      </c>
    </row>
    <row r="2290" spans="1:18">
      <c r="A2290" t="s">
        <v>2501</v>
      </c>
      <c r="B2290" t="s">
        <v>2920</v>
      </c>
      <c r="C2290">
        <v>45665</v>
      </c>
      <c r="D2290" t="s">
        <v>7263</v>
      </c>
      <c r="E2290" t="s">
        <v>2921</v>
      </c>
      <c r="F2290">
        <v>45670</v>
      </c>
      <c r="G2290" t="s">
        <v>3051</v>
      </c>
      <c r="H2290" t="s">
        <v>3039</v>
      </c>
      <c r="I2290" t="s">
        <v>7406</v>
      </c>
      <c r="J2290">
        <v>0</v>
      </c>
      <c r="K2290">
        <v>216</v>
      </c>
      <c r="L2290" t="s">
        <v>2917</v>
      </c>
      <c r="M2290">
        <v>216</v>
      </c>
      <c r="N2290" t="s">
        <v>2917</v>
      </c>
      <c r="O2290" t="s">
        <v>2208</v>
      </c>
      <c r="P2290" t="s">
        <v>3052</v>
      </c>
      <c r="Q2290" t="s">
        <v>3040</v>
      </c>
      <c r="R2290" t="s">
        <v>3041</v>
      </c>
    </row>
    <row r="2291" spans="1:18">
      <c r="A2291" t="s">
        <v>7030</v>
      </c>
      <c r="B2291" t="s">
        <v>2920</v>
      </c>
      <c r="C2291">
        <v>45657</v>
      </c>
      <c r="D2291" t="s">
        <v>7263</v>
      </c>
      <c r="E2291" t="s">
        <v>2921</v>
      </c>
      <c r="F2291">
        <v>45671</v>
      </c>
      <c r="G2291" t="s">
        <v>7138</v>
      </c>
      <c r="H2291" t="s">
        <v>2978</v>
      </c>
      <c r="I2291" t="s">
        <v>7407</v>
      </c>
      <c r="J2291">
        <v>0</v>
      </c>
      <c r="K2291">
        <v>1372</v>
      </c>
      <c r="L2291" t="s">
        <v>2917</v>
      </c>
      <c r="M2291">
        <v>1372</v>
      </c>
      <c r="N2291" t="s">
        <v>2917</v>
      </c>
      <c r="O2291" t="s">
        <v>2208</v>
      </c>
      <c r="P2291" t="s">
        <v>3043</v>
      </c>
      <c r="Q2291" t="s">
        <v>3044</v>
      </c>
      <c r="R2291" t="s">
        <v>3321</v>
      </c>
    </row>
    <row r="2292" spans="1:18">
      <c r="A2292" t="s">
        <v>7030</v>
      </c>
      <c r="B2292" t="s">
        <v>2920</v>
      </c>
      <c r="C2292">
        <v>45657</v>
      </c>
      <c r="D2292" t="s">
        <v>7263</v>
      </c>
      <c r="E2292" t="s">
        <v>2921</v>
      </c>
      <c r="F2292">
        <v>45671</v>
      </c>
      <c r="G2292" t="s">
        <v>7138</v>
      </c>
      <c r="H2292" t="s">
        <v>2978</v>
      </c>
      <c r="I2292" t="s">
        <v>7407</v>
      </c>
      <c r="J2292">
        <v>0</v>
      </c>
      <c r="K2292">
        <v>147</v>
      </c>
      <c r="L2292" t="s">
        <v>2917</v>
      </c>
      <c r="M2292">
        <v>147</v>
      </c>
      <c r="N2292" t="s">
        <v>2917</v>
      </c>
      <c r="O2292" t="s">
        <v>2208</v>
      </c>
      <c r="P2292" t="s">
        <v>7139</v>
      </c>
      <c r="Q2292" t="s">
        <v>3044</v>
      </c>
      <c r="R2292" t="s">
        <v>3321</v>
      </c>
    </row>
    <row r="2293" spans="1:18">
      <c r="A2293" t="s">
        <v>2501</v>
      </c>
      <c r="B2293" t="s">
        <v>2920</v>
      </c>
      <c r="C2293">
        <v>45622</v>
      </c>
      <c r="D2293" t="s">
        <v>7263</v>
      </c>
      <c r="E2293" t="s">
        <v>2921</v>
      </c>
      <c r="F2293">
        <v>45672</v>
      </c>
      <c r="G2293" t="s">
        <v>3216</v>
      </c>
      <c r="H2293" t="s">
        <v>2976</v>
      </c>
      <c r="I2293" t="s">
        <v>7408</v>
      </c>
      <c r="J2293">
        <v>0</v>
      </c>
      <c r="K2293">
        <v>15314.6</v>
      </c>
      <c r="L2293" t="s">
        <v>2917</v>
      </c>
      <c r="M2293">
        <v>15314.6</v>
      </c>
      <c r="N2293" t="s">
        <v>2917</v>
      </c>
      <c r="O2293" t="s">
        <v>2208</v>
      </c>
      <c r="P2293" t="s">
        <v>3210</v>
      </c>
      <c r="Q2293" t="s">
        <v>3015</v>
      </c>
      <c r="R2293" t="s">
        <v>3016</v>
      </c>
    </row>
    <row r="2294" spans="1:18">
      <c r="A2294" t="s">
        <v>709</v>
      </c>
      <c r="B2294" t="s">
        <v>2920</v>
      </c>
      <c r="C2294">
        <v>45663</v>
      </c>
      <c r="D2294" t="s">
        <v>7263</v>
      </c>
      <c r="E2294" t="s">
        <v>2921</v>
      </c>
      <c r="F2294">
        <v>45672</v>
      </c>
      <c r="G2294" t="s">
        <v>2988</v>
      </c>
      <c r="H2294" t="s">
        <v>2978</v>
      </c>
      <c r="I2294" t="s">
        <v>7409</v>
      </c>
      <c r="J2294">
        <v>0</v>
      </c>
      <c r="K2294">
        <v>23963.25</v>
      </c>
      <c r="L2294" t="s">
        <v>2917</v>
      </c>
      <c r="M2294">
        <v>23963.25</v>
      </c>
      <c r="N2294" t="s">
        <v>2917</v>
      </c>
      <c r="O2294" t="s">
        <v>2208</v>
      </c>
      <c r="P2294" t="s">
        <v>3103</v>
      </c>
      <c r="Q2294" t="s">
        <v>2990</v>
      </c>
      <c r="R2294" t="s">
        <v>3318</v>
      </c>
    </row>
    <row r="2295" spans="1:18">
      <c r="A2295" t="s">
        <v>6816</v>
      </c>
      <c r="B2295" t="s">
        <v>2920</v>
      </c>
      <c r="C2295">
        <v>45656</v>
      </c>
      <c r="D2295" t="s">
        <v>7263</v>
      </c>
      <c r="E2295" t="s">
        <v>2921</v>
      </c>
      <c r="F2295">
        <v>45672</v>
      </c>
      <c r="G2295" t="s">
        <v>7410</v>
      </c>
      <c r="H2295" t="s">
        <v>2976</v>
      </c>
      <c r="I2295" t="s">
        <v>7411</v>
      </c>
      <c r="J2295">
        <v>0</v>
      </c>
      <c r="K2295">
        <v>226095</v>
      </c>
      <c r="L2295" t="s">
        <v>2917</v>
      </c>
      <c r="M2295">
        <v>226095</v>
      </c>
      <c r="N2295" t="s">
        <v>2917</v>
      </c>
      <c r="O2295" t="s">
        <v>2208</v>
      </c>
      <c r="P2295" t="s">
        <v>7412</v>
      </c>
      <c r="Q2295" t="s">
        <v>7413</v>
      </c>
      <c r="R2295" t="s">
        <v>7414</v>
      </c>
    </row>
    <row r="2296" spans="1:18">
      <c r="A2296" t="s">
        <v>2501</v>
      </c>
      <c r="B2296" t="s">
        <v>2920</v>
      </c>
      <c r="C2296">
        <v>45560</v>
      </c>
      <c r="D2296" t="s">
        <v>7263</v>
      </c>
      <c r="E2296" t="s">
        <v>2921</v>
      </c>
      <c r="F2296">
        <v>45677</v>
      </c>
      <c r="G2296" t="s">
        <v>3058</v>
      </c>
      <c r="H2296" t="s">
        <v>2976</v>
      </c>
      <c r="I2296" t="s">
        <v>7415</v>
      </c>
      <c r="J2296">
        <v>0</v>
      </c>
      <c r="K2296">
        <v>3945.3</v>
      </c>
      <c r="L2296" t="s">
        <v>2917</v>
      </c>
      <c r="M2296">
        <v>3945.3</v>
      </c>
      <c r="N2296" t="s">
        <v>2917</v>
      </c>
      <c r="O2296" t="s">
        <v>2208</v>
      </c>
      <c r="P2296" t="s">
        <v>3060</v>
      </c>
      <c r="Q2296" t="s">
        <v>3059</v>
      </c>
      <c r="R2296" t="s">
        <v>3324</v>
      </c>
    </row>
    <row r="2297" spans="1:18">
      <c r="A2297" t="s">
        <v>2418</v>
      </c>
      <c r="B2297" t="s">
        <v>2920</v>
      </c>
      <c r="C2297">
        <v>45672</v>
      </c>
      <c r="D2297" t="s">
        <v>7263</v>
      </c>
      <c r="E2297" t="s">
        <v>2921</v>
      </c>
      <c r="F2297">
        <v>45677</v>
      </c>
      <c r="G2297" t="s">
        <v>2982</v>
      </c>
      <c r="H2297" t="s">
        <v>2978</v>
      </c>
      <c r="I2297" t="s">
        <v>7416</v>
      </c>
      <c r="J2297">
        <v>0</v>
      </c>
      <c r="K2297">
        <v>6060</v>
      </c>
      <c r="L2297" t="s">
        <v>2917</v>
      </c>
      <c r="M2297">
        <v>6060</v>
      </c>
      <c r="N2297" t="s">
        <v>2917</v>
      </c>
      <c r="O2297" t="s">
        <v>2208</v>
      </c>
      <c r="P2297" t="s">
        <v>2983</v>
      </c>
      <c r="Q2297" t="s">
        <v>2980</v>
      </c>
      <c r="R2297" t="s">
        <v>2981</v>
      </c>
    </row>
    <row r="2298" spans="1:18">
      <c r="A2298" t="s">
        <v>7030</v>
      </c>
      <c r="B2298" t="s">
        <v>2920</v>
      </c>
      <c r="C2298">
        <v>45672</v>
      </c>
      <c r="D2298" t="s">
        <v>7263</v>
      </c>
      <c r="E2298" t="s">
        <v>2921</v>
      </c>
      <c r="F2298">
        <v>45677</v>
      </c>
      <c r="G2298" t="s">
        <v>7059</v>
      </c>
      <c r="H2298" t="s">
        <v>2978</v>
      </c>
      <c r="I2298" t="s">
        <v>7417</v>
      </c>
      <c r="J2298">
        <v>0</v>
      </c>
      <c r="K2298">
        <v>32499</v>
      </c>
      <c r="L2298" t="s">
        <v>2917</v>
      </c>
      <c r="M2298">
        <v>32499</v>
      </c>
      <c r="N2298" t="s">
        <v>2917</v>
      </c>
      <c r="O2298" t="s">
        <v>2208</v>
      </c>
      <c r="P2298" t="s">
        <v>7039</v>
      </c>
      <c r="Q2298" t="s">
        <v>2980</v>
      </c>
      <c r="R2298" t="s">
        <v>2981</v>
      </c>
    </row>
    <row r="2299" spans="1:18">
      <c r="A2299" t="s">
        <v>7030</v>
      </c>
      <c r="B2299" t="s">
        <v>2920</v>
      </c>
      <c r="C2299">
        <v>45672</v>
      </c>
      <c r="D2299" t="s">
        <v>7263</v>
      </c>
      <c r="E2299" t="s">
        <v>2921</v>
      </c>
      <c r="F2299">
        <v>45677</v>
      </c>
      <c r="G2299" t="s">
        <v>7059</v>
      </c>
      <c r="H2299" t="s">
        <v>2978</v>
      </c>
      <c r="I2299" t="s">
        <v>7417</v>
      </c>
      <c r="J2299">
        <v>0</v>
      </c>
      <c r="K2299">
        <v>1</v>
      </c>
      <c r="L2299" t="s">
        <v>2917</v>
      </c>
      <c r="M2299">
        <v>1</v>
      </c>
      <c r="N2299" t="s">
        <v>2917</v>
      </c>
      <c r="O2299" t="s">
        <v>2208</v>
      </c>
      <c r="P2299" t="s">
        <v>7040</v>
      </c>
      <c r="Q2299" t="s">
        <v>2980</v>
      </c>
      <c r="R2299" t="s">
        <v>2981</v>
      </c>
    </row>
    <row r="2300" spans="1:18">
      <c r="A2300" t="s">
        <v>2418</v>
      </c>
      <c r="B2300" t="s">
        <v>2920</v>
      </c>
      <c r="C2300">
        <v>45586</v>
      </c>
      <c r="D2300" t="s">
        <v>7263</v>
      </c>
      <c r="E2300" t="s">
        <v>2921</v>
      </c>
      <c r="F2300">
        <v>45680</v>
      </c>
      <c r="G2300" t="s">
        <v>6880</v>
      </c>
      <c r="H2300" t="s">
        <v>2976</v>
      </c>
      <c r="I2300" t="s">
        <v>8266</v>
      </c>
      <c r="J2300">
        <v>0</v>
      </c>
      <c r="K2300">
        <v>7922.6</v>
      </c>
      <c r="L2300" t="s">
        <v>2917</v>
      </c>
      <c r="M2300">
        <v>7922.6</v>
      </c>
      <c r="N2300" t="s">
        <v>2917</v>
      </c>
      <c r="O2300" t="s">
        <v>2208</v>
      </c>
      <c r="P2300" t="s">
        <v>6831</v>
      </c>
      <c r="Q2300" t="s">
        <v>8267</v>
      </c>
      <c r="R2300" t="s">
        <v>6876</v>
      </c>
    </row>
    <row r="2301" spans="1:18">
      <c r="A2301" t="s">
        <v>2418</v>
      </c>
      <c r="B2301" t="s">
        <v>2920</v>
      </c>
      <c r="C2301">
        <v>45586</v>
      </c>
      <c r="D2301" t="s">
        <v>7263</v>
      </c>
      <c r="E2301" t="s">
        <v>2921</v>
      </c>
      <c r="F2301">
        <v>45680</v>
      </c>
      <c r="G2301" t="s">
        <v>6880</v>
      </c>
      <c r="H2301" t="s">
        <v>2976</v>
      </c>
      <c r="I2301" t="s">
        <v>8266</v>
      </c>
      <c r="J2301">
        <v>0</v>
      </c>
      <c r="K2301">
        <v>22175.200000000001</v>
      </c>
      <c r="L2301" t="s">
        <v>2917</v>
      </c>
      <c r="M2301">
        <v>22175.200000000001</v>
      </c>
      <c r="N2301" t="s">
        <v>2917</v>
      </c>
      <c r="O2301" t="s">
        <v>2208</v>
      </c>
      <c r="P2301" t="s">
        <v>6832</v>
      </c>
      <c r="Q2301" t="s">
        <v>8267</v>
      </c>
      <c r="R2301" t="s">
        <v>6876</v>
      </c>
    </row>
    <row r="2302" spans="1:18">
      <c r="A2302" t="s">
        <v>2418</v>
      </c>
      <c r="B2302" t="s">
        <v>2920</v>
      </c>
      <c r="C2302">
        <v>45586</v>
      </c>
      <c r="D2302" t="s">
        <v>7263</v>
      </c>
      <c r="E2302" t="s">
        <v>2921</v>
      </c>
      <c r="F2302">
        <v>45680</v>
      </c>
      <c r="G2302" t="s">
        <v>6880</v>
      </c>
      <c r="H2302" t="s">
        <v>2976</v>
      </c>
      <c r="I2302" t="s">
        <v>8266</v>
      </c>
      <c r="J2302">
        <v>0</v>
      </c>
      <c r="K2302">
        <v>8989.6</v>
      </c>
      <c r="L2302" t="s">
        <v>2917</v>
      </c>
      <c r="M2302">
        <v>8989.6</v>
      </c>
      <c r="N2302" t="s">
        <v>2917</v>
      </c>
      <c r="O2302" t="s">
        <v>2208</v>
      </c>
      <c r="P2302" t="s">
        <v>6833</v>
      </c>
      <c r="Q2302" t="s">
        <v>8267</v>
      </c>
      <c r="R2302" t="s">
        <v>6876</v>
      </c>
    </row>
    <row r="2303" spans="1:18">
      <c r="A2303" t="s">
        <v>2418</v>
      </c>
      <c r="B2303" t="s">
        <v>2920</v>
      </c>
      <c r="C2303">
        <v>45586</v>
      </c>
      <c r="D2303" t="s">
        <v>7263</v>
      </c>
      <c r="E2303" t="s">
        <v>2921</v>
      </c>
      <c r="F2303">
        <v>45680</v>
      </c>
      <c r="G2303" t="s">
        <v>6880</v>
      </c>
      <c r="H2303" t="s">
        <v>2976</v>
      </c>
      <c r="I2303" t="s">
        <v>8266</v>
      </c>
      <c r="J2303">
        <v>0</v>
      </c>
      <c r="K2303">
        <v>7440.6</v>
      </c>
      <c r="L2303" t="s">
        <v>2917</v>
      </c>
      <c r="M2303">
        <v>7440.6</v>
      </c>
      <c r="N2303" t="s">
        <v>2917</v>
      </c>
      <c r="O2303" t="s">
        <v>2208</v>
      </c>
      <c r="P2303" t="s">
        <v>6834</v>
      </c>
      <c r="Q2303" t="s">
        <v>8267</v>
      </c>
      <c r="R2303" t="s">
        <v>6876</v>
      </c>
    </row>
    <row r="2304" spans="1:18">
      <c r="A2304" t="s">
        <v>2418</v>
      </c>
      <c r="B2304" t="s">
        <v>2920</v>
      </c>
      <c r="C2304">
        <v>45586</v>
      </c>
      <c r="D2304" t="s">
        <v>7263</v>
      </c>
      <c r="E2304" t="s">
        <v>2921</v>
      </c>
      <c r="F2304">
        <v>45680</v>
      </c>
      <c r="G2304" t="s">
        <v>6880</v>
      </c>
      <c r="H2304" t="s">
        <v>2976</v>
      </c>
      <c r="I2304" t="s">
        <v>8266</v>
      </c>
      <c r="J2304">
        <v>0</v>
      </c>
      <c r="K2304">
        <v>18283.599999999999</v>
      </c>
      <c r="L2304" t="s">
        <v>2917</v>
      </c>
      <c r="M2304">
        <v>18283.599999999999</v>
      </c>
      <c r="N2304" t="s">
        <v>2917</v>
      </c>
      <c r="O2304" t="s">
        <v>2208</v>
      </c>
      <c r="P2304" t="s">
        <v>6835</v>
      </c>
      <c r="Q2304" t="s">
        <v>8267</v>
      </c>
      <c r="R2304" t="s">
        <v>6876</v>
      </c>
    </row>
    <row r="2305" spans="1:18">
      <c r="A2305" t="s">
        <v>2418</v>
      </c>
      <c r="B2305" t="s">
        <v>2920</v>
      </c>
      <c r="C2305">
        <v>45586</v>
      </c>
      <c r="D2305" t="s">
        <v>7263</v>
      </c>
      <c r="E2305" t="s">
        <v>2921</v>
      </c>
      <c r="F2305">
        <v>45680</v>
      </c>
      <c r="G2305" t="s">
        <v>6880</v>
      </c>
      <c r="H2305" t="s">
        <v>2976</v>
      </c>
      <c r="I2305" t="s">
        <v>8266</v>
      </c>
      <c r="J2305">
        <v>0</v>
      </c>
      <c r="K2305">
        <v>1500</v>
      </c>
      <c r="L2305" t="s">
        <v>2917</v>
      </c>
      <c r="M2305">
        <v>1500</v>
      </c>
      <c r="N2305" t="s">
        <v>2917</v>
      </c>
      <c r="O2305" t="s">
        <v>2208</v>
      </c>
      <c r="P2305" t="s">
        <v>6836</v>
      </c>
      <c r="Q2305" t="s">
        <v>8267</v>
      </c>
      <c r="R2305" t="s">
        <v>6876</v>
      </c>
    </row>
    <row r="2306" spans="1:18">
      <c r="A2306" t="s">
        <v>2237</v>
      </c>
      <c r="B2306" t="s">
        <v>2920</v>
      </c>
      <c r="C2306">
        <v>45672</v>
      </c>
      <c r="D2306" t="s">
        <v>7263</v>
      </c>
      <c r="E2306" t="s">
        <v>2921</v>
      </c>
      <c r="F2306">
        <v>45684</v>
      </c>
      <c r="G2306" t="s">
        <v>2977</v>
      </c>
      <c r="H2306" t="s">
        <v>2978</v>
      </c>
      <c r="I2306" t="s">
        <v>8268</v>
      </c>
      <c r="J2306">
        <v>0</v>
      </c>
      <c r="K2306">
        <v>324</v>
      </c>
      <c r="L2306" t="s">
        <v>2917</v>
      </c>
      <c r="M2306">
        <v>324</v>
      </c>
      <c r="N2306" t="s">
        <v>2917</v>
      </c>
      <c r="O2306" t="s">
        <v>2208</v>
      </c>
      <c r="P2306" t="s">
        <v>2979</v>
      </c>
      <c r="Q2306" t="s">
        <v>2980</v>
      </c>
      <c r="R2306" t="s">
        <v>2981</v>
      </c>
    </row>
    <row r="2307" spans="1:18">
      <c r="A2307" t="s">
        <v>7030</v>
      </c>
      <c r="B2307" t="s">
        <v>2920</v>
      </c>
      <c r="C2307">
        <v>45678</v>
      </c>
      <c r="D2307" t="s">
        <v>7263</v>
      </c>
      <c r="E2307" t="s">
        <v>2921</v>
      </c>
      <c r="F2307">
        <v>45684</v>
      </c>
      <c r="G2307" t="s">
        <v>7231</v>
      </c>
      <c r="H2307" t="s">
        <v>2976</v>
      </c>
      <c r="I2307" t="s">
        <v>8269</v>
      </c>
      <c r="J2307">
        <v>0</v>
      </c>
      <c r="K2307">
        <v>29397.72</v>
      </c>
      <c r="L2307" t="s">
        <v>2917</v>
      </c>
      <c r="M2307">
        <v>29397.72</v>
      </c>
      <c r="N2307" t="s">
        <v>2917</v>
      </c>
      <c r="O2307" t="s">
        <v>2208</v>
      </c>
      <c r="P2307" t="s">
        <v>3065</v>
      </c>
      <c r="Q2307" t="s">
        <v>8270</v>
      </c>
      <c r="R2307" t="s">
        <v>3000</v>
      </c>
    </row>
    <row r="2308" spans="1:18">
      <c r="A2308" t="s">
        <v>7030</v>
      </c>
      <c r="B2308" t="s">
        <v>2920</v>
      </c>
      <c r="C2308">
        <v>45678</v>
      </c>
      <c r="D2308" t="s">
        <v>7263</v>
      </c>
      <c r="E2308" t="s">
        <v>2921</v>
      </c>
      <c r="F2308">
        <v>45684</v>
      </c>
      <c r="G2308" t="s">
        <v>7231</v>
      </c>
      <c r="H2308" t="s">
        <v>2976</v>
      </c>
      <c r="I2308" t="s">
        <v>8269</v>
      </c>
      <c r="J2308">
        <v>0</v>
      </c>
      <c r="K2308">
        <v>2816.49</v>
      </c>
      <c r="L2308" t="s">
        <v>2917</v>
      </c>
      <c r="M2308">
        <v>2816.49</v>
      </c>
      <c r="N2308" t="s">
        <v>2917</v>
      </c>
      <c r="O2308" t="s">
        <v>2208</v>
      </c>
      <c r="P2308" t="s">
        <v>3066</v>
      </c>
      <c r="Q2308" t="s">
        <v>8270</v>
      </c>
      <c r="R2308" t="s">
        <v>3000</v>
      </c>
    </row>
    <row r="2309" spans="1:18">
      <c r="A2309" t="s">
        <v>7030</v>
      </c>
      <c r="B2309" t="s">
        <v>2920</v>
      </c>
      <c r="C2309">
        <v>45678</v>
      </c>
      <c r="D2309" t="s">
        <v>7263</v>
      </c>
      <c r="E2309" t="s">
        <v>2921</v>
      </c>
      <c r="F2309">
        <v>45684</v>
      </c>
      <c r="G2309" t="s">
        <v>7231</v>
      </c>
      <c r="H2309" t="s">
        <v>2976</v>
      </c>
      <c r="I2309" t="s">
        <v>8269</v>
      </c>
      <c r="J2309">
        <v>0</v>
      </c>
      <c r="K2309">
        <v>1510.53</v>
      </c>
      <c r="L2309" t="s">
        <v>2917</v>
      </c>
      <c r="M2309">
        <v>1510.53</v>
      </c>
      <c r="N2309" t="s">
        <v>2917</v>
      </c>
      <c r="O2309" t="s">
        <v>2208</v>
      </c>
      <c r="P2309" t="s">
        <v>3067</v>
      </c>
      <c r="Q2309" t="s">
        <v>8270</v>
      </c>
      <c r="R2309" t="s">
        <v>3000</v>
      </c>
    </row>
    <row r="2310" spans="1:18">
      <c r="A2310" t="s">
        <v>7030</v>
      </c>
      <c r="B2310" t="s">
        <v>2920</v>
      </c>
      <c r="C2310">
        <v>45678</v>
      </c>
      <c r="D2310" t="s">
        <v>7263</v>
      </c>
      <c r="E2310" t="s">
        <v>2921</v>
      </c>
      <c r="F2310">
        <v>45684</v>
      </c>
      <c r="G2310" t="s">
        <v>7231</v>
      </c>
      <c r="H2310" t="s">
        <v>2976</v>
      </c>
      <c r="I2310" t="s">
        <v>8269</v>
      </c>
      <c r="J2310">
        <v>0</v>
      </c>
      <c r="K2310">
        <v>2591.9699999999998</v>
      </c>
      <c r="L2310" t="s">
        <v>2917</v>
      </c>
      <c r="M2310">
        <v>2591.9699999999998</v>
      </c>
      <c r="N2310" t="s">
        <v>2917</v>
      </c>
      <c r="O2310" t="s">
        <v>2208</v>
      </c>
      <c r="P2310" t="s">
        <v>3068</v>
      </c>
      <c r="Q2310" t="s">
        <v>8270</v>
      </c>
      <c r="R2310" t="s">
        <v>3000</v>
      </c>
    </row>
    <row r="2311" spans="1:18">
      <c r="A2311" t="s">
        <v>7030</v>
      </c>
      <c r="B2311" t="s">
        <v>2920</v>
      </c>
      <c r="C2311">
        <v>45678</v>
      </c>
      <c r="D2311" t="s">
        <v>7263</v>
      </c>
      <c r="E2311" t="s">
        <v>2921</v>
      </c>
      <c r="F2311">
        <v>45684</v>
      </c>
      <c r="G2311" t="s">
        <v>7231</v>
      </c>
      <c r="H2311" t="s">
        <v>2976</v>
      </c>
      <c r="I2311" t="s">
        <v>8269</v>
      </c>
      <c r="J2311">
        <v>0</v>
      </c>
      <c r="K2311">
        <v>29483.38</v>
      </c>
      <c r="L2311" t="s">
        <v>2917</v>
      </c>
      <c r="M2311">
        <v>29483.38</v>
      </c>
      <c r="N2311" t="s">
        <v>2917</v>
      </c>
      <c r="O2311" t="s">
        <v>2208</v>
      </c>
      <c r="P2311" t="s">
        <v>7156</v>
      </c>
      <c r="Q2311" t="s">
        <v>8270</v>
      </c>
      <c r="R2311" t="s">
        <v>3000</v>
      </c>
    </row>
    <row r="2312" spans="1:18">
      <c r="A2312" t="s">
        <v>7030</v>
      </c>
      <c r="B2312" t="s">
        <v>2920</v>
      </c>
      <c r="C2312">
        <v>45678</v>
      </c>
      <c r="D2312" t="s">
        <v>7263</v>
      </c>
      <c r="E2312" t="s">
        <v>2921</v>
      </c>
      <c r="F2312">
        <v>45684</v>
      </c>
      <c r="G2312" t="s">
        <v>7231</v>
      </c>
      <c r="H2312" t="s">
        <v>2976</v>
      </c>
      <c r="I2312" t="s">
        <v>8269</v>
      </c>
      <c r="J2312">
        <v>0</v>
      </c>
      <c r="K2312">
        <v>1877.66</v>
      </c>
      <c r="L2312" t="s">
        <v>2917</v>
      </c>
      <c r="M2312">
        <v>1877.66</v>
      </c>
      <c r="N2312" t="s">
        <v>2917</v>
      </c>
      <c r="O2312" t="s">
        <v>2208</v>
      </c>
      <c r="P2312" t="s">
        <v>3153</v>
      </c>
      <c r="Q2312" t="s">
        <v>8270</v>
      </c>
      <c r="R2312" t="s">
        <v>3000</v>
      </c>
    </row>
    <row r="2313" spans="1:18">
      <c r="A2313" t="s">
        <v>7030</v>
      </c>
      <c r="B2313" t="s">
        <v>2920</v>
      </c>
      <c r="C2313">
        <v>45678</v>
      </c>
      <c r="D2313" t="s">
        <v>7263</v>
      </c>
      <c r="E2313" t="s">
        <v>2921</v>
      </c>
      <c r="F2313">
        <v>45684</v>
      </c>
      <c r="G2313" t="s">
        <v>7231</v>
      </c>
      <c r="H2313" t="s">
        <v>2976</v>
      </c>
      <c r="I2313" t="s">
        <v>8269</v>
      </c>
      <c r="J2313">
        <v>0</v>
      </c>
      <c r="K2313">
        <v>1007.02</v>
      </c>
      <c r="L2313" t="s">
        <v>2917</v>
      </c>
      <c r="M2313">
        <v>1007.02</v>
      </c>
      <c r="N2313" t="s">
        <v>2917</v>
      </c>
      <c r="O2313" t="s">
        <v>2208</v>
      </c>
      <c r="P2313" t="s">
        <v>3154</v>
      </c>
      <c r="Q2313" t="s">
        <v>8270</v>
      </c>
      <c r="R2313" t="s">
        <v>3000</v>
      </c>
    </row>
    <row r="2314" spans="1:18">
      <c r="A2314" t="s">
        <v>7030</v>
      </c>
      <c r="B2314" t="s">
        <v>2920</v>
      </c>
      <c r="C2314">
        <v>45678</v>
      </c>
      <c r="D2314" t="s">
        <v>7263</v>
      </c>
      <c r="E2314" t="s">
        <v>2921</v>
      </c>
      <c r="F2314">
        <v>45684</v>
      </c>
      <c r="G2314" t="s">
        <v>7231</v>
      </c>
      <c r="H2314" t="s">
        <v>2976</v>
      </c>
      <c r="I2314" t="s">
        <v>8269</v>
      </c>
      <c r="J2314">
        <v>0</v>
      </c>
      <c r="K2314">
        <v>1727.98</v>
      </c>
      <c r="L2314" t="s">
        <v>2917</v>
      </c>
      <c r="M2314">
        <v>1727.98</v>
      </c>
      <c r="N2314" t="s">
        <v>2917</v>
      </c>
      <c r="O2314" t="s">
        <v>2208</v>
      </c>
      <c r="P2314" t="s">
        <v>3155</v>
      </c>
      <c r="Q2314" t="s">
        <v>8270</v>
      </c>
      <c r="R2314" t="s">
        <v>3000</v>
      </c>
    </row>
    <row r="2315" spans="1:18">
      <c r="A2315" t="s">
        <v>7030</v>
      </c>
      <c r="B2315" t="s">
        <v>2920</v>
      </c>
      <c r="C2315">
        <v>45678</v>
      </c>
      <c r="D2315" t="s">
        <v>7263</v>
      </c>
      <c r="E2315" t="s">
        <v>2921</v>
      </c>
      <c r="F2315">
        <v>45684</v>
      </c>
      <c r="G2315" t="s">
        <v>7231</v>
      </c>
      <c r="H2315" t="s">
        <v>2976</v>
      </c>
      <c r="I2315" t="s">
        <v>8269</v>
      </c>
      <c r="J2315">
        <v>0</v>
      </c>
      <c r="K2315">
        <v>31494.09</v>
      </c>
      <c r="L2315" t="s">
        <v>2917</v>
      </c>
      <c r="M2315">
        <v>31494.09</v>
      </c>
      <c r="N2315" t="s">
        <v>2917</v>
      </c>
      <c r="O2315" t="s">
        <v>2208</v>
      </c>
      <c r="P2315" t="s">
        <v>8745</v>
      </c>
      <c r="Q2315" t="s">
        <v>8270</v>
      </c>
      <c r="R2315" t="s">
        <v>3000</v>
      </c>
    </row>
    <row r="2316" spans="1:18">
      <c r="A2316" t="s">
        <v>7030</v>
      </c>
      <c r="B2316" t="s">
        <v>2920</v>
      </c>
      <c r="C2316">
        <v>45678</v>
      </c>
      <c r="D2316" t="s">
        <v>7263</v>
      </c>
      <c r="E2316" t="s">
        <v>2921</v>
      </c>
      <c r="F2316">
        <v>45684</v>
      </c>
      <c r="G2316" t="s">
        <v>7231</v>
      </c>
      <c r="H2316" t="s">
        <v>2976</v>
      </c>
      <c r="I2316" t="s">
        <v>8269</v>
      </c>
      <c r="J2316">
        <v>0</v>
      </c>
      <c r="K2316">
        <v>2027.34</v>
      </c>
      <c r="L2316" t="s">
        <v>2917</v>
      </c>
      <c r="M2316">
        <v>2027.34</v>
      </c>
      <c r="N2316" t="s">
        <v>2917</v>
      </c>
      <c r="O2316" t="s">
        <v>2208</v>
      </c>
      <c r="P2316" t="s">
        <v>7157</v>
      </c>
      <c r="Q2316" t="s">
        <v>8270</v>
      </c>
      <c r="R2316" t="s">
        <v>3000</v>
      </c>
    </row>
    <row r="2317" spans="1:18">
      <c r="A2317" t="s">
        <v>7030</v>
      </c>
      <c r="B2317" t="s">
        <v>2920</v>
      </c>
      <c r="C2317">
        <v>45678</v>
      </c>
      <c r="D2317" t="s">
        <v>7263</v>
      </c>
      <c r="E2317" t="s">
        <v>2921</v>
      </c>
      <c r="F2317">
        <v>45684</v>
      </c>
      <c r="G2317" t="s">
        <v>7231</v>
      </c>
      <c r="H2317" t="s">
        <v>2976</v>
      </c>
      <c r="I2317" t="s">
        <v>8269</v>
      </c>
      <c r="J2317">
        <v>0</v>
      </c>
      <c r="K2317">
        <v>1007.02</v>
      </c>
      <c r="L2317" t="s">
        <v>2917</v>
      </c>
      <c r="M2317">
        <v>1007.02</v>
      </c>
      <c r="N2317" t="s">
        <v>2917</v>
      </c>
      <c r="O2317" t="s">
        <v>2208</v>
      </c>
      <c r="P2317" t="s">
        <v>7158</v>
      </c>
      <c r="Q2317" t="s">
        <v>8270</v>
      </c>
      <c r="R2317" t="s">
        <v>3000</v>
      </c>
    </row>
    <row r="2318" spans="1:18">
      <c r="A2318" t="s">
        <v>7030</v>
      </c>
      <c r="B2318" t="s">
        <v>2920</v>
      </c>
      <c r="C2318">
        <v>45678</v>
      </c>
      <c r="D2318" t="s">
        <v>7263</v>
      </c>
      <c r="E2318" t="s">
        <v>2921</v>
      </c>
      <c r="F2318">
        <v>45684</v>
      </c>
      <c r="G2318" t="s">
        <v>7231</v>
      </c>
      <c r="H2318" t="s">
        <v>2976</v>
      </c>
      <c r="I2318" t="s">
        <v>8269</v>
      </c>
      <c r="J2318">
        <v>0</v>
      </c>
      <c r="K2318">
        <v>1727.98</v>
      </c>
      <c r="L2318" t="s">
        <v>2917</v>
      </c>
      <c r="M2318">
        <v>1727.98</v>
      </c>
      <c r="N2318" t="s">
        <v>2917</v>
      </c>
      <c r="O2318" t="s">
        <v>2208</v>
      </c>
      <c r="P2318" t="s">
        <v>7159</v>
      </c>
      <c r="Q2318" t="s">
        <v>8270</v>
      </c>
      <c r="R2318" t="s">
        <v>3000</v>
      </c>
    </row>
    <row r="2319" spans="1:18">
      <c r="A2319" t="s">
        <v>7030</v>
      </c>
      <c r="B2319" t="s">
        <v>2920</v>
      </c>
      <c r="C2319">
        <v>45678</v>
      </c>
      <c r="D2319" t="s">
        <v>7263</v>
      </c>
      <c r="E2319" t="s">
        <v>2921</v>
      </c>
      <c r="F2319">
        <v>45684</v>
      </c>
      <c r="G2319" t="s">
        <v>7231</v>
      </c>
      <c r="H2319" t="s">
        <v>2976</v>
      </c>
      <c r="I2319" t="s">
        <v>8269</v>
      </c>
      <c r="J2319">
        <v>0</v>
      </c>
      <c r="K2319">
        <v>12840.95</v>
      </c>
      <c r="L2319" t="s">
        <v>2917</v>
      </c>
      <c r="M2319">
        <v>12840.95</v>
      </c>
      <c r="N2319" t="s">
        <v>2917</v>
      </c>
      <c r="O2319" t="s">
        <v>2208</v>
      </c>
      <c r="P2319" t="s">
        <v>3007</v>
      </c>
      <c r="Q2319" t="s">
        <v>8270</v>
      </c>
      <c r="R2319" t="s">
        <v>3000</v>
      </c>
    </row>
    <row r="2320" spans="1:18">
      <c r="A2320" t="s">
        <v>7030</v>
      </c>
      <c r="B2320" t="s">
        <v>2920</v>
      </c>
      <c r="C2320">
        <v>45678</v>
      </c>
      <c r="D2320" t="s">
        <v>7263</v>
      </c>
      <c r="E2320" t="s">
        <v>2921</v>
      </c>
      <c r="F2320">
        <v>45684</v>
      </c>
      <c r="G2320" t="s">
        <v>7231</v>
      </c>
      <c r="H2320" t="s">
        <v>2976</v>
      </c>
      <c r="I2320" t="s">
        <v>8269</v>
      </c>
      <c r="J2320">
        <v>0</v>
      </c>
      <c r="K2320">
        <v>7923.1</v>
      </c>
      <c r="L2320" t="s">
        <v>2917</v>
      </c>
      <c r="M2320">
        <v>7923.1</v>
      </c>
      <c r="N2320" t="s">
        <v>2917</v>
      </c>
      <c r="O2320" t="s">
        <v>2208</v>
      </c>
      <c r="P2320" t="s">
        <v>8746</v>
      </c>
      <c r="Q2320" t="s">
        <v>8270</v>
      </c>
      <c r="R2320" t="s">
        <v>3000</v>
      </c>
    </row>
    <row r="2321" spans="1:18">
      <c r="A2321" t="s">
        <v>7030</v>
      </c>
      <c r="B2321" t="s">
        <v>2920</v>
      </c>
      <c r="C2321">
        <v>45678</v>
      </c>
      <c r="D2321" t="s">
        <v>7263</v>
      </c>
      <c r="E2321" t="s">
        <v>2921</v>
      </c>
      <c r="F2321">
        <v>45684</v>
      </c>
      <c r="G2321" t="s">
        <v>7231</v>
      </c>
      <c r="H2321" t="s">
        <v>2976</v>
      </c>
      <c r="I2321" t="s">
        <v>8269</v>
      </c>
      <c r="J2321">
        <v>0</v>
      </c>
      <c r="K2321">
        <v>214.13</v>
      </c>
      <c r="L2321" t="s">
        <v>2917</v>
      </c>
      <c r="M2321">
        <v>214.13</v>
      </c>
      <c r="N2321" t="s">
        <v>2917</v>
      </c>
      <c r="O2321" t="s">
        <v>2208</v>
      </c>
      <c r="P2321" t="s">
        <v>3069</v>
      </c>
      <c r="Q2321" t="s">
        <v>8270</v>
      </c>
      <c r="R2321" t="s">
        <v>3000</v>
      </c>
    </row>
    <row r="2322" spans="1:18">
      <c r="A2322" t="s">
        <v>7030</v>
      </c>
      <c r="B2322" t="s">
        <v>2920</v>
      </c>
      <c r="C2322">
        <v>45678</v>
      </c>
      <c r="D2322" t="s">
        <v>7263</v>
      </c>
      <c r="E2322" t="s">
        <v>2921</v>
      </c>
      <c r="F2322">
        <v>45684</v>
      </c>
      <c r="G2322" t="s">
        <v>7231</v>
      </c>
      <c r="H2322" t="s">
        <v>2976</v>
      </c>
      <c r="I2322" t="s">
        <v>8269</v>
      </c>
      <c r="J2322">
        <v>0</v>
      </c>
      <c r="K2322">
        <v>168.39</v>
      </c>
      <c r="L2322" t="s">
        <v>2917</v>
      </c>
      <c r="M2322">
        <v>168.39</v>
      </c>
      <c r="N2322" t="s">
        <v>2917</v>
      </c>
      <c r="O2322" t="s">
        <v>2208</v>
      </c>
      <c r="P2322" t="s">
        <v>7162</v>
      </c>
      <c r="Q2322" t="s">
        <v>8270</v>
      </c>
      <c r="R2322" t="s">
        <v>3000</v>
      </c>
    </row>
    <row r="2323" spans="1:18">
      <c r="A2323" t="s">
        <v>7030</v>
      </c>
      <c r="B2323" t="s">
        <v>2920</v>
      </c>
      <c r="C2323">
        <v>45678</v>
      </c>
      <c r="D2323" t="s">
        <v>7263</v>
      </c>
      <c r="E2323" t="s">
        <v>2921</v>
      </c>
      <c r="F2323">
        <v>45684</v>
      </c>
      <c r="G2323" t="s">
        <v>7231</v>
      </c>
      <c r="H2323" t="s">
        <v>2976</v>
      </c>
      <c r="I2323" t="s">
        <v>8269</v>
      </c>
      <c r="J2323">
        <v>0</v>
      </c>
      <c r="K2323">
        <v>4908.49</v>
      </c>
      <c r="L2323" t="s">
        <v>2917</v>
      </c>
      <c r="M2323">
        <v>4908.49</v>
      </c>
      <c r="N2323" t="s">
        <v>2917</v>
      </c>
      <c r="O2323" t="s">
        <v>2208</v>
      </c>
      <c r="P2323" t="s">
        <v>7163</v>
      </c>
      <c r="Q2323" t="s">
        <v>8270</v>
      </c>
      <c r="R2323" t="s">
        <v>3000</v>
      </c>
    </row>
    <row r="2324" spans="1:18">
      <c r="A2324" t="s">
        <v>7030</v>
      </c>
      <c r="B2324" t="s">
        <v>2920</v>
      </c>
      <c r="C2324">
        <v>45672</v>
      </c>
      <c r="D2324" t="s">
        <v>7263</v>
      </c>
      <c r="E2324" t="s">
        <v>2921</v>
      </c>
      <c r="F2324">
        <v>45684</v>
      </c>
      <c r="G2324" t="s">
        <v>7060</v>
      </c>
      <c r="H2324" t="s">
        <v>2978</v>
      </c>
      <c r="I2324" t="s">
        <v>8271</v>
      </c>
      <c r="J2324">
        <v>0</v>
      </c>
      <c r="K2324">
        <v>46736</v>
      </c>
      <c r="L2324" t="s">
        <v>2917</v>
      </c>
      <c r="M2324">
        <v>46736</v>
      </c>
      <c r="N2324" t="s">
        <v>2917</v>
      </c>
      <c r="O2324" t="s">
        <v>2208</v>
      </c>
      <c r="P2324" t="s">
        <v>7037</v>
      </c>
      <c r="Q2324" t="s">
        <v>2980</v>
      </c>
      <c r="R2324" t="s">
        <v>2981</v>
      </c>
    </row>
    <row r="2325" spans="1:18">
      <c r="A2325" t="s">
        <v>7030</v>
      </c>
      <c r="B2325" t="s">
        <v>2920</v>
      </c>
      <c r="C2325">
        <v>45672</v>
      </c>
      <c r="D2325" t="s">
        <v>7263</v>
      </c>
      <c r="E2325" t="s">
        <v>2921</v>
      </c>
      <c r="F2325">
        <v>45684</v>
      </c>
      <c r="G2325" t="s">
        <v>7060</v>
      </c>
      <c r="H2325" t="s">
        <v>2978</v>
      </c>
      <c r="I2325" t="s">
        <v>8271</v>
      </c>
      <c r="J2325">
        <v>0</v>
      </c>
      <c r="K2325">
        <v>7.4</v>
      </c>
      <c r="L2325" t="s">
        <v>2917</v>
      </c>
      <c r="M2325">
        <v>7.4</v>
      </c>
      <c r="N2325" t="s">
        <v>2917</v>
      </c>
      <c r="O2325" t="s">
        <v>2208</v>
      </c>
      <c r="P2325" t="s">
        <v>230</v>
      </c>
      <c r="Q2325" t="s">
        <v>2980</v>
      </c>
      <c r="R2325" t="s">
        <v>2981</v>
      </c>
    </row>
    <row r="2326" spans="1:18">
      <c r="A2326" t="s">
        <v>2237</v>
      </c>
      <c r="B2326" t="s">
        <v>2920</v>
      </c>
      <c r="C2326">
        <v>45672</v>
      </c>
      <c r="D2326" t="s">
        <v>7263</v>
      </c>
      <c r="E2326" t="s">
        <v>2921</v>
      </c>
      <c r="F2326">
        <v>45684</v>
      </c>
      <c r="G2326" t="s">
        <v>2995</v>
      </c>
      <c r="H2326" t="s">
        <v>2978</v>
      </c>
      <c r="I2326" t="s">
        <v>8272</v>
      </c>
      <c r="J2326">
        <v>0</v>
      </c>
      <c r="K2326">
        <v>300</v>
      </c>
      <c r="L2326" t="s">
        <v>2917</v>
      </c>
      <c r="M2326">
        <v>300</v>
      </c>
      <c r="N2326" t="s">
        <v>2917</v>
      </c>
      <c r="O2326" t="s">
        <v>2208</v>
      </c>
      <c r="P2326" t="s">
        <v>2996</v>
      </c>
      <c r="Q2326" t="s">
        <v>2980</v>
      </c>
      <c r="R2326" t="s">
        <v>2981</v>
      </c>
    </row>
    <row r="2327" spans="1:18">
      <c r="A2327" t="s">
        <v>2418</v>
      </c>
      <c r="B2327" t="s">
        <v>2920</v>
      </c>
      <c r="C2327">
        <v>45672</v>
      </c>
      <c r="D2327" t="s">
        <v>7263</v>
      </c>
      <c r="E2327" t="s">
        <v>2921</v>
      </c>
      <c r="F2327">
        <v>45684</v>
      </c>
      <c r="G2327" t="s">
        <v>2985</v>
      </c>
      <c r="H2327" t="s">
        <v>2978</v>
      </c>
      <c r="I2327" t="s">
        <v>8273</v>
      </c>
      <c r="J2327">
        <v>0</v>
      </c>
      <c r="K2327">
        <v>7720</v>
      </c>
      <c r="L2327" t="s">
        <v>2917</v>
      </c>
      <c r="M2327">
        <v>7720</v>
      </c>
      <c r="N2327" t="s">
        <v>2917</v>
      </c>
      <c r="O2327" t="s">
        <v>2208</v>
      </c>
      <c r="P2327" t="s">
        <v>3317</v>
      </c>
      <c r="Q2327" t="s">
        <v>2980</v>
      </c>
      <c r="R2327" t="s">
        <v>2981</v>
      </c>
    </row>
    <row r="2328" spans="1:18">
      <c r="A2328" t="s">
        <v>2418</v>
      </c>
      <c r="B2328" t="s">
        <v>2920</v>
      </c>
      <c r="C2328">
        <v>45672</v>
      </c>
      <c r="D2328" t="s">
        <v>7263</v>
      </c>
      <c r="E2328" t="s">
        <v>2921</v>
      </c>
      <c r="F2328">
        <v>45684</v>
      </c>
      <c r="G2328" t="s">
        <v>2985</v>
      </c>
      <c r="H2328" t="s">
        <v>2978</v>
      </c>
      <c r="I2328" t="s">
        <v>8273</v>
      </c>
      <c r="J2328">
        <v>0</v>
      </c>
      <c r="K2328">
        <v>34</v>
      </c>
      <c r="L2328" t="s">
        <v>2917</v>
      </c>
      <c r="M2328">
        <v>34</v>
      </c>
      <c r="N2328" t="s">
        <v>2917</v>
      </c>
      <c r="O2328" t="s">
        <v>2208</v>
      </c>
      <c r="P2328" t="s">
        <v>2987</v>
      </c>
      <c r="Q2328" t="s">
        <v>2980</v>
      </c>
      <c r="R2328" t="s">
        <v>2981</v>
      </c>
    </row>
    <row r="2329" spans="1:18">
      <c r="A2329" t="s">
        <v>2237</v>
      </c>
      <c r="B2329" t="s">
        <v>2920</v>
      </c>
      <c r="C2329">
        <v>45672</v>
      </c>
      <c r="D2329" t="s">
        <v>7263</v>
      </c>
      <c r="E2329" t="s">
        <v>2921</v>
      </c>
      <c r="F2329">
        <v>45684</v>
      </c>
      <c r="G2329" t="s">
        <v>3008</v>
      </c>
      <c r="H2329" t="s">
        <v>2978</v>
      </c>
      <c r="I2329" t="s">
        <v>8274</v>
      </c>
      <c r="J2329">
        <v>0</v>
      </c>
      <c r="K2329">
        <v>306</v>
      </c>
      <c r="L2329" t="s">
        <v>2917</v>
      </c>
      <c r="M2329">
        <v>306</v>
      </c>
      <c r="N2329" t="s">
        <v>2917</v>
      </c>
      <c r="O2329" t="s">
        <v>2208</v>
      </c>
      <c r="P2329" t="s">
        <v>3009</v>
      </c>
      <c r="Q2329" t="s">
        <v>2980</v>
      </c>
      <c r="R2329" t="s">
        <v>2981</v>
      </c>
    </row>
    <row r="2330" spans="1:18">
      <c r="A2330" t="s">
        <v>709</v>
      </c>
      <c r="B2330" t="s">
        <v>2920</v>
      </c>
      <c r="C2330">
        <v>45306</v>
      </c>
      <c r="D2330" t="s">
        <v>7263</v>
      </c>
      <c r="E2330" t="s">
        <v>2921</v>
      </c>
      <c r="F2330">
        <v>45685</v>
      </c>
      <c r="G2330" t="s">
        <v>3005</v>
      </c>
      <c r="H2330" t="s">
        <v>2976</v>
      </c>
      <c r="I2330" t="s">
        <v>8275</v>
      </c>
      <c r="J2330">
        <v>0</v>
      </c>
      <c r="K2330">
        <v>32326</v>
      </c>
      <c r="L2330" t="s">
        <v>2917</v>
      </c>
      <c r="M2330">
        <v>32326</v>
      </c>
      <c r="N2330" t="s">
        <v>2917</v>
      </c>
      <c r="O2330" t="s">
        <v>2208</v>
      </c>
      <c r="P2330" t="s">
        <v>8276</v>
      </c>
      <c r="Q2330" t="s">
        <v>2990</v>
      </c>
      <c r="R2330" t="s">
        <v>3318</v>
      </c>
    </row>
    <row r="2331" spans="1:18">
      <c r="A2331" t="s">
        <v>709</v>
      </c>
      <c r="B2331" t="s">
        <v>2920</v>
      </c>
      <c r="C2331">
        <v>45306</v>
      </c>
      <c r="D2331" t="s">
        <v>7263</v>
      </c>
      <c r="E2331" t="s">
        <v>2921</v>
      </c>
      <c r="F2331">
        <v>45685</v>
      </c>
      <c r="G2331" t="s">
        <v>3005</v>
      </c>
      <c r="H2331" t="s">
        <v>2976</v>
      </c>
      <c r="I2331" t="s">
        <v>8275</v>
      </c>
      <c r="J2331">
        <v>0</v>
      </c>
      <c r="K2331">
        <v>22685</v>
      </c>
      <c r="L2331" t="s">
        <v>2917</v>
      </c>
      <c r="M2331">
        <v>22685</v>
      </c>
      <c r="N2331" t="s">
        <v>2917</v>
      </c>
      <c r="O2331" t="s">
        <v>2208</v>
      </c>
      <c r="P2331" t="s">
        <v>3006</v>
      </c>
      <c r="Q2331" t="s">
        <v>2990</v>
      </c>
      <c r="R2331" t="s">
        <v>3318</v>
      </c>
    </row>
    <row r="2332" spans="1:18">
      <c r="A2332" t="s">
        <v>7030</v>
      </c>
      <c r="B2332" t="s">
        <v>2920</v>
      </c>
      <c r="C2332">
        <v>45678</v>
      </c>
      <c r="D2332" t="s">
        <v>7263</v>
      </c>
      <c r="E2332" t="s">
        <v>2921</v>
      </c>
      <c r="F2332">
        <v>45685</v>
      </c>
      <c r="G2332" t="s">
        <v>7231</v>
      </c>
      <c r="H2332" t="s">
        <v>2976</v>
      </c>
      <c r="I2332" t="s">
        <v>8277</v>
      </c>
      <c r="J2332">
        <v>0</v>
      </c>
      <c r="K2332">
        <v>-29397.72</v>
      </c>
      <c r="L2332" t="s">
        <v>2917</v>
      </c>
      <c r="M2332">
        <v>-29397.72</v>
      </c>
      <c r="N2332" t="s">
        <v>2917</v>
      </c>
      <c r="O2332" t="s">
        <v>2208</v>
      </c>
      <c r="P2332" t="s">
        <v>3065</v>
      </c>
      <c r="Q2332" t="s">
        <v>8270</v>
      </c>
      <c r="R2332" t="s">
        <v>3000</v>
      </c>
    </row>
    <row r="2333" spans="1:18">
      <c r="A2333" t="s">
        <v>7030</v>
      </c>
      <c r="B2333" t="s">
        <v>2920</v>
      </c>
      <c r="C2333">
        <v>45678</v>
      </c>
      <c r="D2333" t="s">
        <v>7263</v>
      </c>
      <c r="E2333" t="s">
        <v>2921</v>
      </c>
      <c r="F2333">
        <v>45685</v>
      </c>
      <c r="G2333" t="s">
        <v>7231</v>
      </c>
      <c r="H2333" t="s">
        <v>2976</v>
      </c>
      <c r="I2333" t="s">
        <v>8277</v>
      </c>
      <c r="J2333">
        <v>0</v>
      </c>
      <c r="K2333">
        <v>-2816.49</v>
      </c>
      <c r="L2333" t="s">
        <v>2917</v>
      </c>
      <c r="M2333">
        <v>-2816.49</v>
      </c>
      <c r="N2333" t="s">
        <v>2917</v>
      </c>
      <c r="O2333" t="s">
        <v>2208</v>
      </c>
      <c r="P2333" t="s">
        <v>3066</v>
      </c>
      <c r="Q2333" t="s">
        <v>8270</v>
      </c>
      <c r="R2333" t="s">
        <v>3000</v>
      </c>
    </row>
    <row r="2334" spans="1:18">
      <c r="A2334" t="s">
        <v>7030</v>
      </c>
      <c r="B2334" t="s">
        <v>2920</v>
      </c>
      <c r="C2334">
        <v>45678</v>
      </c>
      <c r="D2334" t="s">
        <v>7263</v>
      </c>
      <c r="E2334" t="s">
        <v>2921</v>
      </c>
      <c r="F2334">
        <v>45685</v>
      </c>
      <c r="G2334" t="s">
        <v>7231</v>
      </c>
      <c r="H2334" t="s">
        <v>2976</v>
      </c>
      <c r="I2334" t="s">
        <v>8277</v>
      </c>
      <c r="J2334">
        <v>0</v>
      </c>
      <c r="K2334">
        <v>-1510.53</v>
      </c>
      <c r="L2334" t="s">
        <v>2917</v>
      </c>
      <c r="M2334">
        <v>-1510.53</v>
      </c>
      <c r="N2334" t="s">
        <v>2917</v>
      </c>
      <c r="O2334" t="s">
        <v>2208</v>
      </c>
      <c r="P2334" t="s">
        <v>3067</v>
      </c>
      <c r="Q2334" t="s">
        <v>8270</v>
      </c>
      <c r="R2334" t="s">
        <v>3000</v>
      </c>
    </row>
    <row r="2335" spans="1:18">
      <c r="A2335" t="s">
        <v>7030</v>
      </c>
      <c r="B2335" t="s">
        <v>2920</v>
      </c>
      <c r="C2335">
        <v>45678</v>
      </c>
      <c r="D2335" t="s">
        <v>7263</v>
      </c>
      <c r="E2335" t="s">
        <v>2921</v>
      </c>
      <c r="F2335">
        <v>45685</v>
      </c>
      <c r="G2335" t="s">
        <v>7231</v>
      </c>
      <c r="H2335" t="s">
        <v>2976</v>
      </c>
      <c r="I2335" t="s">
        <v>8277</v>
      </c>
      <c r="J2335">
        <v>0</v>
      </c>
      <c r="K2335">
        <v>-2591.9699999999998</v>
      </c>
      <c r="L2335" t="s">
        <v>2917</v>
      </c>
      <c r="M2335">
        <v>-2591.9699999999998</v>
      </c>
      <c r="N2335" t="s">
        <v>2917</v>
      </c>
      <c r="O2335" t="s">
        <v>2208</v>
      </c>
      <c r="P2335" t="s">
        <v>3068</v>
      </c>
      <c r="Q2335" t="s">
        <v>8270</v>
      </c>
      <c r="R2335" t="s">
        <v>3000</v>
      </c>
    </row>
    <row r="2336" spans="1:18">
      <c r="A2336" t="s">
        <v>7030</v>
      </c>
      <c r="B2336" t="s">
        <v>2920</v>
      </c>
      <c r="C2336">
        <v>45678</v>
      </c>
      <c r="D2336" t="s">
        <v>7263</v>
      </c>
      <c r="E2336" t="s">
        <v>2921</v>
      </c>
      <c r="F2336">
        <v>45685</v>
      </c>
      <c r="G2336" t="s">
        <v>7231</v>
      </c>
      <c r="H2336" t="s">
        <v>2976</v>
      </c>
      <c r="I2336" t="s">
        <v>8277</v>
      </c>
      <c r="J2336">
        <v>0</v>
      </c>
      <c r="K2336">
        <v>-29483.38</v>
      </c>
      <c r="L2336" t="s">
        <v>2917</v>
      </c>
      <c r="M2336">
        <v>-29483.38</v>
      </c>
      <c r="N2336" t="s">
        <v>2917</v>
      </c>
      <c r="O2336" t="s">
        <v>2208</v>
      </c>
      <c r="P2336" t="s">
        <v>7156</v>
      </c>
      <c r="Q2336" t="s">
        <v>8270</v>
      </c>
      <c r="R2336" t="s">
        <v>3000</v>
      </c>
    </row>
    <row r="2337" spans="1:18">
      <c r="A2337" t="s">
        <v>7030</v>
      </c>
      <c r="B2337" t="s">
        <v>2920</v>
      </c>
      <c r="C2337">
        <v>45678</v>
      </c>
      <c r="D2337" t="s">
        <v>7263</v>
      </c>
      <c r="E2337" t="s">
        <v>2921</v>
      </c>
      <c r="F2337">
        <v>45685</v>
      </c>
      <c r="G2337" t="s">
        <v>7231</v>
      </c>
      <c r="H2337" t="s">
        <v>2976</v>
      </c>
      <c r="I2337" t="s">
        <v>8277</v>
      </c>
      <c r="J2337">
        <v>0</v>
      </c>
      <c r="K2337">
        <v>-1877.66</v>
      </c>
      <c r="L2337" t="s">
        <v>2917</v>
      </c>
      <c r="M2337">
        <v>-1877.66</v>
      </c>
      <c r="N2337" t="s">
        <v>2917</v>
      </c>
      <c r="O2337" t="s">
        <v>2208</v>
      </c>
      <c r="P2337" t="s">
        <v>3153</v>
      </c>
      <c r="Q2337" t="s">
        <v>8270</v>
      </c>
      <c r="R2337" t="s">
        <v>3000</v>
      </c>
    </row>
    <row r="2338" spans="1:18">
      <c r="A2338" t="s">
        <v>7030</v>
      </c>
      <c r="B2338" t="s">
        <v>2920</v>
      </c>
      <c r="C2338">
        <v>45678</v>
      </c>
      <c r="D2338" t="s">
        <v>7263</v>
      </c>
      <c r="E2338" t="s">
        <v>2921</v>
      </c>
      <c r="F2338">
        <v>45685</v>
      </c>
      <c r="G2338" t="s">
        <v>7231</v>
      </c>
      <c r="H2338" t="s">
        <v>2976</v>
      </c>
      <c r="I2338" t="s">
        <v>8277</v>
      </c>
      <c r="J2338">
        <v>0</v>
      </c>
      <c r="K2338">
        <v>-1007.02</v>
      </c>
      <c r="L2338" t="s">
        <v>2917</v>
      </c>
      <c r="M2338">
        <v>-1007.02</v>
      </c>
      <c r="N2338" t="s">
        <v>2917</v>
      </c>
      <c r="O2338" t="s">
        <v>2208</v>
      </c>
      <c r="P2338" t="s">
        <v>3154</v>
      </c>
      <c r="Q2338" t="s">
        <v>8270</v>
      </c>
      <c r="R2338" t="s">
        <v>3000</v>
      </c>
    </row>
    <row r="2339" spans="1:18">
      <c r="A2339" t="s">
        <v>7030</v>
      </c>
      <c r="B2339" t="s">
        <v>2920</v>
      </c>
      <c r="C2339">
        <v>45678</v>
      </c>
      <c r="D2339" t="s">
        <v>7263</v>
      </c>
      <c r="E2339" t="s">
        <v>2921</v>
      </c>
      <c r="F2339">
        <v>45685</v>
      </c>
      <c r="G2339" t="s">
        <v>7231</v>
      </c>
      <c r="H2339" t="s">
        <v>2976</v>
      </c>
      <c r="I2339" t="s">
        <v>8277</v>
      </c>
      <c r="J2339">
        <v>0</v>
      </c>
      <c r="K2339">
        <v>-1727.98</v>
      </c>
      <c r="L2339" t="s">
        <v>2917</v>
      </c>
      <c r="M2339">
        <v>-1727.98</v>
      </c>
      <c r="N2339" t="s">
        <v>2917</v>
      </c>
      <c r="O2339" t="s">
        <v>2208</v>
      </c>
      <c r="P2339" t="s">
        <v>3155</v>
      </c>
      <c r="Q2339" t="s">
        <v>8270</v>
      </c>
      <c r="R2339" t="s">
        <v>3000</v>
      </c>
    </row>
    <row r="2340" spans="1:18">
      <c r="A2340" t="s">
        <v>7030</v>
      </c>
      <c r="B2340" t="s">
        <v>2920</v>
      </c>
      <c r="C2340">
        <v>45678</v>
      </c>
      <c r="D2340" t="s">
        <v>7263</v>
      </c>
      <c r="E2340" t="s">
        <v>2921</v>
      </c>
      <c r="F2340">
        <v>45685</v>
      </c>
      <c r="G2340" t="s">
        <v>7231</v>
      </c>
      <c r="H2340" t="s">
        <v>2976</v>
      </c>
      <c r="I2340" t="s">
        <v>8277</v>
      </c>
      <c r="J2340">
        <v>0</v>
      </c>
      <c r="K2340">
        <v>-31494.09</v>
      </c>
      <c r="L2340" t="s">
        <v>2917</v>
      </c>
      <c r="M2340">
        <v>-31494.09</v>
      </c>
      <c r="N2340" t="s">
        <v>2917</v>
      </c>
      <c r="O2340" t="s">
        <v>2208</v>
      </c>
      <c r="P2340" t="s">
        <v>8745</v>
      </c>
      <c r="Q2340" t="s">
        <v>8270</v>
      </c>
      <c r="R2340" t="s">
        <v>3000</v>
      </c>
    </row>
    <row r="2341" spans="1:18">
      <c r="A2341" t="s">
        <v>7030</v>
      </c>
      <c r="B2341" t="s">
        <v>2920</v>
      </c>
      <c r="C2341">
        <v>45678</v>
      </c>
      <c r="D2341" t="s">
        <v>7263</v>
      </c>
      <c r="E2341" t="s">
        <v>2921</v>
      </c>
      <c r="F2341">
        <v>45685</v>
      </c>
      <c r="G2341" t="s">
        <v>7231</v>
      </c>
      <c r="H2341" t="s">
        <v>2976</v>
      </c>
      <c r="I2341" t="s">
        <v>8277</v>
      </c>
      <c r="J2341">
        <v>0</v>
      </c>
      <c r="K2341">
        <v>-2027.34</v>
      </c>
      <c r="L2341" t="s">
        <v>2917</v>
      </c>
      <c r="M2341">
        <v>-2027.34</v>
      </c>
      <c r="N2341" t="s">
        <v>2917</v>
      </c>
      <c r="O2341" t="s">
        <v>2208</v>
      </c>
      <c r="P2341" t="s">
        <v>7157</v>
      </c>
      <c r="Q2341" t="s">
        <v>8270</v>
      </c>
      <c r="R2341" t="s">
        <v>3000</v>
      </c>
    </row>
    <row r="2342" spans="1:18">
      <c r="A2342" t="s">
        <v>7030</v>
      </c>
      <c r="B2342" t="s">
        <v>2920</v>
      </c>
      <c r="C2342">
        <v>45678</v>
      </c>
      <c r="D2342" t="s">
        <v>7263</v>
      </c>
      <c r="E2342" t="s">
        <v>2921</v>
      </c>
      <c r="F2342">
        <v>45685</v>
      </c>
      <c r="G2342" t="s">
        <v>7231</v>
      </c>
      <c r="H2342" t="s">
        <v>2976</v>
      </c>
      <c r="I2342" t="s">
        <v>8277</v>
      </c>
      <c r="J2342">
        <v>0</v>
      </c>
      <c r="K2342">
        <v>-1007.02</v>
      </c>
      <c r="L2342" t="s">
        <v>2917</v>
      </c>
      <c r="M2342">
        <v>-1007.02</v>
      </c>
      <c r="N2342" t="s">
        <v>2917</v>
      </c>
      <c r="O2342" t="s">
        <v>2208</v>
      </c>
      <c r="P2342" t="s">
        <v>7158</v>
      </c>
      <c r="Q2342" t="s">
        <v>8270</v>
      </c>
      <c r="R2342" t="s">
        <v>3000</v>
      </c>
    </row>
    <row r="2343" spans="1:18">
      <c r="A2343" t="s">
        <v>7030</v>
      </c>
      <c r="B2343" t="s">
        <v>2920</v>
      </c>
      <c r="C2343">
        <v>45678</v>
      </c>
      <c r="D2343" t="s">
        <v>7263</v>
      </c>
      <c r="E2343" t="s">
        <v>2921</v>
      </c>
      <c r="F2343">
        <v>45685</v>
      </c>
      <c r="G2343" t="s">
        <v>7231</v>
      </c>
      <c r="H2343" t="s">
        <v>2976</v>
      </c>
      <c r="I2343" t="s">
        <v>8277</v>
      </c>
      <c r="J2343">
        <v>0</v>
      </c>
      <c r="K2343">
        <v>-1727.98</v>
      </c>
      <c r="L2343" t="s">
        <v>2917</v>
      </c>
      <c r="M2343">
        <v>-1727.98</v>
      </c>
      <c r="N2343" t="s">
        <v>2917</v>
      </c>
      <c r="O2343" t="s">
        <v>2208</v>
      </c>
      <c r="P2343" t="s">
        <v>7159</v>
      </c>
      <c r="Q2343" t="s">
        <v>8270</v>
      </c>
      <c r="R2343" t="s">
        <v>3000</v>
      </c>
    </row>
    <row r="2344" spans="1:18">
      <c r="A2344" t="s">
        <v>7030</v>
      </c>
      <c r="B2344" t="s">
        <v>2920</v>
      </c>
      <c r="C2344">
        <v>45678</v>
      </c>
      <c r="D2344" t="s">
        <v>7263</v>
      </c>
      <c r="E2344" t="s">
        <v>2921</v>
      </c>
      <c r="F2344">
        <v>45685</v>
      </c>
      <c r="G2344" t="s">
        <v>7231</v>
      </c>
      <c r="H2344" t="s">
        <v>2976</v>
      </c>
      <c r="I2344" t="s">
        <v>8277</v>
      </c>
      <c r="J2344">
        <v>0</v>
      </c>
      <c r="K2344">
        <v>-12840.95</v>
      </c>
      <c r="L2344" t="s">
        <v>2917</v>
      </c>
      <c r="M2344">
        <v>-12840.95</v>
      </c>
      <c r="N2344" t="s">
        <v>2917</v>
      </c>
      <c r="O2344" t="s">
        <v>2208</v>
      </c>
      <c r="P2344" t="s">
        <v>3007</v>
      </c>
      <c r="Q2344" t="s">
        <v>8270</v>
      </c>
      <c r="R2344" t="s">
        <v>3000</v>
      </c>
    </row>
    <row r="2345" spans="1:18">
      <c r="A2345" t="s">
        <v>7030</v>
      </c>
      <c r="B2345" t="s">
        <v>2920</v>
      </c>
      <c r="C2345">
        <v>45678</v>
      </c>
      <c r="D2345" t="s">
        <v>7263</v>
      </c>
      <c r="E2345" t="s">
        <v>2921</v>
      </c>
      <c r="F2345">
        <v>45685</v>
      </c>
      <c r="G2345" t="s">
        <v>7231</v>
      </c>
      <c r="H2345" t="s">
        <v>2976</v>
      </c>
      <c r="I2345" t="s">
        <v>8277</v>
      </c>
      <c r="J2345">
        <v>0</v>
      </c>
      <c r="K2345">
        <v>-7923.1</v>
      </c>
      <c r="L2345" t="s">
        <v>2917</v>
      </c>
      <c r="M2345">
        <v>-7923.1</v>
      </c>
      <c r="N2345" t="s">
        <v>2917</v>
      </c>
      <c r="O2345" t="s">
        <v>2208</v>
      </c>
      <c r="P2345" t="s">
        <v>8746</v>
      </c>
      <c r="Q2345" t="s">
        <v>8270</v>
      </c>
      <c r="R2345" t="s">
        <v>3000</v>
      </c>
    </row>
    <row r="2346" spans="1:18">
      <c r="A2346" t="s">
        <v>7030</v>
      </c>
      <c r="B2346" t="s">
        <v>2920</v>
      </c>
      <c r="C2346">
        <v>45678</v>
      </c>
      <c r="D2346" t="s">
        <v>7263</v>
      </c>
      <c r="E2346" t="s">
        <v>2921</v>
      </c>
      <c r="F2346">
        <v>45685</v>
      </c>
      <c r="G2346" t="s">
        <v>7231</v>
      </c>
      <c r="H2346" t="s">
        <v>2976</v>
      </c>
      <c r="I2346" t="s">
        <v>8277</v>
      </c>
      <c r="J2346">
        <v>0</v>
      </c>
      <c r="K2346">
        <v>-214.13</v>
      </c>
      <c r="L2346" t="s">
        <v>2917</v>
      </c>
      <c r="M2346">
        <v>-214.13</v>
      </c>
      <c r="N2346" t="s">
        <v>2917</v>
      </c>
      <c r="O2346" t="s">
        <v>2208</v>
      </c>
      <c r="P2346" t="s">
        <v>3069</v>
      </c>
      <c r="Q2346" t="s">
        <v>8270</v>
      </c>
      <c r="R2346" t="s">
        <v>3000</v>
      </c>
    </row>
    <row r="2347" spans="1:18">
      <c r="A2347" t="s">
        <v>7030</v>
      </c>
      <c r="B2347" t="s">
        <v>2920</v>
      </c>
      <c r="C2347">
        <v>45678</v>
      </c>
      <c r="D2347" t="s">
        <v>7263</v>
      </c>
      <c r="E2347" t="s">
        <v>2921</v>
      </c>
      <c r="F2347">
        <v>45685</v>
      </c>
      <c r="G2347" t="s">
        <v>7231</v>
      </c>
      <c r="H2347" t="s">
        <v>2976</v>
      </c>
      <c r="I2347" t="s">
        <v>8277</v>
      </c>
      <c r="J2347">
        <v>0</v>
      </c>
      <c r="K2347">
        <v>-168.39</v>
      </c>
      <c r="L2347" t="s">
        <v>2917</v>
      </c>
      <c r="M2347">
        <v>-168.39</v>
      </c>
      <c r="N2347" t="s">
        <v>2917</v>
      </c>
      <c r="O2347" t="s">
        <v>2208</v>
      </c>
      <c r="P2347" t="s">
        <v>7162</v>
      </c>
      <c r="Q2347" t="s">
        <v>8270</v>
      </c>
      <c r="R2347" t="s">
        <v>3000</v>
      </c>
    </row>
    <row r="2348" spans="1:18">
      <c r="A2348" t="s">
        <v>7030</v>
      </c>
      <c r="B2348" t="s">
        <v>2920</v>
      </c>
      <c r="C2348">
        <v>45678</v>
      </c>
      <c r="D2348" t="s">
        <v>7263</v>
      </c>
      <c r="E2348" t="s">
        <v>2921</v>
      </c>
      <c r="F2348">
        <v>45685</v>
      </c>
      <c r="G2348" t="s">
        <v>7231</v>
      </c>
      <c r="H2348" t="s">
        <v>2976</v>
      </c>
      <c r="I2348" t="s">
        <v>8277</v>
      </c>
      <c r="J2348">
        <v>0</v>
      </c>
      <c r="K2348">
        <v>-4908.49</v>
      </c>
      <c r="L2348" t="s">
        <v>2917</v>
      </c>
      <c r="M2348">
        <v>-4908.49</v>
      </c>
      <c r="N2348" t="s">
        <v>2917</v>
      </c>
      <c r="O2348" t="s">
        <v>2208</v>
      </c>
      <c r="P2348" t="s">
        <v>7163</v>
      </c>
      <c r="Q2348" t="s">
        <v>8270</v>
      </c>
      <c r="R2348" t="s">
        <v>3000</v>
      </c>
    </row>
    <row r="2349" spans="1:18">
      <c r="A2349" t="s">
        <v>7030</v>
      </c>
      <c r="B2349" t="s">
        <v>2920</v>
      </c>
      <c r="C2349">
        <v>45672</v>
      </c>
      <c r="D2349" t="s">
        <v>7263</v>
      </c>
      <c r="E2349" t="s">
        <v>2921</v>
      </c>
      <c r="F2349">
        <v>45685</v>
      </c>
      <c r="G2349" t="s">
        <v>7245</v>
      </c>
      <c r="H2349" t="s">
        <v>2978</v>
      </c>
      <c r="I2349" t="s">
        <v>8278</v>
      </c>
      <c r="J2349">
        <v>0</v>
      </c>
      <c r="K2349">
        <v>64369</v>
      </c>
      <c r="L2349" t="s">
        <v>2917</v>
      </c>
      <c r="M2349">
        <v>64369</v>
      </c>
      <c r="N2349" t="s">
        <v>2917</v>
      </c>
      <c r="O2349" t="s">
        <v>2208</v>
      </c>
      <c r="P2349" t="s">
        <v>7246</v>
      </c>
      <c r="Q2349" t="s">
        <v>2980</v>
      </c>
      <c r="R2349" t="s">
        <v>2981</v>
      </c>
    </row>
    <row r="2350" spans="1:18">
      <c r="A2350" t="s">
        <v>7030</v>
      </c>
      <c r="B2350" t="s">
        <v>2920</v>
      </c>
      <c r="C2350">
        <v>45672</v>
      </c>
      <c r="D2350" t="s">
        <v>7263</v>
      </c>
      <c r="E2350" t="s">
        <v>2921</v>
      </c>
      <c r="F2350">
        <v>45685</v>
      </c>
      <c r="G2350" t="s">
        <v>7245</v>
      </c>
      <c r="H2350" t="s">
        <v>2978</v>
      </c>
      <c r="I2350" t="s">
        <v>8278</v>
      </c>
      <c r="J2350">
        <v>0</v>
      </c>
      <c r="K2350">
        <v>52</v>
      </c>
      <c r="L2350" t="s">
        <v>2917</v>
      </c>
      <c r="M2350">
        <v>52</v>
      </c>
      <c r="N2350" t="s">
        <v>2917</v>
      </c>
      <c r="O2350" t="s">
        <v>2208</v>
      </c>
      <c r="P2350" t="s">
        <v>7247</v>
      </c>
      <c r="Q2350" t="s">
        <v>2980</v>
      </c>
      <c r="R2350" t="s">
        <v>2981</v>
      </c>
    </row>
    <row r="2351" spans="1:18">
      <c r="A2351" t="s">
        <v>7030</v>
      </c>
      <c r="B2351" t="s">
        <v>2920</v>
      </c>
      <c r="C2351">
        <v>45639</v>
      </c>
      <c r="D2351" t="s">
        <v>7263</v>
      </c>
      <c r="E2351" t="s">
        <v>2921</v>
      </c>
      <c r="F2351">
        <v>45685</v>
      </c>
      <c r="G2351" t="s">
        <v>7245</v>
      </c>
      <c r="H2351" t="s">
        <v>2978</v>
      </c>
      <c r="I2351" t="s">
        <v>8279</v>
      </c>
      <c r="J2351">
        <v>0</v>
      </c>
      <c r="K2351">
        <v>69114.5</v>
      </c>
      <c r="L2351" t="s">
        <v>2917</v>
      </c>
      <c r="M2351">
        <v>69114.5</v>
      </c>
      <c r="N2351" t="s">
        <v>2917</v>
      </c>
      <c r="O2351" t="s">
        <v>2208</v>
      </c>
      <c r="P2351" t="s">
        <v>7246</v>
      </c>
      <c r="Q2351" t="s">
        <v>2980</v>
      </c>
      <c r="R2351" t="s">
        <v>2981</v>
      </c>
    </row>
    <row r="2352" spans="1:18">
      <c r="A2352" t="s">
        <v>7030</v>
      </c>
      <c r="B2352" t="s">
        <v>2920</v>
      </c>
      <c r="C2352">
        <v>45639</v>
      </c>
      <c r="D2352" t="s">
        <v>7263</v>
      </c>
      <c r="E2352" t="s">
        <v>2921</v>
      </c>
      <c r="F2352">
        <v>45685</v>
      </c>
      <c r="G2352" t="s">
        <v>7245</v>
      </c>
      <c r="H2352" t="s">
        <v>2978</v>
      </c>
      <c r="I2352" t="s">
        <v>8279</v>
      </c>
      <c r="J2352">
        <v>0</v>
      </c>
      <c r="K2352">
        <v>130.15</v>
      </c>
      <c r="L2352" t="s">
        <v>2917</v>
      </c>
      <c r="M2352">
        <v>130.15</v>
      </c>
      <c r="N2352" t="s">
        <v>2917</v>
      </c>
      <c r="O2352" t="s">
        <v>2208</v>
      </c>
      <c r="P2352" t="s">
        <v>7247</v>
      </c>
      <c r="Q2352" t="s">
        <v>2980</v>
      </c>
      <c r="R2352" t="s">
        <v>2981</v>
      </c>
    </row>
    <row r="2353" spans="1:18">
      <c r="A2353" t="s">
        <v>7030</v>
      </c>
      <c r="B2353" t="s">
        <v>2920</v>
      </c>
      <c r="C2353">
        <v>45611</v>
      </c>
      <c r="D2353" t="s">
        <v>7263</v>
      </c>
      <c r="E2353" t="s">
        <v>2921</v>
      </c>
      <c r="F2353">
        <v>45685</v>
      </c>
      <c r="G2353" t="s">
        <v>7245</v>
      </c>
      <c r="H2353" t="s">
        <v>2978</v>
      </c>
      <c r="I2353" t="s">
        <v>8280</v>
      </c>
      <c r="J2353">
        <v>0</v>
      </c>
      <c r="K2353">
        <v>43874.5</v>
      </c>
      <c r="L2353" t="s">
        <v>2917</v>
      </c>
      <c r="M2353">
        <v>43874.5</v>
      </c>
      <c r="N2353" t="s">
        <v>2917</v>
      </c>
      <c r="O2353" t="s">
        <v>2208</v>
      </c>
      <c r="P2353" t="s">
        <v>7246</v>
      </c>
      <c r="Q2353" t="s">
        <v>2980</v>
      </c>
      <c r="R2353" t="s">
        <v>2981</v>
      </c>
    </row>
    <row r="2354" spans="1:18">
      <c r="A2354" t="s">
        <v>7030</v>
      </c>
      <c r="B2354" t="s">
        <v>2920</v>
      </c>
      <c r="C2354">
        <v>45611</v>
      </c>
      <c r="D2354" t="s">
        <v>7263</v>
      </c>
      <c r="E2354" t="s">
        <v>2921</v>
      </c>
      <c r="F2354">
        <v>45685</v>
      </c>
      <c r="G2354" t="s">
        <v>7245</v>
      </c>
      <c r="H2354" t="s">
        <v>2978</v>
      </c>
      <c r="I2354" t="s">
        <v>8280</v>
      </c>
      <c r="J2354">
        <v>0</v>
      </c>
      <c r="K2354">
        <v>100.45</v>
      </c>
      <c r="L2354" t="s">
        <v>2917</v>
      </c>
      <c r="M2354">
        <v>100.45</v>
      </c>
      <c r="N2354" t="s">
        <v>2917</v>
      </c>
      <c r="O2354" t="s">
        <v>2208</v>
      </c>
      <c r="P2354" t="s">
        <v>7247</v>
      </c>
      <c r="Q2354" t="s">
        <v>2980</v>
      </c>
      <c r="R2354" t="s">
        <v>2981</v>
      </c>
    </row>
    <row r="2355" spans="1:18">
      <c r="A2355" t="s">
        <v>7030</v>
      </c>
      <c r="B2355" t="s">
        <v>2920</v>
      </c>
      <c r="C2355">
        <v>45580</v>
      </c>
      <c r="D2355" t="s">
        <v>7263</v>
      </c>
      <c r="E2355" t="s">
        <v>2921</v>
      </c>
      <c r="F2355">
        <v>45686</v>
      </c>
      <c r="G2355" t="s">
        <v>7245</v>
      </c>
      <c r="H2355" t="s">
        <v>2978</v>
      </c>
      <c r="I2355" t="s">
        <v>8281</v>
      </c>
      <c r="J2355">
        <v>0</v>
      </c>
      <c r="K2355">
        <v>3217.5</v>
      </c>
      <c r="L2355" t="s">
        <v>2917</v>
      </c>
      <c r="M2355">
        <v>3217.5</v>
      </c>
      <c r="N2355" t="s">
        <v>2917</v>
      </c>
      <c r="O2355" t="s">
        <v>2208</v>
      </c>
      <c r="P2355" t="s">
        <v>7246</v>
      </c>
      <c r="Q2355" t="s">
        <v>2980</v>
      </c>
      <c r="R2355" t="s">
        <v>2981</v>
      </c>
    </row>
    <row r="2356" spans="1:18">
      <c r="A2356" t="s">
        <v>2418</v>
      </c>
      <c r="B2356" t="s">
        <v>7740</v>
      </c>
      <c r="C2356">
        <v>45685</v>
      </c>
      <c r="D2356" t="s">
        <v>7263</v>
      </c>
      <c r="E2356" t="s">
        <v>2925</v>
      </c>
      <c r="F2356">
        <v>45689</v>
      </c>
      <c r="G2356" t="s">
        <v>8282</v>
      </c>
      <c r="H2356" t="s">
        <v>8283</v>
      </c>
      <c r="I2356" t="s">
        <v>8284</v>
      </c>
      <c r="J2356">
        <v>0</v>
      </c>
      <c r="K2356">
        <v>4005</v>
      </c>
      <c r="L2356" t="s">
        <v>2917</v>
      </c>
      <c r="M2356">
        <v>4005</v>
      </c>
      <c r="N2356" t="s">
        <v>2917</v>
      </c>
      <c r="O2356" t="s">
        <v>2208</v>
      </c>
      <c r="P2356" t="s">
        <v>6960</v>
      </c>
      <c r="Q2356" t="s">
        <v>8285</v>
      </c>
      <c r="R2356" t="s">
        <v>8286</v>
      </c>
    </row>
    <row r="2357" spans="1:18">
      <c r="A2357" t="s">
        <v>2418</v>
      </c>
      <c r="B2357" t="s">
        <v>7740</v>
      </c>
      <c r="C2357">
        <v>45686</v>
      </c>
      <c r="D2357" t="s">
        <v>7263</v>
      </c>
      <c r="E2357" t="s">
        <v>2925</v>
      </c>
      <c r="F2357">
        <v>45693</v>
      </c>
      <c r="G2357" t="s">
        <v>2992</v>
      </c>
      <c r="H2357" t="s">
        <v>2978</v>
      </c>
      <c r="I2357" t="s">
        <v>8472</v>
      </c>
      <c r="J2357">
        <v>0</v>
      </c>
      <c r="K2357">
        <v>26104</v>
      </c>
      <c r="L2357" t="s">
        <v>2917</v>
      </c>
      <c r="M2357">
        <v>26104</v>
      </c>
      <c r="N2357" t="s">
        <v>2917</v>
      </c>
      <c r="O2357" t="s">
        <v>2208</v>
      </c>
      <c r="P2357" t="s">
        <v>2993</v>
      </c>
      <c r="Q2357" t="s">
        <v>8473</v>
      </c>
      <c r="R2357" t="s">
        <v>2994</v>
      </c>
    </row>
    <row r="2358" spans="1:18">
      <c r="A2358" t="s">
        <v>2418</v>
      </c>
      <c r="B2358" t="s">
        <v>7740</v>
      </c>
      <c r="C2358">
        <v>45688</v>
      </c>
      <c r="D2358" t="s">
        <v>7263</v>
      </c>
      <c r="E2358" t="s">
        <v>2925</v>
      </c>
      <c r="F2358">
        <v>45700</v>
      </c>
      <c r="G2358" t="s">
        <v>3042</v>
      </c>
      <c r="H2358" t="s">
        <v>2978</v>
      </c>
      <c r="I2358" t="s">
        <v>8747</v>
      </c>
      <c r="J2358">
        <v>0</v>
      </c>
      <c r="K2358">
        <v>2964.5</v>
      </c>
      <c r="L2358" t="s">
        <v>2917</v>
      </c>
      <c r="M2358">
        <v>2964.5</v>
      </c>
      <c r="N2358" t="s">
        <v>2917</v>
      </c>
      <c r="O2358" t="s">
        <v>2208</v>
      </c>
      <c r="P2358" t="s">
        <v>3045</v>
      </c>
      <c r="Q2358" t="s">
        <v>3044</v>
      </c>
      <c r="R2358" t="s">
        <v>3321</v>
      </c>
    </row>
    <row r="2359" spans="1:18">
      <c r="A2359" t="s">
        <v>7030</v>
      </c>
      <c r="B2359" t="s">
        <v>7740</v>
      </c>
      <c r="C2359">
        <v>45688</v>
      </c>
      <c r="D2359" t="s">
        <v>7263</v>
      </c>
      <c r="E2359" t="s">
        <v>2925</v>
      </c>
      <c r="F2359">
        <v>45705</v>
      </c>
      <c r="G2359" t="s">
        <v>7138</v>
      </c>
      <c r="H2359" t="s">
        <v>2978</v>
      </c>
      <c r="I2359" t="s">
        <v>8748</v>
      </c>
      <c r="J2359">
        <v>0</v>
      </c>
      <c r="K2359">
        <v>1029</v>
      </c>
      <c r="L2359" t="s">
        <v>2917</v>
      </c>
      <c r="M2359">
        <v>1029</v>
      </c>
      <c r="N2359" t="s">
        <v>2917</v>
      </c>
      <c r="O2359" t="s">
        <v>2208</v>
      </c>
      <c r="P2359" t="s">
        <v>3043</v>
      </c>
      <c r="Q2359" t="s">
        <v>3044</v>
      </c>
      <c r="R2359" t="s">
        <v>3321</v>
      </c>
    </row>
    <row r="2360" spans="1:18">
      <c r="A2360" t="s">
        <v>7030</v>
      </c>
      <c r="B2360" t="s">
        <v>7740</v>
      </c>
      <c r="C2360">
        <v>45688</v>
      </c>
      <c r="D2360" t="s">
        <v>7263</v>
      </c>
      <c r="E2360" t="s">
        <v>2925</v>
      </c>
      <c r="F2360">
        <v>45705</v>
      </c>
      <c r="G2360" t="s">
        <v>7138</v>
      </c>
      <c r="H2360" t="s">
        <v>2978</v>
      </c>
      <c r="I2360" t="s">
        <v>8748</v>
      </c>
      <c r="J2360">
        <v>0</v>
      </c>
      <c r="K2360">
        <v>980</v>
      </c>
      <c r="L2360" t="s">
        <v>2917</v>
      </c>
      <c r="M2360">
        <v>980</v>
      </c>
      <c r="N2360" t="s">
        <v>2917</v>
      </c>
      <c r="O2360" t="s">
        <v>2208</v>
      </c>
      <c r="P2360" t="s">
        <v>7141</v>
      </c>
      <c r="Q2360" t="s">
        <v>3044</v>
      </c>
      <c r="R2360" t="s">
        <v>3321</v>
      </c>
    </row>
    <row r="2361" spans="1:18">
      <c r="A2361" t="s">
        <v>709</v>
      </c>
      <c r="B2361" t="s">
        <v>7740</v>
      </c>
      <c r="C2361">
        <v>45699</v>
      </c>
      <c r="D2361" t="s">
        <v>7263</v>
      </c>
      <c r="E2361" t="s">
        <v>2925</v>
      </c>
      <c r="F2361">
        <v>45707</v>
      </c>
      <c r="G2361" t="s">
        <v>8749</v>
      </c>
      <c r="H2361" t="s">
        <v>2976</v>
      </c>
      <c r="I2361" t="s">
        <v>8750</v>
      </c>
      <c r="J2361">
        <v>0</v>
      </c>
      <c r="K2361">
        <v>2244</v>
      </c>
      <c r="L2361" t="s">
        <v>2917</v>
      </c>
      <c r="M2361">
        <v>2244</v>
      </c>
      <c r="N2361" t="s">
        <v>2917</v>
      </c>
      <c r="O2361" t="s">
        <v>2208</v>
      </c>
      <c r="P2361" t="s">
        <v>8751</v>
      </c>
      <c r="Q2361" t="s">
        <v>3040</v>
      </c>
      <c r="R2361" t="s">
        <v>3041</v>
      </c>
    </row>
    <row r="2362" spans="1:18">
      <c r="A2362" t="s">
        <v>7030</v>
      </c>
      <c r="B2362" t="s">
        <v>7740</v>
      </c>
      <c r="C2362">
        <v>45672</v>
      </c>
      <c r="D2362" t="s">
        <v>7263</v>
      </c>
      <c r="E2362" t="s">
        <v>2925</v>
      </c>
      <c r="F2362">
        <v>45708</v>
      </c>
      <c r="G2362" t="s">
        <v>7133</v>
      </c>
      <c r="H2362" t="s">
        <v>2978</v>
      </c>
      <c r="I2362" t="s">
        <v>8752</v>
      </c>
      <c r="J2362">
        <v>0</v>
      </c>
      <c r="K2362">
        <v>11945</v>
      </c>
      <c r="L2362" t="s">
        <v>2917</v>
      </c>
      <c r="M2362">
        <v>11945</v>
      </c>
      <c r="N2362" t="s">
        <v>2917</v>
      </c>
      <c r="O2362" t="s">
        <v>2208</v>
      </c>
      <c r="P2362" t="s">
        <v>3010</v>
      </c>
      <c r="Q2362" t="s">
        <v>2980</v>
      </c>
      <c r="R2362" t="s">
        <v>2981</v>
      </c>
    </row>
    <row r="2363" spans="1:18">
      <c r="A2363" t="s">
        <v>7030</v>
      </c>
      <c r="B2363" t="s">
        <v>7740</v>
      </c>
      <c r="C2363">
        <v>45672</v>
      </c>
      <c r="D2363" t="s">
        <v>7263</v>
      </c>
      <c r="E2363" t="s">
        <v>2925</v>
      </c>
      <c r="F2363">
        <v>45708</v>
      </c>
      <c r="G2363" t="s">
        <v>7133</v>
      </c>
      <c r="H2363" t="s">
        <v>2978</v>
      </c>
      <c r="I2363" t="s">
        <v>8752</v>
      </c>
      <c r="J2363">
        <v>0</v>
      </c>
      <c r="K2363">
        <v>13.5</v>
      </c>
      <c r="L2363" t="s">
        <v>2917</v>
      </c>
      <c r="M2363">
        <v>13.5</v>
      </c>
      <c r="N2363" t="s">
        <v>2917</v>
      </c>
      <c r="O2363" t="s">
        <v>2208</v>
      </c>
      <c r="P2363" t="s">
        <v>7134</v>
      </c>
      <c r="Q2363" t="s">
        <v>2980</v>
      </c>
      <c r="R2363" t="s">
        <v>2981</v>
      </c>
    </row>
    <row r="2364" spans="1:18">
      <c r="A2364" t="s">
        <v>2237</v>
      </c>
      <c r="B2364" t="s">
        <v>7740</v>
      </c>
      <c r="C2364">
        <v>45672</v>
      </c>
      <c r="D2364" t="s">
        <v>7263</v>
      </c>
      <c r="E2364" t="s">
        <v>2925</v>
      </c>
      <c r="F2364">
        <v>45708</v>
      </c>
      <c r="G2364" t="s">
        <v>2998</v>
      </c>
      <c r="H2364" t="s">
        <v>2978</v>
      </c>
      <c r="I2364" t="s">
        <v>8753</v>
      </c>
      <c r="J2364">
        <v>0</v>
      </c>
      <c r="K2364">
        <v>240</v>
      </c>
      <c r="L2364" t="s">
        <v>2917</v>
      </c>
      <c r="M2364">
        <v>240</v>
      </c>
      <c r="N2364" t="s">
        <v>2917</v>
      </c>
      <c r="O2364" t="s">
        <v>2208</v>
      </c>
      <c r="P2364" t="s">
        <v>2999</v>
      </c>
      <c r="Q2364" t="s">
        <v>2980</v>
      </c>
      <c r="R2364" t="s">
        <v>2981</v>
      </c>
    </row>
    <row r="2365" spans="1:18">
      <c r="A2365" t="s">
        <v>2418</v>
      </c>
      <c r="B2365" t="s">
        <v>7740</v>
      </c>
      <c r="C2365">
        <v>45672</v>
      </c>
      <c r="D2365" t="s">
        <v>7263</v>
      </c>
      <c r="E2365" t="s">
        <v>2925</v>
      </c>
      <c r="F2365">
        <v>45708</v>
      </c>
      <c r="G2365" t="s">
        <v>3002</v>
      </c>
      <c r="H2365" t="s">
        <v>2978</v>
      </c>
      <c r="I2365" t="s">
        <v>8754</v>
      </c>
      <c r="J2365">
        <v>0</v>
      </c>
      <c r="K2365">
        <v>5920</v>
      </c>
      <c r="L2365" t="s">
        <v>2917</v>
      </c>
      <c r="M2365">
        <v>5920</v>
      </c>
      <c r="N2365" t="s">
        <v>2917</v>
      </c>
      <c r="O2365" t="s">
        <v>2208</v>
      </c>
      <c r="P2365" t="s">
        <v>3003</v>
      </c>
      <c r="Q2365" t="s">
        <v>2980</v>
      </c>
      <c r="R2365" t="s">
        <v>2981</v>
      </c>
    </row>
    <row r="2366" spans="1:18">
      <c r="A2366" t="s">
        <v>2418</v>
      </c>
      <c r="B2366" t="s">
        <v>7740</v>
      </c>
      <c r="C2366">
        <v>45672</v>
      </c>
      <c r="D2366" t="s">
        <v>7263</v>
      </c>
      <c r="E2366" t="s">
        <v>2925</v>
      </c>
      <c r="F2366">
        <v>45708</v>
      </c>
      <c r="G2366" t="s">
        <v>3002</v>
      </c>
      <c r="H2366" t="s">
        <v>2978</v>
      </c>
      <c r="I2366" t="s">
        <v>8754</v>
      </c>
      <c r="J2366">
        <v>0</v>
      </c>
      <c r="K2366">
        <v>26.6</v>
      </c>
      <c r="L2366" t="s">
        <v>2917</v>
      </c>
      <c r="M2366">
        <v>26.6</v>
      </c>
      <c r="N2366" t="s">
        <v>2917</v>
      </c>
      <c r="O2366" t="s">
        <v>2208</v>
      </c>
      <c r="P2366" t="s">
        <v>3004</v>
      </c>
      <c r="Q2366" t="s">
        <v>2980</v>
      </c>
      <c r="R2366" t="s">
        <v>2981</v>
      </c>
    </row>
    <row r="2367" spans="1:18">
      <c r="A2367" t="s">
        <v>2418</v>
      </c>
      <c r="B2367" t="s">
        <v>7740</v>
      </c>
      <c r="C2367">
        <v>45708</v>
      </c>
      <c r="D2367" t="s">
        <v>7263</v>
      </c>
      <c r="E2367" t="s">
        <v>2925</v>
      </c>
      <c r="F2367">
        <v>45709</v>
      </c>
      <c r="G2367" t="s">
        <v>3054</v>
      </c>
      <c r="H2367" t="s">
        <v>2976</v>
      </c>
      <c r="I2367" t="s">
        <v>8755</v>
      </c>
      <c r="J2367">
        <v>0</v>
      </c>
      <c r="K2367">
        <v>363446.4</v>
      </c>
      <c r="L2367" t="s">
        <v>2917</v>
      </c>
      <c r="M2367">
        <v>363446.4</v>
      </c>
      <c r="N2367" t="s">
        <v>2917</v>
      </c>
      <c r="O2367" t="s">
        <v>2208</v>
      </c>
      <c r="P2367" t="s">
        <v>3322</v>
      </c>
      <c r="Q2367" t="s">
        <v>8756</v>
      </c>
      <c r="R2367" t="s">
        <v>3055</v>
      </c>
    </row>
    <row r="2368" spans="1:18">
      <c r="A2368" t="s">
        <v>2418</v>
      </c>
      <c r="B2368" t="s">
        <v>7740</v>
      </c>
      <c r="C2368">
        <v>45708</v>
      </c>
      <c r="D2368" t="s">
        <v>7263</v>
      </c>
      <c r="E2368" t="s">
        <v>2925</v>
      </c>
      <c r="F2368">
        <v>45709</v>
      </c>
      <c r="G2368" t="s">
        <v>3054</v>
      </c>
      <c r="H2368" t="s">
        <v>2976</v>
      </c>
      <c r="I2368" t="s">
        <v>8755</v>
      </c>
      <c r="J2368">
        <v>0</v>
      </c>
      <c r="K2368">
        <v>22008.799999999999</v>
      </c>
      <c r="L2368" t="s">
        <v>2917</v>
      </c>
      <c r="M2368">
        <v>22008.799999999999</v>
      </c>
      <c r="N2368" t="s">
        <v>2917</v>
      </c>
      <c r="O2368" t="s">
        <v>2208</v>
      </c>
      <c r="P2368" t="s">
        <v>3323</v>
      </c>
      <c r="Q2368" t="s">
        <v>8756</v>
      </c>
      <c r="R2368" t="s">
        <v>3055</v>
      </c>
    </row>
    <row r="2369" spans="1:18">
      <c r="A2369" t="s">
        <v>2418</v>
      </c>
      <c r="B2369" t="s">
        <v>7740</v>
      </c>
      <c r="C2369">
        <v>45701</v>
      </c>
      <c r="D2369" t="s">
        <v>7263</v>
      </c>
      <c r="E2369" t="s">
        <v>2925</v>
      </c>
      <c r="F2369">
        <v>45709</v>
      </c>
      <c r="G2369" t="s">
        <v>2985</v>
      </c>
      <c r="H2369" t="s">
        <v>2978</v>
      </c>
      <c r="I2369" t="s">
        <v>8757</v>
      </c>
      <c r="J2369">
        <v>0</v>
      </c>
      <c r="K2369">
        <v>27664.5</v>
      </c>
      <c r="L2369" t="s">
        <v>2917</v>
      </c>
      <c r="M2369">
        <v>27664.5</v>
      </c>
      <c r="N2369" t="s">
        <v>2917</v>
      </c>
      <c r="O2369" t="s">
        <v>2208</v>
      </c>
      <c r="P2369" t="s">
        <v>3317</v>
      </c>
      <c r="Q2369" t="s">
        <v>2980</v>
      </c>
      <c r="R2369" t="s">
        <v>2981</v>
      </c>
    </row>
    <row r="2370" spans="1:18">
      <c r="A2370" t="s">
        <v>2418</v>
      </c>
      <c r="B2370" t="s">
        <v>7740</v>
      </c>
      <c r="C2370">
        <v>45701</v>
      </c>
      <c r="D2370" t="s">
        <v>7263</v>
      </c>
      <c r="E2370" t="s">
        <v>2925</v>
      </c>
      <c r="F2370">
        <v>45709</v>
      </c>
      <c r="G2370" t="s">
        <v>2985</v>
      </c>
      <c r="H2370" t="s">
        <v>2978</v>
      </c>
      <c r="I2370" t="s">
        <v>8757</v>
      </c>
      <c r="J2370">
        <v>0</v>
      </c>
      <c r="K2370">
        <v>51.65</v>
      </c>
      <c r="L2370" t="s">
        <v>2917</v>
      </c>
      <c r="M2370">
        <v>51.65</v>
      </c>
      <c r="N2370" t="s">
        <v>2917</v>
      </c>
      <c r="O2370" t="s">
        <v>2208</v>
      </c>
      <c r="P2370" t="s">
        <v>2987</v>
      </c>
      <c r="Q2370" t="s">
        <v>2980</v>
      </c>
      <c r="R2370" t="s">
        <v>2981</v>
      </c>
    </row>
    <row r="2371" spans="1:18">
      <c r="A2371" t="s">
        <v>2418</v>
      </c>
      <c r="B2371" t="s">
        <v>7740</v>
      </c>
      <c r="C2371">
        <v>45702</v>
      </c>
      <c r="D2371" t="s">
        <v>7263</v>
      </c>
      <c r="E2371" t="s">
        <v>2925</v>
      </c>
      <c r="F2371">
        <v>45709</v>
      </c>
      <c r="G2371" t="s">
        <v>2982</v>
      </c>
      <c r="H2371" t="s">
        <v>2978</v>
      </c>
      <c r="I2371" t="s">
        <v>8758</v>
      </c>
      <c r="J2371">
        <v>0</v>
      </c>
      <c r="K2371">
        <v>5312</v>
      </c>
      <c r="L2371" t="s">
        <v>2917</v>
      </c>
      <c r="M2371">
        <v>5312</v>
      </c>
      <c r="N2371" t="s">
        <v>2917</v>
      </c>
      <c r="O2371" t="s">
        <v>2208</v>
      </c>
      <c r="P2371" t="s">
        <v>2983</v>
      </c>
      <c r="Q2371" t="s">
        <v>2980</v>
      </c>
      <c r="R2371" t="s">
        <v>2981</v>
      </c>
    </row>
    <row r="2372" spans="1:18">
      <c r="A2372" t="s">
        <v>2418</v>
      </c>
      <c r="B2372" t="s">
        <v>7740</v>
      </c>
      <c r="C2372">
        <v>45702</v>
      </c>
      <c r="D2372" t="s">
        <v>7263</v>
      </c>
      <c r="E2372" t="s">
        <v>2925</v>
      </c>
      <c r="F2372">
        <v>45709</v>
      </c>
      <c r="G2372" t="s">
        <v>2982</v>
      </c>
      <c r="H2372" t="s">
        <v>2978</v>
      </c>
      <c r="I2372" t="s">
        <v>8758</v>
      </c>
      <c r="J2372">
        <v>0</v>
      </c>
      <c r="K2372">
        <v>13.3</v>
      </c>
      <c r="L2372" t="s">
        <v>2917</v>
      </c>
      <c r="M2372">
        <v>13.3</v>
      </c>
      <c r="N2372" t="s">
        <v>2917</v>
      </c>
      <c r="O2372" t="s">
        <v>2208</v>
      </c>
      <c r="P2372" t="s">
        <v>2984</v>
      </c>
      <c r="Q2372" t="s">
        <v>2980</v>
      </c>
      <c r="R2372" t="s">
        <v>2981</v>
      </c>
    </row>
    <row r="2373" spans="1:18">
      <c r="A2373" t="s">
        <v>2418</v>
      </c>
      <c r="B2373" t="s">
        <v>7740</v>
      </c>
      <c r="C2373">
        <v>45701</v>
      </c>
      <c r="D2373" t="s">
        <v>7263</v>
      </c>
      <c r="E2373" t="s">
        <v>2925</v>
      </c>
      <c r="F2373">
        <v>45711</v>
      </c>
      <c r="G2373" t="s">
        <v>7248</v>
      </c>
      <c r="H2373" t="s">
        <v>2978</v>
      </c>
      <c r="I2373" t="s">
        <v>8759</v>
      </c>
      <c r="J2373">
        <v>0</v>
      </c>
      <c r="K2373">
        <v>5677</v>
      </c>
      <c r="L2373" t="s">
        <v>2917</v>
      </c>
      <c r="M2373">
        <v>5677</v>
      </c>
      <c r="N2373" t="s">
        <v>2917</v>
      </c>
      <c r="O2373" t="s">
        <v>2208</v>
      </c>
      <c r="P2373" t="s">
        <v>7249</v>
      </c>
      <c r="Q2373" t="s">
        <v>2980</v>
      </c>
      <c r="R2373" t="s">
        <v>2981</v>
      </c>
    </row>
    <row r="2374" spans="1:18">
      <c r="A2374" t="s">
        <v>7030</v>
      </c>
      <c r="B2374" t="s">
        <v>7740</v>
      </c>
      <c r="C2374">
        <v>45702</v>
      </c>
      <c r="D2374" t="s">
        <v>7263</v>
      </c>
      <c r="E2374" t="s">
        <v>2925</v>
      </c>
      <c r="F2374">
        <v>45712</v>
      </c>
      <c r="G2374" t="s">
        <v>7060</v>
      </c>
      <c r="H2374" t="s">
        <v>2978</v>
      </c>
      <c r="I2374" t="s">
        <v>8760</v>
      </c>
      <c r="J2374">
        <v>0</v>
      </c>
      <c r="K2374">
        <v>58910.5</v>
      </c>
      <c r="L2374" t="s">
        <v>2917</v>
      </c>
      <c r="M2374">
        <v>58910.5</v>
      </c>
      <c r="N2374" t="s">
        <v>2917</v>
      </c>
      <c r="O2374" t="s">
        <v>2208</v>
      </c>
      <c r="P2374" t="s">
        <v>7037</v>
      </c>
      <c r="Q2374" t="s">
        <v>2980</v>
      </c>
      <c r="R2374" t="s">
        <v>2981</v>
      </c>
    </row>
    <row r="2375" spans="1:18">
      <c r="A2375" t="s">
        <v>7030</v>
      </c>
      <c r="B2375" t="s">
        <v>7740</v>
      </c>
      <c r="C2375">
        <v>45702</v>
      </c>
      <c r="D2375" t="s">
        <v>7263</v>
      </c>
      <c r="E2375" t="s">
        <v>2925</v>
      </c>
      <c r="F2375">
        <v>45712</v>
      </c>
      <c r="G2375" t="s">
        <v>7060</v>
      </c>
      <c r="H2375" t="s">
        <v>2978</v>
      </c>
      <c r="I2375" t="s">
        <v>8760</v>
      </c>
      <c r="J2375">
        <v>0</v>
      </c>
      <c r="K2375">
        <v>3805.68</v>
      </c>
      <c r="L2375" t="s">
        <v>2917</v>
      </c>
      <c r="M2375">
        <v>3805.68</v>
      </c>
      <c r="N2375" t="s">
        <v>2917</v>
      </c>
      <c r="O2375" t="s">
        <v>2208</v>
      </c>
      <c r="P2375" t="s">
        <v>230</v>
      </c>
      <c r="Q2375" t="s">
        <v>2980</v>
      </c>
      <c r="R2375" t="s">
        <v>2981</v>
      </c>
    </row>
    <row r="2376" spans="1:18">
      <c r="A2376" t="s">
        <v>7030</v>
      </c>
      <c r="B2376" t="s">
        <v>7740</v>
      </c>
      <c r="C2376">
        <v>45702</v>
      </c>
      <c r="D2376" t="s">
        <v>7263</v>
      </c>
      <c r="E2376" t="s">
        <v>2925</v>
      </c>
      <c r="F2376">
        <v>45713</v>
      </c>
      <c r="G2376" t="s">
        <v>7059</v>
      </c>
      <c r="H2376" t="s">
        <v>2978</v>
      </c>
      <c r="I2376" t="s">
        <v>9050</v>
      </c>
      <c r="J2376">
        <v>0</v>
      </c>
      <c r="K2376">
        <v>49123</v>
      </c>
      <c r="L2376" t="s">
        <v>2917</v>
      </c>
      <c r="M2376">
        <v>49123</v>
      </c>
      <c r="N2376" t="s">
        <v>2917</v>
      </c>
      <c r="O2376" t="s">
        <v>2208</v>
      </c>
      <c r="P2376" t="s">
        <v>7039</v>
      </c>
      <c r="Q2376" t="s">
        <v>2980</v>
      </c>
      <c r="R2376" t="s">
        <v>2981</v>
      </c>
    </row>
    <row r="2377" spans="1:18">
      <c r="A2377" t="s">
        <v>7030</v>
      </c>
      <c r="B2377" t="s">
        <v>7740</v>
      </c>
      <c r="C2377">
        <v>45702</v>
      </c>
      <c r="D2377" t="s">
        <v>7263</v>
      </c>
      <c r="E2377" t="s">
        <v>2925</v>
      </c>
      <c r="F2377">
        <v>45713</v>
      </c>
      <c r="G2377" t="s">
        <v>7059</v>
      </c>
      <c r="H2377" t="s">
        <v>2978</v>
      </c>
      <c r="I2377" t="s">
        <v>9050</v>
      </c>
      <c r="J2377">
        <v>0</v>
      </c>
      <c r="K2377">
        <v>1546.03</v>
      </c>
      <c r="L2377" t="s">
        <v>2917</v>
      </c>
      <c r="M2377">
        <v>1546.03</v>
      </c>
      <c r="N2377" t="s">
        <v>2917</v>
      </c>
      <c r="O2377" t="s">
        <v>2208</v>
      </c>
      <c r="P2377" t="s">
        <v>7040</v>
      </c>
      <c r="Q2377" t="s">
        <v>2980</v>
      </c>
      <c r="R2377" t="s">
        <v>2981</v>
      </c>
    </row>
    <row r="2378" spans="1:18">
      <c r="A2378" t="s">
        <v>2418</v>
      </c>
      <c r="B2378" t="s">
        <v>7740</v>
      </c>
      <c r="C2378">
        <v>45708</v>
      </c>
      <c r="D2378" t="s">
        <v>7263</v>
      </c>
      <c r="E2378" t="s">
        <v>2925</v>
      </c>
      <c r="F2378">
        <v>45713</v>
      </c>
      <c r="G2378" t="s">
        <v>3054</v>
      </c>
      <c r="H2378" t="s">
        <v>2976</v>
      </c>
      <c r="I2378" t="s">
        <v>9051</v>
      </c>
      <c r="J2378">
        <v>0</v>
      </c>
      <c r="K2378">
        <v>-363446.4</v>
      </c>
      <c r="L2378" t="s">
        <v>2917</v>
      </c>
      <c r="M2378">
        <v>-363446.4</v>
      </c>
      <c r="N2378" t="s">
        <v>2917</v>
      </c>
      <c r="O2378" t="s">
        <v>2208</v>
      </c>
      <c r="P2378" t="s">
        <v>3322</v>
      </c>
      <c r="Q2378" t="s">
        <v>8756</v>
      </c>
      <c r="R2378" t="s">
        <v>3055</v>
      </c>
    </row>
    <row r="2379" spans="1:18">
      <c r="A2379" t="s">
        <v>2418</v>
      </c>
      <c r="B2379" t="s">
        <v>7740</v>
      </c>
      <c r="C2379">
        <v>45708</v>
      </c>
      <c r="D2379" t="s">
        <v>7263</v>
      </c>
      <c r="E2379" t="s">
        <v>2925</v>
      </c>
      <c r="F2379">
        <v>45713</v>
      </c>
      <c r="G2379" t="s">
        <v>3054</v>
      </c>
      <c r="H2379" t="s">
        <v>2976</v>
      </c>
      <c r="I2379" t="s">
        <v>9051</v>
      </c>
      <c r="J2379">
        <v>0</v>
      </c>
      <c r="K2379">
        <v>-22008.799999999999</v>
      </c>
      <c r="L2379" t="s">
        <v>2917</v>
      </c>
      <c r="M2379">
        <v>-22008.799999999999</v>
      </c>
      <c r="N2379" t="s">
        <v>2917</v>
      </c>
      <c r="O2379" t="s">
        <v>2208</v>
      </c>
      <c r="P2379" t="s">
        <v>3323</v>
      </c>
      <c r="Q2379" t="s">
        <v>8756</v>
      </c>
      <c r="R2379" t="s">
        <v>3055</v>
      </c>
    </row>
    <row r="2380" spans="1:18">
      <c r="A2380" t="s">
        <v>2418</v>
      </c>
      <c r="B2380" t="s">
        <v>7740</v>
      </c>
      <c r="C2380">
        <v>45708</v>
      </c>
      <c r="D2380" t="s">
        <v>7263</v>
      </c>
      <c r="E2380" t="s">
        <v>2925</v>
      </c>
      <c r="F2380">
        <v>45713</v>
      </c>
      <c r="G2380" t="s">
        <v>3054</v>
      </c>
      <c r="H2380" t="s">
        <v>2976</v>
      </c>
      <c r="I2380" t="s">
        <v>9052</v>
      </c>
      <c r="J2380">
        <v>0</v>
      </c>
      <c r="K2380">
        <v>363446.4</v>
      </c>
      <c r="L2380" t="s">
        <v>2917</v>
      </c>
      <c r="M2380">
        <v>363446.4</v>
      </c>
      <c r="N2380" t="s">
        <v>2917</v>
      </c>
      <c r="O2380" t="s">
        <v>2208</v>
      </c>
      <c r="P2380" t="s">
        <v>3322</v>
      </c>
      <c r="Q2380" t="s">
        <v>8756</v>
      </c>
      <c r="R2380" t="s">
        <v>3055</v>
      </c>
    </row>
    <row r="2381" spans="1:18">
      <c r="A2381" t="s">
        <v>2418</v>
      </c>
      <c r="B2381" t="s">
        <v>7740</v>
      </c>
      <c r="C2381">
        <v>45708</v>
      </c>
      <c r="D2381" t="s">
        <v>7263</v>
      </c>
      <c r="E2381" t="s">
        <v>2925</v>
      </c>
      <c r="F2381">
        <v>45713</v>
      </c>
      <c r="G2381" t="s">
        <v>3054</v>
      </c>
      <c r="H2381" t="s">
        <v>2976</v>
      </c>
      <c r="I2381" t="s">
        <v>9052</v>
      </c>
      <c r="J2381">
        <v>0</v>
      </c>
      <c r="K2381">
        <v>22008.799999999999</v>
      </c>
      <c r="L2381" t="s">
        <v>2917</v>
      </c>
      <c r="M2381">
        <v>22008.799999999999</v>
      </c>
      <c r="N2381" t="s">
        <v>2917</v>
      </c>
      <c r="O2381" t="s">
        <v>2208</v>
      </c>
      <c r="P2381" t="s">
        <v>3323</v>
      </c>
      <c r="Q2381" t="s">
        <v>8756</v>
      </c>
      <c r="R2381" t="s">
        <v>3055</v>
      </c>
    </row>
    <row r="2382" spans="1:18">
      <c r="A2382" t="s">
        <v>2418</v>
      </c>
      <c r="B2382" t="s">
        <v>7740</v>
      </c>
      <c r="C2382">
        <v>45233</v>
      </c>
      <c r="D2382" t="s">
        <v>7263</v>
      </c>
      <c r="E2382" t="s">
        <v>2925</v>
      </c>
      <c r="F2382">
        <v>45714</v>
      </c>
      <c r="G2382" t="s">
        <v>3017</v>
      </c>
      <c r="H2382" t="s">
        <v>2976</v>
      </c>
      <c r="I2382" t="s">
        <v>9053</v>
      </c>
      <c r="J2382">
        <v>0</v>
      </c>
      <c r="K2382">
        <v>894.54</v>
      </c>
      <c r="L2382" t="s">
        <v>2917</v>
      </c>
      <c r="M2382">
        <v>894.54</v>
      </c>
      <c r="N2382" t="s">
        <v>2917</v>
      </c>
      <c r="O2382" t="s">
        <v>2208</v>
      </c>
      <c r="P2382" t="s">
        <v>3018</v>
      </c>
      <c r="Q2382" t="s">
        <v>9054</v>
      </c>
      <c r="R2382" t="s">
        <v>9055</v>
      </c>
    </row>
    <row r="2383" spans="1:18">
      <c r="A2383" t="s">
        <v>2237</v>
      </c>
      <c r="B2383" t="s">
        <v>7740</v>
      </c>
      <c r="C2383">
        <v>45702</v>
      </c>
      <c r="D2383" t="s">
        <v>7263</v>
      </c>
      <c r="E2383" t="s">
        <v>2925</v>
      </c>
      <c r="F2383">
        <v>45715</v>
      </c>
      <c r="G2383" t="s">
        <v>2995</v>
      </c>
      <c r="H2383" t="s">
        <v>2978</v>
      </c>
      <c r="I2383" t="s">
        <v>9529</v>
      </c>
      <c r="J2383">
        <v>0</v>
      </c>
      <c r="K2383">
        <v>276</v>
      </c>
      <c r="L2383" t="s">
        <v>2917</v>
      </c>
      <c r="M2383">
        <v>276</v>
      </c>
      <c r="N2383" t="s">
        <v>2917</v>
      </c>
      <c r="O2383" t="s">
        <v>2208</v>
      </c>
      <c r="P2383" t="s">
        <v>2996</v>
      </c>
      <c r="Q2383" t="s">
        <v>2980</v>
      </c>
      <c r="R2383" t="s">
        <v>2981</v>
      </c>
    </row>
    <row r="2384" spans="1:18">
      <c r="A2384" t="s">
        <v>2418</v>
      </c>
      <c r="B2384" t="s">
        <v>7740</v>
      </c>
      <c r="C2384">
        <v>45705</v>
      </c>
      <c r="D2384" t="s">
        <v>7263</v>
      </c>
      <c r="E2384" t="s">
        <v>2925</v>
      </c>
      <c r="F2384">
        <v>45715</v>
      </c>
      <c r="G2384" t="s">
        <v>2992</v>
      </c>
      <c r="H2384" t="s">
        <v>2978</v>
      </c>
      <c r="I2384" t="s">
        <v>9530</v>
      </c>
      <c r="J2384">
        <v>0</v>
      </c>
      <c r="K2384">
        <v>25634</v>
      </c>
      <c r="L2384" t="s">
        <v>2917</v>
      </c>
      <c r="M2384">
        <v>25634</v>
      </c>
      <c r="N2384" t="s">
        <v>2917</v>
      </c>
      <c r="O2384" t="s">
        <v>2208</v>
      </c>
      <c r="P2384" t="s">
        <v>2993</v>
      </c>
      <c r="Q2384" t="s">
        <v>8473</v>
      </c>
      <c r="R2384" t="s">
        <v>2994</v>
      </c>
    </row>
    <row r="2385" spans="1:18">
      <c r="A2385" t="s">
        <v>7030</v>
      </c>
      <c r="B2385" t="s">
        <v>9126</v>
      </c>
      <c r="C2385">
        <v>45702</v>
      </c>
      <c r="D2385" t="s">
        <v>7263</v>
      </c>
      <c r="E2385" t="s">
        <v>9127</v>
      </c>
      <c r="F2385">
        <v>45719</v>
      </c>
      <c r="G2385" t="s">
        <v>7245</v>
      </c>
      <c r="H2385" t="s">
        <v>2978</v>
      </c>
      <c r="I2385" t="s">
        <v>9531</v>
      </c>
      <c r="J2385">
        <v>0</v>
      </c>
      <c r="K2385">
        <v>72510.5</v>
      </c>
      <c r="L2385" t="s">
        <v>2917</v>
      </c>
      <c r="M2385">
        <v>72510.5</v>
      </c>
      <c r="N2385" t="s">
        <v>2917</v>
      </c>
      <c r="O2385" t="s">
        <v>2208</v>
      </c>
      <c r="P2385" t="s">
        <v>7246</v>
      </c>
      <c r="Q2385" t="s">
        <v>2980</v>
      </c>
      <c r="R2385" t="s">
        <v>2981</v>
      </c>
    </row>
    <row r="2386" spans="1:18">
      <c r="A2386" t="s">
        <v>7030</v>
      </c>
      <c r="B2386" t="s">
        <v>9126</v>
      </c>
      <c r="C2386">
        <v>45702</v>
      </c>
      <c r="D2386" t="s">
        <v>7263</v>
      </c>
      <c r="E2386" t="s">
        <v>9127</v>
      </c>
      <c r="F2386">
        <v>45719</v>
      </c>
      <c r="G2386" t="s">
        <v>7245</v>
      </c>
      <c r="H2386" t="s">
        <v>2978</v>
      </c>
      <c r="I2386" t="s">
        <v>9531</v>
      </c>
      <c r="J2386">
        <v>0</v>
      </c>
      <c r="K2386">
        <v>1869.32</v>
      </c>
      <c r="L2386" t="s">
        <v>2917</v>
      </c>
      <c r="M2386">
        <v>1869.32</v>
      </c>
      <c r="N2386" t="s">
        <v>2917</v>
      </c>
      <c r="O2386" t="s">
        <v>2208</v>
      </c>
      <c r="P2386" t="s">
        <v>7247</v>
      </c>
      <c r="Q2386" t="s">
        <v>2980</v>
      </c>
      <c r="R2386" t="s">
        <v>2981</v>
      </c>
    </row>
    <row r="2387" spans="1:18">
      <c r="A2387" t="s">
        <v>2237</v>
      </c>
      <c r="B2387" t="s">
        <v>9126</v>
      </c>
      <c r="C2387">
        <v>45702</v>
      </c>
      <c r="D2387" t="s">
        <v>7263</v>
      </c>
      <c r="E2387" t="s">
        <v>9127</v>
      </c>
      <c r="F2387">
        <v>45719</v>
      </c>
      <c r="G2387" t="s">
        <v>3008</v>
      </c>
      <c r="H2387" t="s">
        <v>2978</v>
      </c>
      <c r="I2387" t="s">
        <v>9532</v>
      </c>
      <c r="J2387">
        <v>0</v>
      </c>
      <c r="K2387">
        <v>1410</v>
      </c>
      <c r="L2387" t="s">
        <v>2917</v>
      </c>
      <c r="M2387">
        <v>1410</v>
      </c>
      <c r="N2387" t="s">
        <v>2917</v>
      </c>
      <c r="O2387" t="s">
        <v>2208</v>
      </c>
      <c r="P2387" t="s">
        <v>3009</v>
      </c>
      <c r="Q2387" t="s">
        <v>2980</v>
      </c>
      <c r="R2387" t="s">
        <v>2981</v>
      </c>
    </row>
    <row r="2388" spans="1:18">
      <c r="A2388" t="s">
        <v>2237</v>
      </c>
      <c r="B2388" t="s">
        <v>9126</v>
      </c>
      <c r="C2388">
        <v>45702</v>
      </c>
      <c r="D2388" t="s">
        <v>7263</v>
      </c>
      <c r="E2388" t="s">
        <v>9127</v>
      </c>
      <c r="F2388">
        <v>45719</v>
      </c>
      <c r="G2388" t="s">
        <v>3008</v>
      </c>
      <c r="H2388" t="s">
        <v>2978</v>
      </c>
      <c r="I2388" t="s">
        <v>9532</v>
      </c>
      <c r="J2388">
        <v>0</v>
      </c>
      <c r="K2388">
        <v>0.1</v>
      </c>
      <c r="L2388" t="s">
        <v>2917</v>
      </c>
      <c r="M2388">
        <v>0.1</v>
      </c>
      <c r="N2388" t="s">
        <v>2917</v>
      </c>
      <c r="O2388" t="s">
        <v>2208</v>
      </c>
      <c r="P2388" t="s">
        <v>3010</v>
      </c>
      <c r="Q2388" t="s">
        <v>2980</v>
      </c>
      <c r="R2388" t="s">
        <v>2981</v>
      </c>
    </row>
    <row r="2389" spans="1:18">
      <c r="A2389" t="s">
        <v>2418</v>
      </c>
      <c r="B2389" t="s">
        <v>9126</v>
      </c>
      <c r="C2389">
        <v>45702</v>
      </c>
      <c r="D2389" t="s">
        <v>7263</v>
      </c>
      <c r="E2389" t="s">
        <v>9127</v>
      </c>
      <c r="F2389">
        <v>45722</v>
      </c>
      <c r="G2389" t="s">
        <v>3017</v>
      </c>
      <c r="H2389" t="s">
        <v>2976</v>
      </c>
      <c r="I2389" t="s">
        <v>10756</v>
      </c>
      <c r="J2389">
        <v>0</v>
      </c>
      <c r="K2389">
        <v>425</v>
      </c>
      <c r="L2389" t="s">
        <v>2917</v>
      </c>
      <c r="M2389">
        <v>425</v>
      </c>
      <c r="N2389" t="s">
        <v>2917</v>
      </c>
      <c r="O2389" t="s">
        <v>2208</v>
      </c>
      <c r="P2389" t="s">
        <v>3018</v>
      </c>
      <c r="Q2389" t="s">
        <v>10757</v>
      </c>
      <c r="R2389" t="s">
        <v>10758</v>
      </c>
    </row>
    <row r="2390" spans="1:18">
      <c r="A2390" t="s">
        <v>2418</v>
      </c>
      <c r="B2390" t="s">
        <v>9126</v>
      </c>
      <c r="C2390">
        <v>45701</v>
      </c>
      <c r="D2390" t="s">
        <v>7263</v>
      </c>
      <c r="E2390" t="s">
        <v>9127</v>
      </c>
      <c r="F2390">
        <v>45725</v>
      </c>
      <c r="G2390" t="s">
        <v>3017</v>
      </c>
      <c r="H2390" t="s">
        <v>2976</v>
      </c>
      <c r="I2390" t="s">
        <v>10759</v>
      </c>
      <c r="J2390">
        <v>0</v>
      </c>
      <c r="K2390">
        <v>63.56</v>
      </c>
      <c r="L2390" t="s">
        <v>2917</v>
      </c>
      <c r="M2390">
        <v>63.56</v>
      </c>
      <c r="N2390" t="s">
        <v>2917</v>
      </c>
      <c r="O2390" t="s">
        <v>2208</v>
      </c>
      <c r="P2390" t="s">
        <v>3018</v>
      </c>
      <c r="Q2390" t="s">
        <v>10757</v>
      </c>
      <c r="R2390" t="s">
        <v>10758</v>
      </c>
    </row>
    <row r="2391" spans="1:18">
      <c r="A2391" t="s">
        <v>2418</v>
      </c>
      <c r="B2391" t="s">
        <v>9126</v>
      </c>
      <c r="C2391">
        <v>45701</v>
      </c>
      <c r="D2391" t="s">
        <v>7263</v>
      </c>
      <c r="E2391" t="s">
        <v>9127</v>
      </c>
      <c r="F2391">
        <v>45725</v>
      </c>
      <c r="G2391" t="s">
        <v>3017</v>
      </c>
      <c r="H2391" t="s">
        <v>2976</v>
      </c>
      <c r="I2391" t="s">
        <v>10759</v>
      </c>
      <c r="J2391">
        <v>0</v>
      </c>
      <c r="K2391">
        <v>36.19</v>
      </c>
      <c r="L2391" t="s">
        <v>2917</v>
      </c>
      <c r="M2391">
        <v>36.19</v>
      </c>
      <c r="N2391" t="s">
        <v>2917</v>
      </c>
      <c r="O2391" t="s">
        <v>2208</v>
      </c>
      <c r="P2391" t="s">
        <v>3020</v>
      </c>
      <c r="Q2391" t="s">
        <v>10757</v>
      </c>
      <c r="R2391" t="s">
        <v>10758</v>
      </c>
    </row>
    <row r="2392" spans="1:18">
      <c r="A2392" t="s">
        <v>2418</v>
      </c>
      <c r="B2392" t="s">
        <v>9126</v>
      </c>
      <c r="C2392">
        <v>45701</v>
      </c>
      <c r="D2392" t="s">
        <v>7263</v>
      </c>
      <c r="E2392" t="s">
        <v>9127</v>
      </c>
      <c r="F2392">
        <v>45725</v>
      </c>
      <c r="G2392" t="s">
        <v>3017</v>
      </c>
      <c r="H2392" t="s">
        <v>2976</v>
      </c>
      <c r="I2392" t="s">
        <v>10759</v>
      </c>
      <c r="J2392">
        <v>0</v>
      </c>
      <c r="K2392">
        <v>7.4</v>
      </c>
      <c r="L2392" t="s">
        <v>2917</v>
      </c>
      <c r="M2392">
        <v>7.4</v>
      </c>
      <c r="N2392" t="s">
        <v>2917</v>
      </c>
      <c r="O2392" t="s">
        <v>2208</v>
      </c>
      <c r="P2392" t="s">
        <v>3021</v>
      </c>
      <c r="Q2392" t="s">
        <v>10757</v>
      </c>
      <c r="R2392" t="s">
        <v>10758</v>
      </c>
    </row>
    <row r="2393" spans="1:18">
      <c r="A2393" t="s">
        <v>2418</v>
      </c>
      <c r="B2393" t="s">
        <v>9126</v>
      </c>
      <c r="C2393">
        <v>45701</v>
      </c>
      <c r="D2393" t="s">
        <v>7263</v>
      </c>
      <c r="E2393" t="s">
        <v>9127</v>
      </c>
      <c r="F2393">
        <v>45725</v>
      </c>
      <c r="G2393" t="s">
        <v>3017</v>
      </c>
      <c r="H2393" t="s">
        <v>2976</v>
      </c>
      <c r="I2393" t="s">
        <v>10759</v>
      </c>
      <c r="J2393">
        <v>0</v>
      </c>
      <c r="K2393">
        <v>5.13</v>
      </c>
      <c r="L2393" t="s">
        <v>2917</v>
      </c>
      <c r="M2393">
        <v>5.13</v>
      </c>
      <c r="N2393" t="s">
        <v>2917</v>
      </c>
      <c r="O2393" t="s">
        <v>2208</v>
      </c>
      <c r="P2393" t="s">
        <v>3022</v>
      </c>
      <c r="Q2393" t="s">
        <v>10757</v>
      </c>
      <c r="R2393" t="s">
        <v>10758</v>
      </c>
    </row>
    <row r="2394" spans="1:18">
      <c r="A2394" t="s">
        <v>2418</v>
      </c>
      <c r="B2394" t="s">
        <v>9126</v>
      </c>
      <c r="C2394">
        <v>45701</v>
      </c>
      <c r="D2394" t="s">
        <v>7263</v>
      </c>
      <c r="E2394" t="s">
        <v>9127</v>
      </c>
      <c r="F2394">
        <v>45725</v>
      </c>
      <c r="G2394" t="s">
        <v>3017</v>
      </c>
      <c r="H2394" t="s">
        <v>2976</v>
      </c>
      <c r="I2394" t="s">
        <v>10759</v>
      </c>
      <c r="J2394">
        <v>0</v>
      </c>
      <c r="K2394">
        <v>5.34</v>
      </c>
      <c r="L2394" t="s">
        <v>2917</v>
      </c>
      <c r="M2394">
        <v>5.34</v>
      </c>
      <c r="N2394" t="s">
        <v>2917</v>
      </c>
      <c r="O2394" t="s">
        <v>2208</v>
      </c>
      <c r="P2394" t="s">
        <v>3023</v>
      </c>
      <c r="Q2394" t="s">
        <v>10757</v>
      </c>
      <c r="R2394" t="s">
        <v>10758</v>
      </c>
    </row>
    <row r="2395" spans="1:18">
      <c r="A2395" t="s">
        <v>2418</v>
      </c>
      <c r="B2395" t="s">
        <v>9126</v>
      </c>
      <c r="C2395">
        <v>45701</v>
      </c>
      <c r="D2395" t="s">
        <v>7263</v>
      </c>
      <c r="E2395" t="s">
        <v>9127</v>
      </c>
      <c r="F2395">
        <v>45725</v>
      </c>
      <c r="G2395" t="s">
        <v>3017</v>
      </c>
      <c r="H2395" t="s">
        <v>2976</v>
      </c>
      <c r="I2395" t="s">
        <v>10759</v>
      </c>
      <c r="J2395">
        <v>0</v>
      </c>
      <c r="K2395">
        <v>11.64</v>
      </c>
      <c r="L2395" t="s">
        <v>2917</v>
      </c>
      <c r="M2395">
        <v>11.64</v>
      </c>
      <c r="N2395" t="s">
        <v>2917</v>
      </c>
      <c r="O2395" t="s">
        <v>2208</v>
      </c>
      <c r="P2395" t="s">
        <v>3024</v>
      </c>
      <c r="Q2395" t="s">
        <v>10757</v>
      </c>
      <c r="R2395" t="s">
        <v>10758</v>
      </c>
    </row>
    <row r="2396" spans="1:18">
      <c r="A2396" t="s">
        <v>2418</v>
      </c>
      <c r="B2396" t="s">
        <v>9126</v>
      </c>
      <c r="C2396">
        <v>45701</v>
      </c>
      <c r="D2396" t="s">
        <v>7263</v>
      </c>
      <c r="E2396" t="s">
        <v>9127</v>
      </c>
      <c r="F2396">
        <v>45725</v>
      </c>
      <c r="G2396" t="s">
        <v>3017</v>
      </c>
      <c r="H2396" t="s">
        <v>2976</v>
      </c>
      <c r="I2396" t="s">
        <v>10759</v>
      </c>
      <c r="J2396">
        <v>0</v>
      </c>
      <c r="K2396">
        <v>4.26</v>
      </c>
      <c r="L2396" t="s">
        <v>2917</v>
      </c>
      <c r="M2396">
        <v>4.26</v>
      </c>
      <c r="N2396" t="s">
        <v>2917</v>
      </c>
      <c r="O2396" t="s">
        <v>2208</v>
      </c>
      <c r="P2396" t="s">
        <v>3025</v>
      </c>
      <c r="Q2396" t="s">
        <v>10757</v>
      </c>
      <c r="R2396" t="s">
        <v>10758</v>
      </c>
    </row>
    <row r="2397" spans="1:18">
      <c r="A2397" t="s">
        <v>2418</v>
      </c>
      <c r="B2397" t="s">
        <v>9126</v>
      </c>
      <c r="C2397">
        <v>45701</v>
      </c>
      <c r="D2397" t="s">
        <v>7263</v>
      </c>
      <c r="E2397" t="s">
        <v>9127</v>
      </c>
      <c r="F2397">
        <v>45725</v>
      </c>
      <c r="G2397" t="s">
        <v>3017</v>
      </c>
      <c r="H2397" t="s">
        <v>2976</v>
      </c>
      <c r="I2397" t="s">
        <v>10759</v>
      </c>
      <c r="J2397">
        <v>0</v>
      </c>
      <c r="K2397">
        <v>3.31</v>
      </c>
      <c r="L2397" t="s">
        <v>2917</v>
      </c>
      <c r="M2397">
        <v>3.31</v>
      </c>
      <c r="N2397" t="s">
        <v>2917</v>
      </c>
      <c r="O2397" t="s">
        <v>2208</v>
      </c>
      <c r="P2397" t="s">
        <v>3026</v>
      </c>
      <c r="Q2397" t="s">
        <v>10757</v>
      </c>
      <c r="R2397" t="s">
        <v>10758</v>
      </c>
    </row>
    <row r="2398" spans="1:18">
      <c r="A2398" t="s">
        <v>2418</v>
      </c>
      <c r="B2398" t="s">
        <v>9126</v>
      </c>
      <c r="C2398">
        <v>45701</v>
      </c>
      <c r="D2398" t="s">
        <v>7263</v>
      </c>
      <c r="E2398" t="s">
        <v>9127</v>
      </c>
      <c r="F2398">
        <v>45725</v>
      </c>
      <c r="G2398" t="s">
        <v>3017</v>
      </c>
      <c r="H2398" t="s">
        <v>2976</v>
      </c>
      <c r="I2398" t="s">
        <v>10759</v>
      </c>
      <c r="J2398">
        <v>0</v>
      </c>
      <c r="K2398">
        <v>18.510000000000002</v>
      </c>
      <c r="L2398" t="s">
        <v>2917</v>
      </c>
      <c r="M2398">
        <v>18.510000000000002</v>
      </c>
      <c r="N2398" t="s">
        <v>2917</v>
      </c>
      <c r="O2398" t="s">
        <v>2208</v>
      </c>
      <c r="P2398" t="s">
        <v>3027</v>
      </c>
      <c r="Q2398" t="s">
        <v>10757</v>
      </c>
      <c r="R2398" t="s">
        <v>10758</v>
      </c>
    </row>
    <row r="2399" spans="1:18">
      <c r="A2399" t="s">
        <v>2418</v>
      </c>
      <c r="B2399" t="s">
        <v>9126</v>
      </c>
      <c r="C2399">
        <v>45701</v>
      </c>
      <c r="D2399" t="s">
        <v>7263</v>
      </c>
      <c r="E2399" t="s">
        <v>9127</v>
      </c>
      <c r="F2399">
        <v>45725</v>
      </c>
      <c r="G2399" t="s">
        <v>3017</v>
      </c>
      <c r="H2399" t="s">
        <v>2976</v>
      </c>
      <c r="I2399" t="s">
        <v>10759</v>
      </c>
      <c r="J2399">
        <v>0</v>
      </c>
      <c r="K2399">
        <v>9.18</v>
      </c>
      <c r="L2399" t="s">
        <v>2917</v>
      </c>
      <c r="M2399">
        <v>9.18</v>
      </c>
      <c r="N2399" t="s">
        <v>2917</v>
      </c>
      <c r="O2399" t="s">
        <v>2208</v>
      </c>
      <c r="P2399" t="s">
        <v>3028</v>
      </c>
      <c r="Q2399" t="s">
        <v>10757</v>
      </c>
      <c r="R2399" t="s">
        <v>10758</v>
      </c>
    </row>
    <row r="2400" spans="1:18">
      <c r="A2400" t="s">
        <v>2418</v>
      </c>
      <c r="B2400" t="s">
        <v>9126</v>
      </c>
      <c r="C2400">
        <v>45701</v>
      </c>
      <c r="D2400" t="s">
        <v>7263</v>
      </c>
      <c r="E2400" t="s">
        <v>9127</v>
      </c>
      <c r="F2400">
        <v>45725</v>
      </c>
      <c r="G2400" t="s">
        <v>3017</v>
      </c>
      <c r="H2400" t="s">
        <v>2976</v>
      </c>
      <c r="I2400" t="s">
        <v>10759</v>
      </c>
      <c r="J2400">
        <v>0</v>
      </c>
      <c r="K2400">
        <v>9.18</v>
      </c>
      <c r="L2400" t="s">
        <v>2917</v>
      </c>
      <c r="M2400">
        <v>9.18</v>
      </c>
      <c r="N2400" t="s">
        <v>2917</v>
      </c>
      <c r="O2400" t="s">
        <v>2208</v>
      </c>
      <c r="P2400" t="s">
        <v>3029</v>
      </c>
      <c r="Q2400" t="s">
        <v>10757</v>
      </c>
      <c r="R2400" t="s">
        <v>10758</v>
      </c>
    </row>
    <row r="2401" spans="1:18">
      <c r="A2401" t="s">
        <v>2418</v>
      </c>
      <c r="B2401" t="s">
        <v>9126</v>
      </c>
      <c r="C2401">
        <v>45701</v>
      </c>
      <c r="D2401" t="s">
        <v>7263</v>
      </c>
      <c r="E2401" t="s">
        <v>9127</v>
      </c>
      <c r="F2401">
        <v>45725</v>
      </c>
      <c r="G2401" t="s">
        <v>3017</v>
      </c>
      <c r="H2401" t="s">
        <v>2976</v>
      </c>
      <c r="I2401" t="s">
        <v>10759</v>
      </c>
      <c r="J2401">
        <v>0</v>
      </c>
      <c r="K2401">
        <v>40.549999999999997</v>
      </c>
      <c r="L2401" t="s">
        <v>2917</v>
      </c>
      <c r="M2401">
        <v>40.549999999999997</v>
      </c>
      <c r="N2401" t="s">
        <v>2917</v>
      </c>
      <c r="O2401" t="s">
        <v>2208</v>
      </c>
      <c r="P2401" t="s">
        <v>3030</v>
      </c>
      <c r="Q2401" t="s">
        <v>10757</v>
      </c>
      <c r="R2401" t="s">
        <v>10758</v>
      </c>
    </row>
    <row r="2402" spans="1:18">
      <c r="A2402" t="s">
        <v>2418</v>
      </c>
      <c r="B2402" t="s">
        <v>9126</v>
      </c>
      <c r="C2402">
        <v>45701</v>
      </c>
      <c r="D2402" t="s">
        <v>7263</v>
      </c>
      <c r="E2402" t="s">
        <v>9127</v>
      </c>
      <c r="F2402">
        <v>45725</v>
      </c>
      <c r="G2402" t="s">
        <v>3017</v>
      </c>
      <c r="H2402" t="s">
        <v>2976</v>
      </c>
      <c r="I2402" t="s">
        <v>10759</v>
      </c>
      <c r="J2402">
        <v>0</v>
      </c>
      <c r="K2402">
        <v>32.67</v>
      </c>
      <c r="L2402" t="s">
        <v>2917</v>
      </c>
      <c r="M2402">
        <v>32.67</v>
      </c>
      <c r="N2402" t="s">
        <v>2917</v>
      </c>
      <c r="O2402" t="s">
        <v>2208</v>
      </c>
      <c r="P2402" t="s">
        <v>3319</v>
      </c>
      <c r="Q2402" t="s">
        <v>10757</v>
      </c>
      <c r="R2402" t="s">
        <v>10758</v>
      </c>
    </row>
    <row r="2403" spans="1:18">
      <c r="A2403" t="s">
        <v>2418</v>
      </c>
      <c r="B2403" t="s">
        <v>9126</v>
      </c>
      <c r="C2403">
        <v>45701</v>
      </c>
      <c r="D2403" t="s">
        <v>7263</v>
      </c>
      <c r="E2403" t="s">
        <v>9127</v>
      </c>
      <c r="F2403">
        <v>45725</v>
      </c>
      <c r="G2403" t="s">
        <v>3017</v>
      </c>
      <c r="H2403" t="s">
        <v>2976</v>
      </c>
      <c r="I2403" t="s">
        <v>10759</v>
      </c>
      <c r="J2403">
        <v>0</v>
      </c>
      <c r="K2403">
        <v>10.6</v>
      </c>
      <c r="L2403" t="s">
        <v>2917</v>
      </c>
      <c r="M2403">
        <v>10.6</v>
      </c>
      <c r="N2403" t="s">
        <v>2917</v>
      </c>
      <c r="O2403" t="s">
        <v>2208</v>
      </c>
      <c r="P2403" t="s">
        <v>3320</v>
      </c>
      <c r="Q2403" t="s">
        <v>10757</v>
      </c>
      <c r="R2403" t="s">
        <v>10758</v>
      </c>
    </row>
    <row r="2404" spans="1:18">
      <c r="A2404" t="s">
        <v>2418</v>
      </c>
      <c r="B2404" t="s">
        <v>9126</v>
      </c>
      <c r="C2404">
        <v>45701</v>
      </c>
      <c r="D2404" t="s">
        <v>7263</v>
      </c>
      <c r="E2404" t="s">
        <v>9127</v>
      </c>
      <c r="F2404">
        <v>45725</v>
      </c>
      <c r="G2404" t="s">
        <v>3017</v>
      </c>
      <c r="H2404" t="s">
        <v>2976</v>
      </c>
      <c r="I2404" t="s">
        <v>10759</v>
      </c>
      <c r="J2404">
        <v>0</v>
      </c>
      <c r="K2404">
        <v>26.65</v>
      </c>
      <c r="L2404" t="s">
        <v>2917</v>
      </c>
      <c r="M2404">
        <v>26.65</v>
      </c>
      <c r="N2404" t="s">
        <v>2917</v>
      </c>
      <c r="O2404" t="s">
        <v>2208</v>
      </c>
      <c r="P2404" t="s">
        <v>3031</v>
      </c>
      <c r="Q2404" t="s">
        <v>10757</v>
      </c>
      <c r="R2404" t="s">
        <v>10758</v>
      </c>
    </row>
    <row r="2405" spans="1:18">
      <c r="A2405" t="s">
        <v>2418</v>
      </c>
      <c r="B2405" t="s">
        <v>9126</v>
      </c>
      <c r="C2405">
        <v>45701</v>
      </c>
      <c r="D2405" t="s">
        <v>7263</v>
      </c>
      <c r="E2405" t="s">
        <v>9127</v>
      </c>
      <c r="F2405">
        <v>45725</v>
      </c>
      <c r="G2405" t="s">
        <v>3017</v>
      </c>
      <c r="H2405" t="s">
        <v>2976</v>
      </c>
      <c r="I2405" t="s">
        <v>10759</v>
      </c>
      <c r="J2405">
        <v>0</v>
      </c>
      <c r="K2405">
        <v>7.91</v>
      </c>
      <c r="L2405" t="s">
        <v>2917</v>
      </c>
      <c r="M2405">
        <v>7.91</v>
      </c>
      <c r="N2405" t="s">
        <v>2917</v>
      </c>
      <c r="O2405" t="s">
        <v>2208</v>
      </c>
      <c r="P2405" t="s">
        <v>3032</v>
      </c>
      <c r="Q2405" t="s">
        <v>10757</v>
      </c>
      <c r="R2405" t="s">
        <v>10758</v>
      </c>
    </row>
    <row r="2406" spans="1:18">
      <c r="A2406" t="s">
        <v>2418</v>
      </c>
      <c r="B2406" t="s">
        <v>9126</v>
      </c>
      <c r="C2406">
        <v>45701</v>
      </c>
      <c r="D2406" t="s">
        <v>7263</v>
      </c>
      <c r="E2406" t="s">
        <v>9127</v>
      </c>
      <c r="F2406">
        <v>45725</v>
      </c>
      <c r="G2406" t="s">
        <v>3017</v>
      </c>
      <c r="H2406" t="s">
        <v>2976</v>
      </c>
      <c r="I2406" t="s">
        <v>10759</v>
      </c>
      <c r="J2406">
        <v>0</v>
      </c>
      <c r="K2406">
        <v>17.149999999999999</v>
      </c>
      <c r="L2406" t="s">
        <v>2917</v>
      </c>
      <c r="M2406">
        <v>17.149999999999999</v>
      </c>
      <c r="N2406" t="s">
        <v>2917</v>
      </c>
      <c r="O2406" t="s">
        <v>2208</v>
      </c>
      <c r="P2406" t="s">
        <v>3033</v>
      </c>
      <c r="Q2406" t="s">
        <v>10757</v>
      </c>
      <c r="R2406" t="s">
        <v>10758</v>
      </c>
    </row>
    <row r="2407" spans="1:18">
      <c r="A2407" t="s">
        <v>2418</v>
      </c>
      <c r="B2407" t="s">
        <v>9126</v>
      </c>
      <c r="C2407">
        <v>45701</v>
      </c>
      <c r="D2407" t="s">
        <v>7263</v>
      </c>
      <c r="E2407" t="s">
        <v>9127</v>
      </c>
      <c r="F2407">
        <v>45725</v>
      </c>
      <c r="G2407" t="s">
        <v>3017</v>
      </c>
      <c r="H2407" t="s">
        <v>2976</v>
      </c>
      <c r="I2407" t="s">
        <v>10759</v>
      </c>
      <c r="J2407">
        <v>0</v>
      </c>
      <c r="K2407">
        <v>4.3600000000000003</v>
      </c>
      <c r="L2407" t="s">
        <v>2917</v>
      </c>
      <c r="M2407">
        <v>4.3600000000000003</v>
      </c>
      <c r="N2407" t="s">
        <v>2917</v>
      </c>
      <c r="O2407" t="s">
        <v>2208</v>
      </c>
      <c r="P2407" t="s">
        <v>3034</v>
      </c>
      <c r="Q2407" t="s">
        <v>10757</v>
      </c>
      <c r="R2407" t="s">
        <v>10758</v>
      </c>
    </row>
    <row r="2408" spans="1:18">
      <c r="A2408" t="s">
        <v>2418</v>
      </c>
      <c r="B2408" t="s">
        <v>9126</v>
      </c>
      <c r="C2408">
        <v>45701</v>
      </c>
      <c r="D2408" t="s">
        <v>7263</v>
      </c>
      <c r="E2408" t="s">
        <v>9127</v>
      </c>
      <c r="F2408">
        <v>45725</v>
      </c>
      <c r="G2408" t="s">
        <v>3017</v>
      </c>
      <c r="H2408" t="s">
        <v>2976</v>
      </c>
      <c r="I2408" t="s">
        <v>10759</v>
      </c>
      <c r="J2408">
        <v>0</v>
      </c>
      <c r="K2408">
        <v>10.130000000000001</v>
      </c>
      <c r="L2408" t="s">
        <v>2917</v>
      </c>
      <c r="M2408">
        <v>10.130000000000001</v>
      </c>
      <c r="N2408" t="s">
        <v>2917</v>
      </c>
      <c r="O2408" t="s">
        <v>2208</v>
      </c>
      <c r="P2408" t="s">
        <v>3035</v>
      </c>
      <c r="Q2408" t="s">
        <v>10757</v>
      </c>
      <c r="R2408" t="s">
        <v>10758</v>
      </c>
    </row>
    <row r="2409" spans="1:18">
      <c r="A2409" t="s">
        <v>2418</v>
      </c>
      <c r="B2409" t="s">
        <v>9126</v>
      </c>
      <c r="C2409">
        <v>45701</v>
      </c>
      <c r="D2409" t="s">
        <v>7263</v>
      </c>
      <c r="E2409" t="s">
        <v>9127</v>
      </c>
      <c r="F2409">
        <v>45725</v>
      </c>
      <c r="G2409" t="s">
        <v>3017</v>
      </c>
      <c r="H2409" t="s">
        <v>2976</v>
      </c>
      <c r="I2409" t="s">
        <v>10759</v>
      </c>
      <c r="J2409">
        <v>0</v>
      </c>
      <c r="K2409">
        <v>20.55</v>
      </c>
      <c r="L2409" t="s">
        <v>2917</v>
      </c>
      <c r="M2409">
        <v>20.55</v>
      </c>
      <c r="N2409" t="s">
        <v>2917</v>
      </c>
      <c r="O2409" t="s">
        <v>2208</v>
      </c>
      <c r="P2409" t="s">
        <v>3036</v>
      </c>
      <c r="Q2409" t="s">
        <v>10757</v>
      </c>
      <c r="R2409" t="s">
        <v>10758</v>
      </c>
    </row>
    <row r="2410" spans="1:18">
      <c r="A2410" t="s">
        <v>2418</v>
      </c>
      <c r="B2410" t="s">
        <v>9126</v>
      </c>
      <c r="C2410">
        <v>45701</v>
      </c>
      <c r="D2410" t="s">
        <v>7263</v>
      </c>
      <c r="E2410" t="s">
        <v>9127</v>
      </c>
      <c r="F2410">
        <v>45725</v>
      </c>
      <c r="G2410" t="s">
        <v>3017</v>
      </c>
      <c r="H2410" t="s">
        <v>2976</v>
      </c>
      <c r="I2410" t="s">
        <v>10759</v>
      </c>
      <c r="J2410">
        <v>0</v>
      </c>
      <c r="K2410">
        <v>5.73</v>
      </c>
      <c r="L2410" t="s">
        <v>2917</v>
      </c>
      <c r="M2410">
        <v>5.73</v>
      </c>
      <c r="N2410" t="s">
        <v>2917</v>
      </c>
      <c r="O2410" t="s">
        <v>2208</v>
      </c>
      <c r="P2410" t="s">
        <v>3038</v>
      </c>
      <c r="Q2410" t="s">
        <v>10757</v>
      </c>
      <c r="R2410" t="s">
        <v>10758</v>
      </c>
    </row>
    <row r="2411" spans="1:18">
      <c r="A2411" t="s">
        <v>810</v>
      </c>
      <c r="B2411" t="s">
        <v>9126</v>
      </c>
      <c r="C2411">
        <v>45726</v>
      </c>
      <c r="D2411" t="s">
        <v>7263</v>
      </c>
      <c r="E2411" t="s">
        <v>9127</v>
      </c>
      <c r="F2411">
        <v>45728</v>
      </c>
      <c r="G2411" t="s">
        <v>8781</v>
      </c>
      <c r="H2411" t="s">
        <v>2978</v>
      </c>
      <c r="I2411" t="s">
        <v>10803</v>
      </c>
      <c r="J2411">
        <v>0</v>
      </c>
      <c r="K2411">
        <v>1152</v>
      </c>
      <c r="L2411" t="s">
        <v>2917</v>
      </c>
      <c r="M2411">
        <v>1152</v>
      </c>
      <c r="N2411" t="s">
        <v>2917</v>
      </c>
      <c r="O2411" t="s">
        <v>2208</v>
      </c>
      <c r="P2411" t="s">
        <v>8782</v>
      </c>
      <c r="Q2411" t="s">
        <v>3040</v>
      </c>
      <c r="R2411" t="s">
        <v>3041</v>
      </c>
    </row>
    <row r="2412" spans="1:18">
      <c r="A2412" t="s">
        <v>7030</v>
      </c>
      <c r="B2412" t="s">
        <v>9126</v>
      </c>
      <c r="C2412">
        <v>45727</v>
      </c>
      <c r="D2412" t="s">
        <v>7263</v>
      </c>
      <c r="E2412" t="s">
        <v>9127</v>
      </c>
      <c r="F2412">
        <v>45730</v>
      </c>
      <c r="G2412" t="s">
        <v>9062</v>
      </c>
      <c r="H2412" t="s">
        <v>2976</v>
      </c>
      <c r="I2412" t="s">
        <v>10852</v>
      </c>
      <c r="J2412">
        <v>0</v>
      </c>
      <c r="K2412">
        <v>33900</v>
      </c>
      <c r="L2412" t="s">
        <v>2917</v>
      </c>
      <c r="M2412">
        <v>33900</v>
      </c>
      <c r="N2412" t="s">
        <v>2917</v>
      </c>
      <c r="O2412" t="s">
        <v>2208</v>
      </c>
      <c r="P2412" t="s">
        <v>8360</v>
      </c>
      <c r="Q2412" t="s">
        <v>10853</v>
      </c>
      <c r="R2412" t="s">
        <v>8361</v>
      </c>
    </row>
    <row r="2413" spans="1:18">
      <c r="A2413" t="s">
        <v>2418</v>
      </c>
      <c r="B2413" t="s">
        <v>9126</v>
      </c>
      <c r="C2413">
        <v>45716</v>
      </c>
      <c r="D2413" t="s">
        <v>7263</v>
      </c>
      <c r="E2413" t="s">
        <v>9127</v>
      </c>
      <c r="F2413">
        <v>45730</v>
      </c>
      <c r="G2413" t="s">
        <v>3042</v>
      </c>
      <c r="H2413" t="s">
        <v>2978</v>
      </c>
      <c r="I2413" t="s">
        <v>10854</v>
      </c>
      <c r="J2413">
        <v>0</v>
      </c>
      <c r="K2413">
        <v>1092.7</v>
      </c>
      <c r="L2413" t="s">
        <v>2917</v>
      </c>
      <c r="M2413">
        <v>1092.7</v>
      </c>
      <c r="N2413" t="s">
        <v>2917</v>
      </c>
      <c r="O2413" t="s">
        <v>2208</v>
      </c>
      <c r="P2413" t="s">
        <v>3045</v>
      </c>
      <c r="Q2413" t="s">
        <v>3044</v>
      </c>
      <c r="R2413" t="s">
        <v>3321</v>
      </c>
    </row>
    <row r="2414" spans="1:18">
      <c r="A2414" t="s">
        <v>2418</v>
      </c>
      <c r="B2414" t="s">
        <v>9126</v>
      </c>
      <c r="C2414">
        <v>45716</v>
      </c>
      <c r="D2414" t="s">
        <v>7263</v>
      </c>
      <c r="E2414" t="s">
        <v>9127</v>
      </c>
      <c r="F2414">
        <v>45730</v>
      </c>
      <c r="G2414" t="s">
        <v>3042</v>
      </c>
      <c r="H2414" t="s">
        <v>2978</v>
      </c>
      <c r="I2414" t="s">
        <v>10854</v>
      </c>
      <c r="J2414">
        <v>0</v>
      </c>
      <c r="K2414">
        <v>279.3</v>
      </c>
      <c r="L2414" t="s">
        <v>2917</v>
      </c>
      <c r="M2414">
        <v>279.3</v>
      </c>
      <c r="N2414" t="s">
        <v>2917</v>
      </c>
      <c r="O2414" t="s">
        <v>2208</v>
      </c>
      <c r="P2414" t="s">
        <v>3061</v>
      </c>
      <c r="Q2414" t="s">
        <v>3044</v>
      </c>
      <c r="R2414" t="s">
        <v>3321</v>
      </c>
    </row>
    <row r="2415" spans="1:18">
      <c r="A2415" t="s">
        <v>709</v>
      </c>
      <c r="B2415" t="s">
        <v>9126</v>
      </c>
      <c r="C2415">
        <v>45726</v>
      </c>
      <c r="D2415" t="s">
        <v>7263</v>
      </c>
      <c r="E2415" t="s">
        <v>9127</v>
      </c>
      <c r="F2415">
        <v>45733</v>
      </c>
      <c r="G2415" t="s">
        <v>8749</v>
      </c>
      <c r="H2415" t="s">
        <v>2976</v>
      </c>
      <c r="I2415" t="s">
        <v>10927</v>
      </c>
      <c r="J2415">
        <v>0</v>
      </c>
      <c r="K2415">
        <v>2040</v>
      </c>
      <c r="L2415" t="s">
        <v>2917</v>
      </c>
      <c r="M2415">
        <v>2040</v>
      </c>
      <c r="N2415" t="s">
        <v>2917</v>
      </c>
      <c r="O2415" t="s">
        <v>2208</v>
      </c>
      <c r="P2415" t="s">
        <v>8751</v>
      </c>
      <c r="Q2415" t="s">
        <v>3040</v>
      </c>
      <c r="R2415" t="s">
        <v>3041</v>
      </c>
    </row>
    <row r="2416" spans="1:18">
      <c r="A2416" t="s">
        <v>709</v>
      </c>
      <c r="B2416" t="s">
        <v>9126</v>
      </c>
      <c r="C2416">
        <v>45601</v>
      </c>
      <c r="D2416" t="s">
        <v>7263</v>
      </c>
      <c r="E2416" t="s">
        <v>9127</v>
      </c>
      <c r="F2416">
        <v>45735</v>
      </c>
      <c r="G2416" t="s">
        <v>2988</v>
      </c>
      <c r="H2416" t="s">
        <v>2976</v>
      </c>
      <c r="I2416" t="s">
        <v>10948</v>
      </c>
      <c r="J2416">
        <v>0</v>
      </c>
      <c r="K2416">
        <v>15642.64</v>
      </c>
      <c r="L2416" t="s">
        <v>2917</v>
      </c>
      <c r="M2416">
        <v>15642.64</v>
      </c>
      <c r="N2416" t="s">
        <v>2917</v>
      </c>
      <c r="O2416" t="s">
        <v>2208</v>
      </c>
      <c r="P2416" t="s">
        <v>2989</v>
      </c>
      <c r="Q2416" t="s">
        <v>2990</v>
      </c>
      <c r="R2416" t="s">
        <v>3318</v>
      </c>
    </row>
    <row r="2417" spans="1:18">
      <c r="A2417" t="s">
        <v>7030</v>
      </c>
      <c r="B2417" t="s">
        <v>9126</v>
      </c>
      <c r="C2417">
        <v>45716</v>
      </c>
      <c r="D2417" t="s">
        <v>7263</v>
      </c>
      <c r="E2417" t="s">
        <v>9127</v>
      </c>
      <c r="F2417">
        <v>45735</v>
      </c>
      <c r="G2417" t="s">
        <v>7138</v>
      </c>
      <c r="H2417" t="s">
        <v>2978</v>
      </c>
      <c r="I2417" t="s">
        <v>10949</v>
      </c>
      <c r="J2417">
        <v>0</v>
      </c>
      <c r="K2417">
        <v>220.5</v>
      </c>
      <c r="L2417" t="s">
        <v>2917</v>
      </c>
      <c r="M2417">
        <v>220.5</v>
      </c>
      <c r="N2417" t="s">
        <v>2917</v>
      </c>
      <c r="O2417" t="s">
        <v>2208</v>
      </c>
      <c r="P2417" t="s">
        <v>3043</v>
      </c>
      <c r="Q2417" t="s">
        <v>3044</v>
      </c>
      <c r="R2417" t="s">
        <v>3321</v>
      </c>
    </row>
    <row r="2418" spans="1:18">
      <c r="A2418" t="s">
        <v>7030</v>
      </c>
      <c r="B2418" t="s">
        <v>9126</v>
      </c>
      <c r="C2418">
        <v>45716</v>
      </c>
      <c r="D2418" t="s">
        <v>7263</v>
      </c>
      <c r="E2418" t="s">
        <v>9127</v>
      </c>
      <c r="F2418">
        <v>45735</v>
      </c>
      <c r="G2418" t="s">
        <v>7138</v>
      </c>
      <c r="H2418" t="s">
        <v>2978</v>
      </c>
      <c r="I2418" t="s">
        <v>10949</v>
      </c>
      <c r="J2418">
        <v>0</v>
      </c>
      <c r="K2418">
        <v>783</v>
      </c>
      <c r="L2418" t="s">
        <v>2917</v>
      </c>
      <c r="M2418">
        <v>783</v>
      </c>
      <c r="N2418" t="s">
        <v>2917</v>
      </c>
      <c r="O2418" t="s">
        <v>2208</v>
      </c>
      <c r="P2418" t="s">
        <v>7140</v>
      </c>
      <c r="Q2418" t="s">
        <v>3044</v>
      </c>
      <c r="R2418" t="s">
        <v>3321</v>
      </c>
    </row>
    <row r="2419" spans="1:18">
      <c r="A2419" t="s">
        <v>7030</v>
      </c>
      <c r="B2419" t="s">
        <v>9126</v>
      </c>
      <c r="C2419">
        <v>45716</v>
      </c>
      <c r="D2419" t="s">
        <v>7263</v>
      </c>
      <c r="E2419" t="s">
        <v>9127</v>
      </c>
      <c r="F2419">
        <v>45735</v>
      </c>
      <c r="G2419" t="s">
        <v>7138</v>
      </c>
      <c r="H2419" t="s">
        <v>2978</v>
      </c>
      <c r="I2419" t="s">
        <v>10949</v>
      </c>
      <c r="J2419">
        <v>0</v>
      </c>
      <c r="K2419">
        <v>1176</v>
      </c>
      <c r="L2419" t="s">
        <v>2917</v>
      </c>
      <c r="M2419">
        <v>1176</v>
      </c>
      <c r="N2419" t="s">
        <v>2917</v>
      </c>
      <c r="O2419" t="s">
        <v>2208</v>
      </c>
      <c r="P2419" t="s">
        <v>7141</v>
      </c>
      <c r="Q2419" t="s">
        <v>3044</v>
      </c>
      <c r="R2419" t="s">
        <v>3321</v>
      </c>
    </row>
    <row r="2420" spans="1:18">
      <c r="A2420" t="s">
        <v>7030</v>
      </c>
      <c r="B2420" t="s">
        <v>9126</v>
      </c>
      <c r="C2420">
        <v>45729</v>
      </c>
      <c r="D2420" t="s">
        <v>7263</v>
      </c>
      <c r="E2420" t="s">
        <v>9127</v>
      </c>
      <c r="F2420">
        <v>45735</v>
      </c>
      <c r="G2420" t="s">
        <v>7207</v>
      </c>
      <c r="H2420" t="s">
        <v>2976</v>
      </c>
      <c r="I2420" t="s">
        <v>11028</v>
      </c>
      <c r="J2420">
        <v>0</v>
      </c>
      <c r="K2420">
        <v>5045.5600000000004</v>
      </c>
      <c r="L2420" t="s">
        <v>2917</v>
      </c>
      <c r="M2420">
        <v>5045.5600000000004</v>
      </c>
      <c r="N2420" t="s">
        <v>2917</v>
      </c>
      <c r="O2420" t="s">
        <v>2208</v>
      </c>
      <c r="P2420" t="s">
        <v>7166</v>
      </c>
      <c r="Q2420" t="s">
        <v>8270</v>
      </c>
      <c r="R2420" t="s">
        <v>3000</v>
      </c>
    </row>
    <row r="2421" spans="1:18">
      <c r="A2421" t="s">
        <v>7030</v>
      </c>
      <c r="B2421" t="s">
        <v>9126</v>
      </c>
      <c r="C2421">
        <v>45729</v>
      </c>
      <c r="D2421" t="s">
        <v>7263</v>
      </c>
      <c r="E2421" t="s">
        <v>9127</v>
      </c>
      <c r="F2421">
        <v>45735</v>
      </c>
      <c r="G2421" t="s">
        <v>7207</v>
      </c>
      <c r="H2421" t="s">
        <v>2976</v>
      </c>
      <c r="I2421" t="s">
        <v>11028</v>
      </c>
      <c r="J2421">
        <v>0</v>
      </c>
      <c r="K2421">
        <v>4521.43</v>
      </c>
      <c r="L2421" t="s">
        <v>2917</v>
      </c>
      <c r="M2421">
        <v>4521.43</v>
      </c>
      <c r="N2421" t="s">
        <v>2917</v>
      </c>
      <c r="O2421" t="s">
        <v>2208</v>
      </c>
      <c r="P2421" t="s">
        <v>7167</v>
      </c>
      <c r="Q2421" t="s">
        <v>8270</v>
      </c>
      <c r="R2421" t="s">
        <v>3000</v>
      </c>
    </row>
    <row r="2422" spans="1:18">
      <c r="A2422" t="s">
        <v>7030</v>
      </c>
      <c r="B2422" t="s">
        <v>9126</v>
      </c>
      <c r="C2422">
        <v>45729</v>
      </c>
      <c r="D2422" t="s">
        <v>7263</v>
      </c>
      <c r="E2422" t="s">
        <v>9127</v>
      </c>
      <c r="F2422">
        <v>45735</v>
      </c>
      <c r="G2422" t="s">
        <v>7207</v>
      </c>
      <c r="H2422" t="s">
        <v>2976</v>
      </c>
      <c r="I2422" t="s">
        <v>11028</v>
      </c>
      <c r="J2422">
        <v>0</v>
      </c>
      <c r="K2422">
        <v>6173.73</v>
      </c>
      <c r="L2422" t="s">
        <v>2917</v>
      </c>
      <c r="M2422">
        <v>6173.73</v>
      </c>
      <c r="N2422" t="s">
        <v>2917</v>
      </c>
      <c r="O2422" t="s">
        <v>2208</v>
      </c>
      <c r="P2422" t="s">
        <v>7168</v>
      </c>
      <c r="Q2422" t="s">
        <v>8270</v>
      </c>
      <c r="R2422" t="s">
        <v>3000</v>
      </c>
    </row>
    <row r="2423" spans="1:18">
      <c r="A2423" t="s">
        <v>7030</v>
      </c>
      <c r="B2423" t="s">
        <v>9126</v>
      </c>
      <c r="C2423">
        <v>45729</v>
      </c>
      <c r="D2423" t="s">
        <v>7263</v>
      </c>
      <c r="E2423" t="s">
        <v>9127</v>
      </c>
      <c r="F2423">
        <v>45735</v>
      </c>
      <c r="G2423" t="s">
        <v>7207</v>
      </c>
      <c r="H2423" t="s">
        <v>2976</v>
      </c>
      <c r="I2423" t="s">
        <v>11028</v>
      </c>
      <c r="J2423">
        <v>0</v>
      </c>
      <c r="K2423">
        <v>1601.09</v>
      </c>
      <c r="L2423" t="s">
        <v>2917</v>
      </c>
      <c r="M2423">
        <v>1601.09</v>
      </c>
      <c r="N2423" t="s">
        <v>2917</v>
      </c>
      <c r="O2423" t="s">
        <v>2208</v>
      </c>
      <c r="P2423" t="s">
        <v>7169</v>
      </c>
      <c r="Q2423" t="s">
        <v>8270</v>
      </c>
      <c r="R2423" t="s">
        <v>3000</v>
      </c>
    </row>
    <row r="2424" spans="1:18">
      <c r="A2424" t="s">
        <v>7030</v>
      </c>
      <c r="B2424" t="s">
        <v>9126</v>
      </c>
      <c r="C2424">
        <v>45729</v>
      </c>
      <c r="D2424" t="s">
        <v>7263</v>
      </c>
      <c r="E2424" t="s">
        <v>9127</v>
      </c>
      <c r="F2424">
        <v>45735</v>
      </c>
      <c r="G2424" t="s">
        <v>7207</v>
      </c>
      <c r="H2424" t="s">
        <v>2976</v>
      </c>
      <c r="I2424" t="s">
        <v>11028</v>
      </c>
      <c r="J2424">
        <v>0</v>
      </c>
      <c r="K2424">
        <v>1397.94</v>
      </c>
      <c r="L2424" t="s">
        <v>2917</v>
      </c>
      <c r="M2424">
        <v>1397.94</v>
      </c>
      <c r="N2424" t="s">
        <v>2917</v>
      </c>
      <c r="O2424" t="s">
        <v>2208</v>
      </c>
      <c r="P2424" t="s">
        <v>7170</v>
      </c>
      <c r="Q2424" t="s">
        <v>8270</v>
      </c>
      <c r="R2424" t="s">
        <v>3000</v>
      </c>
    </row>
    <row r="2425" spans="1:18">
      <c r="A2425" t="s">
        <v>7030</v>
      </c>
      <c r="B2425" t="s">
        <v>9126</v>
      </c>
      <c r="C2425">
        <v>45729</v>
      </c>
      <c r="D2425" t="s">
        <v>7263</v>
      </c>
      <c r="E2425" t="s">
        <v>9127</v>
      </c>
      <c r="F2425">
        <v>45735</v>
      </c>
      <c r="G2425" t="s">
        <v>7207</v>
      </c>
      <c r="H2425" t="s">
        <v>2976</v>
      </c>
      <c r="I2425" t="s">
        <v>11028</v>
      </c>
      <c r="J2425">
        <v>0</v>
      </c>
      <c r="K2425">
        <v>314.72000000000003</v>
      </c>
      <c r="L2425" t="s">
        <v>2917</v>
      </c>
      <c r="M2425">
        <v>314.72000000000003</v>
      </c>
      <c r="N2425" t="s">
        <v>2917</v>
      </c>
      <c r="O2425" t="s">
        <v>2208</v>
      </c>
      <c r="P2425" t="s">
        <v>7171</v>
      </c>
      <c r="Q2425" t="s">
        <v>8270</v>
      </c>
      <c r="R2425" t="s">
        <v>3000</v>
      </c>
    </row>
    <row r="2426" spans="1:18">
      <c r="A2426" t="s">
        <v>7030</v>
      </c>
      <c r="B2426" t="s">
        <v>9126</v>
      </c>
      <c r="C2426">
        <v>45729</v>
      </c>
      <c r="D2426" t="s">
        <v>7263</v>
      </c>
      <c r="E2426" t="s">
        <v>9127</v>
      </c>
      <c r="F2426">
        <v>45735</v>
      </c>
      <c r="G2426" t="s">
        <v>7207</v>
      </c>
      <c r="H2426" t="s">
        <v>2976</v>
      </c>
      <c r="I2426" t="s">
        <v>11028</v>
      </c>
      <c r="J2426">
        <v>0</v>
      </c>
      <c r="K2426">
        <v>18874.21</v>
      </c>
      <c r="L2426" t="s">
        <v>2917</v>
      </c>
      <c r="M2426">
        <v>18874.21</v>
      </c>
      <c r="N2426" t="s">
        <v>2917</v>
      </c>
      <c r="O2426" t="s">
        <v>2208</v>
      </c>
      <c r="P2426" t="s">
        <v>7172</v>
      </c>
      <c r="Q2426" t="s">
        <v>8270</v>
      </c>
      <c r="R2426" t="s">
        <v>3000</v>
      </c>
    </row>
    <row r="2427" spans="1:18">
      <c r="A2427" t="s">
        <v>7030</v>
      </c>
      <c r="B2427" t="s">
        <v>9126</v>
      </c>
      <c r="C2427">
        <v>45729</v>
      </c>
      <c r="D2427" t="s">
        <v>7263</v>
      </c>
      <c r="E2427" t="s">
        <v>9127</v>
      </c>
      <c r="F2427">
        <v>45735</v>
      </c>
      <c r="G2427" t="s">
        <v>7207</v>
      </c>
      <c r="H2427" t="s">
        <v>2976</v>
      </c>
      <c r="I2427" t="s">
        <v>11028</v>
      </c>
      <c r="J2427">
        <v>0</v>
      </c>
      <c r="K2427">
        <v>1114.44</v>
      </c>
      <c r="L2427" t="s">
        <v>2917</v>
      </c>
      <c r="M2427">
        <v>1114.44</v>
      </c>
      <c r="N2427" t="s">
        <v>2917</v>
      </c>
      <c r="O2427" t="s">
        <v>2208</v>
      </c>
      <c r="P2427" t="s">
        <v>7173</v>
      </c>
      <c r="Q2427" t="s">
        <v>8270</v>
      </c>
      <c r="R2427" t="s">
        <v>3000</v>
      </c>
    </row>
    <row r="2428" spans="1:18">
      <c r="A2428" t="s">
        <v>7030</v>
      </c>
      <c r="B2428" t="s">
        <v>9126</v>
      </c>
      <c r="C2428">
        <v>45729</v>
      </c>
      <c r="D2428" t="s">
        <v>7263</v>
      </c>
      <c r="E2428" t="s">
        <v>9127</v>
      </c>
      <c r="F2428">
        <v>45735</v>
      </c>
      <c r="G2428" t="s">
        <v>7207</v>
      </c>
      <c r="H2428" t="s">
        <v>2976</v>
      </c>
      <c r="I2428" t="s">
        <v>11028</v>
      </c>
      <c r="J2428">
        <v>0</v>
      </c>
      <c r="K2428">
        <v>5938.94</v>
      </c>
      <c r="L2428" t="s">
        <v>2917</v>
      </c>
      <c r="M2428">
        <v>5938.94</v>
      </c>
      <c r="N2428" t="s">
        <v>2917</v>
      </c>
      <c r="O2428" t="s">
        <v>2208</v>
      </c>
      <c r="P2428" t="s">
        <v>3168</v>
      </c>
      <c r="Q2428" t="s">
        <v>8270</v>
      </c>
      <c r="R2428" t="s">
        <v>3000</v>
      </c>
    </row>
    <row r="2429" spans="1:18">
      <c r="A2429" t="s">
        <v>7030</v>
      </c>
      <c r="B2429" t="s">
        <v>9126</v>
      </c>
      <c r="C2429">
        <v>45729</v>
      </c>
      <c r="D2429" t="s">
        <v>7263</v>
      </c>
      <c r="E2429" t="s">
        <v>9127</v>
      </c>
      <c r="F2429">
        <v>45735</v>
      </c>
      <c r="G2429" t="s">
        <v>7207</v>
      </c>
      <c r="H2429" t="s">
        <v>2976</v>
      </c>
      <c r="I2429" t="s">
        <v>11028</v>
      </c>
      <c r="J2429">
        <v>0</v>
      </c>
      <c r="K2429">
        <v>166.52</v>
      </c>
      <c r="L2429" t="s">
        <v>2917</v>
      </c>
      <c r="M2429">
        <v>166.52</v>
      </c>
      <c r="N2429" t="s">
        <v>2917</v>
      </c>
      <c r="O2429" t="s">
        <v>2208</v>
      </c>
      <c r="P2429" t="s">
        <v>8770</v>
      </c>
      <c r="Q2429" t="s">
        <v>8270</v>
      </c>
      <c r="R2429" t="s">
        <v>3000</v>
      </c>
    </row>
    <row r="2430" spans="1:18">
      <c r="A2430" t="s">
        <v>7030</v>
      </c>
      <c r="B2430" t="s">
        <v>9126</v>
      </c>
      <c r="C2430">
        <v>45678</v>
      </c>
      <c r="D2430" t="s">
        <v>7263</v>
      </c>
      <c r="E2430" t="s">
        <v>9127</v>
      </c>
      <c r="F2430">
        <v>45735</v>
      </c>
      <c r="G2430" t="s">
        <v>7231</v>
      </c>
      <c r="H2430" t="s">
        <v>2976</v>
      </c>
      <c r="I2430" t="s">
        <v>11029</v>
      </c>
      <c r="J2430">
        <v>0</v>
      </c>
      <c r="K2430">
        <v>29434.49</v>
      </c>
      <c r="L2430" t="s">
        <v>2917</v>
      </c>
      <c r="M2430">
        <v>29434.49</v>
      </c>
      <c r="N2430" t="s">
        <v>2917</v>
      </c>
      <c r="O2430" t="s">
        <v>2208</v>
      </c>
      <c r="P2430" t="s">
        <v>3065</v>
      </c>
      <c r="Q2430" t="s">
        <v>8270</v>
      </c>
      <c r="R2430" t="s">
        <v>3000</v>
      </c>
    </row>
    <row r="2431" spans="1:18">
      <c r="A2431" t="s">
        <v>7030</v>
      </c>
      <c r="B2431" t="s">
        <v>9126</v>
      </c>
      <c r="C2431">
        <v>45678</v>
      </c>
      <c r="D2431" t="s">
        <v>7263</v>
      </c>
      <c r="E2431" t="s">
        <v>9127</v>
      </c>
      <c r="F2431">
        <v>45735</v>
      </c>
      <c r="G2431" t="s">
        <v>7231</v>
      </c>
      <c r="H2431" t="s">
        <v>2976</v>
      </c>
      <c r="I2431" t="s">
        <v>11029</v>
      </c>
      <c r="J2431">
        <v>0</v>
      </c>
      <c r="K2431">
        <v>2820.02</v>
      </c>
      <c r="L2431" t="s">
        <v>2917</v>
      </c>
      <c r="M2431">
        <v>2820.02</v>
      </c>
      <c r="N2431" t="s">
        <v>2917</v>
      </c>
      <c r="O2431" t="s">
        <v>2208</v>
      </c>
      <c r="P2431" t="s">
        <v>3066</v>
      </c>
      <c r="Q2431" t="s">
        <v>8270</v>
      </c>
      <c r="R2431" t="s">
        <v>3000</v>
      </c>
    </row>
    <row r="2432" spans="1:18">
      <c r="A2432" t="s">
        <v>7030</v>
      </c>
      <c r="B2432" t="s">
        <v>9126</v>
      </c>
      <c r="C2432">
        <v>45678</v>
      </c>
      <c r="D2432" t="s">
        <v>7263</v>
      </c>
      <c r="E2432" t="s">
        <v>9127</v>
      </c>
      <c r="F2432">
        <v>45735</v>
      </c>
      <c r="G2432" t="s">
        <v>7231</v>
      </c>
      <c r="H2432" t="s">
        <v>2976</v>
      </c>
      <c r="I2432" t="s">
        <v>11029</v>
      </c>
      <c r="J2432">
        <v>0</v>
      </c>
      <c r="K2432">
        <v>1512.42</v>
      </c>
      <c r="L2432" t="s">
        <v>2917</v>
      </c>
      <c r="M2432">
        <v>1512.42</v>
      </c>
      <c r="N2432" t="s">
        <v>2917</v>
      </c>
      <c r="O2432" t="s">
        <v>2208</v>
      </c>
      <c r="P2432" t="s">
        <v>3067</v>
      </c>
      <c r="Q2432" t="s">
        <v>8270</v>
      </c>
      <c r="R2432" t="s">
        <v>3000</v>
      </c>
    </row>
    <row r="2433" spans="1:18">
      <c r="A2433" t="s">
        <v>7030</v>
      </c>
      <c r="B2433" t="s">
        <v>9126</v>
      </c>
      <c r="C2433">
        <v>45678</v>
      </c>
      <c r="D2433" t="s">
        <v>7263</v>
      </c>
      <c r="E2433" t="s">
        <v>9127</v>
      </c>
      <c r="F2433">
        <v>45735</v>
      </c>
      <c r="G2433" t="s">
        <v>7231</v>
      </c>
      <c r="H2433" t="s">
        <v>2976</v>
      </c>
      <c r="I2433" t="s">
        <v>11029</v>
      </c>
      <c r="J2433">
        <v>0</v>
      </c>
      <c r="K2433">
        <v>2595.21</v>
      </c>
      <c r="L2433" t="s">
        <v>2917</v>
      </c>
      <c r="M2433">
        <v>2595.21</v>
      </c>
      <c r="N2433" t="s">
        <v>2917</v>
      </c>
      <c r="O2433" t="s">
        <v>2208</v>
      </c>
      <c r="P2433" t="s">
        <v>3068</v>
      </c>
      <c r="Q2433" t="s">
        <v>8270</v>
      </c>
      <c r="R2433" t="s">
        <v>3000</v>
      </c>
    </row>
    <row r="2434" spans="1:18">
      <c r="A2434" t="s">
        <v>7030</v>
      </c>
      <c r="B2434" t="s">
        <v>9126</v>
      </c>
      <c r="C2434">
        <v>45678</v>
      </c>
      <c r="D2434" t="s">
        <v>7263</v>
      </c>
      <c r="E2434" t="s">
        <v>9127</v>
      </c>
      <c r="F2434">
        <v>45735</v>
      </c>
      <c r="G2434" t="s">
        <v>7231</v>
      </c>
      <c r="H2434" t="s">
        <v>2976</v>
      </c>
      <c r="I2434" t="s">
        <v>11029</v>
      </c>
      <c r="J2434">
        <v>0</v>
      </c>
      <c r="K2434">
        <v>29520.25</v>
      </c>
      <c r="L2434" t="s">
        <v>2917</v>
      </c>
      <c r="M2434">
        <v>29520.25</v>
      </c>
      <c r="N2434" t="s">
        <v>2917</v>
      </c>
      <c r="O2434" t="s">
        <v>2208</v>
      </c>
      <c r="P2434" t="s">
        <v>7156</v>
      </c>
      <c r="Q2434" t="s">
        <v>8270</v>
      </c>
      <c r="R2434" t="s">
        <v>3000</v>
      </c>
    </row>
    <row r="2435" spans="1:18">
      <c r="A2435" t="s">
        <v>7030</v>
      </c>
      <c r="B2435" t="s">
        <v>9126</v>
      </c>
      <c r="C2435">
        <v>45678</v>
      </c>
      <c r="D2435" t="s">
        <v>7263</v>
      </c>
      <c r="E2435" t="s">
        <v>9127</v>
      </c>
      <c r="F2435">
        <v>45735</v>
      </c>
      <c r="G2435" t="s">
        <v>7231</v>
      </c>
      <c r="H2435" t="s">
        <v>2976</v>
      </c>
      <c r="I2435" t="s">
        <v>11029</v>
      </c>
      <c r="J2435">
        <v>0</v>
      </c>
      <c r="K2435">
        <v>1880.01</v>
      </c>
      <c r="L2435" t="s">
        <v>2917</v>
      </c>
      <c r="M2435">
        <v>1880.01</v>
      </c>
      <c r="N2435" t="s">
        <v>2917</v>
      </c>
      <c r="O2435" t="s">
        <v>2208</v>
      </c>
      <c r="P2435" t="s">
        <v>3153</v>
      </c>
      <c r="Q2435" t="s">
        <v>8270</v>
      </c>
      <c r="R2435" t="s">
        <v>3000</v>
      </c>
    </row>
    <row r="2436" spans="1:18">
      <c r="A2436" t="s">
        <v>7030</v>
      </c>
      <c r="B2436" t="s">
        <v>9126</v>
      </c>
      <c r="C2436">
        <v>45678</v>
      </c>
      <c r="D2436" t="s">
        <v>7263</v>
      </c>
      <c r="E2436" t="s">
        <v>9127</v>
      </c>
      <c r="F2436">
        <v>45735</v>
      </c>
      <c r="G2436" t="s">
        <v>7231</v>
      </c>
      <c r="H2436" t="s">
        <v>2976</v>
      </c>
      <c r="I2436" t="s">
        <v>11029</v>
      </c>
      <c r="J2436">
        <v>0</v>
      </c>
      <c r="K2436">
        <v>1008.28</v>
      </c>
      <c r="L2436" t="s">
        <v>2917</v>
      </c>
      <c r="M2436">
        <v>1008.28</v>
      </c>
      <c r="N2436" t="s">
        <v>2917</v>
      </c>
      <c r="O2436" t="s">
        <v>2208</v>
      </c>
      <c r="P2436" t="s">
        <v>3154</v>
      </c>
      <c r="Q2436" t="s">
        <v>8270</v>
      </c>
      <c r="R2436" t="s">
        <v>3000</v>
      </c>
    </row>
    <row r="2437" spans="1:18">
      <c r="A2437" t="s">
        <v>7030</v>
      </c>
      <c r="B2437" t="s">
        <v>9126</v>
      </c>
      <c r="C2437">
        <v>45678</v>
      </c>
      <c r="D2437" t="s">
        <v>7263</v>
      </c>
      <c r="E2437" t="s">
        <v>9127</v>
      </c>
      <c r="F2437">
        <v>45735</v>
      </c>
      <c r="G2437" t="s">
        <v>7231</v>
      </c>
      <c r="H2437" t="s">
        <v>2976</v>
      </c>
      <c r="I2437" t="s">
        <v>11029</v>
      </c>
      <c r="J2437">
        <v>0</v>
      </c>
      <c r="K2437">
        <v>1730.14</v>
      </c>
      <c r="L2437" t="s">
        <v>2917</v>
      </c>
      <c r="M2437">
        <v>1730.14</v>
      </c>
      <c r="N2437" t="s">
        <v>2917</v>
      </c>
      <c r="O2437" t="s">
        <v>2208</v>
      </c>
      <c r="P2437" t="s">
        <v>3155</v>
      </c>
      <c r="Q2437" t="s">
        <v>8270</v>
      </c>
      <c r="R2437" t="s">
        <v>3000</v>
      </c>
    </row>
    <row r="2438" spans="1:18">
      <c r="A2438" t="s">
        <v>7030</v>
      </c>
      <c r="B2438" t="s">
        <v>9126</v>
      </c>
      <c r="C2438">
        <v>45678</v>
      </c>
      <c r="D2438" t="s">
        <v>7263</v>
      </c>
      <c r="E2438" t="s">
        <v>9127</v>
      </c>
      <c r="F2438">
        <v>45735</v>
      </c>
      <c r="G2438" t="s">
        <v>7231</v>
      </c>
      <c r="H2438" t="s">
        <v>2976</v>
      </c>
      <c r="I2438" t="s">
        <v>11029</v>
      </c>
      <c r="J2438">
        <v>0</v>
      </c>
      <c r="K2438">
        <v>31533.48</v>
      </c>
      <c r="L2438" t="s">
        <v>2917</v>
      </c>
      <c r="M2438">
        <v>31533.48</v>
      </c>
      <c r="N2438" t="s">
        <v>2917</v>
      </c>
      <c r="O2438" t="s">
        <v>2208</v>
      </c>
      <c r="P2438" t="s">
        <v>8745</v>
      </c>
      <c r="Q2438" t="s">
        <v>8270</v>
      </c>
      <c r="R2438" t="s">
        <v>3000</v>
      </c>
    </row>
    <row r="2439" spans="1:18">
      <c r="A2439" t="s">
        <v>7030</v>
      </c>
      <c r="B2439" t="s">
        <v>9126</v>
      </c>
      <c r="C2439">
        <v>45678</v>
      </c>
      <c r="D2439" t="s">
        <v>7263</v>
      </c>
      <c r="E2439" t="s">
        <v>9127</v>
      </c>
      <c r="F2439">
        <v>45735</v>
      </c>
      <c r="G2439" t="s">
        <v>7231</v>
      </c>
      <c r="H2439" t="s">
        <v>2976</v>
      </c>
      <c r="I2439" t="s">
        <v>11029</v>
      </c>
      <c r="J2439">
        <v>0</v>
      </c>
      <c r="K2439">
        <v>2029.88</v>
      </c>
      <c r="L2439" t="s">
        <v>2917</v>
      </c>
      <c r="M2439">
        <v>2029.88</v>
      </c>
      <c r="N2439" t="s">
        <v>2917</v>
      </c>
      <c r="O2439" t="s">
        <v>2208</v>
      </c>
      <c r="P2439" t="s">
        <v>7157</v>
      </c>
      <c r="Q2439" t="s">
        <v>8270</v>
      </c>
      <c r="R2439" t="s">
        <v>3000</v>
      </c>
    </row>
    <row r="2440" spans="1:18">
      <c r="A2440" t="s">
        <v>7030</v>
      </c>
      <c r="B2440" t="s">
        <v>9126</v>
      </c>
      <c r="C2440">
        <v>45678</v>
      </c>
      <c r="D2440" t="s">
        <v>7263</v>
      </c>
      <c r="E2440" t="s">
        <v>9127</v>
      </c>
      <c r="F2440">
        <v>45735</v>
      </c>
      <c r="G2440" t="s">
        <v>7231</v>
      </c>
      <c r="H2440" t="s">
        <v>2976</v>
      </c>
      <c r="I2440" t="s">
        <v>11029</v>
      </c>
      <c r="J2440">
        <v>0</v>
      </c>
      <c r="K2440">
        <v>1008.28</v>
      </c>
      <c r="L2440" t="s">
        <v>2917</v>
      </c>
      <c r="M2440">
        <v>1008.28</v>
      </c>
      <c r="N2440" t="s">
        <v>2917</v>
      </c>
      <c r="O2440" t="s">
        <v>2208</v>
      </c>
      <c r="P2440" t="s">
        <v>7158</v>
      </c>
      <c r="Q2440" t="s">
        <v>8270</v>
      </c>
      <c r="R2440" t="s">
        <v>3000</v>
      </c>
    </row>
    <row r="2441" spans="1:18">
      <c r="A2441" t="s">
        <v>7030</v>
      </c>
      <c r="B2441" t="s">
        <v>9126</v>
      </c>
      <c r="C2441">
        <v>45678</v>
      </c>
      <c r="D2441" t="s">
        <v>7263</v>
      </c>
      <c r="E2441" t="s">
        <v>9127</v>
      </c>
      <c r="F2441">
        <v>45735</v>
      </c>
      <c r="G2441" t="s">
        <v>7231</v>
      </c>
      <c r="H2441" t="s">
        <v>2976</v>
      </c>
      <c r="I2441" t="s">
        <v>11029</v>
      </c>
      <c r="J2441">
        <v>0</v>
      </c>
      <c r="K2441">
        <v>1730.14</v>
      </c>
      <c r="L2441" t="s">
        <v>2917</v>
      </c>
      <c r="M2441">
        <v>1730.14</v>
      </c>
      <c r="N2441" t="s">
        <v>2917</v>
      </c>
      <c r="O2441" t="s">
        <v>2208</v>
      </c>
      <c r="P2441" t="s">
        <v>7159</v>
      </c>
      <c r="Q2441" t="s">
        <v>8270</v>
      </c>
      <c r="R2441" t="s">
        <v>3000</v>
      </c>
    </row>
    <row r="2442" spans="1:18">
      <c r="A2442" t="s">
        <v>7030</v>
      </c>
      <c r="B2442" t="s">
        <v>9126</v>
      </c>
      <c r="C2442">
        <v>45678</v>
      </c>
      <c r="D2442" t="s">
        <v>7263</v>
      </c>
      <c r="E2442" t="s">
        <v>9127</v>
      </c>
      <c r="F2442">
        <v>45735</v>
      </c>
      <c r="G2442" t="s">
        <v>7231</v>
      </c>
      <c r="H2442" t="s">
        <v>2976</v>
      </c>
      <c r="I2442" t="s">
        <v>11029</v>
      </c>
      <c r="J2442">
        <v>0</v>
      </c>
      <c r="K2442">
        <v>12857.01</v>
      </c>
      <c r="L2442" t="s">
        <v>2917</v>
      </c>
      <c r="M2442">
        <v>12857.01</v>
      </c>
      <c r="N2442" t="s">
        <v>2917</v>
      </c>
      <c r="O2442" t="s">
        <v>2208</v>
      </c>
      <c r="P2442" t="s">
        <v>3007</v>
      </c>
      <c r="Q2442" t="s">
        <v>8270</v>
      </c>
      <c r="R2442" t="s">
        <v>3000</v>
      </c>
    </row>
    <row r="2443" spans="1:18">
      <c r="A2443" t="s">
        <v>7030</v>
      </c>
      <c r="B2443" t="s">
        <v>9126</v>
      </c>
      <c r="C2443">
        <v>45678</v>
      </c>
      <c r="D2443" t="s">
        <v>7263</v>
      </c>
      <c r="E2443" t="s">
        <v>9127</v>
      </c>
      <c r="F2443">
        <v>45735</v>
      </c>
      <c r="G2443" t="s">
        <v>7231</v>
      </c>
      <c r="H2443" t="s">
        <v>2976</v>
      </c>
      <c r="I2443" t="s">
        <v>11029</v>
      </c>
      <c r="J2443">
        <v>0</v>
      </c>
      <c r="K2443">
        <v>7933.01</v>
      </c>
      <c r="L2443" t="s">
        <v>2917</v>
      </c>
      <c r="M2443">
        <v>7933.01</v>
      </c>
      <c r="N2443" t="s">
        <v>2917</v>
      </c>
      <c r="O2443" t="s">
        <v>2208</v>
      </c>
      <c r="P2443" t="s">
        <v>8746</v>
      </c>
      <c r="Q2443" t="s">
        <v>8270</v>
      </c>
      <c r="R2443" t="s">
        <v>3000</v>
      </c>
    </row>
    <row r="2444" spans="1:18">
      <c r="A2444" t="s">
        <v>7030</v>
      </c>
      <c r="B2444" t="s">
        <v>9126</v>
      </c>
      <c r="C2444">
        <v>45678</v>
      </c>
      <c r="D2444" t="s">
        <v>7263</v>
      </c>
      <c r="E2444" t="s">
        <v>9127</v>
      </c>
      <c r="F2444">
        <v>45735</v>
      </c>
      <c r="G2444" t="s">
        <v>7231</v>
      </c>
      <c r="H2444" t="s">
        <v>2976</v>
      </c>
      <c r="I2444" t="s">
        <v>11029</v>
      </c>
      <c r="J2444">
        <v>0</v>
      </c>
      <c r="K2444">
        <v>214.39</v>
      </c>
      <c r="L2444" t="s">
        <v>2917</v>
      </c>
      <c r="M2444">
        <v>214.39</v>
      </c>
      <c r="N2444" t="s">
        <v>2917</v>
      </c>
      <c r="O2444" t="s">
        <v>2208</v>
      </c>
      <c r="P2444" t="s">
        <v>3069</v>
      </c>
      <c r="Q2444" t="s">
        <v>8270</v>
      </c>
      <c r="R2444" t="s">
        <v>3000</v>
      </c>
    </row>
    <row r="2445" spans="1:18">
      <c r="A2445" t="s">
        <v>7030</v>
      </c>
      <c r="B2445" t="s">
        <v>9126</v>
      </c>
      <c r="C2445">
        <v>45678</v>
      </c>
      <c r="D2445" t="s">
        <v>7263</v>
      </c>
      <c r="E2445" t="s">
        <v>9127</v>
      </c>
      <c r="F2445">
        <v>45735</v>
      </c>
      <c r="G2445" t="s">
        <v>7231</v>
      </c>
      <c r="H2445" t="s">
        <v>2976</v>
      </c>
      <c r="I2445" t="s">
        <v>11029</v>
      </c>
      <c r="J2445">
        <v>0</v>
      </c>
      <c r="K2445">
        <v>168.6</v>
      </c>
      <c r="L2445" t="s">
        <v>2917</v>
      </c>
      <c r="M2445">
        <v>168.6</v>
      </c>
      <c r="N2445" t="s">
        <v>2917</v>
      </c>
      <c r="O2445" t="s">
        <v>2208</v>
      </c>
      <c r="P2445" t="s">
        <v>7162</v>
      </c>
      <c r="Q2445" t="s">
        <v>8270</v>
      </c>
      <c r="R2445" t="s">
        <v>3000</v>
      </c>
    </row>
    <row r="2446" spans="1:18">
      <c r="A2446" t="s">
        <v>7030</v>
      </c>
      <c r="B2446" t="s">
        <v>9126</v>
      </c>
      <c r="C2446">
        <v>45678</v>
      </c>
      <c r="D2446" t="s">
        <v>7263</v>
      </c>
      <c r="E2446" t="s">
        <v>9127</v>
      </c>
      <c r="F2446">
        <v>45735</v>
      </c>
      <c r="G2446" t="s">
        <v>7231</v>
      </c>
      <c r="H2446" t="s">
        <v>2976</v>
      </c>
      <c r="I2446" t="s">
        <v>11029</v>
      </c>
      <c r="J2446">
        <v>0</v>
      </c>
      <c r="K2446">
        <v>4914.63</v>
      </c>
      <c r="L2446" t="s">
        <v>2917</v>
      </c>
      <c r="M2446">
        <v>4914.63</v>
      </c>
      <c r="N2446" t="s">
        <v>2917</v>
      </c>
      <c r="O2446" t="s">
        <v>2208</v>
      </c>
      <c r="P2446" t="s">
        <v>7163</v>
      </c>
      <c r="Q2446" t="s">
        <v>8270</v>
      </c>
      <c r="R2446" t="s">
        <v>3000</v>
      </c>
    </row>
    <row r="2447" spans="1:18">
      <c r="A2447" t="s">
        <v>2237</v>
      </c>
      <c r="B2447" t="s">
        <v>9126</v>
      </c>
      <c r="C2447">
        <v>45701</v>
      </c>
      <c r="D2447" t="s">
        <v>7263</v>
      </c>
      <c r="E2447" t="s">
        <v>9127</v>
      </c>
      <c r="F2447">
        <v>45736</v>
      </c>
      <c r="G2447" t="s">
        <v>2998</v>
      </c>
      <c r="H2447" t="s">
        <v>2978</v>
      </c>
      <c r="I2447" t="s">
        <v>11030</v>
      </c>
      <c r="J2447">
        <v>0</v>
      </c>
      <c r="K2447">
        <v>144</v>
      </c>
      <c r="L2447" t="s">
        <v>2917</v>
      </c>
      <c r="M2447">
        <v>144</v>
      </c>
      <c r="N2447" t="s">
        <v>2917</v>
      </c>
      <c r="O2447" t="s">
        <v>2208</v>
      </c>
      <c r="P2447" t="s">
        <v>2999</v>
      </c>
      <c r="Q2447" t="s">
        <v>2980</v>
      </c>
      <c r="R2447" t="s">
        <v>2981</v>
      </c>
    </row>
    <row r="2448" spans="1:18">
      <c r="A2448" t="s">
        <v>2418</v>
      </c>
      <c r="B2448" t="s">
        <v>9126</v>
      </c>
      <c r="C2448">
        <v>45701</v>
      </c>
      <c r="D2448" t="s">
        <v>7263</v>
      </c>
      <c r="E2448" t="s">
        <v>9127</v>
      </c>
      <c r="F2448">
        <v>45736</v>
      </c>
      <c r="G2448" t="s">
        <v>3002</v>
      </c>
      <c r="H2448" t="s">
        <v>2978</v>
      </c>
      <c r="I2448" t="s">
        <v>11031</v>
      </c>
      <c r="J2448">
        <v>0</v>
      </c>
      <c r="K2448">
        <v>3592</v>
      </c>
      <c r="L2448" t="s">
        <v>2917</v>
      </c>
      <c r="M2448">
        <v>3592</v>
      </c>
      <c r="N2448" t="s">
        <v>2917</v>
      </c>
      <c r="O2448" t="s">
        <v>2208</v>
      </c>
      <c r="P2448" t="s">
        <v>3003</v>
      </c>
      <c r="Q2448" t="s">
        <v>2980</v>
      </c>
      <c r="R2448" t="s">
        <v>2981</v>
      </c>
    </row>
    <row r="2449" spans="1:18">
      <c r="A2449" t="s">
        <v>7030</v>
      </c>
      <c r="B2449" t="s">
        <v>9126</v>
      </c>
      <c r="C2449">
        <v>45701</v>
      </c>
      <c r="D2449" t="s">
        <v>7263</v>
      </c>
      <c r="E2449" t="s">
        <v>9127</v>
      </c>
      <c r="F2449">
        <v>45736</v>
      </c>
      <c r="G2449" t="s">
        <v>7133</v>
      </c>
      <c r="H2449" t="s">
        <v>2978</v>
      </c>
      <c r="I2449" t="s">
        <v>11032</v>
      </c>
      <c r="J2449">
        <v>0</v>
      </c>
      <c r="K2449">
        <v>7250.5</v>
      </c>
      <c r="L2449" t="s">
        <v>2917</v>
      </c>
      <c r="M2449">
        <v>7250.5</v>
      </c>
      <c r="N2449" t="s">
        <v>2917</v>
      </c>
      <c r="O2449" t="s">
        <v>2208</v>
      </c>
      <c r="P2449" t="s">
        <v>3010</v>
      </c>
      <c r="Q2449" t="s">
        <v>2980</v>
      </c>
      <c r="R2449" t="s">
        <v>2981</v>
      </c>
    </row>
    <row r="2450" spans="1:18">
      <c r="A2450" t="s">
        <v>7030</v>
      </c>
      <c r="B2450" t="s">
        <v>9126</v>
      </c>
      <c r="C2450">
        <v>45701</v>
      </c>
      <c r="D2450" t="s">
        <v>7263</v>
      </c>
      <c r="E2450" t="s">
        <v>9127</v>
      </c>
      <c r="F2450">
        <v>45736</v>
      </c>
      <c r="G2450" t="s">
        <v>7133</v>
      </c>
      <c r="H2450" t="s">
        <v>2978</v>
      </c>
      <c r="I2450" t="s">
        <v>11032</v>
      </c>
      <c r="J2450">
        <v>0</v>
      </c>
      <c r="K2450">
        <v>4.5</v>
      </c>
      <c r="L2450" t="s">
        <v>2917</v>
      </c>
      <c r="M2450">
        <v>4.5</v>
      </c>
      <c r="N2450" t="s">
        <v>2917</v>
      </c>
      <c r="O2450" t="s">
        <v>2208</v>
      </c>
      <c r="P2450" t="s">
        <v>7134</v>
      </c>
      <c r="Q2450" t="s">
        <v>2980</v>
      </c>
      <c r="R2450" t="s">
        <v>2981</v>
      </c>
    </row>
    <row r="2451" spans="1:18">
      <c r="A2451" t="s">
        <v>2418</v>
      </c>
      <c r="B2451" t="s">
        <v>9126</v>
      </c>
      <c r="C2451">
        <v>45730</v>
      </c>
      <c r="D2451" t="s">
        <v>7263</v>
      </c>
      <c r="E2451" t="s">
        <v>9127</v>
      </c>
      <c r="F2451">
        <v>45736</v>
      </c>
      <c r="G2451" t="s">
        <v>7248</v>
      </c>
      <c r="H2451" t="s">
        <v>2978</v>
      </c>
      <c r="I2451" t="s">
        <v>11033</v>
      </c>
      <c r="J2451">
        <v>0</v>
      </c>
      <c r="K2451">
        <v>6044</v>
      </c>
      <c r="L2451" t="s">
        <v>2917</v>
      </c>
      <c r="M2451">
        <v>6044</v>
      </c>
      <c r="N2451" t="s">
        <v>2917</v>
      </c>
      <c r="O2451" t="s">
        <v>2208</v>
      </c>
      <c r="P2451" t="s">
        <v>7249</v>
      </c>
      <c r="Q2451" t="s">
        <v>2980</v>
      </c>
      <c r="R2451" t="s">
        <v>2981</v>
      </c>
    </row>
    <row r="2452" spans="1:18">
      <c r="A2452" t="s">
        <v>7030</v>
      </c>
      <c r="B2452" t="s">
        <v>9126</v>
      </c>
      <c r="C2452">
        <v>45678</v>
      </c>
      <c r="D2452" t="s">
        <v>7263</v>
      </c>
      <c r="E2452" t="s">
        <v>9127</v>
      </c>
      <c r="F2452">
        <v>45736</v>
      </c>
      <c r="G2452" t="s">
        <v>7231</v>
      </c>
      <c r="H2452" t="s">
        <v>2976</v>
      </c>
      <c r="I2452" t="s">
        <v>11034</v>
      </c>
      <c r="J2452">
        <v>0</v>
      </c>
      <c r="K2452">
        <v>-29434.49</v>
      </c>
      <c r="L2452" t="s">
        <v>2917</v>
      </c>
      <c r="M2452">
        <v>-29434.49</v>
      </c>
      <c r="N2452" t="s">
        <v>2917</v>
      </c>
      <c r="O2452" t="s">
        <v>2208</v>
      </c>
      <c r="P2452" t="s">
        <v>3065</v>
      </c>
      <c r="Q2452" t="s">
        <v>8270</v>
      </c>
      <c r="R2452" t="s">
        <v>3000</v>
      </c>
    </row>
    <row r="2453" spans="1:18">
      <c r="A2453" t="s">
        <v>7030</v>
      </c>
      <c r="B2453" t="s">
        <v>9126</v>
      </c>
      <c r="C2453">
        <v>45678</v>
      </c>
      <c r="D2453" t="s">
        <v>7263</v>
      </c>
      <c r="E2453" t="s">
        <v>9127</v>
      </c>
      <c r="F2453">
        <v>45736</v>
      </c>
      <c r="G2453" t="s">
        <v>7231</v>
      </c>
      <c r="H2453" t="s">
        <v>2976</v>
      </c>
      <c r="I2453" t="s">
        <v>11034</v>
      </c>
      <c r="J2453">
        <v>0</v>
      </c>
      <c r="K2453">
        <v>-2820.02</v>
      </c>
      <c r="L2453" t="s">
        <v>2917</v>
      </c>
      <c r="M2453">
        <v>-2820.02</v>
      </c>
      <c r="N2453" t="s">
        <v>2917</v>
      </c>
      <c r="O2453" t="s">
        <v>2208</v>
      </c>
      <c r="P2453" t="s">
        <v>3066</v>
      </c>
      <c r="Q2453" t="s">
        <v>8270</v>
      </c>
      <c r="R2453" t="s">
        <v>3000</v>
      </c>
    </row>
    <row r="2454" spans="1:18">
      <c r="A2454" t="s">
        <v>7030</v>
      </c>
      <c r="B2454" t="s">
        <v>9126</v>
      </c>
      <c r="C2454">
        <v>45678</v>
      </c>
      <c r="D2454" t="s">
        <v>7263</v>
      </c>
      <c r="E2454" t="s">
        <v>9127</v>
      </c>
      <c r="F2454">
        <v>45736</v>
      </c>
      <c r="G2454" t="s">
        <v>7231</v>
      </c>
      <c r="H2454" t="s">
        <v>2976</v>
      </c>
      <c r="I2454" t="s">
        <v>11034</v>
      </c>
      <c r="J2454">
        <v>0</v>
      </c>
      <c r="K2454">
        <v>-1512.42</v>
      </c>
      <c r="L2454" t="s">
        <v>2917</v>
      </c>
      <c r="M2454">
        <v>-1512.42</v>
      </c>
      <c r="N2454" t="s">
        <v>2917</v>
      </c>
      <c r="O2454" t="s">
        <v>2208</v>
      </c>
      <c r="P2454" t="s">
        <v>3067</v>
      </c>
      <c r="Q2454" t="s">
        <v>8270</v>
      </c>
      <c r="R2454" t="s">
        <v>3000</v>
      </c>
    </row>
    <row r="2455" spans="1:18">
      <c r="A2455" t="s">
        <v>7030</v>
      </c>
      <c r="B2455" t="s">
        <v>9126</v>
      </c>
      <c r="C2455">
        <v>45678</v>
      </c>
      <c r="D2455" t="s">
        <v>7263</v>
      </c>
      <c r="E2455" t="s">
        <v>9127</v>
      </c>
      <c r="F2455">
        <v>45736</v>
      </c>
      <c r="G2455" t="s">
        <v>7231</v>
      </c>
      <c r="H2455" t="s">
        <v>2976</v>
      </c>
      <c r="I2455" t="s">
        <v>11034</v>
      </c>
      <c r="J2455">
        <v>0</v>
      </c>
      <c r="K2455">
        <v>-2595.21</v>
      </c>
      <c r="L2455" t="s">
        <v>2917</v>
      </c>
      <c r="M2455">
        <v>-2595.21</v>
      </c>
      <c r="N2455" t="s">
        <v>2917</v>
      </c>
      <c r="O2455" t="s">
        <v>2208</v>
      </c>
      <c r="P2455" t="s">
        <v>3068</v>
      </c>
      <c r="Q2455" t="s">
        <v>8270</v>
      </c>
      <c r="R2455" t="s">
        <v>3000</v>
      </c>
    </row>
    <row r="2456" spans="1:18">
      <c r="A2456" t="s">
        <v>7030</v>
      </c>
      <c r="B2456" t="s">
        <v>9126</v>
      </c>
      <c r="C2456">
        <v>45678</v>
      </c>
      <c r="D2456" t="s">
        <v>7263</v>
      </c>
      <c r="E2456" t="s">
        <v>9127</v>
      </c>
      <c r="F2456">
        <v>45736</v>
      </c>
      <c r="G2456" t="s">
        <v>7231</v>
      </c>
      <c r="H2456" t="s">
        <v>2976</v>
      </c>
      <c r="I2456" t="s">
        <v>11034</v>
      </c>
      <c r="J2456">
        <v>0</v>
      </c>
      <c r="K2456">
        <v>-29520.25</v>
      </c>
      <c r="L2456" t="s">
        <v>2917</v>
      </c>
      <c r="M2456">
        <v>-29520.25</v>
      </c>
      <c r="N2456" t="s">
        <v>2917</v>
      </c>
      <c r="O2456" t="s">
        <v>2208</v>
      </c>
      <c r="P2456" t="s">
        <v>7156</v>
      </c>
      <c r="Q2456" t="s">
        <v>8270</v>
      </c>
      <c r="R2456" t="s">
        <v>3000</v>
      </c>
    </row>
    <row r="2457" spans="1:18">
      <c r="A2457" t="s">
        <v>7030</v>
      </c>
      <c r="B2457" t="s">
        <v>9126</v>
      </c>
      <c r="C2457">
        <v>45678</v>
      </c>
      <c r="D2457" t="s">
        <v>7263</v>
      </c>
      <c r="E2457" t="s">
        <v>9127</v>
      </c>
      <c r="F2457">
        <v>45736</v>
      </c>
      <c r="G2457" t="s">
        <v>7231</v>
      </c>
      <c r="H2457" t="s">
        <v>2976</v>
      </c>
      <c r="I2457" t="s">
        <v>11034</v>
      </c>
      <c r="J2457">
        <v>0</v>
      </c>
      <c r="K2457">
        <v>-1880.01</v>
      </c>
      <c r="L2457" t="s">
        <v>2917</v>
      </c>
      <c r="M2457">
        <v>-1880.01</v>
      </c>
      <c r="N2457" t="s">
        <v>2917</v>
      </c>
      <c r="O2457" t="s">
        <v>2208</v>
      </c>
      <c r="P2457" t="s">
        <v>3153</v>
      </c>
      <c r="Q2457" t="s">
        <v>8270</v>
      </c>
      <c r="R2457" t="s">
        <v>3000</v>
      </c>
    </row>
    <row r="2458" spans="1:18">
      <c r="A2458" t="s">
        <v>7030</v>
      </c>
      <c r="B2458" t="s">
        <v>9126</v>
      </c>
      <c r="C2458">
        <v>45678</v>
      </c>
      <c r="D2458" t="s">
        <v>7263</v>
      </c>
      <c r="E2458" t="s">
        <v>9127</v>
      </c>
      <c r="F2458">
        <v>45736</v>
      </c>
      <c r="G2458" t="s">
        <v>7231</v>
      </c>
      <c r="H2458" t="s">
        <v>2976</v>
      </c>
      <c r="I2458" t="s">
        <v>11034</v>
      </c>
      <c r="J2458">
        <v>0</v>
      </c>
      <c r="K2458">
        <v>-1008.28</v>
      </c>
      <c r="L2458" t="s">
        <v>2917</v>
      </c>
      <c r="M2458">
        <v>-1008.28</v>
      </c>
      <c r="N2458" t="s">
        <v>2917</v>
      </c>
      <c r="O2458" t="s">
        <v>2208</v>
      </c>
      <c r="P2458" t="s">
        <v>3154</v>
      </c>
      <c r="Q2458" t="s">
        <v>8270</v>
      </c>
      <c r="R2458" t="s">
        <v>3000</v>
      </c>
    </row>
    <row r="2459" spans="1:18">
      <c r="A2459" t="s">
        <v>7030</v>
      </c>
      <c r="B2459" t="s">
        <v>9126</v>
      </c>
      <c r="C2459">
        <v>45678</v>
      </c>
      <c r="D2459" t="s">
        <v>7263</v>
      </c>
      <c r="E2459" t="s">
        <v>9127</v>
      </c>
      <c r="F2459">
        <v>45736</v>
      </c>
      <c r="G2459" t="s">
        <v>7231</v>
      </c>
      <c r="H2459" t="s">
        <v>2976</v>
      </c>
      <c r="I2459" t="s">
        <v>11034</v>
      </c>
      <c r="J2459">
        <v>0</v>
      </c>
      <c r="K2459">
        <v>-1730.14</v>
      </c>
      <c r="L2459" t="s">
        <v>2917</v>
      </c>
      <c r="M2459">
        <v>-1730.14</v>
      </c>
      <c r="N2459" t="s">
        <v>2917</v>
      </c>
      <c r="O2459" t="s">
        <v>2208</v>
      </c>
      <c r="P2459" t="s">
        <v>3155</v>
      </c>
      <c r="Q2459" t="s">
        <v>8270</v>
      </c>
      <c r="R2459" t="s">
        <v>3000</v>
      </c>
    </row>
    <row r="2460" spans="1:18">
      <c r="A2460" t="s">
        <v>7030</v>
      </c>
      <c r="B2460" t="s">
        <v>9126</v>
      </c>
      <c r="C2460">
        <v>45678</v>
      </c>
      <c r="D2460" t="s">
        <v>7263</v>
      </c>
      <c r="E2460" t="s">
        <v>9127</v>
      </c>
      <c r="F2460">
        <v>45736</v>
      </c>
      <c r="G2460" t="s">
        <v>7231</v>
      </c>
      <c r="H2460" t="s">
        <v>2976</v>
      </c>
      <c r="I2460" t="s">
        <v>11034</v>
      </c>
      <c r="J2460">
        <v>0</v>
      </c>
      <c r="K2460">
        <v>-31533.48</v>
      </c>
      <c r="L2460" t="s">
        <v>2917</v>
      </c>
      <c r="M2460">
        <v>-31533.48</v>
      </c>
      <c r="N2460" t="s">
        <v>2917</v>
      </c>
      <c r="O2460" t="s">
        <v>2208</v>
      </c>
      <c r="P2460" t="s">
        <v>8745</v>
      </c>
      <c r="Q2460" t="s">
        <v>8270</v>
      </c>
      <c r="R2460" t="s">
        <v>3000</v>
      </c>
    </row>
    <row r="2461" spans="1:18">
      <c r="A2461" t="s">
        <v>7030</v>
      </c>
      <c r="B2461" t="s">
        <v>9126</v>
      </c>
      <c r="C2461">
        <v>45678</v>
      </c>
      <c r="D2461" t="s">
        <v>7263</v>
      </c>
      <c r="E2461" t="s">
        <v>9127</v>
      </c>
      <c r="F2461">
        <v>45736</v>
      </c>
      <c r="G2461" t="s">
        <v>7231</v>
      </c>
      <c r="H2461" t="s">
        <v>2976</v>
      </c>
      <c r="I2461" t="s">
        <v>11034</v>
      </c>
      <c r="J2461">
        <v>0</v>
      </c>
      <c r="K2461">
        <v>-2029.88</v>
      </c>
      <c r="L2461" t="s">
        <v>2917</v>
      </c>
      <c r="M2461">
        <v>-2029.88</v>
      </c>
      <c r="N2461" t="s">
        <v>2917</v>
      </c>
      <c r="O2461" t="s">
        <v>2208</v>
      </c>
      <c r="P2461" t="s">
        <v>7157</v>
      </c>
      <c r="Q2461" t="s">
        <v>8270</v>
      </c>
      <c r="R2461" t="s">
        <v>3000</v>
      </c>
    </row>
    <row r="2462" spans="1:18">
      <c r="A2462" t="s">
        <v>7030</v>
      </c>
      <c r="B2462" t="s">
        <v>9126</v>
      </c>
      <c r="C2462">
        <v>45678</v>
      </c>
      <c r="D2462" t="s">
        <v>7263</v>
      </c>
      <c r="E2462" t="s">
        <v>9127</v>
      </c>
      <c r="F2462">
        <v>45736</v>
      </c>
      <c r="G2462" t="s">
        <v>7231</v>
      </c>
      <c r="H2462" t="s">
        <v>2976</v>
      </c>
      <c r="I2462" t="s">
        <v>11034</v>
      </c>
      <c r="J2462">
        <v>0</v>
      </c>
      <c r="K2462">
        <v>-1008.28</v>
      </c>
      <c r="L2462" t="s">
        <v>2917</v>
      </c>
      <c r="M2462">
        <v>-1008.28</v>
      </c>
      <c r="N2462" t="s">
        <v>2917</v>
      </c>
      <c r="O2462" t="s">
        <v>2208</v>
      </c>
      <c r="P2462" t="s">
        <v>7158</v>
      </c>
      <c r="Q2462" t="s">
        <v>8270</v>
      </c>
      <c r="R2462" t="s">
        <v>3000</v>
      </c>
    </row>
    <row r="2463" spans="1:18">
      <c r="A2463" t="s">
        <v>7030</v>
      </c>
      <c r="B2463" t="s">
        <v>9126</v>
      </c>
      <c r="C2463">
        <v>45678</v>
      </c>
      <c r="D2463" t="s">
        <v>7263</v>
      </c>
      <c r="E2463" t="s">
        <v>9127</v>
      </c>
      <c r="F2463">
        <v>45736</v>
      </c>
      <c r="G2463" t="s">
        <v>7231</v>
      </c>
      <c r="H2463" t="s">
        <v>2976</v>
      </c>
      <c r="I2463" t="s">
        <v>11034</v>
      </c>
      <c r="J2463">
        <v>0</v>
      </c>
      <c r="K2463">
        <v>-1730.14</v>
      </c>
      <c r="L2463" t="s">
        <v>2917</v>
      </c>
      <c r="M2463">
        <v>-1730.14</v>
      </c>
      <c r="N2463" t="s">
        <v>2917</v>
      </c>
      <c r="O2463" t="s">
        <v>2208</v>
      </c>
      <c r="P2463" t="s">
        <v>7159</v>
      </c>
      <c r="Q2463" t="s">
        <v>8270</v>
      </c>
      <c r="R2463" t="s">
        <v>3000</v>
      </c>
    </row>
    <row r="2464" spans="1:18">
      <c r="A2464" t="s">
        <v>7030</v>
      </c>
      <c r="B2464" t="s">
        <v>9126</v>
      </c>
      <c r="C2464">
        <v>45678</v>
      </c>
      <c r="D2464" t="s">
        <v>7263</v>
      </c>
      <c r="E2464" t="s">
        <v>9127</v>
      </c>
      <c r="F2464">
        <v>45736</v>
      </c>
      <c r="G2464" t="s">
        <v>7231</v>
      </c>
      <c r="H2464" t="s">
        <v>2976</v>
      </c>
      <c r="I2464" t="s">
        <v>11034</v>
      </c>
      <c r="J2464">
        <v>0</v>
      </c>
      <c r="K2464">
        <v>-12857.01</v>
      </c>
      <c r="L2464" t="s">
        <v>2917</v>
      </c>
      <c r="M2464">
        <v>-12857.01</v>
      </c>
      <c r="N2464" t="s">
        <v>2917</v>
      </c>
      <c r="O2464" t="s">
        <v>2208</v>
      </c>
      <c r="P2464" t="s">
        <v>3007</v>
      </c>
      <c r="Q2464" t="s">
        <v>8270</v>
      </c>
      <c r="R2464" t="s">
        <v>3000</v>
      </c>
    </row>
    <row r="2465" spans="1:18">
      <c r="A2465" t="s">
        <v>7030</v>
      </c>
      <c r="B2465" t="s">
        <v>9126</v>
      </c>
      <c r="C2465">
        <v>45678</v>
      </c>
      <c r="D2465" t="s">
        <v>7263</v>
      </c>
      <c r="E2465" t="s">
        <v>9127</v>
      </c>
      <c r="F2465">
        <v>45736</v>
      </c>
      <c r="G2465" t="s">
        <v>7231</v>
      </c>
      <c r="H2465" t="s">
        <v>2976</v>
      </c>
      <c r="I2465" t="s">
        <v>11034</v>
      </c>
      <c r="J2465">
        <v>0</v>
      </c>
      <c r="K2465">
        <v>-7933.01</v>
      </c>
      <c r="L2465" t="s">
        <v>2917</v>
      </c>
      <c r="M2465">
        <v>-7933.01</v>
      </c>
      <c r="N2465" t="s">
        <v>2917</v>
      </c>
      <c r="O2465" t="s">
        <v>2208</v>
      </c>
      <c r="P2465" t="s">
        <v>8746</v>
      </c>
      <c r="Q2465" t="s">
        <v>8270</v>
      </c>
      <c r="R2465" t="s">
        <v>3000</v>
      </c>
    </row>
    <row r="2466" spans="1:18">
      <c r="A2466" t="s">
        <v>7030</v>
      </c>
      <c r="B2466" t="s">
        <v>9126</v>
      </c>
      <c r="C2466">
        <v>45678</v>
      </c>
      <c r="D2466" t="s">
        <v>7263</v>
      </c>
      <c r="E2466" t="s">
        <v>9127</v>
      </c>
      <c r="F2466">
        <v>45736</v>
      </c>
      <c r="G2466" t="s">
        <v>7231</v>
      </c>
      <c r="H2466" t="s">
        <v>2976</v>
      </c>
      <c r="I2466" t="s">
        <v>11034</v>
      </c>
      <c r="J2466">
        <v>0</v>
      </c>
      <c r="K2466">
        <v>-214.39</v>
      </c>
      <c r="L2466" t="s">
        <v>2917</v>
      </c>
      <c r="M2466">
        <v>-214.39</v>
      </c>
      <c r="N2466" t="s">
        <v>2917</v>
      </c>
      <c r="O2466" t="s">
        <v>2208</v>
      </c>
      <c r="P2466" t="s">
        <v>3069</v>
      </c>
      <c r="Q2466" t="s">
        <v>8270</v>
      </c>
      <c r="R2466" t="s">
        <v>3000</v>
      </c>
    </row>
    <row r="2467" spans="1:18">
      <c r="A2467" t="s">
        <v>7030</v>
      </c>
      <c r="B2467" t="s">
        <v>9126</v>
      </c>
      <c r="C2467">
        <v>45678</v>
      </c>
      <c r="D2467" t="s">
        <v>7263</v>
      </c>
      <c r="E2467" t="s">
        <v>9127</v>
      </c>
      <c r="F2467">
        <v>45736</v>
      </c>
      <c r="G2467" t="s">
        <v>7231</v>
      </c>
      <c r="H2467" t="s">
        <v>2976</v>
      </c>
      <c r="I2467" t="s">
        <v>11034</v>
      </c>
      <c r="J2467">
        <v>0</v>
      </c>
      <c r="K2467">
        <v>-168.6</v>
      </c>
      <c r="L2467" t="s">
        <v>2917</v>
      </c>
      <c r="M2467">
        <v>-168.6</v>
      </c>
      <c r="N2467" t="s">
        <v>2917</v>
      </c>
      <c r="O2467" t="s">
        <v>2208</v>
      </c>
      <c r="P2467" t="s">
        <v>7162</v>
      </c>
      <c r="Q2467" t="s">
        <v>8270</v>
      </c>
      <c r="R2467" t="s">
        <v>3000</v>
      </c>
    </row>
    <row r="2468" spans="1:18">
      <c r="A2468" t="s">
        <v>7030</v>
      </c>
      <c r="B2468" t="s">
        <v>9126</v>
      </c>
      <c r="C2468">
        <v>45678</v>
      </c>
      <c r="D2468" t="s">
        <v>7263</v>
      </c>
      <c r="E2468" t="s">
        <v>9127</v>
      </c>
      <c r="F2468">
        <v>45736</v>
      </c>
      <c r="G2468" t="s">
        <v>7231</v>
      </c>
      <c r="H2468" t="s">
        <v>2976</v>
      </c>
      <c r="I2468" t="s">
        <v>11034</v>
      </c>
      <c r="J2468">
        <v>0</v>
      </c>
      <c r="K2468">
        <v>-4914.63</v>
      </c>
      <c r="L2468" t="s">
        <v>2917</v>
      </c>
      <c r="M2468">
        <v>-4914.63</v>
      </c>
      <c r="N2468" t="s">
        <v>2917</v>
      </c>
      <c r="O2468" t="s">
        <v>2208</v>
      </c>
      <c r="P2468" t="s">
        <v>7163</v>
      </c>
      <c r="Q2468" t="s">
        <v>8270</v>
      </c>
      <c r="R2468" t="s">
        <v>3000</v>
      </c>
    </row>
    <row r="2469" spans="1:18">
      <c r="A2469" t="s">
        <v>7030</v>
      </c>
      <c r="B2469" t="s">
        <v>9126</v>
      </c>
      <c r="C2469">
        <v>45678</v>
      </c>
      <c r="D2469" t="s">
        <v>7263</v>
      </c>
      <c r="E2469" t="s">
        <v>9127</v>
      </c>
      <c r="F2469">
        <v>45736</v>
      </c>
      <c r="G2469" t="s">
        <v>7231</v>
      </c>
      <c r="H2469" t="s">
        <v>2976</v>
      </c>
      <c r="I2469" t="s">
        <v>11035</v>
      </c>
      <c r="J2469">
        <v>0</v>
      </c>
      <c r="K2469">
        <v>29434.49</v>
      </c>
      <c r="L2469" t="s">
        <v>2917</v>
      </c>
      <c r="M2469">
        <v>29434.49</v>
      </c>
      <c r="N2469" t="s">
        <v>2917</v>
      </c>
      <c r="O2469" t="s">
        <v>2208</v>
      </c>
      <c r="P2469" t="s">
        <v>3065</v>
      </c>
      <c r="Q2469" t="s">
        <v>8270</v>
      </c>
      <c r="R2469" t="s">
        <v>3000</v>
      </c>
    </row>
    <row r="2470" spans="1:18">
      <c r="A2470" t="s">
        <v>7030</v>
      </c>
      <c r="B2470" t="s">
        <v>9126</v>
      </c>
      <c r="C2470">
        <v>45678</v>
      </c>
      <c r="D2470" t="s">
        <v>7263</v>
      </c>
      <c r="E2470" t="s">
        <v>9127</v>
      </c>
      <c r="F2470">
        <v>45736</v>
      </c>
      <c r="G2470" t="s">
        <v>7231</v>
      </c>
      <c r="H2470" t="s">
        <v>2976</v>
      </c>
      <c r="I2470" t="s">
        <v>11035</v>
      </c>
      <c r="J2470">
        <v>0</v>
      </c>
      <c r="K2470">
        <v>2820.02</v>
      </c>
      <c r="L2470" t="s">
        <v>2917</v>
      </c>
      <c r="M2470">
        <v>2820.02</v>
      </c>
      <c r="N2470" t="s">
        <v>2917</v>
      </c>
      <c r="O2470" t="s">
        <v>2208</v>
      </c>
      <c r="P2470" t="s">
        <v>3066</v>
      </c>
      <c r="Q2470" t="s">
        <v>8270</v>
      </c>
      <c r="R2470" t="s">
        <v>3000</v>
      </c>
    </row>
    <row r="2471" spans="1:18">
      <c r="A2471" t="s">
        <v>7030</v>
      </c>
      <c r="B2471" t="s">
        <v>9126</v>
      </c>
      <c r="C2471">
        <v>45678</v>
      </c>
      <c r="D2471" t="s">
        <v>7263</v>
      </c>
      <c r="E2471" t="s">
        <v>9127</v>
      </c>
      <c r="F2471">
        <v>45736</v>
      </c>
      <c r="G2471" t="s">
        <v>7231</v>
      </c>
      <c r="H2471" t="s">
        <v>2976</v>
      </c>
      <c r="I2471" t="s">
        <v>11035</v>
      </c>
      <c r="J2471">
        <v>0</v>
      </c>
      <c r="K2471">
        <v>1512.42</v>
      </c>
      <c r="L2471" t="s">
        <v>2917</v>
      </c>
      <c r="M2471">
        <v>1512.42</v>
      </c>
      <c r="N2471" t="s">
        <v>2917</v>
      </c>
      <c r="O2471" t="s">
        <v>2208</v>
      </c>
      <c r="P2471" t="s">
        <v>3067</v>
      </c>
      <c r="Q2471" t="s">
        <v>8270</v>
      </c>
      <c r="R2471" t="s">
        <v>3000</v>
      </c>
    </row>
    <row r="2472" spans="1:18">
      <c r="A2472" t="s">
        <v>7030</v>
      </c>
      <c r="B2472" t="s">
        <v>9126</v>
      </c>
      <c r="C2472">
        <v>45678</v>
      </c>
      <c r="D2472" t="s">
        <v>7263</v>
      </c>
      <c r="E2472" t="s">
        <v>9127</v>
      </c>
      <c r="F2472">
        <v>45736</v>
      </c>
      <c r="G2472" t="s">
        <v>7231</v>
      </c>
      <c r="H2472" t="s">
        <v>2976</v>
      </c>
      <c r="I2472" t="s">
        <v>11035</v>
      </c>
      <c r="J2472">
        <v>0</v>
      </c>
      <c r="K2472">
        <v>2595.21</v>
      </c>
      <c r="L2472" t="s">
        <v>2917</v>
      </c>
      <c r="M2472">
        <v>2595.21</v>
      </c>
      <c r="N2472" t="s">
        <v>2917</v>
      </c>
      <c r="O2472" t="s">
        <v>2208</v>
      </c>
      <c r="P2472" t="s">
        <v>3068</v>
      </c>
      <c r="Q2472" t="s">
        <v>8270</v>
      </c>
      <c r="R2472" t="s">
        <v>3000</v>
      </c>
    </row>
    <row r="2473" spans="1:18">
      <c r="A2473" t="s">
        <v>7030</v>
      </c>
      <c r="B2473" t="s">
        <v>9126</v>
      </c>
      <c r="C2473">
        <v>45678</v>
      </c>
      <c r="D2473" t="s">
        <v>7263</v>
      </c>
      <c r="E2473" t="s">
        <v>9127</v>
      </c>
      <c r="F2473">
        <v>45736</v>
      </c>
      <c r="G2473" t="s">
        <v>7231</v>
      </c>
      <c r="H2473" t="s">
        <v>2976</v>
      </c>
      <c r="I2473" t="s">
        <v>11035</v>
      </c>
      <c r="J2473">
        <v>0</v>
      </c>
      <c r="K2473">
        <v>29520.25</v>
      </c>
      <c r="L2473" t="s">
        <v>2917</v>
      </c>
      <c r="M2473">
        <v>29520.25</v>
      </c>
      <c r="N2473" t="s">
        <v>2917</v>
      </c>
      <c r="O2473" t="s">
        <v>2208</v>
      </c>
      <c r="P2473" t="s">
        <v>7156</v>
      </c>
      <c r="Q2473" t="s">
        <v>8270</v>
      </c>
      <c r="R2473" t="s">
        <v>3000</v>
      </c>
    </row>
    <row r="2474" spans="1:18">
      <c r="A2474" t="s">
        <v>7030</v>
      </c>
      <c r="B2474" t="s">
        <v>9126</v>
      </c>
      <c r="C2474">
        <v>45678</v>
      </c>
      <c r="D2474" t="s">
        <v>7263</v>
      </c>
      <c r="E2474" t="s">
        <v>9127</v>
      </c>
      <c r="F2474">
        <v>45736</v>
      </c>
      <c r="G2474" t="s">
        <v>7231</v>
      </c>
      <c r="H2474" t="s">
        <v>2976</v>
      </c>
      <c r="I2474" t="s">
        <v>11035</v>
      </c>
      <c r="J2474">
        <v>0</v>
      </c>
      <c r="K2474">
        <v>1880.01</v>
      </c>
      <c r="L2474" t="s">
        <v>2917</v>
      </c>
      <c r="M2474">
        <v>1880.01</v>
      </c>
      <c r="N2474" t="s">
        <v>2917</v>
      </c>
      <c r="O2474" t="s">
        <v>2208</v>
      </c>
      <c r="P2474" t="s">
        <v>3153</v>
      </c>
      <c r="Q2474" t="s">
        <v>8270</v>
      </c>
      <c r="R2474" t="s">
        <v>3000</v>
      </c>
    </row>
    <row r="2475" spans="1:18">
      <c r="A2475" t="s">
        <v>7030</v>
      </c>
      <c r="B2475" t="s">
        <v>9126</v>
      </c>
      <c r="C2475">
        <v>45678</v>
      </c>
      <c r="D2475" t="s">
        <v>7263</v>
      </c>
      <c r="E2475" t="s">
        <v>9127</v>
      </c>
      <c r="F2475">
        <v>45736</v>
      </c>
      <c r="G2475" t="s">
        <v>7231</v>
      </c>
      <c r="H2475" t="s">
        <v>2976</v>
      </c>
      <c r="I2475" t="s">
        <v>11035</v>
      </c>
      <c r="J2475">
        <v>0</v>
      </c>
      <c r="K2475">
        <v>1008.28</v>
      </c>
      <c r="L2475" t="s">
        <v>2917</v>
      </c>
      <c r="M2475">
        <v>1008.28</v>
      </c>
      <c r="N2475" t="s">
        <v>2917</v>
      </c>
      <c r="O2475" t="s">
        <v>2208</v>
      </c>
      <c r="P2475" t="s">
        <v>3154</v>
      </c>
      <c r="Q2475" t="s">
        <v>8270</v>
      </c>
      <c r="R2475" t="s">
        <v>3000</v>
      </c>
    </row>
    <row r="2476" spans="1:18">
      <c r="A2476" t="s">
        <v>7030</v>
      </c>
      <c r="B2476" t="s">
        <v>9126</v>
      </c>
      <c r="C2476">
        <v>45678</v>
      </c>
      <c r="D2476" t="s">
        <v>7263</v>
      </c>
      <c r="E2476" t="s">
        <v>9127</v>
      </c>
      <c r="F2476">
        <v>45736</v>
      </c>
      <c r="G2476" t="s">
        <v>7231</v>
      </c>
      <c r="H2476" t="s">
        <v>2976</v>
      </c>
      <c r="I2476" t="s">
        <v>11035</v>
      </c>
      <c r="J2476">
        <v>0</v>
      </c>
      <c r="K2476">
        <v>1730.14</v>
      </c>
      <c r="L2476" t="s">
        <v>2917</v>
      </c>
      <c r="M2476">
        <v>1730.14</v>
      </c>
      <c r="N2476" t="s">
        <v>2917</v>
      </c>
      <c r="O2476" t="s">
        <v>2208</v>
      </c>
      <c r="P2476" t="s">
        <v>3155</v>
      </c>
      <c r="Q2476" t="s">
        <v>8270</v>
      </c>
      <c r="R2476" t="s">
        <v>3000</v>
      </c>
    </row>
    <row r="2477" spans="1:18">
      <c r="A2477" t="s">
        <v>7030</v>
      </c>
      <c r="B2477" t="s">
        <v>9126</v>
      </c>
      <c r="C2477">
        <v>45678</v>
      </c>
      <c r="D2477" t="s">
        <v>7263</v>
      </c>
      <c r="E2477" t="s">
        <v>9127</v>
      </c>
      <c r="F2477">
        <v>45736</v>
      </c>
      <c r="G2477" t="s">
        <v>7231</v>
      </c>
      <c r="H2477" t="s">
        <v>2976</v>
      </c>
      <c r="I2477" t="s">
        <v>11035</v>
      </c>
      <c r="J2477">
        <v>0</v>
      </c>
      <c r="K2477">
        <v>31533.48</v>
      </c>
      <c r="L2477" t="s">
        <v>2917</v>
      </c>
      <c r="M2477">
        <v>31533.48</v>
      </c>
      <c r="N2477" t="s">
        <v>2917</v>
      </c>
      <c r="O2477" t="s">
        <v>2208</v>
      </c>
      <c r="P2477" t="s">
        <v>8745</v>
      </c>
      <c r="Q2477" t="s">
        <v>8270</v>
      </c>
      <c r="R2477" t="s">
        <v>3000</v>
      </c>
    </row>
    <row r="2478" spans="1:18">
      <c r="A2478" t="s">
        <v>7030</v>
      </c>
      <c r="B2478" t="s">
        <v>9126</v>
      </c>
      <c r="C2478">
        <v>45678</v>
      </c>
      <c r="D2478" t="s">
        <v>7263</v>
      </c>
      <c r="E2478" t="s">
        <v>9127</v>
      </c>
      <c r="F2478">
        <v>45736</v>
      </c>
      <c r="G2478" t="s">
        <v>7231</v>
      </c>
      <c r="H2478" t="s">
        <v>2976</v>
      </c>
      <c r="I2478" t="s">
        <v>11035</v>
      </c>
      <c r="J2478">
        <v>0</v>
      </c>
      <c r="K2478">
        <v>2029.88</v>
      </c>
      <c r="L2478" t="s">
        <v>2917</v>
      </c>
      <c r="M2478">
        <v>2029.88</v>
      </c>
      <c r="N2478" t="s">
        <v>2917</v>
      </c>
      <c r="O2478" t="s">
        <v>2208</v>
      </c>
      <c r="P2478" t="s">
        <v>7157</v>
      </c>
      <c r="Q2478" t="s">
        <v>8270</v>
      </c>
      <c r="R2478" t="s">
        <v>3000</v>
      </c>
    </row>
    <row r="2479" spans="1:18">
      <c r="A2479" t="s">
        <v>7030</v>
      </c>
      <c r="B2479" t="s">
        <v>9126</v>
      </c>
      <c r="C2479">
        <v>45678</v>
      </c>
      <c r="D2479" t="s">
        <v>7263</v>
      </c>
      <c r="E2479" t="s">
        <v>9127</v>
      </c>
      <c r="F2479">
        <v>45736</v>
      </c>
      <c r="G2479" t="s">
        <v>7231</v>
      </c>
      <c r="H2479" t="s">
        <v>2976</v>
      </c>
      <c r="I2479" t="s">
        <v>11035</v>
      </c>
      <c r="J2479">
        <v>0</v>
      </c>
      <c r="K2479">
        <v>1008.28</v>
      </c>
      <c r="L2479" t="s">
        <v>2917</v>
      </c>
      <c r="M2479">
        <v>1008.28</v>
      </c>
      <c r="N2479" t="s">
        <v>2917</v>
      </c>
      <c r="O2479" t="s">
        <v>2208</v>
      </c>
      <c r="P2479" t="s">
        <v>7158</v>
      </c>
      <c r="Q2479" t="s">
        <v>8270</v>
      </c>
      <c r="R2479" t="s">
        <v>3000</v>
      </c>
    </row>
    <row r="2480" spans="1:18">
      <c r="A2480" t="s">
        <v>7030</v>
      </c>
      <c r="B2480" t="s">
        <v>9126</v>
      </c>
      <c r="C2480">
        <v>45678</v>
      </c>
      <c r="D2480" t="s">
        <v>7263</v>
      </c>
      <c r="E2480" t="s">
        <v>9127</v>
      </c>
      <c r="F2480">
        <v>45736</v>
      </c>
      <c r="G2480" t="s">
        <v>7231</v>
      </c>
      <c r="H2480" t="s">
        <v>2976</v>
      </c>
      <c r="I2480" t="s">
        <v>11035</v>
      </c>
      <c r="J2480">
        <v>0</v>
      </c>
      <c r="K2480">
        <v>1730.14</v>
      </c>
      <c r="L2480" t="s">
        <v>2917</v>
      </c>
      <c r="M2480">
        <v>1730.14</v>
      </c>
      <c r="N2480" t="s">
        <v>2917</v>
      </c>
      <c r="O2480" t="s">
        <v>2208</v>
      </c>
      <c r="P2480" t="s">
        <v>7159</v>
      </c>
      <c r="Q2480" t="s">
        <v>8270</v>
      </c>
      <c r="R2480" t="s">
        <v>3000</v>
      </c>
    </row>
    <row r="2481" spans="1:18">
      <c r="A2481" t="s">
        <v>7030</v>
      </c>
      <c r="B2481" t="s">
        <v>9126</v>
      </c>
      <c r="C2481">
        <v>45678</v>
      </c>
      <c r="D2481" t="s">
        <v>7263</v>
      </c>
      <c r="E2481" t="s">
        <v>9127</v>
      </c>
      <c r="F2481">
        <v>45736</v>
      </c>
      <c r="G2481" t="s">
        <v>7231</v>
      </c>
      <c r="H2481" t="s">
        <v>2976</v>
      </c>
      <c r="I2481" t="s">
        <v>11035</v>
      </c>
      <c r="J2481">
        <v>0</v>
      </c>
      <c r="K2481">
        <v>12857.01</v>
      </c>
      <c r="L2481" t="s">
        <v>2917</v>
      </c>
      <c r="M2481">
        <v>12857.01</v>
      </c>
      <c r="N2481" t="s">
        <v>2917</v>
      </c>
      <c r="O2481" t="s">
        <v>2208</v>
      </c>
      <c r="P2481" t="s">
        <v>3007</v>
      </c>
      <c r="Q2481" t="s">
        <v>8270</v>
      </c>
      <c r="R2481" t="s">
        <v>3000</v>
      </c>
    </row>
    <row r="2482" spans="1:18">
      <c r="A2482" t="s">
        <v>7030</v>
      </c>
      <c r="B2482" t="s">
        <v>9126</v>
      </c>
      <c r="C2482">
        <v>45678</v>
      </c>
      <c r="D2482" t="s">
        <v>7263</v>
      </c>
      <c r="E2482" t="s">
        <v>9127</v>
      </c>
      <c r="F2482">
        <v>45736</v>
      </c>
      <c r="G2482" t="s">
        <v>7231</v>
      </c>
      <c r="H2482" t="s">
        <v>2976</v>
      </c>
      <c r="I2482" t="s">
        <v>11035</v>
      </c>
      <c r="J2482">
        <v>0</v>
      </c>
      <c r="K2482">
        <v>7933.01</v>
      </c>
      <c r="L2482" t="s">
        <v>2917</v>
      </c>
      <c r="M2482">
        <v>7933.01</v>
      </c>
      <c r="N2482" t="s">
        <v>2917</v>
      </c>
      <c r="O2482" t="s">
        <v>2208</v>
      </c>
      <c r="P2482" t="s">
        <v>8746</v>
      </c>
      <c r="Q2482" t="s">
        <v>8270</v>
      </c>
      <c r="R2482" t="s">
        <v>3000</v>
      </c>
    </row>
    <row r="2483" spans="1:18">
      <c r="A2483" t="s">
        <v>7030</v>
      </c>
      <c r="B2483" t="s">
        <v>9126</v>
      </c>
      <c r="C2483">
        <v>45678</v>
      </c>
      <c r="D2483" t="s">
        <v>7263</v>
      </c>
      <c r="E2483" t="s">
        <v>9127</v>
      </c>
      <c r="F2483">
        <v>45736</v>
      </c>
      <c r="G2483" t="s">
        <v>7231</v>
      </c>
      <c r="H2483" t="s">
        <v>2976</v>
      </c>
      <c r="I2483" t="s">
        <v>11035</v>
      </c>
      <c r="J2483">
        <v>0</v>
      </c>
      <c r="K2483">
        <v>214.39</v>
      </c>
      <c r="L2483" t="s">
        <v>2917</v>
      </c>
      <c r="M2483">
        <v>214.39</v>
      </c>
      <c r="N2483" t="s">
        <v>2917</v>
      </c>
      <c r="O2483" t="s">
        <v>2208</v>
      </c>
      <c r="P2483" t="s">
        <v>3069</v>
      </c>
      <c r="Q2483" t="s">
        <v>8270</v>
      </c>
      <c r="R2483" t="s">
        <v>3000</v>
      </c>
    </row>
    <row r="2484" spans="1:18">
      <c r="A2484" t="s">
        <v>7030</v>
      </c>
      <c r="B2484" t="s">
        <v>9126</v>
      </c>
      <c r="C2484">
        <v>45678</v>
      </c>
      <c r="D2484" t="s">
        <v>7263</v>
      </c>
      <c r="E2484" t="s">
        <v>9127</v>
      </c>
      <c r="F2484">
        <v>45736</v>
      </c>
      <c r="G2484" t="s">
        <v>7231</v>
      </c>
      <c r="H2484" t="s">
        <v>2976</v>
      </c>
      <c r="I2484" t="s">
        <v>11035</v>
      </c>
      <c r="J2484">
        <v>0</v>
      </c>
      <c r="K2484">
        <v>168.6</v>
      </c>
      <c r="L2484" t="s">
        <v>2917</v>
      </c>
      <c r="M2484">
        <v>168.6</v>
      </c>
      <c r="N2484" t="s">
        <v>2917</v>
      </c>
      <c r="O2484" t="s">
        <v>2208</v>
      </c>
      <c r="P2484" t="s">
        <v>7162</v>
      </c>
      <c r="Q2484" t="s">
        <v>8270</v>
      </c>
      <c r="R2484" t="s">
        <v>3000</v>
      </c>
    </row>
    <row r="2485" spans="1:18">
      <c r="A2485" t="s">
        <v>7030</v>
      </c>
      <c r="B2485" t="s">
        <v>9126</v>
      </c>
      <c r="C2485">
        <v>45678</v>
      </c>
      <c r="D2485" t="s">
        <v>7263</v>
      </c>
      <c r="E2485" t="s">
        <v>9127</v>
      </c>
      <c r="F2485">
        <v>45736</v>
      </c>
      <c r="G2485" t="s">
        <v>7231</v>
      </c>
      <c r="H2485" t="s">
        <v>2976</v>
      </c>
      <c r="I2485" t="s">
        <v>11035</v>
      </c>
      <c r="J2485">
        <v>0</v>
      </c>
      <c r="K2485">
        <v>4914.63</v>
      </c>
      <c r="L2485" t="s">
        <v>2917</v>
      </c>
      <c r="M2485">
        <v>4914.63</v>
      </c>
      <c r="N2485" t="s">
        <v>2917</v>
      </c>
      <c r="O2485" t="s">
        <v>2208</v>
      </c>
      <c r="P2485" t="s">
        <v>7163</v>
      </c>
      <c r="Q2485" t="s">
        <v>8270</v>
      </c>
      <c r="R2485" t="s">
        <v>3000</v>
      </c>
    </row>
    <row r="2486" spans="1:18">
      <c r="A2486" t="s">
        <v>2724</v>
      </c>
      <c r="B2486" t="s">
        <v>9126</v>
      </c>
      <c r="C2486">
        <v>45735</v>
      </c>
      <c r="D2486" t="s">
        <v>7263</v>
      </c>
      <c r="E2486" t="s">
        <v>9127</v>
      </c>
      <c r="F2486">
        <v>45740</v>
      </c>
      <c r="G2486" t="s">
        <v>3182</v>
      </c>
      <c r="H2486" t="s">
        <v>2976</v>
      </c>
      <c r="I2486" t="s">
        <v>11192</v>
      </c>
      <c r="J2486">
        <v>0</v>
      </c>
      <c r="K2486">
        <v>11802.11</v>
      </c>
      <c r="L2486" t="s">
        <v>2917</v>
      </c>
      <c r="M2486">
        <v>11802.11</v>
      </c>
      <c r="N2486" t="s">
        <v>2917</v>
      </c>
      <c r="O2486" t="s">
        <v>2208</v>
      </c>
      <c r="P2486" t="s">
        <v>3183</v>
      </c>
      <c r="Q2486" t="s">
        <v>8270</v>
      </c>
      <c r="R2486" t="s">
        <v>3000</v>
      </c>
    </row>
    <row r="2487" spans="1:18">
      <c r="A2487" t="s">
        <v>2724</v>
      </c>
      <c r="B2487" t="s">
        <v>9126</v>
      </c>
      <c r="C2487">
        <v>45735</v>
      </c>
      <c r="D2487" t="s">
        <v>7263</v>
      </c>
      <c r="E2487" t="s">
        <v>9127</v>
      </c>
      <c r="F2487">
        <v>45740</v>
      </c>
      <c r="G2487" t="s">
        <v>3182</v>
      </c>
      <c r="H2487" t="s">
        <v>2976</v>
      </c>
      <c r="I2487" t="s">
        <v>11192</v>
      </c>
      <c r="J2487">
        <v>0</v>
      </c>
      <c r="K2487">
        <v>1373.79</v>
      </c>
      <c r="L2487" t="s">
        <v>2917</v>
      </c>
      <c r="M2487">
        <v>1373.79</v>
      </c>
      <c r="N2487" t="s">
        <v>2917</v>
      </c>
      <c r="O2487" t="s">
        <v>2208</v>
      </c>
      <c r="P2487" t="s">
        <v>3001</v>
      </c>
      <c r="Q2487" t="s">
        <v>8270</v>
      </c>
      <c r="R2487" t="s">
        <v>3000</v>
      </c>
    </row>
    <row r="2488" spans="1:18">
      <c r="A2488" t="s">
        <v>2724</v>
      </c>
      <c r="B2488" t="s">
        <v>9126</v>
      </c>
      <c r="C2488">
        <v>45735</v>
      </c>
      <c r="D2488" t="s">
        <v>7263</v>
      </c>
      <c r="E2488" t="s">
        <v>9127</v>
      </c>
      <c r="F2488">
        <v>45740</v>
      </c>
      <c r="G2488" t="s">
        <v>3182</v>
      </c>
      <c r="H2488" t="s">
        <v>2976</v>
      </c>
      <c r="I2488" t="s">
        <v>11192</v>
      </c>
      <c r="J2488">
        <v>0</v>
      </c>
      <c r="K2488">
        <v>11802.11</v>
      </c>
      <c r="L2488" t="s">
        <v>2917</v>
      </c>
      <c r="M2488">
        <v>11802.11</v>
      </c>
      <c r="N2488" t="s">
        <v>2917</v>
      </c>
      <c r="O2488" t="s">
        <v>2208</v>
      </c>
      <c r="P2488" t="s">
        <v>3184</v>
      </c>
      <c r="Q2488" t="s">
        <v>8270</v>
      </c>
      <c r="R2488" t="s">
        <v>3000</v>
      </c>
    </row>
    <row r="2489" spans="1:18">
      <c r="A2489" t="s">
        <v>7030</v>
      </c>
      <c r="B2489" t="s">
        <v>9126</v>
      </c>
      <c r="C2489">
        <v>45730</v>
      </c>
      <c r="D2489" t="s">
        <v>7263</v>
      </c>
      <c r="E2489" t="s">
        <v>9127</v>
      </c>
      <c r="F2489">
        <v>45741</v>
      </c>
      <c r="G2489" t="s">
        <v>7245</v>
      </c>
      <c r="H2489" t="s">
        <v>2978</v>
      </c>
      <c r="I2489" t="s">
        <v>11193</v>
      </c>
      <c r="J2489">
        <v>0</v>
      </c>
      <c r="K2489">
        <v>39191</v>
      </c>
      <c r="L2489" t="s">
        <v>2917</v>
      </c>
      <c r="M2489">
        <v>39191</v>
      </c>
      <c r="N2489" t="s">
        <v>2917</v>
      </c>
      <c r="O2489" t="s">
        <v>2208</v>
      </c>
      <c r="P2489" t="s">
        <v>7246</v>
      </c>
      <c r="Q2489" t="s">
        <v>2980</v>
      </c>
      <c r="R2489" t="s">
        <v>2981</v>
      </c>
    </row>
    <row r="2490" spans="1:18">
      <c r="A2490" t="s">
        <v>7030</v>
      </c>
      <c r="B2490" t="s">
        <v>9126</v>
      </c>
      <c r="C2490">
        <v>45730</v>
      </c>
      <c r="D2490" t="s">
        <v>7263</v>
      </c>
      <c r="E2490" t="s">
        <v>9127</v>
      </c>
      <c r="F2490">
        <v>45741</v>
      </c>
      <c r="G2490" t="s">
        <v>7245</v>
      </c>
      <c r="H2490" t="s">
        <v>2978</v>
      </c>
      <c r="I2490" t="s">
        <v>11193</v>
      </c>
      <c r="J2490">
        <v>0</v>
      </c>
      <c r="K2490">
        <v>102.15</v>
      </c>
      <c r="L2490" t="s">
        <v>2917</v>
      </c>
      <c r="M2490">
        <v>102.15</v>
      </c>
      <c r="N2490" t="s">
        <v>2917</v>
      </c>
      <c r="O2490" t="s">
        <v>2208</v>
      </c>
      <c r="P2490" t="s">
        <v>7247</v>
      </c>
      <c r="Q2490" t="s">
        <v>2980</v>
      </c>
      <c r="R2490" t="s">
        <v>2981</v>
      </c>
    </row>
    <row r="2491" spans="1:18">
      <c r="A2491" t="s">
        <v>2237</v>
      </c>
      <c r="B2491" t="s">
        <v>9126</v>
      </c>
      <c r="C2491">
        <v>45730</v>
      </c>
      <c r="D2491" t="s">
        <v>7263</v>
      </c>
      <c r="E2491" t="s">
        <v>9127</v>
      </c>
      <c r="F2491">
        <v>45741</v>
      </c>
      <c r="G2491" t="s">
        <v>3008</v>
      </c>
      <c r="H2491" t="s">
        <v>2978</v>
      </c>
      <c r="I2491" t="s">
        <v>11194</v>
      </c>
      <c r="J2491">
        <v>0</v>
      </c>
      <c r="K2491">
        <v>192</v>
      </c>
      <c r="L2491" t="s">
        <v>2917</v>
      </c>
      <c r="M2491">
        <v>192</v>
      </c>
      <c r="N2491" t="s">
        <v>2917</v>
      </c>
      <c r="O2491" t="s">
        <v>2208</v>
      </c>
      <c r="P2491" t="s">
        <v>3009</v>
      </c>
      <c r="Q2491" t="s">
        <v>2980</v>
      </c>
      <c r="R2491" t="s">
        <v>2981</v>
      </c>
    </row>
    <row r="2492" spans="1:18">
      <c r="A2492" t="s">
        <v>2237</v>
      </c>
      <c r="B2492" t="s">
        <v>9126</v>
      </c>
      <c r="C2492">
        <v>45730</v>
      </c>
      <c r="D2492" t="s">
        <v>7263</v>
      </c>
      <c r="E2492" t="s">
        <v>9127</v>
      </c>
      <c r="F2492">
        <v>45741</v>
      </c>
      <c r="G2492" t="s">
        <v>3008</v>
      </c>
      <c r="H2492" t="s">
        <v>2978</v>
      </c>
      <c r="I2492" t="s">
        <v>11194</v>
      </c>
      <c r="J2492">
        <v>0</v>
      </c>
      <c r="K2492">
        <v>2.5</v>
      </c>
      <c r="L2492" t="s">
        <v>2917</v>
      </c>
      <c r="M2492">
        <v>2.5</v>
      </c>
      <c r="N2492" t="s">
        <v>2917</v>
      </c>
      <c r="O2492" t="s">
        <v>2208</v>
      </c>
      <c r="P2492" t="s">
        <v>3010</v>
      </c>
      <c r="Q2492" t="s">
        <v>2980</v>
      </c>
      <c r="R2492" t="s">
        <v>2981</v>
      </c>
    </row>
    <row r="2493" spans="1:18">
      <c r="A2493" t="s">
        <v>7030</v>
      </c>
      <c r="B2493" t="s">
        <v>9126</v>
      </c>
      <c r="C2493">
        <v>45730</v>
      </c>
      <c r="D2493" t="s">
        <v>7263</v>
      </c>
      <c r="E2493" t="s">
        <v>9127</v>
      </c>
      <c r="F2493">
        <v>45742</v>
      </c>
      <c r="G2493" t="s">
        <v>7059</v>
      </c>
      <c r="H2493" t="s">
        <v>2978</v>
      </c>
      <c r="I2493" t="s">
        <v>11308</v>
      </c>
      <c r="J2493">
        <v>0</v>
      </c>
      <c r="K2493">
        <v>25971</v>
      </c>
      <c r="L2493" t="s">
        <v>2917</v>
      </c>
      <c r="M2493">
        <v>25971</v>
      </c>
      <c r="N2493" t="s">
        <v>2917</v>
      </c>
      <c r="O2493" t="s">
        <v>2208</v>
      </c>
      <c r="P2493" t="s">
        <v>7039</v>
      </c>
      <c r="Q2493" t="s">
        <v>2980</v>
      </c>
      <c r="R2493" t="s">
        <v>2981</v>
      </c>
    </row>
    <row r="2494" spans="1:18">
      <c r="A2494" t="s">
        <v>7030</v>
      </c>
      <c r="B2494" t="s">
        <v>9126</v>
      </c>
      <c r="C2494">
        <v>45730</v>
      </c>
      <c r="D2494" t="s">
        <v>7263</v>
      </c>
      <c r="E2494" t="s">
        <v>9127</v>
      </c>
      <c r="F2494">
        <v>45742</v>
      </c>
      <c r="G2494" t="s">
        <v>7059</v>
      </c>
      <c r="H2494" t="s">
        <v>2978</v>
      </c>
      <c r="I2494" t="s">
        <v>11308</v>
      </c>
      <c r="J2494">
        <v>0</v>
      </c>
      <c r="K2494">
        <v>3.35</v>
      </c>
      <c r="L2494" t="s">
        <v>2917</v>
      </c>
      <c r="M2494">
        <v>3.35</v>
      </c>
      <c r="N2494" t="s">
        <v>2917</v>
      </c>
      <c r="O2494" t="s">
        <v>2208</v>
      </c>
      <c r="P2494" t="s">
        <v>7040</v>
      </c>
      <c r="Q2494" t="s">
        <v>2980</v>
      </c>
      <c r="R2494" t="s">
        <v>2981</v>
      </c>
    </row>
    <row r="2495" spans="1:18">
      <c r="A2495" t="s">
        <v>2418</v>
      </c>
      <c r="B2495" t="s">
        <v>9126</v>
      </c>
      <c r="C2495">
        <v>45730</v>
      </c>
      <c r="D2495" t="s">
        <v>7263</v>
      </c>
      <c r="E2495" t="s">
        <v>9127</v>
      </c>
      <c r="F2495">
        <v>45742</v>
      </c>
      <c r="G2495" t="s">
        <v>2982</v>
      </c>
      <c r="H2495" t="s">
        <v>2978</v>
      </c>
      <c r="I2495" t="s">
        <v>11309</v>
      </c>
      <c r="J2495">
        <v>0</v>
      </c>
      <c r="K2495">
        <v>2640</v>
      </c>
      <c r="L2495" t="s">
        <v>2917</v>
      </c>
      <c r="M2495">
        <v>2640</v>
      </c>
      <c r="N2495" t="s">
        <v>2917</v>
      </c>
      <c r="O2495" t="s">
        <v>2208</v>
      </c>
      <c r="P2495" t="s">
        <v>2983</v>
      </c>
      <c r="Q2495" t="s">
        <v>2980</v>
      </c>
      <c r="R2495" t="s">
        <v>2981</v>
      </c>
    </row>
    <row r="2496" spans="1:18">
      <c r="A2496" t="s">
        <v>2237</v>
      </c>
      <c r="B2496" t="s">
        <v>9126</v>
      </c>
      <c r="C2496">
        <v>45730</v>
      </c>
      <c r="D2496" t="s">
        <v>7263</v>
      </c>
      <c r="E2496" t="s">
        <v>9127</v>
      </c>
      <c r="F2496">
        <v>45742</v>
      </c>
      <c r="G2496" t="s">
        <v>2977</v>
      </c>
      <c r="H2496" t="s">
        <v>2978</v>
      </c>
      <c r="I2496" t="s">
        <v>11310</v>
      </c>
      <c r="J2496">
        <v>0</v>
      </c>
      <c r="K2496">
        <v>11340</v>
      </c>
      <c r="L2496" t="s">
        <v>2917</v>
      </c>
      <c r="M2496">
        <v>11340</v>
      </c>
      <c r="N2496" t="s">
        <v>2917</v>
      </c>
      <c r="O2496" t="s">
        <v>2208</v>
      </c>
      <c r="P2496" t="s">
        <v>2979</v>
      </c>
      <c r="Q2496" t="s">
        <v>2980</v>
      </c>
      <c r="R2496" t="s">
        <v>2981</v>
      </c>
    </row>
    <row r="2497" spans="1:18">
      <c r="A2497" t="s">
        <v>2237</v>
      </c>
      <c r="B2497" t="s">
        <v>9126</v>
      </c>
      <c r="C2497">
        <v>45730</v>
      </c>
      <c r="D2497" t="s">
        <v>7263</v>
      </c>
      <c r="E2497" t="s">
        <v>9127</v>
      </c>
      <c r="F2497">
        <v>45742</v>
      </c>
      <c r="G2497" t="s">
        <v>2977</v>
      </c>
      <c r="H2497" t="s">
        <v>2978</v>
      </c>
      <c r="I2497" t="s">
        <v>11310</v>
      </c>
      <c r="J2497">
        <v>0</v>
      </c>
      <c r="K2497">
        <v>0.8</v>
      </c>
      <c r="L2497" t="s">
        <v>2917</v>
      </c>
      <c r="M2497">
        <v>0.8</v>
      </c>
      <c r="N2497" t="s">
        <v>2917</v>
      </c>
      <c r="O2497" t="s">
        <v>2208</v>
      </c>
      <c r="P2497" t="s">
        <v>230</v>
      </c>
      <c r="Q2497" t="s">
        <v>2980</v>
      </c>
      <c r="R2497" t="s">
        <v>2981</v>
      </c>
    </row>
    <row r="2498" spans="1:18">
      <c r="A2498" t="s">
        <v>7030</v>
      </c>
      <c r="B2498" t="s">
        <v>9126</v>
      </c>
      <c r="C2498">
        <v>45730</v>
      </c>
      <c r="D2498" t="s">
        <v>7263</v>
      </c>
      <c r="E2498" t="s">
        <v>9127</v>
      </c>
      <c r="F2498">
        <v>45743</v>
      </c>
      <c r="G2498" t="s">
        <v>7060</v>
      </c>
      <c r="H2498" t="s">
        <v>2978</v>
      </c>
      <c r="I2498" t="s">
        <v>11842</v>
      </c>
      <c r="J2498">
        <v>0</v>
      </c>
      <c r="K2498">
        <v>41353</v>
      </c>
      <c r="L2498" t="s">
        <v>2917</v>
      </c>
      <c r="M2498">
        <v>41353</v>
      </c>
      <c r="N2498" t="s">
        <v>2917</v>
      </c>
      <c r="O2498" t="s">
        <v>2208</v>
      </c>
      <c r="P2498" t="s">
        <v>7037</v>
      </c>
      <c r="Q2498" t="s">
        <v>2980</v>
      </c>
      <c r="R2498" t="s">
        <v>2981</v>
      </c>
    </row>
    <row r="2499" spans="1:18">
      <c r="A2499" t="s">
        <v>7030</v>
      </c>
      <c r="B2499" t="s">
        <v>9126</v>
      </c>
      <c r="C2499">
        <v>45730</v>
      </c>
      <c r="D2499" t="s">
        <v>7263</v>
      </c>
      <c r="E2499" t="s">
        <v>9127</v>
      </c>
      <c r="F2499">
        <v>45743</v>
      </c>
      <c r="G2499" t="s">
        <v>7060</v>
      </c>
      <c r="H2499" t="s">
        <v>2978</v>
      </c>
      <c r="I2499" t="s">
        <v>11842</v>
      </c>
      <c r="J2499">
        <v>0</v>
      </c>
      <c r="K2499">
        <v>0.1</v>
      </c>
      <c r="L2499" t="s">
        <v>2917</v>
      </c>
      <c r="M2499">
        <v>0.1</v>
      </c>
      <c r="N2499" t="s">
        <v>2917</v>
      </c>
      <c r="O2499" t="s">
        <v>2208</v>
      </c>
      <c r="P2499" t="s">
        <v>230</v>
      </c>
      <c r="Q2499" t="s">
        <v>2980</v>
      </c>
      <c r="R2499" t="s">
        <v>2981</v>
      </c>
    </row>
    <row r="2500" spans="1:18">
      <c r="A2500" t="s">
        <v>1095</v>
      </c>
      <c r="B2500" t="s">
        <v>9126</v>
      </c>
      <c r="C2500">
        <v>45703</v>
      </c>
      <c r="D2500" t="s">
        <v>7263</v>
      </c>
      <c r="E2500" t="s">
        <v>9127</v>
      </c>
      <c r="F2500">
        <v>45743</v>
      </c>
      <c r="G2500" t="s">
        <v>7421</v>
      </c>
      <c r="H2500" t="s">
        <v>2978</v>
      </c>
      <c r="I2500" t="s">
        <v>11843</v>
      </c>
      <c r="J2500">
        <v>0</v>
      </c>
      <c r="K2500">
        <v>20950</v>
      </c>
      <c r="L2500" t="s">
        <v>2917</v>
      </c>
      <c r="M2500">
        <v>20950</v>
      </c>
      <c r="N2500" t="s">
        <v>2917</v>
      </c>
      <c r="O2500" t="s">
        <v>2208</v>
      </c>
      <c r="P2500" t="s">
        <v>7422</v>
      </c>
      <c r="Q2500" t="s">
        <v>11844</v>
      </c>
      <c r="R2500" t="s">
        <v>7423</v>
      </c>
    </row>
    <row r="2501" spans="1:18">
      <c r="A2501" t="s">
        <v>1095</v>
      </c>
      <c r="B2501" t="s">
        <v>9126</v>
      </c>
      <c r="C2501">
        <v>45703</v>
      </c>
      <c r="D2501" t="s">
        <v>7263</v>
      </c>
      <c r="E2501" t="s">
        <v>9127</v>
      </c>
      <c r="F2501">
        <v>45743</v>
      </c>
      <c r="G2501" t="s">
        <v>7421</v>
      </c>
      <c r="H2501" t="s">
        <v>2978</v>
      </c>
      <c r="I2501" t="s">
        <v>11843</v>
      </c>
      <c r="J2501">
        <v>0</v>
      </c>
      <c r="K2501">
        <v>4750</v>
      </c>
      <c r="L2501" t="s">
        <v>2917</v>
      </c>
      <c r="M2501">
        <v>4750</v>
      </c>
      <c r="N2501" t="s">
        <v>2917</v>
      </c>
      <c r="O2501" t="s">
        <v>2208</v>
      </c>
      <c r="P2501" t="s">
        <v>7424</v>
      </c>
      <c r="Q2501" t="s">
        <v>11844</v>
      </c>
      <c r="R2501" t="s">
        <v>7423</v>
      </c>
    </row>
    <row r="2502" spans="1:18">
      <c r="A2502" t="s">
        <v>1095</v>
      </c>
      <c r="B2502" t="s">
        <v>9126</v>
      </c>
      <c r="C2502">
        <v>45703</v>
      </c>
      <c r="D2502" t="s">
        <v>7263</v>
      </c>
      <c r="E2502" t="s">
        <v>9127</v>
      </c>
      <c r="F2502">
        <v>45743</v>
      </c>
      <c r="G2502" t="s">
        <v>7421</v>
      </c>
      <c r="H2502" t="s">
        <v>2978</v>
      </c>
      <c r="I2502" t="s">
        <v>11843</v>
      </c>
      <c r="J2502">
        <v>0</v>
      </c>
      <c r="K2502">
        <v>3780</v>
      </c>
      <c r="L2502" t="s">
        <v>2917</v>
      </c>
      <c r="M2502">
        <v>3780</v>
      </c>
      <c r="N2502" t="s">
        <v>2917</v>
      </c>
      <c r="O2502" t="s">
        <v>2208</v>
      </c>
      <c r="P2502" t="s">
        <v>7425</v>
      </c>
      <c r="Q2502" t="s">
        <v>11844</v>
      </c>
      <c r="R2502" t="s">
        <v>7423</v>
      </c>
    </row>
    <row r="2503" spans="1:18">
      <c r="A2503" t="s">
        <v>2237</v>
      </c>
      <c r="B2503" t="s">
        <v>9126</v>
      </c>
      <c r="C2503">
        <v>45730</v>
      </c>
      <c r="D2503" t="s">
        <v>7263</v>
      </c>
      <c r="E2503" t="s">
        <v>9127</v>
      </c>
      <c r="F2503">
        <v>45744</v>
      </c>
      <c r="G2503" t="s">
        <v>2995</v>
      </c>
      <c r="H2503" t="s">
        <v>2978</v>
      </c>
      <c r="I2503" t="s">
        <v>11845</v>
      </c>
      <c r="J2503">
        <v>0</v>
      </c>
      <c r="K2503">
        <v>3894</v>
      </c>
      <c r="L2503" t="s">
        <v>2917</v>
      </c>
      <c r="M2503">
        <v>3894</v>
      </c>
      <c r="N2503" t="s">
        <v>2917</v>
      </c>
      <c r="O2503" t="s">
        <v>2208</v>
      </c>
      <c r="P2503" t="s">
        <v>2996</v>
      </c>
      <c r="Q2503" t="s">
        <v>2980</v>
      </c>
      <c r="R2503" t="s">
        <v>2981</v>
      </c>
    </row>
    <row r="2504" spans="1:18">
      <c r="A2504" t="s">
        <v>2418</v>
      </c>
      <c r="B2504" t="s">
        <v>11331</v>
      </c>
      <c r="C2504">
        <v>45744</v>
      </c>
      <c r="D2504" t="s">
        <v>7263</v>
      </c>
      <c r="E2504" t="s">
        <v>11332</v>
      </c>
      <c r="F2504">
        <v>45748</v>
      </c>
      <c r="G2504" t="s">
        <v>3054</v>
      </c>
      <c r="H2504" t="s">
        <v>2976</v>
      </c>
      <c r="I2504" t="s">
        <v>11846</v>
      </c>
      <c r="J2504">
        <v>0</v>
      </c>
      <c r="K2504">
        <v>363446.4</v>
      </c>
      <c r="L2504" t="s">
        <v>2917</v>
      </c>
      <c r="M2504">
        <v>363446.4</v>
      </c>
      <c r="N2504" t="s">
        <v>2917</v>
      </c>
      <c r="O2504" t="s">
        <v>2208</v>
      </c>
      <c r="P2504" t="s">
        <v>3322</v>
      </c>
      <c r="Q2504" t="s">
        <v>8756</v>
      </c>
      <c r="R2504" t="s">
        <v>3055</v>
      </c>
    </row>
    <row r="2505" spans="1:18">
      <c r="A2505" t="s">
        <v>2418</v>
      </c>
      <c r="B2505" t="s">
        <v>11331</v>
      </c>
      <c r="C2505">
        <v>45744</v>
      </c>
      <c r="D2505" t="s">
        <v>7263</v>
      </c>
      <c r="E2505" t="s">
        <v>11332</v>
      </c>
      <c r="F2505">
        <v>45748</v>
      </c>
      <c r="G2505" t="s">
        <v>3054</v>
      </c>
      <c r="H2505" t="s">
        <v>2976</v>
      </c>
      <c r="I2505" t="s">
        <v>11846</v>
      </c>
      <c r="J2505">
        <v>0</v>
      </c>
      <c r="K2505">
        <v>22008.799999999999</v>
      </c>
      <c r="L2505" t="s">
        <v>2917</v>
      </c>
      <c r="M2505">
        <v>22008.799999999999</v>
      </c>
      <c r="N2505" t="s">
        <v>2917</v>
      </c>
      <c r="O2505" t="s">
        <v>2208</v>
      </c>
      <c r="P2505" t="s">
        <v>3323</v>
      </c>
      <c r="Q2505" t="s">
        <v>8756</v>
      </c>
      <c r="R2505" t="s">
        <v>3055</v>
      </c>
    </row>
    <row r="2506" spans="1:18">
      <c r="A2506" t="s">
        <v>7030</v>
      </c>
      <c r="B2506" t="s">
        <v>11331</v>
      </c>
      <c r="C2506">
        <v>45749</v>
      </c>
      <c r="D2506" t="s">
        <v>7263</v>
      </c>
      <c r="E2506" t="s">
        <v>11332</v>
      </c>
      <c r="F2506">
        <v>45754</v>
      </c>
      <c r="G2506" t="s">
        <v>10804</v>
      </c>
      <c r="H2506" t="s">
        <v>2976</v>
      </c>
      <c r="I2506" t="s">
        <v>12237</v>
      </c>
      <c r="J2506">
        <v>0</v>
      </c>
      <c r="K2506">
        <v>126409.38</v>
      </c>
      <c r="L2506" t="s">
        <v>2917</v>
      </c>
      <c r="M2506">
        <v>126409.38</v>
      </c>
      <c r="N2506" t="s">
        <v>2917</v>
      </c>
      <c r="O2506" t="s">
        <v>2208</v>
      </c>
      <c r="P2506" t="s">
        <v>9572</v>
      </c>
      <c r="Q2506" t="s">
        <v>12238</v>
      </c>
      <c r="R2506" t="s">
        <v>9573</v>
      </c>
    </row>
    <row r="2507" spans="1:18">
      <c r="A2507" t="s">
        <v>2418</v>
      </c>
      <c r="B2507" t="s">
        <v>11331</v>
      </c>
      <c r="C2507">
        <v>45744</v>
      </c>
      <c r="D2507" t="s">
        <v>7263</v>
      </c>
      <c r="E2507" t="s">
        <v>11332</v>
      </c>
      <c r="F2507">
        <v>45756</v>
      </c>
      <c r="G2507" t="s">
        <v>3054</v>
      </c>
      <c r="H2507" t="s">
        <v>2976</v>
      </c>
      <c r="I2507" t="s">
        <v>15809</v>
      </c>
      <c r="J2507">
        <v>0</v>
      </c>
      <c r="K2507">
        <v>-363446.4</v>
      </c>
      <c r="L2507" t="s">
        <v>2917</v>
      </c>
      <c r="M2507">
        <v>-363446.4</v>
      </c>
      <c r="N2507" t="s">
        <v>2917</v>
      </c>
      <c r="O2507" t="s">
        <v>2208</v>
      </c>
      <c r="P2507" t="s">
        <v>3322</v>
      </c>
      <c r="Q2507" t="s">
        <v>8756</v>
      </c>
      <c r="R2507" t="s">
        <v>3055</v>
      </c>
    </row>
    <row r="2508" spans="1:18">
      <c r="A2508" t="s">
        <v>2418</v>
      </c>
      <c r="B2508" t="s">
        <v>11331</v>
      </c>
      <c r="C2508">
        <v>45744</v>
      </c>
      <c r="D2508" t="s">
        <v>7263</v>
      </c>
      <c r="E2508" t="s">
        <v>11332</v>
      </c>
      <c r="F2508">
        <v>45756</v>
      </c>
      <c r="G2508" t="s">
        <v>3054</v>
      </c>
      <c r="H2508" t="s">
        <v>2976</v>
      </c>
      <c r="I2508" t="s">
        <v>15809</v>
      </c>
      <c r="J2508">
        <v>0</v>
      </c>
      <c r="K2508">
        <v>-22008.799999999999</v>
      </c>
      <c r="L2508" t="s">
        <v>2917</v>
      </c>
      <c r="M2508">
        <v>-22008.799999999999</v>
      </c>
      <c r="N2508" t="s">
        <v>2917</v>
      </c>
      <c r="O2508" t="s">
        <v>2208</v>
      </c>
      <c r="P2508" t="s">
        <v>3323</v>
      </c>
      <c r="Q2508" t="s">
        <v>8756</v>
      </c>
      <c r="R2508" t="s">
        <v>3055</v>
      </c>
    </row>
    <row r="2509" spans="1:18">
      <c r="A2509" t="s">
        <v>2418</v>
      </c>
      <c r="B2509" t="s">
        <v>11331</v>
      </c>
      <c r="C2509">
        <v>45744</v>
      </c>
      <c r="D2509" t="s">
        <v>7263</v>
      </c>
      <c r="E2509" t="s">
        <v>11332</v>
      </c>
      <c r="F2509">
        <v>45755</v>
      </c>
      <c r="G2509" t="s">
        <v>3054</v>
      </c>
      <c r="H2509" t="s">
        <v>2976</v>
      </c>
      <c r="I2509" t="s">
        <v>15810</v>
      </c>
      <c r="J2509">
        <v>0</v>
      </c>
      <c r="K2509">
        <v>363446.4</v>
      </c>
      <c r="L2509" t="s">
        <v>2917</v>
      </c>
      <c r="M2509">
        <v>363446.4</v>
      </c>
      <c r="N2509" t="s">
        <v>2917</v>
      </c>
      <c r="O2509" t="s">
        <v>2208</v>
      </c>
      <c r="P2509" t="s">
        <v>3322</v>
      </c>
      <c r="Q2509" t="s">
        <v>8756</v>
      </c>
      <c r="R2509" t="s">
        <v>3055</v>
      </c>
    </row>
    <row r="2510" spans="1:18">
      <c r="A2510" t="s">
        <v>2418</v>
      </c>
      <c r="B2510" t="s">
        <v>11331</v>
      </c>
      <c r="C2510">
        <v>45744</v>
      </c>
      <c r="D2510" t="s">
        <v>7263</v>
      </c>
      <c r="E2510" t="s">
        <v>11332</v>
      </c>
      <c r="F2510">
        <v>45755</v>
      </c>
      <c r="G2510" t="s">
        <v>3054</v>
      </c>
      <c r="H2510" t="s">
        <v>2976</v>
      </c>
      <c r="I2510" t="s">
        <v>15810</v>
      </c>
      <c r="J2510">
        <v>0</v>
      </c>
      <c r="K2510">
        <v>22008.799999999999</v>
      </c>
      <c r="L2510" t="s">
        <v>2917</v>
      </c>
      <c r="M2510">
        <v>22008.799999999999</v>
      </c>
      <c r="N2510" t="s">
        <v>2917</v>
      </c>
      <c r="O2510" t="s">
        <v>2208</v>
      </c>
      <c r="P2510" t="s">
        <v>3323</v>
      </c>
      <c r="Q2510" t="s">
        <v>8756</v>
      </c>
      <c r="R2510" t="s">
        <v>3055</v>
      </c>
    </row>
    <row r="2511" spans="1:18">
      <c r="A2511" t="s">
        <v>2725</v>
      </c>
      <c r="B2511" t="s">
        <v>11331</v>
      </c>
      <c r="C2511">
        <v>45705</v>
      </c>
      <c r="D2511" t="s">
        <v>7263</v>
      </c>
      <c r="E2511" t="s">
        <v>11332</v>
      </c>
      <c r="F2511">
        <v>45757</v>
      </c>
      <c r="G2511" t="s">
        <v>3192</v>
      </c>
      <c r="H2511" t="s">
        <v>2976</v>
      </c>
      <c r="I2511" t="s">
        <v>15811</v>
      </c>
      <c r="J2511">
        <v>0</v>
      </c>
      <c r="K2511">
        <v>61108.92</v>
      </c>
      <c r="L2511" t="s">
        <v>2917</v>
      </c>
      <c r="M2511">
        <v>61108.92</v>
      </c>
      <c r="N2511" t="s">
        <v>2917</v>
      </c>
      <c r="O2511" t="s">
        <v>2208</v>
      </c>
      <c r="P2511" t="s">
        <v>3065</v>
      </c>
      <c r="Q2511" t="s">
        <v>8270</v>
      </c>
      <c r="R2511" t="s">
        <v>3000</v>
      </c>
    </row>
    <row r="2512" spans="1:18">
      <c r="A2512" t="s">
        <v>2725</v>
      </c>
      <c r="B2512" t="s">
        <v>11331</v>
      </c>
      <c r="C2512">
        <v>45705</v>
      </c>
      <c r="D2512" t="s">
        <v>7263</v>
      </c>
      <c r="E2512" t="s">
        <v>11332</v>
      </c>
      <c r="F2512">
        <v>45757</v>
      </c>
      <c r="G2512" t="s">
        <v>3192</v>
      </c>
      <c r="H2512" t="s">
        <v>2976</v>
      </c>
      <c r="I2512" t="s">
        <v>15811</v>
      </c>
      <c r="J2512">
        <v>0</v>
      </c>
      <c r="K2512">
        <v>5233.22</v>
      </c>
      <c r="L2512" t="s">
        <v>2917</v>
      </c>
      <c r="M2512">
        <v>5233.22</v>
      </c>
      <c r="N2512" t="s">
        <v>2917</v>
      </c>
      <c r="O2512" t="s">
        <v>2208</v>
      </c>
      <c r="P2512" t="s">
        <v>3067</v>
      </c>
      <c r="Q2512" t="s">
        <v>8270</v>
      </c>
      <c r="R2512" t="s">
        <v>3000</v>
      </c>
    </row>
    <row r="2513" spans="1:18">
      <c r="A2513" t="s">
        <v>2725</v>
      </c>
      <c r="B2513" t="s">
        <v>11331</v>
      </c>
      <c r="C2513">
        <v>45705</v>
      </c>
      <c r="D2513" t="s">
        <v>7263</v>
      </c>
      <c r="E2513" t="s">
        <v>11332</v>
      </c>
      <c r="F2513">
        <v>45757</v>
      </c>
      <c r="G2513" t="s">
        <v>3192</v>
      </c>
      <c r="H2513" t="s">
        <v>2976</v>
      </c>
      <c r="I2513" t="s">
        <v>15811</v>
      </c>
      <c r="J2513">
        <v>0</v>
      </c>
      <c r="K2513">
        <v>8979.8700000000008</v>
      </c>
      <c r="L2513" t="s">
        <v>2917</v>
      </c>
      <c r="M2513">
        <v>8979.8700000000008</v>
      </c>
      <c r="N2513" t="s">
        <v>2917</v>
      </c>
      <c r="O2513" t="s">
        <v>2208</v>
      </c>
      <c r="P2513" t="s">
        <v>3068</v>
      </c>
      <c r="Q2513" t="s">
        <v>8270</v>
      </c>
      <c r="R2513" t="s">
        <v>3000</v>
      </c>
    </row>
    <row r="2514" spans="1:18">
      <c r="A2514" t="s">
        <v>2725</v>
      </c>
      <c r="B2514" t="s">
        <v>11331</v>
      </c>
      <c r="C2514">
        <v>45705</v>
      </c>
      <c r="D2514" t="s">
        <v>7263</v>
      </c>
      <c r="E2514" t="s">
        <v>11332</v>
      </c>
      <c r="F2514">
        <v>45757</v>
      </c>
      <c r="G2514" t="s">
        <v>3192</v>
      </c>
      <c r="H2514" t="s">
        <v>2976</v>
      </c>
      <c r="I2514" t="s">
        <v>15811</v>
      </c>
      <c r="J2514">
        <v>0</v>
      </c>
      <c r="K2514">
        <v>9757.7199999999993</v>
      </c>
      <c r="L2514" t="s">
        <v>2917</v>
      </c>
      <c r="M2514">
        <v>9757.7199999999993</v>
      </c>
      <c r="N2514" t="s">
        <v>2917</v>
      </c>
      <c r="O2514" t="s">
        <v>2208</v>
      </c>
      <c r="P2514" t="s">
        <v>3066</v>
      </c>
      <c r="Q2514" t="s">
        <v>8270</v>
      </c>
      <c r="R2514" t="s">
        <v>3000</v>
      </c>
    </row>
    <row r="2515" spans="1:18">
      <c r="A2515" t="s">
        <v>2725</v>
      </c>
      <c r="B2515" t="s">
        <v>11331</v>
      </c>
      <c r="C2515">
        <v>45705</v>
      </c>
      <c r="D2515" t="s">
        <v>7263</v>
      </c>
      <c r="E2515" t="s">
        <v>11332</v>
      </c>
      <c r="F2515">
        <v>45757</v>
      </c>
      <c r="G2515" t="s">
        <v>3192</v>
      </c>
      <c r="H2515" t="s">
        <v>2976</v>
      </c>
      <c r="I2515" t="s">
        <v>15811</v>
      </c>
      <c r="J2515">
        <v>0</v>
      </c>
      <c r="K2515">
        <v>6673.11</v>
      </c>
      <c r="L2515" t="s">
        <v>2917</v>
      </c>
      <c r="M2515">
        <v>6673.11</v>
      </c>
      <c r="N2515" t="s">
        <v>2917</v>
      </c>
      <c r="O2515" t="s">
        <v>2208</v>
      </c>
      <c r="P2515" t="s">
        <v>3193</v>
      </c>
      <c r="Q2515" t="s">
        <v>8270</v>
      </c>
      <c r="R2515" t="s">
        <v>3000</v>
      </c>
    </row>
    <row r="2516" spans="1:18">
      <c r="A2516" t="s">
        <v>2725</v>
      </c>
      <c r="B2516" t="s">
        <v>11331</v>
      </c>
      <c r="C2516">
        <v>45705</v>
      </c>
      <c r="D2516" t="s">
        <v>7263</v>
      </c>
      <c r="E2516" t="s">
        <v>11332</v>
      </c>
      <c r="F2516">
        <v>45757</v>
      </c>
      <c r="G2516" t="s">
        <v>3192</v>
      </c>
      <c r="H2516" t="s">
        <v>2976</v>
      </c>
      <c r="I2516" t="s">
        <v>15811</v>
      </c>
      <c r="J2516">
        <v>0</v>
      </c>
      <c r="K2516">
        <v>2139.09</v>
      </c>
      <c r="L2516" t="s">
        <v>2917</v>
      </c>
      <c r="M2516">
        <v>2139.09</v>
      </c>
      <c r="N2516" t="s">
        <v>2917</v>
      </c>
      <c r="O2516" t="s">
        <v>2208</v>
      </c>
      <c r="P2516" t="s">
        <v>3194</v>
      </c>
      <c r="Q2516" t="s">
        <v>8270</v>
      </c>
      <c r="R2516" t="s">
        <v>3000</v>
      </c>
    </row>
    <row r="2517" spans="1:18">
      <c r="A2517" t="s">
        <v>2724</v>
      </c>
      <c r="B2517" t="s">
        <v>11331</v>
      </c>
      <c r="C2517">
        <v>45705</v>
      </c>
      <c r="D2517" t="s">
        <v>7263</v>
      </c>
      <c r="E2517" t="s">
        <v>11332</v>
      </c>
      <c r="F2517">
        <v>45757</v>
      </c>
      <c r="G2517" t="s">
        <v>3185</v>
      </c>
      <c r="H2517" t="s">
        <v>2976</v>
      </c>
      <c r="I2517" t="s">
        <v>15812</v>
      </c>
      <c r="J2517">
        <v>0</v>
      </c>
      <c r="K2517">
        <v>148621.59</v>
      </c>
      <c r="L2517" t="s">
        <v>2917</v>
      </c>
      <c r="M2517">
        <v>148621.59</v>
      </c>
      <c r="N2517" t="s">
        <v>2917</v>
      </c>
      <c r="O2517" t="s">
        <v>2208</v>
      </c>
      <c r="P2517" t="s">
        <v>3186</v>
      </c>
      <c r="Q2517" t="s">
        <v>8270</v>
      </c>
      <c r="R2517" t="s">
        <v>3000</v>
      </c>
    </row>
    <row r="2518" spans="1:18">
      <c r="A2518" t="s">
        <v>2724</v>
      </c>
      <c r="B2518" t="s">
        <v>11331</v>
      </c>
      <c r="C2518">
        <v>45705</v>
      </c>
      <c r="D2518" t="s">
        <v>7263</v>
      </c>
      <c r="E2518" t="s">
        <v>11332</v>
      </c>
      <c r="F2518">
        <v>45757</v>
      </c>
      <c r="G2518" t="s">
        <v>3185</v>
      </c>
      <c r="H2518" t="s">
        <v>2976</v>
      </c>
      <c r="I2518" t="s">
        <v>15812</v>
      </c>
      <c r="J2518">
        <v>0</v>
      </c>
      <c r="K2518">
        <v>4400.91</v>
      </c>
      <c r="L2518" t="s">
        <v>2917</v>
      </c>
      <c r="M2518">
        <v>4400.91</v>
      </c>
      <c r="N2518" t="s">
        <v>2917</v>
      </c>
      <c r="O2518" t="s">
        <v>2208</v>
      </c>
      <c r="P2518" t="s">
        <v>3187</v>
      </c>
      <c r="Q2518" t="s">
        <v>8270</v>
      </c>
      <c r="R2518" t="s">
        <v>3000</v>
      </c>
    </row>
    <row r="2519" spans="1:18">
      <c r="A2519" t="s">
        <v>2724</v>
      </c>
      <c r="B2519" t="s">
        <v>11331</v>
      </c>
      <c r="C2519">
        <v>45705</v>
      </c>
      <c r="D2519" t="s">
        <v>7263</v>
      </c>
      <c r="E2519" t="s">
        <v>11332</v>
      </c>
      <c r="F2519">
        <v>45757</v>
      </c>
      <c r="G2519" t="s">
        <v>3185</v>
      </c>
      <c r="H2519" t="s">
        <v>2976</v>
      </c>
      <c r="I2519" t="s">
        <v>15812</v>
      </c>
      <c r="J2519">
        <v>0</v>
      </c>
      <c r="K2519">
        <v>8400.7999999999993</v>
      </c>
      <c r="L2519" t="s">
        <v>2917</v>
      </c>
      <c r="M2519">
        <v>8400.7999999999993</v>
      </c>
      <c r="N2519" t="s">
        <v>2917</v>
      </c>
      <c r="O2519" t="s">
        <v>2208</v>
      </c>
      <c r="P2519" t="s">
        <v>3188</v>
      </c>
      <c r="Q2519" t="s">
        <v>8270</v>
      </c>
      <c r="R2519" t="s">
        <v>3000</v>
      </c>
    </row>
    <row r="2520" spans="1:18">
      <c r="A2520" t="s">
        <v>2724</v>
      </c>
      <c r="B2520" t="s">
        <v>11331</v>
      </c>
      <c r="C2520">
        <v>45705</v>
      </c>
      <c r="D2520" t="s">
        <v>7263</v>
      </c>
      <c r="E2520" t="s">
        <v>11332</v>
      </c>
      <c r="F2520">
        <v>45757</v>
      </c>
      <c r="G2520" t="s">
        <v>3185</v>
      </c>
      <c r="H2520" t="s">
        <v>2976</v>
      </c>
      <c r="I2520" t="s">
        <v>15812</v>
      </c>
      <c r="J2520">
        <v>0</v>
      </c>
      <c r="K2520">
        <v>8971.23</v>
      </c>
      <c r="L2520" t="s">
        <v>2917</v>
      </c>
      <c r="M2520">
        <v>8971.23</v>
      </c>
      <c r="N2520" t="s">
        <v>2917</v>
      </c>
      <c r="O2520" t="s">
        <v>2208</v>
      </c>
      <c r="P2520" t="s">
        <v>3189</v>
      </c>
      <c r="Q2520" t="s">
        <v>8270</v>
      </c>
      <c r="R2520" t="s">
        <v>3000</v>
      </c>
    </row>
    <row r="2521" spans="1:18">
      <c r="A2521" t="s">
        <v>2724</v>
      </c>
      <c r="B2521" t="s">
        <v>11331</v>
      </c>
      <c r="C2521">
        <v>45705</v>
      </c>
      <c r="D2521" t="s">
        <v>7263</v>
      </c>
      <c r="E2521" t="s">
        <v>11332</v>
      </c>
      <c r="F2521">
        <v>45757</v>
      </c>
      <c r="G2521" t="s">
        <v>3185</v>
      </c>
      <c r="H2521" t="s">
        <v>2976</v>
      </c>
      <c r="I2521" t="s">
        <v>15812</v>
      </c>
      <c r="J2521">
        <v>0</v>
      </c>
      <c r="K2521">
        <v>6673.11</v>
      </c>
      <c r="L2521" t="s">
        <v>2917</v>
      </c>
      <c r="M2521">
        <v>6673.11</v>
      </c>
      <c r="N2521" t="s">
        <v>2917</v>
      </c>
      <c r="O2521" t="s">
        <v>2208</v>
      </c>
      <c r="P2521" t="s">
        <v>3190</v>
      </c>
      <c r="Q2521" t="s">
        <v>8270</v>
      </c>
      <c r="R2521" t="s">
        <v>3000</v>
      </c>
    </row>
    <row r="2522" spans="1:18">
      <c r="A2522" t="s">
        <v>2724</v>
      </c>
      <c r="B2522" t="s">
        <v>11331</v>
      </c>
      <c r="C2522">
        <v>45705</v>
      </c>
      <c r="D2522" t="s">
        <v>7263</v>
      </c>
      <c r="E2522" t="s">
        <v>11332</v>
      </c>
      <c r="F2522">
        <v>45757</v>
      </c>
      <c r="G2522" t="s">
        <v>3185</v>
      </c>
      <c r="H2522" t="s">
        <v>2976</v>
      </c>
      <c r="I2522" t="s">
        <v>15812</v>
      </c>
      <c r="J2522">
        <v>0</v>
      </c>
      <c r="K2522">
        <v>2139.09</v>
      </c>
      <c r="L2522" t="s">
        <v>2917</v>
      </c>
      <c r="M2522">
        <v>2139.09</v>
      </c>
      <c r="N2522" t="s">
        <v>2917</v>
      </c>
      <c r="O2522" t="s">
        <v>2208</v>
      </c>
      <c r="P2522" t="s">
        <v>3191</v>
      </c>
      <c r="Q2522" t="s">
        <v>8270</v>
      </c>
      <c r="R2522" t="s">
        <v>3000</v>
      </c>
    </row>
    <row r="2523" spans="1:18">
      <c r="A2523" t="s">
        <v>810</v>
      </c>
      <c r="B2523" t="s">
        <v>11331</v>
      </c>
      <c r="C2523">
        <v>45758</v>
      </c>
      <c r="D2523" t="s">
        <v>7263</v>
      </c>
      <c r="E2523" t="s">
        <v>11332</v>
      </c>
      <c r="F2523">
        <v>45759</v>
      </c>
      <c r="G2523" t="s">
        <v>8781</v>
      </c>
      <c r="H2523" t="s">
        <v>2978</v>
      </c>
      <c r="I2523" t="s">
        <v>15813</v>
      </c>
      <c r="J2523">
        <v>0</v>
      </c>
      <c r="K2523">
        <v>6725</v>
      </c>
      <c r="L2523" t="s">
        <v>2917</v>
      </c>
      <c r="M2523">
        <v>6725</v>
      </c>
      <c r="N2523" t="s">
        <v>2917</v>
      </c>
      <c r="O2523" t="s">
        <v>2208</v>
      </c>
      <c r="P2523" t="s">
        <v>8782</v>
      </c>
      <c r="Q2523" t="s">
        <v>3040</v>
      </c>
      <c r="R2523" t="s">
        <v>3041</v>
      </c>
    </row>
    <row r="2524" spans="1:18">
      <c r="A2524" t="s">
        <v>7030</v>
      </c>
      <c r="B2524" t="s">
        <v>11331</v>
      </c>
      <c r="C2524">
        <v>45747</v>
      </c>
      <c r="D2524" t="s">
        <v>7263</v>
      </c>
      <c r="E2524" t="s">
        <v>11332</v>
      </c>
      <c r="F2524">
        <v>45762</v>
      </c>
      <c r="G2524" t="s">
        <v>7138</v>
      </c>
      <c r="H2524" t="s">
        <v>2978</v>
      </c>
      <c r="I2524" t="s">
        <v>15814</v>
      </c>
      <c r="J2524">
        <v>0</v>
      </c>
      <c r="K2524">
        <v>432</v>
      </c>
      <c r="L2524" t="s">
        <v>2917</v>
      </c>
      <c r="M2524">
        <v>432</v>
      </c>
      <c r="N2524" t="s">
        <v>2917</v>
      </c>
      <c r="O2524" t="s">
        <v>2208</v>
      </c>
      <c r="P2524" t="s">
        <v>7140</v>
      </c>
      <c r="Q2524" t="s">
        <v>3044</v>
      </c>
      <c r="R2524" t="s">
        <v>3321</v>
      </c>
    </row>
    <row r="2525" spans="1:18">
      <c r="A2525" t="s">
        <v>7030</v>
      </c>
      <c r="B2525" t="s">
        <v>11331</v>
      </c>
      <c r="C2525">
        <v>45747</v>
      </c>
      <c r="D2525" t="s">
        <v>7263</v>
      </c>
      <c r="E2525" t="s">
        <v>11332</v>
      </c>
      <c r="F2525">
        <v>45762</v>
      </c>
      <c r="G2525" t="s">
        <v>7138</v>
      </c>
      <c r="H2525" t="s">
        <v>2978</v>
      </c>
      <c r="I2525" t="s">
        <v>15814</v>
      </c>
      <c r="J2525">
        <v>0</v>
      </c>
      <c r="K2525">
        <v>2107</v>
      </c>
      <c r="L2525" t="s">
        <v>2917</v>
      </c>
      <c r="M2525">
        <v>2107</v>
      </c>
      <c r="N2525" t="s">
        <v>2917</v>
      </c>
      <c r="O2525" t="s">
        <v>2208</v>
      </c>
      <c r="P2525" t="s">
        <v>7141</v>
      </c>
      <c r="Q2525" t="s">
        <v>3044</v>
      </c>
      <c r="R2525" t="s">
        <v>3321</v>
      </c>
    </row>
    <row r="2526" spans="1:18">
      <c r="A2526" t="s">
        <v>2501</v>
      </c>
      <c r="B2526" t="s">
        <v>11331</v>
      </c>
      <c r="C2526">
        <v>45756</v>
      </c>
      <c r="D2526" t="s">
        <v>7263</v>
      </c>
      <c r="E2526" t="s">
        <v>11332</v>
      </c>
      <c r="F2526">
        <v>45762</v>
      </c>
      <c r="G2526" t="s">
        <v>3216</v>
      </c>
      <c r="H2526" t="s">
        <v>2976</v>
      </c>
      <c r="I2526" t="s">
        <v>15815</v>
      </c>
      <c r="J2526">
        <v>0</v>
      </c>
      <c r="K2526">
        <v>9457.2999999999993</v>
      </c>
      <c r="L2526" t="s">
        <v>2917</v>
      </c>
      <c r="M2526">
        <v>9457.2999999999993</v>
      </c>
      <c r="N2526" t="s">
        <v>2917</v>
      </c>
      <c r="O2526" t="s">
        <v>2208</v>
      </c>
      <c r="P2526" t="s">
        <v>3210</v>
      </c>
      <c r="Q2526" t="s">
        <v>3015</v>
      </c>
      <c r="R2526" t="s">
        <v>3016</v>
      </c>
    </row>
    <row r="2527" spans="1:18">
      <c r="A2527" t="s">
        <v>2418</v>
      </c>
      <c r="B2527" t="s">
        <v>11331</v>
      </c>
      <c r="C2527">
        <v>45747</v>
      </c>
      <c r="D2527" t="s">
        <v>7263</v>
      </c>
      <c r="E2527" t="s">
        <v>11332</v>
      </c>
      <c r="F2527">
        <v>45768</v>
      </c>
      <c r="G2527" t="s">
        <v>3042</v>
      </c>
      <c r="H2527" t="s">
        <v>2978</v>
      </c>
      <c r="I2527" t="s">
        <v>15861</v>
      </c>
      <c r="J2527">
        <v>0</v>
      </c>
      <c r="K2527">
        <v>1274</v>
      </c>
      <c r="L2527" t="s">
        <v>2917</v>
      </c>
      <c r="M2527">
        <v>1274</v>
      </c>
      <c r="N2527" t="s">
        <v>2917</v>
      </c>
      <c r="O2527" t="s">
        <v>2208</v>
      </c>
      <c r="P2527" t="s">
        <v>3045</v>
      </c>
      <c r="Q2527" t="s">
        <v>3044</v>
      </c>
      <c r="R2527" t="s">
        <v>3321</v>
      </c>
    </row>
    <row r="2528" spans="1:18">
      <c r="A2528" t="s">
        <v>6815</v>
      </c>
      <c r="B2528" t="s">
        <v>11331</v>
      </c>
      <c r="C2528">
        <v>45755</v>
      </c>
      <c r="D2528" t="s">
        <v>7263</v>
      </c>
      <c r="E2528" t="s">
        <v>11332</v>
      </c>
      <c r="F2528">
        <v>45769</v>
      </c>
      <c r="G2528" t="s">
        <v>7208</v>
      </c>
      <c r="H2528" t="s">
        <v>2976</v>
      </c>
      <c r="I2528" t="s">
        <v>15862</v>
      </c>
      <c r="J2528">
        <v>0</v>
      </c>
      <c r="K2528">
        <v>86800</v>
      </c>
      <c r="L2528" t="s">
        <v>2917</v>
      </c>
      <c r="M2528">
        <v>86800</v>
      </c>
      <c r="N2528" t="s">
        <v>2917</v>
      </c>
      <c r="O2528" t="s">
        <v>2208</v>
      </c>
      <c r="P2528" t="s">
        <v>6946</v>
      </c>
      <c r="Q2528" t="s">
        <v>15863</v>
      </c>
      <c r="R2528" t="s">
        <v>7209</v>
      </c>
    </row>
    <row r="2529" spans="1:18">
      <c r="A2529" t="s">
        <v>6815</v>
      </c>
      <c r="B2529" t="s">
        <v>11331</v>
      </c>
      <c r="C2529">
        <v>45755</v>
      </c>
      <c r="D2529" t="s">
        <v>7263</v>
      </c>
      <c r="E2529" t="s">
        <v>11332</v>
      </c>
      <c r="F2529">
        <v>45769</v>
      </c>
      <c r="G2529" t="s">
        <v>7208</v>
      </c>
      <c r="H2529" t="s">
        <v>2976</v>
      </c>
      <c r="I2529" t="s">
        <v>15862</v>
      </c>
      <c r="J2529">
        <v>0</v>
      </c>
      <c r="K2529">
        <v>4500</v>
      </c>
      <c r="L2529" t="s">
        <v>2917</v>
      </c>
      <c r="M2529">
        <v>4500</v>
      </c>
      <c r="N2529" t="s">
        <v>2917</v>
      </c>
      <c r="O2529" t="s">
        <v>2208</v>
      </c>
      <c r="P2529" t="s">
        <v>6947</v>
      </c>
      <c r="Q2529" t="s">
        <v>15863</v>
      </c>
      <c r="R2529" t="s">
        <v>7209</v>
      </c>
    </row>
    <row r="2530" spans="1:18">
      <c r="A2530" t="s">
        <v>810</v>
      </c>
      <c r="B2530" t="s">
        <v>11331</v>
      </c>
      <c r="C2530">
        <v>45762</v>
      </c>
      <c r="D2530" t="s">
        <v>7263</v>
      </c>
      <c r="E2530" t="s">
        <v>11332</v>
      </c>
      <c r="F2530">
        <v>45769</v>
      </c>
      <c r="G2530" t="s">
        <v>8783</v>
      </c>
      <c r="H2530" t="s">
        <v>2978</v>
      </c>
      <c r="I2530" t="s">
        <v>15948</v>
      </c>
      <c r="J2530">
        <v>0</v>
      </c>
      <c r="K2530">
        <v>962</v>
      </c>
      <c r="L2530" t="s">
        <v>2917</v>
      </c>
      <c r="M2530">
        <v>962</v>
      </c>
      <c r="N2530" t="s">
        <v>2917</v>
      </c>
      <c r="O2530" t="s">
        <v>2208</v>
      </c>
      <c r="P2530" t="s">
        <v>8784</v>
      </c>
      <c r="Q2530" t="s">
        <v>2980</v>
      </c>
      <c r="R2530" t="s">
        <v>2981</v>
      </c>
    </row>
    <row r="2531" spans="1:18">
      <c r="A2531" t="s">
        <v>1095</v>
      </c>
      <c r="B2531" t="s">
        <v>11331</v>
      </c>
      <c r="C2531">
        <v>45758</v>
      </c>
      <c r="D2531" t="s">
        <v>7263</v>
      </c>
      <c r="E2531" t="s">
        <v>11332</v>
      </c>
      <c r="F2531">
        <v>45770</v>
      </c>
      <c r="G2531" t="s">
        <v>3056</v>
      </c>
      <c r="H2531" t="s">
        <v>3039</v>
      </c>
      <c r="I2531" t="s">
        <v>15949</v>
      </c>
      <c r="J2531">
        <v>0</v>
      </c>
      <c r="K2531">
        <v>216</v>
      </c>
      <c r="L2531" t="s">
        <v>2917</v>
      </c>
      <c r="M2531">
        <v>216</v>
      </c>
      <c r="N2531" t="s">
        <v>2917</v>
      </c>
      <c r="O2531" t="s">
        <v>2208</v>
      </c>
      <c r="P2531" t="s">
        <v>3057</v>
      </c>
      <c r="Q2531" t="s">
        <v>3040</v>
      </c>
      <c r="R2531" t="s">
        <v>3041</v>
      </c>
    </row>
    <row r="2532" spans="1:18">
      <c r="A2532" t="s">
        <v>2886</v>
      </c>
      <c r="B2532" t="s">
        <v>11331</v>
      </c>
      <c r="C2532">
        <v>45762</v>
      </c>
      <c r="D2532" t="s">
        <v>7263</v>
      </c>
      <c r="E2532" t="s">
        <v>11332</v>
      </c>
      <c r="F2532">
        <v>45770</v>
      </c>
      <c r="G2532" t="s">
        <v>3062</v>
      </c>
      <c r="H2532" t="s">
        <v>2976</v>
      </c>
      <c r="I2532" t="s">
        <v>15950</v>
      </c>
      <c r="J2532">
        <v>0</v>
      </c>
      <c r="K2532">
        <v>63353</v>
      </c>
      <c r="L2532" t="s">
        <v>2917</v>
      </c>
      <c r="M2532">
        <v>63353</v>
      </c>
      <c r="N2532" t="s">
        <v>2917</v>
      </c>
      <c r="O2532" t="s">
        <v>2208</v>
      </c>
      <c r="P2532" t="s">
        <v>3063</v>
      </c>
      <c r="Q2532" t="s">
        <v>6819</v>
      </c>
      <c r="R2532" t="s">
        <v>3064</v>
      </c>
    </row>
    <row r="2533" spans="1:18">
      <c r="A2533" t="s">
        <v>2418</v>
      </c>
      <c r="B2533" t="s">
        <v>11331</v>
      </c>
      <c r="C2533">
        <v>45762</v>
      </c>
      <c r="D2533" t="s">
        <v>7263</v>
      </c>
      <c r="E2533" t="s">
        <v>11332</v>
      </c>
      <c r="F2533">
        <v>45770</v>
      </c>
      <c r="G2533" t="s">
        <v>10855</v>
      </c>
      <c r="H2533" t="s">
        <v>2978</v>
      </c>
      <c r="I2533" t="s">
        <v>15951</v>
      </c>
      <c r="J2533">
        <v>0</v>
      </c>
      <c r="K2533">
        <v>2581</v>
      </c>
      <c r="L2533" t="s">
        <v>2917</v>
      </c>
      <c r="M2533">
        <v>2581</v>
      </c>
      <c r="N2533" t="s">
        <v>2917</v>
      </c>
      <c r="O2533" t="s">
        <v>2208</v>
      </c>
      <c r="P2533" t="s">
        <v>3037</v>
      </c>
      <c r="Q2533" t="s">
        <v>2980</v>
      </c>
      <c r="R2533" t="s">
        <v>2981</v>
      </c>
    </row>
    <row r="2534" spans="1:18">
      <c r="A2534" t="s">
        <v>7030</v>
      </c>
      <c r="B2534" t="s">
        <v>11331</v>
      </c>
      <c r="C2534">
        <v>45762</v>
      </c>
      <c r="D2534" t="s">
        <v>7263</v>
      </c>
      <c r="E2534" t="s">
        <v>11332</v>
      </c>
      <c r="F2534">
        <v>45771</v>
      </c>
      <c r="G2534" t="s">
        <v>7060</v>
      </c>
      <c r="H2534" t="s">
        <v>2978</v>
      </c>
      <c r="I2534" t="s">
        <v>15997</v>
      </c>
      <c r="J2534">
        <v>0</v>
      </c>
      <c r="K2534">
        <v>28908</v>
      </c>
      <c r="L2534" t="s">
        <v>2917</v>
      </c>
      <c r="M2534">
        <v>28908</v>
      </c>
      <c r="N2534" t="s">
        <v>2917</v>
      </c>
      <c r="O2534" t="s">
        <v>2208</v>
      </c>
      <c r="P2534" t="s">
        <v>7037</v>
      </c>
      <c r="Q2534" t="s">
        <v>2980</v>
      </c>
      <c r="R2534" t="s">
        <v>2981</v>
      </c>
    </row>
    <row r="2535" spans="1:18">
      <c r="A2535" t="s">
        <v>7030</v>
      </c>
      <c r="B2535" t="s">
        <v>11331</v>
      </c>
      <c r="C2535">
        <v>45762</v>
      </c>
      <c r="D2535" t="s">
        <v>7263</v>
      </c>
      <c r="E2535" t="s">
        <v>11332</v>
      </c>
      <c r="F2535">
        <v>45771</v>
      </c>
      <c r="G2535" t="s">
        <v>7060</v>
      </c>
      <c r="H2535" t="s">
        <v>2978</v>
      </c>
      <c r="I2535" t="s">
        <v>15997</v>
      </c>
      <c r="J2535">
        <v>0</v>
      </c>
      <c r="K2535">
        <v>5.3</v>
      </c>
      <c r="L2535" t="s">
        <v>2917</v>
      </c>
      <c r="M2535">
        <v>5.3</v>
      </c>
      <c r="N2535" t="s">
        <v>2917</v>
      </c>
      <c r="O2535" t="s">
        <v>2208</v>
      </c>
      <c r="P2535" t="s">
        <v>230</v>
      </c>
      <c r="Q2535" t="s">
        <v>2980</v>
      </c>
      <c r="R2535" t="s">
        <v>2981</v>
      </c>
    </row>
    <row r="2536" spans="1:18">
      <c r="A2536" t="s">
        <v>7030</v>
      </c>
      <c r="B2536" t="s">
        <v>11331</v>
      </c>
      <c r="C2536">
        <v>45762</v>
      </c>
      <c r="D2536" t="s">
        <v>7263</v>
      </c>
      <c r="E2536" t="s">
        <v>11332</v>
      </c>
      <c r="F2536">
        <v>45771</v>
      </c>
      <c r="G2536" t="s">
        <v>7059</v>
      </c>
      <c r="H2536" t="s">
        <v>2978</v>
      </c>
      <c r="I2536" t="s">
        <v>15998</v>
      </c>
      <c r="J2536">
        <v>0</v>
      </c>
      <c r="K2536">
        <v>34839</v>
      </c>
      <c r="L2536" t="s">
        <v>2917</v>
      </c>
      <c r="M2536">
        <v>34839</v>
      </c>
      <c r="N2536" t="s">
        <v>2917</v>
      </c>
      <c r="O2536" t="s">
        <v>2208</v>
      </c>
      <c r="P2536" t="s">
        <v>7039</v>
      </c>
      <c r="Q2536" t="s">
        <v>2980</v>
      </c>
      <c r="R2536" t="s">
        <v>2981</v>
      </c>
    </row>
    <row r="2537" spans="1:18">
      <c r="A2537" t="s">
        <v>7030</v>
      </c>
      <c r="B2537" t="s">
        <v>11331</v>
      </c>
      <c r="C2537">
        <v>45762</v>
      </c>
      <c r="D2537" t="s">
        <v>7263</v>
      </c>
      <c r="E2537" t="s">
        <v>11332</v>
      </c>
      <c r="F2537">
        <v>45771</v>
      </c>
      <c r="G2537" t="s">
        <v>7059</v>
      </c>
      <c r="H2537" t="s">
        <v>2978</v>
      </c>
      <c r="I2537" t="s">
        <v>15998</v>
      </c>
      <c r="J2537">
        <v>0</v>
      </c>
      <c r="K2537">
        <v>4.1500000000000004</v>
      </c>
      <c r="L2537" t="s">
        <v>2917</v>
      </c>
      <c r="M2537">
        <v>4.1500000000000004</v>
      </c>
      <c r="N2537" t="s">
        <v>2917</v>
      </c>
      <c r="O2537" t="s">
        <v>2208</v>
      </c>
      <c r="P2537" t="s">
        <v>7040</v>
      </c>
      <c r="Q2537" t="s">
        <v>2980</v>
      </c>
      <c r="R2537" t="s">
        <v>2981</v>
      </c>
    </row>
    <row r="2538" spans="1:18">
      <c r="A2538" t="s">
        <v>2418</v>
      </c>
      <c r="B2538" t="s">
        <v>11331</v>
      </c>
      <c r="C2538">
        <v>45762</v>
      </c>
      <c r="D2538" t="s">
        <v>7263</v>
      </c>
      <c r="E2538" t="s">
        <v>11332</v>
      </c>
      <c r="F2538">
        <v>45771</v>
      </c>
      <c r="G2538" t="s">
        <v>2982</v>
      </c>
      <c r="H2538" t="s">
        <v>2978</v>
      </c>
      <c r="I2538" t="s">
        <v>15999</v>
      </c>
      <c r="J2538">
        <v>0</v>
      </c>
      <c r="K2538">
        <v>10442</v>
      </c>
      <c r="L2538" t="s">
        <v>2917</v>
      </c>
      <c r="M2538">
        <v>10442</v>
      </c>
      <c r="N2538" t="s">
        <v>2917</v>
      </c>
      <c r="O2538" t="s">
        <v>2208</v>
      </c>
      <c r="P2538" t="s">
        <v>2983</v>
      </c>
      <c r="Q2538" t="s">
        <v>2980</v>
      </c>
      <c r="R2538" t="s">
        <v>2981</v>
      </c>
    </row>
    <row r="2539" spans="1:18">
      <c r="A2539" t="s">
        <v>2418</v>
      </c>
      <c r="B2539" t="s">
        <v>11331</v>
      </c>
      <c r="C2539">
        <v>45762</v>
      </c>
      <c r="D2539" t="s">
        <v>7263</v>
      </c>
      <c r="E2539" t="s">
        <v>11332</v>
      </c>
      <c r="F2539">
        <v>45771</v>
      </c>
      <c r="G2539" t="s">
        <v>2982</v>
      </c>
      <c r="H2539" t="s">
        <v>2978</v>
      </c>
      <c r="I2539" t="s">
        <v>15999</v>
      </c>
      <c r="J2539">
        <v>0</v>
      </c>
      <c r="K2539">
        <v>0.9</v>
      </c>
      <c r="L2539" t="s">
        <v>2917</v>
      </c>
      <c r="M2539">
        <v>0.9</v>
      </c>
      <c r="N2539" t="s">
        <v>2917</v>
      </c>
      <c r="O2539" t="s">
        <v>2208</v>
      </c>
      <c r="P2539" t="s">
        <v>2984</v>
      </c>
      <c r="Q2539" t="s">
        <v>2980</v>
      </c>
      <c r="R2539" t="s">
        <v>2981</v>
      </c>
    </row>
    <row r="2540" spans="1:18">
      <c r="A2540" t="s">
        <v>2237</v>
      </c>
      <c r="B2540" t="s">
        <v>11331</v>
      </c>
      <c r="C2540">
        <v>45762</v>
      </c>
      <c r="D2540" t="s">
        <v>7263</v>
      </c>
      <c r="E2540" t="s">
        <v>11332</v>
      </c>
      <c r="F2540">
        <v>45771</v>
      </c>
      <c r="G2540" t="s">
        <v>2977</v>
      </c>
      <c r="H2540" t="s">
        <v>2978</v>
      </c>
      <c r="I2540" t="s">
        <v>16000</v>
      </c>
      <c r="J2540">
        <v>0</v>
      </c>
      <c r="K2540">
        <v>2088</v>
      </c>
      <c r="L2540" t="s">
        <v>2917</v>
      </c>
      <c r="M2540">
        <v>2088</v>
      </c>
      <c r="N2540" t="s">
        <v>2917</v>
      </c>
      <c r="O2540" t="s">
        <v>2208</v>
      </c>
      <c r="P2540" t="s">
        <v>2979</v>
      </c>
      <c r="Q2540" t="s">
        <v>2980</v>
      </c>
      <c r="R2540" t="s">
        <v>2981</v>
      </c>
    </row>
    <row r="2541" spans="1:18">
      <c r="A2541" t="s">
        <v>2237</v>
      </c>
      <c r="B2541" t="s">
        <v>11331</v>
      </c>
      <c r="C2541">
        <v>45762</v>
      </c>
      <c r="D2541" t="s">
        <v>7263</v>
      </c>
      <c r="E2541" t="s">
        <v>11332</v>
      </c>
      <c r="F2541">
        <v>45771</v>
      </c>
      <c r="G2541" t="s">
        <v>2977</v>
      </c>
      <c r="H2541" t="s">
        <v>2978</v>
      </c>
      <c r="I2541" t="s">
        <v>16000</v>
      </c>
      <c r="J2541">
        <v>0</v>
      </c>
      <c r="K2541">
        <v>3.75</v>
      </c>
      <c r="L2541" t="s">
        <v>2917</v>
      </c>
      <c r="M2541">
        <v>3.75</v>
      </c>
      <c r="N2541" t="s">
        <v>2917</v>
      </c>
      <c r="O2541" t="s">
        <v>2208</v>
      </c>
      <c r="P2541" t="s">
        <v>230</v>
      </c>
      <c r="Q2541" t="s">
        <v>2980</v>
      </c>
      <c r="R2541" t="s">
        <v>2981</v>
      </c>
    </row>
    <row r="2542" spans="1:18">
      <c r="A2542" t="s">
        <v>7030</v>
      </c>
      <c r="B2542" t="s">
        <v>11331</v>
      </c>
      <c r="C2542">
        <v>45762</v>
      </c>
      <c r="D2542" t="s">
        <v>7263</v>
      </c>
      <c r="E2542" t="s">
        <v>11332</v>
      </c>
      <c r="F2542">
        <v>45772</v>
      </c>
      <c r="G2542" t="s">
        <v>7245</v>
      </c>
      <c r="H2542" t="s">
        <v>2978</v>
      </c>
      <c r="I2542" t="s">
        <v>16306</v>
      </c>
      <c r="J2542">
        <v>0</v>
      </c>
      <c r="K2542">
        <v>31856.5</v>
      </c>
      <c r="L2542" t="s">
        <v>2917</v>
      </c>
      <c r="M2542">
        <v>31856.5</v>
      </c>
      <c r="N2542" t="s">
        <v>2917</v>
      </c>
      <c r="O2542" t="s">
        <v>2208</v>
      </c>
      <c r="P2542" t="s">
        <v>7246</v>
      </c>
      <c r="Q2542" t="s">
        <v>2980</v>
      </c>
      <c r="R2542" t="s">
        <v>2981</v>
      </c>
    </row>
    <row r="2543" spans="1:18">
      <c r="A2543" t="s">
        <v>7030</v>
      </c>
      <c r="B2543" t="s">
        <v>11331</v>
      </c>
      <c r="C2543">
        <v>45762</v>
      </c>
      <c r="D2543" t="s">
        <v>7263</v>
      </c>
      <c r="E2543" t="s">
        <v>11332</v>
      </c>
      <c r="F2543">
        <v>45772</v>
      </c>
      <c r="G2543" t="s">
        <v>7245</v>
      </c>
      <c r="H2543" t="s">
        <v>2978</v>
      </c>
      <c r="I2543" t="s">
        <v>16306</v>
      </c>
      <c r="J2543">
        <v>0</v>
      </c>
      <c r="K2543">
        <v>139.4</v>
      </c>
      <c r="L2543" t="s">
        <v>2917</v>
      </c>
      <c r="M2543">
        <v>139.4</v>
      </c>
      <c r="N2543" t="s">
        <v>2917</v>
      </c>
      <c r="O2543" t="s">
        <v>2208</v>
      </c>
      <c r="P2543" t="s">
        <v>7247</v>
      </c>
      <c r="Q2543" t="s">
        <v>2980</v>
      </c>
      <c r="R2543" t="s">
        <v>2981</v>
      </c>
    </row>
    <row r="2544" spans="1:18">
      <c r="A2544" t="s">
        <v>2237</v>
      </c>
      <c r="B2544" t="s">
        <v>11331</v>
      </c>
      <c r="C2544">
        <v>45762</v>
      </c>
      <c r="D2544" t="s">
        <v>7263</v>
      </c>
      <c r="E2544" t="s">
        <v>11332</v>
      </c>
      <c r="F2544">
        <v>45775</v>
      </c>
      <c r="G2544" t="s">
        <v>2995</v>
      </c>
      <c r="H2544" t="s">
        <v>2978</v>
      </c>
      <c r="I2544" t="s">
        <v>16307</v>
      </c>
      <c r="J2544">
        <v>0</v>
      </c>
      <c r="K2544">
        <v>240</v>
      </c>
      <c r="L2544" t="s">
        <v>2917</v>
      </c>
      <c r="M2544">
        <v>240</v>
      </c>
      <c r="N2544" t="s">
        <v>2917</v>
      </c>
      <c r="O2544" t="s">
        <v>2208</v>
      </c>
      <c r="P2544" t="s">
        <v>2996</v>
      </c>
      <c r="Q2544" t="s">
        <v>2980</v>
      </c>
      <c r="R2544" t="s">
        <v>2981</v>
      </c>
    </row>
    <row r="2545" spans="1:18">
      <c r="A2545" t="s">
        <v>7030</v>
      </c>
      <c r="B2545" t="s">
        <v>11331</v>
      </c>
      <c r="C2545">
        <v>45772</v>
      </c>
      <c r="D2545" t="s">
        <v>7263</v>
      </c>
      <c r="E2545" t="s">
        <v>11332</v>
      </c>
      <c r="F2545">
        <v>45775</v>
      </c>
      <c r="G2545" t="s">
        <v>15825</v>
      </c>
      <c r="H2545" t="s">
        <v>2978</v>
      </c>
      <c r="I2545" t="s">
        <v>16308</v>
      </c>
      <c r="J2545">
        <v>0</v>
      </c>
      <c r="K2545">
        <v>1023.75</v>
      </c>
      <c r="L2545" t="s">
        <v>2917</v>
      </c>
      <c r="M2545">
        <v>1023.75</v>
      </c>
      <c r="N2545" t="s">
        <v>2917</v>
      </c>
      <c r="O2545" t="s">
        <v>2208</v>
      </c>
      <c r="P2545" t="s">
        <v>15826</v>
      </c>
      <c r="Q2545" t="s">
        <v>16309</v>
      </c>
      <c r="R2545" t="s">
        <v>15827</v>
      </c>
    </row>
    <row r="2546" spans="1:18">
      <c r="A2546" t="s">
        <v>2418</v>
      </c>
      <c r="B2546" t="s">
        <v>11331</v>
      </c>
      <c r="C2546">
        <v>45771</v>
      </c>
      <c r="D2546" t="s">
        <v>7263</v>
      </c>
      <c r="E2546" t="s">
        <v>11332</v>
      </c>
      <c r="F2546">
        <v>45776</v>
      </c>
      <c r="G2546" t="s">
        <v>3143</v>
      </c>
      <c r="H2546" t="s">
        <v>2976</v>
      </c>
      <c r="I2546" t="s">
        <v>16310</v>
      </c>
      <c r="J2546">
        <v>0</v>
      </c>
      <c r="K2546">
        <v>1743982</v>
      </c>
      <c r="L2546" t="s">
        <v>2917</v>
      </c>
      <c r="M2546">
        <v>1743982</v>
      </c>
      <c r="N2546" t="s">
        <v>2917</v>
      </c>
      <c r="O2546" t="s">
        <v>2208</v>
      </c>
      <c r="P2546" t="s">
        <v>3144</v>
      </c>
      <c r="Q2546" t="s">
        <v>16311</v>
      </c>
      <c r="R2546" t="s">
        <v>3145</v>
      </c>
    </row>
    <row r="2547" spans="1:18">
      <c r="A2547" t="s">
        <v>2418</v>
      </c>
      <c r="B2547" t="s">
        <v>11331</v>
      </c>
      <c r="C2547">
        <v>45771</v>
      </c>
      <c r="D2547" t="s">
        <v>7263</v>
      </c>
      <c r="E2547" t="s">
        <v>11332</v>
      </c>
      <c r="F2547">
        <v>45776</v>
      </c>
      <c r="G2547" t="s">
        <v>3143</v>
      </c>
      <c r="H2547" t="s">
        <v>2976</v>
      </c>
      <c r="I2547" t="s">
        <v>16310</v>
      </c>
      <c r="J2547">
        <v>0</v>
      </c>
      <c r="K2547">
        <v>123943.15</v>
      </c>
      <c r="L2547" t="s">
        <v>2917</v>
      </c>
      <c r="M2547">
        <v>123943.15</v>
      </c>
      <c r="N2547" t="s">
        <v>2917</v>
      </c>
      <c r="O2547" t="s">
        <v>2208</v>
      </c>
      <c r="P2547" t="s">
        <v>3147</v>
      </c>
      <c r="Q2547" t="s">
        <v>16311</v>
      </c>
      <c r="R2547" t="s">
        <v>3145</v>
      </c>
    </row>
    <row r="2548" spans="1:18">
      <c r="A2548" t="s">
        <v>709</v>
      </c>
      <c r="B2548" t="s">
        <v>11331</v>
      </c>
      <c r="C2548">
        <v>45306</v>
      </c>
      <c r="D2548" t="s">
        <v>7263</v>
      </c>
      <c r="E2548" t="s">
        <v>11332</v>
      </c>
      <c r="F2548">
        <v>45776</v>
      </c>
      <c r="G2548" t="s">
        <v>3005</v>
      </c>
      <c r="H2548" t="s">
        <v>2976</v>
      </c>
      <c r="I2548" t="s">
        <v>16312</v>
      </c>
      <c r="J2548">
        <v>0</v>
      </c>
      <c r="K2548">
        <v>-32326</v>
      </c>
      <c r="L2548" t="s">
        <v>2917</v>
      </c>
      <c r="M2548">
        <v>-32326</v>
      </c>
      <c r="N2548" t="s">
        <v>2917</v>
      </c>
      <c r="O2548" t="s">
        <v>2208</v>
      </c>
      <c r="P2548" t="s">
        <v>8276</v>
      </c>
      <c r="Q2548" t="s">
        <v>2990</v>
      </c>
      <c r="R2548" t="s">
        <v>3318</v>
      </c>
    </row>
    <row r="2549" spans="1:18">
      <c r="A2549" t="s">
        <v>709</v>
      </c>
      <c r="B2549" t="s">
        <v>11331</v>
      </c>
      <c r="C2549">
        <v>45306</v>
      </c>
      <c r="D2549" t="s">
        <v>7263</v>
      </c>
      <c r="E2549" t="s">
        <v>11332</v>
      </c>
      <c r="F2549">
        <v>45776</v>
      </c>
      <c r="G2549" t="s">
        <v>3005</v>
      </c>
      <c r="H2549" t="s">
        <v>2976</v>
      </c>
      <c r="I2549" t="s">
        <v>16312</v>
      </c>
      <c r="J2549">
        <v>0</v>
      </c>
      <c r="K2549">
        <v>-22685</v>
      </c>
      <c r="L2549" t="s">
        <v>2917</v>
      </c>
      <c r="M2549">
        <v>-22685</v>
      </c>
      <c r="N2549" t="s">
        <v>2917</v>
      </c>
      <c r="O2549" t="s">
        <v>2208</v>
      </c>
      <c r="P2549" t="s">
        <v>3006</v>
      </c>
      <c r="Q2549" t="s">
        <v>2990</v>
      </c>
      <c r="R2549" t="s">
        <v>3318</v>
      </c>
    </row>
    <row r="2550" spans="1:18">
      <c r="A2550" t="s">
        <v>810</v>
      </c>
      <c r="B2550" t="s">
        <v>16360</v>
      </c>
      <c r="C2550">
        <v>45777</v>
      </c>
      <c r="D2550" t="s">
        <v>7263</v>
      </c>
      <c r="E2550" t="s">
        <v>16361</v>
      </c>
      <c r="F2550">
        <v>45778</v>
      </c>
      <c r="G2550" t="s">
        <v>8778</v>
      </c>
      <c r="H2550" t="s">
        <v>2976</v>
      </c>
      <c r="I2550" t="s">
        <v>16896</v>
      </c>
      <c r="J2550">
        <v>0</v>
      </c>
      <c r="K2550">
        <v>14394</v>
      </c>
      <c r="L2550" t="s">
        <v>2917</v>
      </c>
      <c r="M2550">
        <v>14394</v>
      </c>
      <c r="N2550" t="s">
        <v>2917</v>
      </c>
      <c r="O2550" t="s">
        <v>2208</v>
      </c>
      <c r="P2550" t="s">
        <v>8779</v>
      </c>
      <c r="Q2550" t="s">
        <v>16897</v>
      </c>
      <c r="R2550" t="s">
        <v>8780</v>
      </c>
    </row>
    <row r="2551" spans="1:18">
      <c r="A2551" t="s">
        <v>2418</v>
      </c>
      <c r="B2551" t="s">
        <v>16360</v>
      </c>
      <c r="C2551">
        <v>45771</v>
      </c>
      <c r="D2551" t="s">
        <v>7263</v>
      </c>
      <c r="E2551" t="s">
        <v>16361</v>
      </c>
      <c r="F2551">
        <v>45778</v>
      </c>
      <c r="G2551" t="s">
        <v>3236</v>
      </c>
      <c r="H2551" t="s">
        <v>2976</v>
      </c>
      <c r="I2551" t="s">
        <v>16898</v>
      </c>
      <c r="J2551">
        <v>0</v>
      </c>
      <c r="K2551">
        <v>198743.12</v>
      </c>
      <c r="L2551" t="s">
        <v>2917</v>
      </c>
      <c r="M2551">
        <v>198743.12</v>
      </c>
      <c r="N2551" t="s">
        <v>2917</v>
      </c>
      <c r="O2551" t="s">
        <v>2208</v>
      </c>
      <c r="P2551" t="s">
        <v>3204</v>
      </c>
      <c r="Q2551" t="s">
        <v>16899</v>
      </c>
      <c r="R2551" t="s">
        <v>3231</v>
      </c>
    </row>
    <row r="2552" spans="1:18">
      <c r="A2552" t="s">
        <v>2418</v>
      </c>
      <c r="B2552" t="s">
        <v>16360</v>
      </c>
      <c r="C2552">
        <v>45771</v>
      </c>
      <c r="D2552" t="s">
        <v>7263</v>
      </c>
      <c r="E2552" t="s">
        <v>16361</v>
      </c>
      <c r="F2552">
        <v>45778</v>
      </c>
      <c r="G2552" t="s">
        <v>3236</v>
      </c>
      <c r="H2552" t="s">
        <v>2976</v>
      </c>
      <c r="I2552" t="s">
        <v>16898</v>
      </c>
      <c r="J2552">
        <v>0</v>
      </c>
      <c r="K2552">
        <v>43999.67</v>
      </c>
      <c r="L2552" t="s">
        <v>2917</v>
      </c>
      <c r="M2552">
        <v>43999.67</v>
      </c>
      <c r="N2552" t="s">
        <v>2917</v>
      </c>
      <c r="O2552" t="s">
        <v>2208</v>
      </c>
      <c r="P2552" t="s">
        <v>3205</v>
      </c>
      <c r="Q2552" t="s">
        <v>16899</v>
      </c>
      <c r="R2552" t="s">
        <v>3231</v>
      </c>
    </row>
    <row r="2553" spans="1:18">
      <c r="A2553" t="s">
        <v>2418</v>
      </c>
      <c r="B2553" t="s">
        <v>16360</v>
      </c>
      <c r="C2553">
        <v>45771</v>
      </c>
      <c r="D2553" t="s">
        <v>7263</v>
      </c>
      <c r="E2553" t="s">
        <v>16361</v>
      </c>
      <c r="F2553">
        <v>45778</v>
      </c>
      <c r="G2553" t="s">
        <v>3236</v>
      </c>
      <c r="H2553" t="s">
        <v>2976</v>
      </c>
      <c r="I2553" t="s">
        <v>16898</v>
      </c>
      <c r="J2553">
        <v>0</v>
      </c>
      <c r="K2553">
        <v>52472.53</v>
      </c>
      <c r="L2553" t="s">
        <v>2917</v>
      </c>
      <c r="M2553">
        <v>52472.53</v>
      </c>
      <c r="N2553" t="s">
        <v>2917</v>
      </c>
      <c r="O2553" t="s">
        <v>2208</v>
      </c>
      <c r="P2553" t="s">
        <v>3206</v>
      </c>
      <c r="Q2553" t="s">
        <v>16899</v>
      </c>
      <c r="R2553" t="s">
        <v>3231</v>
      </c>
    </row>
    <row r="2554" spans="1:18">
      <c r="A2554" t="s">
        <v>810</v>
      </c>
      <c r="B2554" t="s">
        <v>16360</v>
      </c>
      <c r="C2554">
        <v>45775</v>
      </c>
      <c r="D2554" t="s">
        <v>7263</v>
      </c>
      <c r="E2554" t="s">
        <v>16361</v>
      </c>
      <c r="F2554">
        <v>45778</v>
      </c>
      <c r="G2554" t="s">
        <v>8778</v>
      </c>
      <c r="H2554" t="s">
        <v>2976</v>
      </c>
      <c r="I2554" t="s">
        <v>16900</v>
      </c>
      <c r="J2554">
        <v>0</v>
      </c>
      <c r="K2554">
        <v>2411</v>
      </c>
      <c r="L2554" t="s">
        <v>2917</v>
      </c>
      <c r="M2554">
        <v>2411</v>
      </c>
      <c r="N2554" t="s">
        <v>2917</v>
      </c>
      <c r="O2554" t="s">
        <v>2208</v>
      </c>
      <c r="P2554" t="s">
        <v>8779</v>
      </c>
      <c r="Q2554" t="s">
        <v>16897</v>
      </c>
      <c r="R2554" t="s">
        <v>8780</v>
      </c>
    </row>
    <row r="2555" spans="1:18">
      <c r="A2555" t="s">
        <v>2418</v>
      </c>
      <c r="B2555" t="s">
        <v>16360</v>
      </c>
      <c r="C2555">
        <v>45783</v>
      </c>
      <c r="D2555" t="s">
        <v>7263</v>
      </c>
      <c r="E2555" t="s">
        <v>16361</v>
      </c>
      <c r="F2555">
        <v>45790</v>
      </c>
      <c r="G2555" t="s">
        <v>3054</v>
      </c>
      <c r="H2555" t="s">
        <v>2976</v>
      </c>
      <c r="I2555" t="s">
        <v>17179</v>
      </c>
      <c r="J2555">
        <v>0</v>
      </c>
      <c r="K2555">
        <v>363446.4</v>
      </c>
      <c r="L2555" t="s">
        <v>2917</v>
      </c>
      <c r="M2555">
        <v>363446.4</v>
      </c>
      <c r="N2555" t="s">
        <v>2917</v>
      </c>
      <c r="O2555" t="s">
        <v>2208</v>
      </c>
      <c r="P2555" t="s">
        <v>3322</v>
      </c>
      <c r="Q2555" t="s">
        <v>8756</v>
      </c>
      <c r="R2555" t="s">
        <v>3055</v>
      </c>
    </row>
    <row r="2556" spans="1:18">
      <c r="A2556" t="s">
        <v>7030</v>
      </c>
      <c r="B2556" t="s">
        <v>16360</v>
      </c>
      <c r="C2556">
        <v>45762</v>
      </c>
      <c r="D2556" t="s">
        <v>7263</v>
      </c>
      <c r="E2556" t="s">
        <v>16361</v>
      </c>
      <c r="F2556">
        <v>45791</v>
      </c>
      <c r="G2556" t="s">
        <v>7133</v>
      </c>
      <c r="H2556" t="s">
        <v>2978</v>
      </c>
      <c r="I2556" t="s">
        <v>17180</v>
      </c>
      <c r="J2556">
        <v>0</v>
      </c>
      <c r="K2556">
        <v>6554</v>
      </c>
      <c r="L2556" t="s">
        <v>2917</v>
      </c>
      <c r="M2556">
        <v>6554</v>
      </c>
      <c r="N2556" t="s">
        <v>2917</v>
      </c>
      <c r="O2556" t="s">
        <v>2208</v>
      </c>
      <c r="P2556" t="s">
        <v>3010</v>
      </c>
      <c r="Q2556" t="s">
        <v>2980</v>
      </c>
      <c r="R2556" t="s">
        <v>2981</v>
      </c>
    </row>
    <row r="2557" spans="1:18">
      <c r="A2557" t="s">
        <v>7030</v>
      </c>
      <c r="B2557" t="s">
        <v>16360</v>
      </c>
      <c r="C2557">
        <v>45762</v>
      </c>
      <c r="D2557" t="s">
        <v>7263</v>
      </c>
      <c r="E2557" t="s">
        <v>16361</v>
      </c>
      <c r="F2557">
        <v>45791</v>
      </c>
      <c r="G2557" t="s">
        <v>7133</v>
      </c>
      <c r="H2557" t="s">
        <v>2978</v>
      </c>
      <c r="I2557" t="s">
        <v>17180</v>
      </c>
      <c r="J2557">
        <v>0</v>
      </c>
      <c r="K2557">
        <v>26</v>
      </c>
      <c r="L2557" t="s">
        <v>2917</v>
      </c>
      <c r="M2557">
        <v>26</v>
      </c>
      <c r="N2557" t="s">
        <v>2917</v>
      </c>
      <c r="O2557" t="s">
        <v>2208</v>
      </c>
      <c r="P2557" t="s">
        <v>7134</v>
      </c>
      <c r="Q2557" t="s">
        <v>2980</v>
      </c>
      <c r="R2557" t="s">
        <v>2981</v>
      </c>
    </row>
    <row r="2558" spans="1:18">
      <c r="A2558" t="s">
        <v>2418</v>
      </c>
      <c r="B2558" t="s">
        <v>16360</v>
      </c>
      <c r="C2558">
        <v>45762</v>
      </c>
      <c r="D2558" t="s">
        <v>7263</v>
      </c>
      <c r="E2558" t="s">
        <v>16361</v>
      </c>
      <c r="F2558">
        <v>45791</v>
      </c>
      <c r="G2558" t="s">
        <v>3002</v>
      </c>
      <c r="H2558" t="s">
        <v>2978</v>
      </c>
      <c r="I2558" t="s">
        <v>17181</v>
      </c>
      <c r="J2558">
        <v>0</v>
      </c>
      <c r="K2558">
        <v>2532</v>
      </c>
      <c r="L2558" t="s">
        <v>2917</v>
      </c>
      <c r="M2558">
        <v>2532</v>
      </c>
      <c r="N2558" t="s">
        <v>2917</v>
      </c>
      <c r="O2558" t="s">
        <v>2208</v>
      </c>
      <c r="P2558" t="s">
        <v>3003</v>
      </c>
      <c r="Q2558" t="s">
        <v>2980</v>
      </c>
      <c r="R2558" t="s">
        <v>2981</v>
      </c>
    </row>
    <row r="2559" spans="1:18">
      <c r="A2559" t="s">
        <v>2418</v>
      </c>
      <c r="B2559" t="s">
        <v>16360</v>
      </c>
      <c r="C2559">
        <v>45762</v>
      </c>
      <c r="D2559" t="s">
        <v>7263</v>
      </c>
      <c r="E2559" t="s">
        <v>16361</v>
      </c>
      <c r="F2559">
        <v>45791</v>
      </c>
      <c r="G2559" t="s">
        <v>3002</v>
      </c>
      <c r="H2559" t="s">
        <v>2978</v>
      </c>
      <c r="I2559" t="s">
        <v>17181</v>
      </c>
      <c r="J2559">
        <v>0</v>
      </c>
      <c r="K2559">
        <v>20.45</v>
      </c>
      <c r="L2559" t="s">
        <v>2917</v>
      </c>
      <c r="M2559">
        <v>20.45</v>
      </c>
      <c r="N2559" t="s">
        <v>2917</v>
      </c>
      <c r="O2559" t="s">
        <v>2208</v>
      </c>
      <c r="P2559" t="s">
        <v>3004</v>
      </c>
      <c r="Q2559" t="s">
        <v>2980</v>
      </c>
      <c r="R2559" t="s">
        <v>2981</v>
      </c>
    </row>
    <row r="2560" spans="1:18">
      <c r="A2560" t="s">
        <v>2237</v>
      </c>
      <c r="B2560" t="s">
        <v>16360</v>
      </c>
      <c r="C2560">
        <v>45762</v>
      </c>
      <c r="D2560" t="s">
        <v>7263</v>
      </c>
      <c r="E2560" t="s">
        <v>16361</v>
      </c>
      <c r="F2560">
        <v>45791</v>
      </c>
      <c r="G2560" t="s">
        <v>2998</v>
      </c>
      <c r="H2560" t="s">
        <v>2978</v>
      </c>
      <c r="I2560" t="s">
        <v>17182</v>
      </c>
      <c r="J2560">
        <v>0</v>
      </c>
      <c r="K2560">
        <v>3000</v>
      </c>
      <c r="L2560" t="s">
        <v>2917</v>
      </c>
      <c r="M2560">
        <v>3000</v>
      </c>
      <c r="N2560" t="s">
        <v>2917</v>
      </c>
      <c r="O2560" t="s">
        <v>2208</v>
      </c>
      <c r="P2560" t="s">
        <v>2999</v>
      </c>
      <c r="Q2560" t="s">
        <v>2980</v>
      </c>
      <c r="R2560" t="s">
        <v>2981</v>
      </c>
    </row>
    <row r="2561" spans="1:18">
      <c r="A2561" t="s">
        <v>7030</v>
      </c>
      <c r="B2561" t="s">
        <v>16360</v>
      </c>
      <c r="C2561">
        <v>45730</v>
      </c>
      <c r="D2561" t="s">
        <v>7263</v>
      </c>
      <c r="E2561" t="s">
        <v>16361</v>
      </c>
      <c r="F2561">
        <v>45791</v>
      </c>
      <c r="G2561" t="s">
        <v>7133</v>
      </c>
      <c r="H2561" t="s">
        <v>2978</v>
      </c>
      <c r="I2561" t="s">
        <v>17183</v>
      </c>
      <c r="J2561">
        <v>0</v>
      </c>
      <c r="K2561">
        <v>13585</v>
      </c>
      <c r="L2561" t="s">
        <v>2917</v>
      </c>
      <c r="M2561">
        <v>13585</v>
      </c>
      <c r="N2561" t="s">
        <v>2917</v>
      </c>
      <c r="O2561" t="s">
        <v>2208</v>
      </c>
      <c r="P2561" t="s">
        <v>3010</v>
      </c>
      <c r="Q2561" t="s">
        <v>2980</v>
      </c>
      <c r="R2561" t="s">
        <v>2981</v>
      </c>
    </row>
    <row r="2562" spans="1:18">
      <c r="A2562" t="s">
        <v>7030</v>
      </c>
      <c r="B2562" t="s">
        <v>16360</v>
      </c>
      <c r="C2562">
        <v>45730</v>
      </c>
      <c r="D2562" t="s">
        <v>7263</v>
      </c>
      <c r="E2562" t="s">
        <v>16361</v>
      </c>
      <c r="F2562">
        <v>45791</v>
      </c>
      <c r="G2562" t="s">
        <v>7133</v>
      </c>
      <c r="H2562" t="s">
        <v>2978</v>
      </c>
      <c r="I2562" t="s">
        <v>17183</v>
      </c>
      <c r="J2562">
        <v>0</v>
      </c>
      <c r="K2562">
        <v>23.3</v>
      </c>
      <c r="L2562" t="s">
        <v>2917</v>
      </c>
      <c r="M2562">
        <v>23.3</v>
      </c>
      <c r="N2562" t="s">
        <v>2917</v>
      </c>
      <c r="O2562" t="s">
        <v>2208</v>
      </c>
      <c r="P2562" t="s">
        <v>7134</v>
      </c>
      <c r="Q2562" t="s">
        <v>2980</v>
      </c>
      <c r="R2562" t="s">
        <v>2981</v>
      </c>
    </row>
    <row r="2563" spans="1:18">
      <c r="A2563" t="s">
        <v>2418</v>
      </c>
      <c r="B2563" t="s">
        <v>16360</v>
      </c>
      <c r="C2563">
        <v>45730</v>
      </c>
      <c r="D2563" t="s">
        <v>7263</v>
      </c>
      <c r="E2563" t="s">
        <v>16361</v>
      </c>
      <c r="F2563">
        <v>45791</v>
      </c>
      <c r="G2563" t="s">
        <v>3002</v>
      </c>
      <c r="H2563" t="s">
        <v>2978</v>
      </c>
      <c r="I2563" t="s">
        <v>17184</v>
      </c>
      <c r="J2563">
        <v>0</v>
      </c>
      <c r="K2563">
        <v>3060</v>
      </c>
      <c r="L2563" t="s">
        <v>2917</v>
      </c>
      <c r="M2563">
        <v>3060</v>
      </c>
      <c r="N2563" t="s">
        <v>2917</v>
      </c>
      <c r="O2563" t="s">
        <v>2208</v>
      </c>
      <c r="P2563" t="s">
        <v>3003</v>
      </c>
      <c r="Q2563" t="s">
        <v>2980</v>
      </c>
      <c r="R2563" t="s">
        <v>2981</v>
      </c>
    </row>
    <row r="2564" spans="1:18">
      <c r="A2564" t="s">
        <v>2418</v>
      </c>
      <c r="B2564" t="s">
        <v>16360</v>
      </c>
      <c r="C2564">
        <v>45730</v>
      </c>
      <c r="D2564" t="s">
        <v>7263</v>
      </c>
      <c r="E2564" t="s">
        <v>16361</v>
      </c>
      <c r="F2564">
        <v>45791</v>
      </c>
      <c r="G2564" t="s">
        <v>3002</v>
      </c>
      <c r="H2564" t="s">
        <v>2978</v>
      </c>
      <c r="I2564" t="s">
        <v>17184</v>
      </c>
      <c r="J2564">
        <v>0</v>
      </c>
      <c r="K2564">
        <v>0.2</v>
      </c>
      <c r="L2564" t="s">
        <v>2917</v>
      </c>
      <c r="M2564">
        <v>0.2</v>
      </c>
      <c r="N2564" t="s">
        <v>2917</v>
      </c>
      <c r="O2564" t="s">
        <v>2208</v>
      </c>
      <c r="P2564" t="s">
        <v>3004</v>
      </c>
      <c r="Q2564" t="s">
        <v>2980</v>
      </c>
      <c r="R2564" t="s">
        <v>2981</v>
      </c>
    </row>
    <row r="2565" spans="1:18">
      <c r="A2565" t="s">
        <v>2237</v>
      </c>
      <c r="B2565" t="s">
        <v>16360</v>
      </c>
      <c r="C2565">
        <v>45730</v>
      </c>
      <c r="D2565" t="s">
        <v>7263</v>
      </c>
      <c r="E2565" t="s">
        <v>16361</v>
      </c>
      <c r="F2565">
        <v>45791</v>
      </c>
      <c r="G2565" t="s">
        <v>2998</v>
      </c>
      <c r="H2565" t="s">
        <v>2978</v>
      </c>
      <c r="I2565" t="s">
        <v>17185</v>
      </c>
      <c r="J2565">
        <v>0</v>
      </c>
      <c r="K2565">
        <v>540</v>
      </c>
      <c r="L2565" t="s">
        <v>2917</v>
      </c>
      <c r="M2565">
        <v>540</v>
      </c>
      <c r="N2565" t="s">
        <v>2917</v>
      </c>
      <c r="O2565" t="s">
        <v>2208</v>
      </c>
      <c r="P2565" t="s">
        <v>2999</v>
      </c>
      <c r="Q2565" t="s">
        <v>2980</v>
      </c>
      <c r="R2565" t="s">
        <v>2981</v>
      </c>
    </row>
    <row r="2566" spans="1:18">
      <c r="A2566" t="s">
        <v>7030</v>
      </c>
      <c r="B2566" t="s">
        <v>16360</v>
      </c>
      <c r="C2566">
        <v>45777</v>
      </c>
      <c r="D2566" t="s">
        <v>7263</v>
      </c>
      <c r="E2566" t="s">
        <v>16361</v>
      </c>
      <c r="F2566">
        <v>45792</v>
      </c>
      <c r="G2566" t="s">
        <v>7138</v>
      </c>
      <c r="H2566" t="s">
        <v>2978</v>
      </c>
      <c r="I2566" t="s">
        <v>17186</v>
      </c>
      <c r="J2566">
        <v>0</v>
      </c>
      <c r="K2566">
        <v>108</v>
      </c>
      <c r="L2566" t="s">
        <v>2917</v>
      </c>
      <c r="M2566">
        <v>108</v>
      </c>
      <c r="N2566" t="s">
        <v>2917</v>
      </c>
      <c r="O2566" t="s">
        <v>2208</v>
      </c>
      <c r="P2566" t="s">
        <v>7140</v>
      </c>
      <c r="Q2566" t="s">
        <v>3044</v>
      </c>
      <c r="R2566" t="s">
        <v>3321</v>
      </c>
    </row>
    <row r="2567" spans="1:18">
      <c r="A2567" t="s">
        <v>7030</v>
      </c>
      <c r="B2567" t="s">
        <v>16360</v>
      </c>
      <c r="C2567">
        <v>45777</v>
      </c>
      <c r="D2567" t="s">
        <v>7263</v>
      </c>
      <c r="E2567" t="s">
        <v>16361</v>
      </c>
      <c r="F2567">
        <v>45792</v>
      </c>
      <c r="G2567" t="s">
        <v>7138</v>
      </c>
      <c r="H2567" t="s">
        <v>2978</v>
      </c>
      <c r="I2567" t="s">
        <v>17186</v>
      </c>
      <c r="J2567">
        <v>0</v>
      </c>
      <c r="K2567">
        <v>4032.7</v>
      </c>
      <c r="L2567" t="s">
        <v>2917</v>
      </c>
      <c r="M2567">
        <v>4032.7</v>
      </c>
      <c r="N2567" t="s">
        <v>2917</v>
      </c>
      <c r="O2567" t="s">
        <v>2208</v>
      </c>
      <c r="P2567" t="s">
        <v>7141</v>
      </c>
      <c r="Q2567" t="s">
        <v>3044</v>
      </c>
      <c r="R2567" t="s">
        <v>3321</v>
      </c>
    </row>
    <row r="2568" spans="1:18">
      <c r="A2568" t="s">
        <v>2418</v>
      </c>
      <c r="B2568" t="s">
        <v>16360</v>
      </c>
      <c r="C2568">
        <v>45785</v>
      </c>
      <c r="D2568" t="s">
        <v>7263</v>
      </c>
      <c r="E2568" t="s">
        <v>16361</v>
      </c>
      <c r="F2568">
        <v>45792</v>
      </c>
      <c r="G2568" t="s">
        <v>7210</v>
      </c>
      <c r="H2568" t="s">
        <v>2976</v>
      </c>
      <c r="I2568" t="s">
        <v>17187</v>
      </c>
      <c r="J2568">
        <v>0</v>
      </c>
      <c r="K2568">
        <v>71820</v>
      </c>
      <c r="L2568" t="s">
        <v>2917</v>
      </c>
      <c r="M2568">
        <v>71820</v>
      </c>
      <c r="N2568" t="s">
        <v>2917</v>
      </c>
      <c r="O2568" t="s">
        <v>2208</v>
      </c>
      <c r="P2568" t="s">
        <v>7144</v>
      </c>
      <c r="Q2568" t="s">
        <v>6819</v>
      </c>
      <c r="R2568" t="s">
        <v>3064</v>
      </c>
    </row>
    <row r="2569" spans="1:18">
      <c r="A2569" t="s">
        <v>2418</v>
      </c>
      <c r="B2569" t="s">
        <v>16360</v>
      </c>
      <c r="C2569">
        <v>45777</v>
      </c>
      <c r="D2569" t="s">
        <v>7263</v>
      </c>
      <c r="E2569" t="s">
        <v>16361</v>
      </c>
      <c r="F2569">
        <v>45792</v>
      </c>
      <c r="G2569" t="s">
        <v>3042</v>
      </c>
      <c r="H2569" t="s">
        <v>2978</v>
      </c>
      <c r="I2569" t="s">
        <v>17188</v>
      </c>
      <c r="J2569">
        <v>0</v>
      </c>
      <c r="K2569">
        <v>1372</v>
      </c>
      <c r="L2569" t="s">
        <v>2917</v>
      </c>
      <c r="M2569">
        <v>1372</v>
      </c>
      <c r="N2569" t="s">
        <v>2917</v>
      </c>
      <c r="O2569" t="s">
        <v>2208</v>
      </c>
      <c r="P2569" t="s">
        <v>3045</v>
      </c>
      <c r="Q2569" t="s">
        <v>3044</v>
      </c>
      <c r="R2569" t="s">
        <v>3321</v>
      </c>
    </row>
    <row r="2570" spans="1:18">
      <c r="A2570" t="s">
        <v>2418</v>
      </c>
      <c r="B2570" t="s">
        <v>16360</v>
      </c>
      <c r="C2570">
        <v>45777</v>
      </c>
      <c r="D2570" t="s">
        <v>7263</v>
      </c>
      <c r="E2570" t="s">
        <v>16361</v>
      </c>
      <c r="F2570">
        <v>45792</v>
      </c>
      <c r="G2570" t="s">
        <v>3042</v>
      </c>
      <c r="H2570" t="s">
        <v>2978</v>
      </c>
      <c r="I2570" t="s">
        <v>17188</v>
      </c>
      <c r="J2570">
        <v>0</v>
      </c>
      <c r="K2570">
        <v>245</v>
      </c>
      <c r="L2570" t="s">
        <v>2917</v>
      </c>
      <c r="M2570">
        <v>245</v>
      </c>
      <c r="N2570" t="s">
        <v>2917</v>
      </c>
      <c r="O2570" t="s">
        <v>2208</v>
      </c>
      <c r="P2570" t="s">
        <v>3179</v>
      </c>
      <c r="Q2570" t="s">
        <v>3044</v>
      </c>
      <c r="R2570" t="s">
        <v>3321</v>
      </c>
    </row>
    <row r="2571" spans="1:18">
      <c r="A2571" t="s">
        <v>2418</v>
      </c>
      <c r="B2571" t="s">
        <v>16360</v>
      </c>
      <c r="C2571">
        <v>45762</v>
      </c>
      <c r="D2571" t="s">
        <v>7263</v>
      </c>
      <c r="E2571" t="s">
        <v>16361</v>
      </c>
      <c r="F2571">
        <v>45793</v>
      </c>
      <c r="G2571" t="s">
        <v>7248</v>
      </c>
      <c r="H2571" t="s">
        <v>2978</v>
      </c>
      <c r="I2571" t="s">
        <v>17189</v>
      </c>
      <c r="J2571">
        <v>0</v>
      </c>
      <c r="K2571">
        <v>11274</v>
      </c>
      <c r="L2571" t="s">
        <v>2917</v>
      </c>
      <c r="M2571">
        <v>11274</v>
      </c>
      <c r="N2571" t="s">
        <v>2917</v>
      </c>
      <c r="O2571" t="s">
        <v>2208</v>
      </c>
      <c r="P2571" t="s">
        <v>7249</v>
      </c>
      <c r="Q2571" t="s">
        <v>2980</v>
      </c>
      <c r="R2571" t="s">
        <v>2981</v>
      </c>
    </row>
    <row r="2572" spans="1:18">
      <c r="A2572" t="s">
        <v>2418</v>
      </c>
      <c r="B2572" t="s">
        <v>16360</v>
      </c>
      <c r="C2572">
        <v>45762</v>
      </c>
      <c r="D2572" t="s">
        <v>7263</v>
      </c>
      <c r="E2572" t="s">
        <v>16361</v>
      </c>
      <c r="F2572">
        <v>45793</v>
      </c>
      <c r="G2572" t="s">
        <v>7248</v>
      </c>
      <c r="H2572" t="s">
        <v>2978</v>
      </c>
      <c r="I2572" t="s">
        <v>17189</v>
      </c>
      <c r="J2572">
        <v>0</v>
      </c>
      <c r="K2572">
        <v>1</v>
      </c>
      <c r="L2572" t="s">
        <v>2917</v>
      </c>
      <c r="M2572">
        <v>1</v>
      </c>
      <c r="N2572" t="s">
        <v>2917</v>
      </c>
      <c r="O2572" t="s">
        <v>2208</v>
      </c>
      <c r="P2572" t="s">
        <v>7250</v>
      </c>
      <c r="Q2572" t="s">
        <v>2980</v>
      </c>
      <c r="R2572" t="s">
        <v>2981</v>
      </c>
    </row>
    <row r="2573" spans="1:18">
      <c r="A2573" t="s">
        <v>2418</v>
      </c>
      <c r="B2573" t="s">
        <v>16360</v>
      </c>
      <c r="C2573">
        <v>45790</v>
      </c>
      <c r="D2573" t="s">
        <v>7263</v>
      </c>
      <c r="E2573" t="s">
        <v>16361</v>
      </c>
      <c r="F2573">
        <v>45796</v>
      </c>
      <c r="G2573" t="s">
        <v>8282</v>
      </c>
      <c r="H2573" t="s">
        <v>8283</v>
      </c>
      <c r="I2573" t="s">
        <v>17194</v>
      </c>
      <c r="J2573">
        <v>0</v>
      </c>
      <c r="K2573">
        <v>2400</v>
      </c>
      <c r="L2573" t="s">
        <v>2917</v>
      </c>
      <c r="M2573">
        <v>2400</v>
      </c>
      <c r="N2573" t="s">
        <v>2917</v>
      </c>
      <c r="O2573" t="s">
        <v>2208</v>
      </c>
      <c r="P2573" t="s">
        <v>17190</v>
      </c>
      <c r="Q2573" t="s">
        <v>8285</v>
      </c>
      <c r="R2573" t="s">
        <v>8286</v>
      </c>
    </row>
    <row r="2574" spans="1:18">
      <c r="A2574" t="s">
        <v>709</v>
      </c>
      <c r="B2574" t="s">
        <v>16360</v>
      </c>
      <c r="C2574">
        <v>45306</v>
      </c>
      <c r="D2574" t="s">
        <v>7263</v>
      </c>
      <c r="E2574" t="s">
        <v>16361</v>
      </c>
      <c r="F2574">
        <v>45798</v>
      </c>
      <c r="G2574" t="s">
        <v>3005</v>
      </c>
      <c r="H2574" t="s">
        <v>2976</v>
      </c>
      <c r="I2574" t="s">
        <v>17352</v>
      </c>
      <c r="J2574">
        <v>0</v>
      </c>
      <c r="K2574">
        <v>55011</v>
      </c>
      <c r="L2574" t="s">
        <v>2917</v>
      </c>
      <c r="M2574">
        <v>55011</v>
      </c>
      <c r="N2574" t="s">
        <v>2917</v>
      </c>
      <c r="O2574" t="s">
        <v>2208</v>
      </c>
      <c r="P2574" t="s">
        <v>3006</v>
      </c>
      <c r="Q2574" t="s">
        <v>2990</v>
      </c>
      <c r="R2574" t="s">
        <v>3318</v>
      </c>
    </row>
    <row r="2575" spans="1:18">
      <c r="A2575" t="s">
        <v>2418</v>
      </c>
      <c r="B2575" t="s">
        <v>16360</v>
      </c>
      <c r="C2575">
        <v>45792</v>
      </c>
      <c r="D2575" t="s">
        <v>7263</v>
      </c>
      <c r="E2575" t="s">
        <v>16361</v>
      </c>
      <c r="F2575">
        <v>45798</v>
      </c>
      <c r="G2575" t="s">
        <v>10855</v>
      </c>
      <c r="H2575" t="s">
        <v>2978</v>
      </c>
      <c r="I2575" t="s">
        <v>17353</v>
      </c>
      <c r="J2575">
        <v>0</v>
      </c>
      <c r="K2575">
        <v>45355.4</v>
      </c>
      <c r="L2575" t="s">
        <v>2917</v>
      </c>
      <c r="M2575">
        <v>45355.4</v>
      </c>
      <c r="N2575" t="s">
        <v>2917</v>
      </c>
      <c r="O2575" t="s">
        <v>2208</v>
      </c>
      <c r="P2575" t="s">
        <v>3037</v>
      </c>
      <c r="Q2575" t="s">
        <v>2980</v>
      </c>
      <c r="R2575" t="s">
        <v>2981</v>
      </c>
    </row>
    <row r="2576" spans="1:18">
      <c r="A2576" t="s">
        <v>2237</v>
      </c>
      <c r="B2576" t="s">
        <v>16360</v>
      </c>
      <c r="C2576">
        <v>45792</v>
      </c>
      <c r="D2576" t="s">
        <v>7263</v>
      </c>
      <c r="E2576" t="s">
        <v>16361</v>
      </c>
      <c r="F2576">
        <v>45799</v>
      </c>
      <c r="G2576" t="s">
        <v>2977</v>
      </c>
      <c r="H2576" t="s">
        <v>2978</v>
      </c>
      <c r="I2576" t="s">
        <v>17412</v>
      </c>
      <c r="J2576">
        <v>0</v>
      </c>
      <c r="K2576">
        <v>420</v>
      </c>
      <c r="L2576" t="s">
        <v>2917</v>
      </c>
      <c r="M2576">
        <v>420</v>
      </c>
      <c r="N2576" t="s">
        <v>2917</v>
      </c>
      <c r="O2576" t="s">
        <v>2208</v>
      </c>
      <c r="P2576" t="s">
        <v>2979</v>
      </c>
      <c r="Q2576" t="s">
        <v>2980</v>
      </c>
      <c r="R2576" t="s">
        <v>2981</v>
      </c>
    </row>
    <row r="2577" spans="1:18">
      <c r="A2577" t="s">
        <v>2418</v>
      </c>
      <c r="B2577" t="s">
        <v>16360</v>
      </c>
      <c r="C2577">
        <v>45792</v>
      </c>
      <c r="D2577" t="s">
        <v>7263</v>
      </c>
      <c r="E2577" t="s">
        <v>16361</v>
      </c>
      <c r="F2577">
        <v>45799</v>
      </c>
      <c r="G2577" t="s">
        <v>2982</v>
      </c>
      <c r="H2577" t="s">
        <v>2978</v>
      </c>
      <c r="I2577" t="s">
        <v>17413</v>
      </c>
      <c r="J2577">
        <v>0</v>
      </c>
      <c r="K2577">
        <v>9476</v>
      </c>
      <c r="L2577" t="s">
        <v>2917</v>
      </c>
      <c r="M2577">
        <v>9476</v>
      </c>
      <c r="N2577" t="s">
        <v>2917</v>
      </c>
      <c r="O2577" t="s">
        <v>2208</v>
      </c>
      <c r="P2577" t="s">
        <v>2983</v>
      </c>
      <c r="Q2577" t="s">
        <v>2980</v>
      </c>
      <c r="R2577" t="s">
        <v>2981</v>
      </c>
    </row>
    <row r="2578" spans="1:18">
      <c r="A2578" t="s">
        <v>2418</v>
      </c>
      <c r="B2578" t="s">
        <v>16360</v>
      </c>
      <c r="C2578">
        <v>45792</v>
      </c>
      <c r="D2578" t="s">
        <v>7263</v>
      </c>
      <c r="E2578" t="s">
        <v>16361</v>
      </c>
      <c r="F2578">
        <v>45799</v>
      </c>
      <c r="G2578" t="s">
        <v>2982</v>
      </c>
      <c r="H2578" t="s">
        <v>2978</v>
      </c>
      <c r="I2578" t="s">
        <v>17413</v>
      </c>
      <c r="J2578">
        <v>0</v>
      </c>
      <c r="K2578">
        <v>74.8</v>
      </c>
      <c r="L2578" t="s">
        <v>2917</v>
      </c>
      <c r="M2578">
        <v>74.8</v>
      </c>
      <c r="N2578" t="s">
        <v>2917</v>
      </c>
      <c r="O2578" t="s">
        <v>2208</v>
      </c>
      <c r="P2578" t="s">
        <v>2984</v>
      </c>
      <c r="Q2578" t="s">
        <v>2980</v>
      </c>
      <c r="R2578" t="s">
        <v>2981</v>
      </c>
    </row>
    <row r="2579" spans="1:18">
      <c r="A2579" t="s">
        <v>7030</v>
      </c>
      <c r="B2579" t="s">
        <v>16360</v>
      </c>
      <c r="C2579">
        <v>45792</v>
      </c>
      <c r="D2579" t="s">
        <v>7263</v>
      </c>
      <c r="E2579" t="s">
        <v>16361</v>
      </c>
      <c r="F2579">
        <v>45804</v>
      </c>
      <c r="G2579" t="s">
        <v>7060</v>
      </c>
      <c r="H2579" t="s">
        <v>2978</v>
      </c>
      <c r="I2579" t="s">
        <v>17674</v>
      </c>
      <c r="J2579">
        <v>0</v>
      </c>
      <c r="K2579">
        <v>32672</v>
      </c>
      <c r="L2579" t="s">
        <v>2917</v>
      </c>
      <c r="M2579">
        <v>32672</v>
      </c>
      <c r="N2579" t="s">
        <v>2917</v>
      </c>
      <c r="O2579" t="s">
        <v>2208</v>
      </c>
      <c r="P2579" t="s">
        <v>7037</v>
      </c>
      <c r="Q2579" t="s">
        <v>2980</v>
      </c>
      <c r="R2579" t="s">
        <v>2981</v>
      </c>
    </row>
    <row r="2580" spans="1:18">
      <c r="A2580" t="s">
        <v>7030</v>
      </c>
      <c r="B2580" t="s">
        <v>16360</v>
      </c>
      <c r="C2580">
        <v>45792</v>
      </c>
      <c r="D2580" t="s">
        <v>7263</v>
      </c>
      <c r="E2580" t="s">
        <v>16361</v>
      </c>
      <c r="F2580">
        <v>45804</v>
      </c>
      <c r="G2580" t="s">
        <v>7060</v>
      </c>
      <c r="H2580" t="s">
        <v>2978</v>
      </c>
      <c r="I2580" t="s">
        <v>17674</v>
      </c>
      <c r="J2580">
        <v>0</v>
      </c>
      <c r="K2580">
        <v>0.5</v>
      </c>
      <c r="L2580" t="s">
        <v>2917</v>
      </c>
      <c r="M2580">
        <v>0.5</v>
      </c>
      <c r="N2580" t="s">
        <v>2917</v>
      </c>
      <c r="O2580" t="s">
        <v>2208</v>
      </c>
      <c r="P2580" t="s">
        <v>230</v>
      </c>
      <c r="Q2580" t="s">
        <v>2980</v>
      </c>
      <c r="R2580" t="s">
        <v>2981</v>
      </c>
    </row>
    <row r="2581" spans="1:18">
      <c r="A2581" t="s">
        <v>7030</v>
      </c>
      <c r="B2581" t="s">
        <v>16360</v>
      </c>
      <c r="C2581">
        <v>45792</v>
      </c>
      <c r="D2581" t="s">
        <v>7263</v>
      </c>
      <c r="E2581" t="s">
        <v>16361</v>
      </c>
      <c r="F2581">
        <v>45804</v>
      </c>
      <c r="G2581" t="s">
        <v>7245</v>
      </c>
      <c r="H2581" t="s">
        <v>2978</v>
      </c>
      <c r="I2581" t="s">
        <v>17790</v>
      </c>
      <c r="J2581">
        <v>0</v>
      </c>
      <c r="K2581">
        <v>47982</v>
      </c>
      <c r="L2581" t="s">
        <v>2917</v>
      </c>
      <c r="M2581">
        <v>47982</v>
      </c>
      <c r="N2581" t="s">
        <v>2917</v>
      </c>
      <c r="O2581" t="s">
        <v>2208</v>
      </c>
      <c r="P2581" t="s">
        <v>7246</v>
      </c>
      <c r="Q2581" t="s">
        <v>2980</v>
      </c>
      <c r="R2581" t="s">
        <v>2981</v>
      </c>
    </row>
    <row r="2582" spans="1:18">
      <c r="A2582" t="s">
        <v>7030</v>
      </c>
      <c r="B2582" t="s">
        <v>16360</v>
      </c>
      <c r="C2582">
        <v>45792</v>
      </c>
      <c r="D2582" t="s">
        <v>7263</v>
      </c>
      <c r="E2582" t="s">
        <v>16361</v>
      </c>
      <c r="F2582">
        <v>45804</v>
      </c>
      <c r="G2582" t="s">
        <v>7245</v>
      </c>
      <c r="H2582" t="s">
        <v>2978</v>
      </c>
      <c r="I2582" t="s">
        <v>17790</v>
      </c>
      <c r="J2582">
        <v>0</v>
      </c>
      <c r="K2582">
        <v>137.19999999999999</v>
      </c>
      <c r="L2582" t="s">
        <v>2917</v>
      </c>
      <c r="M2582">
        <v>137.19999999999999</v>
      </c>
      <c r="N2582" t="s">
        <v>2917</v>
      </c>
      <c r="O2582" t="s">
        <v>2208</v>
      </c>
      <c r="P2582" t="s">
        <v>7247</v>
      </c>
      <c r="Q2582" t="s">
        <v>2980</v>
      </c>
      <c r="R2582" t="s">
        <v>2981</v>
      </c>
    </row>
    <row r="2583" spans="1:18">
      <c r="A2583" t="s">
        <v>7030</v>
      </c>
      <c r="B2583" t="s">
        <v>16360</v>
      </c>
      <c r="C2583">
        <v>45792</v>
      </c>
      <c r="D2583" t="s">
        <v>7263</v>
      </c>
      <c r="E2583" t="s">
        <v>16361</v>
      </c>
      <c r="F2583">
        <v>45804</v>
      </c>
      <c r="G2583" t="s">
        <v>7059</v>
      </c>
      <c r="H2583" t="s">
        <v>2978</v>
      </c>
      <c r="I2583" t="s">
        <v>17791</v>
      </c>
      <c r="J2583">
        <v>0</v>
      </c>
      <c r="K2583">
        <v>47957</v>
      </c>
      <c r="L2583" t="s">
        <v>2917</v>
      </c>
      <c r="M2583">
        <v>47957</v>
      </c>
      <c r="N2583" t="s">
        <v>2917</v>
      </c>
      <c r="O2583" t="s">
        <v>2208</v>
      </c>
      <c r="P2583" t="s">
        <v>7039</v>
      </c>
      <c r="Q2583" t="s">
        <v>2980</v>
      </c>
      <c r="R2583" t="s">
        <v>2981</v>
      </c>
    </row>
    <row r="2584" spans="1:18">
      <c r="A2584" t="s">
        <v>7030</v>
      </c>
      <c r="B2584" t="s">
        <v>16360</v>
      </c>
      <c r="C2584">
        <v>45792</v>
      </c>
      <c r="D2584" t="s">
        <v>7263</v>
      </c>
      <c r="E2584" t="s">
        <v>16361</v>
      </c>
      <c r="F2584">
        <v>45804</v>
      </c>
      <c r="G2584" t="s">
        <v>7059</v>
      </c>
      <c r="H2584" t="s">
        <v>2978</v>
      </c>
      <c r="I2584" t="s">
        <v>17791</v>
      </c>
      <c r="J2584">
        <v>0</v>
      </c>
      <c r="K2584">
        <v>2.2999999999999998</v>
      </c>
      <c r="L2584" t="s">
        <v>2917</v>
      </c>
      <c r="M2584">
        <v>2.2999999999999998</v>
      </c>
      <c r="N2584" t="s">
        <v>2917</v>
      </c>
      <c r="O2584" t="s">
        <v>2208</v>
      </c>
      <c r="P2584" t="s">
        <v>7040</v>
      </c>
      <c r="Q2584" t="s">
        <v>2980</v>
      </c>
      <c r="R2584" t="s">
        <v>2981</v>
      </c>
    </row>
    <row r="2585" spans="1:18">
      <c r="A2585" t="s">
        <v>2418</v>
      </c>
      <c r="B2585" t="s">
        <v>16360</v>
      </c>
      <c r="C2585">
        <v>45438</v>
      </c>
      <c r="D2585" t="s">
        <v>7263</v>
      </c>
      <c r="E2585" t="s">
        <v>16361</v>
      </c>
      <c r="F2585">
        <v>45806</v>
      </c>
      <c r="G2585" t="s">
        <v>6796</v>
      </c>
      <c r="H2585" t="s">
        <v>2976</v>
      </c>
      <c r="I2585" t="s">
        <v>17813</v>
      </c>
      <c r="J2585">
        <v>0</v>
      </c>
      <c r="K2585">
        <v>131392.18</v>
      </c>
      <c r="L2585" t="s">
        <v>2917</v>
      </c>
      <c r="M2585">
        <v>131392.18</v>
      </c>
      <c r="N2585" t="s">
        <v>2917</v>
      </c>
      <c r="O2585" t="s">
        <v>2208</v>
      </c>
      <c r="P2585" t="s">
        <v>6769</v>
      </c>
      <c r="Q2585" t="s">
        <v>17814</v>
      </c>
      <c r="R2585" t="s">
        <v>6785</v>
      </c>
    </row>
    <row r="2586" spans="1:18">
      <c r="A2586" t="s">
        <v>2418</v>
      </c>
      <c r="B2586" t="s">
        <v>16360</v>
      </c>
      <c r="C2586">
        <v>45438</v>
      </c>
      <c r="D2586" t="s">
        <v>7263</v>
      </c>
      <c r="E2586" t="s">
        <v>16361</v>
      </c>
      <c r="F2586">
        <v>45806</v>
      </c>
      <c r="G2586" t="s">
        <v>6796</v>
      </c>
      <c r="H2586" t="s">
        <v>2976</v>
      </c>
      <c r="I2586" t="s">
        <v>17813</v>
      </c>
      <c r="J2586">
        <v>0</v>
      </c>
      <c r="K2586">
        <v>1042.8599999999999</v>
      </c>
      <c r="L2586" t="s">
        <v>2917</v>
      </c>
      <c r="M2586">
        <v>1042.8599999999999</v>
      </c>
      <c r="N2586" t="s">
        <v>2917</v>
      </c>
      <c r="O2586" t="s">
        <v>2208</v>
      </c>
      <c r="P2586" t="s">
        <v>6770</v>
      </c>
      <c r="Q2586" t="s">
        <v>17814</v>
      </c>
      <c r="R2586" t="s">
        <v>6785</v>
      </c>
    </row>
    <row r="2587" spans="1:18">
      <c r="A2587" t="s">
        <v>2418</v>
      </c>
      <c r="B2587" t="s">
        <v>16360</v>
      </c>
      <c r="C2587">
        <v>45438</v>
      </c>
      <c r="D2587" t="s">
        <v>7263</v>
      </c>
      <c r="E2587" t="s">
        <v>16361</v>
      </c>
      <c r="F2587">
        <v>45806</v>
      </c>
      <c r="G2587" t="s">
        <v>6796</v>
      </c>
      <c r="H2587" t="s">
        <v>2976</v>
      </c>
      <c r="I2587" t="s">
        <v>17813</v>
      </c>
      <c r="J2587">
        <v>0</v>
      </c>
      <c r="K2587">
        <v>2706.66</v>
      </c>
      <c r="L2587" t="s">
        <v>2917</v>
      </c>
      <c r="M2587">
        <v>2706.66</v>
      </c>
      <c r="N2587" t="s">
        <v>2917</v>
      </c>
      <c r="O2587" t="s">
        <v>2208</v>
      </c>
      <c r="P2587" t="s">
        <v>6771</v>
      </c>
      <c r="Q2587" t="s">
        <v>17814</v>
      </c>
      <c r="R2587" t="s">
        <v>6785</v>
      </c>
    </row>
    <row r="2588" spans="1:18">
      <c r="A2588" t="s">
        <v>2418</v>
      </c>
      <c r="B2588" t="s">
        <v>16360</v>
      </c>
      <c r="C2588">
        <v>45438</v>
      </c>
      <c r="D2588" t="s">
        <v>7263</v>
      </c>
      <c r="E2588" t="s">
        <v>16361</v>
      </c>
      <c r="F2588">
        <v>45806</v>
      </c>
      <c r="G2588" t="s">
        <v>6796</v>
      </c>
      <c r="H2588" t="s">
        <v>2976</v>
      </c>
      <c r="I2588" t="s">
        <v>17813</v>
      </c>
      <c r="J2588">
        <v>0</v>
      </c>
      <c r="K2588">
        <v>3359.44</v>
      </c>
      <c r="L2588" t="s">
        <v>2917</v>
      </c>
      <c r="M2588">
        <v>3359.44</v>
      </c>
      <c r="N2588" t="s">
        <v>2917</v>
      </c>
      <c r="O2588" t="s">
        <v>2208</v>
      </c>
      <c r="P2588" t="s">
        <v>6772</v>
      </c>
      <c r="Q2588" t="s">
        <v>17814</v>
      </c>
      <c r="R2588" t="s">
        <v>6785</v>
      </c>
    </row>
    <row r="2589" spans="1:18">
      <c r="A2589" t="s">
        <v>2418</v>
      </c>
      <c r="B2589" t="s">
        <v>16360</v>
      </c>
      <c r="C2589">
        <v>45438</v>
      </c>
      <c r="D2589" t="s">
        <v>7263</v>
      </c>
      <c r="E2589" t="s">
        <v>16361</v>
      </c>
      <c r="F2589">
        <v>45806</v>
      </c>
      <c r="G2589" t="s">
        <v>6796</v>
      </c>
      <c r="H2589" t="s">
        <v>2976</v>
      </c>
      <c r="I2589" t="s">
        <v>17813</v>
      </c>
      <c r="J2589">
        <v>0</v>
      </c>
      <c r="K2589">
        <v>2579.2800000000002</v>
      </c>
      <c r="L2589" t="s">
        <v>2917</v>
      </c>
      <c r="M2589">
        <v>2579.2800000000002</v>
      </c>
      <c r="N2589" t="s">
        <v>2917</v>
      </c>
      <c r="O2589" t="s">
        <v>2208</v>
      </c>
      <c r="P2589" t="s">
        <v>6773</v>
      </c>
      <c r="Q2589" t="s">
        <v>17814</v>
      </c>
      <c r="R2589" t="s">
        <v>6785</v>
      </c>
    </row>
    <row r="2590" spans="1:18">
      <c r="A2590" t="s">
        <v>2418</v>
      </c>
      <c r="B2590" t="s">
        <v>16360</v>
      </c>
      <c r="C2590">
        <v>45438</v>
      </c>
      <c r="D2590" t="s">
        <v>7263</v>
      </c>
      <c r="E2590" t="s">
        <v>16361</v>
      </c>
      <c r="F2590">
        <v>45806</v>
      </c>
      <c r="G2590" t="s">
        <v>6796</v>
      </c>
      <c r="H2590" t="s">
        <v>2976</v>
      </c>
      <c r="I2590" t="s">
        <v>17813</v>
      </c>
      <c r="J2590">
        <v>0</v>
      </c>
      <c r="K2590">
        <v>7698.05</v>
      </c>
      <c r="L2590" t="s">
        <v>2917</v>
      </c>
      <c r="M2590">
        <v>7698.05</v>
      </c>
      <c r="N2590" t="s">
        <v>2917</v>
      </c>
      <c r="O2590" t="s">
        <v>2208</v>
      </c>
      <c r="P2590" t="s">
        <v>6774</v>
      </c>
      <c r="Q2590" t="s">
        <v>17814</v>
      </c>
      <c r="R2590" t="s">
        <v>6785</v>
      </c>
    </row>
    <row r="2591" spans="1:18">
      <c r="A2591" t="s">
        <v>2418</v>
      </c>
      <c r="B2591" t="s">
        <v>16360</v>
      </c>
      <c r="C2591">
        <v>45438</v>
      </c>
      <c r="D2591" t="s">
        <v>7263</v>
      </c>
      <c r="E2591" t="s">
        <v>16361</v>
      </c>
      <c r="F2591">
        <v>45806</v>
      </c>
      <c r="G2591" t="s">
        <v>6796</v>
      </c>
      <c r="H2591" t="s">
        <v>2976</v>
      </c>
      <c r="I2591" t="s">
        <v>17813</v>
      </c>
      <c r="J2591">
        <v>0</v>
      </c>
      <c r="K2591">
        <v>6687.03</v>
      </c>
      <c r="L2591" t="s">
        <v>2917</v>
      </c>
      <c r="M2591">
        <v>6687.03</v>
      </c>
      <c r="N2591" t="s">
        <v>2917</v>
      </c>
      <c r="O2591" t="s">
        <v>2208</v>
      </c>
      <c r="P2591" t="s">
        <v>6775</v>
      </c>
      <c r="Q2591" t="s">
        <v>17814</v>
      </c>
      <c r="R2591" t="s">
        <v>6785</v>
      </c>
    </row>
    <row r="2592" spans="1:18">
      <c r="A2592" t="s">
        <v>2237</v>
      </c>
      <c r="B2592" t="s">
        <v>16360</v>
      </c>
      <c r="C2592">
        <v>45792</v>
      </c>
      <c r="D2592" t="s">
        <v>7263</v>
      </c>
      <c r="E2592" t="s">
        <v>16361</v>
      </c>
      <c r="F2592">
        <v>45806</v>
      </c>
      <c r="G2592" t="s">
        <v>2995</v>
      </c>
      <c r="H2592" t="s">
        <v>2978</v>
      </c>
      <c r="I2592" t="s">
        <v>17830</v>
      </c>
      <c r="J2592">
        <v>0</v>
      </c>
      <c r="K2592">
        <v>660</v>
      </c>
      <c r="L2592" t="s">
        <v>2917</v>
      </c>
      <c r="M2592">
        <v>660</v>
      </c>
      <c r="N2592" t="s">
        <v>2917</v>
      </c>
      <c r="O2592" t="s">
        <v>2208</v>
      </c>
      <c r="P2592" t="s">
        <v>2996</v>
      </c>
      <c r="Q2592" t="s">
        <v>2980</v>
      </c>
      <c r="R2592" t="s">
        <v>2981</v>
      </c>
    </row>
    <row r="2593" spans="1:18">
      <c r="A2593" t="s">
        <v>2418</v>
      </c>
      <c r="B2593" t="s">
        <v>17897</v>
      </c>
      <c r="C2593">
        <v>45805</v>
      </c>
      <c r="D2593" t="s">
        <v>7263</v>
      </c>
      <c r="E2593" t="s">
        <v>17898</v>
      </c>
      <c r="F2593">
        <v>45810</v>
      </c>
      <c r="G2593" t="s">
        <v>17191</v>
      </c>
      <c r="H2593" t="s">
        <v>8283</v>
      </c>
      <c r="I2593" t="s">
        <v>18361</v>
      </c>
      <c r="J2593">
        <v>0</v>
      </c>
      <c r="K2593">
        <v>13950</v>
      </c>
      <c r="L2593" t="s">
        <v>2917</v>
      </c>
      <c r="M2593">
        <v>13950</v>
      </c>
      <c r="N2593" t="s">
        <v>2917</v>
      </c>
      <c r="O2593" t="s">
        <v>2208</v>
      </c>
      <c r="P2593" t="s">
        <v>6960</v>
      </c>
      <c r="Q2593" t="s">
        <v>8285</v>
      </c>
      <c r="R2593" t="s">
        <v>8286</v>
      </c>
    </row>
    <row r="2594" spans="1:18">
      <c r="A2594" t="s">
        <v>2418</v>
      </c>
      <c r="B2594" t="s">
        <v>17897</v>
      </c>
      <c r="C2594">
        <v>45805</v>
      </c>
      <c r="D2594" t="s">
        <v>7263</v>
      </c>
      <c r="E2594" t="s">
        <v>17898</v>
      </c>
      <c r="F2594">
        <v>45810</v>
      </c>
      <c r="G2594" t="s">
        <v>16991</v>
      </c>
      <c r="H2594" t="s">
        <v>8283</v>
      </c>
      <c r="I2594" t="s">
        <v>18362</v>
      </c>
      <c r="J2594">
        <v>0</v>
      </c>
      <c r="K2594">
        <v>13600</v>
      </c>
      <c r="L2594" t="s">
        <v>2917</v>
      </c>
      <c r="M2594">
        <v>13600</v>
      </c>
      <c r="N2594" t="s">
        <v>2917</v>
      </c>
      <c r="O2594" t="s">
        <v>2208</v>
      </c>
      <c r="P2594" t="s">
        <v>6960</v>
      </c>
      <c r="Q2594" t="s">
        <v>8285</v>
      </c>
      <c r="R2594" t="s">
        <v>8286</v>
      </c>
    </row>
    <row r="2595" spans="1:18">
      <c r="A2595" t="s">
        <v>2418</v>
      </c>
      <c r="B2595" t="s">
        <v>17897</v>
      </c>
      <c r="C2595">
        <v>45805</v>
      </c>
      <c r="D2595" t="s">
        <v>7263</v>
      </c>
      <c r="E2595" t="s">
        <v>17898</v>
      </c>
      <c r="F2595">
        <v>45810</v>
      </c>
      <c r="G2595" t="s">
        <v>16990</v>
      </c>
      <c r="H2595" t="s">
        <v>8283</v>
      </c>
      <c r="I2595" t="s">
        <v>18363</v>
      </c>
      <c r="J2595">
        <v>0</v>
      </c>
      <c r="K2595">
        <v>13900</v>
      </c>
      <c r="L2595" t="s">
        <v>2917</v>
      </c>
      <c r="M2595">
        <v>13900</v>
      </c>
      <c r="N2595" t="s">
        <v>2917</v>
      </c>
      <c r="O2595" t="s">
        <v>2208</v>
      </c>
      <c r="P2595" t="s">
        <v>6960</v>
      </c>
      <c r="Q2595" t="s">
        <v>8285</v>
      </c>
      <c r="R2595" t="s">
        <v>8286</v>
      </c>
    </row>
    <row r="2596" spans="1:18">
      <c r="A2596" t="s">
        <v>2418</v>
      </c>
      <c r="B2596" t="s">
        <v>17897</v>
      </c>
      <c r="C2596">
        <v>45805</v>
      </c>
      <c r="D2596" t="s">
        <v>7263</v>
      </c>
      <c r="E2596" t="s">
        <v>17898</v>
      </c>
      <c r="F2596">
        <v>45810</v>
      </c>
      <c r="G2596" t="s">
        <v>16935</v>
      </c>
      <c r="H2596" t="s">
        <v>8283</v>
      </c>
      <c r="I2596" t="s">
        <v>18364</v>
      </c>
      <c r="J2596">
        <v>0</v>
      </c>
      <c r="K2596">
        <v>13840</v>
      </c>
      <c r="L2596" t="s">
        <v>2917</v>
      </c>
      <c r="M2596">
        <v>13840</v>
      </c>
      <c r="N2596" t="s">
        <v>2917</v>
      </c>
      <c r="O2596" t="s">
        <v>2208</v>
      </c>
      <c r="P2596" t="s">
        <v>6960</v>
      </c>
      <c r="Q2596" t="s">
        <v>8285</v>
      </c>
      <c r="R2596" t="s">
        <v>8286</v>
      </c>
    </row>
    <row r="2597" spans="1:18">
      <c r="A2597" t="s">
        <v>2418</v>
      </c>
      <c r="B2597" t="s">
        <v>17897</v>
      </c>
      <c r="C2597">
        <v>45783</v>
      </c>
      <c r="D2597" t="s">
        <v>7263</v>
      </c>
      <c r="E2597" t="s">
        <v>17898</v>
      </c>
      <c r="F2597">
        <v>45818</v>
      </c>
      <c r="G2597" t="s">
        <v>3054</v>
      </c>
      <c r="H2597" t="s">
        <v>2976</v>
      </c>
      <c r="I2597" t="s">
        <v>18785</v>
      </c>
      <c r="J2597">
        <v>0</v>
      </c>
      <c r="K2597">
        <v>-363446.4</v>
      </c>
      <c r="L2597" t="s">
        <v>2917</v>
      </c>
      <c r="M2597">
        <v>-363446.4</v>
      </c>
      <c r="N2597" t="s">
        <v>2917</v>
      </c>
      <c r="O2597" t="s">
        <v>2208</v>
      </c>
      <c r="P2597" t="s">
        <v>3322</v>
      </c>
      <c r="Q2597" t="s">
        <v>8756</v>
      </c>
      <c r="R2597" t="s">
        <v>3055</v>
      </c>
    </row>
    <row r="2598" spans="1:18">
      <c r="A2598" t="s">
        <v>2418</v>
      </c>
      <c r="B2598" t="s">
        <v>17897</v>
      </c>
      <c r="C2598">
        <v>45783</v>
      </c>
      <c r="D2598" t="s">
        <v>7263</v>
      </c>
      <c r="E2598" t="s">
        <v>17898</v>
      </c>
      <c r="F2598">
        <v>45818</v>
      </c>
      <c r="G2598" t="s">
        <v>3054</v>
      </c>
      <c r="H2598" t="s">
        <v>2976</v>
      </c>
      <c r="I2598" t="s">
        <v>18786</v>
      </c>
      <c r="J2598">
        <v>0</v>
      </c>
      <c r="K2598">
        <v>363446.4</v>
      </c>
      <c r="L2598" t="s">
        <v>2917</v>
      </c>
      <c r="M2598">
        <v>363446.4</v>
      </c>
      <c r="N2598" t="s">
        <v>2917</v>
      </c>
      <c r="O2598" t="s">
        <v>2208</v>
      </c>
      <c r="P2598" t="s">
        <v>3322</v>
      </c>
      <c r="Q2598" t="s">
        <v>8756</v>
      </c>
      <c r="R2598" t="s">
        <v>3055</v>
      </c>
    </row>
    <row r="2599" spans="1:18">
      <c r="A2599" t="s">
        <v>7030</v>
      </c>
      <c r="B2599" t="s">
        <v>17897</v>
      </c>
      <c r="C2599">
        <v>45804</v>
      </c>
      <c r="D2599" t="s">
        <v>7263</v>
      </c>
      <c r="E2599" t="s">
        <v>17898</v>
      </c>
      <c r="F2599">
        <v>45818</v>
      </c>
      <c r="G2599" t="s">
        <v>15825</v>
      </c>
      <c r="H2599" t="s">
        <v>2978</v>
      </c>
      <c r="I2599" t="s">
        <v>18787</v>
      </c>
      <c r="J2599">
        <v>0</v>
      </c>
      <c r="K2599">
        <v>472.5</v>
      </c>
      <c r="L2599" t="s">
        <v>2917</v>
      </c>
      <c r="M2599">
        <v>472.5</v>
      </c>
      <c r="N2599" t="s">
        <v>2917</v>
      </c>
      <c r="O2599" t="s">
        <v>2208</v>
      </c>
      <c r="P2599" t="s">
        <v>15826</v>
      </c>
      <c r="Q2599" t="s">
        <v>16309</v>
      </c>
      <c r="R2599" t="s">
        <v>15827</v>
      </c>
    </row>
    <row r="2600" spans="1:18">
      <c r="A2600" t="s">
        <v>2418</v>
      </c>
      <c r="B2600" t="s">
        <v>17897</v>
      </c>
      <c r="C2600">
        <v>45820</v>
      </c>
      <c r="D2600" t="s">
        <v>7263</v>
      </c>
      <c r="E2600" t="s">
        <v>17898</v>
      </c>
      <c r="F2600">
        <v>45820</v>
      </c>
      <c r="G2600" t="s">
        <v>3054</v>
      </c>
      <c r="H2600" t="s">
        <v>2976</v>
      </c>
      <c r="I2600" t="s">
        <v>18788</v>
      </c>
      <c r="J2600">
        <v>0</v>
      </c>
      <c r="K2600">
        <v>-2272</v>
      </c>
      <c r="L2600" t="s">
        <v>2917</v>
      </c>
      <c r="M2600">
        <v>-2272</v>
      </c>
      <c r="N2600" t="s">
        <v>2917</v>
      </c>
      <c r="O2600" t="s">
        <v>2208</v>
      </c>
      <c r="P2600" t="s">
        <v>3322</v>
      </c>
      <c r="Q2600" t="s">
        <v>8756</v>
      </c>
      <c r="R2600" t="s">
        <v>3055</v>
      </c>
    </row>
    <row r="2601" spans="1:18">
      <c r="A2601" t="s">
        <v>2418</v>
      </c>
      <c r="B2601" t="s">
        <v>17897</v>
      </c>
      <c r="C2601">
        <v>45818</v>
      </c>
      <c r="D2601" t="s">
        <v>7263</v>
      </c>
      <c r="E2601" t="s">
        <v>17898</v>
      </c>
      <c r="F2601">
        <v>45821</v>
      </c>
      <c r="G2601" t="s">
        <v>17192</v>
      </c>
      <c r="H2601" t="s">
        <v>8283</v>
      </c>
      <c r="I2601" t="s">
        <v>18789</v>
      </c>
      <c r="J2601">
        <v>0</v>
      </c>
      <c r="K2601">
        <v>13775</v>
      </c>
      <c r="L2601" t="s">
        <v>2917</v>
      </c>
      <c r="M2601">
        <v>13775</v>
      </c>
      <c r="N2601" t="s">
        <v>2917</v>
      </c>
      <c r="O2601" t="s">
        <v>2208</v>
      </c>
      <c r="P2601" t="s">
        <v>6960</v>
      </c>
      <c r="Q2601" t="s">
        <v>8285</v>
      </c>
      <c r="R2601" t="s">
        <v>8286</v>
      </c>
    </row>
    <row r="2602" spans="1:18">
      <c r="A2602" t="s">
        <v>7030</v>
      </c>
      <c r="B2602" t="s">
        <v>17897</v>
      </c>
      <c r="C2602">
        <v>45823</v>
      </c>
      <c r="D2602" t="s">
        <v>7263</v>
      </c>
      <c r="E2602" t="s">
        <v>17898</v>
      </c>
      <c r="F2602">
        <v>45827</v>
      </c>
      <c r="G2602" t="s">
        <v>7059</v>
      </c>
      <c r="H2602" t="s">
        <v>2978</v>
      </c>
      <c r="I2602" t="s">
        <v>18790</v>
      </c>
      <c r="J2602">
        <v>0</v>
      </c>
      <c r="K2602">
        <v>9491</v>
      </c>
      <c r="L2602" t="s">
        <v>2917</v>
      </c>
      <c r="M2602">
        <v>9491</v>
      </c>
      <c r="N2602" t="s">
        <v>2917</v>
      </c>
      <c r="O2602" t="s">
        <v>2208</v>
      </c>
      <c r="P2602" t="s">
        <v>7039</v>
      </c>
      <c r="Q2602" t="s">
        <v>2980</v>
      </c>
      <c r="R2602" t="s">
        <v>2981</v>
      </c>
    </row>
    <row r="2603" spans="1:18">
      <c r="A2603" t="s">
        <v>7030</v>
      </c>
      <c r="B2603" t="s">
        <v>17897</v>
      </c>
      <c r="C2603">
        <v>45823</v>
      </c>
      <c r="D2603" t="s">
        <v>7263</v>
      </c>
      <c r="E2603" t="s">
        <v>17898</v>
      </c>
      <c r="F2603">
        <v>45827</v>
      </c>
      <c r="G2603" t="s">
        <v>7059</v>
      </c>
      <c r="H2603" t="s">
        <v>2978</v>
      </c>
      <c r="I2603" t="s">
        <v>18790</v>
      </c>
      <c r="J2603">
        <v>0</v>
      </c>
      <c r="K2603">
        <v>1.7</v>
      </c>
      <c r="L2603" t="s">
        <v>2917</v>
      </c>
      <c r="M2603">
        <v>1.7</v>
      </c>
      <c r="N2603" t="s">
        <v>2917</v>
      </c>
      <c r="O2603" t="s">
        <v>2208</v>
      </c>
      <c r="P2603" t="s">
        <v>7040</v>
      </c>
      <c r="Q2603" t="s">
        <v>2980</v>
      </c>
      <c r="R2603" t="s">
        <v>2981</v>
      </c>
    </row>
    <row r="2604" spans="1:18">
      <c r="A2604" t="s">
        <v>2237</v>
      </c>
      <c r="B2604" t="s">
        <v>17897</v>
      </c>
      <c r="C2604">
        <v>45823</v>
      </c>
      <c r="D2604" t="s">
        <v>7263</v>
      </c>
      <c r="E2604" t="s">
        <v>17898</v>
      </c>
      <c r="F2604">
        <v>45827</v>
      </c>
      <c r="G2604" t="s">
        <v>2977</v>
      </c>
      <c r="H2604" t="s">
        <v>2978</v>
      </c>
      <c r="I2604" t="s">
        <v>18791</v>
      </c>
      <c r="J2604">
        <v>0</v>
      </c>
      <c r="K2604">
        <v>1416</v>
      </c>
      <c r="L2604" t="s">
        <v>2917</v>
      </c>
      <c r="M2604">
        <v>1416</v>
      </c>
      <c r="N2604" t="s">
        <v>2917</v>
      </c>
      <c r="O2604" t="s">
        <v>2208</v>
      </c>
      <c r="P2604" t="s">
        <v>2979</v>
      </c>
      <c r="Q2604" t="s">
        <v>2980</v>
      </c>
      <c r="R2604" t="s">
        <v>2981</v>
      </c>
    </row>
    <row r="2605" spans="1:18">
      <c r="A2605" t="s">
        <v>7030</v>
      </c>
      <c r="B2605" t="s">
        <v>17897</v>
      </c>
      <c r="C2605">
        <v>45823</v>
      </c>
      <c r="D2605" t="s">
        <v>7263</v>
      </c>
      <c r="E2605" t="s">
        <v>17898</v>
      </c>
      <c r="F2605">
        <v>45828</v>
      </c>
      <c r="G2605" t="s">
        <v>7245</v>
      </c>
      <c r="H2605" t="s">
        <v>2978</v>
      </c>
      <c r="I2605" t="s">
        <v>18792</v>
      </c>
      <c r="J2605">
        <v>0</v>
      </c>
      <c r="K2605">
        <v>37003</v>
      </c>
      <c r="L2605" t="s">
        <v>2917</v>
      </c>
      <c r="M2605">
        <v>37003</v>
      </c>
      <c r="N2605" t="s">
        <v>2917</v>
      </c>
      <c r="O2605" t="s">
        <v>2208</v>
      </c>
      <c r="P2605" t="s">
        <v>7246</v>
      </c>
      <c r="Q2605" t="s">
        <v>2980</v>
      </c>
      <c r="R2605" t="s">
        <v>2981</v>
      </c>
    </row>
    <row r="2606" spans="1:18">
      <c r="A2606" t="s">
        <v>7030</v>
      </c>
      <c r="B2606" t="s">
        <v>17897</v>
      </c>
      <c r="C2606">
        <v>45823</v>
      </c>
      <c r="D2606" t="s">
        <v>7263</v>
      </c>
      <c r="E2606" t="s">
        <v>17898</v>
      </c>
      <c r="F2606">
        <v>45828</v>
      </c>
      <c r="G2606" t="s">
        <v>7245</v>
      </c>
      <c r="H2606" t="s">
        <v>2978</v>
      </c>
      <c r="I2606" t="s">
        <v>18792</v>
      </c>
      <c r="J2606">
        <v>0</v>
      </c>
      <c r="K2606">
        <v>61.15</v>
      </c>
      <c r="L2606" t="s">
        <v>2917</v>
      </c>
      <c r="M2606">
        <v>61.15</v>
      </c>
      <c r="N2606" t="s">
        <v>2917</v>
      </c>
      <c r="O2606" t="s">
        <v>2208</v>
      </c>
      <c r="P2606" t="s">
        <v>7247</v>
      </c>
      <c r="Q2606" t="s">
        <v>2980</v>
      </c>
      <c r="R2606" t="s">
        <v>2981</v>
      </c>
    </row>
    <row r="2607" spans="1:18">
      <c r="A2607" t="s">
        <v>2418</v>
      </c>
      <c r="B2607" t="s">
        <v>17897</v>
      </c>
      <c r="C2607">
        <v>45823</v>
      </c>
      <c r="D2607" t="s">
        <v>7263</v>
      </c>
      <c r="E2607" t="s">
        <v>17898</v>
      </c>
      <c r="F2607">
        <v>45831</v>
      </c>
      <c r="G2607" t="s">
        <v>2985</v>
      </c>
      <c r="H2607" t="s">
        <v>2978</v>
      </c>
      <c r="I2607" t="s">
        <v>18934</v>
      </c>
      <c r="J2607">
        <v>0</v>
      </c>
      <c r="K2607">
        <v>161.5</v>
      </c>
      <c r="L2607" t="s">
        <v>2917</v>
      </c>
      <c r="M2607">
        <v>161.5</v>
      </c>
      <c r="N2607" t="s">
        <v>2917</v>
      </c>
      <c r="O2607" t="s">
        <v>2208</v>
      </c>
      <c r="P2607" t="s">
        <v>3317</v>
      </c>
      <c r="Q2607" t="s">
        <v>2980</v>
      </c>
      <c r="R2607" t="s">
        <v>2981</v>
      </c>
    </row>
    <row r="2608" spans="1:18">
      <c r="A2608" t="s">
        <v>2418</v>
      </c>
      <c r="B2608" t="s">
        <v>17897</v>
      </c>
      <c r="C2608">
        <v>45823</v>
      </c>
      <c r="D2608" t="s">
        <v>7263</v>
      </c>
      <c r="E2608" t="s">
        <v>17898</v>
      </c>
      <c r="F2608">
        <v>45831</v>
      </c>
      <c r="G2608" t="s">
        <v>2985</v>
      </c>
      <c r="H2608" t="s">
        <v>2978</v>
      </c>
      <c r="I2608" t="s">
        <v>18934</v>
      </c>
      <c r="J2608">
        <v>0</v>
      </c>
      <c r="K2608">
        <v>59.48</v>
      </c>
      <c r="L2608" t="s">
        <v>2917</v>
      </c>
      <c r="M2608">
        <v>59.48</v>
      </c>
      <c r="N2608" t="s">
        <v>2917</v>
      </c>
      <c r="O2608" t="s">
        <v>2208</v>
      </c>
      <c r="P2608" t="s">
        <v>2987</v>
      </c>
      <c r="Q2608" t="s">
        <v>2980</v>
      </c>
      <c r="R2608" t="s">
        <v>2981</v>
      </c>
    </row>
    <row r="2609" spans="1:18">
      <c r="A2609" t="s">
        <v>7030</v>
      </c>
      <c r="B2609" t="s">
        <v>17897</v>
      </c>
      <c r="C2609">
        <v>45823</v>
      </c>
      <c r="D2609" t="s">
        <v>7263</v>
      </c>
      <c r="E2609" t="s">
        <v>17898</v>
      </c>
      <c r="F2609">
        <v>45831</v>
      </c>
      <c r="G2609" t="s">
        <v>7060</v>
      </c>
      <c r="H2609" t="s">
        <v>2978</v>
      </c>
      <c r="I2609" t="s">
        <v>18935</v>
      </c>
      <c r="J2609">
        <v>0</v>
      </c>
      <c r="K2609">
        <v>42630</v>
      </c>
      <c r="L2609" t="s">
        <v>2917</v>
      </c>
      <c r="M2609">
        <v>42630</v>
      </c>
      <c r="N2609" t="s">
        <v>2917</v>
      </c>
      <c r="O2609" t="s">
        <v>2208</v>
      </c>
      <c r="P2609" t="s">
        <v>7037</v>
      </c>
      <c r="Q2609" t="s">
        <v>2980</v>
      </c>
      <c r="R2609" t="s">
        <v>2981</v>
      </c>
    </row>
    <row r="2610" spans="1:18">
      <c r="A2610" t="s">
        <v>7030</v>
      </c>
      <c r="B2610" t="s">
        <v>17897</v>
      </c>
      <c r="C2610">
        <v>45823</v>
      </c>
      <c r="D2610" t="s">
        <v>7263</v>
      </c>
      <c r="E2610" t="s">
        <v>17898</v>
      </c>
      <c r="F2610">
        <v>45831</v>
      </c>
      <c r="G2610" t="s">
        <v>7060</v>
      </c>
      <c r="H2610" t="s">
        <v>2978</v>
      </c>
      <c r="I2610" t="s">
        <v>18935</v>
      </c>
      <c r="J2610">
        <v>0</v>
      </c>
      <c r="K2610">
        <v>0.4</v>
      </c>
      <c r="L2610" t="s">
        <v>2917</v>
      </c>
      <c r="M2610">
        <v>0.4</v>
      </c>
      <c r="N2610" t="s">
        <v>2917</v>
      </c>
      <c r="O2610" t="s">
        <v>2208</v>
      </c>
      <c r="P2610" t="s">
        <v>230</v>
      </c>
      <c r="Q2610" t="s">
        <v>2980</v>
      </c>
      <c r="R2610" t="s">
        <v>2981</v>
      </c>
    </row>
    <row r="2611" spans="1:18">
      <c r="A2611" t="s">
        <v>2418</v>
      </c>
      <c r="B2611" t="s">
        <v>17897</v>
      </c>
      <c r="C2611">
        <v>45808</v>
      </c>
      <c r="D2611" t="s">
        <v>7263</v>
      </c>
      <c r="E2611" t="s">
        <v>17898</v>
      </c>
      <c r="F2611">
        <v>45832</v>
      </c>
      <c r="G2611" t="s">
        <v>3042</v>
      </c>
      <c r="H2611" t="s">
        <v>2978</v>
      </c>
      <c r="I2611" t="s">
        <v>18988</v>
      </c>
      <c r="J2611">
        <v>0</v>
      </c>
      <c r="K2611">
        <v>416.5</v>
      </c>
      <c r="L2611" t="s">
        <v>2917</v>
      </c>
      <c r="M2611">
        <v>416.5</v>
      </c>
      <c r="N2611" t="s">
        <v>2917</v>
      </c>
      <c r="O2611" t="s">
        <v>2208</v>
      </c>
      <c r="P2611" t="s">
        <v>3061</v>
      </c>
      <c r="Q2611" t="s">
        <v>3044</v>
      </c>
      <c r="R2611" t="s">
        <v>3321</v>
      </c>
    </row>
    <row r="2612" spans="1:18">
      <c r="A2612" t="s">
        <v>2418</v>
      </c>
      <c r="B2612" t="s">
        <v>17897</v>
      </c>
      <c r="C2612">
        <v>45808</v>
      </c>
      <c r="D2612" t="s">
        <v>7263</v>
      </c>
      <c r="E2612" t="s">
        <v>17898</v>
      </c>
      <c r="F2612">
        <v>45832</v>
      </c>
      <c r="G2612" t="s">
        <v>3042</v>
      </c>
      <c r="H2612" t="s">
        <v>2978</v>
      </c>
      <c r="I2612" t="s">
        <v>18988</v>
      </c>
      <c r="J2612">
        <v>0</v>
      </c>
      <c r="K2612">
        <v>931</v>
      </c>
      <c r="L2612" t="s">
        <v>2917</v>
      </c>
      <c r="M2612">
        <v>931</v>
      </c>
      <c r="N2612" t="s">
        <v>2917</v>
      </c>
      <c r="O2612" t="s">
        <v>2208</v>
      </c>
      <c r="P2612" t="s">
        <v>3179</v>
      </c>
      <c r="Q2612" t="s">
        <v>3044</v>
      </c>
      <c r="R2612" t="s">
        <v>3321</v>
      </c>
    </row>
    <row r="2613" spans="1:18">
      <c r="A2613" t="s">
        <v>7030</v>
      </c>
      <c r="B2613" t="s">
        <v>17897</v>
      </c>
      <c r="C2613">
        <v>45808</v>
      </c>
      <c r="D2613" t="s">
        <v>7263</v>
      </c>
      <c r="E2613" t="s">
        <v>17898</v>
      </c>
      <c r="F2613">
        <v>45832</v>
      </c>
      <c r="G2613" t="s">
        <v>7138</v>
      </c>
      <c r="H2613" t="s">
        <v>2978</v>
      </c>
      <c r="I2613" t="s">
        <v>18989</v>
      </c>
      <c r="J2613">
        <v>0</v>
      </c>
      <c r="K2613">
        <v>189</v>
      </c>
      <c r="L2613" t="s">
        <v>2917</v>
      </c>
      <c r="M2613">
        <v>189</v>
      </c>
      <c r="N2613" t="s">
        <v>2917</v>
      </c>
      <c r="O2613" t="s">
        <v>2208</v>
      </c>
      <c r="P2613" t="s">
        <v>7140</v>
      </c>
      <c r="Q2613" t="s">
        <v>3044</v>
      </c>
      <c r="R2613" t="s">
        <v>3321</v>
      </c>
    </row>
    <row r="2614" spans="1:18">
      <c r="A2614" t="s">
        <v>7030</v>
      </c>
      <c r="B2614" t="s">
        <v>17897</v>
      </c>
      <c r="C2614">
        <v>45808</v>
      </c>
      <c r="D2614" t="s">
        <v>7263</v>
      </c>
      <c r="E2614" t="s">
        <v>17898</v>
      </c>
      <c r="F2614">
        <v>45832</v>
      </c>
      <c r="G2614" t="s">
        <v>7138</v>
      </c>
      <c r="H2614" t="s">
        <v>2978</v>
      </c>
      <c r="I2614" t="s">
        <v>18989</v>
      </c>
      <c r="J2614">
        <v>0</v>
      </c>
      <c r="K2614">
        <v>3185</v>
      </c>
      <c r="L2614" t="s">
        <v>2917</v>
      </c>
      <c r="M2614">
        <v>3185</v>
      </c>
      <c r="N2614" t="s">
        <v>2917</v>
      </c>
      <c r="O2614" t="s">
        <v>2208</v>
      </c>
      <c r="P2614" t="s">
        <v>7141</v>
      </c>
      <c r="Q2614" t="s">
        <v>3044</v>
      </c>
      <c r="R2614" t="s">
        <v>3321</v>
      </c>
    </row>
    <row r="2615" spans="1:18">
      <c r="A2615" t="s">
        <v>2418</v>
      </c>
      <c r="B2615" t="s">
        <v>17897</v>
      </c>
      <c r="C2615">
        <v>45812</v>
      </c>
      <c r="D2615" t="s">
        <v>7263</v>
      </c>
      <c r="E2615" t="s">
        <v>17898</v>
      </c>
      <c r="F2615">
        <v>45832</v>
      </c>
      <c r="G2615" t="s">
        <v>3939</v>
      </c>
      <c r="H2615" t="s">
        <v>2976</v>
      </c>
      <c r="I2615" t="s">
        <v>18990</v>
      </c>
      <c r="J2615">
        <v>0</v>
      </c>
      <c r="K2615">
        <v>249000</v>
      </c>
      <c r="L2615" t="s">
        <v>2917</v>
      </c>
      <c r="M2615">
        <v>249000</v>
      </c>
      <c r="N2615" t="s">
        <v>2917</v>
      </c>
      <c r="O2615" t="s">
        <v>2208</v>
      </c>
      <c r="P2615" t="s">
        <v>3803</v>
      </c>
      <c r="Q2615" t="s">
        <v>18991</v>
      </c>
      <c r="R2615" t="s">
        <v>3816</v>
      </c>
    </row>
    <row r="2616" spans="1:18">
      <c r="A2616" t="s">
        <v>2418</v>
      </c>
      <c r="B2616" t="s">
        <v>17897</v>
      </c>
      <c r="C2616">
        <v>45812</v>
      </c>
      <c r="D2616" t="s">
        <v>7263</v>
      </c>
      <c r="E2616" t="s">
        <v>17898</v>
      </c>
      <c r="F2616">
        <v>45832</v>
      </c>
      <c r="G2616" t="s">
        <v>3939</v>
      </c>
      <c r="H2616" t="s">
        <v>2976</v>
      </c>
      <c r="I2616" t="s">
        <v>18990</v>
      </c>
      <c r="J2616">
        <v>0</v>
      </c>
      <c r="K2616">
        <v>15900</v>
      </c>
      <c r="L2616" t="s">
        <v>2917</v>
      </c>
      <c r="M2616">
        <v>15900</v>
      </c>
      <c r="N2616" t="s">
        <v>2917</v>
      </c>
      <c r="O2616" t="s">
        <v>2208</v>
      </c>
      <c r="P2616" t="s">
        <v>3804</v>
      </c>
      <c r="Q2616" t="s">
        <v>18991</v>
      </c>
      <c r="R2616" t="s">
        <v>3816</v>
      </c>
    </row>
    <row r="2617" spans="1:18">
      <c r="A2617" t="s">
        <v>2418</v>
      </c>
      <c r="B2617" t="s">
        <v>17897</v>
      </c>
      <c r="C2617">
        <v>45812</v>
      </c>
      <c r="D2617" t="s">
        <v>7263</v>
      </c>
      <c r="E2617" t="s">
        <v>17898</v>
      </c>
      <c r="F2617">
        <v>45832</v>
      </c>
      <c r="G2617" t="s">
        <v>3939</v>
      </c>
      <c r="H2617" t="s">
        <v>2976</v>
      </c>
      <c r="I2617" t="s">
        <v>18990</v>
      </c>
      <c r="J2617">
        <v>0</v>
      </c>
      <c r="K2617">
        <v>900</v>
      </c>
      <c r="L2617" t="s">
        <v>2917</v>
      </c>
      <c r="M2617">
        <v>900</v>
      </c>
      <c r="N2617" t="s">
        <v>2917</v>
      </c>
      <c r="O2617" t="s">
        <v>2208</v>
      </c>
      <c r="P2617" t="s">
        <v>3805</v>
      </c>
      <c r="Q2617" t="s">
        <v>18991</v>
      </c>
      <c r="R2617" t="s">
        <v>3816</v>
      </c>
    </row>
    <row r="2618" spans="1:18">
      <c r="A2618" t="s">
        <v>2418</v>
      </c>
      <c r="B2618" t="s">
        <v>17897</v>
      </c>
      <c r="C2618">
        <v>45812</v>
      </c>
      <c r="D2618" t="s">
        <v>7263</v>
      </c>
      <c r="E2618" t="s">
        <v>17898</v>
      </c>
      <c r="F2618">
        <v>45832</v>
      </c>
      <c r="G2618" t="s">
        <v>3939</v>
      </c>
      <c r="H2618" t="s">
        <v>2976</v>
      </c>
      <c r="I2618" t="s">
        <v>18990</v>
      </c>
      <c r="J2618">
        <v>0</v>
      </c>
      <c r="K2618">
        <v>7200</v>
      </c>
      <c r="L2618" t="s">
        <v>2917</v>
      </c>
      <c r="M2618">
        <v>7200</v>
      </c>
      <c r="N2618" t="s">
        <v>2917</v>
      </c>
      <c r="O2618" t="s">
        <v>2208</v>
      </c>
      <c r="P2618" t="s">
        <v>3806</v>
      </c>
      <c r="Q2618" t="s">
        <v>18991</v>
      </c>
      <c r="R2618" t="s">
        <v>3816</v>
      </c>
    </row>
    <row r="2619" spans="1:18">
      <c r="A2619" t="s">
        <v>2418</v>
      </c>
      <c r="B2619" t="s">
        <v>17897</v>
      </c>
      <c r="C2619">
        <v>45823</v>
      </c>
      <c r="D2619" t="s">
        <v>7263</v>
      </c>
      <c r="E2619" t="s">
        <v>17898</v>
      </c>
      <c r="F2619">
        <v>45832</v>
      </c>
      <c r="G2619" t="s">
        <v>10855</v>
      </c>
      <c r="H2619" t="s">
        <v>2978</v>
      </c>
      <c r="I2619" t="s">
        <v>18992</v>
      </c>
      <c r="J2619">
        <v>0</v>
      </c>
      <c r="K2619">
        <v>47480.9</v>
      </c>
      <c r="L2619" t="s">
        <v>2917</v>
      </c>
      <c r="M2619">
        <v>47480.9</v>
      </c>
      <c r="N2619" t="s">
        <v>2917</v>
      </c>
      <c r="O2619" t="s">
        <v>2208</v>
      </c>
      <c r="P2619" t="s">
        <v>3037</v>
      </c>
      <c r="Q2619" t="s">
        <v>2980</v>
      </c>
      <c r="R2619" t="s">
        <v>2981</v>
      </c>
    </row>
    <row r="2620" spans="1:18">
      <c r="A2620" t="s">
        <v>2418</v>
      </c>
      <c r="B2620" t="s">
        <v>17897</v>
      </c>
      <c r="C2620">
        <v>45823</v>
      </c>
      <c r="D2620" t="s">
        <v>7263</v>
      </c>
      <c r="E2620" t="s">
        <v>17898</v>
      </c>
      <c r="F2620">
        <v>45832</v>
      </c>
      <c r="G2620" t="s">
        <v>17354</v>
      </c>
      <c r="H2620" t="s">
        <v>2978</v>
      </c>
      <c r="I2620" t="s">
        <v>18993</v>
      </c>
      <c r="J2620">
        <v>0</v>
      </c>
      <c r="K2620">
        <v>69721.5</v>
      </c>
      <c r="L2620" t="s">
        <v>2917</v>
      </c>
      <c r="M2620">
        <v>69721.5</v>
      </c>
      <c r="N2620" t="s">
        <v>2917</v>
      </c>
      <c r="O2620" t="s">
        <v>2208</v>
      </c>
      <c r="P2620" t="s">
        <v>17294</v>
      </c>
      <c r="Q2620" t="s">
        <v>2980</v>
      </c>
      <c r="R2620" t="s">
        <v>2981</v>
      </c>
    </row>
    <row r="2621" spans="1:18">
      <c r="A2621" t="s">
        <v>709</v>
      </c>
      <c r="B2621" t="s">
        <v>17897</v>
      </c>
      <c r="C2621">
        <v>45306</v>
      </c>
      <c r="D2621" t="s">
        <v>7263</v>
      </c>
      <c r="E2621" t="s">
        <v>17898</v>
      </c>
      <c r="F2621">
        <v>45834</v>
      </c>
      <c r="G2621" t="s">
        <v>3005</v>
      </c>
      <c r="H2621" t="s">
        <v>2976</v>
      </c>
      <c r="I2621" t="s">
        <v>19149</v>
      </c>
      <c r="J2621">
        <v>0</v>
      </c>
      <c r="K2621">
        <v>-55011</v>
      </c>
      <c r="L2621" t="s">
        <v>2917</v>
      </c>
      <c r="M2621">
        <v>-55011</v>
      </c>
      <c r="N2621" t="s">
        <v>2917</v>
      </c>
      <c r="O2621" t="s">
        <v>2208</v>
      </c>
      <c r="P2621" t="s">
        <v>3006</v>
      </c>
      <c r="Q2621" t="s">
        <v>2990</v>
      </c>
      <c r="R2621" t="s">
        <v>3318</v>
      </c>
    </row>
    <row r="2622" spans="1:18">
      <c r="A2622" t="s">
        <v>709</v>
      </c>
      <c r="B2622" t="s">
        <v>17897</v>
      </c>
      <c r="C2622">
        <v>45306</v>
      </c>
      <c r="D2622" t="s">
        <v>7263</v>
      </c>
      <c r="E2622" t="s">
        <v>17898</v>
      </c>
      <c r="F2622">
        <v>45834</v>
      </c>
      <c r="G2622" t="s">
        <v>3005</v>
      </c>
      <c r="H2622" t="s">
        <v>2976</v>
      </c>
      <c r="I2622" t="s">
        <v>19150</v>
      </c>
      <c r="J2622">
        <v>0</v>
      </c>
      <c r="K2622">
        <v>32326</v>
      </c>
      <c r="L2622" t="s">
        <v>2917</v>
      </c>
      <c r="M2622">
        <v>32326</v>
      </c>
      <c r="N2622" t="s">
        <v>2917</v>
      </c>
      <c r="O2622" t="s">
        <v>2208</v>
      </c>
      <c r="P2622" t="s">
        <v>8276</v>
      </c>
      <c r="Q2622" t="s">
        <v>2990</v>
      </c>
      <c r="R2622" t="s">
        <v>3318</v>
      </c>
    </row>
    <row r="2623" spans="1:18">
      <c r="A2623" t="s">
        <v>709</v>
      </c>
      <c r="B2623" t="s">
        <v>17897</v>
      </c>
      <c r="C2623">
        <v>45306</v>
      </c>
      <c r="D2623" t="s">
        <v>7263</v>
      </c>
      <c r="E2623" t="s">
        <v>17898</v>
      </c>
      <c r="F2623">
        <v>45834</v>
      </c>
      <c r="G2623" t="s">
        <v>3005</v>
      </c>
      <c r="H2623" t="s">
        <v>2976</v>
      </c>
      <c r="I2623" t="s">
        <v>19150</v>
      </c>
      <c r="J2623">
        <v>0</v>
      </c>
      <c r="K2623">
        <v>22685</v>
      </c>
      <c r="L2623" t="s">
        <v>2917</v>
      </c>
      <c r="M2623">
        <v>22685</v>
      </c>
      <c r="N2623" t="s">
        <v>2917</v>
      </c>
      <c r="O2623" t="s">
        <v>2208</v>
      </c>
      <c r="P2623" t="s">
        <v>3006</v>
      </c>
      <c r="Q2623" t="s">
        <v>2990</v>
      </c>
      <c r="R2623" t="s">
        <v>3318</v>
      </c>
    </row>
    <row r="2624" spans="1:18">
      <c r="A2624" t="s">
        <v>810</v>
      </c>
      <c r="B2624" t="s">
        <v>17897</v>
      </c>
      <c r="C2624">
        <v>45832</v>
      </c>
      <c r="D2624" t="s">
        <v>7263</v>
      </c>
      <c r="E2624" t="s">
        <v>17898</v>
      </c>
      <c r="F2624">
        <v>45834</v>
      </c>
      <c r="G2624" t="s">
        <v>8771</v>
      </c>
      <c r="H2624" t="s">
        <v>2976</v>
      </c>
      <c r="I2624" t="s">
        <v>19212</v>
      </c>
      <c r="J2624">
        <v>0</v>
      </c>
      <c r="K2624">
        <v>6766.36</v>
      </c>
      <c r="L2624" t="s">
        <v>2917</v>
      </c>
      <c r="M2624">
        <v>6766.36</v>
      </c>
      <c r="N2624" t="s">
        <v>2917</v>
      </c>
      <c r="O2624" t="s">
        <v>2208</v>
      </c>
      <c r="P2624" t="s">
        <v>8772</v>
      </c>
      <c r="Q2624" t="s">
        <v>3015</v>
      </c>
      <c r="R2624" t="s">
        <v>3016</v>
      </c>
    </row>
    <row r="2625" spans="1:18">
      <c r="A2625" t="s">
        <v>2418</v>
      </c>
      <c r="B2625" t="s">
        <v>17897</v>
      </c>
      <c r="C2625">
        <v>45832</v>
      </c>
      <c r="D2625" t="s">
        <v>7263</v>
      </c>
      <c r="E2625" t="s">
        <v>17898</v>
      </c>
      <c r="F2625">
        <v>45835</v>
      </c>
      <c r="G2625" t="s">
        <v>6795</v>
      </c>
      <c r="H2625" t="s">
        <v>2976</v>
      </c>
      <c r="I2625" t="s">
        <v>19213</v>
      </c>
      <c r="J2625">
        <v>0</v>
      </c>
      <c r="K2625">
        <v>140800</v>
      </c>
      <c r="L2625" t="s">
        <v>2917</v>
      </c>
      <c r="M2625">
        <v>140800</v>
      </c>
      <c r="N2625" t="s">
        <v>2917</v>
      </c>
      <c r="O2625" t="s">
        <v>2208</v>
      </c>
      <c r="P2625" t="s">
        <v>3208</v>
      </c>
      <c r="Q2625" t="s">
        <v>19214</v>
      </c>
      <c r="R2625" t="s">
        <v>3815</v>
      </c>
    </row>
    <row r="2626" spans="1:18">
      <c r="A2626" t="s">
        <v>2418</v>
      </c>
      <c r="B2626" t="s">
        <v>17897</v>
      </c>
      <c r="C2626">
        <v>45832</v>
      </c>
      <c r="D2626" t="s">
        <v>7263</v>
      </c>
      <c r="E2626" t="s">
        <v>17898</v>
      </c>
      <c r="F2626">
        <v>45835</v>
      </c>
      <c r="G2626" t="s">
        <v>6795</v>
      </c>
      <c r="H2626" t="s">
        <v>2976</v>
      </c>
      <c r="I2626" t="s">
        <v>19213</v>
      </c>
      <c r="J2626">
        <v>0</v>
      </c>
      <c r="K2626">
        <v>40950</v>
      </c>
      <c r="L2626" t="s">
        <v>2917</v>
      </c>
      <c r="M2626">
        <v>40950</v>
      </c>
      <c r="N2626" t="s">
        <v>2917</v>
      </c>
      <c r="O2626" t="s">
        <v>2208</v>
      </c>
      <c r="P2626" t="s">
        <v>3209</v>
      </c>
      <c r="Q2626" t="s">
        <v>19214</v>
      </c>
      <c r="R2626" t="s">
        <v>3815</v>
      </c>
    </row>
    <row r="2627" spans="1:18">
      <c r="A2627" t="s">
        <v>2418</v>
      </c>
      <c r="B2627" t="s">
        <v>19439</v>
      </c>
      <c r="C2627">
        <v>45832</v>
      </c>
      <c r="D2627" t="s">
        <v>7263</v>
      </c>
      <c r="E2627" t="s">
        <v>19440</v>
      </c>
      <c r="F2627">
        <v>45839</v>
      </c>
      <c r="G2627" t="s">
        <v>11856</v>
      </c>
      <c r="H2627" t="s">
        <v>2976</v>
      </c>
      <c r="I2627" t="s">
        <v>19441</v>
      </c>
      <c r="J2627">
        <v>0</v>
      </c>
      <c r="K2627">
        <v>65118</v>
      </c>
      <c r="L2627" t="s">
        <v>2917</v>
      </c>
      <c r="M2627">
        <v>65118</v>
      </c>
      <c r="N2627" t="s">
        <v>2917</v>
      </c>
      <c r="O2627" t="s">
        <v>2208</v>
      </c>
      <c r="P2627" t="s">
        <v>11857</v>
      </c>
      <c r="Q2627" t="s">
        <v>19442</v>
      </c>
      <c r="R2627" t="s">
        <v>11858</v>
      </c>
    </row>
    <row r="2628" spans="1:18">
      <c r="A2628" t="s">
        <v>810</v>
      </c>
      <c r="B2628" t="s">
        <v>2920</v>
      </c>
      <c r="C2628">
        <v>45685</v>
      </c>
      <c r="D2628" t="s">
        <v>7263</v>
      </c>
      <c r="E2628" t="s">
        <v>2921</v>
      </c>
      <c r="F2628">
        <v>45685</v>
      </c>
      <c r="G2628" t="s">
        <v>2208</v>
      </c>
      <c r="H2628" t="s">
        <v>8287</v>
      </c>
      <c r="I2628" t="s">
        <v>8288</v>
      </c>
      <c r="J2628">
        <v>0</v>
      </c>
      <c r="K2628">
        <v>50</v>
      </c>
      <c r="L2628" t="s">
        <v>2917</v>
      </c>
      <c r="M2628">
        <v>50</v>
      </c>
      <c r="N2628" t="s">
        <v>2917</v>
      </c>
      <c r="O2628" t="s">
        <v>8289</v>
      </c>
      <c r="P2628" t="s">
        <v>2208</v>
      </c>
      <c r="Q2628" t="s">
        <v>8290</v>
      </c>
      <c r="R2628" t="s">
        <v>8291</v>
      </c>
    </row>
    <row r="2629" spans="1:18">
      <c r="A2629" t="s">
        <v>810</v>
      </c>
      <c r="B2629" t="s">
        <v>2920</v>
      </c>
      <c r="C2629">
        <v>45685</v>
      </c>
      <c r="D2629" t="s">
        <v>7263</v>
      </c>
      <c r="E2629" t="s">
        <v>2921</v>
      </c>
      <c r="F2629">
        <v>45685</v>
      </c>
      <c r="G2629" t="s">
        <v>2208</v>
      </c>
      <c r="H2629" t="s">
        <v>8287</v>
      </c>
      <c r="I2629" t="s">
        <v>8288</v>
      </c>
      <c r="J2629">
        <v>0</v>
      </c>
      <c r="K2629">
        <v>18.14</v>
      </c>
      <c r="L2629" t="s">
        <v>2917</v>
      </c>
      <c r="M2629">
        <v>18.14</v>
      </c>
      <c r="N2629" t="s">
        <v>2917</v>
      </c>
      <c r="O2629" t="s">
        <v>8289</v>
      </c>
      <c r="P2629" t="s">
        <v>2208</v>
      </c>
      <c r="Q2629" t="s">
        <v>8290</v>
      </c>
      <c r="R2629" t="s">
        <v>8291</v>
      </c>
    </row>
    <row r="2630" spans="1:18">
      <c r="A2630" t="s">
        <v>810</v>
      </c>
      <c r="B2630" t="s">
        <v>2920</v>
      </c>
      <c r="C2630">
        <v>45685</v>
      </c>
      <c r="D2630" t="s">
        <v>7263</v>
      </c>
      <c r="E2630" t="s">
        <v>2921</v>
      </c>
      <c r="F2630">
        <v>45685</v>
      </c>
      <c r="G2630" t="s">
        <v>2208</v>
      </c>
      <c r="H2630" t="s">
        <v>8287</v>
      </c>
      <c r="I2630" t="s">
        <v>8288</v>
      </c>
      <c r="J2630">
        <v>0</v>
      </c>
      <c r="K2630">
        <v>21.03</v>
      </c>
      <c r="L2630" t="s">
        <v>2917</v>
      </c>
      <c r="M2630">
        <v>21.03</v>
      </c>
      <c r="N2630" t="s">
        <v>2917</v>
      </c>
      <c r="O2630" t="s">
        <v>8289</v>
      </c>
      <c r="P2630" t="s">
        <v>2208</v>
      </c>
      <c r="Q2630" t="s">
        <v>8290</v>
      </c>
      <c r="R2630" t="s">
        <v>8291</v>
      </c>
    </row>
    <row r="2631" spans="1:18">
      <c r="A2631" t="s">
        <v>810</v>
      </c>
      <c r="B2631" t="s">
        <v>2920</v>
      </c>
      <c r="C2631">
        <v>45685</v>
      </c>
      <c r="D2631" t="s">
        <v>7263</v>
      </c>
      <c r="E2631" t="s">
        <v>2921</v>
      </c>
      <c r="F2631">
        <v>45685</v>
      </c>
      <c r="G2631" t="s">
        <v>2208</v>
      </c>
      <c r="H2631" t="s">
        <v>8287</v>
      </c>
      <c r="I2631" t="s">
        <v>8288</v>
      </c>
      <c r="J2631">
        <v>0</v>
      </c>
      <c r="K2631">
        <v>18</v>
      </c>
      <c r="L2631" t="s">
        <v>2917</v>
      </c>
      <c r="M2631">
        <v>18</v>
      </c>
      <c r="N2631" t="s">
        <v>2917</v>
      </c>
      <c r="O2631" t="s">
        <v>8289</v>
      </c>
      <c r="P2631" t="s">
        <v>2208</v>
      </c>
      <c r="Q2631" t="s">
        <v>8290</v>
      </c>
      <c r="R2631" t="s">
        <v>8291</v>
      </c>
    </row>
    <row r="2632" spans="1:18">
      <c r="A2632" t="s">
        <v>810</v>
      </c>
      <c r="B2632" t="s">
        <v>2920</v>
      </c>
      <c r="C2632">
        <v>45685</v>
      </c>
      <c r="D2632" t="s">
        <v>7263</v>
      </c>
      <c r="E2632" t="s">
        <v>2921</v>
      </c>
      <c r="F2632">
        <v>45685</v>
      </c>
      <c r="G2632" t="s">
        <v>2208</v>
      </c>
      <c r="H2632" t="s">
        <v>8287</v>
      </c>
      <c r="I2632" t="s">
        <v>8288</v>
      </c>
      <c r="J2632">
        <v>0</v>
      </c>
      <c r="K2632">
        <v>290</v>
      </c>
      <c r="L2632" t="s">
        <v>2917</v>
      </c>
      <c r="M2632">
        <v>290</v>
      </c>
      <c r="N2632" t="s">
        <v>2917</v>
      </c>
      <c r="O2632" t="s">
        <v>8289</v>
      </c>
      <c r="P2632" t="s">
        <v>2208</v>
      </c>
      <c r="Q2632" t="s">
        <v>8290</v>
      </c>
      <c r="R2632" t="s">
        <v>8291</v>
      </c>
    </row>
    <row r="2633" spans="1:18">
      <c r="A2633" t="s">
        <v>7030</v>
      </c>
      <c r="B2633" t="s">
        <v>7740</v>
      </c>
      <c r="C2633">
        <v>45691</v>
      </c>
      <c r="D2633" t="s">
        <v>7263</v>
      </c>
      <c r="E2633" t="s">
        <v>2925</v>
      </c>
      <c r="F2633">
        <v>45691</v>
      </c>
      <c r="G2633" t="s">
        <v>2208</v>
      </c>
      <c r="H2633" t="s">
        <v>8292</v>
      </c>
      <c r="I2633" t="s">
        <v>8293</v>
      </c>
      <c r="J2633">
        <v>0</v>
      </c>
      <c r="K2633">
        <v>36.049999999999997</v>
      </c>
      <c r="L2633" t="s">
        <v>2917</v>
      </c>
      <c r="M2633">
        <v>36.049999999999997</v>
      </c>
      <c r="N2633" t="s">
        <v>2917</v>
      </c>
      <c r="O2633" t="s">
        <v>8294</v>
      </c>
      <c r="P2633" t="s">
        <v>2208</v>
      </c>
      <c r="Q2633" t="s">
        <v>8295</v>
      </c>
      <c r="R2633" t="s">
        <v>8296</v>
      </c>
    </row>
    <row r="2634" spans="1:18">
      <c r="A2634" t="s">
        <v>7030</v>
      </c>
      <c r="B2634" t="s">
        <v>7740</v>
      </c>
      <c r="C2634">
        <v>45691</v>
      </c>
      <c r="D2634" t="s">
        <v>7263</v>
      </c>
      <c r="E2634" t="s">
        <v>2925</v>
      </c>
      <c r="F2634">
        <v>45691</v>
      </c>
      <c r="G2634" t="s">
        <v>2208</v>
      </c>
      <c r="H2634" t="s">
        <v>8287</v>
      </c>
      <c r="I2634" t="s">
        <v>8293</v>
      </c>
      <c r="J2634">
        <v>0</v>
      </c>
      <c r="K2634">
        <v>96</v>
      </c>
      <c r="L2634" t="s">
        <v>2917</v>
      </c>
      <c r="M2634">
        <v>96</v>
      </c>
      <c r="N2634" t="s">
        <v>2917</v>
      </c>
      <c r="O2634" t="s">
        <v>8297</v>
      </c>
      <c r="P2634" t="s">
        <v>2208</v>
      </c>
      <c r="Q2634" t="s">
        <v>8295</v>
      </c>
      <c r="R2634" t="s">
        <v>8296</v>
      </c>
    </row>
    <row r="2635" spans="1:18">
      <c r="A2635" t="s">
        <v>7030</v>
      </c>
      <c r="B2635" t="s">
        <v>7740</v>
      </c>
      <c r="C2635">
        <v>45691</v>
      </c>
      <c r="D2635" t="s">
        <v>7263</v>
      </c>
      <c r="E2635" t="s">
        <v>2925</v>
      </c>
      <c r="F2635">
        <v>45691</v>
      </c>
      <c r="G2635" t="s">
        <v>2208</v>
      </c>
      <c r="H2635" t="s">
        <v>8298</v>
      </c>
      <c r="I2635" t="s">
        <v>8293</v>
      </c>
      <c r="J2635">
        <v>0</v>
      </c>
      <c r="K2635">
        <v>20.65</v>
      </c>
      <c r="L2635" t="s">
        <v>2917</v>
      </c>
      <c r="M2635">
        <v>20.65</v>
      </c>
      <c r="N2635" t="s">
        <v>2917</v>
      </c>
      <c r="O2635" t="s">
        <v>8299</v>
      </c>
      <c r="P2635" t="s">
        <v>2208</v>
      </c>
      <c r="Q2635" t="s">
        <v>8295</v>
      </c>
      <c r="R2635" t="s">
        <v>8296</v>
      </c>
    </row>
    <row r="2636" spans="1:18">
      <c r="A2636" t="s">
        <v>7030</v>
      </c>
      <c r="B2636" t="s">
        <v>7740</v>
      </c>
      <c r="C2636">
        <v>45691</v>
      </c>
      <c r="D2636" t="s">
        <v>7263</v>
      </c>
      <c r="E2636" t="s">
        <v>2925</v>
      </c>
      <c r="F2636">
        <v>45691</v>
      </c>
      <c r="G2636" t="s">
        <v>2208</v>
      </c>
      <c r="H2636" t="s">
        <v>8292</v>
      </c>
      <c r="I2636" t="s">
        <v>8293</v>
      </c>
      <c r="J2636">
        <v>0</v>
      </c>
      <c r="K2636">
        <v>115.14</v>
      </c>
      <c r="L2636" t="s">
        <v>2917</v>
      </c>
      <c r="M2636">
        <v>115.14</v>
      </c>
      <c r="N2636" t="s">
        <v>2917</v>
      </c>
      <c r="O2636" t="s">
        <v>8294</v>
      </c>
      <c r="P2636" t="s">
        <v>2208</v>
      </c>
      <c r="Q2636" t="s">
        <v>8295</v>
      </c>
      <c r="R2636" t="s">
        <v>8296</v>
      </c>
    </row>
    <row r="2637" spans="1:18">
      <c r="A2637" t="s">
        <v>7030</v>
      </c>
      <c r="B2637" t="s">
        <v>7740</v>
      </c>
      <c r="C2637">
        <v>45691</v>
      </c>
      <c r="D2637" t="s">
        <v>7263</v>
      </c>
      <c r="E2637" t="s">
        <v>2925</v>
      </c>
      <c r="F2637">
        <v>45691</v>
      </c>
      <c r="G2637" t="s">
        <v>2208</v>
      </c>
      <c r="H2637" t="s">
        <v>8298</v>
      </c>
      <c r="I2637" t="s">
        <v>8293</v>
      </c>
      <c r="J2637">
        <v>0</v>
      </c>
      <c r="K2637">
        <v>20.84</v>
      </c>
      <c r="L2637" t="s">
        <v>2917</v>
      </c>
      <c r="M2637">
        <v>20.84</v>
      </c>
      <c r="N2637" t="s">
        <v>2917</v>
      </c>
      <c r="O2637" t="s">
        <v>8299</v>
      </c>
      <c r="P2637" t="s">
        <v>2208</v>
      </c>
      <c r="Q2637" t="s">
        <v>8295</v>
      </c>
      <c r="R2637" t="s">
        <v>8296</v>
      </c>
    </row>
    <row r="2638" spans="1:18">
      <c r="A2638" t="s">
        <v>7030</v>
      </c>
      <c r="B2638" t="s">
        <v>7740</v>
      </c>
      <c r="C2638">
        <v>45691</v>
      </c>
      <c r="D2638" t="s">
        <v>7263</v>
      </c>
      <c r="E2638" t="s">
        <v>2925</v>
      </c>
      <c r="F2638">
        <v>45691</v>
      </c>
      <c r="G2638" t="s">
        <v>2208</v>
      </c>
      <c r="H2638" t="s">
        <v>8292</v>
      </c>
      <c r="I2638" t="s">
        <v>8293</v>
      </c>
      <c r="J2638">
        <v>0</v>
      </c>
      <c r="K2638">
        <v>34.35</v>
      </c>
      <c r="L2638" t="s">
        <v>2917</v>
      </c>
      <c r="M2638">
        <v>34.35</v>
      </c>
      <c r="N2638" t="s">
        <v>2917</v>
      </c>
      <c r="O2638" t="s">
        <v>8294</v>
      </c>
      <c r="P2638" t="s">
        <v>2208</v>
      </c>
      <c r="Q2638" t="s">
        <v>8295</v>
      </c>
      <c r="R2638" t="s">
        <v>8296</v>
      </c>
    </row>
    <row r="2639" spans="1:18">
      <c r="A2639" t="s">
        <v>7030</v>
      </c>
      <c r="B2639" t="s">
        <v>7740</v>
      </c>
      <c r="C2639">
        <v>45691</v>
      </c>
      <c r="D2639" t="s">
        <v>7263</v>
      </c>
      <c r="E2639" t="s">
        <v>2925</v>
      </c>
      <c r="F2639">
        <v>45691</v>
      </c>
      <c r="G2639" t="s">
        <v>2208</v>
      </c>
      <c r="H2639" t="s">
        <v>8292</v>
      </c>
      <c r="I2639" t="s">
        <v>8293</v>
      </c>
      <c r="J2639">
        <v>0</v>
      </c>
      <c r="K2639">
        <v>39.85</v>
      </c>
      <c r="L2639" t="s">
        <v>2917</v>
      </c>
      <c r="M2639">
        <v>39.85</v>
      </c>
      <c r="N2639" t="s">
        <v>2917</v>
      </c>
      <c r="O2639" t="s">
        <v>8294</v>
      </c>
      <c r="P2639" t="s">
        <v>2208</v>
      </c>
      <c r="Q2639" t="s">
        <v>8295</v>
      </c>
      <c r="R2639" t="s">
        <v>8296</v>
      </c>
    </row>
    <row r="2640" spans="1:18">
      <c r="A2640" t="s">
        <v>7030</v>
      </c>
      <c r="B2640" t="s">
        <v>7740</v>
      </c>
      <c r="C2640">
        <v>45691</v>
      </c>
      <c r="D2640" t="s">
        <v>7263</v>
      </c>
      <c r="E2640" t="s">
        <v>2925</v>
      </c>
      <c r="F2640">
        <v>45691</v>
      </c>
      <c r="G2640" t="s">
        <v>2208</v>
      </c>
      <c r="H2640" t="s">
        <v>8298</v>
      </c>
      <c r="I2640" t="s">
        <v>8293</v>
      </c>
      <c r="J2640">
        <v>0</v>
      </c>
      <c r="K2640">
        <v>8.99</v>
      </c>
      <c r="L2640" t="s">
        <v>2917</v>
      </c>
      <c r="M2640">
        <v>8.99</v>
      </c>
      <c r="N2640" t="s">
        <v>2917</v>
      </c>
      <c r="O2640" t="s">
        <v>8299</v>
      </c>
      <c r="P2640" t="s">
        <v>2208</v>
      </c>
      <c r="Q2640" t="s">
        <v>8295</v>
      </c>
      <c r="R2640" t="s">
        <v>8296</v>
      </c>
    </row>
    <row r="2641" spans="1:18">
      <c r="A2641" t="s">
        <v>7030</v>
      </c>
      <c r="B2641" t="s">
        <v>7740</v>
      </c>
      <c r="C2641">
        <v>45691</v>
      </c>
      <c r="D2641" t="s">
        <v>7263</v>
      </c>
      <c r="E2641" t="s">
        <v>2925</v>
      </c>
      <c r="F2641">
        <v>45691</v>
      </c>
      <c r="G2641" t="s">
        <v>2208</v>
      </c>
      <c r="H2641" t="s">
        <v>8292</v>
      </c>
      <c r="I2641" t="s">
        <v>8293</v>
      </c>
      <c r="J2641">
        <v>0</v>
      </c>
      <c r="K2641">
        <v>36.75</v>
      </c>
      <c r="L2641" t="s">
        <v>2917</v>
      </c>
      <c r="M2641">
        <v>36.75</v>
      </c>
      <c r="N2641" t="s">
        <v>2917</v>
      </c>
      <c r="O2641" t="s">
        <v>8294</v>
      </c>
      <c r="P2641" t="s">
        <v>2208</v>
      </c>
      <c r="Q2641" t="s">
        <v>8295</v>
      </c>
      <c r="R2641" t="s">
        <v>8296</v>
      </c>
    </row>
    <row r="2642" spans="1:18">
      <c r="A2642" t="s">
        <v>7030</v>
      </c>
      <c r="B2642" t="s">
        <v>7740</v>
      </c>
      <c r="C2642">
        <v>45691</v>
      </c>
      <c r="D2642" t="s">
        <v>7263</v>
      </c>
      <c r="E2642" t="s">
        <v>2925</v>
      </c>
      <c r="F2642">
        <v>45691</v>
      </c>
      <c r="G2642" t="s">
        <v>2208</v>
      </c>
      <c r="H2642" t="s">
        <v>8292</v>
      </c>
      <c r="I2642" t="s">
        <v>8293</v>
      </c>
      <c r="J2642">
        <v>0</v>
      </c>
      <c r="K2642">
        <v>36.08</v>
      </c>
      <c r="L2642" t="s">
        <v>2917</v>
      </c>
      <c r="M2642">
        <v>36.08</v>
      </c>
      <c r="N2642" t="s">
        <v>2917</v>
      </c>
      <c r="O2642" t="s">
        <v>8294</v>
      </c>
      <c r="P2642" t="s">
        <v>2208</v>
      </c>
      <c r="Q2642" t="s">
        <v>8295</v>
      </c>
      <c r="R2642" t="s">
        <v>8296</v>
      </c>
    </row>
    <row r="2643" spans="1:18">
      <c r="A2643" t="s">
        <v>7030</v>
      </c>
      <c r="B2643" t="s">
        <v>7740</v>
      </c>
      <c r="C2643">
        <v>45691</v>
      </c>
      <c r="D2643" t="s">
        <v>7263</v>
      </c>
      <c r="E2643" t="s">
        <v>2925</v>
      </c>
      <c r="F2643">
        <v>45691</v>
      </c>
      <c r="G2643" t="s">
        <v>2208</v>
      </c>
      <c r="H2643" t="s">
        <v>8298</v>
      </c>
      <c r="I2643" t="s">
        <v>8293</v>
      </c>
      <c r="J2643">
        <v>0</v>
      </c>
      <c r="K2643">
        <v>29.45</v>
      </c>
      <c r="L2643" t="s">
        <v>2917</v>
      </c>
      <c r="M2643">
        <v>29.45</v>
      </c>
      <c r="N2643" t="s">
        <v>2917</v>
      </c>
      <c r="O2643" t="s">
        <v>8299</v>
      </c>
      <c r="P2643" t="s">
        <v>2208</v>
      </c>
      <c r="Q2643" t="s">
        <v>8295</v>
      </c>
      <c r="R2643" t="s">
        <v>8296</v>
      </c>
    </row>
    <row r="2644" spans="1:18">
      <c r="A2644" t="s">
        <v>7030</v>
      </c>
      <c r="B2644" t="s">
        <v>7740</v>
      </c>
      <c r="C2644">
        <v>45691</v>
      </c>
      <c r="D2644" t="s">
        <v>7263</v>
      </c>
      <c r="E2644" t="s">
        <v>2925</v>
      </c>
      <c r="F2644">
        <v>45691</v>
      </c>
      <c r="G2644" t="s">
        <v>2208</v>
      </c>
      <c r="H2644" t="s">
        <v>8298</v>
      </c>
      <c r="I2644" t="s">
        <v>8293</v>
      </c>
      <c r="J2644">
        <v>0</v>
      </c>
      <c r="K2644">
        <v>18.2</v>
      </c>
      <c r="L2644" t="s">
        <v>2917</v>
      </c>
      <c r="M2644">
        <v>18.2</v>
      </c>
      <c r="N2644" t="s">
        <v>2917</v>
      </c>
      <c r="O2644" t="s">
        <v>8299</v>
      </c>
      <c r="P2644" t="s">
        <v>2208</v>
      </c>
      <c r="Q2644" t="s">
        <v>8295</v>
      </c>
      <c r="R2644" t="s">
        <v>8296</v>
      </c>
    </row>
    <row r="2645" spans="1:18">
      <c r="A2645" t="s">
        <v>7030</v>
      </c>
      <c r="B2645" t="s">
        <v>7740</v>
      </c>
      <c r="C2645">
        <v>45691</v>
      </c>
      <c r="D2645" t="s">
        <v>7263</v>
      </c>
      <c r="E2645" t="s">
        <v>2925</v>
      </c>
      <c r="F2645">
        <v>45691</v>
      </c>
      <c r="G2645" t="s">
        <v>2208</v>
      </c>
      <c r="H2645" t="s">
        <v>8292</v>
      </c>
      <c r="I2645" t="s">
        <v>8293</v>
      </c>
      <c r="J2645">
        <v>0</v>
      </c>
      <c r="K2645">
        <v>36.119999999999997</v>
      </c>
      <c r="L2645" t="s">
        <v>2917</v>
      </c>
      <c r="M2645">
        <v>36.119999999999997</v>
      </c>
      <c r="N2645" t="s">
        <v>2917</v>
      </c>
      <c r="O2645" t="s">
        <v>8294</v>
      </c>
      <c r="P2645" t="s">
        <v>2208</v>
      </c>
      <c r="Q2645" t="s">
        <v>8295</v>
      </c>
      <c r="R2645" t="s">
        <v>8296</v>
      </c>
    </row>
    <row r="2646" spans="1:18">
      <c r="A2646" t="s">
        <v>7030</v>
      </c>
      <c r="B2646" t="s">
        <v>7740</v>
      </c>
      <c r="C2646">
        <v>45691</v>
      </c>
      <c r="D2646" t="s">
        <v>7263</v>
      </c>
      <c r="E2646" t="s">
        <v>2925</v>
      </c>
      <c r="F2646">
        <v>45691</v>
      </c>
      <c r="G2646" t="s">
        <v>2208</v>
      </c>
      <c r="H2646" t="s">
        <v>8292</v>
      </c>
      <c r="I2646" t="s">
        <v>8293</v>
      </c>
      <c r="J2646">
        <v>0</v>
      </c>
      <c r="K2646">
        <v>100.51</v>
      </c>
      <c r="L2646" t="s">
        <v>2917</v>
      </c>
      <c r="M2646">
        <v>100.51</v>
      </c>
      <c r="N2646" t="s">
        <v>2917</v>
      </c>
      <c r="O2646" t="s">
        <v>8294</v>
      </c>
      <c r="P2646" t="s">
        <v>2208</v>
      </c>
      <c r="Q2646" t="s">
        <v>8295</v>
      </c>
      <c r="R2646" t="s">
        <v>8296</v>
      </c>
    </row>
    <row r="2647" spans="1:18">
      <c r="A2647" t="s">
        <v>7030</v>
      </c>
      <c r="B2647" t="s">
        <v>7740</v>
      </c>
      <c r="C2647">
        <v>45691</v>
      </c>
      <c r="D2647" t="s">
        <v>7263</v>
      </c>
      <c r="E2647" t="s">
        <v>2925</v>
      </c>
      <c r="F2647">
        <v>45691</v>
      </c>
      <c r="G2647" t="s">
        <v>2208</v>
      </c>
      <c r="H2647" t="s">
        <v>8292</v>
      </c>
      <c r="I2647" t="s">
        <v>8293</v>
      </c>
      <c r="J2647">
        <v>0</v>
      </c>
      <c r="K2647">
        <v>36.130000000000003</v>
      </c>
      <c r="L2647" t="s">
        <v>2917</v>
      </c>
      <c r="M2647">
        <v>36.130000000000003</v>
      </c>
      <c r="N2647" t="s">
        <v>2917</v>
      </c>
      <c r="O2647" t="s">
        <v>8294</v>
      </c>
      <c r="P2647" t="s">
        <v>2208</v>
      </c>
      <c r="Q2647" t="s">
        <v>8295</v>
      </c>
      <c r="R2647" t="s">
        <v>8296</v>
      </c>
    </row>
    <row r="2648" spans="1:18">
      <c r="A2648" t="s">
        <v>7030</v>
      </c>
      <c r="B2648" t="s">
        <v>7740</v>
      </c>
      <c r="C2648">
        <v>45691</v>
      </c>
      <c r="D2648" t="s">
        <v>7263</v>
      </c>
      <c r="E2648" t="s">
        <v>2925</v>
      </c>
      <c r="F2648">
        <v>45691</v>
      </c>
      <c r="G2648" t="s">
        <v>2208</v>
      </c>
      <c r="H2648" t="s">
        <v>8292</v>
      </c>
      <c r="I2648" t="s">
        <v>8293</v>
      </c>
      <c r="J2648">
        <v>0</v>
      </c>
      <c r="K2648">
        <v>36.08</v>
      </c>
      <c r="L2648" t="s">
        <v>2917</v>
      </c>
      <c r="M2648">
        <v>36.08</v>
      </c>
      <c r="N2648" t="s">
        <v>2917</v>
      </c>
      <c r="O2648" t="s">
        <v>8294</v>
      </c>
      <c r="P2648" t="s">
        <v>2208</v>
      </c>
      <c r="Q2648" t="s">
        <v>8295</v>
      </c>
      <c r="R2648" t="s">
        <v>8296</v>
      </c>
    </row>
    <row r="2649" spans="1:18">
      <c r="A2649" t="s">
        <v>7030</v>
      </c>
      <c r="B2649" t="s">
        <v>7740</v>
      </c>
      <c r="C2649">
        <v>45691</v>
      </c>
      <c r="D2649" t="s">
        <v>7263</v>
      </c>
      <c r="E2649" t="s">
        <v>2925</v>
      </c>
      <c r="F2649">
        <v>45691</v>
      </c>
      <c r="G2649" t="s">
        <v>2208</v>
      </c>
      <c r="H2649" t="s">
        <v>8300</v>
      </c>
      <c r="I2649" t="s">
        <v>8293</v>
      </c>
      <c r="J2649">
        <v>0</v>
      </c>
      <c r="K2649">
        <v>34.869999999999997</v>
      </c>
      <c r="L2649" t="s">
        <v>2917</v>
      </c>
      <c r="M2649">
        <v>34.869999999999997</v>
      </c>
      <c r="N2649" t="s">
        <v>2917</v>
      </c>
      <c r="O2649" t="s">
        <v>8301</v>
      </c>
      <c r="P2649" t="s">
        <v>2208</v>
      </c>
      <c r="Q2649" t="s">
        <v>8295</v>
      </c>
      <c r="R2649" t="s">
        <v>8296</v>
      </c>
    </row>
    <row r="2650" spans="1:18">
      <c r="A2650" t="s">
        <v>7030</v>
      </c>
      <c r="B2650" t="s">
        <v>7740</v>
      </c>
      <c r="C2650">
        <v>45691</v>
      </c>
      <c r="D2650" t="s">
        <v>7263</v>
      </c>
      <c r="E2650" t="s">
        <v>2925</v>
      </c>
      <c r="F2650">
        <v>45691</v>
      </c>
      <c r="G2650" t="s">
        <v>2208</v>
      </c>
      <c r="H2650" t="s">
        <v>8300</v>
      </c>
      <c r="I2650" t="s">
        <v>8293</v>
      </c>
      <c r="J2650">
        <v>0</v>
      </c>
      <c r="K2650">
        <v>69.739999999999995</v>
      </c>
      <c r="L2650" t="s">
        <v>2917</v>
      </c>
      <c r="M2650">
        <v>69.739999999999995</v>
      </c>
      <c r="N2650" t="s">
        <v>2917</v>
      </c>
      <c r="O2650" t="s">
        <v>8301</v>
      </c>
      <c r="P2650" t="s">
        <v>2208</v>
      </c>
      <c r="Q2650" t="s">
        <v>8295</v>
      </c>
      <c r="R2650" t="s">
        <v>8296</v>
      </c>
    </row>
    <row r="2651" spans="1:18">
      <c r="A2651" t="s">
        <v>7030</v>
      </c>
      <c r="B2651" t="s">
        <v>7740</v>
      </c>
      <c r="C2651">
        <v>45691</v>
      </c>
      <c r="D2651" t="s">
        <v>7263</v>
      </c>
      <c r="E2651" t="s">
        <v>2925</v>
      </c>
      <c r="F2651">
        <v>45691</v>
      </c>
      <c r="G2651" t="s">
        <v>2208</v>
      </c>
      <c r="H2651" t="s">
        <v>8300</v>
      </c>
      <c r="I2651" t="s">
        <v>8293</v>
      </c>
      <c r="J2651">
        <v>0</v>
      </c>
      <c r="K2651">
        <v>69.739999999999995</v>
      </c>
      <c r="L2651" t="s">
        <v>2917</v>
      </c>
      <c r="M2651">
        <v>69.739999999999995</v>
      </c>
      <c r="N2651" t="s">
        <v>2917</v>
      </c>
      <c r="O2651" t="s">
        <v>8301</v>
      </c>
      <c r="P2651" t="s">
        <v>2208</v>
      </c>
      <c r="Q2651" t="s">
        <v>8295</v>
      </c>
      <c r="R2651" t="s">
        <v>8296</v>
      </c>
    </row>
    <row r="2652" spans="1:18">
      <c r="A2652" t="s">
        <v>7030</v>
      </c>
      <c r="B2652" t="s">
        <v>7740</v>
      </c>
      <c r="C2652">
        <v>45691</v>
      </c>
      <c r="D2652" t="s">
        <v>7263</v>
      </c>
      <c r="E2652" t="s">
        <v>2925</v>
      </c>
      <c r="F2652">
        <v>45691</v>
      </c>
      <c r="G2652" t="s">
        <v>2208</v>
      </c>
      <c r="H2652" t="s">
        <v>8300</v>
      </c>
      <c r="I2652" t="s">
        <v>8293</v>
      </c>
      <c r="J2652">
        <v>0</v>
      </c>
      <c r="K2652">
        <v>69.73</v>
      </c>
      <c r="L2652" t="s">
        <v>2917</v>
      </c>
      <c r="M2652">
        <v>69.73</v>
      </c>
      <c r="N2652" t="s">
        <v>2917</v>
      </c>
      <c r="O2652" t="s">
        <v>8301</v>
      </c>
      <c r="P2652" t="s">
        <v>2208</v>
      </c>
      <c r="Q2652" t="s">
        <v>8295</v>
      </c>
      <c r="R2652" t="s">
        <v>8296</v>
      </c>
    </row>
    <row r="2653" spans="1:18">
      <c r="A2653" t="s">
        <v>7030</v>
      </c>
      <c r="B2653" t="s">
        <v>7740</v>
      </c>
      <c r="C2653">
        <v>45691</v>
      </c>
      <c r="D2653" t="s">
        <v>7263</v>
      </c>
      <c r="E2653" t="s">
        <v>2925</v>
      </c>
      <c r="F2653">
        <v>45691</v>
      </c>
      <c r="G2653" t="s">
        <v>2208</v>
      </c>
      <c r="H2653" t="s">
        <v>8300</v>
      </c>
      <c r="I2653" t="s">
        <v>8293</v>
      </c>
      <c r="J2653">
        <v>0</v>
      </c>
      <c r="K2653">
        <v>69.73</v>
      </c>
      <c r="L2653" t="s">
        <v>2917</v>
      </c>
      <c r="M2653">
        <v>69.73</v>
      </c>
      <c r="N2653" t="s">
        <v>2917</v>
      </c>
      <c r="O2653" t="s">
        <v>8301</v>
      </c>
      <c r="P2653" t="s">
        <v>2208</v>
      </c>
      <c r="Q2653" t="s">
        <v>8295</v>
      </c>
      <c r="R2653" t="s">
        <v>8296</v>
      </c>
    </row>
    <row r="2654" spans="1:18">
      <c r="A2654" t="s">
        <v>7030</v>
      </c>
      <c r="B2654" t="s">
        <v>7740</v>
      </c>
      <c r="C2654">
        <v>45691</v>
      </c>
      <c r="D2654" t="s">
        <v>7263</v>
      </c>
      <c r="E2654" t="s">
        <v>2925</v>
      </c>
      <c r="F2654">
        <v>45691</v>
      </c>
      <c r="G2654" t="s">
        <v>2208</v>
      </c>
      <c r="H2654" t="s">
        <v>8300</v>
      </c>
      <c r="I2654" t="s">
        <v>8293</v>
      </c>
      <c r="J2654">
        <v>0</v>
      </c>
      <c r="K2654">
        <v>3.49</v>
      </c>
      <c r="L2654" t="s">
        <v>2917</v>
      </c>
      <c r="M2654">
        <v>3.49</v>
      </c>
      <c r="N2654" t="s">
        <v>2917</v>
      </c>
      <c r="O2654" t="s">
        <v>8302</v>
      </c>
      <c r="P2654" t="s">
        <v>2208</v>
      </c>
      <c r="Q2654" t="s">
        <v>8295</v>
      </c>
      <c r="R2654" t="s">
        <v>8296</v>
      </c>
    </row>
    <row r="2655" spans="1:18">
      <c r="A2655" t="s">
        <v>7030</v>
      </c>
      <c r="B2655" t="s">
        <v>7740</v>
      </c>
      <c r="C2655">
        <v>45691</v>
      </c>
      <c r="D2655" t="s">
        <v>7263</v>
      </c>
      <c r="E2655" t="s">
        <v>2925</v>
      </c>
      <c r="F2655">
        <v>45691</v>
      </c>
      <c r="G2655" t="s">
        <v>2208</v>
      </c>
      <c r="H2655" t="s">
        <v>8300</v>
      </c>
      <c r="I2655" t="s">
        <v>8293</v>
      </c>
      <c r="J2655">
        <v>0</v>
      </c>
      <c r="K2655">
        <v>3.49</v>
      </c>
      <c r="L2655" t="s">
        <v>2917</v>
      </c>
      <c r="M2655">
        <v>3.49</v>
      </c>
      <c r="N2655" t="s">
        <v>2917</v>
      </c>
      <c r="O2655" t="s">
        <v>8302</v>
      </c>
      <c r="P2655" t="s">
        <v>2208</v>
      </c>
      <c r="Q2655" t="s">
        <v>8295</v>
      </c>
      <c r="R2655" t="s">
        <v>8296</v>
      </c>
    </row>
    <row r="2656" spans="1:18">
      <c r="A2656" t="s">
        <v>7030</v>
      </c>
      <c r="B2656" t="s">
        <v>7740</v>
      </c>
      <c r="C2656">
        <v>45691</v>
      </c>
      <c r="D2656" t="s">
        <v>7263</v>
      </c>
      <c r="E2656" t="s">
        <v>2925</v>
      </c>
      <c r="F2656">
        <v>45691</v>
      </c>
      <c r="G2656" t="s">
        <v>2208</v>
      </c>
      <c r="H2656" t="s">
        <v>8300</v>
      </c>
      <c r="I2656" t="s">
        <v>8293</v>
      </c>
      <c r="J2656">
        <v>0</v>
      </c>
      <c r="K2656">
        <v>3.49</v>
      </c>
      <c r="L2656" t="s">
        <v>2917</v>
      </c>
      <c r="M2656">
        <v>3.49</v>
      </c>
      <c r="N2656" t="s">
        <v>2917</v>
      </c>
      <c r="O2656" t="s">
        <v>8302</v>
      </c>
      <c r="P2656" t="s">
        <v>2208</v>
      </c>
      <c r="Q2656" t="s">
        <v>8295</v>
      </c>
      <c r="R2656" t="s">
        <v>8296</v>
      </c>
    </row>
    <row r="2657" spans="1:18">
      <c r="A2657" t="s">
        <v>7030</v>
      </c>
      <c r="B2657" t="s">
        <v>7740</v>
      </c>
      <c r="C2657">
        <v>45691</v>
      </c>
      <c r="D2657" t="s">
        <v>7263</v>
      </c>
      <c r="E2657" t="s">
        <v>2925</v>
      </c>
      <c r="F2657">
        <v>45691</v>
      </c>
      <c r="G2657" t="s">
        <v>2208</v>
      </c>
      <c r="H2657" t="s">
        <v>8300</v>
      </c>
      <c r="I2657" t="s">
        <v>8293</v>
      </c>
      <c r="J2657">
        <v>0</v>
      </c>
      <c r="K2657">
        <v>3.49</v>
      </c>
      <c r="L2657" t="s">
        <v>2917</v>
      </c>
      <c r="M2657">
        <v>3.49</v>
      </c>
      <c r="N2657" t="s">
        <v>2917</v>
      </c>
      <c r="O2657" t="s">
        <v>8302</v>
      </c>
      <c r="P2657" t="s">
        <v>2208</v>
      </c>
      <c r="Q2657" t="s">
        <v>8295</v>
      </c>
      <c r="R2657" t="s">
        <v>8296</v>
      </c>
    </row>
    <row r="2658" spans="1:18">
      <c r="A2658" t="s">
        <v>7030</v>
      </c>
      <c r="B2658" t="s">
        <v>7740</v>
      </c>
      <c r="C2658">
        <v>45691</v>
      </c>
      <c r="D2658" t="s">
        <v>7263</v>
      </c>
      <c r="E2658" t="s">
        <v>2925</v>
      </c>
      <c r="F2658">
        <v>45691</v>
      </c>
      <c r="G2658" t="s">
        <v>2208</v>
      </c>
      <c r="H2658" t="s">
        <v>8300</v>
      </c>
      <c r="I2658" t="s">
        <v>8293</v>
      </c>
      <c r="J2658">
        <v>0</v>
      </c>
      <c r="K2658">
        <v>1.74</v>
      </c>
      <c r="L2658" t="s">
        <v>2917</v>
      </c>
      <c r="M2658">
        <v>1.74</v>
      </c>
      <c r="N2658" t="s">
        <v>2917</v>
      </c>
      <c r="O2658" t="s">
        <v>8302</v>
      </c>
      <c r="P2658" t="s">
        <v>2208</v>
      </c>
      <c r="Q2658" t="s">
        <v>8295</v>
      </c>
      <c r="R2658" t="s">
        <v>8296</v>
      </c>
    </row>
    <row r="2659" spans="1:18">
      <c r="A2659" t="s">
        <v>7030</v>
      </c>
      <c r="B2659" t="s">
        <v>7740</v>
      </c>
      <c r="C2659">
        <v>45700</v>
      </c>
      <c r="D2659" t="s">
        <v>7263</v>
      </c>
      <c r="E2659" t="s">
        <v>2925</v>
      </c>
      <c r="F2659">
        <v>45700</v>
      </c>
      <c r="G2659" t="s">
        <v>2208</v>
      </c>
      <c r="H2659" t="s">
        <v>8287</v>
      </c>
      <c r="I2659" t="s">
        <v>8761</v>
      </c>
      <c r="J2659">
        <v>0</v>
      </c>
      <c r="K2659">
        <v>96</v>
      </c>
      <c r="L2659" t="s">
        <v>2917</v>
      </c>
      <c r="M2659">
        <v>96</v>
      </c>
      <c r="N2659" t="s">
        <v>2917</v>
      </c>
      <c r="O2659" t="s">
        <v>8762</v>
      </c>
      <c r="P2659" t="s">
        <v>2208</v>
      </c>
      <c r="Q2659" t="s">
        <v>8295</v>
      </c>
      <c r="R2659" t="s">
        <v>8296</v>
      </c>
    </row>
    <row r="2660" spans="1:18">
      <c r="A2660" t="s">
        <v>7030</v>
      </c>
      <c r="B2660" t="s">
        <v>7740</v>
      </c>
      <c r="C2660">
        <v>45700</v>
      </c>
      <c r="D2660" t="s">
        <v>7263</v>
      </c>
      <c r="E2660" t="s">
        <v>2925</v>
      </c>
      <c r="F2660">
        <v>45700</v>
      </c>
      <c r="G2660" t="s">
        <v>2208</v>
      </c>
      <c r="H2660" t="s">
        <v>8298</v>
      </c>
      <c r="I2660" t="s">
        <v>8761</v>
      </c>
      <c r="J2660">
        <v>0</v>
      </c>
      <c r="K2660">
        <v>20.84</v>
      </c>
      <c r="L2660" t="s">
        <v>2917</v>
      </c>
      <c r="M2660">
        <v>20.84</v>
      </c>
      <c r="N2660" t="s">
        <v>2917</v>
      </c>
      <c r="O2660" t="s">
        <v>8763</v>
      </c>
      <c r="P2660" t="s">
        <v>2208</v>
      </c>
      <c r="Q2660" t="s">
        <v>8295</v>
      </c>
      <c r="R2660" t="s">
        <v>8296</v>
      </c>
    </row>
    <row r="2661" spans="1:18">
      <c r="A2661" t="s">
        <v>7030</v>
      </c>
      <c r="B2661" t="s">
        <v>7740</v>
      </c>
      <c r="C2661">
        <v>45700</v>
      </c>
      <c r="D2661" t="s">
        <v>7263</v>
      </c>
      <c r="E2661" t="s">
        <v>2925</v>
      </c>
      <c r="F2661">
        <v>45700</v>
      </c>
      <c r="G2661" t="s">
        <v>2208</v>
      </c>
      <c r="H2661" t="s">
        <v>8292</v>
      </c>
      <c r="I2661" t="s">
        <v>8761</v>
      </c>
      <c r="J2661">
        <v>0</v>
      </c>
      <c r="K2661">
        <v>36.729999999999997</v>
      </c>
      <c r="L2661" t="s">
        <v>2917</v>
      </c>
      <c r="M2661">
        <v>36.729999999999997</v>
      </c>
      <c r="N2661" t="s">
        <v>2917</v>
      </c>
      <c r="O2661" t="s">
        <v>8764</v>
      </c>
      <c r="P2661" t="s">
        <v>2208</v>
      </c>
      <c r="Q2661" t="s">
        <v>8295</v>
      </c>
      <c r="R2661" t="s">
        <v>8296</v>
      </c>
    </row>
    <row r="2662" spans="1:18">
      <c r="A2662" t="s">
        <v>7030</v>
      </c>
      <c r="B2662" t="s">
        <v>7740</v>
      </c>
      <c r="C2662">
        <v>45700</v>
      </c>
      <c r="D2662" t="s">
        <v>7263</v>
      </c>
      <c r="E2662" t="s">
        <v>2925</v>
      </c>
      <c r="F2662">
        <v>45700</v>
      </c>
      <c r="G2662" t="s">
        <v>2208</v>
      </c>
      <c r="H2662" t="s">
        <v>8292</v>
      </c>
      <c r="I2662" t="s">
        <v>8761</v>
      </c>
      <c r="J2662">
        <v>0</v>
      </c>
      <c r="K2662">
        <v>36.130000000000003</v>
      </c>
      <c r="L2662" t="s">
        <v>2917</v>
      </c>
      <c r="M2662">
        <v>36.130000000000003</v>
      </c>
      <c r="N2662" t="s">
        <v>2917</v>
      </c>
      <c r="O2662" t="s">
        <v>8764</v>
      </c>
      <c r="P2662" t="s">
        <v>2208</v>
      </c>
      <c r="Q2662" t="s">
        <v>8295</v>
      </c>
      <c r="R2662" t="s">
        <v>8296</v>
      </c>
    </row>
    <row r="2663" spans="1:18">
      <c r="A2663" t="s">
        <v>7030</v>
      </c>
      <c r="B2663" t="s">
        <v>7740</v>
      </c>
      <c r="C2663">
        <v>45700</v>
      </c>
      <c r="D2663" t="s">
        <v>7263</v>
      </c>
      <c r="E2663" t="s">
        <v>2925</v>
      </c>
      <c r="F2663">
        <v>45700</v>
      </c>
      <c r="G2663" t="s">
        <v>2208</v>
      </c>
      <c r="H2663" t="s">
        <v>8292</v>
      </c>
      <c r="I2663" t="s">
        <v>8761</v>
      </c>
      <c r="J2663">
        <v>0</v>
      </c>
      <c r="K2663">
        <v>115.14</v>
      </c>
      <c r="L2663" t="s">
        <v>2917</v>
      </c>
      <c r="M2663">
        <v>115.14</v>
      </c>
      <c r="N2663" t="s">
        <v>2917</v>
      </c>
      <c r="O2663" t="s">
        <v>8764</v>
      </c>
      <c r="P2663" t="s">
        <v>2208</v>
      </c>
      <c r="Q2663" t="s">
        <v>8295</v>
      </c>
      <c r="R2663" t="s">
        <v>8296</v>
      </c>
    </row>
    <row r="2664" spans="1:18">
      <c r="A2664" t="s">
        <v>7030</v>
      </c>
      <c r="B2664" t="s">
        <v>7740</v>
      </c>
      <c r="C2664">
        <v>45700</v>
      </c>
      <c r="D2664" t="s">
        <v>7263</v>
      </c>
      <c r="E2664" t="s">
        <v>2925</v>
      </c>
      <c r="F2664">
        <v>45700</v>
      </c>
      <c r="G2664" t="s">
        <v>2208</v>
      </c>
      <c r="H2664" t="s">
        <v>8292</v>
      </c>
      <c r="I2664" t="s">
        <v>8761</v>
      </c>
      <c r="J2664">
        <v>0</v>
      </c>
      <c r="K2664">
        <v>36.08</v>
      </c>
      <c r="L2664" t="s">
        <v>2917</v>
      </c>
      <c r="M2664">
        <v>36.08</v>
      </c>
      <c r="N2664" t="s">
        <v>2917</v>
      </c>
      <c r="O2664" t="s">
        <v>8764</v>
      </c>
      <c r="P2664" t="s">
        <v>2208</v>
      </c>
      <c r="Q2664" t="s">
        <v>8295</v>
      </c>
      <c r="R2664" t="s">
        <v>8296</v>
      </c>
    </row>
    <row r="2665" spans="1:18">
      <c r="A2665" t="s">
        <v>7030</v>
      </c>
      <c r="B2665" t="s">
        <v>7740</v>
      </c>
      <c r="C2665">
        <v>45700</v>
      </c>
      <c r="D2665" t="s">
        <v>7263</v>
      </c>
      <c r="E2665" t="s">
        <v>2925</v>
      </c>
      <c r="F2665">
        <v>45700</v>
      </c>
      <c r="G2665" t="s">
        <v>2208</v>
      </c>
      <c r="H2665" t="s">
        <v>8298</v>
      </c>
      <c r="I2665" t="s">
        <v>8761</v>
      </c>
      <c r="J2665">
        <v>0</v>
      </c>
      <c r="K2665">
        <v>8.99</v>
      </c>
      <c r="L2665" t="s">
        <v>2917</v>
      </c>
      <c r="M2665">
        <v>8.99</v>
      </c>
      <c r="N2665" t="s">
        <v>2917</v>
      </c>
      <c r="O2665" t="s">
        <v>8763</v>
      </c>
      <c r="P2665" t="s">
        <v>2208</v>
      </c>
      <c r="Q2665" t="s">
        <v>8295</v>
      </c>
      <c r="R2665" t="s">
        <v>8296</v>
      </c>
    </row>
    <row r="2666" spans="1:18">
      <c r="A2666" t="s">
        <v>7030</v>
      </c>
      <c r="B2666" t="s">
        <v>7740</v>
      </c>
      <c r="C2666">
        <v>45700</v>
      </c>
      <c r="D2666" t="s">
        <v>7263</v>
      </c>
      <c r="E2666" t="s">
        <v>2925</v>
      </c>
      <c r="F2666">
        <v>45700</v>
      </c>
      <c r="G2666" t="s">
        <v>2208</v>
      </c>
      <c r="H2666" t="s">
        <v>8292</v>
      </c>
      <c r="I2666" t="s">
        <v>8761</v>
      </c>
      <c r="J2666">
        <v>0</v>
      </c>
      <c r="K2666">
        <v>36.08</v>
      </c>
      <c r="L2666" t="s">
        <v>2917</v>
      </c>
      <c r="M2666">
        <v>36.08</v>
      </c>
      <c r="N2666" t="s">
        <v>2917</v>
      </c>
      <c r="O2666" t="s">
        <v>8764</v>
      </c>
      <c r="P2666" t="s">
        <v>2208</v>
      </c>
      <c r="Q2666" t="s">
        <v>8295</v>
      </c>
      <c r="R2666" t="s">
        <v>8296</v>
      </c>
    </row>
    <row r="2667" spans="1:18">
      <c r="A2667" t="s">
        <v>7030</v>
      </c>
      <c r="B2667" t="s">
        <v>7740</v>
      </c>
      <c r="C2667">
        <v>45700</v>
      </c>
      <c r="D2667" t="s">
        <v>7263</v>
      </c>
      <c r="E2667" t="s">
        <v>2925</v>
      </c>
      <c r="F2667">
        <v>45700</v>
      </c>
      <c r="G2667" t="s">
        <v>2208</v>
      </c>
      <c r="H2667" t="s">
        <v>8298</v>
      </c>
      <c r="I2667" t="s">
        <v>8761</v>
      </c>
      <c r="J2667">
        <v>0</v>
      </c>
      <c r="K2667">
        <v>1.91</v>
      </c>
      <c r="L2667" t="s">
        <v>2917</v>
      </c>
      <c r="M2667">
        <v>1.91</v>
      </c>
      <c r="N2667" t="s">
        <v>2917</v>
      </c>
      <c r="O2667" t="s">
        <v>8763</v>
      </c>
      <c r="P2667" t="s">
        <v>2208</v>
      </c>
      <c r="Q2667" t="s">
        <v>8295</v>
      </c>
      <c r="R2667" t="s">
        <v>8296</v>
      </c>
    </row>
    <row r="2668" spans="1:18">
      <c r="A2668" t="s">
        <v>7030</v>
      </c>
      <c r="B2668" t="s">
        <v>7740</v>
      </c>
      <c r="C2668">
        <v>45700</v>
      </c>
      <c r="D2668" t="s">
        <v>7263</v>
      </c>
      <c r="E2668" t="s">
        <v>2925</v>
      </c>
      <c r="F2668">
        <v>45700</v>
      </c>
      <c r="G2668" t="s">
        <v>2208</v>
      </c>
      <c r="H2668" t="s">
        <v>8292</v>
      </c>
      <c r="I2668" t="s">
        <v>8761</v>
      </c>
      <c r="J2668">
        <v>0</v>
      </c>
      <c r="K2668">
        <v>38.11</v>
      </c>
      <c r="L2668" t="s">
        <v>2917</v>
      </c>
      <c r="M2668">
        <v>38.11</v>
      </c>
      <c r="N2668" t="s">
        <v>2917</v>
      </c>
      <c r="O2668" t="s">
        <v>8764</v>
      </c>
      <c r="P2668" t="s">
        <v>2208</v>
      </c>
      <c r="Q2668" t="s">
        <v>8295</v>
      </c>
      <c r="R2668" t="s">
        <v>8296</v>
      </c>
    </row>
    <row r="2669" spans="1:18">
      <c r="A2669" t="s">
        <v>7030</v>
      </c>
      <c r="B2669" t="s">
        <v>7740</v>
      </c>
      <c r="C2669">
        <v>45700</v>
      </c>
      <c r="D2669" t="s">
        <v>7263</v>
      </c>
      <c r="E2669" t="s">
        <v>2925</v>
      </c>
      <c r="F2669">
        <v>45700</v>
      </c>
      <c r="G2669" t="s">
        <v>2208</v>
      </c>
      <c r="H2669" t="s">
        <v>8298</v>
      </c>
      <c r="I2669" t="s">
        <v>8761</v>
      </c>
      <c r="J2669">
        <v>0</v>
      </c>
      <c r="K2669">
        <v>3.81</v>
      </c>
      <c r="L2669" t="s">
        <v>2917</v>
      </c>
      <c r="M2669">
        <v>3.81</v>
      </c>
      <c r="N2669" t="s">
        <v>2917</v>
      </c>
      <c r="O2669" t="s">
        <v>8763</v>
      </c>
      <c r="P2669" t="s">
        <v>2208</v>
      </c>
      <c r="Q2669" t="s">
        <v>8295</v>
      </c>
      <c r="R2669" t="s">
        <v>8296</v>
      </c>
    </row>
    <row r="2670" spans="1:18">
      <c r="A2670" t="s">
        <v>7030</v>
      </c>
      <c r="B2670" t="s">
        <v>7740</v>
      </c>
      <c r="C2670">
        <v>45700</v>
      </c>
      <c r="D2670" t="s">
        <v>7263</v>
      </c>
      <c r="E2670" t="s">
        <v>2925</v>
      </c>
      <c r="F2670">
        <v>45700</v>
      </c>
      <c r="G2670" t="s">
        <v>2208</v>
      </c>
      <c r="H2670" t="s">
        <v>8298</v>
      </c>
      <c r="I2670" t="s">
        <v>8761</v>
      </c>
      <c r="J2670">
        <v>0</v>
      </c>
      <c r="K2670">
        <v>1.91</v>
      </c>
      <c r="L2670" t="s">
        <v>2917</v>
      </c>
      <c r="M2670">
        <v>1.91</v>
      </c>
      <c r="N2670" t="s">
        <v>2917</v>
      </c>
      <c r="O2670" t="s">
        <v>8763</v>
      </c>
      <c r="P2670" t="s">
        <v>2208</v>
      </c>
      <c r="Q2670" t="s">
        <v>8295</v>
      </c>
      <c r="R2670" t="s">
        <v>8296</v>
      </c>
    </row>
    <row r="2671" spans="1:18">
      <c r="A2671" t="s">
        <v>7030</v>
      </c>
      <c r="B2671" t="s">
        <v>7740</v>
      </c>
      <c r="C2671">
        <v>45700</v>
      </c>
      <c r="D2671" t="s">
        <v>7263</v>
      </c>
      <c r="E2671" t="s">
        <v>2925</v>
      </c>
      <c r="F2671">
        <v>45700</v>
      </c>
      <c r="G2671" t="s">
        <v>2208</v>
      </c>
      <c r="H2671" t="s">
        <v>8298</v>
      </c>
      <c r="I2671" t="s">
        <v>8761</v>
      </c>
      <c r="J2671">
        <v>0</v>
      </c>
      <c r="K2671">
        <v>1.91</v>
      </c>
      <c r="L2671" t="s">
        <v>2917</v>
      </c>
      <c r="M2671">
        <v>1.91</v>
      </c>
      <c r="N2671" t="s">
        <v>2917</v>
      </c>
      <c r="O2671" t="s">
        <v>8763</v>
      </c>
      <c r="P2671" t="s">
        <v>2208</v>
      </c>
      <c r="Q2671" t="s">
        <v>8295</v>
      </c>
      <c r="R2671" t="s">
        <v>8296</v>
      </c>
    </row>
    <row r="2672" spans="1:18">
      <c r="A2672" t="s">
        <v>7030</v>
      </c>
      <c r="B2672" t="s">
        <v>7740</v>
      </c>
      <c r="C2672">
        <v>45700</v>
      </c>
      <c r="D2672" t="s">
        <v>7263</v>
      </c>
      <c r="E2672" t="s">
        <v>2925</v>
      </c>
      <c r="F2672">
        <v>45700</v>
      </c>
      <c r="G2672" t="s">
        <v>2208</v>
      </c>
      <c r="H2672" t="s">
        <v>8300</v>
      </c>
      <c r="I2672" t="s">
        <v>8761</v>
      </c>
      <c r="J2672">
        <v>0</v>
      </c>
      <c r="K2672">
        <v>71.05</v>
      </c>
      <c r="L2672" t="s">
        <v>2917</v>
      </c>
      <c r="M2672">
        <v>71.05</v>
      </c>
      <c r="N2672" t="s">
        <v>2917</v>
      </c>
      <c r="O2672" t="s">
        <v>8765</v>
      </c>
      <c r="P2672" t="s">
        <v>2208</v>
      </c>
      <c r="Q2672" t="s">
        <v>8295</v>
      </c>
      <c r="R2672" t="s">
        <v>8296</v>
      </c>
    </row>
    <row r="2673" spans="1:18">
      <c r="A2673" t="s">
        <v>7030</v>
      </c>
      <c r="B2673" t="s">
        <v>7740</v>
      </c>
      <c r="C2673">
        <v>45700</v>
      </c>
      <c r="D2673" t="s">
        <v>7263</v>
      </c>
      <c r="E2673" t="s">
        <v>2925</v>
      </c>
      <c r="F2673">
        <v>45700</v>
      </c>
      <c r="G2673" t="s">
        <v>2208</v>
      </c>
      <c r="H2673" t="s">
        <v>8300</v>
      </c>
      <c r="I2673" t="s">
        <v>8761</v>
      </c>
      <c r="J2673">
        <v>0</v>
      </c>
      <c r="K2673">
        <v>71.05</v>
      </c>
      <c r="L2673" t="s">
        <v>2917</v>
      </c>
      <c r="M2673">
        <v>71.05</v>
      </c>
      <c r="N2673" t="s">
        <v>2917</v>
      </c>
      <c r="O2673" t="s">
        <v>8765</v>
      </c>
      <c r="P2673" t="s">
        <v>2208</v>
      </c>
      <c r="Q2673" t="s">
        <v>8295</v>
      </c>
      <c r="R2673" t="s">
        <v>8296</v>
      </c>
    </row>
    <row r="2674" spans="1:18">
      <c r="A2674" t="s">
        <v>7030</v>
      </c>
      <c r="B2674" t="s">
        <v>7740</v>
      </c>
      <c r="C2674">
        <v>45700</v>
      </c>
      <c r="D2674" t="s">
        <v>7263</v>
      </c>
      <c r="E2674" t="s">
        <v>2925</v>
      </c>
      <c r="F2674">
        <v>45700</v>
      </c>
      <c r="G2674" t="s">
        <v>2208</v>
      </c>
      <c r="H2674" t="s">
        <v>8300</v>
      </c>
      <c r="I2674" t="s">
        <v>8761</v>
      </c>
      <c r="J2674">
        <v>0</v>
      </c>
      <c r="K2674">
        <v>71.05</v>
      </c>
      <c r="L2674" t="s">
        <v>2917</v>
      </c>
      <c r="M2674">
        <v>71.05</v>
      </c>
      <c r="N2674" t="s">
        <v>2917</v>
      </c>
      <c r="O2674" t="s">
        <v>8765</v>
      </c>
      <c r="P2674" t="s">
        <v>2208</v>
      </c>
      <c r="Q2674" t="s">
        <v>8295</v>
      </c>
      <c r="R2674" t="s">
        <v>8296</v>
      </c>
    </row>
    <row r="2675" spans="1:18">
      <c r="A2675" t="s">
        <v>7030</v>
      </c>
      <c r="B2675" t="s">
        <v>7740</v>
      </c>
      <c r="C2675">
        <v>45700</v>
      </c>
      <c r="D2675" t="s">
        <v>7263</v>
      </c>
      <c r="E2675" t="s">
        <v>2925</v>
      </c>
      <c r="F2675">
        <v>45700</v>
      </c>
      <c r="G2675" t="s">
        <v>2208</v>
      </c>
      <c r="H2675" t="s">
        <v>8300</v>
      </c>
      <c r="I2675" t="s">
        <v>8761</v>
      </c>
      <c r="J2675">
        <v>0</v>
      </c>
      <c r="K2675">
        <v>71.05</v>
      </c>
      <c r="L2675" t="s">
        <v>2917</v>
      </c>
      <c r="M2675">
        <v>71.05</v>
      </c>
      <c r="N2675" t="s">
        <v>2917</v>
      </c>
      <c r="O2675" t="s">
        <v>8765</v>
      </c>
      <c r="P2675" t="s">
        <v>2208</v>
      </c>
      <c r="Q2675" t="s">
        <v>8295</v>
      </c>
      <c r="R2675" t="s">
        <v>8296</v>
      </c>
    </row>
    <row r="2676" spans="1:18">
      <c r="A2676" t="s">
        <v>7030</v>
      </c>
      <c r="B2676" t="s">
        <v>7740</v>
      </c>
      <c r="C2676">
        <v>45700</v>
      </c>
      <c r="D2676" t="s">
        <v>7263</v>
      </c>
      <c r="E2676" t="s">
        <v>2925</v>
      </c>
      <c r="F2676">
        <v>45700</v>
      </c>
      <c r="G2676" t="s">
        <v>2208</v>
      </c>
      <c r="H2676" t="s">
        <v>8300</v>
      </c>
      <c r="I2676" t="s">
        <v>8761</v>
      </c>
      <c r="J2676">
        <v>0</v>
      </c>
      <c r="K2676">
        <v>3.55</v>
      </c>
      <c r="L2676" t="s">
        <v>2917</v>
      </c>
      <c r="M2676">
        <v>3.55</v>
      </c>
      <c r="N2676" t="s">
        <v>2917</v>
      </c>
      <c r="O2676" t="s">
        <v>8766</v>
      </c>
      <c r="P2676" t="s">
        <v>2208</v>
      </c>
      <c r="Q2676" t="s">
        <v>8295</v>
      </c>
      <c r="R2676" t="s">
        <v>8296</v>
      </c>
    </row>
    <row r="2677" spans="1:18">
      <c r="A2677" t="s">
        <v>7030</v>
      </c>
      <c r="B2677" t="s">
        <v>7740</v>
      </c>
      <c r="C2677">
        <v>45700</v>
      </c>
      <c r="D2677" t="s">
        <v>7263</v>
      </c>
      <c r="E2677" t="s">
        <v>2925</v>
      </c>
      <c r="F2677">
        <v>45700</v>
      </c>
      <c r="G2677" t="s">
        <v>2208</v>
      </c>
      <c r="H2677" t="s">
        <v>8300</v>
      </c>
      <c r="I2677" t="s">
        <v>8761</v>
      </c>
      <c r="J2677">
        <v>0</v>
      </c>
      <c r="K2677">
        <v>3.55</v>
      </c>
      <c r="L2677" t="s">
        <v>2917</v>
      </c>
      <c r="M2677">
        <v>3.55</v>
      </c>
      <c r="N2677" t="s">
        <v>2917</v>
      </c>
      <c r="O2677" t="s">
        <v>8766</v>
      </c>
      <c r="P2677" t="s">
        <v>2208</v>
      </c>
      <c r="Q2677" t="s">
        <v>8295</v>
      </c>
      <c r="R2677" t="s">
        <v>8296</v>
      </c>
    </row>
    <row r="2678" spans="1:18">
      <c r="A2678" t="s">
        <v>7030</v>
      </c>
      <c r="B2678" t="s">
        <v>7740</v>
      </c>
      <c r="C2678">
        <v>45700</v>
      </c>
      <c r="D2678" t="s">
        <v>7263</v>
      </c>
      <c r="E2678" t="s">
        <v>2925</v>
      </c>
      <c r="F2678">
        <v>45700</v>
      </c>
      <c r="G2678" t="s">
        <v>2208</v>
      </c>
      <c r="H2678" t="s">
        <v>8300</v>
      </c>
      <c r="I2678" t="s">
        <v>8761</v>
      </c>
      <c r="J2678">
        <v>0</v>
      </c>
      <c r="K2678">
        <v>3.55</v>
      </c>
      <c r="L2678" t="s">
        <v>2917</v>
      </c>
      <c r="M2678">
        <v>3.55</v>
      </c>
      <c r="N2678" t="s">
        <v>2917</v>
      </c>
      <c r="O2678" t="s">
        <v>8766</v>
      </c>
      <c r="P2678" t="s">
        <v>2208</v>
      </c>
      <c r="Q2678" t="s">
        <v>8295</v>
      </c>
      <c r="R2678" t="s">
        <v>8296</v>
      </c>
    </row>
    <row r="2679" spans="1:18">
      <c r="A2679" t="s">
        <v>7030</v>
      </c>
      <c r="B2679" t="s">
        <v>7740</v>
      </c>
      <c r="C2679">
        <v>45700</v>
      </c>
      <c r="D2679" t="s">
        <v>7263</v>
      </c>
      <c r="E2679" t="s">
        <v>2925</v>
      </c>
      <c r="F2679">
        <v>45700</v>
      </c>
      <c r="G2679" t="s">
        <v>2208</v>
      </c>
      <c r="H2679" t="s">
        <v>8300</v>
      </c>
      <c r="I2679" t="s">
        <v>8761</v>
      </c>
      <c r="J2679">
        <v>0</v>
      </c>
      <c r="K2679">
        <v>3.55</v>
      </c>
      <c r="L2679" t="s">
        <v>2917</v>
      </c>
      <c r="M2679">
        <v>3.55</v>
      </c>
      <c r="N2679" t="s">
        <v>2917</v>
      </c>
      <c r="O2679" t="s">
        <v>8766</v>
      </c>
      <c r="P2679" t="s">
        <v>2208</v>
      </c>
      <c r="Q2679" t="s">
        <v>8295</v>
      </c>
      <c r="R2679" t="s">
        <v>8296</v>
      </c>
    </row>
    <row r="2680" spans="1:18">
      <c r="A2680" t="s">
        <v>7030</v>
      </c>
      <c r="B2680" t="s">
        <v>7740</v>
      </c>
      <c r="C2680">
        <v>45700</v>
      </c>
      <c r="D2680" t="s">
        <v>7263</v>
      </c>
      <c r="E2680" t="s">
        <v>2925</v>
      </c>
      <c r="F2680">
        <v>45700</v>
      </c>
      <c r="G2680" t="s">
        <v>2208</v>
      </c>
      <c r="H2680" t="s">
        <v>8292</v>
      </c>
      <c r="I2680" t="s">
        <v>8761</v>
      </c>
      <c r="J2680">
        <v>0</v>
      </c>
      <c r="K2680">
        <v>36.08</v>
      </c>
      <c r="L2680" t="s">
        <v>2917</v>
      </c>
      <c r="M2680">
        <v>36.08</v>
      </c>
      <c r="N2680" t="s">
        <v>2917</v>
      </c>
      <c r="O2680" t="s">
        <v>8764</v>
      </c>
      <c r="P2680" t="s">
        <v>2208</v>
      </c>
      <c r="Q2680" t="s">
        <v>8295</v>
      </c>
      <c r="R2680" t="s">
        <v>8296</v>
      </c>
    </row>
    <row r="2681" spans="1:18">
      <c r="A2681" t="s">
        <v>7030</v>
      </c>
      <c r="B2681" t="s">
        <v>7740</v>
      </c>
      <c r="C2681">
        <v>45700</v>
      </c>
      <c r="D2681" t="s">
        <v>7263</v>
      </c>
      <c r="E2681" t="s">
        <v>2925</v>
      </c>
      <c r="F2681">
        <v>45700</v>
      </c>
      <c r="G2681" t="s">
        <v>2208</v>
      </c>
      <c r="H2681" t="s">
        <v>8292</v>
      </c>
      <c r="I2681" t="s">
        <v>8761</v>
      </c>
      <c r="J2681">
        <v>0</v>
      </c>
      <c r="K2681">
        <v>36.049999999999997</v>
      </c>
      <c r="L2681" t="s">
        <v>2917</v>
      </c>
      <c r="M2681">
        <v>36.049999999999997</v>
      </c>
      <c r="N2681" t="s">
        <v>2917</v>
      </c>
      <c r="O2681" t="s">
        <v>8764</v>
      </c>
      <c r="P2681" t="s">
        <v>2208</v>
      </c>
      <c r="Q2681" t="s">
        <v>8295</v>
      </c>
      <c r="R2681" t="s">
        <v>8296</v>
      </c>
    </row>
    <row r="2682" spans="1:18">
      <c r="A2682" t="s">
        <v>7030</v>
      </c>
      <c r="B2682" t="s">
        <v>7740</v>
      </c>
      <c r="C2682">
        <v>45700</v>
      </c>
      <c r="D2682" t="s">
        <v>7263</v>
      </c>
      <c r="E2682" t="s">
        <v>2925</v>
      </c>
      <c r="F2682">
        <v>45700</v>
      </c>
      <c r="G2682" t="s">
        <v>2208</v>
      </c>
      <c r="H2682" t="s">
        <v>8298</v>
      </c>
      <c r="I2682" t="s">
        <v>8761</v>
      </c>
      <c r="J2682">
        <v>0</v>
      </c>
      <c r="K2682">
        <v>4.07</v>
      </c>
      <c r="L2682" t="s">
        <v>2917</v>
      </c>
      <c r="M2682">
        <v>4.07</v>
      </c>
      <c r="N2682" t="s">
        <v>2917</v>
      </c>
      <c r="O2682" t="s">
        <v>8763</v>
      </c>
      <c r="P2682" t="s">
        <v>2208</v>
      </c>
      <c r="Q2682" t="s">
        <v>8295</v>
      </c>
      <c r="R2682" t="s">
        <v>8296</v>
      </c>
    </row>
    <row r="2683" spans="1:18">
      <c r="A2683" t="s">
        <v>7030</v>
      </c>
      <c r="B2683" t="s">
        <v>7740</v>
      </c>
      <c r="C2683">
        <v>45700</v>
      </c>
      <c r="D2683" t="s">
        <v>7263</v>
      </c>
      <c r="E2683" t="s">
        <v>2925</v>
      </c>
      <c r="F2683">
        <v>45700</v>
      </c>
      <c r="G2683" t="s">
        <v>2208</v>
      </c>
      <c r="H2683" t="s">
        <v>8292</v>
      </c>
      <c r="I2683" t="s">
        <v>8761</v>
      </c>
      <c r="J2683">
        <v>0</v>
      </c>
      <c r="K2683">
        <v>103.97</v>
      </c>
      <c r="L2683" t="s">
        <v>2917</v>
      </c>
      <c r="M2683">
        <v>103.97</v>
      </c>
      <c r="N2683" t="s">
        <v>2917</v>
      </c>
      <c r="O2683" t="s">
        <v>8764</v>
      </c>
      <c r="P2683" t="s">
        <v>2208</v>
      </c>
      <c r="Q2683" t="s">
        <v>8295</v>
      </c>
      <c r="R2683" t="s">
        <v>8296</v>
      </c>
    </row>
    <row r="2684" spans="1:18">
      <c r="A2684" t="s">
        <v>7030</v>
      </c>
      <c r="B2684" t="s">
        <v>7740</v>
      </c>
      <c r="C2684">
        <v>45700</v>
      </c>
      <c r="D2684" t="s">
        <v>7263</v>
      </c>
      <c r="E2684" t="s">
        <v>2925</v>
      </c>
      <c r="F2684">
        <v>45700</v>
      </c>
      <c r="G2684" t="s">
        <v>2208</v>
      </c>
      <c r="H2684" t="s">
        <v>8292</v>
      </c>
      <c r="I2684" t="s">
        <v>8761</v>
      </c>
      <c r="J2684">
        <v>0</v>
      </c>
      <c r="K2684">
        <v>36.119999999999997</v>
      </c>
      <c r="L2684" t="s">
        <v>2917</v>
      </c>
      <c r="M2684">
        <v>36.119999999999997</v>
      </c>
      <c r="N2684" t="s">
        <v>2917</v>
      </c>
      <c r="O2684" t="s">
        <v>8764</v>
      </c>
      <c r="P2684" t="s">
        <v>2208</v>
      </c>
      <c r="Q2684" t="s">
        <v>8295</v>
      </c>
      <c r="R2684" t="s">
        <v>8296</v>
      </c>
    </row>
    <row r="2685" spans="1:18">
      <c r="A2685" t="s">
        <v>7030</v>
      </c>
      <c r="B2685" t="s">
        <v>7740</v>
      </c>
      <c r="C2685">
        <v>45700</v>
      </c>
      <c r="D2685" t="s">
        <v>7263</v>
      </c>
      <c r="E2685" t="s">
        <v>2925</v>
      </c>
      <c r="F2685">
        <v>45700</v>
      </c>
      <c r="G2685" t="s">
        <v>2208</v>
      </c>
      <c r="H2685" t="s">
        <v>8298</v>
      </c>
      <c r="I2685" t="s">
        <v>8761</v>
      </c>
      <c r="J2685">
        <v>0</v>
      </c>
      <c r="K2685">
        <v>29.45</v>
      </c>
      <c r="L2685" t="s">
        <v>2917</v>
      </c>
      <c r="M2685">
        <v>29.45</v>
      </c>
      <c r="N2685" t="s">
        <v>2917</v>
      </c>
      <c r="O2685" t="s">
        <v>8763</v>
      </c>
      <c r="P2685" t="s">
        <v>2208</v>
      </c>
      <c r="Q2685" t="s">
        <v>8295</v>
      </c>
      <c r="R2685" t="s">
        <v>8296</v>
      </c>
    </row>
    <row r="2686" spans="1:18">
      <c r="A2686" t="s">
        <v>7030</v>
      </c>
      <c r="B2686" t="s">
        <v>7740</v>
      </c>
      <c r="C2686">
        <v>45700</v>
      </c>
      <c r="D2686" t="s">
        <v>7263</v>
      </c>
      <c r="E2686" t="s">
        <v>2925</v>
      </c>
      <c r="F2686">
        <v>45700</v>
      </c>
      <c r="G2686" t="s">
        <v>2208</v>
      </c>
      <c r="H2686" t="s">
        <v>8298</v>
      </c>
      <c r="I2686" t="s">
        <v>8761</v>
      </c>
      <c r="J2686">
        <v>0</v>
      </c>
      <c r="K2686">
        <v>18.2</v>
      </c>
      <c r="L2686" t="s">
        <v>2917</v>
      </c>
      <c r="M2686">
        <v>18.2</v>
      </c>
      <c r="N2686" t="s">
        <v>2917</v>
      </c>
      <c r="O2686" t="s">
        <v>8763</v>
      </c>
      <c r="P2686" t="s">
        <v>2208</v>
      </c>
      <c r="Q2686" t="s">
        <v>8295</v>
      </c>
      <c r="R2686" t="s">
        <v>8296</v>
      </c>
    </row>
    <row r="2687" spans="1:18">
      <c r="A2687" t="s">
        <v>7030</v>
      </c>
      <c r="B2687" t="s">
        <v>7740</v>
      </c>
      <c r="C2687">
        <v>45700</v>
      </c>
      <c r="D2687" t="s">
        <v>7263</v>
      </c>
      <c r="E2687" t="s">
        <v>2925</v>
      </c>
      <c r="F2687">
        <v>45700</v>
      </c>
      <c r="G2687" t="s">
        <v>2208</v>
      </c>
      <c r="H2687" t="s">
        <v>8298</v>
      </c>
      <c r="I2687" t="s">
        <v>8761</v>
      </c>
      <c r="J2687">
        <v>0</v>
      </c>
      <c r="K2687">
        <v>20.65</v>
      </c>
      <c r="L2687" t="s">
        <v>2917</v>
      </c>
      <c r="M2687">
        <v>20.65</v>
      </c>
      <c r="N2687" t="s">
        <v>2917</v>
      </c>
      <c r="O2687" t="s">
        <v>8763</v>
      </c>
      <c r="P2687" t="s">
        <v>2208</v>
      </c>
      <c r="Q2687" t="s">
        <v>8295</v>
      </c>
      <c r="R2687" t="s">
        <v>8296</v>
      </c>
    </row>
    <row r="2688" spans="1:18">
      <c r="A2688" t="s">
        <v>7030</v>
      </c>
      <c r="B2688" t="s">
        <v>7740</v>
      </c>
      <c r="C2688">
        <v>45702</v>
      </c>
      <c r="D2688" t="s">
        <v>7263</v>
      </c>
      <c r="E2688" t="s">
        <v>2925</v>
      </c>
      <c r="F2688">
        <v>45702</v>
      </c>
      <c r="G2688" t="s">
        <v>2208</v>
      </c>
      <c r="H2688" t="s">
        <v>8767</v>
      </c>
      <c r="I2688" t="s">
        <v>8768</v>
      </c>
      <c r="J2688">
        <v>0</v>
      </c>
      <c r="K2688">
        <v>60</v>
      </c>
      <c r="L2688" t="s">
        <v>2917</v>
      </c>
      <c r="M2688">
        <v>60</v>
      </c>
      <c r="N2688" t="s">
        <v>2917</v>
      </c>
      <c r="O2688" t="s">
        <v>8769</v>
      </c>
      <c r="P2688" t="s">
        <v>2208</v>
      </c>
      <c r="Q2688" t="s">
        <v>8290</v>
      </c>
      <c r="R2688" t="s">
        <v>8291</v>
      </c>
    </row>
    <row r="2689" spans="1:18">
      <c r="A2689" t="s">
        <v>7030</v>
      </c>
      <c r="B2689" t="s">
        <v>9126</v>
      </c>
      <c r="C2689">
        <v>45719</v>
      </c>
      <c r="D2689" t="s">
        <v>7263</v>
      </c>
      <c r="E2689" t="s">
        <v>9127</v>
      </c>
      <c r="F2689">
        <v>45719</v>
      </c>
      <c r="G2689" t="s">
        <v>2208</v>
      </c>
      <c r="H2689" t="s">
        <v>8767</v>
      </c>
      <c r="I2689" t="s">
        <v>9533</v>
      </c>
      <c r="J2689">
        <v>0</v>
      </c>
      <c r="K2689">
        <v>60</v>
      </c>
      <c r="L2689" t="s">
        <v>2917</v>
      </c>
      <c r="M2689">
        <v>60</v>
      </c>
      <c r="N2689" t="s">
        <v>2917</v>
      </c>
      <c r="O2689" t="s">
        <v>9534</v>
      </c>
      <c r="P2689" t="s">
        <v>2208</v>
      </c>
      <c r="Q2689" t="s">
        <v>8290</v>
      </c>
      <c r="R2689" t="s">
        <v>8291</v>
      </c>
    </row>
    <row r="2690" spans="1:18">
      <c r="A2690" t="s">
        <v>2600</v>
      </c>
      <c r="B2690" t="s">
        <v>9126</v>
      </c>
      <c r="C2690">
        <v>45719</v>
      </c>
      <c r="D2690" t="s">
        <v>7263</v>
      </c>
      <c r="E2690" t="s">
        <v>9127</v>
      </c>
      <c r="F2690">
        <v>45719</v>
      </c>
      <c r="G2690" t="s">
        <v>2208</v>
      </c>
      <c r="H2690" t="s">
        <v>8287</v>
      </c>
      <c r="I2690" t="s">
        <v>9535</v>
      </c>
      <c r="J2690">
        <v>0</v>
      </c>
      <c r="K2690">
        <v>155</v>
      </c>
      <c r="L2690" t="s">
        <v>2917</v>
      </c>
      <c r="M2690">
        <v>155</v>
      </c>
      <c r="N2690" t="s">
        <v>2917</v>
      </c>
      <c r="O2690" t="s">
        <v>9536</v>
      </c>
      <c r="P2690" t="s">
        <v>2208</v>
      </c>
      <c r="Q2690" t="s">
        <v>8295</v>
      </c>
      <c r="R2690" t="s">
        <v>8296</v>
      </c>
    </row>
    <row r="2691" spans="1:18">
      <c r="A2691" t="s">
        <v>2600</v>
      </c>
      <c r="B2691" t="s">
        <v>9126</v>
      </c>
      <c r="C2691">
        <v>45719</v>
      </c>
      <c r="D2691" t="s">
        <v>7263</v>
      </c>
      <c r="E2691" t="s">
        <v>9127</v>
      </c>
      <c r="F2691">
        <v>45719</v>
      </c>
      <c r="G2691" t="s">
        <v>2208</v>
      </c>
      <c r="H2691" t="s">
        <v>8287</v>
      </c>
      <c r="I2691" t="s">
        <v>9535</v>
      </c>
      <c r="J2691">
        <v>0</v>
      </c>
      <c r="K2691">
        <v>20</v>
      </c>
      <c r="L2691" t="s">
        <v>2917</v>
      </c>
      <c r="M2691">
        <v>20</v>
      </c>
      <c r="N2691" t="s">
        <v>2917</v>
      </c>
      <c r="O2691" t="s">
        <v>9536</v>
      </c>
      <c r="P2691" t="s">
        <v>2208</v>
      </c>
      <c r="Q2691" t="s">
        <v>8295</v>
      </c>
      <c r="R2691" t="s">
        <v>8296</v>
      </c>
    </row>
    <row r="2692" spans="1:18">
      <c r="A2692" t="s">
        <v>2237</v>
      </c>
      <c r="B2692" t="s">
        <v>9126</v>
      </c>
      <c r="C2692">
        <v>45733</v>
      </c>
      <c r="D2692" t="s">
        <v>7263</v>
      </c>
      <c r="E2692" t="s">
        <v>9127</v>
      </c>
      <c r="F2692">
        <v>45733</v>
      </c>
      <c r="G2692" t="s">
        <v>2208</v>
      </c>
      <c r="H2692" t="s">
        <v>10928</v>
      </c>
      <c r="I2692" t="s">
        <v>10929</v>
      </c>
      <c r="J2692">
        <v>0</v>
      </c>
      <c r="K2692">
        <v>32</v>
      </c>
      <c r="L2692" t="s">
        <v>2917</v>
      </c>
      <c r="M2692">
        <v>32</v>
      </c>
      <c r="N2692" t="s">
        <v>2917</v>
      </c>
      <c r="O2692" t="s">
        <v>10930</v>
      </c>
      <c r="P2692" t="s">
        <v>2208</v>
      </c>
      <c r="Q2692" t="s">
        <v>8295</v>
      </c>
      <c r="R2692" t="s">
        <v>8296</v>
      </c>
    </row>
    <row r="2693" spans="1:18">
      <c r="A2693" t="s">
        <v>2237</v>
      </c>
      <c r="B2693" t="s">
        <v>9126</v>
      </c>
      <c r="C2693">
        <v>45733</v>
      </c>
      <c r="D2693" t="s">
        <v>7263</v>
      </c>
      <c r="E2693" t="s">
        <v>9127</v>
      </c>
      <c r="F2693">
        <v>45733</v>
      </c>
      <c r="G2693" t="s">
        <v>2208</v>
      </c>
      <c r="H2693" t="s">
        <v>10928</v>
      </c>
      <c r="I2693" t="s">
        <v>10929</v>
      </c>
      <c r="J2693">
        <v>0</v>
      </c>
      <c r="K2693">
        <v>6683.91</v>
      </c>
      <c r="L2693" t="s">
        <v>2917</v>
      </c>
      <c r="M2693">
        <v>6683.91</v>
      </c>
      <c r="N2693" t="s">
        <v>2917</v>
      </c>
      <c r="O2693" t="s">
        <v>10930</v>
      </c>
      <c r="P2693" t="s">
        <v>2208</v>
      </c>
      <c r="Q2693" t="s">
        <v>8295</v>
      </c>
      <c r="R2693" t="s">
        <v>8296</v>
      </c>
    </row>
    <row r="2694" spans="1:18">
      <c r="A2694" t="s">
        <v>2600</v>
      </c>
      <c r="B2694" t="s">
        <v>11331</v>
      </c>
      <c r="C2694">
        <v>45757</v>
      </c>
      <c r="D2694" t="s">
        <v>7263</v>
      </c>
      <c r="E2694" t="s">
        <v>11332</v>
      </c>
      <c r="F2694">
        <v>45757</v>
      </c>
      <c r="G2694" t="s">
        <v>2208</v>
      </c>
      <c r="H2694" t="s">
        <v>15816</v>
      </c>
      <c r="I2694" t="s">
        <v>15817</v>
      </c>
      <c r="J2694">
        <v>0</v>
      </c>
      <c r="K2694">
        <v>48.77</v>
      </c>
      <c r="L2694" t="s">
        <v>2917</v>
      </c>
      <c r="M2694">
        <v>48.77</v>
      </c>
      <c r="N2694" t="s">
        <v>2917</v>
      </c>
      <c r="O2694" t="s">
        <v>15818</v>
      </c>
      <c r="P2694" t="s">
        <v>2208</v>
      </c>
      <c r="Q2694" t="s">
        <v>8290</v>
      </c>
      <c r="R2694" t="s">
        <v>8291</v>
      </c>
    </row>
    <row r="2695" spans="1:18">
      <c r="A2695" t="s">
        <v>2600</v>
      </c>
      <c r="B2695" t="s">
        <v>11331</v>
      </c>
      <c r="C2695">
        <v>45757</v>
      </c>
      <c r="D2695" t="s">
        <v>7263</v>
      </c>
      <c r="E2695" t="s">
        <v>11332</v>
      </c>
      <c r="F2695">
        <v>45757</v>
      </c>
      <c r="G2695" t="s">
        <v>2208</v>
      </c>
      <c r="H2695" t="s">
        <v>8287</v>
      </c>
      <c r="I2695" t="s">
        <v>15817</v>
      </c>
      <c r="J2695">
        <v>0</v>
      </c>
      <c r="K2695">
        <v>292.35000000000002</v>
      </c>
      <c r="L2695" t="s">
        <v>2917</v>
      </c>
      <c r="M2695">
        <v>292.35000000000002</v>
      </c>
      <c r="N2695" t="s">
        <v>2917</v>
      </c>
      <c r="O2695" t="s">
        <v>15819</v>
      </c>
      <c r="P2695" t="s">
        <v>2208</v>
      </c>
      <c r="Q2695" t="s">
        <v>8290</v>
      </c>
      <c r="R2695" t="s">
        <v>8291</v>
      </c>
    </row>
    <row r="2696" spans="1:18">
      <c r="A2696" t="s">
        <v>2600</v>
      </c>
      <c r="B2696" t="s">
        <v>11331</v>
      </c>
      <c r="C2696">
        <v>45757</v>
      </c>
      <c r="D2696" t="s">
        <v>7263</v>
      </c>
      <c r="E2696" t="s">
        <v>11332</v>
      </c>
      <c r="F2696">
        <v>45757</v>
      </c>
      <c r="G2696" t="s">
        <v>2208</v>
      </c>
      <c r="H2696" t="s">
        <v>15816</v>
      </c>
      <c r="I2696" t="s">
        <v>15817</v>
      </c>
      <c r="J2696">
        <v>0</v>
      </c>
      <c r="K2696">
        <v>29.9</v>
      </c>
      <c r="L2696" t="s">
        <v>2917</v>
      </c>
      <c r="M2696">
        <v>29.9</v>
      </c>
      <c r="N2696" t="s">
        <v>2917</v>
      </c>
      <c r="O2696" t="s">
        <v>15818</v>
      </c>
      <c r="P2696" t="s">
        <v>2208</v>
      </c>
      <c r="Q2696" t="s">
        <v>8290</v>
      </c>
      <c r="R2696" t="s">
        <v>8291</v>
      </c>
    </row>
    <row r="2697" spans="1:18">
      <c r="A2697" t="s">
        <v>2237</v>
      </c>
      <c r="B2697" t="s">
        <v>11331</v>
      </c>
      <c r="C2697">
        <v>45758</v>
      </c>
      <c r="D2697" t="s">
        <v>7263</v>
      </c>
      <c r="E2697" t="s">
        <v>11332</v>
      </c>
      <c r="F2697">
        <v>45758</v>
      </c>
      <c r="G2697" t="s">
        <v>2208</v>
      </c>
      <c r="H2697" t="s">
        <v>8292</v>
      </c>
      <c r="I2697" t="s">
        <v>15820</v>
      </c>
      <c r="J2697">
        <v>0</v>
      </c>
      <c r="K2697">
        <v>38.32</v>
      </c>
      <c r="L2697" t="s">
        <v>2917</v>
      </c>
      <c r="M2697">
        <v>38.32</v>
      </c>
      <c r="N2697" t="s">
        <v>2917</v>
      </c>
      <c r="O2697" t="s">
        <v>15821</v>
      </c>
      <c r="P2697" t="s">
        <v>2208</v>
      </c>
      <c r="Q2697" t="s">
        <v>8295</v>
      </c>
      <c r="R2697" t="s">
        <v>8296</v>
      </c>
    </row>
    <row r="2698" spans="1:18">
      <c r="A2698" t="s">
        <v>2237</v>
      </c>
      <c r="B2698" t="s">
        <v>11331</v>
      </c>
      <c r="C2698">
        <v>45758</v>
      </c>
      <c r="D2698" t="s">
        <v>7263</v>
      </c>
      <c r="E2698" t="s">
        <v>11332</v>
      </c>
      <c r="F2698">
        <v>45758</v>
      </c>
      <c r="G2698" t="s">
        <v>2208</v>
      </c>
      <c r="H2698" t="s">
        <v>8287</v>
      </c>
      <c r="I2698" t="s">
        <v>15820</v>
      </c>
      <c r="J2698">
        <v>0</v>
      </c>
      <c r="K2698">
        <v>101.15</v>
      </c>
      <c r="L2698" t="s">
        <v>2917</v>
      </c>
      <c r="M2698">
        <v>101.15</v>
      </c>
      <c r="N2698" t="s">
        <v>2917</v>
      </c>
      <c r="O2698" t="s">
        <v>15822</v>
      </c>
      <c r="P2698" t="s">
        <v>2208</v>
      </c>
      <c r="Q2698" t="s">
        <v>8295</v>
      </c>
      <c r="R2698" t="s">
        <v>8296</v>
      </c>
    </row>
    <row r="2699" spans="1:18">
      <c r="A2699" t="s">
        <v>2237</v>
      </c>
      <c r="B2699" t="s">
        <v>11331</v>
      </c>
      <c r="C2699">
        <v>45758</v>
      </c>
      <c r="D2699" t="s">
        <v>7263</v>
      </c>
      <c r="E2699" t="s">
        <v>11332</v>
      </c>
      <c r="F2699">
        <v>45758</v>
      </c>
      <c r="G2699" t="s">
        <v>2208</v>
      </c>
      <c r="H2699" t="s">
        <v>8292</v>
      </c>
      <c r="I2699" t="s">
        <v>15820</v>
      </c>
      <c r="J2699">
        <v>0</v>
      </c>
      <c r="K2699">
        <v>102.64</v>
      </c>
      <c r="L2699" t="s">
        <v>2917</v>
      </c>
      <c r="M2699">
        <v>102.64</v>
      </c>
      <c r="N2699" t="s">
        <v>2917</v>
      </c>
      <c r="O2699" t="s">
        <v>15821</v>
      </c>
      <c r="P2699" t="s">
        <v>2208</v>
      </c>
      <c r="Q2699" t="s">
        <v>8295</v>
      </c>
      <c r="R2699" t="s">
        <v>8296</v>
      </c>
    </row>
    <row r="2700" spans="1:18">
      <c r="A2700" t="s">
        <v>2237</v>
      </c>
      <c r="B2700" t="s">
        <v>11331</v>
      </c>
      <c r="C2700">
        <v>45758</v>
      </c>
      <c r="D2700" t="s">
        <v>7263</v>
      </c>
      <c r="E2700" t="s">
        <v>11332</v>
      </c>
      <c r="F2700">
        <v>45758</v>
      </c>
      <c r="G2700" t="s">
        <v>2208</v>
      </c>
      <c r="H2700" t="s">
        <v>8292</v>
      </c>
      <c r="I2700" t="s">
        <v>15820</v>
      </c>
      <c r="J2700">
        <v>0</v>
      </c>
      <c r="K2700">
        <v>38.32</v>
      </c>
      <c r="L2700" t="s">
        <v>2917</v>
      </c>
      <c r="M2700">
        <v>38.32</v>
      </c>
      <c r="N2700" t="s">
        <v>2917</v>
      </c>
      <c r="O2700" t="s">
        <v>15821</v>
      </c>
      <c r="P2700" t="s">
        <v>2208</v>
      </c>
      <c r="Q2700" t="s">
        <v>8295</v>
      </c>
      <c r="R2700" t="s">
        <v>8296</v>
      </c>
    </row>
    <row r="2701" spans="1:18">
      <c r="A2701" t="s">
        <v>2237</v>
      </c>
      <c r="B2701" t="s">
        <v>11331</v>
      </c>
      <c r="C2701">
        <v>45758</v>
      </c>
      <c r="D2701" t="s">
        <v>7263</v>
      </c>
      <c r="E2701" t="s">
        <v>11332</v>
      </c>
      <c r="F2701">
        <v>45758</v>
      </c>
      <c r="G2701" t="s">
        <v>2208</v>
      </c>
      <c r="H2701" t="s">
        <v>8298</v>
      </c>
      <c r="I2701" t="s">
        <v>15820</v>
      </c>
      <c r="J2701">
        <v>0</v>
      </c>
      <c r="K2701">
        <v>3.14</v>
      </c>
      <c r="L2701" t="s">
        <v>2917</v>
      </c>
      <c r="M2701">
        <v>3.14</v>
      </c>
      <c r="N2701" t="s">
        <v>2917</v>
      </c>
      <c r="O2701" t="s">
        <v>15823</v>
      </c>
      <c r="P2701" t="s">
        <v>2208</v>
      </c>
      <c r="Q2701" t="s">
        <v>8295</v>
      </c>
      <c r="R2701" t="s">
        <v>8296</v>
      </c>
    </row>
    <row r="2702" spans="1:18">
      <c r="A2702" t="s">
        <v>2237</v>
      </c>
      <c r="B2702" t="s">
        <v>11331</v>
      </c>
      <c r="C2702">
        <v>45758</v>
      </c>
      <c r="D2702" t="s">
        <v>7263</v>
      </c>
      <c r="E2702" t="s">
        <v>11332</v>
      </c>
      <c r="F2702">
        <v>45758</v>
      </c>
      <c r="G2702" t="s">
        <v>2208</v>
      </c>
      <c r="H2702" t="s">
        <v>8298</v>
      </c>
      <c r="I2702" t="s">
        <v>15820</v>
      </c>
      <c r="J2702">
        <v>0</v>
      </c>
      <c r="K2702">
        <v>25.11</v>
      </c>
      <c r="L2702" t="s">
        <v>2917</v>
      </c>
      <c r="M2702">
        <v>25.11</v>
      </c>
      <c r="N2702" t="s">
        <v>2917</v>
      </c>
      <c r="O2702" t="s">
        <v>15823</v>
      </c>
      <c r="P2702" t="s">
        <v>2208</v>
      </c>
      <c r="Q2702" t="s">
        <v>8295</v>
      </c>
      <c r="R2702" t="s">
        <v>8296</v>
      </c>
    </row>
    <row r="2703" spans="1:18">
      <c r="A2703" t="s">
        <v>2237</v>
      </c>
      <c r="B2703" t="s">
        <v>11331</v>
      </c>
      <c r="C2703">
        <v>45758</v>
      </c>
      <c r="D2703" t="s">
        <v>7263</v>
      </c>
      <c r="E2703" t="s">
        <v>11332</v>
      </c>
      <c r="F2703">
        <v>45758</v>
      </c>
      <c r="G2703" t="s">
        <v>2208</v>
      </c>
      <c r="H2703" t="s">
        <v>8298</v>
      </c>
      <c r="I2703" t="s">
        <v>15820</v>
      </c>
      <c r="J2703">
        <v>0</v>
      </c>
      <c r="K2703">
        <v>61.51</v>
      </c>
      <c r="L2703" t="s">
        <v>2917</v>
      </c>
      <c r="M2703">
        <v>61.51</v>
      </c>
      <c r="N2703" t="s">
        <v>2917</v>
      </c>
      <c r="O2703" t="s">
        <v>15823</v>
      </c>
      <c r="P2703" t="s">
        <v>2208</v>
      </c>
      <c r="Q2703" t="s">
        <v>8295</v>
      </c>
      <c r="R2703" t="s">
        <v>8296</v>
      </c>
    </row>
    <row r="2704" spans="1:18">
      <c r="A2704" t="s">
        <v>2237</v>
      </c>
      <c r="B2704" t="s">
        <v>11331</v>
      </c>
      <c r="C2704">
        <v>45758</v>
      </c>
      <c r="D2704" t="s">
        <v>7263</v>
      </c>
      <c r="E2704" t="s">
        <v>11332</v>
      </c>
      <c r="F2704">
        <v>45758</v>
      </c>
      <c r="G2704" t="s">
        <v>2208</v>
      </c>
      <c r="H2704" t="s">
        <v>8292</v>
      </c>
      <c r="I2704" t="s">
        <v>15820</v>
      </c>
      <c r="J2704">
        <v>0</v>
      </c>
      <c r="K2704">
        <v>37.880000000000003</v>
      </c>
      <c r="L2704" t="s">
        <v>2917</v>
      </c>
      <c r="M2704">
        <v>37.880000000000003</v>
      </c>
      <c r="N2704" t="s">
        <v>2917</v>
      </c>
      <c r="O2704" t="s">
        <v>15821</v>
      </c>
      <c r="P2704" t="s">
        <v>2208</v>
      </c>
      <c r="Q2704" t="s">
        <v>8295</v>
      </c>
      <c r="R2704" t="s">
        <v>8296</v>
      </c>
    </row>
    <row r="2705" spans="1:18">
      <c r="A2705" t="s">
        <v>2237</v>
      </c>
      <c r="B2705" t="s">
        <v>11331</v>
      </c>
      <c r="C2705">
        <v>45758</v>
      </c>
      <c r="D2705" t="s">
        <v>7263</v>
      </c>
      <c r="E2705" t="s">
        <v>11332</v>
      </c>
      <c r="F2705">
        <v>45758</v>
      </c>
      <c r="G2705" t="s">
        <v>2208</v>
      </c>
      <c r="H2705" t="s">
        <v>8298</v>
      </c>
      <c r="I2705" t="s">
        <v>15820</v>
      </c>
      <c r="J2705">
        <v>0</v>
      </c>
      <c r="K2705">
        <v>45.42</v>
      </c>
      <c r="L2705" t="s">
        <v>2917</v>
      </c>
      <c r="M2705">
        <v>45.42</v>
      </c>
      <c r="N2705" t="s">
        <v>2917</v>
      </c>
      <c r="O2705" t="s">
        <v>15823</v>
      </c>
      <c r="P2705" t="s">
        <v>2208</v>
      </c>
      <c r="Q2705" t="s">
        <v>8295</v>
      </c>
      <c r="R2705" t="s">
        <v>8296</v>
      </c>
    </row>
    <row r="2706" spans="1:18">
      <c r="A2706" t="s">
        <v>2237</v>
      </c>
      <c r="B2706" t="s">
        <v>11331</v>
      </c>
      <c r="C2706">
        <v>45758</v>
      </c>
      <c r="D2706" t="s">
        <v>7263</v>
      </c>
      <c r="E2706" t="s">
        <v>11332</v>
      </c>
      <c r="F2706">
        <v>45758</v>
      </c>
      <c r="G2706" t="s">
        <v>2208</v>
      </c>
      <c r="H2706" t="s">
        <v>8292</v>
      </c>
      <c r="I2706" t="s">
        <v>15820</v>
      </c>
      <c r="J2706">
        <v>0</v>
      </c>
      <c r="K2706">
        <v>38.11</v>
      </c>
      <c r="L2706" t="s">
        <v>2917</v>
      </c>
      <c r="M2706">
        <v>38.11</v>
      </c>
      <c r="N2706" t="s">
        <v>2917</v>
      </c>
      <c r="O2706" t="s">
        <v>15821</v>
      </c>
      <c r="P2706" t="s">
        <v>2208</v>
      </c>
      <c r="Q2706" t="s">
        <v>8295</v>
      </c>
      <c r="R2706" t="s">
        <v>8296</v>
      </c>
    </row>
    <row r="2707" spans="1:18">
      <c r="A2707" t="s">
        <v>2237</v>
      </c>
      <c r="B2707" t="s">
        <v>11331</v>
      </c>
      <c r="C2707">
        <v>45758</v>
      </c>
      <c r="D2707" t="s">
        <v>7263</v>
      </c>
      <c r="E2707" t="s">
        <v>11332</v>
      </c>
      <c r="F2707">
        <v>45758</v>
      </c>
      <c r="G2707" t="s">
        <v>2208</v>
      </c>
      <c r="H2707" t="s">
        <v>8300</v>
      </c>
      <c r="I2707" t="s">
        <v>15820</v>
      </c>
      <c r="J2707">
        <v>0</v>
      </c>
      <c r="K2707">
        <v>78.59</v>
      </c>
      <c r="L2707" t="s">
        <v>2917</v>
      </c>
      <c r="M2707">
        <v>78.59</v>
      </c>
      <c r="N2707" t="s">
        <v>2917</v>
      </c>
      <c r="O2707" t="s">
        <v>15824</v>
      </c>
      <c r="P2707" t="s">
        <v>2208</v>
      </c>
      <c r="Q2707" t="s">
        <v>8295</v>
      </c>
      <c r="R2707" t="s">
        <v>8296</v>
      </c>
    </row>
    <row r="2708" spans="1:18">
      <c r="A2708" t="s">
        <v>2237</v>
      </c>
      <c r="B2708" t="s">
        <v>11331</v>
      </c>
      <c r="C2708">
        <v>45758</v>
      </c>
      <c r="D2708" t="s">
        <v>7263</v>
      </c>
      <c r="E2708" t="s">
        <v>11332</v>
      </c>
      <c r="F2708">
        <v>45758</v>
      </c>
      <c r="G2708" t="s">
        <v>2208</v>
      </c>
      <c r="H2708" t="s">
        <v>8300</v>
      </c>
      <c r="I2708" t="s">
        <v>15820</v>
      </c>
      <c r="J2708">
        <v>0</v>
      </c>
      <c r="K2708">
        <v>3.93</v>
      </c>
      <c r="L2708" t="s">
        <v>2917</v>
      </c>
      <c r="M2708">
        <v>3.93</v>
      </c>
      <c r="N2708" t="s">
        <v>2917</v>
      </c>
      <c r="O2708" t="s">
        <v>15824</v>
      </c>
      <c r="P2708" t="s">
        <v>2208</v>
      </c>
      <c r="Q2708" t="s">
        <v>8295</v>
      </c>
      <c r="R2708" t="s">
        <v>8296</v>
      </c>
    </row>
    <row r="2709" spans="1:18">
      <c r="A2709" t="s">
        <v>2237</v>
      </c>
      <c r="B2709" t="s">
        <v>11331</v>
      </c>
      <c r="C2709">
        <v>45758</v>
      </c>
      <c r="D2709" t="s">
        <v>7263</v>
      </c>
      <c r="E2709" t="s">
        <v>11332</v>
      </c>
      <c r="F2709">
        <v>45758</v>
      </c>
      <c r="G2709" t="s">
        <v>2208</v>
      </c>
      <c r="H2709" t="s">
        <v>8300</v>
      </c>
      <c r="I2709" t="s">
        <v>15820</v>
      </c>
      <c r="J2709">
        <v>0</v>
      </c>
      <c r="K2709">
        <v>78.59</v>
      </c>
      <c r="L2709" t="s">
        <v>2917</v>
      </c>
      <c r="M2709">
        <v>78.59</v>
      </c>
      <c r="N2709" t="s">
        <v>2917</v>
      </c>
      <c r="O2709" t="s">
        <v>15824</v>
      </c>
      <c r="P2709" t="s">
        <v>2208</v>
      </c>
      <c r="Q2709" t="s">
        <v>8295</v>
      </c>
      <c r="R2709" t="s">
        <v>8296</v>
      </c>
    </row>
    <row r="2710" spans="1:18">
      <c r="A2710" t="s">
        <v>2237</v>
      </c>
      <c r="B2710" t="s">
        <v>11331</v>
      </c>
      <c r="C2710">
        <v>45758</v>
      </c>
      <c r="D2710" t="s">
        <v>7263</v>
      </c>
      <c r="E2710" t="s">
        <v>11332</v>
      </c>
      <c r="F2710">
        <v>45758</v>
      </c>
      <c r="G2710" t="s">
        <v>2208</v>
      </c>
      <c r="H2710" t="s">
        <v>8300</v>
      </c>
      <c r="I2710" t="s">
        <v>15820</v>
      </c>
      <c r="J2710">
        <v>0</v>
      </c>
      <c r="K2710">
        <v>3.93</v>
      </c>
      <c r="L2710" t="s">
        <v>2917</v>
      </c>
      <c r="M2710">
        <v>3.93</v>
      </c>
      <c r="N2710" t="s">
        <v>2917</v>
      </c>
      <c r="O2710" t="s">
        <v>15824</v>
      </c>
      <c r="P2710" t="s">
        <v>2208</v>
      </c>
      <c r="Q2710" t="s">
        <v>8295</v>
      </c>
      <c r="R2710" t="s">
        <v>8296</v>
      </c>
    </row>
    <row r="2711" spans="1:18">
      <c r="A2711" t="s">
        <v>2237</v>
      </c>
      <c r="B2711" t="s">
        <v>11331</v>
      </c>
      <c r="C2711">
        <v>45758</v>
      </c>
      <c r="D2711" t="s">
        <v>7263</v>
      </c>
      <c r="E2711" t="s">
        <v>11332</v>
      </c>
      <c r="F2711">
        <v>45758</v>
      </c>
      <c r="G2711" t="s">
        <v>2208</v>
      </c>
      <c r="H2711" t="s">
        <v>8300</v>
      </c>
      <c r="I2711" t="s">
        <v>15820</v>
      </c>
      <c r="J2711">
        <v>0</v>
      </c>
      <c r="K2711">
        <v>78.59</v>
      </c>
      <c r="L2711" t="s">
        <v>2917</v>
      </c>
      <c r="M2711">
        <v>78.59</v>
      </c>
      <c r="N2711" t="s">
        <v>2917</v>
      </c>
      <c r="O2711" t="s">
        <v>15824</v>
      </c>
      <c r="P2711" t="s">
        <v>2208</v>
      </c>
      <c r="Q2711" t="s">
        <v>8295</v>
      </c>
      <c r="R2711" t="s">
        <v>8296</v>
      </c>
    </row>
    <row r="2712" spans="1:18">
      <c r="A2712" t="s">
        <v>2237</v>
      </c>
      <c r="B2712" t="s">
        <v>11331</v>
      </c>
      <c r="C2712">
        <v>45758</v>
      </c>
      <c r="D2712" t="s">
        <v>7263</v>
      </c>
      <c r="E2712" t="s">
        <v>11332</v>
      </c>
      <c r="F2712">
        <v>45758</v>
      </c>
      <c r="G2712" t="s">
        <v>2208</v>
      </c>
      <c r="H2712" t="s">
        <v>8300</v>
      </c>
      <c r="I2712" t="s">
        <v>15820</v>
      </c>
      <c r="J2712">
        <v>0</v>
      </c>
      <c r="K2712">
        <v>3.93</v>
      </c>
      <c r="L2712" t="s">
        <v>2917</v>
      </c>
      <c r="M2712">
        <v>3.93</v>
      </c>
      <c r="N2712" t="s">
        <v>2917</v>
      </c>
      <c r="O2712" t="s">
        <v>15824</v>
      </c>
      <c r="P2712" t="s">
        <v>2208</v>
      </c>
      <c r="Q2712" t="s">
        <v>8295</v>
      </c>
      <c r="R2712" t="s">
        <v>8296</v>
      </c>
    </row>
    <row r="2713" spans="1:18">
      <c r="A2713" t="s">
        <v>2237</v>
      </c>
      <c r="B2713" t="s">
        <v>11331</v>
      </c>
      <c r="C2713">
        <v>45758</v>
      </c>
      <c r="D2713" t="s">
        <v>7263</v>
      </c>
      <c r="E2713" t="s">
        <v>11332</v>
      </c>
      <c r="F2713">
        <v>45758</v>
      </c>
      <c r="G2713" t="s">
        <v>2208</v>
      </c>
      <c r="H2713" t="s">
        <v>8300</v>
      </c>
      <c r="I2713" t="s">
        <v>15820</v>
      </c>
      <c r="J2713">
        <v>0</v>
      </c>
      <c r="K2713">
        <v>78.59</v>
      </c>
      <c r="L2713" t="s">
        <v>2917</v>
      </c>
      <c r="M2713">
        <v>78.59</v>
      </c>
      <c r="N2713" t="s">
        <v>2917</v>
      </c>
      <c r="O2713" t="s">
        <v>15824</v>
      </c>
      <c r="P2713" t="s">
        <v>2208</v>
      </c>
      <c r="Q2713" t="s">
        <v>8295</v>
      </c>
      <c r="R2713" t="s">
        <v>8296</v>
      </c>
    </row>
    <row r="2714" spans="1:18">
      <c r="A2714" t="s">
        <v>2237</v>
      </c>
      <c r="B2714" t="s">
        <v>11331</v>
      </c>
      <c r="C2714">
        <v>45758</v>
      </c>
      <c r="D2714" t="s">
        <v>7263</v>
      </c>
      <c r="E2714" t="s">
        <v>11332</v>
      </c>
      <c r="F2714">
        <v>45758</v>
      </c>
      <c r="G2714" t="s">
        <v>2208</v>
      </c>
      <c r="H2714" t="s">
        <v>8300</v>
      </c>
      <c r="I2714" t="s">
        <v>15820</v>
      </c>
      <c r="J2714">
        <v>0</v>
      </c>
      <c r="K2714">
        <v>3.93</v>
      </c>
      <c r="L2714" t="s">
        <v>2917</v>
      </c>
      <c r="M2714">
        <v>3.93</v>
      </c>
      <c r="N2714" t="s">
        <v>2917</v>
      </c>
      <c r="O2714" t="s">
        <v>15824</v>
      </c>
      <c r="P2714" t="s">
        <v>2208</v>
      </c>
      <c r="Q2714" t="s">
        <v>8295</v>
      </c>
      <c r="R2714" t="s">
        <v>8296</v>
      </c>
    </row>
    <row r="2715" spans="1:18">
      <c r="A2715" t="s">
        <v>2237</v>
      </c>
      <c r="B2715" t="s">
        <v>11331</v>
      </c>
      <c r="C2715">
        <v>45758</v>
      </c>
      <c r="D2715" t="s">
        <v>7263</v>
      </c>
      <c r="E2715" t="s">
        <v>11332</v>
      </c>
      <c r="F2715">
        <v>45758</v>
      </c>
      <c r="G2715" t="s">
        <v>2208</v>
      </c>
      <c r="H2715" t="s">
        <v>8300</v>
      </c>
      <c r="I2715" t="s">
        <v>15820</v>
      </c>
      <c r="J2715">
        <v>0</v>
      </c>
      <c r="K2715">
        <v>78.59</v>
      </c>
      <c r="L2715" t="s">
        <v>2917</v>
      </c>
      <c r="M2715">
        <v>78.59</v>
      </c>
      <c r="N2715" t="s">
        <v>2917</v>
      </c>
      <c r="O2715" t="s">
        <v>15824</v>
      </c>
      <c r="P2715" t="s">
        <v>2208</v>
      </c>
      <c r="Q2715" t="s">
        <v>8295</v>
      </c>
      <c r="R2715" t="s">
        <v>8296</v>
      </c>
    </row>
    <row r="2716" spans="1:18">
      <c r="A2716" t="s">
        <v>2237</v>
      </c>
      <c r="B2716" t="s">
        <v>11331</v>
      </c>
      <c r="C2716">
        <v>45758</v>
      </c>
      <c r="D2716" t="s">
        <v>7263</v>
      </c>
      <c r="E2716" t="s">
        <v>11332</v>
      </c>
      <c r="F2716">
        <v>45758</v>
      </c>
      <c r="G2716" t="s">
        <v>2208</v>
      </c>
      <c r="H2716" t="s">
        <v>8300</v>
      </c>
      <c r="I2716" t="s">
        <v>15820</v>
      </c>
      <c r="J2716">
        <v>0</v>
      </c>
      <c r="K2716">
        <v>3.93</v>
      </c>
      <c r="L2716" t="s">
        <v>2917</v>
      </c>
      <c r="M2716">
        <v>3.93</v>
      </c>
      <c r="N2716" t="s">
        <v>2917</v>
      </c>
      <c r="O2716" t="s">
        <v>15824</v>
      </c>
      <c r="P2716" t="s">
        <v>2208</v>
      </c>
      <c r="Q2716" t="s">
        <v>8295</v>
      </c>
      <c r="R2716" t="s">
        <v>8296</v>
      </c>
    </row>
    <row r="2717" spans="1:18">
      <c r="A2717" t="s">
        <v>2237</v>
      </c>
      <c r="B2717" t="s">
        <v>11331</v>
      </c>
      <c r="C2717">
        <v>45758</v>
      </c>
      <c r="D2717" t="s">
        <v>7263</v>
      </c>
      <c r="E2717" t="s">
        <v>11332</v>
      </c>
      <c r="F2717">
        <v>45758</v>
      </c>
      <c r="G2717" t="s">
        <v>2208</v>
      </c>
      <c r="H2717" t="s">
        <v>8298</v>
      </c>
      <c r="I2717" t="s">
        <v>15820</v>
      </c>
      <c r="J2717">
        <v>0</v>
      </c>
      <c r="K2717">
        <v>8.11</v>
      </c>
      <c r="L2717" t="s">
        <v>2917</v>
      </c>
      <c r="M2717">
        <v>8.11</v>
      </c>
      <c r="N2717" t="s">
        <v>2917</v>
      </c>
      <c r="O2717" t="s">
        <v>15823</v>
      </c>
      <c r="P2717" t="s">
        <v>2208</v>
      </c>
      <c r="Q2717" t="s">
        <v>8295</v>
      </c>
      <c r="R2717" t="s">
        <v>8296</v>
      </c>
    </row>
    <row r="2718" spans="1:18">
      <c r="A2718" t="s">
        <v>2237</v>
      </c>
      <c r="B2718" t="s">
        <v>11331</v>
      </c>
      <c r="C2718">
        <v>45758</v>
      </c>
      <c r="D2718" t="s">
        <v>7263</v>
      </c>
      <c r="E2718" t="s">
        <v>11332</v>
      </c>
      <c r="F2718">
        <v>45758</v>
      </c>
      <c r="G2718" t="s">
        <v>2208</v>
      </c>
      <c r="H2718" t="s">
        <v>8292</v>
      </c>
      <c r="I2718" t="s">
        <v>15820</v>
      </c>
      <c r="J2718">
        <v>0</v>
      </c>
      <c r="K2718">
        <v>38.49</v>
      </c>
      <c r="L2718" t="s">
        <v>2917</v>
      </c>
      <c r="M2718">
        <v>38.49</v>
      </c>
      <c r="N2718" t="s">
        <v>2917</v>
      </c>
      <c r="O2718" t="s">
        <v>15821</v>
      </c>
      <c r="P2718" t="s">
        <v>2208</v>
      </c>
      <c r="Q2718" t="s">
        <v>8295</v>
      </c>
      <c r="R2718" t="s">
        <v>8296</v>
      </c>
    </row>
    <row r="2719" spans="1:18">
      <c r="A2719" t="s">
        <v>2237</v>
      </c>
      <c r="B2719" t="s">
        <v>11331</v>
      </c>
      <c r="C2719">
        <v>45758</v>
      </c>
      <c r="D2719" t="s">
        <v>7263</v>
      </c>
      <c r="E2719" t="s">
        <v>11332</v>
      </c>
      <c r="F2719">
        <v>45758</v>
      </c>
      <c r="G2719" t="s">
        <v>2208</v>
      </c>
      <c r="H2719" t="s">
        <v>8292</v>
      </c>
      <c r="I2719" t="s">
        <v>15820</v>
      </c>
      <c r="J2719">
        <v>0</v>
      </c>
      <c r="K2719">
        <v>37.880000000000003</v>
      </c>
      <c r="L2719" t="s">
        <v>2917</v>
      </c>
      <c r="M2719">
        <v>37.880000000000003</v>
      </c>
      <c r="N2719" t="s">
        <v>2917</v>
      </c>
      <c r="O2719" t="s">
        <v>15821</v>
      </c>
      <c r="P2719" t="s">
        <v>2208</v>
      </c>
      <c r="Q2719" t="s">
        <v>8295</v>
      </c>
      <c r="R2719" t="s">
        <v>8296</v>
      </c>
    </row>
    <row r="2720" spans="1:18">
      <c r="A2720" t="s">
        <v>2237</v>
      </c>
      <c r="B2720" t="s">
        <v>11331</v>
      </c>
      <c r="C2720">
        <v>45758</v>
      </c>
      <c r="D2720" t="s">
        <v>7263</v>
      </c>
      <c r="E2720" t="s">
        <v>11332</v>
      </c>
      <c r="F2720">
        <v>45758</v>
      </c>
      <c r="G2720" t="s">
        <v>2208</v>
      </c>
      <c r="H2720" t="s">
        <v>8292</v>
      </c>
      <c r="I2720" t="s">
        <v>15820</v>
      </c>
      <c r="J2720">
        <v>0</v>
      </c>
      <c r="K2720">
        <v>38.11</v>
      </c>
      <c r="L2720" t="s">
        <v>2917</v>
      </c>
      <c r="M2720">
        <v>38.11</v>
      </c>
      <c r="N2720" t="s">
        <v>2917</v>
      </c>
      <c r="O2720" t="s">
        <v>15821</v>
      </c>
      <c r="P2720" t="s">
        <v>2208</v>
      </c>
      <c r="Q2720" t="s">
        <v>8295</v>
      </c>
      <c r="R2720" t="s">
        <v>8296</v>
      </c>
    </row>
    <row r="2721" spans="1:18">
      <c r="A2721" t="s">
        <v>2237</v>
      </c>
      <c r="B2721" t="s">
        <v>11331</v>
      </c>
      <c r="C2721">
        <v>45758</v>
      </c>
      <c r="D2721" t="s">
        <v>7263</v>
      </c>
      <c r="E2721" t="s">
        <v>11332</v>
      </c>
      <c r="F2721">
        <v>45758</v>
      </c>
      <c r="G2721" t="s">
        <v>2208</v>
      </c>
      <c r="H2721" t="s">
        <v>8292</v>
      </c>
      <c r="I2721" t="s">
        <v>15820</v>
      </c>
      <c r="J2721">
        <v>0</v>
      </c>
      <c r="K2721">
        <v>38.869999999999997</v>
      </c>
      <c r="L2721" t="s">
        <v>2917</v>
      </c>
      <c r="M2721">
        <v>38.869999999999997</v>
      </c>
      <c r="N2721" t="s">
        <v>2917</v>
      </c>
      <c r="O2721" t="s">
        <v>15821</v>
      </c>
      <c r="P2721" t="s">
        <v>2208</v>
      </c>
      <c r="Q2721" t="s">
        <v>8295</v>
      </c>
      <c r="R2721" t="s">
        <v>8296</v>
      </c>
    </row>
    <row r="2722" spans="1:18">
      <c r="A2722" t="s">
        <v>2237</v>
      </c>
      <c r="B2722" t="s">
        <v>11331</v>
      </c>
      <c r="C2722">
        <v>45758</v>
      </c>
      <c r="D2722" t="s">
        <v>7263</v>
      </c>
      <c r="E2722" t="s">
        <v>11332</v>
      </c>
      <c r="F2722">
        <v>45758</v>
      </c>
      <c r="G2722" t="s">
        <v>2208</v>
      </c>
      <c r="H2722" t="s">
        <v>8298</v>
      </c>
      <c r="I2722" t="s">
        <v>15820</v>
      </c>
      <c r="J2722">
        <v>0</v>
      </c>
      <c r="K2722">
        <v>21.64</v>
      </c>
      <c r="L2722" t="s">
        <v>2917</v>
      </c>
      <c r="M2722">
        <v>21.64</v>
      </c>
      <c r="N2722" t="s">
        <v>2917</v>
      </c>
      <c r="O2722" t="s">
        <v>15823</v>
      </c>
      <c r="P2722" t="s">
        <v>2208</v>
      </c>
      <c r="Q2722" t="s">
        <v>8295</v>
      </c>
      <c r="R2722" t="s">
        <v>8296</v>
      </c>
    </row>
    <row r="2723" spans="1:18">
      <c r="A2723" t="s">
        <v>2237</v>
      </c>
      <c r="B2723" t="s">
        <v>11331</v>
      </c>
      <c r="C2723">
        <v>45758</v>
      </c>
      <c r="D2723" t="s">
        <v>7263</v>
      </c>
      <c r="E2723" t="s">
        <v>11332</v>
      </c>
      <c r="F2723">
        <v>45758</v>
      </c>
      <c r="G2723" t="s">
        <v>2208</v>
      </c>
      <c r="H2723" t="s">
        <v>8292</v>
      </c>
      <c r="I2723" t="s">
        <v>15820</v>
      </c>
      <c r="J2723">
        <v>0</v>
      </c>
      <c r="K2723">
        <v>94.66</v>
      </c>
      <c r="L2723" t="s">
        <v>2917</v>
      </c>
      <c r="M2723">
        <v>94.66</v>
      </c>
      <c r="N2723" t="s">
        <v>2917</v>
      </c>
      <c r="O2723" t="s">
        <v>15821</v>
      </c>
      <c r="P2723" t="s">
        <v>2208</v>
      </c>
      <c r="Q2723" t="s">
        <v>8295</v>
      </c>
      <c r="R2723" t="s">
        <v>8296</v>
      </c>
    </row>
    <row r="2724" spans="1:18">
      <c r="A2724" t="s">
        <v>2237</v>
      </c>
      <c r="B2724" t="s">
        <v>11331</v>
      </c>
      <c r="C2724">
        <v>45758</v>
      </c>
      <c r="D2724" t="s">
        <v>7263</v>
      </c>
      <c r="E2724" t="s">
        <v>11332</v>
      </c>
      <c r="F2724">
        <v>45758</v>
      </c>
      <c r="G2724" t="s">
        <v>2208</v>
      </c>
      <c r="H2724" t="s">
        <v>8298</v>
      </c>
      <c r="I2724" t="s">
        <v>15820</v>
      </c>
      <c r="J2724">
        <v>0</v>
      </c>
      <c r="K2724">
        <v>29.67</v>
      </c>
      <c r="L2724" t="s">
        <v>2917</v>
      </c>
      <c r="M2724">
        <v>29.67</v>
      </c>
      <c r="N2724" t="s">
        <v>2917</v>
      </c>
      <c r="O2724" t="s">
        <v>15823</v>
      </c>
      <c r="P2724" t="s">
        <v>2208</v>
      </c>
      <c r="Q2724" t="s">
        <v>8295</v>
      </c>
      <c r="R2724" t="s">
        <v>8296</v>
      </c>
    </row>
    <row r="2725" spans="1:18">
      <c r="A2725" t="s">
        <v>2237</v>
      </c>
      <c r="B2725" t="s">
        <v>11331</v>
      </c>
      <c r="C2725">
        <v>45758</v>
      </c>
      <c r="D2725" t="s">
        <v>7263</v>
      </c>
      <c r="E2725" t="s">
        <v>11332</v>
      </c>
      <c r="F2725">
        <v>45758</v>
      </c>
      <c r="G2725" t="s">
        <v>2208</v>
      </c>
      <c r="H2725" t="s">
        <v>8298</v>
      </c>
      <c r="I2725" t="s">
        <v>15820</v>
      </c>
      <c r="J2725">
        <v>0</v>
      </c>
      <c r="K2725">
        <v>9.8800000000000008</v>
      </c>
      <c r="L2725" t="s">
        <v>2917</v>
      </c>
      <c r="M2725">
        <v>9.8800000000000008</v>
      </c>
      <c r="N2725" t="s">
        <v>2917</v>
      </c>
      <c r="O2725" t="s">
        <v>15823</v>
      </c>
      <c r="P2725" t="s">
        <v>2208</v>
      </c>
      <c r="Q2725" t="s">
        <v>8295</v>
      </c>
      <c r="R2725" t="s">
        <v>8296</v>
      </c>
    </row>
    <row r="2726" spans="1:18">
      <c r="A2726" t="s">
        <v>2600</v>
      </c>
      <c r="B2726" t="s">
        <v>16360</v>
      </c>
      <c r="C2726">
        <v>45782</v>
      </c>
      <c r="D2726" t="s">
        <v>7263</v>
      </c>
      <c r="E2726" t="s">
        <v>16361</v>
      </c>
      <c r="F2726">
        <v>45782</v>
      </c>
      <c r="G2726" t="s">
        <v>2208</v>
      </c>
      <c r="H2726" t="s">
        <v>10928</v>
      </c>
      <c r="I2726" t="s">
        <v>16901</v>
      </c>
      <c r="J2726">
        <v>0</v>
      </c>
      <c r="K2726">
        <v>3852.21</v>
      </c>
      <c r="L2726" t="s">
        <v>2917</v>
      </c>
      <c r="M2726">
        <v>3852.21</v>
      </c>
      <c r="N2726" t="s">
        <v>2917</v>
      </c>
      <c r="O2726" t="s">
        <v>16902</v>
      </c>
      <c r="P2726" t="s">
        <v>2208</v>
      </c>
      <c r="Q2726" t="s">
        <v>8295</v>
      </c>
      <c r="R2726" t="s">
        <v>8296</v>
      </c>
    </row>
    <row r="2727" spans="1:18">
      <c r="A2727" t="s">
        <v>2600</v>
      </c>
      <c r="B2727" t="s">
        <v>16360</v>
      </c>
      <c r="C2727">
        <v>45782</v>
      </c>
      <c r="D2727" t="s">
        <v>7263</v>
      </c>
      <c r="E2727" t="s">
        <v>16361</v>
      </c>
      <c r="F2727">
        <v>45782</v>
      </c>
      <c r="G2727" t="s">
        <v>2208</v>
      </c>
      <c r="H2727" t="s">
        <v>8287</v>
      </c>
      <c r="I2727" t="s">
        <v>16901</v>
      </c>
      <c r="J2727">
        <v>0</v>
      </c>
      <c r="K2727">
        <v>32</v>
      </c>
      <c r="L2727" t="s">
        <v>2917</v>
      </c>
      <c r="M2727">
        <v>32</v>
      </c>
      <c r="N2727" t="s">
        <v>2917</v>
      </c>
      <c r="O2727" t="s">
        <v>16903</v>
      </c>
      <c r="P2727" t="s">
        <v>2208</v>
      </c>
      <c r="Q2727" t="s">
        <v>8295</v>
      </c>
      <c r="R2727" t="s">
        <v>8296</v>
      </c>
    </row>
    <row r="2728" spans="1:18">
      <c r="A2728" t="s">
        <v>2237</v>
      </c>
      <c r="B2728" t="s">
        <v>2920</v>
      </c>
      <c r="C2728">
        <v>45679</v>
      </c>
      <c r="D2728" t="s">
        <v>7263</v>
      </c>
      <c r="E2728" t="s">
        <v>2921</v>
      </c>
      <c r="F2728">
        <v>45679</v>
      </c>
      <c r="G2728" t="s">
        <v>2208</v>
      </c>
      <c r="H2728" t="s">
        <v>8303</v>
      </c>
      <c r="I2728" t="s">
        <v>8304</v>
      </c>
      <c r="J2728">
        <v>0</v>
      </c>
      <c r="K2728">
        <v>146</v>
      </c>
      <c r="L2728" t="s">
        <v>2917</v>
      </c>
      <c r="M2728">
        <v>146</v>
      </c>
      <c r="N2728" t="s">
        <v>2917</v>
      </c>
      <c r="O2728" t="s">
        <v>8305</v>
      </c>
      <c r="P2728" t="s">
        <v>2208</v>
      </c>
      <c r="Q2728" t="s">
        <v>8306</v>
      </c>
      <c r="R2728" t="s">
        <v>8307</v>
      </c>
    </row>
    <row r="2729" spans="1:18">
      <c r="A2729" t="s">
        <v>709</v>
      </c>
      <c r="B2729" t="s">
        <v>2920</v>
      </c>
      <c r="C2729">
        <v>45679</v>
      </c>
      <c r="D2729" t="s">
        <v>7263</v>
      </c>
      <c r="E2729" t="s">
        <v>2921</v>
      </c>
      <c r="F2729">
        <v>45679</v>
      </c>
      <c r="G2729" t="s">
        <v>2208</v>
      </c>
      <c r="H2729" t="s">
        <v>8303</v>
      </c>
      <c r="I2729" t="s">
        <v>8308</v>
      </c>
      <c r="J2729">
        <v>0</v>
      </c>
      <c r="K2729">
        <v>73</v>
      </c>
      <c r="L2729" t="s">
        <v>2917</v>
      </c>
      <c r="M2729">
        <v>73</v>
      </c>
      <c r="N2729" t="s">
        <v>2917</v>
      </c>
      <c r="O2729" t="s">
        <v>8309</v>
      </c>
      <c r="P2729" t="s">
        <v>2208</v>
      </c>
      <c r="Q2729" t="s">
        <v>8306</v>
      </c>
      <c r="R2729" t="s">
        <v>8307</v>
      </c>
    </row>
    <row r="2730" spans="1:18">
      <c r="A2730" t="s">
        <v>7030</v>
      </c>
      <c r="B2730" t="s">
        <v>2920</v>
      </c>
      <c r="C2730">
        <v>45679</v>
      </c>
      <c r="D2730" t="s">
        <v>7263</v>
      </c>
      <c r="E2730" t="s">
        <v>2921</v>
      </c>
      <c r="F2730">
        <v>45679</v>
      </c>
      <c r="G2730" t="s">
        <v>2208</v>
      </c>
      <c r="H2730" t="s">
        <v>8303</v>
      </c>
      <c r="I2730" t="s">
        <v>8310</v>
      </c>
      <c r="J2730">
        <v>0</v>
      </c>
      <c r="K2730">
        <v>620.5</v>
      </c>
      <c r="L2730" t="s">
        <v>2917</v>
      </c>
      <c r="M2730">
        <v>620.5</v>
      </c>
      <c r="N2730" t="s">
        <v>2917</v>
      </c>
      <c r="O2730" t="s">
        <v>8311</v>
      </c>
      <c r="P2730" t="s">
        <v>2208</v>
      </c>
      <c r="Q2730" t="s">
        <v>8306</v>
      </c>
      <c r="R2730" t="s">
        <v>8307</v>
      </c>
    </row>
    <row r="2731" spans="1:18">
      <c r="A2731" t="s">
        <v>2418</v>
      </c>
      <c r="B2731" t="s">
        <v>2920</v>
      </c>
      <c r="C2731">
        <v>45679</v>
      </c>
      <c r="D2731" t="s">
        <v>7263</v>
      </c>
      <c r="E2731" t="s">
        <v>2921</v>
      </c>
      <c r="F2731">
        <v>45679</v>
      </c>
      <c r="G2731" t="s">
        <v>2208</v>
      </c>
      <c r="H2731" t="s">
        <v>8303</v>
      </c>
      <c r="I2731" t="s">
        <v>8312</v>
      </c>
      <c r="J2731">
        <v>0</v>
      </c>
      <c r="K2731">
        <v>73</v>
      </c>
      <c r="L2731" t="s">
        <v>2917</v>
      </c>
      <c r="M2731">
        <v>73</v>
      </c>
      <c r="N2731" t="s">
        <v>2917</v>
      </c>
      <c r="O2731" t="s">
        <v>8313</v>
      </c>
      <c r="P2731" t="s">
        <v>2208</v>
      </c>
      <c r="Q2731" t="s">
        <v>8306</v>
      </c>
      <c r="R2731" t="s">
        <v>8307</v>
      </c>
    </row>
    <row r="2732" spans="1:18">
      <c r="A2732" t="s">
        <v>709</v>
      </c>
      <c r="B2732" t="s">
        <v>2920</v>
      </c>
      <c r="C2732">
        <v>45679</v>
      </c>
      <c r="D2732" t="s">
        <v>7263</v>
      </c>
      <c r="E2732" t="s">
        <v>2921</v>
      </c>
      <c r="F2732">
        <v>45679</v>
      </c>
      <c r="G2732" t="s">
        <v>2208</v>
      </c>
      <c r="H2732" t="s">
        <v>8303</v>
      </c>
      <c r="I2732" t="s">
        <v>8314</v>
      </c>
      <c r="J2732">
        <v>0</v>
      </c>
      <c r="K2732">
        <v>73</v>
      </c>
      <c r="L2732" t="s">
        <v>2917</v>
      </c>
      <c r="M2732">
        <v>73</v>
      </c>
      <c r="N2732" t="s">
        <v>2917</v>
      </c>
      <c r="O2732" t="s">
        <v>8315</v>
      </c>
      <c r="P2732" t="s">
        <v>2208</v>
      </c>
      <c r="Q2732" t="s">
        <v>8306</v>
      </c>
      <c r="R2732" t="s">
        <v>8307</v>
      </c>
    </row>
    <row r="2733" spans="1:18">
      <c r="A2733" t="s">
        <v>7030</v>
      </c>
      <c r="B2733" t="s">
        <v>2920</v>
      </c>
      <c r="C2733">
        <v>45679</v>
      </c>
      <c r="D2733" t="s">
        <v>7263</v>
      </c>
      <c r="E2733" t="s">
        <v>2921</v>
      </c>
      <c r="F2733">
        <v>45679</v>
      </c>
      <c r="G2733" t="s">
        <v>2208</v>
      </c>
      <c r="H2733" t="s">
        <v>8303</v>
      </c>
      <c r="I2733" t="s">
        <v>8316</v>
      </c>
      <c r="J2733">
        <v>0</v>
      </c>
      <c r="K2733">
        <v>73</v>
      </c>
      <c r="L2733" t="s">
        <v>2917</v>
      </c>
      <c r="M2733">
        <v>73</v>
      </c>
      <c r="N2733" t="s">
        <v>2917</v>
      </c>
      <c r="O2733" t="s">
        <v>8317</v>
      </c>
      <c r="P2733" t="s">
        <v>2208</v>
      </c>
      <c r="Q2733" t="s">
        <v>8306</v>
      </c>
      <c r="R2733" t="s">
        <v>8307</v>
      </c>
    </row>
    <row r="2734" spans="1:18">
      <c r="A2734" t="s">
        <v>709</v>
      </c>
      <c r="B2734" t="s">
        <v>7740</v>
      </c>
      <c r="C2734">
        <v>45706</v>
      </c>
      <c r="D2734" t="s">
        <v>7263</v>
      </c>
      <c r="E2734" t="s">
        <v>2925</v>
      </c>
      <c r="F2734">
        <v>45705</v>
      </c>
      <c r="G2734" t="s">
        <v>2208</v>
      </c>
      <c r="H2734" t="s">
        <v>2976</v>
      </c>
      <c r="I2734" t="s">
        <v>9056</v>
      </c>
      <c r="J2734">
        <v>0</v>
      </c>
      <c r="K2734">
        <v>1282.05</v>
      </c>
      <c r="L2734" t="s">
        <v>2917</v>
      </c>
      <c r="M2734">
        <v>1282.05</v>
      </c>
      <c r="N2734" t="s">
        <v>2917</v>
      </c>
      <c r="O2734" t="s">
        <v>9057</v>
      </c>
      <c r="P2734" t="s">
        <v>2208</v>
      </c>
      <c r="Q2734" t="s">
        <v>8306</v>
      </c>
      <c r="R2734" t="s">
        <v>8307</v>
      </c>
    </row>
    <row r="2735" spans="1:18">
      <c r="A2735" t="s">
        <v>2237</v>
      </c>
      <c r="B2735" t="s">
        <v>9126</v>
      </c>
      <c r="C2735">
        <v>45743</v>
      </c>
      <c r="D2735" t="s">
        <v>7263</v>
      </c>
      <c r="E2735" t="s">
        <v>9127</v>
      </c>
      <c r="F2735">
        <v>45743</v>
      </c>
      <c r="G2735" t="s">
        <v>2208</v>
      </c>
      <c r="H2735" t="s">
        <v>8303</v>
      </c>
      <c r="I2735" t="s">
        <v>11847</v>
      </c>
      <c r="J2735">
        <v>0</v>
      </c>
      <c r="K2735">
        <v>255.5</v>
      </c>
      <c r="L2735" t="s">
        <v>2917</v>
      </c>
      <c r="M2735">
        <v>255.5</v>
      </c>
      <c r="N2735" t="s">
        <v>2917</v>
      </c>
      <c r="O2735" t="s">
        <v>11848</v>
      </c>
      <c r="P2735" t="s">
        <v>2208</v>
      </c>
      <c r="Q2735" t="s">
        <v>8306</v>
      </c>
      <c r="R2735" t="s">
        <v>8307</v>
      </c>
    </row>
    <row r="2736" spans="1:18">
      <c r="A2736" t="s">
        <v>7030</v>
      </c>
      <c r="B2736" t="s">
        <v>9126</v>
      </c>
      <c r="C2736">
        <v>45743</v>
      </c>
      <c r="D2736" t="s">
        <v>7263</v>
      </c>
      <c r="E2736" t="s">
        <v>9127</v>
      </c>
      <c r="F2736">
        <v>45743</v>
      </c>
      <c r="G2736" t="s">
        <v>2208</v>
      </c>
      <c r="H2736" t="s">
        <v>8303</v>
      </c>
      <c r="I2736" t="s">
        <v>11849</v>
      </c>
      <c r="J2736">
        <v>0</v>
      </c>
      <c r="K2736">
        <v>1807.5</v>
      </c>
      <c r="L2736" t="s">
        <v>2917</v>
      </c>
      <c r="M2736">
        <v>1807.5</v>
      </c>
      <c r="N2736" t="s">
        <v>2917</v>
      </c>
      <c r="O2736" t="s">
        <v>11850</v>
      </c>
      <c r="P2736" t="s">
        <v>2208</v>
      </c>
      <c r="Q2736" t="s">
        <v>8306</v>
      </c>
      <c r="R2736" t="s">
        <v>8307</v>
      </c>
    </row>
    <row r="2737" spans="1:18">
      <c r="A2737" t="s">
        <v>2418</v>
      </c>
      <c r="B2737" t="s">
        <v>9126</v>
      </c>
      <c r="C2737">
        <v>45743</v>
      </c>
      <c r="D2737" t="s">
        <v>7263</v>
      </c>
      <c r="E2737" t="s">
        <v>9127</v>
      </c>
      <c r="F2737">
        <v>45743</v>
      </c>
      <c r="G2737" t="s">
        <v>2208</v>
      </c>
      <c r="H2737" t="s">
        <v>8303</v>
      </c>
      <c r="I2737" t="s">
        <v>11851</v>
      </c>
      <c r="J2737">
        <v>0</v>
      </c>
      <c r="K2737">
        <v>91.25</v>
      </c>
      <c r="L2737" t="s">
        <v>2917</v>
      </c>
      <c r="M2737">
        <v>91.25</v>
      </c>
      <c r="N2737" t="s">
        <v>2917</v>
      </c>
      <c r="O2737" t="s">
        <v>11852</v>
      </c>
      <c r="P2737" t="s">
        <v>2208</v>
      </c>
      <c r="Q2737" t="s">
        <v>8306</v>
      </c>
      <c r="R2737" t="s">
        <v>8307</v>
      </c>
    </row>
    <row r="2738" spans="1:18">
      <c r="A2738" t="s">
        <v>7030</v>
      </c>
      <c r="B2738" t="s">
        <v>16360</v>
      </c>
      <c r="C2738">
        <v>45806</v>
      </c>
      <c r="D2738" t="s">
        <v>7263</v>
      </c>
      <c r="E2738" t="s">
        <v>16361</v>
      </c>
      <c r="F2738">
        <v>45806</v>
      </c>
      <c r="G2738" t="s">
        <v>2208</v>
      </c>
      <c r="H2738" t="s">
        <v>8303</v>
      </c>
      <c r="I2738" t="s">
        <v>17831</v>
      </c>
      <c r="J2738">
        <v>0</v>
      </c>
      <c r="K2738">
        <v>237.25</v>
      </c>
      <c r="L2738" t="s">
        <v>2917</v>
      </c>
      <c r="M2738">
        <v>237.25</v>
      </c>
      <c r="N2738" t="s">
        <v>2917</v>
      </c>
      <c r="O2738" t="s">
        <v>17832</v>
      </c>
      <c r="P2738" t="s">
        <v>2208</v>
      </c>
      <c r="Q2738" t="s">
        <v>8306</v>
      </c>
      <c r="R2738" t="s">
        <v>8307</v>
      </c>
    </row>
    <row r="2739" spans="1:18">
      <c r="A2739" t="s">
        <v>2237</v>
      </c>
      <c r="B2739" t="s">
        <v>16360</v>
      </c>
      <c r="C2739">
        <v>45806</v>
      </c>
      <c r="D2739" t="s">
        <v>7263</v>
      </c>
      <c r="E2739" t="s">
        <v>16361</v>
      </c>
      <c r="F2739">
        <v>45806</v>
      </c>
      <c r="G2739" t="s">
        <v>2208</v>
      </c>
      <c r="H2739" t="s">
        <v>8303</v>
      </c>
      <c r="I2739" t="s">
        <v>17833</v>
      </c>
      <c r="J2739">
        <v>0</v>
      </c>
      <c r="K2739">
        <v>200.75</v>
      </c>
      <c r="L2739" t="s">
        <v>2917</v>
      </c>
      <c r="M2739">
        <v>200.75</v>
      </c>
      <c r="N2739" t="s">
        <v>2917</v>
      </c>
      <c r="O2739" t="s">
        <v>17834</v>
      </c>
      <c r="P2739" t="s">
        <v>2208</v>
      </c>
      <c r="Q2739" t="s">
        <v>8306</v>
      </c>
      <c r="R2739" t="s">
        <v>8307</v>
      </c>
    </row>
    <row r="2740" spans="1:18">
      <c r="A2740" t="s">
        <v>709</v>
      </c>
      <c r="B2740" t="s">
        <v>17897</v>
      </c>
      <c r="C2740">
        <v>45804</v>
      </c>
      <c r="D2740" t="s">
        <v>7263</v>
      </c>
      <c r="E2740" t="s">
        <v>17898</v>
      </c>
      <c r="F2740">
        <v>45824</v>
      </c>
      <c r="G2740" t="s">
        <v>2208</v>
      </c>
      <c r="H2740" t="s">
        <v>2976</v>
      </c>
      <c r="I2740" t="s">
        <v>18793</v>
      </c>
      <c r="J2740">
        <v>0</v>
      </c>
      <c r="K2740">
        <v>1620.58</v>
      </c>
      <c r="L2740" t="s">
        <v>2917</v>
      </c>
      <c r="M2740">
        <v>1620.58</v>
      </c>
      <c r="N2740" t="s">
        <v>2917</v>
      </c>
      <c r="O2740" t="s">
        <v>18794</v>
      </c>
      <c r="P2740" t="s">
        <v>2208</v>
      </c>
      <c r="Q2740" t="s">
        <v>8306</v>
      </c>
      <c r="R2740" t="s">
        <v>8307</v>
      </c>
    </row>
    <row r="2741" spans="1:18">
      <c r="A2741" t="s">
        <v>7030</v>
      </c>
      <c r="B2741" t="s">
        <v>17897</v>
      </c>
      <c r="C2741">
        <v>45835</v>
      </c>
      <c r="D2741" t="s">
        <v>7263</v>
      </c>
      <c r="E2741" t="s">
        <v>17898</v>
      </c>
      <c r="F2741">
        <v>45835</v>
      </c>
      <c r="G2741" t="s">
        <v>2208</v>
      </c>
      <c r="H2741" t="s">
        <v>8303</v>
      </c>
      <c r="I2741" t="s">
        <v>19224</v>
      </c>
      <c r="J2741">
        <v>0</v>
      </c>
      <c r="K2741">
        <v>75</v>
      </c>
      <c r="L2741" t="s">
        <v>2917</v>
      </c>
      <c r="M2741">
        <v>75</v>
      </c>
      <c r="N2741" t="s">
        <v>2917</v>
      </c>
      <c r="O2741" t="s">
        <v>19225</v>
      </c>
      <c r="P2741" t="s">
        <v>2208</v>
      </c>
      <c r="Q2741" t="s">
        <v>8306</v>
      </c>
      <c r="R2741" t="s">
        <v>8307</v>
      </c>
    </row>
    <row r="2742" spans="1:18">
      <c r="A2742" t="s">
        <v>2237</v>
      </c>
      <c r="B2742" t="s">
        <v>17897</v>
      </c>
      <c r="C2742">
        <v>45835</v>
      </c>
      <c r="D2742" t="s">
        <v>7263</v>
      </c>
      <c r="E2742" t="s">
        <v>17898</v>
      </c>
      <c r="F2742">
        <v>45835</v>
      </c>
      <c r="G2742" t="s">
        <v>2208</v>
      </c>
      <c r="H2742" t="s">
        <v>8303</v>
      </c>
      <c r="I2742" t="s">
        <v>19226</v>
      </c>
      <c r="J2742">
        <v>0</v>
      </c>
      <c r="K2742">
        <v>225</v>
      </c>
      <c r="L2742" t="s">
        <v>2917</v>
      </c>
      <c r="M2742">
        <v>225</v>
      </c>
      <c r="N2742" t="s">
        <v>2917</v>
      </c>
      <c r="O2742" t="s">
        <v>19227</v>
      </c>
      <c r="P2742" t="s">
        <v>2208</v>
      </c>
      <c r="Q2742" t="s">
        <v>8306</v>
      </c>
      <c r="R2742" t="s">
        <v>8307</v>
      </c>
    </row>
    <row r="2743" spans="1:18">
      <c r="A2743" t="s">
        <v>709</v>
      </c>
      <c r="B2743" t="s">
        <v>2920</v>
      </c>
      <c r="C2743">
        <v>45657</v>
      </c>
      <c r="D2743" t="s">
        <v>7263</v>
      </c>
      <c r="E2743" t="s">
        <v>2921</v>
      </c>
      <c r="F2743">
        <v>45660</v>
      </c>
      <c r="G2743" t="s">
        <v>2208</v>
      </c>
      <c r="H2743" t="s">
        <v>2974</v>
      </c>
      <c r="I2743" t="s">
        <v>7418</v>
      </c>
      <c r="J2743">
        <v>0</v>
      </c>
      <c r="K2743">
        <v>1070.67</v>
      </c>
      <c r="L2743" t="s">
        <v>2917</v>
      </c>
      <c r="M2743">
        <v>1070.67</v>
      </c>
      <c r="N2743" t="s">
        <v>2917</v>
      </c>
      <c r="O2743" t="s">
        <v>3070</v>
      </c>
      <c r="P2743" t="s">
        <v>2208</v>
      </c>
      <c r="Q2743" t="s">
        <v>2975</v>
      </c>
      <c r="R2743" t="s">
        <v>3316</v>
      </c>
    </row>
    <row r="2744" spans="1:18">
      <c r="A2744" t="s">
        <v>709</v>
      </c>
      <c r="B2744" t="s">
        <v>2920</v>
      </c>
      <c r="C2744">
        <v>45657</v>
      </c>
      <c r="D2744" t="s">
        <v>7263</v>
      </c>
      <c r="E2744" t="s">
        <v>2921</v>
      </c>
      <c r="F2744">
        <v>45660</v>
      </c>
      <c r="G2744" t="s">
        <v>2208</v>
      </c>
      <c r="H2744" t="s">
        <v>2974</v>
      </c>
      <c r="I2744" t="s">
        <v>7418</v>
      </c>
      <c r="J2744">
        <v>0</v>
      </c>
      <c r="K2744">
        <v>325.3</v>
      </c>
      <c r="L2744" t="s">
        <v>2917</v>
      </c>
      <c r="M2744">
        <v>325.3</v>
      </c>
      <c r="N2744" t="s">
        <v>2917</v>
      </c>
      <c r="O2744" t="s">
        <v>3070</v>
      </c>
      <c r="P2744" t="s">
        <v>2208</v>
      </c>
      <c r="Q2744" t="s">
        <v>2975</v>
      </c>
      <c r="R2744" t="s">
        <v>3316</v>
      </c>
    </row>
    <row r="2745" spans="1:18">
      <c r="A2745" t="s">
        <v>709</v>
      </c>
      <c r="B2745" t="s">
        <v>2920</v>
      </c>
      <c r="C2745">
        <v>45657</v>
      </c>
      <c r="D2745" t="s">
        <v>7263</v>
      </c>
      <c r="E2745" t="s">
        <v>2921</v>
      </c>
      <c r="F2745">
        <v>45660</v>
      </c>
      <c r="G2745" t="s">
        <v>2208</v>
      </c>
      <c r="H2745" t="s">
        <v>2974</v>
      </c>
      <c r="I2745" t="s">
        <v>7418</v>
      </c>
      <c r="J2745">
        <v>0</v>
      </c>
      <c r="K2745">
        <v>318.35000000000002</v>
      </c>
      <c r="L2745" t="s">
        <v>2917</v>
      </c>
      <c r="M2745">
        <v>318.35000000000002</v>
      </c>
      <c r="N2745" t="s">
        <v>2917</v>
      </c>
      <c r="O2745" t="s">
        <v>3070</v>
      </c>
      <c r="P2745" t="s">
        <v>2208</v>
      </c>
      <c r="Q2745" t="s">
        <v>2975</v>
      </c>
      <c r="R2745" t="s">
        <v>3316</v>
      </c>
    </row>
    <row r="2746" spans="1:18">
      <c r="A2746" t="s">
        <v>709</v>
      </c>
      <c r="B2746" t="s">
        <v>2920</v>
      </c>
      <c r="C2746">
        <v>45657</v>
      </c>
      <c r="D2746" t="s">
        <v>7263</v>
      </c>
      <c r="E2746" t="s">
        <v>2921</v>
      </c>
      <c r="F2746">
        <v>45660</v>
      </c>
      <c r="G2746" t="s">
        <v>2208</v>
      </c>
      <c r="H2746" t="s">
        <v>2974</v>
      </c>
      <c r="I2746" t="s">
        <v>7418</v>
      </c>
      <c r="J2746">
        <v>0</v>
      </c>
      <c r="K2746">
        <v>216.68</v>
      </c>
      <c r="L2746" t="s">
        <v>2917</v>
      </c>
      <c r="M2746">
        <v>216.68</v>
      </c>
      <c r="N2746" t="s">
        <v>2917</v>
      </c>
      <c r="O2746" t="s">
        <v>3070</v>
      </c>
      <c r="P2746" t="s">
        <v>2208</v>
      </c>
      <c r="Q2746" t="s">
        <v>2975</v>
      </c>
      <c r="R2746" t="s">
        <v>3316</v>
      </c>
    </row>
    <row r="2747" spans="1:18">
      <c r="A2747" t="s">
        <v>709</v>
      </c>
      <c r="B2747" t="s">
        <v>2920</v>
      </c>
      <c r="C2747">
        <v>45657</v>
      </c>
      <c r="D2747" t="s">
        <v>7263</v>
      </c>
      <c r="E2747" t="s">
        <v>2921</v>
      </c>
      <c r="F2747">
        <v>45660</v>
      </c>
      <c r="G2747" t="s">
        <v>2208</v>
      </c>
      <c r="H2747" t="s">
        <v>2974</v>
      </c>
      <c r="I2747" t="s">
        <v>7418</v>
      </c>
      <c r="J2747">
        <v>0</v>
      </c>
      <c r="K2747">
        <v>3057.08</v>
      </c>
      <c r="L2747" t="s">
        <v>2917</v>
      </c>
      <c r="M2747">
        <v>3057.08</v>
      </c>
      <c r="N2747" t="s">
        <v>2917</v>
      </c>
      <c r="O2747" t="s">
        <v>3070</v>
      </c>
      <c r="P2747" t="s">
        <v>2208</v>
      </c>
      <c r="Q2747" t="s">
        <v>2975</v>
      </c>
      <c r="R2747" t="s">
        <v>3316</v>
      </c>
    </row>
    <row r="2748" spans="1:18">
      <c r="A2748" t="s">
        <v>709</v>
      </c>
      <c r="B2748" t="s">
        <v>2920</v>
      </c>
      <c r="C2748">
        <v>45657</v>
      </c>
      <c r="D2748" t="s">
        <v>7263</v>
      </c>
      <c r="E2748" t="s">
        <v>2921</v>
      </c>
      <c r="F2748">
        <v>45660</v>
      </c>
      <c r="G2748" t="s">
        <v>2208</v>
      </c>
      <c r="H2748" t="s">
        <v>2974</v>
      </c>
      <c r="I2748" t="s">
        <v>7418</v>
      </c>
      <c r="J2748">
        <v>0</v>
      </c>
      <c r="K2748">
        <v>191.21</v>
      </c>
      <c r="L2748" t="s">
        <v>2917</v>
      </c>
      <c r="M2748">
        <v>191.21</v>
      </c>
      <c r="N2748" t="s">
        <v>2917</v>
      </c>
      <c r="O2748" t="s">
        <v>3070</v>
      </c>
      <c r="P2748" t="s">
        <v>2208</v>
      </c>
      <c r="Q2748" t="s">
        <v>2975</v>
      </c>
      <c r="R2748" t="s">
        <v>3316</v>
      </c>
    </row>
    <row r="2749" spans="1:18">
      <c r="A2749" t="s">
        <v>709</v>
      </c>
      <c r="B2749" t="s">
        <v>2920</v>
      </c>
      <c r="C2749">
        <v>45657</v>
      </c>
      <c r="D2749" t="s">
        <v>7263</v>
      </c>
      <c r="E2749" t="s">
        <v>2921</v>
      </c>
      <c r="F2749">
        <v>45660</v>
      </c>
      <c r="G2749" t="s">
        <v>2208</v>
      </c>
      <c r="H2749" t="s">
        <v>2974</v>
      </c>
      <c r="I2749" t="s">
        <v>7418</v>
      </c>
      <c r="J2749">
        <v>0</v>
      </c>
      <c r="K2749">
        <v>52622.9</v>
      </c>
      <c r="L2749" t="s">
        <v>2917</v>
      </c>
      <c r="M2749">
        <v>52622.9</v>
      </c>
      <c r="N2749" t="s">
        <v>2917</v>
      </c>
      <c r="O2749" t="s">
        <v>3070</v>
      </c>
      <c r="P2749" t="s">
        <v>2208</v>
      </c>
      <c r="Q2749" t="s">
        <v>2975</v>
      </c>
      <c r="R2749" t="s">
        <v>3316</v>
      </c>
    </row>
    <row r="2750" spans="1:18">
      <c r="A2750" t="s">
        <v>709</v>
      </c>
      <c r="B2750" t="s">
        <v>2920</v>
      </c>
      <c r="C2750">
        <v>45657</v>
      </c>
      <c r="D2750" t="s">
        <v>7263</v>
      </c>
      <c r="E2750" t="s">
        <v>2921</v>
      </c>
      <c r="F2750">
        <v>45663</v>
      </c>
      <c r="G2750" t="s">
        <v>2208</v>
      </c>
      <c r="H2750" t="s">
        <v>2974</v>
      </c>
      <c r="I2750" t="s">
        <v>7419</v>
      </c>
      <c r="J2750">
        <v>0</v>
      </c>
      <c r="K2750">
        <v>82.05</v>
      </c>
      <c r="L2750" t="s">
        <v>2917</v>
      </c>
      <c r="M2750">
        <v>82.05</v>
      </c>
      <c r="N2750" t="s">
        <v>2917</v>
      </c>
      <c r="O2750" t="s">
        <v>3070</v>
      </c>
      <c r="P2750" t="s">
        <v>2208</v>
      </c>
      <c r="Q2750" t="s">
        <v>2975</v>
      </c>
      <c r="R2750" t="s">
        <v>3316</v>
      </c>
    </row>
    <row r="2751" spans="1:18">
      <c r="A2751" t="s">
        <v>709</v>
      </c>
      <c r="B2751" t="s">
        <v>2920</v>
      </c>
      <c r="C2751">
        <v>45657</v>
      </c>
      <c r="D2751" t="s">
        <v>7263</v>
      </c>
      <c r="E2751" t="s">
        <v>2921</v>
      </c>
      <c r="F2751">
        <v>45658</v>
      </c>
      <c r="G2751" t="s">
        <v>2208</v>
      </c>
      <c r="H2751" t="s">
        <v>8318</v>
      </c>
      <c r="I2751" t="s">
        <v>8319</v>
      </c>
      <c r="J2751">
        <v>0</v>
      </c>
      <c r="K2751">
        <v>-4760</v>
      </c>
      <c r="L2751" t="s">
        <v>2917</v>
      </c>
      <c r="M2751">
        <v>-4760</v>
      </c>
      <c r="N2751" t="s">
        <v>2917</v>
      </c>
      <c r="O2751" t="s">
        <v>8320</v>
      </c>
      <c r="P2751" t="s">
        <v>2208</v>
      </c>
      <c r="Q2751" t="s">
        <v>8321</v>
      </c>
      <c r="R2751" t="s">
        <v>8322</v>
      </c>
    </row>
    <row r="2752" spans="1:18">
      <c r="A2752" t="s">
        <v>709</v>
      </c>
      <c r="B2752" t="s">
        <v>2920</v>
      </c>
      <c r="C2752">
        <v>45657</v>
      </c>
      <c r="D2752" t="s">
        <v>7263</v>
      </c>
      <c r="E2752" t="s">
        <v>2921</v>
      </c>
      <c r="F2752">
        <v>45658</v>
      </c>
      <c r="G2752" t="s">
        <v>2208</v>
      </c>
      <c r="H2752" t="s">
        <v>8318</v>
      </c>
      <c r="I2752" t="s">
        <v>8319</v>
      </c>
      <c r="J2752">
        <v>0</v>
      </c>
      <c r="K2752">
        <v>-6634.38</v>
      </c>
      <c r="L2752" t="s">
        <v>2917</v>
      </c>
      <c r="M2752">
        <v>-6634.38</v>
      </c>
      <c r="N2752" t="s">
        <v>2917</v>
      </c>
      <c r="O2752" t="s">
        <v>8323</v>
      </c>
      <c r="P2752" t="s">
        <v>2208</v>
      </c>
      <c r="Q2752" t="s">
        <v>8321</v>
      </c>
      <c r="R2752" t="s">
        <v>8322</v>
      </c>
    </row>
    <row r="2753" spans="1:18">
      <c r="A2753" t="s">
        <v>709</v>
      </c>
      <c r="B2753" t="s">
        <v>2920</v>
      </c>
      <c r="C2753">
        <v>45657</v>
      </c>
      <c r="D2753" t="s">
        <v>7263</v>
      </c>
      <c r="E2753" t="s">
        <v>2921</v>
      </c>
      <c r="F2753">
        <v>45658</v>
      </c>
      <c r="G2753" t="s">
        <v>2208</v>
      </c>
      <c r="H2753" t="s">
        <v>8318</v>
      </c>
      <c r="I2753" t="s">
        <v>8319</v>
      </c>
      <c r="J2753">
        <v>0</v>
      </c>
      <c r="K2753">
        <v>-112153</v>
      </c>
      <c r="L2753" t="s">
        <v>2917</v>
      </c>
      <c r="M2753">
        <v>-112153</v>
      </c>
      <c r="N2753" t="s">
        <v>2917</v>
      </c>
      <c r="O2753" t="s">
        <v>8324</v>
      </c>
      <c r="P2753" t="s">
        <v>2208</v>
      </c>
      <c r="Q2753" t="s">
        <v>8321</v>
      </c>
      <c r="R2753" t="s">
        <v>8322</v>
      </c>
    </row>
    <row r="2754" spans="1:18">
      <c r="A2754" t="s">
        <v>2418</v>
      </c>
      <c r="B2754" t="s">
        <v>2920</v>
      </c>
      <c r="C2754">
        <v>45657</v>
      </c>
      <c r="D2754" t="s">
        <v>7263</v>
      </c>
      <c r="E2754" t="s">
        <v>2921</v>
      </c>
      <c r="F2754">
        <v>45658</v>
      </c>
      <c r="G2754" t="s">
        <v>2208</v>
      </c>
      <c r="H2754" t="s">
        <v>8318</v>
      </c>
      <c r="I2754" t="s">
        <v>8319</v>
      </c>
      <c r="J2754">
        <v>0</v>
      </c>
      <c r="K2754">
        <v>-76668.240000000005</v>
      </c>
      <c r="L2754" t="s">
        <v>2917</v>
      </c>
      <c r="M2754">
        <v>-76668.240000000005</v>
      </c>
      <c r="N2754" t="s">
        <v>2917</v>
      </c>
      <c r="O2754" t="s">
        <v>8325</v>
      </c>
      <c r="P2754" t="s">
        <v>2208</v>
      </c>
      <c r="Q2754" t="s">
        <v>8321</v>
      </c>
      <c r="R2754" t="s">
        <v>8322</v>
      </c>
    </row>
    <row r="2755" spans="1:18">
      <c r="A2755" t="s">
        <v>2418</v>
      </c>
      <c r="B2755" t="s">
        <v>2920</v>
      </c>
      <c r="C2755">
        <v>45657</v>
      </c>
      <c r="D2755" t="s">
        <v>7263</v>
      </c>
      <c r="E2755" t="s">
        <v>2921</v>
      </c>
      <c r="F2755">
        <v>45658</v>
      </c>
      <c r="G2755" t="s">
        <v>2208</v>
      </c>
      <c r="H2755" t="s">
        <v>8318</v>
      </c>
      <c r="I2755" t="s">
        <v>8319</v>
      </c>
      <c r="J2755">
        <v>0</v>
      </c>
      <c r="K2755">
        <v>-15518.9</v>
      </c>
      <c r="L2755" t="s">
        <v>2917</v>
      </c>
      <c r="M2755">
        <v>-15518.9</v>
      </c>
      <c r="N2755" t="s">
        <v>2917</v>
      </c>
      <c r="O2755" t="s">
        <v>8326</v>
      </c>
      <c r="P2755" t="s">
        <v>2208</v>
      </c>
      <c r="Q2755" t="s">
        <v>8321</v>
      </c>
      <c r="R2755" t="s">
        <v>8322</v>
      </c>
    </row>
    <row r="2756" spans="1:18">
      <c r="A2756" t="s">
        <v>2418</v>
      </c>
      <c r="B2756" t="s">
        <v>2920</v>
      </c>
      <c r="C2756">
        <v>45657</v>
      </c>
      <c r="D2756" t="s">
        <v>7263</v>
      </c>
      <c r="E2756" t="s">
        <v>2921</v>
      </c>
      <c r="F2756">
        <v>45658</v>
      </c>
      <c r="G2756" t="s">
        <v>2208</v>
      </c>
      <c r="H2756" t="s">
        <v>8318</v>
      </c>
      <c r="I2756" t="s">
        <v>8319</v>
      </c>
      <c r="J2756">
        <v>0</v>
      </c>
      <c r="K2756">
        <v>-253976</v>
      </c>
      <c r="L2756" t="s">
        <v>2917</v>
      </c>
      <c r="M2756">
        <v>-253976</v>
      </c>
      <c r="N2756" t="s">
        <v>2917</v>
      </c>
      <c r="O2756" t="s">
        <v>8327</v>
      </c>
      <c r="P2756" t="s">
        <v>2208</v>
      </c>
      <c r="Q2756" t="s">
        <v>8321</v>
      </c>
      <c r="R2756" t="s">
        <v>8322</v>
      </c>
    </row>
    <row r="2757" spans="1:18">
      <c r="A2757" t="s">
        <v>2418</v>
      </c>
      <c r="B2757" t="s">
        <v>2920</v>
      </c>
      <c r="C2757">
        <v>45657</v>
      </c>
      <c r="D2757" t="s">
        <v>7263</v>
      </c>
      <c r="E2757" t="s">
        <v>2921</v>
      </c>
      <c r="F2757">
        <v>45658</v>
      </c>
      <c r="G2757" t="s">
        <v>2208</v>
      </c>
      <c r="H2757" t="s">
        <v>8318</v>
      </c>
      <c r="I2757" t="s">
        <v>8319</v>
      </c>
      <c r="J2757">
        <v>0</v>
      </c>
      <c r="K2757">
        <v>-50795.199999999997</v>
      </c>
      <c r="L2757" t="s">
        <v>2917</v>
      </c>
      <c r="M2757">
        <v>-50795.199999999997</v>
      </c>
      <c r="N2757" t="s">
        <v>2917</v>
      </c>
      <c r="O2757" t="s">
        <v>8327</v>
      </c>
      <c r="P2757" t="s">
        <v>2208</v>
      </c>
      <c r="Q2757" t="s">
        <v>8321</v>
      </c>
      <c r="R2757" t="s">
        <v>8322</v>
      </c>
    </row>
    <row r="2758" spans="1:18">
      <c r="A2758" t="s">
        <v>2418</v>
      </c>
      <c r="B2758" t="s">
        <v>2920</v>
      </c>
      <c r="C2758">
        <v>45657</v>
      </c>
      <c r="D2758" t="s">
        <v>7263</v>
      </c>
      <c r="E2758" t="s">
        <v>2921</v>
      </c>
      <c r="F2758">
        <v>45658</v>
      </c>
      <c r="G2758" t="s">
        <v>2208</v>
      </c>
      <c r="H2758" t="s">
        <v>8318</v>
      </c>
      <c r="I2758" t="s">
        <v>8319</v>
      </c>
      <c r="J2758">
        <v>0</v>
      </c>
      <c r="K2758">
        <v>-11755.5</v>
      </c>
      <c r="L2758" t="s">
        <v>2917</v>
      </c>
      <c r="M2758">
        <v>-11755.5</v>
      </c>
      <c r="N2758" t="s">
        <v>2917</v>
      </c>
      <c r="O2758" t="s">
        <v>8328</v>
      </c>
      <c r="P2758" t="s">
        <v>2208</v>
      </c>
      <c r="Q2758" t="s">
        <v>8321</v>
      </c>
      <c r="R2758" t="s">
        <v>8322</v>
      </c>
    </row>
    <row r="2759" spans="1:18">
      <c r="A2759" t="s">
        <v>2418</v>
      </c>
      <c r="B2759" t="s">
        <v>2920</v>
      </c>
      <c r="C2759">
        <v>45657</v>
      </c>
      <c r="D2759" t="s">
        <v>7263</v>
      </c>
      <c r="E2759" t="s">
        <v>2921</v>
      </c>
      <c r="F2759">
        <v>45658</v>
      </c>
      <c r="G2759" t="s">
        <v>2208</v>
      </c>
      <c r="H2759" t="s">
        <v>8318</v>
      </c>
      <c r="I2759" t="s">
        <v>8319</v>
      </c>
      <c r="J2759">
        <v>0</v>
      </c>
      <c r="K2759">
        <v>-2351.1</v>
      </c>
      <c r="L2759" t="s">
        <v>2917</v>
      </c>
      <c r="M2759">
        <v>-2351.1</v>
      </c>
      <c r="N2759" t="s">
        <v>2917</v>
      </c>
      <c r="O2759" t="s">
        <v>8329</v>
      </c>
      <c r="P2759" t="s">
        <v>2208</v>
      </c>
      <c r="Q2759" t="s">
        <v>8321</v>
      </c>
      <c r="R2759" t="s">
        <v>8322</v>
      </c>
    </row>
    <row r="2760" spans="1:18">
      <c r="A2760" t="s">
        <v>2418</v>
      </c>
      <c r="B2760" t="s">
        <v>2920</v>
      </c>
      <c r="C2760">
        <v>45657</v>
      </c>
      <c r="D2760" t="s">
        <v>7263</v>
      </c>
      <c r="E2760" t="s">
        <v>2921</v>
      </c>
      <c r="F2760">
        <v>45658</v>
      </c>
      <c r="G2760" t="s">
        <v>2208</v>
      </c>
      <c r="H2760" t="s">
        <v>8318</v>
      </c>
      <c r="I2760" t="s">
        <v>8319</v>
      </c>
      <c r="J2760">
        <v>0</v>
      </c>
      <c r="K2760">
        <v>-19904</v>
      </c>
      <c r="L2760" t="s">
        <v>2917</v>
      </c>
      <c r="M2760">
        <v>-19904</v>
      </c>
      <c r="N2760" t="s">
        <v>2917</v>
      </c>
      <c r="O2760" t="s">
        <v>8330</v>
      </c>
      <c r="P2760" t="s">
        <v>2208</v>
      </c>
      <c r="Q2760" t="s">
        <v>8321</v>
      </c>
      <c r="R2760" t="s">
        <v>8322</v>
      </c>
    </row>
    <row r="2761" spans="1:18">
      <c r="A2761" t="s">
        <v>2418</v>
      </c>
      <c r="B2761" t="s">
        <v>2920</v>
      </c>
      <c r="C2761">
        <v>45657</v>
      </c>
      <c r="D2761" t="s">
        <v>7263</v>
      </c>
      <c r="E2761" t="s">
        <v>2921</v>
      </c>
      <c r="F2761">
        <v>45658</v>
      </c>
      <c r="G2761" t="s">
        <v>2208</v>
      </c>
      <c r="H2761" t="s">
        <v>8318</v>
      </c>
      <c r="I2761" t="s">
        <v>8319</v>
      </c>
      <c r="J2761">
        <v>0</v>
      </c>
      <c r="K2761">
        <v>-3980.8</v>
      </c>
      <c r="L2761" t="s">
        <v>2917</v>
      </c>
      <c r="M2761">
        <v>-3980.8</v>
      </c>
      <c r="N2761" t="s">
        <v>2917</v>
      </c>
      <c r="O2761" t="s">
        <v>8330</v>
      </c>
      <c r="P2761" t="s">
        <v>2208</v>
      </c>
      <c r="Q2761" t="s">
        <v>8321</v>
      </c>
      <c r="R2761" t="s">
        <v>8322</v>
      </c>
    </row>
    <row r="2762" spans="1:18">
      <c r="A2762" t="s">
        <v>2418</v>
      </c>
      <c r="B2762" t="s">
        <v>2920</v>
      </c>
      <c r="C2762">
        <v>45657</v>
      </c>
      <c r="D2762" t="s">
        <v>7263</v>
      </c>
      <c r="E2762" t="s">
        <v>2921</v>
      </c>
      <c r="F2762">
        <v>45658</v>
      </c>
      <c r="G2762" t="s">
        <v>2208</v>
      </c>
      <c r="H2762" t="s">
        <v>8318</v>
      </c>
      <c r="I2762" t="s">
        <v>8319</v>
      </c>
      <c r="J2762">
        <v>0</v>
      </c>
      <c r="K2762">
        <v>-40104</v>
      </c>
      <c r="L2762" t="s">
        <v>2917</v>
      </c>
      <c r="M2762">
        <v>-40104</v>
      </c>
      <c r="N2762" t="s">
        <v>2917</v>
      </c>
      <c r="O2762" t="s">
        <v>8330</v>
      </c>
      <c r="P2762" t="s">
        <v>2208</v>
      </c>
      <c r="Q2762" t="s">
        <v>8321</v>
      </c>
      <c r="R2762" t="s">
        <v>8322</v>
      </c>
    </row>
    <row r="2763" spans="1:18">
      <c r="A2763" t="s">
        <v>2418</v>
      </c>
      <c r="B2763" t="s">
        <v>2920</v>
      </c>
      <c r="C2763">
        <v>45657</v>
      </c>
      <c r="D2763" t="s">
        <v>7263</v>
      </c>
      <c r="E2763" t="s">
        <v>2921</v>
      </c>
      <c r="F2763">
        <v>45658</v>
      </c>
      <c r="G2763" t="s">
        <v>2208</v>
      </c>
      <c r="H2763" t="s">
        <v>8318</v>
      </c>
      <c r="I2763" t="s">
        <v>8319</v>
      </c>
      <c r="J2763">
        <v>0</v>
      </c>
      <c r="K2763">
        <v>-8020.8</v>
      </c>
      <c r="L2763" t="s">
        <v>2917</v>
      </c>
      <c r="M2763">
        <v>-8020.8</v>
      </c>
      <c r="N2763" t="s">
        <v>2917</v>
      </c>
      <c r="O2763" t="s">
        <v>8330</v>
      </c>
      <c r="P2763" t="s">
        <v>2208</v>
      </c>
      <c r="Q2763" t="s">
        <v>8321</v>
      </c>
      <c r="R2763" t="s">
        <v>8322</v>
      </c>
    </row>
    <row r="2764" spans="1:18">
      <c r="A2764" t="s">
        <v>2418</v>
      </c>
      <c r="B2764" t="s">
        <v>2920</v>
      </c>
      <c r="C2764">
        <v>45657</v>
      </c>
      <c r="D2764" t="s">
        <v>7263</v>
      </c>
      <c r="E2764" t="s">
        <v>2921</v>
      </c>
      <c r="F2764">
        <v>45658</v>
      </c>
      <c r="G2764" t="s">
        <v>2208</v>
      </c>
      <c r="H2764" t="s">
        <v>8318</v>
      </c>
      <c r="I2764" t="s">
        <v>8319</v>
      </c>
      <c r="J2764">
        <v>0</v>
      </c>
      <c r="K2764">
        <v>-37958.65</v>
      </c>
      <c r="L2764" t="s">
        <v>2917</v>
      </c>
      <c r="M2764">
        <v>-37958.65</v>
      </c>
      <c r="N2764" t="s">
        <v>2917</v>
      </c>
      <c r="O2764" t="s">
        <v>8331</v>
      </c>
      <c r="P2764" t="s">
        <v>2208</v>
      </c>
      <c r="Q2764" t="s">
        <v>8321</v>
      </c>
      <c r="R2764" t="s">
        <v>8322</v>
      </c>
    </row>
    <row r="2765" spans="1:18">
      <c r="A2765" t="s">
        <v>2418</v>
      </c>
      <c r="B2765" t="s">
        <v>2920</v>
      </c>
      <c r="C2765">
        <v>45657</v>
      </c>
      <c r="D2765" t="s">
        <v>7263</v>
      </c>
      <c r="E2765" t="s">
        <v>2921</v>
      </c>
      <c r="F2765">
        <v>45658</v>
      </c>
      <c r="G2765" t="s">
        <v>2208</v>
      </c>
      <c r="H2765" t="s">
        <v>8318</v>
      </c>
      <c r="I2765" t="s">
        <v>8319</v>
      </c>
      <c r="J2765">
        <v>0</v>
      </c>
      <c r="K2765">
        <v>-17629.900000000001</v>
      </c>
      <c r="L2765" t="s">
        <v>2917</v>
      </c>
      <c r="M2765">
        <v>-17629.900000000001</v>
      </c>
      <c r="N2765" t="s">
        <v>2917</v>
      </c>
      <c r="O2765" t="s">
        <v>8332</v>
      </c>
      <c r="P2765" t="s">
        <v>2208</v>
      </c>
      <c r="Q2765" t="s">
        <v>8321</v>
      </c>
      <c r="R2765" t="s">
        <v>8322</v>
      </c>
    </row>
    <row r="2766" spans="1:18">
      <c r="A2766" t="s">
        <v>810</v>
      </c>
      <c r="B2766" t="s">
        <v>2920</v>
      </c>
      <c r="C2766">
        <v>45657</v>
      </c>
      <c r="D2766" t="s">
        <v>7263</v>
      </c>
      <c r="E2766" t="s">
        <v>2921</v>
      </c>
      <c r="F2766">
        <v>45658</v>
      </c>
      <c r="G2766" t="s">
        <v>2208</v>
      </c>
      <c r="H2766" t="s">
        <v>8318</v>
      </c>
      <c r="I2766" t="s">
        <v>8333</v>
      </c>
      <c r="J2766">
        <v>0</v>
      </c>
      <c r="K2766">
        <v>-61849.13</v>
      </c>
      <c r="L2766" t="s">
        <v>2917</v>
      </c>
      <c r="M2766">
        <v>-61849.13</v>
      </c>
      <c r="N2766" t="s">
        <v>2917</v>
      </c>
      <c r="O2766" t="s">
        <v>8334</v>
      </c>
      <c r="P2766" t="s">
        <v>2208</v>
      </c>
      <c r="Q2766" t="s">
        <v>8321</v>
      </c>
      <c r="R2766" t="s">
        <v>8322</v>
      </c>
    </row>
    <row r="2767" spans="1:18">
      <c r="A2767" t="s">
        <v>2418</v>
      </c>
      <c r="B2767" t="s">
        <v>2920</v>
      </c>
      <c r="C2767">
        <v>45657</v>
      </c>
      <c r="D2767" t="s">
        <v>7263</v>
      </c>
      <c r="E2767" t="s">
        <v>2921</v>
      </c>
      <c r="F2767">
        <v>45658</v>
      </c>
      <c r="G2767" t="s">
        <v>2208</v>
      </c>
      <c r="H2767" t="s">
        <v>8318</v>
      </c>
      <c r="I2767" t="s">
        <v>8333</v>
      </c>
      <c r="J2767">
        <v>0</v>
      </c>
      <c r="K2767">
        <v>-2284.75</v>
      </c>
      <c r="L2767" t="s">
        <v>2917</v>
      </c>
      <c r="M2767">
        <v>-2284.75</v>
      </c>
      <c r="N2767" t="s">
        <v>2917</v>
      </c>
      <c r="O2767" t="s">
        <v>8335</v>
      </c>
      <c r="P2767" t="s">
        <v>2208</v>
      </c>
      <c r="Q2767" t="s">
        <v>8321</v>
      </c>
      <c r="R2767" t="s">
        <v>8322</v>
      </c>
    </row>
    <row r="2768" spans="1:18">
      <c r="A2768" t="s">
        <v>2501</v>
      </c>
      <c r="B2768" t="s">
        <v>2920</v>
      </c>
      <c r="C2768">
        <v>45657</v>
      </c>
      <c r="D2768" t="s">
        <v>7263</v>
      </c>
      <c r="E2768" t="s">
        <v>2921</v>
      </c>
      <c r="F2768">
        <v>45658</v>
      </c>
      <c r="G2768" t="s">
        <v>2208</v>
      </c>
      <c r="H2768" t="s">
        <v>8318</v>
      </c>
      <c r="I2768" t="s">
        <v>8333</v>
      </c>
      <c r="J2768">
        <v>0</v>
      </c>
      <c r="K2768">
        <v>-22971.9</v>
      </c>
      <c r="L2768" t="s">
        <v>2917</v>
      </c>
      <c r="M2768">
        <v>-22971.9</v>
      </c>
      <c r="N2768" t="s">
        <v>2917</v>
      </c>
      <c r="O2768" t="s">
        <v>8336</v>
      </c>
      <c r="P2768" t="s">
        <v>2208</v>
      </c>
      <c r="Q2768" t="s">
        <v>8321</v>
      </c>
      <c r="R2768" t="s">
        <v>8322</v>
      </c>
    </row>
    <row r="2769" spans="1:18">
      <c r="A2769" t="s">
        <v>709</v>
      </c>
      <c r="B2769" t="s">
        <v>2920</v>
      </c>
      <c r="C2769">
        <v>45657</v>
      </c>
      <c r="D2769" t="s">
        <v>7263</v>
      </c>
      <c r="E2769" t="s">
        <v>2921</v>
      </c>
      <c r="F2769">
        <v>45658</v>
      </c>
      <c r="G2769" t="s">
        <v>2208</v>
      </c>
      <c r="H2769" t="s">
        <v>8318</v>
      </c>
      <c r="I2769" t="s">
        <v>8333</v>
      </c>
      <c r="J2769">
        <v>0</v>
      </c>
      <c r="K2769">
        <v>-522.5</v>
      </c>
      <c r="L2769" t="s">
        <v>2917</v>
      </c>
      <c r="M2769">
        <v>-522.5</v>
      </c>
      <c r="N2769" t="s">
        <v>2917</v>
      </c>
      <c r="O2769" t="s">
        <v>8337</v>
      </c>
      <c r="P2769" t="s">
        <v>2208</v>
      </c>
      <c r="Q2769" t="s">
        <v>8321</v>
      </c>
      <c r="R2769" t="s">
        <v>8322</v>
      </c>
    </row>
    <row r="2770" spans="1:18">
      <c r="A2770" t="s">
        <v>2237</v>
      </c>
      <c r="B2770" t="s">
        <v>2920</v>
      </c>
      <c r="C2770">
        <v>45657</v>
      </c>
      <c r="D2770" t="s">
        <v>7263</v>
      </c>
      <c r="E2770" t="s">
        <v>2921</v>
      </c>
      <c r="F2770">
        <v>45658</v>
      </c>
      <c r="G2770" t="s">
        <v>2208</v>
      </c>
      <c r="H2770" t="s">
        <v>8318</v>
      </c>
      <c r="I2770" t="s">
        <v>8333</v>
      </c>
      <c r="J2770">
        <v>0</v>
      </c>
      <c r="K2770">
        <v>-864</v>
      </c>
      <c r="L2770" t="s">
        <v>2917</v>
      </c>
      <c r="M2770">
        <v>-864</v>
      </c>
      <c r="N2770" t="s">
        <v>2917</v>
      </c>
      <c r="O2770" t="s">
        <v>8338</v>
      </c>
      <c r="P2770" t="s">
        <v>2208</v>
      </c>
      <c r="Q2770" t="s">
        <v>8321</v>
      </c>
      <c r="R2770" t="s">
        <v>8322</v>
      </c>
    </row>
    <row r="2771" spans="1:18">
      <c r="A2771" t="s">
        <v>709</v>
      </c>
      <c r="B2771" t="s">
        <v>2920</v>
      </c>
      <c r="C2771">
        <v>45657</v>
      </c>
      <c r="D2771" t="s">
        <v>7263</v>
      </c>
      <c r="E2771" t="s">
        <v>2921</v>
      </c>
      <c r="F2771">
        <v>45658</v>
      </c>
      <c r="G2771" t="s">
        <v>2208</v>
      </c>
      <c r="H2771" t="s">
        <v>8318</v>
      </c>
      <c r="I2771" t="s">
        <v>8333</v>
      </c>
      <c r="J2771">
        <v>0</v>
      </c>
      <c r="K2771">
        <v>-4873.13</v>
      </c>
      <c r="L2771" t="s">
        <v>2917</v>
      </c>
      <c r="M2771">
        <v>-4873.13</v>
      </c>
      <c r="N2771" t="s">
        <v>2917</v>
      </c>
      <c r="O2771" t="s">
        <v>8339</v>
      </c>
      <c r="P2771" t="s">
        <v>2208</v>
      </c>
      <c r="Q2771" t="s">
        <v>8321</v>
      </c>
      <c r="R2771" t="s">
        <v>8322</v>
      </c>
    </row>
    <row r="2772" spans="1:18">
      <c r="A2772" t="s">
        <v>2418</v>
      </c>
      <c r="B2772" t="s">
        <v>2920</v>
      </c>
      <c r="C2772">
        <v>45657</v>
      </c>
      <c r="D2772" t="s">
        <v>7263</v>
      </c>
      <c r="E2772" t="s">
        <v>2921</v>
      </c>
      <c r="F2772">
        <v>45658</v>
      </c>
      <c r="G2772" t="s">
        <v>2208</v>
      </c>
      <c r="H2772" t="s">
        <v>8318</v>
      </c>
      <c r="I2772" t="s">
        <v>8333</v>
      </c>
      <c r="J2772">
        <v>0</v>
      </c>
      <c r="K2772">
        <v>-9163.6</v>
      </c>
      <c r="L2772" t="s">
        <v>2917</v>
      </c>
      <c r="M2772">
        <v>-9163.6</v>
      </c>
      <c r="N2772" t="s">
        <v>2917</v>
      </c>
      <c r="O2772" t="s">
        <v>8340</v>
      </c>
      <c r="P2772" t="s">
        <v>2208</v>
      </c>
      <c r="Q2772" t="s">
        <v>8321</v>
      </c>
      <c r="R2772" t="s">
        <v>8322</v>
      </c>
    </row>
    <row r="2773" spans="1:18">
      <c r="A2773" t="s">
        <v>7030</v>
      </c>
      <c r="B2773" t="s">
        <v>2920</v>
      </c>
      <c r="C2773">
        <v>45657</v>
      </c>
      <c r="D2773" t="s">
        <v>7263</v>
      </c>
      <c r="E2773" t="s">
        <v>2921</v>
      </c>
      <c r="F2773">
        <v>45658</v>
      </c>
      <c r="G2773" t="s">
        <v>2208</v>
      </c>
      <c r="H2773" t="s">
        <v>8318</v>
      </c>
      <c r="I2773" t="s">
        <v>8333</v>
      </c>
      <c r="J2773">
        <v>0</v>
      </c>
      <c r="K2773">
        <v>-12139.5</v>
      </c>
      <c r="L2773" t="s">
        <v>2917</v>
      </c>
      <c r="M2773">
        <v>-12139.5</v>
      </c>
      <c r="N2773" t="s">
        <v>2917</v>
      </c>
      <c r="O2773" t="s">
        <v>8341</v>
      </c>
      <c r="P2773" t="s">
        <v>2208</v>
      </c>
      <c r="Q2773" t="s">
        <v>8321</v>
      </c>
      <c r="R2773" t="s">
        <v>8322</v>
      </c>
    </row>
    <row r="2774" spans="1:18">
      <c r="A2774" t="s">
        <v>7030</v>
      </c>
      <c r="B2774" t="s">
        <v>2920</v>
      </c>
      <c r="C2774">
        <v>45657</v>
      </c>
      <c r="D2774" t="s">
        <v>7263</v>
      </c>
      <c r="E2774" t="s">
        <v>2921</v>
      </c>
      <c r="F2774">
        <v>45658</v>
      </c>
      <c r="G2774" t="s">
        <v>2208</v>
      </c>
      <c r="H2774" t="s">
        <v>8318</v>
      </c>
      <c r="I2774" t="s">
        <v>8333</v>
      </c>
      <c r="J2774">
        <v>0</v>
      </c>
      <c r="K2774">
        <v>-3488.6</v>
      </c>
      <c r="L2774" t="s">
        <v>2917</v>
      </c>
      <c r="M2774">
        <v>-3488.6</v>
      </c>
      <c r="N2774" t="s">
        <v>2917</v>
      </c>
      <c r="O2774" t="s">
        <v>8342</v>
      </c>
      <c r="P2774" t="s">
        <v>2208</v>
      </c>
      <c r="Q2774" t="s">
        <v>8321</v>
      </c>
      <c r="R2774" t="s">
        <v>8322</v>
      </c>
    </row>
    <row r="2775" spans="1:18">
      <c r="A2775" t="s">
        <v>2256</v>
      </c>
      <c r="B2775" t="s">
        <v>2920</v>
      </c>
      <c r="C2775">
        <v>45688</v>
      </c>
      <c r="D2775" t="s">
        <v>7263</v>
      </c>
      <c r="E2775" t="s">
        <v>2921</v>
      </c>
      <c r="F2775">
        <v>45688</v>
      </c>
      <c r="G2775" t="s">
        <v>2208</v>
      </c>
      <c r="H2775" t="s">
        <v>8343</v>
      </c>
      <c r="I2775" t="s">
        <v>8344</v>
      </c>
      <c r="J2775">
        <v>0</v>
      </c>
      <c r="K2775">
        <v>71.5</v>
      </c>
      <c r="L2775" t="s">
        <v>2917</v>
      </c>
      <c r="M2775">
        <v>71.5</v>
      </c>
      <c r="N2775" t="s">
        <v>2917</v>
      </c>
      <c r="O2775" t="s">
        <v>8345</v>
      </c>
      <c r="P2775" t="s">
        <v>2208</v>
      </c>
      <c r="Q2775" t="s">
        <v>8343</v>
      </c>
      <c r="R2775" t="s">
        <v>8346</v>
      </c>
    </row>
    <row r="2776" spans="1:18">
      <c r="A2776" t="s">
        <v>2237</v>
      </c>
      <c r="B2776" t="s">
        <v>2920</v>
      </c>
      <c r="C2776">
        <v>45688</v>
      </c>
      <c r="D2776" t="s">
        <v>7263</v>
      </c>
      <c r="E2776" t="s">
        <v>2921</v>
      </c>
      <c r="F2776">
        <v>45688</v>
      </c>
      <c r="G2776" t="s">
        <v>2208</v>
      </c>
      <c r="H2776" t="s">
        <v>8318</v>
      </c>
      <c r="I2776" t="s">
        <v>8347</v>
      </c>
      <c r="J2776">
        <v>0</v>
      </c>
      <c r="K2776">
        <v>240</v>
      </c>
      <c r="L2776" t="s">
        <v>2917</v>
      </c>
      <c r="M2776">
        <v>240</v>
      </c>
      <c r="N2776" t="s">
        <v>2917</v>
      </c>
      <c r="O2776" t="s">
        <v>8348</v>
      </c>
      <c r="P2776" t="s">
        <v>2208</v>
      </c>
      <c r="Q2776" t="s">
        <v>8321</v>
      </c>
      <c r="R2776" t="s">
        <v>8322</v>
      </c>
    </row>
    <row r="2777" spans="1:18">
      <c r="A2777" t="s">
        <v>2418</v>
      </c>
      <c r="B2777" t="s">
        <v>2920</v>
      </c>
      <c r="C2777">
        <v>45688</v>
      </c>
      <c r="D2777" t="s">
        <v>7263</v>
      </c>
      <c r="E2777" t="s">
        <v>2921</v>
      </c>
      <c r="F2777">
        <v>45688</v>
      </c>
      <c r="G2777" t="s">
        <v>2208</v>
      </c>
      <c r="H2777" t="s">
        <v>8318</v>
      </c>
      <c r="I2777" t="s">
        <v>8347</v>
      </c>
      <c r="J2777">
        <v>0</v>
      </c>
      <c r="K2777">
        <v>5946.6</v>
      </c>
      <c r="L2777" t="s">
        <v>2917</v>
      </c>
      <c r="M2777">
        <v>5946.6</v>
      </c>
      <c r="N2777" t="s">
        <v>2917</v>
      </c>
      <c r="O2777" t="s">
        <v>8349</v>
      </c>
      <c r="P2777" t="s">
        <v>2208</v>
      </c>
      <c r="Q2777" t="s">
        <v>8321</v>
      </c>
      <c r="R2777" t="s">
        <v>8322</v>
      </c>
    </row>
    <row r="2778" spans="1:18">
      <c r="A2778" t="s">
        <v>7030</v>
      </c>
      <c r="B2778" t="s">
        <v>2920</v>
      </c>
      <c r="C2778">
        <v>45688</v>
      </c>
      <c r="D2778" t="s">
        <v>7263</v>
      </c>
      <c r="E2778" t="s">
        <v>2921</v>
      </c>
      <c r="F2778">
        <v>45688</v>
      </c>
      <c r="G2778" t="s">
        <v>2208</v>
      </c>
      <c r="H2778" t="s">
        <v>8318</v>
      </c>
      <c r="I2778" t="s">
        <v>8347</v>
      </c>
      <c r="J2778">
        <v>0</v>
      </c>
      <c r="K2778">
        <v>11958.5</v>
      </c>
      <c r="L2778" t="s">
        <v>2917</v>
      </c>
      <c r="M2778">
        <v>11958.5</v>
      </c>
      <c r="N2778" t="s">
        <v>2917</v>
      </c>
      <c r="O2778" t="s">
        <v>8350</v>
      </c>
      <c r="P2778" t="s">
        <v>2208</v>
      </c>
      <c r="Q2778" t="s">
        <v>8321</v>
      </c>
      <c r="R2778" t="s">
        <v>8322</v>
      </c>
    </row>
    <row r="2779" spans="1:18">
      <c r="A2779" t="s">
        <v>2418</v>
      </c>
      <c r="B2779" t="s">
        <v>2920</v>
      </c>
      <c r="C2779">
        <v>45688</v>
      </c>
      <c r="D2779" t="s">
        <v>7263</v>
      </c>
      <c r="E2779" t="s">
        <v>2921</v>
      </c>
      <c r="F2779">
        <v>45688</v>
      </c>
      <c r="G2779" t="s">
        <v>2208</v>
      </c>
      <c r="H2779" t="s">
        <v>8318</v>
      </c>
      <c r="I2779" t="s">
        <v>8347</v>
      </c>
      <c r="J2779">
        <v>0</v>
      </c>
      <c r="K2779">
        <v>4005</v>
      </c>
      <c r="L2779" t="s">
        <v>2917</v>
      </c>
      <c r="M2779">
        <v>4005</v>
      </c>
      <c r="N2779" t="s">
        <v>2917</v>
      </c>
      <c r="O2779" t="s">
        <v>8351</v>
      </c>
      <c r="P2779" t="s">
        <v>2208</v>
      </c>
      <c r="Q2779" t="s">
        <v>8321</v>
      </c>
      <c r="R2779" t="s">
        <v>8322</v>
      </c>
    </row>
    <row r="2780" spans="1:18">
      <c r="A2780" t="s">
        <v>2418</v>
      </c>
      <c r="B2780" t="s">
        <v>2920</v>
      </c>
      <c r="C2780">
        <v>45688</v>
      </c>
      <c r="D2780" t="s">
        <v>7263</v>
      </c>
      <c r="E2780" t="s">
        <v>2921</v>
      </c>
      <c r="F2780">
        <v>45688</v>
      </c>
      <c r="G2780" t="s">
        <v>2208</v>
      </c>
      <c r="H2780" t="s">
        <v>8318</v>
      </c>
      <c r="I2780" t="s">
        <v>8347</v>
      </c>
      <c r="J2780">
        <v>0</v>
      </c>
      <c r="K2780">
        <v>26104</v>
      </c>
      <c r="L2780" t="s">
        <v>2917</v>
      </c>
      <c r="M2780">
        <v>26104</v>
      </c>
      <c r="N2780" t="s">
        <v>2917</v>
      </c>
      <c r="O2780" t="s">
        <v>8352</v>
      </c>
      <c r="P2780" t="s">
        <v>2208</v>
      </c>
      <c r="Q2780" t="s">
        <v>8321</v>
      </c>
      <c r="R2780" t="s">
        <v>8322</v>
      </c>
    </row>
    <row r="2781" spans="1:18">
      <c r="A2781" t="s">
        <v>709</v>
      </c>
      <c r="B2781" t="s">
        <v>2920</v>
      </c>
      <c r="C2781">
        <v>45688</v>
      </c>
      <c r="D2781" t="s">
        <v>7263</v>
      </c>
      <c r="E2781" t="s">
        <v>2921</v>
      </c>
      <c r="F2781">
        <v>45688</v>
      </c>
      <c r="G2781" t="s">
        <v>2208</v>
      </c>
      <c r="H2781" t="s">
        <v>8318</v>
      </c>
      <c r="I2781" t="s">
        <v>8353</v>
      </c>
      <c r="J2781">
        <v>0</v>
      </c>
      <c r="K2781">
        <v>4760</v>
      </c>
      <c r="L2781" t="s">
        <v>2917</v>
      </c>
      <c r="M2781">
        <v>4760</v>
      </c>
      <c r="N2781" t="s">
        <v>2917</v>
      </c>
      <c r="O2781" t="s">
        <v>8354</v>
      </c>
      <c r="P2781" t="s">
        <v>2208</v>
      </c>
      <c r="Q2781" t="s">
        <v>8321</v>
      </c>
      <c r="R2781" t="s">
        <v>8322</v>
      </c>
    </row>
    <row r="2782" spans="1:18">
      <c r="A2782" t="s">
        <v>2418</v>
      </c>
      <c r="B2782" t="s">
        <v>2920</v>
      </c>
      <c r="C2782">
        <v>45688</v>
      </c>
      <c r="D2782" t="s">
        <v>7263</v>
      </c>
      <c r="E2782" t="s">
        <v>2921</v>
      </c>
      <c r="F2782">
        <v>45688</v>
      </c>
      <c r="G2782" t="s">
        <v>2208</v>
      </c>
      <c r="H2782" t="s">
        <v>8318</v>
      </c>
      <c r="I2782" t="s">
        <v>8353</v>
      </c>
      <c r="J2782">
        <v>0</v>
      </c>
      <c r="K2782">
        <v>89800</v>
      </c>
      <c r="L2782" t="s">
        <v>2917</v>
      </c>
      <c r="M2782">
        <v>89800</v>
      </c>
      <c r="N2782" t="s">
        <v>2917</v>
      </c>
      <c r="O2782" t="s">
        <v>8355</v>
      </c>
      <c r="P2782" t="s">
        <v>2208</v>
      </c>
      <c r="Q2782" t="s">
        <v>8321</v>
      </c>
      <c r="R2782" t="s">
        <v>8322</v>
      </c>
    </row>
    <row r="2783" spans="1:18">
      <c r="A2783" t="s">
        <v>2418</v>
      </c>
      <c r="B2783" t="s">
        <v>2920</v>
      </c>
      <c r="C2783">
        <v>45688</v>
      </c>
      <c r="D2783" t="s">
        <v>7263</v>
      </c>
      <c r="E2783" t="s">
        <v>2921</v>
      </c>
      <c r="F2783">
        <v>45688</v>
      </c>
      <c r="G2783" t="s">
        <v>2208</v>
      </c>
      <c r="H2783" t="s">
        <v>8318</v>
      </c>
      <c r="I2783" t="s">
        <v>8353</v>
      </c>
      <c r="J2783">
        <v>0</v>
      </c>
      <c r="K2783">
        <v>76668.240000000005</v>
      </c>
      <c r="L2783" t="s">
        <v>2917</v>
      </c>
      <c r="M2783">
        <v>76668.240000000005</v>
      </c>
      <c r="N2783" t="s">
        <v>2917</v>
      </c>
      <c r="O2783" t="s">
        <v>8330</v>
      </c>
      <c r="P2783" t="s">
        <v>2208</v>
      </c>
      <c r="Q2783" t="s">
        <v>8321</v>
      </c>
      <c r="R2783" t="s">
        <v>8322</v>
      </c>
    </row>
    <row r="2784" spans="1:18">
      <c r="A2784" t="s">
        <v>2418</v>
      </c>
      <c r="B2784" t="s">
        <v>2920</v>
      </c>
      <c r="C2784">
        <v>45688</v>
      </c>
      <c r="D2784" t="s">
        <v>7263</v>
      </c>
      <c r="E2784" t="s">
        <v>2921</v>
      </c>
      <c r="F2784">
        <v>45688</v>
      </c>
      <c r="G2784" t="s">
        <v>2208</v>
      </c>
      <c r="H2784" t="s">
        <v>8318</v>
      </c>
      <c r="I2784" t="s">
        <v>8353</v>
      </c>
      <c r="J2784">
        <v>0</v>
      </c>
      <c r="K2784">
        <v>15518.9</v>
      </c>
      <c r="L2784" t="s">
        <v>2917</v>
      </c>
      <c r="M2784">
        <v>15518.9</v>
      </c>
      <c r="N2784" t="s">
        <v>2917</v>
      </c>
      <c r="O2784" t="s">
        <v>8330</v>
      </c>
      <c r="P2784" t="s">
        <v>2208</v>
      </c>
      <c r="Q2784" t="s">
        <v>8321</v>
      </c>
      <c r="R2784" t="s">
        <v>8322</v>
      </c>
    </row>
    <row r="2785" spans="1:18">
      <c r="A2785" t="s">
        <v>2418</v>
      </c>
      <c r="B2785" t="s">
        <v>2920</v>
      </c>
      <c r="C2785">
        <v>45688</v>
      </c>
      <c r="D2785" t="s">
        <v>7263</v>
      </c>
      <c r="E2785" t="s">
        <v>2921</v>
      </c>
      <c r="F2785">
        <v>45688</v>
      </c>
      <c r="G2785" t="s">
        <v>2208</v>
      </c>
      <c r="H2785" t="s">
        <v>8318</v>
      </c>
      <c r="I2785" t="s">
        <v>8353</v>
      </c>
      <c r="J2785">
        <v>0</v>
      </c>
      <c r="K2785">
        <v>253976</v>
      </c>
      <c r="L2785" t="s">
        <v>2917</v>
      </c>
      <c r="M2785">
        <v>253976</v>
      </c>
      <c r="N2785" t="s">
        <v>2917</v>
      </c>
      <c r="O2785" t="s">
        <v>8330</v>
      </c>
      <c r="P2785" t="s">
        <v>2208</v>
      </c>
      <c r="Q2785" t="s">
        <v>8321</v>
      </c>
      <c r="R2785" t="s">
        <v>8322</v>
      </c>
    </row>
    <row r="2786" spans="1:18">
      <c r="A2786" t="s">
        <v>2418</v>
      </c>
      <c r="B2786" t="s">
        <v>2920</v>
      </c>
      <c r="C2786">
        <v>45688</v>
      </c>
      <c r="D2786" t="s">
        <v>7263</v>
      </c>
      <c r="E2786" t="s">
        <v>2921</v>
      </c>
      <c r="F2786">
        <v>45688</v>
      </c>
      <c r="G2786" t="s">
        <v>2208</v>
      </c>
      <c r="H2786" t="s">
        <v>8318</v>
      </c>
      <c r="I2786" t="s">
        <v>8353</v>
      </c>
      <c r="J2786">
        <v>0</v>
      </c>
      <c r="K2786">
        <v>50795.199999999997</v>
      </c>
      <c r="L2786" t="s">
        <v>2917</v>
      </c>
      <c r="M2786">
        <v>50795.199999999997</v>
      </c>
      <c r="N2786" t="s">
        <v>2917</v>
      </c>
      <c r="O2786" t="s">
        <v>8330</v>
      </c>
      <c r="P2786" t="s">
        <v>2208</v>
      </c>
      <c r="Q2786" t="s">
        <v>8321</v>
      </c>
      <c r="R2786" t="s">
        <v>8322</v>
      </c>
    </row>
    <row r="2787" spans="1:18">
      <c r="A2787" t="s">
        <v>2418</v>
      </c>
      <c r="B2787" t="s">
        <v>2920</v>
      </c>
      <c r="C2787">
        <v>45688</v>
      </c>
      <c r="D2787" t="s">
        <v>7263</v>
      </c>
      <c r="E2787" t="s">
        <v>2921</v>
      </c>
      <c r="F2787">
        <v>45688</v>
      </c>
      <c r="G2787" t="s">
        <v>2208</v>
      </c>
      <c r="H2787" t="s">
        <v>8318</v>
      </c>
      <c r="I2787" t="s">
        <v>8353</v>
      </c>
      <c r="J2787">
        <v>0</v>
      </c>
      <c r="K2787">
        <v>11755.5</v>
      </c>
      <c r="L2787" t="s">
        <v>2917</v>
      </c>
      <c r="M2787">
        <v>11755.5</v>
      </c>
      <c r="N2787" t="s">
        <v>2917</v>
      </c>
      <c r="O2787" t="s">
        <v>8330</v>
      </c>
      <c r="P2787" t="s">
        <v>2208</v>
      </c>
      <c r="Q2787" t="s">
        <v>8321</v>
      </c>
      <c r="R2787" t="s">
        <v>8322</v>
      </c>
    </row>
    <row r="2788" spans="1:18">
      <c r="A2788" t="s">
        <v>2418</v>
      </c>
      <c r="B2788" t="s">
        <v>2920</v>
      </c>
      <c r="C2788">
        <v>45688</v>
      </c>
      <c r="D2788" t="s">
        <v>7263</v>
      </c>
      <c r="E2788" t="s">
        <v>2921</v>
      </c>
      <c r="F2788">
        <v>45688</v>
      </c>
      <c r="G2788" t="s">
        <v>2208</v>
      </c>
      <c r="H2788" t="s">
        <v>8318</v>
      </c>
      <c r="I2788" t="s">
        <v>8353</v>
      </c>
      <c r="J2788">
        <v>0</v>
      </c>
      <c r="K2788">
        <v>2351.1</v>
      </c>
      <c r="L2788" t="s">
        <v>2917</v>
      </c>
      <c r="M2788">
        <v>2351.1</v>
      </c>
      <c r="N2788" t="s">
        <v>2917</v>
      </c>
      <c r="O2788" t="s">
        <v>8330</v>
      </c>
      <c r="P2788" t="s">
        <v>2208</v>
      </c>
      <c r="Q2788" t="s">
        <v>8321</v>
      </c>
      <c r="R2788" t="s">
        <v>8322</v>
      </c>
    </row>
    <row r="2789" spans="1:18">
      <c r="A2789" t="s">
        <v>2418</v>
      </c>
      <c r="B2789" t="s">
        <v>2920</v>
      </c>
      <c r="C2789">
        <v>45688</v>
      </c>
      <c r="D2789" t="s">
        <v>7263</v>
      </c>
      <c r="E2789" t="s">
        <v>2921</v>
      </c>
      <c r="F2789">
        <v>45688</v>
      </c>
      <c r="G2789" t="s">
        <v>2208</v>
      </c>
      <c r="H2789" t="s">
        <v>8318</v>
      </c>
      <c r="I2789" t="s">
        <v>8353</v>
      </c>
      <c r="J2789">
        <v>0</v>
      </c>
      <c r="K2789">
        <v>19904</v>
      </c>
      <c r="L2789" t="s">
        <v>2917</v>
      </c>
      <c r="M2789">
        <v>19904</v>
      </c>
      <c r="N2789" t="s">
        <v>2917</v>
      </c>
      <c r="O2789" t="s">
        <v>8330</v>
      </c>
      <c r="P2789" t="s">
        <v>2208</v>
      </c>
      <c r="Q2789" t="s">
        <v>8321</v>
      </c>
      <c r="R2789" t="s">
        <v>8322</v>
      </c>
    </row>
    <row r="2790" spans="1:18">
      <c r="A2790" t="s">
        <v>2418</v>
      </c>
      <c r="B2790" t="s">
        <v>2920</v>
      </c>
      <c r="C2790">
        <v>45688</v>
      </c>
      <c r="D2790" t="s">
        <v>7263</v>
      </c>
      <c r="E2790" t="s">
        <v>2921</v>
      </c>
      <c r="F2790">
        <v>45688</v>
      </c>
      <c r="G2790" t="s">
        <v>2208</v>
      </c>
      <c r="H2790" t="s">
        <v>8318</v>
      </c>
      <c r="I2790" t="s">
        <v>8353</v>
      </c>
      <c r="J2790">
        <v>0</v>
      </c>
      <c r="K2790">
        <v>3980.8</v>
      </c>
      <c r="L2790" t="s">
        <v>2917</v>
      </c>
      <c r="M2790">
        <v>3980.8</v>
      </c>
      <c r="N2790" t="s">
        <v>2917</v>
      </c>
      <c r="O2790" t="s">
        <v>8330</v>
      </c>
      <c r="P2790" t="s">
        <v>2208</v>
      </c>
      <c r="Q2790" t="s">
        <v>8321</v>
      </c>
      <c r="R2790" t="s">
        <v>8322</v>
      </c>
    </row>
    <row r="2791" spans="1:18">
      <c r="A2791" t="s">
        <v>2418</v>
      </c>
      <c r="B2791" t="s">
        <v>2920</v>
      </c>
      <c r="C2791">
        <v>45688</v>
      </c>
      <c r="D2791" t="s">
        <v>7263</v>
      </c>
      <c r="E2791" t="s">
        <v>2921</v>
      </c>
      <c r="F2791">
        <v>45688</v>
      </c>
      <c r="G2791" t="s">
        <v>2208</v>
      </c>
      <c r="H2791" t="s">
        <v>8318</v>
      </c>
      <c r="I2791" t="s">
        <v>8353</v>
      </c>
      <c r="J2791">
        <v>0</v>
      </c>
      <c r="K2791">
        <v>40104</v>
      </c>
      <c r="L2791" t="s">
        <v>2917</v>
      </c>
      <c r="M2791">
        <v>40104</v>
      </c>
      <c r="N2791" t="s">
        <v>2917</v>
      </c>
      <c r="O2791" t="s">
        <v>8330</v>
      </c>
      <c r="P2791" t="s">
        <v>2208</v>
      </c>
      <c r="Q2791" t="s">
        <v>8321</v>
      </c>
      <c r="R2791" t="s">
        <v>8322</v>
      </c>
    </row>
    <row r="2792" spans="1:18">
      <c r="A2792" t="s">
        <v>2418</v>
      </c>
      <c r="B2792" t="s">
        <v>2920</v>
      </c>
      <c r="C2792">
        <v>45688</v>
      </c>
      <c r="D2792" t="s">
        <v>7263</v>
      </c>
      <c r="E2792" t="s">
        <v>2921</v>
      </c>
      <c r="F2792">
        <v>45688</v>
      </c>
      <c r="G2792" t="s">
        <v>2208</v>
      </c>
      <c r="H2792" t="s">
        <v>8318</v>
      </c>
      <c r="I2792" t="s">
        <v>8353</v>
      </c>
      <c r="J2792">
        <v>0</v>
      </c>
      <c r="K2792">
        <v>8020.8</v>
      </c>
      <c r="L2792" t="s">
        <v>2917</v>
      </c>
      <c r="M2792">
        <v>8020.8</v>
      </c>
      <c r="N2792" t="s">
        <v>2917</v>
      </c>
      <c r="O2792" t="s">
        <v>8330</v>
      </c>
      <c r="P2792" t="s">
        <v>2208</v>
      </c>
      <c r="Q2792" t="s">
        <v>8321</v>
      </c>
      <c r="R2792" t="s">
        <v>8322</v>
      </c>
    </row>
    <row r="2793" spans="1:18">
      <c r="A2793" t="s">
        <v>2418</v>
      </c>
      <c r="B2793" t="s">
        <v>2920</v>
      </c>
      <c r="C2793">
        <v>45688</v>
      </c>
      <c r="D2793" t="s">
        <v>7263</v>
      </c>
      <c r="E2793" t="s">
        <v>2921</v>
      </c>
      <c r="F2793">
        <v>45688</v>
      </c>
      <c r="G2793" t="s">
        <v>2208</v>
      </c>
      <c r="H2793" t="s">
        <v>8318</v>
      </c>
      <c r="I2793" t="s">
        <v>8353</v>
      </c>
      <c r="J2793">
        <v>0</v>
      </c>
      <c r="K2793">
        <v>30204.65</v>
      </c>
      <c r="L2793" t="s">
        <v>2917</v>
      </c>
      <c r="M2793">
        <v>30204.65</v>
      </c>
      <c r="N2793" t="s">
        <v>2917</v>
      </c>
      <c r="O2793" t="s">
        <v>8356</v>
      </c>
      <c r="P2793" t="s">
        <v>2208</v>
      </c>
      <c r="Q2793" t="s">
        <v>8321</v>
      </c>
      <c r="R2793" t="s">
        <v>8322</v>
      </c>
    </row>
    <row r="2794" spans="1:18">
      <c r="A2794" t="s">
        <v>2418</v>
      </c>
      <c r="B2794" t="s">
        <v>2920</v>
      </c>
      <c r="C2794">
        <v>45688</v>
      </c>
      <c r="D2794" t="s">
        <v>7263</v>
      </c>
      <c r="E2794" t="s">
        <v>2921</v>
      </c>
      <c r="F2794">
        <v>45688</v>
      </c>
      <c r="G2794" t="s">
        <v>2208</v>
      </c>
      <c r="H2794" t="s">
        <v>8318</v>
      </c>
      <c r="I2794" t="s">
        <v>8353</v>
      </c>
      <c r="J2794">
        <v>0</v>
      </c>
      <c r="K2794">
        <v>15914.9</v>
      </c>
      <c r="L2794" t="s">
        <v>2917</v>
      </c>
      <c r="M2794">
        <v>15914.9</v>
      </c>
      <c r="N2794" t="s">
        <v>2917</v>
      </c>
      <c r="O2794" t="s">
        <v>8357</v>
      </c>
      <c r="P2794" t="s">
        <v>2208</v>
      </c>
      <c r="Q2794" t="s">
        <v>8321</v>
      </c>
      <c r="R2794" t="s">
        <v>8322</v>
      </c>
    </row>
    <row r="2795" spans="1:18">
      <c r="A2795" t="s">
        <v>709</v>
      </c>
      <c r="B2795" t="s">
        <v>2920</v>
      </c>
      <c r="C2795">
        <v>45688</v>
      </c>
      <c r="D2795" t="s">
        <v>7263</v>
      </c>
      <c r="E2795" t="s">
        <v>2921</v>
      </c>
      <c r="F2795">
        <v>45688</v>
      </c>
      <c r="G2795" t="s">
        <v>2208</v>
      </c>
      <c r="H2795" t="s">
        <v>2974</v>
      </c>
      <c r="I2795" t="s">
        <v>8474</v>
      </c>
      <c r="J2795">
        <v>0</v>
      </c>
      <c r="K2795">
        <v>-1070.67</v>
      </c>
      <c r="L2795" t="s">
        <v>2917</v>
      </c>
      <c r="M2795">
        <v>-1070.67</v>
      </c>
      <c r="N2795" t="s">
        <v>2917</v>
      </c>
      <c r="O2795" t="s">
        <v>3070</v>
      </c>
      <c r="P2795" t="s">
        <v>2208</v>
      </c>
      <c r="Q2795" t="s">
        <v>2975</v>
      </c>
      <c r="R2795" t="s">
        <v>3316</v>
      </c>
    </row>
    <row r="2796" spans="1:18">
      <c r="A2796" t="s">
        <v>709</v>
      </c>
      <c r="B2796" t="s">
        <v>2920</v>
      </c>
      <c r="C2796">
        <v>45688</v>
      </c>
      <c r="D2796" t="s">
        <v>7263</v>
      </c>
      <c r="E2796" t="s">
        <v>2921</v>
      </c>
      <c r="F2796">
        <v>45688</v>
      </c>
      <c r="G2796" t="s">
        <v>2208</v>
      </c>
      <c r="H2796" t="s">
        <v>2974</v>
      </c>
      <c r="I2796" t="s">
        <v>8474</v>
      </c>
      <c r="J2796">
        <v>0</v>
      </c>
      <c r="K2796">
        <v>-325.3</v>
      </c>
      <c r="L2796" t="s">
        <v>2917</v>
      </c>
      <c r="M2796">
        <v>-325.3</v>
      </c>
      <c r="N2796" t="s">
        <v>2917</v>
      </c>
      <c r="O2796" t="s">
        <v>3070</v>
      </c>
      <c r="P2796" t="s">
        <v>2208</v>
      </c>
      <c r="Q2796" t="s">
        <v>2975</v>
      </c>
      <c r="R2796" t="s">
        <v>3316</v>
      </c>
    </row>
    <row r="2797" spans="1:18">
      <c r="A2797" t="s">
        <v>709</v>
      </c>
      <c r="B2797" t="s">
        <v>2920</v>
      </c>
      <c r="C2797">
        <v>45688</v>
      </c>
      <c r="D2797" t="s">
        <v>7263</v>
      </c>
      <c r="E2797" t="s">
        <v>2921</v>
      </c>
      <c r="F2797">
        <v>45688</v>
      </c>
      <c r="G2797" t="s">
        <v>2208</v>
      </c>
      <c r="H2797" t="s">
        <v>2974</v>
      </c>
      <c r="I2797" t="s">
        <v>8474</v>
      </c>
      <c r="J2797">
        <v>0</v>
      </c>
      <c r="K2797">
        <v>-527.57000000000005</v>
      </c>
      <c r="L2797" t="s">
        <v>2917</v>
      </c>
      <c r="M2797">
        <v>-527.57000000000005</v>
      </c>
      <c r="N2797" t="s">
        <v>2917</v>
      </c>
      <c r="O2797" t="s">
        <v>3070</v>
      </c>
      <c r="P2797" t="s">
        <v>2208</v>
      </c>
      <c r="Q2797" t="s">
        <v>2975</v>
      </c>
      <c r="R2797" t="s">
        <v>3316</v>
      </c>
    </row>
    <row r="2798" spans="1:18">
      <c r="A2798" t="s">
        <v>709</v>
      </c>
      <c r="B2798" t="s">
        <v>2920</v>
      </c>
      <c r="C2798">
        <v>45688</v>
      </c>
      <c r="D2798" t="s">
        <v>7263</v>
      </c>
      <c r="E2798" t="s">
        <v>2921</v>
      </c>
      <c r="F2798">
        <v>45688</v>
      </c>
      <c r="G2798" t="s">
        <v>2208</v>
      </c>
      <c r="H2798" t="s">
        <v>2974</v>
      </c>
      <c r="I2798" t="s">
        <v>8474</v>
      </c>
      <c r="J2798">
        <v>0</v>
      </c>
      <c r="K2798">
        <v>-216.68</v>
      </c>
      <c r="L2798" t="s">
        <v>2917</v>
      </c>
      <c r="M2798">
        <v>-216.68</v>
      </c>
      <c r="N2798" t="s">
        <v>2917</v>
      </c>
      <c r="O2798" t="s">
        <v>3070</v>
      </c>
      <c r="P2798" t="s">
        <v>2208</v>
      </c>
      <c r="Q2798" t="s">
        <v>2975</v>
      </c>
      <c r="R2798" t="s">
        <v>3316</v>
      </c>
    </row>
    <row r="2799" spans="1:18">
      <c r="A2799" t="s">
        <v>709</v>
      </c>
      <c r="B2799" t="s">
        <v>2920</v>
      </c>
      <c r="C2799">
        <v>45688</v>
      </c>
      <c r="D2799" t="s">
        <v>7263</v>
      </c>
      <c r="E2799" t="s">
        <v>2921</v>
      </c>
      <c r="F2799">
        <v>45688</v>
      </c>
      <c r="G2799" t="s">
        <v>2208</v>
      </c>
      <c r="H2799" t="s">
        <v>2974</v>
      </c>
      <c r="I2799" t="s">
        <v>8474</v>
      </c>
      <c r="J2799">
        <v>0</v>
      </c>
      <c r="K2799">
        <v>-4394.45</v>
      </c>
      <c r="L2799" t="s">
        <v>2917</v>
      </c>
      <c r="M2799">
        <v>-4394.45</v>
      </c>
      <c r="N2799" t="s">
        <v>2917</v>
      </c>
      <c r="O2799" t="s">
        <v>3070</v>
      </c>
      <c r="P2799" t="s">
        <v>2208</v>
      </c>
      <c r="Q2799" t="s">
        <v>2975</v>
      </c>
      <c r="R2799" t="s">
        <v>3316</v>
      </c>
    </row>
    <row r="2800" spans="1:18">
      <c r="A2800" t="s">
        <v>709</v>
      </c>
      <c r="B2800" t="s">
        <v>2920</v>
      </c>
      <c r="C2800">
        <v>45688</v>
      </c>
      <c r="D2800" t="s">
        <v>7263</v>
      </c>
      <c r="E2800" t="s">
        <v>2921</v>
      </c>
      <c r="F2800">
        <v>45688</v>
      </c>
      <c r="G2800" t="s">
        <v>2208</v>
      </c>
      <c r="H2800" t="s">
        <v>2974</v>
      </c>
      <c r="I2800" t="s">
        <v>8474</v>
      </c>
      <c r="J2800">
        <v>0</v>
      </c>
      <c r="K2800">
        <v>-191.21</v>
      </c>
      <c r="L2800" t="s">
        <v>2917</v>
      </c>
      <c r="M2800">
        <v>-191.21</v>
      </c>
      <c r="N2800" t="s">
        <v>2917</v>
      </c>
      <c r="O2800" t="s">
        <v>3070</v>
      </c>
      <c r="P2800" t="s">
        <v>2208</v>
      </c>
      <c r="Q2800" t="s">
        <v>2975</v>
      </c>
      <c r="R2800" t="s">
        <v>3316</v>
      </c>
    </row>
    <row r="2801" spans="1:18">
      <c r="A2801" t="s">
        <v>709</v>
      </c>
      <c r="B2801" t="s">
        <v>2920</v>
      </c>
      <c r="C2801">
        <v>45688</v>
      </c>
      <c r="D2801" t="s">
        <v>7263</v>
      </c>
      <c r="E2801" t="s">
        <v>2921</v>
      </c>
      <c r="F2801">
        <v>45688</v>
      </c>
      <c r="G2801" t="s">
        <v>2208</v>
      </c>
      <c r="H2801" t="s">
        <v>2974</v>
      </c>
      <c r="I2801" t="s">
        <v>8474</v>
      </c>
      <c r="J2801">
        <v>0</v>
      </c>
      <c r="K2801">
        <v>-52622.9</v>
      </c>
      <c r="L2801" t="s">
        <v>2917</v>
      </c>
      <c r="M2801">
        <v>-52622.9</v>
      </c>
      <c r="N2801" t="s">
        <v>2917</v>
      </c>
      <c r="O2801" t="s">
        <v>3070</v>
      </c>
      <c r="P2801" t="s">
        <v>2208</v>
      </c>
      <c r="Q2801" t="s">
        <v>2975</v>
      </c>
      <c r="R2801" t="s">
        <v>3316</v>
      </c>
    </row>
    <row r="2802" spans="1:18">
      <c r="A2802" t="s">
        <v>709</v>
      </c>
      <c r="B2802" t="s">
        <v>7740</v>
      </c>
      <c r="C2802">
        <v>45688</v>
      </c>
      <c r="D2802" t="s">
        <v>7263</v>
      </c>
      <c r="E2802" t="s">
        <v>2925</v>
      </c>
      <c r="F2802">
        <v>45692</v>
      </c>
      <c r="G2802" t="s">
        <v>2208</v>
      </c>
      <c r="H2802" t="s">
        <v>2974</v>
      </c>
      <c r="I2802" t="s">
        <v>8475</v>
      </c>
      <c r="J2802">
        <v>0</v>
      </c>
      <c r="K2802">
        <v>1070.67</v>
      </c>
      <c r="L2802" t="s">
        <v>2917</v>
      </c>
      <c r="M2802">
        <v>1070.67</v>
      </c>
      <c r="N2802" t="s">
        <v>2917</v>
      </c>
      <c r="O2802" t="s">
        <v>3070</v>
      </c>
      <c r="P2802" t="s">
        <v>2208</v>
      </c>
      <c r="Q2802" t="s">
        <v>2975</v>
      </c>
      <c r="R2802" t="s">
        <v>3316</v>
      </c>
    </row>
    <row r="2803" spans="1:18">
      <c r="A2803" t="s">
        <v>709</v>
      </c>
      <c r="B2803" t="s">
        <v>7740</v>
      </c>
      <c r="C2803">
        <v>45688</v>
      </c>
      <c r="D2803" t="s">
        <v>7263</v>
      </c>
      <c r="E2803" t="s">
        <v>2925</v>
      </c>
      <c r="F2803">
        <v>45692</v>
      </c>
      <c r="G2803" t="s">
        <v>2208</v>
      </c>
      <c r="H2803" t="s">
        <v>2974</v>
      </c>
      <c r="I2803" t="s">
        <v>8475</v>
      </c>
      <c r="J2803">
        <v>0</v>
      </c>
      <c r="K2803">
        <v>325.3</v>
      </c>
      <c r="L2803" t="s">
        <v>2917</v>
      </c>
      <c r="M2803">
        <v>325.3</v>
      </c>
      <c r="N2803" t="s">
        <v>2917</v>
      </c>
      <c r="O2803" t="s">
        <v>3070</v>
      </c>
      <c r="P2803" t="s">
        <v>2208</v>
      </c>
      <c r="Q2803" t="s">
        <v>2975</v>
      </c>
      <c r="R2803" t="s">
        <v>3316</v>
      </c>
    </row>
    <row r="2804" spans="1:18">
      <c r="A2804" t="s">
        <v>709</v>
      </c>
      <c r="B2804" t="s">
        <v>7740</v>
      </c>
      <c r="C2804">
        <v>45688</v>
      </c>
      <c r="D2804" t="s">
        <v>7263</v>
      </c>
      <c r="E2804" t="s">
        <v>2925</v>
      </c>
      <c r="F2804">
        <v>45692</v>
      </c>
      <c r="G2804" t="s">
        <v>2208</v>
      </c>
      <c r="H2804" t="s">
        <v>2974</v>
      </c>
      <c r="I2804" t="s">
        <v>8475</v>
      </c>
      <c r="J2804">
        <v>0</v>
      </c>
      <c r="K2804">
        <v>527.57000000000005</v>
      </c>
      <c r="L2804" t="s">
        <v>2917</v>
      </c>
      <c r="M2804">
        <v>527.57000000000005</v>
      </c>
      <c r="N2804" t="s">
        <v>2917</v>
      </c>
      <c r="O2804" t="s">
        <v>3070</v>
      </c>
      <c r="P2804" t="s">
        <v>2208</v>
      </c>
      <c r="Q2804" t="s">
        <v>2975</v>
      </c>
      <c r="R2804" t="s">
        <v>3316</v>
      </c>
    </row>
    <row r="2805" spans="1:18">
      <c r="A2805" t="s">
        <v>709</v>
      </c>
      <c r="B2805" t="s">
        <v>7740</v>
      </c>
      <c r="C2805">
        <v>45688</v>
      </c>
      <c r="D2805" t="s">
        <v>7263</v>
      </c>
      <c r="E2805" t="s">
        <v>2925</v>
      </c>
      <c r="F2805">
        <v>45692</v>
      </c>
      <c r="G2805" t="s">
        <v>2208</v>
      </c>
      <c r="H2805" t="s">
        <v>2974</v>
      </c>
      <c r="I2805" t="s">
        <v>8475</v>
      </c>
      <c r="J2805">
        <v>0</v>
      </c>
      <c r="K2805">
        <v>216.68</v>
      </c>
      <c r="L2805" t="s">
        <v>2917</v>
      </c>
      <c r="M2805">
        <v>216.68</v>
      </c>
      <c r="N2805" t="s">
        <v>2917</v>
      </c>
      <c r="O2805" t="s">
        <v>3070</v>
      </c>
      <c r="P2805" t="s">
        <v>2208</v>
      </c>
      <c r="Q2805" t="s">
        <v>2975</v>
      </c>
      <c r="R2805" t="s">
        <v>3316</v>
      </c>
    </row>
    <row r="2806" spans="1:18">
      <c r="A2806" t="s">
        <v>709</v>
      </c>
      <c r="B2806" t="s">
        <v>7740</v>
      </c>
      <c r="C2806">
        <v>45688</v>
      </c>
      <c r="D2806" t="s">
        <v>7263</v>
      </c>
      <c r="E2806" t="s">
        <v>2925</v>
      </c>
      <c r="F2806">
        <v>45692</v>
      </c>
      <c r="G2806" t="s">
        <v>2208</v>
      </c>
      <c r="H2806" t="s">
        <v>2974</v>
      </c>
      <c r="I2806" t="s">
        <v>8475</v>
      </c>
      <c r="J2806">
        <v>0</v>
      </c>
      <c r="K2806">
        <v>4394.45</v>
      </c>
      <c r="L2806" t="s">
        <v>2917</v>
      </c>
      <c r="M2806">
        <v>4394.45</v>
      </c>
      <c r="N2806" t="s">
        <v>2917</v>
      </c>
      <c r="O2806" t="s">
        <v>3070</v>
      </c>
      <c r="P2806" t="s">
        <v>2208</v>
      </c>
      <c r="Q2806" t="s">
        <v>2975</v>
      </c>
      <c r="R2806" t="s">
        <v>3316</v>
      </c>
    </row>
    <row r="2807" spans="1:18">
      <c r="A2807" t="s">
        <v>709</v>
      </c>
      <c r="B2807" t="s">
        <v>7740</v>
      </c>
      <c r="C2807">
        <v>45688</v>
      </c>
      <c r="D2807" t="s">
        <v>7263</v>
      </c>
      <c r="E2807" t="s">
        <v>2925</v>
      </c>
      <c r="F2807">
        <v>45692</v>
      </c>
      <c r="G2807" t="s">
        <v>2208</v>
      </c>
      <c r="H2807" t="s">
        <v>2974</v>
      </c>
      <c r="I2807" t="s">
        <v>8475</v>
      </c>
      <c r="J2807">
        <v>0</v>
      </c>
      <c r="K2807">
        <v>191.21</v>
      </c>
      <c r="L2807" t="s">
        <v>2917</v>
      </c>
      <c r="M2807">
        <v>191.21</v>
      </c>
      <c r="N2807" t="s">
        <v>2917</v>
      </c>
      <c r="O2807" t="s">
        <v>3070</v>
      </c>
      <c r="P2807" t="s">
        <v>2208</v>
      </c>
      <c r="Q2807" t="s">
        <v>2975</v>
      </c>
      <c r="R2807" t="s">
        <v>3316</v>
      </c>
    </row>
    <row r="2808" spans="1:18">
      <c r="A2808" t="s">
        <v>709</v>
      </c>
      <c r="B2808" t="s">
        <v>7740</v>
      </c>
      <c r="C2808">
        <v>45688</v>
      </c>
      <c r="D2808" t="s">
        <v>7263</v>
      </c>
      <c r="E2808" t="s">
        <v>2925</v>
      </c>
      <c r="F2808">
        <v>45692</v>
      </c>
      <c r="G2808" t="s">
        <v>2208</v>
      </c>
      <c r="H2808" t="s">
        <v>2974</v>
      </c>
      <c r="I2808" t="s">
        <v>8475</v>
      </c>
      <c r="J2808">
        <v>0</v>
      </c>
      <c r="K2808">
        <v>52622.9</v>
      </c>
      <c r="L2808" t="s">
        <v>2917</v>
      </c>
      <c r="M2808">
        <v>52622.9</v>
      </c>
      <c r="N2808" t="s">
        <v>2917</v>
      </c>
      <c r="O2808" t="s">
        <v>3070</v>
      </c>
      <c r="P2808" t="s">
        <v>2208</v>
      </c>
      <c r="Q2808" t="s">
        <v>2975</v>
      </c>
      <c r="R2808" t="s">
        <v>3316</v>
      </c>
    </row>
    <row r="2809" spans="1:18">
      <c r="A2809" t="s">
        <v>709</v>
      </c>
      <c r="B2809" t="s">
        <v>2920</v>
      </c>
      <c r="C2809">
        <v>45688</v>
      </c>
      <c r="D2809" t="s">
        <v>7263</v>
      </c>
      <c r="E2809" t="s">
        <v>2921</v>
      </c>
      <c r="F2809">
        <v>45688</v>
      </c>
      <c r="G2809" t="s">
        <v>2208</v>
      </c>
      <c r="H2809" t="s">
        <v>2974</v>
      </c>
      <c r="I2809" t="s">
        <v>8476</v>
      </c>
      <c r="J2809">
        <v>0</v>
      </c>
      <c r="K2809">
        <v>-68.400000000000006</v>
      </c>
      <c r="L2809" t="s">
        <v>2917</v>
      </c>
      <c r="M2809">
        <v>-68.400000000000006</v>
      </c>
      <c r="N2809" t="s">
        <v>2917</v>
      </c>
      <c r="O2809" t="s">
        <v>3070</v>
      </c>
      <c r="P2809" t="s">
        <v>2208</v>
      </c>
      <c r="Q2809" t="s">
        <v>2975</v>
      </c>
      <c r="R2809" t="s">
        <v>3316</v>
      </c>
    </row>
    <row r="2810" spans="1:18">
      <c r="A2810" t="s">
        <v>709</v>
      </c>
      <c r="B2810" t="s">
        <v>2920</v>
      </c>
      <c r="C2810">
        <v>45688</v>
      </c>
      <c r="D2810" t="s">
        <v>7263</v>
      </c>
      <c r="E2810" t="s">
        <v>2921</v>
      </c>
      <c r="F2810">
        <v>45688</v>
      </c>
      <c r="G2810" t="s">
        <v>2208</v>
      </c>
      <c r="H2810" t="s">
        <v>2974</v>
      </c>
      <c r="I2810" t="s">
        <v>8476</v>
      </c>
      <c r="J2810">
        <v>0</v>
      </c>
      <c r="K2810">
        <v>-410.39</v>
      </c>
      <c r="L2810" t="s">
        <v>2917</v>
      </c>
      <c r="M2810">
        <v>-410.39</v>
      </c>
      <c r="N2810" t="s">
        <v>2917</v>
      </c>
      <c r="O2810" t="s">
        <v>3070</v>
      </c>
      <c r="P2810" t="s">
        <v>2208</v>
      </c>
      <c r="Q2810" t="s">
        <v>2975</v>
      </c>
      <c r="R2810" t="s">
        <v>3316</v>
      </c>
    </row>
    <row r="2811" spans="1:18">
      <c r="A2811" t="s">
        <v>709</v>
      </c>
      <c r="B2811" t="s">
        <v>7740</v>
      </c>
      <c r="C2811">
        <v>45688</v>
      </c>
      <c r="D2811" t="s">
        <v>7263</v>
      </c>
      <c r="E2811" t="s">
        <v>2925</v>
      </c>
      <c r="F2811">
        <v>45693</v>
      </c>
      <c r="G2811" t="s">
        <v>2208</v>
      </c>
      <c r="H2811" t="s">
        <v>2974</v>
      </c>
      <c r="I2811" t="s">
        <v>8477</v>
      </c>
      <c r="J2811">
        <v>0</v>
      </c>
      <c r="K2811">
        <v>68.400000000000006</v>
      </c>
      <c r="L2811" t="s">
        <v>2917</v>
      </c>
      <c r="M2811">
        <v>68.400000000000006</v>
      </c>
      <c r="N2811" t="s">
        <v>2917</v>
      </c>
      <c r="O2811" t="s">
        <v>3070</v>
      </c>
      <c r="P2811" t="s">
        <v>2208</v>
      </c>
      <c r="Q2811" t="s">
        <v>2975</v>
      </c>
      <c r="R2811" t="s">
        <v>3316</v>
      </c>
    </row>
    <row r="2812" spans="1:18">
      <c r="A2812" t="s">
        <v>709</v>
      </c>
      <c r="B2812" t="s">
        <v>7740</v>
      </c>
      <c r="C2812">
        <v>45688</v>
      </c>
      <c r="D2812" t="s">
        <v>7263</v>
      </c>
      <c r="E2812" t="s">
        <v>2925</v>
      </c>
      <c r="F2812">
        <v>45693</v>
      </c>
      <c r="G2812" t="s">
        <v>2208</v>
      </c>
      <c r="H2812" t="s">
        <v>2974</v>
      </c>
      <c r="I2812" t="s">
        <v>8477</v>
      </c>
      <c r="J2812">
        <v>0</v>
      </c>
      <c r="K2812">
        <v>410.39</v>
      </c>
      <c r="L2812" t="s">
        <v>2917</v>
      </c>
      <c r="M2812">
        <v>410.39</v>
      </c>
      <c r="N2812" t="s">
        <v>2917</v>
      </c>
      <c r="O2812" t="s">
        <v>3070</v>
      </c>
      <c r="P2812" t="s">
        <v>2208</v>
      </c>
      <c r="Q2812" t="s">
        <v>2975</v>
      </c>
      <c r="R2812" t="s">
        <v>3316</v>
      </c>
    </row>
    <row r="2813" spans="1:18">
      <c r="A2813" t="s">
        <v>709</v>
      </c>
      <c r="B2813" t="s">
        <v>7740</v>
      </c>
      <c r="C2813">
        <v>45688</v>
      </c>
      <c r="D2813" t="s">
        <v>7263</v>
      </c>
      <c r="E2813" t="s">
        <v>2925</v>
      </c>
      <c r="F2813">
        <v>45689</v>
      </c>
      <c r="G2813" t="s">
        <v>2208</v>
      </c>
      <c r="H2813" t="s">
        <v>8318</v>
      </c>
      <c r="I2813" t="s">
        <v>9058</v>
      </c>
      <c r="J2813">
        <v>0</v>
      </c>
      <c r="K2813">
        <v>-4760</v>
      </c>
      <c r="L2813" t="s">
        <v>2917</v>
      </c>
      <c r="M2813">
        <v>-4760</v>
      </c>
      <c r="N2813" t="s">
        <v>2917</v>
      </c>
      <c r="O2813" t="s">
        <v>8354</v>
      </c>
      <c r="P2813" t="s">
        <v>2208</v>
      </c>
      <c r="Q2813" t="s">
        <v>8321</v>
      </c>
      <c r="R2813" t="s">
        <v>8322</v>
      </c>
    </row>
    <row r="2814" spans="1:18">
      <c r="A2814" t="s">
        <v>2418</v>
      </c>
      <c r="B2814" t="s">
        <v>7740</v>
      </c>
      <c r="C2814">
        <v>45688</v>
      </c>
      <c r="D2814" t="s">
        <v>7263</v>
      </c>
      <c r="E2814" t="s">
        <v>2925</v>
      </c>
      <c r="F2814">
        <v>45689</v>
      </c>
      <c r="G2814" t="s">
        <v>2208</v>
      </c>
      <c r="H2814" t="s">
        <v>8318</v>
      </c>
      <c r="I2814" t="s">
        <v>9058</v>
      </c>
      <c r="J2814">
        <v>0</v>
      </c>
      <c r="K2814">
        <v>-89800</v>
      </c>
      <c r="L2814" t="s">
        <v>2917</v>
      </c>
      <c r="M2814">
        <v>-89800</v>
      </c>
      <c r="N2814" t="s">
        <v>2917</v>
      </c>
      <c r="O2814" t="s">
        <v>8355</v>
      </c>
      <c r="P2814" t="s">
        <v>2208</v>
      </c>
      <c r="Q2814" t="s">
        <v>8321</v>
      </c>
      <c r="R2814" t="s">
        <v>8322</v>
      </c>
    </row>
    <row r="2815" spans="1:18">
      <c r="A2815" t="s">
        <v>2418</v>
      </c>
      <c r="B2815" t="s">
        <v>7740</v>
      </c>
      <c r="C2815">
        <v>45688</v>
      </c>
      <c r="D2815" t="s">
        <v>7263</v>
      </c>
      <c r="E2815" t="s">
        <v>2925</v>
      </c>
      <c r="F2815">
        <v>45689</v>
      </c>
      <c r="G2815" t="s">
        <v>2208</v>
      </c>
      <c r="H2815" t="s">
        <v>8318</v>
      </c>
      <c r="I2815" t="s">
        <v>9058</v>
      </c>
      <c r="J2815">
        <v>0</v>
      </c>
      <c r="K2815">
        <v>-76668.240000000005</v>
      </c>
      <c r="L2815" t="s">
        <v>2917</v>
      </c>
      <c r="M2815">
        <v>-76668.240000000005</v>
      </c>
      <c r="N2815" t="s">
        <v>2917</v>
      </c>
      <c r="O2815" t="s">
        <v>8330</v>
      </c>
      <c r="P2815" t="s">
        <v>2208</v>
      </c>
      <c r="Q2815" t="s">
        <v>8321</v>
      </c>
      <c r="R2815" t="s">
        <v>8322</v>
      </c>
    </row>
    <row r="2816" spans="1:18">
      <c r="A2816" t="s">
        <v>2418</v>
      </c>
      <c r="B2816" t="s">
        <v>7740</v>
      </c>
      <c r="C2816">
        <v>45688</v>
      </c>
      <c r="D2816" t="s">
        <v>7263</v>
      </c>
      <c r="E2816" t="s">
        <v>2925</v>
      </c>
      <c r="F2816">
        <v>45689</v>
      </c>
      <c r="G2816" t="s">
        <v>2208</v>
      </c>
      <c r="H2816" t="s">
        <v>8318</v>
      </c>
      <c r="I2816" t="s">
        <v>9058</v>
      </c>
      <c r="J2816">
        <v>0</v>
      </c>
      <c r="K2816">
        <v>-15518.9</v>
      </c>
      <c r="L2816" t="s">
        <v>2917</v>
      </c>
      <c r="M2816">
        <v>-15518.9</v>
      </c>
      <c r="N2816" t="s">
        <v>2917</v>
      </c>
      <c r="O2816" t="s">
        <v>8330</v>
      </c>
      <c r="P2816" t="s">
        <v>2208</v>
      </c>
      <c r="Q2816" t="s">
        <v>8321</v>
      </c>
      <c r="R2816" t="s">
        <v>8322</v>
      </c>
    </row>
    <row r="2817" spans="1:18">
      <c r="A2817" t="s">
        <v>2418</v>
      </c>
      <c r="B2817" t="s">
        <v>7740</v>
      </c>
      <c r="C2817">
        <v>45688</v>
      </c>
      <c r="D2817" t="s">
        <v>7263</v>
      </c>
      <c r="E2817" t="s">
        <v>2925</v>
      </c>
      <c r="F2817">
        <v>45689</v>
      </c>
      <c r="G2817" t="s">
        <v>2208</v>
      </c>
      <c r="H2817" t="s">
        <v>8318</v>
      </c>
      <c r="I2817" t="s">
        <v>9058</v>
      </c>
      <c r="J2817">
        <v>0</v>
      </c>
      <c r="K2817">
        <v>-253976</v>
      </c>
      <c r="L2817" t="s">
        <v>2917</v>
      </c>
      <c r="M2817">
        <v>-253976</v>
      </c>
      <c r="N2817" t="s">
        <v>2917</v>
      </c>
      <c r="O2817" t="s">
        <v>8330</v>
      </c>
      <c r="P2817" t="s">
        <v>2208</v>
      </c>
      <c r="Q2817" t="s">
        <v>8321</v>
      </c>
      <c r="R2817" t="s">
        <v>8322</v>
      </c>
    </row>
    <row r="2818" spans="1:18">
      <c r="A2818" t="s">
        <v>2418</v>
      </c>
      <c r="B2818" t="s">
        <v>7740</v>
      </c>
      <c r="C2818">
        <v>45688</v>
      </c>
      <c r="D2818" t="s">
        <v>7263</v>
      </c>
      <c r="E2818" t="s">
        <v>2925</v>
      </c>
      <c r="F2818">
        <v>45689</v>
      </c>
      <c r="G2818" t="s">
        <v>2208</v>
      </c>
      <c r="H2818" t="s">
        <v>8318</v>
      </c>
      <c r="I2818" t="s">
        <v>9058</v>
      </c>
      <c r="J2818">
        <v>0</v>
      </c>
      <c r="K2818">
        <v>-50795.199999999997</v>
      </c>
      <c r="L2818" t="s">
        <v>2917</v>
      </c>
      <c r="M2818">
        <v>-50795.199999999997</v>
      </c>
      <c r="N2818" t="s">
        <v>2917</v>
      </c>
      <c r="O2818" t="s">
        <v>8330</v>
      </c>
      <c r="P2818" t="s">
        <v>2208</v>
      </c>
      <c r="Q2818" t="s">
        <v>8321</v>
      </c>
      <c r="R2818" t="s">
        <v>8322</v>
      </c>
    </row>
    <row r="2819" spans="1:18">
      <c r="A2819" t="s">
        <v>2418</v>
      </c>
      <c r="B2819" t="s">
        <v>7740</v>
      </c>
      <c r="C2819">
        <v>45688</v>
      </c>
      <c r="D2819" t="s">
        <v>7263</v>
      </c>
      <c r="E2819" t="s">
        <v>2925</v>
      </c>
      <c r="F2819">
        <v>45689</v>
      </c>
      <c r="G2819" t="s">
        <v>2208</v>
      </c>
      <c r="H2819" t="s">
        <v>8318</v>
      </c>
      <c r="I2819" t="s">
        <v>9058</v>
      </c>
      <c r="J2819">
        <v>0</v>
      </c>
      <c r="K2819">
        <v>-11755.5</v>
      </c>
      <c r="L2819" t="s">
        <v>2917</v>
      </c>
      <c r="M2819">
        <v>-11755.5</v>
      </c>
      <c r="N2819" t="s">
        <v>2917</v>
      </c>
      <c r="O2819" t="s">
        <v>8330</v>
      </c>
      <c r="P2819" t="s">
        <v>2208</v>
      </c>
      <c r="Q2819" t="s">
        <v>8321</v>
      </c>
      <c r="R2819" t="s">
        <v>8322</v>
      </c>
    </row>
    <row r="2820" spans="1:18">
      <c r="A2820" t="s">
        <v>2418</v>
      </c>
      <c r="B2820" t="s">
        <v>7740</v>
      </c>
      <c r="C2820">
        <v>45688</v>
      </c>
      <c r="D2820" t="s">
        <v>7263</v>
      </c>
      <c r="E2820" t="s">
        <v>2925</v>
      </c>
      <c r="F2820">
        <v>45689</v>
      </c>
      <c r="G2820" t="s">
        <v>2208</v>
      </c>
      <c r="H2820" t="s">
        <v>8318</v>
      </c>
      <c r="I2820" t="s">
        <v>9058</v>
      </c>
      <c r="J2820">
        <v>0</v>
      </c>
      <c r="K2820">
        <v>-2351.1</v>
      </c>
      <c r="L2820" t="s">
        <v>2917</v>
      </c>
      <c r="M2820">
        <v>-2351.1</v>
      </c>
      <c r="N2820" t="s">
        <v>2917</v>
      </c>
      <c r="O2820" t="s">
        <v>8330</v>
      </c>
      <c r="P2820" t="s">
        <v>2208</v>
      </c>
      <c r="Q2820" t="s">
        <v>8321</v>
      </c>
      <c r="R2820" t="s">
        <v>8322</v>
      </c>
    </row>
    <row r="2821" spans="1:18">
      <c r="A2821" t="s">
        <v>2418</v>
      </c>
      <c r="B2821" t="s">
        <v>7740</v>
      </c>
      <c r="C2821">
        <v>45688</v>
      </c>
      <c r="D2821" t="s">
        <v>7263</v>
      </c>
      <c r="E2821" t="s">
        <v>2925</v>
      </c>
      <c r="F2821">
        <v>45689</v>
      </c>
      <c r="G2821" t="s">
        <v>2208</v>
      </c>
      <c r="H2821" t="s">
        <v>8318</v>
      </c>
      <c r="I2821" t="s">
        <v>9058</v>
      </c>
      <c r="J2821">
        <v>0</v>
      </c>
      <c r="K2821">
        <v>-19904</v>
      </c>
      <c r="L2821" t="s">
        <v>2917</v>
      </c>
      <c r="M2821">
        <v>-19904</v>
      </c>
      <c r="N2821" t="s">
        <v>2917</v>
      </c>
      <c r="O2821" t="s">
        <v>8330</v>
      </c>
      <c r="P2821" t="s">
        <v>2208</v>
      </c>
      <c r="Q2821" t="s">
        <v>8321</v>
      </c>
      <c r="R2821" t="s">
        <v>8322</v>
      </c>
    </row>
    <row r="2822" spans="1:18">
      <c r="A2822" t="s">
        <v>2418</v>
      </c>
      <c r="B2822" t="s">
        <v>7740</v>
      </c>
      <c r="C2822">
        <v>45688</v>
      </c>
      <c r="D2822" t="s">
        <v>7263</v>
      </c>
      <c r="E2822" t="s">
        <v>2925</v>
      </c>
      <c r="F2822">
        <v>45689</v>
      </c>
      <c r="G2822" t="s">
        <v>2208</v>
      </c>
      <c r="H2822" t="s">
        <v>8318</v>
      </c>
      <c r="I2822" t="s">
        <v>9058</v>
      </c>
      <c r="J2822">
        <v>0</v>
      </c>
      <c r="K2822">
        <v>-3980.8</v>
      </c>
      <c r="L2822" t="s">
        <v>2917</v>
      </c>
      <c r="M2822">
        <v>-3980.8</v>
      </c>
      <c r="N2822" t="s">
        <v>2917</v>
      </c>
      <c r="O2822" t="s">
        <v>8330</v>
      </c>
      <c r="P2822" t="s">
        <v>2208</v>
      </c>
      <c r="Q2822" t="s">
        <v>8321</v>
      </c>
      <c r="R2822" t="s">
        <v>8322</v>
      </c>
    </row>
    <row r="2823" spans="1:18">
      <c r="A2823" t="s">
        <v>2418</v>
      </c>
      <c r="B2823" t="s">
        <v>7740</v>
      </c>
      <c r="C2823">
        <v>45688</v>
      </c>
      <c r="D2823" t="s">
        <v>7263</v>
      </c>
      <c r="E2823" t="s">
        <v>2925</v>
      </c>
      <c r="F2823">
        <v>45689</v>
      </c>
      <c r="G2823" t="s">
        <v>2208</v>
      </c>
      <c r="H2823" t="s">
        <v>8318</v>
      </c>
      <c r="I2823" t="s">
        <v>9058</v>
      </c>
      <c r="J2823">
        <v>0</v>
      </c>
      <c r="K2823">
        <v>-40104</v>
      </c>
      <c r="L2823" t="s">
        <v>2917</v>
      </c>
      <c r="M2823">
        <v>-40104</v>
      </c>
      <c r="N2823" t="s">
        <v>2917</v>
      </c>
      <c r="O2823" t="s">
        <v>8330</v>
      </c>
      <c r="P2823" t="s">
        <v>2208</v>
      </c>
      <c r="Q2823" t="s">
        <v>8321</v>
      </c>
      <c r="R2823" t="s">
        <v>8322</v>
      </c>
    </row>
    <row r="2824" spans="1:18">
      <c r="A2824" t="s">
        <v>2418</v>
      </c>
      <c r="B2824" t="s">
        <v>7740</v>
      </c>
      <c r="C2824">
        <v>45688</v>
      </c>
      <c r="D2824" t="s">
        <v>7263</v>
      </c>
      <c r="E2824" t="s">
        <v>2925</v>
      </c>
      <c r="F2824">
        <v>45689</v>
      </c>
      <c r="G2824" t="s">
        <v>2208</v>
      </c>
      <c r="H2824" t="s">
        <v>8318</v>
      </c>
      <c r="I2824" t="s">
        <v>9058</v>
      </c>
      <c r="J2824">
        <v>0</v>
      </c>
      <c r="K2824">
        <v>-8020.8</v>
      </c>
      <c r="L2824" t="s">
        <v>2917</v>
      </c>
      <c r="M2824">
        <v>-8020.8</v>
      </c>
      <c r="N2824" t="s">
        <v>2917</v>
      </c>
      <c r="O2824" t="s">
        <v>8330</v>
      </c>
      <c r="P2824" t="s">
        <v>2208</v>
      </c>
      <c r="Q2824" t="s">
        <v>8321</v>
      </c>
      <c r="R2824" t="s">
        <v>8322</v>
      </c>
    </row>
    <row r="2825" spans="1:18">
      <c r="A2825" t="s">
        <v>2418</v>
      </c>
      <c r="B2825" t="s">
        <v>7740</v>
      </c>
      <c r="C2825">
        <v>45688</v>
      </c>
      <c r="D2825" t="s">
        <v>7263</v>
      </c>
      <c r="E2825" t="s">
        <v>2925</v>
      </c>
      <c r="F2825">
        <v>45689</v>
      </c>
      <c r="G2825" t="s">
        <v>2208</v>
      </c>
      <c r="H2825" t="s">
        <v>8318</v>
      </c>
      <c r="I2825" t="s">
        <v>9058</v>
      </c>
      <c r="J2825">
        <v>0</v>
      </c>
      <c r="K2825">
        <v>-30204.65</v>
      </c>
      <c r="L2825" t="s">
        <v>2917</v>
      </c>
      <c r="M2825">
        <v>-30204.65</v>
      </c>
      <c r="N2825" t="s">
        <v>2917</v>
      </c>
      <c r="O2825" t="s">
        <v>8356</v>
      </c>
      <c r="P2825" t="s">
        <v>2208</v>
      </c>
      <c r="Q2825" t="s">
        <v>8321</v>
      </c>
      <c r="R2825" t="s">
        <v>8322</v>
      </c>
    </row>
    <row r="2826" spans="1:18">
      <c r="A2826" t="s">
        <v>2418</v>
      </c>
      <c r="B2826" t="s">
        <v>7740</v>
      </c>
      <c r="C2826">
        <v>45688</v>
      </c>
      <c r="D2826" t="s">
        <v>7263</v>
      </c>
      <c r="E2826" t="s">
        <v>2925</v>
      </c>
      <c r="F2826">
        <v>45689</v>
      </c>
      <c r="G2826" t="s">
        <v>2208</v>
      </c>
      <c r="H2826" t="s">
        <v>8318</v>
      </c>
      <c r="I2826" t="s">
        <v>9058</v>
      </c>
      <c r="J2826">
        <v>0</v>
      </c>
      <c r="K2826">
        <v>-15914.9</v>
      </c>
      <c r="L2826" t="s">
        <v>2917</v>
      </c>
      <c r="M2826">
        <v>-15914.9</v>
      </c>
      <c r="N2826" t="s">
        <v>2917</v>
      </c>
      <c r="O2826" t="s">
        <v>8357</v>
      </c>
      <c r="P2826" t="s">
        <v>2208</v>
      </c>
      <c r="Q2826" t="s">
        <v>8321</v>
      </c>
      <c r="R2826" t="s">
        <v>8322</v>
      </c>
    </row>
    <row r="2827" spans="1:18">
      <c r="A2827" t="s">
        <v>2237</v>
      </c>
      <c r="B2827" t="s">
        <v>7740</v>
      </c>
      <c r="C2827">
        <v>45688</v>
      </c>
      <c r="D2827" t="s">
        <v>7263</v>
      </c>
      <c r="E2827" t="s">
        <v>2925</v>
      </c>
      <c r="F2827">
        <v>45689</v>
      </c>
      <c r="G2827" t="s">
        <v>2208</v>
      </c>
      <c r="H2827" t="s">
        <v>8318</v>
      </c>
      <c r="I2827" t="s">
        <v>9059</v>
      </c>
      <c r="J2827">
        <v>0</v>
      </c>
      <c r="K2827">
        <v>-240</v>
      </c>
      <c r="L2827" t="s">
        <v>2917</v>
      </c>
      <c r="M2827">
        <v>-240</v>
      </c>
      <c r="N2827" t="s">
        <v>2917</v>
      </c>
      <c r="O2827" t="s">
        <v>8348</v>
      </c>
      <c r="P2827" t="s">
        <v>2208</v>
      </c>
      <c r="Q2827" t="s">
        <v>8321</v>
      </c>
      <c r="R2827" t="s">
        <v>8322</v>
      </c>
    </row>
    <row r="2828" spans="1:18">
      <c r="A2828" t="s">
        <v>2418</v>
      </c>
      <c r="B2828" t="s">
        <v>7740</v>
      </c>
      <c r="C2828">
        <v>45688</v>
      </c>
      <c r="D2828" t="s">
        <v>7263</v>
      </c>
      <c r="E2828" t="s">
        <v>2925</v>
      </c>
      <c r="F2828">
        <v>45689</v>
      </c>
      <c r="G2828" t="s">
        <v>2208</v>
      </c>
      <c r="H2828" t="s">
        <v>8318</v>
      </c>
      <c r="I2828" t="s">
        <v>9059</v>
      </c>
      <c r="J2828">
        <v>0</v>
      </c>
      <c r="K2828">
        <v>-5946.6</v>
      </c>
      <c r="L2828" t="s">
        <v>2917</v>
      </c>
      <c r="M2828">
        <v>-5946.6</v>
      </c>
      <c r="N2828" t="s">
        <v>2917</v>
      </c>
      <c r="O2828" t="s">
        <v>8349</v>
      </c>
      <c r="P2828" t="s">
        <v>2208</v>
      </c>
      <c r="Q2828" t="s">
        <v>8321</v>
      </c>
      <c r="R2828" t="s">
        <v>8322</v>
      </c>
    </row>
    <row r="2829" spans="1:18">
      <c r="A2829" t="s">
        <v>7030</v>
      </c>
      <c r="B2829" t="s">
        <v>7740</v>
      </c>
      <c r="C2829">
        <v>45688</v>
      </c>
      <c r="D2829" t="s">
        <v>7263</v>
      </c>
      <c r="E2829" t="s">
        <v>2925</v>
      </c>
      <c r="F2829">
        <v>45689</v>
      </c>
      <c r="G2829" t="s">
        <v>2208</v>
      </c>
      <c r="H2829" t="s">
        <v>8318</v>
      </c>
      <c r="I2829" t="s">
        <v>9059</v>
      </c>
      <c r="J2829">
        <v>0</v>
      </c>
      <c r="K2829">
        <v>-11958.5</v>
      </c>
      <c r="L2829" t="s">
        <v>2917</v>
      </c>
      <c r="M2829">
        <v>-11958.5</v>
      </c>
      <c r="N2829" t="s">
        <v>2917</v>
      </c>
      <c r="O2829" t="s">
        <v>8350</v>
      </c>
      <c r="P2829" t="s">
        <v>2208</v>
      </c>
      <c r="Q2829" t="s">
        <v>8321</v>
      </c>
      <c r="R2829" t="s">
        <v>8322</v>
      </c>
    </row>
    <row r="2830" spans="1:18">
      <c r="A2830" t="s">
        <v>2418</v>
      </c>
      <c r="B2830" t="s">
        <v>7740</v>
      </c>
      <c r="C2830">
        <v>45688</v>
      </c>
      <c r="D2830" t="s">
        <v>7263</v>
      </c>
      <c r="E2830" t="s">
        <v>2925</v>
      </c>
      <c r="F2830">
        <v>45689</v>
      </c>
      <c r="G2830" t="s">
        <v>2208</v>
      </c>
      <c r="H2830" t="s">
        <v>8318</v>
      </c>
      <c r="I2830" t="s">
        <v>9059</v>
      </c>
      <c r="J2830">
        <v>0</v>
      </c>
      <c r="K2830">
        <v>-4005</v>
      </c>
      <c r="L2830" t="s">
        <v>2917</v>
      </c>
      <c r="M2830">
        <v>-4005</v>
      </c>
      <c r="N2830" t="s">
        <v>2917</v>
      </c>
      <c r="O2830" t="s">
        <v>8351</v>
      </c>
      <c r="P2830" t="s">
        <v>2208</v>
      </c>
      <c r="Q2830" t="s">
        <v>8321</v>
      </c>
      <c r="R2830" t="s">
        <v>8322</v>
      </c>
    </row>
    <row r="2831" spans="1:18">
      <c r="A2831" t="s">
        <v>2418</v>
      </c>
      <c r="B2831" t="s">
        <v>7740</v>
      </c>
      <c r="C2831">
        <v>45688</v>
      </c>
      <c r="D2831" t="s">
        <v>7263</v>
      </c>
      <c r="E2831" t="s">
        <v>2925</v>
      </c>
      <c r="F2831">
        <v>45689</v>
      </c>
      <c r="G2831" t="s">
        <v>2208</v>
      </c>
      <c r="H2831" t="s">
        <v>8318</v>
      </c>
      <c r="I2831" t="s">
        <v>9059</v>
      </c>
      <c r="J2831">
        <v>0</v>
      </c>
      <c r="K2831">
        <v>-26104</v>
      </c>
      <c r="L2831" t="s">
        <v>2917</v>
      </c>
      <c r="M2831">
        <v>-26104</v>
      </c>
      <c r="N2831" t="s">
        <v>2917</v>
      </c>
      <c r="O2831" t="s">
        <v>8352</v>
      </c>
      <c r="P2831" t="s">
        <v>2208</v>
      </c>
      <c r="Q2831" t="s">
        <v>8321</v>
      </c>
      <c r="R2831" t="s">
        <v>8322</v>
      </c>
    </row>
    <row r="2832" spans="1:18">
      <c r="A2832" t="s">
        <v>7030</v>
      </c>
      <c r="B2832" t="s">
        <v>7740</v>
      </c>
      <c r="C2832">
        <v>45714</v>
      </c>
      <c r="D2832" t="s">
        <v>7263</v>
      </c>
      <c r="E2832" t="s">
        <v>2925</v>
      </c>
      <c r="F2832">
        <v>45714</v>
      </c>
      <c r="G2832" t="s">
        <v>2208</v>
      </c>
      <c r="H2832" t="s">
        <v>8343</v>
      </c>
      <c r="I2832" t="s">
        <v>9060</v>
      </c>
      <c r="J2832">
        <v>0</v>
      </c>
      <c r="K2832">
        <v>33226.980000000003</v>
      </c>
      <c r="L2832" t="s">
        <v>2917</v>
      </c>
      <c r="M2832">
        <v>33226.980000000003</v>
      </c>
      <c r="N2832" t="s">
        <v>2917</v>
      </c>
      <c r="O2832" t="s">
        <v>9061</v>
      </c>
      <c r="P2832" t="s">
        <v>2208</v>
      </c>
      <c r="Q2832" t="s">
        <v>8343</v>
      </c>
      <c r="R2832" t="s">
        <v>8346</v>
      </c>
    </row>
    <row r="2833" spans="1:18">
      <c r="A2833" t="s">
        <v>1095</v>
      </c>
      <c r="B2833" t="s">
        <v>7740</v>
      </c>
      <c r="C2833">
        <v>45716</v>
      </c>
      <c r="D2833" t="s">
        <v>7263</v>
      </c>
      <c r="E2833" t="s">
        <v>2925</v>
      </c>
      <c r="F2833">
        <v>45716</v>
      </c>
      <c r="G2833" t="s">
        <v>2208</v>
      </c>
      <c r="H2833" t="s">
        <v>2974</v>
      </c>
      <c r="I2833" t="s">
        <v>9537</v>
      </c>
      <c r="J2833">
        <v>0</v>
      </c>
      <c r="K2833">
        <v>-168.36</v>
      </c>
      <c r="L2833" t="s">
        <v>2917</v>
      </c>
      <c r="M2833">
        <v>-168.36</v>
      </c>
      <c r="N2833" t="s">
        <v>2917</v>
      </c>
      <c r="O2833" t="s">
        <v>9538</v>
      </c>
      <c r="P2833" t="s">
        <v>2208</v>
      </c>
      <c r="Q2833" t="s">
        <v>9539</v>
      </c>
      <c r="R2833" t="s">
        <v>9540</v>
      </c>
    </row>
    <row r="2834" spans="1:18">
      <c r="A2834" t="s">
        <v>1095</v>
      </c>
      <c r="B2834" t="s">
        <v>7740</v>
      </c>
      <c r="C2834">
        <v>45716</v>
      </c>
      <c r="D2834" t="s">
        <v>7263</v>
      </c>
      <c r="E2834" t="s">
        <v>2925</v>
      </c>
      <c r="F2834">
        <v>45716</v>
      </c>
      <c r="G2834" t="s">
        <v>2208</v>
      </c>
      <c r="H2834" t="s">
        <v>2974</v>
      </c>
      <c r="I2834" t="s">
        <v>9537</v>
      </c>
      <c r="J2834">
        <v>0</v>
      </c>
      <c r="K2834">
        <v>-113.19</v>
      </c>
      <c r="L2834" t="s">
        <v>2917</v>
      </c>
      <c r="M2834">
        <v>-113.19</v>
      </c>
      <c r="N2834" t="s">
        <v>2917</v>
      </c>
      <c r="O2834" t="s">
        <v>9538</v>
      </c>
      <c r="P2834" t="s">
        <v>2208</v>
      </c>
      <c r="Q2834" t="s">
        <v>9539</v>
      </c>
      <c r="R2834" t="s">
        <v>9540</v>
      </c>
    </row>
    <row r="2835" spans="1:18">
      <c r="A2835" t="s">
        <v>1095</v>
      </c>
      <c r="B2835" t="s">
        <v>7740</v>
      </c>
      <c r="C2835">
        <v>45716</v>
      </c>
      <c r="D2835" t="s">
        <v>7263</v>
      </c>
      <c r="E2835" t="s">
        <v>2925</v>
      </c>
      <c r="F2835">
        <v>45716</v>
      </c>
      <c r="G2835" t="s">
        <v>2208</v>
      </c>
      <c r="H2835" t="s">
        <v>2974</v>
      </c>
      <c r="I2835" t="s">
        <v>9537</v>
      </c>
      <c r="J2835">
        <v>0</v>
      </c>
      <c r="K2835">
        <v>-36.81</v>
      </c>
      <c r="L2835" t="s">
        <v>2917</v>
      </c>
      <c r="M2835">
        <v>-36.81</v>
      </c>
      <c r="N2835" t="s">
        <v>2917</v>
      </c>
      <c r="O2835" t="s">
        <v>9538</v>
      </c>
      <c r="P2835" t="s">
        <v>2208</v>
      </c>
      <c r="Q2835" t="s">
        <v>9539</v>
      </c>
      <c r="R2835" t="s">
        <v>9540</v>
      </c>
    </row>
    <row r="2836" spans="1:18">
      <c r="A2836" t="s">
        <v>2600</v>
      </c>
      <c r="B2836" t="s">
        <v>7740</v>
      </c>
      <c r="C2836">
        <v>45716</v>
      </c>
      <c r="D2836" t="s">
        <v>7263</v>
      </c>
      <c r="E2836" t="s">
        <v>2925</v>
      </c>
      <c r="F2836">
        <v>45716</v>
      </c>
      <c r="G2836" t="s">
        <v>2208</v>
      </c>
      <c r="H2836" t="s">
        <v>2974</v>
      </c>
      <c r="I2836" t="s">
        <v>9537</v>
      </c>
      <c r="J2836">
        <v>0</v>
      </c>
      <c r="K2836">
        <v>-54.71</v>
      </c>
      <c r="L2836" t="s">
        <v>2917</v>
      </c>
      <c r="M2836">
        <v>-54.71</v>
      </c>
      <c r="N2836" t="s">
        <v>2917</v>
      </c>
      <c r="O2836" t="s">
        <v>9538</v>
      </c>
      <c r="P2836" t="s">
        <v>2208</v>
      </c>
      <c r="Q2836" t="s">
        <v>9539</v>
      </c>
      <c r="R2836" t="s">
        <v>9540</v>
      </c>
    </row>
    <row r="2837" spans="1:18">
      <c r="A2837" t="s">
        <v>2600</v>
      </c>
      <c r="B2837" t="s">
        <v>7740</v>
      </c>
      <c r="C2837">
        <v>45716</v>
      </c>
      <c r="D2837" t="s">
        <v>7263</v>
      </c>
      <c r="E2837" t="s">
        <v>2925</v>
      </c>
      <c r="F2837">
        <v>45716</v>
      </c>
      <c r="G2837" t="s">
        <v>2208</v>
      </c>
      <c r="H2837" t="s">
        <v>2974</v>
      </c>
      <c r="I2837" t="s">
        <v>9537</v>
      </c>
      <c r="J2837">
        <v>0</v>
      </c>
      <c r="K2837">
        <v>-210.89</v>
      </c>
      <c r="L2837" t="s">
        <v>2917</v>
      </c>
      <c r="M2837">
        <v>-210.89</v>
      </c>
      <c r="N2837" t="s">
        <v>2917</v>
      </c>
      <c r="O2837" t="s">
        <v>9538</v>
      </c>
      <c r="P2837" t="s">
        <v>2208</v>
      </c>
      <c r="Q2837" t="s">
        <v>9539</v>
      </c>
      <c r="R2837" t="s">
        <v>9540</v>
      </c>
    </row>
    <row r="2838" spans="1:18">
      <c r="A2838" t="s">
        <v>2600</v>
      </c>
      <c r="B2838" t="s">
        <v>7740</v>
      </c>
      <c r="C2838">
        <v>45716</v>
      </c>
      <c r="D2838" t="s">
        <v>7263</v>
      </c>
      <c r="E2838" t="s">
        <v>2925</v>
      </c>
      <c r="F2838">
        <v>45716</v>
      </c>
      <c r="G2838" t="s">
        <v>2208</v>
      </c>
      <c r="H2838" t="s">
        <v>2974</v>
      </c>
      <c r="I2838" t="s">
        <v>9537</v>
      </c>
      <c r="J2838">
        <v>0</v>
      </c>
      <c r="K2838">
        <v>-1.87</v>
      </c>
      <c r="L2838" t="s">
        <v>2917</v>
      </c>
      <c r="M2838">
        <v>-1.87</v>
      </c>
      <c r="N2838" t="s">
        <v>2917</v>
      </c>
      <c r="O2838" t="s">
        <v>9538</v>
      </c>
      <c r="P2838" t="s">
        <v>2208</v>
      </c>
      <c r="Q2838" t="s">
        <v>9539</v>
      </c>
      <c r="R2838" t="s">
        <v>9540</v>
      </c>
    </row>
    <row r="2839" spans="1:18">
      <c r="A2839" t="s">
        <v>1095</v>
      </c>
      <c r="B2839" t="s">
        <v>7740</v>
      </c>
      <c r="C2839">
        <v>45716</v>
      </c>
      <c r="D2839" t="s">
        <v>7263</v>
      </c>
      <c r="E2839" t="s">
        <v>2925</v>
      </c>
      <c r="F2839">
        <v>45716</v>
      </c>
      <c r="G2839" t="s">
        <v>2208</v>
      </c>
      <c r="H2839" t="s">
        <v>2974</v>
      </c>
      <c r="I2839" t="s">
        <v>9537</v>
      </c>
      <c r="J2839">
        <v>0</v>
      </c>
      <c r="K2839">
        <v>123.04</v>
      </c>
      <c r="L2839" t="s">
        <v>2917</v>
      </c>
      <c r="M2839">
        <v>123.04</v>
      </c>
      <c r="N2839" t="s">
        <v>2917</v>
      </c>
      <c r="O2839" t="s">
        <v>9538</v>
      </c>
      <c r="P2839" t="s">
        <v>2208</v>
      </c>
      <c r="Q2839" t="s">
        <v>2974</v>
      </c>
      <c r="R2839" t="s">
        <v>9541</v>
      </c>
    </row>
    <row r="2840" spans="1:18">
      <c r="A2840" t="s">
        <v>2256</v>
      </c>
      <c r="B2840" t="s">
        <v>7740</v>
      </c>
      <c r="C2840">
        <v>45716</v>
      </c>
      <c r="D2840" t="s">
        <v>7263</v>
      </c>
      <c r="E2840" t="s">
        <v>2925</v>
      </c>
      <c r="F2840">
        <v>45716</v>
      </c>
      <c r="G2840" t="s">
        <v>2208</v>
      </c>
      <c r="H2840" t="s">
        <v>8343</v>
      </c>
      <c r="I2840" t="s">
        <v>9542</v>
      </c>
      <c r="J2840">
        <v>0</v>
      </c>
      <c r="K2840">
        <v>47.66</v>
      </c>
      <c r="L2840" t="s">
        <v>2917</v>
      </c>
      <c r="M2840">
        <v>47.66</v>
      </c>
      <c r="N2840" t="s">
        <v>2917</v>
      </c>
      <c r="O2840" t="s">
        <v>8345</v>
      </c>
      <c r="P2840" t="s">
        <v>2208</v>
      </c>
      <c r="Q2840" t="s">
        <v>9543</v>
      </c>
      <c r="R2840" t="s">
        <v>9544</v>
      </c>
    </row>
    <row r="2841" spans="1:18">
      <c r="A2841" t="s">
        <v>709</v>
      </c>
      <c r="B2841" t="s">
        <v>7740</v>
      </c>
      <c r="C2841">
        <v>45716</v>
      </c>
      <c r="D2841" t="s">
        <v>7263</v>
      </c>
      <c r="E2841" t="s">
        <v>2925</v>
      </c>
      <c r="F2841">
        <v>45716</v>
      </c>
      <c r="G2841" t="s">
        <v>2208</v>
      </c>
      <c r="H2841" t="s">
        <v>8318</v>
      </c>
      <c r="I2841" t="s">
        <v>9545</v>
      </c>
      <c r="J2841">
        <v>0</v>
      </c>
      <c r="K2841">
        <v>4760</v>
      </c>
      <c r="L2841" t="s">
        <v>2917</v>
      </c>
      <c r="M2841">
        <v>4760</v>
      </c>
      <c r="N2841" t="s">
        <v>2917</v>
      </c>
      <c r="O2841" t="s">
        <v>8354</v>
      </c>
      <c r="P2841" t="s">
        <v>2208</v>
      </c>
      <c r="Q2841" t="s">
        <v>8321</v>
      </c>
      <c r="R2841" t="s">
        <v>8322</v>
      </c>
    </row>
    <row r="2842" spans="1:18">
      <c r="A2842" t="s">
        <v>2418</v>
      </c>
      <c r="B2842" t="s">
        <v>7740</v>
      </c>
      <c r="C2842">
        <v>45716</v>
      </c>
      <c r="D2842" t="s">
        <v>7263</v>
      </c>
      <c r="E2842" t="s">
        <v>2925</v>
      </c>
      <c r="F2842">
        <v>45716</v>
      </c>
      <c r="G2842" t="s">
        <v>2208</v>
      </c>
      <c r="H2842" t="s">
        <v>8318</v>
      </c>
      <c r="I2842" t="s">
        <v>9545</v>
      </c>
      <c r="J2842">
        <v>0</v>
      </c>
      <c r="K2842">
        <v>50795.199999999997</v>
      </c>
      <c r="L2842" t="s">
        <v>2917</v>
      </c>
      <c r="M2842">
        <v>50795.199999999997</v>
      </c>
      <c r="N2842" t="s">
        <v>2917</v>
      </c>
      <c r="O2842" t="s">
        <v>8330</v>
      </c>
      <c r="P2842" t="s">
        <v>2208</v>
      </c>
      <c r="Q2842" t="s">
        <v>8321</v>
      </c>
      <c r="R2842" t="s">
        <v>8322</v>
      </c>
    </row>
    <row r="2843" spans="1:18">
      <c r="A2843" t="s">
        <v>2418</v>
      </c>
      <c r="B2843" t="s">
        <v>7740</v>
      </c>
      <c r="C2843">
        <v>45716</v>
      </c>
      <c r="D2843" t="s">
        <v>7263</v>
      </c>
      <c r="E2843" t="s">
        <v>2925</v>
      </c>
      <c r="F2843">
        <v>45716</v>
      </c>
      <c r="G2843" t="s">
        <v>2208</v>
      </c>
      <c r="H2843" t="s">
        <v>8318</v>
      </c>
      <c r="I2843" t="s">
        <v>9545</v>
      </c>
      <c r="J2843">
        <v>0</v>
      </c>
      <c r="K2843">
        <v>11755.5</v>
      </c>
      <c r="L2843" t="s">
        <v>2917</v>
      </c>
      <c r="M2843">
        <v>11755.5</v>
      </c>
      <c r="N2843" t="s">
        <v>2917</v>
      </c>
      <c r="O2843" t="s">
        <v>8330</v>
      </c>
      <c r="P2843" t="s">
        <v>2208</v>
      </c>
      <c r="Q2843" t="s">
        <v>8321</v>
      </c>
      <c r="R2843" t="s">
        <v>8322</v>
      </c>
    </row>
    <row r="2844" spans="1:18">
      <c r="A2844" t="s">
        <v>2418</v>
      </c>
      <c r="B2844" t="s">
        <v>7740</v>
      </c>
      <c r="C2844">
        <v>45716</v>
      </c>
      <c r="D2844" t="s">
        <v>7263</v>
      </c>
      <c r="E2844" t="s">
        <v>2925</v>
      </c>
      <c r="F2844">
        <v>45716</v>
      </c>
      <c r="G2844" t="s">
        <v>2208</v>
      </c>
      <c r="H2844" t="s">
        <v>8318</v>
      </c>
      <c r="I2844" t="s">
        <v>9545</v>
      </c>
      <c r="J2844">
        <v>0</v>
      </c>
      <c r="K2844">
        <v>2351.1</v>
      </c>
      <c r="L2844" t="s">
        <v>2917</v>
      </c>
      <c r="M2844">
        <v>2351.1</v>
      </c>
      <c r="N2844" t="s">
        <v>2917</v>
      </c>
      <c r="O2844" t="s">
        <v>8330</v>
      </c>
      <c r="P2844" t="s">
        <v>2208</v>
      </c>
      <c r="Q2844" t="s">
        <v>8321</v>
      </c>
      <c r="R2844" t="s">
        <v>8322</v>
      </c>
    </row>
    <row r="2845" spans="1:18">
      <c r="A2845" t="s">
        <v>2418</v>
      </c>
      <c r="B2845" t="s">
        <v>7740</v>
      </c>
      <c r="C2845">
        <v>45716</v>
      </c>
      <c r="D2845" t="s">
        <v>7263</v>
      </c>
      <c r="E2845" t="s">
        <v>2925</v>
      </c>
      <c r="F2845">
        <v>45716</v>
      </c>
      <c r="G2845" t="s">
        <v>2208</v>
      </c>
      <c r="H2845" t="s">
        <v>8318</v>
      </c>
      <c r="I2845" t="s">
        <v>9545</v>
      </c>
      <c r="J2845">
        <v>0</v>
      </c>
      <c r="K2845">
        <v>19904</v>
      </c>
      <c r="L2845" t="s">
        <v>2917</v>
      </c>
      <c r="M2845">
        <v>19904</v>
      </c>
      <c r="N2845" t="s">
        <v>2917</v>
      </c>
      <c r="O2845" t="s">
        <v>8330</v>
      </c>
      <c r="P2845" t="s">
        <v>2208</v>
      </c>
      <c r="Q2845" t="s">
        <v>8321</v>
      </c>
      <c r="R2845" t="s">
        <v>8322</v>
      </c>
    </row>
    <row r="2846" spans="1:18">
      <c r="A2846" t="s">
        <v>2418</v>
      </c>
      <c r="B2846" t="s">
        <v>7740</v>
      </c>
      <c r="C2846">
        <v>45716</v>
      </c>
      <c r="D2846" t="s">
        <v>7263</v>
      </c>
      <c r="E2846" t="s">
        <v>2925</v>
      </c>
      <c r="F2846">
        <v>45716</v>
      </c>
      <c r="G2846" t="s">
        <v>2208</v>
      </c>
      <c r="H2846" t="s">
        <v>8318</v>
      </c>
      <c r="I2846" t="s">
        <v>9545</v>
      </c>
      <c r="J2846">
        <v>0</v>
      </c>
      <c r="K2846">
        <v>3980.8</v>
      </c>
      <c r="L2846" t="s">
        <v>2917</v>
      </c>
      <c r="M2846">
        <v>3980.8</v>
      </c>
      <c r="N2846" t="s">
        <v>2917</v>
      </c>
      <c r="O2846" t="s">
        <v>8330</v>
      </c>
      <c r="P2846" t="s">
        <v>2208</v>
      </c>
      <c r="Q2846" t="s">
        <v>8321</v>
      </c>
      <c r="R2846" t="s">
        <v>8322</v>
      </c>
    </row>
    <row r="2847" spans="1:18">
      <c r="A2847" t="s">
        <v>2418</v>
      </c>
      <c r="B2847" t="s">
        <v>7740</v>
      </c>
      <c r="C2847">
        <v>45716</v>
      </c>
      <c r="D2847" t="s">
        <v>7263</v>
      </c>
      <c r="E2847" t="s">
        <v>2925</v>
      </c>
      <c r="F2847">
        <v>45716</v>
      </c>
      <c r="G2847" t="s">
        <v>2208</v>
      </c>
      <c r="H2847" t="s">
        <v>8318</v>
      </c>
      <c r="I2847" t="s">
        <v>9545</v>
      </c>
      <c r="J2847">
        <v>0</v>
      </c>
      <c r="K2847">
        <v>40104</v>
      </c>
      <c r="L2847" t="s">
        <v>2917</v>
      </c>
      <c r="M2847">
        <v>40104</v>
      </c>
      <c r="N2847" t="s">
        <v>2917</v>
      </c>
      <c r="O2847" t="s">
        <v>8330</v>
      </c>
      <c r="P2847" t="s">
        <v>2208</v>
      </c>
      <c r="Q2847" t="s">
        <v>8321</v>
      </c>
      <c r="R2847" t="s">
        <v>8322</v>
      </c>
    </row>
    <row r="2848" spans="1:18">
      <c r="A2848" t="s">
        <v>2418</v>
      </c>
      <c r="B2848" t="s">
        <v>7740</v>
      </c>
      <c r="C2848">
        <v>45716</v>
      </c>
      <c r="D2848" t="s">
        <v>7263</v>
      </c>
      <c r="E2848" t="s">
        <v>2925</v>
      </c>
      <c r="F2848">
        <v>45716</v>
      </c>
      <c r="G2848" t="s">
        <v>2208</v>
      </c>
      <c r="H2848" t="s">
        <v>8318</v>
      </c>
      <c r="I2848" t="s">
        <v>9545</v>
      </c>
      <c r="J2848">
        <v>0</v>
      </c>
      <c r="K2848">
        <v>8020.8</v>
      </c>
      <c r="L2848" t="s">
        <v>2917</v>
      </c>
      <c r="M2848">
        <v>8020.8</v>
      </c>
      <c r="N2848" t="s">
        <v>2917</v>
      </c>
      <c r="O2848" t="s">
        <v>8330</v>
      </c>
      <c r="P2848" t="s">
        <v>2208</v>
      </c>
      <c r="Q2848" t="s">
        <v>8321</v>
      </c>
      <c r="R2848" t="s">
        <v>8322</v>
      </c>
    </row>
    <row r="2849" spans="1:18">
      <c r="A2849" t="s">
        <v>2418</v>
      </c>
      <c r="B2849" t="s">
        <v>7740</v>
      </c>
      <c r="C2849">
        <v>45716</v>
      </c>
      <c r="D2849" t="s">
        <v>7263</v>
      </c>
      <c r="E2849" t="s">
        <v>2925</v>
      </c>
      <c r="F2849">
        <v>45716</v>
      </c>
      <c r="G2849" t="s">
        <v>2208</v>
      </c>
      <c r="H2849" t="s">
        <v>8318</v>
      </c>
      <c r="I2849" t="s">
        <v>9545</v>
      </c>
      <c r="J2849">
        <v>0</v>
      </c>
      <c r="K2849">
        <v>2488.5</v>
      </c>
      <c r="L2849" t="s">
        <v>2917</v>
      </c>
      <c r="M2849">
        <v>2488.5</v>
      </c>
      <c r="N2849" t="s">
        <v>2917</v>
      </c>
      <c r="O2849" t="s">
        <v>8356</v>
      </c>
      <c r="P2849" t="s">
        <v>2208</v>
      </c>
      <c r="Q2849" t="s">
        <v>8321</v>
      </c>
      <c r="R2849" t="s">
        <v>8322</v>
      </c>
    </row>
    <row r="2850" spans="1:18">
      <c r="A2850" t="s">
        <v>2418</v>
      </c>
      <c r="B2850" t="s">
        <v>7740</v>
      </c>
      <c r="C2850">
        <v>45716</v>
      </c>
      <c r="D2850" t="s">
        <v>7263</v>
      </c>
      <c r="E2850" t="s">
        <v>2925</v>
      </c>
      <c r="F2850">
        <v>45716</v>
      </c>
      <c r="G2850" t="s">
        <v>2208</v>
      </c>
      <c r="H2850" t="s">
        <v>8318</v>
      </c>
      <c r="I2850" t="s">
        <v>9545</v>
      </c>
      <c r="J2850">
        <v>0</v>
      </c>
      <c r="K2850">
        <v>12950.4</v>
      </c>
      <c r="L2850" t="s">
        <v>2917</v>
      </c>
      <c r="M2850">
        <v>12950.4</v>
      </c>
      <c r="N2850" t="s">
        <v>2917</v>
      </c>
      <c r="O2850" t="s">
        <v>8357</v>
      </c>
      <c r="P2850" t="s">
        <v>2208</v>
      </c>
      <c r="Q2850" t="s">
        <v>8321</v>
      </c>
      <c r="R2850" t="s">
        <v>8322</v>
      </c>
    </row>
    <row r="2851" spans="1:18">
      <c r="A2851" t="s">
        <v>2418</v>
      </c>
      <c r="B2851" t="s">
        <v>7740</v>
      </c>
      <c r="C2851">
        <v>45716</v>
      </c>
      <c r="D2851" t="s">
        <v>7263</v>
      </c>
      <c r="E2851" t="s">
        <v>2925</v>
      </c>
      <c r="F2851">
        <v>45716</v>
      </c>
      <c r="G2851" t="s">
        <v>2208</v>
      </c>
      <c r="H2851" t="s">
        <v>8318</v>
      </c>
      <c r="I2851" t="s">
        <v>9545</v>
      </c>
      <c r="J2851">
        <v>0</v>
      </c>
      <c r="K2851">
        <v>805</v>
      </c>
      <c r="L2851" t="s">
        <v>2917</v>
      </c>
      <c r="M2851">
        <v>805</v>
      </c>
      <c r="N2851" t="s">
        <v>2917</v>
      </c>
      <c r="O2851" t="s">
        <v>9546</v>
      </c>
      <c r="P2851" t="s">
        <v>2208</v>
      </c>
      <c r="Q2851" t="s">
        <v>8321</v>
      </c>
      <c r="R2851" t="s">
        <v>8322</v>
      </c>
    </row>
    <row r="2852" spans="1:18">
      <c r="A2852" t="s">
        <v>2418</v>
      </c>
      <c r="B2852" t="s">
        <v>7740</v>
      </c>
      <c r="C2852">
        <v>45716</v>
      </c>
      <c r="D2852" t="s">
        <v>7263</v>
      </c>
      <c r="E2852" t="s">
        <v>2925</v>
      </c>
      <c r="F2852">
        <v>45716</v>
      </c>
      <c r="G2852" t="s">
        <v>2208</v>
      </c>
      <c r="H2852" t="s">
        <v>8318</v>
      </c>
      <c r="I2852" t="s">
        <v>9545</v>
      </c>
      <c r="J2852">
        <v>0</v>
      </c>
      <c r="K2852">
        <v>21750</v>
      </c>
      <c r="L2852" t="s">
        <v>2917</v>
      </c>
      <c r="M2852">
        <v>21750</v>
      </c>
      <c r="N2852" t="s">
        <v>2917</v>
      </c>
      <c r="O2852" t="s">
        <v>9547</v>
      </c>
      <c r="P2852" t="s">
        <v>2208</v>
      </c>
      <c r="Q2852" t="s">
        <v>8321</v>
      </c>
      <c r="R2852" t="s">
        <v>8322</v>
      </c>
    </row>
    <row r="2853" spans="1:18">
      <c r="A2853" t="s">
        <v>2418</v>
      </c>
      <c r="B2853" t="s">
        <v>7740</v>
      </c>
      <c r="C2853">
        <v>45716</v>
      </c>
      <c r="D2853" t="s">
        <v>7263</v>
      </c>
      <c r="E2853" t="s">
        <v>2925</v>
      </c>
      <c r="F2853">
        <v>45716</v>
      </c>
      <c r="G2853" t="s">
        <v>2208</v>
      </c>
      <c r="H2853" t="s">
        <v>8318</v>
      </c>
      <c r="I2853" t="s">
        <v>9545</v>
      </c>
      <c r="J2853">
        <v>0</v>
      </c>
      <c r="K2853">
        <v>330000</v>
      </c>
      <c r="L2853" t="s">
        <v>2917</v>
      </c>
      <c r="M2853">
        <v>330000</v>
      </c>
      <c r="N2853" t="s">
        <v>2917</v>
      </c>
      <c r="O2853" t="s">
        <v>9548</v>
      </c>
      <c r="P2853" t="s">
        <v>2208</v>
      </c>
      <c r="Q2853" t="s">
        <v>8321</v>
      </c>
      <c r="R2853" t="s">
        <v>8322</v>
      </c>
    </row>
    <row r="2854" spans="1:18">
      <c r="A2854" t="s">
        <v>2418</v>
      </c>
      <c r="B2854" t="s">
        <v>7740</v>
      </c>
      <c r="C2854">
        <v>45716</v>
      </c>
      <c r="D2854" t="s">
        <v>7263</v>
      </c>
      <c r="E2854" t="s">
        <v>2925</v>
      </c>
      <c r="F2854">
        <v>45716</v>
      </c>
      <c r="G2854" t="s">
        <v>2208</v>
      </c>
      <c r="H2854" t="s">
        <v>8318</v>
      </c>
      <c r="I2854" t="s">
        <v>9545</v>
      </c>
      <c r="J2854">
        <v>0</v>
      </c>
      <c r="K2854">
        <v>44000</v>
      </c>
      <c r="L2854" t="s">
        <v>2917</v>
      </c>
      <c r="M2854">
        <v>44000</v>
      </c>
      <c r="N2854" t="s">
        <v>2917</v>
      </c>
      <c r="O2854" t="s">
        <v>9549</v>
      </c>
      <c r="P2854" t="s">
        <v>2208</v>
      </c>
      <c r="Q2854" t="s">
        <v>8321</v>
      </c>
      <c r="R2854" t="s">
        <v>8322</v>
      </c>
    </row>
    <row r="2855" spans="1:18">
      <c r="A2855" t="s">
        <v>2237</v>
      </c>
      <c r="B2855" t="s">
        <v>7740</v>
      </c>
      <c r="C2855">
        <v>45716</v>
      </c>
      <c r="D2855" t="s">
        <v>7263</v>
      </c>
      <c r="E2855" t="s">
        <v>2925</v>
      </c>
      <c r="F2855">
        <v>45716</v>
      </c>
      <c r="G2855" t="s">
        <v>2208</v>
      </c>
      <c r="H2855" t="s">
        <v>8318</v>
      </c>
      <c r="I2855" t="s">
        <v>9550</v>
      </c>
      <c r="J2855">
        <v>0</v>
      </c>
      <c r="K2855">
        <v>144</v>
      </c>
      <c r="L2855" t="s">
        <v>2917</v>
      </c>
      <c r="M2855">
        <v>144</v>
      </c>
      <c r="N2855" t="s">
        <v>2917</v>
      </c>
      <c r="O2855" t="s">
        <v>9551</v>
      </c>
      <c r="P2855" t="s">
        <v>2208</v>
      </c>
      <c r="Q2855" t="s">
        <v>8321</v>
      </c>
      <c r="R2855" t="s">
        <v>8322</v>
      </c>
    </row>
    <row r="2856" spans="1:18">
      <c r="A2856" t="s">
        <v>2724</v>
      </c>
      <c r="B2856" t="s">
        <v>7740</v>
      </c>
      <c r="C2856">
        <v>45716</v>
      </c>
      <c r="D2856" t="s">
        <v>7263</v>
      </c>
      <c r="E2856" t="s">
        <v>2925</v>
      </c>
      <c r="F2856">
        <v>45716</v>
      </c>
      <c r="G2856" t="s">
        <v>2208</v>
      </c>
      <c r="H2856" t="s">
        <v>8318</v>
      </c>
      <c r="I2856" t="s">
        <v>9550</v>
      </c>
      <c r="J2856">
        <v>0</v>
      </c>
      <c r="K2856">
        <v>172198.37</v>
      </c>
      <c r="L2856" t="s">
        <v>2917</v>
      </c>
      <c r="M2856">
        <v>172198.37</v>
      </c>
      <c r="N2856" t="s">
        <v>2917</v>
      </c>
      <c r="O2856" t="s">
        <v>9552</v>
      </c>
      <c r="P2856" t="s">
        <v>2208</v>
      </c>
      <c r="Q2856" t="s">
        <v>8321</v>
      </c>
      <c r="R2856" t="s">
        <v>8322</v>
      </c>
    </row>
    <row r="2857" spans="1:18">
      <c r="A2857" t="s">
        <v>2725</v>
      </c>
      <c r="B2857" t="s">
        <v>7740</v>
      </c>
      <c r="C2857">
        <v>45716</v>
      </c>
      <c r="D2857" t="s">
        <v>7263</v>
      </c>
      <c r="E2857" t="s">
        <v>2925</v>
      </c>
      <c r="F2857">
        <v>45716</v>
      </c>
      <c r="G2857" t="s">
        <v>2208</v>
      </c>
      <c r="H2857" t="s">
        <v>8318</v>
      </c>
      <c r="I2857" t="s">
        <v>9550</v>
      </c>
      <c r="J2857">
        <v>0</v>
      </c>
      <c r="K2857">
        <v>90220.04</v>
      </c>
      <c r="L2857" t="s">
        <v>2917</v>
      </c>
      <c r="M2857">
        <v>90220.04</v>
      </c>
      <c r="N2857" t="s">
        <v>2917</v>
      </c>
      <c r="O2857" t="s">
        <v>9553</v>
      </c>
      <c r="P2857" t="s">
        <v>2208</v>
      </c>
      <c r="Q2857" t="s">
        <v>8321</v>
      </c>
      <c r="R2857" t="s">
        <v>8322</v>
      </c>
    </row>
    <row r="2858" spans="1:18">
      <c r="A2858" t="s">
        <v>2418</v>
      </c>
      <c r="B2858" t="s">
        <v>7740</v>
      </c>
      <c r="C2858">
        <v>45716</v>
      </c>
      <c r="D2858" t="s">
        <v>7263</v>
      </c>
      <c r="E2858" t="s">
        <v>2925</v>
      </c>
      <c r="F2858">
        <v>45716</v>
      </c>
      <c r="G2858" t="s">
        <v>2208</v>
      </c>
      <c r="H2858" t="s">
        <v>8318</v>
      </c>
      <c r="I2858" t="s">
        <v>9550</v>
      </c>
      <c r="J2858">
        <v>0</v>
      </c>
      <c r="K2858">
        <v>3592</v>
      </c>
      <c r="L2858" t="s">
        <v>2917</v>
      </c>
      <c r="M2858">
        <v>3592</v>
      </c>
      <c r="N2858" t="s">
        <v>2917</v>
      </c>
      <c r="O2858" t="s">
        <v>9554</v>
      </c>
      <c r="P2858" t="s">
        <v>2208</v>
      </c>
      <c r="Q2858" t="s">
        <v>8321</v>
      </c>
      <c r="R2858" t="s">
        <v>8322</v>
      </c>
    </row>
    <row r="2859" spans="1:18">
      <c r="A2859" t="s">
        <v>7030</v>
      </c>
      <c r="B2859" t="s">
        <v>7740</v>
      </c>
      <c r="C2859">
        <v>45716</v>
      </c>
      <c r="D2859" t="s">
        <v>7263</v>
      </c>
      <c r="E2859" t="s">
        <v>2925</v>
      </c>
      <c r="F2859">
        <v>45716</v>
      </c>
      <c r="G2859" t="s">
        <v>2208</v>
      </c>
      <c r="H2859" t="s">
        <v>8318</v>
      </c>
      <c r="I2859" t="s">
        <v>9550</v>
      </c>
      <c r="J2859">
        <v>0</v>
      </c>
      <c r="K2859">
        <v>7255</v>
      </c>
      <c r="L2859" t="s">
        <v>2917</v>
      </c>
      <c r="M2859">
        <v>7255</v>
      </c>
      <c r="N2859" t="s">
        <v>2917</v>
      </c>
      <c r="O2859" t="s">
        <v>9555</v>
      </c>
      <c r="P2859" t="s">
        <v>2208</v>
      </c>
      <c r="Q2859" t="s">
        <v>8321</v>
      </c>
      <c r="R2859" t="s">
        <v>8322</v>
      </c>
    </row>
    <row r="2860" spans="1:18">
      <c r="A2860" t="s">
        <v>2237</v>
      </c>
      <c r="B2860" t="s">
        <v>7740</v>
      </c>
      <c r="C2860">
        <v>45716</v>
      </c>
      <c r="D2860" t="s">
        <v>7263</v>
      </c>
      <c r="E2860" t="s">
        <v>2925</v>
      </c>
      <c r="F2860">
        <v>45716</v>
      </c>
      <c r="G2860" t="s">
        <v>2208</v>
      </c>
      <c r="H2860" t="s">
        <v>8318</v>
      </c>
      <c r="I2860" t="s">
        <v>9550</v>
      </c>
      <c r="J2860">
        <v>0</v>
      </c>
      <c r="K2860">
        <v>1410.1</v>
      </c>
      <c r="L2860" t="s">
        <v>2917</v>
      </c>
      <c r="M2860">
        <v>1410.1</v>
      </c>
      <c r="N2860" t="s">
        <v>2917</v>
      </c>
      <c r="O2860" t="s">
        <v>9556</v>
      </c>
      <c r="P2860" t="s">
        <v>2208</v>
      </c>
      <c r="Q2860" t="s">
        <v>8321</v>
      </c>
      <c r="R2860" t="s">
        <v>8322</v>
      </c>
    </row>
    <row r="2861" spans="1:18">
      <c r="A2861" t="s">
        <v>7030</v>
      </c>
      <c r="B2861" t="s">
        <v>7740</v>
      </c>
      <c r="C2861">
        <v>45716</v>
      </c>
      <c r="D2861" t="s">
        <v>7263</v>
      </c>
      <c r="E2861" t="s">
        <v>2925</v>
      </c>
      <c r="F2861">
        <v>45716</v>
      </c>
      <c r="G2861" t="s">
        <v>2208</v>
      </c>
      <c r="H2861" t="s">
        <v>8318</v>
      </c>
      <c r="I2861" t="s">
        <v>9550</v>
      </c>
      <c r="J2861">
        <v>0</v>
      </c>
      <c r="K2861">
        <v>74379.820000000007</v>
      </c>
      <c r="L2861" t="s">
        <v>2917</v>
      </c>
      <c r="M2861">
        <v>74379.820000000007</v>
      </c>
      <c r="N2861" t="s">
        <v>2917</v>
      </c>
      <c r="O2861" t="s">
        <v>9557</v>
      </c>
      <c r="P2861" t="s">
        <v>2208</v>
      </c>
      <c r="Q2861" t="s">
        <v>8321</v>
      </c>
      <c r="R2861" t="s">
        <v>8322</v>
      </c>
    </row>
    <row r="2862" spans="1:18">
      <c r="A2862" t="s">
        <v>2256</v>
      </c>
      <c r="B2862" t="s">
        <v>7740</v>
      </c>
      <c r="C2862">
        <v>45716</v>
      </c>
      <c r="D2862" t="s">
        <v>7263</v>
      </c>
      <c r="E2862" t="s">
        <v>2925</v>
      </c>
      <c r="F2862">
        <v>45716</v>
      </c>
      <c r="G2862" t="s">
        <v>2208</v>
      </c>
      <c r="H2862" t="s">
        <v>8343</v>
      </c>
      <c r="I2862" t="s">
        <v>9558</v>
      </c>
      <c r="J2862">
        <v>0</v>
      </c>
      <c r="K2862">
        <v>69.400000000000006</v>
      </c>
      <c r="L2862" t="s">
        <v>2917</v>
      </c>
      <c r="M2862">
        <v>69.400000000000006</v>
      </c>
      <c r="N2862" t="s">
        <v>2917</v>
      </c>
      <c r="O2862" t="s">
        <v>9559</v>
      </c>
      <c r="P2862" t="s">
        <v>2208</v>
      </c>
      <c r="Q2862" t="s">
        <v>9543</v>
      </c>
      <c r="R2862" t="s">
        <v>9544</v>
      </c>
    </row>
    <row r="2863" spans="1:18">
      <c r="A2863" t="s">
        <v>2237</v>
      </c>
      <c r="B2863" t="s">
        <v>7740</v>
      </c>
      <c r="C2863">
        <v>45716</v>
      </c>
      <c r="D2863" t="s">
        <v>7263</v>
      </c>
      <c r="E2863" t="s">
        <v>2925</v>
      </c>
      <c r="F2863">
        <v>45716</v>
      </c>
      <c r="G2863" t="s">
        <v>2208</v>
      </c>
      <c r="H2863" t="s">
        <v>2978</v>
      </c>
      <c r="I2863" t="s">
        <v>9560</v>
      </c>
      <c r="J2863">
        <v>0</v>
      </c>
      <c r="K2863">
        <v>-240</v>
      </c>
      <c r="L2863" t="s">
        <v>2917</v>
      </c>
      <c r="M2863">
        <v>-240</v>
      </c>
      <c r="N2863" t="s">
        <v>2917</v>
      </c>
      <c r="O2863" t="s">
        <v>9561</v>
      </c>
      <c r="P2863" t="s">
        <v>2208</v>
      </c>
      <c r="Q2863" t="s">
        <v>2976</v>
      </c>
      <c r="R2863" t="s">
        <v>9562</v>
      </c>
    </row>
    <row r="2864" spans="1:18">
      <c r="A2864" t="s">
        <v>2237</v>
      </c>
      <c r="B2864" t="s">
        <v>7740</v>
      </c>
      <c r="C2864">
        <v>45716</v>
      </c>
      <c r="D2864" t="s">
        <v>7263</v>
      </c>
      <c r="E2864" t="s">
        <v>2925</v>
      </c>
      <c r="F2864">
        <v>45716</v>
      </c>
      <c r="G2864" t="s">
        <v>2208</v>
      </c>
      <c r="H2864" t="s">
        <v>2978</v>
      </c>
      <c r="I2864" t="s">
        <v>9560</v>
      </c>
      <c r="J2864">
        <v>0</v>
      </c>
      <c r="K2864">
        <v>240</v>
      </c>
      <c r="L2864" t="s">
        <v>2917</v>
      </c>
      <c r="M2864">
        <v>240</v>
      </c>
      <c r="N2864" t="s">
        <v>2917</v>
      </c>
      <c r="O2864" t="s">
        <v>9561</v>
      </c>
      <c r="P2864" t="s">
        <v>2208</v>
      </c>
      <c r="Q2864" t="s">
        <v>2976</v>
      </c>
      <c r="R2864" t="s">
        <v>9562</v>
      </c>
    </row>
    <row r="2865" spans="1:18">
      <c r="A2865" t="s">
        <v>709</v>
      </c>
      <c r="B2865" t="s">
        <v>7740</v>
      </c>
      <c r="C2865">
        <v>45716</v>
      </c>
      <c r="D2865" t="s">
        <v>7263</v>
      </c>
      <c r="E2865" t="s">
        <v>2925</v>
      </c>
      <c r="F2865">
        <v>45716</v>
      </c>
      <c r="G2865" t="s">
        <v>2208</v>
      </c>
      <c r="H2865" t="s">
        <v>2974</v>
      </c>
      <c r="I2865" t="s">
        <v>9563</v>
      </c>
      <c r="J2865">
        <v>0</v>
      </c>
      <c r="K2865">
        <v>-1070.67</v>
      </c>
      <c r="L2865" t="s">
        <v>2917</v>
      </c>
      <c r="M2865">
        <v>-1070.67</v>
      </c>
      <c r="N2865" t="s">
        <v>2917</v>
      </c>
      <c r="O2865" t="s">
        <v>3070</v>
      </c>
      <c r="P2865" t="s">
        <v>2208</v>
      </c>
      <c r="Q2865" t="s">
        <v>2975</v>
      </c>
      <c r="R2865" t="s">
        <v>3316</v>
      </c>
    </row>
    <row r="2866" spans="1:18">
      <c r="A2866" t="s">
        <v>709</v>
      </c>
      <c r="B2866" t="s">
        <v>7740</v>
      </c>
      <c r="C2866">
        <v>45716</v>
      </c>
      <c r="D2866" t="s">
        <v>7263</v>
      </c>
      <c r="E2866" t="s">
        <v>2925</v>
      </c>
      <c r="F2866">
        <v>45716</v>
      </c>
      <c r="G2866" t="s">
        <v>2208</v>
      </c>
      <c r="H2866" t="s">
        <v>2974</v>
      </c>
      <c r="I2866" t="s">
        <v>9563</v>
      </c>
      <c r="J2866">
        <v>0</v>
      </c>
      <c r="K2866">
        <v>-325.3</v>
      </c>
      <c r="L2866" t="s">
        <v>2917</v>
      </c>
      <c r="M2866">
        <v>-325.3</v>
      </c>
      <c r="N2866" t="s">
        <v>2917</v>
      </c>
      <c r="O2866" t="s">
        <v>3070</v>
      </c>
      <c r="P2866" t="s">
        <v>2208</v>
      </c>
      <c r="Q2866" t="s">
        <v>2975</v>
      </c>
      <c r="R2866" t="s">
        <v>3316</v>
      </c>
    </row>
    <row r="2867" spans="1:18">
      <c r="A2867" t="s">
        <v>709</v>
      </c>
      <c r="B2867" t="s">
        <v>7740</v>
      </c>
      <c r="C2867">
        <v>45716</v>
      </c>
      <c r="D2867" t="s">
        <v>7263</v>
      </c>
      <c r="E2867" t="s">
        <v>2925</v>
      </c>
      <c r="F2867">
        <v>45716</v>
      </c>
      <c r="G2867" t="s">
        <v>2208</v>
      </c>
      <c r="H2867" t="s">
        <v>2974</v>
      </c>
      <c r="I2867" t="s">
        <v>9563</v>
      </c>
      <c r="J2867">
        <v>0</v>
      </c>
      <c r="K2867">
        <v>-595.97</v>
      </c>
      <c r="L2867" t="s">
        <v>2917</v>
      </c>
      <c r="M2867">
        <v>-595.97</v>
      </c>
      <c r="N2867" t="s">
        <v>2917</v>
      </c>
      <c r="O2867" t="s">
        <v>3070</v>
      </c>
      <c r="P2867" t="s">
        <v>2208</v>
      </c>
      <c r="Q2867" t="s">
        <v>2975</v>
      </c>
      <c r="R2867" t="s">
        <v>3316</v>
      </c>
    </row>
    <row r="2868" spans="1:18">
      <c r="A2868" t="s">
        <v>709</v>
      </c>
      <c r="B2868" t="s">
        <v>7740</v>
      </c>
      <c r="C2868">
        <v>45716</v>
      </c>
      <c r="D2868" t="s">
        <v>7263</v>
      </c>
      <c r="E2868" t="s">
        <v>2925</v>
      </c>
      <c r="F2868">
        <v>45716</v>
      </c>
      <c r="G2868" t="s">
        <v>2208</v>
      </c>
      <c r="H2868" t="s">
        <v>2974</v>
      </c>
      <c r="I2868" t="s">
        <v>9563</v>
      </c>
      <c r="J2868">
        <v>0</v>
      </c>
      <c r="K2868">
        <v>-216.68</v>
      </c>
      <c r="L2868" t="s">
        <v>2917</v>
      </c>
      <c r="M2868">
        <v>-216.68</v>
      </c>
      <c r="N2868" t="s">
        <v>2917</v>
      </c>
      <c r="O2868" t="s">
        <v>3070</v>
      </c>
      <c r="P2868" t="s">
        <v>2208</v>
      </c>
      <c r="Q2868" t="s">
        <v>2975</v>
      </c>
      <c r="R2868" t="s">
        <v>3316</v>
      </c>
    </row>
    <row r="2869" spans="1:18">
      <c r="A2869" t="s">
        <v>709</v>
      </c>
      <c r="B2869" t="s">
        <v>7740</v>
      </c>
      <c r="C2869">
        <v>45716</v>
      </c>
      <c r="D2869" t="s">
        <v>7263</v>
      </c>
      <c r="E2869" t="s">
        <v>2925</v>
      </c>
      <c r="F2869">
        <v>45716</v>
      </c>
      <c r="G2869" t="s">
        <v>2208</v>
      </c>
      <c r="H2869" t="s">
        <v>2974</v>
      </c>
      <c r="I2869" t="s">
        <v>9563</v>
      </c>
      <c r="J2869">
        <v>0</v>
      </c>
      <c r="K2869">
        <v>-5313.59</v>
      </c>
      <c r="L2869" t="s">
        <v>2917</v>
      </c>
      <c r="M2869">
        <v>-5313.59</v>
      </c>
      <c r="N2869" t="s">
        <v>2917</v>
      </c>
      <c r="O2869" t="s">
        <v>3070</v>
      </c>
      <c r="P2869" t="s">
        <v>2208</v>
      </c>
      <c r="Q2869" t="s">
        <v>2975</v>
      </c>
      <c r="R2869" t="s">
        <v>3316</v>
      </c>
    </row>
    <row r="2870" spans="1:18">
      <c r="A2870" t="s">
        <v>709</v>
      </c>
      <c r="B2870" t="s">
        <v>7740</v>
      </c>
      <c r="C2870">
        <v>45716</v>
      </c>
      <c r="D2870" t="s">
        <v>7263</v>
      </c>
      <c r="E2870" t="s">
        <v>2925</v>
      </c>
      <c r="F2870">
        <v>45716</v>
      </c>
      <c r="G2870" t="s">
        <v>2208</v>
      </c>
      <c r="H2870" t="s">
        <v>2974</v>
      </c>
      <c r="I2870" t="s">
        <v>9563</v>
      </c>
      <c r="J2870">
        <v>0</v>
      </c>
      <c r="K2870">
        <v>-191.21</v>
      </c>
      <c r="L2870" t="s">
        <v>2917</v>
      </c>
      <c r="M2870">
        <v>-191.21</v>
      </c>
      <c r="N2870" t="s">
        <v>2917</v>
      </c>
      <c r="O2870" t="s">
        <v>3070</v>
      </c>
      <c r="P2870" t="s">
        <v>2208</v>
      </c>
      <c r="Q2870" t="s">
        <v>2975</v>
      </c>
      <c r="R2870" t="s">
        <v>3316</v>
      </c>
    </row>
    <row r="2871" spans="1:18">
      <c r="A2871" t="s">
        <v>709</v>
      </c>
      <c r="B2871" t="s">
        <v>7740</v>
      </c>
      <c r="C2871">
        <v>45716</v>
      </c>
      <c r="D2871" t="s">
        <v>7263</v>
      </c>
      <c r="E2871" t="s">
        <v>2925</v>
      </c>
      <c r="F2871">
        <v>45716</v>
      </c>
      <c r="G2871" t="s">
        <v>2208</v>
      </c>
      <c r="H2871" t="s">
        <v>2974</v>
      </c>
      <c r="I2871" t="s">
        <v>9563</v>
      </c>
      <c r="J2871">
        <v>0</v>
      </c>
      <c r="K2871">
        <v>-52622.9</v>
      </c>
      <c r="L2871" t="s">
        <v>2917</v>
      </c>
      <c r="M2871">
        <v>-52622.9</v>
      </c>
      <c r="N2871" t="s">
        <v>2917</v>
      </c>
      <c r="O2871" t="s">
        <v>3070</v>
      </c>
      <c r="P2871" t="s">
        <v>2208</v>
      </c>
      <c r="Q2871" t="s">
        <v>2975</v>
      </c>
      <c r="R2871" t="s">
        <v>3316</v>
      </c>
    </row>
    <row r="2872" spans="1:18">
      <c r="A2872" t="s">
        <v>709</v>
      </c>
      <c r="B2872" t="s">
        <v>9126</v>
      </c>
      <c r="C2872">
        <v>45716</v>
      </c>
      <c r="D2872" t="s">
        <v>7263</v>
      </c>
      <c r="E2872" t="s">
        <v>9127</v>
      </c>
      <c r="F2872">
        <v>45720</v>
      </c>
      <c r="G2872" t="s">
        <v>2208</v>
      </c>
      <c r="H2872" t="s">
        <v>2974</v>
      </c>
      <c r="I2872" t="s">
        <v>9564</v>
      </c>
      <c r="J2872">
        <v>0</v>
      </c>
      <c r="K2872">
        <v>1070.67</v>
      </c>
      <c r="L2872" t="s">
        <v>2917</v>
      </c>
      <c r="M2872">
        <v>1070.67</v>
      </c>
      <c r="N2872" t="s">
        <v>2917</v>
      </c>
      <c r="O2872" t="s">
        <v>3070</v>
      </c>
      <c r="P2872" t="s">
        <v>2208</v>
      </c>
      <c r="Q2872" t="s">
        <v>2975</v>
      </c>
      <c r="R2872" t="s">
        <v>3316</v>
      </c>
    </row>
    <row r="2873" spans="1:18">
      <c r="A2873" t="s">
        <v>709</v>
      </c>
      <c r="B2873" t="s">
        <v>9126</v>
      </c>
      <c r="C2873">
        <v>45716</v>
      </c>
      <c r="D2873" t="s">
        <v>7263</v>
      </c>
      <c r="E2873" t="s">
        <v>9127</v>
      </c>
      <c r="F2873">
        <v>45720</v>
      </c>
      <c r="G2873" t="s">
        <v>2208</v>
      </c>
      <c r="H2873" t="s">
        <v>2974</v>
      </c>
      <c r="I2873" t="s">
        <v>9564</v>
      </c>
      <c r="J2873">
        <v>0</v>
      </c>
      <c r="K2873">
        <v>325.3</v>
      </c>
      <c r="L2873" t="s">
        <v>2917</v>
      </c>
      <c r="M2873">
        <v>325.3</v>
      </c>
      <c r="N2873" t="s">
        <v>2917</v>
      </c>
      <c r="O2873" t="s">
        <v>3070</v>
      </c>
      <c r="P2873" t="s">
        <v>2208</v>
      </c>
      <c r="Q2873" t="s">
        <v>2975</v>
      </c>
      <c r="R2873" t="s">
        <v>3316</v>
      </c>
    </row>
    <row r="2874" spans="1:18">
      <c r="A2874" t="s">
        <v>709</v>
      </c>
      <c r="B2874" t="s">
        <v>9126</v>
      </c>
      <c r="C2874">
        <v>45716</v>
      </c>
      <c r="D2874" t="s">
        <v>7263</v>
      </c>
      <c r="E2874" t="s">
        <v>9127</v>
      </c>
      <c r="F2874">
        <v>45720</v>
      </c>
      <c r="G2874" t="s">
        <v>2208</v>
      </c>
      <c r="H2874" t="s">
        <v>2974</v>
      </c>
      <c r="I2874" t="s">
        <v>9564</v>
      </c>
      <c r="J2874">
        <v>0</v>
      </c>
      <c r="K2874">
        <v>595.97</v>
      </c>
      <c r="L2874" t="s">
        <v>2917</v>
      </c>
      <c r="M2874">
        <v>595.97</v>
      </c>
      <c r="N2874" t="s">
        <v>2917</v>
      </c>
      <c r="O2874" t="s">
        <v>3070</v>
      </c>
      <c r="P2874" t="s">
        <v>2208</v>
      </c>
      <c r="Q2874" t="s">
        <v>2975</v>
      </c>
      <c r="R2874" t="s">
        <v>3316</v>
      </c>
    </row>
    <row r="2875" spans="1:18">
      <c r="A2875" t="s">
        <v>709</v>
      </c>
      <c r="B2875" t="s">
        <v>9126</v>
      </c>
      <c r="C2875">
        <v>45716</v>
      </c>
      <c r="D2875" t="s">
        <v>7263</v>
      </c>
      <c r="E2875" t="s">
        <v>9127</v>
      </c>
      <c r="F2875">
        <v>45720</v>
      </c>
      <c r="G2875" t="s">
        <v>2208</v>
      </c>
      <c r="H2875" t="s">
        <v>2974</v>
      </c>
      <c r="I2875" t="s">
        <v>9564</v>
      </c>
      <c r="J2875">
        <v>0</v>
      </c>
      <c r="K2875">
        <v>216.68</v>
      </c>
      <c r="L2875" t="s">
        <v>2917</v>
      </c>
      <c r="M2875">
        <v>216.68</v>
      </c>
      <c r="N2875" t="s">
        <v>2917</v>
      </c>
      <c r="O2875" t="s">
        <v>3070</v>
      </c>
      <c r="P2875" t="s">
        <v>2208</v>
      </c>
      <c r="Q2875" t="s">
        <v>2975</v>
      </c>
      <c r="R2875" t="s">
        <v>3316</v>
      </c>
    </row>
    <row r="2876" spans="1:18">
      <c r="A2876" t="s">
        <v>709</v>
      </c>
      <c r="B2876" t="s">
        <v>9126</v>
      </c>
      <c r="C2876">
        <v>45716</v>
      </c>
      <c r="D2876" t="s">
        <v>7263</v>
      </c>
      <c r="E2876" t="s">
        <v>9127</v>
      </c>
      <c r="F2876">
        <v>45720</v>
      </c>
      <c r="G2876" t="s">
        <v>2208</v>
      </c>
      <c r="H2876" t="s">
        <v>2974</v>
      </c>
      <c r="I2876" t="s">
        <v>9564</v>
      </c>
      <c r="J2876">
        <v>0</v>
      </c>
      <c r="K2876">
        <v>5313.59</v>
      </c>
      <c r="L2876" t="s">
        <v>2917</v>
      </c>
      <c r="M2876">
        <v>5313.59</v>
      </c>
      <c r="N2876" t="s">
        <v>2917</v>
      </c>
      <c r="O2876" t="s">
        <v>3070</v>
      </c>
      <c r="P2876" t="s">
        <v>2208</v>
      </c>
      <c r="Q2876" t="s">
        <v>2975</v>
      </c>
      <c r="R2876" t="s">
        <v>3316</v>
      </c>
    </row>
    <row r="2877" spans="1:18">
      <c r="A2877" t="s">
        <v>709</v>
      </c>
      <c r="B2877" t="s">
        <v>9126</v>
      </c>
      <c r="C2877">
        <v>45716</v>
      </c>
      <c r="D2877" t="s">
        <v>7263</v>
      </c>
      <c r="E2877" t="s">
        <v>9127</v>
      </c>
      <c r="F2877">
        <v>45720</v>
      </c>
      <c r="G2877" t="s">
        <v>2208</v>
      </c>
      <c r="H2877" t="s">
        <v>2974</v>
      </c>
      <c r="I2877" t="s">
        <v>9564</v>
      </c>
      <c r="J2877">
        <v>0</v>
      </c>
      <c r="K2877">
        <v>191.21</v>
      </c>
      <c r="L2877" t="s">
        <v>2917</v>
      </c>
      <c r="M2877">
        <v>191.21</v>
      </c>
      <c r="N2877" t="s">
        <v>2917</v>
      </c>
      <c r="O2877" t="s">
        <v>3070</v>
      </c>
      <c r="P2877" t="s">
        <v>2208</v>
      </c>
      <c r="Q2877" t="s">
        <v>2975</v>
      </c>
      <c r="R2877" t="s">
        <v>3316</v>
      </c>
    </row>
    <row r="2878" spans="1:18">
      <c r="A2878" t="s">
        <v>709</v>
      </c>
      <c r="B2878" t="s">
        <v>9126</v>
      </c>
      <c r="C2878">
        <v>45716</v>
      </c>
      <c r="D2878" t="s">
        <v>7263</v>
      </c>
      <c r="E2878" t="s">
        <v>9127</v>
      </c>
      <c r="F2878">
        <v>45720</v>
      </c>
      <c r="G2878" t="s">
        <v>2208</v>
      </c>
      <c r="H2878" t="s">
        <v>2974</v>
      </c>
      <c r="I2878" t="s">
        <v>9564</v>
      </c>
      <c r="J2878">
        <v>0</v>
      </c>
      <c r="K2878">
        <v>52622.9</v>
      </c>
      <c r="L2878" t="s">
        <v>2917</v>
      </c>
      <c r="M2878">
        <v>52622.9</v>
      </c>
      <c r="N2878" t="s">
        <v>2917</v>
      </c>
      <c r="O2878" t="s">
        <v>3070</v>
      </c>
      <c r="P2878" t="s">
        <v>2208</v>
      </c>
      <c r="Q2878" t="s">
        <v>2975</v>
      </c>
      <c r="R2878" t="s">
        <v>3316</v>
      </c>
    </row>
    <row r="2879" spans="1:18">
      <c r="A2879" t="s">
        <v>2418</v>
      </c>
      <c r="B2879" t="s">
        <v>7740</v>
      </c>
      <c r="C2879">
        <v>45716</v>
      </c>
      <c r="D2879" t="s">
        <v>7263</v>
      </c>
      <c r="E2879" t="s">
        <v>2925</v>
      </c>
      <c r="F2879">
        <v>45716</v>
      </c>
      <c r="G2879" t="s">
        <v>2208</v>
      </c>
      <c r="H2879" t="s">
        <v>8318</v>
      </c>
      <c r="I2879" t="s">
        <v>9565</v>
      </c>
      <c r="J2879">
        <v>0</v>
      </c>
      <c r="K2879">
        <v>-50795.199999999997</v>
      </c>
      <c r="L2879" t="s">
        <v>2917</v>
      </c>
      <c r="M2879">
        <v>-50795.199999999997</v>
      </c>
      <c r="N2879" t="s">
        <v>2917</v>
      </c>
      <c r="O2879" t="s">
        <v>8330</v>
      </c>
      <c r="P2879" t="s">
        <v>2208</v>
      </c>
      <c r="Q2879" t="s">
        <v>8318</v>
      </c>
      <c r="R2879" t="s">
        <v>9566</v>
      </c>
    </row>
    <row r="2880" spans="1:18">
      <c r="A2880" t="s">
        <v>2418</v>
      </c>
      <c r="B2880" t="s">
        <v>7740</v>
      </c>
      <c r="C2880">
        <v>45716</v>
      </c>
      <c r="D2880" t="s">
        <v>7263</v>
      </c>
      <c r="E2880" t="s">
        <v>2925</v>
      </c>
      <c r="F2880">
        <v>45716</v>
      </c>
      <c r="G2880" t="s">
        <v>2208</v>
      </c>
      <c r="H2880" t="s">
        <v>8318</v>
      </c>
      <c r="I2880" t="s">
        <v>9565</v>
      </c>
      <c r="J2880">
        <v>0</v>
      </c>
      <c r="K2880">
        <v>-11755.5</v>
      </c>
      <c r="L2880" t="s">
        <v>2917</v>
      </c>
      <c r="M2880">
        <v>-11755.5</v>
      </c>
      <c r="N2880" t="s">
        <v>2917</v>
      </c>
      <c r="O2880" t="s">
        <v>8330</v>
      </c>
      <c r="P2880" t="s">
        <v>2208</v>
      </c>
      <c r="Q2880" t="s">
        <v>8318</v>
      </c>
      <c r="R2880" t="s">
        <v>9566</v>
      </c>
    </row>
    <row r="2881" spans="1:18">
      <c r="A2881" t="s">
        <v>2418</v>
      </c>
      <c r="B2881" t="s">
        <v>7740</v>
      </c>
      <c r="C2881">
        <v>45716</v>
      </c>
      <c r="D2881" t="s">
        <v>7263</v>
      </c>
      <c r="E2881" t="s">
        <v>2925</v>
      </c>
      <c r="F2881">
        <v>45716</v>
      </c>
      <c r="G2881" t="s">
        <v>2208</v>
      </c>
      <c r="H2881" t="s">
        <v>8318</v>
      </c>
      <c r="I2881" t="s">
        <v>9565</v>
      </c>
      <c r="J2881">
        <v>0</v>
      </c>
      <c r="K2881">
        <v>-2351.1</v>
      </c>
      <c r="L2881" t="s">
        <v>2917</v>
      </c>
      <c r="M2881">
        <v>-2351.1</v>
      </c>
      <c r="N2881" t="s">
        <v>2917</v>
      </c>
      <c r="O2881" t="s">
        <v>8330</v>
      </c>
      <c r="P2881" t="s">
        <v>2208</v>
      </c>
      <c r="Q2881" t="s">
        <v>8318</v>
      </c>
      <c r="R2881" t="s">
        <v>9566</v>
      </c>
    </row>
    <row r="2882" spans="1:18">
      <c r="A2882" t="s">
        <v>2418</v>
      </c>
      <c r="B2882" t="s">
        <v>7740</v>
      </c>
      <c r="C2882">
        <v>45716</v>
      </c>
      <c r="D2882" t="s">
        <v>7263</v>
      </c>
      <c r="E2882" t="s">
        <v>2925</v>
      </c>
      <c r="F2882">
        <v>45716</v>
      </c>
      <c r="G2882" t="s">
        <v>2208</v>
      </c>
      <c r="H2882" t="s">
        <v>8318</v>
      </c>
      <c r="I2882" t="s">
        <v>9565</v>
      </c>
      <c r="J2882">
        <v>0</v>
      </c>
      <c r="K2882">
        <v>-19904</v>
      </c>
      <c r="L2882" t="s">
        <v>2917</v>
      </c>
      <c r="M2882">
        <v>-19904</v>
      </c>
      <c r="N2882" t="s">
        <v>2917</v>
      </c>
      <c r="O2882" t="s">
        <v>8330</v>
      </c>
      <c r="P2882" t="s">
        <v>2208</v>
      </c>
      <c r="Q2882" t="s">
        <v>8318</v>
      </c>
      <c r="R2882" t="s">
        <v>9566</v>
      </c>
    </row>
    <row r="2883" spans="1:18">
      <c r="A2883" t="s">
        <v>2418</v>
      </c>
      <c r="B2883" t="s">
        <v>7740</v>
      </c>
      <c r="C2883">
        <v>45716</v>
      </c>
      <c r="D2883" t="s">
        <v>7263</v>
      </c>
      <c r="E2883" t="s">
        <v>2925</v>
      </c>
      <c r="F2883">
        <v>45716</v>
      </c>
      <c r="G2883" t="s">
        <v>2208</v>
      </c>
      <c r="H2883" t="s">
        <v>8318</v>
      </c>
      <c r="I2883" t="s">
        <v>9565</v>
      </c>
      <c r="J2883">
        <v>0</v>
      </c>
      <c r="K2883">
        <v>-3980.8</v>
      </c>
      <c r="L2883" t="s">
        <v>2917</v>
      </c>
      <c r="M2883">
        <v>-3980.8</v>
      </c>
      <c r="N2883" t="s">
        <v>2917</v>
      </c>
      <c r="O2883" t="s">
        <v>8330</v>
      </c>
      <c r="P2883" t="s">
        <v>2208</v>
      </c>
      <c r="Q2883" t="s">
        <v>8318</v>
      </c>
      <c r="R2883" t="s">
        <v>9566</v>
      </c>
    </row>
    <row r="2884" spans="1:18">
      <c r="A2884" t="s">
        <v>2418</v>
      </c>
      <c r="B2884" t="s">
        <v>7740</v>
      </c>
      <c r="C2884">
        <v>45716</v>
      </c>
      <c r="D2884" t="s">
        <v>7263</v>
      </c>
      <c r="E2884" t="s">
        <v>2925</v>
      </c>
      <c r="F2884">
        <v>45716</v>
      </c>
      <c r="G2884" t="s">
        <v>2208</v>
      </c>
      <c r="H2884" t="s">
        <v>8318</v>
      </c>
      <c r="I2884" t="s">
        <v>9565</v>
      </c>
      <c r="J2884">
        <v>0</v>
      </c>
      <c r="K2884">
        <v>-40104</v>
      </c>
      <c r="L2884" t="s">
        <v>2917</v>
      </c>
      <c r="M2884">
        <v>-40104</v>
      </c>
      <c r="N2884" t="s">
        <v>2917</v>
      </c>
      <c r="O2884" t="s">
        <v>8330</v>
      </c>
      <c r="P2884" t="s">
        <v>2208</v>
      </c>
      <c r="Q2884" t="s">
        <v>8318</v>
      </c>
      <c r="R2884" t="s">
        <v>9566</v>
      </c>
    </row>
    <row r="2885" spans="1:18">
      <c r="A2885" t="s">
        <v>2418</v>
      </c>
      <c r="B2885" t="s">
        <v>7740</v>
      </c>
      <c r="C2885">
        <v>45716</v>
      </c>
      <c r="D2885" t="s">
        <v>7263</v>
      </c>
      <c r="E2885" t="s">
        <v>2925</v>
      </c>
      <c r="F2885">
        <v>45716</v>
      </c>
      <c r="G2885" t="s">
        <v>2208</v>
      </c>
      <c r="H2885" t="s">
        <v>8318</v>
      </c>
      <c r="I2885" t="s">
        <v>9565</v>
      </c>
      <c r="J2885">
        <v>0</v>
      </c>
      <c r="K2885">
        <v>-8020.8</v>
      </c>
      <c r="L2885" t="s">
        <v>2917</v>
      </c>
      <c r="M2885">
        <v>-8020.8</v>
      </c>
      <c r="N2885" t="s">
        <v>2917</v>
      </c>
      <c r="O2885" t="s">
        <v>8330</v>
      </c>
      <c r="P2885" t="s">
        <v>2208</v>
      </c>
      <c r="Q2885" t="s">
        <v>8318</v>
      </c>
      <c r="R2885" t="s">
        <v>9566</v>
      </c>
    </row>
    <row r="2886" spans="1:18">
      <c r="A2886" t="s">
        <v>2418</v>
      </c>
      <c r="B2886" t="s">
        <v>7740</v>
      </c>
      <c r="C2886">
        <v>45716</v>
      </c>
      <c r="D2886" t="s">
        <v>7263</v>
      </c>
      <c r="E2886" t="s">
        <v>2925</v>
      </c>
      <c r="F2886">
        <v>45716</v>
      </c>
      <c r="G2886" t="s">
        <v>2208</v>
      </c>
      <c r="H2886" t="s">
        <v>8318</v>
      </c>
      <c r="I2886" t="s">
        <v>9565</v>
      </c>
      <c r="J2886">
        <v>0</v>
      </c>
      <c r="K2886">
        <v>-2488.5</v>
      </c>
      <c r="L2886" t="s">
        <v>2917</v>
      </c>
      <c r="M2886">
        <v>-2488.5</v>
      </c>
      <c r="N2886" t="s">
        <v>2917</v>
      </c>
      <c r="O2886" t="s">
        <v>8356</v>
      </c>
      <c r="P2886" t="s">
        <v>2208</v>
      </c>
      <c r="Q2886" t="s">
        <v>8318</v>
      </c>
      <c r="R2886" t="s">
        <v>9566</v>
      </c>
    </row>
    <row r="2887" spans="1:18">
      <c r="A2887" t="s">
        <v>2418</v>
      </c>
      <c r="B2887" t="s">
        <v>7740</v>
      </c>
      <c r="C2887">
        <v>45716</v>
      </c>
      <c r="D2887" t="s">
        <v>7263</v>
      </c>
      <c r="E2887" t="s">
        <v>2925</v>
      </c>
      <c r="F2887">
        <v>45716</v>
      </c>
      <c r="G2887" t="s">
        <v>2208</v>
      </c>
      <c r="H2887" t="s">
        <v>8318</v>
      </c>
      <c r="I2887" t="s">
        <v>9565</v>
      </c>
      <c r="J2887">
        <v>0</v>
      </c>
      <c r="K2887">
        <v>-12950.4</v>
      </c>
      <c r="L2887" t="s">
        <v>2917</v>
      </c>
      <c r="M2887">
        <v>-12950.4</v>
      </c>
      <c r="N2887" t="s">
        <v>2917</v>
      </c>
      <c r="O2887" t="s">
        <v>8357</v>
      </c>
      <c r="P2887" t="s">
        <v>2208</v>
      </c>
      <c r="Q2887" t="s">
        <v>8318</v>
      </c>
      <c r="R2887" t="s">
        <v>9566</v>
      </c>
    </row>
    <row r="2888" spans="1:18">
      <c r="A2888" t="s">
        <v>2418</v>
      </c>
      <c r="B2888" t="s">
        <v>7740</v>
      </c>
      <c r="C2888">
        <v>45716</v>
      </c>
      <c r="D2888" t="s">
        <v>7263</v>
      </c>
      <c r="E2888" t="s">
        <v>2925</v>
      </c>
      <c r="F2888">
        <v>45716</v>
      </c>
      <c r="G2888" t="s">
        <v>2208</v>
      </c>
      <c r="H2888" t="s">
        <v>8318</v>
      </c>
      <c r="I2888" t="s">
        <v>9565</v>
      </c>
      <c r="J2888">
        <v>0</v>
      </c>
      <c r="K2888">
        <v>-805</v>
      </c>
      <c r="L2888" t="s">
        <v>2917</v>
      </c>
      <c r="M2888">
        <v>-805</v>
      </c>
      <c r="N2888" t="s">
        <v>2917</v>
      </c>
      <c r="O2888" t="s">
        <v>9546</v>
      </c>
      <c r="P2888" t="s">
        <v>2208</v>
      </c>
      <c r="Q2888" t="s">
        <v>8318</v>
      </c>
      <c r="R2888" t="s">
        <v>9566</v>
      </c>
    </row>
    <row r="2889" spans="1:18">
      <c r="A2889" t="s">
        <v>2418</v>
      </c>
      <c r="B2889" t="s">
        <v>7740</v>
      </c>
      <c r="C2889">
        <v>45716</v>
      </c>
      <c r="D2889" t="s">
        <v>7263</v>
      </c>
      <c r="E2889" t="s">
        <v>2925</v>
      </c>
      <c r="F2889">
        <v>45716</v>
      </c>
      <c r="G2889" t="s">
        <v>2208</v>
      </c>
      <c r="H2889" t="s">
        <v>8318</v>
      </c>
      <c r="I2889" t="s">
        <v>9565</v>
      </c>
      <c r="J2889">
        <v>0</v>
      </c>
      <c r="K2889">
        <v>-21750</v>
      </c>
      <c r="L2889" t="s">
        <v>2917</v>
      </c>
      <c r="M2889">
        <v>-21750</v>
      </c>
      <c r="N2889" t="s">
        <v>2917</v>
      </c>
      <c r="O2889" t="s">
        <v>9547</v>
      </c>
      <c r="P2889" t="s">
        <v>2208</v>
      </c>
      <c r="Q2889" t="s">
        <v>8318</v>
      </c>
      <c r="R2889" t="s">
        <v>9566</v>
      </c>
    </row>
    <row r="2890" spans="1:18">
      <c r="A2890" t="s">
        <v>2418</v>
      </c>
      <c r="B2890" t="s">
        <v>7740</v>
      </c>
      <c r="C2890">
        <v>45716</v>
      </c>
      <c r="D2890" t="s">
        <v>7263</v>
      </c>
      <c r="E2890" t="s">
        <v>2925</v>
      </c>
      <c r="F2890">
        <v>45716</v>
      </c>
      <c r="G2890" t="s">
        <v>2208</v>
      </c>
      <c r="H2890" t="s">
        <v>8318</v>
      </c>
      <c r="I2890" t="s">
        <v>9565</v>
      </c>
      <c r="J2890">
        <v>0</v>
      </c>
      <c r="K2890">
        <v>-330000</v>
      </c>
      <c r="L2890" t="s">
        <v>2917</v>
      </c>
      <c r="M2890">
        <v>-330000</v>
      </c>
      <c r="N2890" t="s">
        <v>2917</v>
      </c>
      <c r="O2890" t="s">
        <v>9548</v>
      </c>
      <c r="P2890" t="s">
        <v>2208</v>
      </c>
      <c r="Q2890" t="s">
        <v>8318</v>
      </c>
      <c r="R2890" t="s">
        <v>9566</v>
      </c>
    </row>
    <row r="2891" spans="1:18">
      <c r="A2891" t="s">
        <v>2418</v>
      </c>
      <c r="B2891" t="s">
        <v>7740</v>
      </c>
      <c r="C2891">
        <v>45716</v>
      </c>
      <c r="D2891" t="s">
        <v>7263</v>
      </c>
      <c r="E2891" t="s">
        <v>2925</v>
      </c>
      <c r="F2891">
        <v>45716</v>
      </c>
      <c r="G2891" t="s">
        <v>2208</v>
      </c>
      <c r="H2891" t="s">
        <v>8318</v>
      </c>
      <c r="I2891" t="s">
        <v>9565</v>
      </c>
      <c r="J2891">
        <v>0</v>
      </c>
      <c r="K2891">
        <v>-44000</v>
      </c>
      <c r="L2891" t="s">
        <v>2917</v>
      </c>
      <c r="M2891">
        <v>-44000</v>
      </c>
      <c r="N2891" t="s">
        <v>2917</v>
      </c>
      <c r="O2891" t="s">
        <v>9549</v>
      </c>
      <c r="P2891" t="s">
        <v>2208</v>
      </c>
      <c r="Q2891" t="s">
        <v>8318</v>
      </c>
      <c r="R2891" t="s">
        <v>9566</v>
      </c>
    </row>
    <row r="2892" spans="1:18">
      <c r="A2892" t="s">
        <v>2418</v>
      </c>
      <c r="B2892" t="s">
        <v>7740</v>
      </c>
      <c r="C2892">
        <v>45716</v>
      </c>
      <c r="D2892" t="s">
        <v>7263</v>
      </c>
      <c r="E2892" t="s">
        <v>2925</v>
      </c>
      <c r="F2892">
        <v>45716</v>
      </c>
      <c r="G2892" t="s">
        <v>2208</v>
      </c>
      <c r="H2892" t="s">
        <v>8318</v>
      </c>
      <c r="I2892" t="s">
        <v>9565</v>
      </c>
      <c r="J2892">
        <v>0</v>
      </c>
      <c r="K2892">
        <v>89800</v>
      </c>
      <c r="L2892" t="s">
        <v>2917</v>
      </c>
      <c r="M2892">
        <v>89800</v>
      </c>
      <c r="N2892" t="s">
        <v>2917</v>
      </c>
      <c r="O2892" t="s">
        <v>8355</v>
      </c>
      <c r="P2892" t="s">
        <v>2208</v>
      </c>
      <c r="Q2892" t="s">
        <v>8318</v>
      </c>
      <c r="R2892" t="s">
        <v>9566</v>
      </c>
    </row>
    <row r="2893" spans="1:18">
      <c r="A2893" t="s">
        <v>2418</v>
      </c>
      <c r="B2893" t="s">
        <v>7740</v>
      </c>
      <c r="C2893">
        <v>45716</v>
      </c>
      <c r="D2893" t="s">
        <v>7263</v>
      </c>
      <c r="E2893" t="s">
        <v>2925</v>
      </c>
      <c r="F2893">
        <v>45716</v>
      </c>
      <c r="G2893" t="s">
        <v>2208</v>
      </c>
      <c r="H2893" t="s">
        <v>8318</v>
      </c>
      <c r="I2893" t="s">
        <v>9565</v>
      </c>
      <c r="J2893">
        <v>0</v>
      </c>
      <c r="K2893">
        <v>75773.7</v>
      </c>
      <c r="L2893" t="s">
        <v>2917</v>
      </c>
      <c r="M2893">
        <v>75773.7</v>
      </c>
      <c r="N2893" t="s">
        <v>2917</v>
      </c>
      <c r="O2893" t="s">
        <v>8330</v>
      </c>
      <c r="P2893" t="s">
        <v>2208</v>
      </c>
      <c r="Q2893" t="s">
        <v>8318</v>
      </c>
      <c r="R2893" t="s">
        <v>9566</v>
      </c>
    </row>
    <row r="2894" spans="1:18">
      <c r="A2894" t="s">
        <v>2418</v>
      </c>
      <c r="B2894" t="s">
        <v>7740</v>
      </c>
      <c r="C2894">
        <v>45716</v>
      </c>
      <c r="D2894" t="s">
        <v>7263</v>
      </c>
      <c r="E2894" t="s">
        <v>2925</v>
      </c>
      <c r="F2894">
        <v>45716</v>
      </c>
      <c r="G2894" t="s">
        <v>2208</v>
      </c>
      <c r="H2894" t="s">
        <v>8318</v>
      </c>
      <c r="I2894" t="s">
        <v>9565</v>
      </c>
      <c r="J2894">
        <v>0</v>
      </c>
      <c r="K2894">
        <v>15518.9</v>
      </c>
      <c r="L2894" t="s">
        <v>2917</v>
      </c>
      <c r="M2894">
        <v>15518.9</v>
      </c>
      <c r="N2894" t="s">
        <v>2917</v>
      </c>
      <c r="O2894" t="s">
        <v>8330</v>
      </c>
      <c r="P2894" t="s">
        <v>2208</v>
      </c>
      <c r="Q2894" t="s">
        <v>8318</v>
      </c>
      <c r="R2894" t="s">
        <v>9566</v>
      </c>
    </row>
    <row r="2895" spans="1:18">
      <c r="A2895" t="s">
        <v>2418</v>
      </c>
      <c r="B2895" t="s">
        <v>7740</v>
      </c>
      <c r="C2895">
        <v>45716</v>
      </c>
      <c r="D2895" t="s">
        <v>7263</v>
      </c>
      <c r="E2895" t="s">
        <v>2925</v>
      </c>
      <c r="F2895">
        <v>45716</v>
      </c>
      <c r="G2895" t="s">
        <v>2208</v>
      </c>
      <c r="H2895" t="s">
        <v>8318</v>
      </c>
      <c r="I2895" t="s">
        <v>9565</v>
      </c>
      <c r="J2895">
        <v>0</v>
      </c>
      <c r="K2895">
        <v>253976</v>
      </c>
      <c r="L2895" t="s">
        <v>2917</v>
      </c>
      <c r="M2895">
        <v>253976</v>
      </c>
      <c r="N2895" t="s">
        <v>2917</v>
      </c>
      <c r="O2895" t="s">
        <v>8330</v>
      </c>
      <c r="P2895" t="s">
        <v>2208</v>
      </c>
      <c r="Q2895" t="s">
        <v>8318</v>
      </c>
      <c r="R2895" t="s">
        <v>9566</v>
      </c>
    </row>
    <row r="2896" spans="1:18">
      <c r="A2896" t="s">
        <v>2418</v>
      </c>
      <c r="B2896" t="s">
        <v>7740</v>
      </c>
      <c r="C2896">
        <v>45716</v>
      </c>
      <c r="D2896" t="s">
        <v>7263</v>
      </c>
      <c r="E2896" t="s">
        <v>2925</v>
      </c>
      <c r="F2896">
        <v>45716</v>
      </c>
      <c r="G2896" t="s">
        <v>2208</v>
      </c>
      <c r="H2896" t="s">
        <v>8318</v>
      </c>
      <c r="I2896" t="s">
        <v>9565</v>
      </c>
      <c r="J2896">
        <v>0</v>
      </c>
      <c r="K2896">
        <v>50795.199999999997</v>
      </c>
      <c r="L2896" t="s">
        <v>2917</v>
      </c>
      <c r="M2896">
        <v>50795.199999999997</v>
      </c>
      <c r="N2896" t="s">
        <v>2917</v>
      </c>
      <c r="O2896" t="s">
        <v>8330</v>
      </c>
      <c r="P2896" t="s">
        <v>2208</v>
      </c>
      <c r="Q2896" t="s">
        <v>8318</v>
      </c>
      <c r="R2896" t="s">
        <v>9566</v>
      </c>
    </row>
    <row r="2897" spans="1:18">
      <c r="A2897" t="s">
        <v>2418</v>
      </c>
      <c r="B2897" t="s">
        <v>7740</v>
      </c>
      <c r="C2897">
        <v>45716</v>
      </c>
      <c r="D2897" t="s">
        <v>7263</v>
      </c>
      <c r="E2897" t="s">
        <v>2925</v>
      </c>
      <c r="F2897">
        <v>45716</v>
      </c>
      <c r="G2897" t="s">
        <v>2208</v>
      </c>
      <c r="H2897" t="s">
        <v>8318</v>
      </c>
      <c r="I2897" t="s">
        <v>9565</v>
      </c>
      <c r="J2897">
        <v>0</v>
      </c>
      <c r="K2897">
        <v>11755.5</v>
      </c>
      <c r="L2897" t="s">
        <v>2917</v>
      </c>
      <c r="M2897">
        <v>11755.5</v>
      </c>
      <c r="N2897" t="s">
        <v>2917</v>
      </c>
      <c r="O2897" t="s">
        <v>8330</v>
      </c>
      <c r="P2897" t="s">
        <v>2208</v>
      </c>
      <c r="Q2897" t="s">
        <v>8318</v>
      </c>
      <c r="R2897" t="s">
        <v>9566</v>
      </c>
    </row>
    <row r="2898" spans="1:18">
      <c r="A2898" t="s">
        <v>2418</v>
      </c>
      <c r="B2898" t="s">
        <v>7740</v>
      </c>
      <c r="C2898">
        <v>45716</v>
      </c>
      <c r="D2898" t="s">
        <v>7263</v>
      </c>
      <c r="E2898" t="s">
        <v>2925</v>
      </c>
      <c r="F2898">
        <v>45716</v>
      </c>
      <c r="G2898" t="s">
        <v>2208</v>
      </c>
      <c r="H2898" t="s">
        <v>8318</v>
      </c>
      <c r="I2898" t="s">
        <v>9565</v>
      </c>
      <c r="J2898">
        <v>0</v>
      </c>
      <c r="K2898">
        <v>2351.1</v>
      </c>
      <c r="L2898" t="s">
        <v>2917</v>
      </c>
      <c r="M2898">
        <v>2351.1</v>
      </c>
      <c r="N2898" t="s">
        <v>2917</v>
      </c>
      <c r="O2898" t="s">
        <v>8330</v>
      </c>
      <c r="P2898" t="s">
        <v>2208</v>
      </c>
      <c r="Q2898" t="s">
        <v>8318</v>
      </c>
      <c r="R2898" t="s">
        <v>9566</v>
      </c>
    </row>
    <row r="2899" spans="1:18">
      <c r="A2899" t="s">
        <v>2418</v>
      </c>
      <c r="B2899" t="s">
        <v>7740</v>
      </c>
      <c r="C2899">
        <v>45716</v>
      </c>
      <c r="D2899" t="s">
        <v>7263</v>
      </c>
      <c r="E2899" t="s">
        <v>2925</v>
      </c>
      <c r="F2899">
        <v>45716</v>
      </c>
      <c r="G2899" t="s">
        <v>2208</v>
      </c>
      <c r="H2899" t="s">
        <v>8318</v>
      </c>
      <c r="I2899" t="s">
        <v>9565</v>
      </c>
      <c r="J2899">
        <v>0</v>
      </c>
      <c r="K2899">
        <v>19904</v>
      </c>
      <c r="L2899" t="s">
        <v>2917</v>
      </c>
      <c r="M2899">
        <v>19904</v>
      </c>
      <c r="N2899" t="s">
        <v>2917</v>
      </c>
      <c r="O2899" t="s">
        <v>8330</v>
      </c>
      <c r="P2899" t="s">
        <v>2208</v>
      </c>
      <c r="Q2899" t="s">
        <v>8318</v>
      </c>
      <c r="R2899" t="s">
        <v>9566</v>
      </c>
    </row>
    <row r="2900" spans="1:18">
      <c r="A2900" t="s">
        <v>2418</v>
      </c>
      <c r="B2900" t="s">
        <v>7740</v>
      </c>
      <c r="C2900">
        <v>45716</v>
      </c>
      <c r="D2900" t="s">
        <v>7263</v>
      </c>
      <c r="E2900" t="s">
        <v>2925</v>
      </c>
      <c r="F2900">
        <v>45716</v>
      </c>
      <c r="G2900" t="s">
        <v>2208</v>
      </c>
      <c r="H2900" t="s">
        <v>8318</v>
      </c>
      <c r="I2900" t="s">
        <v>9565</v>
      </c>
      <c r="J2900">
        <v>0</v>
      </c>
      <c r="K2900">
        <v>3980.8</v>
      </c>
      <c r="L2900" t="s">
        <v>2917</v>
      </c>
      <c r="M2900">
        <v>3980.8</v>
      </c>
      <c r="N2900" t="s">
        <v>2917</v>
      </c>
      <c r="O2900" t="s">
        <v>8330</v>
      </c>
      <c r="P2900" t="s">
        <v>2208</v>
      </c>
      <c r="Q2900" t="s">
        <v>8318</v>
      </c>
      <c r="R2900" t="s">
        <v>9566</v>
      </c>
    </row>
    <row r="2901" spans="1:18">
      <c r="A2901" t="s">
        <v>2418</v>
      </c>
      <c r="B2901" t="s">
        <v>7740</v>
      </c>
      <c r="C2901">
        <v>45716</v>
      </c>
      <c r="D2901" t="s">
        <v>7263</v>
      </c>
      <c r="E2901" t="s">
        <v>2925</v>
      </c>
      <c r="F2901">
        <v>45716</v>
      </c>
      <c r="G2901" t="s">
        <v>2208</v>
      </c>
      <c r="H2901" t="s">
        <v>8318</v>
      </c>
      <c r="I2901" t="s">
        <v>9565</v>
      </c>
      <c r="J2901">
        <v>0</v>
      </c>
      <c r="K2901">
        <v>40104</v>
      </c>
      <c r="L2901" t="s">
        <v>2917</v>
      </c>
      <c r="M2901">
        <v>40104</v>
      </c>
      <c r="N2901" t="s">
        <v>2917</v>
      </c>
      <c r="O2901" t="s">
        <v>8330</v>
      </c>
      <c r="P2901" t="s">
        <v>2208</v>
      </c>
      <c r="Q2901" t="s">
        <v>8318</v>
      </c>
      <c r="R2901" t="s">
        <v>9566</v>
      </c>
    </row>
    <row r="2902" spans="1:18">
      <c r="A2902" t="s">
        <v>2418</v>
      </c>
      <c r="B2902" t="s">
        <v>7740</v>
      </c>
      <c r="C2902">
        <v>45716</v>
      </c>
      <c r="D2902" t="s">
        <v>7263</v>
      </c>
      <c r="E2902" t="s">
        <v>2925</v>
      </c>
      <c r="F2902">
        <v>45716</v>
      </c>
      <c r="G2902" t="s">
        <v>2208</v>
      </c>
      <c r="H2902" t="s">
        <v>8318</v>
      </c>
      <c r="I2902" t="s">
        <v>9565</v>
      </c>
      <c r="J2902">
        <v>0</v>
      </c>
      <c r="K2902">
        <v>8020.8</v>
      </c>
      <c r="L2902" t="s">
        <v>2917</v>
      </c>
      <c r="M2902">
        <v>8020.8</v>
      </c>
      <c r="N2902" t="s">
        <v>2917</v>
      </c>
      <c r="O2902" t="s">
        <v>8330</v>
      </c>
      <c r="P2902" t="s">
        <v>2208</v>
      </c>
      <c r="Q2902" t="s">
        <v>8318</v>
      </c>
      <c r="R2902" t="s">
        <v>9566</v>
      </c>
    </row>
    <row r="2903" spans="1:18">
      <c r="A2903" t="s">
        <v>2418</v>
      </c>
      <c r="B2903" t="s">
        <v>7740</v>
      </c>
      <c r="C2903">
        <v>45716</v>
      </c>
      <c r="D2903" t="s">
        <v>7263</v>
      </c>
      <c r="E2903" t="s">
        <v>2925</v>
      </c>
      <c r="F2903">
        <v>45716</v>
      </c>
      <c r="G2903" t="s">
        <v>2208</v>
      </c>
      <c r="H2903" t="s">
        <v>8318</v>
      </c>
      <c r="I2903" t="s">
        <v>9565</v>
      </c>
      <c r="J2903">
        <v>0</v>
      </c>
      <c r="K2903">
        <v>2488.5</v>
      </c>
      <c r="L2903" t="s">
        <v>2917</v>
      </c>
      <c r="M2903">
        <v>2488.5</v>
      </c>
      <c r="N2903" t="s">
        <v>2917</v>
      </c>
      <c r="O2903" t="s">
        <v>8356</v>
      </c>
      <c r="P2903" t="s">
        <v>2208</v>
      </c>
      <c r="Q2903" t="s">
        <v>8318</v>
      </c>
      <c r="R2903" t="s">
        <v>9566</v>
      </c>
    </row>
    <row r="2904" spans="1:18">
      <c r="A2904" t="s">
        <v>2418</v>
      </c>
      <c r="B2904" t="s">
        <v>7740</v>
      </c>
      <c r="C2904">
        <v>45716</v>
      </c>
      <c r="D2904" t="s">
        <v>7263</v>
      </c>
      <c r="E2904" t="s">
        <v>2925</v>
      </c>
      <c r="F2904">
        <v>45716</v>
      </c>
      <c r="G2904" t="s">
        <v>2208</v>
      </c>
      <c r="H2904" t="s">
        <v>8318</v>
      </c>
      <c r="I2904" t="s">
        <v>9565</v>
      </c>
      <c r="J2904">
        <v>0</v>
      </c>
      <c r="K2904">
        <v>12950.4</v>
      </c>
      <c r="L2904" t="s">
        <v>2917</v>
      </c>
      <c r="M2904">
        <v>12950.4</v>
      </c>
      <c r="N2904" t="s">
        <v>2917</v>
      </c>
      <c r="O2904" t="s">
        <v>8357</v>
      </c>
      <c r="P2904" t="s">
        <v>2208</v>
      </c>
      <c r="Q2904" t="s">
        <v>8318</v>
      </c>
      <c r="R2904" t="s">
        <v>9566</v>
      </c>
    </row>
    <row r="2905" spans="1:18">
      <c r="A2905" t="s">
        <v>709</v>
      </c>
      <c r="B2905" t="s">
        <v>7740</v>
      </c>
      <c r="C2905">
        <v>45716</v>
      </c>
      <c r="D2905" t="s">
        <v>7263</v>
      </c>
      <c r="E2905" t="s">
        <v>2925</v>
      </c>
      <c r="F2905">
        <v>45716</v>
      </c>
      <c r="G2905" t="s">
        <v>2208</v>
      </c>
      <c r="H2905" t="s">
        <v>2974</v>
      </c>
      <c r="I2905" t="s">
        <v>9567</v>
      </c>
      <c r="J2905">
        <v>0</v>
      </c>
      <c r="K2905">
        <v>46.68</v>
      </c>
      <c r="L2905" t="s">
        <v>2917</v>
      </c>
      <c r="M2905">
        <v>46.68</v>
      </c>
      <c r="N2905" t="s">
        <v>2917</v>
      </c>
      <c r="O2905" t="s">
        <v>3070</v>
      </c>
      <c r="P2905" t="s">
        <v>2208</v>
      </c>
      <c r="Q2905" t="s">
        <v>2975</v>
      </c>
      <c r="R2905" t="s">
        <v>3316</v>
      </c>
    </row>
    <row r="2906" spans="1:18">
      <c r="A2906" t="s">
        <v>709</v>
      </c>
      <c r="B2906" t="s">
        <v>9126</v>
      </c>
      <c r="C2906">
        <v>45716</v>
      </c>
      <c r="D2906" t="s">
        <v>7263</v>
      </c>
      <c r="E2906" t="s">
        <v>9127</v>
      </c>
      <c r="F2906">
        <v>45721</v>
      </c>
      <c r="G2906" t="s">
        <v>2208</v>
      </c>
      <c r="H2906" t="s">
        <v>2974</v>
      </c>
      <c r="I2906" t="s">
        <v>9568</v>
      </c>
      <c r="J2906">
        <v>0</v>
      </c>
      <c r="K2906">
        <v>-46.68</v>
      </c>
      <c r="L2906" t="s">
        <v>2917</v>
      </c>
      <c r="M2906">
        <v>-46.68</v>
      </c>
      <c r="N2906" t="s">
        <v>2917</v>
      </c>
      <c r="O2906" t="s">
        <v>3070</v>
      </c>
      <c r="P2906" t="s">
        <v>2208</v>
      </c>
      <c r="Q2906" t="s">
        <v>2975</v>
      </c>
      <c r="R2906" t="s">
        <v>3316</v>
      </c>
    </row>
    <row r="2907" spans="1:18">
      <c r="A2907" t="s">
        <v>2237</v>
      </c>
      <c r="B2907" t="s">
        <v>9126</v>
      </c>
      <c r="C2907">
        <v>45716</v>
      </c>
      <c r="D2907" t="s">
        <v>7263</v>
      </c>
      <c r="E2907" t="s">
        <v>9127</v>
      </c>
      <c r="F2907">
        <v>45717</v>
      </c>
      <c r="G2907" t="s">
        <v>2208</v>
      </c>
      <c r="H2907" t="s">
        <v>8318</v>
      </c>
      <c r="I2907" t="s">
        <v>11195</v>
      </c>
      <c r="J2907">
        <v>0</v>
      </c>
      <c r="K2907">
        <v>-144</v>
      </c>
      <c r="L2907" t="s">
        <v>2917</v>
      </c>
      <c r="M2907">
        <v>-144</v>
      </c>
      <c r="N2907" t="s">
        <v>2917</v>
      </c>
      <c r="O2907" t="s">
        <v>9551</v>
      </c>
      <c r="P2907" t="s">
        <v>2208</v>
      </c>
      <c r="Q2907" t="s">
        <v>8321</v>
      </c>
      <c r="R2907" t="s">
        <v>8322</v>
      </c>
    </row>
    <row r="2908" spans="1:18">
      <c r="A2908" t="s">
        <v>2724</v>
      </c>
      <c r="B2908" t="s">
        <v>9126</v>
      </c>
      <c r="C2908">
        <v>45716</v>
      </c>
      <c r="D2908" t="s">
        <v>7263</v>
      </c>
      <c r="E2908" t="s">
        <v>9127</v>
      </c>
      <c r="F2908">
        <v>45717</v>
      </c>
      <c r="G2908" t="s">
        <v>2208</v>
      </c>
      <c r="H2908" t="s">
        <v>8318</v>
      </c>
      <c r="I2908" t="s">
        <v>11195</v>
      </c>
      <c r="J2908">
        <v>0</v>
      </c>
      <c r="K2908">
        <v>-172198.37</v>
      </c>
      <c r="L2908" t="s">
        <v>2917</v>
      </c>
      <c r="M2908">
        <v>-172198.37</v>
      </c>
      <c r="N2908" t="s">
        <v>2917</v>
      </c>
      <c r="O2908" t="s">
        <v>9552</v>
      </c>
      <c r="P2908" t="s">
        <v>2208</v>
      </c>
      <c r="Q2908" t="s">
        <v>8321</v>
      </c>
      <c r="R2908" t="s">
        <v>8322</v>
      </c>
    </row>
    <row r="2909" spans="1:18">
      <c r="A2909" t="s">
        <v>2725</v>
      </c>
      <c r="B2909" t="s">
        <v>9126</v>
      </c>
      <c r="C2909">
        <v>45716</v>
      </c>
      <c r="D2909" t="s">
        <v>7263</v>
      </c>
      <c r="E2909" t="s">
        <v>9127</v>
      </c>
      <c r="F2909">
        <v>45717</v>
      </c>
      <c r="G2909" t="s">
        <v>2208</v>
      </c>
      <c r="H2909" t="s">
        <v>8318</v>
      </c>
      <c r="I2909" t="s">
        <v>11195</v>
      </c>
      <c r="J2909">
        <v>0</v>
      </c>
      <c r="K2909">
        <v>-90220.04</v>
      </c>
      <c r="L2909" t="s">
        <v>2917</v>
      </c>
      <c r="M2909">
        <v>-90220.04</v>
      </c>
      <c r="N2909" t="s">
        <v>2917</v>
      </c>
      <c r="O2909" t="s">
        <v>9553</v>
      </c>
      <c r="P2909" t="s">
        <v>2208</v>
      </c>
      <c r="Q2909" t="s">
        <v>8321</v>
      </c>
      <c r="R2909" t="s">
        <v>8322</v>
      </c>
    </row>
    <row r="2910" spans="1:18">
      <c r="A2910" t="s">
        <v>2418</v>
      </c>
      <c r="B2910" t="s">
        <v>9126</v>
      </c>
      <c r="C2910">
        <v>45716</v>
      </c>
      <c r="D2910" t="s">
        <v>7263</v>
      </c>
      <c r="E2910" t="s">
        <v>9127</v>
      </c>
      <c r="F2910">
        <v>45717</v>
      </c>
      <c r="G2910" t="s">
        <v>2208</v>
      </c>
      <c r="H2910" t="s">
        <v>8318</v>
      </c>
      <c r="I2910" t="s">
        <v>11195</v>
      </c>
      <c r="J2910">
        <v>0</v>
      </c>
      <c r="K2910">
        <v>-3592</v>
      </c>
      <c r="L2910" t="s">
        <v>2917</v>
      </c>
      <c r="M2910">
        <v>-3592</v>
      </c>
      <c r="N2910" t="s">
        <v>2917</v>
      </c>
      <c r="O2910" t="s">
        <v>9554</v>
      </c>
      <c r="P2910" t="s">
        <v>2208</v>
      </c>
      <c r="Q2910" t="s">
        <v>8321</v>
      </c>
      <c r="R2910" t="s">
        <v>8322</v>
      </c>
    </row>
    <row r="2911" spans="1:18">
      <c r="A2911" t="s">
        <v>7030</v>
      </c>
      <c r="B2911" t="s">
        <v>9126</v>
      </c>
      <c r="C2911">
        <v>45716</v>
      </c>
      <c r="D2911" t="s">
        <v>7263</v>
      </c>
      <c r="E2911" t="s">
        <v>9127</v>
      </c>
      <c r="F2911">
        <v>45717</v>
      </c>
      <c r="G2911" t="s">
        <v>2208</v>
      </c>
      <c r="H2911" t="s">
        <v>8318</v>
      </c>
      <c r="I2911" t="s">
        <v>11195</v>
      </c>
      <c r="J2911">
        <v>0</v>
      </c>
      <c r="K2911">
        <v>-7255</v>
      </c>
      <c r="L2911" t="s">
        <v>2917</v>
      </c>
      <c r="M2911">
        <v>-7255</v>
      </c>
      <c r="N2911" t="s">
        <v>2917</v>
      </c>
      <c r="O2911" t="s">
        <v>9555</v>
      </c>
      <c r="P2911" t="s">
        <v>2208</v>
      </c>
      <c r="Q2911" t="s">
        <v>8321</v>
      </c>
      <c r="R2911" t="s">
        <v>8322</v>
      </c>
    </row>
    <row r="2912" spans="1:18">
      <c r="A2912" t="s">
        <v>2237</v>
      </c>
      <c r="B2912" t="s">
        <v>9126</v>
      </c>
      <c r="C2912">
        <v>45716</v>
      </c>
      <c r="D2912" t="s">
        <v>7263</v>
      </c>
      <c r="E2912" t="s">
        <v>9127</v>
      </c>
      <c r="F2912">
        <v>45717</v>
      </c>
      <c r="G2912" t="s">
        <v>2208</v>
      </c>
      <c r="H2912" t="s">
        <v>8318</v>
      </c>
      <c r="I2912" t="s">
        <v>11195</v>
      </c>
      <c r="J2912">
        <v>0</v>
      </c>
      <c r="K2912">
        <v>-1410.1</v>
      </c>
      <c r="L2912" t="s">
        <v>2917</v>
      </c>
      <c r="M2912">
        <v>-1410.1</v>
      </c>
      <c r="N2912" t="s">
        <v>2917</v>
      </c>
      <c r="O2912" t="s">
        <v>9556</v>
      </c>
      <c r="P2912" t="s">
        <v>2208</v>
      </c>
      <c r="Q2912" t="s">
        <v>8321</v>
      </c>
      <c r="R2912" t="s">
        <v>8322</v>
      </c>
    </row>
    <row r="2913" spans="1:18">
      <c r="A2913" t="s">
        <v>7030</v>
      </c>
      <c r="B2913" t="s">
        <v>9126</v>
      </c>
      <c r="C2913">
        <v>45716</v>
      </c>
      <c r="D2913" t="s">
        <v>7263</v>
      </c>
      <c r="E2913" t="s">
        <v>9127</v>
      </c>
      <c r="F2913">
        <v>45717</v>
      </c>
      <c r="G2913" t="s">
        <v>2208</v>
      </c>
      <c r="H2913" t="s">
        <v>8318</v>
      </c>
      <c r="I2913" t="s">
        <v>11195</v>
      </c>
      <c r="J2913">
        <v>0</v>
      </c>
      <c r="K2913">
        <v>-74379.820000000007</v>
      </c>
      <c r="L2913" t="s">
        <v>2917</v>
      </c>
      <c r="M2913">
        <v>-74379.820000000007</v>
      </c>
      <c r="N2913" t="s">
        <v>2917</v>
      </c>
      <c r="O2913" t="s">
        <v>9557</v>
      </c>
      <c r="P2913" t="s">
        <v>2208</v>
      </c>
      <c r="Q2913" t="s">
        <v>8321</v>
      </c>
      <c r="R2913" t="s">
        <v>8322</v>
      </c>
    </row>
    <row r="2914" spans="1:18">
      <c r="A2914" t="s">
        <v>709</v>
      </c>
      <c r="B2914" t="s">
        <v>9126</v>
      </c>
      <c r="C2914">
        <v>45716</v>
      </c>
      <c r="D2914" t="s">
        <v>7263</v>
      </c>
      <c r="E2914" t="s">
        <v>9127</v>
      </c>
      <c r="F2914">
        <v>45717</v>
      </c>
      <c r="G2914" t="s">
        <v>2208</v>
      </c>
      <c r="H2914" t="s">
        <v>8318</v>
      </c>
      <c r="I2914" t="s">
        <v>11196</v>
      </c>
      <c r="J2914">
        <v>0</v>
      </c>
      <c r="K2914">
        <v>-4760</v>
      </c>
      <c r="L2914" t="s">
        <v>2917</v>
      </c>
      <c r="M2914">
        <v>-4760</v>
      </c>
      <c r="N2914" t="s">
        <v>2917</v>
      </c>
      <c r="O2914" t="s">
        <v>8354</v>
      </c>
      <c r="P2914" t="s">
        <v>2208</v>
      </c>
      <c r="Q2914" t="s">
        <v>8321</v>
      </c>
      <c r="R2914" t="s">
        <v>8322</v>
      </c>
    </row>
    <row r="2915" spans="1:18">
      <c r="A2915" t="s">
        <v>2418</v>
      </c>
      <c r="B2915" t="s">
        <v>9126</v>
      </c>
      <c r="C2915">
        <v>45716</v>
      </c>
      <c r="D2915" t="s">
        <v>7263</v>
      </c>
      <c r="E2915" t="s">
        <v>9127</v>
      </c>
      <c r="F2915">
        <v>45717</v>
      </c>
      <c r="G2915" t="s">
        <v>2208</v>
      </c>
      <c r="H2915" t="s">
        <v>8318</v>
      </c>
      <c r="I2915" t="s">
        <v>11196</v>
      </c>
      <c r="J2915">
        <v>0</v>
      </c>
      <c r="K2915">
        <v>-50795.199999999997</v>
      </c>
      <c r="L2915" t="s">
        <v>2917</v>
      </c>
      <c r="M2915">
        <v>-50795.199999999997</v>
      </c>
      <c r="N2915" t="s">
        <v>2917</v>
      </c>
      <c r="O2915" t="s">
        <v>8330</v>
      </c>
      <c r="P2915" t="s">
        <v>2208</v>
      </c>
      <c r="Q2915" t="s">
        <v>8321</v>
      </c>
      <c r="R2915" t="s">
        <v>8322</v>
      </c>
    </row>
    <row r="2916" spans="1:18">
      <c r="A2916" t="s">
        <v>2418</v>
      </c>
      <c r="B2916" t="s">
        <v>9126</v>
      </c>
      <c r="C2916">
        <v>45716</v>
      </c>
      <c r="D2916" t="s">
        <v>7263</v>
      </c>
      <c r="E2916" t="s">
        <v>9127</v>
      </c>
      <c r="F2916">
        <v>45717</v>
      </c>
      <c r="G2916" t="s">
        <v>2208</v>
      </c>
      <c r="H2916" t="s">
        <v>8318</v>
      </c>
      <c r="I2916" t="s">
        <v>11196</v>
      </c>
      <c r="J2916">
        <v>0</v>
      </c>
      <c r="K2916">
        <v>-11755.5</v>
      </c>
      <c r="L2916" t="s">
        <v>2917</v>
      </c>
      <c r="M2916">
        <v>-11755.5</v>
      </c>
      <c r="N2916" t="s">
        <v>2917</v>
      </c>
      <c r="O2916" t="s">
        <v>8330</v>
      </c>
      <c r="P2916" t="s">
        <v>2208</v>
      </c>
      <c r="Q2916" t="s">
        <v>8321</v>
      </c>
      <c r="R2916" t="s">
        <v>8322</v>
      </c>
    </row>
    <row r="2917" spans="1:18">
      <c r="A2917" t="s">
        <v>2418</v>
      </c>
      <c r="B2917" t="s">
        <v>9126</v>
      </c>
      <c r="C2917">
        <v>45716</v>
      </c>
      <c r="D2917" t="s">
        <v>7263</v>
      </c>
      <c r="E2917" t="s">
        <v>9127</v>
      </c>
      <c r="F2917">
        <v>45717</v>
      </c>
      <c r="G2917" t="s">
        <v>2208</v>
      </c>
      <c r="H2917" t="s">
        <v>8318</v>
      </c>
      <c r="I2917" t="s">
        <v>11196</v>
      </c>
      <c r="J2917">
        <v>0</v>
      </c>
      <c r="K2917">
        <v>-2351.1</v>
      </c>
      <c r="L2917" t="s">
        <v>2917</v>
      </c>
      <c r="M2917">
        <v>-2351.1</v>
      </c>
      <c r="N2917" t="s">
        <v>2917</v>
      </c>
      <c r="O2917" t="s">
        <v>8330</v>
      </c>
      <c r="P2917" t="s">
        <v>2208</v>
      </c>
      <c r="Q2917" t="s">
        <v>8321</v>
      </c>
      <c r="R2917" t="s">
        <v>8322</v>
      </c>
    </row>
    <row r="2918" spans="1:18">
      <c r="A2918" t="s">
        <v>2418</v>
      </c>
      <c r="B2918" t="s">
        <v>9126</v>
      </c>
      <c r="C2918">
        <v>45716</v>
      </c>
      <c r="D2918" t="s">
        <v>7263</v>
      </c>
      <c r="E2918" t="s">
        <v>9127</v>
      </c>
      <c r="F2918">
        <v>45717</v>
      </c>
      <c r="G2918" t="s">
        <v>2208</v>
      </c>
      <c r="H2918" t="s">
        <v>8318</v>
      </c>
      <c r="I2918" t="s">
        <v>11196</v>
      </c>
      <c r="J2918">
        <v>0</v>
      </c>
      <c r="K2918">
        <v>-19904</v>
      </c>
      <c r="L2918" t="s">
        <v>2917</v>
      </c>
      <c r="M2918">
        <v>-19904</v>
      </c>
      <c r="N2918" t="s">
        <v>2917</v>
      </c>
      <c r="O2918" t="s">
        <v>8330</v>
      </c>
      <c r="P2918" t="s">
        <v>2208</v>
      </c>
      <c r="Q2918" t="s">
        <v>8321</v>
      </c>
      <c r="R2918" t="s">
        <v>8322</v>
      </c>
    </row>
    <row r="2919" spans="1:18">
      <c r="A2919" t="s">
        <v>2418</v>
      </c>
      <c r="B2919" t="s">
        <v>9126</v>
      </c>
      <c r="C2919">
        <v>45716</v>
      </c>
      <c r="D2919" t="s">
        <v>7263</v>
      </c>
      <c r="E2919" t="s">
        <v>9127</v>
      </c>
      <c r="F2919">
        <v>45717</v>
      </c>
      <c r="G2919" t="s">
        <v>2208</v>
      </c>
      <c r="H2919" t="s">
        <v>8318</v>
      </c>
      <c r="I2919" t="s">
        <v>11196</v>
      </c>
      <c r="J2919">
        <v>0</v>
      </c>
      <c r="K2919">
        <v>-3980.8</v>
      </c>
      <c r="L2919" t="s">
        <v>2917</v>
      </c>
      <c r="M2919">
        <v>-3980.8</v>
      </c>
      <c r="N2919" t="s">
        <v>2917</v>
      </c>
      <c r="O2919" t="s">
        <v>8330</v>
      </c>
      <c r="P2919" t="s">
        <v>2208</v>
      </c>
      <c r="Q2919" t="s">
        <v>8321</v>
      </c>
      <c r="R2919" t="s">
        <v>8322</v>
      </c>
    </row>
    <row r="2920" spans="1:18">
      <c r="A2920" t="s">
        <v>2418</v>
      </c>
      <c r="B2920" t="s">
        <v>9126</v>
      </c>
      <c r="C2920">
        <v>45716</v>
      </c>
      <c r="D2920" t="s">
        <v>7263</v>
      </c>
      <c r="E2920" t="s">
        <v>9127</v>
      </c>
      <c r="F2920">
        <v>45717</v>
      </c>
      <c r="G2920" t="s">
        <v>2208</v>
      </c>
      <c r="H2920" t="s">
        <v>8318</v>
      </c>
      <c r="I2920" t="s">
        <v>11196</v>
      </c>
      <c r="J2920">
        <v>0</v>
      </c>
      <c r="K2920">
        <v>-40104</v>
      </c>
      <c r="L2920" t="s">
        <v>2917</v>
      </c>
      <c r="M2920">
        <v>-40104</v>
      </c>
      <c r="N2920" t="s">
        <v>2917</v>
      </c>
      <c r="O2920" t="s">
        <v>8330</v>
      </c>
      <c r="P2920" t="s">
        <v>2208</v>
      </c>
      <c r="Q2920" t="s">
        <v>8321</v>
      </c>
      <c r="R2920" t="s">
        <v>8322</v>
      </c>
    </row>
    <row r="2921" spans="1:18">
      <c r="A2921" t="s">
        <v>2418</v>
      </c>
      <c r="B2921" t="s">
        <v>9126</v>
      </c>
      <c r="C2921">
        <v>45716</v>
      </c>
      <c r="D2921" t="s">
        <v>7263</v>
      </c>
      <c r="E2921" t="s">
        <v>9127</v>
      </c>
      <c r="F2921">
        <v>45717</v>
      </c>
      <c r="G2921" t="s">
        <v>2208</v>
      </c>
      <c r="H2921" t="s">
        <v>8318</v>
      </c>
      <c r="I2921" t="s">
        <v>11196</v>
      </c>
      <c r="J2921">
        <v>0</v>
      </c>
      <c r="K2921">
        <v>-8020.8</v>
      </c>
      <c r="L2921" t="s">
        <v>2917</v>
      </c>
      <c r="M2921">
        <v>-8020.8</v>
      </c>
      <c r="N2921" t="s">
        <v>2917</v>
      </c>
      <c r="O2921" t="s">
        <v>8330</v>
      </c>
      <c r="P2921" t="s">
        <v>2208</v>
      </c>
      <c r="Q2921" t="s">
        <v>8321</v>
      </c>
      <c r="R2921" t="s">
        <v>8322</v>
      </c>
    </row>
    <row r="2922" spans="1:18">
      <c r="A2922" t="s">
        <v>2418</v>
      </c>
      <c r="B2922" t="s">
        <v>9126</v>
      </c>
      <c r="C2922">
        <v>45716</v>
      </c>
      <c r="D2922" t="s">
        <v>7263</v>
      </c>
      <c r="E2922" t="s">
        <v>9127</v>
      </c>
      <c r="F2922">
        <v>45717</v>
      </c>
      <c r="G2922" t="s">
        <v>2208</v>
      </c>
      <c r="H2922" t="s">
        <v>8318</v>
      </c>
      <c r="I2922" t="s">
        <v>11196</v>
      </c>
      <c r="J2922">
        <v>0</v>
      </c>
      <c r="K2922">
        <v>-2488.5</v>
      </c>
      <c r="L2922" t="s">
        <v>2917</v>
      </c>
      <c r="M2922">
        <v>-2488.5</v>
      </c>
      <c r="N2922" t="s">
        <v>2917</v>
      </c>
      <c r="O2922" t="s">
        <v>8356</v>
      </c>
      <c r="P2922" t="s">
        <v>2208</v>
      </c>
      <c r="Q2922" t="s">
        <v>8321</v>
      </c>
      <c r="R2922" t="s">
        <v>8322</v>
      </c>
    </row>
    <row r="2923" spans="1:18">
      <c r="A2923" t="s">
        <v>2418</v>
      </c>
      <c r="B2923" t="s">
        <v>9126</v>
      </c>
      <c r="C2923">
        <v>45716</v>
      </c>
      <c r="D2923" t="s">
        <v>7263</v>
      </c>
      <c r="E2923" t="s">
        <v>9127</v>
      </c>
      <c r="F2923">
        <v>45717</v>
      </c>
      <c r="G2923" t="s">
        <v>2208</v>
      </c>
      <c r="H2923" t="s">
        <v>8318</v>
      </c>
      <c r="I2923" t="s">
        <v>11196</v>
      </c>
      <c r="J2923">
        <v>0</v>
      </c>
      <c r="K2923">
        <v>-12950.4</v>
      </c>
      <c r="L2923" t="s">
        <v>2917</v>
      </c>
      <c r="M2923">
        <v>-12950.4</v>
      </c>
      <c r="N2923" t="s">
        <v>2917</v>
      </c>
      <c r="O2923" t="s">
        <v>8357</v>
      </c>
      <c r="P2923" t="s">
        <v>2208</v>
      </c>
      <c r="Q2923" t="s">
        <v>8321</v>
      </c>
      <c r="R2923" t="s">
        <v>8322</v>
      </c>
    </row>
    <row r="2924" spans="1:18">
      <c r="A2924" t="s">
        <v>2418</v>
      </c>
      <c r="B2924" t="s">
        <v>9126</v>
      </c>
      <c r="C2924">
        <v>45716</v>
      </c>
      <c r="D2924" t="s">
        <v>7263</v>
      </c>
      <c r="E2924" t="s">
        <v>9127</v>
      </c>
      <c r="F2924">
        <v>45717</v>
      </c>
      <c r="G2924" t="s">
        <v>2208</v>
      </c>
      <c r="H2924" t="s">
        <v>8318</v>
      </c>
      <c r="I2924" t="s">
        <v>11196</v>
      </c>
      <c r="J2924">
        <v>0</v>
      </c>
      <c r="K2924">
        <v>-805</v>
      </c>
      <c r="L2924" t="s">
        <v>2917</v>
      </c>
      <c r="M2924">
        <v>-805</v>
      </c>
      <c r="N2924" t="s">
        <v>2917</v>
      </c>
      <c r="O2924" t="s">
        <v>9546</v>
      </c>
      <c r="P2924" t="s">
        <v>2208</v>
      </c>
      <c r="Q2924" t="s">
        <v>8321</v>
      </c>
      <c r="R2924" t="s">
        <v>8322</v>
      </c>
    </row>
    <row r="2925" spans="1:18">
      <c r="A2925" t="s">
        <v>2418</v>
      </c>
      <c r="B2925" t="s">
        <v>9126</v>
      </c>
      <c r="C2925">
        <v>45716</v>
      </c>
      <c r="D2925" t="s">
        <v>7263</v>
      </c>
      <c r="E2925" t="s">
        <v>9127</v>
      </c>
      <c r="F2925">
        <v>45717</v>
      </c>
      <c r="G2925" t="s">
        <v>2208</v>
      </c>
      <c r="H2925" t="s">
        <v>8318</v>
      </c>
      <c r="I2925" t="s">
        <v>11196</v>
      </c>
      <c r="J2925">
        <v>0</v>
      </c>
      <c r="K2925">
        <v>-21750</v>
      </c>
      <c r="L2925" t="s">
        <v>2917</v>
      </c>
      <c r="M2925">
        <v>-21750</v>
      </c>
      <c r="N2925" t="s">
        <v>2917</v>
      </c>
      <c r="O2925" t="s">
        <v>9547</v>
      </c>
      <c r="P2925" t="s">
        <v>2208</v>
      </c>
      <c r="Q2925" t="s">
        <v>8321</v>
      </c>
      <c r="R2925" t="s">
        <v>8322</v>
      </c>
    </row>
    <row r="2926" spans="1:18">
      <c r="A2926" t="s">
        <v>2418</v>
      </c>
      <c r="B2926" t="s">
        <v>9126</v>
      </c>
      <c r="C2926">
        <v>45716</v>
      </c>
      <c r="D2926" t="s">
        <v>7263</v>
      </c>
      <c r="E2926" t="s">
        <v>9127</v>
      </c>
      <c r="F2926">
        <v>45717</v>
      </c>
      <c r="G2926" t="s">
        <v>2208</v>
      </c>
      <c r="H2926" t="s">
        <v>8318</v>
      </c>
      <c r="I2926" t="s">
        <v>11196</v>
      </c>
      <c r="J2926">
        <v>0</v>
      </c>
      <c r="K2926">
        <v>-330000</v>
      </c>
      <c r="L2926" t="s">
        <v>2917</v>
      </c>
      <c r="M2926">
        <v>-330000</v>
      </c>
      <c r="N2926" t="s">
        <v>2917</v>
      </c>
      <c r="O2926" t="s">
        <v>9548</v>
      </c>
      <c r="P2926" t="s">
        <v>2208</v>
      </c>
      <c r="Q2926" t="s">
        <v>8321</v>
      </c>
      <c r="R2926" t="s">
        <v>8322</v>
      </c>
    </row>
    <row r="2927" spans="1:18">
      <c r="A2927" t="s">
        <v>2418</v>
      </c>
      <c r="B2927" t="s">
        <v>9126</v>
      </c>
      <c r="C2927">
        <v>45716</v>
      </c>
      <c r="D2927" t="s">
        <v>7263</v>
      </c>
      <c r="E2927" t="s">
        <v>9127</v>
      </c>
      <c r="F2927">
        <v>45717</v>
      </c>
      <c r="G2927" t="s">
        <v>2208</v>
      </c>
      <c r="H2927" t="s">
        <v>8318</v>
      </c>
      <c r="I2927" t="s">
        <v>11196</v>
      </c>
      <c r="J2927">
        <v>0</v>
      </c>
      <c r="K2927">
        <v>-44000</v>
      </c>
      <c r="L2927" t="s">
        <v>2917</v>
      </c>
      <c r="M2927">
        <v>-44000</v>
      </c>
      <c r="N2927" t="s">
        <v>2917</v>
      </c>
      <c r="O2927" t="s">
        <v>9549</v>
      </c>
      <c r="P2927" t="s">
        <v>2208</v>
      </c>
      <c r="Q2927" t="s">
        <v>8321</v>
      </c>
      <c r="R2927" t="s">
        <v>8322</v>
      </c>
    </row>
    <row r="2928" spans="1:18">
      <c r="A2928" t="s">
        <v>2418</v>
      </c>
      <c r="B2928" t="s">
        <v>9126</v>
      </c>
      <c r="C2928">
        <v>45716</v>
      </c>
      <c r="D2928" t="s">
        <v>7263</v>
      </c>
      <c r="E2928" t="s">
        <v>9127</v>
      </c>
      <c r="F2928">
        <v>45717</v>
      </c>
      <c r="G2928" t="s">
        <v>2208</v>
      </c>
      <c r="H2928" t="s">
        <v>8318</v>
      </c>
      <c r="I2928" t="s">
        <v>11197</v>
      </c>
      <c r="J2928">
        <v>0</v>
      </c>
      <c r="K2928">
        <v>-89800</v>
      </c>
      <c r="L2928" t="s">
        <v>2917</v>
      </c>
      <c r="M2928">
        <v>-89800</v>
      </c>
      <c r="N2928" t="s">
        <v>2917</v>
      </c>
      <c r="O2928" t="s">
        <v>8355</v>
      </c>
      <c r="P2928" t="s">
        <v>2208</v>
      </c>
      <c r="Q2928" t="s">
        <v>8318</v>
      </c>
      <c r="R2928" t="s">
        <v>9566</v>
      </c>
    </row>
    <row r="2929" spans="1:18">
      <c r="A2929" t="s">
        <v>2418</v>
      </c>
      <c r="B2929" t="s">
        <v>9126</v>
      </c>
      <c r="C2929">
        <v>45716</v>
      </c>
      <c r="D2929" t="s">
        <v>7263</v>
      </c>
      <c r="E2929" t="s">
        <v>9127</v>
      </c>
      <c r="F2929">
        <v>45717</v>
      </c>
      <c r="G2929" t="s">
        <v>2208</v>
      </c>
      <c r="H2929" t="s">
        <v>8318</v>
      </c>
      <c r="I2929" t="s">
        <v>11197</v>
      </c>
      <c r="J2929">
        <v>0</v>
      </c>
      <c r="K2929">
        <v>-75773.7</v>
      </c>
      <c r="L2929" t="s">
        <v>2917</v>
      </c>
      <c r="M2929">
        <v>-75773.7</v>
      </c>
      <c r="N2929" t="s">
        <v>2917</v>
      </c>
      <c r="O2929" t="s">
        <v>8330</v>
      </c>
      <c r="P2929" t="s">
        <v>2208</v>
      </c>
      <c r="Q2929" t="s">
        <v>8318</v>
      </c>
      <c r="R2929" t="s">
        <v>9566</v>
      </c>
    </row>
    <row r="2930" spans="1:18">
      <c r="A2930" t="s">
        <v>2418</v>
      </c>
      <c r="B2930" t="s">
        <v>9126</v>
      </c>
      <c r="C2930">
        <v>45716</v>
      </c>
      <c r="D2930" t="s">
        <v>7263</v>
      </c>
      <c r="E2930" t="s">
        <v>9127</v>
      </c>
      <c r="F2930">
        <v>45717</v>
      </c>
      <c r="G2930" t="s">
        <v>2208</v>
      </c>
      <c r="H2930" t="s">
        <v>8318</v>
      </c>
      <c r="I2930" t="s">
        <v>11197</v>
      </c>
      <c r="J2930">
        <v>0</v>
      </c>
      <c r="K2930">
        <v>-15518.9</v>
      </c>
      <c r="L2930" t="s">
        <v>2917</v>
      </c>
      <c r="M2930">
        <v>-15518.9</v>
      </c>
      <c r="N2930" t="s">
        <v>2917</v>
      </c>
      <c r="O2930" t="s">
        <v>8330</v>
      </c>
      <c r="P2930" t="s">
        <v>2208</v>
      </c>
      <c r="Q2930" t="s">
        <v>8318</v>
      </c>
      <c r="R2930" t="s">
        <v>9566</v>
      </c>
    </row>
    <row r="2931" spans="1:18">
      <c r="A2931" t="s">
        <v>2418</v>
      </c>
      <c r="B2931" t="s">
        <v>9126</v>
      </c>
      <c r="C2931">
        <v>45716</v>
      </c>
      <c r="D2931" t="s">
        <v>7263</v>
      </c>
      <c r="E2931" t="s">
        <v>9127</v>
      </c>
      <c r="F2931">
        <v>45717</v>
      </c>
      <c r="G2931" t="s">
        <v>2208</v>
      </c>
      <c r="H2931" t="s">
        <v>8318</v>
      </c>
      <c r="I2931" t="s">
        <v>11197</v>
      </c>
      <c r="J2931">
        <v>0</v>
      </c>
      <c r="K2931">
        <v>-253976</v>
      </c>
      <c r="L2931" t="s">
        <v>2917</v>
      </c>
      <c r="M2931">
        <v>-253976</v>
      </c>
      <c r="N2931" t="s">
        <v>2917</v>
      </c>
      <c r="O2931" t="s">
        <v>8330</v>
      </c>
      <c r="P2931" t="s">
        <v>2208</v>
      </c>
      <c r="Q2931" t="s">
        <v>8318</v>
      </c>
      <c r="R2931" t="s">
        <v>9566</v>
      </c>
    </row>
    <row r="2932" spans="1:18">
      <c r="A2932" t="s">
        <v>2418</v>
      </c>
      <c r="B2932" t="s">
        <v>9126</v>
      </c>
      <c r="C2932">
        <v>45716</v>
      </c>
      <c r="D2932" t="s">
        <v>7263</v>
      </c>
      <c r="E2932" t="s">
        <v>9127</v>
      </c>
      <c r="F2932">
        <v>45717</v>
      </c>
      <c r="G2932" t="s">
        <v>2208</v>
      </c>
      <c r="H2932" t="s">
        <v>8318</v>
      </c>
      <c r="I2932" t="s">
        <v>11197</v>
      </c>
      <c r="J2932">
        <v>0</v>
      </c>
      <c r="K2932">
        <v>-50795.199999999997</v>
      </c>
      <c r="L2932" t="s">
        <v>2917</v>
      </c>
      <c r="M2932">
        <v>-50795.199999999997</v>
      </c>
      <c r="N2932" t="s">
        <v>2917</v>
      </c>
      <c r="O2932" t="s">
        <v>8330</v>
      </c>
      <c r="P2932" t="s">
        <v>2208</v>
      </c>
      <c r="Q2932" t="s">
        <v>8318</v>
      </c>
      <c r="R2932" t="s">
        <v>9566</v>
      </c>
    </row>
    <row r="2933" spans="1:18">
      <c r="A2933" t="s">
        <v>2418</v>
      </c>
      <c r="B2933" t="s">
        <v>9126</v>
      </c>
      <c r="C2933">
        <v>45716</v>
      </c>
      <c r="D2933" t="s">
        <v>7263</v>
      </c>
      <c r="E2933" t="s">
        <v>9127</v>
      </c>
      <c r="F2933">
        <v>45717</v>
      </c>
      <c r="G2933" t="s">
        <v>2208</v>
      </c>
      <c r="H2933" t="s">
        <v>8318</v>
      </c>
      <c r="I2933" t="s">
        <v>11197</v>
      </c>
      <c r="J2933">
        <v>0</v>
      </c>
      <c r="K2933">
        <v>-11755.5</v>
      </c>
      <c r="L2933" t="s">
        <v>2917</v>
      </c>
      <c r="M2933">
        <v>-11755.5</v>
      </c>
      <c r="N2933" t="s">
        <v>2917</v>
      </c>
      <c r="O2933" t="s">
        <v>8330</v>
      </c>
      <c r="P2933" t="s">
        <v>2208</v>
      </c>
      <c r="Q2933" t="s">
        <v>8318</v>
      </c>
      <c r="R2933" t="s">
        <v>9566</v>
      </c>
    </row>
    <row r="2934" spans="1:18">
      <c r="A2934" t="s">
        <v>2418</v>
      </c>
      <c r="B2934" t="s">
        <v>9126</v>
      </c>
      <c r="C2934">
        <v>45716</v>
      </c>
      <c r="D2934" t="s">
        <v>7263</v>
      </c>
      <c r="E2934" t="s">
        <v>9127</v>
      </c>
      <c r="F2934">
        <v>45717</v>
      </c>
      <c r="G2934" t="s">
        <v>2208</v>
      </c>
      <c r="H2934" t="s">
        <v>8318</v>
      </c>
      <c r="I2934" t="s">
        <v>11197</v>
      </c>
      <c r="J2934">
        <v>0</v>
      </c>
      <c r="K2934">
        <v>-2351.1</v>
      </c>
      <c r="L2934" t="s">
        <v>2917</v>
      </c>
      <c r="M2934">
        <v>-2351.1</v>
      </c>
      <c r="N2934" t="s">
        <v>2917</v>
      </c>
      <c r="O2934" t="s">
        <v>8330</v>
      </c>
      <c r="P2934" t="s">
        <v>2208</v>
      </c>
      <c r="Q2934" t="s">
        <v>8318</v>
      </c>
      <c r="R2934" t="s">
        <v>9566</v>
      </c>
    </row>
    <row r="2935" spans="1:18">
      <c r="A2935" t="s">
        <v>2418</v>
      </c>
      <c r="B2935" t="s">
        <v>9126</v>
      </c>
      <c r="C2935">
        <v>45716</v>
      </c>
      <c r="D2935" t="s">
        <v>7263</v>
      </c>
      <c r="E2935" t="s">
        <v>9127</v>
      </c>
      <c r="F2935">
        <v>45717</v>
      </c>
      <c r="G2935" t="s">
        <v>2208</v>
      </c>
      <c r="H2935" t="s">
        <v>8318</v>
      </c>
      <c r="I2935" t="s">
        <v>11197</v>
      </c>
      <c r="J2935">
        <v>0</v>
      </c>
      <c r="K2935">
        <v>-19904</v>
      </c>
      <c r="L2935" t="s">
        <v>2917</v>
      </c>
      <c r="M2935">
        <v>-19904</v>
      </c>
      <c r="N2935" t="s">
        <v>2917</v>
      </c>
      <c r="O2935" t="s">
        <v>8330</v>
      </c>
      <c r="P2935" t="s">
        <v>2208</v>
      </c>
      <c r="Q2935" t="s">
        <v>8318</v>
      </c>
      <c r="R2935" t="s">
        <v>9566</v>
      </c>
    </row>
    <row r="2936" spans="1:18">
      <c r="A2936" t="s">
        <v>2418</v>
      </c>
      <c r="B2936" t="s">
        <v>9126</v>
      </c>
      <c r="C2936">
        <v>45716</v>
      </c>
      <c r="D2936" t="s">
        <v>7263</v>
      </c>
      <c r="E2936" t="s">
        <v>9127</v>
      </c>
      <c r="F2936">
        <v>45717</v>
      </c>
      <c r="G2936" t="s">
        <v>2208</v>
      </c>
      <c r="H2936" t="s">
        <v>8318</v>
      </c>
      <c r="I2936" t="s">
        <v>11197</v>
      </c>
      <c r="J2936">
        <v>0</v>
      </c>
      <c r="K2936">
        <v>-3980.8</v>
      </c>
      <c r="L2936" t="s">
        <v>2917</v>
      </c>
      <c r="M2936">
        <v>-3980.8</v>
      </c>
      <c r="N2936" t="s">
        <v>2917</v>
      </c>
      <c r="O2936" t="s">
        <v>8330</v>
      </c>
      <c r="P2936" t="s">
        <v>2208</v>
      </c>
      <c r="Q2936" t="s">
        <v>8318</v>
      </c>
      <c r="R2936" t="s">
        <v>9566</v>
      </c>
    </row>
    <row r="2937" spans="1:18">
      <c r="A2937" t="s">
        <v>2418</v>
      </c>
      <c r="B2937" t="s">
        <v>9126</v>
      </c>
      <c r="C2937">
        <v>45716</v>
      </c>
      <c r="D2937" t="s">
        <v>7263</v>
      </c>
      <c r="E2937" t="s">
        <v>9127</v>
      </c>
      <c r="F2937">
        <v>45717</v>
      </c>
      <c r="G2937" t="s">
        <v>2208</v>
      </c>
      <c r="H2937" t="s">
        <v>8318</v>
      </c>
      <c r="I2937" t="s">
        <v>11197</v>
      </c>
      <c r="J2937">
        <v>0</v>
      </c>
      <c r="K2937">
        <v>-40104</v>
      </c>
      <c r="L2937" t="s">
        <v>2917</v>
      </c>
      <c r="M2937">
        <v>-40104</v>
      </c>
      <c r="N2937" t="s">
        <v>2917</v>
      </c>
      <c r="O2937" t="s">
        <v>8330</v>
      </c>
      <c r="P2937" t="s">
        <v>2208</v>
      </c>
      <c r="Q2937" t="s">
        <v>8318</v>
      </c>
      <c r="R2937" t="s">
        <v>9566</v>
      </c>
    </row>
    <row r="2938" spans="1:18">
      <c r="A2938" t="s">
        <v>2418</v>
      </c>
      <c r="B2938" t="s">
        <v>9126</v>
      </c>
      <c r="C2938">
        <v>45716</v>
      </c>
      <c r="D2938" t="s">
        <v>7263</v>
      </c>
      <c r="E2938" t="s">
        <v>9127</v>
      </c>
      <c r="F2938">
        <v>45717</v>
      </c>
      <c r="G2938" t="s">
        <v>2208</v>
      </c>
      <c r="H2938" t="s">
        <v>8318</v>
      </c>
      <c r="I2938" t="s">
        <v>11197</v>
      </c>
      <c r="J2938">
        <v>0</v>
      </c>
      <c r="K2938">
        <v>-8020.8</v>
      </c>
      <c r="L2938" t="s">
        <v>2917</v>
      </c>
      <c r="M2938">
        <v>-8020.8</v>
      </c>
      <c r="N2938" t="s">
        <v>2917</v>
      </c>
      <c r="O2938" t="s">
        <v>8330</v>
      </c>
      <c r="P2938" t="s">
        <v>2208</v>
      </c>
      <c r="Q2938" t="s">
        <v>8318</v>
      </c>
      <c r="R2938" t="s">
        <v>9566</v>
      </c>
    </row>
    <row r="2939" spans="1:18">
      <c r="A2939" t="s">
        <v>2418</v>
      </c>
      <c r="B2939" t="s">
        <v>9126</v>
      </c>
      <c r="C2939">
        <v>45716</v>
      </c>
      <c r="D2939" t="s">
        <v>7263</v>
      </c>
      <c r="E2939" t="s">
        <v>9127</v>
      </c>
      <c r="F2939">
        <v>45717</v>
      </c>
      <c r="G2939" t="s">
        <v>2208</v>
      </c>
      <c r="H2939" t="s">
        <v>8318</v>
      </c>
      <c r="I2939" t="s">
        <v>11197</v>
      </c>
      <c r="J2939">
        <v>0</v>
      </c>
      <c r="K2939">
        <v>-2488.5</v>
      </c>
      <c r="L2939" t="s">
        <v>2917</v>
      </c>
      <c r="M2939">
        <v>-2488.5</v>
      </c>
      <c r="N2939" t="s">
        <v>2917</v>
      </c>
      <c r="O2939" t="s">
        <v>8356</v>
      </c>
      <c r="P2939" t="s">
        <v>2208</v>
      </c>
      <c r="Q2939" t="s">
        <v>8318</v>
      </c>
      <c r="R2939" t="s">
        <v>9566</v>
      </c>
    </row>
    <row r="2940" spans="1:18">
      <c r="A2940" t="s">
        <v>2418</v>
      </c>
      <c r="B2940" t="s">
        <v>9126</v>
      </c>
      <c r="C2940">
        <v>45716</v>
      </c>
      <c r="D2940" t="s">
        <v>7263</v>
      </c>
      <c r="E2940" t="s">
        <v>9127</v>
      </c>
      <c r="F2940">
        <v>45717</v>
      </c>
      <c r="G2940" t="s">
        <v>2208</v>
      </c>
      <c r="H2940" t="s">
        <v>8318</v>
      </c>
      <c r="I2940" t="s">
        <v>11197</v>
      </c>
      <c r="J2940">
        <v>0</v>
      </c>
      <c r="K2940">
        <v>-12950.4</v>
      </c>
      <c r="L2940" t="s">
        <v>2917</v>
      </c>
      <c r="M2940">
        <v>-12950.4</v>
      </c>
      <c r="N2940" t="s">
        <v>2917</v>
      </c>
      <c r="O2940" t="s">
        <v>8357</v>
      </c>
      <c r="P2940" t="s">
        <v>2208</v>
      </c>
      <c r="Q2940" t="s">
        <v>8318</v>
      </c>
      <c r="R2940" t="s">
        <v>9566</v>
      </c>
    </row>
    <row r="2941" spans="1:18">
      <c r="A2941" t="s">
        <v>2418</v>
      </c>
      <c r="B2941" t="s">
        <v>9126</v>
      </c>
      <c r="C2941">
        <v>45716</v>
      </c>
      <c r="D2941" t="s">
        <v>7263</v>
      </c>
      <c r="E2941" t="s">
        <v>9127</v>
      </c>
      <c r="F2941">
        <v>45717</v>
      </c>
      <c r="G2941" t="s">
        <v>2208</v>
      </c>
      <c r="H2941" t="s">
        <v>8318</v>
      </c>
      <c r="I2941" t="s">
        <v>11197</v>
      </c>
      <c r="J2941">
        <v>0</v>
      </c>
      <c r="K2941">
        <v>50795.199999999997</v>
      </c>
      <c r="L2941" t="s">
        <v>2917</v>
      </c>
      <c r="M2941">
        <v>50795.199999999997</v>
      </c>
      <c r="N2941" t="s">
        <v>2917</v>
      </c>
      <c r="O2941" t="s">
        <v>8330</v>
      </c>
      <c r="P2941" t="s">
        <v>2208</v>
      </c>
      <c r="Q2941" t="s">
        <v>8318</v>
      </c>
      <c r="R2941" t="s">
        <v>9566</v>
      </c>
    </row>
    <row r="2942" spans="1:18">
      <c r="A2942" t="s">
        <v>2418</v>
      </c>
      <c r="B2942" t="s">
        <v>9126</v>
      </c>
      <c r="C2942">
        <v>45716</v>
      </c>
      <c r="D2942" t="s">
        <v>7263</v>
      </c>
      <c r="E2942" t="s">
        <v>9127</v>
      </c>
      <c r="F2942">
        <v>45717</v>
      </c>
      <c r="G2942" t="s">
        <v>2208</v>
      </c>
      <c r="H2942" t="s">
        <v>8318</v>
      </c>
      <c r="I2942" t="s">
        <v>11197</v>
      </c>
      <c r="J2942">
        <v>0</v>
      </c>
      <c r="K2942">
        <v>11755.5</v>
      </c>
      <c r="L2942" t="s">
        <v>2917</v>
      </c>
      <c r="M2942">
        <v>11755.5</v>
      </c>
      <c r="N2942" t="s">
        <v>2917</v>
      </c>
      <c r="O2942" t="s">
        <v>8330</v>
      </c>
      <c r="P2942" t="s">
        <v>2208</v>
      </c>
      <c r="Q2942" t="s">
        <v>8318</v>
      </c>
      <c r="R2942" t="s">
        <v>9566</v>
      </c>
    </row>
    <row r="2943" spans="1:18">
      <c r="A2943" t="s">
        <v>2418</v>
      </c>
      <c r="B2943" t="s">
        <v>9126</v>
      </c>
      <c r="C2943">
        <v>45716</v>
      </c>
      <c r="D2943" t="s">
        <v>7263</v>
      </c>
      <c r="E2943" t="s">
        <v>9127</v>
      </c>
      <c r="F2943">
        <v>45717</v>
      </c>
      <c r="G2943" t="s">
        <v>2208</v>
      </c>
      <c r="H2943" t="s">
        <v>8318</v>
      </c>
      <c r="I2943" t="s">
        <v>11197</v>
      </c>
      <c r="J2943">
        <v>0</v>
      </c>
      <c r="K2943">
        <v>2351.1</v>
      </c>
      <c r="L2943" t="s">
        <v>2917</v>
      </c>
      <c r="M2943">
        <v>2351.1</v>
      </c>
      <c r="N2943" t="s">
        <v>2917</v>
      </c>
      <c r="O2943" t="s">
        <v>8330</v>
      </c>
      <c r="P2943" t="s">
        <v>2208</v>
      </c>
      <c r="Q2943" t="s">
        <v>8318</v>
      </c>
      <c r="R2943" t="s">
        <v>9566</v>
      </c>
    </row>
    <row r="2944" spans="1:18">
      <c r="A2944" t="s">
        <v>2418</v>
      </c>
      <c r="B2944" t="s">
        <v>9126</v>
      </c>
      <c r="C2944">
        <v>45716</v>
      </c>
      <c r="D2944" t="s">
        <v>7263</v>
      </c>
      <c r="E2944" t="s">
        <v>9127</v>
      </c>
      <c r="F2944">
        <v>45717</v>
      </c>
      <c r="G2944" t="s">
        <v>2208</v>
      </c>
      <c r="H2944" t="s">
        <v>8318</v>
      </c>
      <c r="I2944" t="s">
        <v>11197</v>
      </c>
      <c r="J2944">
        <v>0</v>
      </c>
      <c r="K2944">
        <v>19904</v>
      </c>
      <c r="L2944" t="s">
        <v>2917</v>
      </c>
      <c r="M2944">
        <v>19904</v>
      </c>
      <c r="N2944" t="s">
        <v>2917</v>
      </c>
      <c r="O2944" t="s">
        <v>8330</v>
      </c>
      <c r="P2944" t="s">
        <v>2208</v>
      </c>
      <c r="Q2944" t="s">
        <v>8318</v>
      </c>
      <c r="R2944" t="s">
        <v>9566</v>
      </c>
    </row>
    <row r="2945" spans="1:18">
      <c r="A2945" t="s">
        <v>2418</v>
      </c>
      <c r="B2945" t="s">
        <v>9126</v>
      </c>
      <c r="C2945">
        <v>45716</v>
      </c>
      <c r="D2945" t="s">
        <v>7263</v>
      </c>
      <c r="E2945" t="s">
        <v>9127</v>
      </c>
      <c r="F2945">
        <v>45717</v>
      </c>
      <c r="G2945" t="s">
        <v>2208</v>
      </c>
      <c r="H2945" t="s">
        <v>8318</v>
      </c>
      <c r="I2945" t="s">
        <v>11197</v>
      </c>
      <c r="J2945">
        <v>0</v>
      </c>
      <c r="K2945">
        <v>3980.8</v>
      </c>
      <c r="L2945" t="s">
        <v>2917</v>
      </c>
      <c r="M2945">
        <v>3980.8</v>
      </c>
      <c r="N2945" t="s">
        <v>2917</v>
      </c>
      <c r="O2945" t="s">
        <v>8330</v>
      </c>
      <c r="P2945" t="s">
        <v>2208</v>
      </c>
      <c r="Q2945" t="s">
        <v>8318</v>
      </c>
      <c r="R2945" t="s">
        <v>9566</v>
      </c>
    </row>
    <row r="2946" spans="1:18">
      <c r="A2946" t="s">
        <v>2418</v>
      </c>
      <c r="B2946" t="s">
        <v>9126</v>
      </c>
      <c r="C2946">
        <v>45716</v>
      </c>
      <c r="D2946" t="s">
        <v>7263</v>
      </c>
      <c r="E2946" t="s">
        <v>9127</v>
      </c>
      <c r="F2946">
        <v>45717</v>
      </c>
      <c r="G2946" t="s">
        <v>2208</v>
      </c>
      <c r="H2946" t="s">
        <v>8318</v>
      </c>
      <c r="I2946" t="s">
        <v>11197</v>
      </c>
      <c r="J2946">
        <v>0</v>
      </c>
      <c r="K2946">
        <v>40104</v>
      </c>
      <c r="L2946" t="s">
        <v>2917</v>
      </c>
      <c r="M2946">
        <v>40104</v>
      </c>
      <c r="N2946" t="s">
        <v>2917</v>
      </c>
      <c r="O2946" t="s">
        <v>8330</v>
      </c>
      <c r="P2946" t="s">
        <v>2208</v>
      </c>
      <c r="Q2946" t="s">
        <v>8318</v>
      </c>
      <c r="R2946" t="s">
        <v>9566</v>
      </c>
    </row>
    <row r="2947" spans="1:18">
      <c r="A2947" t="s">
        <v>2418</v>
      </c>
      <c r="B2947" t="s">
        <v>9126</v>
      </c>
      <c r="C2947">
        <v>45716</v>
      </c>
      <c r="D2947" t="s">
        <v>7263</v>
      </c>
      <c r="E2947" t="s">
        <v>9127</v>
      </c>
      <c r="F2947">
        <v>45717</v>
      </c>
      <c r="G2947" t="s">
        <v>2208</v>
      </c>
      <c r="H2947" t="s">
        <v>8318</v>
      </c>
      <c r="I2947" t="s">
        <v>11197</v>
      </c>
      <c r="J2947">
        <v>0</v>
      </c>
      <c r="K2947">
        <v>8020.8</v>
      </c>
      <c r="L2947" t="s">
        <v>2917</v>
      </c>
      <c r="M2947">
        <v>8020.8</v>
      </c>
      <c r="N2947" t="s">
        <v>2917</v>
      </c>
      <c r="O2947" t="s">
        <v>8330</v>
      </c>
      <c r="P2947" t="s">
        <v>2208</v>
      </c>
      <c r="Q2947" t="s">
        <v>8318</v>
      </c>
      <c r="R2947" t="s">
        <v>9566</v>
      </c>
    </row>
    <row r="2948" spans="1:18">
      <c r="A2948" t="s">
        <v>2418</v>
      </c>
      <c r="B2948" t="s">
        <v>9126</v>
      </c>
      <c r="C2948">
        <v>45716</v>
      </c>
      <c r="D2948" t="s">
        <v>7263</v>
      </c>
      <c r="E2948" t="s">
        <v>9127</v>
      </c>
      <c r="F2948">
        <v>45717</v>
      </c>
      <c r="G2948" t="s">
        <v>2208</v>
      </c>
      <c r="H2948" t="s">
        <v>8318</v>
      </c>
      <c r="I2948" t="s">
        <v>11197</v>
      </c>
      <c r="J2948">
        <v>0</v>
      </c>
      <c r="K2948">
        <v>2488.5</v>
      </c>
      <c r="L2948" t="s">
        <v>2917</v>
      </c>
      <c r="M2948">
        <v>2488.5</v>
      </c>
      <c r="N2948" t="s">
        <v>2917</v>
      </c>
      <c r="O2948" t="s">
        <v>8356</v>
      </c>
      <c r="P2948" t="s">
        <v>2208</v>
      </c>
      <c r="Q2948" t="s">
        <v>8318</v>
      </c>
      <c r="R2948" t="s">
        <v>9566</v>
      </c>
    </row>
    <row r="2949" spans="1:18">
      <c r="A2949" t="s">
        <v>2418</v>
      </c>
      <c r="B2949" t="s">
        <v>9126</v>
      </c>
      <c r="C2949">
        <v>45716</v>
      </c>
      <c r="D2949" t="s">
        <v>7263</v>
      </c>
      <c r="E2949" t="s">
        <v>9127</v>
      </c>
      <c r="F2949">
        <v>45717</v>
      </c>
      <c r="G2949" t="s">
        <v>2208</v>
      </c>
      <c r="H2949" t="s">
        <v>8318</v>
      </c>
      <c r="I2949" t="s">
        <v>11197</v>
      </c>
      <c r="J2949">
        <v>0</v>
      </c>
      <c r="K2949">
        <v>12950.4</v>
      </c>
      <c r="L2949" t="s">
        <v>2917</v>
      </c>
      <c r="M2949">
        <v>12950.4</v>
      </c>
      <c r="N2949" t="s">
        <v>2917</v>
      </c>
      <c r="O2949" t="s">
        <v>8357</v>
      </c>
      <c r="P2949" t="s">
        <v>2208</v>
      </c>
      <c r="Q2949" t="s">
        <v>8318</v>
      </c>
      <c r="R2949" t="s">
        <v>9566</v>
      </c>
    </row>
    <row r="2950" spans="1:18">
      <c r="A2950" t="s">
        <v>2418</v>
      </c>
      <c r="B2950" t="s">
        <v>9126</v>
      </c>
      <c r="C2950">
        <v>45716</v>
      </c>
      <c r="D2950" t="s">
        <v>7263</v>
      </c>
      <c r="E2950" t="s">
        <v>9127</v>
      </c>
      <c r="F2950">
        <v>45717</v>
      </c>
      <c r="G2950" t="s">
        <v>2208</v>
      </c>
      <c r="H2950" t="s">
        <v>8318</v>
      </c>
      <c r="I2950" t="s">
        <v>11197</v>
      </c>
      <c r="J2950">
        <v>0</v>
      </c>
      <c r="K2950">
        <v>805</v>
      </c>
      <c r="L2950" t="s">
        <v>2917</v>
      </c>
      <c r="M2950">
        <v>805</v>
      </c>
      <c r="N2950" t="s">
        <v>2917</v>
      </c>
      <c r="O2950" t="s">
        <v>9546</v>
      </c>
      <c r="P2950" t="s">
        <v>2208</v>
      </c>
      <c r="Q2950" t="s">
        <v>8318</v>
      </c>
      <c r="R2950" t="s">
        <v>9566</v>
      </c>
    </row>
    <row r="2951" spans="1:18">
      <c r="A2951" t="s">
        <v>2418</v>
      </c>
      <c r="B2951" t="s">
        <v>9126</v>
      </c>
      <c r="C2951">
        <v>45716</v>
      </c>
      <c r="D2951" t="s">
        <v>7263</v>
      </c>
      <c r="E2951" t="s">
        <v>9127</v>
      </c>
      <c r="F2951">
        <v>45717</v>
      </c>
      <c r="G2951" t="s">
        <v>2208</v>
      </c>
      <c r="H2951" t="s">
        <v>8318</v>
      </c>
      <c r="I2951" t="s">
        <v>11197</v>
      </c>
      <c r="J2951">
        <v>0</v>
      </c>
      <c r="K2951">
        <v>21750</v>
      </c>
      <c r="L2951" t="s">
        <v>2917</v>
      </c>
      <c r="M2951">
        <v>21750</v>
      </c>
      <c r="N2951" t="s">
        <v>2917</v>
      </c>
      <c r="O2951" t="s">
        <v>9547</v>
      </c>
      <c r="P2951" t="s">
        <v>2208</v>
      </c>
      <c r="Q2951" t="s">
        <v>8318</v>
      </c>
      <c r="R2951" t="s">
        <v>9566</v>
      </c>
    </row>
    <row r="2952" spans="1:18">
      <c r="A2952" t="s">
        <v>2418</v>
      </c>
      <c r="B2952" t="s">
        <v>9126</v>
      </c>
      <c r="C2952">
        <v>45716</v>
      </c>
      <c r="D2952" t="s">
        <v>7263</v>
      </c>
      <c r="E2952" t="s">
        <v>9127</v>
      </c>
      <c r="F2952">
        <v>45717</v>
      </c>
      <c r="G2952" t="s">
        <v>2208</v>
      </c>
      <c r="H2952" t="s">
        <v>8318</v>
      </c>
      <c r="I2952" t="s">
        <v>11197</v>
      </c>
      <c r="J2952">
        <v>0</v>
      </c>
      <c r="K2952">
        <v>330000</v>
      </c>
      <c r="L2952" t="s">
        <v>2917</v>
      </c>
      <c r="M2952">
        <v>330000</v>
      </c>
      <c r="N2952" t="s">
        <v>2917</v>
      </c>
      <c r="O2952" t="s">
        <v>9548</v>
      </c>
      <c r="P2952" t="s">
        <v>2208</v>
      </c>
      <c r="Q2952" t="s">
        <v>8318</v>
      </c>
      <c r="R2952" t="s">
        <v>9566</v>
      </c>
    </row>
    <row r="2953" spans="1:18">
      <c r="A2953" t="s">
        <v>2418</v>
      </c>
      <c r="B2953" t="s">
        <v>9126</v>
      </c>
      <c r="C2953">
        <v>45716</v>
      </c>
      <c r="D2953" t="s">
        <v>7263</v>
      </c>
      <c r="E2953" t="s">
        <v>9127</v>
      </c>
      <c r="F2953">
        <v>45717</v>
      </c>
      <c r="G2953" t="s">
        <v>2208</v>
      </c>
      <c r="H2953" t="s">
        <v>8318</v>
      </c>
      <c r="I2953" t="s">
        <v>11197</v>
      </c>
      <c r="J2953">
        <v>0</v>
      </c>
      <c r="K2953">
        <v>44000</v>
      </c>
      <c r="L2953" t="s">
        <v>2917</v>
      </c>
      <c r="M2953">
        <v>44000</v>
      </c>
      <c r="N2953" t="s">
        <v>2917</v>
      </c>
      <c r="O2953" t="s">
        <v>9549</v>
      </c>
      <c r="P2953" t="s">
        <v>2208</v>
      </c>
      <c r="Q2953" t="s">
        <v>8318</v>
      </c>
      <c r="R2953" t="s">
        <v>9566</v>
      </c>
    </row>
    <row r="2954" spans="1:18">
      <c r="A2954" t="s">
        <v>7030</v>
      </c>
      <c r="B2954" t="s">
        <v>9126</v>
      </c>
      <c r="C2954">
        <v>45741</v>
      </c>
      <c r="D2954" t="s">
        <v>7263</v>
      </c>
      <c r="E2954" t="s">
        <v>9127</v>
      </c>
      <c r="F2954">
        <v>45741</v>
      </c>
      <c r="G2954" t="s">
        <v>2208</v>
      </c>
      <c r="H2954" t="s">
        <v>11198</v>
      </c>
      <c r="I2954" t="s">
        <v>11199</v>
      </c>
      <c r="J2954">
        <v>0</v>
      </c>
      <c r="K2954">
        <v>1440.14</v>
      </c>
      <c r="L2954" t="s">
        <v>2917</v>
      </c>
      <c r="M2954">
        <v>1440.14</v>
      </c>
      <c r="N2954" t="s">
        <v>2917</v>
      </c>
      <c r="O2954" t="s">
        <v>11200</v>
      </c>
      <c r="P2954" t="s">
        <v>2208</v>
      </c>
      <c r="Q2954" t="s">
        <v>11201</v>
      </c>
      <c r="R2954" t="s">
        <v>11202</v>
      </c>
    </row>
    <row r="2955" spans="1:18">
      <c r="A2955" t="s">
        <v>2237</v>
      </c>
      <c r="B2955" t="s">
        <v>9126</v>
      </c>
      <c r="C2955">
        <v>45741</v>
      </c>
      <c r="D2955" t="s">
        <v>7263</v>
      </c>
      <c r="E2955" t="s">
        <v>9127</v>
      </c>
      <c r="F2955">
        <v>45741</v>
      </c>
      <c r="G2955" t="s">
        <v>2208</v>
      </c>
      <c r="H2955" t="s">
        <v>11198</v>
      </c>
      <c r="I2955" t="s">
        <v>11199</v>
      </c>
      <c r="J2955">
        <v>0</v>
      </c>
      <c r="K2955">
        <v>157.86000000000001</v>
      </c>
      <c r="L2955" t="s">
        <v>2917</v>
      </c>
      <c r="M2955">
        <v>157.86000000000001</v>
      </c>
      <c r="N2955" t="s">
        <v>2917</v>
      </c>
      <c r="O2955" t="s">
        <v>11200</v>
      </c>
      <c r="P2955" t="s">
        <v>2208</v>
      </c>
      <c r="Q2955" t="s">
        <v>11201</v>
      </c>
      <c r="R2955" t="s">
        <v>11202</v>
      </c>
    </row>
    <row r="2956" spans="1:18">
      <c r="A2956" t="s">
        <v>2256</v>
      </c>
      <c r="B2956" t="s">
        <v>9126</v>
      </c>
      <c r="C2956">
        <v>45747</v>
      </c>
      <c r="D2956" t="s">
        <v>7263</v>
      </c>
      <c r="E2956" t="s">
        <v>9127</v>
      </c>
      <c r="F2956">
        <v>45747</v>
      </c>
      <c r="G2956" t="s">
        <v>2208</v>
      </c>
      <c r="H2956" t="s">
        <v>8343</v>
      </c>
      <c r="I2956" t="s">
        <v>11853</v>
      </c>
      <c r="J2956">
        <v>0</v>
      </c>
      <c r="K2956">
        <v>18.850000000000001</v>
      </c>
      <c r="L2956" t="s">
        <v>2917</v>
      </c>
      <c r="M2956">
        <v>18.850000000000001</v>
      </c>
      <c r="N2956" t="s">
        <v>2917</v>
      </c>
      <c r="O2956" t="s">
        <v>11854</v>
      </c>
      <c r="P2956" t="s">
        <v>2208</v>
      </c>
      <c r="Q2956" t="s">
        <v>9543</v>
      </c>
      <c r="R2956" t="s">
        <v>9544</v>
      </c>
    </row>
    <row r="2957" spans="1:18">
      <c r="A2957" t="s">
        <v>2237</v>
      </c>
      <c r="B2957" t="s">
        <v>9126</v>
      </c>
      <c r="C2957">
        <v>45747</v>
      </c>
      <c r="D2957" t="s">
        <v>7263</v>
      </c>
      <c r="E2957" t="s">
        <v>9127</v>
      </c>
      <c r="F2957">
        <v>45747</v>
      </c>
      <c r="G2957" t="s">
        <v>2208</v>
      </c>
      <c r="H2957" t="s">
        <v>8318</v>
      </c>
      <c r="I2957" t="s">
        <v>12098</v>
      </c>
      <c r="J2957">
        <v>0</v>
      </c>
      <c r="K2957">
        <v>540</v>
      </c>
      <c r="L2957" t="s">
        <v>2917</v>
      </c>
      <c r="M2957">
        <v>540</v>
      </c>
      <c r="N2957" t="s">
        <v>2917</v>
      </c>
      <c r="O2957" t="s">
        <v>12099</v>
      </c>
      <c r="P2957" t="s">
        <v>2208</v>
      </c>
      <c r="Q2957" t="s">
        <v>8321</v>
      </c>
      <c r="R2957" t="s">
        <v>8322</v>
      </c>
    </row>
    <row r="2958" spans="1:18">
      <c r="A2958" t="s">
        <v>2724</v>
      </c>
      <c r="B2958" t="s">
        <v>9126</v>
      </c>
      <c r="C2958">
        <v>45747</v>
      </c>
      <c r="D2958" t="s">
        <v>7263</v>
      </c>
      <c r="E2958" t="s">
        <v>9127</v>
      </c>
      <c r="F2958">
        <v>45747</v>
      </c>
      <c r="G2958" t="s">
        <v>2208</v>
      </c>
      <c r="H2958" t="s">
        <v>8318</v>
      </c>
      <c r="I2958" t="s">
        <v>12098</v>
      </c>
      <c r="J2958">
        <v>0</v>
      </c>
      <c r="K2958">
        <v>172198.37</v>
      </c>
      <c r="L2958" t="s">
        <v>2917</v>
      </c>
      <c r="M2958">
        <v>172198.37</v>
      </c>
      <c r="N2958" t="s">
        <v>2917</v>
      </c>
      <c r="O2958" t="s">
        <v>12100</v>
      </c>
      <c r="P2958" t="s">
        <v>2208</v>
      </c>
      <c r="Q2958" t="s">
        <v>8321</v>
      </c>
      <c r="R2958" t="s">
        <v>8322</v>
      </c>
    </row>
    <row r="2959" spans="1:18">
      <c r="A2959" t="s">
        <v>2725</v>
      </c>
      <c r="B2959" t="s">
        <v>9126</v>
      </c>
      <c r="C2959">
        <v>45747</v>
      </c>
      <c r="D2959" t="s">
        <v>7263</v>
      </c>
      <c r="E2959" t="s">
        <v>9127</v>
      </c>
      <c r="F2959">
        <v>45747</v>
      </c>
      <c r="G2959" t="s">
        <v>2208</v>
      </c>
      <c r="H2959" t="s">
        <v>8318</v>
      </c>
      <c r="I2959" t="s">
        <v>12098</v>
      </c>
      <c r="J2959">
        <v>0</v>
      </c>
      <c r="K2959">
        <v>90220.04</v>
      </c>
      <c r="L2959" t="s">
        <v>2917</v>
      </c>
      <c r="M2959">
        <v>90220.04</v>
      </c>
      <c r="N2959" t="s">
        <v>2917</v>
      </c>
      <c r="O2959" t="s">
        <v>12101</v>
      </c>
      <c r="P2959" t="s">
        <v>2208</v>
      </c>
      <c r="Q2959" t="s">
        <v>8321</v>
      </c>
      <c r="R2959" t="s">
        <v>8322</v>
      </c>
    </row>
    <row r="2960" spans="1:18">
      <c r="A2960" t="s">
        <v>2418</v>
      </c>
      <c r="B2960" t="s">
        <v>9126</v>
      </c>
      <c r="C2960">
        <v>45747</v>
      </c>
      <c r="D2960" t="s">
        <v>7263</v>
      </c>
      <c r="E2960" t="s">
        <v>9127</v>
      </c>
      <c r="F2960">
        <v>45747</v>
      </c>
      <c r="G2960" t="s">
        <v>2208</v>
      </c>
      <c r="H2960" t="s">
        <v>8318</v>
      </c>
      <c r="I2960" t="s">
        <v>12098</v>
      </c>
      <c r="J2960">
        <v>0</v>
      </c>
      <c r="K2960">
        <v>3060.2</v>
      </c>
      <c r="L2960" t="s">
        <v>2917</v>
      </c>
      <c r="M2960">
        <v>3060.2</v>
      </c>
      <c r="N2960" t="s">
        <v>2917</v>
      </c>
      <c r="O2960" t="s">
        <v>12102</v>
      </c>
      <c r="P2960" t="s">
        <v>2208</v>
      </c>
      <c r="Q2960" t="s">
        <v>8321</v>
      </c>
      <c r="R2960" t="s">
        <v>8322</v>
      </c>
    </row>
    <row r="2961" spans="1:18">
      <c r="A2961" t="s">
        <v>7030</v>
      </c>
      <c r="B2961" t="s">
        <v>9126</v>
      </c>
      <c r="C2961">
        <v>45747</v>
      </c>
      <c r="D2961" t="s">
        <v>7263</v>
      </c>
      <c r="E2961" t="s">
        <v>9127</v>
      </c>
      <c r="F2961">
        <v>45747</v>
      </c>
      <c r="G2961" t="s">
        <v>2208</v>
      </c>
      <c r="H2961" t="s">
        <v>8318</v>
      </c>
      <c r="I2961" t="s">
        <v>12098</v>
      </c>
      <c r="J2961">
        <v>0</v>
      </c>
      <c r="K2961">
        <v>13608.3</v>
      </c>
      <c r="L2961" t="s">
        <v>2917</v>
      </c>
      <c r="M2961">
        <v>13608.3</v>
      </c>
      <c r="N2961" t="s">
        <v>2917</v>
      </c>
      <c r="O2961" t="s">
        <v>12103</v>
      </c>
      <c r="P2961" t="s">
        <v>2208</v>
      </c>
      <c r="Q2961" t="s">
        <v>8321</v>
      </c>
      <c r="R2961" t="s">
        <v>8322</v>
      </c>
    </row>
    <row r="2962" spans="1:18">
      <c r="A2962" t="s">
        <v>2418</v>
      </c>
      <c r="B2962" t="s">
        <v>9126</v>
      </c>
      <c r="C2962">
        <v>45747</v>
      </c>
      <c r="D2962" t="s">
        <v>7263</v>
      </c>
      <c r="E2962" t="s">
        <v>9127</v>
      </c>
      <c r="F2962">
        <v>45747</v>
      </c>
      <c r="G2962" t="s">
        <v>2208</v>
      </c>
      <c r="H2962" t="s">
        <v>8318</v>
      </c>
      <c r="I2962" t="s">
        <v>12098</v>
      </c>
      <c r="J2962">
        <v>0</v>
      </c>
      <c r="K2962">
        <v>363446.4</v>
      </c>
      <c r="L2962" t="s">
        <v>2917</v>
      </c>
      <c r="M2962">
        <v>363446.4</v>
      </c>
      <c r="N2962" t="s">
        <v>2917</v>
      </c>
      <c r="O2962" t="s">
        <v>12104</v>
      </c>
      <c r="P2962" t="s">
        <v>2208</v>
      </c>
      <c r="Q2962" t="s">
        <v>8321</v>
      </c>
      <c r="R2962" t="s">
        <v>8322</v>
      </c>
    </row>
    <row r="2963" spans="1:18">
      <c r="A2963" t="s">
        <v>2418</v>
      </c>
      <c r="B2963" t="s">
        <v>9126</v>
      </c>
      <c r="C2963">
        <v>45747</v>
      </c>
      <c r="D2963" t="s">
        <v>7263</v>
      </c>
      <c r="E2963" t="s">
        <v>9127</v>
      </c>
      <c r="F2963">
        <v>45747</v>
      </c>
      <c r="G2963" t="s">
        <v>2208</v>
      </c>
      <c r="H2963" t="s">
        <v>8318</v>
      </c>
      <c r="I2963" t="s">
        <v>12098</v>
      </c>
      <c r="J2963">
        <v>0</v>
      </c>
      <c r="K2963">
        <v>22008.799999999999</v>
      </c>
      <c r="L2963" t="s">
        <v>2917</v>
      </c>
      <c r="M2963">
        <v>22008.799999999999</v>
      </c>
      <c r="N2963" t="s">
        <v>2917</v>
      </c>
      <c r="O2963" t="s">
        <v>12104</v>
      </c>
      <c r="P2963" t="s">
        <v>2208</v>
      </c>
      <c r="Q2963" t="s">
        <v>8321</v>
      </c>
      <c r="R2963" t="s">
        <v>8322</v>
      </c>
    </row>
    <row r="2964" spans="1:18">
      <c r="A2964" t="s">
        <v>709</v>
      </c>
      <c r="B2964" t="s">
        <v>9126</v>
      </c>
      <c r="C2964">
        <v>45747</v>
      </c>
      <c r="D2964" t="s">
        <v>7263</v>
      </c>
      <c r="E2964" t="s">
        <v>9127</v>
      </c>
      <c r="F2964">
        <v>45747</v>
      </c>
      <c r="G2964" t="s">
        <v>2208</v>
      </c>
      <c r="H2964" t="s">
        <v>8318</v>
      </c>
      <c r="I2964" t="s">
        <v>12105</v>
      </c>
      <c r="J2964">
        <v>0</v>
      </c>
      <c r="K2964">
        <v>4760</v>
      </c>
      <c r="L2964" t="s">
        <v>2917</v>
      </c>
      <c r="M2964">
        <v>4760</v>
      </c>
      <c r="N2964" t="s">
        <v>2917</v>
      </c>
      <c r="O2964" t="s">
        <v>8354</v>
      </c>
      <c r="P2964" t="s">
        <v>2208</v>
      </c>
      <c r="Q2964" t="s">
        <v>8321</v>
      </c>
      <c r="R2964" t="s">
        <v>8322</v>
      </c>
    </row>
    <row r="2965" spans="1:18">
      <c r="A2965" t="s">
        <v>2237</v>
      </c>
      <c r="B2965" t="s">
        <v>9126</v>
      </c>
      <c r="C2965">
        <v>45747</v>
      </c>
      <c r="D2965" t="s">
        <v>7263</v>
      </c>
      <c r="E2965" t="s">
        <v>9127</v>
      </c>
      <c r="F2965">
        <v>45747</v>
      </c>
      <c r="G2965" t="s">
        <v>2208</v>
      </c>
      <c r="H2965" t="s">
        <v>8318</v>
      </c>
      <c r="I2965" t="s">
        <v>12105</v>
      </c>
      <c r="J2965">
        <v>0</v>
      </c>
      <c r="K2965">
        <v>153889.60000000001</v>
      </c>
      <c r="L2965" t="s">
        <v>2917</v>
      </c>
      <c r="M2965">
        <v>153889.60000000001</v>
      </c>
      <c r="N2965" t="s">
        <v>2917</v>
      </c>
      <c r="O2965" t="s">
        <v>12106</v>
      </c>
      <c r="P2965" t="s">
        <v>2208</v>
      </c>
      <c r="Q2965" t="s">
        <v>8321</v>
      </c>
      <c r="R2965" t="s">
        <v>8322</v>
      </c>
    </row>
    <row r="2966" spans="1:18">
      <c r="A2966" t="s">
        <v>2237</v>
      </c>
      <c r="B2966" t="s">
        <v>9126</v>
      </c>
      <c r="C2966">
        <v>45747</v>
      </c>
      <c r="D2966" t="s">
        <v>7263</v>
      </c>
      <c r="E2966" t="s">
        <v>9127</v>
      </c>
      <c r="F2966">
        <v>45747</v>
      </c>
      <c r="G2966" t="s">
        <v>2208</v>
      </c>
      <c r="H2966" t="s">
        <v>8318</v>
      </c>
      <c r="I2966" t="s">
        <v>12105</v>
      </c>
      <c r="J2966">
        <v>0</v>
      </c>
      <c r="K2966">
        <v>178656.53</v>
      </c>
      <c r="L2966" t="s">
        <v>2917</v>
      </c>
      <c r="M2966">
        <v>178656.53</v>
      </c>
      <c r="N2966" t="s">
        <v>2917</v>
      </c>
      <c r="O2966" t="s">
        <v>12106</v>
      </c>
      <c r="P2966" t="s">
        <v>2208</v>
      </c>
      <c r="Q2966" t="s">
        <v>8321</v>
      </c>
      <c r="R2966" t="s">
        <v>8322</v>
      </c>
    </row>
    <row r="2967" spans="1:18">
      <c r="A2967" t="s">
        <v>2237</v>
      </c>
      <c r="B2967" t="s">
        <v>9126</v>
      </c>
      <c r="C2967">
        <v>45747</v>
      </c>
      <c r="D2967" t="s">
        <v>7263</v>
      </c>
      <c r="E2967" t="s">
        <v>9127</v>
      </c>
      <c r="F2967">
        <v>45747</v>
      </c>
      <c r="G2967" t="s">
        <v>2208</v>
      </c>
      <c r="H2967" t="s">
        <v>8318</v>
      </c>
      <c r="I2967" t="s">
        <v>12105</v>
      </c>
      <c r="J2967">
        <v>0</v>
      </c>
      <c r="K2967">
        <v>235534.64</v>
      </c>
      <c r="L2967" t="s">
        <v>2917</v>
      </c>
      <c r="M2967">
        <v>235534.64</v>
      </c>
      <c r="N2967" t="s">
        <v>2917</v>
      </c>
      <c r="O2967" t="s">
        <v>12106</v>
      </c>
      <c r="P2967" t="s">
        <v>2208</v>
      </c>
      <c r="Q2967" t="s">
        <v>8321</v>
      </c>
      <c r="R2967" t="s">
        <v>8322</v>
      </c>
    </row>
    <row r="2968" spans="1:18">
      <c r="A2968" t="s">
        <v>2237</v>
      </c>
      <c r="B2968" t="s">
        <v>9126</v>
      </c>
      <c r="C2968">
        <v>45747</v>
      </c>
      <c r="D2968" t="s">
        <v>7263</v>
      </c>
      <c r="E2968" t="s">
        <v>9127</v>
      </c>
      <c r="F2968">
        <v>45747</v>
      </c>
      <c r="G2968" t="s">
        <v>2208</v>
      </c>
      <c r="H2968" t="s">
        <v>8318</v>
      </c>
      <c r="I2968" t="s">
        <v>12105</v>
      </c>
      <c r="J2968">
        <v>0</v>
      </c>
      <c r="K2968">
        <v>235534.64</v>
      </c>
      <c r="L2968" t="s">
        <v>2917</v>
      </c>
      <c r="M2968">
        <v>235534.64</v>
      </c>
      <c r="N2968" t="s">
        <v>2917</v>
      </c>
      <c r="O2968" t="s">
        <v>12106</v>
      </c>
      <c r="P2968" t="s">
        <v>2208</v>
      </c>
      <c r="Q2968" t="s">
        <v>8321</v>
      </c>
      <c r="R2968" t="s">
        <v>8322</v>
      </c>
    </row>
    <row r="2969" spans="1:18">
      <c r="A2969" t="s">
        <v>2237</v>
      </c>
      <c r="B2969" t="s">
        <v>9126</v>
      </c>
      <c r="C2969">
        <v>45747</v>
      </c>
      <c r="D2969" t="s">
        <v>7263</v>
      </c>
      <c r="E2969" t="s">
        <v>9127</v>
      </c>
      <c r="F2969">
        <v>45747</v>
      </c>
      <c r="G2969" t="s">
        <v>2208</v>
      </c>
      <c r="H2969" t="s">
        <v>8318</v>
      </c>
      <c r="I2969" t="s">
        <v>12105</v>
      </c>
      <c r="J2969">
        <v>0</v>
      </c>
      <c r="K2969">
        <v>137899.38</v>
      </c>
      <c r="L2969" t="s">
        <v>2917</v>
      </c>
      <c r="M2969">
        <v>137899.38</v>
      </c>
      <c r="N2969" t="s">
        <v>2917</v>
      </c>
      <c r="O2969" t="s">
        <v>12106</v>
      </c>
      <c r="P2969" t="s">
        <v>2208</v>
      </c>
      <c r="Q2969" t="s">
        <v>8321</v>
      </c>
      <c r="R2969" t="s">
        <v>8322</v>
      </c>
    </row>
    <row r="2970" spans="1:18">
      <c r="A2970" t="s">
        <v>2237</v>
      </c>
      <c r="B2970" t="s">
        <v>9126</v>
      </c>
      <c r="C2970">
        <v>45747</v>
      </c>
      <c r="D2970" t="s">
        <v>7263</v>
      </c>
      <c r="E2970" t="s">
        <v>9127</v>
      </c>
      <c r="F2970">
        <v>45747</v>
      </c>
      <c r="G2970" t="s">
        <v>2208</v>
      </c>
      <c r="H2970" t="s">
        <v>8318</v>
      </c>
      <c r="I2970" t="s">
        <v>12105</v>
      </c>
      <c r="J2970">
        <v>0</v>
      </c>
      <c r="K2970">
        <v>137899.38</v>
      </c>
      <c r="L2970" t="s">
        <v>2917</v>
      </c>
      <c r="M2970">
        <v>137899.38</v>
      </c>
      <c r="N2970" t="s">
        <v>2917</v>
      </c>
      <c r="O2970" t="s">
        <v>12106</v>
      </c>
      <c r="P2970" t="s">
        <v>2208</v>
      </c>
      <c r="Q2970" t="s">
        <v>8321</v>
      </c>
      <c r="R2970" t="s">
        <v>8322</v>
      </c>
    </row>
    <row r="2971" spans="1:18">
      <c r="A2971" t="s">
        <v>2418</v>
      </c>
      <c r="B2971" t="s">
        <v>9126</v>
      </c>
      <c r="C2971">
        <v>45747</v>
      </c>
      <c r="D2971" t="s">
        <v>7263</v>
      </c>
      <c r="E2971" t="s">
        <v>9127</v>
      </c>
      <c r="F2971">
        <v>45747</v>
      </c>
      <c r="G2971" t="s">
        <v>2208</v>
      </c>
      <c r="H2971" t="s">
        <v>8318</v>
      </c>
      <c r="I2971" t="s">
        <v>12105</v>
      </c>
      <c r="J2971">
        <v>0</v>
      </c>
      <c r="K2971">
        <v>6293</v>
      </c>
      <c r="L2971" t="s">
        <v>2917</v>
      </c>
      <c r="M2971">
        <v>6293</v>
      </c>
      <c r="N2971" t="s">
        <v>2917</v>
      </c>
      <c r="O2971" t="s">
        <v>8330</v>
      </c>
      <c r="P2971" t="s">
        <v>2208</v>
      </c>
      <c r="Q2971" t="s">
        <v>8321</v>
      </c>
      <c r="R2971" t="s">
        <v>8322</v>
      </c>
    </row>
    <row r="2972" spans="1:18">
      <c r="A2972" t="s">
        <v>2418</v>
      </c>
      <c r="B2972" t="s">
        <v>9126</v>
      </c>
      <c r="C2972">
        <v>45747</v>
      </c>
      <c r="D2972" t="s">
        <v>7263</v>
      </c>
      <c r="E2972" t="s">
        <v>9127</v>
      </c>
      <c r="F2972">
        <v>45747</v>
      </c>
      <c r="G2972" t="s">
        <v>2208</v>
      </c>
      <c r="H2972" t="s">
        <v>8318</v>
      </c>
      <c r="I2972" t="s">
        <v>12105</v>
      </c>
      <c r="J2972">
        <v>0</v>
      </c>
      <c r="K2972">
        <v>89800</v>
      </c>
      <c r="L2972" t="s">
        <v>2917</v>
      </c>
      <c r="M2972">
        <v>89800</v>
      </c>
      <c r="N2972" t="s">
        <v>2917</v>
      </c>
      <c r="O2972" t="s">
        <v>8355</v>
      </c>
      <c r="P2972" t="s">
        <v>2208</v>
      </c>
      <c r="Q2972" t="s">
        <v>8321</v>
      </c>
      <c r="R2972" t="s">
        <v>8322</v>
      </c>
    </row>
    <row r="2973" spans="1:18">
      <c r="A2973" t="s">
        <v>2418</v>
      </c>
      <c r="B2973" t="s">
        <v>9126</v>
      </c>
      <c r="C2973">
        <v>45747</v>
      </c>
      <c r="D2973" t="s">
        <v>7263</v>
      </c>
      <c r="E2973" t="s">
        <v>9127</v>
      </c>
      <c r="F2973">
        <v>45747</v>
      </c>
      <c r="G2973" t="s">
        <v>2208</v>
      </c>
      <c r="H2973" t="s">
        <v>8318</v>
      </c>
      <c r="I2973" t="s">
        <v>12105</v>
      </c>
      <c r="J2973">
        <v>0</v>
      </c>
      <c r="K2973">
        <v>71820</v>
      </c>
      <c r="L2973" t="s">
        <v>2917</v>
      </c>
      <c r="M2973">
        <v>71820</v>
      </c>
      <c r="N2973" t="s">
        <v>2917</v>
      </c>
      <c r="O2973" t="s">
        <v>12107</v>
      </c>
      <c r="P2973" t="s">
        <v>2208</v>
      </c>
      <c r="Q2973" t="s">
        <v>8321</v>
      </c>
      <c r="R2973" t="s">
        <v>8322</v>
      </c>
    </row>
    <row r="2974" spans="1:18">
      <c r="A2974" t="s">
        <v>2418</v>
      </c>
      <c r="B2974" t="s">
        <v>9126</v>
      </c>
      <c r="C2974">
        <v>45747</v>
      </c>
      <c r="D2974" t="s">
        <v>7263</v>
      </c>
      <c r="E2974" t="s">
        <v>9127</v>
      </c>
      <c r="F2974">
        <v>45747</v>
      </c>
      <c r="G2974" t="s">
        <v>2208</v>
      </c>
      <c r="H2974" t="s">
        <v>8318</v>
      </c>
      <c r="I2974" t="s">
        <v>12105</v>
      </c>
      <c r="J2974">
        <v>0</v>
      </c>
      <c r="K2974">
        <v>75279.41</v>
      </c>
      <c r="L2974" t="s">
        <v>2917</v>
      </c>
      <c r="M2974">
        <v>75279.41</v>
      </c>
      <c r="N2974" t="s">
        <v>2917</v>
      </c>
      <c r="O2974" t="s">
        <v>8330</v>
      </c>
      <c r="P2974" t="s">
        <v>2208</v>
      </c>
      <c r="Q2974" t="s">
        <v>8321</v>
      </c>
      <c r="R2974" t="s">
        <v>8322</v>
      </c>
    </row>
    <row r="2975" spans="1:18">
      <c r="A2975" t="s">
        <v>2418</v>
      </c>
      <c r="B2975" t="s">
        <v>9126</v>
      </c>
      <c r="C2975">
        <v>45747</v>
      </c>
      <c r="D2975" t="s">
        <v>7263</v>
      </c>
      <c r="E2975" t="s">
        <v>9127</v>
      </c>
      <c r="F2975">
        <v>45747</v>
      </c>
      <c r="G2975" t="s">
        <v>2208</v>
      </c>
      <c r="H2975" t="s">
        <v>8318</v>
      </c>
      <c r="I2975" t="s">
        <v>12105</v>
      </c>
      <c r="J2975">
        <v>0</v>
      </c>
      <c r="K2975">
        <v>15518.9</v>
      </c>
      <c r="L2975" t="s">
        <v>2917</v>
      </c>
      <c r="M2975">
        <v>15518.9</v>
      </c>
      <c r="N2975" t="s">
        <v>2917</v>
      </c>
      <c r="O2975" t="s">
        <v>8330</v>
      </c>
      <c r="P2975" t="s">
        <v>2208</v>
      </c>
      <c r="Q2975" t="s">
        <v>8321</v>
      </c>
      <c r="R2975" t="s">
        <v>8322</v>
      </c>
    </row>
    <row r="2976" spans="1:18">
      <c r="A2976" t="s">
        <v>2418</v>
      </c>
      <c r="B2976" t="s">
        <v>9126</v>
      </c>
      <c r="C2976">
        <v>45747</v>
      </c>
      <c r="D2976" t="s">
        <v>7263</v>
      </c>
      <c r="E2976" t="s">
        <v>9127</v>
      </c>
      <c r="F2976">
        <v>45747</v>
      </c>
      <c r="G2976" t="s">
        <v>2208</v>
      </c>
      <c r="H2976" t="s">
        <v>8318</v>
      </c>
      <c r="I2976" t="s">
        <v>12105</v>
      </c>
      <c r="J2976">
        <v>0</v>
      </c>
      <c r="K2976">
        <v>253757.13</v>
      </c>
      <c r="L2976" t="s">
        <v>2917</v>
      </c>
      <c r="M2976">
        <v>253757.13</v>
      </c>
      <c r="N2976" t="s">
        <v>2917</v>
      </c>
      <c r="O2976" t="s">
        <v>8330</v>
      </c>
      <c r="P2976" t="s">
        <v>2208</v>
      </c>
      <c r="Q2976" t="s">
        <v>8321</v>
      </c>
      <c r="R2976" t="s">
        <v>8322</v>
      </c>
    </row>
    <row r="2977" spans="1:18">
      <c r="A2977" t="s">
        <v>2418</v>
      </c>
      <c r="B2977" t="s">
        <v>9126</v>
      </c>
      <c r="C2977">
        <v>45747</v>
      </c>
      <c r="D2977" t="s">
        <v>7263</v>
      </c>
      <c r="E2977" t="s">
        <v>9127</v>
      </c>
      <c r="F2977">
        <v>45747</v>
      </c>
      <c r="G2977" t="s">
        <v>2208</v>
      </c>
      <c r="H2977" t="s">
        <v>8318</v>
      </c>
      <c r="I2977" t="s">
        <v>12105</v>
      </c>
      <c r="J2977">
        <v>0</v>
      </c>
      <c r="K2977">
        <v>50795.199999999997</v>
      </c>
      <c r="L2977" t="s">
        <v>2917</v>
      </c>
      <c r="M2977">
        <v>50795.199999999997</v>
      </c>
      <c r="N2977" t="s">
        <v>2917</v>
      </c>
      <c r="O2977" t="s">
        <v>8330</v>
      </c>
      <c r="P2977" t="s">
        <v>2208</v>
      </c>
      <c r="Q2977" t="s">
        <v>8321</v>
      </c>
      <c r="R2977" t="s">
        <v>8322</v>
      </c>
    </row>
    <row r="2978" spans="1:18">
      <c r="A2978" t="s">
        <v>2418</v>
      </c>
      <c r="B2978" t="s">
        <v>9126</v>
      </c>
      <c r="C2978">
        <v>45747</v>
      </c>
      <c r="D2978" t="s">
        <v>7263</v>
      </c>
      <c r="E2978" t="s">
        <v>9127</v>
      </c>
      <c r="F2978">
        <v>45747</v>
      </c>
      <c r="G2978" t="s">
        <v>2208</v>
      </c>
      <c r="H2978" t="s">
        <v>8318</v>
      </c>
      <c r="I2978" t="s">
        <v>12105</v>
      </c>
      <c r="J2978">
        <v>0</v>
      </c>
      <c r="K2978">
        <v>11745.37</v>
      </c>
      <c r="L2978" t="s">
        <v>2917</v>
      </c>
      <c r="M2978">
        <v>11745.37</v>
      </c>
      <c r="N2978" t="s">
        <v>2917</v>
      </c>
      <c r="O2978" t="s">
        <v>8330</v>
      </c>
      <c r="P2978" t="s">
        <v>2208</v>
      </c>
      <c r="Q2978" t="s">
        <v>8321</v>
      </c>
      <c r="R2978" t="s">
        <v>8322</v>
      </c>
    </row>
    <row r="2979" spans="1:18">
      <c r="A2979" t="s">
        <v>2418</v>
      </c>
      <c r="B2979" t="s">
        <v>9126</v>
      </c>
      <c r="C2979">
        <v>45747</v>
      </c>
      <c r="D2979" t="s">
        <v>7263</v>
      </c>
      <c r="E2979" t="s">
        <v>9127</v>
      </c>
      <c r="F2979">
        <v>45747</v>
      </c>
      <c r="G2979" t="s">
        <v>2208</v>
      </c>
      <c r="H2979" t="s">
        <v>8318</v>
      </c>
      <c r="I2979" t="s">
        <v>12105</v>
      </c>
      <c r="J2979">
        <v>0</v>
      </c>
      <c r="K2979">
        <v>2351.1</v>
      </c>
      <c r="L2979" t="s">
        <v>2917</v>
      </c>
      <c r="M2979">
        <v>2351.1</v>
      </c>
      <c r="N2979" t="s">
        <v>2917</v>
      </c>
      <c r="O2979" t="s">
        <v>8330</v>
      </c>
      <c r="P2979" t="s">
        <v>2208</v>
      </c>
      <c r="Q2979" t="s">
        <v>8321</v>
      </c>
      <c r="R2979" t="s">
        <v>8322</v>
      </c>
    </row>
    <row r="2980" spans="1:18">
      <c r="A2980" t="s">
        <v>2418</v>
      </c>
      <c r="B2980" t="s">
        <v>9126</v>
      </c>
      <c r="C2980">
        <v>45747</v>
      </c>
      <c r="D2980" t="s">
        <v>7263</v>
      </c>
      <c r="E2980" t="s">
        <v>9127</v>
      </c>
      <c r="F2980">
        <v>45747</v>
      </c>
      <c r="G2980" t="s">
        <v>2208</v>
      </c>
      <c r="H2980" t="s">
        <v>8318</v>
      </c>
      <c r="I2980" t="s">
        <v>12105</v>
      </c>
      <c r="J2980">
        <v>0</v>
      </c>
      <c r="K2980">
        <v>19886.849999999999</v>
      </c>
      <c r="L2980" t="s">
        <v>2917</v>
      </c>
      <c r="M2980">
        <v>19886.849999999999</v>
      </c>
      <c r="N2980" t="s">
        <v>2917</v>
      </c>
      <c r="O2980" t="s">
        <v>8330</v>
      </c>
      <c r="P2980" t="s">
        <v>2208</v>
      </c>
      <c r="Q2980" t="s">
        <v>8321</v>
      </c>
      <c r="R2980" t="s">
        <v>8322</v>
      </c>
    </row>
    <row r="2981" spans="1:18">
      <c r="A2981" t="s">
        <v>2418</v>
      </c>
      <c r="B2981" t="s">
        <v>9126</v>
      </c>
      <c r="C2981">
        <v>45747</v>
      </c>
      <c r="D2981" t="s">
        <v>7263</v>
      </c>
      <c r="E2981" t="s">
        <v>9127</v>
      </c>
      <c r="F2981">
        <v>45747</v>
      </c>
      <c r="G2981" t="s">
        <v>2208</v>
      </c>
      <c r="H2981" t="s">
        <v>8318</v>
      </c>
      <c r="I2981" t="s">
        <v>12105</v>
      </c>
      <c r="J2981">
        <v>0</v>
      </c>
      <c r="K2981">
        <v>3980.8</v>
      </c>
      <c r="L2981" t="s">
        <v>2917</v>
      </c>
      <c r="M2981">
        <v>3980.8</v>
      </c>
      <c r="N2981" t="s">
        <v>2917</v>
      </c>
      <c r="O2981" t="s">
        <v>8330</v>
      </c>
      <c r="P2981" t="s">
        <v>2208</v>
      </c>
      <c r="Q2981" t="s">
        <v>8321</v>
      </c>
      <c r="R2981" t="s">
        <v>8322</v>
      </c>
    </row>
    <row r="2982" spans="1:18">
      <c r="A2982" t="s">
        <v>2418</v>
      </c>
      <c r="B2982" t="s">
        <v>9126</v>
      </c>
      <c r="C2982">
        <v>45747</v>
      </c>
      <c r="D2982" t="s">
        <v>7263</v>
      </c>
      <c r="E2982" t="s">
        <v>9127</v>
      </c>
      <c r="F2982">
        <v>45747</v>
      </c>
      <c r="G2982" t="s">
        <v>2208</v>
      </c>
      <c r="H2982" t="s">
        <v>8318</v>
      </c>
      <c r="I2982" t="s">
        <v>12105</v>
      </c>
      <c r="J2982">
        <v>0</v>
      </c>
      <c r="K2982">
        <v>40069.440000000002</v>
      </c>
      <c r="L2982" t="s">
        <v>2917</v>
      </c>
      <c r="M2982">
        <v>40069.440000000002</v>
      </c>
      <c r="N2982" t="s">
        <v>2917</v>
      </c>
      <c r="O2982" t="s">
        <v>8330</v>
      </c>
      <c r="P2982" t="s">
        <v>2208</v>
      </c>
      <c r="Q2982" t="s">
        <v>8321</v>
      </c>
      <c r="R2982" t="s">
        <v>8322</v>
      </c>
    </row>
    <row r="2983" spans="1:18">
      <c r="A2983" t="s">
        <v>2418</v>
      </c>
      <c r="B2983" t="s">
        <v>9126</v>
      </c>
      <c r="C2983">
        <v>45747</v>
      </c>
      <c r="D2983" t="s">
        <v>7263</v>
      </c>
      <c r="E2983" t="s">
        <v>9127</v>
      </c>
      <c r="F2983">
        <v>45747</v>
      </c>
      <c r="G2983" t="s">
        <v>2208</v>
      </c>
      <c r="H2983" t="s">
        <v>8318</v>
      </c>
      <c r="I2983" t="s">
        <v>12105</v>
      </c>
      <c r="J2983">
        <v>0</v>
      </c>
      <c r="K2983">
        <v>8020.8</v>
      </c>
      <c r="L2983" t="s">
        <v>2917</v>
      </c>
      <c r="M2983">
        <v>8020.8</v>
      </c>
      <c r="N2983" t="s">
        <v>2917</v>
      </c>
      <c r="O2983" t="s">
        <v>8330</v>
      </c>
      <c r="P2983" t="s">
        <v>2208</v>
      </c>
      <c r="Q2983" t="s">
        <v>8321</v>
      </c>
      <c r="R2983" t="s">
        <v>8322</v>
      </c>
    </row>
    <row r="2984" spans="1:18">
      <c r="A2984" t="s">
        <v>2418</v>
      </c>
      <c r="B2984" t="s">
        <v>9126</v>
      </c>
      <c r="C2984">
        <v>45747</v>
      </c>
      <c r="D2984" t="s">
        <v>7263</v>
      </c>
      <c r="E2984" t="s">
        <v>9127</v>
      </c>
      <c r="F2984">
        <v>45747</v>
      </c>
      <c r="G2984" t="s">
        <v>2208</v>
      </c>
      <c r="H2984" t="s">
        <v>8318</v>
      </c>
      <c r="I2984" t="s">
        <v>12105</v>
      </c>
      <c r="J2984">
        <v>0</v>
      </c>
      <c r="K2984">
        <v>2488.5</v>
      </c>
      <c r="L2984" t="s">
        <v>2917</v>
      </c>
      <c r="M2984">
        <v>2488.5</v>
      </c>
      <c r="N2984" t="s">
        <v>2917</v>
      </c>
      <c r="O2984" t="s">
        <v>8356</v>
      </c>
      <c r="P2984" t="s">
        <v>2208</v>
      </c>
      <c r="Q2984" t="s">
        <v>8321</v>
      </c>
      <c r="R2984" t="s">
        <v>8322</v>
      </c>
    </row>
    <row r="2985" spans="1:18">
      <c r="A2985" t="s">
        <v>2418</v>
      </c>
      <c r="B2985" t="s">
        <v>9126</v>
      </c>
      <c r="C2985">
        <v>45747</v>
      </c>
      <c r="D2985" t="s">
        <v>7263</v>
      </c>
      <c r="E2985" t="s">
        <v>9127</v>
      </c>
      <c r="F2985">
        <v>45747</v>
      </c>
      <c r="G2985" t="s">
        <v>2208</v>
      </c>
      <c r="H2985" t="s">
        <v>8318</v>
      </c>
      <c r="I2985" t="s">
        <v>12105</v>
      </c>
      <c r="J2985">
        <v>0</v>
      </c>
      <c r="K2985">
        <v>11578.4</v>
      </c>
      <c r="L2985" t="s">
        <v>2917</v>
      </c>
      <c r="M2985">
        <v>11578.4</v>
      </c>
      <c r="N2985" t="s">
        <v>2917</v>
      </c>
      <c r="O2985" t="s">
        <v>8357</v>
      </c>
      <c r="P2985" t="s">
        <v>2208</v>
      </c>
      <c r="Q2985" t="s">
        <v>8321</v>
      </c>
      <c r="R2985" t="s">
        <v>8322</v>
      </c>
    </row>
    <row r="2986" spans="1:18">
      <c r="A2986" t="s">
        <v>7030</v>
      </c>
      <c r="B2986" t="s">
        <v>9126</v>
      </c>
      <c r="C2986">
        <v>45747</v>
      </c>
      <c r="D2986" t="s">
        <v>7263</v>
      </c>
      <c r="E2986" t="s">
        <v>9127</v>
      </c>
      <c r="F2986">
        <v>45747</v>
      </c>
      <c r="G2986" t="s">
        <v>2208</v>
      </c>
      <c r="H2986" t="s">
        <v>2976</v>
      </c>
      <c r="I2986" t="s">
        <v>12108</v>
      </c>
      <c r="J2986">
        <v>0</v>
      </c>
      <c r="K2986">
        <v>-33900</v>
      </c>
      <c r="L2986" t="s">
        <v>2917</v>
      </c>
      <c r="M2986">
        <v>-33900</v>
      </c>
      <c r="N2986" t="s">
        <v>2917</v>
      </c>
      <c r="O2986" t="s">
        <v>9561</v>
      </c>
      <c r="P2986" t="s">
        <v>2208</v>
      </c>
      <c r="Q2986" t="s">
        <v>2978</v>
      </c>
      <c r="R2986" t="s">
        <v>12109</v>
      </c>
    </row>
    <row r="2987" spans="1:18">
      <c r="A2987" t="s">
        <v>810</v>
      </c>
      <c r="B2987" t="s">
        <v>9126</v>
      </c>
      <c r="C2987">
        <v>45747</v>
      </c>
      <c r="D2987" t="s">
        <v>7263</v>
      </c>
      <c r="E2987" t="s">
        <v>9127</v>
      </c>
      <c r="F2987">
        <v>45747</v>
      </c>
      <c r="G2987" t="s">
        <v>2208</v>
      </c>
      <c r="H2987" t="s">
        <v>2978</v>
      </c>
      <c r="I2987" t="s">
        <v>12108</v>
      </c>
      <c r="J2987">
        <v>0</v>
      </c>
      <c r="K2987">
        <v>-1152</v>
      </c>
      <c r="L2987" t="s">
        <v>2917</v>
      </c>
      <c r="M2987">
        <v>-1152</v>
      </c>
      <c r="N2987" t="s">
        <v>2917</v>
      </c>
      <c r="O2987" t="s">
        <v>9561</v>
      </c>
      <c r="P2987" t="s">
        <v>2208</v>
      </c>
      <c r="Q2987" t="s">
        <v>2978</v>
      </c>
      <c r="R2987" t="s">
        <v>12109</v>
      </c>
    </row>
    <row r="2988" spans="1:18">
      <c r="A2988" t="s">
        <v>2237</v>
      </c>
      <c r="B2988" t="s">
        <v>9126</v>
      </c>
      <c r="C2988">
        <v>45747</v>
      </c>
      <c r="D2988" t="s">
        <v>7263</v>
      </c>
      <c r="E2988" t="s">
        <v>9127</v>
      </c>
      <c r="F2988">
        <v>45747</v>
      </c>
      <c r="G2988" t="s">
        <v>2208</v>
      </c>
      <c r="H2988" t="s">
        <v>2978</v>
      </c>
      <c r="I2988" t="s">
        <v>12108</v>
      </c>
      <c r="J2988">
        <v>0</v>
      </c>
      <c r="K2988">
        <v>-144</v>
      </c>
      <c r="L2988" t="s">
        <v>2917</v>
      </c>
      <c r="M2988">
        <v>-144</v>
      </c>
      <c r="N2988" t="s">
        <v>2917</v>
      </c>
      <c r="O2988" t="s">
        <v>9561</v>
      </c>
      <c r="P2988" t="s">
        <v>2208</v>
      </c>
      <c r="Q2988" t="s">
        <v>2978</v>
      </c>
      <c r="R2988" t="s">
        <v>12109</v>
      </c>
    </row>
    <row r="2989" spans="1:18">
      <c r="A2989" t="s">
        <v>7030</v>
      </c>
      <c r="B2989" t="s">
        <v>9126</v>
      </c>
      <c r="C2989">
        <v>45747</v>
      </c>
      <c r="D2989" t="s">
        <v>7263</v>
      </c>
      <c r="E2989" t="s">
        <v>9127</v>
      </c>
      <c r="F2989">
        <v>45747</v>
      </c>
      <c r="G2989" t="s">
        <v>2208</v>
      </c>
      <c r="H2989" t="s">
        <v>2976</v>
      </c>
      <c r="I2989" t="s">
        <v>12108</v>
      </c>
      <c r="J2989">
        <v>0</v>
      </c>
      <c r="K2989">
        <v>33900</v>
      </c>
      <c r="L2989" t="s">
        <v>2917</v>
      </c>
      <c r="M2989">
        <v>33900</v>
      </c>
      <c r="N2989" t="s">
        <v>2917</v>
      </c>
      <c r="O2989" t="s">
        <v>9561</v>
      </c>
      <c r="P2989" t="s">
        <v>2208</v>
      </c>
      <c r="Q2989" t="s">
        <v>2978</v>
      </c>
      <c r="R2989" t="s">
        <v>12109</v>
      </c>
    </row>
    <row r="2990" spans="1:18">
      <c r="A2990" t="s">
        <v>810</v>
      </c>
      <c r="B2990" t="s">
        <v>9126</v>
      </c>
      <c r="C2990">
        <v>45747</v>
      </c>
      <c r="D2990" t="s">
        <v>7263</v>
      </c>
      <c r="E2990" t="s">
        <v>9127</v>
      </c>
      <c r="F2990">
        <v>45747</v>
      </c>
      <c r="G2990" t="s">
        <v>2208</v>
      </c>
      <c r="H2990" t="s">
        <v>2978</v>
      </c>
      <c r="I2990" t="s">
        <v>12108</v>
      </c>
      <c r="J2990">
        <v>0</v>
      </c>
      <c r="K2990">
        <v>1152</v>
      </c>
      <c r="L2990" t="s">
        <v>2917</v>
      </c>
      <c r="M2990">
        <v>1152</v>
      </c>
      <c r="N2990" t="s">
        <v>2917</v>
      </c>
      <c r="O2990" t="s">
        <v>9561</v>
      </c>
      <c r="P2990" t="s">
        <v>2208</v>
      </c>
      <c r="Q2990" t="s">
        <v>2978</v>
      </c>
      <c r="R2990" t="s">
        <v>12109</v>
      </c>
    </row>
    <row r="2991" spans="1:18">
      <c r="A2991" t="s">
        <v>2237</v>
      </c>
      <c r="B2991" t="s">
        <v>9126</v>
      </c>
      <c r="C2991">
        <v>45747</v>
      </c>
      <c r="D2991" t="s">
        <v>7263</v>
      </c>
      <c r="E2991" t="s">
        <v>9127</v>
      </c>
      <c r="F2991">
        <v>45747</v>
      </c>
      <c r="G2991" t="s">
        <v>2208</v>
      </c>
      <c r="H2991" t="s">
        <v>2978</v>
      </c>
      <c r="I2991" t="s">
        <v>12108</v>
      </c>
      <c r="J2991">
        <v>0</v>
      </c>
      <c r="K2991">
        <v>144</v>
      </c>
      <c r="L2991" t="s">
        <v>2917</v>
      </c>
      <c r="M2991">
        <v>144</v>
      </c>
      <c r="N2991" t="s">
        <v>2917</v>
      </c>
      <c r="O2991" t="s">
        <v>9561</v>
      </c>
      <c r="P2991" t="s">
        <v>2208</v>
      </c>
      <c r="Q2991" t="s">
        <v>2978</v>
      </c>
      <c r="R2991" t="s">
        <v>12109</v>
      </c>
    </row>
    <row r="2992" spans="1:18">
      <c r="A2992" t="s">
        <v>709</v>
      </c>
      <c r="B2992" t="s">
        <v>9126</v>
      </c>
      <c r="C2992">
        <v>45747</v>
      </c>
      <c r="D2992" t="s">
        <v>7263</v>
      </c>
      <c r="E2992" t="s">
        <v>9127</v>
      </c>
      <c r="F2992">
        <v>45747</v>
      </c>
      <c r="G2992" t="s">
        <v>2208</v>
      </c>
      <c r="H2992" t="s">
        <v>2974</v>
      </c>
      <c r="I2992" t="s">
        <v>12110</v>
      </c>
      <c r="J2992">
        <v>0</v>
      </c>
      <c r="K2992">
        <v>-1070.67</v>
      </c>
      <c r="L2992" t="s">
        <v>2917</v>
      </c>
      <c r="M2992">
        <v>-1070.67</v>
      </c>
      <c r="N2992" t="s">
        <v>2917</v>
      </c>
      <c r="O2992" t="s">
        <v>3070</v>
      </c>
      <c r="P2992" t="s">
        <v>2208</v>
      </c>
      <c r="Q2992" t="s">
        <v>2975</v>
      </c>
      <c r="R2992" t="s">
        <v>3316</v>
      </c>
    </row>
    <row r="2993" spans="1:18">
      <c r="A2993" t="s">
        <v>709</v>
      </c>
      <c r="B2993" t="s">
        <v>9126</v>
      </c>
      <c r="C2993">
        <v>45747</v>
      </c>
      <c r="D2993" t="s">
        <v>7263</v>
      </c>
      <c r="E2993" t="s">
        <v>9127</v>
      </c>
      <c r="F2993">
        <v>45747</v>
      </c>
      <c r="G2993" t="s">
        <v>2208</v>
      </c>
      <c r="H2993" t="s">
        <v>2974</v>
      </c>
      <c r="I2993" t="s">
        <v>12110</v>
      </c>
      <c r="J2993">
        <v>0</v>
      </c>
      <c r="K2993">
        <v>-325.3</v>
      </c>
      <c r="L2993" t="s">
        <v>2917</v>
      </c>
      <c r="M2993">
        <v>-325.3</v>
      </c>
      <c r="N2993" t="s">
        <v>2917</v>
      </c>
      <c r="O2993" t="s">
        <v>3070</v>
      </c>
      <c r="P2993" t="s">
        <v>2208</v>
      </c>
      <c r="Q2993" t="s">
        <v>2975</v>
      </c>
      <c r="R2993" t="s">
        <v>3316</v>
      </c>
    </row>
    <row r="2994" spans="1:18">
      <c r="A2994" t="s">
        <v>709</v>
      </c>
      <c r="B2994" t="s">
        <v>9126</v>
      </c>
      <c r="C2994">
        <v>45747</v>
      </c>
      <c r="D2994" t="s">
        <v>7263</v>
      </c>
      <c r="E2994" t="s">
        <v>9127</v>
      </c>
      <c r="F2994">
        <v>45747</v>
      </c>
      <c r="G2994" t="s">
        <v>2208</v>
      </c>
      <c r="H2994" t="s">
        <v>2974</v>
      </c>
      <c r="I2994" t="s">
        <v>12110</v>
      </c>
      <c r="J2994">
        <v>0</v>
      </c>
      <c r="K2994">
        <v>-870.37</v>
      </c>
      <c r="L2994" t="s">
        <v>2917</v>
      </c>
      <c r="M2994">
        <v>-870.37</v>
      </c>
      <c r="N2994" t="s">
        <v>2917</v>
      </c>
      <c r="O2994" t="s">
        <v>3070</v>
      </c>
      <c r="P2994" t="s">
        <v>2208</v>
      </c>
      <c r="Q2994" t="s">
        <v>2975</v>
      </c>
      <c r="R2994" t="s">
        <v>3316</v>
      </c>
    </row>
    <row r="2995" spans="1:18">
      <c r="A2995" t="s">
        <v>709</v>
      </c>
      <c r="B2995" t="s">
        <v>9126</v>
      </c>
      <c r="C2995">
        <v>45747</v>
      </c>
      <c r="D2995" t="s">
        <v>7263</v>
      </c>
      <c r="E2995" t="s">
        <v>9127</v>
      </c>
      <c r="F2995">
        <v>45747</v>
      </c>
      <c r="G2995" t="s">
        <v>2208</v>
      </c>
      <c r="H2995" t="s">
        <v>2974</v>
      </c>
      <c r="I2995" t="s">
        <v>12110</v>
      </c>
      <c r="J2995">
        <v>0</v>
      </c>
      <c r="K2995">
        <v>-216.68</v>
      </c>
      <c r="L2995" t="s">
        <v>2917</v>
      </c>
      <c r="M2995">
        <v>-216.68</v>
      </c>
      <c r="N2995" t="s">
        <v>2917</v>
      </c>
      <c r="O2995" t="s">
        <v>3070</v>
      </c>
      <c r="P2995" t="s">
        <v>2208</v>
      </c>
      <c r="Q2995" t="s">
        <v>2975</v>
      </c>
      <c r="R2995" t="s">
        <v>3316</v>
      </c>
    </row>
    <row r="2996" spans="1:18">
      <c r="A2996" t="s">
        <v>709</v>
      </c>
      <c r="B2996" t="s">
        <v>9126</v>
      </c>
      <c r="C2996">
        <v>45747</v>
      </c>
      <c r="D2996" t="s">
        <v>7263</v>
      </c>
      <c r="E2996" t="s">
        <v>9127</v>
      </c>
      <c r="F2996">
        <v>45747</v>
      </c>
      <c r="G2996" t="s">
        <v>2208</v>
      </c>
      <c r="H2996" t="s">
        <v>2974</v>
      </c>
      <c r="I2996" t="s">
        <v>12110</v>
      </c>
      <c r="J2996">
        <v>0</v>
      </c>
      <c r="K2996">
        <v>-5541.31</v>
      </c>
      <c r="L2996" t="s">
        <v>2917</v>
      </c>
      <c r="M2996">
        <v>-5541.31</v>
      </c>
      <c r="N2996" t="s">
        <v>2917</v>
      </c>
      <c r="O2996" t="s">
        <v>3070</v>
      </c>
      <c r="P2996" t="s">
        <v>2208</v>
      </c>
      <c r="Q2996" t="s">
        <v>2975</v>
      </c>
      <c r="R2996" t="s">
        <v>3316</v>
      </c>
    </row>
    <row r="2997" spans="1:18">
      <c r="A2997" t="s">
        <v>709</v>
      </c>
      <c r="B2997" t="s">
        <v>9126</v>
      </c>
      <c r="C2997">
        <v>45747</v>
      </c>
      <c r="D2997" t="s">
        <v>7263</v>
      </c>
      <c r="E2997" t="s">
        <v>9127</v>
      </c>
      <c r="F2997">
        <v>45747</v>
      </c>
      <c r="G2997" t="s">
        <v>2208</v>
      </c>
      <c r="H2997" t="s">
        <v>2974</v>
      </c>
      <c r="I2997" t="s">
        <v>12110</v>
      </c>
      <c r="J2997">
        <v>0</v>
      </c>
      <c r="K2997">
        <v>-191.21</v>
      </c>
      <c r="L2997" t="s">
        <v>2917</v>
      </c>
      <c r="M2997">
        <v>-191.21</v>
      </c>
      <c r="N2997" t="s">
        <v>2917</v>
      </c>
      <c r="O2997" t="s">
        <v>3070</v>
      </c>
      <c r="P2997" t="s">
        <v>2208</v>
      </c>
      <c r="Q2997" t="s">
        <v>2975</v>
      </c>
      <c r="R2997" t="s">
        <v>3316</v>
      </c>
    </row>
    <row r="2998" spans="1:18">
      <c r="A2998" t="s">
        <v>709</v>
      </c>
      <c r="B2998" t="s">
        <v>9126</v>
      </c>
      <c r="C2998">
        <v>45747</v>
      </c>
      <c r="D2998" t="s">
        <v>7263</v>
      </c>
      <c r="E2998" t="s">
        <v>9127</v>
      </c>
      <c r="F2998">
        <v>45747</v>
      </c>
      <c r="G2998" t="s">
        <v>2208</v>
      </c>
      <c r="H2998" t="s">
        <v>2974</v>
      </c>
      <c r="I2998" t="s">
        <v>12110</v>
      </c>
      <c r="J2998">
        <v>0</v>
      </c>
      <c r="K2998">
        <v>-52622.9</v>
      </c>
      <c r="L2998" t="s">
        <v>2917</v>
      </c>
      <c r="M2998">
        <v>-52622.9</v>
      </c>
      <c r="N2998" t="s">
        <v>2917</v>
      </c>
      <c r="O2998" t="s">
        <v>3070</v>
      </c>
      <c r="P2998" t="s">
        <v>2208</v>
      </c>
      <c r="Q2998" t="s">
        <v>2975</v>
      </c>
      <c r="R2998" t="s">
        <v>3316</v>
      </c>
    </row>
    <row r="2999" spans="1:18">
      <c r="A2999" t="s">
        <v>709</v>
      </c>
      <c r="B2999" t="s">
        <v>11331</v>
      </c>
      <c r="C2999">
        <v>45747</v>
      </c>
      <c r="D2999" t="s">
        <v>7263</v>
      </c>
      <c r="E2999" t="s">
        <v>11332</v>
      </c>
      <c r="F2999">
        <v>45749</v>
      </c>
      <c r="G2999" t="s">
        <v>2208</v>
      </c>
      <c r="H2999" t="s">
        <v>2974</v>
      </c>
      <c r="I2999" t="s">
        <v>12111</v>
      </c>
      <c r="J2999">
        <v>0</v>
      </c>
      <c r="K2999">
        <v>1070.67</v>
      </c>
      <c r="L2999" t="s">
        <v>2917</v>
      </c>
      <c r="M2999">
        <v>1070.67</v>
      </c>
      <c r="N2999" t="s">
        <v>2917</v>
      </c>
      <c r="O2999" t="s">
        <v>3070</v>
      </c>
      <c r="P2999" t="s">
        <v>2208</v>
      </c>
      <c r="Q2999" t="s">
        <v>2975</v>
      </c>
      <c r="R2999" t="s">
        <v>3316</v>
      </c>
    </row>
    <row r="3000" spans="1:18">
      <c r="A3000" t="s">
        <v>709</v>
      </c>
      <c r="B3000" t="s">
        <v>11331</v>
      </c>
      <c r="C3000">
        <v>45747</v>
      </c>
      <c r="D3000" t="s">
        <v>7263</v>
      </c>
      <c r="E3000" t="s">
        <v>11332</v>
      </c>
      <c r="F3000">
        <v>45749</v>
      </c>
      <c r="G3000" t="s">
        <v>2208</v>
      </c>
      <c r="H3000" t="s">
        <v>2974</v>
      </c>
      <c r="I3000" t="s">
        <v>12111</v>
      </c>
      <c r="J3000">
        <v>0</v>
      </c>
      <c r="K3000">
        <v>325.3</v>
      </c>
      <c r="L3000" t="s">
        <v>2917</v>
      </c>
      <c r="M3000">
        <v>325.3</v>
      </c>
      <c r="N3000" t="s">
        <v>2917</v>
      </c>
      <c r="O3000" t="s">
        <v>3070</v>
      </c>
      <c r="P3000" t="s">
        <v>2208</v>
      </c>
      <c r="Q3000" t="s">
        <v>2975</v>
      </c>
      <c r="R3000" t="s">
        <v>3316</v>
      </c>
    </row>
    <row r="3001" spans="1:18">
      <c r="A3001" t="s">
        <v>709</v>
      </c>
      <c r="B3001" t="s">
        <v>11331</v>
      </c>
      <c r="C3001">
        <v>45747</v>
      </c>
      <c r="D3001" t="s">
        <v>7263</v>
      </c>
      <c r="E3001" t="s">
        <v>11332</v>
      </c>
      <c r="F3001">
        <v>45749</v>
      </c>
      <c r="G3001" t="s">
        <v>2208</v>
      </c>
      <c r="H3001" t="s">
        <v>2974</v>
      </c>
      <c r="I3001" t="s">
        <v>12111</v>
      </c>
      <c r="J3001">
        <v>0</v>
      </c>
      <c r="K3001">
        <v>870.37</v>
      </c>
      <c r="L3001" t="s">
        <v>2917</v>
      </c>
      <c r="M3001">
        <v>870.37</v>
      </c>
      <c r="N3001" t="s">
        <v>2917</v>
      </c>
      <c r="O3001" t="s">
        <v>3070</v>
      </c>
      <c r="P3001" t="s">
        <v>2208</v>
      </c>
      <c r="Q3001" t="s">
        <v>2975</v>
      </c>
      <c r="R3001" t="s">
        <v>3316</v>
      </c>
    </row>
    <row r="3002" spans="1:18">
      <c r="A3002" t="s">
        <v>709</v>
      </c>
      <c r="B3002" t="s">
        <v>11331</v>
      </c>
      <c r="C3002">
        <v>45747</v>
      </c>
      <c r="D3002" t="s">
        <v>7263</v>
      </c>
      <c r="E3002" t="s">
        <v>11332</v>
      </c>
      <c r="F3002">
        <v>45749</v>
      </c>
      <c r="G3002" t="s">
        <v>2208</v>
      </c>
      <c r="H3002" t="s">
        <v>2974</v>
      </c>
      <c r="I3002" t="s">
        <v>12111</v>
      </c>
      <c r="J3002">
        <v>0</v>
      </c>
      <c r="K3002">
        <v>216.68</v>
      </c>
      <c r="L3002" t="s">
        <v>2917</v>
      </c>
      <c r="M3002">
        <v>216.68</v>
      </c>
      <c r="N3002" t="s">
        <v>2917</v>
      </c>
      <c r="O3002" t="s">
        <v>3070</v>
      </c>
      <c r="P3002" t="s">
        <v>2208</v>
      </c>
      <c r="Q3002" t="s">
        <v>2975</v>
      </c>
      <c r="R3002" t="s">
        <v>3316</v>
      </c>
    </row>
    <row r="3003" spans="1:18">
      <c r="A3003" t="s">
        <v>709</v>
      </c>
      <c r="B3003" t="s">
        <v>11331</v>
      </c>
      <c r="C3003">
        <v>45747</v>
      </c>
      <c r="D3003" t="s">
        <v>7263</v>
      </c>
      <c r="E3003" t="s">
        <v>11332</v>
      </c>
      <c r="F3003">
        <v>45749</v>
      </c>
      <c r="G3003" t="s">
        <v>2208</v>
      </c>
      <c r="H3003" t="s">
        <v>2974</v>
      </c>
      <c r="I3003" t="s">
        <v>12111</v>
      </c>
      <c r="J3003">
        <v>0</v>
      </c>
      <c r="K3003">
        <v>5541.31</v>
      </c>
      <c r="L3003" t="s">
        <v>2917</v>
      </c>
      <c r="M3003">
        <v>5541.31</v>
      </c>
      <c r="N3003" t="s">
        <v>2917</v>
      </c>
      <c r="O3003" t="s">
        <v>3070</v>
      </c>
      <c r="P3003" t="s">
        <v>2208</v>
      </c>
      <c r="Q3003" t="s">
        <v>2975</v>
      </c>
      <c r="R3003" t="s">
        <v>3316</v>
      </c>
    </row>
    <row r="3004" spans="1:18">
      <c r="A3004" t="s">
        <v>709</v>
      </c>
      <c r="B3004" t="s">
        <v>11331</v>
      </c>
      <c r="C3004">
        <v>45747</v>
      </c>
      <c r="D3004" t="s">
        <v>7263</v>
      </c>
      <c r="E3004" t="s">
        <v>11332</v>
      </c>
      <c r="F3004">
        <v>45749</v>
      </c>
      <c r="G3004" t="s">
        <v>2208</v>
      </c>
      <c r="H3004" t="s">
        <v>2974</v>
      </c>
      <c r="I3004" t="s">
        <v>12111</v>
      </c>
      <c r="J3004">
        <v>0</v>
      </c>
      <c r="K3004">
        <v>191.21</v>
      </c>
      <c r="L3004" t="s">
        <v>2917</v>
      </c>
      <c r="M3004">
        <v>191.21</v>
      </c>
      <c r="N3004" t="s">
        <v>2917</v>
      </c>
      <c r="O3004" t="s">
        <v>3070</v>
      </c>
      <c r="P3004" t="s">
        <v>2208</v>
      </c>
      <c r="Q3004" t="s">
        <v>2975</v>
      </c>
      <c r="R3004" t="s">
        <v>3316</v>
      </c>
    </row>
    <row r="3005" spans="1:18">
      <c r="A3005" t="s">
        <v>709</v>
      </c>
      <c r="B3005" t="s">
        <v>11331</v>
      </c>
      <c r="C3005">
        <v>45747</v>
      </c>
      <c r="D3005" t="s">
        <v>7263</v>
      </c>
      <c r="E3005" t="s">
        <v>11332</v>
      </c>
      <c r="F3005">
        <v>45749</v>
      </c>
      <c r="G3005" t="s">
        <v>2208</v>
      </c>
      <c r="H3005" t="s">
        <v>2974</v>
      </c>
      <c r="I3005" t="s">
        <v>12111</v>
      </c>
      <c r="J3005">
        <v>0</v>
      </c>
      <c r="K3005">
        <v>52622.9</v>
      </c>
      <c r="L3005" t="s">
        <v>2917</v>
      </c>
      <c r="M3005">
        <v>52622.9</v>
      </c>
      <c r="N3005" t="s">
        <v>2917</v>
      </c>
      <c r="O3005" t="s">
        <v>3070</v>
      </c>
      <c r="P3005" t="s">
        <v>2208</v>
      </c>
      <c r="Q3005" t="s">
        <v>2975</v>
      </c>
      <c r="R3005" t="s">
        <v>3316</v>
      </c>
    </row>
    <row r="3006" spans="1:18">
      <c r="A3006" t="s">
        <v>709</v>
      </c>
      <c r="B3006" t="s">
        <v>11331</v>
      </c>
      <c r="C3006">
        <v>45747</v>
      </c>
      <c r="D3006" t="s">
        <v>7263</v>
      </c>
      <c r="E3006" t="s">
        <v>11332</v>
      </c>
      <c r="F3006">
        <v>45748</v>
      </c>
      <c r="G3006" t="s">
        <v>2208</v>
      </c>
      <c r="H3006" t="s">
        <v>8318</v>
      </c>
      <c r="I3006" t="s">
        <v>16313</v>
      </c>
      <c r="J3006">
        <v>0</v>
      </c>
      <c r="K3006">
        <v>-4760</v>
      </c>
      <c r="L3006" t="s">
        <v>2917</v>
      </c>
      <c r="M3006">
        <v>-4760</v>
      </c>
      <c r="N3006" t="s">
        <v>2917</v>
      </c>
      <c r="O3006" t="s">
        <v>8354</v>
      </c>
      <c r="P3006" t="s">
        <v>2208</v>
      </c>
      <c r="Q3006" t="s">
        <v>8321</v>
      </c>
      <c r="R3006" t="s">
        <v>8322</v>
      </c>
    </row>
    <row r="3007" spans="1:18">
      <c r="A3007" t="s">
        <v>2237</v>
      </c>
      <c r="B3007" t="s">
        <v>11331</v>
      </c>
      <c r="C3007">
        <v>45747</v>
      </c>
      <c r="D3007" t="s">
        <v>7263</v>
      </c>
      <c r="E3007" t="s">
        <v>11332</v>
      </c>
      <c r="F3007">
        <v>45748</v>
      </c>
      <c r="G3007" t="s">
        <v>2208</v>
      </c>
      <c r="H3007" t="s">
        <v>8318</v>
      </c>
      <c r="I3007" t="s">
        <v>16313</v>
      </c>
      <c r="J3007">
        <v>0</v>
      </c>
      <c r="K3007">
        <v>-153889.60000000001</v>
      </c>
      <c r="L3007" t="s">
        <v>2917</v>
      </c>
      <c r="M3007">
        <v>-153889.60000000001</v>
      </c>
      <c r="N3007" t="s">
        <v>2917</v>
      </c>
      <c r="O3007" t="s">
        <v>12106</v>
      </c>
      <c r="P3007" t="s">
        <v>2208</v>
      </c>
      <c r="Q3007" t="s">
        <v>8321</v>
      </c>
      <c r="R3007" t="s">
        <v>8322</v>
      </c>
    </row>
    <row r="3008" spans="1:18">
      <c r="A3008" t="s">
        <v>2237</v>
      </c>
      <c r="B3008" t="s">
        <v>11331</v>
      </c>
      <c r="C3008">
        <v>45747</v>
      </c>
      <c r="D3008" t="s">
        <v>7263</v>
      </c>
      <c r="E3008" t="s">
        <v>11332</v>
      </c>
      <c r="F3008">
        <v>45748</v>
      </c>
      <c r="G3008" t="s">
        <v>2208</v>
      </c>
      <c r="H3008" t="s">
        <v>8318</v>
      </c>
      <c r="I3008" t="s">
        <v>16313</v>
      </c>
      <c r="J3008">
        <v>0</v>
      </c>
      <c r="K3008">
        <v>-178656.53</v>
      </c>
      <c r="L3008" t="s">
        <v>2917</v>
      </c>
      <c r="M3008">
        <v>-178656.53</v>
      </c>
      <c r="N3008" t="s">
        <v>2917</v>
      </c>
      <c r="O3008" t="s">
        <v>12106</v>
      </c>
      <c r="P3008" t="s">
        <v>2208</v>
      </c>
      <c r="Q3008" t="s">
        <v>8321</v>
      </c>
      <c r="R3008" t="s">
        <v>8322</v>
      </c>
    </row>
    <row r="3009" spans="1:18">
      <c r="A3009" t="s">
        <v>2237</v>
      </c>
      <c r="B3009" t="s">
        <v>11331</v>
      </c>
      <c r="C3009">
        <v>45747</v>
      </c>
      <c r="D3009" t="s">
        <v>7263</v>
      </c>
      <c r="E3009" t="s">
        <v>11332</v>
      </c>
      <c r="F3009">
        <v>45748</v>
      </c>
      <c r="G3009" t="s">
        <v>2208</v>
      </c>
      <c r="H3009" t="s">
        <v>8318</v>
      </c>
      <c r="I3009" t="s">
        <v>16313</v>
      </c>
      <c r="J3009">
        <v>0</v>
      </c>
      <c r="K3009">
        <v>-235534.64</v>
      </c>
      <c r="L3009" t="s">
        <v>2917</v>
      </c>
      <c r="M3009">
        <v>-235534.64</v>
      </c>
      <c r="N3009" t="s">
        <v>2917</v>
      </c>
      <c r="O3009" t="s">
        <v>12106</v>
      </c>
      <c r="P3009" t="s">
        <v>2208</v>
      </c>
      <c r="Q3009" t="s">
        <v>8321</v>
      </c>
      <c r="R3009" t="s">
        <v>8322</v>
      </c>
    </row>
    <row r="3010" spans="1:18">
      <c r="A3010" t="s">
        <v>2237</v>
      </c>
      <c r="B3010" t="s">
        <v>11331</v>
      </c>
      <c r="C3010">
        <v>45747</v>
      </c>
      <c r="D3010" t="s">
        <v>7263</v>
      </c>
      <c r="E3010" t="s">
        <v>11332</v>
      </c>
      <c r="F3010">
        <v>45748</v>
      </c>
      <c r="G3010" t="s">
        <v>2208</v>
      </c>
      <c r="H3010" t="s">
        <v>8318</v>
      </c>
      <c r="I3010" t="s">
        <v>16313</v>
      </c>
      <c r="J3010">
        <v>0</v>
      </c>
      <c r="K3010">
        <v>-235534.64</v>
      </c>
      <c r="L3010" t="s">
        <v>2917</v>
      </c>
      <c r="M3010">
        <v>-235534.64</v>
      </c>
      <c r="N3010" t="s">
        <v>2917</v>
      </c>
      <c r="O3010" t="s">
        <v>12106</v>
      </c>
      <c r="P3010" t="s">
        <v>2208</v>
      </c>
      <c r="Q3010" t="s">
        <v>8321</v>
      </c>
      <c r="R3010" t="s">
        <v>8322</v>
      </c>
    </row>
    <row r="3011" spans="1:18">
      <c r="A3011" t="s">
        <v>2237</v>
      </c>
      <c r="B3011" t="s">
        <v>11331</v>
      </c>
      <c r="C3011">
        <v>45747</v>
      </c>
      <c r="D3011" t="s">
        <v>7263</v>
      </c>
      <c r="E3011" t="s">
        <v>11332</v>
      </c>
      <c r="F3011">
        <v>45748</v>
      </c>
      <c r="G3011" t="s">
        <v>2208</v>
      </c>
      <c r="H3011" t="s">
        <v>8318</v>
      </c>
      <c r="I3011" t="s">
        <v>16313</v>
      </c>
      <c r="J3011">
        <v>0</v>
      </c>
      <c r="K3011">
        <v>-137899.38</v>
      </c>
      <c r="L3011" t="s">
        <v>2917</v>
      </c>
      <c r="M3011">
        <v>-137899.38</v>
      </c>
      <c r="N3011" t="s">
        <v>2917</v>
      </c>
      <c r="O3011" t="s">
        <v>12106</v>
      </c>
      <c r="P3011" t="s">
        <v>2208</v>
      </c>
      <c r="Q3011" t="s">
        <v>8321</v>
      </c>
      <c r="R3011" t="s">
        <v>8322</v>
      </c>
    </row>
    <row r="3012" spans="1:18">
      <c r="A3012" t="s">
        <v>2237</v>
      </c>
      <c r="B3012" t="s">
        <v>11331</v>
      </c>
      <c r="C3012">
        <v>45747</v>
      </c>
      <c r="D3012" t="s">
        <v>7263</v>
      </c>
      <c r="E3012" t="s">
        <v>11332</v>
      </c>
      <c r="F3012">
        <v>45748</v>
      </c>
      <c r="G3012" t="s">
        <v>2208</v>
      </c>
      <c r="H3012" t="s">
        <v>8318</v>
      </c>
      <c r="I3012" t="s">
        <v>16313</v>
      </c>
      <c r="J3012">
        <v>0</v>
      </c>
      <c r="K3012">
        <v>-137899.38</v>
      </c>
      <c r="L3012" t="s">
        <v>2917</v>
      </c>
      <c r="M3012">
        <v>-137899.38</v>
      </c>
      <c r="N3012" t="s">
        <v>2917</v>
      </c>
      <c r="O3012" t="s">
        <v>12106</v>
      </c>
      <c r="P3012" t="s">
        <v>2208</v>
      </c>
      <c r="Q3012" t="s">
        <v>8321</v>
      </c>
      <c r="R3012" t="s">
        <v>8322</v>
      </c>
    </row>
    <row r="3013" spans="1:18">
      <c r="A3013" t="s">
        <v>2418</v>
      </c>
      <c r="B3013" t="s">
        <v>11331</v>
      </c>
      <c r="C3013">
        <v>45747</v>
      </c>
      <c r="D3013" t="s">
        <v>7263</v>
      </c>
      <c r="E3013" t="s">
        <v>11332</v>
      </c>
      <c r="F3013">
        <v>45748</v>
      </c>
      <c r="G3013" t="s">
        <v>2208</v>
      </c>
      <c r="H3013" t="s">
        <v>8318</v>
      </c>
      <c r="I3013" t="s">
        <v>16313</v>
      </c>
      <c r="J3013">
        <v>0</v>
      </c>
      <c r="K3013">
        <v>-6293</v>
      </c>
      <c r="L3013" t="s">
        <v>2917</v>
      </c>
      <c r="M3013">
        <v>-6293</v>
      </c>
      <c r="N3013" t="s">
        <v>2917</v>
      </c>
      <c r="O3013" t="s">
        <v>8330</v>
      </c>
      <c r="P3013" t="s">
        <v>2208</v>
      </c>
      <c r="Q3013" t="s">
        <v>8321</v>
      </c>
      <c r="R3013" t="s">
        <v>8322</v>
      </c>
    </row>
    <row r="3014" spans="1:18">
      <c r="A3014" t="s">
        <v>2418</v>
      </c>
      <c r="B3014" t="s">
        <v>11331</v>
      </c>
      <c r="C3014">
        <v>45747</v>
      </c>
      <c r="D3014" t="s">
        <v>7263</v>
      </c>
      <c r="E3014" t="s">
        <v>11332</v>
      </c>
      <c r="F3014">
        <v>45748</v>
      </c>
      <c r="G3014" t="s">
        <v>2208</v>
      </c>
      <c r="H3014" t="s">
        <v>8318</v>
      </c>
      <c r="I3014" t="s">
        <v>16313</v>
      </c>
      <c r="J3014">
        <v>0</v>
      </c>
      <c r="K3014">
        <v>-89800</v>
      </c>
      <c r="L3014" t="s">
        <v>2917</v>
      </c>
      <c r="M3014">
        <v>-89800</v>
      </c>
      <c r="N3014" t="s">
        <v>2917</v>
      </c>
      <c r="O3014" t="s">
        <v>8355</v>
      </c>
      <c r="P3014" t="s">
        <v>2208</v>
      </c>
      <c r="Q3014" t="s">
        <v>8321</v>
      </c>
      <c r="R3014" t="s">
        <v>8322</v>
      </c>
    </row>
    <row r="3015" spans="1:18">
      <c r="A3015" t="s">
        <v>2418</v>
      </c>
      <c r="B3015" t="s">
        <v>11331</v>
      </c>
      <c r="C3015">
        <v>45747</v>
      </c>
      <c r="D3015" t="s">
        <v>7263</v>
      </c>
      <c r="E3015" t="s">
        <v>11332</v>
      </c>
      <c r="F3015">
        <v>45748</v>
      </c>
      <c r="G3015" t="s">
        <v>2208</v>
      </c>
      <c r="H3015" t="s">
        <v>8318</v>
      </c>
      <c r="I3015" t="s">
        <v>16313</v>
      </c>
      <c r="J3015">
        <v>0</v>
      </c>
      <c r="K3015">
        <v>-71820</v>
      </c>
      <c r="L3015" t="s">
        <v>2917</v>
      </c>
      <c r="M3015">
        <v>-71820</v>
      </c>
      <c r="N3015" t="s">
        <v>2917</v>
      </c>
      <c r="O3015" t="s">
        <v>12107</v>
      </c>
      <c r="P3015" t="s">
        <v>2208</v>
      </c>
      <c r="Q3015" t="s">
        <v>8321</v>
      </c>
      <c r="R3015" t="s">
        <v>8322</v>
      </c>
    </row>
    <row r="3016" spans="1:18">
      <c r="A3016" t="s">
        <v>2418</v>
      </c>
      <c r="B3016" t="s">
        <v>11331</v>
      </c>
      <c r="C3016">
        <v>45747</v>
      </c>
      <c r="D3016" t="s">
        <v>7263</v>
      </c>
      <c r="E3016" t="s">
        <v>11332</v>
      </c>
      <c r="F3016">
        <v>45748</v>
      </c>
      <c r="G3016" t="s">
        <v>2208</v>
      </c>
      <c r="H3016" t="s">
        <v>8318</v>
      </c>
      <c r="I3016" t="s">
        <v>16313</v>
      </c>
      <c r="J3016">
        <v>0</v>
      </c>
      <c r="K3016">
        <v>-75279.41</v>
      </c>
      <c r="L3016" t="s">
        <v>2917</v>
      </c>
      <c r="M3016">
        <v>-75279.41</v>
      </c>
      <c r="N3016" t="s">
        <v>2917</v>
      </c>
      <c r="O3016" t="s">
        <v>8330</v>
      </c>
      <c r="P3016" t="s">
        <v>2208</v>
      </c>
      <c r="Q3016" t="s">
        <v>8321</v>
      </c>
      <c r="R3016" t="s">
        <v>8322</v>
      </c>
    </row>
    <row r="3017" spans="1:18">
      <c r="A3017" t="s">
        <v>2418</v>
      </c>
      <c r="B3017" t="s">
        <v>11331</v>
      </c>
      <c r="C3017">
        <v>45747</v>
      </c>
      <c r="D3017" t="s">
        <v>7263</v>
      </c>
      <c r="E3017" t="s">
        <v>11332</v>
      </c>
      <c r="F3017">
        <v>45748</v>
      </c>
      <c r="G3017" t="s">
        <v>2208</v>
      </c>
      <c r="H3017" t="s">
        <v>8318</v>
      </c>
      <c r="I3017" t="s">
        <v>16313</v>
      </c>
      <c r="J3017">
        <v>0</v>
      </c>
      <c r="K3017">
        <v>-15518.9</v>
      </c>
      <c r="L3017" t="s">
        <v>2917</v>
      </c>
      <c r="M3017">
        <v>-15518.9</v>
      </c>
      <c r="N3017" t="s">
        <v>2917</v>
      </c>
      <c r="O3017" t="s">
        <v>8330</v>
      </c>
      <c r="P3017" t="s">
        <v>2208</v>
      </c>
      <c r="Q3017" t="s">
        <v>8321</v>
      </c>
      <c r="R3017" t="s">
        <v>8322</v>
      </c>
    </row>
    <row r="3018" spans="1:18">
      <c r="A3018" t="s">
        <v>2418</v>
      </c>
      <c r="B3018" t="s">
        <v>11331</v>
      </c>
      <c r="C3018">
        <v>45747</v>
      </c>
      <c r="D3018" t="s">
        <v>7263</v>
      </c>
      <c r="E3018" t="s">
        <v>11332</v>
      </c>
      <c r="F3018">
        <v>45748</v>
      </c>
      <c r="G3018" t="s">
        <v>2208</v>
      </c>
      <c r="H3018" t="s">
        <v>8318</v>
      </c>
      <c r="I3018" t="s">
        <v>16313</v>
      </c>
      <c r="J3018">
        <v>0</v>
      </c>
      <c r="K3018">
        <v>-253757.13</v>
      </c>
      <c r="L3018" t="s">
        <v>2917</v>
      </c>
      <c r="M3018">
        <v>-253757.13</v>
      </c>
      <c r="N3018" t="s">
        <v>2917</v>
      </c>
      <c r="O3018" t="s">
        <v>8330</v>
      </c>
      <c r="P3018" t="s">
        <v>2208</v>
      </c>
      <c r="Q3018" t="s">
        <v>8321</v>
      </c>
      <c r="R3018" t="s">
        <v>8322</v>
      </c>
    </row>
    <row r="3019" spans="1:18">
      <c r="A3019" t="s">
        <v>2418</v>
      </c>
      <c r="B3019" t="s">
        <v>11331</v>
      </c>
      <c r="C3019">
        <v>45747</v>
      </c>
      <c r="D3019" t="s">
        <v>7263</v>
      </c>
      <c r="E3019" t="s">
        <v>11332</v>
      </c>
      <c r="F3019">
        <v>45748</v>
      </c>
      <c r="G3019" t="s">
        <v>2208</v>
      </c>
      <c r="H3019" t="s">
        <v>8318</v>
      </c>
      <c r="I3019" t="s">
        <v>16313</v>
      </c>
      <c r="J3019">
        <v>0</v>
      </c>
      <c r="K3019">
        <v>-50795.199999999997</v>
      </c>
      <c r="L3019" t="s">
        <v>2917</v>
      </c>
      <c r="M3019">
        <v>-50795.199999999997</v>
      </c>
      <c r="N3019" t="s">
        <v>2917</v>
      </c>
      <c r="O3019" t="s">
        <v>8330</v>
      </c>
      <c r="P3019" t="s">
        <v>2208</v>
      </c>
      <c r="Q3019" t="s">
        <v>8321</v>
      </c>
      <c r="R3019" t="s">
        <v>8322</v>
      </c>
    </row>
    <row r="3020" spans="1:18">
      <c r="A3020" t="s">
        <v>2418</v>
      </c>
      <c r="B3020" t="s">
        <v>11331</v>
      </c>
      <c r="C3020">
        <v>45747</v>
      </c>
      <c r="D3020" t="s">
        <v>7263</v>
      </c>
      <c r="E3020" t="s">
        <v>11332</v>
      </c>
      <c r="F3020">
        <v>45748</v>
      </c>
      <c r="G3020" t="s">
        <v>2208</v>
      </c>
      <c r="H3020" t="s">
        <v>8318</v>
      </c>
      <c r="I3020" t="s">
        <v>16313</v>
      </c>
      <c r="J3020">
        <v>0</v>
      </c>
      <c r="K3020">
        <v>-11745.37</v>
      </c>
      <c r="L3020" t="s">
        <v>2917</v>
      </c>
      <c r="M3020">
        <v>-11745.37</v>
      </c>
      <c r="N3020" t="s">
        <v>2917</v>
      </c>
      <c r="O3020" t="s">
        <v>8330</v>
      </c>
      <c r="P3020" t="s">
        <v>2208</v>
      </c>
      <c r="Q3020" t="s">
        <v>8321</v>
      </c>
      <c r="R3020" t="s">
        <v>8322</v>
      </c>
    </row>
    <row r="3021" spans="1:18">
      <c r="A3021" t="s">
        <v>2418</v>
      </c>
      <c r="B3021" t="s">
        <v>11331</v>
      </c>
      <c r="C3021">
        <v>45747</v>
      </c>
      <c r="D3021" t="s">
        <v>7263</v>
      </c>
      <c r="E3021" t="s">
        <v>11332</v>
      </c>
      <c r="F3021">
        <v>45748</v>
      </c>
      <c r="G3021" t="s">
        <v>2208</v>
      </c>
      <c r="H3021" t="s">
        <v>8318</v>
      </c>
      <c r="I3021" t="s">
        <v>16313</v>
      </c>
      <c r="J3021">
        <v>0</v>
      </c>
      <c r="K3021">
        <v>-2351.1</v>
      </c>
      <c r="L3021" t="s">
        <v>2917</v>
      </c>
      <c r="M3021">
        <v>-2351.1</v>
      </c>
      <c r="N3021" t="s">
        <v>2917</v>
      </c>
      <c r="O3021" t="s">
        <v>8330</v>
      </c>
      <c r="P3021" t="s">
        <v>2208</v>
      </c>
      <c r="Q3021" t="s">
        <v>8321</v>
      </c>
      <c r="R3021" t="s">
        <v>8322</v>
      </c>
    </row>
    <row r="3022" spans="1:18">
      <c r="A3022" t="s">
        <v>2418</v>
      </c>
      <c r="B3022" t="s">
        <v>11331</v>
      </c>
      <c r="C3022">
        <v>45747</v>
      </c>
      <c r="D3022" t="s">
        <v>7263</v>
      </c>
      <c r="E3022" t="s">
        <v>11332</v>
      </c>
      <c r="F3022">
        <v>45748</v>
      </c>
      <c r="G3022" t="s">
        <v>2208</v>
      </c>
      <c r="H3022" t="s">
        <v>8318</v>
      </c>
      <c r="I3022" t="s">
        <v>16313</v>
      </c>
      <c r="J3022">
        <v>0</v>
      </c>
      <c r="K3022">
        <v>-19886.849999999999</v>
      </c>
      <c r="L3022" t="s">
        <v>2917</v>
      </c>
      <c r="M3022">
        <v>-19886.849999999999</v>
      </c>
      <c r="N3022" t="s">
        <v>2917</v>
      </c>
      <c r="O3022" t="s">
        <v>8330</v>
      </c>
      <c r="P3022" t="s">
        <v>2208</v>
      </c>
      <c r="Q3022" t="s">
        <v>8321</v>
      </c>
      <c r="R3022" t="s">
        <v>8322</v>
      </c>
    </row>
    <row r="3023" spans="1:18">
      <c r="A3023" t="s">
        <v>2418</v>
      </c>
      <c r="B3023" t="s">
        <v>11331</v>
      </c>
      <c r="C3023">
        <v>45747</v>
      </c>
      <c r="D3023" t="s">
        <v>7263</v>
      </c>
      <c r="E3023" t="s">
        <v>11332</v>
      </c>
      <c r="F3023">
        <v>45748</v>
      </c>
      <c r="G3023" t="s">
        <v>2208</v>
      </c>
      <c r="H3023" t="s">
        <v>8318</v>
      </c>
      <c r="I3023" t="s">
        <v>16313</v>
      </c>
      <c r="J3023">
        <v>0</v>
      </c>
      <c r="K3023">
        <v>-3980.8</v>
      </c>
      <c r="L3023" t="s">
        <v>2917</v>
      </c>
      <c r="M3023">
        <v>-3980.8</v>
      </c>
      <c r="N3023" t="s">
        <v>2917</v>
      </c>
      <c r="O3023" t="s">
        <v>8330</v>
      </c>
      <c r="P3023" t="s">
        <v>2208</v>
      </c>
      <c r="Q3023" t="s">
        <v>8321</v>
      </c>
      <c r="R3023" t="s">
        <v>8322</v>
      </c>
    </row>
    <row r="3024" spans="1:18">
      <c r="A3024" t="s">
        <v>2418</v>
      </c>
      <c r="B3024" t="s">
        <v>11331</v>
      </c>
      <c r="C3024">
        <v>45747</v>
      </c>
      <c r="D3024" t="s">
        <v>7263</v>
      </c>
      <c r="E3024" t="s">
        <v>11332</v>
      </c>
      <c r="F3024">
        <v>45748</v>
      </c>
      <c r="G3024" t="s">
        <v>2208</v>
      </c>
      <c r="H3024" t="s">
        <v>8318</v>
      </c>
      <c r="I3024" t="s">
        <v>16313</v>
      </c>
      <c r="J3024">
        <v>0</v>
      </c>
      <c r="K3024">
        <v>-40069.440000000002</v>
      </c>
      <c r="L3024" t="s">
        <v>2917</v>
      </c>
      <c r="M3024">
        <v>-40069.440000000002</v>
      </c>
      <c r="N3024" t="s">
        <v>2917</v>
      </c>
      <c r="O3024" t="s">
        <v>8330</v>
      </c>
      <c r="P3024" t="s">
        <v>2208</v>
      </c>
      <c r="Q3024" t="s">
        <v>8321</v>
      </c>
      <c r="R3024" t="s">
        <v>8322</v>
      </c>
    </row>
    <row r="3025" spans="1:18">
      <c r="A3025" t="s">
        <v>2418</v>
      </c>
      <c r="B3025" t="s">
        <v>11331</v>
      </c>
      <c r="C3025">
        <v>45747</v>
      </c>
      <c r="D3025" t="s">
        <v>7263</v>
      </c>
      <c r="E3025" t="s">
        <v>11332</v>
      </c>
      <c r="F3025">
        <v>45748</v>
      </c>
      <c r="G3025" t="s">
        <v>2208</v>
      </c>
      <c r="H3025" t="s">
        <v>8318</v>
      </c>
      <c r="I3025" t="s">
        <v>16313</v>
      </c>
      <c r="J3025">
        <v>0</v>
      </c>
      <c r="K3025">
        <v>-8020.8</v>
      </c>
      <c r="L3025" t="s">
        <v>2917</v>
      </c>
      <c r="M3025">
        <v>-8020.8</v>
      </c>
      <c r="N3025" t="s">
        <v>2917</v>
      </c>
      <c r="O3025" t="s">
        <v>8330</v>
      </c>
      <c r="P3025" t="s">
        <v>2208</v>
      </c>
      <c r="Q3025" t="s">
        <v>8321</v>
      </c>
      <c r="R3025" t="s">
        <v>8322</v>
      </c>
    </row>
    <row r="3026" spans="1:18">
      <c r="A3026" t="s">
        <v>2418</v>
      </c>
      <c r="B3026" t="s">
        <v>11331</v>
      </c>
      <c r="C3026">
        <v>45747</v>
      </c>
      <c r="D3026" t="s">
        <v>7263</v>
      </c>
      <c r="E3026" t="s">
        <v>11332</v>
      </c>
      <c r="F3026">
        <v>45748</v>
      </c>
      <c r="G3026" t="s">
        <v>2208</v>
      </c>
      <c r="H3026" t="s">
        <v>8318</v>
      </c>
      <c r="I3026" t="s">
        <v>16313</v>
      </c>
      <c r="J3026">
        <v>0</v>
      </c>
      <c r="K3026">
        <v>-2488.5</v>
      </c>
      <c r="L3026" t="s">
        <v>2917</v>
      </c>
      <c r="M3026">
        <v>-2488.5</v>
      </c>
      <c r="N3026" t="s">
        <v>2917</v>
      </c>
      <c r="O3026" t="s">
        <v>8356</v>
      </c>
      <c r="P3026" t="s">
        <v>2208</v>
      </c>
      <c r="Q3026" t="s">
        <v>8321</v>
      </c>
      <c r="R3026" t="s">
        <v>8322</v>
      </c>
    </row>
    <row r="3027" spans="1:18">
      <c r="A3027" t="s">
        <v>2418</v>
      </c>
      <c r="B3027" t="s">
        <v>11331</v>
      </c>
      <c r="C3027">
        <v>45747</v>
      </c>
      <c r="D3027" t="s">
        <v>7263</v>
      </c>
      <c r="E3027" t="s">
        <v>11332</v>
      </c>
      <c r="F3027">
        <v>45748</v>
      </c>
      <c r="G3027" t="s">
        <v>2208</v>
      </c>
      <c r="H3027" t="s">
        <v>8318</v>
      </c>
      <c r="I3027" t="s">
        <v>16313</v>
      </c>
      <c r="J3027">
        <v>0</v>
      </c>
      <c r="K3027">
        <v>-11578.4</v>
      </c>
      <c r="L3027" t="s">
        <v>2917</v>
      </c>
      <c r="M3027">
        <v>-11578.4</v>
      </c>
      <c r="N3027" t="s">
        <v>2917</v>
      </c>
      <c r="O3027" t="s">
        <v>8357</v>
      </c>
      <c r="P3027" t="s">
        <v>2208</v>
      </c>
      <c r="Q3027" t="s">
        <v>8321</v>
      </c>
      <c r="R3027" t="s">
        <v>8322</v>
      </c>
    </row>
    <row r="3028" spans="1:18">
      <c r="A3028" t="s">
        <v>2237</v>
      </c>
      <c r="B3028" t="s">
        <v>11331</v>
      </c>
      <c r="C3028">
        <v>45747</v>
      </c>
      <c r="D3028" t="s">
        <v>7263</v>
      </c>
      <c r="E3028" t="s">
        <v>11332</v>
      </c>
      <c r="F3028">
        <v>45748</v>
      </c>
      <c r="G3028" t="s">
        <v>2208</v>
      </c>
      <c r="H3028" t="s">
        <v>8318</v>
      </c>
      <c r="I3028" t="s">
        <v>16314</v>
      </c>
      <c r="J3028">
        <v>0</v>
      </c>
      <c r="K3028">
        <v>-540</v>
      </c>
      <c r="L3028" t="s">
        <v>2917</v>
      </c>
      <c r="M3028">
        <v>-540</v>
      </c>
      <c r="N3028" t="s">
        <v>2917</v>
      </c>
      <c r="O3028" t="s">
        <v>12099</v>
      </c>
      <c r="P3028" t="s">
        <v>2208</v>
      </c>
      <c r="Q3028" t="s">
        <v>8321</v>
      </c>
      <c r="R3028" t="s">
        <v>8322</v>
      </c>
    </row>
    <row r="3029" spans="1:18">
      <c r="A3029" t="s">
        <v>2724</v>
      </c>
      <c r="B3029" t="s">
        <v>11331</v>
      </c>
      <c r="C3029">
        <v>45747</v>
      </c>
      <c r="D3029" t="s">
        <v>7263</v>
      </c>
      <c r="E3029" t="s">
        <v>11332</v>
      </c>
      <c r="F3029">
        <v>45748</v>
      </c>
      <c r="G3029" t="s">
        <v>2208</v>
      </c>
      <c r="H3029" t="s">
        <v>8318</v>
      </c>
      <c r="I3029" t="s">
        <v>16314</v>
      </c>
      <c r="J3029">
        <v>0</v>
      </c>
      <c r="K3029">
        <v>-172198.37</v>
      </c>
      <c r="L3029" t="s">
        <v>2917</v>
      </c>
      <c r="M3029">
        <v>-172198.37</v>
      </c>
      <c r="N3029" t="s">
        <v>2917</v>
      </c>
      <c r="O3029" t="s">
        <v>12100</v>
      </c>
      <c r="P3029" t="s">
        <v>2208</v>
      </c>
      <c r="Q3029" t="s">
        <v>8321</v>
      </c>
      <c r="R3029" t="s">
        <v>8322</v>
      </c>
    </row>
    <row r="3030" spans="1:18">
      <c r="A3030" t="s">
        <v>2725</v>
      </c>
      <c r="B3030" t="s">
        <v>11331</v>
      </c>
      <c r="C3030">
        <v>45747</v>
      </c>
      <c r="D3030" t="s">
        <v>7263</v>
      </c>
      <c r="E3030" t="s">
        <v>11332</v>
      </c>
      <c r="F3030">
        <v>45748</v>
      </c>
      <c r="G3030" t="s">
        <v>2208</v>
      </c>
      <c r="H3030" t="s">
        <v>8318</v>
      </c>
      <c r="I3030" t="s">
        <v>16314</v>
      </c>
      <c r="J3030">
        <v>0</v>
      </c>
      <c r="K3030">
        <v>-90220.04</v>
      </c>
      <c r="L3030" t="s">
        <v>2917</v>
      </c>
      <c r="M3030">
        <v>-90220.04</v>
      </c>
      <c r="N3030" t="s">
        <v>2917</v>
      </c>
      <c r="O3030" t="s">
        <v>12101</v>
      </c>
      <c r="P3030" t="s">
        <v>2208</v>
      </c>
      <c r="Q3030" t="s">
        <v>8321</v>
      </c>
      <c r="R3030" t="s">
        <v>8322</v>
      </c>
    </row>
    <row r="3031" spans="1:18">
      <c r="A3031" t="s">
        <v>2418</v>
      </c>
      <c r="B3031" t="s">
        <v>11331</v>
      </c>
      <c r="C3031">
        <v>45747</v>
      </c>
      <c r="D3031" t="s">
        <v>7263</v>
      </c>
      <c r="E3031" t="s">
        <v>11332</v>
      </c>
      <c r="F3031">
        <v>45748</v>
      </c>
      <c r="G3031" t="s">
        <v>2208</v>
      </c>
      <c r="H3031" t="s">
        <v>8318</v>
      </c>
      <c r="I3031" t="s">
        <v>16314</v>
      </c>
      <c r="J3031">
        <v>0</v>
      </c>
      <c r="K3031">
        <v>-3060.2</v>
      </c>
      <c r="L3031" t="s">
        <v>2917</v>
      </c>
      <c r="M3031">
        <v>-3060.2</v>
      </c>
      <c r="N3031" t="s">
        <v>2917</v>
      </c>
      <c r="O3031" t="s">
        <v>12102</v>
      </c>
      <c r="P3031" t="s">
        <v>2208</v>
      </c>
      <c r="Q3031" t="s">
        <v>8321</v>
      </c>
      <c r="R3031" t="s">
        <v>8322</v>
      </c>
    </row>
    <row r="3032" spans="1:18">
      <c r="A3032" t="s">
        <v>7030</v>
      </c>
      <c r="B3032" t="s">
        <v>11331</v>
      </c>
      <c r="C3032">
        <v>45747</v>
      </c>
      <c r="D3032" t="s">
        <v>7263</v>
      </c>
      <c r="E3032" t="s">
        <v>11332</v>
      </c>
      <c r="F3032">
        <v>45748</v>
      </c>
      <c r="G3032" t="s">
        <v>2208</v>
      </c>
      <c r="H3032" t="s">
        <v>8318</v>
      </c>
      <c r="I3032" t="s">
        <v>16314</v>
      </c>
      <c r="J3032">
        <v>0</v>
      </c>
      <c r="K3032">
        <v>-13608.3</v>
      </c>
      <c r="L3032" t="s">
        <v>2917</v>
      </c>
      <c r="M3032">
        <v>-13608.3</v>
      </c>
      <c r="N3032" t="s">
        <v>2917</v>
      </c>
      <c r="O3032" t="s">
        <v>12103</v>
      </c>
      <c r="P3032" t="s">
        <v>2208</v>
      </c>
      <c r="Q3032" t="s">
        <v>8321</v>
      </c>
      <c r="R3032" t="s">
        <v>8322</v>
      </c>
    </row>
    <row r="3033" spans="1:18">
      <c r="A3033" t="s">
        <v>2418</v>
      </c>
      <c r="B3033" t="s">
        <v>11331</v>
      </c>
      <c r="C3033">
        <v>45747</v>
      </c>
      <c r="D3033" t="s">
        <v>7263</v>
      </c>
      <c r="E3033" t="s">
        <v>11332</v>
      </c>
      <c r="F3033">
        <v>45748</v>
      </c>
      <c r="G3033" t="s">
        <v>2208</v>
      </c>
      <c r="H3033" t="s">
        <v>8318</v>
      </c>
      <c r="I3033" t="s">
        <v>16314</v>
      </c>
      <c r="J3033">
        <v>0</v>
      </c>
      <c r="K3033">
        <v>-363446.4</v>
      </c>
      <c r="L3033" t="s">
        <v>2917</v>
      </c>
      <c r="M3033">
        <v>-363446.4</v>
      </c>
      <c r="N3033" t="s">
        <v>2917</v>
      </c>
      <c r="O3033" t="s">
        <v>12104</v>
      </c>
      <c r="P3033" t="s">
        <v>2208</v>
      </c>
      <c r="Q3033" t="s">
        <v>8321</v>
      </c>
      <c r="R3033" t="s">
        <v>8322</v>
      </c>
    </row>
    <row r="3034" spans="1:18">
      <c r="A3034" t="s">
        <v>2418</v>
      </c>
      <c r="B3034" t="s">
        <v>11331</v>
      </c>
      <c r="C3034">
        <v>45747</v>
      </c>
      <c r="D3034" t="s">
        <v>7263</v>
      </c>
      <c r="E3034" t="s">
        <v>11332</v>
      </c>
      <c r="F3034">
        <v>45748</v>
      </c>
      <c r="G3034" t="s">
        <v>2208</v>
      </c>
      <c r="H3034" t="s">
        <v>8318</v>
      </c>
      <c r="I3034" t="s">
        <v>16314</v>
      </c>
      <c r="J3034">
        <v>0</v>
      </c>
      <c r="K3034">
        <v>-22008.799999999999</v>
      </c>
      <c r="L3034" t="s">
        <v>2917</v>
      </c>
      <c r="M3034">
        <v>-22008.799999999999</v>
      </c>
      <c r="N3034" t="s">
        <v>2917</v>
      </c>
      <c r="O3034" t="s">
        <v>12104</v>
      </c>
      <c r="P3034" t="s">
        <v>2208</v>
      </c>
      <c r="Q3034" t="s">
        <v>8321</v>
      </c>
      <c r="R3034" t="s">
        <v>8322</v>
      </c>
    </row>
    <row r="3035" spans="1:18">
      <c r="A3035" t="s">
        <v>1019</v>
      </c>
      <c r="B3035" t="s">
        <v>11331</v>
      </c>
      <c r="C3035">
        <v>45777</v>
      </c>
      <c r="D3035" t="s">
        <v>7263</v>
      </c>
      <c r="E3035" t="s">
        <v>11332</v>
      </c>
      <c r="F3035">
        <v>45777</v>
      </c>
      <c r="G3035" t="s">
        <v>2208</v>
      </c>
      <c r="H3035" t="s">
        <v>2974</v>
      </c>
      <c r="I3035" t="s">
        <v>16904</v>
      </c>
      <c r="J3035">
        <v>0</v>
      </c>
      <c r="K3035">
        <v>-17.88</v>
      </c>
      <c r="L3035" t="s">
        <v>2917</v>
      </c>
      <c r="M3035">
        <v>-17.88</v>
      </c>
      <c r="N3035" t="s">
        <v>2917</v>
      </c>
      <c r="O3035" t="s">
        <v>9538</v>
      </c>
      <c r="P3035" t="s">
        <v>2208</v>
      </c>
      <c r="Q3035" t="s">
        <v>9539</v>
      </c>
      <c r="R3035" t="s">
        <v>9540</v>
      </c>
    </row>
    <row r="3036" spans="1:18">
      <c r="A3036" t="s">
        <v>709</v>
      </c>
      <c r="B3036" t="s">
        <v>11331</v>
      </c>
      <c r="C3036">
        <v>45777</v>
      </c>
      <c r="D3036" t="s">
        <v>7263</v>
      </c>
      <c r="E3036" t="s">
        <v>11332</v>
      </c>
      <c r="F3036">
        <v>45777</v>
      </c>
      <c r="G3036" t="s">
        <v>2208</v>
      </c>
      <c r="H3036" t="s">
        <v>8318</v>
      </c>
      <c r="I3036" t="s">
        <v>16905</v>
      </c>
      <c r="J3036">
        <v>0</v>
      </c>
      <c r="K3036">
        <v>4760</v>
      </c>
      <c r="L3036" t="s">
        <v>2917</v>
      </c>
      <c r="M3036">
        <v>4760</v>
      </c>
      <c r="N3036" t="s">
        <v>2917</v>
      </c>
      <c r="O3036" t="s">
        <v>8354</v>
      </c>
      <c r="P3036" t="s">
        <v>2208</v>
      </c>
      <c r="Q3036" t="s">
        <v>8321</v>
      </c>
      <c r="R3036" t="s">
        <v>8322</v>
      </c>
    </row>
    <row r="3037" spans="1:18">
      <c r="A3037" t="s">
        <v>2237</v>
      </c>
      <c r="B3037" t="s">
        <v>11331</v>
      </c>
      <c r="C3037">
        <v>45777</v>
      </c>
      <c r="D3037" t="s">
        <v>7263</v>
      </c>
      <c r="E3037" t="s">
        <v>11332</v>
      </c>
      <c r="F3037">
        <v>45777</v>
      </c>
      <c r="G3037" t="s">
        <v>2208</v>
      </c>
      <c r="H3037" t="s">
        <v>8318</v>
      </c>
      <c r="I3037" t="s">
        <v>16905</v>
      </c>
      <c r="J3037">
        <v>0</v>
      </c>
      <c r="K3037">
        <v>153889.60000000001</v>
      </c>
      <c r="L3037" t="s">
        <v>2917</v>
      </c>
      <c r="M3037">
        <v>153889.60000000001</v>
      </c>
      <c r="N3037" t="s">
        <v>2917</v>
      </c>
      <c r="O3037" t="s">
        <v>12106</v>
      </c>
      <c r="P3037" t="s">
        <v>2208</v>
      </c>
      <c r="Q3037" t="s">
        <v>8321</v>
      </c>
      <c r="R3037" t="s">
        <v>8322</v>
      </c>
    </row>
    <row r="3038" spans="1:18">
      <c r="A3038" t="s">
        <v>2237</v>
      </c>
      <c r="B3038" t="s">
        <v>11331</v>
      </c>
      <c r="C3038">
        <v>45777</v>
      </c>
      <c r="D3038" t="s">
        <v>7263</v>
      </c>
      <c r="E3038" t="s">
        <v>11332</v>
      </c>
      <c r="F3038">
        <v>45777</v>
      </c>
      <c r="G3038" t="s">
        <v>2208</v>
      </c>
      <c r="H3038" t="s">
        <v>8318</v>
      </c>
      <c r="I3038" t="s">
        <v>16905</v>
      </c>
      <c r="J3038">
        <v>0</v>
      </c>
      <c r="K3038">
        <v>178656.53</v>
      </c>
      <c r="L3038" t="s">
        <v>2917</v>
      </c>
      <c r="M3038">
        <v>178656.53</v>
      </c>
      <c r="N3038" t="s">
        <v>2917</v>
      </c>
      <c r="O3038" t="s">
        <v>12106</v>
      </c>
      <c r="P3038" t="s">
        <v>2208</v>
      </c>
      <c r="Q3038" t="s">
        <v>8321</v>
      </c>
      <c r="R3038" t="s">
        <v>8322</v>
      </c>
    </row>
    <row r="3039" spans="1:18">
      <c r="A3039" t="s">
        <v>2237</v>
      </c>
      <c r="B3039" t="s">
        <v>11331</v>
      </c>
      <c r="C3039">
        <v>45777</v>
      </c>
      <c r="D3039" t="s">
        <v>7263</v>
      </c>
      <c r="E3039" t="s">
        <v>11332</v>
      </c>
      <c r="F3039">
        <v>45777</v>
      </c>
      <c r="G3039" t="s">
        <v>2208</v>
      </c>
      <c r="H3039" t="s">
        <v>8318</v>
      </c>
      <c r="I3039" t="s">
        <v>16905</v>
      </c>
      <c r="J3039">
        <v>0</v>
      </c>
      <c r="K3039">
        <v>235534.64</v>
      </c>
      <c r="L3039" t="s">
        <v>2917</v>
      </c>
      <c r="M3039">
        <v>235534.64</v>
      </c>
      <c r="N3039" t="s">
        <v>2917</v>
      </c>
      <c r="O3039" t="s">
        <v>12106</v>
      </c>
      <c r="P3039" t="s">
        <v>2208</v>
      </c>
      <c r="Q3039" t="s">
        <v>8321</v>
      </c>
      <c r="R3039" t="s">
        <v>8322</v>
      </c>
    </row>
    <row r="3040" spans="1:18">
      <c r="A3040" t="s">
        <v>2237</v>
      </c>
      <c r="B3040" t="s">
        <v>11331</v>
      </c>
      <c r="C3040">
        <v>45777</v>
      </c>
      <c r="D3040" t="s">
        <v>7263</v>
      </c>
      <c r="E3040" t="s">
        <v>11332</v>
      </c>
      <c r="F3040">
        <v>45777</v>
      </c>
      <c r="G3040" t="s">
        <v>2208</v>
      </c>
      <c r="H3040" t="s">
        <v>8318</v>
      </c>
      <c r="I3040" t="s">
        <v>16905</v>
      </c>
      <c r="J3040">
        <v>0</v>
      </c>
      <c r="K3040">
        <v>235534.64</v>
      </c>
      <c r="L3040" t="s">
        <v>2917</v>
      </c>
      <c r="M3040">
        <v>235534.64</v>
      </c>
      <c r="N3040" t="s">
        <v>2917</v>
      </c>
      <c r="O3040" t="s">
        <v>12106</v>
      </c>
      <c r="P3040" t="s">
        <v>2208</v>
      </c>
      <c r="Q3040" t="s">
        <v>8321</v>
      </c>
      <c r="R3040" t="s">
        <v>8322</v>
      </c>
    </row>
    <row r="3041" spans="1:18">
      <c r="A3041" t="s">
        <v>2237</v>
      </c>
      <c r="B3041" t="s">
        <v>11331</v>
      </c>
      <c r="C3041">
        <v>45777</v>
      </c>
      <c r="D3041" t="s">
        <v>7263</v>
      </c>
      <c r="E3041" t="s">
        <v>11332</v>
      </c>
      <c r="F3041">
        <v>45777</v>
      </c>
      <c r="G3041" t="s">
        <v>2208</v>
      </c>
      <c r="H3041" t="s">
        <v>8318</v>
      </c>
      <c r="I3041" t="s">
        <v>16905</v>
      </c>
      <c r="J3041">
        <v>0</v>
      </c>
      <c r="K3041">
        <v>137899.38</v>
      </c>
      <c r="L3041" t="s">
        <v>2917</v>
      </c>
      <c r="M3041">
        <v>137899.38</v>
      </c>
      <c r="N3041" t="s">
        <v>2917</v>
      </c>
      <c r="O3041" t="s">
        <v>12106</v>
      </c>
      <c r="P3041" t="s">
        <v>2208</v>
      </c>
      <c r="Q3041" t="s">
        <v>8321</v>
      </c>
      <c r="R3041" t="s">
        <v>8322</v>
      </c>
    </row>
    <row r="3042" spans="1:18">
      <c r="A3042" t="s">
        <v>2237</v>
      </c>
      <c r="B3042" t="s">
        <v>11331</v>
      </c>
      <c r="C3042">
        <v>45777</v>
      </c>
      <c r="D3042" t="s">
        <v>7263</v>
      </c>
      <c r="E3042" t="s">
        <v>11332</v>
      </c>
      <c r="F3042">
        <v>45777</v>
      </c>
      <c r="G3042" t="s">
        <v>2208</v>
      </c>
      <c r="H3042" t="s">
        <v>8318</v>
      </c>
      <c r="I3042" t="s">
        <v>16905</v>
      </c>
      <c r="J3042">
        <v>0</v>
      </c>
      <c r="K3042">
        <v>137899.38</v>
      </c>
      <c r="L3042" t="s">
        <v>2917</v>
      </c>
      <c r="M3042">
        <v>137899.38</v>
      </c>
      <c r="N3042" t="s">
        <v>2917</v>
      </c>
      <c r="O3042" t="s">
        <v>12106</v>
      </c>
      <c r="P3042" t="s">
        <v>2208</v>
      </c>
      <c r="Q3042" t="s">
        <v>8321</v>
      </c>
      <c r="R3042" t="s">
        <v>8322</v>
      </c>
    </row>
    <row r="3043" spans="1:18">
      <c r="A3043" t="s">
        <v>2418</v>
      </c>
      <c r="B3043" t="s">
        <v>11331</v>
      </c>
      <c r="C3043">
        <v>45777</v>
      </c>
      <c r="D3043" t="s">
        <v>7263</v>
      </c>
      <c r="E3043" t="s">
        <v>11332</v>
      </c>
      <c r="F3043">
        <v>45777</v>
      </c>
      <c r="G3043" t="s">
        <v>2208</v>
      </c>
      <c r="H3043" t="s">
        <v>8318</v>
      </c>
      <c r="I3043" t="s">
        <v>16905</v>
      </c>
      <c r="J3043">
        <v>0</v>
      </c>
      <c r="K3043">
        <v>29056.95</v>
      </c>
      <c r="L3043" t="s">
        <v>2917</v>
      </c>
      <c r="M3043">
        <v>29056.95</v>
      </c>
      <c r="N3043" t="s">
        <v>2917</v>
      </c>
      <c r="O3043" t="s">
        <v>16906</v>
      </c>
      <c r="P3043" t="s">
        <v>2208</v>
      </c>
      <c r="Q3043" t="s">
        <v>8321</v>
      </c>
      <c r="R3043" t="s">
        <v>8322</v>
      </c>
    </row>
    <row r="3044" spans="1:18">
      <c r="A3044" t="s">
        <v>2418</v>
      </c>
      <c r="B3044" t="s">
        <v>11331</v>
      </c>
      <c r="C3044">
        <v>45777</v>
      </c>
      <c r="D3044" t="s">
        <v>7263</v>
      </c>
      <c r="E3044" t="s">
        <v>11332</v>
      </c>
      <c r="F3044">
        <v>45777</v>
      </c>
      <c r="G3044" t="s">
        <v>2208</v>
      </c>
      <c r="H3044" t="s">
        <v>8318</v>
      </c>
      <c r="I3044" t="s">
        <v>16905</v>
      </c>
      <c r="J3044">
        <v>0</v>
      </c>
      <c r="K3044">
        <v>6293</v>
      </c>
      <c r="L3044" t="s">
        <v>2917</v>
      </c>
      <c r="M3044">
        <v>6293</v>
      </c>
      <c r="N3044" t="s">
        <v>2917</v>
      </c>
      <c r="O3044" t="s">
        <v>8330</v>
      </c>
      <c r="P3044" t="s">
        <v>2208</v>
      </c>
      <c r="Q3044" t="s">
        <v>8321</v>
      </c>
      <c r="R3044" t="s">
        <v>8322</v>
      </c>
    </row>
    <row r="3045" spans="1:18">
      <c r="A3045" t="s">
        <v>2418</v>
      </c>
      <c r="B3045" t="s">
        <v>11331</v>
      </c>
      <c r="C3045">
        <v>45777</v>
      </c>
      <c r="D3045" t="s">
        <v>7263</v>
      </c>
      <c r="E3045" t="s">
        <v>11332</v>
      </c>
      <c r="F3045">
        <v>45777</v>
      </c>
      <c r="G3045" t="s">
        <v>2208</v>
      </c>
      <c r="H3045" t="s">
        <v>8318</v>
      </c>
      <c r="I3045" t="s">
        <v>16905</v>
      </c>
      <c r="J3045">
        <v>0</v>
      </c>
      <c r="K3045">
        <v>295215.32</v>
      </c>
      <c r="L3045" t="s">
        <v>2917</v>
      </c>
      <c r="M3045">
        <v>295215.32</v>
      </c>
      <c r="N3045" t="s">
        <v>2917</v>
      </c>
      <c r="O3045" t="s">
        <v>16907</v>
      </c>
      <c r="P3045" t="s">
        <v>2208</v>
      </c>
      <c r="Q3045" t="s">
        <v>8321</v>
      </c>
      <c r="R3045" t="s">
        <v>8322</v>
      </c>
    </row>
    <row r="3046" spans="1:18">
      <c r="A3046" t="s">
        <v>2418</v>
      </c>
      <c r="B3046" t="s">
        <v>11331</v>
      </c>
      <c r="C3046">
        <v>45777</v>
      </c>
      <c r="D3046" t="s">
        <v>7263</v>
      </c>
      <c r="E3046" t="s">
        <v>11332</v>
      </c>
      <c r="F3046">
        <v>45777</v>
      </c>
      <c r="G3046" t="s">
        <v>2208</v>
      </c>
      <c r="H3046" t="s">
        <v>8318</v>
      </c>
      <c r="I3046" t="s">
        <v>16905</v>
      </c>
      <c r="J3046">
        <v>0</v>
      </c>
      <c r="K3046">
        <v>89800</v>
      </c>
      <c r="L3046" t="s">
        <v>2917</v>
      </c>
      <c r="M3046">
        <v>89800</v>
      </c>
      <c r="N3046" t="s">
        <v>2917</v>
      </c>
      <c r="O3046" t="s">
        <v>8355</v>
      </c>
      <c r="P3046" t="s">
        <v>2208</v>
      </c>
      <c r="Q3046" t="s">
        <v>8321</v>
      </c>
      <c r="R3046" t="s">
        <v>8322</v>
      </c>
    </row>
    <row r="3047" spans="1:18">
      <c r="A3047" t="s">
        <v>2418</v>
      </c>
      <c r="B3047" t="s">
        <v>11331</v>
      </c>
      <c r="C3047">
        <v>45777</v>
      </c>
      <c r="D3047" t="s">
        <v>7263</v>
      </c>
      <c r="E3047" t="s">
        <v>11332</v>
      </c>
      <c r="F3047">
        <v>45777</v>
      </c>
      <c r="G3047" t="s">
        <v>2208</v>
      </c>
      <c r="H3047" t="s">
        <v>8318</v>
      </c>
      <c r="I3047" t="s">
        <v>16905</v>
      </c>
      <c r="J3047">
        <v>0</v>
      </c>
      <c r="K3047">
        <v>71820</v>
      </c>
      <c r="L3047" t="s">
        <v>2917</v>
      </c>
      <c r="M3047">
        <v>71820</v>
      </c>
      <c r="N3047" t="s">
        <v>2917</v>
      </c>
      <c r="O3047" t="s">
        <v>12107</v>
      </c>
      <c r="P3047" t="s">
        <v>2208</v>
      </c>
      <c r="Q3047" t="s">
        <v>8321</v>
      </c>
      <c r="R3047" t="s">
        <v>8322</v>
      </c>
    </row>
    <row r="3048" spans="1:18">
      <c r="A3048" t="s">
        <v>2418</v>
      </c>
      <c r="B3048" t="s">
        <v>11331</v>
      </c>
      <c r="C3048">
        <v>45777</v>
      </c>
      <c r="D3048" t="s">
        <v>7263</v>
      </c>
      <c r="E3048" t="s">
        <v>11332</v>
      </c>
      <c r="F3048">
        <v>45777</v>
      </c>
      <c r="G3048" t="s">
        <v>2208</v>
      </c>
      <c r="H3048" t="s">
        <v>8318</v>
      </c>
      <c r="I3048" t="s">
        <v>16905</v>
      </c>
      <c r="J3048">
        <v>0</v>
      </c>
      <c r="K3048">
        <v>75279.41</v>
      </c>
      <c r="L3048" t="s">
        <v>2917</v>
      </c>
      <c r="M3048">
        <v>75279.41</v>
      </c>
      <c r="N3048" t="s">
        <v>2917</v>
      </c>
      <c r="O3048" t="s">
        <v>8330</v>
      </c>
      <c r="P3048" t="s">
        <v>2208</v>
      </c>
      <c r="Q3048" t="s">
        <v>8321</v>
      </c>
      <c r="R3048" t="s">
        <v>8322</v>
      </c>
    </row>
    <row r="3049" spans="1:18">
      <c r="A3049" t="s">
        <v>2418</v>
      </c>
      <c r="B3049" t="s">
        <v>11331</v>
      </c>
      <c r="C3049">
        <v>45777</v>
      </c>
      <c r="D3049" t="s">
        <v>7263</v>
      </c>
      <c r="E3049" t="s">
        <v>11332</v>
      </c>
      <c r="F3049">
        <v>45777</v>
      </c>
      <c r="G3049" t="s">
        <v>2208</v>
      </c>
      <c r="H3049" t="s">
        <v>8318</v>
      </c>
      <c r="I3049" t="s">
        <v>16905</v>
      </c>
      <c r="J3049">
        <v>0</v>
      </c>
      <c r="K3049">
        <v>15518.9</v>
      </c>
      <c r="L3049" t="s">
        <v>2917</v>
      </c>
      <c r="M3049">
        <v>15518.9</v>
      </c>
      <c r="N3049" t="s">
        <v>2917</v>
      </c>
      <c r="O3049" t="s">
        <v>8330</v>
      </c>
      <c r="P3049" t="s">
        <v>2208</v>
      </c>
      <c r="Q3049" t="s">
        <v>8321</v>
      </c>
      <c r="R3049" t="s">
        <v>8322</v>
      </c>
    </row>
    <row r="3050" spans="1:18">
      <c r="A3050" t="s">
        <v>2418</v>
      </c>
      <c r="B3050" t="s">
        <v>11331</v>
      </c>
      <c r="C3050">
        <v>45777</v>
      </c>
      <c r="D3050" t="s">
        <v>7263</v>
      </c>
      <c r="E3050" t="s">
        <v>11332</v>
      </c>
      <c r="F3050">
        <v>45777</v>
      </c>
      <c r="G3050" t="s">
        <v>2208</v>
      </c>
      <c r="H3050" t="s">
        <v>8318</v>
      </c>
      <c r="I3050" t="s">
        <v>16905</v>
      </c>
      <c r="J3050">
        <v>0</v>
      </c>
      <c r="K3050">
        <v>253757.13</v>
      </c>
      <c r="L3050" t="s">
        <v>2917</v>
      </c>
      <c r="M3050">
        <v>253757.13</v>
      </c>
      <c r="N3050" t="s">
        <v>2917</v>
      </c>
      <c r="O3050" t="s">
        <v>8330</v>
      </c>
      <c r="P3050" t="s">
        <v>2208</v>
      </c>
      <c r="Q3050" t="s">
        <v>8321</v>
      </c>
      <c r="R3050" t="s">
        <v>8322</v>
      </c>
    </row>
    <row r="3051" spans="1:18">
      <c r="A3051" t="s">
        <v>2418</v>
      </c>
      <c r="B3051" t="s">
        <v>11331</v>
      </c>
      <c r="C3051">
        <v>45777</v>
      </c>
      <c r="D3051" t="s">
        <v>7263</v>
      </c>
      <c r="E3051" t="s">
        <v>11332</v>
      </c>
      <c r="F3051">
        <v>45777</v>
      </c>
      <c r="G3051" t="s">
        <v>2208</v>
      </c>
      <c r="H3051" t="s">
        <v>8318</v>
      </c>
      <c r="I3051" t="s">
        <v>16905</v>
      </c>
      <c r="J3051">
        <v>0</v>
      </c>
      <c r="K3051">
        <v>50795.199999999997</v>
      </c>
      <c r="L3051" t="s">
        <v>2917</v>
      </c>
      <c r="M3051">
        <v>50795.199999999997</v>
      </c>
      <c r="N3051" t="s">
        <v>2917</v>
      </c>
      <c r="O3051" t="s">
        <v>8330</v>
      </c>
      <c r="P3051" t="s">
        <v>2208</v>
      </c>
      <c r="Q3051" t="s">
        <v>8321</v>
      </c>
      <c r="R3051" t="s">
        <v>8322</v>
      </c>
    </row>
    <row r="3052" spans="1:18">
      <c r="A3052" t="s">
        <v>2418</v>
      </c>
      <c r="B3052" t="s">
        <v>11331</v>
      </c>
      <c r="C3052">
        <v>45777</v>
      </c>
      <c r="D3052" t="s">
        <v>7263</v>
      </c>
      <c r="E3052" t="s">
        <v>11332</v>
      </c>
      <c r="F3052">
        <v>45777</v>
      </c>
      <c r="G3052" t="s">
        <v>2208</v>
      </c>
      <c r="H3052" t="s">
        <v>8318</v>
      </c>
      <c r="I3052" t="s">
        <v>16905</v>
      </c>
      <c r="J3052">
        <v>0</v>
      </c>
      <c r="K3052">
        <v>11745.37</v>
      </c>
      <c r="L3052" t="s">
        <v>2917</v>
      </c>
      <c r="M3052">
        <v>11745.37</v>
      </c>
      <c r="N3052" t="s">
        <v>2917</v>
      </c>
      <c r="O3052" t="s">
        <v>8330</v>
      </c>
      <c r="P3052" t="s">
        <v>2208</v>
      </c>
      <c r="Q3052" t="s">
        <v>8321</v>
      </c>
      <c r="R3052" t="s">
        <v>8322</v>
      </c>
    </row>
    <row r="3053" spans="1:18">
      <c r="A3053" t="s">
        <v>2418</v>
      </c>
      <c r="B3053" t="s">
        <v>11331</v>
      </c>
      <c r="C3053">
        <v>45777</v>
      </c>
      <c r="D3053" t="s">
        <v>7263</v>
      </c>
      <c r="E3053" t="s">
        <v>11332</v>
      </c>
      <c r="F3053">
        <v>45777</v>
      </c>
      <c r="G3053" t="s">
        <v>2208</v>
      </c>
      <c r="H3053" t="s">
        <v>8318</v>
      </c>
      <c r="I3053" t="s">
        <v>16905</v>
      </c>
      <c r="J3053">
        <v>0</v>
      </c>
      <c r="K3053">
        <v>2351.1</v>
      </c>
      <c r="L3053" t="s">
        <v>2917</v>
      </c>
      <c r="M3053">
        <v>2351.1</v>
      </c>
      <c r="N3053" t="s">
        <v>2917</v>
      </c>
      <c r="O3053" t="s">
        <v>8330</v>
      </c>
      <c r="P3053" t="s">
        <v>2208</v>
      </c>
      <c r="Q3053" t="s">
        <v>8321</v>
      </c>
      <c r="R3053" t="s">
        <v>8322</v>
      </c>
    </row>
    <row r="3054" spans="1:18">
      <c r="A3054" t="s">
        <v>2418</v>
      </c>
      <c r="B3054" t="s">
        <v>11331</v>
      </c>
      <c r="C3054">
        <v>45777</v>
      </c>
      <c r="D3054" t="s">
        <v>7263</v>
      </c>
      <c r="E3054" t="s">
        <v>11332</v>
      </c>
      <c r="F3054">
        <v>45777</v>
      </c>
      <c r="G3054" t="s">
        <v>2208</v>
      </c>
      <c r="H3054" t="s">
        <v>8318</v>
      </c>
      <c r="I3054" t="s">
        <v>16905</v>
      </c>
      <c r="J3054">
        <v>0</v>
      </c>
      <c r="K3054">
        <v>19886.849999999999</v>
      </c>
      <c r="L3054" t="s">
        <v>2917</v>
      </c>
      <c r="M3054">
        <v>19886.849999999999</v>
      </c>
      <c r="N3054" t="s">
        <v>2917</v>
      </c>
      <c r="O3054" t="s">
        <v>8330</v>
      </c>
      <c r="P3054" t="s">
        <v>2208</v>
      </c>
      <c r="Q3054" t="s">
        <v>8321</v>
      </c>
      <c r="R3054" t="s">
        <v>8322</v>
      </c>
    </row>
    <row r="3055" spans="1:18">
      <c r="A3055" t="s">
        <v>2418</v>
      </c>
      <c r="B3055" t="s">
        <v>11331</v>
      </c>
      <c r="C3055">
        <v>45777</v>
      </c>
      <c r="D3055" t="s">
        <v>7263</v>
      </c>
      <c r="E3055" t="s">
        <v>11332</v>
      </c>
      <c r="F3055">
        <v>45777</v>
      </c>
      <c r="G3055" t="s">
        <v>2208</v>
      </c>
      <c r="H3055" t="s">
        <v>8318</v>
      </c>
      <c r="I3055" t="s">
        <v>16905</v>
      </c>
      <c r="J3055">
        <v>0</v>
      </c>
      <c r="K3055">
        <v>3980.8</v>
      </c>
      <c r="L3055" t="s">
        <v>2917</v>
      </c>
      <c r="M3055">
        <v>3980.8</v>
      </c>
      <c r="N3055" t="s">
        <v>2917</v>
      </c>
      <c r="O3055" t="s">
        <v>8330</v>
      </c>
      <c r="P3055" t="s">
        <v>2208</v>
      </c>
      <c r="Q3055" t="s">
        <v>8321</v>
      </c>
      <c r="R3055" t="s">
        <v>8322</v>
      </c>
    </row>
    <row r="3056" spans="1:18">
      <c r="A3056" t="s">
        <v>2418</v>
      </c>
      <c r="B3056" t="s">
        <v>11331</v>
      </c>
      <c r="C3056">
        <v>45777</v>
      </c>
      <c r="D3056" t="s">
        <v>7263</v>
      </c>
      <c r="E3056" t="s">
        <v>11332</v>
      </c>
      <c r="F3056">
        <v>45777</v>
      </c>
      <c r="G3056" t="s">
        <v>2208</v>
      </c>
      <c r="H3056" t="s">
        <v>8318</v>
      </c>
      <c r="I3056" t="s">
        <v>16905</v>
      </c>
      <c r="J3056">
        <v>0</v>
      </c>
      <c r="K3056">
        <v>40069.440000000002</v>
      </c>
      <c r="L3056" t="s">
        <v>2917</v>
      </c>
      <c r="M3056">
        <v>40069.440000000002</v>
      </c>
      <c r="N3056" t="s">
        <v>2917</v>
      </c>
      <c r="O3056" t="s">
        <v>8330</v>
      </c>
      <c r="P3056" t="s">
        <v>2208</v>
      </c>
      <c r="Q3056" t="s">
        <v>8321</v>
      </c>
      <c r="R3056" t="s">
        <v>8322</v>
      </c>
    </row>
    <row r="3057" spans="1:18">
      <c r="A3057" t="s">
        <v>2418</v>
      </c>
      <c r="B3057" t="s">
        <v>11331</v>
      </c>
      <c r="C3057">
        <v>45777</v>
      </c>
      <c r="D3057" t="s">
        <v>7263</v>
      </c>
      <c r="E3057" t="s">
        <v>11332</v>
      </c>
      <c r="F3057">
        <v>45777</v>
      </c>
      <c r="G3057" t="s">
        <v>2208</v>
      </c>
      <c r="H3057" t="s">
        <v>8318</v>
      </c>
      <c r="I3057" t="s">
        <v>16905</v>
      </c>
      <c r="J3057">
        <v>0</v>
      </c>
      <c r="K3057">
        <v>8020.8</v>
      </c>
      <c r="L3057" t="s">
        <v>2917</v>
      </c>
      <c r="M3057">
        <v>8020.8</v>
      </c>
      <c r="N3057" t="s">
        <v>2917</v>
      </c>
      <c r="O3057" t="s">
        <v>8330</v>
      </c>
      <c r="P3057" t="s">
        <v>2208</v>
      </c>
      <c r="Q3057" t="s">
        <v>8321</v>
      </c>
      <c r="R3057" t="s">
        <v>8322</v>
      </c>
    </row>
    <row r="3058" spans="1:18">
      <c r="A3058" t="s">
        <v>2418</v>
      </c>
      <c r="B3058" t="s">
        <v>11331</v>
      </c>
      <c r="C3058">
        <v>45777</v>
      </c>
      <c r="D3058" t="s">
        <v>7263</v>
      </c>
      <c r="E3058" t="s">
        <v>11332</v>
      </c>
      <c r="F3058">
        <v>45777</v>
      </c>
      <c r="G3058" t="s">
        <v>2208</v>
      </c>
      <c r="H3058" t="s">
        <v>8318</v>
      </c>
      <c r="I3058" t="s">
        <v>16905</v>
      </c>
      <c r="J3058">
        <v>0</v>
      </c>
      <c r="K3058">
        <v>2488.5</v>
      </c>
      <c r="L3058" t="s">
        <v>2917</v>
      </c>
      <c r="M3058">
        <v>2488.5</v>
      </c>
      <c r="N3058" t="s">
        <v>2917</v>
      </c>
      <c r="O3058" t="s">
        <v>8356</v>
      </c>
      <c r="P3058" t="s">
        <v>2208</v>
      </c>
      <c r="Q3058" t="s">
        <v>8321</v>
      </c>
      <c r="R3058" t="s">
        <v>8322</v>
      </c>
    </row>
    <row r="3059" spans="1:18">
      <c r="A3059" t="s">
        <v>2418</v>
      </c>
      <c r="B3059" t="s">
        <v>11331</v>
      </c>
      <c r="C3059">
        <v>45777</v>
      </c>
      <c r="D3059" t="s">
        <v>7263</v>
      </c>
      <c r="E3059" t="s">
        <v>11332</v>
      </c>
      <c r="F3059">
        <v>45777</v>
      </c>
      <c r="G3059" t="s">
        <v>2208</v>
      </c>
      <c r="H3059" t="s">
        <v>8318</v>
      </c>
      <c r="I3059" t="s">
        <v>16905</v>
      </c>
      <c r="J3059">
        <v>0</v>
      </c>
      <c r="K3059">
        <v>10304.4</v>
      </c>
      <c r="L3059" t="s">
        <v>2917</v>
      </c>
      <c r="M3059">
        <v>10304.4</v>
      </c>
      <c r="N3059" t="s">
        <v>2917</v>
      </c>
      <c r="O3059" t="s">
        <v>8357</v>
      </c>
      <c r="P3059" t="s">
        <v>2208</v>
      </c>
      <c r="Q3059" t="s">
        <v>8321</v>
      </c>
      <c r="R3059" t="s">
        <v>8322</v>
      </c>
    </row>
    <row r="3060" spans="1:18">
      <c r="A3060" t="s">
        <v>2237</v>
      </c>
      <c r="B3060" t="s">
        <v>11331</v>
      </c>
      <c r="C3060">
        <v>45777</v>
      </c>
      <c r="D3060" t="s">
        <v>7263</v>
      </c>
      <c r="E3060" t="s">
        <v>11332</v>
      </c>
      <c r="F3060">
        <v>45777</v>
      </c>
      <c r="G3060" t="s">
        <v>2208</v>
      </c>
      <c r="H3060" t="s">
        <v>8318</v>
      </c>
      <c r="I3060" t="s">
        <v>16908</v>
      </c>
      <c r="J3060">
        <v>0</v>
      </c>
      <c r="K3060">
        <v>3540</v>
      </c>
      <c r="L3060" t="s">
        <v>2917</v>
      </c>
      <c r="M3060">
        <v>3540</v>
      </c>
      <c r="N3060" t="s">
        <v>2917</v>
      </c>
      <c r="O3060" t="s">
        <v>16909</v>
      </c>
      <c r="P3060" t="s">
        <v>2208</v>
      </c>
      <c r="Q3060" t="s">
        <v>8321</v>
      </c>
      <c r="R3060" t="s">
        <v>8322</v>
      </c>
    </row>
    <row r="3061" spans="1:18">
      <c r="A3061" t="s">
        <v>2418</v>
      </c>
      <c r="B3061" t="s">
        <v>11331</v>
      </c>
      <c r="C3061">
        <v>45777</v>
      </c>
      <c r="D3061" t="s">
        <v>7263</v>
      </c>
      <c r="E3061" t="s">
        <v>11332</v>
      </c>
      <c r="F3061">
        <v>45777</v>
      </c>
      <c r="G3061" t="s">
        <v>2208</v>
      </c>
      <c r="H3061" t="s">
        <v>8318</v>
      </c>
      <c r="I3061" t="s">
        <v>16908</v>
      </c>
      <c r="J3061">
        <v>0</v>
      </c>
      <c r="K3061">
        <v>5612.65</v>
      </c>
      <c r="L3061" t="s">
        <v>2917</v>
      </c>
      <c r="M3061">
        <v>5612.65</v>
      </c>
      <c r="N3061" t="s">
        <v>2917</v>
      </c>
      <c r="O3061" t="s">
        <v>16910</v>
      </c>
      <c r="P3061" t="s">
        <v>2208</v>
      </c>
      <c r="Q3061" t="s">
        <v>8321</v>
      </c>
      <c r="R3061" t="s">
        <v>8322</v>
      </c>
    </row>
    <row r="3062" spans="1:18">
      <c r="A3062" t="s">
        <v>7030</v>
      </c>
      <c r="B3062" t="s">
        <v>11331</v>
      </c>
      <c r="C3062">
        <v>45777</v>
      </c>
      <c r="D3062" t="s">
        <v>7263</v>
      </c>
      <c r="E3062" t="s">
        <v>11332</v>
      </c>
      <c r="F3062">
        <v>45777</v>
      </c>
      <c r="G3062" t="s">
        <v>2208</v>
      </c>
      <c r="H3062" t="s">
        <v>8318</v>
      </c>
      <c r="I3062" t="s">
        <v>16908</v>
      </c>
      <c r="J3062">
        <v>0</v>
      </c>
      <c r="K3062">
        <v>20188.3</v>
      </c>
      <c r="L3062" t="s">
        <v>2917</v>
      </c>
      <c r="M3062">
        <v>20188.3</v>
      </c>
      <c r="N3062" t="s">
        <v>2917</v>
      </c>
      <c r="O3062" t="s">
        <v>16911</v>
      </c>
      <c r="P3062" t="s">
        <v>2208</v>
      </c>
      <c r="Q3062" t="s">
        <v>8321</v>
      </c>
      <c r="R3062" t="s">
        <v>8322</v>
      </c>
    </row>
    <row r="3063" spans="1:18">
      <c r="A3063" t="s">
        <v>2418</v>
      </c>
      <c r="B3063" t="s">
        <v>11331</v>
      </c>
      <c r="C3063">
        <v>45777</v>
      </c>
      <c r="D3063" t="s">
        <v>7263</v>
      </c>
      <c r="E3063" t="s">
        <v>11332</v>
      </c>
      <c r="F3063">
        <v>45777</v>
      </c>
      <c r="G3063" t="s">
        <v>2208</v>
      </c>
      <c r="H3063" t="s">
        <v>8318</v>
      </c>
      <c r="I3063" t="s">
        <v>16908</v>
      </c>
      <c r="J3063">
        <v>0</v>
      </c>
      <c r="K3063">
        <v>11275</v>
      </c>
      <c r="L3063" t="s">
        <v>2917</v>
      </c>
      <c r="M3063">
        <v>11275</v>
      </c>
      <c r="N3063" t="s">
        <v>2917</v>
      </c>
      <c r="O3063" t="s">
        <v>16912</v>
      </c>
      <c r="P3063" t="s">
        <v>2208</v>
      </c>
      <c r="Q3063" t="s">
        <v>8321</v>
      </c>
      <c r="R3063" t="s">
        <v>8322</v>
      </c>
    </row>
    <row r="3064" spans="1:18">
      <c r="A3064" t="s">
        <v>810</v>
      </c>
      <c r="B3064" t="s">
        <v>11331</v>
      </c>
      <c r="C3064">
        <v>45777</v>
      </c>
      <c r="D3064" t="s">
        <v>7263</v>
      </c>
      <c r="E3064" t="s">
        <v>11332</v>
      </c>
      <c r="F3064">
        <v>45777</v>
      </c>
      <c r="G3064" t="s">
        <v>2208</v>
      </c>
      <c r="H3064" t="s">
        <v>8318</v>
      </c>
      <c r="I3064" t="s">
        <v>16908</v>
      </c>
      <c r="J3064">
        <v>0</v>
      </c>
      <c r="K3064">
        <v>2411</v>
      </c>
      <c r="L3064" t="s">
        <v>2917</v>
      </c>
      <c r="M3064">
        <v>2411</v>
      </c>
      <c r="N3064" t="s">
        <v>2917</v>
      </c>
      <c r="O3064" t="s">
        <v>16913</v>
      </c>
      <c r="P3064" t="s">
        <v>2208</v>
      </c>
      <c r="Q3064" t="s">
        <v>8321</v>
      </c>
      <c r="R3064" t="s">
        <v>8322</v>
      </c>
    </row>
    <row r="3065" spans="1:18">
      <c r="A3065" t="s">
        <v>810</v>
      </c>
      <c r="B3065" t="s">
        <v>11331</v>
      </c>
      <c r="C3065">
        <v>45777</v>
      </c>
      <c r="D3065" t="s">
        <v>7263</v>
      </c>
      <c r="E3065" t="s">
        <v>11332</v>
      </c>
      <c r="F3065">
        <v>45777</v>
      </c>
      <c r="G3065" t="s">
        <v>2208</v>
      </c>
      <c r="H3065" t="s">
        <v>2978</v>
      </c>
      <c r="I3065" t="s">
        <v>16914</v>
      </c>
      <c r="J3065">
        <v>0</v>
      </c>
      <c r="K3065">
        <v>-6725</v>
      </c>
      <c r="L3065" t="s">
        <v>2917</v>
      </c>
      <c r="M3065">
        <v>-6725</v>
      </c>
      <c r="N3065" t="s">
        <v>2917</v>
      </c>
      <c r="O3065" t="s">
        <v>9561</v>
      </c>
      <c r="P3065" t="s">
        <v>2208</v>
      </c>
      <c r="Q3065" t="s">
        <v>16915</v>
      </c>
      <c r="R3065" t="s">
        <v>16916</v>
      </c>
    </row>
    <row r="3066" spans="1:18">
      <c r="A3066" t="s">
        <v>810</v>
      </c>
      <c r="B3066" t="s">
        <v>11331</v>
      </c>
      <c r="C3066">
        <v>45777</v>
      </c>
      <c r="D3066" t="s">
        <v>7263</v>
      </c>
      <c r="E3066" t="s">
        <v>11332</v>
      </c>
      <c r="F3066">
        <v>45777</v>
      </c>
      <c r="G3066" t="s">
        <v>2208</v>
      </c>
      <c r="H3066" t="s">
        <v>2978</v>
      </c>
      <c r="I3066" t="s">
        <v>16914</v>
      </c>
      <c r="J3066">
        <v>0</v>
      </c>
      <c r="K3066">
        <v>6725</v>
      </c>
      <c r="L3066" t="s">
        <v>2917</v>
      </c>
      <c r="M3066">
        <v>6725</v>
      </c>
      <c r="N3066" t="s">
        <v>2917</v>
      </c>
      <c r="O3066" t="s">
        <v>9561</v>
      </c>
      <c r="P3066" t="s">
        <v>2208</v>
      </c>
      <c r="Q3066" t="s">
        <v>16915</v>
      </c>
      <c r="R3066" t="s">
        <v>16916</v>
      </c>
    </row>
    <row r="3067" spans="1:18">
      <c r="A3067" t="s">
        <v>709</v>
      </c>
      <c r="B3067" t="s">
        <v>11331</v>
      </c>
      <c r="C3067">
        <v>45777</v>
      </c>
      <c r="D3067" t="s">
        <v>7263</v>
      </c>
      <c r="E3067" t="s">
        <v>11332</v>
      </c>
      <c r="F3067">
        <v>45777</v>
      </c>
      <c r="G3067" t="s">
        <v>2208</v>
      </c>
      <c r="H3067" t="s">
        <v>2974</v>
      </c>
      <c r="I3067" t="s">
        <v>16933</v>
      </c>
      <c r="J3067">
        <v>0</v>
      </c>
      <c r="K3067">
        <v>-1070.67</v>
      </c>
      <c r="L3067" t="s">
        <v>2917</v>
      </c>
      <c r="M3067">
        <v>-1070.67</v>
      </c>
      <c r="N3067" t="s">
        <v>2917</v>
      </c>
      <c r="O3067" t="s">
        <v>3070</v>
      </c>
      <c r="P3067" t="s">
        <v>2208</v>
      </c>
      <c r="Q3067" t="s">
        <v>2975</v>
      </c>
      <c r="R3067" t="s">
        <v>3316</v>
      </c>
    </row>
    <row r="3068" spans="1:18">
      <c r="A3068" t="s">
        <v>709</v>
      </c>
      <c r="B3068" t="s">
        <v>11331</v>
      </c>
      <c r="C3068">
        <v>45777</v>
      </c>
      <c r="D3068" t="s">
        <v>7263</v>
      </c>
      <c r="E3068" t="s">
        <v>11332</v>
      </c>
      <c r="F3068">
        <v>45777</v>
      </c>
      <c r="G3068" t="s">
        <v>2208</v>
      </c>
      <c r="H3068" t="s">
        <v>2974</v>
      </c>
      <c r="I3068" t="s">
        <v>16933</v>
      </c>
      <c r="J3068">
        <v>0</v>
      </c>
      <c r="K3068">
        <v>-325.3</v>
      </c>
      <c r="L3068" t="s">
        <v>2917</v>
      </c>
      <c r="M3068">
        <v>-325.3</v>
      </c>
      <c r="N3068" t="s">
        <v>2917</v>
      </c>
      <c r="O3068" t="s">
        <v>3070</v>
      </c>
      <c r="P3068" t="s">
        <v>2208</v>
      </c>
      <c r="Q3068" t="s">
        <v>2975</v>
      </c>
      <c r="R3068" t="s">
        <v>3316</v>
      </c>
    </row>
    <row r="3069" spans="1:18">
      <c r="A3069" t="s">
        <v>709</v>
      </c>
      <c r="B3069" t="s">
        <v>11331</v>
      </c>
      <c r="C3069">
        <v>45777</v>
      </c>
      <c r="D3069" t="s">
        <v>7263</v>
      </c>
      <c r="E3069" t="s">
        <v>11332</v>
      </c>
      <c r="F3069">
        <v>45777</v>
      </c>
      <c r="G3069" t="s">
        <v>2208</v>
      </c>
      <c r="H3069" t="s">
        <v>2974</v>
      </c>
      <c r="I3069" t="s">
        <v>16933</v>
      </c>
      <c r="J3069">
        <v>0</v>
      </c>
      <c r="K3069">
        <v>-870.37</v>
      </c>
      <c r="L3069" t="s">
        <v>2917</v>
      </c>
      <c r="M3069">
        <v>-870.37</v>
      </c>
      <c r="N3069" t="s">
        <v>2917</v>
      </c>
      <c r="O3069" t="s">
        <v>3070</v>
      </c>
      <c r="P3069" t="s">
        <v>2208</v>
      </c>
      <c r="Q3069" t="s">
        <v>2975</v>
      </c>
      <c r="R3069" t="s">
        <v>3316</v>
      </c>
    </row>
    <row r="3070" spans="1:18">
      <c r="A3070" t="s">
        <v>709</v>
      </c>
      <c r="B3070" t="s">
        <v>11331</v>
      </c>
      <c r="C3070">
        <v>45777</v>
      </c>
      <c r="D3070" t="s">
        <v>7263</v>
      </c>
      <c r="E3070" t="s">
        <v>11332</v>
      </c>
      <c r="F3070">
        <v>45777</v>
      </c>
      <c r="G3070" t="s">
        <v>2208</v>
      </c>
      <c r="H3070" t="s">
        <v>2974</v>
      </c>
      <c r="I3070" t="s">
        <v>16933</v>
      </c>
      <c r="J3070">
        <v>0</v>
      </c>
      <c r="K3070">
        <v>-216.68</v>
      </c>
      <c r="L3070" t="s">
        <v>2917</v>
      </c>
      <c r="M3070">
        <v>-216.68</v>
      </c>
      <c r="N3070" t="s">
        <v>2917</v>
      </c>
      <c r="O3070" t="s">
        <v>3070</v>
      </c>
      <c r="P3070" t="s">
        <v>2208</v>
      </c>
      <c r="Q3070" t="s">
        <v>2975</v>
      </c>
      <c r="R3070" t="s">
        <v>3316</v>
      </c>
    </row>
    <row r="3071" spans="1:18">
      <c r="A3071" t="s">
        <v>709</v>
      </c>
      <c r="B3071" t="s">
        <v>11331</v>
      </c>
      <c r="C3071">
        <v>45777</v>
      </c>
      <c r="D3071" t="s">
        <v>7263</v>
      </c>
      <c r="E3071" t="s">
        <v>11332</v>
      </c>
      <c r="F3071">
        <v>45777</v>
      </c>
      <c r="G3071" t="s">
        <v>2208</v>
      </c>
      <c r="H3071" t="s">
        <v>2974</v>
      </c>
      <c r="I3071" t="s">
        <v>16933</v>
      </c>
      <c r="J3071">
        <v>0</v>
      </c>
      <c r="K3071">
        <v>-5704.6</v>
      </c>
      <c r="L3071" t="s">
        <v>2917</v>
      </c>
      <c r="M3071">
        <v>-5704.6</v>
      </c>
      <c r="N3071" t="s">
        <v>2917</v>
      </c>
      <c r="O3071" t="s">
        <v>3070</v>
      </c>
      <c r="P3071" t="s">
        <v>2208</v>
      </c>
      <c r="Q3071" t="s">
        <v>2975</v>
      </c>
      <c r="R3071" t="s">
        <v>3316</v>
      </c>
    </row>
    <row r="3072" spans="1:18">
      <c r="A3072" t="s">
        <v>709</v>
      </c>
      <c r="B3072" t="s">
        <v>11331</v>
      </c>
      <c r="C3072">
        <v>45777</v>
      </c>
      <c r="D3072" t="s">
        <v>7263</v>
      </c>
      <c r="E3072" t="s">
        <v>11332</v>
      </c>
      <c r="F3072">
        <v>45777</v>
      </c>
      <c r="G3072" t="s">
        <v>2208</v>
      </c>
      <c r="H3072" t="s">
        <v>2974</v>
      </c>
      <c r="I3072" t="s">
        <v>16933</v>
      </c>
      <c r="J3072">
        <v>0</v>
      </c>
      <c r="K3072">
        <v>-191.21</v>
      </c>
      <c r="L3072" t="s">
        <v>2917</v>
      </c>
      <c r="M3072">
        <v>-191.21</v>
      </c>
      <c r="N3072" t="s">
        <v>2917</v>
      </c>
      <c r="O3072" t="s">
        <v>3070</v>
      </c>
      <c r="P3072" t="s">
        <v>2208</v>
      </c>
      <c r="Q3072" t="s">
        <v>2975</v>
      </c>
      <c r="R3072" t="s">
        <v>3316</v>
      </c>
    </row>
    <row r="3073" spans="1:18">
      <c r="A3073" t="s">
        <v>709</v>
      </c>
      <c r="B3073" t="s">
        <v>11331</v>
      </c>
      <c r="C3073">
        <v>45777</v>
      </c>
      <c r="D3073" t="s">
        <v>7263</v>
      </c>
      <c r="E3073" t="s">
        <v>11332</v>
      </c>
      <c r="F3073">
        <v>45777</v>
      </c>
      <c r="G3073" t="s">
        <v>2208</v>
      </c>
      <c r="H3073" t="s">
        <v>2974</v>
      </c>
      <c r="I3073" t="s">
        <v>16933</v>
      </c>
      <c r="J3073">
        <v>0</v>
      </c>
      <c r="K3073">
        <v>-52622.9</v>
      </c>
      <c r="L3073" t="s">
        <v>2917</v>
      </c>
      <c r="M3073">
        <v>-52622.9</v>
      </c>
      <c r="N3073" t="s">
        <v>2917</v>
      </c>
      <c r="O3073" t="s">
        <v>3070</v>
      </c>
      <c r="P3073" t="s">
        <v>2208</v>
      </c>
      <c r="Q3073" t="s">
        <v>2975</v>
      </c>
      <c r="R3073" t="s">
        <v>3316</v>
      </c>
    </row>
    <row r="3074" spans="1:18">
      <c r="A3074" t="s">
        <v>709</v>
      </c>
      <c r="B3074" t="s">
        <v>16360</v>
      </c>
      <c r="C3074">
        <v>45777</v>
      </c>
      <c r="D3074" t="s">
        <v>7263</v>
      </c>
      <c r="E3074" t="s">
        <v>16361</v>
      </c>
      <c r="F3074">
        <v>45782</v>
      </c>
      <c r="G3074" t="s">
        <v>2208</v>
      </c>
      <c r="H3074" t="s">
        <v>2974</v>
      </c>
      <c r="I3074" t="s">
        <v>16934</v>
      </c>
      <c r="J3074">
        <v>0</v>
      </c>
      <c r="K3074">
        <v>1070.67</v>
      </c>
      <c r="L3074" t="s">
        <v>2917</v>
      </c>
      <c r="M3074">
        <v>1070.67</v>
      </c>
      <c r="N3074" t="s">
        <v>2917</v>
      </c>
      <c r="O3074" t="s">
        <v>3070</v>
      </c>
      <c r="P3074" t="s">
        <v>2208</v>
      </c>
      <c r="Q3074" t="s">
        <v>2975</v>
      </c>
      <c r="R3074" t="s">
        <v>3316</v>
      </c>
    </row>
    <row r="3075" spans="1:18">
      <c r="A3075" t="s">
        <v>709</v>
      </c>
      <c r="B3075" t="s">
        <v>16360</v>
      </c>
      <c r="C3075">
        <v>45777</v>
      </c>
      <c r="D3075" t="s">
        <v>7263</v>
      </c>
      <c r="E3075" t="s">
        <v>16361</v>
      </c>
      <c r="F3075">
        <v>45782</v>
      </c>
      <c r="G3075" t="s">
        <v>2208</v>
      </c>
      <c r="H3075" t="s">
        <v>2974</v>
      </c>
      <c r="I3075" t="s">
        <v>16934</v>
      </c>
      <c r="J3075">
        <v>0</v>
      </c>
      <c r="K3075">
        <v>325.3</v>
      </c>
      <c r="L3075" t="s">
        <v>2917</v>
      </c>
      <c r="M3075">
        <v>325.3</v>
      </c>
      <c r="N3075" t="s">
        <v>2917</v>
      </c>
      <c r="O3075" t="s">
        <v>3070</v>
      </c>
      <c r="P3075" t="s">
        <v>2208</v>
      </c>
      <c r="Q3075" t="s">
        <v>2975</v>
      </c>
      <c r="R3075" t="s">
        <v>3316</v>
      </c>
    </row>
    <row r="3076" spans="1:18">
      <c r="A3076" t="s">
        <v>709</v>
      </c>
      <c r="B3076" t="s">
        <v>16360</v>
      </c>
      <c r="C3076">
        <v>45777</v>
      </c>
      <c r="D3076" t="s">
        <v>7263</v>
      </c>
      <c r="E3076" t="s">
        <v>16361</v>
      </c>
      <c r="F3076">
        <v>45782</v>
      </c>
      <c r="G3076" t="s">
        <v>2208</v>
      </c>
      <c r="H3076" t="s">
        <v>2974</v>
      </c>
      <c r="I3076" t="s">
        <v>16934</v>
      </c>
      <c r="J3076">
        <v>0</v>
      </c>
      <c r="K3076">
        <v>870.37</v>
      </c>
      <c r="L3076" t="s">
        <v>2917</v>
      </c>
      <c r="M3076">
        <v>870.37</v>
      </c>
      <c r="N3076" t="s">
        <v>2917</v>
      </c>
      <c r="O3076" t="s">
        <v>3070</v>
      </c>
      <c r="P3076" t="s">
        <v>2208</v>
      </c>
      <c r="Q3076" t="s">
        <v>2975</v>
      </c>
      <c r="R3076" t="s">
        <v>3316</v>
      </c>
    </row>
    <row r="3077" spans="1:18">
      <c r="A3077" t="s">
        <v>709</v>
      </c>
      <c r="B3077" t="s">
        <v>16360</v>
      </c>
      <c r="C3077">
        <v>45777</v>
      </c>
      <c r="D3077" t="s">
        <v>7263</v>
      </c>
      <c r="E3077" t="s">
        <v>16361</v>
      </c>
      <c r="F3077">
        <v>45782</v>
      </c>
      <c r="G3077" t="s">
        <v>2208</v>
      </c>
      <c r="H3077" t="s">
        <v>2974</v>
      </c>
      <c r="I3077" t="s">
        <v>16934</v>
      </c>
      <c r="J3077">
        <v>0</v>
      </c>
      <c r="K3077">
        <v>216.68</v>
      </c>
      <c r="L3077" t="s">
        <v>2917</v>
      </c>
      <c r="M3077">
        <v>216.68</v>
      </c>
      <c r="N3077" t="s">
        <v>2917</v>
      </c>
      <c r="O3077" t="s">
        <v>3070</v>
      </c>
      <c r="P3077" t="s">
        <v>2208</v>
      </c>
      <c r="Q3077" t="s">
        <v>2975</v>
      </c>
      <c r="R3077" t="s">
        <v>3316</v>
      </c>
    </row>
    <row r="3078" spans="1:18">
      <c r="A3078" t="s">
        <v>709</v>
      </c>
      <c r="B3078" t="s">
        <v>16360</v>
      </c>
      <c r="C3078">
        <v>45777</v>
      </c>
      <c r="D3078" t="s">
        <v>7263</v>
      </c>
      <c r="E3078" t="s">
        <v>16361</v>
      </c>
      <c r="F3078">
        <v>45782</v>
      </c>
      <c r="G3078" t="s">
        <v>2208</v>
      </c>
      <c r="H3078" t="s">
        <v>2974</v>
      </c>
      <c r="I3078" t="s">
        <v>16934</v>
      </c>
      <c r="J3078">
        <v>0</v>
      </c>
      <c r="K3078">
        <v>5704.6</v>
      </c>
      <c r="L3078" t="s">
        <v>2917</v>
      </c>
      <c r="M3078">
        <v>5704.6</v>
      </c>
      <c r="N3078" t="s">
        <v>2917</v>
      </c>
      <c r="O3078" t="s">
        <v>3070</v>
      </c>
      <c r="P3078" t="s">
        <v>2208</v>
      </c>
      <c r="Q3078" t="s">
        <v>2975</v>
      </c>
      <c r="R3078" t="s">
        <v>3316</v>
      </c>
    </row>
    <row r="3079" spans="1:18">
      <c r="A3079" t="s">
        <v>709</v>
      </c>
      <c r="B3079" t="s">
        <v>16360</v>
      </c>
      <c r="C3079">
        <v>45777</v>
      </c>
      <c r="D3079" t="s">
        <v>7263</v>
      </c>
      <c r="E3079" t="s">
        <v>16361</v>
      </c>
      <c r="F3079">
        <v>45782</v>
      </c>
      <c r="G3079" t="s">
        <v>2208</v>
      </c>
      <c r="H3079" t="s">
        <v>2974</v>
      </c>
      <c r="I3079" t="s">
        <v>16934</v>
      </c>
      <c r="J3079">
        <v>0</v>
      </c>
      <c r="K3079">
        <v>191.21</v>
      </c>
      <c r="L3079" t="s">
        <v>2917</v>
      </c>
      <c r="M3079">
        <v>191.21</v>
      </c>
      <c r="N3079" t="s">
        <v>2917</v>
      </c>
      <c r="O3079" t="s">
        <v>3070</v>
      </c>
      <c r="P3079" t="s">
        <v>2208</v>
      </c>
      <c r="Q3079" t="s">
        <v>2975</v>
      </c>
      <c r="R3079" t="s">
        <v>3316</v>
      </c>
    </row>
    <row r="3080" spans="1:18">
      <c r="A3080" t="s">
        <v>709</v>
      </c>
      <c r="B3080" t="s">
        <v>16360</v>
      </c>
      <c r="C3080">
        <v>45777</v>
      </c>
      <c r="D3080" t="s">
        <v>7263</v>
      </c>
      <c r="E3080" t="s">
        <v>16361</v>
      </c>
      <c r="F3080">
        <v>45782</v>
      </c>
      <c r="G3080" t="s">
        <v>2208</v>
      </c>
      <c r="H3080" t="s">
        <v>2974</v>
      </c>
      <c r="I3080" t="s">
        <v>16934</v>
      </c>
      <c r="J3080">
        <v>0</v>
      </c>
      <c r="K3080">
        <v>52622.9</v>
      </c>
      <c r="L3080" t="s">
        <v>2917</v>
      </c>
      <c r="M3080">
        <v>52622.9</v>
      </c>
      <c r="N3080" t="s">
        <v>2917</v>
      </c>
      <c r="O3080" t="s">
        <v>3070</v>
      </c>
      <c r="P3080" t="s">
        <v>2208</v>
      </c>
      <c r="Q3080" t="s">
        <v>2975</v>
      </c>
      <c r="R3080" t="s">
        <v>3316</v>
      </c>
    </row>
    <row r="3081" spans="1:18">
      <c r="A3081" t="s">
        <v>709</v>
      </c>
      <c r="B3081" t="s">
        <v>16360</v>
      </c>
      <c r="C3081">
        <v>45777</v>
      </c>
      <c r="D3081" t="s">
        <v>7263</v>
      </c>
      <c r="E3081" t="s">
        <v>16361</v>
      </c>
      <c r="F3081">
        <v>45778</v>
      </c>
      <c r="G3081" t="s">
        <v>2208</v>
      </c>
      <c r="H3081" t="s">
        <v>8318</v>
      </c>
      <c r="I3081" t="s">
        <v>17801</v>
      </c>
      <c r="J3081">
        <v>0</v>
      </c>
      <c r="K3081">
        <v>-4760</v>
      </c>
      <c r="L3081" t="s">
        <v>2917</v>
      </c>
      <c r="M3081">
        <v>-4760</v>
      </c>
      <c r="N3081" t="s">
        <v>2917</v>
      </c>
      <c r="O3081" t="s">
        <v>8354</v>
      </c>
      <c r="P3081" t="s">
        <v>2208</v>
      </c>
      <c r="Q3081" t="s">
        <v>8321</v>
      </c>
      <c r="R3081" t="s">
        <v>8322</v>
      </c>
    </row>
    <row r="3082" spans="1:18">
      <c r="A3082" t="s">
        <v>2237</v>
      </c>
      <c r="B3082" t="s">
        <v>16360</v>
      </c>
      <c r="C3082">
        <v>45777</v>
      </c>
      <c r="D3082" t="s">
        <v>7263</v>
      </c>
      <c r="E3082" t="s">
        <v>16361</v>
      </c>
      <c r="F3082">
        <v>45778</v>
      </c>
      <c r="G3082" t="s">
        <v>2208</v>
      </c>
      <c r="H3082" t="s">
        <v>8318</v>
      </c>
      <c r="I3082" t="s">
        <v>17801</v>
      </c>
      <c r="J3082">
        <v>0</v>
      </c>
      <c r="K3082">
        <v>-153889.60000000001</v>
      </c>
      <c r="L3082" t="s">
        <v>2917</v>
      </c>
      <c r="M3082">
        <v>-153889.60000000001</v>
      </c>
      <c r="N3082" t="s">
        <v>2917</v>
      </c>
      <c r="O3082" t="s">
        <v>12106</v>
      </c>
      <c r="P3082" t="s">
        <v>2208</v>
      </c>
      <c r="Q3082" t="s">
        <v>8321</v>
      </c>
      <c r="R3082" t="s">
        <v>8322</v>
      </c>
    </row>
    <row r="3083" spans="1:18">
      <c r="A3083" t="s">
        <v>2237</v>
      </c>
      <c r="B3083" t="s">
        <v>16360</v>
      </c>
      <c r="C3083">
        <v>45777</v>
      </c>
      <c r="D3083" t="s">
        <v>7263</v>
      </c>
      <c r="E3083" t="s">
        <v>16361</v>
      </c>
      <c r="F3083">
        <v>45778</v>
      </c>
      <c r="G3083" t="s">
        <v>2208</v>
      </c>
      <c r="H3083" t="s">
        <v>8318</v>
      </c>
      <c r="I3083" t="s">
        <v>17801</v>
      </c>
      <c r="J3083">
        <v>0</v>
      </c>
      <c r="K3083">
        <v>-178656.53</v>
      </c>
      <c r="L3083" t="s">
        <v>2917</v>
      </c>
      <c r="M3083">
        <v>-178656.53</v>
      </c>
      <c r="N3083" t="s">
        <v>2917</v>
      </c>
      <c r="O3083" t="s">
        <v>12106</v>
      </c>
      <c r="P3083" t="s">
        <v>2208</v>
      </c>
      <c r="Q3083" t="s">
        <v>8321</v>
      </c>
      <c r="R3083" t="s">
        <v>8322</v>
      </c>
    </row>
    <row r="3084" spans="1:18">
      <c r="A3084" t="s">
        <v>2237</v>
      </c>
      <c r="B3084" t="s">
        <v>16360</v>
      </c>
      <c r="C3084">
        <v>45777</v>
      </c>
      <c r="D3084" t="s">
        <v>7263</v>
      </c>
      <c r="E3084" t="s">
        <v>16361</v>
      </c>
      <c r="F3084">
        <v>45778</v>
      </c>
      <c r="G3084" t="s">
        <v>2208</v>
      </c>
      <c r="H3084" t="s">
        <v>8318</v>
      </c>
      <c r="I3084" t="s">
        <v>17801</v>
      </c>
      <c r="J3084">
        <v>0</v>
      </c>
      <c r="K3084">
        <v>-235534.64</v>
      </c>
      <c r="L3084" t="s">
        <v>2917</v>
      </c>
      <c r="M3084">
        <v>-235534.64</v>
      </c>
      <c r="N3084" t="s">
        <v>2917</v>
      </c>
      <c r="O3084" t="s">
        <v>12106</v>
      </c>
      <c r="P3084" t="s">
        <v>2208</v>
      </c>
      <c r="Q3084" t="s">
        <v>8321</v>
      </c>
      <c r="R3084" t="s">
        <v>8322</v>
      </c>
    </row>
    <row r="3085" spans="1:18">
      <c r="A3085" t="s">
        <v>2237</v>
      </c>
      <c r="B3085" t="s">
        <v>16360</v>
      </c>
      <c r="C3085">
        <v>45777</v>
      </c>
      <c r="D3085" t="s">
        <v>7263</v>
      </c>
      <c r="E3085" t="s">
        <v>16361</v>
      </c>
      <c r="F3085">
        <v>45778</v>
      </c>
      <c r="G3085" t="s">
        <v>2208</v>
      </c>
      <c r="H3085" t="s">
        <v>8318</v>
      </c>
      <c r="I3085" t="s">
        <v>17801</v>
      </c>
      <c r="J3085">
        <v>0</v>
      </c>
      <c r="K3085">
        <v>-235534.64</v>
      </c>
      <c r="L3085" t="s">
        <v>2917</v>
      </c>
      <c r="M3085">
        <v>-235534.64</v>
      </c>
      <c r="N3085" t="s">
        <v>2917</v>
      </c>
      <c r="O3085" t="s">
        <v>12106</v>
      </c>
      <c r="P3085" t="s">
        <v>2208</v>
      </c>
      <c r="Q3085" t="s">
        <v>8321</v>
      </c>
      <c r="R3085" t="s">
        <v>8322</v>
      </c>
    </row>
    <row r="3086" spans="1:18">
      <c r="A3086" t="s">
        <v>2237</v>
      </c>
      <c r="B3086" t="s">
        <v>16360</v>
      </c>
      <c r="C3086">
        <v>45777</v>
      </c>
      <c r="D3086" t="s">
        <v>7263</v>
      </c>
      <c r="E3086" t="s">
        <v>16361</v>
      </c>
      <c r="F3086">
        <v>45778</v>
      </c>
      <c r="G3086" t="s">
        <v>2208</v>
      </c>
      <c r="H3086" t="s">
        <v>8318</v>
      </c>
      <c r="I3086" t="s">
        <v>17801</v>
      </c>
      <c r="J3086">
        <v>0</v>
      </c>
      <c r="K3086">
        <v>-137899.38</v>
      </c>
      <c r="L3086" t="s">
        <v>2917</v>
      </c>
      <c r="M3086">
        <v>-137899.38</v>
      </c>
      <c r="N3086" t="s">
        <v>2917</v>
      </c>
      <c r="O3086" t="s">
        <v>12106</v>
      </c>
      <c r="P3086" t="s">
        <v>2208</v>
      </c>
      <c r="Q3086" t="s">
        <v>8321</v>
      </c>
      <c r="R3086" t="s">
        <v>8322</v>
      </c>
    </row>
    <row r="3087" spans="1:18">
      <c r="A3087" t="s">
        <v>2237</v>
      </c>
      <c r="B3087" t="s">
        <v>16360</v>
      </c>
      <c r="C3087">
        <v>45777</v>
      </c>
      <c r="D3087" t="s">
        <v>7263</v>
      </c>
      <c r="E3087" t="s">
        <v>16361</v>
      </c>
      <c r="F3087">
        <v>45778</v>
      </c>
      <c r="G3087" t="s">
        <v>2208</v>
      </c>
      <c r="H3087" t="s">
        <v>8318</v>
      </c>
      <c r="I3087" t="s">
        <v>17801</v>
      </c>
      <c r="J3087">
        <v>0</v>
      </c>
      <c r="K3087">
        <v>-137899.38</v>
      </c>
      <c r="L3087" t="s">
        <v>2917</v>
      </c>
      <c r="M3087">
        <v>-137899.38</v>
      </c>
      <c r="N3087" t="s">
        <v>2917</v>
      </c>
      <c r="O3087" t="s">
        <v>12106</v>
      </c>
      <c r="P3087" t="s">
        <v>2208</v>
      </c>
      <c r="Q3087" t="s">
        <v>8321</v>
      </c>
      <c r="R3087" t="s">
        <v>8322</v>
      </c>
    </row>
    <row r="3088" spans="1:18">
      <c r="A3088" t="s">
        <v>2418</v>
      </c>
      <c r="B3088" t="s">
        <v>16360</v>
      </c>
      <c r="C3088">
        <v>45777</v>
      </c>
      <c r="D3088" t="s">
        <v>7263</v>
      </c>
      <c r="E3088" t="s">
        <v>16361</v>
      </c>
      <c r="F3088">
        <v>45778</v>
      </c>
      <c r="G3088" t="s">
        <v>2208</v>
      </c>
      <c r="H3088" t="s">
        <v>8318</v>
      </c>
      <c r="I3088" t="s">
        <v>17801</v>
      </c>
      <c r="J3088">
        <v>0</v>
      </c>
      <c r="K3088">
        <v>-29056.95</v>
      </c>
      <c r="L3088" t="s">
        <v>2917</v>
      </c>
      <c r="M3088">
        <v>-29056.95</v>
      </c>
      <c r="N3088" t="s">
        <v>2917</v>
      </c>
      <c r="O3088" t="s">
        <v>16906</v>
      </c>
      <c r="P3088" t="s">
        <v>2208</v>
      </c>
      <c r="Q3088" t="s">
        <v>8321</v>
      </c>
      <c r="R3088" t="s">
        <v>8322</v>
      </c>
    </row>
    <row r="3089" spans="1:18">
      <c r="A3089" t="s">
        <v>2418</v>
      </c>
      <c r="B3089" t="s">
        <v>16360</v>
      </c>
      <c r="C3089">
        <v>45777</v>
      </c>
      <c r="D3089" t="s">
        <v>7263</v>
      </c>
      <c r="E3089" t="s">
        <v>16361</v>
      </c>
      <c r="F3089">
        <v>45778</v>
      </c>
      <c r="G3089" t="s">
        <v>2208</v>
      </c>
      <c r="H3089" t="s">
        <v>8318</v>
      </c>
      <c r="I3089" t="s">
        <v>17801</v>
      </c>
      <c r="J3089">
        <v>0</v>
      </c>
      <c r="K3089">
        <v>-6293</v>
      </c>
      <c r="L3089" t="s">
        <v>2917</v>
      </c>
      <c r="M3089">
        <v>-6293</v>
      </c>
      <c r="N3089" t="s">
        <v>2917</v>
      </c>
      <c r="O3089" t="s">
        <v>8330</v>
      </c>
      <c r="P3089" t="s">
        <v>2208</v>
      </c>
      <c r="Q3089" t="s">
        <v>8321</v>
      </c>
      <c r="R3089" t="s">
        <v>8322</v>
      </c>
    </row>
    <row r="3090" spans="1:18">
      <c r="A3090" t="s">
        <v>2418</v>
      </c>
      <c r="B3090" t="s">
        <v>16360</v>
      </c>
      <c r="C3090">
        <v>45777</v>
      </c>
      <c r="D3090" t="s">
        <v>7263</v>
      </c>
      <c r="E3090" t="s">
        <v>16361</v>
      </c>
      <c r="F3090">
        <v>45778</v>
      </c>
      <c r="G3090" t="s">
        <v>2208</v>
      </c>
      <c r="H3090" t="s">
        <v>8318</v>
      </c>
      <c r="I3090" t="s">
        <v>17801</v>
      </c>
      <c r="J3090">
        <v>0</v>
      </c>
      <c r="K3090">
        <v>-295215.32</v>
      </c>
      <c r="L3090" t="s">
        <v>2917</v>
      </c>
      <c r="M3090">
        <v>-295215.32</v>
      </c>
      <c r="N3090" t="s">
        <v>2917</v>
      </c>
      <c r="O3090" t="s">
        <v>16907</v>
      </c>
      <c r="P3090" t="s">
        <v>2208</v>
      </c>
      <c r="Q3090" t="s">
        <v>8321</v>
      </c>
      <c r="R3090" t="s">
        <v>8322</v>
      </c>
    </row>
    <row r="3091" spans="1:18">
      <c r="A3091" t="s">
        <v>2418</v>
      </c>
      <c r="B3091" t="s">
        <v>16360</v>
      </c>
      <c r="C3091">
        <v>45777</v>
      </c>
      <c r="D3091" t="s">
        <v>7263</v>
      </c>
      <c r="E3091" t="s">
        <v>16361</v>
      </c>
      <c r="F3091">
        <v>45778</v>
      </c>
      <c r="G3091" t="s">
        <v>2208</v>
      </c>
      <c r="H3091" t="s">
        <v>8318</v>
      </c>
      <c r="I3091" t="s">
        <v>17801</v>
      </c>
      <c r="J3091">
        <v>0</v>
      </c>
      <c r="K3091">
        <v>-89800</v>
      </c>
      <c r="L3091" t="s">
        <v>2917</v>
      </c>
      <c r="M3091">
        <v>-89800</v>
      </c>
      <c r="N3091" t="s">
        <v>2917</v>
      </c>
      <c r="O3091" t="s">
        <v>8355</v>
      </c>
      <c r="P3091" t="s">
        <v>2208</v>
      </c>
      <c r="Q3091" t="s">
        <v>8321</v>
      </c>
      <c r="R3091" t="s">
        <v>8322</v>
      </c>
    </row>
    <row r="3092" spans="1:18">
      <c r="A3092" t="s">
        <v>2418</v>
      </c>
      <c r="B3092" t="s">
        <v>16360</v>
      </c>
      <c r="C3092">
        <v>45777</v>
      </c>
      <c r="D3092" t="s">
        <v>7263</v>
      </c>
      <c r="E3092" t="s">
        <v>16361</v>
      </c>
      <c r="F3092">
        <v>45778</v>
      </c>
      <c r="G3092" t="s">
        <v>2208</v>
      </c>
      <c r="H3092" t="s">
        <v>8318</v>
      </c>
      <c r="I3092" t="s">
        <v>17801</v>
      </c>
      <c r="J3092">
        <v>0</v>
      </c>
      <c r="K3092">
        <v>-71820</v>
      </c>
      <c r="L3092" t="s">
        <v>2917</v>
      </c>
      <c r="M3092">
        <v>-71820</v>
      </c>
      <c r="N3092" t="s">
        <v>2917</v>
      </c>
      <c r="O3092" t="s">
        <v>12107</v>
      </c>
      <c r="P3092" t="s">
        <v>2208</v>
      </c>
      <c r="Q3092" t="s">
        <v>8321</v>
      </c>
      <c r="R3092" t="s">
        <v>8322</v>
      </c>
    </row>
    <row r="3093" spans="1:18">
      <c r="A3093" t="s">
        <v>2418</v>
      </c>
      <c r="B3093" t="s">
        <v>16360</v>
      </c>
      <c r="C3093">
        <v>45777</v>
      </c>
      <c r="D3093" t="s">
        <v>7263</v>
      </c>
      <c r="E3093" t="s">
        <v>16361</v>
      </c>
      <c r="F3093">
        <v>45778</v>
      </c>
      <c r="G3093" t="s">
        <v>2208</v>
      </c>
      <c r="H3093" t="s">
        <v>8318</v>
      </c>
      <c r="I3093" t="s">
        <v>17801</v>
      </c>
      <c r="J3093">
        <v>0</v>
      </c>
      <c r="K3093">
        <v>-75279.41</v>
      </c>
      <c r="L3093" t="s">
        <v>2917</v>
      </c>
      <c r="M3093">
        <v>-75279.41</v>
      </c>
      <c r="N3093" t="s">
        <v>2917</v>
      </c>
      <c r="O3093" t="s">
        <v>8330</v>
      </c>
      <c r="P3093" t="s">
        <v>2208</v>
      </c>
      <c r="Q3093" t="s">
        <v>8321</v>
      </c>
      <c r="R3093" t="s">
        <v>8322</v>
      </c>
    </row>
    <row r="3094" spans="1:18">
      <c r="A3094" t="s">
        <v>2418</v>
      </c>
      <c r="B3094" t="s">
        <v>16360</v>
      </c>
      <c r="C3094">
        <v>45777</v>
      </c>
      <c r="D3094" t="s">
        <v>7263</v>
      </c>
      <c r="E3094" t="s">
        <v>16361</v>
      </c>
      <c r="F3094">
        <v>45778</v>
      </c>
      <c r="G3094" t="s">
        <v>2208</v>
      </c>
      <c r="H3094" t="s">
        <v>8318</v>
      </c>
      <c r="I3094" t="s">
        <v>17801</v>
      </c>
      <c r="J3094">
        <v>0</v>
      </c>
      <c r="K3094">
        <v>-15518.9</v>
      </c>
      <c r="L3094" t="s">
        <v>2917</v>
      </c>
      <c r="M3094">
        <v>-15518.9</v>
      </c>
      <c r="N3094" t="s">
        <v>2917</v>
      </c>
      <c r="O3094" t="s">
        <v>8330</v>
      </c>
      <c r="P3094" t="s">
        <v>2208</v>
      </c>
      <c r="Q3094" t="s">
        <v>8321</v>
      </c>
      <c r="R3094" t="s">
        <v>8322</v>
      </c>
    </row>
    <row r="3095" spans="1:18">
      <c r="A3095" t="s">
        <v>2418</v>
      </c>
      <c r="B3095" t="s">
        <v>16360</v>
      </c>
      <c r="C3095">
        <v>45777</v>
      </c>
      <c r="D3095" t="s">
        <v>7263</v>
      </c>
      <c r="E3095" t="s">
        <v>16361</v>
      </c>
      <c r="F3095">
        <v>45778</v>
      </c>
      <c r="G3095" t="s">
        <v>2208</v>
      </c>
      <c r="H3095" t="s">
        <v>8318</v>
      </c>
      <c r="I3095" t="s">
        <v>17801</v>
      </c>
      <c r="J3095">
        <v>0</v>
      </c>
      <c r="K3095">
        <v>-253757.13</v>
      </c>
      <c r="L3095" t="s">
        <v>2917</v>
      </c>
      <c r="M3095">
        <v>-253757.13</v>
      </c>
      <c r="N3095" t="s">
        <v>2917</v>
      </c>
      <c r="O3095" t="s">
        <v>8330</v>
      </c>
      <c r="P3095" t="s">
        <v>2208</v>
      </c>
      <c r="Q3095" t="s">
        <v>8321</v>
      </c>
      <c r="R3095" t="s">
        <v>8322</v>
      </c>
    </row>
    <row r="3096" spans="1:18">
      <c r="A3096" t="s">
        <v>2418</v>
      </c>
      <c r="B3096" t="s">
        <v>16360</v>
      </c>
      <c r="C3096">
        <v>45777</v>
      </c>
      <c r="D3096" t="s">
        <v>7263</v>
      </c>
      <c r="E3096" t="s">
        <v>16361</v>
      </c>
      <c r="F3096">
        <v>45778</v>
      </c>
      <c r="G3096" t="s">
        <v>2208</v>
      </c>
      <c r="H3096" t="s">
        <v>8318</v>
      </c>
      <c r="I3096" t="s">
        <v>17801</v>
      </c>
      <c r="J3096">
        <v>0</v>
      </c>
      <c r="K3096">
        <v>-50795.199999999997</v>
      </c>
      <c r="L3096" t="s">
        <v>2917</v>
      </c>
      <c r="M3096">
        <v>-50795.199999999997</v>
      </c>
      <c r="N3096" t="s">
        <v>2917</v>
      </c>
      <c r="O3096" t="s">
        <v>8330</v>
      </c>
      <c r="P3096" t="s">
        <v>2208</v>
      </c>
      <c r="Q3096" t="s">
        <v>8321</v>
      </c>
      <c r="R3096" t="s">
        <v>8322</v>
      </c>
    </row>
    <row r="3097" spans="1:18">
      <c r="A3097" t="s">
        <v>2418</v>
      </c>
      <c r="B3097" t="s">
        <v>16360</v>
      </c>
      <c r="C3097">
        <v>45777</v>
      </c>
      <c r="D3097" t="s">
        <v>7263</v>
      </c>
      <c r="E3097" t="s">
        <v>16361</v>
      </c>
      <c r="F3097">
        <v>45778</v>
      </c>
      <c r="G3097" t="s">
        <v>2208</v>
      </c>
      <c r="H3097" t="s">
        <v>8318</v>
      </c>
      <c r="I3097" t="s">
        <v>17801</v>
      </c>
      <c r="J3097">
        <v>0</v>
      </c>
      <c r="K3097">
        <v>-11745.37</v>
      </c>
      <c r="L3097" t="s">
        <v>2917</v>
      </c>
      <c r="M3097">
        <v>-11745.37</v>
      </c>
      <c r="N3097" t="s">
        <v>2917</v>
      </c>
      <c r="O3097" t="s">
        <v>8330</v>
      </c>
      <c r="P3097" t="s">
        <v>2208</v>
      </c>
      <c r="Q3097" t="s">
        <v>8321</v>
      </c>
      <c r="R3097" t="s">
        <v>8322</v>
      </c>
    </row>
    <row r="3098" spans="1:18">
      <c r="A3098" t="s">
        <v>2418</v>
      </c>
      <c r="B3098" t="s">
        <v>16360</v>
      </c>
      <c r="C3098">
        <v>45777</v>
      </c>
      <c r="D3098" t="s">
        <v>7263</v>
      </c>
      <c r="E3098" t="s">
        <v>16361</v>
      </c>
      <c r="F3098">
        <v>45778</v>
      </c>
      <c r="G3098" t="s">
        <v>2208</v>
      </c>
      <c r="H3098" t="s">
        <v>8318</v>
      </c>
      <c r="I3098" t="s">
        <v>17801</v>
      </c>
      <c r="J3098">
        <v>0</v>
      </c>
      <c r="K3098">
        <v>-2351.1</v>
      </c>
      <c r="L3098" t="s">
        <v>2917</v>
      </c>
      <c r="M3098">
        <v>-2351.1</v>
      </c>
      <c r="N3098" t="s">
        <v>2917</v>
      </c>
      <c r="O3098" t="s">
        <v>8330</v>
      </c>
      <c r="P3098" t="s">
        <v>2208</v>
      </c>
      <c r="Q3098" t="s">
        <v>8321</v>
      </c>
      <c r="R3098" t="s">
        <v>8322</v>
      </c>
    </row>
    <row r="3099" spans="1:18">
      <c r="A3099" t="s">
        <v>2418</v>
      </c>
      <c r="B3099" t="s">
        <v>16360</v>
      </c>
      <c r="C3099">
        <v>45777</v>
      </c>
      <c r="D3099" t="s">
        <v>7263</v>
      </c>
      <c r="E3099" t="s">
        <v>16361</v>
      </c>
      <c r="F3099">
        <v>45778</v>
      </c>
      <c r="G3099" t="s">
        <v>2208</v>
      </c>
      <c r="H3099" t="s">
        <v>8318</v>
      </c>
      <c r="I3099" t="s">
        <v>17801</v>
      </c>
      <c r="J3099">
        <v>0</v>
      </c>
      <c r="K3099">
        <v>-19886.849999999999</v>
      </c>
      <c r="L3099" t="s">
        <v>2917</v>
      </c>
      <c r="M3099">
        <v>-19886.849999999999</v>
      </c>
      <c r="N3099" t="s">
        <v>2917</v>
      </c>
      <c r="O3099" t="s">
        <v>8330</v>
      </c>
      <c r="P3099" t="s">
        <v>2208</v>
      </c>
      <c r="Q3099" t="s">
        <v>8321</v>
      </c>
      <c r="R3099" t="s">
        <v>8322</v>
      </c>
    </row>
    <row r="3100" spans="1:18">
      <c r="A3100" t="s">
        <v>2418</v>
      </c>
      <c r="B3100" t="s">
        <v>16360</v>
      </c>
      <c r="C3100">
        <v>45777</v>
      </c>
      <c r="D3100" t="s">
        <v>7263</v>
      </c>
      <c r="E3100" t="s">
        <v>16361</v>
      </c>
      <c r="F3100">
        <v>45778</v>
      </c>
      <c r="G3100" t="s">
        <v>2208</v>
      </c>
      <c r="H3100" t="s">
        <v>8318</v>
      </c>
      <c r="I3100" t="s">
        <v>17801</v>
      </c>
      <c r="J3100">
        <v>0</v>
      </c>
      <c r="K3100">
        <v>-3980.8</v>
      </c>
      <c r="L3100" t="s">
        <v>2917</v>
      </c>
      <c r="M3100">
        <v>-3980.8</v>
      </c>
      <c r="N3100" t="s">
        <v>2917</v>
      </c>
      <c r="O3100" t="s">
        <v>8330</v>
      </c>
      <c r="P3100" t="s">
        <v>2208</v>
      </c>
      <c r="Q3100" t="s">
        <v>8321</v>
      </c>
      <c r="R3100" t="s">
        <v>8322</v>
      </c>
    </row>
    <row r="3101" spans="1:18">
      <c r="A3101" t="s">
        <v>2418</v>
      </c>
      <c r="B3101" t="s">
        <v>16360</v>
      </c>
      <c r="C3101">
        <v>45777</v>
      </c>
      <c r="D3101" t="s">
        <v>7263</v>
      </c>
      <c r="E3101" t="s">
        <v>16361</v>
      </c>
      <c r="F3101">
        <v>45778</v>
      </c>
      <c r="G3101" t="s">
        <v>2208</v>
      </c>
      <c r="H3101" t="s">
        <v>8318</v>
      </c>
      <c r="I3101" t="s">
        <v>17801</v>
      </c>
      <c r="J3101">
        <v>0</v>
      </c>
      <c r="K3101">
        <v>-40069.440000000002</v>
      </c>
      <c r="L3101" t="s">
        <v>2917</v>
      </c>
      <c r="M3101">
        <v>-40069.440000000002</v>
      </c>
      <c r="N3101" t="s">
        <v>2917</v>
      </c>
      <c r="O3101" t="s">
        <v>8330</v>
      </c>
      <c r="P3101" t="s">
        <v>2208</v>
      </c>
      <c r="Q3101" t="s">
        <v>8321</v>
      </c>
      <c r="R3101" t="s">
        <v>8322</v>
      </c>
    </row>
    <row r="3102" spans="1:18">
      <c r="A3102" t="s">
        <v>2418</v>
      </c>
      <c r="B3102" t="s">
        <v>16360</v>
      </c>
      <c r="C3102">
        <v>45777</v>
      </c>
      <c r="D3102" t="s">
        <v>7263</v>
      </c>
      <c r="E3102" t="s">
        <v>16361</v>
      </c>
      <c r="F3102">
        <v>45778</v>
      </c>
      <c r="G3102" t="s">
        <v>2208</v>
      </c>
      <c r="H3102" t="s">
        <v>8318</v>
      </c>
      <c r="I3102" t="s">
        <v>17801</v>
      </c>
      <c r="J3102">
        <v>0</v>
      </c>
      <c r="K3102">
        <v>-8020.8</v>
      </c>
      <c r="L3102" t="s">
        <v>2917</v>
      </c>
      <c r="M3102">
        <v>-8020.8</v>
      </c>
      <c r="N3102" t="s">
        <v>2917</v>
      </c>
      <c r="O3102" t="s">
        <v>8330</v>
      </c>
      <c r="P3102" t="s">
        <v>2208</v>
      </c>
      <c r="Q3102" t="s">
        <v>8321</v>
      </c>
      <c r="R3102" t="s">
        <v>8322</v>
      </c>
    </row>
    <row r="3103" spans="1:18">
      <c r="A3103" t="s">
        <v>2418</v>
      </c>
      <c r="B3103" t="s">
        <v>16360</v>
      </c>
      <c r="C3103">
        <v>45777</v>
      </c>
      <c r="D3103" t="s">
        <v>7263</v>
      </c>
      <c r="E3103" t="s">
        <v>16361</v>
      </c>
      <c r="F3103">
        <v>45778</v>
      </c>
      <c r="G3103" t="s">
        <v>2208</v>
      </c>
      <c r="H3103" t="s">
        <v>8318</v>
      </c>
      <c r="I3103" t="s">
        <v>17801</v>
      </c>
      <c r="J3103">
        <v>0</v>
      </c>
      <c r="K3103">
        <v>-2488.5</v>
      </c>
      <c r="L3103" t="s">
        <v>2917</v>
      </c>
      <c r="M3103">
        <v>-2488.5</v>
      </c>
      <c r="N3103" t="s">
        <v>2917</v>
      </c>
      <c r="O3103" t="s">
        <v>8356</v>
      </c>
      <c r="P3103" t="s">
        <v>2208</v>
      </c>
      <c r="Q3103" t="s">
        <v>8321</v>
      </c>
      <c r="R3103" t="s">
        <v>8322</v>
      </c>
    </row>
    <row r="3104" spans="1:18">
      <c r="A3104" t="s">
        <v>2418</v>
      </c>
      <c r="B3104" t="s">
        <v>16360</v>
      </c>
      <c r="C3104">
        <v>45777</v>
      </c>
      <c r="D3104" t="s">
        <v>7263</v>
      </c>
      <c r="E3104" t="s">
        <v>16361</v>
      </c>
      <c r="F3104">
        <v>45778</v>
      </c>
      <c r="G3104" t="s">
        <v>2208</v>
      </c>
      <c r="H3104" t="s">
        <v>8318</v>
      </c>
      <c r="I3104" t="s">
        <v>17801</v>
      </c>
      <c r="J3104">
        <v>0</v>
      </c>
      <c r="K3104">
        <v>-10304.4</v>
      </c>
      <c r="L3104" t="s">
        <v>2917</v>
      </c>
      <c r="M3104">
        <v>-10304.4</v>
      </c>
      <c r="N3104" t="s">
        <v>2917</v>
      </c>
      <c r="O3104" t="s">
        <v>8357</v>
      </c>
      <c r="P3104" t="s">
        <v>2208</v>
      </c>
      <c r="Q3104" t="s">
        <v>8321</v>
      </c>
      <c r="R3104" t="s">
        <v>8322</v>
      </c>
    </row>
    <row r="3105" spans="1:18">
      <c r="A3105" t="s">
        <v>2237</v>
      </c>
      <c r="B3105" t="s">
        <v>16360</v>
      </c>
      <c r="C3105">
        <v>45777</v>
      </c>
      <c r="D3105" t="s">
        <v>7263</v>
      </c>
      <c r="E3105" t="s">
        <v>16361</v>
      </c>
      <c r="F3105">
        <v>45778</v>
      </c>
      <c r="G3105" t="s">
        <v>2208</v>
      </c>
      <c r="H3105" t="s">
        <v>8318</v>
      </c>
      <c r="I3105" t="s">
        <v>17802</v>
      </c>
      <c r="J3105">
        <v>0</v>
      </c>
      <c r="K3105">
        <v>-3540</v>
      </c>
      <c r="L3105" t="s">
        <v>2917</v>
      </c>
      <c r="M3105">
        <v>-3540</v>
      </c>
      <c r="N3105" t="s">
        <v>2917</v>
      </c>
      <c r="O3105" t="s">
        <v>16909</v>
      </c>
      <c r="P3105" t="s">
        <v>2208</v>
      </c>
      <c r="Q3105" t="s">
        <v>8321</v>
      </c>
      <c r="R3105" t="s">
        <v>8322</v>
      </c>
    </row>
    <row r="3106" spans="1:18">
      <c r="A3106" t="s">
        <v>2418</v>
      </c>
      <c r="B3106" t="s">
        <v>16360</v>
      </c>
      <c r="C3106">
        <v>45777</v>
      </c>
      <c r="D3106" t="s">
        <v>7263</v>
      </c>
      <c r="E3106" t="s">
        <v>16361</v>
      </c>
      <c r="F3106">
        <v>45778</v>
      </c>
      <c r="G3106" t="s">
        <v>2208</v>
      </c>
      <c r="H3106" t="s">
        <v>8318</v>
      </c>
      <c r="I3106" t="s">
        <v>17802</v>
      </c>
      <c r="J3106">
        <v>0</v>
      </c>
      <c r="K3106">
        <v>-5612.65</v>
      </c>
      <c r="L3106" t="s">
        <v>2917</v>
      </c>
      <c r="M3106">
        <v>-5612.65</v>
      </c>
      <c r="N3106" t="s">
        <v>2917</v>
      </c>
      <c r="O3106" t="s">
        <v>16910</v>
      </c>
      <c r="P3106" t="s">
        <v>2208</v>
      </c>
      <c r="Q3106" t="s">
        <v>8321</v>
      </c>
      <c r="R3106" t="s">
        <v>8322</v>
      </c>
    </row>
    <row r="3107" spans="1:18">
      <c r="A3107" t="s">
        <v>7030</v>
      </c>
      <c r="B3107" t="s">
        <v>16360</v>
      </c>
      <c r="C3107">
        <v>45777</v>
      </c>
      <c r="D3107" t="s">
        <v>7263</v>
      </c>
      <c r="E3107" t="s">
        <v>16361</v>
      </c>
      <c r="F3107">
        <v>45778</v>
      </c>
      <c r="G3107" t="s">
        <v>2208</v>
      </c>
      <c r="H3107" t="s">
        <v>8318</v>
      </c>
      <c r="I3107" t="s">
        <v>17802</v>
      </c>
      <c r="J3107">
        <v>0</v>
      </c>
      <c r="K3107">
        <v>-20188.3</v>
      </c>
      <c r="L3107" t="s">
        <v>2917</v>
      </c>
      <c r="M3107">
        <v>-20188.3</v>
      </c>
      <c r="N3107" t="s">
        <v>2917</v>
      </c>
      <c r="O3107" t="s">
        <v>16911</v>
      </c>
      <c r="P3107" t="s">
        <v>2208</v>
      </c>
      <c r="Q3107" t="s">
        <v>8321</v>
      </c>
      <c r="R3107" t="s">
        <v>8322</v>
      </c>
    </row>
    <row r="3108" spans="1:18">
      <c r="A3108" t="s">
        <v>2418</v>
      </c>
      <c r="B3108" t="s">
        <v>16360</v>
      </c>
      <c r="C3108">
        <v>45777</v>
      </c>
      <c r="D3108" t="s">
        <v>7263</v>
      </c>
      <c r="E3108" t="s">
        <v>16361</v>
      </c>
      <c r="F3108">
        <v>45778</v>
      </c>
      <c r="G3108" t="s">
        <v>2208</v>
      </c>
      <c r="H3108" t="s">
        <v>8318</v>
      </c>
      <c r="I3108" t="s">
        <v>17802</v>
      </c>
      <c r="J3108">
        <v>0</v>
      </c>
      <c r="K3108">
        <v>-11275</v>
      </c>
      <c r="L3108" t="s">
        <v>2917</v>
      </c>
      <c r="M3108">
        <v>-11275</v>
      </c>
      <c r="N3108" t="s">
        <v>2917</v>
      </c>
      <c r="O3108" t="s">
        <v>16912</v>
      </c>
      <c r="P3108" t="s">
        <v>2208</v>
      </c>
      <c r="Q3108" t="s">
        <v>8321</v>
      </c>
      <c r="R3108" t="s">
        <v>8322</v>
      </c>
    </row>
    <row r="3109" spans="1:18">
      <c r="A3109" t="s">
        <v>810</v>
      </c>
      <c r="B3109" t="s">
        <v>16360</v>
      </c>
      <c r="C3109">
        <v>45777</v>
      </c>
      <c r="D3109" t="s">
        <v>7263</v>
      </c>
      <c r="E3109" t="s">
        <v>16361</v>
      </c>
      <c r="F3109">
        <v>45778</v>
      </c>
      <c r="G3109" t="s">
        <v>2208</v>
      </c>
      <c r="H3109" t="s">
        <v>8318</v>
      </c>
      <c r="I3109" t="s">
        <v>17802</v>
      </c>
      <c r="J3109">
        <v>0</v>
      </c>
      <c r="K3109">
        <v>-2411</v>
      </c>
      <c r="L3109" t="s">
        <v>2917</v>
      </c>
      <c r="M3109">
        <v>-2411</v>
      </c>
      <c r="N3109" t="s">
        <v>2917</v>
      </c>
      <c r="O3109" t="s">
        <v>16913</v>
      </c>
      <c r="P3109" t="s">
        <v>2208</v>
      </c>
      <c r="Q3109" t="s">
        <v>8321</v>
      </c>
      <c r="R3109" t="s">
        <v>8322</v>
      </c>
    </row>
    <row r="3110" spans="1:18">
      <c r="A3110" t="s">
        <v>709</v>
      </c>
      <c r="B3110" t="s">
        <v>16360</v>
      </c>
      <c r="C3110">
        <v>45808</v>
      </c>
      <c r="D3110" t="s">
        <v>7263</v>
      </c>
      <c r="E3110" t="s">
        <v>16361</v>
      </c>
      <c r="F3110">
        <v>45808</v>
      </c>
      <c r="G3110" t="s">
        <v>2208</v>
      </c>
      <c r="H3110" t="s">
        <v>8318</v>
      </c>
      <c r="I3110" t="s">
        <v>18365</v>
      </c>
      <c r="J3110">
        <v>0</v>
      </c>
      <c r="K3110">
        <v>4760</v>
      </c>
      <c r="L3110" t="s">
        <v>2917</v>
      </c>
      <c r="M3110">
        <v>4760</v>
      </c>
      <c r="N3110" t="s">
        <v>2917</v>
      </c>
      <c r="O3110" t="s">
        <v>8354</v>
      </c>
      <c r="P3110" t="s">
        <v>2208</v>
      </c>
      <c r="Q3110" t="s">
        <v>8321</v>
      </c>
      <c r="R3110" t="s">
        <v>8322</v>
      </c>
    </row>
    <row r="3111" spans="1:18">
      <c r="A3111" t="s">
        <v>2237</v>
      </c>
      <c r="B3111" t="s">
        <v>16360</v>
      </c>
      <c r="C3111">
        <v>45808</v>
      </c>
      <c r="D3111" t="s">
        <v>7263</v>
      </c>
      <c r="E3111" t="s">
        <v>16361</v>
      </c>
      <c r="F3111">
        <v>45808</v>
      </c>
      <c r="G3111" t="s">
        <v>2208</v>
      </c>
      <c r="H3111" t="s">
        <v>8318</v>
      </c>
      <c r="I3111" t="s">
        <v>18365</v>
      </c>
      <c r="J3111">
        <v>0</v>
      </c>
      <c r="K3111">
        <v>153889.60000000001</v>
      </c>
      <c r="L3111" t="s">
        <v>2917</v>
      </c>
      <c r="M3111">
        <v>153889.60000000001</v>
      </c>
      <c r="N3111" t="s">
        <v>2917</v>
      </c>
      <c r="O3111" t="s">
        <v>12106</v>
      </c>
      <c r="P3111" t="s">
        <v>2208</v>
      </c>
      <c r="Q3111" t="s">
        <v>8321</v>
      </c>
      <c r="R3111" t="s">
        <v>8322</v>
      </c>
    </row>
    <row r="3112" spans="1:18">
      <c r="A3112" t="s">
        <v>2237</v>
      </c>
      <c r="B3112" t="s">
        <v>16360</v>
      </c>
      <c r="C3112">
        <v>45808</v>
      </c>
      <c r="D3112" t="s">
        <v>7263</v>
      </c>
      <c r="E3112" t="s">
        <v>16361</v>
      </c>
      <c r="F3112">
        <v>45808</v>
      </c>
      <c r="G3112" t="s">
        <v>2208</v>
      </c>
      <c r="H3112" t="s">
        <v>8318</v>
      </c>
      <c r="I3112" t="s">
        <v>18365</v>
      </c>
      <c r="J3112">
        <v>0</v>
      </c>
      <c r="K3112">
        <v>178656.53</v>
      </c>
      <c r="L3112" t="s">
        <v>2917</v>
      </c>
      <c r="M3112">
        <v>178656.53</v>
      </c>
      <c r="N3112" t="s">
        <v>2917</v>
      </c>
      <c r="O3112" t="s">
        <v>12106</v>
      </c>
      <c r="P3112" t="s">
        <v>2208</v>
      </c>
      <c r="Q3112" t="s">
        <v>8321</v>
      </c>
      <c r="R3112" t="s">
        <v>8322</v>
      </c>
    </row>
    <row r="3113" spans="1:18">
      <c r="A3113" t="s">
        <v>2237</v>
      </c>
      <c r="B3113" t="s">
        <v>16360</v>
      </c>
      <c r="C3113">
        <v>45808</v>
      </c>
      <c r="D3113" t="s">
        <v>7263</v>
      </c>
      <c r="E3113" t="s">
        <v>16361</v>
      </c>
      <c r="F3113">
        <v>45808</v>
      </c>
      <c r="G3113" t="s">
        <v>2208</v>
      </c>
      <c r="H3113" t="s">
        <v>8318</v>
      </c>
      <c r="I3113" t="s">
        <v>18365</v>
      </c>
      <c r="J3113">
        <v>0</v>
      </c>
      <c r="K3113">
        <v>235534.64</v>
      </c>
      <c r="L3113" t="s">
        <v>2917</v>
      </c>
      <c r="M3113">
        <v>235534.64</v>
      </c>
      <c r="N3113" t="s">
        <v>2917</v>
      </c>
      <c r="O3113" t="s">
        <v>12106</v>
      </c>
      <c r="P3113" t="s">
        <v>2208</v>
      </c>
      <c r="Q3113" t="s">
        <v>8321</v>
      </c>
      <c r="R3113" t="s">
        <v>8322</v>
      </c>
    </row>
    <row r="3114" spans="1:18">
      <c r="A3114" t="s">
        <v>2237</v>
      </c>
      <c r="B3114" t="s">
        <v>16360</v>
      </c>
      <c r="C3114">
        <v>45808</v>
      </c>
      <c r="D3114" t="s">
        <v>7263</v>
      </c>
      <c r="E3114" t="s">
        <v>16361</v>
      </c>
      <c r="F3114">
        <v>45808</v>
      </c>
      <c r="G3114" t="s">
        <v>2208</v>
      </c>
      <c r="H3114" t="s">
        <v>8318</v>
      </c>
      <c r="I3114" t="s">
        <v>18365</v>
      </c>
      <c r="J3114">
        <v>0</v>
      </c>
      <c r="K3114">
        <v>235534.64</v>
      </c>
      <c r="L3114" t="s">
        <v>2917</v>
      </c>
      <c r="M3114">
        <v>235534.64</v>
      </c>
      <c r="N3114" t="s">
        <v>2917</v>
      </c>
      <c r="O3114" t="s">
        <v>12106</v>
      </c>
      <c r="P3114" t="s">
        <v>2208</v>
      </c>
      <c r="Q3114" t="s">
        <v>8321</v>
      </c>
      <c r="R3114" t="s">
        <v>8322</v>
      </c>
    </row>
    <row r="3115" spans="1:18">
      <c r="A3115" t="s">
        <v>2237</v>
      </c>
      <c r="B3115" t="s">
        <v>16360</v>
      </c>
      <c r="C3115">
        <v>45808</v>
      </c>
      <c r="D3115" t="s">
        <v>7263</v>
      </c>
      <c r="E3115" t="s">
        <v>16361</v>
      </c>
      <c r="F3115">
        <v>45808</v>
      </c>
      <c r="G3115" t="s">
        <v>2208</v>
      </c>
      <c r="H3115" t="s">
        <v>8318</v>
      </c>
      <c r="I3115" t="s">
        <v>18365</v>
      </c>
      <c r="J3115">
        <v>0</v>
      </c>
      <c r="K3115">
        <v>137899.38</v>
      </c>
      <c r="L3115" t="s">
        <v>2917</v>
      </c>
      <c r="M3115">
        <v>137899.38</v>
      </c>
      <c r="N3115" t="s">
        <v>2917</v>
      </c>
      <c r="O3115" t="s">
        <v>12106</v>
      </c>
      <c r="P3115" t="s">
        <v>2208</v>
      </c>
      <c r="Q3115" t="s">
        <v>8321</v>
      </c>
      <c r="R3115" t="s">
        <v>8322</v>
      </c>
    </row>
    <row r="3116" spans="1:18">
      <c r="A3116" t="s">
        <v>2237</v>
      </c>
      <c r="B3116" t="s">
        <v>16360</v>
      </c>
      <c r="C3116">
        <v>45808</v>
      </c>
      <c r="D3116" t="s">
        <v>7263</v>
      </c>
      <c r="E3116" t="s">
        <v>16361</v>
      </c>
      <c r="F3116">
        <v>45808</v>
      </c>
      <c r="G3116" t="s">
        <v>2208</v>
      </c>
      <c r="H3116" t="s">
        <v>8318</v>
      </c>
      <c r="I3116" t="s">
        <v>18365</v>
      </c>
      <c r="J3116">
        <v>0</v>
      </c>
      <c r="K3116">
        <v>137899.38</v>
      </c>
      <c r="L3116" t="s">
        <v>2917</v>
      </c>
      <c r="M3116">
        <v>137899.38</v>
      </c>
      <c r="N3116" t="s">
        <v>2917</v>
      </c>
      <c r="O3116" t="s">
        <v>12106</v>
      </c>
      <c r="P3116" t="s">
        <v>2208</v>
      </c>
      <c r="Q3116" t="s">
        <v>8321</v>
      </c>
      <c r="R3116" t="s">
        <v>8322</v>
      </c>
    </row>
    <row r="3117" spans="1:18">
      <c r="A3117" t="s">
        <v>2418</v>
      </c>
      <c r="B3117" t="s">
        <v>16360</v>
      </c>
      <c r="C3117">
        <v>45808</v>
      </c>
      <c r="D3117" t="s">
        <v>7263</v>
      </c>
      <c r="E3117" t="s">
        <v>16361</v>
      </c>
      <c r="F3117">
        <v>45808</v>
      </c>
      <c r="G3117" t="s">
        <v>2208</v>
      </c>
      <c r="H3117" t="s">
        <v>8318</v>
      </c>
      <c r="I3117" t="s">
        <v>18365</v>
      </c>
      <c r="J3117">
        <v>0</v>
      </c>
      <c r="K3117">
        <v>29056.95</v>
      </c>
      <c r="L3117" t="s">
        <v>2917</v>
      </c>
      <c r="M3117">
        <v>29056.95</v>
      </c>
      <c r="N3117" t="s">
        <v>2917</v>
      </c>
      <c r="O3117" t="s">
        <v>16906</v>
      </c>
      <c r="P3117" t="s">
        <v>2208</v>
      </c>
      <c r="Q3117" t="s">
        <v>8321</v>
      </c>
      <c r="R3117" t="s">
        <v>8322</v>
      </c>
    </row>
    <row r="3118" spans="1:18">
      <c r="A3118" t="s">
        <v>2418</v>
      </c>
      <c r="B3118" t="s">
        <v>16360</v>
      </c>
      <c r="C3118">
        <v>45808</v>
      </c>
      <c r="D3118" t="s">
        <v>7263</v>
      </c>
      <c r="E3118" t="s">
        <v>16361</v>
      </c>
      <c r="F3118">
        <v>45808</v>
      </c>
      <c r="G3118" t="s">
        <v>2208</v>
      </c>
      <c r="H3118" t="s">
        <v>8318</v>
      </c>
      <c r="I3118" t="s">
        <v>18365</v>
      </c>
      <c r="J3118">
        <v>0</v>
      </c>
      <c r="K3118">
        <v>6293</v>
      </c>
      <c r="L3118" t="s">
        <v>2917</v>
      </c>
      <c r="M3118">
        <v>6293</v>
      </c>
      <c r="N3118" t="s">
        <v>2917</v>
      </c>
      <c r="O3118" t="s">
        <v>8330</v>
      </c>
      <c r="P3118" t="s">
        <v>2208</v>
      </c>
      <c r="Q3118" t="s">
        <v>8321</v>
      </c>
      <c r="R3118" t="s">
        <v>8322</v>
      </c>
    </row>
    <row r="3119" spans="1:18">
      <c r="A3119" t="s">
        <v>2418</v>
      </c>
      <c r="B3119" t="s">
        <v>16360</v>
      </c>
      <c r="C3119">
        <v>45808</v>
      </c>
      <c r="D3119" t="s">
        <v>7263</v>
      </c>
      <c r="E3119" t="s">
        <v>16361</v>
      </c>
      <c r="F3119">
        <v>45808</v>
      </c>
      <c r="G3119" t="s">
        <v>2208</v>
      </c>
      <c r="H3119" t="s">
        <v>8318</v>
      </c>
      <c r="I3119" t="s">
        <v>18365</v>
      </c>
      <c r="J3119">
        <v>0</v>
      </c>
      <c r="K3119">
        <v>89800</v>
      </c>
      <c r="L3119" t="s">
        <v>2917</v>
      </c>
      <c r="M3119">
        <v>89800</v>
      </c>
      <c r="N3119" t="s">
        <v>2917</v>
      </c>
      <c r="O3119" t="s">
        <v>18366</v>
      </c>
      <c r="P3119" t="s">
        <v>2208</v>
      </c>
      <c r="Q3119" t="s">
        <v>8321</v>
      </c>
      <c r="R3119" t="s">
        <v>8322</v>
      </c>
    </row>
    <row r="3120" spans="1:18">
      <c r="A3120" t="s">
        <v>2418</v>
      </c>
      <c r="B3120" t="s">
        <v>16360</v>
      </c>
      <c r="C3120">
        <v>45808</v>
      </c>
      <c r="D3120" t="s">
        <v>7263</v>
      </c>
      <c r="E3120" t="s">
        <v>16361</v>
      </c>
      <c r="F3120">
        <v>45808</v>
      </c>
      <c r="G3120" t="s">
        <v>2208</v>
      </c>
      <c r="H3120" t="s">
        <v>8318</v>
      </c>
      <c r="I3120" t="s">
        <v>18365</v>
      </c>
      <c r="J3120">
        <v>0</v>
      </c>
      <c r="K3120">
        <v>75279.41</v>
      </c>
      <c r="L3120" t="s">
        <v>2917</v>
      </c>
      <c r="M3120">
        <v>75279.41</v>
      </c>
      <c r="N3120" t="s">
        <v>2917</v>
      </c>
      <c r="O3120" t="s">
        <v>18367</v>
      </c>
      <c r="P3120" t="s">
        <v>2208</v>
      </c>
      <c r="Q3120" t="s">
        <v>8321</v>
      </c>
      <c r="R3120" t="s">
        <v>8322</v>
      </c>
    </row>
    <row r="3121" spans="1:18">
      <c r="A3121" t="s">
        <v>2418</v>
      </c>
      <c r="B3121" t="s">
        <v>16360</v>
      </c>
      <c r="C3121">
        <v>45808</v>
      </c>
      <c r="D3121" t="s">
        <v>7263</v>
      </c>
      <c r="E3121" t="s">
        <v>16361</v>
      </c>
      <c r="F3121">
        <v>45808</v>
      </c>
      <c r="G3121" t="s">
        <v>2208</v>
      </c>
      <c r="H3121" t="s">
        <v>8318</v>
      </c>
      <c r="I3121" t="s">
        <v>18365</v>
      </c>
      <c r="J3121">
        <v>0</v>
      </c>
      <c r="K3121">
        <v>15518.9</v>
      </c>
      <c r="L3121" t="s">
        <v>2917</v>
      </c>
      <c r="M3121">
        <v>15518.9</v>
      </c>
      <c r="N3121" t="s">
        <v>2917</v>
      </c>
      <c r="O3121" t="s">
        <v>18368</v>
      </c>
      <c r="P3121" t="s">
        <v>2208</v>
      </c>
      <c r="Q3121" t="s">
        <v>8321</v>
      </c>
      <c r="R3121" t="s">
        <v>8322</v>
      </c>
    </row>
    <row r="3122" spans="1:18">
      <c r="A3122" t="s">
        <v>2418</v>
      </c>
      <c r="B3122" t="s">
        <v>16360</v>
      </c>
      <c r="C3122">
        <v>45808</v>
      </c>
      <c r="D3122" t="s">
        <v>7263</v>
      </c>
      <c r="E3122" t="s">
        <v>16361</v>
      </c>
      <c r="F3122">
        <v>45808</v>
      </c>
      <c r="G3122" t="s">
        <v>2208</v>
      </c>
      <c r="H3122" t="s">
        <v>8318</v>
      </c>
      <c r="I3122" t="s">
        <v>18365</v>
      </c>
      <c r="J3122">
        <v>0</v>
      </c>
      <c r="K3122">
        <v>253757.13</v>
      </c>
      <c r="L3122" t="s">
        <v>2917</v>
      </c>
      <c r="M3122">
        <v>253757.13</v>
      </c>
      <c r="N3122" t="s">
        <v>2917</v>
      </c>
      <c r="O3122" t="s">
        <v>8330</v>
      </c>
      <c r="P3122" t="s">
        <v>2208</v>
      </c>
      <c r="Q3122" t="s">
        <v>8321</v>
      </c>
      <c r="R3122" t="s">
        <v>8322</v>
      </c>
    </row>
    <row r="3123" spans="1:18">
      <c r="A3123" t="s">
        <v>2418</v>
      </c>
      <c r="B3123" t="s">
        <v>16360</v>
      </c>
      <c r="C3123">
        <v>45808</v>
      </c>
      <c r="D3123" t="s">
        <v>7263</v>
      </c>
      <c r="E3123" t="s">
        <v>16361</v>
      </c>
      <c r="F3123">
        <v>45808</v>
      </c>
      <c r="G3123" t="s">
        <v>2208</v>
      </c>
      <c r="H3123" t="s">
        <v>8318</v>
      </c>
      <c r="I3123" t="s">
        <v>18365</v>
      </c>
      <c r="J3123">
        <v>0</v>
      </c>
      <c r="K3123">
        <v>50795.199999999997</v>
      </c>
      <c r="L3123" t="s">
        <v>2917</v>
      </c>
      <c r="M3123">
        <v>50795.199999999997</v>
      </c>
      <c r="N3123" t="s">
        <v>2917</v>
      </c>
      <c r="O3123" t="s">
        <v>8330</v>
      </c>
      <c r="P3123" t="s">
        <v>2208</v>
      </c>
      <c r="Q3123" t="s">
        <v>8321</v>
      </c>
      <c r="R3123" t="s">
        <v>8322</v>
      </c>
    </row>
    <row r="3124" spans="1:18">
      <c r="A3124" t="s">
        <v>2418</v>
      </c>
      <c r="B3124" t="s">
        <v>16360</v>
      </c>
      <c r="C3124">
        <v>45808</v>
      </c>
      <c r="D3124" t="s">
        <v>7263</v>
      </c>
      <c r="E3124" t="s">
        <v>16361</v>
      </c>
      <c r="F3124">
        <v>45808</v>
      </c>
      <c r="G3124" t="s">
        <v>2208</v>
      </c>
      <c r="H3124" t="s">
        <v>8318</v>
      </c>
      <c r="I3124" t="s">
        <v>18365</v>
      </c>
      <c r="J3124">
        <v>0</v>
      </c>
      <c r="K3124">
        <v>11745.37</v>
      </c>
      <c r="L3124" t="s">
        <v>2917</v>
      </c>
      <c r="M3124">
        <v>11745.37</v>
      </c>
      <c r="N3124" t="s">
        <v>2917</v>
      </c>
      <c r="O3124" t="s">
        <v>8330</v>
      </c>
      <c r="P3124" t="s">
        <v>2208</v>
      </c>
      <c r="Q3124" t="s">
        <v>8321</v>
      </c>
      <c r="R3124" t="s">
        <v>8322</v>
      </c>
    </row>
    <row r="3125" spans="1:18">
      <c r="A3125" t="s">
        <v>2418</v>
      </c>
      <c r="B3125" t="s">
        <v>16360</v>
      </c>
      <c r="C3125">
        <v>45808</v>
      </c>
      <c r="D3125" t="s">
        <v>7263</v>
      </c>
      <c r="E3125" t="s">
        <v>16361</v>
      </c>
      <c r="F3125">
        <v>45808</v>
      </c>
      <c r="G3125" t="s">
        <v>2208</v>
      </c>
      <c r="H3125" t="s">
        <v>8318</v>
      </c>
      <c r="I3125" t="s">
        <v>18365</v>
      </c>
      <c r="J3125">
        <v>0</v>
      </c>
      <c r="K3125">
        <v>2351.1</v>
      </c>
      <c r="L3125" t="s">
        <v>2917</v>
      </c>
      <c r="M3125">
        <v>2351.1</v>
      </c>
      <c r="N3125" t="s">
        <v>2917</v>
      </c>
      <c r="O3125" t="s">
        <v>8330</v>
      </c>
      <c r="P3125" t="s">
        <v>2208</v>
      </c>
      <c r="Q3125" t="s">
        <v>8321</v>
      </c>
      <c r="R3125" t="s">
        <v>8322</v>
      </c>
    </row>
    <row r="3126" spans="1:18">
      <c r="A3126" t="s">
        <v>2418</v>
      </c>
      <c r="B3126" t="s">
        <v>16360</v>
      </c>
      <c r="C3126">
        <v>45808</v>
      </c>
      <c r="D3126" t="s">
        <v>7263</v>
      </c>
      <c r="E3126" t="s">
        <v>16361</v>
      </c>
      <c r="F3126">
        <v>45808</v>
      </c>
      <c r="G3126" t="s">
        <v>2208</v>
      </c>
      <c r="H3126" t="s">
        <v>8318</v>
      </c>
      <c r="I3126" t="s">
        <v>18365</v>
      </c>
      <c r="J3126">
        <v>0</v>
      </c>
      <c r="K3126">
        <v>19886.849999999999</v>
      </c>
      <c r="L3126" t="s">
        <v>2917</v>
      </c>
      <c r="M3126">
        <v>19886.849999999999</v>
      </c>
      <c r="N3126" t="s">
        <v>2917</v>
      </c>
      <c r="O3126" t="s">
        <v>8330</v>
      </c>
      <c r="P3126" t="s">
        <v>2208</v>
      </c>
      <c r="Q3126" t="s">
        <v>8321</v>
      </c>
      <c r="R3126" t="s">
        <v>8322</v>
      </c>
    </row>
    <row r="3127" spans="1:18">
      <c r="A3127" t="s">
        <v>2418</v>
      </c>
      <c r="B3127" t="s">
        <v>16360</v>
      </c>
      <c r="C3127">
        <v>45808</v>
      </c>
      <c r="D3127" t="s">
        <v>7263</v>
      </c>
      <c r="E3127" t="s">
        <v>16361</v>
      </c>
      <c r="F3127">
        <v>45808</v>
      </c>
      <c r="G3127" t="s">
        <v>2208</v>
      </c>
      <c r="H3127" t="s">
        <v>8318</v>
      </c>
      <c r="I3127" t="s">
        <v>18365</v>
      </c>
      <c r="J3127">
        <v>0</v>
      </c>
      <c r="K3127">
        <v>3980.8</v>
      </c>
      <c r="L3127" t="s">
        <v>2917</v>
      </c>
      <c r="M3127">
        <v>3980.8</v>
      </c>
      <c r="N3127" t="s">
        <v>2917</v>
      </c>
      <c r="O3127" t="s">
        <v>8330</v>
      </c>
      <c r="P3127" t="s">
        <v>2208</v>
      </c>
      <c r="Q3127" t="s">
        <v>8321</v>
      </c>
      <c r="R3127" t="s">
        <v>8322</v>
      </c>
    </row>
    <row r="3128" spans="1:18">
      <c r="A3128" t="s">
        <v>2418</v>
      </c>
      <c r="B3128" t="s">
        <v>16360</v>
      </c>
      <c r="C3128">
        <v>45808</v>
      </c>
      <c r="D3128" t="s">
        <v>7263</v>
      </c>
      <c r="E3128" t="s">
        <v>16361</v>
      </c>
      <c r="F3128">
        <v>45808</v>
      </c>
      <c r="G3128" t="s">
        <v>2208</v>
      </c>
      <c r="H3128" t="s">
        <v>8318</v>
      </c>
      <c r="I3128" t="s">
        <v>18365</v>
      </c>
      <c r="J3128">
        <v>0</v>
      </c>
      <c r="K3128">
        <v>40069.440000000002</v>
      </c>
      <c r="L3128" t="s">
        <v>2917</v>
      </c>
      <c r="M3128">
        <v>40069.440000000002</v>
      </c>
      <c r="N3128" t="s">
        <v>2917</v>
      </c>
      <c r="O3128" t="s">
        <v>8330</v>
      </c>
      <c r="P3128" t="s">
        <v>2208</v>
      </c>
      <c r="Q3128" t="s">
        <v>8321</v>
      </c>
      <c r="R3128" t="s">
        <v>8322</v>
      </c>
    </row>
    <row r="3129" spans="1:18">
      <c r="A3129" t="s">
        <v>2418</v>
      </c>
      <c r="B3129" t="s">
        <v>16360</v>
      </c>
      <c r="C3129">
        <v>45808</v>
      </c>
      <c r="D3129" t="s">
        <v>7263</v>
      </c>
      <c r="E3129" t="s">
        <v>16361</v>
      </c>
      <c r="F3129">
        <v>45808</v>
      </c>
      <c r="G3129" t="s">
        <v>2208</v>
      </c>
      <c r="H3129" t="s">
        <v>8318</v>
      </c>
      <c r="I3129" t="s">
        <v>18365</v>
      </c>
      <c r="J3129">
        <v>0</v>
      </c>
      <c r="K3129">
        <v>8020.8</v>
      </c>
      <c r="L3129" t="s">
        <v>2917</v>
      </c>
      <c r="M3129">
        <v>8020.8</v>
      </c>
      <c r="N3129" t="s">
        <v>2917</v>
      </c>
      <c r="O3129" t="s">
        <v>8330</v>
      </c>
      <c r="P3129" t="s">
        <v>2208</v>
      </c>
      <c r="Q3129" t="s">
        <v>8321</v>
      </c>
      <c r="R3129" t="s">
        <v>8322</v>
      </c>
    </row>
    <row r="3130" spans="1:18">
      <c r="A3130" t="s">
        <v>2418</v>
      </c>
      <c r="B3130" t="s">
        <v>16360</v>
      </c>
      <c r="C3130">
        <v>45808</v>
      </c>
      <c r="D3130" t="s">
        <v>7263</v>
      </c>
      <c r="E3130" t="s">
        <v>16361</v>
      </c>
      <c r="F3130">
        <v>45808</v>
      </c>
      <c r="G3130" t="s">
        <v>2208</v>
      </c>
      <c r="H3130" t="s">
        <v>8318</v>
      </c>
      <c r="I3130" t="s">
        <v>18365</v>
      </c>
      <c r="J3130">
        <v>0</v>
      </c>
      <c r="K3130">
        <v>2488.5</v>
      </c>
      <c r="L3130" t="s">
        <v>2917</v>
      </c>
      <c r="M3130">
        <v>2488.5</v>
      </c>
      <c r="N3130" t="s">
        <v>2917</v>
      </c>
      <c r="O3130" t="s">
        <v>18369</v>
      </c>
      <c r="P3130" t="s">
        <v>2208</v>
      </c>
      <c r="Q3130" t="s">
        <v>8321</v>
      </c>
      <c r="R3130" t="s">
        <v>8322</v>
      </c>
    </row>
    <row r="3131" spans="1:18">
      <c r="A3131" t="s">
        <v>2418</v>
      </c>
      <c r="B3131" t="s">
        <v>16360</v>
      </c>
      <c r="C3131">
        <v>45808</v>
      </c>
      <c r="D3131" t="s">
        <v>7263</v>
      </c>
      <c r="E3131" t="s">
        <v>16361</v>
      </c>
      <c r="F3131">
        <v>45808</v>
      </c>
      <c r="G3131" t="s">
        <v>2208</v>
      </c>
      <c r="H3131" t="s">
        <v>8318</v>
      </c>
      <c r="I3131" t="s">
        <v>18365</v>
      </c>
      <c r="J3131">
        <v>0</v>
      </c>
      <c r="K3131">
        <v>8687.4</v>
      </c>
      <c r="L3131" t="s">
        <v>2917</v>
      </c>
      <c r="M3131">
        <v>8687.4</v>
      </c>
      <c r="N3131" t="s">
        <v>2917</v>
      </c>
      <c r="O3131" t="s">
        <v>18370</v>
      </c>
      <c r="P3131" t="s">
        <v>2208</v>
      </c>
      <c r="Q3131" t="s">
        <v>8321</v>
      </c>
      <c r="R3131" t="s">
        <v>8322</v>
      </c>
    </row>
    <row r="3132" spans="1:18">
      <c r="A3132" t="s">
        <v>7030</v>
      </c>
      <c r="B3132" t="s">
        <v>16360</v>
      </c>
      <c r="C3132">
        <v>45808</v>
      </c>
      <c r="D3132" t="s">
        <v>7263</v>
      </c>
      <c r="E3132" t="s">
        <v>16361</v>
      </c>
      <c r="F3132">
        <v>45808</v>
      </c>
      <c r="G3132" t="s">
        <v>2208</v>
      </c>
      <c r="H3132" t="s">
        <v>8318</v>
      </c>
      <c r="I3132" t="s">
        <v>18365</v>
      </c>
      <c r="J3132">
        <v>0</v>
      </c>
      <c r="K3132">
        <v>90488.2</v>
      </c>
      <c r="L3132" t="s">
        <v>2917</v>
      </c>
      <c r="M3132">
        <v>90488.2</v>
      </c>
      <c r="N3132" t="s">
        <v>2917</v>
      </c>
      <c r="O3132" t="s">
        <v>18371</v>
      </c>
      <c r="P3132" t="s">
        <v>2208</v>
      </c>
      <c r="Q3132" t="s">
        <v>8321</v>
      </c>
      <c r="R3132" t="s">
        <v>8322</v>
      </c>
    </row>
    <row r="3133" spans="1:18">
      <c r="A3133" t="s">
        <v>7030</v>
      </c>
      <c r="B3133" t="s">
        <v>16360</v>
      </c>
      <c r="C3133">
        <v>45808</v>
      </c>
      <c r="D3133" t="s">
        <v>7263</v>
      </c>
      <c r="E3133" t="s">
        <v>16361</v>
      </c>
      <c r="F3133">
        <v>45808</v>
      </c>
      <c r="G3133" t="s">
        <v>2208</v>
      </c>
      <c r="H3133" t="s">
        <v>8318</v>
      </c>
      <c r="I3133" t="s">
        <v>18372</v>
      </c>
      <c r="J3133">
        <v>0</v>
      </c>
      <c r="K3133">
        <v>4244.6000000000004</v>
      </c>
      <c r="L3133" t="s">
        <v>2917</v>
      </c>
      <c r="M3133">
        <v>4244.6000000000004</v>
      </c>
      <c r="N3133" t="s">
        <v>2917</v>
      </c>
      <c r="O3133" t="s">
        <v>18373</v>
      </c>
      <c r="P3133" t="s">
        <v>2208</v>
      </c>
      <c r="Q3133" t="s">
        <v>8321</v>
      </c>
      <c r="R3133" t="s">
        <v>8322</v>
      </c>
    </row>
    <row r="3134" spans="1:18">
      <c r="A3134" t="s">
        <v>2418</v>
      </c>
      <c r="B3134" t="s">
        <v>16360</v>
      </c>
      <c r="C3134">
        <v>45808</v>
      </c>
      <c r="D3134" t="s">
        <v>7263</v>
      </c>
      <c r="E3134" t="s">
        <v>16361</v>
      </c>
      <c r="F3134">
        <v>45808</v>
      </c>
      <c r="G3134" t="s">
        <v>2208</v>
      </c>
      <c r="H3134" t="s">
        <v>8318</v>
      </c>
      <c r="I3134" t="s">
        <v>18372</v>
      </c>
      <c r="J3134">
        <v>0</v>
      </c>
      <c r="K3134">
        <v>9620.1</v>
      </c>
      <c r="L3134" t="s">
        <v>2917</v>
      </c>
      <c r="M3134">
        <v>9620.1</v>
      </c>
      <c r="N3134" t="s">
        <v>2917</v>
      </c>
      <c r="O3134" t="s">
        <v>18374</v>
      </c>
      <c r="P3134" t="s">
        <v>2208</v>
      </c>
      <c r="Q3134" t="s">
        <v>8321</v>
      </c>
      <c r="R3134" t="s">
        <v>8322</v>
      </c>
    </row>
    <row r="3135" spans="1:18">
      <c r="A3135" t="s">
        <v>2418</v>
      </c>
      <c r="B3135" t="s">
        <v>16360</v>
      </c>
      <c r="C3135">
        <v>45808</v>
      </c>
      <c r="D3135" t="s">
        <v>7263</v>
      </c>
      <c r="E3135" t="s">
        <v>16361</v>
      </c>
      <c r="F3135">
        <v>45808</v>
      </c>
      <c r="G3135" t="s">
        <v>2208</v>
      </c>
      <c r="H3135" t="s">
        <v>8318</v>
      </c>
      <c r="I3135" t="s">
        <v>18372</v>
      </c>
      <c r="J3135">
        <v>0</v>
      </c>
      <c r="K3135">
        <v>13950</v>
      </c>
      <c r="L3135" t="s">
        <v>2917</v>
      </c>
      <c r="M3135">
        <v>13950</v>
      </c>
      <c r="N3135" t="s">
        <v>2917</v>
      </c>
      <c r="O3135" t="s">
        <v>18375</v>
      </c>
      <c r="P3135" t="s">
        <v>2208</v>
      </c>
      <c r="Q3135" t="s">
        <v>8321</v>
      </c>
      <c r="R3135" t="s">
        <v>8322</v>
      </c>
    </row>
    <row r="3136" spans="1:18">
      <c r="A3136" t="s">
        <v>2418</v>
      </c>
      <c r="B3136" t="s">
        <v>16360</v>
      </c>
      <c r="C3136">
        <v>45808</v>
      </c>
      <c r="D3136" t="s">
        <v>7263</v>
      </c>
      <c r="E3136" t="s">
        <v>16361</v>
      </c>
      <c r="F3136">
        <v>45808</v>
      </c>
      <c r="G3136" t="s">
        <v>2208</v>
      </c>
      <c r="H3136" t="s">
        <v>8318</v>
      </c>
      <c r="I3136" t="s">
        <v>18372</v>
      </c>
      <c r="J3136">
        <v>0</v>
      </c>
      <c r="K3136">
        <v>13600</v>
      </c>
      <c r="L3136" t="s">
        <v>2917</v>
      </c>
      <c r="M3136">
        <v>13600</v>
      </c>
      <c r="N3136" t="s">
        <v>2917</v>
      </c>
      <c r="O3136" t="s">
        <v>18376</v>
      </c>
      <c r="P3136" t="s">
        <v>2208</v>
      </c>
      <c r="Q3136" t="s">
        <v>8321</v>
      </c>
      <c r="R3136" t="s">
        <v>8322</v>
      </c>
    </row>
    <row r="3137" spans="1:18">
      <c r="A3137" t="s">
        <v>2418</v>
      </c>
      <c r="B3137" t="s">
        <v>16360</v>
      </c>
      <c r="C3137">
        <v>45808</v>
      </c>
      <c r="D3137" t="s">
        <v>7263</v>
      </c>
      <c r="E3137" t="s">
        <v>16361</v>
      </c>
      <c r="F3137">
        <v>45808</v>
      </c>
      <c r="G3137" t="s">
        <v>2208</v>
      </c>
      <c r="H3137" t="s">
        <v>8318</v>
      </c>
      <c r="I3137" t="s">
        <v>18372</v>
      </c>
      <c r="J3137">
        <v>0</v>
      </c>
      <c r="K3137">
        <v>13900</v>
      </c>
      <c r="L3137" t="s">
        <v>2917</v>
      </c>
      <c r="M3137">
        <v>13900</v>
      </c>
      <c r="N3137" t="s">
        <v>2917</v>
      </c>
      <c r="O3137" t="s">
        <v>18377</v>
      </c>
      <c r="P3137" t="s">
        <v>2208</v>
      </c>
      <c r="Q3137" t="s">
        <v>8321</v>
      </c>
      <c r="R3137" t="s">
        <v>8322</v>
      </c>
    </row>
    <row r="3138" spans="1:18">
      <c r="A3138" t="s">
        <v>2418</v>
      </c>
      <c r="B3138" t="s">
        <v>16360</v>
      </c>
      <c r="C3138">
        <v>45808</v>
      </c>
      <c r="D3138" t="s">
        <v>7263</v>
      </c>
      <c r="E3138" t="s">
        <v>16361</v>
      </c>
      <c r="F3138">
        <v>45808</v>
      </c>
      <c r="G3138" t="s">
        <v>2208</v>
      </c>
      <c r="H3138" t="s">
        <v>8318</v>
      </c>
      <c r="I3138" t="s">
        <v>18372</v>
      </c>
      <c r="J3138">
        <v>0</v>
      </c>
      <c r="K3138">
        <v>13840</v>
      </c>
      <c r="L3138" t="s">
        <v>2917</v>
      </c>
      <c r="M3138">
        <v>13840</v>
      </c>
      <c r="N3138" t="s">
        <v>2917</v>
      </c>
      <c r="O3138" t="s">
        <v>18378</v>
      </c>
      <c r="P3138" t="s">
        <v>2208</v>
      </c>
      <c r="Q3138" t="s">
        <v>8321</v>
      </c>
      <c r="R3138" t="s">
        <v>8322</v>
      </c>
    </row>
    <row r="3139" spans="1:18">
      <c r="A3139" t="s">
        <v>2237</v>
      </c>
      <c r="B3139" t="s">
        <v>16360</v>
      </c>
      <c r="C3139">
        <v>45808</v>
      </c>
      <c r="D3139" t="s">
        <v>7263</v>
      </c>
      <c r="E3139" t="s">
        <v>16361</v>
      </c>
      <c r="F3139">
        <v>45808</v>
      </c>
      <c r="G3139" t="s">
        <v>2208</v>
      </c>
      <c r="H3139" t="s">
        <v>2978</v>
      </c>
      <c r="I3139" t="s">
        <v>18393</v>
      </c>
      <c r="J3139">
        <v>0</v>
      </c>
      <c r="K3139">
        <v>-3000</v>
      </c>
      <c r="L3139" t="s">
        <v>2917</v>
      </c>
      <c r="M3139">
        <v>-3000</v>
      </c>
      <c r="N3139" t="s">
        <v>2917</v>
      </c>
      <c r="O3139" t="s">
        <v>9561</v>
      </c>
      <c r="P3139" t="s">
        <v>2208</v>
      </c>
      <c r="Q3139" t="s">
        <v>16915</v>
      </c>
      <c r="R3139" t="s">
        <v>16916</v>
      </c>
    </row>
    <row r="3140" spans="1:18">
      <c r="A3140" t="s">
        <v>2237</v>
      </c>
      <c r="B3140" t="s">
        <v>16360</v>
      </c>
      <c r="C3140">
        <v>45808</v>
      </c>
      <c r="D3140" t="s">
        <v>7263</v>
      </c>
      <c r="E3140" t="s">
        <v>16361</v>
      </c>
      <c r="F3140">
        <v>45808</v>
      </c>
      <c r="G3140" t="s">
        <v>2208</v>
      </c>
      <c r="H3140" t="s">
        <v>2978</v>
      </c>
      <c r="I3140" t="s">
        <v>18393</v>
      </c>
      <c r="J3140">
        <v>0</v>
      </c>
      <c r="K3140">
        <v>-540</v>
      </c>
      <c r="L3140" t="s">
        <v>2917</v>
      </c>
      <c r="M3140">
        <v>-540</v>
      </c>
      <c r="N3140" t="s">
        <v>2917</v>
      </c>
      <c r="O3140" t="s">
        <v>9561</v>
      </c>
      <c r="P3140" t="s">
        <v>2208</v>
      </c>
      <c r="Q3140" t="s">
        <v>16915</v>
      </c>
      <c r="R3140" t="s">
        <v>16916</v>
      </c>
    </row>
    <row r="3141" spans="1:18">
      <c r="A3141" t="s">
        <v>2237</v>
      </c>
      <c r="B3141" t="s">
        <v>16360</v>
      </c>
      <c r="C3141">
        <v>45808</v>
      </c>
      <c r="D3141" t="s">
        <v>7263</v>
      </c>
      <c r="E3141" t="s">
        <v>16361</v>
      </c>
      <c r="F3141">
        <v>45808</v>
      </c>
      <c r="G3141" t="s">
        <v>2208</v>
      </c>
      <c r="H3141" t="s">
        <v>2978</v>
      </c>
      <c r="I3141" t="s">
        <v>18393</v>
      </c>
      <c r="J3141">
        <v>0</v>
      </c>
      <c r="K3141">
        <v>3000</v>
      </c>
      <c r="L3141" t="s">
        <v>2917</v>
      </c>
      <c r="M3141">
        <v>3000</v>
      </c>
      <c r="N3141" t="s">
        <v>2917</v>
      </c>
      <c r="O3141" t="s">
        <v>9561</v>
      </c>
      <c r="P3141" t="s">
        <v>2208</v>
      </c>
      <c r="Q3141" t="s">
        <v>16915</v>
      </c>
      <c r="R3141" t="s">
        <v>16916</v>
      </c>
    </row>
    <row r="3142" spans="1:18">
      <c r="A3142" t="s">
        <v>2237</v>
      </c>
      <c r="B3142" t="s">
        <v>16360</v>
      </c>
      <c r="C3142">
        <v>45808</v>
      </c>
      <c r="D3142" t="s">
        <v>7263</v>
      </c>
      <c r="E3142" t="s">
        <v>16361</v>
      </c>
      <c r="F3142">
        <v>45808</v>
      </c>
      <c r="G3142" t="s">
        <v>2208</v>
      </c>
      <c r="H3142" t="s">
        <v>2978</v>
      </c>
      <c r="I3142" t="s">
        <v>18393</v>
      </c>
      <c r="J3142">
        <v>0</v>
      </c>
      <c r="K3142">
        <v>540</v>
      </c>
      <c r="L3142" t="s">
        <v>2917</v>
      </c>
      <c r="M3142">
        <v>540</v>
      </c>
      <c r="N3142" t="s">
        <v>2917</v>
      </c>
      <c r="O3142" t="s">
        <v>9561</v>
      </c>
      <c r="P3142" t="s">
        <v>2208</v>
      </c>
      <c r="Q3142" t="s">
        <v>16915</v>
      </c>
      <c r="R3142" t="s">
        <v>16916</v>
      </c>
    </row>
    <row r="3143" spans="1:18">
      <c r="A3143" t="s">
        <v>709</v>
      </c>
      <c r="B3143" t="s">
        <v>16360</v>
      </c>
      <c r="C3143">
        <v>45808</v>
      </c>
      <c r="D3143" t="s">
        <v>7263</v>
      </c>
      <c r="E3143" t="s">
        <v>16361</v>
      </c>
      <c r="F3143">
        <v>45808</v>
      </c>
      <c r="G3143" t="s">
        <v>2208</v>
      </c>
      <c r="H3143" t="s">
        <v>2974</v>
      </c>
      <c r="I3143" t="s">
        <v>18394</v>
      </c>
      <c r="J3143">
        <v>0</v>
      </c>
      <c r="K3143">
        <v>-1070.67</v>
      </c>
      <c r="L3143" t="s">
        <v>2917</v>
      </c>
      <c r="M3143">
        <v>-1070.67</v>
      </c>
      <c r="N3143" t="s">
        <v>2917</v>
      </c>
      <c r="O3143" t="s">
        <v>3070</v>
      </c>
      <c r="P3143" t="s">
        <v>2208</v>
      </c>
      <c r="Q3143" t="s">
        <v>2975</v>
      </c>
      <c r="R3143" t="s">
        <v>3316</v>
      </c>
    </row>
    <row r="3144" spans="1:18">
      <c r="A3144" t="s">
        <v>709</v>
      </c>
      <c r="B3144" t="s">
        <v>16360</v>
      </c>
      <c r="C3144">
        <v>45808</v>
      </c>
      <c r="D3144" t="s">
        <v>7263</v>
      </c>
      <c r="E3144" t="s">
        <v>16361</v>
      </c>
      <c r="F3144">
        <v>45808</v>
      </c>
      <c r="G3144" t="s">
        <v>2208</v>
      </c>
      <c r="H3144" t="s">
        <v>2974</v>
      </c>
      <c r="I3144" t="s">
        <v>18394</v>
      </c>
      <c r="J3144">
        <v>0</v>
      </c>
      <c r="K3144">
        <v>-325.3</v>
      </c>
      <c r="L3144" t="s">
        <v>2917</v>
      </c>
      <c r="M3144">
        <v>-325.3</v>
      </c>
      <c r="N3144" t="s">
        <v>2917</v>
      </c>
      <c r="O3144" t="s">
        <v>3070</v>
      </c>
      <c r="P3144" t="s">
        <v>2208</v>
      </c>
      <c r="Q3144" t="s">
        <v>2975</v>
      </c>
      <c r="R3144" t="s">
        <v>3316</v>
      </c>
    </row>
    <row r="3145" spans="1:18">
      <c r="A3145" t="s">
        <v>709</v>
      </c>
      <c r="B3145" t="s">
        <v>16360</v>
      </c>
      <c r="C3145">
        <v>45808</v>
      </c>
      <c r="D3145" t="s">
        <v>7263</v>
      </c>
      <c r="E3145" t="s">
        <v>16361</v>
      </c>
      <c r="F3145">
        <v>45808</v>
      </c>
      <c r="G3145" t="s">
        <v>2208</v>
      </c>
      <c r="H3145" t="s">
        <v>2974</v>
      </c>
      <c r="I3145" t="s">
        <v>18394</v>
      </c>
      <c r="J3145">
        <v>0</v>
      </c>
      <c r="K3145">
        <v>-870.37</v>
      </c>
      <c r="L3145" t="s">
        <v>2917</v>
      </c>
      <c r="M3145">
        <v>-870.37</v>
      </c>
      <c r="N3145" t="s">
        <v>2917</v>
      </c>
      <c r="O3145" t="s">
        <v>3070</v>
      </c>
      <c r="P3145" t="s">
        <v>2208</v>
      </c>
      <c r="Q3145" t="s">
        <v>2975</v>
      </c>
      <c r="R3145" t="s">
        <v>3316</v>
      </c>
    </row>
    <row r="3146" spans="1:18">
      <c r="A3146" t="s">
        <v>709</v>
      </c>
      <c r="B3146" t="s">
        <v>16360</v>
      </c>
      <c r="C3146">
        <v>45808</v>
      </c>
      <c r="D3146" t="s">
        <v>7263</v>
      </c>
      <c r="E3146" t="s">
        <v>16361</v>
      </c>
      <c r="F3146">
        <v>45808</v>
      </c>
      <c r="G3146" t="s">
        <v>2208</v>
      </c>
      <c r="H3146" t="s">
        <v>2974</v>
      </c>
      <c r="I3146" t="s">
        <v>18394</v>
      </c>
      <c r="J3146">
        <v>0</v>
      </c>
      <c r="K3146">
        <v>-216.68</v>
      </c>
      <c r="L3146" t="s">
        <v>2917</v>
      </c>
      <c r="M3146">
        <v>-216.68</v>
      </c>
      <c r="N3146" t="s">
        <v>2917</v>
      </c>
      <c r="O3146" t="s">
        <v>3070</v>
      </c>
      <c r="P3146" t="s">
        <v>2208</v>
      </c>
      <c r="Q3146" t="s">
        <v>2975</v>
      </c>
      <c r="R3146" t="s">
        <v>3316</v>
      </c>
    </row>
    <row r="3147" spans="1:18">
      <c r="A3147" t="s">
        <v>709</v>
      </c>
      <c r="B3147" t="s">
        <v>16360</v>
      </c>
      <c r="C3147">
        <v>45808</v>
      </c>
      <c r="D3147" t="s">
        <v>7263</v>
      </c>
      <c r="E3147" t="s">
        <v>16361</v>
      </c>
      <c r="F3147">
        <v>45808</v>
      </c>
      <c r="G3147" t="s">
        <v>2208</v>
      </c>
      <c r="H3147" t="s">
        <v>2974</v>
      </c>
      <c r="I3147" t="s">
        <v>18394</v>
      </c>
      <c r="J3147">
        <v>0</v>
      </c>
      <c r="K3147">
        <v>-5971.04</v>
      </c>
      <c r="L3147" t="s">
        <v>2917</v>
      </c>
      <c r="M3147">
        <v>-5971.04</v>
      </c>
      <c r="N3147" t="s">
        <v>2917</v>
      </c>
      <c r="O3147" t="s">
        <v>3070</v>
      </c>
      <c r="P3147" t="s">
        <v>2208</v>
      </c>
      <c r="Q3147" t="s">
        <v>2975</v>
      </c>
      <c r="R3147" t="s">
        <v>3316</v>
      </c>
    </row>
    <row r="3148" spans="1:18">
      <c r="A3148" t="s">
        <v>709</v>
      </c>
      <c r="B3148" t="s">
        <v>16360</v>
      </c>
      <c r="C3148">
        <v>45808</v>
      </c>
      <c r="D3148" t="s">
        <v>7263</v>
      </c>
      <c r="E3148" t="s">
        <v>16361</v>
      </c>
      <c r="F3148">
        <v>45808</v>
      </c>
      <c r="G3148" t="s">
        <v>2208</v>
      </c>
      <c r="H3148" t="s">
        <v>2974</v>
      </c>
      <c r="I3148" t="s">
        <v>18394</v>
      </c>
      <c r="J3148">
        <v>0</v>
      </c>
      <c r="K3148">
        <v>-191.21</v>
      </c>
      <c r="L3148" t="s">
        <v>2917</v>
      </c>
      <c r="M3148">
        <v>-191.21</v>
      </c>
      <c r="N3148" t="s">
        <v>2917</v>
      </c>
      <c r="O3148" t="s">
        <v>3070</v>
      </c>
      <c r="P3148" t="s">
        <v>2208</v>
      </c>
      <c r="Q3148" t="s">
        <v>2975</v>
      </c>
      <c r="R3148" t="s">
        <v>3316</v>
      </c>
    </row>
    <row r="3149" spans="1:18">
      <c r="A3149" t="s">
        <v>709</v>
      </c>
      <c r="B3149" t="s">
        <v>16360</v>
      </c>
      <c r="C3149">
        <v>45808</v>
      </c>
      <c r="D3149" t="s">
        <v>7263</v>
      </c>
      <c r="E3149" t="s">
        <v>16361</v>
      </c>
      <c r="F3149">
        <v>45808</v>
      </c>
      <c r="G3149" t="s">
        <v>2208</v>
      </c>
      <c r="H3149" t="s">
        <v>2974</v>
      </c>
      <c r="I3149" t="s">
        <v>18394</v>
      </c>
      <c r="J3149">
        <v>0</v>
      </c>
      <c r="K3149">
        <v>-52622.9</v>
      </c>
      <c r="L3149" t="s">
        <v>2917</v>
      </c>
      <c r="M3149">
        <v>-52622.9</v>
      </c>
      <c r="N3149" t="s">
        <v>2917</v>
      </c>
      <c r="O3149" t="s">
        <v>3070</v>
      </c>
      <c r="P3149" t="s">
        <v>2208</v>
      </c>
      <c r="Q3149" t="s">
        <v>2975</v>
      </c>
      <c r="R3149" t="s">
        <v>3316</v>
      </c>
    </row>
    <row r="3150" spans="1:18">
      <c r="A3150" t="s">
        <v>709</v>
      </c>
      <c r="B3150" t="s">
        <v>17897</v>
      </c>
      <c r="C3150">
        <v>45808</v>
      </c>
      <c r="D3150" t="s">
        <v>7263</v>
      </c>
      <c r="E3150" t="s">
        <v>17898</v>
      </c>
      <c r="F3150">
        <v>45811</v>
      </c>
      <c r="G3150" t="s">
        <v>2208</v>
      </c>
      <c r="H3150" t="s">
        <v>2974</v>
      </c>
      <c r="I3150" t="s">
        <v>18395</v>
      </c>
      <c r="J3150">
        <v>0</v>
      </c>
      <c r="K3150">
        <v>1070.67</v>
      </c>
      <c r="L3150" t="s">
        <v>2917</v>
      </c>
      <c r="M3150">
        <v>1070.67</v>
      </c>
      <c r="N3150" t="s">
        <v>2917</v>
      </c>
      <c r="O3150" t="s">
        <v>3070</v>
      </c>
      <c r="P3150" t="s">
        <v>2208</v>
      </c>
      <c r="Q3150" t="s">
        <v>2975</v>
      </c>
      <c r="R3150" t="s">
        <v>3316</v>
      </c>
    </row>
    <row r="3151" spans="1:18">
      <c r="A3151" t="s">
        <v>709</v>
      </c>
      <c r="B3151" t="s">
        <v>17897</v>
      </c>
      <c r="C3151">
        <v>45808</v>
      </c>
      <c r="D3151" t="s">
        <v>7263</v>
      </c>
      <c r="E3151" t="s">
        <v>17898</v>
      </c>
      <c r="F3151">
        <v>45811</v>
      </c>
      <c r="G3151" t="s">
        <v>2208</v>
      </c>
      <c r="H3151" t="s">
        <v>2974</v>
      </c>
      <c r="I3151" t="s">
        <v>18395</v>
      </c>
      <c r="J3151">
        <v>0</v>
      </c>
      <c r="K3151">
        <v>325.3</v>
      </c>
      <c r="L3151" t="s">
        <v>2917</v>
      </c>
      <c r="M3151">
        <v>325.3</v>
      </c>
      <c r="N3151" t="s">
        <v>2917</v>
      </c>
      <c r="O3151" t="s">
        <v>3070</v>
      </c>
      <c r="P3151" t="s">
        <v>2208</v>
      </c>
      <c r="Q3151" t="s">
        <v>2975</v>
      </c>
      <c r="R3151" t="s">
        <v>3316</v>
      </c>
    </row>
    <row r="3152" spans="1:18">
      <c r="A3152" t="s">
        <v>709</v>
      </c>
      <c r="B3152" t="s">
        <v>17897</v>
      </c>
      <c r="C3152">
        <v>45808</v>
      </c>
      <c r="D3152" t="s">
        <v>7263</v>
      </c>
      <c r="E3152" t="s">
        <v>17898</v>
      </c>
      <c r="F3152">
        <v>45811</v>
      </c>
      <c r="G3152" t="s">
        <v>2208</v>
      </c>
      <c r="H3152" t="s">
        <v>2974</v>
      </c>
      <c r="I3152" t="s">
        <v>18395</v>
      </c>
      <c r="J3152">
        <v>0</v>
      </c>
      <c r="K3152">
        <v>870.37</v>
      </c>
      <c r="L3152" t="s">
        <v>2917</v>
      </c>
      <c r="M3152">
        <v>870.37</v>
      </c>
      <c r="N3152" t="s">
        <v>2917</v>
      </c>
      <c r="O3152" t="s">
        <v>3070</v>
      </c>
      <c r="P3152" t="s">
        <v>2208</v>
      </c>
      <c r="Q3152" t="s">
        <v>2975</v>
      </c>
      <c r="R3152" t="s">
        <v>3316</v>
      </c>
    </row>
    <row r="3153" spans="1:18">
      <c r="A3153" t="s">
        <v>709</v>
      </c>
      <c r="B3153" t="s">
        <v>17897</v>
      </c>
      <c r="C3153">
        <v>45808</v>
      </c>
      <c r="D3153" t="s">
        <v>7263</v>
      </c>
      <c r="E3153" t="s">
        <v>17898</v>
      </c>
      <c r="F3153">
        <v>45811</v>
      </c>
      <c r="G3153" t="s">
        <v>2208</v>
      </c>
      <c r="H3153" t="s">
        <v>2974</v>
      </c>
      <c r="I3153" t="s">
        <v>18395</v>
      </c>
      <c r="J3153">
        <v>0</v>
      </c>
      <c r="K3153">
        <v>216.68</v>
      </c>
      <c r="L3153" t="s">
        <v>2917</v>
      </c>
      <c r="M3153">
        <v>216.68</v>
      </c>
      <c r="N3153" t="s">
        <v>2917</v>
      </c>
      <c r="O3153" t="s">
        <v>3070</v>
      </c>
      <c r="P3153" t="s">
        <v>2208</v>
      </c>
      <c r="Q3153" t="s">
        <v>2975</v>
      </c>
      <c r="R3153" t="s">
        <v>3316</v>
      </c>
    </row>
    <row r="3154" spans="1:18">
      <c r="A3154" t="s">
        <v>709</v>
      </c>
      <c r="B3154" t="s">
        <v>17897</v>
      </c>
      <c r="C3154">
        <v>45808</v>
      </c>
      <c r="D3154" t="s">
        <v>7263</v>
      </c>
      <c r="E3154" t="s">
        <v>17898</v>
      </c>
      <c r="F3154">
        <v>45811</v>
      </c>
      <c r="G3154" t="s">
        <v>2208</v>
      </c>
      <c r="H3154" t="s">
        <v>2974</v>
      </c>
      <c r="I3154" t="s">
        <v>18395</v>
      </c>
      <c r="J3154">
        <v>0</v>
      </c>
      <c r="K3154">
        <v>5971.04</v>
      </c>
      <c r="L3154" t="s">
        <v>2917</v>
      </c>
      <c r="M3154">
        <v>5971.04</v>
      </c>
      <c r="N3154" t="s">
        <v>2917</v>
      </c>
      <c r="O3154" t="s">
        <v>3070</v>
      </c>
      <c r="P3154" t="s">
        <v>2208</v>
      </c>
      <c r="Q3154" t="s">
        <v>2975</v>
      </c>
      <c r="R3154" t="s">
        <v>3316</v>
      </c>
    </row>
    <row r="3155" spans="1:18">
      <c r="A3155" t="s">
        <v>709</v>
      </c>
      <c r="B3155" t="s">
        <v>17897</v>
      </c>
      <c r="C3155">
        <v>45808</v>
      </c>
      <c r="D3155" t="s">
        <v>7263</v>
      </c>
      <c r="E3155" t="s">
        <v>17898</v>
      </c>
      <c r="F3155">
        <v>45811</v>
      </c>
      <c r="G3155" t="s">
        <v>2208</v>
      </c>
      <c r="H3155" t="s">
        <v>2974</v>
      </c>
      <c r="I3155" t="s">
        <v>18395</v>
      </c>
      <c r="J3155">
        <v>0</v>
      </c>
      <c r="K3155">
        <v>191.21</v>
      </c>
      <c r="L3155" t="s">
        <v>2917</v>
      </c>
      <c r="M3155">
        <v>191.21</v>
      </c>
      <c r="N3155" t="s">
        <v>2917</v>
      </c>
      <c r="O3155" t="s">
        <v>3070</v>
      </c>
      <c r="P3155" t="s">
        <v>2208</v>
      </c>
      <c r="Q3155" t="s">
        <v>2975</v>
      </c>
      <c r="R3155" t="s">
        <v>3316</v>
      </c>
    </row>
    <row r="3156" spans="1:18">
      <c r="A3156" t="s">
        <v>709</v>
      </c>
      <c r="B3156" t="s">
        <v>17897</v>
      </c>
      <c r="C3156">
        <v>45808</v>
      </c>
      <c r="D3156" t="s">
        <v>7263</v>
      </c>
      <c r="E3156" t="s">
        <v>17898</v>
      </c>
      <c r="F3156">
        <v>45811</v>
      </c>
      <c r="G3156" t="s">
        <v>2208</v>
      </c>
      <c r="H3156" t="s">
        <v>2974</v>
      </c>
      <c r="I3156" t="s">
        <v>18395</v>
      </c>
      <c r="J3156">
        <v>0</v>
      </c>
      <c r="K3156">
        <v>52622.9</v>
      </c>
      <c r="L3156" t="s">
        <v>2917</v>
      </c>
      <c r="M3156">
        <v>52622.9</v>
      </c>
      <c r="N3156" t="s">
        <v>2917</v>
      </c>
      <c r="O3156" t="s">
        <v>3070</v>
      </c>
      <c r="P3156" t="s">
        <v>2208</v>
      </c>
      <c r="Q3156" t="s">
        <v>2975</v>
      </c>
      <c r="R3156" t="s">
        <v>3316</v>
      </c>
    </row>
    <row r="3157" spans="1:18">
      <c r="A3157" t="s">
        <v>709</v>
      </c>
      <c r="B3157" t="s">
        <v>17897</v>
      </c>
      <c r="C3157">
        <v>45808</v>
      </c>
      <c r="D3157" t="s">
        <v>7263</v>
      </c>
      <c r="E3157" t="s">
        <v>17898</v>
      </c>
      <c r="F3157">
        <v>45809</v>
      </c>
      <c r="G3157" t="s">
        <v>2208</v>
      </c>
      <c r="H3157" t="s">
        <v>8318</v>
      </c>
      <c r="I3157" t="s">
        <v>18936</v>
      </c>
      <c r="J3157">
        <v>0</v>
      </c>
      <c r="K3157">
        <v>-4760</v>
      </c>
      <c r="L3157" t="s">
        <v>2917</v>
      </c>
      <c r="M3157">
        <v>-4760</v>
      </c>
      <c r="N3157" t="s">
        <v>2917</v>
      </c>
      <c r="O3157" t="s">
        <v>8354</v>
      </c>
      <c r="P3157" t="s">
        <v>2208</v>
      </c>
      <c r="Q3157" t="s">
        <v>8321</v>
      </c>
      <c r="R3157" t="s">
        <v>8322</v>
      </c>
    </row>
    <row r="3158" spans="1:18">
      <c r="A3158" t="s">
        <v>2237</v>
      </c>
      <c r="B3158" t="s">
        <v>17897</v>
      </c>
      <c r="C3158">
        <v>45808</v>
      </c>
      <c r="D3158" t="s">
        <v>7263</v>
      </c>
      <c r="E3158" t="s">
        <v>17898</v>
      </c>
      <c r="F3158">
        <v>45809</v>
      </c>
      <c r="G3158" t="s">
        <v>2208</v>
      </c>
      <c r="H3158" t="s">
        <v>8318</v>
      </c>
      <c r="I3158" t="s">
        <v>18936</v>
      </c>
      <c r="J3158">
        <v>0</v>
      </c>
      <c r="K3158">
        <v>-153889.60000000001</v>
      </c>
      <c r="L3158" t="s">
        <v>2917</v>
      </c>
      <c r="M3158">
        <v>-153889.60000000001</v>
      </c>
      <c r="N3158" t="s">
        <v>2917</v>
      </c>
      <c r="O3158" t="s">
        <v>12106</v>
      </c>
      <c r="P3158" t="s">
        <v>2208</v>
      </c>
      <c r="Q3158" t="s">
        <v>8321</v>
      </c>
      <c r="R3158" t="s">
        <v>8322</v>
      </c>
    </row>
    <row r="3159" spans="1:18">
      <c r="A3159" t="s">
        <v>2237</v>
      </c>
      <c r="B3159" t="s">
        <v>17897</v>
      </c>
      <c r="C3159">
        <v>45808</v>
      </c>
      <c r="D3159" t="s">
        <v>7263</v>
      </c>
      <c r="E3159" t="s">
        <v>17898</v>
      </c>
      <c r="F3159">
        <v>45809</v>
      </c>
      <c r="G3159" t="s">
        <v>2208</v>
      </c>
      <c r="H3159" t="s">
        <v>8318</v>
      </c>
      <c r="I3159" t="s">
        <v>18936</v>
      </c>
      <c r="J3159">
        <v>0</v>
      </c>
      <c r="K3159">
        <v>-178656.53</v>
      </c>
      <c r="L3159" t="s">
        <v>2917</v>
      </c>
      <c r="M3159">
        <v>-178656.53</v>
      </c>
      <c r="N3159" t="s">
        <v>2917</v>
      </c>
      <c r="O3159" t="s">
        <v>12106</v>
      </c>
      <c r="P3159" t="s">
        <v>2208</v>
      </c>
      <c r="Q3159" t="s">
        <v>8321</v>
      </c>
      <c r="R3159" t="s">
        <v>8322</v>
      </c>
    </row>
    <row r="3160" spans="1:18">
      <c r="A3160" t="s">
        <v>2237</v>
      </c>
      <c r="B3160" t="s">
        <v>17897</v>
      </c>
      <c r="C3160">
        <v>45808</v>
      </c>
      <c r="D3160" t="s">
        <v>7263</v>
      </c>
      <c r="E3160" t="s">
        <v>17898</v>
      </c>
      <c r="F3160">
        <v>45809</v>
      </c>
      <c r="G3160" t="s">
        <v>2208</v>
      </c>
      <c r="H3160" t="s">
        <v>8318</v>
      </c>
      <c r="I3160" t="s">
        <v>18936</v>
      </c>
      <c r="J3160">
        <v>0</v>
      </c>
      <c r="K3160">
        <v>-235534.64</v>
      </c>
      <c r="L3160" t="s">
        <v>2917</v>
      </c>
      <c r="M3160">
        <v>-235534.64</v>
      </c>
      <c r="N3160" t="s">
        <v>2917</v>
      </c>
      <c r="O3160" t="s">
        <v>12106</v>
      </c>
      <c r="P3160" t="s">
        <v>2208</v>
      </c>
      <c r="Q3160" t="s">
        <v>8321</v>
      </c>
      <c r="R3160" t="s">
        <v>8322</v>
      </c>
    </row>
    <row r="3161" spans="1:18">
      <c r="A3161" t="s">
        <v>2237</v>
      </c>
      <c r="B3161" t="s">
        <v>17897</v>
      </c>
      <c r="C3161">
        <v>45808</v>
      </c>
      <c r="D3161" t="s">
        <v>7263</v>
      </c>
      <c r="E3161" t="s">
        <v>17898</v>
      </c>
      <c r="F3161">
        <v>45809</v>
      </c>
      <c r="G3161" t="s">
        <v>2208</v>
      </c>
      <c r="H3161" t="s">
        <v>8318</v>
      </c>
      <c r="I3161" t="s">
        <v>18936</v>
      </c>
      <c r="J3161">
        <v>0</v>
      </c>
      <c r="K3161">
        <v>-235534.64</v>
      </c>
      <c r="L3161" t="s">
        <v>2917</v>
      </c>
      <c r="M3161">
        <v>-235534.64</v>
      </c>
      <c r="N3161" t="s">
        <v>2917</v>
      </c>
      <c r="O3161" t="s">
        <v>12106</v>
      </c>
      <c r="P3161" t="s">
        <v>2208</v>
      </c>
      <c r="Q3161" t="s">
        <v>8321</v>
      </c>
      <c r="R3161" t="s">
        <v>8322</v>
      </c>
    </row>
    <row r="3162" spans="1:18">
      <c r="A3162" t="s">
        <v>2237</v>
      </c>
      <c r="B3162" t="s">
        <v>17897</v>
      </c>
      <c r="C3162">
        <v>45808</v>
      </c>
      <c r="D3162" t="s">
        <v>7263</v>
      </c>
      <c r="E3162" t="s">
        <v>17898</v>
      </c>
      <c r="F3162">
        <v>45809</v>
      </c>
      <c r="G3162" t="s">
        <v>2208</v>
      </c>
      <c r="H3162" t="s">
        <v>8318</v>
      </c>
      <c r="I3162" t="s">
        <v>18936</v>
      </c>
      <c r="J3162">
        <v>0</v>
      </c>
      <c r="K3162">
        <v>-137899.38</v>
      </c>
      <c r="L3162" t="s">
        <v>2917</v>
      </c>
      <c r="M3162">
        <v>-137899.38</v>
      </c>
      <c r="N3162" t="s">
        <v>2917</v>
      </c>
      <c r="O3162" t="s">
        <v>12106</v>
      </c>
      <c r="P3162" t="s">
        <v>2208</v>
      </c>
      <c r="Q3162" t="s">
        <v>8321</v>
      </c>
      <c r="R3162" t="s">
        <v>8322</v>
      </c>
    </row>
    <row r="3163" spans="1:18">
      <c r="A3163" t="s">
        <v>2237</v>
      </c>
      <c r="B3163" t="s">
        <v>17897</v>
      </c>
      <c r="C3163">
        <v>45808</v>
      </c>
      <c r="D3163" t="s">
        <v>7263</v>
      </c>
      <c r="E3163" t="s">
        <v>17898</v>
      </c>
      <c r="F3163">
        <v>45809</v>
      </c>
      <c r="G3163" t="s">
        <v>2208</v>
      </c>
      <c r="H3163" t="s">
        <v>8318</v>
      </c>
      <c r="I3163" t="s">
        <v>18936</v>
      </c>
      <c r="J3163">
        <v>0</v>
      </c>
      <c r="K3163">
        <v>-137899.38</v>
      </c>
      <c r="L3163" t="s">
        <v>2917</v>
      </c>
      <c r="M3163">
        <v>-137899.38</v>
      </c>
      <c r="N3163" t="s">
        <v>2917</v>
      </c>
      <c r="O3163" t="s">
        <v>12106</v>
      </c>
      <c r="P3163" t="s">
        <v>2208</v>
      </c>
      <c r="Q3163" t="s">
        <v>8321</v>
      </c>
      <c r="R3163" t="s">
        <v>8322</v>
      </c>
    </row>
    <row r="3164" spans="1:18">
      <c r="A3164" t="s">
        <v>2418</v>
      </c>
      <c r="B3164" t="s">
        <v>17897</v>
      </c>
      <c r="C3164">
        <v>45808</v>
      </c>
      <c r="D3164" t="s">
        <v>7263</v>
      </c>
      <c r="E3164" t="s">
        <v>17898</v>
      </c>
      <c r="F3164">
        <v>45809</v>
      </c>
      <c r="G3164" t="s">
        <v>2208</v>
      </c>
      <c r="H3164" t="s">
        <v>8318</v>
      </c>
      <c r="I3164" t="s">
        <v>18936</v>
      </c>
      <c r="J3164">
        <v>0</v>
      </c>
      <c r="K3164">
        <v>-29056.95</v>
      </c>
      <c r="L3164" t="s">
        <v>2917</v>
      </c>
      <c r="M3164">
        <v>-29056.95</v>
      </c>
      <c r="N3164" t="s">
        <v>2917</v>
      </c>
      <c r="O3164" t="s">
        <v>16906</v>
      </c>
      <c r="P3164" t="s">
        <v>2208</v>
      </c>
      <c r="Q3164" t="s">
        <v>8321</v>
      </c>
      <c r="R3164" t="s">
        <v>8322</v>
      </c>
    </row>
    <row r="3165" spans="1:18">
      <c r="A3165" t="s">
        <v>2418</v>
      </c>
      <c r="B3165" t="s">
        <v>17897</v>
      </c>
      <c r="C3165">
        <v>45808</v>
      </c>
      <c r="D3165" t="s">
        <v>7263</v>
      </c>
      <c r="E3165" t="s">
        <v>17898</v>
      </c>
      <c r="F3165">
        <v>45809</v>
      </c>
      <c r="G3165" t="s">
        <v>2208</v>
      </c>
      <c r="H3165" t="s">
        <v>8318</v>
      </c>
      <c r="I3165" t="s">
        <v>18936</v>
      </c>
      <c r="J3165">
        <v>0</v>
      </c>
      <c r="K3165">
        <v>-6293</v>
      </c>
      <c r="L3165" t="s">
        <v>2917</v>
      </c>
      <c r="M3165">
        <v>-6293</v>
      </c>
      <c r="N3165" t="s">
        <v>2917</v>
      </c>
      <c r="O3165" t="s">
        <v>8330</v>
      </c>
      <c r="P3165" t="s">
        <v>2208</v>
      </c>
      <c r="Q3165" t="s">
        <v>8321</v>
      </c>
      <c r="R3165" t="s">
        <v>8322</v>
      </c>
    </row>
    <row r="3166" spans="1:18">
      <c r="A3166" t="s">
        <v>2418</v>
      </c>
      <c r="B3166" t="s">
        <v>17897</v>
      </c>
      <c r="C3166">
        <v>45808</v>
      </c>
      <c r="D3166" t="s">
        <v>7263</v>
      </c>
      <c r="E3166" t="s">
        <v>17898</v>
      </c>
      <c r="F3166">
        <v>45809</v>
      </c>
      <c r="G3166" t="s">
        <v>2208</v>
      </c>
      <c r="H3166" t="s">
        <v>8318</v>
      </c>
      <c r="I3166" t="s">
        <v>18936</v>
      </c>
      <c r="J3166">
        <v>0</v>
      </c>
      <c r="K3166">
        <v>-89800</v>
      </c>
      <c r="L3166" t="s">
        <v>2917</v>
      </c>
      <c r="M3166">
        <v>-89800</v>
      </c>
      <c r="N3166" t="s">
        <v>2917</v>
      </c>
      <c r="O3166" t="s">
        <v>18366</v>
      </c>
      <c r="P3166" t="s">
        <v>2208</v>
      </c>
      <c r="Q3166" t="s">
        <v>8321</v>
      </c>
      <c r="R3166" t="s">
        <v>8322</v>
      </c>
    </row>
    <row r="3167" spans="1:18">
      <c r="A3167" t="s">
        <v>2418</v>
      </c>
      <c r="B3167" t="s">
        <v>17897</v>
      </c>
      <c r="C3167">
        <v>45808</v>
      </c>
      <c r="D3167" t="s">
        <v>7263</v>
      </c>
      <c r="E3167" t="s">
        <v>17898</v>
      </c>
      <c r="F3167">
        <v>45809</v>
      </c>
      <c r="G3167" t="s">
        <v>2208</v>
      </c>
      <c r="H3167" t="s">
        <v>8318</v>
      </c>
      <c r="I3167" t="s">
        <v>18936</v>
      </c>
      <c r="J3167">
        <v>0</v>
      </c>
      <c r="K3167">
        <v>-75279.41</v>
      </c>
      <c r="L3167" t="s">
        <v>2917</v>
      </c>
      <c r="M3167">
        <v>-75279.41</v>
      </c>
      <c r="N3167" t="s">
        <v>2917</v>
      </c>
      <c r="O3167" t="s">
        <v>18367</v>
      </c>
      <c r="P3167" t="s">
        <v>2208</v>
      </c>
      <c r="Q3167" t="s">
        <v>8321</v>
      </c>
      <c r="R3167" t="s">
        <v>8322</v>
      </c>
    </row>
    <row r="3168" spans="1:18">
      <c r="A3168" t="s">
        <v>2418</v>
      </c>
      <c r="B3168" t="s">
        <v>17897</v>
      </c>
      <c r="C3168">
        <v>45808</v>
      </c>
      <c r="D3168" t="s">
        <v>7263</v>
      </c>
      <c r="E3168" t="s">
        <v>17898</v>
      </c>
      <c r="F3168">
        <v>45809</v>
      </c>
      <c r="G3168" t="s">
        <v>2208</v>
      </c>
      <c r="H3168" t="s">
        <v>8318</v>
      </c>
      <c r="I3168" t="s">
        <v>18936</v>
      </c>
      <c r="J3168">
        <v>0</v>
      </c>
      <c r="K3168">
        <v>-15518.9</v>
      </c>
      <c r="L3168" t="s">
        <v>2917</v>
      </c>
      <c r="M3168">
        <v>-15518.9</v>
      </c>
      <c r="N3168" t="s">
        <v>2917</v>
      </c>
      <c r="O3168" t="s">
        <v>18368</v>
      </c>
      <c r="P3168" t="s">
        <v>2208</v>
      </c>
      <c r="Q3168" t="s">
        <v>8321</v>
      </c>
      <c r="R3168" t="s">
        <v>8322</v>
      </c>
    </row>
    <row r="3169" spans="1:18">
      <c r="A3169" t="s">
        <v>2418</v>
      </c>
      <c r="B3169" t="s">
        <v>17897</v>
      </c>
      <c r="C3169">
        <v>45808</v>
      </c>
      <c r="D3169" t="s">
        <v>7263</v>
      </c>
      <c r="E3169" t="s">
        <v>17898</v>
      </c>
      <c r="F3169">
        <v>45809</v>
      </c>
      <c r="G3169" t="s">
        <v>2208</v>
      </c>
      <c r="H3169" t="s">
        <v>8318</v>
      </c>
      <c r="I3169" t="s">
        <v>18936</v>
      </c>
      <c r="J3169">
        <v>0</v>
      </c>
      <c r="K3169">
        <v>-253757.13</v>
      </c>
      <c r="L3169" t="s">
        <v>2917</v>
      </c>
      <c r="M3169">
        <v>-253757.13</v>
      </c>
      <c r="N3169" t="s">
        <v>2917</v>
      </c>
      <c r="O3169" t="s">
        <v>8330</v>
      </c>
      <c r="P3169" t="s">
        <v>2208</v>
      </c>
      <c r="Q3169" t="s">
        <v>8321</v>
      </c>
      <c r="R3169" t="s">
        <v>8322</v>
      </c>
    </row>
    <row r="3170" spans="1:18">
      <c r="A3170" t="s">
        <v>2418</v>
      </c>
      <c r="B3170" t="s">
        <v>17897</v>
      </c>
      <c r="C3170">
        <v>45808</v>
      </c>
      <c r="D3170" t="s">
        <v>7263</v>
      </c>
      <c r="E3170" t="s">
        <v>17898</v>
      </c>
      <c r="F3170">
        <v>45809</v>
      </c>
      <c r="G3170" t="s">
        <v>2208</v>
      </c>
      <c r="H3170" t="s">
        <v>8318</v>
      </c>
      <c r="I3170" t="s">
        <v>18936</v>
      </c>
      <c r="J3170">
        <v>0</v>
      </c>
      <c r="K3170">
        <v>-50795.199999999997</v>
      </c>
      <c r="L3170" t="s">
        <v>2917</v>
      </c>
      <c r="M3170">
        <v>-50795.199999999997</v>
      </c>
      <c r="N3170" t="s">
        <v>2917</v>
      </c>
      <c r="O3170" t="s">
        <v>8330</v>
      </c>
      <c r="P3170" t="s">
        <v>2208</v>
      </c>
      <c r="Q3170" t="s">
        <v>8321</v>
      </c>
      <c r="R3170" t="s">
        <v>8322</v>
      </c>
    </row>
    <row r="3171" spans="1:18">
      <c r="A3171" t="s">
        <v>2418</v>
      </c>
      <c r="B3171" t="s">
        <v>17897</v>
      </c>
      <c r="C3171">
        <v>45808</v>
      </c>
      <c r="D3171" t="s">
        <v>7263</v>
      </c>
      <c r="E3171" t="s">
        <v>17898</v>
      </c>
      <c r="F3171">
        <v>45809</v>
      </c>
      <c r="G3171" t="s">
        <v>2208</v>
      </c>
      <c r="H3171" t="s">
        <v>8318</v>
      </c>
      <c r="I3171" t="s">
        <v>18936</v>
      </c>
      <c r="J3171">
        <v>0</v>
      </c>
      <c r="K3171">
        <v>-11745.37</v>
      </c>
      <c r="L3171" t="s">
        <v>2917</v>
      </c>
      <c r="M3171">
        <v>-11745.37</v>
      </c>
      <c r="N3171" t="s">
        <v>2917</v>
      </c>
      <c r="O3171" t="s">
        <v>8330</v>
      </c>
      <c r="P3171" t="s">
        <v>2208</v>
      </c>
      <c r="Q3171" t="s">
        <v>8321</v>
      </c>
      <c r="R3171" t="s">
        <v>8322</v>
      </c>
    </row>
    <row r="3172" spans="1:18">
      <c r="A3172" t="s">
        <v>2418</v>
      </c>
      <c r="B3172" t="s">
        <v>17897</v>
      </c>
      <c r="C3172">
        <v>45808</v>
      </c>
      <c r="D3172" t="s">
        <v>7263</v>
      </c>
      <c r="E3172" t="s">
        <v>17898</v>
      </c>
      <c r="F3172">
        <v>45809</v>
      </c>
      <c r="G3172" t="s">
        <v>2208</v>
      </c>
      <c r="H3172" t="s">
        <v>8318</v>
      </c>
      <c r="I3172" t="s">
        <v>18936</v>
      </c>
      <c r="J3172">
        <v>0</v>
      </c>
      <c r="K3172">
        <v>-2351.1</v>
      </c>
      <c r="L3172" t="s">
        <v>2917</v>
      </c>
      <c r="M3172">
        <v>-2351.1</v>
      </c>
      <c r="N3172" t="s">
        <v>2917</v>
      </c>
      <c r="O3172" t="s">
        <v>8330</v>
      </c>
      <c r="P3172" t="s">
        <v>2208</v>
      </c>
      <c r="Q3172" t="s">
        <v>8321</v>
      </c>
      <c r="R3172" t="s">
        <v>8322</v>
      </c>
    </row>
    <row r="3173" spans="1:18">
      <c r="A3173" t="s">
        <v>2418</v>
      </c>
      <c r="B3173" t="s">
        <v>17897</v>
      </c>
      <c r="C3173">
        <v>45808</v>
      </c>
      <c r="D3173" t="s">
        <v>7263</v>
      </c>
      <c r="E3173" t="s">
        <v>17898</v>
      </c>
      <c r="F3173">
        <v>45809</v>
      </c>
      <c r="G3173" t="s">
        <v>2208</v>
      </c>
      <c r="H3173" t="s">
        <v>8318</v>
      </c>
      <c r="I3173" t="s">
        <v>18936</v>
      </c>
      <c r="J3173">
        <v>0</v>
      </c>
      <c r="K3173">
        <v>-19886.849999999999</v>
      </c>
      <c r="L3173" t="s">
        <v>2917</v>
      </c>
      <c r="M3173">
        <v>-19886.849999999999</v>
      </c>
      <c r="N3173" t="s">
        <v>2917</v>
      </c>
      <c r="O3173" t="s">
        <v>8330</v>
      </c>
      <c r="P3173" t="s">
        <v>2208</v>
      </c>
      <c r="Q3173" t="s">
        <v>8321</v>
      </c>
      <c r="R3173" t="s">
        <v>8322</v>
      </c>
    </row>
    <row r="3174" spans="1:18">
      <c r="A3174" t="s">
        <v>2418</v>
      </c>
      <c r="B3174" t="s">
        <v>17897</v>
      </c>
      <c r="C3174">
        <v>45808</v>
      </c>
      <c r="D3174" t="s">
        <v>7263</v>
      </c>
      <c r="E3174" t="s">
        <v>17898</v>
      </c>
      <c r="F3174">
        <v>45809</v>
      </c>
      <c r="G3174" t="s">
        <v>2208</v>
      </c>
      <c r="H3174" t="s">
        <v>8318</v>
      </c>
      <c r="I3174" t="s">
        <v>18936</v>
      </c>
      <c r="J3174">
        <v>0</v>
      </c>
      <c r="K3174">
        <v>-3980.8</v>
      </c>
      <c r="L3174" t="s">
        <v>2917</v>
      </c>
      <c r="M3174">
        <v>-3980.8</v>
      </c>
      <c r="N3174" t="s">
        <v>2917</v>
      </c>
      <c r="O3174" t="s">
        <v>8330</v>
      </c>
      <c r="P3174" t="s">
        <v>2208</v>
      </c>
      <c r="Q3174" t="s">
        <v>8321</v>
      </c>
      <c r="R3174" t="s">
        <v>8322</v>
      </c>
    </row>
    <row r="3175" spans="1:18">
      <c r="A3175" t="s">
        <v>2418</v>
      </c>
      <c r="B3175" t="s">
        <v>17897</v>
      </c>
      <c r="C3175">
        <v>45808</v>
      </c>
      <c r="D3175" t="s">
        <v>7263</v>
      </c>
      <c r="E3175" t="s">
        <v>17898</v>
      </c>
      <c r="F3175">
        <v>45809</v>
      </c>
      <c r="G3175" t="s">
        <v>2208</v>
      </c>
      <c r="H3175" t="s">
        <v>8318</v>
      </c>
      <c r="I3175" t="s">
        <v>18936</v>
      </c>
      <c r="J3175">
        <v>0</v>
      </c>
      <c r="K3175">
        <v>-40069.440000000002</v>
      </c>
      <c r="L3175" t="s">
        <v>2917</v>
      </c>
      <c r="M3175">
        <v>-40069.440000000002</v>
      </c>
      <c r="N3175" t="s">
        <v>2917</v>
      </c>
      <c r="O3175" t="s">
        <v>8330</v>
      </c>
      <c r="P3175" t="s">
        <v>2208</v>
      </c>
      <c r="Q3175" t="s">
        <v>8321</v>
      </c>
      <c r="R3175" t="s">
        <v>8322</v>
      </c>
    </row>
    <row r="3176" spans="1:18">
      <c r="A3176" t="s">
        <v>2418</v>
      </c>
      <c r="B3176" t="s">
        <v>17897</v>
      </c>
      <c r="C3176">
        <v>45808</v>
      </c>
      <c r="D3176" t="s">
        <v>7263</v>
      </c>
      <c r="E3176" t="s">
        <v>17898</v>
      </c>
      <c r="F3176">
        <v>45809</v>
      </c>
      <c r="G3176" t="s">
        <v>2208</v>
      </c>
      <c r="H3176" t="s">
        <v>8318</v>
      </c>
      <c r="I3176" t="s">
        <v>18936</v>
      </c>
      <c r="J3176">
        <v>0</v>
      </c>
      <c r="K3176">
        <v>-8020.8</v>
      </c>
      <c r="L3176" t="s">
        <v>2917</v>
      </c>
      <c r="M3176">
        <v>-8020.8</v>
      </c>
      <c r="N3176" t="s">
        <v>2917</v>
      </c>
      <c r="O3176" t="s">
        <v>8330</v>
      </c>
      <c r="P3176" t="s">
        <v>2208</v>
      </c>
      <c r="Q3176" t="s">
        <v>8321</v>
      </c>
      <c r="R3176" t="s">
        <v>8322</v>
      </c>
    </row>
    <row r="3177" spans="1:18">
      <c r="A3177" t="s">
        <v>2418</v>
      </c>
      <c r="B3177" t="s">
        <v>17897</v>
      </c>
      <c r="C3177">
        <v>45808</v>
      </c>
      <c r="D3177" t="s">
        <v>7263</v>
      </c>
      <c r="E3177" t="s">
        <v>17898</v>
      </c>
      <c r="F3177">
        <v>45809</v>
      </c>
      <c r="G3177" t="s">
        <v>2208</v>
      </c>
      <c r="H3177" t="s">
        <v>8318</v>
      </c>
      <c r="I3177" t="s">
        <v>18936</v>
      </c>
      <c r="J3177">
        <v>0</v>
      </c>
      <c r="K3177">
        <v>-2488.5</v>
      </c>
      <c r="L3177" t="s">
        <v>2917</v>
      </c>
      <c r="M3177">
        <v>-2488.5</v>
      </c>
      <c r="N3177" t="s">
        <v>2917</v>
      </c>
      <c r="O3177" t="s">
        <v>18369</v>
      </c>
      <c r="P3177" t="s">
        <v>2208</v>
      </c>
      <c r="Q3177" t="s">
        <v>8321</v>
      </c>
      <c r="R3177" t="s">
        <v>8322</v>
      </c>
    </row>
    <row r="3178" spans="1:18">
      <c r="A3178" t="s">
        <v>2418</v>
      </c>
      <c r="B3178" t="s">
        <v>17897</v>
      </c>
      <c r="C3178">
        <v>45808</v>
      </c>
      <c r="D3178" t="s">
        <v>7263</v>
      </c>
      <c r="E3178" t="s">
        <v>17898</v>
      </c>
      <c r="F3178">
        <v>45809</v>
      </c>
      <c r="G3178" t="s">
        <v>2208</v>
      </c>
      <c r="H3178" t="s">
        <v>8318</v>
      </c>
      <c r="I3178" t="s">
        <v>18936</v>
      </c>
      <c r="J3178">
        <v>0</v>
      </c>
      <c r="K3178">
        <v>-8687.4</v>
      </c>
      <c r="L3178" t="s">
        <v>2917</v>
      </c>
      <c r="M3178">
        <v>-8687.4</v>
      </c>
      <c r="N3178" t="s">
        <v>2917</v>
      </c>
      <c r="O3178" t="s">
        <v>18370</v>
      </c>
      <c r="P3178" t="s">
        <v>2208</v>
      </c>
      <c r="Q3178" t="s">
        <v>8321</v>
      </c>
      <c r="R3178" t="s">
        <v>8322</v>
      </c>
    </row>
    <row r="3179" spans="1:18">
      <c r="A3179" t="s">
        <v>7030</v>
      </c>
      <c r="B3179" t="s">
        <v>17897</v>
      </c>
      <c r="C3179">
        <v>45808</v>
      </c>
      <c r="D3179" t="s">
        <v>7263</v>
      </c>
      <c r="E3179" t="s">
        <v>17898</v>
      </c>
      <c r="F3179">
        <v>45809</v>
      </c>
      <c r="G3179" t="s">
        <v>2208</v>
      </c>
      <c r="H3179" t="s">
        <v>8318</v>
      </c>
      <c r="I3179" t="s">
        <v>18936</v>
      </c>
      <c r="J3179">
        <v>0</v>
      </c>
      <c r="K3179">
        <v>-90488.2</v>
      </c>
      <c r="L3179" t="s">
        <v>2917</v>
      </c>
      <c r="M3179">
        <v>-90488.2</v>
      </c>
      <c r="N3179" t="s">
        <v>2917</v>
      </c>
      <c r="O3179" t="s">
        <v>18371</v>
      </c>
      <c r="P3179" t="s">
        <v>2208</v>
      </c>
      <c r="Q3179" t="s">
        <v>8321</v>
      </c>
      <c r="R3179" t="s">
        <v>8322</v>
      </c>
    </row>
    <row r="3180" spans="1:18">
      <c r="A3180" t="s">
        <v>7030</v>
      </c>
      <c r="B3180" t="s">
        <v>17897</v>
      </c>
      <c r="C3180">
        <v>45808</v>
      </c>
      <c r="D3180" t="s">
        <v>7263</v>
      </c>
      <c r="E3180" t="s">
        <v>17898</v>
      </c>
      <c r="F3180">
        <v>45809</v>
      </c>
      <c r="G3180" t="s">
        <v>2208</v>
      </c>
      <c r="H3180" t="s">
        <v>8318</v>
      </c>
      <c r="I3180" t="s">
        <v>18937</v>
      </c>
      <c r="J3180">
        <v>0</v>
      </c>
      <c r="K3180">
        <v>-4244.6000000000004</v>
      </c>
      <c r="L3180" t="s">
        <v>2917</v>
      </c>
      <c r="M3180">
        <v>-4244.6000000000004</v>
      </c>
      <c r="N3180" t="s">
        <v>2917</v>
      </c>
      <c r="O3180" t="s">
        <v>18373</v>
      </c>
      <c r="P3180" t="s">
        <v>2208</v>
      </c>
      <c r="Q3180" t="s">
        <v>8321</v>
      </c>
      <c r="R3180" t="s">
        <v>8322</v>
      </c>
    </row>
    <row r="3181" spans="1:18">
      <c r="A3181" t="s">
        <v>2418</v>
      </c>
      <c r="B3181" t="s">
        <v>17897</v>
      </c>
      <c r="C3181">
        <v>45808</v>
      </c>
      <c r="D3181" t="s">
        <v>7263</v>
      </c>
      <c r="E3181" t="s">
        <v>17898</v>
      </c>
      <c r="F3181">
        <v>45809</v>
      </c>
      <c r="G3181" t="s">
        <v>2208</v>
      </c>
      <c r="H3181" t="s">
        <v>8318</v>
      </c>
      <c r="I3181" t="s">
        <v>18937</v>
      </c>
      <c r="J3181">
        <v>0</v>
      </c>
      <c r="K3181">
        <v>-9620.1</v>
      </c>
      <c r="L3181" t="s">
        <v>2917</v>
      </c>
      <c r="M3181">
        <v>-9620.1</v>
      </c>
      <c r="N3181" t="s">
        <v>2917</v>
      </c>
      <c r="O3181" t="s">
        <v>18374</v>
      </c>
      <c r="P3181" t="s">
        <v>2208</v>
      </c>
      <c r="Q3181" t="s">
        <v>8321</v>
      </c>
      <c r="R3181" t="s">
        <v>8322</v>
      </c>
    </row>
    <row r="3182" spans="1:18">
      <c r="A3182" t="s">
        <v>2418</v>
      </c>
      <c r="B3182" t="s">
        <v>17897</v>
      </c>
      <c r="C3182">
        <v>45808</v>
      </c>
      <c r="D3182" t="s">
        <v>7263</v>
      </c>
      <c r="E3182" t="s">
        <v>17898</v>
      </c>
      <c r="F3182">
        <v>45809</v>
      </c>
      <c r="G3182" t="s">
        <v>2208</v>
      </c>
      <c r="H3182" t="s">
        <v>8318</v>
      </c>
      <c r="I3182" t="s">
        <v>18937</v>
      </c>
      <c r="J3182">
        <v>0</v>
      </c>
      <c r="K3182">
        <v>-13950</v>
      </c>
      <c r="L3182" t="s">
        <v>2917</v>
      </c>
      <c r="M3182">
        <v>-13950</v>
      </c>
      <c r="N3182" t="s">
        <v>2917</v>
      </c>
      <c r="O3182" t="s">
        <v>18375</v>
      </c>
      <c r="P3182" t="s">
        <v>2208</v>
      </c>
      <c r="Q3182" t="s">
        <v>8321</v>
      </c>
      <c r="R3182" t="s">
        <v>8322</v>
      </c>
    </row>
    <row r="3183" spans="1:18">
      <c r="A3183" t="s">
        <v>2418</v>
      </c>
      <c r="B3183" t="s">
        <v>17897</v>
      </c>
      <c r="C3183">
        <v>45808</v>
      </c>
      <c r="D3183" t="s">
        <v>7263</v>
      </c>
      <c r="E3183" t="s">
        <v>17898</v>
      </c>
      <c r="F3183">
        <v>45809</v>
      </c>
      <c r="G3183" t="s">
        <v>2208</v>
      </c>
      <c r="H3183" t="s">
        <v>8318</v>
      </c>
      <c r="I3183" t="s">
        <v>18937</v>
      </c>
      <c r="J3183">
        <v>0</v>
      </c>
      <c r="K3183">
        <v>-13600</v>
      </c>
      <c r="L3183" t="s">
        <v>2917</v>
      </c>
      <c r="M3183">
        <v>-13600</v>
      </c>
      <c r="N3183" t="s">
        <v>2917</v>
      </c>
      <c r="O3183" t="s">
        <v>18376</v>
      </c>
      <c r="P3183" t="s">
        <v>2208</v>
      </c>
      <c r="Q3183" t="s">
        <v>8321</v>
      </c>
      <c r="R3183" t="s">
        <v>8322</v>
      </c>
    </row>
    <row r="3184" spans="1:18">
      <c r="A3184" t="s">
        <v>2418</v>
      </c>
      <c r="B3184" t="s">
        <v>17897</v>
      </c>
      <c r="C3184">
        <v>45808</v>
      </c>
      <c r="D3184" t="s">
        <v>7263</v>
      </c>
      <c r="E3184" t="s">
        <v>17898</v>
      </c>
      <c r="F3184">
        <v>45809</v>
      </c>
      <c r="G3184" t="s">
        <v>2208</v>
      </c>
      <c r="H3184" t="s">
        <v>8318</v>
      </c>
      <c r="I3184" t="s">
        <v>18937</v>
      </c>
      <c r="J3184">
        <v>0</v>
      </c>
      <c r="K3184">
        <v>-13900</v>
      </c>
      <c r="L3184" t="s">
        <v>2917</v>
      </c>
      <c r="M3184">
        <v>-13900</v>
      </c>
      <c r="N3184" t="s">
        <v>2917</v>
      </c>
      <c r="O3184" t="s">
        <v>18377</v>
      </c>
      <c r="P3184" t="s">
        <v>2208</v>
      </c>
      <c r="Q3184" t="s">
        <v>8321</v>
      </c>
      <c r="R3184" t="s">
        <v>8322</v>
      </c>
    </row>
    <row r="3185" spans="1:18">
      <c r="A3185" t="s">
        <v>2418</v>
      </c>
      <c r="B3185" t="s">
        <v>17897</v>
      </c>
      <c r="C3185">
        <v>45808</v>
      </c>
      <c r="D3185" t="s">
        <v>7263</v>
      </c>
      <c r="E3185" t="s">
        <v>17898</v>
      </c>
      <c r="F3185">
        <v>45809</v>
      </c>
      <c r="G3185" t="s">
        <v>2208</v>
      </c>
      <c r="H3185" t="s">
        <v>8318</v>
      </c>
      <c r="I3185" t="s">
        <v>18937</v>
      </c>
      <c r="J3185">
        <v>0</v>
      </c>
      <c r="K3185">
        <v>-13840</v>
      </c>
      <c r="L3185" t="s">
        <v>2917</v>
      </c>
      <c r="M3185">
        <v>-13840</v>
      </c>
      <c r="N3185" t="s">
        <v>2917</v>
      </c>
      <c r="O3185" t="s">
        <v>18378</v>
      </c>
      <c r="P3185" t="s">
        <v>2208</v>
      </c>
      <c r="Q3185" t="s">
        <v>8321</v>
      </c>
      <c r="R3185" t="s">
        <v>8322</v>
      </c>
    </row>
    <row r="3186" spans="1:18">
      <c r="A3186" t="s">
        <v>709</v>
      </c>
      <c r="B3186" t="s">
        <v>17897</v>
      </c>
      <c r="C3186">
        <v>45838</v>
      </c>
      <c r="D3186" t="s">
        <v>7263</v>
      </c>
      <c r="E3186" t="s">
        <v>17898</v>
      </c>
      <c r="F3186">
        <v>45838</v>
      </c>
      <c r="G3186" t="s">
        <v>2208</v>
      </c>
      <c r="H3186" t="s">
        <v>8318</v>
      </c>
      <c r="I3186" t="s">
        <v>19826</v>
      </c>
      <c r="J3186">
        <v>0</v>
      </c>
      <c r="K3186">
        <v>4760</v>
      </c>
      <c r="L3186" t="s">
        <v>2917</v>
      </c>
      <c r="M3186">
        <v>4760</v>
      </c>
      <c r="N3186" t="s">
        <v>2917</v>
      </c>
      <c r="O3186" t="s">
        <v>8354</v>
      </c>
      <c r="P3186" t="s">
        <v>2208</v>
      </c>
      <c r="Q3186" t="s">
        <v>8321</v>
      </c>
      <c r="R3186" t="s">
        <v>8322</v>
      </c>
    </row>
    <row r="3187" spans="1:18">
      <c r="A3187" t="s">
        <v>2237</v>
      </c>
      <c r="B3187" t="s">
        <v>17897</v>
      </c>
      <c r="C3187">
        <v>45838</v>
      </c>
      <c r="D3187" t="s">
        <v>7263</v>
      </c>
      <c r="E3187" t="s">
        <v>17898</v>
      </c>
      <c r="F3187">
        <v>45838</v>
      </c>
      <c r="G3187" t="s">
        <v>2208</v>
      </c>
      <c r="H3187" t="s">
        <v>8318</v>
      </c>
      <c r="I3187" t="s">
        <v>19826</v>
      </c>
      <c r="J3187">
        <v>0</v>
      </c>
      <c r="K3187">
        <v>153889.60000000001</v>
      </c>
      <c r="L3187" t="s">
        <v>2917</v>
      </c>
      <c r="M3187">
        <v>153889.60000000001</v>
      </c>
      <c r="N3187" t="s">
        <v>2917</v>
      </c>
      <c r="O3187" t="s">
        <v>12106</v>
      </c>
      <c r="P3187" t="s">
        <v>2208</v>
      </c>
      <c r="Q3187" t="s">
        <v>8321</v>
      </c>
      <c r="R3187" t="s">
        <v>8322</v>
      </c>
    </row>
    <row r="3188" spans="1:18">
      <c r="A3188" t="s">
        <v>2237</v>
      </c>
      <c r="B3188" t="s">
        <v>17897</v>
      </c>
      <c r="C3188">
        <v>45838</v>
      </c>
      <c r="D3188" t="s">
        <v>7263</v>
      </c>
      <c r="E3188" t="s">
        <v>17898</v>
      </c>
      <c r="F3188">
        <v>45838</v>
      </c>
      <c r="G3188" t="s">
        <v>2208</v>
      </c>
      <c r="H3188" t="s">
        <v>8318</v>
      </c>
      <c r="I3188" t="s">
        <v>19826</v>
      </c>
      <c r="J3188">
        <v>0</v>
      </c>
      <c r="K3188">
        <v>178656.53</v>
      </c>
      <c r="L3188" t="s">
        <v>2917</v>
      </c>
      <c r="M3188">
        <v>178656.53</v>
      </c>
      <c r="N3188" t="s">
        <v>2917</v>
      </c>
      <c r="O3188" t="s">
        <v>12106</v>
      </c>
      <c r="P3188" t="s">
        <v>2208</v>
      </c>
      <c r="Q3188" t="s">
        <v>8321</v>
      </c>
      <c r="R3188" t="s">
        <v>8322</v>
      </c>
    </row>
    <row r="3189" spans="1:18">
      <c r="A3189" t="s">
        <v>2237</v>
      </c>
      <c r="B3189" t="s">
        <v>17897</v>
      </c>
      <c r="C3189">
        <v>45838</v>
      </c>
      <c r="D3189" t="s">
        <v>7263</v>
      </c>
      <c r="E3189" t="s">
        <v>17898</v>
      </c>
      <c r="F3189">
        <v>45838</v>
      </c>
      <c r="G3189" t="s">
        <v>2208</v>
      </c>
      <c r="H3189" t="s">
        <v>8318</v>
      </c>
      <c r="I3189" t="s">
        <v>19826</v>
      </c>
      <c r="J3189">
        <v>0</v>
      </c>
      <c r="K3189">
        <v>235534.64</v>
      </c>
      <c r="L3189" t="s">
        <v>2917</v>
      </c>
      <c r="M3189">
        <v>235534.64</v>
      </c>
      <c r="N3189" t="s">
        <v>2917</v>
      </c>
      <c r="O3189" t="s">
        <v>12106</v>
      </c>
      <c r="P3189" t="s">
        <v>2208</v>
      </c>
      <c r="Q3189" t="s">
        <v>8321</v>
      </c>
      <c r="R3189" t="s">
        <v>8322</v>
      </c>
    </row>
    <row r="3190" spans="1:18">
      <c r="A3190" t="s">
        <v>2237</v>
      </c>
      <c r="B3190" t="s">
        <v>17897</v>
      </c>
      <c r="C3190">
        <v>45838</v>
      </c>
      <c r="D3190" t="s">
        <v>7263</v>
      </c>
      <c r="E3190" t="s">
        <v>17898</v>
      </c>
      <c r="F3190">
        <v>45838</v>
      </c>
      <c r="G3190" t="s">
        <v>2208</v>
      </c>
      <c r="H3190" t="s">
        <v>8318</v>
      </c>
      <c r="I3190" t="s">
        <v>19826</v>
      </c>
      <c r="J3190">
        <v>0</v>
      </c>
      <c r="K3190">
        <v>235534.64</v>
      </c>
      <c r="L3190" t="s">
        <v>2917</v>
      </c>
      <c r="M3190">
        <v>235534.64</v>
      </c>
      <c r="N3190" t="s">
        <v>2917</v>
      </c>
      <c r="O3190" t="s">
        <v>12106</v>
      </c>
      <c r="P3190" t="s">
        <v>2208</v>
      </c>
      <c r="Q3190" t="s">
        <v>8321</v>
      </c>
      <c r="R3190" t="s">
        <v>8322</v>
      </c>
    </row>
    <row r="3191" spans="1:18">
      <c r="A3191" t="s">
        <v>2237</v>
      </c>
      <c r="B3191" t="s">
        <v>17897</v>
      </c>
      <c r="C3191">
        <v>45838</v>
      </c>
      <c r="D3191" t="s">
        <v>7263</v>
      </c>
      <c r="E3191" t="s">
        <v>17898</v>
      </c>
      <c r="F3191">
        <v>45838</v>
      </c>
      <c r="G3191" t="s">
        <v>2208</v>
      </c>
      <c r="H3191" t="s">
        <v>8318</v>
      </c>
      <c r="I3191" t="s">
        <v>19826</v>
      </c>
      <c r="J3191">
        <v>0</v>
      </c>
      <c r="K3191">
        <v>137899.38</v>
      </c>
      <c r="L3191" t="s">
        <v>2917</v>
      </c>
      <c r="M3191">
        <v>137899.38</v>
      </c>
      <c r="N3191" t="s">
        <v>2917</v>
      </c>
      <c r="O3191" t="s">
        <v>12106</v>
      </c>
      <c r="P3191" t="s">
        <v>2208</v>
      </c>
      <c r="Q3191" t="s">
        <v>8321</v>
      </c>
      <c r="R3191" t="s">
        <v>8322</v>
      </c>
    </row>
    <row r="3192" spans="1:18">
      <c r="A3192" t="s">
        <v>2237</v>
      </c>
      <c r="B3192" t="s">
        <v>17897</v>
      </c>
      <c r="C3192">
        <v>45838</v>
      </c>
      <c r="D3192" t="s">
        <v>7263</v>
      </c>
      <c r="E3192" t="s">
        <v>17898</v>
      </c>
      <c r="F3192">
        <v>45838</v>
      </c>
      <c r="G3192" t="s">
        <v>2208</v>
      </c>
      <c r="H3192" t="s">
        <v>8318</v>
      </c>
      <c r="I3192" t="s">
        <v>19826</v>
      </c>
      <c r="J3192">
        <v>0</v>
      </c>
      <c r="K3192">
        <v>137899.38</v>
      </c>
      <c r="L3192" t="s">
        <v>2917</v>
      </c>
      <c r="M3192">
        <v>137899.38</v>
      </c>
      <c r="N3192" t="s">
        <v>2917</v>
      </c>
      <c r="O3192" t="s">
        <v>12106</v>
      </c>
      <c r="P3192" t="s">
        <v>2208</v>
      </c>
      <c r="Q3192" t="s">
        <v>8321</v>
      </c>
      <c r="R3192" t="s">
        <v>8322</v>
      </c>
    </row>
    <row r="3193" spans="1:18">
      <c r="A3193" t="s">
        <v>2418</v>
      </c>
      <c r="B3193" t="s">
        <v>17897</v>
      </c>
      <c r="C3193">
        <v>45838</v>
      </c>
      <c r="D3193" t="s">
        <v>7263</v>
      </c>
      <c r="E3193" t="s">
        <v>17898</v>
      </c>
      <c r="F3193">
        <v>45838</v>
      </c>
      <c r="G3193" t="s">
        <v>2208</v>
      </c>
      <c r="H3193" t="s">
        <v>8318</v>
      </c>
      <c r="I3193" t="s">
        <v>19826</v>
      </c>
      <c r="J3193">
        <v>0</v>
      </c>
      <c r="K3193">
        <v>29056.95</v>
      </c>
      <c r="L3193" t="s">
        <v>2917</v>
      </c>
      <c r="M3193">
        <v>29056.95</v>
      </c>
      <c r="N3193" t="s">
        <v>2917</v>
      </c>
      <c r="O3193" t="s">
        <v>16906</v>
      </c>
      <c r="P3193" t="s">
        <v>2208</v>
      </c>
      <c r="Q3193" t="s">
        <v>8321</v>
      </c>
      <c r="R3193" t="s">
        <v>8322</v>
      </c>
    </row>
    <row r="3194" spans="1:18">
      <c r="A3194" t="s">
        <v>2418</v>
      </c>
      <c r="B3194" t="s">
        <v>17897</v>
      </c>
      <c r="C3194">
        <v>45838</v>
      </c>
      <c r="D3194" t="s">
        <v>7263</v>
      </c>
      <c r="E3194" t="s">
        <v>17898</v>
      </c>
      <c r="F3194">
        <v>45838</v>
      </c>
      <c r="G3194" t="s">
        <v>2208</v>
      </c>
      <c r="H3194" t="s">
        <v>8318</v>
      </c>
      <c r="I3194" t="s">
        <v>19826</v>
      </c>
      <c r="J3194">
        <v>0</v>
      </c>
      <c r="K3194">
        <v>6293</v>
      </c>
      <c r="L3194" t="s">
        <v>2917</v>
      </c>
      <c r="M3194">
        <v>6293</v>
      </c>
      <c r="N3194" t="s">
        <v>2917</v>
      </c>
      <c r="O3194" t="s">
        <v>8330</v>
      </c>
      <c r="P3194" t="s">
        <v>2208</v>
      </c>
      <c r="Q3194" t="s">
        <v>8321</v>
      </c>
      <c r="R3194" t="s">
        <v>8322</v>
      </c>
    </row>
    <row r="3195" spans="1:18">
      <c r="A3195" t="s">
        <v>2418</v>
      </c>
      <c r="B3195" t="s">
        <v>17897</v>
      </c>
      <c r="C3195">
        <v>45838</v>
      </c>
      <c r="D3195" t="s">
        <v>7263</v>
      </c>
      <c r="E3195" t="s">
        <v>17898</v>
      </c>
      <c r="F3195">
        <v>45838</v>
      </c>
      <c r="G3195" t="s">
        <v>2208</v>
      </c>
      <c r="H3195" t="s">
        <v>8318</v>
      </c>
      <c r="I3195" t="s">
        <v>19826</v>
      </c>
      <c r="J3195">
        <v>0</v>
      </c>
      <c r="K3195">
        <v>75279.41</v>
      </c>
      <c r="L3195" t="s">
        <v>2917</v>
      </c>
      <c r="M3195">
        <v>75279.41</v>
      </c>
      <c r="N3195" t="s">
        <v>2917</v>
      </c>
      <c r="O3195" t="s">
        <v>8330</v>
      </c>
      <c r="P3195" t="s">
        <v>2208</v>
      </c>
      <c r="Q3195" t="s">
        <v>8321</v>
      </c>
      <c r="R3195" t="s">
        <v>8322</v>
      </c>
    </row>
    <row r="3196" spans="1:18">
      <c r="A3196" t="s">
        <v>2418</v>
      </c>
      <c r="B3196" t="s">
        <v>17897</v>
      </c>
      <c r="C3196">
        <v>45838</v>
      </c>
      <c r="D3196" t="s">
        <v>7263</v>
      </c>
      <c r="E3196" t="s">
        <v>17898</v>
      </c>
      <c r="F3196">
        <v>45838</v>
      </c>
      <c r="G3196" t="s">
        <v>2208</v>
      </c>
      <c r="H3196" t="s">
        <v>8318</v>
      </c>
      <c r="I3196" t="s">
        <v>19826</v>
      </c>
      <c r="J3196">
        <v>0</v>
      </c>
      <c r="K3196">
        <v>15518.9</v>
      </c>
      <c r="L3196" t="s">
        <v>2917</v>
      </c>
      <c r="M3196">
        <v>15518.9</v>
      </c>
      <c r="N3196" t="s">
        <v>2917</v>
      </c>
      <c r="O3196" t="s">
        <v>8330</v>
      </c>
      <c r="P3196" t="s">
        <v>2208</v>
      </c>
      <c r="Q3196" t="s">
        <v>8321</v>
      </c>
      <c r="R3196" t="s">
        <v>8322</v>
      </c>
    </row>
    <row r="3197" spans="1:18">
      <c r="A3197" t="s">
        <v>2418</v>
      </c>
      <c r="B3197" t="s">
        <v>17897</v>
      </c>
      <c r="C3197">
        <v>45838</v>
      </c>
      <c r="D3197" t="s">
        <v>7263</v>
      </c>
      <c r="E3197" t="s">
        <v>17898</v>
      </c>
      <c r="F3197">
        <v>45838</v>
      </c>
      <c r="G3197" t="s">
        <v>2208</v>
      </c>
      <c r="H3197" t="s">
        <v>8318</v>
      </c>
      <c r="I3197" t="s">
        <v>19826</v>
      </c>
      <c r="J3197">
        <v>0</v>
      </c>
      <c r="K3197">
        <v>253757.13</v>
      </c>
      <c r="L3197" t="s">
        <v>2917</v>
      </c>
      <c r="M3197">
        <v>253757.13</v>
      </c>
      <c r="N3197" t="s">
        <v>2917</v>
      </c>
      <c r="O3197" t="s">
        <v>8330</v>
      </c>
      <c r="P3197" t="s">
        <v>2208</v>
      </c>
      <c r="Q3197" t="s">
        <v>8321</v>
      </c>
      <c r="R3197" t="s">
        <v>8322</v>
      </c>
    </row>
    <row r="3198" spans="1:18">
      <c r="A3198" t="s">
        <v>2418</v>
      </c>
      <c r="B3198" t="s">
        <v>17897</v>
      </c>
      <c r="C3198">
        <v>45838</v>
      </c>
      <c r="D3198" t="s">
        <v>7263</v>
      </c>
      <c r="E3198" t="s">
        <v>17898</v>
      </c>
      <c r="F3198">
        <v>45838</v>
      </c>
      <c r="G3198" t="s">
        <v>2208</v>
      </c>
      <c r="H3198" t="s">
        <v>8318</v>
      </c>
      <c r="I3198" t="s">
        <v>19826</v>
      </c>
      <c r="J3198">
        <v>0</v>
      </c>
      <c r="K3198">
        <v>50795.199999999997</v>
      </c>
      <c r="L3198" t="s">
        <v>2917</v>
      </c>
      <c r="M3198">
        <v>50795.199999999997</v>
      </c>
      <c r="N3198" t="s">
        <v>2917</v>
      </c>
      <c r="O3198" t="s">
        <v>8330</v>
      </c>
      <c r="P3198" t="s">
        <v>2208</v>
      </c>
      <c r="Q3198" t="s">
        <v>8321</v>
      </c>
      <c r="R3198" t="s">
        <v>8322</v>
      </c>
    </row>
    <row r="3199" spans="1:18">
      <c r="A3199" t="s">
        <v>2418</v>
      </c>
      <c r="B3199" t="s">
        <v>17897</v>
      </c>
      <c r="C3199">
        <v>45838</v>
      </c>
      <c r="D3199" t="s">
        <v>7263</v>
      </c>
      <c r="E3199" t="s">
        <v>17898</v>
      </c>
      <c r="F3199">
        <v>45838</v>
      </c>
      <c r="G3199" t="s">
        <v>2208</v>
      </c>
      <c r="H3199" t="s">
        <v>8318</v>
      </c>
      <c r="I3199" t="s">
        <v>19826</v>
      </c>
      <c r="J3199">
        <v>0</v>
      </c>
      <c r="K3199">
        <v>11745.37</v>
      </c>
      <c r="L3199" t="s">
        <v>2917</v>
      </c>
      <c r="M3199">
        <v>11745.37</v>
      </c>
      <c r="N3199" t="s">
        <v>2917</v>
      </c>
      <c r="O3199" t="s">
        <v>8330</v>
      </c>
      <c r="P3199" t="s">
        <v>2208</v>
      </c>
      <c r="Q3199" t="s">
        <v>8321</v>
      </c>
      <c r="R3199" t="s">
        <v>8322</v>
      </c>
    </row>
    <row r="3200" spans="1:18">
      <c r="A3200" t="s">
        <v>2418</v>
      </c>
      <c r="B3200" t="s">
        <v>17897</v>
      </c>
      <c r="C3200">
        <v>45838</v>
      </c>
      <c r="D3200" t="s">
        <v>7263</v>
      </c>
      <c r="E3200" t="s">
        <v>17898</v>
      </c>
      <c r="F3200">
        <v>45838</v>
      </c>
      <c r="G3200" t="s">
        <v>2208</v>
      </c>
      <c r="H3200" t="s">
        <v>8318</v>
      </c>
      <c r="I3200" t="s">
        <v>19826</v>
      </c>
      <c r="J3200">
        <v>0</v>
      </c>
      <c r="K3200">
        <v>2351.1</v>
      </c>
      <c r="L3200" t="s">
        <v>2917</v>
      </c>
      <c r="M3200">
        <v>2351.1</v>
      </c>
      <c r="N3200" t="s">
        <v>2917</v>
      </c>
      <c r="O3200" t="s">
        <v>8330</v>
      </c>
      <c r="P3200" t="s">
        <v>2208</v>
      </c>
      <c r="Q3200" t="s">
        <v>8321</v>
      </c>
      <c r="R3200" t="s">
        <v>8322</v>
      </c>
    </row>
    <row r="3201" spans="1:18">
      <c r="A3201" t="s">
        <v>2418</v>
      </c>
      <c r="B3201" t="s">
        <v>17897</v>
      </c>
      <c r="C3201">
        <v>45838</v>
      </c>
      <c r="D3201" t="s">
        <v>7263</v>
      </c>
      <c r="E3201" t="s">
        <v>17898</v>
      </c>
      <c r="F3201">
        <v>45838</v>
      </c>
      <c r="G3201" t="s">
        <v>2208</v>
      </c>
      <c r="H3201" t="s">
        <v>8318</v>
      </c>
      <c r="I3201" t="s">
        <v>19826</v>
      </c>
      <c r="J3201">
        <v>0</v>
      </c>
      <c r="K3201">
        <v>19886.849999999999</v>
      </c>
      <c r="L3201" t="s">
        <v>2917</v>
      </c>
      <c r="M3201">
        <v>19886.849999999999</v>
      </c>
      <c r="N3201" t="s">
        <v>2917</v>
      </c>
      <c r="O3201" t="s">
        <v>8330</v>
      </c>
      <c r="P3201" t="s">
        <v>2208</v>
      </c>
      <c r="Q3201" t="s">
        <v>8321</v>
      </c>
      <c r="R3201" t="s">
        <v>8322</v>
      </c>
    </row>
    <row r="3202" spans="1:18">
      <c r="A3202" t="s">
        <v>2418</v>
      </c>
      <c r="B3202" t="s">
        <v>17897</v>
      </c>
      <c r="C3202">
        <v>45838</v>
      </c>
      <c r="D3202" t="s">
        <v>7263</v>
      </c>
      <c r="E3202" t="s">
        <v>17898</v>
      </c>
      <c r="F3202">
        <v>45838</v>
      </c>
      <c r="G3202" t="s">
        <v>2208</v>
      </c>
      <c r="H3202" t="s">
        <v>8318</v>
      </c>
      <c r="I3202" t="s">
        <v>19826</v>
      </c>
      <c r="J3202">
        <v>0</v>
      </c>
      <c r="K3202">
        <v>3980.8</v>
      </c>
      <c r="L3202" t="s">
        <v>2917</v>
      </c>
      <c r="M3202">
        <v>3980.8</v>
      </c>
      <c r="N3202" t="s">
        <v>2917</v>
      </c>
      <c r="O3202" t="s">
        <v>8330</v>
      </c>
      <c r="P3202" t="s">
        <v>2208</v>
      </c>
      <c r="Q3202" t="s">
        <v>8321</v>
      </c>
      <c r="R3202" t="s">
        <v>8322</v>
      </c>
    </row>
    <row r="3203" spans="1:18">
      <c r="A3203" t="s">
        <v>2418</v>
      </c>
      <c r="B3203" t="s">
        <v>17897</v>
      </c>
      <c r="C3203">
        <v>45838</v>
      </c>
      <c r="D3203" t="s">
        <v>7263</v>
      </c>
      <c r="E3203" t="s">
        <v>17898</v>
      </c>
      <c r="F3203">
        <v>45838</v>
      </c>
      <c r="G3203" t="s">
        <v>2208</v>
      </c>
      <c r="H3203" t="s">
        <v>8318</v>
      </c>
      <c r="I3203" t="s">
        <v>19826</v>
      </c>
      <c r="J3203">
        <v>0</v>
      </c>
      <c r="K3203">
        <v>40069.440000000002</v>
      </c>
      <c r="L3203" t="s">
        <v>2917</v>
      </c>
      <c r="M3203">
        <v>40069.440000000002</v>
      </c>
      <c r="N3203" t="s">
        <v>2917</v>
      </c>
      <c r="O3203" t="s">
        <v>8330</v>
      </c>
      <c r="P3203" t="s">
        <v>2208</v>
      </c>
      <c r="Q3203" t="s">
        <v>8321</v>
      </c>
      <c r="R3203" t="s">
        <v>8322</v>
      </c>
    </row>
    <row r="3204" spans="1:18">
      <c r="A3204" t="s">
        <v>2418</v>
      </c>
      <c r="B3204" t="s">
        <v>17897</v>
      </c>
      <c r="C3204">
        <v>45838</v>
      </c>
      <c r="D3204" t="s">
        <v>7263</v>
      </c>
      <c r="E3204" t="s">
        <v>17898</v>
      </c>
      <c r="F3204">
        <v>45838</v>
      </c>
      <c r="G3204" t="s">
        <v>2208</v>
      </c>
      <c r="H3204" t="s">
        <v>8318</v>
      </c>
      <c r="I3204" t="s">
        <v>19826</v>
      </c>
      <c r="J3204">
        <v>0</v>
      </c>
      <c r="K3204">
        <v>8020.8</v>
      </c>
      <c r="L3204" t="s">
        <v>2917</v>
      </c>
      <c r="M3204">
        <v>8020.8</v>
      </c>
      <c r="N3204" t="s">
        <v>2917</v>
      </c>
      <c r="O3204" t="s">
        <v>8330</v>
      </c>
      <c r="P3204" t="s">
        <v>2208</v>
      </c>
      <c r="Q3204" t="s">
        <v>8321</v>
      </c>
      <c r="R3204" t="s">
        <v>8322</v>
      </c>
    </row>
    <row r="3205" spans="1:18">
      <c r="A3205" t="s">
        <v>2418</v>
      </c>
      <c r="B3205" t="s">
        <v>17897</v>
      </c>
      <c r="C3205">
        <v>45838</v>
      </c>
      <c r="D3205" t="s">
        <v>7263</v>
      </c>
      <c r="E3205" t="s">
        <v>17898</v>
      </c>
      <c r="F3205">
        <v>45838</v>
      </c>
      <c r="G3205" t="s">
        <v>2208</v>
      </c>
      <c r="H3205" t="s">
        <v>8318</v>
      </c>
      <c r="I3205" t="s">
        <v>19826</v>
      </c>
      <c r="J3205">
        <v>0</v>
      </c>
      <c r="K3205">
        <v>2267.52</v>
      </c>
      <c r="L3205" t="s">
        <v>2917</v>
      </c>
      <c r="M3205">
        <v>2267.52</v>
      </c>
      <c r="N3205" t="s">
        <v>2917</v>
      </c>
      <c r="O3205" t="s">
        <v>8356</v>
      </c>
      <c r="P3205" t="s">
        <v>2208</v>
      </c>
      <c r="Q3205" t="s">
        <v>8321</v>
      </c>
      <c r="R3205" t="s">
        <v>8322</v>
      </c>
    </row>
    <row r="3206" spans="1:18">
      <c r="A3206" t="s">
        <v>2418</v>
      </c>
      <c r="B3206" t="s">
        <v>17897</v>
      </c>
      <c r="C3206">
        <v>45838</v>
      </c>
      <c r="D3206" t="s">
        <v>7263</v>
      </c>
      <c r="E3206" t="s">
        <v>17898</v>
      </c>
      <c r="F3206">
        <v>45838</v>
      </c>
      <c r="G3206" t="s">
        <v>2208</v>
      </c>
      <c r="H3206" t="s">
        <v>8318</v>
      </c>
      <c r="I3206" t="s">
        <v>19826</v>
      </c>
      <c r="J3206">
        <v>0</v>
      </c>
      <c r="K3206">
        <v>7339.9</v>
      </c>
      <c r="L3206" t="s">
        <v>2917</v>
      </c>
      <c r="M3206">
        <v>7339.9</v>
      </c>
      <c r="N3206" t="s">
        <v>2917</v>
      </c>
      <c r="O3206" t="s">
        <v>8357</v>
      </c>
      <c r="P3206" t="s">
        <v>2208</v>
      </c>
      <c r="Q3206" t="s">
        <v>8321</v>
      </c>
      <c r="R3206" t="s">
        <v>8322</v>
      </c>
    </row>
    <row r="3207" spans="1:18">
      <c r="A3207" t="s">
        <v>7030</v>
      </c>
      <c r="B3207" t="s">
        <v>17897</v>
      </c>
      <c r="C3207">
        <v>45838</v>
      </c>
      <c r="D3207" t="s">
        <v>7263</v>
      </c>
      <c r="E3207" t="s">
        <v>17898</v>
      </c>
      <c r="F3207">
        <v>45838</v>
      </c>
      <c r="G3207" t="s">
        <v>2208</v>
      </c>
      <c r="H3207" t="s">
        <v>8318</v>
      </c>
      <c r="I3207" t="s">
        <v>19826</v>
      </c>
      <c r="J3207">
        <v>0</v>
      </c>
      <c r="K3207">
        <v>90488.2</v>
      </c>
      <c r="L3207" t="s">
        <v>2917</v>
      </c>
      <c r="M3207">
        <v>90488.2</v>
      </c>
      <c r="N3207" t="s">
        <v>2917</v>
      </c>
      <c r="O3207" t="s">
        <v>19827</v>
      </c>
      <c r="P3207" t="s">
        <v>2208</v>
      </c>
      <c r="Q3207" t="s">
        <v>8321</v>
      </c>
      <c r="R3207" t="s">
        <v>8322</v>
      </c>
    </row>
    <row r="3208" spans="1:18">
      <c r="A3208" t="s">
        <v>7030</v>
      </c>
      <c r="B3208" t="s">
        <v>17897</v>
      </c>
      <c r="C3208">
        <v>45838</v>
      </c>
      <c r="D3208" t="s">
        <v>7263</v>
      </c>
      <c r="E3208" t="s">
        <v>17898</v>
      </c>
      <c r="F3208">
        <v>45838</v>
      </c>
      <c r="G3208" t="s">
        <v>2208</v>
      </c>
      <c r="H3208" t="s">
        <v>8318</v>
      </c>
      <c r="I3208" t="s">
        <v>19828</v>
      </c>
      <c r="J3208">
        <v>0</v>
      </c>
      <c r="K3208">
        <v>19979.8</v>
      </c>
      <c r="L3208" t="s">
        <v>2917</v>
      </c>
      <c r="M3208">
        <v>19979.8</v>
      </c>
      <c r="N3208" t="s">
        <v>2917</v>
      </c>
      <c r="O3208" t="s">
        <v>19829</v>
      </c>
      <c r="P3208" t="s">
        <v>2208</v>
      </c>
      <c r="Q3208" t="s">
        <v>8321</v>
      </c>
      <c r="R3208" t="s">
        <v>8322</v>
      </c>
    </row>
    <row r="3209" spans="1:18">
      <c r="A3209" t="s">
        <v>2418</v>
      </c>
      <c r="B3209" t="s">
        <v>17897</v>
      </c>
      <c r="C3209">
        <v>45838</v>
      </c>
      <c r="D3209" t="s">
        <v>7263</v>
      </c>
      <c r="E3209" t="s">
        <v>17898</v>
      </c>
      <c r="F3209">
        <v>45838</v>
      </c>
      <c r="G3209" t="s">
        <v>2208</v>
      </c>
      <c r="H3209" t="s">
        <v>8318</v>
      </c>
      <c r="I3209" t="s">
        <v>19828</v>
      </c>
      <c r="J3209">
        <v>0</v>
      </c>
      <c r="K3209">
        <v>16523.099999999999</v>
      </c>
      <c r="L3209" t="s">
        <v>2917</v>
      </c>
      <c r="M3209">
        <v>16523.099999999999</v>
      </c>
      <c r="N3209" t="s">
        <v>2917</v>
      </c>
      <c r="O3209" t="s">
        <v>19830</v>
      </c>
      <c r="P3209" t="s">
        <v>2208</v>
      </c>
      <c r="Q3209" t="s">
        <v>8321</v>
      </c>
      <c r="R3209" t="s">
        <v>8322</v>
      </c>
    </row>
    <row r="3210" spans="1:18">
      <c r="A3210" t="s">
        <v>2418</v>
      </c>
      <c r="B3210" t="s">
        <v>17897</v>
      </c>
      <c r="C3210">
        <v>45838</v>
      </c>
      <c r="D3210" t="s">
        <v>7263</v>
      </c>
      <c r="E3210" t="s">
        <v>17898</v>
      </c>
      <c r="F3210">
        <v>45838</v>
      </c>
      <c r="G3210" t="s">
        <v>2208</v>
      </c>
      <c r="H3210" t="s">
        <v>8318</v>
      </c>
      <c r="I3210" t="s">
        <v>19828</v>
      </c>
      <c r="J3210">
        <v>0</v>
      </c>
      <c r="K3210">
        <v>16518.099999999999</v>
      </c>
      <c r="L3210" t="s">
        <v>2917</v>
      </c>
      <c r="M3210">
        <v>16518.099999999999</v>
      </c>
      <c r="N3210" t="s">
        <v>2917</v>
      </c>
      <c r="O3210" t="s">
        <v>19831</v>
      </c>
      <c r="P3210" t="s">
        <v>2208</v>
      </c>
      <c r="Q3210" t="s">
        <v>8321</v>
      </c>
      <c r="R3210" t="s">
        <v>8322</v>
      </c>
    </row>
    <row r="3211" spans="1:18">
      <c r="A3211" t="s">
        <v>2418</v>
      </c>
      <c r="B3211" t="s">
        <v>17897</v>
      </c>
      <c r="C3211">
        <v>45838</v>
      </c>
      <c r="D3211" t="s">
        <v>7263</v>
      </c>
      <c r="E3211" t="s">
        <v>17898</v>
      </c>
      <c r="F3211">
        <v>45838</v>
      </c>
      <c r="G3211" t="s">
        <v>2208</v>
      </c>
      <c r="H3211" t="s">
        <v>8318</v>
      </c>
      <c r="I3211" t="s">
        <v>19828</v>
      </c>
      <c r="J3211">
        <v>0</v>
      </c>
      <c r="K3211">
        <v>65118</v>
      </c>
      <c r="L3211" t="s">
        <v>2917</v>
      </c>
      <c r="M3211">
        <v>65118</v>
      </c>
      <c r="N3211" t="s">
        <v>2917</v>
      </c>
      <c r="O3211" t="s">
        <v>19832</v>
      </c>
      <c r="P3211" t="s">
        <v>2208</v>
      </c>
      <c r="Q3211" t="s">
        <v>8321</v>
      </c>
      <c r="R3211" t="s">
        <v>8322</v>
      </c>
    </row>
    <row r="3212" spans="1:18">
      <c r="A3212" t="s">
        <v>7030</v>
      </c>
      <c r="B3212" t="s">
        <v>17897</v>
      </c>
      <c r="C3212">
        <v>45838</v>
      </c>
      <c r="D3212" t="s">
        <v>7263</v>
      </c>
      <c r="E3212" t="s">
        <v>17898</v>
      </c>
      <c r="F3212">
        <v>45838</v>
      </c>
      <c r="G3212" t="s">
        <v>2208</v>
      </c>
      <c r="H3212" t="s">
        <v>11198</v>
      </c>
      <c r="I3212" t="s">
        <v>19881</v>
      </c>
      <c r="J3212">
        <v>0</v>
      </c>
      <c r="K3212">
        <v>1439.26</v>
      </c>
      <c r="L3212" t="s">
        <v>2917</v>
      </c>
      <c r="M3212">
        <v>1439.26</v>
      </c>
      <c r="N3212" t="s">
        <v>2917</v>
      </c>
      <c r="O3212" t="s">
        <v>19882</v>
      </c>
      <c r="P3212" t="s">
        <v>2208</v>
      </c>
      <c r="Q3212" t="s">
        <v>11198</v>
      </c>
      <c r="R3212" t="s">
        <v>19883</v>
      </c>
    </row>
    <row r="3213" spans="1:18">
      <c r="A3213" t="s">
        <v>2237</v>
      </c>
      <c r="B3213" t="s">
        <v>17897</v>
      </c>
      <c r="C3213">
        <v>45838</v>
      </c>
      <c r="D3213" t="s">
        <v>7263</v>
      </c>
      <c r="E3213" t="s">
        <v>17898</v>
      </c>
      <c r="F3213">
        <v>45838</v>
      </c>
      <c r="G3213" t="s">
        <v>2208</v>
      </c>
      <c r="H3213" t="s">
        <v>11198</v>
      </c>
      <c r="I3213" t="s">
        <v>19881</v>
      </c>
      <c r="J3213">
        <v>0</v>
      </c>
      <c r="K3213">
        <v>157.77000000000001</v>
      </c>
      <c r="L3213" t="s">
        <v>2917</v>
      </c>
      <c r="M3213">
        <v>157.77000000000001</v>
      </c>
      <c r="N3213" t="s">
        <v>2917</v>
      </c>
      <c r="O3213" t="s">
        <v>19882</v>
      </c>
      <c r="P3213" t="s">
        <v>2208</v>
      </c>
      <c r="Q3213" t="s">
        <v>11198</v>
      </c>
      <c r="R3213" t="s">
        <v>19883</v>
      </c>
    </row>
    <row r="3214" spans="1:18">
      <c r="A3214" t="s">
        <v>2418</v>
      </c>
      <c r="B3214" t="s">
        <v>17897</v>
      </c>
      <c r="C3214">
        <v>45838</v>
      </c>
      <c r="D3214" t="s">
        <v>7263</v>
      </c>
      <c r="E3214" t="s">
        <v>17898</v>
      </c>
      <c r="F3214">
        <v>45838</v>
      </c>
      <c r="G3214" t="s">
        <v>2208</v>
      </c>
      <c r="H3214" t="s">
        <v>2978</v>
      </c>
      <c r="I3214" t="s">
        <v>19884</v>
      </c>
      <c r="J3214">
        <v>0</v>
      </c>
      <c r="K3214">
        <v>-69721.5</v>
      </c>
      <c r="L3214" t="s">
        <v>2917</v>
      </c>
      <c r="M3214">
        <v>-69721.5</v>
      </c>
      <c r="N3214" t="s">
        <v>2917</v>
      </c>
      <c r="O3214" t="s">
        <v>9561</v>
      </c>
      <c r="P3214" t="s">
        <v>2208</v>
      </c>
      <c r="Q3214" t="s">
        <v>16915</v>
      </c>
      <c r="R3214" t="s">
        <v>16916</v>
      </c>
    </row>
    <row r="3215" spans="1:18">
      <c r="A3215" t="s">
        <v>2418</v>
      </c>
      <c r="B3215" t="s">
        <v>17897</v>
      </c>
      <c r="C3215">
        <v>45838</v>
      </c>
      <c r="D3215" t="s">
        <v>7263</v>
      </c>
      <c r="E3215" t="s">
        <v>17898</v>
      </c>
      <c r="F3215">
        <v>45838</v>
      </c>
      <c r="G3215" t="s">
        <v>2208</v>
      </c>
      <c r="H3215" t="s">
        <v>2978</v>
      </c>
      <c r="I3215" t="s">
        <v>19884</v>
      </c>
      <c r="J3215">
        <v>0</v>
      </c>
      <c r="K3215">
        <v>69721.5</v>
      </c>
      <c r="L3215" t="s">
        <v>2917</v>
      </c>
      <c r="M3215">
        <v>69721.5</v>
      </c>
      <c r="N3215" t="s">
        <v>2917</v>
      </c>
      <c r="O3215" t="s">
        <v>9561</v>
      </c>
      <c r="P3215" t="s">
        <v>2208</v>
      </c>
      <c r="Q3215" t="s">
        <v>16915</v>
      </c>
      <c r="R3215" t="s">
        <v>16916</v>
      </c>
    </row>
    <row r="3216" spans="1:18">
      <c r="A3216" t="s">
        <v>709</v>
      </c>
      <c r="B3216" t="s">
        <v>17897</v>
      </c>
      <c r="C3216">
        <v>45838</v>
      </c>
      <c r="D3216" t="s">
        <v>7263</v>
      </c>
      <c r="E3216" t="s">
        <v>17898</v>
      </c>
      <c r="F3216">
        <v>45838</v>
      </c>
      <c r="G3216" t="s">
        <v>2208</v>
      </c>
      <c r="H3216" t="s">
        <v>2974</v>
      </c>
      <c r="I3216" t="s">
        <v>19954</v>
      </c>
      <c r="J3216">
        <v>0</v>
      </c>
      <c r="K3216">
        <v>-1070.67</v>
      </c>
      <c r="L3216" t="s">
        <v>2917</v>
      </c>
      <c r="M3216">
        <v>-1070.67</v>
      </c>
      <c r="N3216" t="s">
        <v>2917</v>
      </c>
      <c r="O3216" t="s">
        <v>3070</v>
      </c>
      <c r="P3216" t="s">
        <v>2208</v>
      </c>
      <c r="Q3216" t="s">
        <v>2975</v>
      </c>
      <c r="R3216" t="s">
        <v>3316</v>
      </c>
    </row>
    <row r="3217" spans="1:18">
      <c r="A3217" t="s">
        <v>709</v>
      </c>
      <c r="B3217" t="s">
        <v>17897</v>
      </c>
      <c r="C3217">
        <v>45838</v>
      </c>
      <c r="D3217" t="s">
        <v>7263</v>
      </c>
      <c r="E3217" t="s">
        <v>17898</v>
      </c>
      <c r="F3217">
        <v>45838</v>
      </c>
      <c r="G3217" t="s">
        <v>2208</v>
      </c>
      <c r="H3217" t="s">
        <v>2974</v>
      </c>
      <c r="I3217" t="s">
        <v>19954</v>
      </c>
      <c r="J3217">
        <v>0</v>
      </c>
      <c r="K3217">
        <v>-325.3</v>
      </c>
      <c r="L3217" t="s">
        <v>2917</v>
      </c>
      <c r="M3217">
        <v>-325.3</v>
      </c>
      <c r="N3217" t="s">
        <v>2917</v>
      </c>
      <c r="O3217" t="s">
        <v>3070</v>
      </c>
      <c r="P3217" t="s">
        <v>2208</v>
      </c>
      <c r="Q3217" t="s">
        <v>2975</v>
      </c>
      <c r="R3217" t="s">
        <v>3316</v>
      </c>
    </row>
    <row r="3218" spans="1:18">
      <c r="A3218" t="s">
        <v>709</v>
      </c>
      <c r="B3218" t="s">
        <v>17897</v>
      </c>
      <c r="C3218">
        <v>45838</v>
      </c>
      <c r="D3218" t="s">
        <v>7263</v>
      </c>
      <c r="E3218" t="s">
        <v>17898</v>
      </c>
      <c r="F3218">
        <v>45838</v>
      </c>
      <c r="G3218" t="s">
        <v>2208</v>
      </c>
      <c r="H3218" t="s">
        <v>2974</v>
      </c>
      <c r="I3218" t="s">
        <v>19954</v>
      </c>
      <c r="J3218">
        <v>0</v>
      </c>
      <c r="K3218">
        <v>-870.37</v>
      </c>
      <c r="L3218" t="s">
        <v>2917</v>
      </c>
      <c r="M3218">
        <v>-870.37</v>
      </c>
      <c r="N3218" t="s">
        <v>2917</v>
      </c>
      <c r="O3218" t="s">
        <v>3070</v>
      </c>
      <c r="P3218" t="s">
        <v>2208</v>
      </c>
      <c r="Q3218" t="s">
        <v>2975</v>
      </c>
      <c r="R3218" t="s">
        <v>3316</v>
      </c>
    </row>
    <row r="3219" spans="1:18">
      <c r="A3219" t="s">
        <v>709</v>
      </c>
      <c r="B3219" t="s">
        <v>17897</v>
      </c>
      <c r="C3219">
        <v>45838</v>
      </c>
      <c r="D3219" t="s">
        <v>7263</v>
      </c>
      <c r="E3219" t="s">
        <v>17898</v>
      </c>
      <c r="F3219">
        <v>45838</v>
      </c>
      <c r="G3219" t="s">
        <v>2208</v>
      </c>
      <c r="H3219" t="s">
        <v>2974</v>
      </c>
      <c r="I3219" t="s">
        <v>19954</v>
      </c>
      <c r="J3219">
        <v>0</v>
      </c>
      <c r="K3219">
        <v>-216.68</v>
      </c>
      <c r="L3219" t="s">
        <v>2917</v>
      </c>
      <c r="M3219">
        <v>-216.68</v>
      </c>
      <c r="N3219" t="s">
        <v>2917</v>
      </c>
      <c r="O3219" t="s">
        <v>3070</v>
      </c>
      <c r="P3219" t="s">
        <v>2208</v>
      </c>
      <c r="Q3219" t="s">
        <v>2975</v>
      </c>
      <c r="R3219" t="s">
        <v>3316</v>
      </c>
    </row>
    <row r="3220" spans="1:18">
      <c r="A3220" t="s">
        <v>709</v>
      </c>
      <c r="B3220" t="s">
        <v>17897</v>
      </c>
      <c r="C3220">
        <v>45838</v>
      </c>
      <c r="D3220" t="s">
        <v>7263</v>
      </c>
      <c r="E3220" t="s">
        <v>17898</v>
      </c>
      <c r="F3220">
        <v>45838</v>
      </c>
      <c r="G3220" t="s">
        <v>2208</v>
      </c>
      <c r="H3220" t="s">
        <v>2974</v>
      </c>
      <c r="I3220" t="s">
        <v>19954</v>
      </c>
      <c r="J3220">
        <v>0</v>
      </c>
      <c r="K3220">
        <v>-6922.86</v>
      </c>
      <c r="L3220" t="s">
        <v>2917</v>
      </c>
      <c r="M3220">
        <v>-6922.86</v>
      </c>
      <c r="N3220" t="s">
        <v>2917</v>
      </c>
      <c r="O3220" t="s">
        <v>3070</v>
      </c>
      <c r="P3220" t="s">
        <v>2208</v>
      </c>
      <c r="Q3220" t="s">
        <v>2975</v>
      </c>
      <c r="R3220" t="s">
        <v>3316</v>
      </c>
    </row>
    <row r="3221" spans="1:18">
      <c r="A3221" t="s">
        <v>709</v>
      </c>
      <c r="B3221" t="s">
        <v>17897</v>
      </c>
      <c r="C3221">
        <v>45838</v>
      </c>
      <c r="D3221" t="s">
        <v>7263</v>
      </c>
      <c r="E3221" t="s">
        <v>17898</v>
      </c>
      <c r="F3221">
        <v>45838</v>
      </c>
      <c r="G3221" t="s">
        <v>2208</v>
      </c>
      <c r="H3221" t="s">
        <v>2974</v>
      </c>
      <c r="I3221" t="s">
        <v>19954</v>
      </c>
      <c r="J3221">
        <v>0</v>
      </c>
      <c r="K3221">
        <v>-191.21</v>
      </c>
      <c r="L3221" t="s">
        <v>2917</v>
      </c>
      <c r="M3221">
        <v>-191.21</v>
      </c>
      <c r="N3221" t="s">
        <v>2917</v>
      </c>
      <c r="O3221" t="s">
        <v>3070</v>
      </c>
      <c r="P3221" t="s">
        <v>2208</v>
      </c>
      <c r="Q3221" t="s">
        <v>2975</v>
      </c>
      <c r="R3221" t="s">
        <v>3316</v>
      </c>
    </row>
    <row r="3222" spans="1:18">
      <c r="A3222" t="s">
        <v>709</v>
      </c>
      <c r="B3222" t="s">
        <v>17897</v>
      </c>
      <c r="C3222">
        <v>45838</v>
      </c>
      <c r="D3222" t="s">
        <v>7263</v>
      </c>
      <c r="E3222" t="s">
        <v>17898</v>
      </c>
      <c r="F3222">
        <v>45838</v>
      </c>
      <c r="G3222" t="s">
        <v>2208</v>
      </c>
      <c r="H3222" t="s">
        <v>2974</v>
      </c>
      <c r="I3222" t="s">
        <v>19954</v>
      </c>
      <c r="J3222">
        <v>0</v>
      </c>
      <c r="K3222">
        <v>-52622.9</v>
      </c>
      <c r="L3222" t="s">
        <v>2917</v>
      </c>
      <c r="M3222">
        <v>-52622.9</v>
      </c>
      <c r="N3222" t="s">
        <v>2917</v>
      </c>
      <c r="O3222" t="s">
        <v>3070</v>
      </c>
      <c r="P3222" t="s">
        <v>2208</v>
      </c>
      <c r="Q3222" t="s">
        <v>2975</v>
      </c>
      <c r="R3222" t="s">
        <v>3316</v>
      </c>
    </row>
    <row r="3223" spans="1:18">
      <c r="A3223" t="s">
        <v>709</v>
      </c>
      <c r="B3223" t="s">
        <v>19439</v>
      </c>
      <c r="C3223">
        <v>45838</v>
      </c>
      <c r="D3223" t="s">
        <v>7263</v>
      </c>
      <c r="E3223" t="s">
        <v>19440</v>
      </c>
      <c r="F3223">
        <v>45840</v>
      </c>
      <c r="G3223" t="s">
        <v>2208</v>
      </c>
      <c r="H3223" t="s">
        <v>2974</v>
      </c>
      <c r="I3223" t="s">
        <v>19955</v>
      </c>
      <c r="J3223">
        <v>0</v>
      </c>
      <c r="K3223">
        <v>1070.67</v>
      </c>
      <c r="L3223" t="s">
        <v>2917</v>
      </c>
      <c r="M3223">
        <v>1070.67</v>
      </c>
      <c r="N3223" t="s">
        <v>2917</v>
      </c>
      <c r="O3223" t="s">
        <v>3070</v>
      </c>
      <c r="P3223" t="s">
        <v>2208</v>
      </c>
      <c r="Q3223" t="s">
        <v>2975</v>
      </c>
      <c r="R3223" t="s">
        <v>3316</v>
      </c>
    </row>
    <row r="3224" spans="1:18">
      <c r="A3224" t="s">
        <v>709</v>
      </c>
      <c r="B3224" t="s">
        <v>19439</v>
      </c>
      <c r="C3224">
        <v>45838</v>
      </c>
      <c r="D3224" t="s">
        <v>7263</v>
      </c>
      <c r="E3224" t="s">
        <v>19440</v>
      </c>
      <c r="F3224">
        <v>45840</v>
      </c>
      <c r="G3224" t="s">
        <v>2208</v>
      </c>
      <c r="H3224" t="s">
        <v>2974</v>
      </c>
      <c r="I3224" t="s">
        <v>19955</v>
      </c>
      <c r="J3224">
        <v>0</v>
      </c>
      <c r="K3224">
        <v>325.3</v>
      </c>
      <c r="L3224" t="s">
        <v>2917</v>
      </c>
      <c r="M3224">
        <v>325.3</v>
      </c>
      <c r="N3224" t="s">
        <v>2917</v>
      </c>
      <c r="O3224" t="s">
        <v>3070</v>
      </c>
      <c r="P3224" t="s">
        <v>2208</v>
      </c>
      <c r="Q3224" t="s">
        <v>2975</v>
      </c>
      <c r="R3224" t="s">
        <v>3316</v>
      </c>
    </row>
    <row r="3225" spans="1:18">
      <c r="A3225" t="s">
        <v>709</v>
      </c>
      <c r="B3225" t="s">
        <v>19439</v>
      </c>
      <c r="C3225">
        <v>45838</v>
      </c>
      <c r="D3225" t="s">
        <v>7263</v>
      </c>
      <c r="E3225" t="s">
        <v>19440</v>
      </c>
      <c r="F3225">
        <v>45840</v>
      </c>
      <c r="G3225" t="s">
        <v>2208</v>
      </c>
      <c r="H3225" t="s">
        <v>2974</v>
      </c>
      <c r="I3225" t="s">
        <v>19955</v>
      </c>
      <c r="J3225">
        <v>0</v>
      </c>
      <c r="K3225">
        <v>870.37</v>
      </c>
      <c r="L3225" t="s">
        <v>2917</v>
      </c>
      <c r="M3225">
        <v>870.37</v>
      </c>
      <c r="N3225" t="s">
        <v>2917</v>
      </c>
      <c r="O3225" t="s">
        <v>3070</v>
      </c>
      <c r="P3225" t="s">
        <v>2208</v>
      </c>
      <c r="Q3225" t="s">
        <v>2975</v>
      </c>
      <c r="R3225" t="s">
        <v>3316</v>
      </c>
    </row>
    <row r="3226" spans="1:18">
      <c r="A3226" t="s">
        <v>709</v>
      </c>
      <c r="B3226" t="s">
        <v>19439</v>
      </c>
      <c r="C3226">
        <v>45838</v>
      </c>
      <c r="D3226" t="s">
        <v>7263</v>
      </c>
      <c r="E3226" t="s">
        <v>19440</v>
      </c>
      <c r="F3226">
        <v>45840</v>
      </c>
      <c r="G3226" t="s">
        <v>2208</v>
      </c>
      <c r="H3226" t="s">
        <v>2974</v>
      </c>
      <c r="I3226" t="s">
        <v>19955</v>
      </c>
      <c r="J3226">
        <v>0</v>
      </c>
      <c r="K3226">
        <v>216.68</v>
      </c>
      <c r="L3226" t="s">
        <v>2917</v>
      </c>
      <c r="M3226">
        <v>216.68</v>
      </c>
      <c r="N3226" t="s">
        <v>2917</v>
      </c>
      <c r="O3226" t="s">
        <v>3070</v>
      </c>
      <c r="P3226" t="s">
        <v>2208</v>
      </c>
      <c r="Q3226" t="s">
        <v>2975</v>
      </c>
      <c r="R3226" t="s">
        <v>3316</v>
      </c>
    </row>
    <row r="3227" spans="1:18">
      <c r="A3227" t="s">
        <v>709</v>
      </c>
      <c r="B3227" t="s">
        <v>19439</v>
      </c>
      <c r="C3227">
        <v>45838</v>
      </c>
      <c r="D3227" t="s">
        <v>7263</v>
      </c>
      <c r="E3227" t="s">
        <v>19440</v>
      </c>
      <c r="F3227">
        <v>45840</v>
      </c>
      <c r="G3227" t="s">
        <v>2208</v>
      </c>
      <c r="H3227" t="s">
        <v>2974</v>
      </c>
      <c r="I3227" t="s">
        <v>19955</v>
      </c>
      <c r="J3227">
        <v>0</v>
      </c>
      <c r="K3227">
        <v>6922.86</v>
      </c>
      <c r="L3227" t="s">
        <v>2917</v>
      </c>
      <c r="M3227">
        <v>6922.86</v>
      </c>
      <c r="N3227" t="s">
        <v>2917</v>
      </c>
      <c r="O3227" t="s">
        <v>3070</v>
      </c>
      <c r="P3227" t="s">
        <v>2208</v>
      </c>
      <c r="Q3227" t="s">
        <v>2975</v>
      </c>
      <c r="R3227" t="s">
        <v>3316</v>
      </c>
    </row>
    <row r="3228" spans="1:18">
      <c r="A3228" t="s">
        <v>709</v>
      </c>
      <c r="B3228" t="s">
        <v>19439</v>
      </c>
      <c r="C3228">
        <v>45838</v>
      </c>
      <c r="D3228" t="s">
        <v>7263</v>
      </c>
      <c r="E3228" t="s">
        <v>19440</v>
      </c>
      <c r="F3228">
        <v>45840</v>
      </c>
      <c r="G3228" t="s">
        <v>2208</v>
      </c>
      <c r="H3228" t="s">
        <v>2974</v>
      </c>
      <c r="I3228" t="s">
        <v>19955</v>
      </c>
      <c r="J3228">
        <v>0</v>
      </c>
      <c r="K3228">
        <v>191.21</v>
      </c>
      <c r="L3228" t="s">
        <v>2917</v>
      </c>
      <c r="M3228">
        <v>191.21</v>
      </c>
      <c r="N3228" t="s">
        <v>2917</v>
      </c>
      <c r="O3228" t="s">
        <v>3070</v>
      </c>
      <c r="P3228" t="s">
        <v>2208</v>
      </c>
      <c r="Q3228" t="s">
        <v>2975</v>
      </c>
      <c r="R3228" t="s">
        <v>3316</v>
      </c>
    </row>
    <row r="3229" spans="1:18">
      <c r="A3229" t="s">
        <v>709</v>
      </c>
      <c r="B3229" t="s">
        <v>19439</v>
      </c>
      <c r="C3229">
        <v>45838</v>
      </c>
      <c r="D3229" t="s">
        <v>7263</v>
      </c>
      <c r="E3229" t="s">
        <v>19440</v>
      </c>
      <c r="F3229">
        <v>45840</v>
      </c>
      <c r="G3229" t="s">
        <v>2208</v>
      </c>
      <c r="H3229" t="s">
        <v>2974</v>
      </c>
      <c r="I3229" t="s">
        <v>19955</v>
      </c>
      <c r="J3229">
        <v>0</v>
      </c>
      <c r="K3229">
        <v>52622.9</v>
      </c>
      <c r="L3229" t="s">
        <v>2917</v>
      </c>
      <c r="M3229">
        <v>52622.9</v>
      </c>
      <c r="N3229" t="s">
        <v>2917</v>
      </c>
      <c r="O3229" t="s">
        <v>3070</v>
      </c>
      <c r="P3229" t="s">
        <v>2208</v>
      </c>
      <c r="Q3229" t="s">
        <v>2975</v>
      </c>
      <c r="R3229" t="s">
        <v>3316</v>
      </c>
    </row>
    <row r="3230" spans="1:18">
      <c r="A3230" t="s">
        <v>2208</v>
      </c>
      <c r="B3230" t="s">
        <v>2920</v>
      </c>
      <c r="D3230" t="s">
        <v>2208</v>
      </c>
      <c r="E3230" t="s">
        <v>2208</v>
      </c>
      <c r="G3230" t="s">
        <v>2208</v>
      </c>
      <c r="H3230" t="s">
        <v>2208</v>
      </c>
      <c r="I3230" t="s">
        <v>2208</v>
      </c>
      <c r="J3230">
        <v>3450.8</v>
      </c>
      <c r="K3230">
        <v>7439466.0999999996</v>
      </c>
      <c r="L3230" t="s">
        <v>2917</v>
      </c>
      <c r="N3230" t="s">
        <v>2208</v>
      </c>
      <c r="O3230" t="s">
        <v>2208</v>
      </c>
      <c r="P3230" t="s">
        <v>2208</v>
      </c>
      <c r="Q3230" t="s">
        <v>2208</v>
      </c>
      <c r="R3230" t="s">
        <v>2208</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82D6E-C09A-4A87-A4CC-B3D7679E066A}">
  <sheetPr codeName="Planilha11"/>
  <dimension ref="B2:R1889"/>
  <sheetViews>
    <sheetView zoomScale="70" zoomScaleNormal="70" workbookViewId="0">
      <selection sqref="A1:XFD1048576"/>
    </sheetView>
  </sheetViews>
  <sheetFormatPr defaultRowHeight="14.5"/>
  <sheetData>
    <row r="2" spans="2:18">
      <c r="B2" t="s">
        <v>3941</v>
      </c>
      <c r="Q2" t="s">
        <v>20128</v>
      </c>
    </row>
    <row r="4" spans="2:18">
      <c r="B4" t="s">
        <v>3942</v>
      </c>
    </row>
    <row r="5" spans="2:18">
      <c r="C5" t="s">
        <v>3943</v>
      </c>
      <c r="F5" t="s">
        <v>3944</v>
      </c>
    </row>
    <row r="6" spans="2:18">
      <c r="B6" t="s">
        <v>3945</v>
      </c>
    </row>
    <row r="7" spans="2:18">
      <c r="B7" t="s">
        <v>3946</v>
      </c>
      <c r="G7" t="s">
        <v>3947</v>
      </c>
    </row>
    <row r="8" spans="2:18">
      <c r="B8" t="s">
        <v>3948</v>
      </c>
      <c r="G8" t="s">
        <v>3947</v>
      </c>
    </row>
    <row r="9" spans="2:18">
      <c r="B9" t="s">
        <v>3949</v>
      </c>
    </row>
    <row r="12" spans="2:18">
      <c r="K12" t="s">
        <v>3950</v>
      </c>
    </row>
    <row r="13" spans="2:18">
      <c r="J13" t="s">
        <v>3951</v>
      </c>
    </row>
    <row r="14" spans="2:18">
      <c r="D14" t="s">
        <v>3952</v>
      </c>
      <c r="K14" t="s">
        <v>3953</v>
      </c>
      <c r="L14" t="s">
        <v>3954</v>
      </c>
      <c r="M14" t="s">
        <v>3955</v>
      </c>
      <c r="N14" t="s">
        <v>3956</v>
      </c>
      <c r="O14" t="s">
        <v>3957</v>
      </c>
      <c r="P14" t="s">
        <v>3958</v>
      </c>
      <c r="R14" t="s">
        <v>3959</v>
      </c>
    </row>
    <row r="15" spans="2:18">
      <c r="D15" t="s">
        <v>3960</v>
      </c>
      <c r="K15" t="s">
        <v>3961</v>
      </c>
      <c r="L15" t="s">
        <v>3961</v>
      </c>
      <c r="M15" t="s">
        <v>3961</v>
      </c>
      <c r="N15" t="s">
        <v>3961</v>
      </c>
      <c r="O15" t="s">
        <v>3961</v>
      </c>
      <c r="P15" t="s">
        <v>3961</v>
      </c>
      <c r="R15" t="s">
        <v>3961</v>
      </c>
    </row>
    <row r="17" spans="4:18">
      <c r="D17" t="s">
        <v>12</v>
      </c>
      <c r="H17" t="s">
        <v>3962</v>
      </c>
      <c r="K17" t="s">
        <v>12486</v>
      </c>
      <c r="L17" t="s">
        <v>12487</v>
      </c>
      <c r="M17" t="s">
        <v>3963</v>
      </c>
      <c r="N17" t="s">
        <v>3963</v>
      </c>
      <c r="O17" t="s">
        <v>3963</v>
      </c>
      <c r="P17" t="s">
        <v>12487</v>
      </c>
      <c r="R17" t="s">
        <v>12488</v>
      </c>
    </row>
    <row r="18" spans="4:18">
      <c r="E18" t="s">
        <v>3964</v>
      </c>
      <c r="I18" t="s">
        <v>3965</v>
      </c>
      <c r="K18" t="s">
        <v>12489</v>
      </c>
      <c r="L18" t="s">
        <v>3963</v>
      </c>
      <c r="M18" t="s">
        <v>3963</v>
      </c>
      <c r="N18" t="s">
        <v>3963</v>
      </c>
      <c r="O18" t="s">
        <v>3963</v>
      </c>
      <c r="P18" t="s">
        <v>3963</v>
      </c>
      <c r="R18" t="s">
        <v>12489</v>
      </c>
    </row>
    <row r="19" spans="4:18">
      <c r="E19" t="s">
        <v>3966</v>
      </c>
      <c r="I19" t="s">
        <v>3967</v>
      </c>
      <c r="K19" t="s">
        <v>12490</v>
      </c>
      <c r="L19" t="s">
        <v>12491</v>
      </c>
      <c r="M19" t="s">
        <v>3963</v>
      </c>
      <c r="N19" t="s">
        <v>3963</v>
      </c>
      <c r="O19" t="s">
        <v>3963</v>
      </c>
      <c r="P19" t="s">
        <v>12491</v>
      </c>
      <c r="R19" t="s">
        <v>3968</v>
      </c>
    </row>
    <row r="20" spans="4:18">
      <c r="E20" t="s">
        <v>3969</v>
      </c>
      <c r="I20" t="s">
        <v>3970</v>
      </c>
      <c r="K20" t="s">
        <v>12492</v>
      </c>
      <c r="L20" t="s">
        <v>12493</v>
      </c>
      <c r="M20" t="s">
        <v>3963</v>
      </c>
      <c r="N20" t="s">
        <v>3963</v>
      </c>
      <c r="O20" t="s">
        <v>3963</v>
      </c>
      <c r="P20" t="s">
        <v>12493</v>
      </c>
      <c r="R20" t="s">
        <v>12494</v>
      </c>
    </row>
    <row r="21" spans="4:18">
      <c r="E21" t="s">
        <v>3971</v>
      </c>
      <c r="I21" t="s">
        <v>3972</v>
      </c>
      <c r="K21" t="s">
        <v>12495</v>
      </c>
      <c r="L21" t="s">
        <v>12496</v>
      </c>
      <c r="M21" t="s">
        <v>3963</v>
      </c>
      <c r="N21" t="s">
        <v>3963</v>
      </c>
      <c r="O21" t="s">
        <v>3963</v>
      </c>
      <c r="P21" t="s">
        <v>12496</v>
      </c>
      <c r="R21" t="s">
        <v>12497</v>
      </c>
    </row>
    <row r="22" spans="4:18">
      <c r="E22" t="s">
        <v>3973</v>
      </c>
      <c r="I22" t="s">
        <v>3974</v>
      </c>
      <c r="K22" t="s">
        <v>12498</v>
      </c>
      <c r="L22" t="s">
        <v>12499</v>
      </c>
      <c r="M22" t="s">
        <v>3963</v>
      </c>
      <c r="N22" t="s">
        <v>3963</v>
      </c>
      <c r="O22" t="s">
        <v>3963</v>
      </c>
      <c r="P22" t="s">
        <v>12499</v>
      </c>
      <c r="R22" t="s">
        <v>12500</v>
      </c>
    </row>
    <row r="23" spans="4:18">
      <c r="E23" t="s">
        <v>3975</v>
      </c>
      <c r="I23" t="s">
        <v>3976</v>
      </c>
      <c r="K23" t="s">
        <v>12501</v>
      </c>
      <c r="L23" t="s">
        <v>12502</v>
      </c>
      <c r="M23" t="s">
        <v>3963</v>
      </c>
      <c r="N23" t="s">
        <v>3963</v>
      </c>
      <c r="O23" t="s">
        <v>3963</v>
      </c>
      <c r="P23" t="s">
        <v>12502</v>
      </c>
      <c r="R23" t="s">
        <v>12503</v>
      </c>
    </row>
    <row r="24" spans="4:18">
      <c r="E24" t="s">
        <v>3977</v>
      </c>
      <c r="I24" t="s">
        <v>3978</v>
      </c>
      <c r="K24" t="s">
        <v>12504</v>
      </c>
      <c r="L24" t="s">
        <v>12505</v>
      </c>
      <c r="M24" t="s">
        <v>3963</v>
      </c>
      <c r="N24" t="s">
        <v>3963</v>
      </c>
      <c r="O24" t="s">
        <v>3963</v>
      </c>
      <c r="P24" t="s">
        <v>12505</v>
      </c>
      <c r="R24" t="s">
        <v>12506</v>
      </c>
    </row>
    <row r="25" spans="4:18">
      <c r="E25" t="s">
        <v>3979</v>
      </c>
      <c r="I25" t="s">
        <v>3980</v>
      </c>
      <c r="K25" t="s">
        <v>12507</v>
      </c>
      <c r="L25" t="s">
        <v>12508</v>
      </c>
      <c r="M25" t="s">
        <v>3963</v>
      </c>
      <c r="N25" t="s">
        <v>3963</v>
      </c>
      <c r="O25" t="s">
        <v>3963</v>
      </c>
      <c r="P25" t="s">
        <v>12508</v>
      </c>
      <c r="R25" t="s">
        <v>12509</v>
      </c>
    </row>
    <row r="26" spans="4:18">
      <c r="E26" t="s">
        <v>3981</v>
      </c>
      <c r="I26" t="s">
        <v>3982</v>
      </c>
      <c r="K26" t="s">
        <v>3983</v>
      </c>
      <c r="L26" t="s">
        <v>12510</v>
      </c>
      <c r="M26" t="s">
        <v>3963</v>
      </c>
      <c r="N26" t="s">
        <v>3963</v>
      </c>
      <c r="O26" t="s">
        <v>3963</v>
      </c>
      <c r="P26" t="s">
        <v>12510</v>
      </c>
      <c r="R26" t="s">
        <v>12511</v>
      </c>
    </row>
    <row r="27" spans="4:18">
      <c r="D27" t="s">
        <v>14</v>
      </c>
      <c r="H27" t="s">
        <v>3984</v>
      </c>
      <c r="K27" t="s">
        <v>12512</v>
      </c>
      <c r="L27" t="s">
        <v>12513</v>
      </c>
      <c r="M27" t="s">
        <v>3963</v>
      </c>
      <c r="N27" t="s">
        <v>3963</v>
      </c>
      <c r="O27" t="s">
        <v>3963</v>
      </c>
      <c r="P27" t="s">
        <v>12513</v>
      </c>
      <c r="R27" t="s">
        <v>12514</v>
      </c>
    </row>
    <row r="28" spans="4:18">
      <c r="E28" t="s">
        <v>3985</v>
      </c>
      <c r="I28" t="s">
        <v>3965</v>
      </c>
      <c r="K28" t="s">
        <v>3963</v>
      </c>
      <c r="L28" t="s">
        <v>3963</v>
      </c>
      <c r="M28" t="s">
        <v>3963</v>
      </c>
      <c r="N28" t="s">
        <v>3963</v>
      </c>
      <c r="O28" t="s">
        <v>3963</v>
      </c>
      <c r="P28" t="s">
        <v>3963</v>
      </c>
      <c r="R28" t="s">
        <v>3963</v>
      </c>
    </row>
    <row r="29" spans="4:18">
      <c r="E29" t="s">
        <v>3986</v>
      </c>
      <c r="I29" t="s">
        <v>3987</v>
      </c>
      <c r="K29" t="s">
        <v>12515</v>
      </c>
      <c r="L29" t="s">
        <v>12516</v>
      </c>
      <c r="M29" t="s">
        <v>3963</v>
      </c>
      <c r="N29" t="s">
        <v>3963</v>
      </c>
      <c r="O29" t="s">
        <v>3963</v>
      </c>
      <c r="P29" t="s">
        <v>12516</v>
      </c>
      <c r="R29" t="s">
        <v>12517</v>
      </c>
    </row>
    <row r="30" spans="4:18">
      <c r="E30" t="s">
        <v>3988</v>
      </c>
      <c r="I30" t="s">
        <v>3989</v>
      </c>
      <c r="K30" t="s">
        <v>12518</v>
      </c>
      <c r="L30" t="s">
        <v>12519</v>
      </c>
      <c r="M30" t="s">
        <v>3963</v>
      </c>
      <c r="N30" t="s">
        <v>3963</v>
      </c>
      <c r="O30" t="s">
        <v>3963</v>
      </c>
      <c r="P30" t="s">
        <v>12519</v>
      </c>
      <c r="R30" t="s">
        <v>12520</v>
      </c>
    </row>
    <row r="31" spans="4:18">
      <c r="D31" t="s">
        <v>15</v>
      </c>
      <c r="H31" t="s">
        <v>3990</v>
      </c>
      <c r="K31" t="s">
        <v>12521</v>
      </c>
      <c r="L31" t="s">
        <v>3963</v>
      </c>
      <c r="M31" t="s">
        <v>3963</v>
      </c>
      <c r="N31" t="s">
        <v>3963</v>
      </c>
      <c r="O31" t="s">
        <v>3963</v>
      </c>
      <c r="P31" t="s">
        <v>3963</v>
      </c>
      <c r="R31" t="s">
        <v>12521</v>
      </c>
    </row>
    <row r="32" spans="4:18">
      <c r="E32" t="s">
        <v>3991</v>
      </c>
      <c r="I32" t="s">
        <v>3992</v>
      </c>
      <c r="K32" t="s">
        <v>12522</v>
      </c>
      <c r="L32" t="s">
        <v>3963</v>
      </c>
      <c r="M32" t="s">
        <v>3963</v>
      </c>
      <c r="N32" t="s">
        <v>3963</v>
      </c>
      <c r="O32" t="s">
        <v>3963</v>
      </c>
      <c r="P32" t="s">
        <v>3963</v>
      </c>
      <c r="R32" t="s">
        <v>12522</v>
      </c>
    </row>
    <row r="33" spans="4:18">
      <c r="E33" t="s">
        <v>3993</v>
      </c>
      <c r="I33" t="s">
        <v>3989</v>
      </c>
      <c r="K33" t="s">
        <v>3994</v>
      </c>
      <c r="L33" t="s">
        <v>3963</v>
      </c>
      <c r="M33" t="s">
        <v>3963</v>
      </c>
      <c r="N33" t="s">
        <v>3963</v>
      </c>
      <c r="O33" t="s">
        <v>3963</v>
      </c>
      <c r="P33" t="s">
        <v>3963</v>
      </c>
      <c r="R33" t="s">
        <v>3994</v>
      </c>
    </row>
    <row r="34" spans="4:18">
      <c r="D34" t="s">
        <v>17</v>
      </c>
      <c r="H34" t="s">
        <v>3995</v>
      </c>
      <c r="K34" t="s">
        <v>12523</v>
      </c>
      <c r="L34" t="s">
        <v>12524</v>
      </c>
      <c r="M34" t="s">
        <v>3963</v>
      </c>
      <c r="N34" t="s">
        <v>3963</v>
      </c>
      <c r="O34" t="s">
        <v>3963</v>
      </c>
      <c r="P34" t="s">
        <v>12524</v>
      </c>
      <c r="R34" t="s">
        <v>12525</v>
      </c>
    </row>
    <row r="35" spans="4:18">
      <c r="E35" t="s">
        <v>3996</v>
      </c>
      <c r="I35" t="s">
        <v>3997</v>
      </c>
      <c r="K35" t="s">
        <v>12526</v>
      </c>
      <c r="L35" t="s">
        <v>12527</v>
      </c>
      <c r="M35" t="s">
        <v>3963</v>
      </c>
      <c r="N35" t="s">
        <v>3963</v>
      </c>
      <c r="O35" t="s">
        <v>3963</v>
      </c>
      <c r="P35" t="s">
        <v>12527</v>
      </c>
      <c r="R35" t="s">
        <v>12528</v>
      </c>
    </row>
    <row r="36" spans="4:18">
      <c r="E36" t="s">
        <v>3998</v>
      </c>
      <c r="I36" t="s">
        <v>3999</v>
      </c>
      <c r="K36" t="s">
        <v>12529</v>
      </c>
      <c r="L36" t="s">
        <v>12530</v>
      </c>
      <c r="M36" t="s">
        <v>3963</v>
      </c>
      <c r="N36" t="s">
        <v>3963</v>
      </c>
      <c r="O36" t="s">
        <v>3963</v>
      </c>
      <c r="P36" t="s">
        <v>12530</v>
      </c>
      <c r="R36" t="s">
        <v>12531</v>
      </c>
    </row>
    <row r="37" spans="4:18">
      <c r="D37" t="s">
        <v>19</v>
      </c>
      <c r="H37" t="s">
        <v>4000</v>
      </c>
      <c r="K37" t="s">
        <v>12532</v>
      </c>
      <c r="L37" t="s">
        <v>12533</v>
      </c>
      <c r="M37" t="s">
        <v>3963</v>
      </c>
      <c r="N37" t="s">
        <v>4001</v>
      </c>
      <c r="O37" t="s">
        <v>3963</v>
      </c>
      <c r="P37" t="s">
        <v>12534</v>
      </c>
      <c r="R37" t="s">
        <v>12535</v>
      </c>
    </row>
    <row r="38" spans="4:18">
      <c r="E38" t="s">
        <v>4002</v>
      </c>
      <c r="I38" t="s">
        <v>4003</v>
      </c>
      <c r="K38" t="s">
        <v>12536</v>
      </c>
      <c r="L38" t="s">
        <v>12537</v>
      </c>
      <c r="M38" t="s">
        <v>3963</v>
      </c>
      <c r="N38" t="s">
        <v>4001</v>
      </c>
      <c r="O38" t="s">
        <v>3963</v>
      </c>
      <c r="P38" t="s">
        <v>12538</v>
      </c>
      <c r="R38" t="s">
        <v>12539</v>
      </c>
    </row>
    <row r="39" spans="4:18">
      <c r="E39" t="s">
        <v>4004</v>
      </c>
      <c r="I39" t="s">
        <v>3989</v>
      </c>
      <c r="K39" t="s">
        <v>12540</v>
      </c>
      <c r="L39" t="s">
        <v>12541</v>
      </c>
      <c r="M39" t="s">
        <v>3963</v>
      </c>
      <c r="N39" t="s">
        <v>3963</v>
      </c>
      <c r="O39" t="s">
        <v>3963</v>
      </c>
      <c r="P39" t="s">
        <v>12541</v>
      </c>
      <c r="R39" t="s">
        <v>4005</v>
      </c>
    </row>
    <row r="40" spans="4:18">
      <c r="D40" t="s">
        <v>21</v>
      </c>
      <c r="H40" t="s">
        <v>4006</v>
      </c>
      <c r="K40" t="s">
        <v>12542</v>
      </c>
      <c r="L40" t="s">
        <v>12543</v>
      </c>
      <c r="M40" t="s">
        <v>3963</v>
      </c>
      <c r="N40" t="s">
        <v>3963</v>
      </c>
      <c r="O40" t="s">
        <v>3963</v>
      </c>
      <c r="P40" t="s">
        <v>12543</v>
      </c>
      <c r="R40" t="s">
        <v>12544</v>
      </c>
    </row>
    <row r="41" spans="4:18">
      <c r="E41" t="s">
        <v>4007</v>
      </c>
      <c r="I41" t="s">
        <v>4008</v>
      </c>
      <c r="K41" t="s">
        <v>12542</v>
      </c>
      <c r="L41" t="s">
        <v>12543</v>
      </c>
      <c r="M41" t="s">
        <v>3963</v>
      </c>
      <c r="N41" t="s">
        <v>3963</v>
      </c>
      <c r="O41" t="s">
        <v>3963</v>
      </c>
      <c r="P41" t="s">
        <v>12543</v>
      </c>
      <c r="R41" t="s">
        <v>12544</v>
      </c>
    </row>
    <row r="42" spans="4:18">
      <c r="D42" t="s">
        <v>23</v>
      </c>
      <c r="H42" t="s">
        <v>4009</v>
      </c>
      <c r="K42" t="s">
        <v>12545</v>
      </c>
      <c r="L42" t="s">
        <v>12546</v>
      </c>
      <c r="M42" t="s">
        <v>3963</v>
      </c>
      <c r="N42" t="s">
        <v>3963</v>
      </c>
      <c r="O42" t="s">
        <v>3963</v>
      </c>
      <c r="P42" t="s">
        <v>12546</v>
      </c>
      <c r="R42" t="s">
        <v>12547</v>
      </c>
    </row>
    <row r="43" spans="4:18">
      <c r="E43" t="s">
        <v>4010</v>
      </c>
      <c r="I43" t="s">
        <v>4011</v>
      </c>
      <c r="K43" t="s">
        <v>12548</v>
      </c>
      <c r="L43" t="s">
        <v>12549</v>
      </c>
      <c r="M43" t="s">
        <v>3963</v>
      </c>
      <c r="N43" t="s">
        <v>3963</v>
      </c>
      <c r="O43" t="s">
        <v>3963</v>
      </c>
      <c r="P43" t="s">
        <v>12549</v>
      </c>
      <c r="R43" t="s">
        <v>12550</v>
      </c>
    </row>
    <row r="44" spans="4:18">
      <c r="E44" t="s">
        <v>4012</v>
      </c>
      <c r="I44" t="s">
        <v>3989</v>
      </c>
      <c r="K44" t="s">
        <v>12551</v>
      </c>
      <c r="L44" t="s">
        <v>12552</v>
      </c>
      <c r="M44" t="s">
        <v>3963</v>
      </c>
      <c r="N44" t="s">
        <v>3963</v>
      </c>
      <c r="O44" t="s">
        <v>3963</v>
      </c>
      <c r="P44" t="s">
        <v>12552</v>
      </c>
      <c r="R44" t="s">
        <v>12553</v>
      </c>
    </row>
    <row r="45" spans="4:18">
      <c r="D45" t="s">
        <v>25</v>
      </c>
      <c r="H45" t="s">
        <v>4013</v>
      </c>
      <c r="K45" t="s">
        <v>12554</v>
      </c>
      <c r="L45" t="s">
        <v>12555</v>
      </c>
      <c r="M45" t="s">
        <v>3963</v>
      </c>
      <c r="N45" t="s">
        <v>3963</v>
      </c>
      <c r="O45" t="s">
        <v>3963</v>
      </c>
      <c r="P45" t="s">
        <v>12555</v>
      </c>
      <c r="R45" t="s">
        <v>12556</v>
      </c>
    </row>
    <row r="46" spans="4:18">
      <c r="E46" t="s">
        <v>4014</v>
      </c>
      <c r="I46" t="s">
        <v>4015</v>
      </c>
      <c r="K46" t="s">
        <v>12557</v>
      </c>
      <c r="L46" t="s">
        <v>12558</v>
      </c>
      <c r="M46" t="s">
        <v>3963</v>
      </c>
      <c r="N46" t="s">
        <v>3963</v>
      </c>
      <c r="O46" t="s">
        <v>3963</v>
      </c>
      <c r="P46" t="s">
        <v>12558</v>
      </c>
      <c r="R46" t="s">
        <v>12559</v>
      </c>
    </row>
    <row r="47" spans="4:18">
      <c r="E47" t="s">
        <v>4016</v>
      </c>
      <c r="I47" t="s">
        <v>4015</v>
      </c>
      <c r="K47" t="s">
        <v>12560</v>
      </c>
      <c r="L47" t="s">
        <v>12560</v>
      </c>
      <c r="M47" t="s">
        <v>3963</v>
      </c>
      <c r="N47" t="s">
        <v>3963</v>
      </c>
      <c r="O47" t="s">
        <v>3963</v>
      </c>
      <c r="P47" t="s">
        <v>12560</v>
      </c>
      <c r="R47" t="s">
        <v>3963</v>
      </c>
    </row>
    <row r="48" spans="4:18">
      <c r="E48" t="s">
        <v>4017</v>
      </c>
      <c r="I48" t="s">
        <v>3989</v>
      </c>
      <c r="K48" t="s">
        <v>3963</v>
      </c>
      <c r="L48" t="s">
        <v>3963</v>
      </c>
      <c r="M48" t="s">
        <v>3963</v>
      </c>
      <c r="N48" t="s">
        <v>3963</v>
      </c>
      <c r="O48" t="s">
        <v>3963</v>
      </c>
      <c r="P48" t="s">
        <v>3963</v>
      </c>
      <c r="R48" t="s">
        <v>3963</v>
      </c>
    </row>
    <row r="49" spans="4:18">
      <c r="E49" t="s">
        <v>4018</v>
      </c>
      <c r="I49" t="s">
        <v>4015</v>
      </c>
      <c r="K49" t="s">
        <v>12561</v>
      </c>
      <c r="L49" t="s">
        <v>12562</v>
      </c>
      <c r="M49" t="s">
        <v>3963</v>
      </c>
      <c r="N49" t="s">
        <v>3963</v>
      </c>
      <c r="O49" t="s">
        <v>3963</v>
      </c>
      <c r="P49" t="s">
        <v>12562</v>
      </c>
      <c r="R49" t="s">
        <v>12563</v>
      </c>
    </row>
    <row r="50" spans="4:18">
      <c r="E50" t="s">
        <v>4019</v>
      </c>
      <c r="I50" t="s">
        <v>4015</v>
      </c>
      <c r="K50" t="s">
        <v>12564</v>
      </c>
      <c r="L50" t="s">
        <v>12565</v>
      </c>
      <c r="M50" t="s">
        <v>3963</v>
      </c>
      <c r="N50" t="s">
        <v>3963</v>
      </c>
      <c r="O50" t="s">
        <v>3963</v>
      </c>
      <c r="P50" t="s">
        <v>12565</v>
      </c>
      <c r="R50" t="s">
        <v>12566</v>
      </c>
    </row>
    <row r="51" spans="4:18">
      <c r="E51" t="s">
        <v>4020</v>
      </c>
      <c r="I51" t="s">
        <v>3989</v>
      </c>
      <c r="K51" t="s">
        <v>4021</v>
      </c>
      <c r="L51" t="s">
        <v>12567</v>
      </c>
      <c r="M51" t="s">
        <v>3963</v>
      </c>
      <c r="N51" t="s">
        <v>3963</v>
      </c>
      <c r="O51" t="s">
        <v>3963</v>
      </c>
      <c r="P51" t="s">
        <v>12567</v>
      </c>
      <c r="R51" t="s">
        <v>12568</v>
      </c>
    </row>
    <row r="52" spans="4:18">
      <c r="D52" t="s">
        <v>27</v>
      </c>
      <c r="H52" t="s">
        <v>4022</v>
      </c>
      <c r="K52" t="s">
        <v>12569</v>
      </c>
      <c r="L52" t="s">
        <v>12570</v>
      </c>
      <c r="M52" t="s">
        <v>3963</v>
      </c>
      <c r="N52" t="s">
        <v>3963</v>
      </c>
      <c r="O52" t="s">
        <v>3963</v>
      </c>
      <c r="P52" t="s">
        <v>12570</v>
      </c>
      <c r="R52" t="s">
        <v>12571</v>
      </c>
    </row>
    <row r="53" spans="4:18">
      <c r="E53" t="s">
        <v>4023</v>
      </c>
      <c r="I53" t="s">
        <v>4024</v>
      </c>
      <c r="K53" t="s">
        <v>12572</v>
      </c>
      <c r="L53" t="s">
        <v>12573</v>
      </c>
      <c r="M53" t="s">
        <v>3963</v>
      </c>
      <c r="N53" t="s">
        <v>3963</v>
      </c>
      <c r="O53" t="s">
        <v>3963</v>
      </c>
      <c r="P53" t="s">
        <v>12573</v>
      </c>
      <c r="R53" t="s">
        <v>12574</v>
      </c>
    </row>
    <row r="54" spans="4:18">
      <c r="E54" t="s">
        <v>4025</v>
      </c>
      <c r="I54" t="s">
        <v>4026</v>
      </c>
      <c r="K54" t="s">
        <v>12575</v>
      </c>
      <c r="L54" t="s">
        <v>12576</v>
      </c>
      <c r="M54" t="s">
        <v>3963</v>
      </c>
      <c r="N54" t="s">
        <v>3963</v>
      </c>
      <c r="O54" t="s">
        <v>3963</v>
      </c>
      <c r="P54" t="s">
        <v>12576</v>
      </c>
      <c r="R54" t="s">
        <v>12577</v>
      </c>
    </row>
    <row r="55" spans="4:18">
      <c r="E55" t="s">
        <v>4027</v>
      </c>
      <c r="I55" t="s">
        <v>4028</v>
      </c>
      <c r="K55" t="s">
        <v>12578</v>
      </c>
      <c r="L55" t="s">
        <v>12579</v>
      </c>
      <c r="M55" t="s">
        <v>3963</v>
      </c>
      <c r="N55" t="s">
        <v>3963</v>
      </c>
      <c r="O55" t="s">
        <v>3963</v>
      </c>
      <c r="P55" t="s">
        <v>12579</v>
      </c>
      <c r="R55" t="s">
        <v>12580</v>
      </c>
    </row>
    <row r="56" spans="4:18">
      <c r="E56" t="s">
        <v>4029</v>
      </c>
      <c r="I56" t="s">
        <v>4030</v>
      </c>
      <c r="K56" t="s">
        <v>12581</v>
      </c>
      <c r="L56" t="s">
        <v>12582</v>
      </c>
      <c r="M56" t="s">
        <v>3963</v>
      </c>
      <c r="N56" t="s">
        <v>3963</v>
      </c>
      <c r="O56" t="s">
        <v>3963</v>
      </c>
      <c r="P56" t="s">
        <v>12582</v>
      </c>
      <c r="R56" t="s">
        <v>4031</v>
      </c>
    </row>
    <row r="57" spans="4:18">
      <c r="E57" t="s">
        <v>4032</v>
      </c>
      <c r="I57" t="s">
        <v>4033</v>
      </c>
      <c r="K57" t="s">
        <v>12583</v>
      </c>
      <c r="L57" t="s">
        <v>12584</v>
      </c>
      <c r="M57" t="s">
        <v>3963</v>
      </c>
      <c r="N57" t="s">
        <v>3963</v>
      </c>
      <c r="O57" t="s">
        <v>3963</v>
      </c>
      <c r="P57" t="s">
        <v>12584</v>
      </c>
      <c r="R57" t="s">
        <v>12585</v>
      </c>
    </row>
    <row r="58" spans="4:18">
      <c r="E58" t="s">
        <v>4034</v>
      </c>
      <c r="I58" t="s">
        <v>4035</v>
      </c>
      <c r="K58" t="s">
        <v>12586</v>
      </c>
      <c r="L58" t="s">
        <v>12587</v>
      </c>
      <c r="M58" t="s">
        <v>3963</v>
      </c>
      <c r="N58" t="s">
        <v>3963</v>
      </c>
      <c r="O58" t="s">
        <v>3963</v>
      </c>
      <c r="P58" t="s">
        <v>12587</v>
      </c>
      <c r="R58" t="s">
        <v>12588</v>
      </c>
    </row>
    <row r="59" spans="4:18">
      <c r="E59" t="s">
        <v>4036</v>
      </c>
      <c r="I59" t="s">
        <v>4037</v>
      </c>
      <c r="K59" t="s">
        <v>4038</v>
      </c>
      <c r="L59" t="s">
        <v>12589</v>
      </c>
      <c r="M59" t="s">
        <v>3963</v>
      </c>
      <c r="N59" t="s">
        <v>3963</v>
      </c>
      <c r="O59" t="s">
        <v>3963</v>
      </c>
      <c r="P59" t="s">
        <v>12589</v>
      </c>
      <c r="R59" t="s">
        <v>12590</v>
      </c>
    </row>
    <row r="60" spans="4:18">
      <c r="E60" t="s">
        <v>4039</v>
      </c>
      <c r="I60" t="s">
        <v>4040</v>
      </c>
      <c r="K60" t="s">
        <v>12591</v>
      </c>
      <c r="L60" t="s">
        <v>12592</v>
      </c>
      <c r="M60" t="s">
        <v>3963</v>
      </c>
      <c r="N60" t="s">
        <v>3963</v>
      </c>
      <c r="O60" t="s">
        <v>3963</v>
      </c>
      <c r="P60" t="s">
        <v>12592</v>
      </c>
      <c r="R60" t="s">
        <v>12593</v>
      </c>
    </row>
    <row r="61" spans="4:18">
      <c r="E61" t="s">
        <v>4041</v>
      </c>
      <c r="I61" t="s">
        <v>3989</v>
      </c>
      <c r="K61" t="s">
        <v>12594</v>
      </c>
      <c r="L61" t="s">
        <v>12595</v>
      </c>
      <c r="M61" t="s">
        <v>3963</v>
      </c>
      <c r="N61" t="s">
        <v>3963</v>
      </c>
      <c r="O61" t="s">
        <v>3963</v>
      </c>
      <c r="P61" t="s">
        <v>12595</v>
      </c>
      <c r="R61" t="s">
        <v>12596</v>
      </c>
    </row>
    <row r="62" spans="4:18">
      <c r="D62" t="s">
        <v>29</v>
      </c>
      <c r="H62" t="s">
        <v>4042</v>
      </c>
      <c r="K62" t="s">
        <v>12597</v>
      </c>
      <c r="L62" t="s">
        <v>12598</v>
      </c>
      <c r="M62" t="s">
        <v>3963</v>
      </c>
      <c r="N62" t="s">
        <v>3963</v>
      </c>
      <c r="O62" t="s">
        <v>3963</v>
      </c>
      <c r="P62" t="s">
        <v>12598</v>
      </c>
      <c r="R62" t="s">
        <v>12599</v>
      </c>
    </row>
    <row r="63" spans="4:18">
      <c r="E63" t="s">
        <v>4043</v>
      </c>
      <c r="I63" t="s">
        <v>4044</v>
      </c>
      <c r="K63" t="s">
        <v>12600</v>
      </c>
      <c r="L63" t="s">
        <v>12601</v>
      </c>
      <c r="M63" t="s">
        <v>3963</v>
      </c>
      <c r="N63" t="s">
        <v>3963</v>
      </c>
      <c r="O63" t="s">
        <v>3963</v>
      </c>
      <c r="P63" t="s">
        <v>12601</v>
      </c>
      <c r="R63" t="s">
        <v>12602</v>
      </c>
    </row>
    <row r="64" spans="4:18">
      <c r="E64" t="s">
        <v>4045</v>
      </c>
      <c r="I64" t="s">
        <v>4046</v>
      </c>
      <c r="K64" t="s">
        <v>12518</v>
      </c>
      <c r="L64" t="s">
        <v>3963</v>
      </c>
      <c r="M64" t="s">
        <v>3963</v>
      </c>
      <c r="N64" t="s">
        <v>3963</v>
      </c>
      <c r="O64" t="s">
        <v>3963</v>
      </c>
      <c r="P64" t="s">
        <v>3963</v>
      </c>
      <c r="R64" t="s">
        <v>12518</v>
      </c>
    </row>
    <row r="65" spans="4:18">
      <c r="E65" t="s">
        <v>4047</v>
      </c>
      <c r="I65" t="s">
        <v>3989</v>
      </c>
      <c r="K65" t="s">
        <v>4048</v>
      </c>
      <c r="L65" t="s">
        <v>12603</v>
      </c>
      <c r="M65" t="s">
        <v>3963</v>
      </c>
      <c r="N65" t="s">
        <v>3963</v>
      </c>
      <c r="O65" t="s">
        <v>3963</v>
      </c>
      <c r="P65" t="s">
        <v>12603</v>
      </c>
      <c r="R65" t="s">
        <v>12604</v>
      </c>
    </row>
    <row r="66" spans="4:18">
      <c r="D66" t="s">
        <v>31</v>
      </c>
      <c r="H66" t="s">
        <v>4049</v>
      </c>
      <c r="K66" t="s">
        <v>12605</v>
      </c>
      <c r="L66" t="s">
        <v>12606</v>
      </c>
      <c r="M66" t="s">
        <v>3963</v>
      </c>
      <c r="N66" t="s">
        <v>3963</v>
      </c>
      <c r="O66" t="s">
        <v>3963</v>
      </c>
      <c r="P66" t="s">
        <v>12606</v>
      </c>
      <c r="R66" t="s">
        <v>12607</v>
      </c>
    </row>
    <row r="67" spans="4:18">
      <c r="E67" t="s">
        <v>4050</v>
      </c>
      <c r="I67" t="s">
        <v>4051</v>
      </c>
      <c r="K67" t="s">
        <v>12608</v>
      </c>
      <c r="L67" t="s">
        <v>12609</v>
      </c>
      <c r="M67" t="s">
        <v>3963</v>
      </c>
      <c r="N67" t="s">
        <v>3963</v>
      </c>
      <c r="O67" t="s">
        <v>3963</v>
      </c>
      <c r="P67" t="s">
        <v>12609</v>
      </c>
      <c r="R67" t="s">
        <v>12610</v>
      </c>
    </row>
    <row r="68" spans="4:18">
      <c r="E68" t="s">
        <v>4052</v>
      </c>
      <c r="I68" t="s">
        <v>3989</v>
      </c>
      <c r="K68" t="s">
        <v>12611</v>
      </c>
      <c r="L68" t="s">
        <v>12612</v>
      </c>
      <c r="M68" t="s">
        <v>3963</v>
      </c>
      <c r="N68" t="s">
        <v>3963</v>
      </c>
      <c r="O68" t="s">
        <v>3963</v>
      </c>
      <c r="P68" t="s">
        <v>12612</v>
      </c>
      <c r="R68" t="s">
        <v>12613</v>
      </c>
    </row>
    <row r="69" spans="4:18">
      <c r="E69" t="s">
        <v>4053</v>
      </c>
      <c r="I69" t="s">
        <v>4054</v>
      </c>
      <c r="K69" t="s">
        <v>3963</v>
      </c>
      <c r="L69" t="s">
        <v>3963</v>
      </c>
      <c r="M69" t="s">
        <v>3963</v>
      </c>
      <c r="N69" t="s">
        <v>3963</v>
      </c>
      <c r="O69" t="s">
        <v>3963</v>
      </c>
      <c r="P69" t="s">
        <v>3963</v>
      </c>
      <c r="R69" t="s">
        <v>3963</v>
      </c>
    </row>
    <row r="70" spans="4:18">
      <c r="D70" t="s">
        <v>33</v>
      </c>
      <c r="H70" t="s">
        <v>4055</v>
      </c>
      <c r="K70" t="s">
        <v>12614</v>
      </c>
      <c r="L70" t="s">
        <v>12615</v>
      </c>
      <c r="M70" t="s">
        <v>3963</v>
      </c>
      <c r="N70" t="s">
        <v>3963</v>
      </c>
      <c r="O70" t="s">
        <v>3963</v>
      </c>
      <c r="P70" t="s">
        <v>12615</v>
      </c>
      <c r="R70" t="s">
        <v>12616</v>
      </c>
    </row>
    <row r="71" spans="4:18">
      <c r="E71" t="s">
        <v>4056</v>
      </c>
      <c r="I71" t="s">
        <v>4057</v>
      </c>
      <c r="K71" t="s">
        <v>12617</v>
      </c>
      <c r="L71" t="s">
        <v>12618</v>
      </c>
      <c r="M71" t="s">
        <v>3963</v>
      </c>
      <c r="N71" t="s">
        <v>3963</v>
      </c>
      <c r="O71" t="s">
        <v>3963</v>
      </c>
      <c r="P71" t="s">
        <v>12618</v>
      </c>
      <c r="R71" t="s">
        <v>12619</v>
      </c>
    </row>
    <row r="72" spans="4:18">
      <c r="E72" t="s">
        <v>4058</v>
      </c>
      <c r="I72" t="s">
        <v>4059</v>
      </c>
      <c r="K72" t="s">
        <v>12620</v>
      </c>
      <c r="L72" t="s">
        <v>12621</v>
      </c>
      <c r="M72" t="s">
        <v>3963</v>
      </c>
      <c r="N72" t="s">
        <v>3963</v>
      </c>
      <c r="O72" t="s">
        <v>3963</v>
      </c>
      <c r="P72" t="s">
        <v>12621</v>
      </c>
      <c r="R72" t="s">
        <v>12622</v>
      </c>
    </row>
    <row r="73" spans="4:18">
      <c r="E73" t="s">
        <v>4060</v>
      </c>
      <c r="I73" t="s">
        <v>3989</v>
      </c>
      <c r="K73" t="s">
        <v>12623</v>
      </c>
      <c r="L73" t="s">
        <v>12624</v>
      </c>
      <c r="M73" t="s">
        <v>3963</v>
      </c>
      <c r="N73" t="s">
        <v>3963</v>
      </c>
      <c r="O73" t="s">
        <v>3963</v>
      </c>
      <c r="P73" t="s">
        <v>12624</v>
      </c>
      <c r="R73" t="s">
        <v>12625</v>
      </c>
    </row>
    <row r="74" spans="4:18">
      <c r="E74" t="s">
        <v>4061</v>
      </c>
      <c r="I74" t="s">
        <v>4062</v>
      </c>
      <c r="K74" t="s">
        <v>12626</v>
      </c>
      <c r="L74" t="s">
        <v>12627</v>
      </c>
      <c r="M74" t="s">
        <v>3963</v>
      </c>
      <c r="N74" t="s">
        <v>3963</v>
      </c>
      <c r="O74" t="s">
        <v>3963</v>
      </c>
      <c r="P74" t="s">
        <v>12627</v>
      </c>
      <c r="R74" t="s">
        <v>12628</v>
      </c>
    </row>
    <row r="75" spans="4:18">
      <c r="D75" t="s">
        <v>35</v>
      </c>
      <c r="H75" t="s">
        <v>4063</v>
      </c>
      <c r="K75" t="s">
        <v>12629</v>
      </c>
      <c r="L75" t="s">
        <v>12630</v>
      </c>
      <c r="M75" t="s">
        <v>3963</v>
      </c>
      <c r="N75" t="s">
        <v>3963</v>
      </c>
      <c r="O75" t="s">
        <v>3963</v>
      </c>
      <c r="P75" t="s">
        <v>12630</v>
      </c>
      <c r="R75" t="s">
        <v>12631</v>
      </c>
    </row>
    <row r="76" spans="4:18">
      <c r="E76" t="s">
        <v>4064</v>
      </c>
      <c r="I76" t="s">
        <v>4065</v>
      </c>
      <c r="K76" t="s">
        <v>12632</v>
      </c>
      <c r="L76" t="s">
        <v>12633</v>
      </c>
      <c r="M76" t="s">
        <v>3963</v>
      </c>
      <c r="N76" t="s">
        <v>3963</v>
      </c>
      <c r="O76" t="s">
        <v>3963</v>
      </c>
      <c r="P76" t="s">
        <v>12633</v>
      </c>
      <c r="R76" t="s">
        <v>12634</v>
      </c>
    </row>
    <row r="77" spans="4:18">
      <c r="E77" t="s">
        <v>4066</v>
      </c>
      <c r="I77" t="s">
        <v>3989</v>
      </c>
      <c r="K77" t="s">
        <v>4067</v>
      </c>
      <c r="L77" t="s">
        <v>12635</v>
      </c>
      <c r="M77" t="s">
        <v>3963</v>
      </c>
      <c r="N77" t="s">
        <v>3963</v>
      </c>
      <c r="O77" t="s">
        <v>3963</v>
      </c>
      <c r="P77" t="s">
        <v>12635</v>
      </c>
      <c r="R77" t="s">
        <v>12636</v>
      </c>
    </row>
    <row r="78" spans="4:18">
      <c r="D78" t="s">
        <v>37</v>
      </c>
      <c r="H78" t="s">
        <v>4068</v>
      </c>
      <c r="K78" t="s">
        <v>12637</v>
      </c>
      <c r="L78" t="s">
        <v>12638</v>
      </c>
      <c r="M78" t="s">
        <v>3963</v>
      </c>
      <c r="N78" t="s">
        <v>3963</v>
      </c>
      <c r="O78" t="s">
        <v>3963</v>
      </c>
      <c r="P78" t="s">
        <v>12638</v>
      </c>
      <c r="R78" t="s">
        <v>12639</v>
      </c>
    </row>
    <row r="79" spans="4:18">
      <c r="E79" t="s">
        <v>4069</v>
      </c>
      <c r="I79" t="s">
        <v>4070</v>
      </c>
      <c r="K79" t="s">
        <v>12640</v>
      </c>
      <c r="L79" t="s">
        <v>12641</v>
      </c>
      <c r="M79" t="s">
        <v>3963</v>
      </c>
      <c r="N79" t="s">
        <v>3963</v>
      </c>
      <c r="O79" t="s">
        <v>3963</v>
      </c>
      <c r="P79" t="s">
        <v>12641</v>
      </c>
      <c r="R79" t="s">
        <v>12642</v>
      </c>
    </row>
    <row r="80" spans="4:18">
      <c r="E80" t="s">
        <v>4071</v>
      </c>
      <c r="I80" t="s">
        <v>4072</v>
      </c>
      <c r="K80" t="s">
        <v>12643</v>
      </c>
      <c r="L80" t="s">
        <v>12644</v>
      </c>
      <c r="M80" t="s">
        <v>3963</v>
      </c>
      <c r="N80" t="s">
        <v>3963</v>
      </c>
      <c r="O80" t="s">
        <v>3963</v>
      </c>
      <c r="P80" t="s">
        <v>12644</v>
      </c>
      <c r="R80" t="s">
        <v>12645</v>
      </c>
    </row>
    <row r="81" spans="4:18">
      <c r="E81" t="s">
        <v>4073</v>
      </c>
      <c r="I81" t="s">
        <v>4074</v>
      </c>
      <c r="K81" t="s">
        <v>12646</v>
      </c>
      <c r="L81" t="s">
        <v>12646</v>
      </c>
      <c r="M81" t="s">
        <v>3963</v>
      </c>
      <c r="N81" t="s">
        <v>3963</v>
      </c>
      <c r="O81" t="s">
        <v>3963</v>
      </c>
      <c r="P81" t="s">
        <v>12646</v>
      </c>
      <c r="R81" t="s">
        <v>3963</v>
      </c>
    </row>
    <row r="82" spans="4:18">
      <c r="E82" t="s">
        <v>4075</v>
      </c>
      <c r="I82" t="s">
        <v>4076</v>
      </c>
      <c r="K82" t="s">
        <v>12647</v>
      </c>
      <c r="L82" t="s">
        <v>3963</v>
      </c>
      <c r="M82" t="s">
        <v>3963</v>
      </c>
      <c r="N82" t="s">
        <v>3963</v>
      </c>
      <c r="O82" t="s">
        <v>3963</v>
      </c>
      <c r="P82" t="s">
        <v>3963</v>
      </c>
      <c r="R82" t="s">
        <v>12647</v>
      </c>
    </row>
    <row r="83" spans="4:18">
      <c r="E83" t="s">
        <v>4077</v>
      </c>
      <c r="I83" t="s">
        <v>3989</v>
      </c>
      <c r="K83" t="s">
        <v>12648</v>
      </c>
      <c r="L83" t="s">
        <v>12648</v>
      </c>
      <c r="M83" t="s">
        <v>3963</v>
      </c>
      <c r="N83" t="s">
        <v>3963</v>
      </c>
      <c r="O83" t="s">
        <v>3963</v>
      </c>
      <c r="P83" t="s">
        <v>12648</v>
      </c>
      <c r="R83" t="s">
        <v>3963</v>
      </c>
    </row>
    <row r="84" spans="4:18">
      <c r="D84" t="s">
        <v>39</v>
      </c>
      <c r="H84" t="s">
        <v>4078</v>
      </c>
      <c r="K84" t="s">
        <v>12649</v>
      </c>
      <c r="L84" t="s">
        <v>12650</v>
      </c>
      <c r="M84" t="s">
        <v>3963</v>
      </c>
      <c r="N84" t="s">
        <v>3963</v>
      </c>
      <c r="O84" t="s">
        <v>3963</v>
      </c>
      <c r="P84" t="s">
        <v>12650</v>
      </c>
      <c r="R84" t="s">
        <v>12651</v>
      </c>
    </row>
    <row r="85" spans="4:18">
      <c r="E85" t="s">
        <v>4079</v>
      </c>
      <c r="I85" t="s">
        <v>4080</v>
      </c>
      <c r="K85" t="s">
        <v>12652</v>
      </c>
      <c r="L85" t="s">
        <v>12653</v>
      </c>
      <c r="M85" t="s">
        <v>3963</v>
      </c>
      <c r="N85" t="s">
        <v>3963</v>
      </c>
      <c r="O85" t="s">
        <v>3963</v>
      </c>
      <c r="P85" t="s">
        <v>12653</v>
      </c>
      <c r="R85" t="s">
        <v>12654</v>
      </c>
    </row>
    <row r="86" spans="4:18">
      <c r="E86" t="s">
        <v>4081</v>
      </c>
      <c r="I86" t="s">
        <v>3989</v>
      </c>
      <c r="K86" t="s">
        <v>12655</v>
      </c>
      <c r="L86" t="s">
        <v>12656</v>
      </c>
      <c r="M86" t="s">
        <v>3963</v>
      </c>
      <c r="N86" t="s">
        <v>3963</v>
      </c>
      <c r="O86" t="s">
        <v>3963</v>
      </c>
      <c r="P86" t="s">
        <v>12656</v>
      </c>
      <c r="R86" t="s">
        <v>12657</v>
      </c>
    </row>
    <row r="87" spans="4:18">
      <c r="D87" t="s">
        <v>41</v>
      </c>
      <c r="H87" t="s">
        <v>4082</v>
      </c>
      <c r="K87" t="s">
        <v>12658</v>
      </c>
      <c r="L87" t="s">
        <v>12659</v>
      </c>
      <c r="M87" t="s">
        <v>3963</v>
      </c>
      <c r="N87" t="s">
        <v>3963</v>
      </c>
      <c r="O87" t="s">
        <v>3963</v>
      </c>
      <c r="P87" t="s">
        <v>12659</v>
      </c>
      <c r="R87" t="s">
        <v>12660</v>
      </c>
    </row>
    <row r="88" spans="4:18">
      <c r="E88" t="s">
        <v>4083</v>
      </c>
      <c r="I88" t="s">
        <v>4084</v>
      </c>
      <c r="K88" t="s">
        <v>12661</v>
      </c>
      <c r="L88" t="s">
        <v>12662</v>
      </c>
      <c r="M88" t="s">
        <v>3963</v>
      </c>
      <c r="N88" t="s">
        <v>3963</v>
      </c>
      <c r="O88" t="s">
        <v>3963</v>
      </c>
      <c r="P88" t="s">
        <v>12662</v>
      </c>
      <c r="R88" t="s">
        <v>12663</v>
      </c>
    </row>
    <row r="89" spans="4:18">
      <c r="E89" t="s">
        <v>4085</v>
      </c>
      <c r="I89" t="s">
        <v>3989</v>
      </c>
      <c r="K89" t="s">
        <v>4086</v>
      </c>
      <c r="L89" t="s">
        <v>12664</v>
      </c>
      <c r="M89" t="s">
        <v>3963</v>
      </c>
      <c r="N89" t="s">
        <v>3963</v>
      </c>
      <c r="O89" t="s">
        <v>3963</v>
      </c>
      <c r="P89" t="s">
        <v>12664</v>
      </c>
      <c r="R89" t="s">
        <v>12665</v>
      </c>
    </row>
    <row r="90" spans="4:18">
      <c r="D90" t="s">
        <v>43</v>
      </c>
      <c r="H90" t="s">
        <v>4087</v>
      </c>
      <c r="K90" t="s">
        <v>4088</v>
      </c>
      <c r="L90" t="s">
        <v>12666</v>
      </c>
      <c r="M90" t="s">
        <v>3963</v>
      </c>
      <c r="N90" t="s">
        <v>3963</v>
      </c>
      <c r="O90" t="s">
        <v>3963</v>
      </c>
      <c r="P90" t="s">
        <v>12666</v>
      </c>
      <c r="R90" t="s">
        <v>12667</v>
      </c>
    </row>
    <row r="91" spans="4:18">
      <c r="E91" t="s">
        <v>4089</v>
      </c>
      <c r="I91" t="s">
        <v>4090</v>
      </c>
      <c r="K91" t="s">
        <v>4091</v>
      </c>
      <c r="L91" t="s">
        <v>12668</v>
      </c>
      <c r="M91" t="s">
        <v>3963</v>
      </c>
      <c r="N91" t="s">
        <v>3963</v>
      </c>
      <c r="O91" t="s">
        <v>3963</v>
      </c>
      <c r="P91" t="s">
        <v>12668</v>
      </c>
      <c r="R91" t="s">
        <v>12669</v>
      </c>
    </row>
    <row r="92" spans="4:18">
      <c r="E92" t="s">
        <v>4092</v>
      </c>
      <c r="I92" t="s">
        <v>3989</v>
      </c>
      <c r="K92" t="s">
        <v>12670</v>
      </c>
      <c r="L92" t="s">
        <v>12671</v>
      </c>
      <c r="M92" t="s">
        <v>3963</v>
      </c>
      <c r="N92" t="s">
        <v>3963</v>
      </c>
      <c r="O92" t="s">
        <v>3963</v>
      </c>
      <c r="P92" t="s">
        <v>12671</v>
      </c>
      <c r="R92" t="s">
        <v>12672</v>
      </c>
    </row>
    <row r="93" spans="4:18">
      <c r="D93" t="s">
        <v>45</v>
      </c>
      <c r="H93" t="s">
        <v>4093</v>
      </c>
      <c r="K93" t="s">
        <v>12673</v>
      </c>
      <c r="L93" t="s">
        <v>12674</v>
      </c>
      <c r="M93" t="s">
        <v>3963</v>
      </c>
      <c r="N93" t="s">
        <v>3963</v>
      </c>
      <c r="O93" t="s">
        <v>3963</v>
      </c>
      <c r="P93" t="s">
        <v>12674</v>
      </c>
      <c r="R93" t="s">
        <v>12675</v>
      </c>
    </row>
    <row r="94" spans="4:18">
      <c r="E94" t="s">
        <v>4094</v>
      </c>
      <c r="I94" t="s">
        <v>3965</v>
      </c>
      <c r="K94" t="s">
        <v>3963</v>
      </c>
      <c r="L94" t="s">
        <v>3963</v>
      </c>
      <c r="M94" t="s">
        <v>3963</v>
      </c>
      <c r="N94" t="s">
        <v>3963</v>
      </c>
      <c r="O94" t="s">
        <v>3963</v>
      </c>
      <c r="P94" t="s">
        <v>3963</v>
      </c>
      <c r="R94" t="s">
        <v>3963</v>
      </c>
    </row>
    <row r="95" spans="4:18">
      <c r="E95" t="s">
        <v>4095</v>
      </c>
      <c r="I95" t="s">
        <v>4096</v>
      </c>
      <c r="K95" t="s">
        <v>12676</v>
      </c>
      <c r="L95" t="s">
        <v>12677</v>
      </c>
      <c r="M95" t="s">
        <v>3963</v>
      </c>
      <c r="N95" t="s">
        <v>3963</v>
      </c>
      <c r="O95" t="s">
        <v>3963</v>
      </c>
      <c r="P95" t="s">
        <v>12677</v>
      </c>
      <c r="R95" t="s">
        <v>12678</v>
      </c>
    </row>
    <row r="96" spans="4:18">
      <c r="E96" t="s">
        <v>4097</v>
      </c>
      <c r="I96" t="s">
        <v>4098</v>
      </c>
      <c r="K96" t="s">
        <v>6955</v>
      </c>
      <c r="L96" t="s">
        <v>12679</v>
      </c>
      <c r="M96" t="s">
        <v>3963</v>
      </c>
      <c r="N96" t="s">
        <v>3963</v>
      </c>
      <c r="O96" t="s">
        <v>3963</v>
      </c>
      <c r="P96" t="s">
        <v>12679</v>
      </c>
      <c r="R96" t="s">
        <v>12680</v>
      </c>
    </row>
    <row r="97" spans="4:18">
      <c r="E97" t="s">
        <v>4099</v>
      </c>
      <c r="I97" t="s">
        <v>3989</v>
      </c>
      <c r="K97" t="s">
        <v>12681</v>
      </c>
      <c r="L97" t="s">
        <v>12682</v>
      </c>
      <c r="M97" t="s">
        <v>3963</v>
      </c>
      <c r="N97" t="s">
        <v>3963</v>
      </c>
      <c r="O97" t="s">
        <v>3963</v>
      </c>
      <c r="P97" t="s">
        <v>12682</v>
      </c>
      <c r="R97" t="s">
        <v>12683</v>
      </c>
    </row>
    <row r="98" spans="4:18">
      <c r="E98" t="s">
        <v>4100</v>
      </c>
      <c r="I98" t="s">
        <v>4101</v>
      </c>
      <c r="K98" t="s">
        <v>12684</v>
      </c>
      <c r="L98" t="s">
        <v>12685</v>
      </c>
      <c r="M98" t="s">
        <v>3963</v>
      </c>
      <c r="N98" t="s">
        <v>3963</v>
      </c>
      <c r="O98" t="s">
        <v>3963</v>
      </c>
      <c r="P98" t="s">
        <v>12685</v>
      </c>
      <c r="R98" t="s">
        <v>12686</v>
      </c>
    </row>
    <row r="99" spans="4:18">
      <c r="E99" t="s">
        <v>4102</v>
      </c>
      <c r="I99" t="s">
        <v>4103</v>
      </c>
      <c r="K99" t="s">
        <v>12687</v>
      </c>
      <c r="L99" t="s">
        <v>12688</v>
      </c>
      <c r="M99" t="s">
        <v>3963</v>
      </c>
      <c r="N99" t="s">
        <v>3963</v>
      </c>
      <c r="O99" t="s">
        <v>3963</v>
      </c>
      <c r="P99" t="s">
        <v>12688</v>
      </c>
      <c r="R99" t="s">
        <v>12689</v>
      </c>
    </row>
    <row r="100" spans="4:18">
      <c r="E100" t="s">
        <v>4104</v>
      </c>
      <c r="I100" t="s">
        <v>4105</v>
      </c>
      <c r="K100" t="s">
        <v>12690</v>
      </c>
      <c r="L100" t="s">
        <v>12691</v>
      </c>
      <c r="M100" t="s">
        <v>3963</v>
      </c>
      <c r="N100" t="s">
        <v>3963</v>
      </c>
      <c r="O100" t="s">
        <v>3963</v>
      </c>
      <c r="P100" t="s">
        <v>12691</v>
      </c>
      <c r="R100" t="s">
        <v>12692</v>
      </c>
    </row>
    <row r="101" spans="4:18">
      <c r="D101" t="s">
        <v>47</v>
      </c>
      <c r="H101" t="s">
        <v>4106</v>
      </c>
      <c r="K101" t="s">
        <v>12693</v>
      </c>
      <c r="L101" t="s">
        <v>12694</v>
      </c>
      <c r="M101" t="s">
        <v>3963</v>
      </c>
      <c r="N101" t="s">
        <v>3963</v>
      </c>
      <c r="O101" t="s">
        <v>3963</v>
      </c>
      <c r="P101" t="s">
        <v>12694</v>
      </c>
      <c r="R101" t="s">
        <v>12695</v>
      </c>
    </row>
    <row r="102" spans="4:18">
      <c r="E102" t="s">
        <v>4107</v>
      </c>
      <c r="I102" t="s">
        <v>4108</v>
      </c>
      <c r="K102" t="s">
        <v>12696</v>
      </c>
      <c r="L102" t="s">
        <v>12697</v>
      </c>
      <c r="M102" t="s">
        <v>3963</v>
      </c>
      <c r="N102" t="s">
        <v>3963</v>
      </c>
      <c r="O102" t="s">
        <v>3963</v>
      </c>
      <c r="P102" t="s">
        <v>12697</v>
      </c>
      <c r="R102" t="s">
        <v>12698</v>
      </c>
    </row>
    <row r="103" spans="4:18">
      <c r="E103" t="s">
        <v>4109</v>
      </c>
      <c r="I103" t="s">
        <v>4110</v>
      </c>
      <c r="K103" t="s">
        <v>12699</v>
      </c>
      <c r="L103" t="s">
        <v>12700</v>
      </c>
      <c r="M103" t="s">
        <v>3963</v>
      </c>
      <c r="N103" t="s">
        <v>3963</v>
      </c>
      <c r="O103" t="s">
        <v>3963</v>
      </c>
      <c r="P103" t="s">
        <v>12700</v>
      </c>
      <c r="R103" t="s">
        <v>12701</v>
      </c>
    </row>
    <row r="104" spans="4:18">
      <c r="D104" t="s">
        <v>49</v>
      </c>
      <c r="H104" t="s">
        <v>4111</v>
      </c>
      <c r="K104" t="s">
        <v>12702</v>
      </c>
      <c r="L104" t="s">
        <v>12703</v>
      </c>
      <c r="M104" t="s">
        <v>3963</v>
      </c>
      <c r="N104" t="s">
        <v>3963</v>
      </c>
      <c r="O104" t="s">
        <v>3963</v>
      </c>
      <c r="P104" t="s">
        <v>12703</v>
      </c>
      <c r="R104" t="s">
        <v>12704</v>
      </c>
    </row>
    <row r="105" spans="4:18">
      <c r="E105" t="s">
        <v>4112</v>
      </c>
      <c r="I105" t="s">
        <v>4113</v>
      </c>
      <c r="K105" t="s">
        <v>12705</v>
      </c>
      <c r="L105" t="s">
        <v>12706</v>
      </c>
      <c r="M105" t="s">
        <v>3963</v>
      </c>
      <c r="N105" t="s">
        <v>3963</v>
      </c>
      <c r="O105" t="s">
        <v>3963</v>
      </c>
      <c r="P105" t="s">
        <v>12706</v>
      </c>
      <c r="R105" t="s">
        <v>12707</v>
      </c>
    </row>
    <row r="106" spans="4:18">
      <c r="E106" t="s">
        <v>4114</v>
      </c>
      <c r="I106" t="s">
        <v>4115</v>
      </c>
      <c r="K106" t="s">
        <v>3994</v>
      </c>
      <c r="L106" t="s">
        <v>12708</v>
      </c>
      <c r="M106" t="s">
        <v>3963</v>
      </c>
      <c r="N106" t="s">
        <v>3963</v>
      </c>
      <c r="O106" t="s">
        <v>3963</v>
      </c>
      <c r="P106" t="s">
        <v>12708</v>
      </c>
      <c r="R106" t="s">
        <v>12709</v>
      </c>
    </row>
    <row r="107" spans="4:18">
      <c r="E107" t="s">
        <v>4116</v>
      </c>
      <c r="I107" t="s">
        <v>3989</v>
      </c>
      <c r="K107" t="s">
        <v>3963</v>
      </c>
      <c r="L107" t="s">
        <v>3963</v>
      </c>
      <c r="M107" t="s">
        <v>3963</v>
      </c>
      <c r="N107" t="s">
        <v>3963</v>
      </c>
      <c r="O107" t="s">
        <v>3963</v>
      </c>
      <c r="P107" t="s">
        <v>3963</v>
      </c>
      <c r="R107" t="s">
        <v>3963</v>
      </c>
    </row>
    <row r="108" spans="4:18">
      <c r="D108" t="s">
        <v>51</v>
      </c>
      <c r="H108" t="s">
        <v>4117</v>
      </c>
      <c r="K108" t="s">
        <v>12710</v>
      </c>
      <c r="L108" t="s">
        <v>12711</v>
      </c>
      <c r="M108" t="s">
        <v>3963</v>
      </c>
      <c r="N108" t="s">
        <v>3963</v>
      </c>
      <c r="O108" t="s">
        <v>3963</v>
      </c>
      <c r="P108" t="s">
        <v>12711</v>
      </c>
      <c r="R108" t="s">
        <v>12712</v>
      </c>
    </row>
    <row r="109" spans="4:18">
      <c r="E109" t="s">
        <v>4118</v>
      </c>
      <c r="I109" t="s">
        <v>4119</v>
      </c>
      <c r="K109" t="s">
        <v>12713</v>
      </c>
      <c r="L109" t="s">
        <v>12714</v>
      </c>
      <c r="M109" t="s">
        <v>3963</v>
      </c>
      <c r="N109" t="s">
        <v>3963</v>
      </c>
      <c r="O109" t="s">
        <v>3963</v>
      </c>
      <c r="P109" t="s">
        <v>12714</v>
      </c>
      <c r="R109" t="s">
        <v>12715</v>
      </c>
    </row>
    <row r="110" spans="4:18">
      <c r="E110" t="s">
        <v>4120</v>
      </c>
      <c r="I110" t="s">
        <v>3989</v>
      </c>
      <c r="K110" t="s">
        <v>3994</v>
      </c>
      <c r="L110" t="s">
        <v>12716</v>
      </c>
      <c r="M110" t="s">
        <v>3963</v>
      </c>
      <c r="N110" t="s">
        <v>3963</v>
      </c>
      <c r="O110" t="s">
        <v>3963</v>
      </c>
      <c r="P110" t="s">
        <v>12716</v>
      </c>
      <c r="R110" t="s">
        <v>12717</v>
      </c>
    </row>
    <row r="111" spans="4:18">
      <c r="D111" t="s">
        <v>53</v>
      </c>
      <c r="H111" t="s">
        <v>4121</v>
      </c>
      <c r="K111" t="s">
        <v>12718</v>
      </c>
      <c r="L111" t="s">
        <v>12719</v>
      </c>
      <c r="M111" t="s">
        <v>3963</v>
      </c>
      <c r="N111" t="s">
        <v>3963</v>
      </c>
      <c r="O111" t="s">
        <v>3963</v>
      </c>
      <c r="P111" t="s">
        <v>12719</v>
      </c>
      <c r="R111" t="s">
        <v>12720</v>
      </c>
    </row>
    <row r="112" spans="4:18">
      <c r="E112" t="s">
        <v>4122</v>
      </c>
      <c r="I112" t="s">
        <v>4123</v>
      </c>
      <c r="K112" t="s">
        <v>12721</v>
      </c>
      <c r="L112" t="s">
        <v>12722</v>
      </c>
      <c r="M112" t="s">
        <v>3963</v>
      </c>
      <c r="N112" t="s">
        <v>3963</v>
      </c>
      <c r="O112" t="s">
        <v>3963</v>
      </c>
      <c r="P112" t="s">
        <v>12722</v>
      </c>
      <c r="R112" t="s">
        <v>12723</v>
      </c>
    </row>
    <row r="113" spans="4:18">
      <c r="E113" t="s">
        <v>4124</v>
      </c>
      <c r="I113" t="s">
        <v>4125</v>
      </c>
      <c r="K113" t="s">
        <v>12724</v>
      </c>
      <c r="L113" t="s">
        <v>12725</v>
      </c>
      <c r="M113" t="s">
        <v>3963</v>
      </c>
      <c r="N113" t="s">
        <v>3963</v>
      </c>
      <c r="O113" t="s">
        <v>3963</v>
      </c>
      <c r="P113" t="s">
        <v>12725</v>
      </c>
      <c r="R113" t="s">
        <v>12726</v>
      </c>
    </row>
    <row r="114" spans="4:18">
      <c r="E114" t="s">
        <v>4126</v>
      </c>
      <c r="I114" t="s">
        <v>4127</v>
      </c>
      <c r="K114" t="s">
        <v>12727</v>
      </c>
      <c r="L114" t="s">
        <v>12728</v>
      </c>
      <c r="M114" t="s">
        <v>3963</v>
      </c>
      <c r="N114" t="s">
        <v>3963</v>
      </c>
      <c r="O114" t="s">
        <v>3963</v>
      </c>
      <c r="P114" t="s">
        <v>12728</v>
      </c>
      <c r="R114" t="s">
        <v>12729</v>
      </c>
    </row>
    <row r="115" spans="4:18">
      <c r="E115" t="s">
        <v>4128</v>
      </c>
      <c r="I115" t="s">
        <v>4129</v>
      </c>
      <c r="K115" t="s">
        <v>12730</v>
      </c>
      <c r="L115" t="s">
        <v>12731</v>
      </c>
      <c r="M115" t="s">
        <v>3963</v>
      </c>
      <c r="N115" t="s">
        <v>3963</v>
      </c>
      <c r="O115" t="s">
        <v>3963</v>
      </c>
      <c r="P115" t="s">
        <v>12731</v>
      </c>
      <c r="R115" t="s">
        <v>12732</v>
      </c>
    </row>
    <row r="116" spans="4:18">
      <c r="E116" t="s">
        <v>4130</v>
      </c>
      <c r="I116" t="s">
        <v>4131</v>
      </c>
      <c r="K116" t="s">
        <v>4132</v>
      </c>
      <c r="L116" t="s">
        <v>3963</v>
      </c>
      <c r="M116" t="s">
        <v>3963</v>
      </c>
      <c r="N116" t="s">
        <v>3963</v>
      </c>
      <c r="O116" t="s">
        <v>3963</v>
      </c>
      <c r="P116" t="s">
        <v>3963</v>
      </c>
      <c r="R116" t="s">
        <v>4132</v>
      </c>
    </row>
    <row r="117" spans="4:18">
      <c r="E117" t="s">
        <v>4133</v>
      </c>
      <c r="I117" t="s">
        <v>3989</v>
      </c>
      <c r="K117" t="s">
        <v>4134</v>
      </c>
      <c r="L117" t="s">
        <v>12733</v>
      </c>
      <c r="M117" t="s">
        <v>3963</v>
      </c>
      <c r="N117" t="s">
        <v>3963</v>
      </c>
      <c r="O117" t="s">
        <v>3963</v>
      </c>
      <c r="P117" t="s">
        <v>12733</v>
      </c>
      <c r="R117" t="s">
        <v>12734</v>
      </c>
    </row>
    <row r="118" spans="4:18">
      <c r="E118" t="s">
        <v>4135</v>
      </c>
      <c r="I118" t="s">
        <v>4136</v>
      </c>
      <c r="K118" t="s">
        <v>12735</v>
      </c>
      <c r="L118" t="s">
        <v>12736</v>
      </c>
      <c r="M118" t="s">
        <v>3963</v>
      </c>
      <c r="N118" t="s">
        <v>3963</v>
      </c>
      <c r="O118" t="s">
        <v>3963</v>
      </c>
      <c r="P118" t="s">
        <v>12736</v>
      </c>
      <c r="R118" t="s">
        <v>12737</v>
      </c>
    </row>
    <row r="119" spans="4:18">
      <c r="D119" t="s">
        <v>57</v>
      </c>
      <c r="H119" t="s">
        <v>4137</v>
      </c>
      <c r="K119" t="s">
        <v>12738</v>
      </c>
      <c r="L119" t="s">
        <v>12739</v>
      </c>
      <c r="M119" t="s">
        <v>3963</v>
      </c>
      <c r="N119" t="s">
        <v>3963</v>
      </c>
      <c r="O119" t="s">
        <v>3963</v>
      </c>
      <c r="P119" t="s">
        <v>12739</v>
      </c>
      <c r="R119" t="s">
        <v>12740</v>
      </c>
    </row>
    <row r="120" spans="4:18">
      <c r="E120" t="s">
        <v>4138</v>
      </c>
      <c r="I120" t="s">
        <v>4139</v>
      </c>
      <c r="K120" t="s">
        <v>12741</v>
      </c>
      <c r="L120" t="s">
        <v>12742</v>
      </c>
      <c r="M120" t="s">
        <v>3963</v>
      </c>
      <c r="N120" t="s">
        <v>3963</v>
      </c>
      <c r="O120" t="s">
        <v>3963</v>
      </c>
      <c r="P120" t="s">
        <v>12742</v>
      </c>
      <c r="R120" t="s">
        <v>12743</v>
      </c>
    </row>
    <row r="121" spans="4:18">
      <c r="E121" t="s">
        <v>4140</v>
      </c>
      <c r="I121" t="s">
        <v>3989</v>
      </c>
      <c r="K121" t="s">
        <v>12744</v>
      </c>
      <c r="L121" t="s">
        <v>12745</v>
      </c>
      <c r="M121" t="s">
        <v>3963</v>
      </c>
      <c r="N121" t="s">
        <v>3963</v>
      </c>
      <c r="O121" t="s">
        <v>3963</v>
      </c>
      <c r="P121" t="s">
        <v>12745</v>
      </c>
      <c r="R121" t="s">
        <v>12746</v>
      </c>
    </row>
    <row r="122" spans="4:18">
      <c r="D122" t="s">
        <v>59</v>
      </c>
      <c r="H122" t="s">
        <v>4141</v>
      </c>
      <c r="K122" t="s">
        <v>12747</v>
      </c>
      <c r="L122" t="s">
        <v>12748</v>
      </c>
      <c r="M122" t="s">
        <v>3963</v>
      </c>
      <c r="N122" t="s">
        <v>3963</v>
      </c>
      <c r="O122" t="s">
        <v>3963</v>
      </c>
      <c r="P122" t="s">
        <v>12748</v>
      </c>
      <c r="R122" t="s">
        <v>12749</v>
      </c>
    </row>
    <row r="123" spans="4:18">
      <c r="E123" t="s">
        <v>4142</v>
      </c>
      <c r="I123" t="s">
        <v>4143</v>
      </c>
      <c r="K123" t="s">
        <v>12750</v>
      </c>
      <c r="L123" t="s">
        <v>12751</v>
      </c>
      <c r="M123" t="s">
        <v>3963</v>
      </c>
      <c r="N123" t="s">
        <v>3963</v>
      </c>
      <c r="O123" t="s">
        <v>3963</v>
      </c>
      <c r="P123" t="s">
        <v>12751</v>
      </c>
      <c r="R123" t="s">
        <v>12752</v>
      </c>
    </row>
    <row r="124" spans="4:18">
      <c r="E124" t="s">
        <v>4144</v>
      </c>
      <c r="I124" t="s">
        <v>3989</v>
      </c>
      <c r="K124" t="s">
        <v>12753</v>
      </c>
      <c r="L124" t="s">
        <v>12754</v>
      </c>
      <c r="M124" t="s">
        <v>3963</v>
      </c>
      <c r="N124" t="s">
        <v>3963</v>
      </c>
      <c r="O124" t="s">
        <v>3963</v>
      </c>
      <c r="P124" t="s">
        <v>12754</v>
      </c>
      <c r="R124" t="s">
        <v>12755</v>
      </c>
    </row>
    <row r="125" spans="4:18">
      <c r="D125" t="s">
        <v>61</v>
      </c>
      <c r="H125" t="s">
        <v>4145</v>
      </c>
      <c r="K125" t="s">
        <v>12756</v>
      </c>
      <c r="L125" t="s">
        <v>12757</v>
      </c>
      <c r="M125" t="s">
        <v>3963</v>
      </c>
      <c r="N125" t="s">
        <v>3963</v>
      </c>
      <c r="O125" t="s">
        <v>3963</v>
      </c>
      <c r="P125" t="s">
        <v>12757</v>
      </c>
      <c r="R125" t="s">
        <v>12758</v>
      </c>
    </row>
    <row r="126" spans="4:18">
      <c r="E126" t="s">
        <v>4146</v>
      </c>
      <c r="I126" t="s">
        <v>4147</v>
      </c>
      <c r="K126" t="s">
        <v>12759</v>
      </c>
      <c r="L126" t="s">
        <v>12760</v>
      </c>
      <c r="M126" t="s">
        <v>3963</v>
      </c>
      <c r="N126" t="s">
        <v>3963</v>
      </c>
      <c r="O126" t="s">
        <v>3963</v>
      </c>
      <c r="P126" t="s">
        <v>12760</v>
      </c>
      <c r="R126" t="s">
        <v>12761</v>
      </c>
    </row>
    <row r="127" spans="4:18">
      <c r="E127" t="s">
        <v>4148</v>
      </c>
      <c r="I127" t="s">
        <v>4149</v>
      </c>
      <c r="K127" t="s">
        <v>4150</v>
      </c>
      <c r="L127" t="s">
        <v>12762</v>
      </c>
      <c r="M127" t="s">
        <v>3963</v>
      </c>
      <c r="N127" t="s">
        <v>3963</v>
      </c>
      <c r="O127" t="s">
        <v>3963</v>
      </c>
      <c r="P127" t="s">
        <v>12762</v>
      </c>
      <c r="R127" t="s">
        <v>12763</v>
      </c>
    </row>
    <row r="128" spans="4:18">
      <c r="E128" t="s">
        <v>4151</v>
      </c>
      <c r="I128" t="s">
        <v>3989</v>
      </c>
      <c r="K128" t="s">
        <v>12764</v>
      </c>
      <c r="L128" t="s">
        <v>12765</v>
      </c>
      <c r="M128" t="s">
        <v>3963</v>
      </c>
      <c r="N128" t="s">
        <v>3963</v>
      </c>
      <c r="O128" t="s">
        <v>3963</v>
      </c>
      <c r="P128" t="s">
        <v>12765</v>
      </c>
      <c r="R128" t="s">
        <v>12766</v>
      </c>
    </row>
    <row r="129" spans="4:18">
      <c r="D129" t="s">
        <v>108</v>
      </c>
      <c r="H129" t="s">
        <v>4152</v>
      </c>
      <c r="K129" t="s">
        <v>12767</v>
      </c>
      <c r="L129" t="s">
        <v>12768</v>
      </c>
      <c r="M129" t="s">
        <v>3963</v>
      </c>
      <c r="N129" t="s">
        <v>3963</v>
      </c>
      <c r="O129" t="s">
        <v>3963</v>
      </c>
      <c r="P129" t="s">
        <v>12768</v>
      </c>
      <c r="R129" t="s">
        <v>12769</v>
      </c>
    </row>
    <row r="130" spans="4:18">
      <c r="E130" t="s">
        <v>4153</v>
      </c>
      <c r="I130" t="s">
        <v>4154</v>
      </c>
      <c r="K130" t="s">
        <v>12770</v>
      </c>
      <c r="L130" t="s">
        <v>12771</v>
      </c>
      <c r="M130" t="s">
        <v>3963</v>
      </c>
      <c r="N130" t="s">
        <v>3963</v>
      </c>
      <c r="O130" t="s">
        <v>3963</v>
      </c>
      <c r="P130" t="s">
        <v>12771</v>
      </c>
      <c r="R130" t="s">
        <v>12772</v>
      </c>
    </row>
    <row r="131" spans="4:18">
      <c r="E131" t="s">
        <v>4155</v>
      </c>
      <c r="I131" t="s">
        <v>3989</v>
      </c>
      <c r="K131" t="s">
        <v>3994</v>
      </c>
      <c r="L131" t="s">
        <v>12773</v>
      </c>
      <c r="M131" t="s">
        <v>3963</v>
      </c>
      <c r="N131" t="s">
        <v>3963</v>
      </c>
      <c r="O131" t="s">
        <v>3963</v>
      </c>
      <c r="P131" t="s">
        <v>12773</v>
      </c>
      <c r="R131" t="s">
        <v>12774</v>
      </c>
    </row>
    <row r="132" spans="4:18">
      <c r="D132" t="s">
        <v>73</v>
      </c>
      <c r="H132" t="s">
        <v>4156</v>
      </c>
      <c r="K132" t="s">
        <v>12775</v>
      </c>
      <c r="L132" t="s">
        <v>12776</v>
      </c>
      <c r="M132" t="s">
        <v>3963</v>
      </c>
      <c r="N132" t="s">
        <v>3963</v>
      </c>
      <c r="O132" t="s">
        <v>3963</v>
      </c>
      <c r="P132" t="s">
        <v>12776</v>
      </c>
      <c r="R132" t="s">
        <v>12777</v>
      </c>
    </row>
    <row r="133" spans="4:18">
      <c r="E133" t="s">
        <v>4157</v>
      </c>
      <c r="I133" t="s">
        <v>3965</v>
      </c>
      <c r="K133" t="s">
        <v>12778</v>
      </c>
      <c r="L133" t="s">
        <v>3963</v>
      </c>
      <c r="M133" t="s">
        <v>3963</v>
      </c>
      <c r="N133" t="s">
        <v>3963</v>
      </c>
      <c r="O133" t="s">
        <v>3963</v>
      </c>
      <c r="P133" t="s">
        <v>3963</v>
      </c>
      <c r="R133" t="s">
        <v>12778</v>
      </c>
    </row>
    <row r="134" spans="4:18">
      <c r="E134" t="s">
        <v>4158</v>
      </c>
      <c r="I134" t="s">
        <v>4159</v>
      </c>
      <c r="K134" t="s">
        <v>12779</v>
      </c>
      <c r="L134" t="s">
        <v>12779</v>
      </c>
      <c r="M134" t="s">
        <v>3963</v>
      </c>
      <c r="N134" t="s">
        <v>3963</v>
      </c>
      <c r="O134" t="s">
        <v>3963</v>
      </c>
      <c r="P134" t="s">
        <v>12779</v>
      </c>
      <c r="R134" t="s">
        <v>3963</v>
      </c>
    </row>
    <row r="135" spans="4:18">
      <c r="E135" t="s">
        <v>4160</v>
      </c>
      <c r="I135" t="s">
        <v>4161</v>
      </c>
      <c r="K135" t="s">
        <v>4162</v>
      </c>
      <c r="L135" t="s">
        <v>12780</v>
      </c>
      <c r="M135" t="s">
        <v>3963</v>
      </c>
      <c r="N135" t="s">
        <v>3963</v>
      </c>
      <c r="O135" t="s">
        <v>3963</v>
      </c>
      <c r="P135" t="s">
        <v>12780</v>
      </c>
      <c r="R135" t="s">
        <v>12781</v>
      </c>
    </row>
    <row r="136" spans="4:18">
      <c r="E136" t="s">
        <v>4163</v>
      </c>
      <c r="I136" t="s">
        <v>4164</v>
      </c>
      <c r="K136" t="s">
        <v>4165</v>
      </c>
      <c r="L136" t="s">
        <v>12782</v>
      </c>
      <c r="M136" t="s">
        <v>3963</v>
      </c>
      <c r="N136" t="s">
        <v>3963</v>
      </c>
      <c r="O136" t="s">
        <v>3963</v>
      </c>
      <c r="P136" t="s">
        <v>12782</v>
      </c>
      <c r="R136" t="s">
        <v>12783</v>
      </c>
    </row>
    <row r="137" spans="4:18">
      <c r="E137" t="s">
        <v>4166</v>
      </c>
      <c r="I137" t="s">
        <v>4167</v>
      </c>
      <c r="K137" t="s">
        <v>12784</v>
      </c>
      <c r="L137" t="s">
        <v>12785</v>
      </c>
      <c r="M137" t="s">
        <v>3963</v>
      </c>
      <c r="N137" t="s">
        <v>3963</v>
      </c>
      <c r="O137" t="s">
        <v>3963</v>
      </c>
      <c r="P137" t="s">
        <v>12785</v>
      </c>
      <c r="R137" t="s">
        <v>12786</v>
      </c>
    </row>
    <row r="138" spans="4:18">
      <c r="E138" t="s">
        <v>4168</v>
      </c>
      <c r="I138" t="s">
        <v>4169</v>
      </c>
      <c r="K138" t="s">
        <v>12787</v>
      </c>
      <c r="L138" t="s">
        <v>12787</v>
      </c>
      <c r="M138" t="s">
        <v>3963</v>
      </c>
      <c r="N138" t="s">
        <v>3963</v>
      </c>
      <c r="O138" t="s">
        <v>3963</v>
      </c>
      <c r="P138" t="s">
        <v>12787</v>
      </c>
      <c r="R138" t="s">
        <v>3963</v>
      </c>
    </row>
    <row r="139" spans="4:18">
      <c r="E139" t="s">
        <v>4170</v>
      </c>
      <c r="I139" t="s">
        <v>4171</v>
      </c>
      <c r="K139" t="s">
        <v>4172</v>
      </c>
      <c r="L139" t="s">
        <v>12788</v>
      </c>
      <c r="M139" t="s">
        <v>3963</v>
      </c>
      <c r="N139" t="s">
        <v>3963</v>
      </c>
      <c r="O139" t="s">
        <v>3963</v>
      </c>
      <c r="P139" t="s">
        <v>12788</v>
      </c>
      <c r="R139" t="s">
        <v>12789</v>
      </c>
    </row>
    <row r="140" spans="4:18">
      <c r="E140" t="s">
        <v>4173</v>
      </c>
      <c r="I140" t="s">
        <v>4174</v>
      </c>
      <c r="K140" t="s">
        <v>12784</v>
      </c>
      <c r="L140" t="s">
        <v>12790</v>
      </c>
      <c r="M140" t="s">
        <v>3963</v>
      </c>
      <c r="N140" t="s">
        <v>3963</v>
      </c>
      <c r="O140" t="s">
        <v>3963</v>
      </c>
      <c r="P140" t="s">
        <v>12790</v>
      </c>
      <c r="R140" t="s">
        <v>12791</v>
      </c>
    </row>
    <row r="141" spans="4:18">
      <c r="E141" t="s">
        <v>4175</v>
      </c>
      <c r="I141" t="s">
        <v>4176</v>
      </c>
      <c r="K141" t="s">
        <v>4177</v>
      </c>
      <c r="L141" t="s">
        <v>12792</v>
      </c>
      <c r="M141" t="s">
        <v>3963</v>
      </c>
      <c r="N141" t="s">
        <v>3963</v>
      </c>
      <c r="O141" t="s">
        <v>3963</v>
      </c>
      <c r="P141" t="s">
        <v>12792</v>
      </c>
      <c r="R141" t="s">
        <v>12793</v>
      </c>
    </row>
    <row r="142" spans="4:18">
      <c r="E142" t="s">
        <v>4178</v>
      </c>
      <c r="I142" t="s">
        <v>4179</v>
      </c>
      <c r="K142" t="s">
        <v>12724</v>
      </c>
      <c r="L142" t="s">
        <v>12794</v>
      </c>
      <c r="M142" t="s">
        <v>3963</v>
      </c>
      <c r="N142" t="s">
        <v>3963</v>
      </c>
      <c r="O142" t="s">
        <v>3963</v>
      </c>
      <c r="P142" t="s">
        <v>12794</v>
      </c>
      <c r="R142" t="s">
        <v>12795</v>
      </c>
    </row>
    <row r="143" spans="4:18">
      <c r="E143" t="s">
        <v>4180</v>
      </c>
      <c r="I143" t="s">
        <v>4181</v>
      </c>
      <c r="K143" t="s">
        <v>4182</v>
      </c>
      <c r="L143" t="s">
        <v>12796</v>
      </c>
      <c r="M143" t="s">
        <v>3963</v>
      </c>
      <c r="N143" t="s">
        <v>3963</v>
      </c>
      <c r="O143" t="s">
        <v>3963</v>
      </c>
      <c r="P143" t="s">
        <v>12796</v>
      </c>
      <c r="R143" t="s">
        <v>12797</v>
      </c>
    </row>
    <row r="144" spans="4:18">
      <c r="E144" t="s">
        <v>4183</v>
      </c>
      <c r="I144" t="s">
        <v>4184</v>
      </c>
      <c r="K144" t="s">
        <v>12798</v>
      </c>
      <c r="L144" t="s">
        <v>12799</v>
      </c>
      <c r="M144" t="s">
        <v>3963</v>
      </c>
      <c r="N144" t="s">
        <v>3963</v>
      </c>
      <c r="O144" t="s">
        <v>3963</v>
      </c>
      <c r="P144" t="s">
        <v>12799</v>
      </c>
      <c r="R144" t="s">
        <v>12800</v>
      </c>
    </row>
    <row r="145" spans="5:18">
      <c r="E145" t="s">
        <v>4185</v>
      </c>
      <c r="I145" t="s">
        <v>4186</v>
      </c>
      <c r="K145" t="s">
        <v>12784</v>
      </c>
      <c r="L145" t="s">
        <v>12801</v>
      </c>
      <c r="M145" t="s">
        <v>3963</v>
      </c>
      <c r="N145" t="s">
        <v>3963</v>
      </c>
      <c r="O145" t="s">
        <v>3963</v>
      </c>
      <c r="P145" t="s">
        <v>12801</v>
      </c>
      <c r="R145" t="s">
        <v>12802</v>
      </c>
    </row>
    <row r="146" spans="5:18">
      <c r="E146" t="s">
        <v>4187</v>
      </c>
      <c r="I146" t="s">
        <v>4188</v>
      </c>
      <c r="K146" t="s">
        <v>12803</v>
      </c>
      <c r="L146" t="s">
        <v>12804</v>
      </c>
      <c r="M146" t="s">
        <v>3963</v>
      </c>
      <c r="N146" t="s">
        <v>3963</v>
      </c>
      <c r="O146" t="s">
        <v>3963</v>
      </c>
      <c r="P146" t="s">
        <v>12804</v>
      </c>
      <c r="R146" t="s">
        <v>12805</v>
      </c>
    </row>
    <row r="147" spans="5:18">
      <c r="E147" t="s">
        <v>4189</v>
      </c>
      <c r="I147" t="s">
        <v>4190</v>
      </c>
      <c r="K147" t="s">
        <v>12806</v>
      </c>
      <c r="L147" t="s">
        <v>12807</v>
      </c>
      <c r="M147" t="s">
        <v>3963</v>
      </c>
      <c r="N147" t="s">
        <v>3963</v>
      </c>
      <c r="O147" t="s">
        <v>3963</v>
      </c>
      <c r="P147" t="s">
        <v>12807</v>
      </c>
      <c r="R147" t="s">
        <v>12808</v>
      </c>
    </row>
    <row r="148" spans="5:18">
      <c r="E148" t="s">
        <v>4191</v>
      </c>
      <c r="I148" t="s">
        <v>4192</v>
      </c>
      <c r="K148" t="s">
        <v>12809</v>
      </c>
      <c r="L148" t="s">
        <v>12810</v>
      </c>
      <c r="M148" t="s">
        <v>3963</v>
      </c>
      <c r="N148" t="s">
        <v>3963</v>
      </c>
      <c r="O148" t="s">
        <v>3963</v>
      </c>
      <c r="P148" t="s">
        <v>12810</v>
      </c>
      <c r="R148" t="s">
        <v>12811</v>
      </c>
    </row>
    <row r="149" spans="5:18">
      <c r="E149" t="s">
        <v>4193</v>
      </c>
      <c r="I149" t="s">
        <v>4194</v>
      </c>
      <c r="K149" t="s">
        <v>4172</v>
      </c>
      <c r="L149" t="s">
        <v>12812</v>
      </c>
      <c r="M149" t="s">
        <v>3963</v>
      </c>
      <c r="N149" t="s">
        <v>3963</v>
      </c>
      <c r="O149" t="s">
        <v>3963</v>
      </c>
      <c r="P149" t="s">
        <v>12812</v>
      </c>
      <c r="R149" t="s">
        <v>12813</v>
      </c>
    </row>
    <row r="150" spans="5:18">
      <c r="E150" t="s">
        <v>4195</v>
      </c>
      <c r="I150" t="s">
        <v>4196</v>
      </c>
      <c r="K150" t="s">
        <v>12814</v>
      </c>
      <c r="L150" t="s">
        <v>12815</v>
      </c>
      <c r="M150" t="s">
        <v>3963</v>
      </c>
      <c r="N150" t="s">
        <v>3963</v>
      </c>
      <c r="O150" t="s">
        <v>3963</v>
      </c>
      <c r="P150" t="s">
        <v>12815</v>
      </c>
      <c r="R150" t="s">
        <v>12816</v>
      </c>
    </row>
    <row r="151" spans="5:18">
      <c r="E151" t="s">
        <v>4197</v>
      </c>
      <c r="I151" t="s">
        <v>4198</v>
      </c>
      <c r="K151" t="s">
        <v>12817</v>
      </c>
      <c r="L151" t="s">
        <v>12818</v>
      </c>
      <c r="M151" t="s">
        <v>3963</v>
      </c>
      <c r="N151" t="s">
        <v>3963</v>
      </c>
      <c r="O151" t="s">
        <v>3963</v>
      </c>
      <c r="P151" t="s">
        <v>12818</v>
      </c>
      <c r="R151" t="s">
        <v>12819</v>
      </c>
    </row>
    <row r="152" spans="5:18">
      <c r="E152" t="s">
        <v>4199</v>
      </c>
      <c r="I152" t="s">
        <v>4200</v>
      </c>
      <c r="K152" t="s">
        <v>4201</v>
      </c>
      <c r="L152" t="s">
        <v>12820</v>
      </c>
      <c r="M152" t="s">
        <v>3963</v>
      </c>
      <c r="N152" t="s">
        <v>3963</v>
      </c>
      <c r="O152" t="s">
        <v>3963</v>
      </c>
      <c r="P152" t="s">
        <v>12820</v>
      </c>
      <c r="R152" t="s">
        <v>12821</v>
      </c>
    </row>
    <row r="153" spans="5:18">
      <c r="E153" t="s">
        <v>4202</v>
      </c>
      <c r="I153" t="s">
        <v>4203</v>
      </c>
      <c r="K153" t="s">
        <v>4177</v>
      </c>
      <c r="L153" t="s">
        <v>12822</v>
      </c>
      <c r="M153" t="s">
        <v>3963</v>
      </c>
      <c r="N153" t="s">
        <v>3963</v>
      </c>
      <c r="O153" t="s">
        <v>3963</v>
      </c>
      <c r="P153" t="s">
        <v>12822</v>
      </c>
      <c r="R153" t="s">
        <v>12823</v>
      </c>
    </row>
    <row r="154" spans="5:18">
      <c r="E154" t="s">
        <v>4204</v>
      </c>
      <c r="I154" t="s">
        <v>4205</v>
      </c>
      <c r="K154" t="s">
        <v>12824</v>
      </c>
      <c r="L154" t="s">
        <v>12825</v>
      </c>
      <c r="M154" t="s">
        <v>3963</v>
      </c>
      <c r="N154" t="s">
        <v>3963</v>
      </c>
      <c r="O154" t="s">
        <v>3963</v>
      </c>
      <c r="P154" t="s">
        <v>12825</v>
      </c>
      <c r="R154" t="s">
        <v>12826</v>
      </c>
    </row>
    <row r="155" spans="5:18">
      <c r="E155" t="s">
        <v>4206</v>
      </c>
      <c r="I155" t="s">
        <v>4207</v>
      </c>
      <c r="K155" t="s">
        <v>12827</v>
      </c>
      <c r="L155" t="s">
        <v>12828</v>
      </c>
      <c r="M155" t="s">
        <v>3963</v>
      </c>
      <c r="N155" t="s">
        <v>3963</v>
      </c>
      <c r="O155" t="s">
        <v>3963</v>
      </c>
      <c r="P155" t="s">
        <v>12828</v>
      </c>
      <c r="R155" t="s">
        <v>12829</v>
      </c>
    </row>
    <row r="156" spans="5:18">
      <c r="E156" t="s">
        <v>4208</v>
      </c>
      <c r="I156" t="s">
        <v>4209</v>
      </c>
      <c r="K156" t="s">
        <v>12830</v>
      </c>
      <c r="L156" t="s">
        <v>12831</v>
      </c>
      <c r="M156" t="s">
        <v>3963</v>
      </c>
      <c r="N156" t="s">
        <v>3963</v>
      </c>
      <c r="O156" t="s">
        <v>3963</v>
      </c>
      <c r="P156" t="s">
        <v>12831</v>
      </c>
      <c r="R156" t="s">
        <v>12832</v>
      </c>
    </row>
    <row r="157" spans="5:18">
      <c r="E157" t="s">
        <v>4210</v>
      </c>
      <c r="I157" t="s">
        <v>4211</v>
      </c>
      <c r="K157" t="s">
        <v>12833</v>
      </c>
      <c r="L157" t="s">
        <v>12834</v>
      </c>
      <c r="M157" t="s">
        <v>3963</v>
      </c>
      <c r="N157" t="s">
        <v>3963</v>
      </c>
      <c r="O157" t="s">
        <v>3963</v>
      </c>
      <c r="P157" t="s">
        <v>12834</v>
      </c>
      <c r="R157" t="s">
        <v>12835</v>
      </c>
    </row>
    <row r="158" spans="5:18">
      <c r="E158" t="s">
        <v>4212</v>
      </c>
      <c r="I158" t="s">
        <v>4213</v>
      </c>
      <c r="K158" t="s">
        <v>12836</v>
      </c>
      <c r="L158" t="s">
        <v>12836</v>
      </c>
      <c r="M158" t="s">
        <v>3963</v>
      </c>
      <c r="N158" t="s">
        <v>3963</v>
      </c>
      <c r="O158" t="s">
        <v>3963</v>
      </c>
      <c r="P158" t="s">
        <v>12836</v>
      </c>
      <c r="R158" t="s">
        <v>3963</v>
      </c>
    </row>
    <row r="159" spans="5:18">
      <c r="E159" t="s">
        <v>4214</v>
      </c>
      <c r="I159" t="s">
        <v>4215</v>
      </c>
      <c r="K159" t="s">
        <v>12837</v>
      </c>
      <c r="L159" t="s">
        <v>12837</v>
      </c>
      <c r="M159" t="s">
        <v>3963</v>
      </c>
      <c r="N159" t="s">
        <v>3963</v>
      </c>
      <c r="O159" t="s">
        <v>3963</v>
      </c>
      <c r="P159" t="s">
        <v>12837</v>
      </c>
      <c r="R159" t="s">
        <v>3963</v>
      </c>
    </row>
    <row r="160" spans="5:18">
      <c r="E160" t="s">
        <v>4216</v>
      </c>
      <c r="I160" t="s">
        <v>4217</v>
      </c>
      <c r="K160" t="s">
        <v>12838</v>
      </c>
      <c r="L160" t="s">
        <v>12839</v>
      </c>
      <c r="M160" t="s">
        <v>3963</v>
      </c>
      <c r="N160" t="s">
        <v>3963</v>
      </c>
      <c r="O160" t="s">
        <v>3963</v>
      </c>
      <c r="P160" t="s">
        <v>12839</v>
      </c>
      <c r="R160" t="s">
        <v>12840</v>
      </c>
    </row>
    <row r="161" spans="4:18">
      <c r="E161" t="s">
        <v>4218</v>
      </c>
      <c r="I161" t="s">
        <v>4219</v>
      </c>
      <c r="K161" t="s">
        <v>12841</v>
      </c>
      <c r="L161" t="s">
        <v>12842</v>
      </c>
      <c r="M161" t="s">
        <v>3963</v>
      </c>
      <c r="N161" t="s">
        <v>3963</v>
      </c>
      <c r="O161" t="s">
        <v>3963</v>
      </c>
      <c r="P161" t="s">
        <v>12842</v>
      </c>
      <c r="R161" t="s">
        <v>12843</v>
      </c>
    </row>
    <row r="162" spans="4:18">
      <c r="E162" t="s">
        <v>4220</v>
      </c>
      <c r="I162" t="s">
        <v>4221</v>
      </c>
      <c r="K162" t="s">
        <v>12844</v>
      </c>
      <c r="L162" t="s">
        <v>12845</v>
      </c>
      <c r="M162" t="s">
        <v>3963</v>
      </c>
      <c r="N162" t="s">
        <v>3963</v>
      </c>
      <c r="O162" t="s">
        <v>3963</v>
      </c>
      <c r="P162" t="s">
        <v>12845</v>
      </c>
      <c r="R162" t="s">
        <v>12846</v>
      </c>
    </row>
    <row r="163" spans="4:18">
      <c r="E163" t="s">
        <v>4222</v>
      </c>
      <c r="I163" t="s">
        <v>4223</v>
      </c>
      <c r="K163" t="s">
        <v>4177</v>
      </c>
      <c r="L163" t="s">
        <v>12847</v>
      </c>
      <c r="M163" t="s">
        <v>3963</v>
      </c>
      <c r="N163" t="s">
        <v>3963</v>
      </c>
      <c r="O163" t="s">
        <v>3963</v>
      </c>
      <c r="P163" t="s">
        <v>12847</v>
      </c>
      <c r="R163" t="s">
        <v>12848</v>
      </c>
    </row>
    <row r="164" spans="4:18">
      <c r="E164" t="s">
        <v>4224</v>
      </c>
      <c r="I164" t="s">
        <v>4225</v>
      </c>
      <c r="K164" t="s">
        <v>12824</v>
      </c>
      <c r="L164" t="s">
        <v>12849</v>
      </c>
      <c r="M164" t="s">
        <v>3963</v>
      </c>
      <c r="N164" t="s">
        <v>3963</v>
      </c>
      <c r="O164" t="s">
        <v>3963</v>
      </c>
      <c r="P164" t="s">
        <v>12849</v>
      </c>
      <c r="R164" t="s">
        <v>12850</v>
      </c>
    </row>
    <row r="165" spans="4:18">
      <c r="E165" t="s">
        <v>4226</v>
      </c>
      <c r="I165" t="s">
        <v>4227</v>
      </c>
      <c r="K165" t="s">
        <v>12851</v>
      </c>
      <c r="L165" t="s">
        <v>12852</v>
      </c>
      <c r="M165" t="s">
        <v>3963</v>
      </c>
      <c r="N165" t="s">
        <v>3963</v>
      </c>
      <c r="O165" t="s">
        <v>3963</v>
      </c>
      <c r="P165" t="s">
        <v>12852</v>
      </c>
      <c r="R165" t="s">
        <v>12853</v>
      </c>
    </row>
    <row r="166" spans="4:18">
      <c r="E166" t="s">
        <v>4228</v>
      </c>
      <c r="I166" t="s">
        <v>4229</v>
      </c>
      <c r="K166" t="s">
        <v>12854</v>
      </c>
      <c r="L166" t="s">
        <v>12855</v>
      </c>
      <c r="M166" t="s">
        <v>3963</v>
      </c>
      <c r="N166" t="s">
        <v>3963</v>
      </c>
      <c r="O166" t="s">
        <v>3963</v>
      </c>
      <c r="P166" t="s">
        <v>12855</v>
      </c>
      <c r="R166" t="s">
        <v>12856</v>
      </c>
    </row>
    <row r="167" spans="4:18">
      <c r="E167" t="s">
        <v>4230</v>
      </c>
      <c r="I167" t="s">
        <v>4231</v>
      </c>
      <c r="K167" t="s">
        <v>12857</v>
      </c>
      <c r="L167" t="s">
        <v>12858</v>
      </c>
      <c r="M167" t="s">
        <v>3963</v>
      </c>
      <c r="N167" t="s">
        <v>3963</v>
      </c>
      <c r="O167" t="s">
        <v>3963</v>
      </c>
      <c r="P167" t="s">
        <v>12858</v>
      </c>
      <c r="R167" t="s">
        <v>12859</v>
      </c>
    </row>
    <row r="168" spans="4:18">
      <c r="E168" t="s">
        <v>4232</v>
      </c>
      <c r="I168" t="s">
        <v>4233</v>
      </c>
      <c r="K168" t="s">
        <v>12860</v>
      </c>
      <c r="L168" t="s">
        <v>12861</v>
      </c>
      <c r="M168" t="s">
        <v>3963</v>
      </c>
      <c r="N168" t="s">
        <v>3963</v>
      </c>
      <c r="O168" t="s">
        <v>3963</v>
      </c>
      <c r="P168" t="s">
        <v>12861</v>
      </c>
      <c r="R168" t="s">
        <v>12862</v>
      </c>
    </row>
    <row r="169" spans="4:18">
      <c r="E169" t="s">
        <v>4234</v>
      </c>
      <c r="I169" t="s">
        <v>4235</v>
      </c>
      <c r="K169" t="s">
        <v>12764</v>
      </c>
      <c r="L169" t="s">
        <v>12863</v>
      </c>
      <c r="M169" t="s">
        <v>3963</v>
      </c>
      <c r="N169" t="s">
        <v>3963</v>
      </c>
      <c r="O169" t="s">
        <v>3963</v>
      </c>
      <c r="P169" t="s">
        <v>12863</v>
      </c>
      <c r="R169" t="s">
        <v>12864</v>
      </c>
    </row>
    <row r="170" spans="4:18">
      <c r="E170" t="s">
        <v>4236</v>
      </c>
      <c r="I170" t="s">
        <v>4235</v>
      </c>
      <c r="K170" t="s">
        <v>12865</v>
      </c>
      <c r="L170" t="s">
        <v>12866</v>
      </c>
      <c r="M170" t="s">
        <v>3963</v>
      </c>
      <c r="N170" t="s">
        <v>3963</v>
      </c>
      <c r="O170" t="s">
        <v>3963</v>
      </c>
      <c r="P170" t="s">
        <v>12866</v>
      </c>
      <c r="R170" t="s">
        <v>12867</v>
      </c>
    </row>
    <row r="171" spans="4:18">
      <c r="D171" t="s">
        <v>69</v>
      </c>
      <c r="H171" t="s">
        <v>4237</v>
      </c>
      <c r="K171" t="s">
        <v>12868</v>
      </c>
      <c r="L171" t="s">
        <v>12869</v>
      </c>
      <c r="M171" t="s">
        <v>3963</v>
      </c>
      <c r="N171" t="s">
        <v>3963</v>
      </c>
      <c r="O171" t="s">
        <v>3963</v>
      </c>
      <c r="P171" t="s">
        <v>12869</v>
      </c>
      <c r="R171" t="s">
        <v>12870</v>
      </c>
    </row>
    <row r="172" spans="4:18">
      <c r="E172" t="s">
        <v>4238</v>
      </c>
      <c r="I172" t="s">
        <v>4239</v>
      </c>
      <c r="K172" t="s">
        <v>12868</v>
      </c>
      <c r="L172" t="s">
        <v>12869</v>
      </c>
      <c r="M172" t="s">
        <v>3963</v>
      </c>
      <c r="N172" t="s">
        <v>3963</v>
      </c>
      <c r="O172" t="s">
        <v>3963</v>
      </c>
      <c r="P172" t="s">
        <v>12869</v>
      </c>
      <c r="R172" t="s">
        <v>12870</v>
      </c>
    </row>
    <row r="173" spans="4:18">
      <c r="E173" t="s">
        <v>4240</v>
      </c>
      <c r="I173" t="s">
        <v>3989</v>
      </c>
      <c r="K173" t="s">
        <v>3963</v>
      </c>
      <c r="L173" t="s">
        <v>3963</v>
      </c>
      <c r="M173" t="s">
        <v>3963</v>
      </c>
      <c r="N173" t="s">
        <v>3963</v>
      </c>
      <c r="O173" t="s">
        <v>3963</v>
      </c>
      <c r="P173" t="s">
        <v>3963</v>
      </c>
      <c r="R173" t="s">
        <v>3963</v>
      </c>
    </row>
    <row r="174" spans="4:18">
      <c r="D174" t="s">
        <v>75</v>
      </c>
      <c r="H174" t="s">
        <v>4241</v>
      </c>
      <c r="K174" t="s">
        <v>12871</v>
      </c>
      <c r="L174" t="s">
        <v>12872</v>
      </c>
      <c r="M174" t="s">
        <v>3963</v>
      </c>
      <c r="N174" t="s">
        <v>3963</v>
      </c>
      <c r="O174" t="s">
        <v>3963</v>
      </c>
      <c r="P174" t="s">
        <v>12872</v>
      </c>
      <c r="R174" t="s">
        <v>12873</v>
      </c>
    </row>
    <row r="175" spans="4:18">
      <c r="E175" t="s">
        <v>4242</v>
      </c>
      <c r="I175" t="s">
        <v>4243</v>
      </c>
      <c r="K175" t="s">
        <v>4244</v>
      </c>
      <c r="L175" t="s">
        <v>12872</v>
      </c>
      <c r="M175" t="s">
        <v>3963</v>
      </c>
      <c r="N175" t="s">
        <v>3963</v>
      </c>
      <c r="O175" t="s">
        <v>3963</v>
      </c>
      <c r="P175" t="s">
        <v>12872</v>
      </c>
      <c r="R175" t="s">
        <v>12874</v>
      </c>
    </row>
    <row r="176" spans="4:18">
      <c r="E176" t="s">
        <v>4245</v>
      </c>
      <c r="I176" t="s">
        <v>3989</v>
      </c>
      <c r="K176" t="s">
        <v>12875</v>
      </c>
      <c r="L176" t="s">
        <v>3963</v>
      </c>
      <c r="M176" t="s">
        <v>3963</v>
      </c>
      <c r="N176" t="s">
        <v>3963</v>
      </c>
      <c r="O176" t="s">
        <v>3963</v>
      </c>
      <c r="P176" t="s">
        <v>3963</v>
      </c>
      <c r="R176" t="s">
        <v>12875</v>
      </c>
    </row>
    <row r="177" spans="4:18">
      <c r="E177" t="s">
        <v>4246</v>
      </c>
      <c r="I177" t="s">
        <v>4247</v>
      </c>
      <c r="K177" t="s">
        <v>3963</v>
      </c>
      <c r="L177" t="s">
        <v>3963</v>
      </c>
      <c r="M177" t="s">
        <v>3963</v>
      </c>
      <c r="N177" t="s">
        <v>3963</v>
      </c>
      <c r="O177" t="s">
        <v>3963</v>
      </c>
      <c r="P177" t="s">
        <v>3963</v>
      </c>
      <c r="R177" t="s">
        <v>3963</v>
      </c>
    </row>
    <row r="178" spans="4:18">
      <c r="D178" t="s">
        <v>81</v>
      </c>
      <c r="H178" t="s">
        <v>4248</v>
      </c>
      <c r="K178" t="s">
        <v>12876</v>
      </c>
      <c r="L178" t="s">
        <v>12877</v>
      </c>
      <c r="M178" t="s">
        <v>3963</v>
      </c>
      <c r="N178" t="s">
        <v>3963</v>
      </c>
      <c r="O178" t="s">
        <v>3963</v>
      </c>
      <c r="P178" t="s">
        <v>12877</v>
      </c>
      <c r="R178" t="s">
        <v>12878</v>
      </c>
    </row>
    <row r="179" spans="4:18">
      <c r="E179" t="s">
        <v>4249</v>
      </c>
      <c r="I179" t="s">
        <v>4250</v>
      </c>
      <c r="K179" t="s">
        <v>12879</v>
      </c>
      <c r="L179" t="s">
        <v>12880</v>
      </c>
      <c r="M179" t="s">
        <v>3963</v>
      </c>
      <c r="N179" t="s">
        <v>3963</v>
      </c>
      <c r="O179" t="s">
        <v>3963</v>
      </c>
      <c r="P179" t="s">
        <v>12880</v>
      </c>
      <c r="R179" t="s">
        <v>12881</v>
      </c>
    </row>
    <row r="180" spans="4:18">
      <c r="E180" t="s">
        <v>4251</v>
      </c>
      <c r="I180" t="s">
        <v>3989</v>
      </c>
      <c r="K180" t="s">
        <v>12753</v>
      </c>
      <c r="L180" t="s">
        <v>12882</v>
      </c>
      <c r="M180" t="s">
        <v>3963</v>
      </c>
      <c r="N180" t="s">
        <v>3963</v>
      </c>
      <c r="O180" t="s">
        <v>3963</v>
      </c>
      <c r="P180" t="s">
        <v>12882</v>
      </c>
      <c r="R180" t="s">
        <v>12883</v>
      </c>
    </row>
    <row r="181" spans="4:18">
      <c r="D181" t="s">
        <v>65</v>
      </c>
      <c r="H181" t="s">
        <v>4252</v>
      </c>
      <c r="K181" t="s">
        <v>12884</v>
      </c>
      <c r="L181" t="s">
        <v>12885</v>
      </c>
      <c r="M181" t="s">
        <v>3963</v>
      </c>
      <c r="N181" t="s">
        <v>3963</v>
      </c>
      <c r="O181" t="s">
        <v>3963</v>
      </c>
      <c r="P181" t="s">
        <v>12885</v>
      </c>
      <c r="R181" t="s">
        <v>12886</v>
      </c>
    </row>
    <row r="182" spans="4:18">
      <c r="E182" t="s">
        <v>4253</v>
      </c>
      <c r="I182" t="s">
        <v>4254</v>
      </c>
      <c r="K182" t="s">
        <v>12887</v>
      </c>
      <c r="L182" t="s">
        <v>12888</v>
      </c>
      <c r="M182" t="s">
        <v>3963</v>
      </c>
      <c r="N182" t="s">
        <v>3963</v>
      </c>
      <c r="O182" t="s">
        <v>3963</v>
      </c>
      <c r="P182" t="s">
        <v>12888</v>
      </c>
      <c r="R182" t="s">
        <v>12889</v>
      </c>
    </row>
    <row r="183" spans="4:18">
      <c r="E183" t="s">
        <v>4255</v>
      </c>
      <c r="I183" t="s">
        <v>3989</v>
      </c>
      <c r="K183" t="s">
        <v>12890</v>
      </c>
      <c r="L183" t="s">
        <v>12891</v>
      </c>
      <c r="M183" t="s">
        <v>3963</v>
      </c>
      <c r="N183" t="s">
        <v>3963</v>
      </c>
      <c r="O183" t="s">
        <v>3963</v>
      </c>
      <c r="P183" t="s">
        <v>12891</v>
      </c>
      <c r="R183" t="s">
        <v>12892</v>
      </c>
    </row>
    <row r="184" spans="4:18">
      <c r="D184" t="s">
        <v>102</v>
      </c>
      <c r="H184" t="s">
        <v>4256</v>
      </c>
      <c r="K184" t="s">
        <v>12893</v>
      </c>
      <c r="L184" t="s">
        <v>12894</v>
      </c>
      <c r="M184" t="s">
        <v>3963</v>
      </c>
      <c r="N184" t="s">
        <v>3963</v>
      </c>
      <c r="O184" t="s">
        <v>3963</v>
      </c>
      <c r="P184" t="s">
        <v>12894</v>
      </c>
      <c r="R184" t="s">
        <v>12895</v>
      </c>
    </row>
    <row r="185" spans="4:18">
      <c r="E185" t="s">
        <v>4257</v>
      </c>
      <c r="I185" t="s">
        <v>4258</v>
      </c>
      <c r="K185" t="s">
        <v>12896</v>
      </c>
      <c r="L185" t="s">
        <v>12897</v>
      </c>
      <c r="M185" t="s">
        <v>3963</v>
      </c>
      <c r="N185" t="s">
        <v>3963</v>
      </c>
      <c r="O185" t="s">
        <v>3963</v>
      </c>
      <c r="P185" t="s">
        <v>12897</v>
      </c>
      <c r="R185" t="s">
        <v>12898</v>
      </c>
    </row>
    <row r="186" spans="4:18">
      <c r="E186" t="s">
        <v>4259</v>
      </c>
      <c r="I186" t="s">
        <v>3989</v>
      </c>
      <c r="K186" t="s">
        <v>12753</v>
      </c>
      <c r="L186" t="s">
        <v>12899</v>
      </c>
      <c r="M186" t="s">
        <v>3963</v>
      </c>
      <c r="N186" t="s">
        <v>3963</v>
      </c>
      <c r="O186" t="s">
        <v>3963</v>
      </c>
      <c r="P186" t="s">
        <v>12899</v>
      </c>
      <c r="R186" t="s">
        <v>12900</v>
      </c>
    </row>
    <row r="187" spans="4:18">
      <c r="D187" t="s">
        <v>63</v>
      </c>
      <c r="H187" t="s">
        <v>4260</v>
      </c>
      <c r="K187" t="s">
        <v>12901</v>
      </c>
      <c r="L187" t="s">
        <v>12902</v>
      </c>
      <c r="M187" t="s">
        <v>3963</v>
      </c>
      <c r="N187" t="s">
        <v>3963</v>
      </c>
      <c r="O187" t="s">
        <v>3963</v>
      </c>
      <c r="P187" t="s">
        <v>12902</v>
      </c>
      <c r="R187" t="s">
        <v>12903</v>
      </c>
    </row>
    <row r="188" spans="4:18">
      <c r="E188" t="s">
        <v>4261</v>
      </c>
      <c r="I188" t="s">
        <v>4262</v>
      </c>
      <c r="K188" t="s">
        <v>3963</v>
      </c>
      <c r="L188" t="s">
        <v>3963</v>
      </c>
      <c r="M188" t="s">
        <v>3963</v>
      </c>
      <c r="N188" t="s">
        <v>3963</v>
      </c>
      <c r="O188" t="s">
        <v>3963</v>
      </c>
      <c r="P188" t="s">
        <v>3963</v>
      </c>
      <c r="R188" t="s">
        <v>3963</v>
      </c>
    </row>
    <row r="189" spans="4:18">
      <c r="E189" t="s">
        <v>4263</v>
      </c>
      <c r="I189" t="s">
        <v>4264</v>
      </c>
      <c r="K189" t="s">
        <v>3963</v>
      </c>
      <c r="L189" t="s">
        <v>3963</v>
      </c>
      <c r="M189" t="s">
        <v>3963</v>
      </c>
      <c r="N189" t="s">
        <v>3963</v>
      </c>
      <c r="O189" t="s">
        <v>3963</v>
      </c>
      <c r="P189" t="s">
        <v>3963</v>
      </c>
      <c r="R189" t="s">
        <v>3963</v>
      </c>
    </row>
    <row r="190" spans="4:18">
      <c r="E190" t="s">
        <v>4265</v>
      </c>
      <c r="I190" t="s">
        <v>3965</v>
      </c>
      <c r="K190" t="s">
        <v>12904</v>
      </c>
      <c r="L190" t="s">
        <v>3963</v>
      </c>
      <c r="M190" t="s">
        <v>3963</v>
      </c>
      <c r="N190" t="s">
        <v>3963</v>
      </c>
      <c r="O190" t="s">
        <v>3963</v>
      </c>
      <c r="P190" t="s">
        <v>3963</v>
      </c>
      <c r="R190" t="s">
        <v>12904</v>
      </c>
    </row>
    <row r="191" spans="4:18">
      <c r="E191" t="s">
        <v>4266</v>
      </c>
      <c r="I191" t="s">
        <v>4267</v>
      </c>
      <c r="K191" t="s">
        <v>12905</v>
      </c>
      <c r="L191" t="s">
        <v>12906</v>
      </c>
      <c r="M191" t="s">
        <v>3963</v>
      </c>
      <c r="N191" t="s">
        <v>3963</v>
      </c>
      <c r="O191" t="s">
        <v>3963</v>
      </c>
      <c r="P191" t="s">
        <v>12906</v>
      </c>
      <c r="R191" t="s">
        <v>12907</v>
      </c>
    </row>
    <row r="192" spans="4:18">
      <c r="E192" t="s">
        <v>4268</v>
      </c>
      <c r="I192" t="s">
        <v>4269</v>
      </c>
      <c r="K192" t="s">
        <v>3963</v>
      </c>
      <c r="L192" t="s">
        <v>12908</v>
      </c>
      <c r="M192" t="s">
        <v>3963</v>
      </c>
      <c r="N192" t="s">
        <v>3963</v>
      </c>
      <c r="O192" t="s">
        <v>3963</v>
      </c>
      <c r="P192" t="s">
        <v>12908</v>
      </c>
      <c r="R192" t="s">
        <v>4270</v>
      </c>
    </row>
    <row r="193" spans="4:18">
      <c r="E193" t="s">
        <v>4271</v>
      </c>
      <c r="I193" t="s">
        <v>4272</v>
      </c>
      <c r="K193" t="s">
        <v>12909</v>
      </c>
      <c r="L193" t="s">
        <v>12910</v>
      </c>
      <c r="M193" t="s">
        <v>3963</v>
      </c>
      <c r="N193" t="s">
        <v>3963</v>
      </c>
      <c r="O193" t="s">
        <v>3963</v>
      </c>
      <c r="P193" t="s">
        <v>12910</v>
      </c>
      <c r="R193" t="s">
        <v>12911</v>
      </c>
    </row>
    <row r="194" spans="4:18">
      <c r="E194" t="s">
        <v>4273</v>
      </c>
      <c r="I194" t="s">
        <v>4274</v>
      </c>
      <c r="K194" t="s">
        <v>12912</v>
      </c>
      <c r="L194" t="s">
        <v>3963</v>
      </c>
      <c r="M194" t="s">
        <v>3963</v>
      </c>
      <c r="N194" t="s">
        <v>3963</v>
      </c>
      <c r="O194" t="s">
        <v>3963</v>
      </c>
      <c r="P194" t="s">
        <v>3963</v>
      </c>
      <c r="R194" t="s">
        <v>12912</v>
      </c>
    </row>
    <row r="195" spans="4:18">
      <c r="E195" t="s">
        <v>4275</v>
      </c>
      <c r="I195" t="s">
        <v>4276</v>
      </c>
      <c r="K195" t="s">
        <v>12913</v>
      </c>
      <c r="L195" t="s">
        <v>12914</v>
      </c>
      <c r="M195" t="s">
        <v>3963</v>
      </c>
      <c r="N195" t="s">
        <v>3963</v>
      </c>
      <c r="O195" t="s">
        <v>3963</v>
      </c>
      <c r="P195" t="s">
        <v>12914</v>
      </c>
      <c r="R195" t="s">
        <v>12915</v>
      </c>
    </row>
    <row r="196" spans="4:18">
      <c r="E196" t="s">
        <v>4277</v>
      </c>
      <c r="I196" t="s">
        <v>4278</v>
      </c>
      <c r="K196" t="s">
        <v>12916</v>
      </c>
      <c r="L196" t="s">
        <v>12917</v>
      </c>
      <c r="M196" t="s">
        <v>3963</v>
      </c>
      <c r="N196" t="s">
        <v>3963</v>
      </c>
      <c r="O196" t="s">
        <v>3963</v>
      </c>
      <c r="P196" t="s">
        <v>12917</v>
      </c>
      <c r="R196" t="s">
        <v>12918</v>
      </c>
    </row>
    <row r="197" spans="4:18">
      <c r="E197" t="s">
        <v>4279</v>
      </c>
      <c r="I197" t="s">
        <v>4280</v>
      </c>
      <c r="K197" t="s">
        <v>12919</v>
      </c>
      <c r="L197" t="s">
        <v>12920</v>
      </c>
      <c r="M197" t="s">
        <v>3963</v>
      </c>
      <c r="N197" t="s">
        <v>3963</v>
      </c>
      <c r="O197" t="s">
        <v>3963</v>
      </c>
      <c r="P197" t="s">
        <v>12920</v>
      </c>
      <c r="R197" t="s">
        <v>12921</v>
      </c>
    </row>
    <row r="198" spans="4:18">
      <c r="E198" t="s">
        <v>4281</v>
      </c>
      <c r="I198" t="s">
        <v>4282</v>
      </c>
      <c r="K198" t="s">
        <v>12922</v>
      </c>
      <c r="L198" t="s">
        <v>12923</v>
      </c>
      <c r="M198" t="s">
        <v>3963</v>
      </c>
      <c r="N198" t="s">
        <v>3963</v>
      </c>
      <c r="O198" t="s">
        <v>3963</v>
      </c>
      <c r="P198" t="s">
        <v>12923</v>
      </c>
      <c r="R198" t="s">
        <v>12924</v>
      </c>
    </row>
    <row r="199" spans="4:18">
      <c r="E199" t="s">
        <v>4283</v>
      </c>
      <c r="I199" t="s">
        <v>4284</v>
      </c>
      <c r="K199" t="s">
        <v>12925</v>
      </c>
      <c r="L199" t="s">
        <v>12926</v>
      </c>
      <c r="M199" t="s">
        <v>3963</v>
      </c>
      <c r="N199" t="s">
        <v>3963</v>
      </c>
      <c r="O199" t="s">
        <v>3963</v>
      </c>
      <c r="P199" t="s">
        <v>12926</v>
      </c>
      <c r="R199" t="s">
        <v>12927</v>
      </c>
    </row>
    <row r="200" spans="4:18">
      <c r="D200" t="s">
        <v>106</v>
      </c>
      <c r="H200" t="s">
        <v>4285</v>
      </c>
      <c r="K200" t="s">
        <v>12928</v>
      </c>
      <c r="L200" t="s">
        <v>12929</v>
      </c>
      <c r="M200" t="s">
        <v>3963</v>
      </c>
      <c r="N200" t="s">
        <v>3963</v>
      </c>
      <c r="O200" t="s">
        <v>3963</v>
      </c>
      <c r="P200" t="s">
        <v>12929</v>
      </c>
      <c r="R200" t="s">
        <v>12930</v>
      </c>
    </row>
    <row r="201" spans="4:18">
      <c r="E201" t="s">
        <v>4286</v>
      </c>
      <c r="I201" t="s">
        <v>4287</v>
      </c>
      <c r="K201" t="s">
        <v>12931</v>
      </c>
      <c r="L201" t="s">
        <v>12932</v>
      </c>
      <c r="M201" t="s">
        <v>3963</v>
      </c>
      <c r="N201" t="s">
        <v>3963</v>
      </c>
      <c r="O201" t="s">
        <v>3963</v>
      </c>
      <c r="P201" t="s">
        <v>12932</v>
      </c>
      <c r="R201" t="s">
        <v>12933</v>
      </c>
    </row>
    <row r="202" spans="4:18">
      <c r="E202" t="s">
        <v>4288</v>
      </c>
      <c r="I202" t="s">
        <v>4289</v>
      </c>
      <c r="K202" t="s">
        <v>12934</v>
      </c>
      <c r="L202" t="s">
        <v>12935</v>
      </c>
      <c r="M202" t="s">
        <v>3963</v>
      </c>
      <c r="N202" t="s">
        <v>3963</v>
      </c>
      <c r="O202" t="s">
        <v>3963</v>
      </c>
      <c r="P202" t="s">
        <v>12935</v>
      </c>
      <c r="R202" t="s">
        <v>12936</v>
      </c>
    </row>
    <row r="203" spans="4:18">
      <c r="E203" t="s">
        <v>4290</v>
      </c>
      <c r="I203" t="s">
        <v>4291</v>
      </c>
      <c r="K203" t="s">
        <v>4038</v>
      </c>
      <c r="L203" t="s">
        <v>12937</v>
      </c>
      <c r="M203" t="s">
        <v>3963</v>
      </c>
      <c r="N203" t="s">
        <v>3963</v>
      </c>
      <c r="O203" t="s">
        <v>3963</v>
      </c>
      <c r="P203" t="s">
        <v>12937</v>
      </c>
      <c r="R203" t="s">
        <v>12938</v>
      </c>
    </row>
    <row r="204" spans="4:18">
      <c r="E204" t="s">
        <v>4292</v>
      </c>
      <c r="I204" t="s">
        <v>4293</v>
      </c>
      <c r="K204" t="s">
        <v>12939</v>
      </c>
      <c r="L204" t="s">
        <v>12940</v>
      </c>
      <c r="M204" t="s">
        <v>3963</v>
      </c>
      <c r="N204" t="s">
        <v>3963</v>
      </c>
      <c r="O204" t="s">
        <v>3963</v>
      </c>
      <c r="P204" t="s">
        <v>12940</v>
      </c>
      <c r="R204" t="s">
        <v>12941</v>
      </c>
    </row>
    <row r="205" spans="4:18">
      <c r="E205" t="s">
        <v>4294</v>
      </c>
      <c r="I205" t="s">
        <v>4295</v>
      </c>
      <c r="K205" t="s">
        <v>12942</v>
      </c>
      <c r="L205" t="s">
        <v>12943</v>
      </c>
      <c r="M205" t="s">
        <v>3963</v>
      </c>
      <c r="N205" t="s">
        <v>3963</v>
      </c>
      <c r="O205" t="s">
        <v>3963</v>
      </c>
      <c r="P205" t="s">
        <v>12943</v>
      </c>
      <c r="R205" t="s">
        <v>12944</v>
      </c>
    </row>
    <row r="206" spans="4:18">
      <c r="E206" t="s">
        <v>4296</v>
      </c>
      <c r="I206" t="s">
        <v>4297</v>
      </c>
      <c r="K206" t="s">
        <v>12561</v>
      </c>
      <c r="L206" t="s">
        <v>12945</v>
      </c>
      <c r="M206" t="s">
        <v>3963</v>
      </c>
      <c r="N206" t="s">
        <v>3963</v>
      </c>
      <c r="O206" t="s">
        <v>3963</v>
      </c>
      <c r="P206" t="s">
        <v>12945</v>
      </c>
      <c r="R206" t="s">
        <v>12946</v>
      </c>
    </row>
    <row r="207" spans="4:18">
      <c r="E207" t="s">
        <v>4298</v>
      </c>
      <c r="I207" t="s">
        <v>4299</v>
      </c>
      <c r="K207" t="s">
        <v>12947</v>
      </c>
      <c r="L207" t="s">
        <v>12948</v>
      </c>
      <c r="M207" t="s">
        <v>3963</v>
      </c>
      <c r="N207" t="s">
        <v>3963</v>
      </c>
      <c r="O207" t="s">
        <v>3963</v>
      </c>
      <c r="P207" t="s">
        <v>12948</v>
      </c>
      <c r="R207" t="s">
        <v>12949</v>
      </c>
    </row>
    <row r="208" spans="4:18">
      <c r="E208" t="s">
        <v>4300</v>
      </c>
      <c r="I208" t="s">
        <v>4301</v>
      </c>
      <c r="K208" t="s">
        <v>12950</v>
      </c>
      <c r="L208" t="s">
        <v>12951</v>
      </c>
      <c r="M208" t="s">
        <v>3963</v>
      </c>
      <c r="N208" t="s">
        <v>3963</v>
      </c>
      <c r="O208" t="s">
        <v>3963</v>
      </c>
      <c r="P208" t="s">
        <v>12951</v>
      </c>
      <c r="R208" t="s">
        <v>12952</v>
      </c>
    </row>
    <row r="209" spans="4:18">
      <c r="E209" t="s">
        <v>4302</v>
      </c>
      <c r="I209" t="s">
        <v>4303</v>
      </c>
      <c r="K209" t="s">
        <v>12953</v>
      </c>
      <c r="L209" t="s">
        <v>12954</v>
      </c>
      <c r="M209" t="s">
        <v>3963</v>
      </c>
      <c r="N209" t="s">
        <v>3963</v>
      </c>
      <c r="O209" t="s">
        <v>3963</v>
      </c>
      <c r="P209" t="s">
        <v>12954</v>
      </c>
      <c r="R209" t="s">
        <v>12955</v>
      </c>
    </row>
    <row r="210" spans="4:18">
      <c r="D210" t="s">
        <v>104</v>
      </c>
      <c r="H210" t="s">
        <v>4304</v>
      </c>
      <c r="K210" t="s">
        <v>12956</v>
      </c>
      <c r="L210" t="s">
        <v>12957</v>
      </c>
      <c r="M210" t="s">
        <v>3963</v>
      </c>
      <c r="N210" t="s">
        <v>3963</v>
      </c>
      <c r="O210" t="s">
        <v>3963</v>
      </c>
      <c r="P210" t="s">
        <v>12957</v>
      </c>
      <c r="R210" t="s">
        <v>12958</v>
      </c>
    </row>
    <row r="211" spans="4:18">
      <c r="E211" t="s">
        <v>4305</v>
      </c>
      <c r="I211" t="s">
        <v>4306</v>
      </c>
      <c r="K211" t="s">
        <v>12956</v>
      </c>
      <c r="L211" t="s">
        <v>12957</v>
      </c>
      <c r="M211" t="s">
        <v>3963</v>
      </c>
      <c r="N211" t="s">
        <v>3963</v>
      </c>
      <c r="O211" t="s">
        <v>3963</v>
      </c>
      <c r="P211" t="s">
        <v>12957</v>
      </c>
      <c r="R211" t="s">
        <v>12958</v>
      </c>
    </row>
    <row r="212" spans="4:18">
      <c r="D212" t="s">
        <v>95</v>
      </c>
      <c r="H212" t="s">
        <v>4308</v>
      </c>
      <c r="K212" t="s">
        <v>12959</v>
      </c>
      <c r="L212" t="s">
        <v>12960</v>
      </c>
      <c r="M212" t="s">
        <v>3963</v>
      </c>
      <c r="N212" t="s">
        <v>3963</v>
      </c>
      <c r="O212" t="s">
        <v>3963</v>
      </c>
      <c r="P212" t="s">
        <v>12960</v>
      </c>
      <c r="R212" t="s">
        <v>12961</v>
      </c>
    </row>
    <row r="213" spans="4:18">
      <c r="E213" t="s">
        <v>4309</v>
      </c>
      <c r="I213" t="s">
        <v>4310</v>
      </c>
      <c r="K213" t="s">
        <v>12962</v>
      </c>
      <c r="L213" t="s">
        <v>12963</v>
      </c>
      <c r="M213" t="s">
        <v>3963</v>
      </c>
      <c r="N213" t="s">
        <v>3963</v>
      </c>
      <c r="O213" t="s">
        <v>3963</v>
      </c>
      <c r="P213" t="s">
        <v>12963</v>
      </c>
      <c r="R213" t="s">
        <v>12964</v>
      </c>
    </row>
    <row r="214" spans="4:18">
      <c r="E214" t="s">
        <v>4311</v>
      </c>
      <c r="I214" t="s">
        <v>3989</v>
      </c>
      <c r="K214" t="s">
        <v>12965</v>
      </c>
      <c r="L214" t="s">
        <v>12966</v>
      </c>
      <c r="M214" t="s">
        <v>3963</v>
      </c>
      <c r="N214" t="s">
        <v>3963</v>
      </c>
      <c r="O214" t="s">
        <v>3963</v>
      </c>
      <c r="P214" t="s">
        <v>12966</v>
      </c>
      <c r="R214" t="s">
        <v>12967</v>
      </c>
    </row>
    <row r="215" spans="4:18">
      <c r="D215" t="s">
        <v>79</v>
      </c>
      <c r="H215" t="s">
        <v>4312</v>
      </c>
      <c r="K215" t="s">
        <v>12968</v>
      </c>
      <c r="L215" t="s">
        <v>12969</v>
      </c>
      <c r="M215" t="s">
        <v>3963</v>
      </c>
      <c r="N215" t="s">
        <v>3963</v>
      </c>
      <c r="O215" t="s">
        <v>3963</v>
      </c>
      <c r="P215" t="s">
        <v>12969</v>
      </c>
      <c r="R215" t="s">
        <v>12970</v>
      </c>
    </row>
    <row r="216" spans="4:18">
      <c r="E216" t="s">
        <v>4313</v>
      </c>
      <c r="I216" t="s">
        <v>4314</v>
      </c>
      <c r="K216" t="s">
        <v>12971</v>
      </c>
      <c r="L216" t="s">
        <v>12972</v>
      </c>
      <c r="M216" t="s">
        <v>3963</v>
      </c>
      <c r="N216" t="s">
        <v>3963</v>
      </c>
      <c r="O216" t="s">
        <v>3963</v>
      </c>
      <c r="P216" t="s">
        <v>12972</v>
      </c>
      <c r="R216" t="s">
        <v>12973</v>
      </c>
    </row>
    <row r="217" spans="4:18">
      <c r="E217" t="s">
        <v>4315</v>
      </c>
      <c r="I217" t="s">
        <v>3989</v>
      </c>
      <c r="K217" t="s">
        <v>12974</v>
      </c>
      <c r="L217" t="s">
        <v>12975</v>
      </c>
      <c r="M217" t="s">
        <v>3963</v>
      </c>
      <c r="N217" t="s">
        <v>3963</v>
      </c>
      <c r="O217" t="s">
        <v>3963</v>
      </c>
      <c r="P217" t="s">
        <v>12975</v>
      </c>
      <c r="R217" t="s">
        <v>12976</v>
      </c>
    </row>
    <row r="218" spans="4:18">
      <c r="D218" t="s">
        <v>112</v>
      </c>
      <c r="H218" t="s">
        <v>4316</v>
      </c>
      <c r="K218" t="s">
        <v>12977</v>
      </c>
      <c r="L218" t="s">
        <v>12978</v>
      </c>
      <c r="M218" t="s">
        <v>3963</v>
      </c>
      <c r="N218" t="s">
        <v>3963</v>
      </c>
      <c r="O218" t="s">
        <v>3963</v>
      </c>
      <c r="P218" t="s">
        <v>12978</v>
      </c>
      <c r="R218" t="s">
        <v>12979</v>
      </c>
    </row>
    <row r="219" spans="4:18">
      <c r="E219" t="s">
        <v>4317</v>
      </c>
      <c r="I219" t="s">
        <v>4318</v>
      </c>
      <c r="K219" t="s">
        <v>12980</v>
      </c>
      <c r="L219" t="s">
        <v>12981</v>
      </c>
      <c r="M219" t="s">
        <v>3963</v>
      </c>
      <c r="N219" t="s">
        <v>3963</v>
      </c>
      <c r="O219" t="s">
        <v>3963</v>
      </c>
      <c r="P219" t="s">
        <v>12981</v>
      </c>
      <c r="R219" t="s">
        <v>12982</v>
      </c>
    </row>
    <row r="220" spans="4:18">
      <c r="E220" t="s">
        <v>4319</v>
      </c>
      <c r="I220" t="s">
        <v>3989</v>
      </c>
      <c r="K220" t="s">
        <v>12764</v>
      </c>
      <c r="L220" t="s">
        <v>12983</v>
      </c>
      <c r="M220" t="s">
        <v>3963</v>
      </c>
      <c r="N220" t="s">
        <v>3963</v>
      </c>
      <c r="O220" t="s">
        <v>3963</v>
      </c>
      <c r="P220" t="s">
        <v>12983</v>
      </c>
      <c r="R220" t="s">
        <v>12984</v>
      </c>
    </row>
    <row r="221" spans="4:18">
      <c r="D221" t="s">
        <v>97</v>
      </c>
      <c r="H221" t="s">
        <v>4156</v>
      </c>
      <c r="K221" t="s">
        <v>6956</v>
      </c>
      <c r="L221" t="s">
        <v>12985</v>
      </c>
      <c r="M221" t="s">
        <v>3963</v>
      </c>
      <c r="N221" t="s">
        <v>3963</v>
      </c>
      <c r="O221" t="s">
        <v>3963</v>
      </c>
      <c r="P221" t="s">
        <v>12985</v>
      </c>
      <c r="R221" t="s">
        <v>12986</v>
      </c>
    </row>
    <row r="222" spans="4:18">
      <c r="E222" t="s">
        <v>4320</v>
      </c>
      <c r="I222" t="s">
        <v>3965</v>
      </c>
      <c r="K222" t="s">
        <v>3963</v>
      </c>
      <c r="L222" t="s">
        <v>3963</v>
      </c>
      <c r="M222" t="s">
        <v>3963</v>
      </c>
      <c r="N222" t="s">
        <v>3963</v>
      </c>
      <c r="O222" t="s">
        <v>3963</v>
      </c>
      <c r="P222" t="s">
        <v>3963</v>
      </c>
      <c r="R222" t="s">
        <v>3963</v>
      </c>
    </row>
    <row r="223" spans="4:18">
      <c r="E223" t="s">
        <v>4321</v>
      </c>
      <c r="I223" t="s">
        <v>4322</v>
      </c>
      <c r="K223" t="s">
        <v>12987</v>
      </c>
      <c r="L223" t="s">
        <v>12987</v>
      </c>
      <c r="M223" t="s">
        <v>3963</v>
      </c>
      <c r="N223" t="s">
        <v>3963</v>
      </c>
      <c r="O223" t="s">
        <v>3963</v>
      </c>
      <c r="P223" t="s">
        <v>12987</v>
      </c>
      <c r="R223" t="s">
        <v>3963</v>
      </c>
    </row>
    <row r="224" spans="4:18">
      <c r="E224" t="s">
        <v>4323</v>
      </c>
      <c r="I224" t="s">
        <v>4324</v>
      </c>
      <c r="K224" t="s">
        <v>12988</v>
      </c>
      <c r="L224" t="s">
        <v>12989</v>
      </c>
      <c r="M224" t="s">
        <v>3963</v>
      </c>
      <c r="N224" t="s">
        <v>3963</v>
      </c>
      <c r="O224" t="s">
        <v>3963</v>
      </c>
      <c r="P224" t="s">
        <v>12989</v>
      </c>
      <c r="R224" t="s">
        <v>12990</v>
      </c>
    </row>
    <row r="225" spans="4:18">
      <c r="E225" t="s">
        <v>4325</v>
      </c>
      <c r="I225" t="s">
        <v>4326</v>
      </c>
      <c r="K225" t="s">
        <v>12991</v>
      </c>
      <c r="L225" t="s">
        <v>12992</v>
      </c>
      <c r="M225" t="s">
        <v>3963</v>
      </c>
      <c r="N225" t="s">
        <v>3963</v>
      </c>
      <c r="O225" t="s">
        <v>3963</v>
      </c>
      <c r="P225" t="s">
        <v>12992</v>
      </c>
      <c r="R225" t="s">
        <v>12993</v>
      </c>
    </row>
    <row r="226" spans="4:18">
      <c r="E226" t="s">
        <v>4327</v>
      </c>
      <c r="I226" t="s">
        <v>4328</v>
      </c>
      <c r="K226" t="s">
        <v>12994</v>
      </c>
      <c r="L226" t="s">
        <v>12995</v>
      </c>
      <c r="M226" t="s">
        <v>3963</v>
      </c>
      <c r="N226" t="s">
        <v>3963</v>
      </c>
      <c r="O226" t="s">
        <v>3963</v>
      </c>
      <c r="P226" t="s">
        <v>12995</v>
      </c>
      <c r="R226" t="s">
        <v>12996</v>
      </c>
    </row>
    <row r="227" spans="4:18">
      <c r="E227" t="s">
        <v>4329</v>
      </c>
      <c r="I227" t="s">
        <v>4330</v>
      </c>
      <c r="K227" t="s">
        <v>12997</v>
      </c>
      <c r="L227" t="s">
        <v>12998</v>
      </c>
      <c r="M227" t="s">
        <v>3963</v>
      </c>
      <c r="N227" t="s">
        <v>3963</v>
      </c>
      <c r="O227" t="s">
        <v>3963</v>
      </c>
      <c r="P227" t="s">
        <v>12998</v>
      </c>
      <c r="R227" t="s">
        <v>12999</v>
      </c>
    </row>
    <row r="228" spans="4:18">
      <c r="D228" t="s">
        <v>67</v>
      </c>
      <c r="H228" t="s">
        <v>4331</v>
      </c>
      <c r="K228" t="s">
        <v>13000</v>
      </c>
      <c r="L228" t="s">
        <v>13001</v>
      </c>
      <c r="M228" t="s">
        <v>3963</v>
      </c>
      <c r="N228" t="s">
        <v>3963</v>
      </c>
      <c r="O228" t="s">
        <v>3963</v>
      </c>
      <c r="P228" t="s">
        <v>13001</v>
      </c>
      <c r="R228" t="s">
        <v>13002</v>
      </c>
    </row>
    <row r="229" spans="4:18">
      <c r="E229" t="s">
        <v>4332</v>
      </c>
      <c r="I229" t="s">
        <v>4333</v>
      </c>
      <c r="K229" t="s">
        <v>13003</v>
      </c>
      <c r="L229" t="s">
        <v>13004</v>
      </c>
      <c r="M229" t="s">
        <v>3963</v>
      </c>
      <c r="N229" t="s">
        <v>3963</v>
      </c>
      <c r="O229" t="s">
        <v>3963</v>
      </c>
      <c r="P229" t="s">
        <v>13004</v>
      </c>
      <c r="R229" t="s">
        <v>13005</v>
      </c>
    </row>
    <row r="230" spans="4:18">
      <c r="E230" t="s">
        <v>4334</v>
      </c>
      <c r="I230" t="s">
        <v>3989</v>
      </c>
      <c r="K230" t="s">
        <v>12764</v>
      </c>
      <c r="L230" t="s">
        <v>13006</v>
      </c>
      <c r="M230" t="s">
        <v>3963</v>
      </c>
      <c r="N230" t="s">
        <v>3963</v>
      </c>
      <c r="O230" t="s">
        <v>3963</v>
      </c>
      <c r="P230" t="s">
        <v>13006</v>
      </c>
      <c r="R230" t="s">
        <v>13007</v>
      </c>
    </row>
    <row r="231" spans="4:18">
      <c r="E231" t="s">
        <v>4335</v>
      </c>
      <c r="I231" t="s">
        <v>4336</v>
      </c>
      <c r="K231" t="s">
        <v>4162</v>
      </c>
      <c r="L231" t="s">
        <v>13008</v>
      </c>
      <c r="M231" t="s">
        <v>3963</v>
      </c>
      <c r="N231" t="s">
        <v>3963</v>
      </c>
      <c r="O231" t="s">
        <v>3963</v>
      </c>
      <c r="P231" t="s">
        <v>13008</v>
      </c>
      <c r="R231" t="s">
        <v>13009</v>
      </c>
    </row>
    <row r="232" spans="4:18">
      <c r="D232" t="s">
        <v>93</v>
      </c>
      <c r="H232" t="s">
        <v>4337</v>
      </c>
      <c r="K232" t="s">
        <v>13010</v>
      </c>
      <c r="L232" t="s">
        <v>13011</v>
      </c>
      <c r="M232" t="s">
        <v>3963</v>
      </c>
      <c r="N232" t="s">
        <v>3963</v>
      </c>
      <c r="O232" t="s">
        <v>3963</v>
      </c>
      <c r="P232" t="s">
        <v>13011</v>
      </c>
      <c r="R232" t="s">
        <v>13012</v>
      </c>
    </row>
    <row r="233" spans="4:18">
      <c r="E233" t="s">
        <v>4338</v>
      </c>
      <c r="I233" t="s">
        <v>4339</v>
      </c>
      <c r="K233" t="s">
        <v>13013</v>
      </c>
      <c r="L233" t="s">
        <v>13014</v>
      </c>
      <c r="M233" t="s">
        <v>3963</v>
      </c>
      <c r="N233" t="s">
        <v>3963</v>
      </c>
      <c r="O233" t="s">
        <v>3963</v>
      </c>
      <c r="P233" t="s">
        <v>13014</v>
      </c>
      <c r="R233" t="s">
        <v>13015</v>
      </c>
    </row>
    <row r="234" spans="4:18">
      <c r="E234" t="s">
        <v>4340</v>
      </c>
      <c r="I234" t="s">
        <v>3989</v>
      </c>
      <c r="K234" t="s">
        <v>13016</v>
      </c>
      <c r="L234" t="s">
        <v>13017</v>
      </c>
      <c r="M234" t="s">
        <v>3963</v>
      </c>
      <c r="N234" t="s">
        <v>3963</v>
      </c>
      <c r="O234" t="s">
        <v>3963</v>
      </c>
      <c r="P234" t="s">
        <v>13017</v>
      </c>
      <c r="R234" t="s">
        <v>13018</v>
      </c>
    </row>
    <row r="235" spans="4:18">
      <c r="D235" t="s">
        <v>100</v>
      </c>
      <c r="H235" t="s">
        <v>4341</v>
      </c>
      <c r="K235" t="s">
        <v>13019</v>
      </c>
      <c r="L235" t="s">
        <v>13020</v>
      </c>
      <c r="M235" t="s">
        <v>3963</v>
      </c>
      <c r="N235" t="s">
        <v>3963</v>
      </c>
      <c r="O235" t="s">
        <v>3963</v>
      </c>
      <c r="P235" t="s">
        <v>13020</v>
      </c>
      <c r="R235" t="s">
        <v>13021</v>
      </c>
    </row>
    <row r="236" spans="4:18">
      <c r="E236" t="s">
        <v>4342</v>
      </c>
      <c r="I236" t="s">
        <v>4343</v>
      </c>
      <c r="K236" t="s">
        <v>13022</v>
      </c>
      <c r="L236" t="s">
        <v>13023</v>
      </c>
      <c r="M236" t="s">
        <v>3963</v>
      </c>
      <c r="N236" t="s">
        <v>3963</v>
      </c>
      <c r="O236" t="s">
        <v>3963</v>
      </c>
      <c r="P236" t="s">
        <v>13023</v>
      </c>
      <c r="R236" t="s">
        <v>13024</v>
      </c>
    </row>
    <row r="237" spans="4:18">
      <c r="E237" t="s">
        <v>4344</v>
      </c>
      <c r="I237" t="s">
        <v>3989</v>
      </c>
      <c r="K237" t="s">
        <v>13025</v>
      </c>
      <c r="L237" t="s">
        <v>13026</v>
      </c>
      <c r="M237" t="s">
        <v>3963</v>
      </c>
      <c r="N237" t="s">
        <v>3963</v>
      </c>
      <c r="O237" t="s">
        <v>3963</v>
      </c>
      <c r="P237" t="s">
        <v>13026</v>
      </c>
      <c r="R237" t="s">
        <v>13027</v>
      </c>
    </row>
    <row r="238" spans="4:18">
      <c r="D238" t="s">
        <v>114</v>
      </c>
      <c r="H238" t="s">
        <v>4345</v>
      </c>
      <c r="K238" t="s">
        <v>13028</v>
      </c>
      <c r="L238" t="s">
        <v>13029</v>
      </c>
      <c r="M238" t="s">
        <v>3963</v>
      </c>
      <c r="N238" t="s">
        <v>3963</v>
      </c>
      <c r="O238" t="s">
        <v>3963</v>
      </c>
      <c r="P238" t="s">
        <v>13029</v>
      </c>
      <c r="R238" t="s">
        <v>13030</v>
      </c>
    </row>
    <row r="239" spans="4:18">
      <c r="E239" t="s">
        <v>4346</v>
      </c>
      <c r="I239" t="s">
        <v>4347</v>
      </c>
      <c r="K239" t="s">
        <v>13028</v>
      </c>
      <c r="L239" t="s">
        <v>13029</v>
      </c>
      <c r="M239" t="s">
        <v>3963</v>
      </c>
      <c r="N239" t="s">
        <v>3963</v>
      </c>
      <c r="O239" t="s">
        <v>3963</v>
      </c>
      <c r="P239" t="s">
        <v>13029</v>
      </c>
      <c r="R239" t="s">
        <v>13030</v>
      </c>
    </row>
    <row r="240" spans="4:18">
      <c r="D240" t="s">
        <v>115</v>
      </c>
      <c r="H240" t="s">
        <v>4348</v>
      </c>
      <c r="K240" t="s">
        <v>13031</v>
      </c>
      <c r="L240" t="s">
        <v>13032</v>
      </c>
      <c r="M240" t="s">
        <v>3963</v>
      </c>
      <c r="N240" t="s">
        <v>3963</v>
      </c>
      <c r="O240" t="s">
        <v>3963</v>
      </c>
      <c r="P240" t="s">
        <v>13032</v>
      </c>
      <c r="R240" t="s">
        <v>13033</v>
      </c>
    </row>
    <row r="241" spans="4:18">
      <c r="E241" t="s">
        <v>4349</v>
      </c>
      <c r="I241" t="s">
        <v>4350</v>
      </c>
      <c r="K241" t="s">
        <v>13034</v>
      </c>
      <c r="L241" t="s">
        <v>13032</v>
      </c>
      <c r="M241" t="s">
        <v>3963</v>
      </c>
      <c r="N241" t="s">
        <v>3963</v>
      </c>
      <c r="O241" t="s">
        <v>3963</v>
      </c>
      <c r="P241" t="s">
        <v>13032</v>
      </c>
      <c r="R241" t="s">
        <v>13035</v>
      </c>
    </row>
    <row r="242" spans="4:18">
      <c r="E242" t="s">
        <v>4351</v>
      </c>
      <c r="I242" t="s">
        <v>3989</v>
      </c>
      <c r="K242" t="s">
        <v>13036</v>
      </c>
      <c r="L242" t="s">
        <v>3963</v>
      </c>
      <c r="M242" t="s">
        <v>3963</v>
      </c>
      <c r="N242" t="s">
        <v>3963</v>
      </c>
      <c r="O242" t="s">
        <v>3963</v>
      </c>
      <c r="P242" t="s">
        <v>3963</v>
      </c>
      <c r="R242" t="s">
        <v>13036</v>
      </c>
    </row>
    <row r="243" spans="4:18">
      <c r="E243" t="s">
        <v>4352</v>
      </c>
      <c r="I243" t="s">
        <v>3980</v>
      </c>
      <c r="K243" t="s">
        <v>12764</v>
      </c>
      <c r="L243" t="s">
        <v>3963</v>
      </c>
      <c r="M243" t="s">
        <v>3963</v>
      </c>
      <c r="N243" t="s">
        <v>3963</v>
      </c>
      <c r="O243" t="s">
        <v>3963</v>
      </c>
      <c r="P243" t="s">
        <v>3963</v>
      </c>
      <c r="R243" t="s">
        <v>12764</v>
      </c>
    </row>
    <row r="244" spans="4:18">
      <c r="D244" t="s">
        <v>71</v>
      </c>
      <c r="H244" t="s">
        <v>4353</v>
      </c>
      <c r="K244" t="s">
        <v>13037</v>
      </c>
      <c r="L244" t="s">
        <v>13038</v>
      </c>
      <c r="M244" t="s">
        <v>3963</v>
      </c>
      <c r="N244" t="s">
        <v>3963</v>
      </c>
      <c r="O244" t="s">
        <v>3963</v>
      </c>
      <c r="P244" t="s">
        <v>13038</v>
      </c>
      <c r="R244" t="s">
        <v>13039</v>
      </c>
    </row>
    <row r="245" spans="4:18">
      <c r="E245" t="s">
        <v>4354</v>
      </c>
      <c r="I245" t="s">
        <v>4355</v>
      </c>
      <c r="K245" t="s">
        <v>13037</v>
      </c>
      <c r="L245" t="s">
        <v>13038</v>
      </c>
      <c r="M245" t="s">
        <v>3963</v>
      </c>
      <c r="N245" t="s">
        <v>3963</v>
      </c>
      <c r="O245" t="s">
        <v>3963</v>
      </c>
      <c r="P245" t="s">
        <v>13038</v>
      </c>
      <c r="R245" t="s">
        <v>13039</v>
      </c>
    </row>
    <row r="246" spans="4:18">
      <c r="E246" t="s">
        <v>4356</v>
      </c>
      <c r="I246" t="s">
        <v>3989</v>
      </c>
      <c r="K246" t="s">
        <v>3963</v>
      </c>
      <c r="L246" t="s">
        <v>3963</v>
      </c>
      <c r="M246" t="s">
        <v>3963</v>
      </c>
      <c r="N246" t="s">
        <v>3963</v>
      </c>
      <c r="O246" t="s">
        <v>3963</v>
      </c>
      <c r="P246" t="s">
        <v>3963</v>
      </c>
      <c r="R246" t="s">
        <v>3963</v>
      </c>
    </row>
    <row r="247" spans="4:18">
      <c r="D247" t="s">
        <v>117</v>
      </c>
      <c r="H247" t="s">
        <v>4357</v>
      </c>
      <c r="K247" t="s">
        <v>13040</v>
      </c>
      <c r="L247" t="s">
        <v>13040</v>
      </c>
      <c r="M247" t="s">
        <v>3963</v>
      </c>
      <c r="N247" t="s">
        <v>3963</v>
      </c>
      <c r="O247" t="s">
        <v>3963</v>
      </c>
      <c r="P247" t="s">
        <v>13040</v>
      </c>
      <c r="R247" t="s">
        <v>3963</v>
      </c>
    </row>
    <row r="248" spans="4:18">
      <c r="E248" t="s">
        <v>4358</v>
      </c>
      <c r="I248" t="s">
        <v>4359</v>
      </c>
      <c r="K248" t="s">
        <v>13040</v>
      </c>
      <c r="L248" t="s">
        <v>13040</v>
      </c>
      <c r="M248" t="s">
        <v>3963</v>
      </c>
      <c r="N248" t="s">
        <v>3963</v>
      </c>
      <c r="O248" t="s">
        <v>3963</v>
      </c>
      <c r="P248" t="s">
        <v>13040</v>
      </c>
      <c r="R248" t="s">
        <v>3963</v>
      </c>
    </row>
    <row r="249" spans="4:18">
      <c r="E249" t="s">
        <v>4360</v>
      </c>
      <c r="I249" t="s">
        <v>3989</v>
      </c>
      <c r="K249" t="s">
        <v>3963</v>
      </c>
      <c r="L249" t="s">
        <v>3963</v>
      </c>
      <c r="M249" t="s">
        <v>3963</v>
      </c>
      <c r="N249" t="s">
        <v>3963</v>
      </c>
      <c r="O249" t="s">
        <v>3963</v>
      </c>
      <c r="P249" t="s">
        <v>3963</v>
      </c>
      <c r="R249" t="s">
        <v>3963</v>
      </c>
    </row>
    <row r="250" spans="4:18">
      <c r="D250" t="s">
        <v>89</v>
      </c>
      <c r="H250" t="s">
        <v>4361</v>
      </c>
      <c r="K250" t="s">
        <v>13041</v>
      </c>
      <c r="L250" t="s">
        <v>13042</v>
      </c>
      <c r="M250" t="s">
        <v>3963</v>
      </c>
      <c r="N250" t="s">
        <v>3963</v>
      </c>
      <c r="O250" t="s">
        <v>3963</v>
      </c>
      <c r="P250" t="s">
        <v>13042</v>
      </c>
      <c r="R250" t="s">
        <v>13043</v>
      </c>
    </row>
    <row r="251" spans="4:18">
      <c r="E251" t="s">
        <v>4362</v>
      </c>
      <c r="I251" t="s">
        <v>4363</v>
      </c>
      <c r="K251" t="s">
        <v>13044</v>
      </c>
      <c r="L251" t="s">
        <v>13045</v>
      </c>
      <c r="M251" t="s">
        <v>3963</v>
      </c>
      <c r="N251" t="s">
        <v>3963</v>
      </c>
      <c r="O251" t="s">
        <v>3963</v>
      </c>
      <c r="P251" t="s">
        <v>13045</v>
      </c>
      <c r="R251" t="s">
        <v>13046</v>
      </c>
    </row>
    <row r="252" spans="4:18">
      <c r="E252" t="s">
        <v>4364</v>
      </c>
      <c r="I252" t="s">
        <v>3989</v>
      </c>
      <c r="K252" t="s">
        <v>13047</v>
      </c>
      <c r="L252" t="s">
        <v>13048</v>
      </c>
      <c r="M252" t="s">
        <v>3963</v>
      </c>
      <c r="N252" t="s">
        <v>3963</v>
      </c>
      <c r="O252" t="s">
        <v>3963</v>
      </c>
      <c r="P252" t="s">
        <v>13048</v>
      </c>
      <c r="R252" t="s">
        <v>13049</v>
      </c>
    </row>
    <row r="253" spans="4:18">
      <c r="D253" t="s">
        <v>119</v>
      </c>
      <c r="H253" t="s">
        <v>4365</v>
      </c>
      <c r="K253" t="s">
        <v>13050</v>
      </c>
      <c r="L253" t="s">
        <v>13051</v>
      </c>
      <c r="M253" t="s">
        <v>3963</v>
      </c>
      <c r="N253" t="s">
        <v>3963</v>
      </c>
      <c r="O253" t="s">
        <v>3963</v>
      </c>
      <c r="P253" t="s">
        <v>13051</v>
      </c>
      <c r="R253" t="s">
        <v>13052</v>
      </c>
    </row>
    <row r="254" spans="4:18">
      <c r="E254" t="s">
        <v>4366</v>
      </c>
      <c r="I254" t="s">
        <v>4367</v>
      </c>
      <c r="K254" t="s">
        <v>13050</v>
      </c>
      <c r="L254" t="s">
        <v>13051</v>
      </c>
      <c r="M254" t="s">
        <v>3963</v>
      </c>
      <c r="N254" t="s">
        <v>3963</v>
      </c>
      <c r="O254" t="s">
        <v>3963</v>
      </c>
      <c r="P254" t="s">
        <v>13051</v>
      </c>
      <c r="R254" t="s">
        <v>13052</v>
      </c>
    </row>
    <row r="255" spans="4:18">
      <c r="E255" t="s">
        <v>4368</v>
      </c>
      <c r="I255" t="s">
        <v>3989</v>
      </c>
      <c r="K255" t="s">
        <v>3963</v>
      </c>
      <c r="L255" t="s">
        <v>3963</v>
      </c>
      <c r="M255" t="s">
        <v>3963</v>
      </c>
      <c r="N255" t="s">
        <v>3963</v>
      </c>
      <c r="O255" t="s">
        <v>3963</v>
      </c>
      <c r="P255" t="s">
        <v>3963</v>
      </c>
      <c r="R255" t="s">
        <v>3963</v>
      </c>
    </row>
    <row r="256" spans="4:18">
      <c r="D256" t="s">
        <v>121</v>
      </c>
      <c r="H256" t="s">
        <v>4369</v>
      </c>
      <c r="K256" t="s">
        <v>13053</v>
      </c>
      <c r="L256" t="s">
        <v>13054</v>
      </c>
      <c r="M256" t="s">
        <v>3963</v>
      </c>
      <c r="N256" t="s">
        <v>3963</v>
      </c>
      <c r="O256" t="s">
        <v>3963</v>
      </c>
      <c r="P256" t="s">
        <v>13054</v>
      </c>
      <c r="R256" t="s">
        <v>13055</v>
      </c>
    </row>
    <row r="257" spans="4:18">
      <c r="E257" t="s">
        <v>4370</v>
      </c>
      <c r="I257" t="s">
        <v>4371</v>
      </c>
      <c r="K257" t="s">
        <v>13056</v>
      </c>
      <c r="L257" t="s">
        <v>13057</v>
      </c>
      <c r="M257" t="s">
        <v>3963</v>
      </c>
      <c r="N257" t="s">
        <v>3963</v>
      </c>
      <c r="O257" t="s">
        <v>3963</v>
      </c>
      <c r="P257" t="s">
        <v>13057</v>
      </c>
      <c r="R257" t="s">
        <v>13058</v>
      </c>
    </row>
    <row r="258" spans="4:18">
      <c r="E258" t="s">
        <v>4372</v>
      </c>
      <c r="I258" t="s">
        <v>3989</v>
      </c>
      <c r="K258" t="s">
        <v>13059</v>
      </c>
      <c r="L258" t="s">
        <v>13060</v>
      </c>
      <c r="M258" t="s">
        <v>3963</v>
      </c>
      <c r="N258" t="s">
        <v>3963</v>
      </c>
      <c r="O258" t="s">
        <v>3963</v>
      </c>
      <c r="P258" t="s">
        <v>13060</v>
      </c>
      <c r="R258" t="s">
        <v>13061</v>
      </c>
    </row>
    <row r="259" spans="4:18">
      <c r="D259" t="s">
        <v>125</v>
      </c>
      <c r="H259" t="s">
        <v>4373</v>
      </c>
      <c r="K259" t="s">
        <v>13062</v>
      </c>
      <c r="L259" t="s">
        <v>13063</v>
      </c>
      <c r="M259" t="s">
        <v>3963</v>
      </c>
      <c r="N259" t="s">
        <v>3963</v>
      </c>
      <c r="O259" t="s">
        <v>3963</v>
      </c>
      <c r="P259" t="s">
        <v>13063</v>
      </c>
      <c r="R259" t="s">
        <v>13064</v>
      </c>
    </row>
    <row r="260" spans="4:18">
      <c r="E260" t="s">
        <v>4374</v>
      </c>
      <c r="I260" t="s">
        <v>4375</v>
      </c>
      <c r="K260" t="s">
        <v>13065</v>
      </c>
      <c r="L260" t="s">
        <v>13066</v>
      </c>
      <c r="M260" t="s">
        <v>3963</v>
      </c>
      <c r="N260" t="s">
        <v>3963</v>
      </c>
      <c r="O260" t="s">
        <v>3963</v>
      </c>
      <c r="P260" t="s">
        <v>13066</v>
      </c>
      <c r="R260" t="s">
        <v>13064</v>
      </c>
    </row>
    <row r="261" spans="4:18">
      <c r="E261" t="s">
        <v>4376</v>
      </c>
      <c r="I261" t="s">
        <v>3989</v>
      </c>
      <c r="K261" t="s">
        <v>13067</v>
      </c>
      <c r="L261" t="s">
        <v>13067</v>
      </c>
      <c r="M261" t="s">
        <v>3963</v>
      </c>
      <c r="N261" t="s">
        <v>3963</v>
      </c>
      <c r="O261" t="s">
        <v>3963</v>
      </c>
      <c r="P261" t="s">
        <v>13067</v>
      </c>
      <c r="R261" t="s">
        <v>3963</v>
      </c>
    </row>
    <row r="262" spans="4:18">
      <c r="D262" t="s">
        <v>127</v>
      </c>
      <c r="H262" t="s">
        <v>4377</v>
      </c>
      <c r="K262" t="s">
        <v>13068</v>
      </c>
      <c r="L262" t="s">
        <v>13069</v>
      </c>
      <c r="M262" t="s">
        <v>3963</v>
      </c>
      <c r="N262" t="s">
        <v>3963</v>
      </c>
      <c r="O262" t="s">
        <v>3963</v>
      </c>
      <c r="P262" t="s">
        <v>13069</v>
      </c>
      <c r="R262" t="s">
        <v>13070</v>
      </c>
    </row>
    <row r="263" spans="4:18">
      <c r="E263" t="s">
        <v>4378</v>
      </c>
      <c r="I263" t="s">
        <v>4379</v>
      </c>
      <c r="K263" t="s">
        <v>13071</v>
      </c>
      <c r="L263" t="s">
        <v>13072</v>
      </c>
      <c r="M263" t="s">
        <v>3963</v>
      </c>
      <c r="N263" t="s">
        <v>3963</v>
      </c>
      <c r="O263" t="s">
        <v>3963</v>
      </c>
      <c r="P263" t="s">
        <v>13072</v>
      </c>
      <c r="R263" t="s">
        <v>13073</v>
      </c>
    </row>
    <row r="264" spans="4:18">
      <c r="E264" t="s">
        <v>4380</v>
      </c>
      <c r="I264" t="s">
        <v>3989</v>
      </c>
      <c r="K264" t="s">
        <v>13074</v>
      </c>
      <c r="L264" t="s">
        <v>13075</v>
      </c>
      <c r="M264" t="s">
        <v>3963</v>
      </c>
      <c r="N264" t="s">
        <v>3963</v>
      </c>
      <c r="O264" t="s">
        <v>3963</v>
      </c>
      <c r="P264" t="s">
        <v>13075</v>
      </c>
      <c r="R264" t="s">
        <v>13076</v>
      </c>
    </row>
    <row r="265" spans="4:18">
      <c r="D265" t="s">
        <v>91</v>
      </c>
      <c r="H265" t="s">
        <v>2952</v>
      </c>
      <c r="K265" t="s">
        <v>13077</v>
      </c>
      <c r="L265" t="s">
        <v>13078</v>
      </c>
      <c r="M265" t="s">
        <v>3963</v>
      </c>
      <c r="N265" t="s">
        <v>3963</v>
      </c>
      <c r="O265" t="s">
        <v>3963</v>
      </c>
      <c r="P265" t="s">
        <v>13078</v>
      </c>
      <c r="R265" t="s">
        <v>13079</v>
      </c>
    </row>
    <row r="266" spans="4:18">
      <c r="E266" t="s">
        <v>4381</v>
      </c>
      <c r="I266" t="s">
        <v>4382</v>
      </c>
      <c r="K266" t="s">
        <v>13080</v>
      </c>
      <c r="L266" t="s">
        <v>13081</v>
      </c>
      <c r="M266" t="s">
        <v>3963</v>
      </c>
      <c r="N266" t="s">
        <v>3963</v>
      </c>
      <c r="O266" t="s">
        <v>3963</v>
      </c>
      <c r="P266" t="s">
        <v>13081</v>
      </c>
      <c r="R266" t="s">
        <v>13082</v>
      </c>
    </row>
    <row r="267" spans="4:18">
      <c r="E267" t="s">
        <v>4383</v>
      </c>
      <c r="I267" t="s">
        <v>3989</v>
      </c>
      <c r="K267" t="s">
        <v>4384</v>
      </c>
      <c r="L267" t="s">
        <v>13083</v>
      </c>
      <c r="M267" t="s">
        <v>3963</v>
      </c>
      <c r="N267" t="s">
        <v>3963</v>
      </c>
      <c r="O267" t="s">
        <v>3963</v>
      </c>
      <c r="P267" t="s">
        <v>13083</v>
      </c>
      <c r="R267" t="s">
        <v>13084</v>
      </c>
    </row>
    <row r="268" spans="4:18">
      <c r="D268" t="s">
        <v>87</v>
      </c>
      <c r="H268" t="s">
        <v>4385</v>
      </c>
      <c r="K268" t="s">
        <v>13085</v>
      </c>
      <c r="L268" t="s">
        <v>13086</v>
      </c>
      <c r="M268" t="s">
        <v>3963</v>
      </c>
      <c r="N268" t="s">
        <v>3963</v>
      </c>
      <c r="O268" t="s">
        <v>3963</v>
      </c>
      <c r="P268" t="s">
        <v>13086</v>
      </c>
      <c r="R268" t="s">
        <v>13087</v>
      </c>
    </row>
    <row r="269" spans="4:18">
      <c r="E269" t="s">
        <v>4386</v>
      </c>
      <c r="I269" t="s">
        <v>4387</v>
      </c>
      <c r="K269" t="s">
        <v>13088</v>
      </c>
      <c r="L269" t="s">
        <v>13089</v>
      </c>
      <c r="M269" t="s">
        <v>3963</v>
      </c>
      <c r="N269" t="s">
        <v>3963</v>
      </c>
      <c r="O269" t="s">
        <v>3963</v>
      </c>
      <c r="P269" t="s">
        <v>13089</v>
      </c>
      <c r="R269" t="s">
        <v>13090</v>
      </c>
    </row>
    <row r="270" spans="4:18">
      <c r="E270" t="s">
        <v>4388</v>
      </c>
      <c r="I270" t="s">
        <v>3989</v>
      </c>
      <c r="K270" t="s">
        <v>13091</v>
      </c>
      <c r="L270" t="s">
        <v>13092</v>
      </c>
      <c r="M270" t="s">
        <v>3963</v>
      </c>
      <c r="N270" t="s">
        <v>3963</v>
      </c>
      <c r="O270" t="s">
        <v>3963</v>
      </c>
      <c r="P270" t="s">
        <v>13092</v>
      </c>
      <c r="R270" t="s">
        <v>13093</v>
      </c>
    </row>
    <row r="271" spans="4:18">
      <c r="D271" t="s">
        <v>123</v>
      </c>
      <c r="H271" t="s">
        <v>4389</v>
      </c>
      <c r="K271" t="s">
        <v>13094</v>
      </c>
      <c r="L271" t="s">
        <v>13095</v>
      </c>
      <c r="M271" t="s">
        <v>3963</v>
      </c>
      <c r="N271" t="s">
        <v>3963</v>
      </c>
      <c r="O271" t="s">
        <v>3963</v>
      </c>
      <c r="P271" t="s">
        <v>13095</v>
      </c>
      <c r="R271" t="s">
        <v>13096</v>
      </c>
    </row>
    <row r="272" spans="4:18">
      <c r="E272" t="s">
        <v>4390</v>
      </c>
      <c r="I272" t="s">
        <v>4391</v>
      </c>
      <c r="K272" t="s">
        <v>13097</v>
      </c>
      <c r="L272" t="s">
        <v>13095</v>
      </c>
      <c r="M272" t="s">
        <v>3963</v>
      </c>
      <c r="N272" t="s">
        <v>3963</v>
      </c>
      <c r="O272" t="s">
        <v>3963</v>
      </c>
      <c r="P272" t="s">
        <v>13095</v>
      </c>
      <c r="R272" t="s">
        <v>13098</v>
      </c>
    </row>
    <row r="273" spans="4:18">
      <c r="E273" t="s">
        <v>4392</v>
      </c>
      <c r="I273" t="s">
        <v>3989</v>
      </c>
      <c r="K273" t="s">
        <v>12974</v>
      </c>
      <c r="L273" t="s">
        <v>3963</v>
      </c>
      <c r="M273" t="s">
        <v>3963</v>
      </c>
      <c r="N273" t="s">
        <v>3963</v>
      </c>
      <c r="O273" t="s">
        <v>3963</v>
      </c>
      <c r="P273" t="s">
        <v>3963</v>
      </c>
      <c r="R273" t="s">
        <v>12974</v>
      </c>
    </row>
    <row r="274" spans="4:18">
      <c r="D274" t="s">
        <v>85</v>
      </c>
      <c r="H274" t="s">
        <v>4156</v>
      </c>
      <c r="K274" t="s">
        <v>13099</v>
      </c>
      <c r="L274" t="s">
        <v>13100</v>
      </c>
      <c r="M274" t="s">
        <v>3963</v>
      </c>
      <c r="N274" t="s">
        <v>3963</v>
      </c>
      <c r="O274" t="s">
        <v>3963</v>
      </c>
      <c r="P274" t="s">
        <v>13100</v>
      </c>
      <c r="R274" t="s">
        <v>13101</v>
      </c>
    </row>
    <row r="275" spans="4:18">
      <c r="E275" t="s">
        <v>4393</v>
      </c>
      <c r="I275" t="s">
        <v>3965</v>
      </c>
      <c r="K275" t="s">
        <v>3963</v>
      </c>
      <c r="L275" t="s">
        <v>3963</v>
      </c>
      <c r="M275" t="s">
        <v>3963</v>
      </c>
      <c r="N275" t="s">
        <v>3963</v>
      </c>
      <c r="O275" t="s">
        <v>3963</v>
      </c>
      <c r="P275" t="s">
        <v>3963</v>
      </c>
      <c r="R275" t="s">
        <v>3963</v>
      </c>
    </row>
    <row r="276" spans="4:18">
      <c r="E276" t="s">
        <v>4394</v>
      </c>
      <c r="I276" t="s">
        <v>4395</v>
      </c>
      <c r="K276" t="s">
        <v>13102</v>
      </c>
      <c r="L276" t="s">
        <v>13103</v>
      </c>
      <c r="M276" t="s">
        <v>3963</v>
      </c>
      <c r="N276" t="s">
        <v>3963</v>
      </c>
      <c r="O276" t="s">
        <v>3963</v>
      </c>
      <c r="P276" t="s">
        <v>13103</v>
      </c>
      <c r="R276" t="s">
        <v>13104</v>
      </c>
    </row>
    <row r="277" spans="4:18">
      <c r="E277" t="s">
        <v>4396</v>
      </c>
      <c r="I277" t="s">
        <v>4397</v>
      </c>
      <c r="K277" t="s">
        <v>4067</v>
      </c>
      <c r="L277" t="s">
        <v>3963</v>
      </c>
      <c r="M277" t="s">
        <v>3963</v>
      </c>
      <c r="N277" t="s">
        <v>3963</v>
      </c>
      <c r="O277" t="s">
        <v>3963</v>
      </c>
      <c r="P277" t="s">
        <v>3963</v>
      </c>
      <c r="R277" t="s">
        <v>4067</v>
      </c>
    </row>
    <row r="278" spans="4:18">
      <c r="E278" t="s">
        <v>4398</v>
      </c>
      <c r="I278" t="s">
        <v>4397</v>
      </c>
      <c r="K278" t="s">
        <v>12518</v>
      </c>
      <c r="L278" t="s">
        <v>3963</v>
      </c>
      <c r="M278" t="s">
        <v>3963</v>
      </c>
      <c r="N278" t="s">
        <v>3963</v>
      </c>
      <c r="O278" t="s">
        <v>3963</v>
      </c>
      <c r="P278" t="s">
        <v>3963</v>
      </c>
      <c r="R278" t="s">
        <v>12518</v>
      </c>
    </row>
    <row r="279" spans="4:18">
      <c r="E279" t="s">
        <v>4399</v>
      </c>
      <c r="I279" t="s">
        <v>4400</v>
      </c>
      <c r="K279" t="s">
        <v>4067</v>
      </c>
      <c r="L279" t="s">
        <v>13105</v>
      </c>
      <c r="M279" t="s">
        <v>3963</v>
      </c>
      <c r="N279" t="s">
        <v>3963</v>
      </c>
      <c r="O279" t="s">
        <v>3963</v>
      </c>
      <c r="P279" t="s">
        <v>13105</v>
      </c>
      <c r="R279" t="s">
        <v>13106</v>
      </c>
    </row>
    <row r="280" spans="4:18">
      <c r="E280" t="s">
        <v>4401</v>
      </c>
      <c r="I280" t="s">
        <v>4402</v>
      </c>
      <c r="K280" t="s">
        <v>3994</v>
      </c>
      <c r="L280" t="s">
        <v>3963</v>
      </c>
      <c r="M280" t="s">
        <v>3963</v>
      </c>
      <c r="N280" t="s">
        <v>3963</v>
      </c>
      <c r="O280" t="s">
        <v>3963</v>
      </c>
      <c r="P280" t="s">
        <v>3963</v>
      </c>
      <c r="R280" t="s">
        <v>3994</v>
      </c>
    </row>
    <row r="281" spans="4:18">
      <c r="E281" t="s">
        <v>4403</v>
      </c>
      <c r="I281" t="s">
        <v>4404</v>
      </c>
      <c r="K281" t="s">
        <v>13107</v>
      </c>
      <c r="L281" t="s">
        <v>13108</v>
      </c>
      <c r="M281" t="s">
        <v>3963</v>
      </c>
      <c r="N281" t="s">
        <v>3963</v>
      </c>
      <c r="O281" t="s">
        <v>3963</v>
      </c>
      <c r="P281" t="s">
        <v>13108</v>
      </c>
      <c r="R281" t="s">
        <v>13109</v>
      </c>
    </row>
    <row r="282" spans="4:18">
      <c r="D282" t="s">
        <v>129</v>
      </c>
      <c r="H282" t="s">
        <v>4312</v>
      </c>
      <c r="K282" t="s">
        <v>13110</v>
      </c>
      <c r="L282" t="s">
        <v>13111</v>
      </c>
      <c r="M282" t="s">
        <v>3963</v>
      </c>
      <c r="N282" t="s">
        <v>3963</v>
      </c>
      <c r="O282" t="s">
        <v>3963</v>
      </c>
      <c r="P282" t="s">
        <v>13111</v>
      </c>
      <c r="R282" t="s">
        <v>13112</v>
      </c>
    </row>
    <row r="283" spans="4:18">
      <c r="E283" t="s">
        <v>4405</v>
      </c>
      <c r="I283" t="s">
        <v>4314</v>
      </c>
      <c r="K283" t="s">
        <v>13113</v>
      </c>
      <c r="L283" t="s">
        <v>13114</v>
      </c>
      <c r="M283" t="s">
        <v>3963</v>
      </c>
      <c r="N283" t="s">
        <v>3963</v>
      </c>
      <c r="O283" t="s">
        <v>3963</v>
      </c>
      <c r="P283" t="s">
        <v>13114</v>
      </c>
      <c r="R283" t="s">
        <v>4406</v>
      </c>
    </row>
    <row r="284" spans="4:18">
      <c r="E284" t="s">
        <v>4407</v>
      </c>
      <c r="I284" t="s">
        <v>3989</v>
      </c>
      <c r="K284" t="s">
        <v>3994</v>
      </c>
      <c r="L284" t="s">
        <v>13115</v>
      </c>
      <c r="M284" t="s">
        <v>3963</v>
      </c>
      <c r="N284" t="s">
        <v>3963</v>
      </c>
      <c r="O284" t="s">
        <v>3963</v>
      </c>
      <c r="P284" t="s">
        <v>13115</v>
      </c>
      <c r="R284" t="s">
        <v>13116</v>
      </c>
    </row>
    <row r="285" spans="4:18">
      <c r="D285" t="s">
        <v>131</v>
      </c>
      <c r="H285" t="s">
        <v>4408</v>
      </c>
      <c r="K285" t="s">
        <v>13117</v>
      </c>
      <c r="L285" t="s">
        <v>13118</v>
      </c>
      <c r="M285" t="s">
        <v>3963</v>
      </c>
      <c r="N285" t="s">
        <v>3963</v>
      </c>
      <c r="O285" t="s">
        <v>3963</v>
      </c>
      <c r="P285" t="s">
        <v>13118</v>
      </c>
      <c r="R285" t="s">
        <v>13119</v>
      </c>
    </row>
    <row r="286" spans="4:18">
      <c r="E286" t="s">
        <v>4409</v>
      </c>
      <c r="I286" t="s">
        <v>4410</v>
      </c>
      <c r="K286" t="s">
        <v>13117</v>
      </c>
      <c r="L286" t="s">
        <v>13118</v>
      </c>
      <c r="M286" t="s">
        <v>3963</v>
      </c>
      <c r="N286" t="s">
        <v>3963</v>
      </c>
      <c r="O286" t="s">
        <v>3963</v>
      </c>
      <c r="P286" t="s">
        <v>13118</v>
      </c>
      <c r="R286" t="s">
        <v>13119</v>
      </c>
    </row>
    <row r="287" spans="4:18">
      <c r="D287" t="s">
        <v>133</v>
      </c>
      <c r="H287" t="s">
        <v>4411</v>
      </c>
      <c r="K287" t="s">
        <v>13120</v>
      </c>
      <c r="L287" t="s">
        <v>13121</v>
      </c>
      <c r="M287" t="s">
        <v>3963</v>
      </c>
      <c r="N287" t="s">
        <v>3963</v>
      </c>
      <c r="O287" t="s">
        <v>3963</v>
      </c>
      <c r="P287" t="s">
        <v>13121</v>
      </c>
      <c r="R287" t="s">
        <v>13122</v>
      </c>
    </row>
    <row r="288" spans="4:18">
      <c r="E288" t="s">
        <v>4412</v>
      </c>
      <c r="I288" t="s">
        <v>4413</v>
      </c>
      <c r="K288" t="s">
        <v>13123</v>
      </c>
      <c r="L288" t="s">
        <v>13124</v>
      </c>
      <c r="M288" t="s">
        <v>3963</v>
      </c>
      <c r="N288" t="s">
        <v>3963</v>
      </c>
      <c r="O288" t="s">
        <v>3963</v>
      </c>
      <c r="P288" t="s">
        <v>13124</v>
      </c>
      <c r="R288" t="s">
        <v>13125</v>
      </c>
    </row>
    <row r="289" spans="4:18">
      <c r="E289" t="s">
        <v>4414</v>
      </c>
      <c r="I289" t="s">
        <v>3989</v>
      </c>
      <c r="K289" t="s">
        <v>4067</v>
      </c>
      <c r="L289" t="s">
        <v>13126</v>
      </c>
      <c r="M289" t="s">
        <v>3963</v>
      </c>
      <c r="N289" t="s">
        <v>3963</v>
      </c>
      <c r="O289" t="s">
        <v>3963</v>
      </c>
      <c r="P289" t="s">
        <v>13126</v>
      </c>
      <c r="R289" t="s">
        <v>13127</v>
      </c>
    </row>
    <row r="290" spans="4:18">
      <c r="D290" t="s">
        <v>135</v>
      </c>
      <c r="H290" t="s">
        <v>4415</v>
      </c>
      <c r="K290" t="s">
        <v>13128</v>
      </c>
      <c r="L290" t="s">
        <v>13129</v>
      </c>
      <c r="M290" t="s">
        <v>3963</v>
      </c>
      <c r="N290" t="s">
        <v>3963</v>
      </c>
      <c r="O290" t="s">
        <v>3963</v>
      </c>
      <c r="P290" t="s">
        <v>13129</v>
      </c>
      <c r="R290" t="s">
        <v>13130</v>
      </c>
    </row>
    <row r="291" spans="4:18">
      <c r="E291" t="s">
        <v>4416</v>
      </c>
      <c r="I291" t="s">
        <v>4417</v>
      </c>
      <c r="K291" t="s">
        <v>13131</v>
      </c>
      <c r="L291" t="s">
        <v>13132</v>
      </c>
      <c r="M291" t="s">
        <v>3963</v>
      </c>
      <c r="N291" t="s">
        <v>3963</v>
      </c>
      <c r="O291" t="s">
        <v>3963</v>
      </c>
      <c r="P291" t="s">
        <v>13132</v>
      </c>
      <c r="R291" t="s">
        <v>13133</v>
      </c>
    </row>
    <row r="292" spans="4:18">
      <c r="E292" t="s">
        <v>4418</v>
      </c>
      <c r="I292" t="s">
        <v>3989</v>
      </c>
      <c r="K292" t="s">
        <v>13134</v>
      </c>
      <c r="L292" t="s">
        <v>13135</v>
      </c>
      <c r="M292" t="s">
        <v>3963</v>
      </c>
      <c r="N292" t="s">
        <v>3963</v>
      </c>
      <c r="O292" t="s">
        <v>3963</v>
      </c>
      <c r="P292" t="s">
        <v>13135</v>
      </c>
      <c r="R292" t="s">
        <v>13136</v>
      </c>
    </row>
    <row r="293" spans="4:18">
      <c r="E293" t="s">
        <v>4419</v>
      </c>
      <c r="I293" t="s">
        <v>3980</v>
      </c>
      <c r="K293" t="s">
        <v>3963</v>
      </c>
      <c r="L293" t="s">
        <v>3963</v>
      </c>
      <c r="M293" t="s">
        <v>3963</v>
      </c>
      <c r="N293" t="s">
        <v>3963</v>
      </c>
      <c r="O293" t="s">
        <v>3963</v>
      </c>
      <c r="P293" t="s">
        <v>3963</v>
      </c>
      <c r="R293" t="s">
        <v>3963</v>
      </c>
    </row>
    <row r="294" spans="4:18">
      <c r="D294" t="s">
        <v>137</v>
      </c>
      <c r="H294" t="s">
        <v>4420</v>
      </c>
      <c r="K294" t="s">
        <v>13137</v>
      </c>
      <c r="L294" t="s">
        <v>13138</v>
      </c>
      <c r="M294" t="s">
        <v>3963</v>
      </c>
      <c r="N294" t="s">
        <v>3963</v>
      </c>
      <c r="O294" t="s">
        <v>3963</v>
      </c>
      <c r="P294" t="s">
        <v>13138</v>
      </c>
      <c r="R294" t="s">
        <v>13139</v>
      </c>
    </row>
    <row r="295" spans="4:18">
      <c r="E295" t="s">
        <v>4421</v>
      </c>
      <c r="I295" t="s">
        <v>4422</v>
      </c>
      <c r="K295" t="s">
        <v>13140</v>
      </c>
      <c r="L295" t="s">
        <v>13141</v>
      </c>
      <c r="M295" t="s">
        <v>3963</v>
      </c>
      <c r="N295" t="s">
        <v>3963</v>
      </c>
      <c r="O295" t="s">
        <v>3963</v>
      </c>
      <c r="P295" t="s">
        <v>13141</v>
      </c>
      <c r="R295" t="s">
        <v>13142</v>
      </c>
    </row>
    <row r="296" spans="4:18">
      <c r="E296" t="s">
        <v>4423</v>
      </c>
      <c r="I296" t="s">
        <v>3989</v>
      </c>
      <c r="K296" t="s">
        <v>13143</v>
      </c>
      <c r="L296" t="s">
        <v>13144</v>
      </c>
      <c r="M296" t="s">
        <v>3963</v>
      </c>
      <c r="N296" t="s">
        <v>3963</v>
      </c>
      <c r="O296" t="s">
        <v>3963</v>
      </c>
      <c r="P296" t="s">
        <v>13144</v>
      </c>
      <c r="R296" t="s">
        <v>13145</v>
      </c>
    </row>
    <row r="297" spans="4:18">
      <c r="D297" t="s">
        <v>83</v>
      </c>
      <c r="H297" t="s">
        <v>4424</v>
      </c>
      <c r="K297" t="s">
        <v>13146</v>
      </c>
      <c r="L297" t="s">
        <v>13147</v>
      </c>
      <c r="M297" t="s">
        <v>3963</v>
      </c>
      <c r="N297" t="s">
        <v>3963</v>
      </c>
      <c r="O297" t="s">
        <v>3963</v>
      </c>
      <c r="P297" t="s">
        <v>13147</v>
      </c>
      <c r="R297" t="s">
        <v>13148</v>
      </c>
    </row>
    <row r="298" spans="4:18">
      <c r="E298" t="s">
        <v>4425</v>
      </c>
      <c r="I298" t="s">
        <v>4426</v>
      </c>
      <c r="K298" t="s">
        <v>13149</v>
      </c>
      <c r="L298" t="s">
        <v>13150</v>
      </c>
      <c r="M298" t="s">
        <v>3963</v>
      </c>
      <c r="N298" t="s">
        <v>3963</v>
      </c>
      <c r="O298" t="s">
        <v>3963</v>
      </c>
      <c r="P298" t="s">
        <v>13150</v>
      </c>
      <c r="R298" t="s">
        <v>13151</v>
      </c>
    </row>
    <row r="299" spans="4:18">
      <c r="E299" t="s">
        <v>4427</v>
      </c>
      <c r="I299" t="s">
        <v>3989</v>
      </c>
      <c r="K299" t="s">
        <v>13152</v>
      </c>
      <c r="L299" t="s">
        <v>13153</v>
      </c>
      <c r="M299" t="s">
        <v>3963</v>
      </c>
      <c r="N299" t="s">
        <v>3963</v>
      </c>
      <c r="O299" t="s">
        <v>3963</v>
      </c>
      <c r="P299" t="s">
        <v>13153</v>
      </c>
      <c r="R299" t="s">
        <v>13154</v>
      </c>
    </row>
    <row r="300" spans="4:18">
      <c r="D300" t="s">
        <v>141</v>
      </c>
      <c r="H300" t="s">
        <v>4428</v>
      </c>
      <c r="K300" t="s">
        <v>13155</v>
      </c>
      <c r="L300" t="s">
        <v>13156</v>
      </c>
      <c r="M300" t="s">
        <v>3963</v>
      </c>
      <c r="N300" t="s">
        <v>3963</v>
      </c>
      <c r="O300" t="s">
        <v>3963</v>
      </c>
      <c r="P300" t="s">
        <v>13156</v>
      </c>
      <c r="R300" t="s">
        <v>13157</v>
      </c>
    </row>
    <row r="301" spans="4:18">
      <c r="E301" t="s">
        <v>4429</v>
      </c>
      <c r="I301" t="s">
        <v>4430</v>
      </c>
      <c r="K301" t="s">
        <v>13155</v>
      </c>
      <c r="L301" t="s">
        <v>13156</v>
      </c>
      <c r="M301" t="s">
        <v>3963</v>
      </c>
      <c r="N301" t="s">
        <v>3963</v>
      </c>
      <c r="O301" t="s">
        <v>3963</v>
      </c>
      <c r="P301" t="s">
        <v>13156</v>
      </c>
      <c r="R301" t="s">
        <v>13157</v>
      </c>
    </row>
    <row r="302" spans="4:18">
      <c r="D302" t="s">
        <v>139</v>
      </c>
      <c r="H302" t="s">
        <v>4431</v>
      </c>
      <c r="K302" t="s">
        <v>13158</v>
      </c>
      <c r="L302" t="s">
        <v>13159</v>
      </c>
      <c r="M302" t="s">
        <v>3963</v>
      </c>
      <c r="N302" t="s">
        <v>3963</v>
      </c>
      <c r="O302" t="s">
        <v>3963</v>
      </c>
      <c r="P302" t="s">
        <v>13159</v>
      </c>
      <c r="R302" t="s">
        <v>13160</v>
      </c>
    </row>
    <row r="303" spans="4:18">
      <c r="E303" t="s">
        <v>4432</v>
      </c>
      <c r="I303" t="s">
        <v>4433</v>
      </c>
      <c r="K303" t="s">
        <v>13161</v>
      </c>
      <c r="L303" t="s">
        <v>13162</v>
      </c>
      <c r="M303" t="s">
        <v>3963</v>
      </c>
      <c r="N303" t="s">
        <v>3963</v>
      </c>
      <c r="O303" t="s">
        <v>3963</v>
      </c>
      <c r="P303" t="s">
        <v>13162</v>
      </c>
      <c r="R303" t="s">
        <v>13163</v>
      </c>
    </row>
    <row r="304" spans="4:18">
      <c r="E304" t="s">
        <v>4434</v>
      </c>
      <c r="I304" t="s">
        <v>3989</v>
      </c>
      <c r="K304" t="s">
        <v>12744</v>
      </c>
      <c r="L304" t="s">
        <v>13164</v>
      </c>
      <c r="M304" t="s">
        <v>3963</v>
      </c>
      <c r="N304" t="s">
        <v>3963</v>
      </c>
      <c r="O304" t="s">
        <v>3963</v>
      </c>
      <c r="P304" t="s">
        <v>13164</v>
      </c>
      <c r="R304" t="s">
        <v>13165</v>
      </c>
    </row>
    <row r="305" spans="4:18">
      <c r="D305" t="s">
        <v>146</v>
      </c>
      <c r="H305" t="s">
        <v>4435</v>
      </c>
      <c r="K305" t="s">
        <v>13166</v>
      </c>
      <c r="L305" t="s">
        <v>13167</v>
      </c>
      <c r="M305" t="s">
        <v>3963</v>
      </c>
      <c r="N305" t="s">
        <v>3963</v>
      </c>
      <c r="O305" t="s">
        <v>3963</v>
      </c>
      <c r="P305" t="s">
        <v>13167</v>
      </c>
      <c r="R305" t="s">
        <v>13168</v>
      </c>
    </row>
    <row r="306" spans="4:18">
      <c r="E306" t="s">
        <v>4436</v>
      </c>
      <c r="I306" t="s">
        <v>3965</v>
      </c>
      <c r="K306" t="s">
        <v>3963</v>
      </c>
      <c r="L306" t="s">
        <v>3963</v>
      </c>
      <c r="M306" t="s">
        <v>3963</v>
      </c>
      <c r="N306" t="s">
        <v>3963</v>
      </c>
      <c r="O306" t="s">
        <v>3963</v>
      </c>
      <c r="P306" t="s">
        <v>3963</v>
      </c>
      <c r="R306" t="s">
        <v>3963</v>
      </c>
    </row>
    <row r="307" spans="4:18">
      <c r="E307" t="s">
        <v>4437</v>
      </c>
      <c r="I307" t="s">
        <v>4438</v>
      </c>
      <c r="K307" t="s">
        <v>13169</v>
      </c>
      <c r="L307" t="s">
        <v>13169</v>
      </c>
      <c r="M307" t="s">
        <v>3963</v>
      </c>
      <c r="N307" t="s">
        <v>3963</v>
      </c>
      <c r="O307" t="s">
        <v>3963</v>
      </c>
      <c r="P307" t="s">
        <v>13169</v>
      </c>
      <c r="R307" t="s">
        <v>3963</v>
      </c>
    </row>
    <row r="308" spans="4:18">
      <c r="E308" t="s">
        <v>4439</v>
      </c>
      <c r="I308" t="s">
        <v>4440</v>
      </c>
      <c r="K308" t="s">
        <v>13170</v>
      </c>
      <c r="L308" t="s">
        <v>13171</v>
      </c>
      <c r="M308" t="s">
        <v>3963</v>
      </c>
      <c r="N308" t="s">
        <v>3963</v>
      </c>
      <c r="O308" t="s">
        <v>3963</v>
      </c>
      <c r="P308" t="s">
        <v>13171</v>
      </c>
      <c r="R308" t="s">
        <v>13172</v>
      </c>
    </row>
    <row r="309" spans="4:18">
      <c r="E309" t="s">
        <v>4441</v>
      </c>
      <c r="I309" t="s">
        <v>4442</v>
      </c>
      <c r="K309" t="s">
        <v>13173</v>
      </c>
      <c r="L309" t="s">
        <v>13173</v>
      </c>
      <c r="M309" t="s">
        <v>3963</v>
      </c>
      <c r="N309" t="s">
        <v>3963</v>
      </c>
      <c r="O309" t="s">
        <v>3963</v>
      </c>
      <c r="P309" t="s">
        <v>13173</v>
      </c>
      <c r="R309" t="s">
        <v>3963</v>
      </c>
    </row>
    <row r="310" spans="4:18">
      <c r="E310" t="s">
        <v>4443</v>
      </c>
      <c r="I310" t="s">
        <v>4444</v>
      </c>
      <c r="K310" t="s">
        <v>13174</v>
      </c>
      <c r="L310" t="s">
        <v>13175</v>
      </c>
      <c r="M310" t="s">
        <v>3963</v>
      </c>
      <c r="N310" t="s">
        <v>3963</v>
      </c>
      <c r="O310" t="s">
        <v>3963</v>
      </c>
      <c r="P310" t="s">
        <v>13175</v>
      </c>
      <c r="R310" t="s">
        <v>13176</v>
      </c>
    </row>
    <row r="311" spans="4:18">
      <c r="E311" t="s">
        <v>4445</v>
      </c>
      <c r="I311" t="s">
        <v>4446</v>
      </c>
      <c r="K311" t="s">
        <v>13177</v>
      </c>
      <c r="L311" t="s">
        <v>13177</v>
      </c>
      <c r="M311" t="s">
        <v>3963</v>
      </c>
      <c r="N311" t="s">
        <v>3963</v>
      </c>
      <c r="O311" t="s">
        <v>3963</v>
      </c>
      <c r="P311" t="s">
        <v>13177</v>
      </c>
      <c r="R311" t="s">
        <v>3963</v>
      </c>
    </row>
    <row r="312" spans="4:18">
      <c r="E312" t="s">
        <v>4447</v>
      </c>
      <c r="I312" t="s">
        <v>4448</v>
      </c>
      <c r="K312" t="s">
        <v>13178</v>
      </c>
      <c r="L312" t="s">
        <v>13179</v>
      </c>
      <c r="M312" t="s">
        <v>3963</v>
      </c>
      <c r="N312" t="s">
        <v>3963</v>
      </c>
      <c r="O312" t="s">
        <v>3963</v>
      </c>
      <c r="P312" t="s">
        <v>13179</v>
      </c>
      <c r="R312" t="s">
        <v>13180</v>
      </c>
    </row>
    <row r="313" spans="4:18">
      <c r="E313" t="s">
        <v>4449</v>
      </c>
      <c r="I313" t="s">
        <v>4450</v>
      </c>
      <c r="K313" t="s">
        <v>13181</v>
      </c>
      <c r="L313" t="s">
        <v>13182</v>
      </c>
      <c r="M313" t="s">
        <v>3963</v>
      </c>
      <c r="N313" t="s">
        <v>3963</v>
      </c>
      <c r="O313" t="s">
        <v>3963</v>
      </c>
      <c r="P313" t="s">
        <v>13182</v>
      </c>
      <c r="R313" t="s">
        <v>13183</v>
      </c>
    </row>
    <row r="314" spans="4:18">
      <c r="E314" t="s">
        <v>4451</v>
      </c>
      <c r="I314" t="s">
        <v>4452</v>
      </c>
      <c r="K314" t="s">
        <v>13184</v>
      </c>
      <c r="L314" t="s">
        <v>13185</v>
      </c>
      <c r="M314" t="s">
        <v>3963</v>
      </c>
      <c r="N314" t="s">
        <v>3963</v>
      </c>
      <c r="O314" t="s">
        <v>3963</v>
      </c>
      <c r="P314" t="s">
        <v>13185</v>
      </c>
      <c r="R314" t="s">
        <v>13186</v>
      </c>
    </row>
    <row r="315" spans="4:18">
      <c r="E315" t="s">
        <v>4453</v>
      </c>
      <c r="I315" t="s">
        <v>4454</v>
      </c>
      <c r="K315" t="s">
        <v>13187</v>
      </c>
      <c r="L315" t="s">
        <v>13188</v>
      </c>
      <c r="M315" t="s">
        <v>3963</v>
      </c>
      <c r="N315" t="s">
        <v>3963</v>
      </c>
      <c r="O315" t="s">
        <v>3963</v>
      </c>
      <c r="P315" t="s">
        <v>13188</v>
      </c>
      <c r="R315" t="s">
        <v>13189</v>
      </c>
    </row>
    <row r="316" spans="4:18">
      <c r="E316" t="s">
        <v>4455</v>
      </c>
      <c r="I316" t="s">
        <v>4456</v>
      </c>
      <c r="K316" t="s">
        <v>13190</v>
      </c>
      <c r="L316" t="s">
        <v>13191</v>
      </c>
      <c r="M316" t="s">
        <v>3963</v>
      </c>
      <c r="N316" t="s">
        <v>3963</v>
      </c>
      <c r="O316" t="s">
        <v>3963</v>
      </c>
      <c r="P316" t="s">
        <v>13191</v>
      </c>
      <c r="R316" t="s">
        <v>13192</v>
      </c>
    </row>
    <row r="317" spans="4:18">
      <c r="E317" t="s">
        <v>4457</v>
      </c>
      <c r="I317" t="s">
        <v>4458</v>
      </c>
      <c r="K317" t="s">
        <v>13193</v>
      </c>
      <c r="L317" t="s">
        <v>13194</v>
      </c>
      <c r="M317" t="s">
        <v>3963</v>
      </c>
      <c r="N317" t="s">
        <v>3963</v>
      </c>
      <c r="O317" t="s">
        <v>3963</v>
      </c>
      <c r="P317" t="s">
        <v>13194</v>
      </c>
      <c r="R317" t="s">
        <v>13195</v>
      </c>
    </row>
    <row r="318" spans="4:18">
      <c r="E318" t="s">
        <v>4459</v>
      </c>
      <c r="I318" t="s">
        <v>4460</v>
      </c>
      <c r="K318" t="s">
        <v>13196</v>
      </c>
      <c r="L318" t="s">
        <v>13197</v>
      </c>
      <c r="M318" t="s">
        <v>3963</v>
      </c>
      <c r="N318" t="s">
        <v>3963</v>
      </c>
      <c r="O318" t="s">
        <v>3963</v>
      </c>
      <c r="P318" t="s">
        <v>13197</v>
      </c>
      <c r="R318" t="s">
        <v>13198</v>
      </c>
    </row>
    <row r="319" spans="4:18">
      <c r="E319" t="s">
        <v>4461</v>
      </c>
      <c r="I319" t="s">
        <v>4462</v>
      </c>
      <c r="K319" t="s">
        <v>13199</v>
      </c>
      <c r="L319" t="s">
        <v>13199</v>
      </c>
      <c r="M319" t="s">
        <v>3963</v>
      </c>
      <c r="N319" t="s">
        <v>3963</v>
      </c>
      <c r="O319" t="s">
        <v>3963</v>
      </c>
      <c r="P319" t="s">
        <v>13199</v>
      </c>
      <c r="R319" t="s">
        <v>3963</v>
      </c>
    </row>
    <row r="320" spans="4:18">
      <c r="E320" t="s">
        <v>4463</v>
      </c>
      <c r="I320" t="s">
        <v>4464</v>
      </c>
      <c r="K320" t="s">
        <v>13200</v>
      </c>
      <c r="L320" t="s">
        <v>13200</v>
      </c>
      <c r="M320" t="s">
        <v>3963</v>
      </c>
      <c r="N320" t="s">
        <v>3963</v>
      </c>
      <c r="O320" t="s">
        <v>3963</v>
      </c>
      <c r="P320" t="s">
        <v>13200</v>
      </c>
      <c r="R320" t="s">
        <v>3963</v>
      </c>
    </row>
    <row r="321" spans="5:18">
      <c r="E321" t="s">
        <v>4465</v>
      </c>
      <c r="I321" t="s">
        <v>4466</v>
      </c>
      <c r="K321" t="s">
        <v>13201</v>
      </c>
      <c r="L321" t="s">
        <v>13201</v>
      </c>
      <c r="M321" t="s">
        <v>3963</v>
      </c>
      <c r="N321" t="s">
        <v>3963</v>
      </c>
      <c r="O321" t="s">
        <v>3963</v>
      </c>
      <c r="P321" t="s">
        <v>13201</v>
      </c>
      <c r="R321" t="s">
        <v>3963</v>
      </c>
    </row>
    <row r="322" spans="5:18">
      <c r="E322" t="s">
        <v>4467</v>
      </c>
      <c r="I322" t="s">
        <v>4468</v>
      </c>
      <c r="K322" t="s">
        <v>13202</v>
      </c>
      <c r="L322" t="s">
        <v>13203</v>
      </c>
      <c r="M322" t="s">
        <v>3963</v>
      </c>
      <c r="N322" t="s">
        <v>3963</v>
      </c>
      <c r="O322" t="s">
        <v>3963</v>
      </c>
      <c r="P322" t="s">
        <v>13203</v>
      </c>
      <c r="R322" t="s">
        <v>13204</v>
      </c>
    </row>
    <row r="323" spans="5:18">
      <c r="E323" t="s">
        <v>4469</v>
      </c>
      <c r="I323" t="s">
        <v>4470</v>
      </c>
      <c r="K323" t="s">
        <v>13205</v>
      </c>
      <c r="L323" t="s">
        <v>13206</v>
      </c>
      <c r="M323" t="s">
        <v>3963</v>
      </c>
      <c r="N323" t="s">
        <v>3963</v>
      </c>
      <c r="O323" t="s">
        <v>3963</v>
      </c>
      <c r="P323" t="s">
        <v>13206</v>
      </c>
      <c r="R323" t="s">
        <v>13207</v>
      </c>
    </row>
    <row r="324" spans="5:18">
      <c r="E324" t="s">
        <v>4471</v>
      </c>
      <c r="I324" t="s">
        <v>4472</v>
      </c>
      <c r="K324" t="s">
        <v>13208</v>
      </c>
      <c r="L324" t="s">
        <v>13209</v>
      </c>
      <c r="M324" t="s">
        <v>3963</v>
      </c>
      <c r="N324" t="s">
        <v>3963</v>
      </c>
      <c r="O324" t="s">
        <v>3963</v>
      </c>
      <c r="P324" t="s">
        <v>13209</v>
      </c>
      <c r="R324" t="s">
        <v>13210</v>
      </c>
    </row>
    <row r="325" spans="5:18">
      <c r="E325" t="s">
        <v>4473</v>
      </c>
      <c r="I325" t="s">
        <v>4474</v>
      </c>
      <c r="K325" t="s">
        <v>13211</v>
      </c>
      <c r="L325" t="s">
        <v>13211</v>
      </c>
      <c r="M325" t="s">
        <v>3963</v>
      </c>
      <c r="N325" t="s">
        <v>3963</v>
      </c>
      <c r="O325" t="s">
        <v>3963</v>
      </c>
      <c r="P325" t="s">
        <v>13211</v>
      </c>
      <c r="R325" t="s">
        <v>3963</v>
      </c>
    </row>
    <row r="326" spans="5:18">
      <c r="E326" t="s">
        <v>4475</v>
      </c>
      <c r="I326" t="s">
        <v>4476</v>
      </c>
      <c r="K326" t="s">
        <v>13212</v>
      </c>
      <c r="L326" t="s">
        <v>13213</v>
      </c>
      <c r="M326" t="s">
        <v>3963</v>
      </c>
      <c r="N326" t="s">
        <v>3963</v>
      </c>
      <c r="O326" t="s">
        <v>3963</v>
      </c>
      <c r="P326" t="s">
        <v>13213</v>
      </c>
      <c r="R326" t="s">
        <v>13214</v>
      </c>
    </row>
    <row r="327" spans="5:18">
      <c r="E327" t="s">
        <v>4477</v>
      </c>
      <c r="I327" t="s">
        <v>4478</v>
      </c>
      <c r="K327" t="s">
        <v>13215</v>
      </c>
      <c r="L327" t="s">
        <v>13216</v>
      </c>
      <c r="M327" t="s">
        <v>3963</v>
      </c>
      <c r="N327" t="s">
        <v>3963</v>
      </c>
      <c r="O327" t="s">
        <v>3963</v>
      </c>
      <c r="P327" t="s">
        <v>13216</v>
      </c>
      <c r="R327" t="s">
        <v>13217</v>
      </c>
    </row>
    <row r="328" spans="5:18">
      <c r="E328" t="s">
        <v>4479</v>
      </c>
      <c r="I328" t="s">
        <v>4480</v>
      </c>
      <c r="K328" t="s">
        <v>13218</v>
      </c>
      <c r="L328" t="s">
        <v>13219</v>
      </c>
      <c r="M328" t="s">
        <v>3963</v>
      </c>
      <c r="N328" t="s">
        <v>3963</v>
      </c>
      <c r="O328" t="s">
        <v>3963</v>
      </c>
      <c r="P328" t="s">
        <v>13219</v>
      </c>
      <c r="R328" t="s">
        <v>13220</v>
      </c>
    </row>
    <row r="329" spans="5:18">
      <c r="E329" t="s">
        <v>4481</v>
      </c>
      <c r="I329" t="s">
        <v>4482</v>
      </c>
      <c r="K329" t="s">
        <v>13221</v>
      </c>
      <c r="L329" t="s">
        <v>13222</v>
      </c>
      <c r="M329" t="s">
        <v>3963</v>
      </c>
      <c r="N329" t="s">
        <v>3963</v>
      </c>
      <c r="O329" t="s">
        <v>3963</v>
      </c>
      <c r="P329" t="s">
        <v>13222</v>
      </c>
      <c r="R329" t="s">
        <v>13223</v>
      </c>
    </row>
    <row r="330" spans="5:18">
      <c r="E330" t="s">
        <v>4483</v>
      </c>
      <c r="I330" t="s">
        <v>4484</v>
      </c>
      <c r="K330" t="s">
        <v>13224</v>
      </c>
      <c r="L330" t="s">
        <v>13225</v>
      </c>
      <c r="M330" t="s">
        <v>3963</v>
      </c>
      <c r="N330" t="s">
        <v>3963</v>
      </c>
      <c r="O330" t="s">
        <v>3963</v>
      </c>
      <c r="P330" t="s">
        <v>13225</v>
      </c>
      <c r="R330" t="s">
        <v>13226</v>
      </c>
    </row>
    <row r="331" spans="5:18">
      <c r="E331" t="s">
        <v>4485</v>
      </c>
      <c r="I331" t="s">
        <v>4486</v>
      </c>
      <c r="K331" t="s">
        <v>13227</v>
      </c>
      <c r="L331" t="s">
        <v>13227</v>
      </c>
      <c r="M331" t="s">
        <v>3963</v>
      </c>
      <c r="N331" t="s">
        <v>3963</v>
      </c>
      <c r="O331" t="s">
        <v>3963</v>
      </c>
      <c r="P331" t="s">
        <v>13227</v>
      </c>
      <c r="R331" t="s">
        <v>3963</v>
      </c>
    </row>
    <row r="332" spans="5:18">
      <c r="E332" t="s">
        <v>4487</v>
      </c>
      <c r="I332" t="s">
        <v>4488</v>
      </c>
      <c r="K332" t="s">
        <v>13228</v>
      </c>
      <c r="L332" t="s">
        <v>13229</v>
      </c>
      <c r="M332" t="s">
        <v>3963</v>
      </c>
      <c r="N332" t="s">
        <v>3963</v>
      </c>
      <c r="O332" t="s">
        <v>3963</v>
      </c>
      <c r="P332" t="s">
        <v>13229</v>
      </c>
      <c r="R332" t="s">
        <v>13230</v>
      </c>
    </row>
    <row r="333" spans="5:18">
      <c r="E333" t="s">
        <v>4489</v>
      </c>
      <c r="I333" t="s">
        <v>4490</v>
      </c>
      <c r="K333" t="s">
        <v>13231</v>
      </c>
      <c r="L333" t="s">
        <v>13232</v>
      </c>
      <c r="M333" t="s">
        <v>3963</v>
      </c>
      <c r="N333" t="s">
        <v>3963</v>
      </c>
      <c r="O333" t="s">
        <v>3963</v>
      </c>
      <c r="P333" t="s">
        <v>13232</v>
      </c>
      <c r="R333" t="s">
        <v>13233</v>
      </c>
    </row>
    <row r="334" spans="5:18">
      <c r="E334" t="s">
        <v>4491</v>
      </c>
      <c r="I334" t="s">
        <v>4492</v>
      </c>
      <c r="K334" t="s">
        <v>4177</v>
      </c>
      <c r="L334" t="s">
        <v>13234</v>
      </c>
      <c r="M334" t="s">
        <v>3963</v>
      </c>
      <c r="N334" t="s">
        <v>3963</v>
      </c>
      <c r="O334" t="s">
        <v>3963</v>
      </c>
      <c r="P334" t="s">
        <v>13234</v>
      </c>
      <c r="R334" t="s">
        <v>13235</v>
      </c>
    </row>
    <row r="335" spans="5:18">
      <c r="E335" t="s">
        <v>4493</v>
      </c>
      <c r="I335" t="s">
        <v>4494</v>
      </c>
      <c r="K335" t="s">
        <v>13236</v>
      </c>
      <c r="L335" t="s">
        <v>13237</v>
      </c>
      <c r="M335" t="s">
        <v>3963</v>
      </c>
      <c r="N335" t="s">
        <v>3963</v>
      </c>
      <c r="O335" t="s">
        <v>3963</v>
      </c>
      <c r="P335" t="s">
        <v>13237</v>
      </c>
      <c r="R335" t="s">
        <v>13238</v>
      </c>
    </row>
    <row r="336" spans="5:18">
      <c r="E336" t="s">
        <v>4495</v>
      </c>
      <c r="I336" t="s">
        <v>4496</v>
      </c>
      <c r="K336" t="s">
        <v>13239</v>
      </c>
      <c r="L336" t="s">
        <v>13240</v>
      </c>
      <c r="M336" t="s">
        <v>3963</v>
      </c>
      <c r="N336" t="s">
        <v>3963</v>
      </c>
      <c r="O336" t="s">
        <v>3963</v>
      </c>
      <c r="P336" t="s">
        <v>13240</v>
      </c>
      <c r="R336" t="s">
        <v>13241</v>
      </c>
    </row>
    <row r="337" spans="5:18">
      <c r="E337" t="s">
        <v>4497</v>
      </c>
      <c r="I337" t="s">
        <v>4498</v>
      </c>
      <c r="K337" t="s">
        <v>13242</v>
      </c>
      <c r="L337" t="s">
        <v>13243</v>
      </c>
      <c r="M337" t="s">
        <v>3963</v>
      </c>
      <c r="N337" t="s">
        <v>3963</v>
      </c>
      <c r="O337" t="s">
        <v>3963</v>
      </c>
      <c r="P337" t="s">
        <v>13243</v>
      </c>
      <c r="R337" t="s">
        <v>13244</v>
      </c>
    </row>
    <row r="338" spans="5:18">
      <c r="E338" t="s">
        <v>4499</v>
      </c>
      <c r="I338" t="s">
        <v>4500</v>
      </c>
      <c r="K338" t="s">
        <v>13245</v>
      </c>
      <c r="L338" t="s">
        <v>13246</v>
      </c>
      <c r="M338" t="s">
        <v>3963</v>
      </c>
      <c r="N338" t="s">
        <v>3963</v>
      </c>
      <c r="O338" t="s">
        <v>3963</v>
      </c>
      <c r="P338" t="s">
        <v>13246</v>
      </c>
      <c r="R338" t="s">
        <v>13247</v>
      </c>
    </row>
    <row r="339" spans="5:18">
      <c r="E339" t="s">
        <v>4501</v>
      </c>
      <c r="I339" t="s">
        <v>4502</v>
      </c>
      <c r="K339" t="s">
        <v>13248</v>
      </c>
      <c r="L339" t="s">
        <v>13249</v>
      </c>
      <c r="M339" t="s">
        <v>3963</v>
      </c>
      <c r="N339" t="s">
        <v>3963</v>
      </c>
      <c r="O339" t="s">
        <v>3963</v>
      </c>
      <c r="P339" t="s">
        <v>13249</v>
      </c>
      <c r="R339" t="s">
        <v>13250</v>
      </c>
    </row>
    <row r="340" spans="5:18">
      <c r="E340" t="s">
        <v>4503</v>
      </c>
      <c r="I340" t="s">
        <v>4504</v>
      </c>
      <c r="K340" t="s">
        <v>13251</v>
      </c>
      <c r="L340" t="s">
        <v>13252</v>
      </c>
      <c r="M340" t="s">
        <v>3963</v>
      </c>
      <c r="N340" t="s">
        <v>3963</v>
      </c>
      <c r="O340" t="s">
        <v>3963</v>
      </c>
      <c r="P340" t="s">
        <v>13252</v>
      </c>
      <c r="R340" t="s">
        <v>13253</v>
      </c>
    </row>
    <row r="341" spans="5:18">
      <c r="E341" t="s">
        <v>4505</v>
      </c>
      <c r="I341" t="s">
        <v>4506</v>
      </c>
      <c r="K341" t="s">
        <v>13254</v>
      </c>
      <c r="L341" t="s">
        <v>13254</v>
      </c>
      <c r="M341" t="s">
        <v>3963</v>
      </c>
      <c r="N341" t="s">
        <v>3963</v>
      </c>
      <c r="O341" t="s">
        <v>3963</v>
      </c>
      <c r="P341" t="s">
        <v>13254</v>
      </c>
      <c r="R341" t="s">
        <v>3963</v>
      </c>
    </row>
    <row r="342" spans="5:18">
      <c r="E342" t="s">
        <v>4507</v>
      </c>
      <c r="I342" t="s">
        <v>4508</v>
      </c>
      <c r="K342" t="s">
        <v>13255</v>
      </c>
      <c r="L342" t="s">
        <v>13255</v>
      </c>
      <c r="M342" t="s">
        <v>3963</v>
      </c>
      <c r="N342" t="s">
        <v>3963</v>
      </c>
      <c r="O342" t="s">
        <v>3963</v>
      </c>
      <c r="P342" t="s">
        <v>13255</v>
      </c>
      <c r="R342" t="s">
        <v>3963</v>
      </c>
    </row>
    <row r="343" spans="5:18">
      <c r="E343" t="s">
        <v>4509</v>
      </c>
      <c r="I343" t="s">
        <v>4510</v>
      </c>
      <c r="K343" t="s">
        <v>13256</v>
      </c>
      <c r="L343" t="s">
        <v>13256</v>
      </c>
      <c r="M343" t="s">
        <v>3963</v>
      </c>
      <c r="N343" t="s">
        <v>3963</v>
      </c>
      <c r="O343" t="s">
        <v>3963</v>
      </c>
      <c r="P343" t="s">
        <v>13256</v>
      </c>
      <c r="R343" t="s">
        <v>3963</v>
      </c>
    </row>
    <row r="344" spans="5:18">
      <c r="E344" t="s">
        <v>4511</v>
      </c>
      <c r="I344" t="s">
        <v>4512</v>
      </c>
      <c r="K344" t="s">
        <v>3994</v>
      </c>
      <c r="L344" t="s">
        <v>13257</v>
      </c>
      <c r="M344" t="s">
        <v>3963</v>
      </c>
      <c r="N344" t="s">
        <v>3963</v>
      </c>
      <c r="O344" t="s">
        <v>3963</v>
      </c>
      <c r="P344" t="s">
        <v>13257</v>
      </c>
      <c r="R344" t="s">
        <v>13258</v>
      </c>
    </row>
    <row r="345" spans="5:18">
      <c r="E345" t="s">
        <v>4513</v>
      </c>
      <c r="I345" t="s">
        <v>4514</v>
      </c>
      <c r="K345" t="s">
        <v>13259</v>
      </c>
      <c r="L345" t="s">
        <v>13260</v>
      </c>
      <c r="M345" t="s">
        <v>3963</v>
      </c>
      <c r="N345" t="s">
        <v>3963</v>
      </c>
      <c r="O345" t="s">
        <v>3963</v>
      </c>
      <c r="P345" t="s">
        <v>13260</v>
      </c>
      <c r="R345" t="s">
        <v>13261</v>
      </c>
    </row>
    <row r="346" spans="5:18">
      <c r="E346" t="s">
        <v>4515</v>
      </c>
      <c r="I346" t="s">
        <v>4516</v>
      </c>
      <c r="K346" t="s">
        <v>13262</v>
      </c>
      <c r="L346" t="s">
        <v>13263</v>
      </c>
      <c r="M346" t="s">
        <v>3963</v>
      </c>
      <c r="N346" t="s">
        <v>3963</v>
      </c>
      <c r="O346" t="s">
        <v>3963</v>
      </c>
      <c r="P346" t="s">
        <v>13263</v>
      </c>
      <c r="R346" t="s">
        <v>13264</v>
      </c>
    </row>
    <row r="347" spans="5:18">
      <c r="E347" t="s">
        <v>4517</v>
      </c>
      <c r="I347" t="s">
        <v>4518</v>
      </c>
      <c r="K347" t="s">
        <v>13265</v>
      </c>
      <c r="L347" t="s">
        <v>13266</v>
      </c>
      <c r="M347" t="s">
        <v>3963</v>
      </c>
      <c r="N347" t="s">
        <v>3963</v>
      </c>
      <c r="O347" t="s">
        <v>3963</v>
      </c>
      <c r="P347" t="s">
        <v>13266</v>
      </c>
      <c r="R347" t="s">
        <v>13267</v>
      </c>
    </row>
    <row r="348" spans="5:18">
      <c r="E348" t="s">
        <v>4519</v>
      </c>
      <c r="I348" t="s">
        <v>4520</v>
      </c>
      <c r="K348" t="s">
        <v>13268</v>
      </c>
      <c r="L348" t="s">
        <v>13269</v>
      </c>
      <c r="M348" t="s">
        <v>3963</v>
      </c>
      <c r="N348" t="s">
        <v>3963</v>
      </c>
      <c r="O348" t="s">
        <v>3963</v>
      </c>
      <c r="P348" t="s">
        <v>13269</v>
      </c>
      <c r="R348" t="s">
        <v>13270</v>
      </c>
    </row>
    <row r="349" spans="5:18">
      <c r="E349" t="s">
        <v>4521</v>
      </c>
      <c r="I349" t="s">
        <v>4522</v>
      </c>
      <c r="K349" t="s">
        <v>13271</v>
      </c>
      <c r="L349" t="s">
        <v>13272</v>
      </c>
      <c r="M349" t="s">
        <v>3963</v>
      </c>
      <c r="N349" t="s">
        <v>3963</v>
      </c>
      <c r="O349" t="s">
        <v>3963</v>
      </c>
      <c r="P349" t="s">
        <v>13272</v>
      </c>
      <c r="R349" t="s">
        <v>13273</v>
      </c>
    </row>
    <row r="350" spans="5:18">
      <c r="E350" t="s">
        <v>4523</v>
      </c>
      <c r="I350" t="s">
        <v>4524</v>
      </c>
      <c r="K350" t="s">
        <v>13274</v>
      </c>
      <c r="L350" t="s">
        <v>13274</v>
      </c>
      <c r="M350" t="s">
        <v>3963</v>
      </c>
      <c r="N350" t="s">
        <v>3963</v>
      </c>
      <c r="O350" t="s">
        <v>3963</v>
      </c>
      <c r="P350" t="s">
        <v>13274</v>
      </c>
      <c r="R350" t="s">
        <v>3963</v>
      </c>
    </row>
    <row r="351" spans="5:18">
      <c r="E351" t="s">
        <v>4525</v>
      </c>
      <c r="I351" t="s">
        <v>4526</v>
      </c>
      <c r="K351" t="s">
        <v>3963</v>
      </c>
      <c r="L351" t="s">
        <v>3963</v>
      </c>
      <c r="M351" t="s">
        <v>3963</v>
      </c>
      <c r="N351" t="s">
        <v>3963</v>
      </c>
      <c r="O351" t="s">
        <v>3963</v>
      </c>
      <c r="P351" t="s">
        <v>3963</v>
      </c>
      <c r="R351" t="s">
        <v>3963</v>
      </c>
    </row>
    <row r="352" spans="5:18">
      <c r="E352" t="s">
        <v>4527</v>
      </c>
      <c r="I352" t="s">
        <v>4528</v>
      </c>
      <c r="K352" t="s">
        <v>13275</v>
      </c>
      <c r="L352" t="s">
        <v>13275</v>
      </c>
      <c r="M352" t="s">
        <v>3963</v>
      </c>
      <c r="N352" t="s">
        <v>3963</v>
      </c>
      <c r="O352" t="s">
        <v>3963</v>
      </c>
      <c r="P352" t="s">
        <v>13275</v>
      </c>
      <c r="R352" t="s">
        <v>3963</v>
      </c>
    </row>
    <row r="353" spans="4:18">
      <c r="E353" t="s">
        <v>4529</v>
      </c>
      <c r="I353" t="s">
        <v>4530</v>
      </c>
      <c r="K353" t="s">
        <v>13276</v>
      </c>
      <c r="L353" t="s">
        <v>13277</v>
      </c>
      <c r="M353" t="s">
        <v>3963</v>
      </c>
      <c r="N353" t="s">
        <v>3963</v>
      </c>
      <c r="O353" t="s">
        <v>3963</v>
      </c>
      <c r="P353" t="s">
        <v>13277</v>
      </c>
      <c r="R353" t="s">
        <v>13278</v>
      </c>
    </row>
    <row r="354" spans="4:18">
      <c r="E354" t="s">
        <v>4531</v>
      </c>
      <c r="I354" t="s">
        <v>4528</v>
      </c>
      <c r="K354" t="s">
        <v>13279</v>
      </c>
      <c r="L354" t="s">
        <v>13280</v>
      </c>
      <c r="M354" t="s">
        <v>3963</v>
      </c>
      <c r="N354" t="s">
        <v>3963</v>
      </c>
      <c r="O354" t="s">
        <v>3963</v>
      </c>
      <c r="P354" t="s">
        <v>13280</v>
      </c>
      <c r="R354" t="s">
        <v>13281</v>
      </c>
    </row>
    <row r="355" spans="4:18">
      <c r="E355" t="s">
        <v>4532</v>
      </c>
      <c r="I355" t="s">
        <v>4533</v>
      </c>
      <c r="K355" t="s">
        <v>13282</v>
      </c>
      <c r="L355" t="s">
        <v>13283</v>
      </c>
      <c r="M355" t="s">
        <v>3963</v>
      </c>
      <c r="N355" t="s">
        <v>3963</v>
      </c>
      <c r="O355" t="s">
        <v>3963</v>
      </c>
      <c r="P355" t="s">
        <v>13283</v>
      </c>
      <c r="R355" t="s">
        <v>13284</v>
      </c>
    </row>
    <row r="356" spans="4:18">
      <c r="E356" t="s">
        <v>4534</v>
      </c>
      <c r="I356" t="s">
        <v>4535</v>
      </c>
      <c r="K356" t="s">
        <v>13285</v>
      </c>
      <c r="L356" t="s">
        <v>13286</v>
      </c>
      <c r="M356" t="s">
        <v>3963</v>
      </c>
      <c r="N356" t="s">
        <v>3963</v>
      </c>
      <c r="O356" t="s">
        <v>3963</v>
      </c>
      <c r="P356" t="s">
        <v>13286</v>
      </c>
      <c r="R356" t="s">
        <v>13287</v>
      </c>
    </row>
    <row r="357" spans="4:18">
      <c r="E357" t="s">
        <v>4536</v>
      </c>
      <c r="I357" t="s">
        <v>4537</v>
      </c>
      <c r="K357" t="s">
        <v>13288</v>
      </c>
      <c r="L357" t="s">
        <v>13289</v>
      </c>
      <c r="M357" t="s">
        <v>3963</v>
      </c>
      <c r="N357" t="s">
        <v>3963</v>
      </c>
      <c r="O357" t="s">
        <v>3963</v>
      </c>
      <c r="P357" t="s">
        <v>13289</v>
      </c>
      <c r="R357" t="s">
        <v>13290</v>
      </c>
    </row>
    <row r="358" spans="4:18">
      <c r="E358" t="s">
        <v>4538</v>
      </c>
      <c r="I358" t="s">
        <v>4539</v>
      </c>
      <c r="K358" t="s">
        <v>13291</v>
      </c>
      <c r="L358" t="s">
        <v>13292</v>
      </c>
      <c r="M358" t="s">
        <v>3963</v>
      </c>
      <c r="N358" t="s">
        <v>3963</v>
      </c>
      <c r="O358" t="s">
        <v>3963</v>
      </c>
      <c r="P358" t="s">
        <v>13292</v>
      </c>
      <c r="R358" t="s">
        <v>13293</v>
      </c>
    </row>
    <row r="359" spans="4:18">
      <c r="D359" t="s">
        <v>77</v>
      </c>
      <c r="H359" t="s">
        <v>4540</v>
      </c>
      <c r="K359" t="s">
        <v>13294</v>
      </c>
      <c r="L359" t="s">
        <v>13295</v>
      </c>
      <c r="M359" t="s">
        <v>18685</v>
      </c>
      <c r="N359" t="s">
        <v>18686</v>
      </c>
      <c r="O359" t="s">
        <v>3963</v>
      </c>
      <c r="P359" t="s">
        <v>18687</v>
      </c>
      <c r="R359" t="s">
        <v>18688</v>
      </c>
    </row>
    <row r="360" spans="4:18">
      <c r="E360" t="s">
        <v>4541</v>
      </c>
      <c r="I360" t="s">
        <v>4542</v>
      </c>
      <c r="K360" t="s">
        <v>13294</v>
      </c>
      <c r="L360" t="s">
        <v>13295</v>
      </c>
      <c r="M360" t="s">
        <v>18685</v>
      </c>
      <c r="N360" t="s">
        <v>18686</v>
      </c>
      <c r="O360" t="s">
        <v>3963</v>
      </c>
      <c r="P360" t="s">
        <v>18687</v>
      </c>
      <c r="R360" t="s">
        <v>18688</v>
      </c>
    </row>
    <row r="361" spans="4:18">
      <c r="E361" t="s">
        <v>4543</v>
      </c>
      <c r="I361" t="s">
        <v>3989</v>
      </c>
      <c r="K361" t="s">
        <v>3963</v>
      </c>
      <c r="L361" t="s">
        <v>3963</v>
      </c>
      <c r="M361" t="s">
        <v>3963</v>
      </c>
      <c r="N361" t="s">
        <v>3963</v>
      </c>
      <c r="O361" t="s">
        <v>3963</v>
      </c>
      <c r="P361" t="s">
        <v>3963</v>
      </c>
      <c r="R361" t="s">
        <v>3963</v>
      </c>
    </row>
    <row r="362" spans="4:18">
      <c r="D362" t="s">
        <v>149</v>
      </c>
      <c r="H362" t="s">
        <v>4544</v>
      </c>
      <c r="K362" t="s">
        <v>13296</v>
      </c>
      <c r="L362" t="s">
        <v>13297</v>
      </c>
      <c r="M362" t="s">
        <v>3963</v>
      </c>
      <c r="N362" t="s">
        <v>3963</v>
      </c>
      <c r="O362" t="s">
        <v>3963</v>
      </c>
      <c r="P362" t="s">
        <v>13297</v>
      </c>
      <c r="R362" t="s">
        <v>13298</v>
      </c>
    </row>
    <row r="363" spans="4:18">
      <c r="E363" t="s">
        <v>4545</v>
      </c>
      <c r="I363" t="s">
        <v>4546</v>
      </c>
      <c r="K363" t="s">
        <v>13299</v>
      </c>
      <c r="L363" t="s">
        <v>13300</v>
      </c>
      <c r="M363" t="s">
        <v>3963</v>
      </c>
      <c r="N363" t="s">
        <v>3963</v>
      </c>
      <c r="O363" t="s">
        <v>3963</v>
      </c>
      <c r="P363" t="s">
        <v>13300</v>
      </c>
      <c r="R363" t="s">
        <v>13301</v>
      </c>
    </row>
    <row r="364" spans="4:18">
      <c r="E364" t="s">
        <v>4547</v>
      </c>
      <c r="I364" t="s">
        <v>3989</v>
      </c>
      <c r="K364" t="s">
        <v>13302</v>
      </c>
      <c r="L364" t="s">
        <v>13303</v>
      </c>
      <c r="M364" t="s">
        <v>3963</v>
      </c>
      <c r="N364" t="s">
        <v>3963</v>
      </c>
      <c r="O364" t="s">
        <v>3963</v>
      </c>
      <c r="P364" t="s">
        <v>13303</v>
      </c>
      <c r="R364" t="s">
        <v>13304</v>
      </c>
    </row>
    <row r="365" spans="4:18">
      <c r="D365" t="s">
        <v>147</v>
      </c>
      <c r="H365" t="s">
        <v>4435</v>
      </c>
      <c r="K365" t="s">
        <v>6956</v>
      </c>
      <c r="L365" t="s">
        <v>13305</v>
      </c>
      <c r="M365" t="s">
        <v>3963</v>
      </c>
      <c r="N365" t="s">
        <v>3963</v>
      </c>
      <c r="O365" t="s">
        <v>3963</v>
      </c>
      <c r="P365" t="s">
        <v>13305</v>
      </c>
      <c r="R365" t="s">
        <v>13306</v>
      </c>
    </row>
    <row r="366" spans="4:18">
      <c r="E366" t="s">
        <v>4548</v>
      </c>
      <c r="I366" t="s">
        <v>4549</v>
      </c>
      <c r="K366" t="s">
        <v>3963</v>
      </c>
      <c r="L366" t="s">
        <v>3963</v>
      </c>
      <c r="M366" t="s">
        <v>3963</v>
      </c>
      <c r="N366" t="s">
        <v>3963</v>
      </c>
      <c r="O366" t="s">
        <v>3963</v>
      </c>
      <c r="P366" t="s">
        <v>3963</v>
      </c>
      <c r="R366" t="s">
        <v>3963</v>
      </c>
    </row>
    <row r="367" spans="4:18">
      <c r="E367" t="s">
        <v>4550</v>
      </c>
      <c r="I367" t="s">
        <v>4551</v>
      </c>
      <c r="K367" t="s">
        <v>13307</v>
      </c>
      <c r="L367" t="s">
        <v>13308</v>
      </c>
      <c r="M367" t="s">
        <v>3963</v>
      </c>
      <c r="N367" t="s">
        <v>3963</v>
      </c>
      <c r="O367" t="s">
        <v>3963</v>
      </c>
      <c r="P367" t="s">
        <v>13308</v>
      </c>
      <c r="R367" t="s">
        <v>13309</v>
      </c>
    </row>
    <row r="368" spans="4:18">
      <c r="E368" t="s">
        <v>4552</v>
      </c>
      <c r="I368" t="s">
        <v>4553</v>
      </c>
      <c r="K368" t="s">
        <v>13310</v>
      </c>
      <c r="L368" t="s">
        <v>13311</v>
      </c>
      <c r="M368" t="s">
        <v>3963</v>
      </c>
      <c r="N368" t="s">
        <v>3963</v>
      </c>
      <c r="O368" t="s">
        <v>3963</v>
      </c>
      <c r="P368" t="s">
        <v>13311</v>
      </c>
      <c r="R368" t="s">
        <v>13312</v>
      </c>
    </row>
    <row r="369" spans="4:18">
      <c r="E369" t="s">
        <v>4554</v>
      </c>
      <c r="I369" t="s">
        <v>4555</v>
      </c>
      <c r="K369" t="s">
        <v>13313</v>
      </c>
      <c r="L369" t="s">
        <v>13314</v>
      </c>
      <c r="M369" t="s">
        <v>3963</v>
      </c>
      <c r="N369" t="s">
        <v>3963</v>
      </c>
      <c r="O369" t="s">
        <v>3963</v>
      </c>
      <c r="P369" t="s">
        <v>13314</v>
      </c>
      <c r="R369" t="s">
        <v>13315</v>
      </c>
    </row>
    <row r="370" spans="4:18">
      <c r="E370" t="s">
        <v>4556</v>
      </c>
      <c r="I370" t="s">
        <v>4557</v>
      </c>
      <c r="K370" t="s">
        <v>13316</v>
      </c>
      <c r="L370" t="s">
        <v>13317</v>
      </c>
      <c r="M370" t="s">
        <v>3963</v>
      </c>
      <c r="N370" t="s">
        <v>3963</v>
      </c>
      <c r="O370" t="s">
        <v>3963</v>
      </c>
      <c r="P370" t="s">
        <v>13317</v>
      </c>
      <c r="R370" t="s">
        <v>13318</v>
      </c>
    </row>
    <row r="371" spans="4:18">
      <c r="D371" t="s">
        <v>155</v>
      </c>
      <c r="H371" t="s">
        <v>4558</v>
      </c>
      <c r="K371" t="s">
        <v>13319</v>
      </c>
      <c r="L371" t="s">
        <v>13320</v>
      </c>
      <c r="M371" t="s">
        <v>3963</v>
      </c>
      <c r="N371" t="s">
        <v>3963</v>
      </c>
      <c r="O371" t="s">
        <v>3963</v>
      </c>
      <c r="P371" t="s">
        <v>13320</v>
      </c>
      <c r="R371" t="s">
        <v>13321</v>
      </c>
    </row>
    <row r="372" spans="4:18">
      <c r="E372" t="s">
        <v>4559</v>
      </c>
      <c r="I372" t="s">
        <v>4560</v>
      </c>
      <c r="K372" t="s">
        <v>13322</v>
      </c>
      <c r="L372" t="s">
        <v>13323</v>
      </c>
      <c r="M372" t="s">
        <v>3963</v>
      </c>
      <c r="N372" t="s">
        <v>3963</v>
      </c>
      <c r="O372" t="s">
        <v>3963</v>
      </c>
      <c r="P372" t="s">
        <v>13323</v>
      </c>
      <c r="R372" t="s">
        <v>13324</v>
      </c>
    </row>
    <row r="373" spans="4:18">
      <c r="E373" t="s">
        <v>4561</v>
      </c>
      <c r="I373" t="s">
        <v>3989</v>
      </c>
      <c r="K373" t="s">
        <v>4162</v>
      </c>
      <c r="L373" t="s">
        <v>13325</v>
      </c>
      <c r="M373" t="s">
        <v>3963</v>
      </c>
      <c r="N373" t="s">
        <v>3963</v>
      </c>
      <c r="O373" t="s">
        <v>3963</v>
      </c>
      <c r="P373" t="s">
        <v>13325</v>
      </c>
      <c r="R373" t="s">
        <v>13326</v>
      </c>
    </row>
    <row r="374" spans="4:18">
      <c r="D374" t="s">
        <v>157</v>
      </c>
      <c r="H374" t="s">
        <v>4562</v>
      </c>
      <c r="K374" t="s">
        <v>13327</v>
      </c>
      <c r="L374" t="s">
        <v>13328</v>
      </c>
      <c r="M374" t="s">
        <v>3963</v>
      </c>
      <c r="N374" t="s">
        <v>3963</v>
      </c>
      <c r="O374" t="s">
        <v>3963</v>
      </c>
      <c r="P374" t="s">
        <v>13328</v>
      </c>
      <c r="R374" t="s">
        <v>13329</v>
      </c>
    </row>
    <row r="375" spans="4:18">
      <c r="E375" t="s">
        <v>4563</v>
      </c>
      <c r="I375" t="s">
        <v>4564</v>
      </c>
      <c r="K375" t="s">
        <v>13330</v>
      </c>
      <c r="L375" t="s">
        <v>13328</v>
      </c>
      <c r="M375" t="s">
        <v>3963</v>
      </c>
      <c r="N375" t="s">
        <v>3963</v>
      </c>
      <c r="O375" t="s">
        <v>3963</v>
      </c>
      <c r="P375" t="s">
        <v>13328</v>
      </c>
      <c r="R375" t="s">
        <v>13331</v>
      </c>
    </row>
    <row r="376" spans="4:18">
      <c r="E376" t="s">
        <v>4565</v>
      </c>
      <c r="I376" t="s">
        <v>3989</v>
      </c>
      <c r="K376" t="s">
        <v>13036</v>
      </c>
      <c r="L376" t="s">
        <v>3963</v>
      </c>
      <c r="M376" t="s">
        <v>3963</v>
      </c>
      <c r="N376" t="s">
        <v>3963</v>
      </c>
      <c r="O376" t="s">
        <v>3963</v>
      </c>
      <c r="P376" t="s">
        <v>3963</v>
      </c>
      <c r="R376" t="s">
        <v>13036</v>
      </c>
    </row>
    <row r="377" spans="4:18">
      <c r="D377" t="s">
        <v>163</v>
      </c>
      <c r="H377" t="s">
        <v>4566</v>
      </c>
      <c r="K377" t="s">
        <v>13332</v>
      </c>
      <c r="L377" t="s">
        <v>13333</v>
      </c>
      <c r="M377" t="s">
        <v>3963</v>
      </c>
      <c r="N377" t="s">
        <v>3963</v>
      </c>
      <c r="O377" t="s">
        <v>3963</v>
      </c>
      <c r="P377" t="s">
        <v>13333</v>
      </c>
      <c r="R377" t="s">
        <v>13334</v>
      </c>
    </row>
    <row r="378" spans="4:18">
      <c r="E378" t="s">
        <v>4567</v>
      </c>
      <c r="I378" t="s">
        <v>4568</v>
      </c>
      <c r="K378" t="s">
        <v>13335</v>
      </c>
      <c r="L378" t="s">
        <v>13333</v>
      </c>
      <c r="M378" t="s">
        <v>3963</v>
      </c>
      <c r="N378" t="s">
        <v>3963</v>
      </c>
      <c r="O378" t="s">
        <v>3963</v>
      </c>
      <c r="P378" t="s">
        <v>13333</v>
      </c>
      <c r="R378" t="s">
        <v>13336</v>
      </c>
    </row>
    <row r="379" spans="4:18">
      <c r="E379" t="s">
        <v>4569</v>
      </c>
      <c r="I379" t="s">
        <v>3989</v>
      </c>
      <c r="K379" t="s">
        <v>13337</v>
      </c>
      <c r="L379" t="s">
        <v>3963</v>
      </c>
      <c r="M379" t="s">
        <v>3963</v>
      </c>
      <c r="N379" t="s">
        <v>3963</v>
      </c>
      <c r="O379" t="s">
        <v>3963</v>
      </c>
      <c r="P379" t="s">
        <v>3963</v>
      </c>
      <c r="R379" t="s">
        <v>13337</v>
      </c>
    </row>
    <row r="380" spans="4:18">
      <c r="D380" t="s">
        <v>153</v>
      </c>
      <c r="H380" t="s">
        <v>4435</v>
      </c>
      <c r="K380" t="s">
        <v>6956</v>
      </c>
      <c r="L380" t="s">
        <v>13338</v>
      </c>
      <c r="M380" t="s">
        <v>3963</v>
      </c>
      <c r="N380" t="s">
        <v>3963</v>
      </c>
      <c r="O380" t="s">
        <v>3963</v>
      </c>
      <c r="P380" t="s">
        <v>13338</v>
      </c>
      <c r="R380" t="s">
        <v>13339</v>
      </c>
    </row>
    <row r="381" spans="4:18">
      <c r="E381" t="s">
        <v>4570</v>
      </c>
      <c r="I381" t="s">
        <v>4549</v>
      </c>
      <c r="K381" t="s">
        <v>3963</v>
      </c>
      <c r="L381" t="s">
        <v>3963</v>
      </c>
      <c r="M381" t="s">
        <v>3963</v>
      </c>
      <c r="N381" t="s">
        <v>3963</v>
      </c>
      <c r="O381" t="s">
        <v>3963</v>
      </c>
      <c r="P381" t="s">
        <v>3963</v>
      </c>
      <c r="R381" t="s">
        <v>3963</v>
      </c>
    </row>
    <row r="382" spans="4:18">
      <c r="E382" t="s">
        <v>4571</v>
      </c>
      <c r="I382" t="s">
        <v>4572</v>
      </c>
      <c r="K382" t="s">
        <v>4573</v>
      </c>
      <c r="L382" t="s">
        <v>13340</v>
      </c>
      <c r="M382" t="s">
        <v>3963</v>
      </c>
      <c r="N382" t="s">
        <v>3963</v>
      </c>
      <c r="O382" t="s">
        <v>3963</v>
      </c>
      <c r="P382" t="s">
        <v>13340</v>
      </c>
      <c r="R382" t="s">
        <v>13341</v>
      </c>
    </row>
    <row r="383" spans="4:18">
      <c r="E383" t="s">
        <v>4574</v>
      </c>
      <c r="I383" t="s">
        <v>4575</v>
      </c>
      <c r="K383" t="s">
        <v>13342</v>
      </c>
      <c r="L383" t="s">
        <v>13343</v>
      </c>
      <c r="M383" t="s">
        <v>3963</v>
      </c>
      <c r="N383" t="s">
        <v>3963</v>
      </c>
      <c r="O383" t="s">
        <v>3963</v>
      </c>
      <c r="P383" t="s">
        <v>13343</v>
      </c>
      <c r="R383" t="s">
        <v>13344</v>
      </c>
    </row>
    <row r="384" spans="4:18">
      <c r="E384" t="s">
        <v>4576</v>
      </c>
      <c r="I384" t="s">
        <v>4577</v>
      </c>
      <c r="K384" t="s">
        <v>12540</v>
      </c>
      <c r="L384" t="s">
        <v>13345</v>
      </c>
      <c r="M384" t="s">
        <v>3963</v>
      </c>
      <c r="N384" t="s">
        <v>3963</v>
      </c>
      <c r="O384" t="s">
        <v>3963</v>
      </c>
      <c r="P384" t="s">
        <v>13345</v>
      </c>
      <c r="R384" t="s">
        <v>13346</v>
      </c>
    </row>
    <row r="385" spans="4:18">
      <c r="D385" t="s">
        <v>167</v>
      </c>
      <c r="H385" t="s">
        <v>4578</v>
      </c>
      <c r="K385" t="s">
        <v>13347</v>
      </c>
      <c r="L385" t="s">
        <v>13348</v>
      </c>
      <c r="M385" t="s">
        <v>3963</v>
      </c>
      <c r="N385" t="s">
        <v>3963</v>
      </c>
      <c r="O385" t="s">
        <v>3963</v>
      </c>
      <c r="P385" t="s">
        <v>13348</v>
      </c>
      <c r="R385" t="s">
        <v>13349</v>
      </c>
    </row>
    <row r="386" spans="4:18">
      <c r="E386" t="s">
        <v>4579</v>
      </c>
      <c r="I386" t="s">
        <v>4580</v>
      </c>
      <c r="K386" t="s">
        <v>13350</v>
      </c>
      <c r="L386" t="s">
        <v>13351</v>
      </c>
      <c r="M386" t="s">
        <v>3963</v>
      </c>
      <c r="N386" t="s">
        <v>3963</v>
      </c>
      <c r="O386" t="s">
        <v>3963</v>
      </c>
      <c r="P386" t="s">
        <v>13351</v>
      </c>
      <c r="R386" t="s">
        <v>13352</v>
      </c>
    </row>
    <row r="387" spans="4:18">
      <c r="E387" t="s">
        <v>4581</v>
      </c>
      <c r="I387" t="s">
        <v>4580</v>
      </c>
      <c r="K387" t="s">
        <v>13353</v>
      </c>
      <c r="L387" t="s">
        <v>13354</v>
      </c>
      <c r="M387" t="s">
        <v>3963</v>
      </c>
      <c r="N387" t="s">
        <v>3963</v>
      </c>
      <c r="O387" t="s">
        <v>3963</v>
      </c>
      <c r="P387" t="s">
        <v>13354</v>
      </c>
      <c r="R387" t="s">
        <v>13355</v>
      </c>
    </row>
    <row r="388" spans="4:18">
      <c r="E388" t="s">
        <v>4582</v>
      </c>
      <c r="I388" t="s">
        <v>3989</v>
      </c>
      <c r="K388" t="s">
        <v>3994</v>
      </c>
      <c r="L388" t="s">
        <v>13356</v>
      </c>
      <c r="M388" t="s">
        <v>3963</v>
      </c>
      <c r="N388" t="s">
        <v>3963</v>
      </c>
      <c r="O388" t="s">
        <v>3963</v>
      </c>
      <c r="P388" t="s">
        <v>13356</v>
      </c>
      <c r="R388" t="s">
        <v>13357</v>
      </c>
    </row>
    <row r="389" spans="4:18">
      <c r="D389" t="s">
        <v>151</v>
      </c>
      <c r="H389" t="s">
        <v>4583</v>
      </c>
      <c r="K389" t="s">
        <v>13358</v>
      </c>
      <c r="L389" t="s">
        <v>13359</v>
      </c>
      <c r="M389" t="s">
        <v>3963</v>
      </c>
      <c r="N389" t="s">
        <v>3963</v>
      </c>
      <c r="O389" t="s">
        <v>3963</v>
      </c>
      <c r="P389" t="s">
        <v>13359</v>
      </c>
      <c r="R389" t="s">
        <v>13360</v>
      </c>
    </row>
    <row r="390" spans="4:18">
      <c r="E390" t="s">
        <v>4584</v>
      </c>
      <c r="I390" t="s">
        <v>4585</v>
      </c>
      <c r="K390" t="s">
        <v>13358</v>
      </c>
      <c r="L390" t="s">
        <v>13359</v>
      </c>
      <c r="M390" t="s">
        <v>3963</v>
      </c>
      <c r="N390" t="s">
        <v>3963</v>
      </c>
      <c r="O390" t="s">
        <v>3963</v>
      </c>
      <c r="P390" t="s">
        <v>13359</v>
      </c>
      <c r="R390" t="s">
        <v>13360</v>
      </c>
    </row>
    <row r="391" spans="4:18">
      <c r="D391" t="s">
        <v>165</v>
      </c>
      <c r="H391" t="s">
        <v>4586</v>
      </c>
      <c r="K391" t="s">
        <v>13361</v>
      </c>
      <c r="L391" t="s">
        <v>13362</v>
      </c>
      <c r="M391" t="s">
        <v>3963</v>
      </c>
      <c r="N391" t="s">
        <v>3963</v>
      </c>
      <c r="O391" t="s">
        <v>3963</v>
      </c>
      <c r="P391" t="s">
        <v>13362</v>
      </c>
      <c r="R391" t="s">
        <v>13363</v>
      </c>
    </row>
    <row r="392" spans="4:18">
      <c r="E392" t="s">
        <v>4587</v>
      </c>
      <c r="I392" t="s">
        <v>4588</v>
      </c>
      <c r="K392" t="s">
        <v>13364</v>
      </c>
      <c r="L392" t="s">
        <v>13365</v>
      </c>
      <c r="M392" t="s">
        <v>3963</v>
      </c>
      <c r="N392" t="s">
        <v>3963</v>
      </c>
      <c r="O392" t="s">
        <v>3963</v>
      </c>
      <c r="P392" t="s">
        <v>13365</v>
      </c>
      <c r="R392" t="s">
        <v>13366</v>
      </c>
    </row>
    <row r="393" spans="4:18">
      <c r="E393" t="s">
        <v>4589</v>
      </c>
      <c r="I393" t="s">
        <v>4590</v>
      </c>
      <c r="K393" t="s">
        <v>13367</v>
      </c>
      <c r="L393" t="s">
        <v>3963</v>
      </c>
      <c r="M393" t="s">
        <v>3963</v>
      </c>
      <c r="N393" t="s">
        <v>3963</v>
      </c>
      <c r="O393" t="s">
        <v>3963</v>
      </c>
      <c r="P393" t="s">
        <v>3963</v>
      </c>
      <c r="R393" t="s">
        <v>13367</v>
      </c>
    </row>
    <row r="394" spans="4:18">
      <c r="E394" t="s">
        <v>4591</v>
      </c>
      <c r="I394" t="s">
        <v>4592</v>
      </c>
      <c r="K394" t="s">
        <v>13368</v>
      </c>
      <c r="L394" t="s">
        <v>13369</v>
      </c>
      <c r="M394" t="s">
        <v>3963</v>
      </c>
      <c r="N394" t="s">
        <v>3963</v>
      </c>
      <c r="O394" t="s">
        <v>3963</v>
      </c>
      <c r="P394" t="s">
        <v>13369</v>
      </c>
      <c r="R394" t="s">
        <v>13370</v>
      </c>
    </row>
    <row r="395" spans="4:18">
      <c r="E395" t="s">
        <v>4593</v>
      </c>
      <c r="I395" t="s">
        <v>3989</v>
      </c>
      <c r="K395" t="s">
        <v>13371</v>
      </c>
      <c r="L395" t="s">
        <v>13372</v>
      </c>
      <c r="M395" t="s">
        <v>3963</v>
      </c>
      <c r="N395" t="s">
        <v>3963</v>
      </c>
      <c r="O395" t="s">
        <v>3963</v>
      </c>
      <c r="P395" t="s">
        <v>13372</v>
      </c>
      <c r="R395" t="s">
        <v>13373</v>
      </c>
    </row>
    <row r="396" spans="4:18">
      <c r="D396" t="s">
        <v>169</v>
      </c>
      <c r="H396" t="s">
        <v>4594</v>
      </c>
      <c r="K396" t="s">
        <v>13374</v>
      </c>
      <c r="L396" t="s">
        <v>13375</v>
      </c>
      <c r="M396" t="s">
        <v>3963</v>
      </c>
      <c r="N396" t="s">
        <v>3963</v>
      </c>
      <c r="O396" t="s">
        <v>3963</v>
      </c>
      <c r="P396" t="s">
        <v>13375</v>
      </c>
      <c r="R396" t="s">
        <v>13376</v>
      </c>
    </row>
    <row r="397" spans="4:18">
      <c r="E397" t="s">
        <v>4595</v>
      </c>
      <c r="I397" t="s">
        <v>4590</v>
      </c>
      <c r="K397" t="s">
        <v>13377</v>
      </c>
      <c r="L397" t="s">
        <v>13378</v>
      </c>
      <c r="M397" t="s">
        <v>3963</v>
      </c>
      <c r="N397" t="s">
        <v>3963</v>
      </c>
      <c r="O397" t="s">
        <v>3963</v>
      </c>
      <c r="P397" t="s">
        <v>13378</v>
      </c>
      <c r="R397" t="s">
        <v>13379</v>
      </c>
    </row>
    <row r="398" spans="4:18">
      <c r="E398" t="s">
        <v>4596</v>
      </c>
      <c r="I398" t="s">
        <v>4597</v>
      </c>
      <c r="K398" t="s">
        <v>3963</v>
      </c>
      <c r="L398" t="s">
        <v>3963</v>
      </c>
      <c r="M398" t="s">
        <v>3963</v>
      </c>
      <c r="N398" t="s">
        <v>3963</v>
      </c>
      <c r="O398" t="s">
        <v>3963</v>
      </c>
      <c r="P398" t="s">
        <v>3963</v>
      </c>
      <c r="R398" t="s">
        <v>3963</v>
      </c>
    </row>
    <row r="399" spans="4:18">
      <c r="E399" t="s">
        <v>4598</v>
      </c>
      <c r="I399" t="s">
        <v>4599</v>
      </c>
      <c r="K399" t="s">
        <v>13380</v>
      </c>
      <c r="L399" t="s">
        <v>13381</v>
      </c>
      <c r="M399" t="s">
        <v>3963</v>
      </c>
      <c r="N399" t="s">
        <v>3963</v>
      </c>
      <c r="O399" t="s">
        <v>3963</v>
      </c>
      <c r="P399" t="s">
        <v>13381</v>
      </c>
      <c r="R399" t="s">
        <v>13382</v>
      </c>
    </row>
    <row r="400" spans="4:18">
      <c r="D400" t="s">
        <v>173</v>
      </c>
      <c r="H400" t="s">
        <v>4600</v>
      </c>
      <c r="K400" t="s">
        <v>13383</v>
      </c>
      <c r="L400" t="s">
        <v>13384</v>
      </c>
      <c r="M400" t="s">
        <v>3963</v>
      </c>
      <c r="N400" t="s">
        <v>3963</v>
      </c>
      <c r="O400" t="s">
        <v>3963</v>
      </c>
      <c r="P400" t="s">
        <v>13384</v>
      </c>
      <c r="R400" t="s">
        <v>13385</v>
      </c>
    </row>
    <row r="401" spans="4:18">
      <c r="E401" t="s">
        <v>4601</v>
      </c>
      <c r="I401" t="s">
        <v>4602</v>
      </c>
      <c r="K401" t="s">
        <v>13386</v>
      </c>
      <c r="L401" t="s">
        <v>13387</v>
      </c>
      <c r="M401" t="s">
        <v>3963</v>
      </c>
      <c r="N401" t="s">
        <v>3963</v>
      </c>
      <c r="O401" t="s">
        <v>3963</v>
      </c>
      <c r="P401" t="s">
        <v>13387</v>
      </c>
      <c r="R401" t="s">
        <v>13388</v>
      </c>
    </row>
    <row r="402" spans="4:18">
      <c r="E402" t="s">
        <v>4603</v>
      </c>
      <c r="I402" t="s">
        <v>4604</v>
      </c>
      <c r="K402" t="s">
        <v>13389</v>
      </c>
      <c r="L402" t="s">
        <v>13390</v>
      </c>
      <c r="M402" t="s">
        <v>3963</v>
      </c>
      <c r="N402" t="s">
        <v>3963</v>
      </c>
      <c r="O402" t="s">
        <v>3963</v>
      </c>
      <c r="P402" t="s">
        <v>13390</v>
      </c>
      <c r="R402" t="s">
        <v>13391</v>
      </c>
    </row>
    <row r="403" spans="4:18">
      <c r="E403" t="s">
        <v>4605</v>
      </c>
      <c r="I403" t="s">
        <v>4599</v>
      </c>
      <c r="K403" t="s">
        <v>13392</v>
      </c>
      <c r="L403" t="s">
        <v>13393</v>
      </c>
      <c r="M403" t="s">
        <v>3963</v>
      </c>
      <c r="N403" t="s">
        <v>3963</v>
      </c>
      <c r="O403" t="s">
        <v>3963</v>
      </c>
      <c r="P403" t="s">
        <v>13393</v>
      </c>
      <c r="R403" t="s">
        <v>13394</v>
      </c>
    </row>
    <row r="404" spans="4:18">
      <c r="E404" t="s">
        <v>4606</v>
      </c>
      <c r="I404" t="s">
        <v>3989</v>
      </c>
      <c r="K404" t="s">
        <v>3963</v>
      </c>
      <c r="L404" t="s">
        <v>3963</v>
      </c>
      <c r="M404" t="s">
        <v>3963</v>
      </c>
      <c r="N404" t="s">
        <v>3963</v>
      </c>
      <c r="O404" t="s">
        <v>3963</v>
      </c>
      <c r="P404" t="s">
        <v>3963</v>
      </c>
      <c r="R404" t="s">
        <v>3963</v>
      </c>
    </row>
    <row r="405" spans="4:18">
      <c r="D405" t="s">
        <v>171</v>
      </c>
      <c r="H405" t="s">
        <v>4607</v>
      </c>
      <c r="K405" t="s">
        <v>13395</v>
      </c>
      <c r="L405" t="s">
        <v>13396</v>
      </c>
      <c r="M405" t="s">
        <v>3963</v>
      </c>
      <c r="N405" t="s">
        <v>3963</v>
      </c>
      <c r="O405" t="s">
        <v>3963</v>
      </c>
      <c r="P405" t="s">
        <v>13396</v>
      </c>
      <c r="R405" t="s">
        <v>13397</v>
      </c>
    </row>
    <row r="406" spans="4:18">
      <c r="E406" t="s">
        <v>4608</v>
      </c>
      <c r="I406" t="s">
        <v>4604</v>
      </c>
      <c r="K406" t="s">
        <v>13398</v>
      </c>
      <c r="L406" t="s">
        <v>13399</v>
      </c>
      <c r="M406" t="s">
        <v>3963</v>
      </c>
      <c r="N406" t="s">
        <v>3963</v>
      </c>
      <c r="O406" t="s">
        <v>3963</v>
      </c>
      <c r="P406" t="s">
        <v>13399</v>
      </c>
      <c r="R406" t="s">
        <v>13400</v>
      </c>
    </row>
    <row r="407" spans="4:18">
      <c r="E407" t="s">
        <v>4609</v>
      </c>
      <c r="I407" t="s">
        <v>4602</v>
      </c>
      <c r="K407" t="s">
        <v>13401</v>
      </c>
      <c r="L407" t="s">
        <v>13402</v>
      </c>
      <c r="M407" t="s">
        <v>3963</v>
      </c>
      <c r="N407" t="s">
        <v>3963</v>
      </c>
      <c r="O407" t="s">
        <v>3963</v>
      </c>
      <c r="P407" t="s">
        <v>13402</v>
      </c>
      <c r="R407" t="s">
        <v>13403</v>
      </c>
    </row>
    <row r="408" spans="4:18">
      <c r="E408" t="s">
        <v>4610</v>
      </c>
      <c r="I408" t="s">
        <v>4599</v>
      </c>
      <c r="K408" t="s">
        <v>4307</v>
      </c>
      <c r="L408" t="s">
        <v>13404</v>
      </c>
      <c r="M408" t="s">
        <v>3963</v>
      </c>
      <c r="N408" t="s">
        <v>3963</v>
      </c>
      <c r="O408" t="s">
        <v>3963</v>
      </c>
      <c r="P408" t="s">
        <v>13404</v>
      </c>
      <c r="R408" t="s">
        <v>13405</v>
      </c>
    </row>
    <row r="409" spans="4:18">
      <c r="D409" t="s">
        <v>175</v>
      </c>
      <c r="H409" t="s">
        <v>4611</v>
      </c>
      <c r="K409" t="s">
        <v>13406</v>
      </c>
      <c r="L409" t="s">
        <v>13407</v>
      </c>
      <c r="M409" t="s">
        <v>3963</v>
      </c>
      <c r="N409" t="s">
        <v>3963</v>
      </c>
      <c r="O409" t="s">
        <v>3963</v>
      </c>
      <c r="P409" t="s">
        <v>13407</v>
      </c>
      <c r="R409" t="s">
        <v>13408</v>
      </c>
    </row>
    <row r="410" spans="4:18">
      <c r="E410" t="s">
        <v>4612</v>
      </c>
      <c r="I410" t="s">
        <v>4613</v>
      </c>
      <c r="K410" t="s">
        <v>4091</v>
      </c>
      <c r="L410" t="s">
        <v>13409</v>
      </c>
      <c r="M410" t="s">
        <v>3963</v>
      </c>
      <c r="N410" t="s">
        <v>3963</v>
      </c>
      <c r="O410" t="s">
        <v>3963</v>
      </c>
      <c r="P410" t="s">
        <v>13409</v>
      </c>
      <c r="R410" t="s">
        <v>4614</v>
      </c>
    </row>
    <row r="411" spans="4:18">
      <c r="E411" t="s">
        <v>4615</v>
      </c>
      <c r="I411" t="s">
        <v>4616</v>
      </c>
      <c r="K411" t="s">
        <v>13410</v>
      </c>
      <c r="L411" t="s">
        <v>13411</v>
      </c>
      <c r="M411" t="s">
        <v>3963</v>
      </c>
      <c r="N411" t="s">
        <v>3963</v>
      </c>
      <c r="O411" t="s">
        <v>3963</v>
      </c>
      <c r="P411" t="s">
        <v>13411</v>
      </c>
      <c r="R411" t="s">
        <v>13412</v>
      </c>
    </row>
    <row r="412" spans="4:18">
      <c r="E412" t="s">
        <v>4617</v>
      </c>
      <c r="I412" t="s">
        <v>4618</v>
      </c>
      <c r="K412" t="s">
        <v>3963</v>
      </c>
      <c r="L412" t="s">
        <v>3963</v>
      </c>
      <c r="M412" t="s">
        <v>3963</v>
      </c>
      <c r="N412" t="s">
        <v>3963</v>
      </c>
      <c r="O412" t="s">
        <v>3963</v>
      </c>
      <c r="P412" t="s">
        <v>3963</v>
      </c>
      <c r="R412" t="s">
        <v>3963</v>
      </c>
    </row>
    <row r="413" spans="4:18">
      <c r="D413" t="s">
        <v>208</v>
      </c>
      <c r="H413" t="s">
        <v>4619</v>
      </c>
      <c r="K413" t="s">
        <v>13413</v>
      </c>
      <c r="L413" t="s">
        <v>13414</v>
      </c>
      <c r="M413" t="s">
        <v>3963</v>
      </c>
      <c r="N413" t="s">
        <v>3963</v>
      </c>
      <c r="O413" t="s">
        <v>3963</v>
      </c>
      <c r="P413" t="s">
        <v>13414</v>
      </c>
      <c r="R413" t="s">
        <v>13415</v>
      </c>
    </row>
    <row r="414" spans="4:18">
      <c r="E414" t="s">
        <v>4620</v>
      </c>
      <c r="I414" t="s">
        <v>4621</v>
      </c>
      <c r="K414" t="s">
        <v>13416</v>
      </c>
      <c r="L414" t="s">
        <v>3963</v>
      </c>
      <c r="M414" t="s">
        <v>3963</v>
      </c>
      <c r="N414" t="s">
        <v>3963</v>
      </c>
      <c r="O414" t="s">
        <v>3963</v>
      </c>
      <c r="P414" t="s">
        <v>3963</v>
      </c>
      <c r="R414" t="s">
        <v>13416</v>
      </c>
    </row>
    <row r="415" spans="4:18">
      <c r="E415" t="s">
        <v>4622</v>
      </c>
      <c r="I415" t="s">
        <v>4623</v>
      </c>
      <c r="K415" t="s">
        <v>13417</v>
      </c>
      <c r="L415" t="s">
        <v>13418</v>
      </c>
      <c r="M415" t="s">
        <v>3963</v>
      </c>
      <c r="N415" t="s">
        <v>3963</v>
      </c>
      <c r="O415" t="s">
        <v>3963</v>
      </c>
      <c r="P415" t="s">
        <v>13418</v>
      </c>
      <c r="R415" t="s">
        <v>13419</v>
      </c>
    </row>
    <row r="416" spans="4:18">
      <c r="E416" t="s">
        <v>4624</v>
      </c>
      <c r="I416" t="s">
        <v>4625</v>
      </c>
      <c r="K416" t="s">
        <v>3983</v>
      </c>
      <c r="L416" t="s">
        <v>13420</v>
      </c>
      <c r="M416" t="s">
        <v>3963</v>
      </c>
      <c r="N416" t="s">
        <v>3963</v>
      </c>
      <c r="O416" t="s">
        <v>3963</v>
      </c>
      <c r="P416" t="s">
        <v>13420</v>
      </c>
      <c r="R416" t="s">
        <v>13421</v>
      </c>
    </row>
    <row r="417" spans="4:18">
      <c r="D417" t="s">
        <v>205</v>
      </c>
      <c r="H417" t="s">
        <v>4626</v>
      </c>
      <c r="K417" t="s">
        <v>13422</v>
      </c>
      <c r="L417" t="s">
        <v>13423</v>
      </c>
      <c r="M417" t="s">
        <v>3963</v>
      </c>
      <c r="N417" t="s">
        <v>3963</v>
      </c>
      <c r="O417" t="s">
        <v>3963</v>
      </c>
      <c r="P417" t="s">
        <v>13423</v>
      </c>
      <c r="R417" t="s">
        <v>13424</v>
      </c>
    </row>
    <row r="418" spans="4:18">
      <c r="E418" t="s">
        <v>4627</v>
      </c>
      <c r="I418" t="s">
        <v>4628</v>
      </c>
      <c r="K418" t="s">
        <v>13425</v>
      </c>
      <c r="L418" t="s">
        <v>13423</v>
      </c>
      <c r="M418" t="s">
        <v>3963</v>
      </c>
      <c r="N418" t="s">
        <v>3963</v>
      </c>
      <c r="O418" t="s">
        <v>3963</v>
      </c>
      <c r="P418" t="s">
        <v>13423</v>
      </c>
      <c r="R418" t="s">
        <v>13426</v>
      </c>
    </row>
    <row r="419" spans="4:18">
      <c r="E419" t="s">
        <v>4629</v>
      </c>
      <c r="I419" t="s">
        <v>4630</v>
      </c>
      <c r="K419" t="s">
        <v>13427</v>
      </c>
      <c r="L419" t="s">
        <v>3963</v>
      </c>
      <c r="M419" t="s">
        <v>3963</v>
      </c>
      <c r="N419" t="s">
        <v>3963</v>
      </c>
      <c r="O419" t="s">
        <v>3963</v>
      </c>
      <c r="P419" t="s">
        <v>3963</v>
      </c>
      <c r="R419" t="s">
        <v>13427</v>
      </c>
    </row>
    <row r="420" spans="4:18">
      <c r="D420" t="s">
        <v>206</v>
      </c>
      <c r="H420" t="s">
        <v>4631</v>
      </c>
      <c r="K420" t="s">
        <v>13428</v>
      </c>
      <c r="L420" t="s">
        <v>13429</v>
      </c>
      <c r="M420" t="s">
        <v>3963</v>
      </c>
      <c r="N420" t="s">
        <v>3963</v>
      </c>
      <c r="O420" t="s">
        <v>3963</v>
      </c>
      <c r="P420" t="s">
        <v>13429</v>
      </c>
      <c r="R420" t="s">
        <v>13430</v>
      </c>
    </row>
    <row r="421" spans="4:18">
      <c r="E421" t="s">
        <v>4632</v>
      </c>
      <c r="I421" t="s">
        <v>4633</v>
      </c>
      <c r="K421" t="s">
        <v>13431</v>
      </c>
      <c r="L421" t="s">
        <v>13432</v>
      </c>
      <c r="M421" t="s">
        <v>3963</v>
      </c>
      <c r="N421" t="s">
        <v>3963</v>
      </c>
      <c r="O421" t="s">
        <v>3963</v>
      </c>
      <c r="P421" t="s">
        <v>13432</v>
      </c>
      <c r="R421" t="s">
        <v>13433</v>
      </c>
    </row>
    <row r="422" spans="4:18">
      <c r="E422" t="s">
        <v>4634</v>
      </c>
      <c r="I422" t="s">
        <v>4635</v>
      </c>
      <c r="K422" t="s">
        <v>13434</v>
      </c>
      <c r="L422" t="s">
        <v>13435</v>
      </c>
      <c r="M422" t="s">
        <v>3963</v>
      </c>
      <c r="N422" t="s">
        <v>3963</v>
      </c>
      <c r="O422" t="s">
        <v>3963</v>
      </c>
      <c r="P422" t="s">
        <v>13435</v>
      </c>
      <c r="R422" t="s">
        <v>13436</v>
      </c>
    </row>
    <row r="423" spans="4:18">
      <c r="E423" t="s">
        <v>4636</v>
      </c>
      <c r="I423" t="s">
        <v>4637</v>
      </c>
      <c r="K423" t="s">
        <v>13437</v>
      </c>
      <c r="L423" t="s">
        <v>13438</v>
      </c>
      <c r="M423" t="s">
        <v>3963</v>
      </c>
      <c r="N423" t="s">
        <v>3963</v>
      </c>
      <c r="O423" t="s">
        <v>3963</v>
      </c>
      <c r="P423" t="s">
        <v>13438</v>
      </c>
      <c r="R423" t="s">
        <v>13439</v>
      </c>
    </row>
    <row r="424" spans="4:18">
      <c r="E424" t="s">
        <v>4638</v>
      </c>
      <c r="I424" t="s">
        <v>4639</v>
      </c>
      <c r="K424" t="s">
        <v>13440</v>
      </c>
      <c r="L424" t="s">
        <v>13441</v>
      </c>
      <c r="M424" t="s">
        <v>3963</v>
      </c>
      <c r="N424" t="s">
        <v>3963</v>
      </c>
      <c r="O424" t="s">
        <v>3963</v>
      </c>
      <c r="P424" t="s">
        <v>13441</v>
      </c>
      <c r="R424" t="s">
        <v>13442</v>
      </c>
    </row>
    <row r="425" spans="4:18">
      <c r="E425" t="s">
        <v>4640</v>
      </c>
      <c r="I425" t="s">
        <v>4641</v>
      </c>
      <c r="K425" t="s">
        <v>13443</v>
      </c>
      <c r="L425" t="s">
        <v>13444</v>
      </c>
      <c r="M425" t="s">
        <v>3963</v>
      </c>
      <c r="N425" t="s">
        <v>3963</v>
      </c>
      <c r="O425" t="s">
        <v>3963</v>
      </c>
      <c r="P425" t="s">
        <v>13444</v>
      </c>
      <c r="R425" t="s">
        <v>13445</v>
      </c>
    </row>
    <row r="426" spans="4:18">
      <c r="E426" t="s">
        <v>4642</v>
      </c>
      <c r="I426" t="s">
        <v>4643</v>
      </c>
      <c r="K426" t="s">
        <v>13446</v>
      </c>
      <c r="L426" t="s">
        <v>13447</v>
      </c>
      <c r="M426" t="s">
        <v>3963</v>
      </c>
      <c r="N426" t="s">
        <v>3963</v>
      </c>
      <c r="O426" t="s">
        <v>3963</v>
      </c>
      <c r="P426" t="s">
        <v>13447</v>
      </c>
      <c r="R426" t="s">
        <v>13448</v>
      </c>
    </row>
    <row r="427" spans="4:18">
      <c r="D427" t="s">
        <v>201</v>
      </c>
      <c r="H427" t="s">
        <v>4644</v>
      </c>
      <c r="K427" t="s">
        <v>13449</v>
      </c>
      <c r="L427" t="s">
        <v>13450</v>
      </c>
      <c r="M427" t="s">
        <v>3963</v>
      </c>
      <c r="N427" t="s">
        <v>3963</v>
      </c>
      <c r="O427" t="s">
        <v>3963</v>
      </c>
      <c r="P427" t="s">
        <v>13450</v>
      </c>
      <c r="R427" t="s">
        <v>13451</v>
      </c>
    </row>
    <row r="428" spans="4:18">
      <c r="E428" t="s">
        <v>4645</v>
      </c>
      <c r="I428" t="s">
        <v>4646</v>
      </c>
      <c r="K428" t="s">
        <v>13452</v>
      </c>
      <c r="L428" t="s">
        <v>13453</v>
      </c>
      <c r="M428" t="s">
        <v>3963</v>
      </c>
      <c r="N428" t="s">
        <v>3963</v>
      </c>
      <c r="O428" t="s">
        <v>3963</v>
      </c>
      <c r="P428" t="s">
        <v>13453</v>
      </c>
      <c r="R428" t="s">
        <v>13454</v>
      </c>
    </row>
    <row r="429" spans="4:18">
      <c r="E429" t="s">
        <v>4647</v>
      </c>
      <c r="I429" t="s">
        <v>4648</v>
      </c>
      <c r="K429" t="s">
        <v>13455</v>
      </c>
      <c r="L429" t="s">
        <v>13456</v>
      </c>
      <c r="M429" t="s">
        <v>3963</v>
      </c>
      <c r="N429" t="s">
        <v>3963</v>
      </c>
      <c r="O429" t="s">
        <v>3963</v>
      </c>
      <c r="P429" t="s">
        <v>13456</v>
      </c>
      <c r="R429" t="s">
        <v>13457</v>
      </c>
    </row>
    <row r="430" spans="4:18">
      <c r="E430" t="s">
        <v>4649</v>
      </c>
      <c r="I430" t="s">
        <v>4650</v>
      </c>
      <c r="K430" t="s">
        <v>13458</v>
      </c>
      <c r="L430" t="s">
        <v>13459</v>
      </c>
      <c r="M430" t="s">
        <v>3963</v>
      </c>
      <c r="N430" t="s">
        <v>3963</v>
      </c>
      <c r="O430" t="s">
        <v>3963</v>
      </c>
      <c r="P430" t="s">
        <v>13459</v>
      </c>
      <c r="R430" t="s">
        <v>13460</v>
      </c>
    </row>
    <row r="431" spans="4:18">
      <c r="E431" t="s">
        <v>4651</v>
      </c>
      <c r="I431" t="s">
        <v>4652</v>
      </c>
      <c r="K431" t="s">
        <v>13461</v>
      </c>
      <c r="L431" t="s">
        <v>13462</v>
      </c>
      <c r="M431" t="s">
        <v>3963</v>
      </c>
      <c r="N431" t="s">
        <v>3963</v>
      </c>
      <c r="O431" t="s">
        <v>3963</v>
      </c>
      <c r="P431" t="s">
        <v>13462</v>
      </c>
      <c r="R431" t="s">
        <v>13463</v>
      </c>
    </row>
    <row r="432" spans="4:18">
      <c r="E432" t="s">
        <v>4653</v>
      </c>
      <c r="I432" t="s">
        <v>4654</v>
      </c>
      <c r="K432" t="s">
        <v>13464</v>
      </c>
      <c r="L432" t="s">
        <v>13465</v>
      </c>
      <c r="M432" t="s">
        <v>3963</v>
      </c>
      <c r="N432" t="s">
        <v>3963</v>
      </c>
      <c r="O432" t="s">
        <v>3963</v>
      </c>
      <c r="P432" t="s">
        <v>13465</v>
      </c>
      <c r="R432" t="s">
        <v>13466</v>
      </c>
    </row>
    <row r="433" spans="4:18">
      <c r="E433" t="s">
        <v>4655</v>
      </c>
      <c r="I433" t="s">
        <v>4656</v>
      </c>
      <c r="K433" t="s">
        <v>13467</v>
      </c>
      <c r="L433" t="s">
        <v>13468</v>
      </c>
      <c r="M433" t="s">
        <v>3963</v>
      </c>
      <c r="N433" t="s">
        <v>3963</v>
      </c>
      <c r="O433" t="s">
        <v>3963</v>
      </c>
      <c r="P433" t="s">
        <v>13468</v>
      </c>
      <c r="R433" t="s">
        <v>13469</v>
      </c>
    </row>
    <row r="434" spans="4:18">
      <c r="E434" t="s">
        <v>4657</v>
      </c>
      <c r="I434" t="s">
        <v>4658</v>
      </c>
      <c r="K434" t="s">
        <v>13470</v>
      </c>
      <c r="L434" t="s">
        <v>13471</v>
      </c>
      <c r="M434" t="s">
        <v>3963</v>
      </c>
      <c r="N434" t="s">
        <v>3963</v>
      </c>
      <c r="O434" t="s">
        <v>3963</v>
      </c>
      <c r="P434" t="s">
        <v>13471</v>
      </c>
      <c r="R434" t="s">
        <v>13472</v>
      </c>
    </row>
    <row r="435" spans="4:18">
      <c r="E435" t="s">
        <v>4659</v>
      </c>
      <c r="I435" t="s">
        <v>4660</v>
      </c>
      <c r="K435" t="s">
        <v>4661</v>
      </c>
      <c r="L435" t="s">
        <v>13473</v>
      </c>
      <c r="M435" t="s">
        <v>3963</v>
      </c>
      <c r="N435" t="s">
        <v>3963</v>
      </c>
      <c r="O435" t="s">
        <v>3963</v>
      </c>
      <c r="P435" t="s">
        <v>13473</v>
      </c>
      <c r="R435" t="s">
        <v>13474</v>
      </c>
    </row>
    <row r="436" spans="4:18">
      <c r="E436" t="s">
        <v>4662</v>
      </c>
      <c r="I436" t="s">
        <v>4663</v>
      </c>
      <c r="K436" t="s">
        <v>13475</v>
      </c>
      <c r="L436" t="s">
        <v>13476</v>
      </c>
      <c r="M436" t="s">
        <v>3963</v>
      </c>
      <c r="N436" t="s">
        <v>3963</v>
      </c>
      <c r="O436" t="s">
        <v>3963</v>
      </c>
      <c r="P436" t="s">
        <v>13476</v>
      </c>
      <c r="R436" t="s">
        <v>13477</v>
      </c>
    </row>
    <row r="437" spans="4:18">
      <c r="E437" t="s">
        <v>4664</v>
      </c>
      <c r="I437" t="s">
        <v>4663</v>
      </c>
      <c r="K437" t="s">
        <v>12518</v>
      </c>
      <c r="L437" t="s">
        <v>13478</v>
      </c>
      <c r="M437" t="s">
        <v>3963</v>
      </c>
      <c r="N437" t="s">
        <v>3963</v>
      </c>
      <c r="O437" t="s">
        <v>3963</v>
      </c>
      <c r="P437" t="s">
        <v>13478</v>
      </c>
      <c r="R437" t="s">
        <v>13479</v>
      </c>
    </row>
    <row r="438" spans="4:18">
      <c r="D438" t="s">
        <v>199</v>
      </c>
      <c r="H438" t="s">
        <v>4665</v>
      </c>
      <c r="K438" t="s">
        <v>13480</v>
      </c>
      <c r="L438" t="s">
        <v>13481</v>
      </c>
      <c r="M438" t="s">
        <v>3963</v>
      </c>
      <c r="N438" t="s">
        <v>3963</v>
      </c>
      <c r="O438" t="s">
        <v>3963</v>
      </c>
      <c r="P438" t="s">
        <v>13481</v>
      </c>
      <c r="R438" t="s">
        <v>13482</v>
      </c>
    </row>
    <row r="439" spans="4:18">
      <c r="E439" t="s">
        <v>4666</v>
      </c>
      <c r="I439" t="s">
        <v>4667</v>
      </c>
      <c r="K439" t="s">
        <v>13480</v>
      </c>
      <c r="L439" t="s">
        <v>13481</v>
      </c>
      <c r="M439" t="s">
        <v>3963</v>
      </c>
      <c r="N439" t="s">
        <v>3963</v>
      </c>
      <c r="O439" t="s">
        <v>3963</v>
      </c>
      <c r="P439" t="s">
        <v>13481</v>
      </c>
      <c r="R439" t="s">
        <v>13482</v>
      </c>
    </row>
    <row r="440" spans="4:18">
      <c r="D440" t="s">
        <v>203</v>
      </c>
      <c r="H440" t="s">
        <v>4668</v>
      </c>
      <c r="K440" t="s">
        <v>13483</v>
      </c>
      <c r="L440" t="s">
        <v>3963</v>
      </c>
      <c r="M440" t="s">
        <v>3963</v>
      </c>
      <c r="N440" t="s">
        <v>3963</v>
      </c>
      <c r="O440" t="s">
        <v>3963</v>
      </c>
      <c r="P440" t="s">
        <v>3963</v>
      </c>
      <c r="R440" t="s">
        <v>13483</v>
      </c>
    </row>
    <row r="441" spans="4:18">
      <c r="E441" t="s">
        <v>4669</v>
      </c>
      <c r="I441" t="s">
        <v>4670</v>
      </c>
      <c r="K441" t="s">
        <v>13484</v>
      </c>
      <c r="L441" t="s">
        <v>3963</v>
      </c>
      <c r="M441" t="s">
        <v>3963</v>
      </c>
      <c r="N441" t="s">
        <v>3963</v>
      </c>
      <c r="O441" t="s">
        <v>3963</v>
      </c>
      <c r="P441" t="s">
        <v>3963</v>
      </c>
      <c r="R441" t="s">
        <v>13484</v>
      </c>
    </row>
    <row r="442" spans="4:18">
      <c r="E442" t="s">
        <v>4671</v>
      </c>
      <c r="I442" t="s">
        <v>4672</v>
      </c>
      <c r="K442" t="s">
        <v>13485</v>
      </c>
      <c r="L442" t="s">
        <v>3963</v>
      </c>
      <c r="M442" t="s">
        <v>3963</v>
      </c>
      <c r="N442" t="s">
        <v>3963</v>
      </c>
      <c r="O442" t="s">
        <v>3963</v>
      </c>
      <c r="P442" t="s">
        <v>3963</v>
      </c>
      <c r="R442" t="s">
        <v>13485</v>
      </c>
    </row>
    <row r="443" spans="4:18">
      <c r="E443" t="s">
        <v>4673</v>
      </c>
      <c r="I443" t="s">
        <v>4674</v>
      </c>
      <c r="K443" t="s">
        <v>13486</v>
      </c>
      <c r="L443" t="s">
        <v>3963</v>
      </c>
      <c r="M443" t="s">
        <v>3963</v>
      </c>
      <c r="N443" t="s">
        <v>3963</v>
      </c>
      <c r="O443" t="s">
        <v>3963</v>
      </c>
      <c r="P443" t="s">
        <v>3963</v>
      </c>
      <c r="R443" t="s">
        <v>13486</v>
      </c>
    </row>
    <row r="444" spans="4:18">
      <c r="E444" t="s">
        <v>4675</v>
      </c>
      <c r="I444" t="s">
        <v>4676</v>
      </c>
      <c r="K444" t="s">
        <v>4677</v>
      </c>
      <c r="L444" t="s">
        <v>3963</v>
      </c>
      <c r="M444" t="s">
        <v>3963</v>
      </c>
      <c r="N444" t="s">
        <v>3963</v>
      </c>
      <c r="O444" t="s">
        <v>3963</v>
      </c>
      <c r="P444" t="s">
        <v>3963</v>
      </c>
      <c r="R444" t="s">
        <v>4677</v>
      </c>
    </row>
    <row r="445" spans="4:18">
      <c r="E445" t="s">
        <v>4678</v>
      </c>
      <c r="I445" t="s">
        <v>4679</v>
      </c>
      <c r="K445" t="s">
        <v>4021</v>
      </c>
      <c r="L445" t="s">
        <v>3963</v>
      </c>
      <c r="M445" t="s">
        <v>3963</v>
      </c>
      <c r="N445" t="s">
        <v>3963</v>
      </c>
      <c r="O445" t="s">
        <v>3963</v>
      </c>
      <c r="P445" t="s">
        <v>3963</v>
      </c>
      <c r="R445" t="s">
        <v>4021</v>
      </c>
    </row>
    <row r="446" spans="4:18">
      <c r="E446" t="s">
        <v>4680</v>
      </c>
      <c r="I446" t="s">
        <v>4681</v>
      </c>
      <c r="K446" t="s">
        <v>13487</v>
      </c>
      <c r="L446" t="s">
        <v>3963</v>
      </c>
      <c r="M446" t="s">
        <v>3963</v>
      </c>
      <c r="N446" t="s">
        <v>3963</v>
      </c>
      <c r="O446" t="s">
        <v>3963</v>
      </c>
      <c r="P446" t="s">
        <v>3963</v>
      </c>
      <c r="R446" t="s">
        <v>13487</v>
      </c>
    </row>
    <row r="447" spans="4:18">
      <c r="E447" t="s">
        <v>4682</v>
      </c>
      <c r="I447" t="s">
        <v>4683</v>
      </c>
      <c r="K447" t="s">
        <v>13488</v>
      </c>
      <c r="L447" t="s">
        <v>3963</v>
      </c>
      <c r="M447" t="s">
        <v>3963</v>
      </c>
      <c r="N447" t="s">
        <v>3963</v>
      </c>
      <c r="O447" t="s">
        <v>3963</v>
      </c>
      <c r="P447" t="s">
        <v>3963</v>
      </c>
      <c r="R447" t="s">
        <v>13488</v>
      </c>
    </row>
    <row r="448" spans="4:18">
      <c r="E448" t="s">
        <v>4684</v>
      </c>
      <c r="I448" t="s">
        <v>4685</v>
      </c>
      <c r="K448" t="s">
        <v>3994</v>
      </c>
      <c r="L448" t="s">
        <v>3963</v>
      </c>
      <c r="M448" t="s">
        <v>3963</v>
      </c>
      <c r="N448" t="s">
        <v>3963</v>
      </c>
      <c r="O448" t="s">
        <v>3963</v>
      </c>
      <c r="P448" t="s">
        <v>3963</v>
      </c>
      <c r="R448" t="s">
        <v>3994</v>
      </c>
    </row>
    <row r="449" spans="4:18">
      <c r="D449" t="s">
        <v>210</v>
      </c>
      <c r="H449" t="s">
        <v>4686</v>
      </c>
      <c r="K449" t="s">
        <v>13489</v>
      </c>
      <c r="L449" t="s">
        <v>13490</v>
      </c>
      <c r="M449" t="s">
        <v>3963</v>
      </c>
      <c r="N449" t="s">
        <v>3963</v>
      </c>
      <c r="O449" t="s">
        <v>3963</v>
      </c>
      <c r="P449" t="s">
        <v>13490</v>
      </c>
      <c r="R449" t="s">
        <v>13491</v>
      </c>
    </row>
    <row r="450" spans="4:18">
      <c r="E450" t="s">
        <v>4687</v>
      </c>
      <c r="I450" t="s">
        <v>4688</v>
      </c>
      <c r="K450" t="s">
        <v>13492</v>
      </c>
      <c r="L450" t="s">
        <v>13493</v>
      </c>
      <c r="M450" t="s">
        <v>3963</v>
      </c>
      <c r="N450" t="s">
        <v>3963</v>
      </c>
      <c r="O450" t="s">
        <v>3963</v>
      </c>
      <c r="P450" t="s">
        <v>13493</v>
      </c>
      <c r="R450" t="s">
        <v>13494</v>
      </c>
    </row>
    <row r="451" spans="4:18">
      <c r="E451" t="s">
        <v>4689</v>
      </c>
      <c r="I451" t="s">
        <v>4690</v>
      </c>
      <c r="K451" t="s">
        <v>4661</v>
      </c>
      <c r="L451" t="s">
        <v>13495</v>
      </c>
      <c r="M451" t="s">
        <v>3963</v>
      </c>
      <c r="N451" t="s">
        <v>3963</v>
      </c>
      <c r="O451" t="s">
        <v>3963</v>
      </c>
      <c r="P451" t="s">
        <v>13495</v>
      </c>
      <c r="R451" t="s">
        <v>13496</v>
      </c>
    </row>
    <row r="452" spans="4:18">
      <c r="D452" t="s">
        <v>215</v>
      </c>
      <c r="H452" t="s">
        <v>4691</v>
      </c>
      <c r="K452" t="s">
        <v>13497</v>
      </c>
      <c r="L452" t="s">
        <v>13498</v>
      </c>
      <c r="M452" t="s">
        <v>3963</v>
      </c>
      <c r="N452" t="s">
        <v>3963</v>
      </c>
      <c r="O452" t="s">
        <v>3963</v>
      </c>
      <c r="P452" t="s">
        <v>13498</v>
      </c>
      <c r="R452" t="s">
        <v>13499</v>
      </c>
    </row>
    <row r="453" spans="4:18">
      <c r="E453" t="s">
        <v>4692</v>
      </c>
      <c r="I453" t="s">
        <v>4688</v>
      </c>
      <c r="K453" t="s">
        <v>13500</v>
      </c>
      <c r="L453" t="s">
        <v>13500</v>
      </c>
      <c r="M453" t="s">
        <v>3963</v>
      </c>
      <c r="N453" t="s">
        <v>3963</v>
      </c>
      <c r="O453" t="s">
        <v>3963</v>
      </c>
      <c r="P453" t="s">
        <v>13500</v>
      </c>
      <c r="R453" t="s">
        <v>3963</v>
      </c>
    </row>
    <row r="454" spans="4:18">
      <c r="E454" t="s">
        <v>4693</v>
      </c>
      <c r="I454" t="s">
        <v>4690</v>
      </c>
      <c r="K454" t="s">
        <v>13501</v>
      </c>
      <c r="L454" t="s">
        <v>13502</v>
      </c>
      <c r="M454" t="s">
        <v>3963</v>
      </c>
      <c r="N454" t="s">
        <v>3963</v>
      </c>
      <c r="O454" t="s">
        <v>3963</v>
      </c>
      <c r="P454" t="s">
        <v>13502</v>
      </c>
      <c r="R454" t="s">
        <v>13499</v>
      </c>
    </row>
    <row r="455" spans="4:18">
      <c r="E455" t="s">
        <v>4694</v>
      </c>
      <c r="I455" t="s">
        <v>4695</v>
      </c>
      <c r="K455" t="s">
        <v>3963</v>
      </c>
      <c r="L455" t="s">
        <v>3963</v>
      </c>
      <c r="M455" t="s">
        <v>3963</v>
      </c>
      <c r="N455" t="s">
        <v>3963</v>
      </c>
      <c r="O455" t="s">
        <v>3963</v>
      </c>
      <c r="P455" t="s">
        <v>3963</v>
      </c>
      <c r="R455" t="s">
        <v>3963</v>
      </c>
    </row>
    <row r="456" spans="4:18">
      <c r="D456" t="s">
        <v>212</v>
      </c>
      <c r="H456" t="s">
        <v>4696</v>
      </c>
      <c r="K456" t="s">
        <v>13503</v>
      </c>
      <c r="L456" t="s">
        <v>13504</v>
      </c>
      <c r="M456" t="s">
        <v>3963</v>
      </c>
      <c r="N456" t="s">
        <v>3963</v>
      </c>
      <c r="O456" t="s">
        <v>3963</v>
      </c>
      <c r="P456" t="s">
        <v>13504</v>
      </c>
      <c r="R456" t="s">
        <v>13505</v>
      </c>
    </row>
    <row r="457" spans="4:18">
      <c r="E457" t="s">
        <v>4697</v>
      </c>
      <c r="I457" t="s">
        <v>4698</v>
      </c>
      <c r="K457" t="s">
        <v>4699</v>
      </c>
      <c r="L457" t="s">
        <v>13506</v>
      </c>
      <c r="M457" t="s">
        <v>3963</v>
      </c>
      <c r="N457" t="s">
        <v>3963</v>
      </c>
      <c r="O457" t="s">
        <v>3963</v>
      </c>
      <c r="P457" t="s">
        <v>13506</v>
      </c>
      <c r="R457" t="s">
        <v>13507</v>
      </c>
    </row>
    <row r="458" spans="4:18">
      <c r="E458" t="s">
        <v>4700</v>
      </c>
      <c r="I458" t="s">
        <v>4701</v>
      </c>
      <c r="K458" t="s">
        <v>4702</v>
      </c>
      <c r="L458" t="s">
        <v>13508</v>
      </c>
      <c r="M458" t="s">
        <v>3963</v>
      </c>
      <c r="N458" t="s">
        <v>3963</v>
      </c>
      <c r="O458" t="s">
        <v>3963</v>
      </c>
      <c r="P458" t="s">
        <v>13508</v>
      </c>
      <c r="R458" t="s">
        <v>13509</v>
      </c>
    </row>
    <row r="459" spans="4:18">
      <c r="E459" t="s">
        <v>4703</v>
      </c>
      <c r="I459" t="s">
        <v>4704</v>
      </c>
      <c r="K459" t="s">
        <v>12670</v>
      </c>
      <c r="L459" t="s">
        <v>13510</v>
      </c>
      <c r="M459" t="s">
        <v>3963</v>
      </c>
      <c r="N459" t="s">
        <v>3963</v>
      </c>
      <c r="O459" t="s">
        <v>3963</v>
      </c>
      <c r="P459" t="s">
        <v>13510</v>
      </c>
      <c r="R459" t="s">
        <v>13511</v>
      </c>
    </row>
    <row r="460" spans="4:18">
      <c r="E460" t="s">
        <v>4705</v>
      </c>
      <c r="I460" t="s">
        <v>4706</v>
      </c>
      <c r="K460" t="s">
        <v>4162</v>
      </c>
      <c r="L460" t="s">
        <v>13512</v>
      </c>
      <c r="M460" t="s">
        <v>3963</v>
      </c>
      <c r="N460" t="s">
        <v>3963</v>
      </c>
      <c r="O460" t="s">
        <v>3963</v>
      </c>
      <c r="P460" t="s">
        <v>13512</v>
      </c>
      <c r="R460" t="s">
        <v>13513</v>
      </c>
    </row>
    <row r="461" spans="4:18">
      <c r="E461" t="s">
        <v>4707</v>
      </c>
      <c r="I461" t="s">
        <v>4708</v>
      </c>
      <c r="K461" t="s">
        <v>4021</v>
      </c>
      <c r="L461" t="s">
        <v>13514</v>
      </c>
      <c r="M461" t="s">
        <v>3963</v>
      </c>
      <c r="N461" t="s">
        <v>3963</v>
      </c>
      <c r="O461" t="s">
        <v>3963</v>
      </c>
      <c r="P461" t="s">
        <v>13514</v>
      </c>
      <c r="R461" t="s">
        <v>13515</v>
      </c>
    </row>
    <row r="462" spans="4:18">
      <c r="E462" t="s">
        <v>4709</v>
      </c>
      <c r="I462" t="s">
        <v>4710</v>
      </c>
      <c r="K462" t="s">
        <v>3994</v>
      </c>
      <c r="L462" t="s">
        <v>3963</v>
      </c>
      <c r="M462" t="s">
        <v>3963</v>
      </c>
      <c r="N462" t="s">
        <v>3963</v>
      </c>
      <c r="O462" t="s">
        <v>3963</v>
      </c>
      <c r="P462" t="s">
        <v>3963</v>
      </c>
      <c r="R462" t="s">
        <v>3994</v>
      </c>
    </row>
    <row r="463" spans="4:18">
      <c r="D463" t="s">
        <v>227</v>
      </c>
      <c r="H463" t="s">
        <v>4711</v>
      </c>
      <c r="K463" t="s">
        <v>13516</v>
      </c>
      <c r="L463" t="s">
        <v>13517</v>
      </c>
      <c r="M463" t="s">
        <v>3963</v>
      </c>
      <c r="N463" t="s">
        <v>3963</v>
      </c>
      <c r="O463" t="s">
        <v>3963</v>
      </c>
      <c r="P463" t="s">
        <v>13517</v>
      </c>
      <c r="R463" t="s">
        <v>13518</v>
      </c>
    </row>
    <row r="464" spans="4:18">
      <c r="E464" t="s">
        <v>4712</v>
      </c>
      <c r="I464" t="s">
        <v>4713</v>
      </c>
      <c r="K464" t="s">
        <v>3963</v>
      </c>
      <c r="L464" t="s">
        <v>13519</v>
      </c>
      <c r="M464" t="s">
        <v>3963</v>
      </c>
      <c r="N464" t="s">
        <v>3963</v>
      </c>
      <c r="O464" t="s">
        <v>3963</v>
      </c>
      <c r="P464" t="s">
        <v>13519</v>
      </c>
      <c r="R464" t="s">
        <v>4714</v>
      </c>
    </row>
    <row r="465" spans="4:18">
      <c r="E465" t="s">
        <v>4715</v>
      </c>
      <c r="I465" t="s">
        <v>4716</v>
      </c>
      <c r="K465" t="s">
        <v>3963</v>
      </c>
      <c r="L465" t="s">
        <v>13520</v>
      </c>
      <c r="M465" t="s">
        <v>3963</v>
      </c>
      <c r="N465" t="s">
        <v>3963</v>
      </c>
      <c r="O465" t="s">
        <v>3963</v>
      </c>
      <c r="P465" t="s">
        <v>13520</v>
      </c>
      <c r="R465" t="s">
        <v>4717</v>
      </c>
    </row>
    <row r="466" spans="4:18">
      <c r="E466" t="s">
        <v>4718</v>
      </c>
      <c r="I466" t="s">
        <v>4719</v>
      </c>
      <c r="K466" t="s">
        <v>3963</v>
      </c>
      <c r="L466" t="s">
        <v>13521</v>
      </c>
      <c r="M466" t="s">
        <v>3963</v>
      </c>
      <c r="N466" t="s">
        <v>3963</v>
      </c>
      <c r="O466" t="s">
        <v>3963</v>
      </c>
      <c r="P466" t="s">
        <v>13521</v>
      </c>
      <c r="R466" t="s">
        <v>4720</v>
      </c>
    </row>
    <row r="467" spans="4:18">
      <c r="E467" t="s">
        <v>4721</v>
      </c>
      <c r="I467" t="s">
        <v>4722</v>
      </c>
      <c r="K467" t="s">
        <v>3963</v>
      </c>
      <c r="L467" t="s">
        <v>13522</v>
      </c>
      <c r="M467" t="s">
        <v>3963</v>
      </c>
      <c r="N467" t="s">
        <v>3963</v>
      </c>
      <c r="O467" t="s">
        <v>3963</v>
      </c>
      <c r="P467" t="s">
        <v>13522</v>
      </c>
      <c r="R467" t="s">
        <v>4723</v>
      </c>
    </row>
    <row r="468" spans="4:18">
      <c r="E468" t="s">
        <v>4724</v>
      </c>
      <c r="I468" t="s">
        <v>4604</v>
      </c>
      <c r="K468" t="s">
        <v>3963</v>
      </c>
      <c r="L468" t="s">
        <v>3963</v>
      </c>
      <c r="M468" t="s">
        <v>3963</v>
      </c>
      <c r="N468" t="s">
        <v>3963</v>
      </c>
      <c r="O468" t="s">
        <v>3963</v>
      </c>
      <c r="P468" t="s">
        <v>3963</v>
      </c>
      <c r="R468" t="s">
        <v>3963</v>
      </c>
    </row>
    <row r="469" spans="4:18">
      <c r="E469" t="s">
        <v>4725</v>
      </c>
      <c r="I469" t="s">
        <v>4726</v>
      </c>
      <c r="K469" t="s">
        <v>3963</v>
      </c>
      <c r="L469" t="s">
        <v>13523</v>
      </c>
      <c r="M469" t="s">
        <v>3963</v>
      </c>
      <c r="N469" t="s">
        <v>3963</v>
      </c>
      <c r="O469" t="s">
        <v>3963</v>
      </c>
      <c r="P469" t="s">
        <v>13523</v>
      </c>
      <c r="R469" t="s">
        <v>4727</v>
      </c>
    </row>
    <row r="470" spans="4:18">
      <c r="E470" t="s">
        <v>4728</v>
      </c>
      <c r="I470" t="s">
        <v>4729</v>
      </c>
      <c r="K470" t="s">
        <v>3963</v>
      </c>
      <c r="L470" t="s">
        <v>3963</v>
      </c>
      <c r="M470" t="s">
        <v>3963</v>
      </c>
      <c r="N470" t="s">
        <v>3963</v>
      </c>
      <c r="O470" t="s">
        <v>3963</v>
      </c>
      <c r="P470" t="s">
        <v>3963</v>
      </c>
      <c r="R470" t="s">
        <v>3963</v>
      </c>
    </row>
    <row r="471" spans="4:18">
      <c r="D471" t="s">
        <v>233</v>
      </c>
      <c r="H471" t="s">
        <v>4730</v>
      </c>
      <c r="K471" t="s">
        <v>13524</v>
      </c>
      <c r="L471" t="s">
        <v>13525</v>
      </c>
      <c r="M471" t="s">
        <v>3963</v>
      </c>
      <c r="N471" t="s">
        <v>3963</v>
      </c>
      <c r="O471" t="s">
        <v>3963</v>
      </c>
      <c r="P471" t="s">
        <v>13525</v>
      </c>
      <c r="R471" t="s">
        <v>13526</v>
      </c>
    </row>
    <row r="472" spans="4:18">
      <c r="E472" t="s">
        <v>4731</v>
      </c>
      <c r="I472" t="s">
        <v>4732</v>
      </c>
      <c r="K472" t="s">
        <v>13527</v>
      </c>
      <c r="L472" t="s">
        <v>13528</v>
      </c>
      <c r="M472" t="s">
        <v>3963</v>
      </c>
      <c r="N472" t="s">
        <v>3963</v>
      </c>
      <c r="O472" t="s">
        <v>3963</v>
      </c>
      <c r="P472" t="s">
        <v>13528</v>
      </c>
      <c r="R472" t="s">
        <v>13529</v>
      </c>
    </row>
    <row r="473" spans="4:18">
      <c r="E473" t="s">
        <v>4733</v>
      </c>
      <c r="I473" t="s">
        <v>4734</v>
      </c>
      <c r="K473" t="s">
        <v>3963</v>
      </c>
      <c r="L473" t="s">
        <v>3963</v>
      </c>
      <c r="M473" t="s">
        <v>3963</v>
      </c>
      <c r="N473" t="s">
        <v>3963</v>
      </c>
      <c r="O473" t="s">
        <v>3963</v>
      </c>
      <c r="P473" t="s">
        <v>3963</v>
      </c>
      <c r="R473" t="s">
        <v>3963</v>
      </c>
    </row>
    <row r="474" spans="4:18">
      <c r="E474" t="s">
        <v>4735</v>
      </c>
      <c r="I474" t="s">
        <v>4736</v>
      </c>
      <c r="K474" t="s">
        <v>13530</v>
      </c>
      <c r="L474" t="s">
        <v>13531</v>
      </c>
      <c r="M474" t="s">
        <v>3963</v>
      </c>
      <c r="N474" t="s">
        <v>3963</v>
      </c>
      <c r="O474" t="s">
        <v>3963</v>
      </c>
      <c r="P474" t="s">
        <v>13531</v>
      </c>
      <c r="R474" t="s">
        <v>13532</v>
      </c>
    </row>
    <row r="475" spans="4:18">
      <c r="E475" t="s">
        <v>4737</v>
      </c>
      <c r="I475" t="s">
        <v>4738</v>
      </c>
      <c r="K475" t="s">
        <v>13533</v>
      </c>
      <c r="L475" t="s">
        <v>13534</v>
      </c>
      <c r="M475" t="s">
        <v>3963</v>
      </c>
      <c r="N475" t="s">
        <v>3963</v>
      </c>
      <c r="O475" t="s">
        <v>3963</v>
      </c>
      <c r="P475" t="s">
        <v>13534</v>
      </c>
      <c r="R475" t="s">
        <v>13535</v>
      </c>
    </row>
    <row r="476" spans="4:18">
      <c r="D476" t="s">
        <v>235</v>
      </c>
      <c r="H476" t="s">
        <v>4739</v>
      </c>
      <c r="K476" t="s">
        <v>13536</v>
      </c>
      <c r="L476" t="s">
        <v>13537</v>
      </c>
      <c r="M476" t="s">
        <v>3963</v>
      </c>
      <c r="N476" t="s">
        <v>3963</v>
      </c>
      <c r="O476" t="s">
        <v>3963</v>
      </c>
      <c r="P476" t="s">
        <v>13537</v>
      </c>
      <c r="R476" t="s">
        <v>13538</v>
      </c>
    </row>
    <row r="477" spans="4:18">
      <c r="E477" t="s">
        <v>4740</v>
      </c>
      <c r="I477" t="s">
        <v>4741</v>
      </c>
      <c r="K477" t="s">
        <v>13539</v>
      </c>
      <c r="L477" t="s">
        <v>13539</v>
      </c>
      <c r="M477" t="s">
        <v>3963</v>
      </c>
      <c r="N477" t="s">
        <v>3963</v>
      </c>
      <c r="O477" t="s">
        <v>3963</v>
      </c>
      <c r="P477" t="s">
        <v>13539</v>
      </c>
      <c r="R477" t="s">
        <v>3963</v>
      </c>
    </row>
    <row r="478" spans="4:18">
      <c r="E478" t="s">
        <v>4742</v>
      </c>
      <c r="I478" t="s">
        <v>4743</v>
      </c>
      <c r="K478" t="s">
        <v>13540</v>
      </c>
      <c r="L478" t="s">
        <v>13541</v>
      </c>
      <c r="M478" t="s">
        <v>3963</v>
      </c>
      <c r="N478" t="s">
        <v>3963</v>
      </c>
      <c r="O478" t="s">
        <v>3963</v>
      </c>
      <c r="P478" t="s">
        <v>13541</v>
      </c>
      <c r="R478" t="s">
        <v>13542</v>
      </c>
    </row>
    <row r="479" spans="4:18">
      <c r="E479" t="s">
        <v>4744</v>
      </c>
      <c r="I479" t="s">
        <v>4745</v>
      </c>
      <c r="K479" t="s">
        <v>13543</v>
      </c>
      <c r="L479" t="s">
        <v>13544</v>
      </c>
      <c r="M479" t="s">
        <v>3963</v>
      </c>
      <c r="N479" t="s">
        <v>3963</v>
      </c>
      <c r="O479" t="s">
        <v>3963</v>
      </c>
      <c r="P479" t="s">
        <v>13544</v>
      </c>
      <c r="R479" t="s">
        <v>13545</v>
      </c>
    </row>
    <row r="480" spans="4:18">
      <c r="E480" t="s">
        <v>4746</v>
      </c>
      <c r="I480" t="s">
        <v>4747</v>
      </c>
      <c r="K480" t="s">
        <v>13546</v>
      </c>
      <c r="L480" t="s">
        <v>13547</v>
      </c>
      <c r="M480" t="s">
        <v>3963</v>
      </c>
      <c r="N480" t="s">
        <v>3963</v>
      </c>
      <c r="O480" t="s">
        <v>3963</v>
      </c>
      <c r="P480" t="s">
        <v>13547</v>
      </c>
      <c r="R480" t="s">
        <v>13548</v>
      </c>
    </row>
    <row r="481" spans="4:18">
      <c r="E481" t="s">
        <v>4748</v>
      </c>
      <c r="I481" t="s">
        <v>4749</v>
      </c>
      <c r="K481" t="s">
        <v>13549</v>
      </c>
      <c r="L481" t="s">
        <v>13550</v>
      </c>
      <c r="M481" t="s">
        <v>3963</v>
      </c>
      <c r="N481" t="s">
        <v>3963</v>
      </c>
      <c r="O481" t="s">
        <v>3963</v>
      </c>
      <c r="P481" t="s">
        <v>13550</v>
      </c>
      <c r="R481" t="s">
        <v>13551</v>
      </c>
    </row>
    <row r="482" spans="4:18">
      <c r="E482" t="s">
        <v>4750</v>
      </c>
      <c r="I482" t="s">
        <v>4751</v>
      </c>
      <c r="K482" t="s">
        <v>13552</v>
      </c>
      <c r="L482" t="s">
        <v>13553</v>
      </c>
      <c r="M482" t="s">
        <v>3963</v>
      </c>
      <c r="N482" t="s">
        <v>3963</v>
      </c>
      <c r="O482" t="s">
        <v>3963</v>
      </c>
      <c r="P482" t="s">
        <v>13553</v>
      </c>
      <c r="R482" t="s">
        <v>13554</v>
      </c>
    </row>
    <row r="483" spans="4:18">
      <c r="E483" t="s">
        <v>4752</v>
      </c>
      <c r="I483" t="s">
        <v>4753</v>
      </c>
      <c r="K483" t="s">
        <v>3963</v>
      </c>
      <c r="L483" t="s">
        <v>3963</v>
      </c>
      <c r="M483" t="s">
        <v>3963</v>
      </c>
      <c r="N483" t="s">
        <v>3963</v>
      </c>
      <c r="O483" t="s">
        <v>3963</v>
      </c>
      <c r="P483" t="s">
        <v>3963</v>
      </c>
      <c r="R483" t="s">
        <v>3963</v>
      </c>
    </row>
    <row r="484" spans="4:18">
      <c r="E484" t="s">
        <v>4754</v>
      </c>
      <c r="I484" t="s">
        <v>4755</v>
      </c>
      <c r="K484" t="s">
        <v>13555</v>
      </c>
      <c r="L484" t="s">
        <v>13555</v>
      </c>
      <c r="M484" t="s">
        <v>3963</v>
      </c>
      <c r="N484" t="s">
        <v>3963</v>
      </c>
      <c r="O484" t="s">
        <v>3963</v>
      </c>
      <c r="P484" t="s">
        <v>13555</v>
      </c>
      <c r="R484" t="s">
        <v>3963</v>
      </c>
    </row>
    <row r="485" spans="4:18">
      <c r="D485" t="s">
        <v>236</v>
      </c>
      <c r="H485" t="s">
        <v>4756</v>
      </c>
      <c r="K485" t="s">
        <v>13556</v>
      </c>
      <c r="L485" t="s">
        <v>3963</v>
      </c>
      <c r="M485" t="s">
        <v>3963</v>
      </c>
      <c r="N485" t="s">
        <v>3963</v>
      </c>
      <c r="O485" t="s">
        <v>3963</v>
      </c>
      <c r="P485" t="s">
        <v>3963</v>
      </c>
      <c r="R485" t="s">
        <v>13556</v>
      </c>
    </row>
    <row r="486" spans="4:18">
      <c r="E486" t="s">
        <v>4757</v>
      </c>
      <c r="I486" t="s">
        <v>4758</v>
      </c>
      <c r="K486" t="s">
        <v>13556</v>
      </c>
      <c r="L486" t="s">
        <v>3963</v>
      </c>
      <c r="M486" t="s">
        <v>3963</v>
      </c>
      <c r="N486" t="s">
        <v>3963</v>
      </c>
      <c r="O486" t="s">
        <v>3963</v>
      </c>
      <c r="P486" t="s">
        <v>3963</v>
      </c>
      <c r="R486" t="s">
        <v>13556</v>
      </c>
    </row>
    <row r="487" spans="4:18">
      <c r="D487" t="s">
        <v>237</v>
      </c>
      <c r="H487" t="s">
        <v>2953</v>
      </c>
      <c r="K487" t="s">
        <v>13557</v>
      </c>
      <c r="L487" t="s">
        <v>13558</v>
      </c>
      <c r="M487" t="s">
        <v>3963</v>
      </c>
      <c r="N487" t="s">
        <v>3963</v>
      </c>
      <c r="O487" t="s">
        <v>3963</v>
      </c>
      <c r="P487" t="s">
        <v>13558</v>
      </c>
      <c r="R487" t="s">
        <v>13559</v>
      </c>
    </row>
    <row r="488" spans="4:18">
      <c r="E488" t="s">
        <v>4759</v>
      </c>
      <c r="I488" t="s">
        <v>4760</v>
      </c>
      <c r="K488" t="s">
        <v>13560</v>
      </c>
      <c r="L488" t="s">
        <v>13561</v>
      </c>
      <c r="M488" t="s">
        <v>3963</v>
      </c>
      <c r="N488" t="s">
        <v>3963</v>
      </c>
      <c r="O488" t="s">
        <v>3963</v>
      </c>
      <c r="P488" t="s">
        <v>13561</v>
      </c>
      <c r="R488" t="s">
        <v>13562</v>
      </c>
    </row>
    <row r="489" spans="4:18">
      <c r="E489" t="s">
        <v>4761</v>
      </c>
      <c r="I489" t="s">
        <v>4762</v>
      </c>
      <c r="K489" t="s">
        <v>13563</v>
      </c>
      <c r="L489" t="s">
        <v>13564</v>
      </c>
      <c r="M489" t="s">
        <v>3963</v>
      </c>
      <c r="N489" t="s">
        <v>3963</v>
      </c>
      <c r="O489" t="s">
        <v>3963</v>
      </c>
      <c r="P489" t="s">
        <v>13564</v>
      </c>
      <c r="R489" t="s">
        <v>13565</v>
      </c>
    </row>
    <row r="490" spans="4:18">
      <c r="E490" t="s">
        <v>4763</v>
      </c>
      <c r="I490" t="s">
        <v>4764</v>
      </c>
      <c r="K490" t="s">
        <v>4765</v>
      </c>
      <c r="L490" t="s">
        <v>13566</v>
      </c>
      <c r="M490" t="s">
        <v>3963</v>
      </c>
      <c r="N490" t="s">
        <v>3963</v>
      </c>
      <c r="O490" t="s">
        <v>3963</v>
      </c>
      <c r="P490" t="s">
        <v>13566</v>
      </c>
      <c r="R490" t="s">
        <v>13567</v>
      </c>
    </row>
    <row r="491" spans="4:18">
      <c r="E491" t="s">
        <v>4766</v>
      </c>
      <c r="I491" t="s">
        <v>4767</v>
      </c>
      <c r="K491" t="s">
        <v>13568</v>
      </c>
      <c r="L491" t="s">
        <v>13569</v>
      </c>
      <c r="M491" t="s">
        <v>3963</v>
      </c>
      <c r="N491" t="s">
        <v>3963</v>
      </c>
      <c r="O491" t="s">
        <v>3963</v>
      </c>
      <c r="P491" t="s">
        <v>13569</v>
      </c>
      <c r="R491" t="s">
        <v>13570</v>
      </c>
    </row>
    <row r="492" spans="4:18">
      <c r="E492" t="s">
        <v>4768</v>
      </c>
      <c r="I492" t="s">
        <v>4769</v>
      </c>
      <c r="K492" t="s">
        <v>3963</v>
      </c>
      <c r="L492" t="s">
        <v>3963</v>
      </c>
      <c r="M492" t="s">
        <v>3963</v>
      </c>
      <c r="N492" t="s">
        <v>3963</v>
      </c>
      <c r="O492" t="s">
        <v>3963</v>
      </c>
      <c r="P492" t="s">
        <v>3963</v>
      </c>
      <c r="R492" t="s">
        <v>3963</v>
      </c>
    </row>
    <row r="493" spans="4:18">
      <c r="E493" t="s">
        <v>4770</v>
      </c>
      <c r="I493" t="s">
        <v>4771</v>
      </c>
      <c r="K493" t="s">
        <v>13571</v>
      </c>
      <c r="L493" t="s">
        <v>13572</v>
      </c>
      <c r="M493" t="s">
        <v>3963</v>
      </c>
      <c r="N493" t="s">
        <v>3963</v>
      </c>
      <c r="O493" t="s">
        <v>3963</v>
      </c>
      <c r="P493" t="s">
        <v>13572</v>
      </c>
      <c r="R493" t="s">
        <v>13573</v>
      </c>
    </row>
    <row r="494" spans="4:18">
      <c r="D494" t="s">
        <v>240</v>
      </c>
      <c r="H494" t="s">
        <v>4772</v>
      </c>
      <c r="K494" t="s">
        <v>13574</v>
      </c>
      <c r="L494" t="s">
        <v>13575</v>
      </c>
      <c r="M494" t="s">
        <v>3963</v>
      </c>
      <c r="N494" t="s">
        <v>3963</v>
      </c>
      <c r="O494" t="s">
        <v>3963</v>
      </c>
      <c r="P494" t="s">
        <v>13575</v>
      </c>
      <c r="R494" t="s">
        <v>13576</v>
      </c>
    </row>
    <row r="495" spans="4:18">
      <c r="E495" t="s">
        <v>4773</v>
      </c>
      <c r="I495" t="s">
        <v>4774</v>
      </c>
      <c r="K495" t="s">
        <v>13574</v>
      </c>
      <c r="L495" t="s">
        <v>13575</v>
      </c>
      <c r="M495" t="s">
        <v>3963</v>
      </c>
      <c r="N495" t="s">
        <v>3963</v>
      </c>
      <c r="O495" t="s">
        <v>3963</v>
      </c>
      <c r="P495" t="s">
        <v>13575</v>
      </c>
      <c r="R495" t="s">
        <v>13576</v>
      </c>
    </row>
    <row r="496" spans="4:18">
      <c r="D496" t="s">
        <v>249</v>
      </c>
      <c r="H496" t="s">
        <v>4775</v>
      </c>
      <c r="K496" t="s">
        <v>13577</v>
      </c>
      <c r="L496" t="s">
        <v>13578</v>
      </c>
      <c r="M496" t="s">
        <v>3963</v>
      </c>
      <c r="N496" t="s">
        <v>3963</v>
      </c>
      <c r="O496" t="s">
        <v>3963</v>
      </c>
      <c r="P496" t="s">
        <v>13578</v>
      </c>
      <c r="R496" t="s">
        <v>13579</v>
      </c>
    </row>
    <row r="497" spans="4:18">
      <c r="E497" t="s">
        <v>4776</v>
      </c>
      <c r="I497" t="s">
        <v>4762</v>
      </c>
      <c r="K497" t="s">
        <v>13580</v>
      </c>
      <c r="L497" t="s">
        <v>13580</v>
      </c>
      <c r="M497" t="s">
        <v>3963</v>
      </c>
      <c r="N497" t="s">
        <v>3963</v>
      </c>
      <c r="O497" t="s">
        <v>3963</v>
      </c>
      <c r="P497" t="s">
        <v>13580</v>
      </c>
      <c r="R497" t="s">
        <v>3963</v>
      </c>
    </row>
    <row r="498" spans="4:18">
      <c r="E498" t="s">
        <v>4777</v>
      </c>
      <c r="I498" t="s">
        <v>4778</v>
      </c>
      <c r="K498" t="s">
        <v>13581</v>
      </c>
      <c r="L498" t="s">
        <v>13582</v>
      </c>
      <c r="M498" t="s">
        <v>3963</v>
      </c>
      <c r="N498" t="s">
        <v>3963</v>
      </c>
      <c r="O498" t="s">
        <v>3963</v>
      </c>
      <c r="P498" t="s">
        <v>13582</v>
      </c>
      <c r="R498" t="s">
        <v>13579</v>
      </c>
    </row>
    <row r="499" spans="4:18">
      <c r="D499" t="s">
        <v>252</v>
      </c>
      <c r="H499" t="s">
        <v>4779</v>
      </c>
      <c r="K499" t="s">
        <v>13583</v>
      </c>
      <c r="L499" t="s">
        <v>13584</v>
      </c>
      <c r="M499" t="s">
        <v>3963</v>
      </c>
      <c r="N499" t="s">
        <v>3963</v>
      </c>
      <c r="O499" t="s">
        <v>3963</v>
      </c>
      <c r="P499" t="s">
        <v>13584</v>
      </c>
      <c r="R499" t="s">
        <v>13585</v>
      </c>
    </row>
    <row r="500" spans="4:18">
      <c r="E500" t="s">
        <v>4780</v>
      </c>
      <c r="I500" t="s">
        <v>4781</v>
      </c>
      <c r="K500" t="s">
        <v>13586</v>
      </c>
      <c r="L500" t="s">
        <v>13587</v>
      </c>
      <c r="M500" t="s">
        <v>3963</v>
      </c>
      <c r="N500" t="s">
        <v>3963</v>
      </c>
      <c r="O500" t="s">
        <v>3963</v>
      </c>
      <c r="P500" t="s">
        <v>13587</v>
      </c>
      <c r="R500" t="s">
        <v>13588</v>
      </c>
    </row>
    <row r="501" spans="4:18">
      <c r="E501" t="s">
        <v>4782</v>
      </c>
      <c r="I501" t="s">
        <v>4783</v>
      </c>
      <c r="K501" t="s">
        <v>13589</v>
      </c>
      <c r="L501" t="s">
        <v>13590</v>
      </c>
      <c r="M501" t="s">
        <v>3963</v>
      </c>
      <c r="N501" t="s">
        <v>3963</v>
      </c>
      <c r="O501" t="s">
        <v>3963</v>
      </c>
      <c r="P501" t="s">
        <v>13590</v>
      </c>
      <c r="R501" t="s">
        <v>13591</v>
      </c>
    </row>
    <row r="502" spans="4:18">
      <c r="E502" t="s">
        <v>4784</v>
      </c>
      <c r="I502" t="s">
        <v>4783</v>
      </c>
      <c r="K502" t="s">
        <v>13592</v>
      </c>
      <c r="L502" t="s">
        <v>13593</v>
      </c>
      <c r="M502" t="s">
        <v>3963</v>
      </c>
      <c r="N502" t="s">
        <v>3963</v>
      </c>
      <c r="O502" t="s">
        <v>3963</v>
      </c>
      <c r="P502" t="s">
        <v>13593</v>
      </c>
      <c r="R502" t="s">
        <v>13594</v>
      </c>
    </row>
    <row r="503" spans="4:18">
      <c r="E503" t="s">
        <v>4785</v>
      </c>
      <c r="I503" t="s">
        <v>4786</v>
      </c>
      <c r="K503" t="s">
        <v>3963</v>
      </c>
      <c r="L503" t="s">
        <v>3963</v>
      </c>
      <c r="M503" t="s">
        <v>3963</v>
      </c>
      <c r="N503" t="s">
        <v>3963</v>
      </c>
      <c r="O503" t="s">
        <v>3963</v>
      </c>
      <c r="P503" t="s">
        <v>3963</v>
      </c>
      <c r="R503" t="s">
        <v>3963</v>
      </c>
    </row>
    <row r="504" spans="4:18">
      <c r="E504" t="s">
        <v>4787</v>
      </c>
      <c r="I504" t="s">
        <v>4788</v>
      </c>
      <c r="K504" t="s">
        <v>13595</v>
      </c>
      <c r="L504" t="s">
        <v>13596</v>
      </c>
      <c r="M504" t="s">
        <v>3963</v>
      </c>
      <c r="N504" t="s">
        <v>3963</v>
      </c>
      <c r="O504" t="s">
        <v>3963</v>
      </c>
      <c r="P504" t="s">
        <v>13596</v>
      </c>
      <c r="R504" t="s">
        <v>13597</v>
      </c>
    </row>
    <row r="505" spans="4:18">
      <c r="E505" t="s">
        <v>4789</v>
      </c>
      <c r="I505" t="s">
        <v>4790</v>
      </c>
      <c r="K505" t="s">
        <v>12670</v>
      </c>
      <c r="L505" t="s">
        <v>13598</v>
      </c>
      <c r="M505" t="s">
        <v>3963</v>
      </c>
      <c r="N505" t="s">
        <v>3963</v>
      </c>
      <c r="O505" t="s">
        <v>3963</v>
      </c>
      <c r="P505" t="s">
        <v>13598</v>
      </c>
      <c r="R505" t="s">
        <v>13599</v>
      </c>
    </row>
    <row r="506" spans="4:18">
      <c r="D506" t="s">
        <v>255</v>
      </c>
      <c r="H506" t="s">
        <v>4791</v>
      </c>
      <c r="K506" t="s">
        <v>13600</v>
      </c>
      <c r="L506" t="s">
        <v>13601</v>
      </c>
      <c r="M506" t="s">
        <v>3963</v>
      </c>
      <c r="N506" t="s">
        <v>3963</v>
      </c>
      <c r="O506" t="s">
        <v>3963</v>
      </c>
      <c r="P506" t="s">
        <v>13601</v>
      </c>
      <c r="R506" t="s">
        <v>13602</v>
      </c>
    </row>
    <row r="507" spans="4:18">
      <c r="E507" t="s">
        <v>4792</v>
      </c>
      <c r="I507" t="s">
        <v>4793</v>
      </c>
      <c r="K507" t="s">
        <v>13603</v>
      </c>
      <c r="L507" t="s">
        <v>13604</v>
      </c>
      <c r="M507" t="s">
        <v>3963</v>
      </c>
      <c r="N507" t="s">
        <v>3963</v>
      </c>
      <c r="O507" t="s">
        <v>3963</v>
      </c>
      <c r="P507" t="s">
        <v>13604</v>
      </c>
      <c r="R507" t="s">
        <v>13605</v>
      </c>
    </row>
    <row r="508" spans="4:18">
      <c r="E508" t="s">
        <v>4794</v>
      </c>
      <c r="I508" t="s">
        <v>4795</v>
      </c>
      <c r="K508" t="s">
        <v>12854</v>
      </c>
      <c r="L508" t="s">
        <v>13606</v>
      </c>
      <c r="M508" t="s">
        <v>3963</v>
      </c>
      <c r="N508" t="s">
        <v>3963</v>
      </c>
      <c r="O508" t="s">
        <v>3963</v>
      </c>
      <c r="P508" t="s">
        <v>13606</v>
      </c>
      <c r="R508" t="s">
        <v>13607</v>
      </c>
    </row>
    <row r="509" spans="4:18">
      <c r="E509" t="s">
        <v>4796</v>
      </c>
      <c r="I509" t="s">
        <v>4797</v>
      </c>
      <c r="K509" t="s">
        <v>13608</v>
      </c>
      <c r="L509" t="s">
        <v>13609</v>
      </c>
      <c r="M509" t="s">
        <v>3963</v>
      </c>
      <c r="N509" t="s">
        <v>3963</v>
      </c>
      <c r="O509" t="s">
        <v>3963</v>
      </c>
      <c r="P509" t="s">
        <v>13609</v>
      </c>
      <c r="R509" t="s">
        <v>13610</v>
      </c>
    </row>
    <row r="510" spans="4:18">
      <c r="E510" t="s">
        <v>4798</v>
      </c>
      <c r="I510" t="s">
        <v>4799</v>
      </c>
      <c r="K510" t="s">
        <v>13611</v>
      </c>
      <c r="L510" t="s">
        <v>13612</v>
      </c>
      <c r="M510" t="s">
        <v>3963</v>
      </c>
      <c r="N510" t="s">
        <v>3963</v>
      </c>
      <c r="O510" t="s">
        <v>3963</v>
      </c>
      <c r="P510" t="s">
        <v>13612</v>
      </c>
      <c r="R510" t="s">
        <v>13613</v>
      </c>
    </row>
    <row r="511" spans="4:18">
      <c r="E511" t="s">
        <v>4800</v>
      </c>
      <c r="I511" t="s">
        <v>4801</v>
      </c>
      <c r="K511" t="s">
        <v>13614</v>
      </c>
      <c r="L511" t="s">
        <v>13615</v>
      </c>
      <c r="M511" t="s">
        <v>3963</v>
      </c>
      <c r="N511" t="s">
        <v>3963</v>
      </c>
      <c r="O511" t="s">
        <v>3963</v>
      </c>
      <c r="P511" t="s">
        <v>13615</v>
      </c>
      <c r="R511" t="s">
        <v>13616</v>
      </c>
    </row>
    <row r="512" spans="4:18">
      <c r="D512" t="s">
        <v>256</v>
      </c>
      <c r="H512" t="s">
        <v>4802</v>
      </c>
      <c r="K512" t="s">
        <v>13617</v>
      </c>
      <c r="L512" t="s">
        <v>13618</v>
      </c>
      <c r="M512" t="s">
        <v>3963</v>
      </c>
      <c r="N512" t="s">
        <v>3963</v>
      </c>
      <c r="O512" t="s">
        <v>3963</v>
      </c>
      <c r="P512" t="s">
        <v>13618</v>
      </c>
      <c r="R512" t="s">
        <v>13619</v>
      </c>
    </row>
    <row r="513" spans="4:18">
      <c r="E513" t="s">
        <v>4803</v>
      </c>
      <c r="I513" t="s">
        <v>4804</v>
      </c>
      <c r="K513" t="s">
        <v>13620</v>
      </c>
      <c r="L513" t="s">
        <v>13621</v>
      </c>
      <c r="M513" t="s">
        <v>3963</v>
      </c>
      <c r="N513" t="s">
        <v>3963</v>
      </c>
      <c r="O513" t="s">
        <v>3963</v>
      </c>
      <c r="P513" t="s">
        <v>13621</v>
      </c>
      <c r="R513" t="s">
        <v>13622</v>
      </c>
    </row>
    <row r="514" spans="4:18">
      <c r="E514" t="s">
        <v>4805</v>
      </c>
      <c r="I514" t="s">
        <v>4806</v>
      </c>
      <c r="K514" t="s">
        <v>3963</v>
      </c>
      <c r="L514" t="s">
        <v>3963</v>
      </c>
      <c r="M514" t="s">
        <v>3963</v>
      </c>
      <c r="N514" t="s">
        <v>3963</v>
      </c>
      <c r="O514" t="s">
        <v>3963</v>
      </c>
      <c r="P514" t="s">
        <v>3963</v>
      </c>
      <c r="R514" t="s">
        <v>3963</v>
      </c>
    </row>
    <row r="515" spans="4:18">
      <c r="E515" t="s">
        <v>4807</v>
      </c>
      <c r="I515" t="s">
        <v>4808</v>
      </c>
      <c r="K515" t="s">
        <v>13623</v>
      </c>
      <c r="L515" t="s">
        <v>13623</v>
      </c>
      <c r="M515" t="s">
        <v>3963</v>
      </c>
      <c r="N515" t="s">
        <v>3963</v>
      </c>
      <c r="O515" t="s">
        <v>3963</v>
      </c>
      <c r="P515" t="s">
        <v>13623</v>
      </c>
      <c r="R515" t="s">
        <v>3963</v>
      </c>
    </row>
    <row r="516" spans="4:18">
      <c r="E516" t="s">
        <v>4809</v>
      </c>
      <c r="I516" t="s">
        <v>4810</v>
      </c>
      <c r="K516" t="s">
        <v>13624</v>
      </c>
      <c r="L516" t="s">
        <v>13625</v>
      </c>
      <c r="M516" t="s">
        <v>3963</v>
      </c>
      <c r="N516" t="s">
        <v>3963</v>
      </c>
      <c r="O516" t="s">
        <v>3963</v>
      </c>
      <c r="P516" t="s">
        <v>13625</v>
      </c>
      <c r="R516" t="s">
        <v>13626</v>
      </c>
    </row>
    <row r="517" spans="4:18">
      <c r="E517" t="s">
        <v>4811</v>
      </c>
      <c r="I517" t="s">
        <v>4812</v>
      </c>
      <c r="K517" t="s">
        <v>13627</v>
      </c>
      <c r="L517" t="s">
        <v>13628</v>
      </c>
      <c r="M517" t="s">
        <v>3963</v>
      </c>
      <c r="N517" t="s">
        <v>3963</v>
      </c>
      <c r="O517" t="s">
        <v>3963</v>
      </c>
      <c r="P517" t="s">
        <v>13628</v>
      </c>
      <c r="R517" t="s">
        <v>13629</v>
      </c>
    </row>
    <row r="518" spans="4:18">
      <c r="E518" t="s">
        <v>4813</v>
      </c>
      <c r="I518" t="s">
        <v>4814</v>
      </c>
      <c r="K518" t="s">
        <v>13630</v>
      </c>
      <c r="L518" t="s">
        <v>13630</v>
      </c>
      <c r="M518" t="s">
        <v>3963</v>
      </c>
      <c r="N518" t="s">
        <v>3963</v>
      </c>
      <c r="O518" t="s">
        <v>3963</v>
      </c>
      <c r="P518" t="s">
        <v>13630</v>
      </c>
      <c r="R518" t="s">
        <v>3963</v>
      </c>
    </row>
    <row r="519" spans="4:18">
      <c r="D519" t="s">
        <v>258</v>
      </c>
      <c r="H519" t="s">
        <v>4815</v>
      </c>
      <c r="K519" t="s">
        <v>13631</v>
      </c>
      <c r="L519" t="s">
        <v>13632</v>
      </c>
      <c r="M519" t="s">
        <v>3963</v>
      </c>
      <c r="N519" t="s">
        <v>3963</v>
      </c>
      <c r="O519" t="s">
        <v>3963</v>
      </c>
      <c r="P519" t="s">
        <v>13632</v>
      </c>
      <c r="R519" t="s">
        <v>13633</v>
      </c>
    </row>
    <row r="520" spans="4:18">
      <c r="E520" t="s">
        <v>4816</v>
      </c>
      <c r="I520" t="s">
        <v>4817</v>
      </c>
      <c r="K520" t="s">
        <v>13634</v>
      </c>
      <c r="L520" t="s">
        <v>13635</v>
      </c>
      <c r="M520" t="s">
        <v>3963</v>
      </c>
      <c r="N520" t="s">
        <v>3963</v>
      </c>
      <c r="O520" t="s">
        <v>3963</v>
      </c>
      <c r="P520" t="s">
        <v>13635</v>
      </c>
      <c r="R520" t="s">
        <v>13636</v>
      </c>
    </row>
    <row r="521" spans="4:18">
      <c r="E521" t="s">
        <v>4818</v>
      </c>
      <c r="I521" t="s">
        <v>4819</v>
      </c>
      <c r="K521" t="s">
        <v>13637</v>
      </c>
      <c r="L521" t="s">
        <v>13638</v>
      </c>
      <c r="M521" t="s">
        <v>3963</v>
      </c>
      <c r="N521" t="s">
        <v>3963</v>
      </c>
      <c r="O521" t="s">
        <v>3963</v>
      </c>
      <c r="P521" t="s">
        <v>13638</v>
      </c>
      <c r="R521" t="s">
        <v>13639</v>
      </c>
    </row>
    <row r="522" spans="4:18">
      <c r="E522" t="s">
        <v>4820</v>
      </c>
      <c r="I522" t="s">
        <v>4821</v>
      </c>
      <c r="K522" t="s">
        <v>13640</v>
      </c>
      <c r="L522" t="s">
        <v>13641</v>
      </c>
      <c r="M522" t="s">
        <v>3963</v>
      </c>
      <c r="N522" t="s">
        <v>3963</v>
      </c>
      <c r="O522" t="s">
        <v>3963</v>
      </c>
      <c r="P522" t="s">
        <v>13641</v>
      </c>
      <c r="R522" t="s">
        <v>13642</v>
      </c>
    </row>
    <row r="523" spans="4:18">
      <c r="E523" t="s">
        <v>4822</v>
      </c>
      <c r="I523" t="s">
        <v>4823</v>
      </c>
      <c r="K523" t="s">
        <v>6956</v>
      </c>
      <c r="L523" t="s">
        <v>13643</v>
      </c>
      <c r="M523" t="s">
        <v>3963</v>
      </c>
      <c r="N523" t="s">
        <v>3963</v>
      </c>
      <c r="O523" t="s">
        <v>3963</v>
      </c>
      <c r="P523" t="s">
        <v>13643</v>
      </c>
      <c r="R523" t="s">
        <v>13644</v>
      </c>
    </row>
    <row r="524" spans="4:18">
      <c r="E524" t="s">
        <v>4824</v>
      </c>
      <c r="I524" t="s">
        <v>4825</v>
      </c>
      <c r="K524" t="s">
        <v>4702</v>
      </c>
      <c r="L524" t="s">
        <v>13645</v>
      </c>
      <c r="M524" t="s">
        <v>3963</v>
      </c>
      <c r="N524" t="s">
        <v>3963</v>
      </c>
      <c r="O524" t="s">
        <v>3963</v>
      </c>
      <c r="P524" t="s">
        <v>13645</v>
      </c>
      <c r="R524" t="s">
        <v>13646</v>
      </c>
    </row>
    <row r="525" spans="4:18">
      <c r="E525" t="s">
        <v>4826</v>
      </c>
      <c r="I525" t="s">
        <v>4827</v>
      </c>
      <c r="K525" t="s">
        <v>12670</v>
      </c>
      <c r="L525" t="s">
        <v>3963</v>
      </c>
      <c r="M525" t="s">
        <v>3963</v>
      </c>
      <c r="N525" t="s">
        <v>3963</v>
      </c>
      <c r="O525" t="s">
        <v>3963</v>
      </c>
      <c r="P525" t="s">
        <v>3963</v>
      </c>
      <c r="R525" t="s">
        <v>12670</v>
      </c>
    </row>
    <row r="526" spans="4:18">
      <c r="E526" t="s">
        <v>4828</v>
      </c>
      <c r="I526" t="s">
        <v>4829</v>
      </c>
      <c r="K526" t="s">
        <v>4830</v>
      </c>
      <c r="L526" t="s">
        <v>13647</v>
      </c>
      <c r="M526" t="s">
        <v>3963</v>
      </c>
      <c r="N526" t="s">
        <v>3963</v>
      </c>
      <c r="O526" t="s">
        <v>3963</v>
      </c>
      <c r="P526" t="s">
        <v>13647</v>
      </c>
      <c r="R526" t="s">
        <v>13648</v>
      </c>
    </row>
    <row r="527" spans="4:18">
      <c r="D527" t="s">
        <v>261</v>
      </c>
      <c r="H527" t="s">
        <v>4831</v>
      </c>
      <c r="K527" t="s">
        <v>13649</v>
      </c>
      <c r="L527" t="s">
        <v>13650</v>
      </c>
      <c r="M527" t="s">
        <v>3963</v>
      </c>
      <c r="N527" t="s">
        <v>3963</v>
      </c>
      <c r="O527" t="s">
        <v>3963</v>
      </c>
      <c r="P527" t="s">
        <v>13650</v>
      </c>
      <c r="R527" t="s">
        <v>13651</v>
      </c>
    </row>
    <row r="528" spans="4:18">
      <c r="E528" t="s">
        <v>4832</v>
      </c>
      <c r="I528" t="s">
        <v>4833</v>
      </c>
      <c r="K528" t="s">
        <v>13652</v>
      </c>
      <c r="L528" t="s">
        <v>13653</v>
      </c>
      <c r="M528" t="s">
        <v>3963</v>
      </c>
      <c r="N528" t="s">
        <v>3963</v>
      </c>
      <c r="O528" t="s">
        <v>3963</v>
      </c>
      <c r="P528" t="s">
        <v>13653</v>
      </c>
      <c r="R528" t="s">
        <v>13654</v>
      </c>
    </row>
    <row r="529" spans="4:18">
      <c r="E529" t="s">
        <v>4834</v>
      </c>
      <c r="I529" t="s">
        <v>4835</v>
      </c>
      <c r="K529" t="s">
        <v>13655</v>
      </c>
      <c r="L529" t="s">
        <v>13656</v>
      </c>
      <c r="M529" t="s">
        <v>3963</v>
      </c>
      <c r="N529" t="s">
        <v>3963</v>
      </c>
      <c r="O529" t="s">
        <v>3963</v>
      </c>
      <c r="P529" t="s">
        <v>13656</v>
      </c>
      <c r="R529" t="s">
        <v>13657</v>
      </c>
    </row>
    <row r="530" spans="4:18">
      <c r="E530" t="s">
        <v>4836</v>
      </c>
      <c r="I530" t="s">
        <v>4837</v>
      </c>
      <c r="K530" t="s">
        <v>13658</v>
      </c>
      <c r="L530" t="s">
        <v>13659</v>
      </c>
      <c r="M530" t="s">
        <v>3963</v>
      </c>
      <c r="N530" t="s">
        <v>3963</v>
      </c>
      <c r="O530" t="s">
        <v>3963</v>
      </c>
      <c r="P530" t="s">
        <v>13659</v>
      </c>
      <c r="R530" t="s">
        <v>13660</v>
      </c>
    </row>
    <row r="531" spans="4:18">
      <c r="D531" t="s">
        <v>263</v>
      </c>
      <c r="H531" t="s">
        <v>4838</v>
      </c>
      <c r="K531" t="s">
        <v>13661</v>
      </c>
      <c r="L531" t="s">
        <v>20044</v>
      </c>
      <c r="M531" t="s">
        <v>20045</v>
      </c>
      <c r="N531" t="s">
        <v>17316</v>
      </c>
      <c r="O531" t="s">
        <v>3963</v>
      </c>
      <c r="P531" t="s">
        <v>20046</v>
      </c>
      <c r="R531" t="s">
        <v>20047</v>
      </c>
    </row>
    <row r="532" spans="4:18">
      <c r="E532" t="s">
        <v>4839</v>
      </c>
      <c r="I532" t="s">
        <v>4840</v>
      </c>
      <c r="K532" t="s">
        <v>13662</v>
      </c>
      <c r="L532" t="s">
        <v>16503</v>
      </c>
      <c r="M532" t="s">
        <v>3963</v>
      </c>
      <c r="N532" t="s">
        <v>3963</v>
      </c>
      <c r="O532" t="s">
        <v>3963</v>
      </c>
      <c r="P532" t="s">
        <v>16503</v>
      </c>
      <c r="R532" t="s">
        <v>17096</v>
      </c>
    </row>
    <row r="533" spans="4:18">
      <c r="E533" t="s">
        <v>4841</v>
      </c>
      <c r="I533" t="s">
        <v>4842</v>
      </c>
      <c r="K533" t="s">
        <v>13663</v>
      </c>
      <c r="L533" t="s">
        <v>19844</v>
      </c>
      <c r="M533" t="s">
        <v>19845</v>
      </c>
      <c r="N533" t="s">
        <v>3963</v>
      </c>
      <c r="O533" t="s">
        <v>3963</v>
      </c>
      <c r="P533" t="s">
        <v>19846</v>
      </c>
      <c r="R533" t="s">
        <v>19847</v>
      </c>
    </row>
    <row r="534" spans="4:18">
      <c r="E534" t="s">
        <v>4843</v>
      </c>
      <c r="I534" t="s">
        <v>4844</v>
      </c>
      <c r="K534" t="s">
        <v>4172</v>
      </c>
      <c r="L534" t="s">
        <v>13664</v>
      </c>
      <c r="M534" t="s">
        <v>3963</v>
      </c>
      <c r="N534" t="s">
        <v>3963</v>
      </c>
      <c r="O534" t="s">
        <v>3963</v>
      </c>
      <c r="P534" t="s">
        <v>13664</v>
      </c>
      <c r="R534" t="s">
        <v>18689</v>
      </c>
    </row>
    <row r="535" spans="4:18">
      <c r="E535" t="s">
        <v>4845</v>
      </c>
      <c r="I535" t="s">
        <v>4846</v>
      </c>
      <c r="K535" t="s">
        <v>4765</v>
      </c>
      <c r="L535" t="s">
        <v>13665</v>
      </c>
      <c r="M535" t="s">
        <v>13666</v>
      </c>
      <c r="N535" t="s">
        <v>3963</v>
      </c>
      <c r="O535" t="s">
        <v>3963</v>
      </c>
      <c r="P535" t="s">
        <v>13667</v>
      </c>
      <c r="R535" t="s">
        <v>13668</v>
      </c>
    </row>
    <row r="536" spans="4:18">
      <c r="E536" t="s">
        <v>4847</v>
      </c>
      <c r="I536" t="s">
        <v>4848</v>
      </c>
      <c r="K536" t="s">
        <v>4150</v>
      </c>
      <c r="L536" t="s">
        <v>20048</v>
      </c>
      <c r="M536" t="s">
        <v>20049</v>
      </c>
      <c r="N536" t="s">
        <v>3963</v>
      </c>
      <c r="O536" t="s">
        <v>3963</v>
      </c>
      <c r="P536" t="s">
        <v>20050</v>
      </c>
      <c r="R536" t="s">
        <v>20051</v>
      </c>
    </row>
    <row r="537" spans="4:18">
      <c r="E537" t="s">
        <v>4849</v>
      </c>
      <c r="I537" t="s">
        <v>4850</v>
      </c>
      <c r="K537" t="s">
        <v>12518</v>
      </c>
      <c r="L537" t="s">
        <v>13669</v>
      </c>
      <c r="M537" t="s">
        <v>19188</v>
      </c>
      <c r="N537" t="s">
        <v>17316</v>
      </c>
      <c r="O537" t="s">
        <v>3963</v>
      </c>
      <c r="P537" t="s">
        <v>19189</v>
      </c>
      <c r="R537" t="s">
        <v>19190</v>
      </c>
    </row>
    <row r="538" spans="4:18">
      <c r="E538" t="s">
        <v>4851</v>
      </c>
      <c r="I538" t="s">
        <v>4852</v>
      </c>
      <c r="K538" t="s">
        <v>4162</v>
      </c>
      <c r="L538" t="s">
        <v>19291</v>
      </c>
      <c r="M538" t="s">
        <v>3963</v>
      </c>
      <c r="N538" t="s">
        <v>3963</v>
      </c>
      <c r="O538" t="s">
        <v>3963</v>
      </c>
      <c r="P538" t="s">
        <v>19291</v>
      </c>
      <c r="R538" t="s">
        <v>19292</v>
      </c>
    </row>
    <row r="539" spans="4:18">
      <c r="E539" t="s">
        <v>4853</v>
      </c>
      <c r="I539" t="s">
        <v>4854</v>
      </c>
      <c r="K539" t="s">
        <v>4132</v>
      </c>
      <c r="L539" t="s">
        <v>13670</v>
      </c>
      <c r="M539" t="s">
        <v>3963</v>
      </c>
      <c r="N539" t="s">
        <v>3963</v>
      </c>
      <c r="O539" t="s">
        <v>3963</v>
      </c>
      <c r="P539" t="s">
        <v>13670</v>
      </c>
      <c r="R539" t="s">
        <v>4855</v>
      </c>
    </row>
    <row r="540" spans="4:18">
      <c r="E540" t="s">
        <v>4856</v>
      </c>
      <c r="I540" t="s">
        <v>4857</v>
      </c>
      <c r="K540" t="s">
        <v>13099</v>
      </c>
      <c r="L540" t="s">
        <v>18690</v>
      </c>
      <c r="M540" t="s">
        <v>3963</v>
      </c>
      <c r="N540" t="s">
        <v>3963</v>
      </c>
      <c r="O540" t="s">
        <v>3963</v>
      </c>
      <c r="P540" t="s">
        <v>18690</v>
      </c>
      <c r="R540" t="s">
        <v>18691</v>
      </c>
    </row>
    <row r="541" spans="4:18">
      <c r="E541" t="s">
        <v>4858</v>
      </c>
      <c r="I541" t="s">
        <v>4859</v>
      </c>
      <c r="K541" t="s">
        <v>13595</v>
      </c>
      <c r="L541" t="s">
        <v>13671</v>
      </c>
      <c r="M541" t="s">
        <v>13672</v>
      </c>
      <c r="N541" t="s">
        <v>3963</v>
      </c>
      <c r="O541" t="s">
        <v>3963</v>
      </c>
      <c r="P541" t="s">
        <v>13673</v>
      </c>
      <c r="R541" t="s">
        <v>13674</v>
      </c>
    </row>
    <row r="542" spans="4:18">
      <c r="E542" t="s">
        <v>4860</v>
      </c>
      <c r="I542" t="s">
        <v>4861</v>
      </c>
      <c r="K542" t="s">
        <v>12518</v>
      </c>
      <c r="L542" t="s">
        <v>13675</v>
      </c>
      <c r="M542" t="s">
        <v>3963</v>
      </c>
      <c r="N542" t="s">
        <v>3963</v>
      </c>
      <c r="O542" t="s">
        <v>3963</v>
      </c>
      <c r="P542" t="s">
        <v>13675</v>
      </c>
      <c r="R542" t="s">
        <v>17097</v>
      </c>
    </row>
    <row r="543" spans="4:18">
      <c r="E543" t="s">
        <v>4862</v>
      </c>
      <c r="I543" t="s">
        <v>4863</v>
      </c>
      <c r="K543" t="s">
        <v>13676</v>
      </c>
      <c r="L543" t="s">
        <v>13677</v>
      </c>
      <c r="M543" t="s">
        <v>3963</v>
      </c>
      <c r="N543" t="s">
        <v>3963</v>
      </c>
      <c r="O543" t="s">
        <v>3963</v>
      </c>
      <c r="P543" t="s">
        <v>13677</v>
      </c>
      <c r="R543" t="s">
        <v>17317</v>
      </c>
    </row>
    <row r="544" spans="4:18">
      <c r="E544" t="s">
        <v>4864</v>
      </c>
      <c r="I544" t="s">
        <v>4865</v>
      </c>
      <c r="K544" t="s">
        <v>12518</v>
      </c>
      <c r="L544" t="s">
        <v>3963</v>
      </c>
      <c r="M544" t="s">
        <v>3963</v>
      </c>
      <c r="N544" t="s">
        <v>3963</v>
      </c>
      <c r="O544" t="s">
        <v>3963</v>
      </c>
      <c r="P544" t="s">
        <v>3963</v>
      </c>
      <c r="R544" t="s">
        <v>12518</v>
      </c>
    </row>
    <row r="545" spans="4:18">
      <c r="D545" t="s">
        <v>269</v>
      </c>
      <c r="H545" t="s">
        <v>4866</v>
      </c>
      <c r="K545" t="s">
        <v>13678</v>
      </c>
      <c r="L545" t="s">
        <v>13679</v>
      </c>
      <c r="M545" t="s">
        <v>3963</v>
      </c>
      <c r="N545" t="s">
        <v>3963</v>
      </c>
      <c r="O545" t="s">
        <v>3963</v>
      </c>
      <c r="P545" t="s">
        <v>13679</v>
      </c>
      <c r="R545" t="s">
        <v>13680</v>
      </c>
    </row>
    <row r="546" spans="4:18">
      <c r="E546" t="s">
        <v>4867</v>
      </c>
      <c r="I546" t="s">
        <v>4868</v>
      </c>
      <c r="K546" t="s">
        <v>4869</v>
      </c>
      <c r="L546" t="s">
        <v>13681</v>
      </c>
      <c r="M546" t="s">
        <v>3963</v>
      </c>
      <c r="N546" t="s">
        <v>3963</v>
      </c>
      <c r="O546" t="s">
        <v>3963</v>
      </c>
      <c r="P546" t="s">
        <v>13681</v>
      </c>
      <c r="R546" t="s">
        <v>13682</v>
      </c>
    </row>
    <row r="547" spans="4:18">
      <c r="E547" t="s">
        <v>4870</v>
      </c>
      <c r="I547" t="s">
        <v>4871</v>
      </c>
      <c r="K547" t="s">
        <v>13683</v>
      </c>
      <c r="L547" t="s">
        <v>13684</v>
      </c>
      <c r="M547" t="s">
        <v>3963</v>
      </c>
      <c r="N547" t="s">
        <v>3963</v>
      </c>
      <c r="O547" t="s">
        <v>3963</v>
      </c>
      <c r="P547" t="s">
        <v>13684</v>
      </c>
      <c r="R547" t="s">
        <v>13685</v>
      </c>
    </row>
    <row r="548" spans="4:18">
      <c r="E548" t="s">
        <v>4872</v>
      </c>
      <c r="I548" t="s">
        <v>4873</v>
      </c>
      <c r="K548" t="s">
        <v>13686</v>
      </c>
      <c r="L548" t="s">
        <v>13687</v>
      </c>
      <c r="M548" t="s">
        <v>3963</v>
      </c>
      <c r="N548" t="s">
        <v>3963</v>
      </c>
      <c r="O548" t="s">
        <v>3963</v>
      </c>
      <c r="P548" t="s">
        <v>13687</v>
      </c>
      <c r="R548" t="s">
        <v>13688</v>
      </c>
    </row>
    <row r="549" spans="4:18">
      <c r="D549" t="s">
        <v>274</v>
      </c>
      <c r="H549" t="s">
        <v>4874</v>
      </c>
      <c r="K549" t="s">
        <v>13689</v>
      </c>
      <c r="L549" t="s">
        <v>13690</v>
      </c>
      <c r="M549" t="s">
        <v>3963</v>
      </c>
      <c r="N549" t="s">
        <v>3963</v>
      </c>
      <c r="O549" t="s">
        <v>3963</v>
      </c>
      <c r="P549" t="s">
        <v>13690</v>
      </c>
      <c r="R549" t="s">
        <v>13691</v>
      </c>
    </row>
    <row r="550" spans="4:18">
      <c r="E550" t="s">
        <v>4875</v>
      </c>
      <c r="I550" t="s">
        <v>4876</v>
      </c>
      <c r="K550" t="s">
        <v>13689</v>
      </c>
      <c r="L550" t="s">
        <v>13690</v>
      </c>
      <c r="M550" t="s">
        <v>3963</v>
      </c>
      <c r="N550" t="s">
        <v>3963</v>
      </c>
      <c r="O550" t="s">
        <v>3963</v>
      </c>
      <c r="P550" t="s">
        <v>13690</v>
      </c>
      <c r="R550" t="s">
        <v>13691</v>
      </c>
    </row>
    <row r="551" spans="4:18">
      <c r="D551" t="s">
        <v>262</v>
      </c>
      <c r="H551" t="s">
        <v>4877</v>
      </c>
      <c r="K551" t="s">
        <v>13692</v>
      </c>
      <c r="L551" t="s">
        <v>13693</v>
      </c>
      <c r="M551" t="s">
        <v>3963</v>
      </c>
      <c r="N551" t="s">
        <v>3963</v>
      </c>
      <c r="O551" t="s">
        <v>3963</v>
      </c>
      <c r="P551" t="s">
        <v>13693</v>
      </c>
      <c r="R551" t="s">
        <v>13694</v>
      </c>
    </row>
    <row r="552" spans="4:18">
      <c r="E552" t="s">
        <v>4878</v>
      </c>
      <c r="I552" t="s">
        <v>4879</v>
      </c>
      <c r="K552" t="s">
        <v>13692</v>
      </c>
      <c r="L552" t="s">
        <v>13693</v>
      </c>
      <c r="M552" t="s">
        <v>3963</v>
      </c>
      <c r="N552" t="s">
        <v>3963</v>
      </c>
      <c r="O552" t="s">
        <v>3963</v>
      </c>
      <c r="P552" t="s">
        <v>13693</v>
      </c>
      <c r="R552" t="s">
        <v>13694</v>
      </c>
    </row>
    <row r="553" spans="4:18">
      <c r="D553" t="s">
        <v>291</v>
      </c>
      <c r="H553" t="s">
        <v>4880</v>
      </c>
      <c r="K553" t="s">
        <v>13695</v>
      </c>
      <c r="L553" t="s">
        <v>13696</v>
      </c>
      <c r="M553" t="s">
        <v>3963</v>
      </c>
      <c r="N553" t="s">
        <v>3963</v>
      </c>
      <c r="O553" t="s">
        <v>3963</v>
      </c>
      <c r="P553" t="s">
        <v>13696</v>
      </c>
      <c r="R553" t="s">
        <v>13697</v>
      </c>
    </row>
    <row r="554" spans="4:18">
      <c r="E554" t="s">
        <v>4881</v>
      </c>
      <c r="I554" t="s">
        <v>4882</v>
      </c>
      <c r="K554" t="s">
        <v>13698</v>
      </c>
      <c r="L554" t="s">
        <v>13699</v>
      </c>
      <c r="M554" t="s">
        <v>3963</v>
      </c>
      <c r="N554" t="s">
        <v>3963</v>
      </c>
      <c r="O554" t="s">
        <v>3963</v>
      </c>
      <c r="P554" t="s">
        <v>13699</v>
      </c>
      <c r="R554" t="s">
        <v>13700</v>
      </c>
    </row>
    <row r="555" spans="4:18">
      <c r="E555" t="s">
        <v>4883</v>
      </c>
      <c r="I555" t="s">
        <v>4884</v>
      </c>
      <c r="K555" t="s">
        <v>13701</v>
      </c>
      <c r="L555" t="s">
        <v>13702</v>
      </c>
      <c r="M555" t="s">
        <v>3963</v>
      </c>
      <c r="N555" t="s">
        <v>3963</v>
      </c>
      <c r="O555" t="s">
        <v>3963</v>
      </c>
      <c r="P555" t="s">
        <v>13702</v>
      </c>
      <c r="R555" t="s">
        <v>13703</v>
      </c>
    </row>
    <row r="556" spans="4:18">
      <c r="E556" t="s">
        <v>4885</v>
      </c>
      <c r="I556" t="s">
        <v>4886</v>
      </c>
      <c r="K556" t="s">
        <v>4182</v>
      </c>
      <c r="L556" t="s">
        <v>3963</v>
      </c>
      <c r="M556" t="s">
        <v>3963</v>
      </c>
      <c r="N556" t="s">
        <v>3963</v>
      </c>
      <c r="O556" t="s">
        <v>3963</v>
      </c>
      <c r="P556" t="s">
        <v>3963</v>
      </c>
      <c r="R556" t="s">
        <v>4182</v>
      </c>
    </row>
    <row r="557" spans="4:18">
      <c r="D557" t="s">
        <v>292</v>
      </c>
      <c r="H557" t="s">
        <v>4887</v>
      </c>
      <c r="K557" t="s">
        <v>13704</v>
      </c>
      <c r="L557" t="s">
        <v>13705</v>
      </c>
      <c r="M557" t="s">
        <v>13706</v>
      </c>
      <c r="N557" t="s">
        <v>13707</v>
      </c>
      <c r="O557" t="s">
        <v>3963</v>
      </c>
      <c r="P557" t="s">
        <v>13708</v>
      </c>
      <c r="R557" t="s">
        <v>13709</v>
      </c>
    </row>
    <row r="558" spans="4:18">
      <c r="E558" t="s">
        <v>4888</v>
      </c>
      <c r="I558" t="s">
        <v>4889</v>
      </c>
      <c r="K558" t="s">
        <v>13710</v>
      </c>
      <c r="L558" t="s">
        <v>13711</v>
      </c>
      <c r="M558" t="s">
        <v>3963</v>
      </c>
      <c r="N558" t="s">
        <v>3963</v>
      </c>
      <c r="O558" t="s">
        <v>3963</v>
      </c>
      <c r="P558" t="s">
        <v>13711</v>
      </c>
      <c r="R558" t="s">
        <v>13712</v>
      </c>
    </row>
    <row r="559" spans="4:18">
      <c r="E559" t="s">
        <v>4890</v>
      </c>
      <c r="I559" t="s">
        <v>4891</v>
      </c>
      <c r="K559" t="s">
        <v>13713</v>
      </c>
      <c r="L559" t="s">
        <v>13714</v>
      </c>
      <c r="M559" t="s">
        <v>13706</v>
      </c>
      <c r="N559" t="s">
        <v>13707</v>
      </c>
      <c r="O559" t="s">
        <v>3963</v>
      </c>
      <c r="P559" t="s">
        <v>13715</v>
      </c>
      <c r="R559" t="s">
        <v>13716</v>
      </c>
    </row>
    <row r="560" spans="4:18">
      <c r="E560" t="s">
        <v>4892</v>
      </c>
      <c r="I560" t="s">
        <v>4886</v>
      </c>
      <c r="K560" t="s">
        <v>4182</v>
      </c>
      <c r="L560" t="s">
        <v>3963</v>
      </c>
      <c r="M560" t="s">
        <v>3963</v>
      </c>
      <c r="N560" t="s">
        <v>3963</v>
      </c>
      <c r="O560" t="s">
        <v>3963</v>
      </c>
      <c r="P560" t="s">
        <v>3963</v>
      </c>
      <c r="R560" t="s">
        <v>4182</v>
      </c>
    </row>
    <row r="561" spans="4:18">
      <c r="D561" t="s">
        <v>293</v>
      </c>
      <c r="H561" t="s">
        <v>4894</v>
      </c>
      <c r="K561" t="s">
        <v>13717</v>
      </c>
      <c r="L561" t="s">
        <v>13718</v>
      </c>
      <c r="M561" t="s">
        <v>17098</v>
      </c>
      <c r="N561" t="s">
        <v>16974</v>
      </c>
      <c r="O561" t="s">
        <v>3963</v>
      </c>
      <c r="P561" t="s">
        <v>17318</v>
      </c>
      <c r="R561" t="s">
        <v>17319</v>
      </c>
    </row>
    <row r="562" spans="4:18">
      <c r="E562" t="s">
        <v>4895</v>
      </c>
      <c r="I562" t="s">
        <v>4896</v>
      </c>
      <c r="K562" t="s">
        <v>13719</v>
      </c>
      <c r="L562" t="s">
        <v>13720</v>
      </c>
      <c r="M562" t="s">
        <v>3963</v>
      </c>
      <c r="N562" t="s">
        <v>16974</v>
      </c>
      <c r="O562" t="s">
        <v>3963</v>
      </c>
      <c r="P562" t="s">
        <v>17320</v>
      </c>
      <c r="R562" t="s">
        <v>17321</v>
      </c>
    </row>
    <row r="563" spans="4:18">
      <c r="E563" t="s">
        <v>4897</v>
      </c>
      <c r="I563" t="s">
        <v>4898</v>
      </c>
      <c r="K563" t="s">
        <v>13721</v>
      </c>
      <c r="L563" t="s">
        <v>13722</v>
      </c>
      <c r="M563" t="s">
        <v>17098</v>
      </c>
      <c r="N563" t="s">
        <v>3963</v>
      </c>
      <c r="O563" t="s">
        <v>3963</v>
      </c>
      <c r="P563" t="s">
        <v>17099</v>
      </c>
      <c r="R563" t="s">
        <v>17100</v>
      </c>
    </row>
    <row r="564" spans="4:18">
      <c r="E564" t="s">
        <v>4899</v>
      </c>
      <c r="I564" t="s">
        <v>4900</v>
      </c>
      <c r="K564" t="s">
        <v>13723</v>
      </c>
      <c r="L564" t="s">
        <v>13723</v>
      </c>
      <c r="M564" t="s">
        <v>3963</v>
      </c>
      <c r="N564" t="s">
        <v>3963</v>
      </c>
      <c r="O564" t="s">
        <v>3963</v>
      </c>
      <c r="P564" t="s">
        <v>13723</v>
      </c>
      <c r="R564" t="s">
        <v>3963</v>
      </c>
    </row>
    <row r="565" spans="4:18">
      <c r="E565" t="s">
        <v>4901</v>
      </c>
      <c r="I565" t="s">
        <v>4902</v>
      </c>
      <c r="K565" t="s">
        <v>13724</v>
      </c>
      <c r="L565" t="s">
        <v>13725</v>
      </c>
      <c r="M565" t="s">
        <v>3963</v>
      </c>
      <c r="N565" t="s">
        <v>3963</v>
      </c>
      <c r="O565" t="s">
        <v>3963</v>
      </c>
      <c r="P565" t="s">
        <v>13725</v>
      </c>
      <c r="R565" t="s">
        <v>4903</v>
      </c>
    </row>
    <row r="566" spans="4:18">
      <c r="D566" t="s">
        <v>309</v>
      </c>
      <c r="H566" t="s">
        <v>2954</v>
      </c>
      <c r="K566" t="s">
        <v>13726</v>
      </c>
      <c r="L566" t="s">
        <v>13727</v>
      </c>
      <c r="M566" t="s">
        <v>3963</v>
      </c>
      <c r="N566" t="s">
        <v>3963</v>
      </c>
      <c r="O566" t="s">
        <v>3963</v>
      </c>
      <c r="P566" t="s">
        <v>13727</v>
      </c>
      <c r="R566" t="s">
        <v>13728</v>
      </c>
    </row>
    <row r="567" spans="4:18">
      <c r="E567" t="s">
        <v>4904</v>
      </c>
      <c r="I567" t="s">
        <v>4905</v>
      </c>
      <c r="K567" t="s">
        <v>13729</v>
      </c>
      <c r="L567" t="s">
        <v>13730</v>
      </c>
      <c r="M567" t="s">
        <v>3963</v>
      </c>
      <c r="N567" t="s">
        <v>3963</v>
      </c>
      <c r="O567" t="s">
        <v>3963</v>
      </c>
      <c r="P567" t="s">
        <v>13730</v>
      </c>
      <c r="R567" t="s">
        <v>13731</v>
      </c>
    </row>
    <row r="568" spans="4:18">
      <c r="E568" t="s">
        <v>4906</v>
      </c>
      <c r="I568" t="s">
        <v>4907</v>
      </c>
      <c r="K568" t="s">
        <v>3963</v>
      </c>
      <c r="L568" t="s">
        <v>3963</v>
      </c>
      <c r="M568" t="s">
        <v>3963</v>
      </c>
      <c r="N568" t="s">
        <v>3963</v>
      </c>
      <c r="O568" t="s">
        <v>3963</v>
      </c>
      <c r="P568" t="s">
        <v>3963</v>
      </c>
      <c r="R568" t="s">
        <v>3963</v>
      </c>
    </row>
    <row r="569" spans="4:18">
      <c r="E569" t="s">
        <v>4908</v>
      </c>
      <c r="I569" t="s">
        <v>4909</v>
      </c>
      <c r="K569" t="s">
        <v>13732</v>
      </c>
      <c r="L569" t="s">
        <v>13733</v>
      </c>
      <c r="M569" t="s">
        <v>3963</v>
      </c>
      <c r="N569" t="s">
        <v>3963</v>
      </c>
      <c r="O569" t="s">
        <v>3963</v>
      </c>
      <c r="P569" t="s">
        <v>13733</v>
      </c>
      <c r="R569" t="s">
        <v>4910</v>
      </c>
    </row>
    <row r="570" spans="4:18">
      <c r="E570" t="s">
        <v>4911</v>
      </c>
      <c r="I570" t="s">
        <v>4912</v>
      </c>
      <c r="K570" t="s">
        <v>13734</v>
      </c>
      <c r="L570" t="s">
        <v>13735</v>
      </c>
      <c r="M570" t="s">
        <v>3963</v>
      </c>
      <c r="N570" t="s">
        <v>3963</v>
      </c>
      <c r="O570" t="s">
        <v>3963</v>
      </c>
      <c r="P570" t="s">
        <v>13735</v>
      </c>
      <c r="R570" t="s">
        <v>4913</v>
      </c>
    </row>
    <row r="571" spans="4:18">
      <c r="E571" t="s">
        <v>4914</v>
      </c>
      <c r="I571" t="s">
        <v>4915</v>
      </c>
      <c r="K571" t="s">
        <v>13736</v>
      </c>
      <c r="L571" t="s">
        <v>13737</v>
      </c>
      <c r="M571" t="s">
        <v>3963</v>
      </c>
      <c r="N571" t="s">
        <v>3963</v>
      </c>
      <c r="O571" t="s">
        <v>3963</v>
      </c>
      <c r="P571" t="s">
        <v>13737</v>
      </c>
      <c r="R571" t="s">
        <v>13738</v>
      </c>
    </row>
    <row r="572" spans="4:18">
      <c r="E572" t="s">
        <v>4916</v>
      </c>
      <c r="I572" t="s">
        <v>4917</v>
      </c>
      <c r="K572" t="s">
        <v>13739</v>
      </c>
      <c r="L572" t="s">
        <v>13739</v>
      </c>
      <c r="M572" t="s">
        <v>3963</v>
      </c>
      <c r="N572" t="s">
        <v>3963</v>
      </c>
      <c r="O572" t="s">
        <v>3963</v>
      </c>
      <c r="P572" t="s">
        <v>13739</v>
      </c>
      <c r="R572" t="s">
        <v>3963</v>
      </c>
    </row>
    <row r="573" spans="4:18">
      <c r="D573" t="s">
        <v>311</v>
      </c>
      <c r="H573" t="s">
        <v>4918</v>
      </c>
      <c r="K573" t="s">
        <v>6955</v>
      </c>
      <c r="L573" t="s">
        <v>13740</v>
      </c>
      <c r="M573" t="s">
        <v>3963</v>
      </c>
      <c r="N573" t="s">
        <v>3963</v>
      </c>
      <c r="O573" t="s">
        <v>3963</v>
      </c>
      <c r="P573" t="s">
        <v>13740</v>
      </c>
      <c r="R573" t="s">
        <v>13741</v>
      </c>
    </row>
    <row r="574" spans="4:18">
      <c r="E574" t="s">
        <v>4919</v>
      </c>
      <c r="I574" t="s">
        <v>3965</v>
      </c>
      <c r="K574" t="s">
        <v>3963</v>
      </c>
      <c r="L574" t="s">
        <v>3963</v>
      </c>
      <c r="M574" t="s">
        <v>3963</v>
      </c>
      <c r="N574" t="s">
        <v>3963</v>
      </c>
      <c r="O574" t="s">
        <v>3963</v>
      </c>
      <c r="P574" t="s">
        <v>3963</v>
      </c>
      <c r="R574" t="s">
        <v>3963</v>
      </c>
    </row>
    <row r="575" spans="4:18">
      <c r="E575" t="s">
        <v>337</v>
      </c>
      <c r="I575" t="s">
        <v>4920</v>
      </c>
      <c r="K575" t="s">
        <v>13742</v>
      </c>
      <c r="L575" t="s">
        <v>13743</v>
      </c>
      <c r="M575" t="s">
        <v>3963</v>
      </c>
      <c r="N575" t="s">
        <v>3963</v>
      </c>
      <c r="O575" t="s">
        <v>3963</v>
      </c>
      <c r="P575" t="s">
        <v>13743</v>
      </c>
      <c r="R575" t="s">
        <v>13744</v>
      </c>
    </row>
    <row r="576" spans="4:18">
      <c r="E576" t="s">
        <v>338</v>
      </c>
      <c r="I576" t="s">
        <v>4921</v>
      </c>
      <c r="K576" t="s">
        <v>4177</v>
      </c>
      <c r="L576" t="s">
        <v>13745</v>
      </c>
      <c r="M576" t="s">
        <v>3963</v>
      </c>
      <c r="N576" t="s">
        <v>3963</v>
      </c>
      <c r="O576" t="s">
        <v>3963</v>
      </c>
      <c r="P576" t="s">
        <v>13745</v>
      </c>
      <c r="R576" t="s">
        <v>13746</v>
      </c>
    </row>
    <row r="577" spans="5:18">
      <c r="E577" t="s">
        <v>350</v>
      </c>
      <c r="I577" t="s">
        <v>4922</v>
      </c>
      <c r="K577" t="s">
        <v>4177</v>
      </c>
      <c r="L577" t="s">
        <v>13747</v>
      </c>
      <c r="M577" t="s">
        <v>3963</v>
      </c>
      <c r="N577" t="s">
        <v>3963</v>
      </c>
      <c r="O577" t="s">
        <v>3963</v>
      </c>
      <c r="P577" t="s">
        <v>13747</v>
      </c>
      <c r="R577" t="s">
        <v>13748</v>
      </c>
    </row>
    <row r="578" spans="5:18">
      <c r="E578" t="s">
        <v>351</v>
      </c>
      <c r="I578" t="s">
        <v>4923</v>
      </c>
      <c r="K578" t="s">
        <v>13749</v>
      </c>
      <c r="L578" t="s">
        <v>13750</v>
      </c>
      <c r="M578" t="s">
        <v>3963</v>
      </c>
      <c r="N578" t="s">
        <v>3963</v>
      </c>
      <c r="O578" t="s">
        <v>3963</v>
      </c>
      <c r="P578" t="s">
        <v>13750</v>
      </c>
      <c r="R578" t="s">
        <v>13751</v>
      </c>
    </row>
    <row r="579" spans="5:18">
      <c r="E579" t="s">
        <v>352</v>
      </c>
      <c r="I579" t="s">
        <v>4924</v>
      </c>
      <c r="K579" t="s">
        <v>13752</v>
      </c>
      <c r="L579" t="s">
        <v>13753</v>
      </c>
      <c r="M579" t="s">
        <v>3963</v>
      </c>
      <c r="N579" t="s">
        <v>3963</v>
      </c>
      <c r="O579" t="s">
        <v>3963</v>
      </c>
      <c r="P579" t="s">
        <v>13753</v>
      </c>
      <c r="R579" t="s">
        <v>13754</v>
      </c>
    </row>
    <row r="580" spans="5:18">
      <c r="E580" t="s">
        <v>353</v>
      </c>
      <c r="I580" t="s">
        <v>4925</v>
      </c>
      <c r="K580" t="s">
        <v>13755</v>
      </c>
      <c r="L580" t="s">
        <v>13756</v>
      </c>
      <c r="M580" t="s">
        <v>3963</v>
      </c>
      <c r="N580" t="s">
        <v>3963</v>
      </c>
      <c r="O580" t="s">
        <v>3963</v>
      </c>
      <c r="P580" t="s">
        <v>13756</v>
      </c>
      <c r="R580" t="s">
        <v>13757</v>
      </c>
    </row>
    <row r="581" spans="5:18">
      <c r="E581" t="s">
        <v>354</v>
      </c>
      <c r="I581" t="s">
        <v>4926</v>
      </c>
      <c r="K581" t="s">
        <v>13758</v>
      </c>
      <c r="L581" t="s">
        <v>13759</v>
      </c>
      <c r="M581" t="s">
        <v>3963</v>
      </c>
      <c r="N581" t="s">
        <v>3963</v>
      </c>
      <c r="O581" t="s">
        <v>3963</v>
      </c>
      <c r="P581" t="s">
        <v>13759</v>
      </c>
      <c r="R581" t="s">
        <v>13760</v>
      </c>
    </row>
    <row r="582" spans="5:18">
      <c r="E582" t="s">
        <v>355</v>
      </c>
      <c r="I582" t="s">
        <v>4927</v>
      </c>
      <c r="K582" t="s">
        <v>4928</v>
      </c>
      <c r="L582" t="s">
        <v>13761</v>
      </c>
      <c r="M582" t="s">
        <v>3963</v>
      </c>
      <c r="N582" t="s">
        <v>3963</v>
      </c>
      <c r="O582" t="s">
        <v>3963</v>
      </c>
      <c r="P582" t="s">
        <v>13761</v>
      </c>
      <c r="R582" t="s">
        <v>13762</v>
      </c>
    </row>
    <row r="583" spans="5:18">
      <c r="E583" t="s">
        <v>4929</v>
      </c>
      <c r="I583" t="s">
        <v>4930</v>
      </c>
      <c r="K583" t="s">
        <v>13763</v>
      </c>
      <c r="L583" t="s">
        <v>13764</v>
      </c>
      <c r="M583" t="s">
        <v>3963</v>
      </c>
      <c r="N583" t="s">
        <v>3963</v>
      </c>
      <c r="O583" t="s">
        <v>3963</v>
      </c>
      <c r="P583" t="s">
        <v>13764</v>
      </c>
      <c r="R583" t="s">
        <v>13765</v>
      </c>
    </row>
    <row r="584" spans="5:18">
      <c r="E584" t="s">
        <v>356</v>
      </c>
      <c r="I584" t="s">
        <v>4931</v>
      </c>
      <c r="K584" t="s">
        <v>13766</v>
      </c>
      <c r="L584" t="s">
        <v>13767</v>
      </c>
      <c r="M584" t="s">
        <v>3963</v>
      </c>
      <c r="N584" t="s">
        <v>3963</v>
      </c>
      <c r="O584" t="s">
        <v>3963</v>
      </c>
      <c r="P584" t="s">
        <v>13767</v>
      </c>
      <c r="R584" t="s">
        <v>13768</v>
      </c>
    </row>
    <row r="585" spans="5:18">
      <c r="E585" t="s">
        <v>357</v>
      </c>
      <c r="I585" t="s">
        <v>4932</v>
      </c>
      <c r="K585" t="s">
        <v>13769</v>
      </c>
      <c r="L585" t="s">
        <v>13770</v>
      </c>
      <c r="M585" t="s">
        <v>3963</v>
      </c>
      <c r="N585" t="s">
        <v>3963</v>
      </c>
      <c r="O585" t="s">
        <v>3963</v>
      </c>
      <c r="P585" t="s">
        <v>13770</v>
      </c>
      <c r="R585" t="s">
        <v>13771</v>
      </c>
    </row>
    <row r="586" spans="5:18">
      <c r="E586" t="s">
        <v>505</v>
      </c>
      <c r="I586" t="s">
        <v>4933</v>
      </c>
      <c r="K586" t="s">
        <v>4201</v>
      </c>
      <c r="L586" t="s">
        <v>13772</v>
      </c>
      <c r="M586" t="s">
        <v>3963</v>
      </c>
      <c r="N586" t="s">
        <v>3963</v>
      </c>
      <c r="O586" t="s">
        <v>3963</v>
      </c>
      <c r="P586" t="s">
        <v>13772</v>
      </c>
      <c r="R586" t="s">
        <v>13773</v>
      </c>
    </row>
    <row r="587" spans="5:18">
      <c r="E587" t="s">
        <v>4934</v>
      </c>
      <c r="I587" t="s">
        <v>4935</v>
      </c>
      <c r="K587" t="s">
        <v>13774</v>
      </c>
      <c r="L587" t="s">
        <v>13775</v>
      </c>
      <c r="M587" t="s">
        <v>3963</v>
      </c>
      <c r="N587" t="s">
        <v>3963</v>
      </c>
      <c r="O587" t="s">
        <v>3963</v>
      </c>
      <c r="P587" t="s">
        <v>13775</v>
      </c>
      <c r="R587" t="s">
        <v>13776</v>
      </c>
    </row>
    <row r="588" spans="5:18">
      <c r="E588" t="s">
        <v>4936</v>
      </c>
      <c r="I588" t="s">
        <v>4937</v>
      </c>
      <c r="K588" t="s">
        <v>4177</v>
      </c>
      <c r="L588" t="s">
        <v>13777</v>
      </c>
      <c r="M588" t="s">
        <v>3963</v>
      </c>
      <c r="N588" t="s">
        <v>3963</v>
      </c>
      <c r="O588" t="s">
        <v>3963</v>
      </c>
      <c r="P588" t="s">
        <v>13777</v>
      </c>
      <c r="R588" t="s">
        <v>13778</v>
      </c>
    </row>
    <row r="589" spans="5:18">
      <c r="E589" t="s">
        <v>4938</v>
      </c>
      <c r="I589" t="s">
        <v>4939</v>
      </c>
      <c r="K589" t="s">
        <v>13779</v>
      </c>
      <c r="L589" t="s">
        <v>13780</v>
      </c>
      <c r="M589" t="s">
        <v>3963</v>
      </c>
      <c r="N589" t="s">
        <v>3963</v>
      </c>
      <c r="O589" t="s">
        <v>3963</v>
      </c>
      <c r="P589" t="s">
        <v>13780</v>
      </c>
      <c r="R589" t="s">
        <v>13781</v>
      </c>
    </row>
    <row r="590" spans="5:18">
      <c r="E590" t="s">
        <v>4940</v>
      </c>
      <c r="I590" t="s">
        <v>4941</v>
      </c>
      <c r="K590" t="s">
        <v>13782</v>
      </c>
      <c r="L590" t="s">
        <v>13783</v>
      </c>
      <c r="M590" t="s">
        <v>3963</v>
      </c>
      <c r="N590" t="s">
        <v>3963</v>
      </c>
      <c r="O590" t="s">
        <v>3963</v>
      </c>
      <c r="P590" t="s">
        <v>13783</v>
      </c>
      <c r="R590" t="s">
        <v>13784</v>
      </c>
    </row>
    <row r="591" spans="5:18">
      <c r="E591" t="s">
        <v>4942</v>
      </c>
      <c r="I591" t="s">
        <v>4943</v>
      </c>
      <c r="K591" t="s">
        <v>13785</v>
      </c>
      <c r="L591" t="s">
        <v>13786</v>
      </c>
      <c r="M591" t="s">
        <v>3963</v>
      </c>
      <c r="N591" t="s">
        <v>3963</v>
      </c>
      <c r="O591" t="s">
        <v>3963</v>
      </c>
      <c r="P591" t="s">
        <v>13786</v>
      </c>
      <c r="R591" t="s">
        <v>13787</v>
      </c>
    </row>
    <row r="592" spans="5:18">
      <c r="E592" t="s">
        <v>4944</v>
      </c>
      <c r="I592" t="s">
        <v>4945</v>
      </c>
      <c r="K592" t="s">
        <v>13788</v>
      </c>
      <c r="L592" t="s">
        <v>13789</v>
      </c>
      <c r="M592" t="s">
        <v>3963</v>
      </c>
      <c r="N592" t="s">
        <v>3963</v>
      </c>
      <c r="O592" t="s">
        <v>3963</v>
      </c>
      <c r="P592" t="s">
        <v>13789</v>
      </c>
      <c r="R592" t="s">
        <v>13790</v>
      </c>
    </row>
    <row r="593" spans="4:18">
      <c r="E593" t="s">
        <v>4946</v>
      </c>
      <c r="I593" t="s">
        <v>4947</v>
      </c>
      <c r="K593" t="s">
        <v>12803</v>
      </c>
      <c r="L593" t="s">
        <v>13791</v>
      </c>
      <c r="M593" t="s">
        <v>3963</v>
      </c>
      <c r="N593" t="s">
        <v>3963</v>
      </c>
      <c r="O593" t="s">
        <v>3963</v>
      </c>
      <c r="P593" t="s">
        <v>13791</v>
      </c>
      <c r="R593" t="s">
        <v>13792</v>
      </c>
    </row>
    <row r="594" spans="4:18">
      <c r="E594" t="s">
        <v>4948</v>
      </c>
      <c r="I594" t="s">
        <v>4949</v>
      </c>
      <c r="K594" t="s">
        <v>4162</v>
      </c>
      <c r="L594" t="s">
        <v>13793</v>
      </c>
      <c r="M594" t="s">
        <v>3963</v>
      </c>
      <c r="N594" t="s">
        <v>3963</v>
      </c>
      <c r="O594" t="s">
        <v>3963</v>
      </c>
      <c r="P594" t="s">
        <v>13793</v>
      </c>
      <c r="R594" t="s">
        <v>13794</v>
      </c>
    </row>
    <row r="595" spans="4:18">
      <c r="E595" t="s">
        <v>4950</v>
      </c>
      <c r="I595" t="s">
        <v>4951</v>
      </c>
      <c r="K595" t="s">
        <v>13795</v>
      </c>
      <c r="L595" t="s">
        <v>13796</v>
      </c>
      <c r="M595" t="s">
        <v>3963</v>
      </c>
      <c r="N595" t="s">
        <v>3963</v>
      </c>
      <c r="O595" t="s">
        <v>3963</v>
      </c>
      <c r="P595" t="s">
        <v>13796</v>
      </c>
      <c r="R595" t="s">
        <v>13797</v>
      </c>
    </row>
    <row r="596" spans="4:18">
      <c r="E596" t="s">
        <v>4952</v>
      </c>
      <c r="I596" t="s">
        <v>4953</v>
      </c>
      <c r="K596" t="s">
        <v>13798</v>
      </c>
      <c r="L596" t="s">
        <v>13799</v>
      </c>
      <c r="M596" t="s">
        <v>3963</v>
      </c>
      <c r="N596" t="s">
        <v>3963</v>
      </c>
      <c r="O596" t="s">
        <v>3963</v>
      </c>
      <c r="P596" t="s">
        <v>13799</v>
      </c>
      <c r="R596" t="s">
        <v>13800</v>
      </c>
    </row>
    <row r="597" spans="4:18">
      <c r="E597" t="s">
        <v>4954</v>
      </c>
      <c r="I597" t="s">
        <v>4955</v>
      </c>
      <c r="K597" t="s">
        <v>13801</v>
      </c>
      <c r="L597" t="s">
        <v>13802</v>
      </c>
      <c r="M597" t="s">
        <v>3963</v>
      </c>
      <c r="N597" t="s">
        <v>3963</v>
      </c>
      <c r="O597" t="s">
        <v>3963</v>
      </c>
      <c r="P597" t="s">
        <v>13802</v>
      </c>
      <c r="R597" t="s">
        <v>13803</v>
      </c>
    </row>
    <row r="598" spans="4:18">
      <c r="E598" t="s">
        <v>4956</v>
      </c>
      <c r="I598" t="s">
        <v>4957</v>
      </c>
      <c r="K598" t="s">
        <v>4830</v>
      </c>
      <c r="L598" t="s">
        <v>13804</v>
      </c>
      <c r="M598" t="s">
        <v>3963</v>
      </c>
      <c r="N598" t="s">
        <v>3963</v>
      </c>
      <c r="O598" t="s">
        <v>3963</v>
      </c>
      <c r="P598" t="s">
        <v>13804</v>
      </c>
      <c r="R598" t="s">
        <v>13805</v>
      </c>
    </row>
    <row r="599" spans="4:18">
      <c r="E599" t="s">
        <v>4958</v>
      </c>
      <c r="I599" t="s">
        <v>4959</v>
      </c>
      <c r="K599" t="s">
        <v>12803</v>
      </c>
      <c r="L599" t="s">
        <v>13806</v>
      </c>
      <c r="M599" t="s">
        <v>3963</v>
      </c>
      <c r="N599" t="s">
        <v>3963</v>
      </c>
      <c r="O599" t="s">
        <v>3963</v>
      </c>
      <c r="P599" t="s">
        <v>13806</v>
      </c>
      <c r="R599" t="s">
        <v>13807</v>
      </c>
    </row>
    <row r="600" spans="4:18">
      <c r="E600" t="s">
        <v>4960</v>
      </c>
      <c r="I600" t="s">
        <v>4961</v>
      </c>
      <c r="K600" t="s">
        <v>13801</v>
      </c>
      <c r="L600" t="s">
        <v>13808</v>
      </c>
      <c r="M600" t="s">
        <v>3963</v>
      </c>
      <c r="N600" t="s">
        <v>3963</v>
      </c>
      <c r="O600" t="s">
        <v>3963</v>
      </c>
      <c r="P600" t="s">
        <v>13808</v>
      </c>
      <c r="R600" t="s">
        <v>13809</v>
      </c>
    </row>
    <row r="601" spans="4:18">
      <c r="E601" t="s">
        <v>4962</v>
      </c>
      <c r="I601" t="s">
        <v>4963</v>
      </c>
      <c r="K601" t="s">
        <v>4177</v>
      </c>
      <c r="L601" t="s">
        <v>13810</v>
      </c>
      <c r="M601" t="s">
        <v>3963</v>
      </c>
      <c r="N601" t="s">
        <v>3963</v>
      </c>
      <c r="O601" t="s">
        <v>3963</v>
      </c>
      <c r="P601" t="s">
        <v>13810</v>
      </c>
      <c r="R601" t="s">
        <v>13811</v>
      </c>
    </row>
    <row r="602" spans="4:18">
      <c r="E602" t="s">
        <v>4964</v>
      </c>
      <c r="I602" t="s">
        <v>4965</v>
      </c>
      <c r="K602" t="s">
        <v>4699</v>
      </c>
      <c r="L602" t="s">
        <v>13812</v>
      </c>
      <c r="M602" t="s">
        <v>3963</v>
      </c>
      <c r="N602" t="s">
        <v>3963</v>
      </c>
      <c r="O602" t="s">
        <v>3963</v>
      </c>
      <c r="P602" t="s">
        <v>13812</v>
      </c>
      <c r="R602" t="s">
        <v>13813</v>
      </c>
    </row>
    <row r="603" spans="4:18">
      <c r="E603" t="s">
        <v>4966</v>
      </c>
      <c r="I603" t="s">
        <v>4967</v>
      </c>
      <c r="K603" t="s">
        <v>13398</v>
      </c>
      <c r="L603" t="s">
        <v>13814</v>
      </c>
      <c r="M603" t="s">
        <v>3963</v>
      </c>
      <c r="N603" t="s">
        <v>3963</v>
      </c>
      <c r="O603" t="s">
        <v>3963</v>
      </c>
      <c r="P603" t="s">
        <v>13814</v>
      </c>
      <c r="R603" t="s">
        <v>13815</v>
      </c>
    </row>
    <row r="604" spans="4:18">
      <c r="E604" t="s">
        <v>4968</v>
      </c>
      <c r="I604" t="s">
        <v>4969</v>
      </c>
      <c r="K604" t="s">
        <v>12540</v>
      </c>
      <c r="L604" t="s">
        <v>13816</v>
      </c>
      <c r="M604" t="s">
        <v>3963</v>
      </c>
      <c r="N604" t="s">
        <v>3963</v>
      </c>
      <c r="O604" t="s">
        <v>3963</v>
      </c>
      <c r="P604" t="s">
        <v>13816</v>
      </c>
      <c r="R604" t="s">
        <v>13817</v>
      </c>
    </row>
    <row r="605" spans="4:18">
      <c r="D605" t="s">
        <v>315</v>
      </c>
      <c r="H605" t="s">
        <v>4970</v>
      </c>
      <c r="K605" t="s">
        <v>13818</v>
      </c>
      <c r="L605" t="s">
        <v>13819</v>
      </c>
      <c r="M605" t="s">
        <v>3963</v>
      </c>
      <c r="N605" t="s">
        <v>3963</v>
      </c>
      <c r="O605" t="s">
        <v>3963</v>
      </c>
      <c r="P605" t="s">
        <v>13819</v>
      </c>
      <c r="R605" t="s">
        <v>13820</v>
      </c>
    </row>
    <row r="606" spans="4:18">
      <c r="E606" t="s">
        <v>4971</v>
      </c>
      <c r="I606" t="s">
        <v>4972</v>
      </c>
      <c r="K606" t="s">
        <v>13821</v>
      </c>
      <c r="L606" t="s">
        <v>13822</v>
      </c>
      <c r="M606" t="s">
        <v>3963</v>
      </c>
      <c r="N606" t="s">
        <v>3963</v>
      </c>
      <c r="O606" t="s">
        <v>3963</v>
      </c>
      <c r="P606" t="s">
        <v>13822</v>
      </c>
      <c r="R606" t="s">
        <v>4973</v>
      </c>
    </row>
    <row r="607" spans="4:18">
      <c r="E607" t="s">
        <v>4974</v>
      </c>
      <c r="I607" t="s">
        <v>4975</v>
      </c>
      <c r="K607" t="s">
        <v>13823</v>
      </c>
      <c r="L607" t="s">
        <v>13822</v>
      </c>
      <c r="M607" t="s">
        <v>3963</v>
      </c>
      <c r="N607" t="s">
        <v>3963</v>
      </c>
      <c r="O607" t="s">
        <v>3963</v>
      </c>
      <c r="P607" t="s">
        <v>13822</v>
      </c>
      <c r="R607" t="s">
        <v>4976</v>
      </c>
    </row>
    <row r="608" spans="4:18">
      <c r="E608" t="s">
        <v>4977</v>
      </c>
      <c r="I608" t="s">
        <v>4978</v>
      </c>
      <c r="K608" t="s">
        <v>13823</v>
      </c>
      <c r="L608" t="s">
        <v>13824</v>
      </c>
      <c r="M608" t="s">
        <v>3963</v>
      </c>
      <c r="N608" t="s">
        <v>3963</v>
      </c>
      <c r="O608" t="s">
        <v>3963</v>
      </c>
      <c r="P608" t="s">
        <v>13824</v>
      </c>
      <c r="R608" t="s">
        <v>13825</v>
      </c>
    </row>
    <row r="609" spans="4:18">
      <c r="E609" t="s">
        <v>4979</v>
      </c>
      <c r="I609" t="s">
        <v>4978</v>
      </c>
      <c r="K609" t="s">
        <v>13826</v>
      </c>
      <c r="L609" t="s">
        <v>13827</v>
      </c>
      <c r="M609" t="s">
        <v>3963</v>
      </c>
      <c r="N609" t="s">
        <v>3963</v>
      </c>
      <c r="O609" t="s">
        <v>3963</v>
      </c>
      <c r="P609" t="s">
        <v>13827</v>
      </c>
      <c r="R609" t="s">
        <v>4980</v>
      </c>
    </row>
    <row r="610" spans="4:18">
      <c r="D610" t="s">
        <v>319</v>
      </c>
      <c r="H610" t="s">
        <v>4981</v>
      </c>
      <c r="K610" t="s">
        <v>13828</v>
      </c>
      <c r="L610" t="s">
        <v>13829</v>
      </c>
      <c r="M610" t="s">
        <v>3963</v>
      </c>
      <c r="N610" t="s">
        <v>3963</v>
      </c>
      <c r="O610" t="s">
        <v>3963</v>
      </c>
      <c r="P610" t="s">
        <v>13829</v>
      </c>
      <c r="R610" t="s">
        <v>13830</v>
      </c>
    </row>
    <row r="611" spans="4:18">
      <c r="E611" t="s">
        <v>4982</v>
      </c>
      <c r="I611" t="s">
        <v>4983</v>
      </c>
      <c r="K611" t="s">
        <v>13831</v>
      </c>
      <c r="L611" t="s">
        <v>13832</v>
      </c>
      <c r="M611" t="s">
        <v>3963</v>
      </c>
      <c r="N611" t="s">
        <v>3963</v>
      </c>
      <c r="O611" t="s">
        <v>3963</v>
      </c>
      <c r="P611" t="s">
        <v>13832</v>
      </c>
      <c r="R611" t="s">
        <v>13833</v>
      </c>
    </row>
    <row r="612" spans="4:18">
      <c r="E612" t="s">
        <v>4984</v>
      </c>
      <c r="I612" t="s">
        <v>4985</v>
      </c>
      <c r="K612" t="s">
        <v>13834</v>
      </c>
      <c r="L612" t="s">
        <v>13835</v>
      </c>
      <c r="M612" t="s">
        <v>3963</v>
      </c>
      <c r="N612" t="s">
        <v>3963</v>
      </c>
      <c r="O612" t="s">
        <v>3963</v>
      </c>
      <c r="P612" t="s">
        <v>13835</v>
      </c>
      <c r="R612" t="s">
        <v>13836</v>
      </c>
    </row>
    <row r="613" spans="4:18">
      <c r="E613" t="s">
        <v>4986</v>
      </c>
      <c r="I613" t="s">
        <v>4987</v>
      </c>
      <c r="K613" t="s">
        <v>13837</v>
      </c>
      <c r="L613" t="s">
        <v>13838</v>
      </c>
      <c r="M613" t="s">
        <v>3963</v>
      </c>
      <c r="N613" t="s">
        <v>3963</v>
      </c>
      <c r="O613" t="s">
        <v>3963</v>
      </c>
      <c r="P613" t="s">
        <v>13838</v>
      </c>
      <c r="R613" t="s">
        <v>13839</v>
      </c>
    </row>
    <row r="614" spans="4:18">
      <c r="D614" t="s">
        <v>317</v>
      </c>
      <c r="H614" t="s">
        <v>4988</v>
      </c>
      <c r="K614" t="s">
        <v>13840</v>
      </c>
      <c r="L614" t="s">
        <v>13841</v>
      </c>
      <c r="M614" t="s">
        <v>3963</v>
      </c>
      <c r="N614" t="s">
        <v>3963</v>
      </c>
      <c r="O614" t="s">
        <v>3963</v>
      </c>
      <c r="P614" t="s">
        <v>13841</v>
      </c>
      <c r="R614" t="s">
        <v>13842</v>
      </c>
    </row>
    <row r="615" spans="4:18">
      <c r="E615" t="s">
        <v>4989</v>
      </c>
      <c r="I615" t="s">
        <v>4990</v>
      </c>
      <c r="K615" t="s">
        <v>13840</v>
      </c>
      <c r="L615" t="s">
        <v>13841</v>
      </c>
      <c r="M615" t="s">
        <v>3963</v>
      </c>
      <c r="N615" t="s">
        <v>3963</v>
      </c>
      <c r="O615" t="s">
        <v>3963</v>
      </c>
      <c r="P615" t="s">
        <v>13841</v>
      </c>
      <c r="R615" t="s">
        <v>13842</v>
      </c>
    </row>
    <row r="616" spans="4:18">
      <c r="D616" t="s">
        <v>333</v>
      </c>
      <c r="H616" t="s">
        <v>4991</v>
      </c>
      <c r="K616" t="s">
        <v>13843</v>
      </c>
      <c r="L616" t="s">
        <v>13844</v>
      </c>
      <c r="M616" t="s">
        <v>3963</v>
      </c>
      <c r="N616" t="s">
        <v>3963</v>
      </c>
      <c r="O616" t="s">
        <v>3963</v>
      </c>
      <c r="P616" t="s">
        <v>13844</v>
      </c>
      <c r="R616" t="s">
        <v>13845</v>
      </c>
    </row>
    <row r="617" spans="4:18">
      <c r="E617" t="s">
        <v>4992</v>
      </c>
      <c r="I617" t="s">
        <v>4993</v>
      </c>
      <c r="K617" t="s">
        <v>13846</v>
      </c>
      <c r="L617" t="s">
        <v>13847</v>
      </c>
      <c r="M617" t="s">
        <v>3963</v>
      </c>
      <c r="N617" t="s">
        <v>3963</v>
      </c>
      <c r="O617" t="s">
        <v>3963</v>
      </c>
      <c r="P617" t="s">
        <v>13847</v>
      </c>
      <c r="R617" t="s">
        <v>13848</v>
      </c>
    </row>
    <row r="618" spans="4:18">
      <c r="E618" t="s">
        <v>4994</v>
      </c>
      <c r="I618" t="s">
        <v>4783</v>
      </c>
      <c r="K618" t="s">
        <v>4995</v>
      </c>
      <c r="L618" t="s">
        <v>13849</v>
      </c>
      <c r="M618" t="s">
        <v>3963</v>
      </c>
      <c r="N618" t="s">
        <v>3963</v>
      </c>
      <c r="O618" t="s">
        <v>3963</v>
      </c>
      <c r="P618" t="s">
        <v>13849</v>
      </c>
      <c r="R618" t="s">
        <v>13850</v>
      </c>
    </row>
    <row r="619" spans="4:18">
      <c r="E619" t="s">
        <v>4996</v>
      </c>
      <c r="I619" t="s">
        <v>4783</v>
      </c>
      <c r="K619" t="s">
        <v>13851</v>
      </c>
      <c r="L619" t="s">
        <v>13852</v>
      </c>
      <c r="M619" t="s">
        <v>3963</v>
      </c>
      <c r="N619" t="s">
        <v>3963</v>
      </c>
      <c r="O619" t="s">
        <v>3963</v>
      </c>
      <c r="P619" t="s">
        <v>13852</v>
      </c>
      <c r="R619" t="s">
        <v>13853</v>
      </c>
    </row>
    <row r="620" spans="4:18">
      <c r="E620" t="s">
        <v>4997</v>
      </c>
      <c r="I620" t="s">
        <v>4998</v>
      </c>
      <c r="K620" t="s">
        <v>13854</v>
      </c>
      <c r="L620" t="s">
        <v>13855</v>
      </c>
      <c r="M620" t="s">
        <v>3963</v>
      </c>
      <c r="N620" t="s">
        <v>3963</v>
      </c>
      <c r="O620" t="s">
        <v>3963</v>
      </c>
      <c r="P620" t="s">
        <v>13855</v>
      </c>
      <c r="R620" t="s">
        <v>13856</v>
      </c>
    </row>
    <row r="621" spans="4:18">
      <c r="E621" t="s">
        <v>4999</v>
      </c>
      <c r="I621" t="s">
        <v>5000</v>
      </c>
      <c r="K621" t="s">
        <v>13857</v>
      </c>
      <c r="L621" t="s">
        <v>13858</v>
      </c>
      <c r="M621" t="s">
        <v>3963</v>
      </c>
      <c r="N621" t="s">
        <v>3963</v>
      </c>
      <c r="O621" t="s">
        <v>3963</v>
      </c>
      <c r="P621" t="s">
        <v>13858</v>
      </c>
      <c r="R621" t="s">
        <v>13859</v>
      </c>
    </row>
    <row r="622" spans="4:18">
      <c r="E622" t="s">
        <v>5001</v>
      </c>
      <c r="I622" t="s">
        <v>4788</v>
      </c>
      <c r="K622" t="s">
        <v>13860</v>
      </c>
      <c r="L622" t="s">
        <v>13861</v>
      </c>
      <c r="M622" t="s">
        <v>3963</v>
      </c>
      <c r="N622" t="s">
        <v>3963</v>
      </c>
      <c r="O622" t="s">
        <v>3963</v>
      </c>
      <c r="P622" t="s">
        <v>13861</v>
      </c>
      <c r="R622" t="s">
        <v>13862</v>
      </c>
    </row>
    <row r="623" spans="4:18">
      <c r="E623" t="s">
        <v>5002</v>
      </c>
      <c r="I623" t="s">
        <v>5003</v>
      </c>
      <c r="K623" t="s">
        <v>13863</v>
      </c>
      <c r="L623" t="s">
        <v>13864</v>
      </c>
      <c r="M623" t="s">
        <v>3963</v>
      </c>
      <c r="N623" t="s">
        <v>3963</v>
      </c>
      <c r="O623" t="s">
        <v>3963</v>
      </c>
      <c r="P623" t="s">
        <v>13864</v>
      </c>
      <c r="R623" t="s">
        <v>13865</v>
      </c>
    </row>
    <row r="624" spans="4:18">
      <c r="D624" t="s">
        <v>340</v>
      </c>
      <c r="H624" t="s">
        <v>5004</v>
      </c>
      <c r="K624" t="s">
        <v>13866</v>
      </c>
      <c r="L624" t="s">
        <v>13867</v>
      </c>
      <c r="M624" t="s">
        <v>3963</v>
      </c>
      <c r="N624" t="s">
        <v>3963</v>
      </c>
      <c r="O624" t="s">
        <v>3963</v>
      </c>
      <c r="P624" t="s">
        <v>13867</v>
      </c>
      <c r="R624" t="s">
        <v>13868</v>
      </c>
    </row>
    <row r="625" spans="4:18">
      <c r="E625" t="s">
        <v>5005</v>
      </c>
      <c r="I625" t="s">
        <v>5006</v>
      </c>
      <c r="K625" t="s">
        <v>13866</v>
      </c>
      <c r="L625" t="s">
        <v>13867</v>
      </c>
      <c r="M625" t="s">
        <v>3963</v>
      </c>
      <c r="N625" t="s">
        <v>3963</v>
      </c>
      <c r="O625" t="s">
        <v>3963</v>
      </c>
      <c r="P625" t="s">
        <v>13867</v>
      </c>
      <c r="R625" t="s">
        <v>13868</v>
      </c>
    </row>
    <row r="626" spans="4:18">
      <c r="E626" t="s">
        <v>5007</v>
      </c>
      <c r="I626" t="s">
        <v>5008</v>
      </c>
      <c r="K626" t="s">
        <v>3963</v>
      </c>
      <c r="L626" t="s">
        <v>3963</v>
      </c>
      <c r="M626" t="s">
        <v>3963</v>
      </c>
      <c r="N626" t="s">
        <v>3963</v>
      </c>
      <c r="O626" t="s">
        <v>3963</v>
      </c>
      <c r="P626" t="s">
        <v>3963</v>
      </c>
      <c r="R626" t="s">
        <v>3963</v>
      </c>
    </row>
    <row r="627" spans="4:18">
      <c r="D627" t="s">
        <v>341</v>
      </c>
      <c r="H627" t="s">
        <v>5009</v>
      </c>
      <c r="K627" t="s">
        <v>13869</v>
      </c>
      <c r="L627" t="s">
        <v>13870</v>
      </c>
      <c r="M627" t="s">
        <v>3963</v>
      </c>
      <c r="N627" t="s">
        <v>3963</v>
      </c>
      <c r="O627" t="s">
        <v>3963</v>
      </c>
      <c r="P627" t="s">
        <v>13870</v>
      </c>
      <c r="R627" t="s">
        <v>13871</v>
      </c>
    </row>
    <row r="628" spans="4:18">
      <c r="E628" t="s">
        <v>5010</v>
      </c>
      <c r="I628" t="s">
        <v>5011</v>
      </c>
      <c r="K628" t="s">
        <v>13872</v>
      </c>
      <c r="L628" t="s">
        <v>13872</v>
      </c>
      <c r="M628" t="s">
        <v>3963</v>
      </c>
      <c r="N628" t="s">
        <v>3963</v>
      </c>
      <c r="O628" t="s">
        <v>3963</v>
      </c>
      <c r="P628" t="s">
        <v>13872</v>
      </c>
      <c r="R628" t="s">
        <v>3963</v>
      </c>
    </row>
    <row r="629" spans="4:18">
      <c r="E629" t="s">
        <v>5012</v>
      </c>
      <c r="I629" t="s">
        <v>5013</v>
      </c>
      <c r="K629" t="s">
        <v>13873</v>
      </c>
      <c r="L629" t="s">
        <v>13873</v>
      </c>
      <c r="M629" t="s">
        <v>3963</v>
      </c>
      <c r="N629" t="s">
        <v>3963</v>
      </c>
      <c r="O629" t="s">
        <v>3963</v>
      </c>
      <c r="P629" t="s">
        <v>13873</v>
      </c>
      <c r="R629" t="s">
        <v>3963</v>
      </c>
    </row>
    <row r="630" spans="4:18">
      <c r="E630" t="s">
        <v>5014</v>
      </c>
      <c r="I630" t="s">
        <v>5015</v>
      </c>
      <c r="K630" t="s">
        <v>13874</v>
      </c>
      <c r="L630" t="s">
        <v>13875</v>
      </c>
      <c r="M630" t="s">
        <v>3963</v>
      </c>
      <c r="N630" t="s">
        <v>3963</v>
      </c>
      <c r="O630" t="s">
        <v>3963</v>
      </c>
      <c r="P630" t="s">
        <v>13875</v>
      </c>
      <c r="R630" t="s">
        <v>13876</v>
      </c>
    </row>
    <row r="631" spans="4:18">
      <c r="E631" t="s">
        <v>5016</v>
      </c>
      <c r="I631" t="s">
        <v>5017</v>
      </c>
      <c r="K631" t="s">
        <v>13877</v>
      </c>
      <c r="L631" t="s">
        <v>13877</v>
      </c>
      <c r="M631" t="s">
        <v>3963</v>
      </c>
      <c r="N631" t="s">
        <v>3963</v>
      </c>
      <c r="O631" t="s">
        <v>3963</v>
      </c>
      <c r="P631" t="s">
        <v>13877</v>
      </c>
      <c r="R631" t="s">
        <v>3963</v>
      </c>
    </row>
    <row r="632" spans="4:18">
      <c r="E632" t="s">
        <v>5018</v>
      </c>
      <c r="I632" t="s">
        <v>4704</v>
      </c>
      <c r="K632" t="s">
        <v>13878</v>
      </c>
      <c r="L632" t="s">
        <v>13878</v>
      </c>
      <c r="M632" t="s">
        <v>3963</v>
      </c>
      <c r="N632" t="s">
        <v>3963</v>
      </c>
      <c r="O632" t="s">
        <v>3963</v>
      </c>
      <c r="P632" t="s">
        <v>13878</v>
      </c>
      <c r="R632" t="s">
        <v>3963</v>
      </c>
    </row>
    <row r="633" spans="4:18">
      <c r="E633" t="s">
        <v>5019</v>
      </c>
      <c r="I633" t="s">
        <v>5020</v>
      </c>
      <c r="K633" t="s">
        <v>13879</v>
      </c>
      <c r="L633" t="s">
        <v>13880</v>
      </c>
      <c r="M633" t="s">
        <v>3963</v>
      </c>
      <c r="N633" t="s">
        <v>3963</v>
      </c>
      <c r="O633" t="s">
        <v>3963</v>
      </c>
      <c r="P633" t="s">
        <v>13880</v>
      </c>
      <c r="R633" t="s">
        <v>13881</v>
      </c>
    </row>
    <row r="634" spans="4:18">
      <c r="E634" t="s">
        <v>5021</v>
      </c>
      <c r="I634" t="s">
        <v>5022</v>
      </c>
      <c r="K634" t="s">
        <v>13882</v>
      </c>
      <c r="L634" t="s">
        <v>13883</v>
      </c>
      <c r="M634" t="s">
        <v>3963</v>
      </c>
      <c r="N634" t="s">
        <v>3963</v>
      </c>
      <c r="O634" t="s">
        <v>3963</v>
      </c>
      <c r="P634" t="s">
        <v>13883</v>
      </c>
      <c r="R634" t="s">
        <v>13884</v>
      </c>
    </row>
    <row r="635" spans="4:18">
      <c r="D635" t="s">
        <v>453</v>
      </c>
      <c r="H635" t="s">
        <v>5023</v>
      </c>
      <c r="K635" t="s">
        <v>13885</v>
      </c>
      <c r="L635" t="s">
        <v>13886</v>
      </c>
      <c r="M635" t="s">
        <v>3963</v>
      </c>
      <c r="N635" t="s">
        <v>3963</v>
      </c>
      <c r="O635" t="s">
        <v>3963</v>
      </c>
      <c r="P635" t="s">
        <v>13886</v>
      </c>
      <c r="R635" t="s">
        <v>13887</v>
      </c>
    </row>
    <row r="636" spans="4:18">
      <c r="E636" t="s">
        <v>5024</v>
      </c>
      <c r="I636" t="s">
        <v>5025</v>
      </c>
      <c r="K636" t="s">
        <v>13571</v>
      </c>
      <c r="L636" t="s">
        <v>13888</v>
      </c>
      <c r="M636" t="s">
        <v>3963</v>
      </c>
      <c r="N636" t="s">
        <v>3963</v>
      </c>
      <c r="O636" t="s">
        <v>3963</v>
      </c>
      <c r="P636" t="s">
        <v>13888</v>
      </c>
      <c r="R636" t="s">
        <v>13889</v>
      </c>
    </row>
    <row r="637" spans="4:18">
      <c r="E637" t="s">
        <v>5026</v>
      </c>
      <c r="I637" t="s">
        <v>4704</v>
      </c>
      <c r="K637" t="s">
        <v>13890</v>
      </c>
      <c r="L637" t="s">
        <v>13891</v>
      </c>
      <c r="M637" t="s">
        <v>3963</v>
      </c>
      <c r="N637" t="s">
        <v>3963</v>
      </c>
      <c r="O637" t="s">
        <v>3963</v>
      </c>
      <c r="P637" t="s">
        <v>13891</v>
      </c>
      <c r="R637" t="s">
        <v>13892</v>
      </c>
    </row>
    <row r="638" spans="4:18">
      <c r="E638" t="s">
        <v>5027</v>
      </c>
      <c r="I638" t="s">
        <v>4706</v>
      </c>
      <c r="K638" t="s">
        <v>12540</v>
      </c>
      <c r="L638" t="s">
        <v>13893</v>
      </c>
      <c r="M638" t="s">
        <v>3963</v>
      </c>
      <c r="N638" t="s">
        <v>3963</v>
      </c>
      <c r="O638" t="s">
        <v>3963</v>
      </c>
      <c r="P638" t="s">
        <v>13893</v>
      </c>
      <c r="R638" t="s">
        <v>13894</v>
      </c>
    </row>
    <row r="639" spans="4:18">
      <c r="E639" t="s">
        <v>5028</v>
      </c>
      <c r="I639" t="s">
        <v>4708</v>
      </c>
      <c r="K639" t="s">
        <v>4067</v>
      </c>
      <c r="L639" t="s">
        <v>3963</v>
      </c>
      <c r="M639" t="s">
        <v>3963</v>
      </c>
      <c r="N639" t="s">
        <v>3963</v>
      </c>
      <c r="O639" t="s">
        <v>3963</v>
      </c>
      <c r="P639" t="s">
        <v>3963</v>
      </c>
      <c r="R639" t="s">
        <v>4067</v>
      </c>
    </row>
    <row r="640" spans="4:18">
      <c r="E640" t="s">
        <v>5029</v>
      </c>
      <c r="I640" t="s">
        <v>5030</v>
      </c>
      <c r="K640" t="s">
        <v>4162</v>
      </c>
      <c r="L640" t="s">
        <v>3963</v>
      </c>
      <c r="M640" t="s">
        <v>3963</v>
      </c>
      <c r="N640" t="s">
        <v>3963</v>
      </c>
      <c r="O640" t="s">
        <v>3963</v>
      </c>
      <c r="P640" t="s">
        <v>3963</v>
      </c>
      <c r="R640" t="s">
        <v>4162</v>
      </c>
    </row>
    <row r="641" spans="4:18">
      <c r="D641" t="s">
        <v>531</v>
      </c>
      <c r="H641" t="s">
        <v>5031</v>
      </c>
      <c r="K641" t="s">
        <v>13895</v>
      </c>
      <c r="L641" t="s">
        <v>13896</v>
      </c>
      <c r="M641" t="s">
        <v>3963</v>
      </c>
      <c r="N641" t="s">
        <v>3963</v>
      </c>
      <c r="O641" t="s">
        <v>3963</v>
      </c>
      <c r="P641" t="s">
        <v>13896</v>
      </c>
      <c r="R641" t="s">
        <v>13897</v>
      </c>
    </row>
    <row r="642" spans="4:18">
      <c r="E642" t="s">
        <v>5032</v>
      </c>
      <c r="I642" t="s">
        <v>5033</v>
      </c>
      <c r="K642" t="s">
        <v>13895</v>
      </c>
      <c r="L642" t="s">
        <v>13896</v>
      </c>
      <c r="M642" t="s">
        <v>3963</v>
      </c>
      <c r="N642" t="s">
        <v>3963</v>
      </c>
      <c r="O642" t="s">
        <v>3963</v>
      </c>
      <c r="P642" t="s">
        <v>13896</v>
      </c>
      <c r="R642" t="s">
        <v>13897</v>
      </c>
    </row>
    <row r="643" spans="4:18">
      <c r="D643" t="s">
        <v>533</v>
      </c>
      <c r="H643" t="s">
        <v>5034</v>
      </c>
      <c r="K643" t="s">
        <v>13898</v>
      </c>
      <c r="L643" t="s">
        <v>13899</v>
      </c>
      <c r="M643" t="s">
        <v>3963</v>
      </c>
      <c r="N643" t="s">
        <v>3963</v>
      </c>
      <c r="O643" t="s">
        <v>3963</v>
      </c>
      <c r="P643" t="s">
        <v>13899</v>
      </c>
      <c r="R643" t="s">
        <v>13900</v>
      </c>
    </row>
    <row r="644" spans="4:18">
      <c r="E644" t="s">
        <v>5035</v>
      </c>
      <c r="I644" t="s">
        <v>4604</v>
      </c>
      <c r="K644" t="s">
        <v>13901</v>
      </c>
      <c r="L644" t="s">
        <v>13902</v>
      </c>
      <c r="M644" t="s">
        <v>3963</v>
      </c>
      <c r="N644" t="s">
        <v>3963</v>
      </c>
      <c r="O644" t="s">
        <v>3963</v>
      </c>
      <c r="P644" t="s">
        <v>13902</v>
      </c>
      <c r="R644" t="s">
        <v>13903</v>
      </c>
    </row>
    <row r="645" spans="4:18">
      <c r="E645" t="s">
        <v>5036</v>
      </c>
      <c r="I645" t="s">
        <v>4833</v>
      </c>
      <c r="K645" t="s">
        <v>13904</v>
      </c>
      <c r="L645" t="s">
        <v>13905</v>
      </c>
      <c r="M645" t="s">
        <v>3963</v>
      </c>
      <c r="N645" t="s">
        <v>3963</v>
      </c>
      <c r="O645" t="s">
        <v>3963</v>
      </c>
      <c r="P645" t="s">
        <v>13905</v>
      </c>
      <c r="R645" t="s">
        <v>13906</v>
      </c>
    </row>
    <row r="646" spans="4:18">
      <c r="E646" t="s">
        <v>5037</v>
      </c>
      <c r="I646" t="s">
        <v>4599</v>
      </c>
      <c r="K646" t="s">
        <v>13907</v>
      </c>
      <c r="L646" t="s">
        <v>13908</v>
      </c>
      <c r="M646" t="s">
        <v>3963</v>
      </c>
      <c r="N646" t="s">
        <v>3963</v>
      </c>
      <c r="O646" t="s">
        <v>3963</v>
      </c>
      <c r="P646" t="s">
        <v>13908</v>
      </c>
      <c r="R646" t="s">
        <v>13909</v>
      </c>
    </row>
    <row r="647" spans="4:18">
      <c r="D647" t="s">
        <v>536</v>
      </c>
      <c r="H647" t="s">
        <v>5038</v>
      </c>
      <c r="K647" t="s">
        <v>13910</v>
      </c>
      <c r="L647" t="s">
        <v>13911</v>
      </c>
      <c r="M647" t="s">
        <v>3963</v>
      </c>
      <c r="N647" t="s">
        <v>3963</v>
      </c>
      <c r="O647" t="s">
        <v>3963</v>
      </c>
      <c r="P647" t="s">
        <v>13911</v>
      </c>
      <c r="R647" t="s">
        <v>13912</v>
      </c>
    </row>
    <row r="648" spans="4:18">
      <c r="E648" t="s">
        <v>5039</v>
      </c>
      <c r="I648" t="s">
        <v>5040</v>
      </c>
      <c r="K648" t="s">
        <v>13910</v>
      </c>
      <c r="L648" t="s">
        <v>13911</v>
      </c>
      <c r="M648" t="s">
        <v>3963</v>
      </c>
      <c r="N648" t="s">
        <v>3963</v>
      </c>
      <c r="O648" t="s">
        <v>3963</v>
      </c>
      <c r="P648" t="s">
        <v>13911</v>
      </c>
      <c r="R648" t="s">
        <v>13912</v>
      </c>
    </row>
    <row r="649" spans="4:18">
      <c r="D649" t="s">
        <v>543</v>
      </c>
      <c r="H649" t="s">
        <v>5041</v>
      </c>
      <c r="K649" t="s">
        <v>13913</v>
      </c>
      <c r="L649" t="s">
        <v>13914</v>
      </c>
      <c r="M649" t="s">
        <v>3963</v>
      </c>
      <c r="N649" t="s">
        <v>3963</v>
      </c>
      <c r="O649" t="s">
        <v>3963</v>
      </c>
      <c r="P649" t="s">
        <v>13914</v>
      </c>
      <c r="R649" t="s">
        <v>13915</v>
      </c>
    </row>
    <row r="650" spans="4:18">
      <c r="E650" t="s">
        <v>5042</v>
      </c>
      <c r="I650" t="s">
        <v>5043</v>
      </c>
      <c r="K650" t="s">
        <v>13916</v>
      </c>
      <c r="L650" t="s">
        <v>13917</v>
      </c>
      <c r="M650" t="s">
        <v>3963</v>
      </c>
      <c r="N650" t="s">
        <v>3963</v>
      </c>
      <c r="O650" t="s">
        <v>3963</v>
      </c>
      <c r="P650" t="s">
        <v>13917</v>
      </c>
      <c r="R650" t="s">
        <v>13918</v>
      </c>
    </row>
    <row r="651" spans="4:18">
      <c r="E651" t="s">
        <v>5044</v>
      </c>
      <c r="I651" t="s">
        <v>5045</v>
      </c>
      <c r="K651" t="s">
        <v>13919</v>
      </c>
      <c r="L651" t="s">
        <v>13920</v>
      </c>
      <c r="M651" t="s">
        <v>3963</v>
      </c>
      <c r="N651" t="s">
        <v>3963</v>
      </c>
      <c r="O651" t="s">
        <v>3963</v>
      </c>
      <c r="P651" t="s">
        <v>13920</v>
      </c>
      <c r="R651" t="s">
        <v>13921</v>
      </c>
    </row>
    <row r="652" spans="4:18">
      <c r="D652" t="s">
        <v>542</v>
      </c>
      <c r="H652" t="s">
        <v>5046</v>
      </c>
      <c r="K652" t="s">
        <v>13922</v>
      </c>
      <c r="L652" t="s">
        <v>13923</v>
      </c>
      <c r="M652" t="s">
        <v>3963</v>
      </c>
      <c r="N652" t="s">
        <v>3963</v>
      </c>
      <c r="O652" t="s">
        <v>3963</v>
      </c>
      <c r="P652" t="s">
        <v>13923</v>
      </c>
      <c r="R652" t="s">
        <v>13924</v>
      </c>
    </row>
    <row r="653" spans="4:18">
      <c r="E653" t="s">
        <v>5047</v>
      </c>
      <c r="I653" t="s">
        <v>5048</v>
      </c>
      <c r="K653" t="s">
        <v>13922</v>
      </c>
      <c r="L653" t="s">
        <v>13923</v>
      </c>
      <c r="M653" t="s">
        <v>3963</v>
      </c>
      <c r="N653" t="s">
        <v>3963</v>
      </c>
      <c r="O653" t="s">
        <v>3963</v>
      </c>
      <c r="P653" t="s">
        <v>13923</v>
      </c>
      <c r="R653" t="s">
        <v>13924</v>
      </c>
    </row>
    <row r="654" spans="4:18">
      <c r="D654" t="s">
        <v>541</v>
      </c>
      <c r="H654" t="s">
        <v>5049</v>
      </c>
      <c r="K654" t="s">
        <v>13925</v>
      </c>
      <c r="L654" t="s">
        <v>13926</v>
      </c>
      <c r="M654" t="s">
        <v>3963</v>
      </c>
      <c r="N654" t="s">
        <v>3963</v>
      </c>
      <c r="O654" t="s">
        <v>3963</v>
      </c>
      <c r="P654" t="s">
        <v>13926</v>
      </c>
      <c r="R654" t="s">
        <v>13927</v>
      </c>
    </row>
    <row r="655" spans="4:18">
      <c r="E655" t="s">
        <v>5050</v>
      </c>
      <c r="I655" t="s">
        <v>4833</v>
      </c>
      <c r="K655" t="s">
        <v>13928</v>
      </c>
      <c r="L655" t="s">
        <v>13926</v>
      </c>
      <c r="M655" t="s">
        <v>3963</v>
      </c>
      <c r="N655" t="s">
        <v>3963</v>
      </c>
      <c r="O655" t="s">
        <v>3963</v>
      </c>
      <c r="P655" t="s">
        <v>13926</v>
      </c>
      <c r="R655" t="s">
        <v>13929</v>
      </c>
    </row>
    <row r="656" spans="4:18">
      <c r="E656" t="s">
        <v>5051</v>
      </c>
      <c r="I656" t="s">
        <v>4604</v>
      </c>
      <c r="K656" t="s">
        <v>13930</v>
      </c>
      <c r="L656" t="s">
        <v>3963</v>
      </c>
      <c r="M656" t="s">
        <v>3963</v>
      </c>
      <c r="N656" t="s">
        <v>3963</v>
      </c>
      <c r="O656" t="s">
        <v>3963</v>
      </c>
      <c r="P656" t="s">
        <v>3963</v>
      </c>
      <c r="R656" t="s">
        <v>13930</v>
      </c>
    </row>
    <row r="657" spans="4:18">
      <c r="E657" t="s">
        <v>5052</v>
      </c>
      <c r="I657" t="s">
        <v>4599</v>
      </c>
      <c r="K657" t="s">
        <v>13931</v>
      </c>
      <c r="L657" t="s">
        <v>3963</v>
      </c>
      <c r="M657" t="s">
        <v>3963</v>
      </c>
      <c r="N657" t="s">
        <v>3963</v>
      </c>
      <c r="O657" t="s">
        <v>3963</v>
      </c>
      <c r="P657" t="s">
        <v>3963</v>
      </c>
      <c r="R657" t="s">
        <v>13931</v>
      </c>
    </row>
    <row r="658" spans="4:18">
      <c r="E658" t="s">
        <v>5053</v>
      </c>
      <c r="I658" t="s">
        <v>5054</v>
      </c>
      <c r="K658" t="s">
        <v>13932</v>
      </c>
      <c r="L658" t="s">
        <v>3963</v>
      </c>
      <c r="M658" t="s">
        <v>3963</v>
      </c>
      <c r="N658" t="s">
        <v>3963</v>
      </c>
      <c r="O658" t="s">
        <v>3963</v>
      </c>
      <c r="P658" t="s">
        <v>3963</v>
      </c>
      <c r="R658" t="s">
        <v>13932</v>
      </c>
    </row>
    <row r="659" spans="4:18">
      <c r="D659" t="s">
        <v>556</v>
      </c>
      <c r="H659" t="s">
        <v>5055</v>
      </c>
      <c r="K659" t="s">
        <v>13933</v>
      </c>
      <c r="L659" t="s">
        <v>13934</v>
      </c>
      <c r="M659" t="s">
        <v>3963</v>
      </c>
      <c r="N659" t="s">
        <v>3963</v>
      </c>
      <c r="O659" t="s">
        <v>3963</v>
      </c>
      <c r="P659" t="s">
        <v>13934</v>
      </c>
      <c r="R659" t="s">
        <v>13935</v>
      </c>
    </row>
    <row r="660" spans="4:18">
      <c r="E660" t="s">
        <v>5056</v>
      </c>
      <c r="I660" t="s">
        <v>5057</v>
      </c>
      <c r="K660" t="s">
        <v>13936</v>
      </c>
      <c r="L660" t="s">
        <v>13937</v>
      </c>
      <c r="M660" t="s">
        <v>3963</v>
      </c>
      <c r="N660" t="s">
        <v>3963</v>
      </c>
      <c r="O660" t="s">
        <v>3963</v>
      </c>
      <c r="P660" t="s">
        <v>13937</v>
      </c>
      <c r="R660" t="s">
        <v>13938</v>
      </c>
    </row>
    <row r="661" spans="4:18">
      <c r="E661" t="s">
        <v>5058</v>
      </c>
      <c r="I661" t="s">
        <v>5057</v>
      </c>
      <c r="K661" t="s">
        <v>13939</v>
      </c>
      <c r="L661" t="s">
        <v>13940</v>
      </c>
      <c r="M661" t="s">
        <v>3963</v>
      </c>
      <c r="N661" t="s">
        <v>3963</v>
      </c>
      <c r="O661" t="s">
        <v>3963</v>
      </c>
      <c r="P661" t="s">
        <v>13940</v>
      </c>
      <c r="R661" t="s">
        <v>13941</v>
      </c>
    </row>
    <row r="662" spans="4:18">
      <c r="E662" t="s">
        <v>5059</v>
      </c>
      <c r="I662" t="s">
        <v>5060</v>
      </c>
      <c r="K662" t="s">
        <v>13942</v>
      </c>
      <c r="L662" t="s">
        <v>13943</v>
      </c>
      <c r="M662" t="s">
        <v>3963</v>
      </c>
      <c r="N662" t="s">
        <v>3963</v>
      </c>
      <c r="O662" t="s">
        <v>3963</v>
      </c>
      <c r="P662" t="s">
        <v>13943</v>
      </c>
      <c r="R662" t="s">
        <v>13944</v>
      </c>
    </row>
    <row r="663" spans="4:18">
      <c r="D663" t="s">
        <v>555</v>
      </c>
      <c r="H663" t="s">
        <v>5061</v>
      </c>
      <c r="K663" t="s">
        <v>13945</v>
      </c>
      <c r="L663" t="s">
        <v>13946</v>
      </c>
      <c r="M663" t="s">
        <v>3963</v>
      </c>
      <c r="N663" t="s">
        <v>3963</v>
      </c>
      <c r="O663" t="s">
        <v>3963</v>
      </c>
      <c r="P663" t="s">
        <v>13946</v>
      </c>
      <c r="R663" t="s">
        <v>13947</v>
      </c>
    </row>
    <row r="664" spans="4:18">
      <c r="E664" t="s">
        <v>5062</v>
      </c>
      <c r="I664" t="s">
        <v>5063</v>
      </c>
      <c r="K664" t="s">
        <v>13948</v>
      </c>
      <c r="L664" t="s">
        <v>13949</v>
      </c>
      <c r="M664" t="s">
        <v>3963</v>
      </c>
      <c r="N664" t="s">
        <v>3963</v>
      </c>
      <c r="O664" t="s">
        <v>3963</v>
      </c>
      <c r="P664" t="s">
        <v>13949</v>
      </c>
      <c r="R664" t="s">
        <v>13950</v>
      </c>
    </row>
    <row r="665" spans="4:18">
      <c r="E665" t="s">
        <v>5064</v>
      </c>
      <c r="I665" t="s">
        <v>5065</v>
      </c>
      <c r="K665" t="s">
        <v>13951</v>
      </c>
      <c r="L665" t="s">
        <v>13952</v>
      </c>
      <c r="M665" t="s">
        <v>3963</v>
      </c>
      <c r="N665" t="s">
        <v>3963</v>
      </c>
      <c r="O665" t="s">
        <v>3963</v>
      </c>
      <c r="P665" t="s">
        <v>13952</v>
      </c>
      <c r="R665" t="s">
        <v>13953</v>
      </c>
    </row>
    <row r="666" spans="4:18">
      <c r="E666" t="s">
        <v>5066</v>
      </c>
      <c r="I666" t="s">
        <v>5067</v>
      </c>
      <c r="K666" t="s">
        <v>13954</v>
      </c>
      <c r="L666" t="s">
        <v>13955</v>
      </c>
      <c r="M666" t="s">
        <v>3963</v>
      </c>
      <c r="N666" t="s">
        <v>3963</v>
      </c>
      <c r="O666" t="s">
        <v>3963</v>
      </c>
      <c r="P666" t="s">
        <v>13955</v>
      </c>
      <c r="R666" t="s">
        <v>13956</v>
      </c>
    </row>
    <row r="667" spans="4:18">
      <c r="E667" t="s">
        <v>5068</v>
      </c>
      <c r="I667" t="s">
        <v>5069</v>
      </c>
      <c r="K667" t="s">
        <v>13957</v>
      </c>
      <c r="L667" t="s">
        <v>13958</v>
      </c>
      <c r="M667" t="s">
        <v>3963</v>
      </c>
      <c r="N667" t="s">
        <v>3963</v>
      </c>
      <c r="O667" t="s">
        <v>3963</v>
      </c>
      <c r="P667" t="s">
        <v>13958</v>
      </c>
      <c r="R667" t="s">
        <v>13959</v>
      </c>
    </row>
    <row r="668" spans="4:18">
      <c r="E668" t="s">
        <v>5070</v>
      </c>
      <c r="I668" t="s">
        <v>5071</v>
      </c>
      <c r="K668" t="s">
        <v>13960</v>
      </c>
      <c r="L668" t="s">
        <v>13961</v>
      </c>
      <c r="M668" t="s">
        <v>3963</v>
      </c>
      <c r="N668" t="s">
        <v>3963</v>
      </c>
      <c r="O668" t="s">
        <v>3963</v>
      </c>
      <c r="P668" t="s">
        <v>13961</v>
      </c>
      <c r="R668" t="s">
        <v>13962</v>
      </c>
    </row>
    <row r="669" spans="4:18">
      <c r="D669" t="s">
        <v>554</v>
      </c>
      <c r="H669" t="s">
        <v>5072</v>
      </c>
      <c r="K669" t="s">
        <v>13963</v>
      </c>
      <c r="L669" t="s">
        <v>13964</v>
      </c>
      <c r="M669" t="s">
        <v>3963</v>
      </c>
      <c r="N669" t="s">
        <v>3963</v>
      </c>
      <c r="O669" t="s">
        <v>3963</v>
      </c>
      <c r="P669" t="s">
        <v>13964</v>
      </c>
      <c r="R669" t="s">
        <v>13965</v>
      </c>
    </row>
    <row r="670" spans="4:18">
      <c r="E670" t="s">
        <v>5073</v>
      </c>
      <c r="I670" t="s">
        <v>5063</v>
      </c>
      <c r="K670" t="s">
        <v>13966</v>
      </c>
      <c r="L670" t="s">
        <v>13967</v>
      </c>
      <c r="M670" t="s">
        <v>3963</v>
      </c>
      <c r="N670" t="s">
        <v>3963</v>
      </c>
      <c r="O670" t="s">
        <v>3963</v>
      </c>
      <c r="P670" t="s">
        <v>13967</v>
      </c>
      <c r="R670" t="s">
        <v>13968</v>
      </c>
    </row>
    <row r="671" spans="4:18">
      <c r="E671" t="s">
        <v>5074</v>
      </c>
      <c r="I671" t="s">
        <v>4599</v>
      </c>
      <c r="K671" t="s">
        <v>13969</v>
      </c>
      <c r="L671" t="s">
        <v>13970</v>
      </c>
      <c r="M671" t="s">
        <v>3963</v>
      </c>
      <c r="N671" t="s">
        <v>3963</v>
      </c>
      <c r="O671" t="s">
        <v>3963</v>
      </c>
      <c r="P671" t="s">
        <v>13970</v>
      </c>
      <c r="R671" t="s">
        <v>13971</v>
      </c>
    </row>
    <row r="672" spans="4:18">
      <c r="D672" t="s">
        <v>553</v>
      </c>
      <c r="H672" t="s">
        <v>5075</v>
      </c>
      <c r="K672" t="s">
        <v>13972</v>
      </c>
      <c r="L672" t="s">
        <v>3963</v>
      </c>
      <c r="M672" t="s">
        <v>3963</v>
      </c>
      <c r="N672" t="s">
        <v>3963</v>
      </c>
      <c r="O672" t="s">
        <v>3963</v>
      </c>
      <c r="P672" t="s">
        <v>3963</v>
      </c>
      <c r="R672" t="s">
        <v>13972</v>
      </c>
    </row>
    <row r="673" spans="4:18">
      <c r="E673" t="s">
        <v>5076</v>
      </c>
      <c r="I673" t="s">
        <v>5077</v>
      </c>
      <c r="K673" t="s">
        <v>13973</v>
      </c>
      <c r="L673" t="s">
        <v>3963</v>
      </c>
      <c r="M673" t="s">
        <v>3963</v>
      </c>
      <c r="N673" t="s">
        <v>3963</v>
      </c>
      <c r="O673" t="s">
        <v>3963</v>
      </c>
      <c r="P673" t="s">
        <v>3963</v>
      </c>
      <c r="R673" t="s">
        <v>13973</v>
      </c>
    </row>
    <row r="674" spans="4:18">
      <c r="E674" t="s">
        <v>5078</v>
      </c>
      <c r="I674" t="s">
        <v>4833</v>
      </c>
      <c r="K674" t="s">
        <v>13974</v>
      </c>
      <c r="L674" t="s">
        <v>3963</v>
      </c>
      <c r="M674" t="s">
        <v>3963</v>
      </c>
      <c r="N674" t="s">
        <v>3963</v>
      </c>
      <c r="O674" t="s">
        <v>3963</v>
      </c>
      <c r="P674" t="s">
        <v>3963</v>
      </c>
      <c r="R674" t="s">
        <v>13974</v>
      </c>
    </row>
    <row r="675" spans="4:18">
      <c r="E675" t="s">
        <v>5079</v>
      </c>
      <c r="I675" t="s">
        <v>5080</v>
      </c>
      <c r="K675" t="s">
        <v>3963</v>
      </c>
      <c r="L675" t="s">
        <v>3963</v>
      </c>
      <c r="M675" t="s">
        <v>3963</v>
      </c>
      <c r="N675" t="s">
        <v>3963</v>
      </c>
      <c r="O675" t="s">
        <v>3963</v>
      </c>
      <c r="P675" t="s">
        <v>3963</v>
      </c>
      <c r="R675" t="s">
        <v>3963</v>
      </c>
    </row>
    <row r="676" spans="4:18">
      <c r="D676" t="s">
        <v>551</v>
      </c>
      <c r="H676" t="s">
        <v>5081</v>
      </c>
      <c r="K676" t="s">
        <v>13975</v>
      </c>
      <c r="L676" t="s">
        <v>13976</v>
      </c>
      <c r="M676" t="s">
        <v>20052</v>
      </c>
      <c r="N676" t="s">
        <v>17102</v>
      </c>
      <c r="O676" t="s">
        <v>3963</v>
      </c>
      <c r="P676" t="s">
        <v>20053</v>
      </c>
      <c r="R676" t="s">
        <v>20054</v>
      </c>
    </row>
    <row r="677" spans="4:18">
      <c r="E677" t="s">
        <v>5082</v>
      </c>
      <c r="I677" t="s">
        <v>5083</v>
      </c>
      <c r="K677" t="s">
        <v>13977</v>
      </c>
      <c r="L677" t="s">
        <v>13978</v>
      </c>
      <c r="M677" t="s">
        <v>3963</v>
      </c>
      <c r="N677" t="s">
        <v>3963</v>
      </c>
      <c r="O677" t="s">
        <v>3963</v>
      </c>
      <c r="P677" t="s">
        <v>13978</v>
      </c>
      <c r="R677" t="s">
        <v>13979</v>
      </c>
    </row>
    <row r="678" spans="4:18">
      <c r="E678" t="s">
        <v>5084</v>
      </c>
      <c r="I678" t="s">
        <v>5085</v>
      </c>
      <c r="K678" t="s">
        <v>13980</v>
      </c>
      <c r="L678" t="s">
        <v>13981</v>
      </c>
      <c r="M678" t="s">
        <v>20055</v>
      </c>
      <c r="N678" t="s">
        <v>3963</v>
      </c>
      <c r="O678" t="s">
        <v>3963</v>
      </c>
      <c r="P678" t="s">
        <v>20056</v>
      </c>
      <c r="R678" t="s">
        <v>20057</v>
      </c>
    </row>
    <row r="679" spans="4:18">
      <c r="E679" t="s">
        <v>5086</v>
      </c>
      <c r="I679" t="s">
        <v>4604</v>
      </c>
      <c r="K679" t="s">
        <v>13982</v>
      </c>
      <c r="L679" t="s">
        <v>13983</v>
      </c>
      <c r="M679" t="s">
        <v>3963</v>
      </c>
      <c r="N679" t="s">
        <v>3963</v>
      </c>
      <c r="O679" t="s">
        <v>3963</v>
      </c>
      <c r="P679" t="s">
        <v>13983</v>
      </c>
      <c r="R679" t="s">
        <v>13984</v>
      </c>
    </row>
    <row r="680" spans="4:18">
      <c r="E680" t="s">
        <v>5087</v>
      </c>
      <c r="I680" t="s">
        <v>5054</v>
      </c>
      <c r="K680" t="s">
        <v>13982</v>
      </c>
      <c r="L680" t="s">
        <v>13983</v>
      </c>
      <c r="M680" t="s">
        <v>3963</v>
      </c>
      <c r="N680" t="s">
        <v>17102</v>
      </c>
      <c r="O680" t="s">
        <v>3963</v>
      </c>
      <c r="P680" t="s">
        <v>17103</v>
      </c>
      <c r="R680" t="s">
        <v>17104</v>
      </c>
    </row>
    <row r="681" spans="4:18">
      <c r="E681" t="s">
        <v>5088</v>
      </c>
      <c r="I681" t="s">
        <v>5089</v>
      </c>
      <c r="K681" t="s">
        <v>13985</v>
      </c>
      <c r="L681" t="s">
        <v>13986</v>
      </c>
      <c r="M681" t="s">
        <v>17101</v>
      </c>
      <c r="N681" t="s">
        <v>3963</v>
      </c>
      <c r="O681" t="s">
        <v>3963</v>
      </c>
      <c r="P681" t="s">
        <v>17105</v>
      </c>
      <c r="R681" t="s">
        <v>17106</v>
      </c>
    </row>
    <row r="682" spans="4:18">
      <c r="E682" t="s">
        <v>5090</v>
      </c>
      <c r="I682" t="s">
        <v>5091</v>
      </c>
      <c r="K682" t="s">
        <v>13987</v>
      </c>
      <c r="L682" t="s">
        <v>13988</v>
      </c>
      <c r="M682" t="s">
        <v>3963</v>
      </c>
      <c r="N682" t="s">
        <v>3963</v>
      </c>
      <c r="O682" t="s">
        <v>3963</v>
      </c>
      <c r="P682" t="s">
        <v>13988</v>
      </c>
      <c r="R682" t="s">
        <v>13989</v>
      </c>
    </row>
    <row r="683" spans="4:18">
      <c r="D683" t="s">
        <v>549</v>
      </c>
      <c r="H683" t="s">
        <v>5092</v>
      </c>
      <c r="K683" t="s">
        <v>13990</v>
      </c>
      <c r="L683" t="s">
        <v>13991</v>
      </c>
      <c r="M683" t="s">
        <v>3963</v>
      </c>
      <c r="N683" t="s">
        <v>3963</v>
      </c>
      <c r="O683" t="s">
        <v>3963</v>
      </c>
      <c r="P683" t="s">
        <v>13991</v>
      </c>
      <c r="R683" t="s">
        <v>13992</v>
      </c>
    </row>
    <row r="684" spans="4:18">
      <c r="E684" t="s">
        <v>5093</v>
      </c>
      <c r="I684" t="s">
        <v>5083</v>
      </c>
      <c r="K684" t="s">
        <v>13993</v>
      </c>
      <c r="L684" t="s">
        <v>13994</v>
      </c>
      <c r="M684" t="s">
        <v>3963</v>
      </c>
      <c r="N684" t="s">
        <v>3963</v>
      </c>
      <c r="O684" t="s">
        <v>3963</v>
      </c>
      <c r="P684" t="s">
        <v>13994</v>
      </c>
      <c r="R684" t="s">
        <v>13995</v>
      </c>
    </row>
    <row r="685" spans="4:18">
      <c r="E685" t="s">
        <v>5094</v>
      </c>
      <c r="I685" t="s">
        <v>5095</v>
      </c>
      <c r="K685" t="s">
        <v>13996</v>
      </c>
      <c r="L685" t="s">
        <v>13997</v>
      </c>
      <c r="M685" t="s">
        <v>3963</v>
      </c>
      <c r="N685" t="s">
        <v>3963</v>
      </c>
      <c r="O685" t="s">
        <v>3963</v>
      </c>
      <c r="P685" t="s">
        <v>13997</v>
      </c>
      <c r="R685" t="s">
        <v>13998</v>
      </c>
    </row>
    <row r="686" spans="4:18">
      <c r="E686" t="s">
        <v>5096</v>
      </c>
      <c r="I686" t="s">
        <v>5097</v>
      </c>
      <c r="K686" t="s">
        <v>13999</v>
      </c>
      <c r="L686" t="s">
        <v>14000</v>
      </c>
      <c r="M686" t="s">
        <v>3963</v>
      </c>
      <c r="N686" t="s">
        <v>3963</v>
      </c>
      <c r="O686" t="s">
        <v>3963</v>
      </c>
      <c r="P686" t="s">
        <v>14000</v>
      </c>
      <c r="R686" t="s">
        <v>14001</v>
      </c>
    </row>
    <row r="687" spans="4:18">
      <c r="E687" t="s">
        <v>5098</v>
      </c>
      <c r="I687" t="s">
        <v>4604</v>
      </c>
      <c r="K687" t="s">
        <v>14002</v>
      </c>
      <c r="L687" t="s">
        <v>14003</v>
      </c>
      <c r="M687" t="s">
        <v>3963</v>
      </c>
      <c r="N687" t="s">
        <v>3963</v>
      </c>
      <c r="O687" t="s">
        <v>3963</v>
      </c>
      <c r="P687" t="s">
        <v>14003</v>
      </c>
      <c r="R687" t="s">
        <v>14004</v>
      </c>
    </row>
    <row r="688" spans="4:18">
      <c r="E688" t="s">
        <v>5099</v>
      </c>
      <c r="I688" t="s">
        <v>5100</v>
      </c>
      <c r="K688" t="s">
        <v>14005</v>
      </c>
      <c r="L688" t="s">
        <v>14006</v>
      </c>
      <c r="M688" t="s">
        <v>3963</v>
      </c>
      <c r="N688" t="s">
        <v>3963</v>
      </c>
      <c r="O688" t="s">
        <v>3963</v>
      </c>
      <c r="P688" t="s">
        <v>14006</v>
      </c>
      <c r="R688" t="s">
        <v>14007</v>
      </c>
    </row>
    <row r="689" spans="4:18">
      <c r="E689" t="s">
        <v>5101</v>
      </c>
      <c r="I689" t="s">
        <v>5102</v>
      </c>
      <c r="K689" t="s">
        <v>14002</v>
      </c>
      <c r="L689" t="s">
        <v>14008</v>
      </c>
      <c r="M689" t="s">
        <v>3963</v>
      </c>
      <c r="N689" t="s">
        <v>3963</v>
      </c>
      <c r="O689" t="s">
        <v>3963</v>
      </c>
      <c r="P689" t="s">
        <v>14008</v>
      </c>
      <c r="R689" t="s">
        <v>14009</v>
      </c>
    </row>
    <row r="690" spans="4:18">
      <c r="E690" t="s">
        <v>5103</v>
      </c>
      <c r="I690" t="s">
        <v>5104</v>
      </c>
      <c r="K690" t="s">
        <v>14010</v>
      </c>
      <c r="L690" t="s">
        <v>3963</v>
      </c>
      <c r="M690" t="s">
        <v>3963</v>
      </c>
      <c r="N690" t="s">
        <v>3963</v>
      </c>
      <c r="O690" t="s">
        <v>3963</v>
      </c>
      <c r="P690" t="s">
        <v>3963</v>
      </c>
      <c r="R690" t="s">
        <v>14010</v>
      </c>
    </row>
    <row r="691" spans="4:18">
      <c r="D691" t="s">
        <v>560</v>
      </c>
      <c r="H691" t="s">
        <v>5105</v>
      </c>
      <c r="K691" t="s">
        <v>14011</v>
      </c>
      <c r="L691" t="s">
        <v>14012</v>
      </c>
      <c r="M691" t="s">
        <v>3963</v>
      </c>
      <c r="N691" t="s">
        <v>3963</v>
      </c>
      <c r="O691" t="s">
        <v>3963</v>
      </c>
      <c r="P691" t="s">
        <v>14012</v>
      </c>
      <c r="R691" t="s">
        <v>14013</v>
      </c>
    </row>
    <row r="692" spans="4:18">
      <c r="E692" t="s">
        <v>5106</v>
      </c>
      <c r="I692" t="s">
        <v>4793</v>
      </c>
      <c r="K692" t="s">
        <v>14014</v>
      </c>
      <c r="L692" t="s">
        <v>14015</v>
      </c>
      <c r="M692" t="s">
        <v>3963</v>
      </c>
      <c r="N692" t="s">
        <v>3963</v>
      </c>
      <c r="O692" t="s">
        <v>3963</v>
      </c>
      <c r="P692" t="s">
        <v>14015</v>
      </c>
      <c r="R692" t="s">
        <v>14016</v>
      </c>
    </row>
    <row r="693" spans="4:18">
      <c r="E693" t="s">
        <v>5107</v>
      </c>
      <c r="I693" t="s">
        <v>4868</v>
      </c>
      <c r="K693" t="s">
        <v>14017</v>
      </c>
      <c r="L693" t="s">
        <v>14018</v>
      </c>
      <c r="M693" t="s">
        <v>3963</v>
      </c>
      <c r="N693" t="s">
        <v>3963</v>
      </c>
      <c r="O693" t="s">
        <v>3963</v>
      </c>
      <c r="P693" t="s">
        <v>14018</v>
      </c>
      <c r="R693" t="s">
        <v>14019</v>
      </c>
    </row>
    <row r="694" spans="4:18">
      <c r="E694" t="s">
        <v>5108</v>
      </c>
      <c r="I694" t="s">
        <v>5109</v>
      </c>
      <c r="K694" t="s">
        <v>14020</v>
      </c>
      <c r="L694" t="s">
        <v>14021</v>
      </c>
      <c r="M694" t="s">
        <v>3963</v>
      </c>
      <c r="N694" t="s">
        <v>3963</v>
      </c>
      <c r="O694" t="s">
        <v>3963</v>
      </c>
      <c r="P694" t="s">
        <v>14021</v>
      </c>
      <c r="R694" t="s">
        <v>14022</v>
      </c>
    </row>
    <row r="695" spans="4:18">
      <c r="E695" t="s">
        <v>5110</v>
      </c>
      <c r="I695" t="s">
        <v>5111</v>
      </c>
      <c r="K695" t="s">
        <v>14023</v>
      </c>
      <c r="L695" t="s">
        <v>14024</v>
      </c>
      <c r="M695" t="s">
        <v>3963</v>
      </c>
      <c r="N695" t="s">
        <v>3963</v>
      </c>
      <c r="O695" t="s">
        <v>3963</v>
      </c>
      <c r="P695" t="s">
        <v>14024</v>
      </c>
      <c r="R695" t="s">
        <v>14025</v>
      </c>
    </row>
    <row r="696" spans="4:18">
      <c r="D696" t="s">
        <v>558</v>
      </c>
      <c r="H696" t="s">
        <v>5112</v>
      </c>
      <c r="K696" t="s">
        <v>14026</v>
      </c>
      <c r="L696" t="s">
        <v>14027</v>
      </c>
      <c r="M696" t="s">
        <v>3963</v>
      </c>
      <c r="N696" t="s">
        <v>3963</v>
      </c>
      <c r="O696" t="s">
        <v>3963</v>
      </c>
      <c r="P696" t="s">
        <v>14027</v>
      </c>
      <c r="R696" t="s">
        <v>14028</v>
      </c>
    </row>
    <row r="697" spans="4:18">
      <c r="E697" t="s">
        <v>5113</v>
      </c>
      <c r="I697" t="s">
        <v>5114</v>
      </c>
      <c r="K697" t="s">
        <v>14029</v>
      </c>
      <c r="L697" t="s">
        <v>14030</v>
      </c>
      <c r="M697" t="s">
        <v>3963</v>
      </c>
      <c r="N697" t="s">
        <v>3963</v>
      </c>
      <c r="O697" t="s">
        <v>3963</v>
      </c>
      <c r="P697" t="s">
        <v>14030</v>
      </c>
      <c r="R697" t="s">
        <v>14031</v>
      </c>
    </row>
    <row r="698" spans="4:18">
      <c r="E698" t="s">
        <v>5115</v>
      </c>
      <c r="I698" t="s">
        <v>5116</v>
      </c>
      <c r="K698" t="s">
        <v>12974</v>
      </c>
      <c r="L698" t="s">
        <v>14032</v>
      </c>
      <c r="M698" t="s">
        <v>3963</v>
      </c>
      <c r="N698" t="s">
        <v>3963</v>
      </c>
      <c r="O698" t="s">
        <v>3963</v>
      </c>
      <c r="P698" t="s">
        <v>14032</v>
      </c>
      <c r="R698" t="s">
        <v>14033</v>
      </c>
    </row>
    <row r="699" spans="4:18">
      <c r="E699" t="s">
        <v>5117</v>
      </c>
      <c r="I699" t="s">
        <v>5118</v>
      </c>
      <c r="K699" t="s">
        <v>14034</v>
      </c>
      <c r="L699" t="s">
        <v>14035</v>
      </c>
      <c r="M699" t="s">
        <v>3963</v>
      </c>
      <c r="N699" t="s">
        <v>3963</v>
      </c>
      <c r="O699" t="s">
        <v>3963</v>
      </c>
      <c r="P699" t="s">
        <v>14035</v>
      </c>
      <c r="R699" t="s">
        <v>14036</v>
      </c>
    </row>
    <row r="700" spans="4:18">
      <c r="E700" t="s">
        <v>5119</v>
      </c>
      <c r="I700" t="s">
        <v>5120</v>
      </c>
      <c r="K700" t="s">
        <v>14037</v>
      </c>
      <c r="L700" t="s">
        <v>14038</v>
      </c>
      <c r="M700" t="s">
        <v>3963</v>
      </c>
      <c r="N700" t="s">
        <v>3963</v>
      </c>
      <c r="O700" t="s">
        <v>3963</v>
      </c>
      <c r="P700" t="s">
        <v>14038</v>
      </c>
      <c r="R700" t="s">
        <v>14039</v>
      </c>
    </row>
    <row r="701" spans="4:18">
      <c r="E701" t="s">
        <v>5121</v>
      </c>
      <c r="I701" t="s">
        <v>5122</v>
      </c>
      <c r="K701" t="s">
        <v>14040</v>
      </c>
      <c r="L701" t="s">
        <v>14041</v>
      </c>
      <c r="M701" t="s">
        <v>3963</v>
      </c>
      <c r="N701" t="s">
        <v>3963</v>
      </c>
      <c r="O701" t="s">
        <v>3963</v>
      </c>
      <c r="P701" t="s">
        <v>14041</v>
      </c>
      <c r="R701" t="s">
        <v>14042</v>
      </c>
    </row>
    <row r="702" spans="4:18">
      <c r="E702" t="s">
        <v>5123</v>
      </c>
      <c r="I702" t="s">
        <v>4873</v>
      </c>
      <c r="K702" t="s">
        <v>3963</v>
      </c>
      <c r="L702" t="s">
        <v>3963</v>
      </c>
      <c r="M702" t="s">
        <v>3963</v>
      </c>
      <c r="N702" t="s">
        <v>3963</v>
      </c>
      <c r="O702" t="s">
        <v>3963</v>
      </c>
      <c r="P702" t="s">
        <v>3963</v>
      </c>
      <c r="R702" t="s">
        <v>3963</v>
      </c>
    </row>
    <row r="703" spans="4:18">
      <c r="D703" t="s">
        <v>562</v>
      </c>
      <c r="H703" t="s">
        <v>5124</v>
      </c>
      <c r="K703" t="s">
        <v>14043</v>
      </c>
      <c r="L703" t="s">
        <v>14044</v>
      </c>
      <c r="M703" t="s">
        <v>3963</v>
      </c>
      <c r="N703" t="s">
        <v>3963</v>
      </c>
      <c r="O703" t="s">
        <v>3963</v>
      </c>
      <c r="P703" t="s">
        <v>14044</v>
      </c>
      <c r="R703" t="s">
        <v>14045</v>
      </c>
    </row>
    <row r="704" spans="4:18">
      <c r="E704" t="s">
        <v>5125</v>
      </c>
      <c r="I704" t="s">
        <v>5126</v>
      </c>
      <c r="K704" t="s">
        <v>14046</v>
      </c>
      <c r="L704" t="s">
        <v>14047</v>
      </c>
      <c r="M704" t="s">
        <v>3963</v>
      </c>
      <c r="N704" t="s">
        <v>3963</v>
      </c>
      <c r="O704" t="s">
        <v>3963</v>
      </c>
      <c r="P704" t="s">
        <v>14047</v>
      </c>
      <c r="R704" t="s">
        <v>14048</v>
      </c>
    </row>
    <row r="705" spans="4:18">
      <c r="E705" t="s">
        <v>5127</v>
      </c>
      <c r="I705" t="s">
        <v>4909</v>
      </c>
      <c r="K705" t="s">
        <v>14049</v>
      </c>
      <c r="L705" t="s">
        <v>14050</v>
      </c>
      <c r="M705" t="s">
        <v>3963</v>
      </c>
      <c r="N705" t="s">
        <v>3963</v>
      </c>
      <c r="O705" t="s">
        <v>3963</v>
      </c>
      <c r="P705" t="s">
        <v>14050</v>
      </c>
      <c r="R705" t="s">
        <v>14051</v>
      </c>
    </row>
    <row r="706" spans="4:18">
      <c r="E706" t="s">
        <v>5128</v>
      </c>
      <c r="I706" t="s">
        <v>5129</v>
      </c>
      <c r="K706" t="s">
        <v>14052</v>
      </c>
      <c r="L706" t="s">
        <v>14053</v>
      </c>
      <c r="M706" t="s">
        <v>3963</v>
      </c>
      <c r="N706" t="s">
        <v>3963</v>
      </c>
      <c r="O706" t="s">
        <v>3963</v>
      </c>
      <c r="P706" t="s">
        <v>14053</v>
      </c>
      <c r="R706" t="s">
        <v>14054</v>
      </c>
    </row>
    <row r="707" spans="4:18">
      <c r="D707" t="s">
        <v>590</v>
      </c>
      <c r="H707" t="s">
        <v>5130</v>
      </c>
      <c r="K707" t="s">
        <v>14055</v>
      </c>
      <c r="L707" t="s">
        <v>14056</v>
      </c>
      <c r="M707" t="s">
        <v>3963</v>
      </c>
      <c r="N707" t="s">
        <v>3963</v>
      </c>
      <c r="O707" t="s">
        <v>3963</v>
      </c>
      <c r="P707" t="s">
        <v>14056</v>
      </c>
      <c r="R707" t="s">
        <v>14057</v>
      </c>
    </row>
    <row r="708" spans="4:18">
      <c r="E708" t="s">
        <v>5131</v>
      </c>
      <c r="I708" t="s">
        <v>5132</v>
      </c>
      <c r="K708" t="s">
        <v>14058</v>
      </c>
      <c r="L708" t="s">
        <v>14059</v>
      </c>
      <c r="M708" t="s">
        <v>3963</v>
      </c>
      <c r="N708" t="s">
        <v>3963</v>
      </c>
      <c r="O708" t="s">
        <v>3963</v>
      </c>
      <c r="P708" t="s">
        <v>14059</v>
      </c>
      <c r="R708" t="s">
        <v>14060</v>
      </c>
    </row>
    <row r="709" spans="4:18">
      <c r="E709" t="s">
        <v>5133</v>
      </c>
      <c r="I709" t="s">
        <v>5134</v>
      </c>
      <c r="K709" t="s">
        <v>14061</v>
      </c>
      <c r="L709" t="s">
        <v>14062</v>
      </c>
      <c r="M709" t="s">
        <v>3963</v>
      </c>
      <c r="N709" t="s">
        <v>3963</v>
      </c>
      <c r="O709" t="s">
        <v>3963</v>
      </c>
      <c r="P709" t="s">
        <v>14062</v>
      </c>
      <c r="R709" t="s">
        <v>14063</v>
      </c>
    </row>
    <row r="710" spans="4:18">
      <c r="E710" t="s">
        <v>5135</v>
      </c>
      <c r="I710" t="s">
        <v>5136</v>
      </c>
      <c r="K710" t="s">
        <v>3963</v>
      </c>
      <c r="L710" t="s">
        <v>3963</v>
      </c>
      <c r="M710" t="s">
        <v>3963</v>
      </c>
      <c r="N710" t="s">
        <v>3963</v>
      </c>
      <c r="O710" t="s">
        <v>3963</v>
      </c>
      <c r="P710" t="s">
        <v>3963</v>
      </c>
      <c r="R710" t="s">
        <v>3963</v>
      </c>
    </row>
    <row r="711" spans="4:18">
      <c r="E711" t="s">
        <v>5137</v>
      </c>
      <c r="I711" t="s">
        <v>5138</v>
      </c>
      <c r="K711" t="s">
        <v>14064</v>
      </c>
      <c r="L711" t="s">
        <v>14065</v>
      </c>
      <c r="M711" t="s">
        <v>3963</v>
      </c>
      <c r="N711" t="s">
        <v>3963</v>
      </c>
      <c r="O711" t="s">
        <v>3963</v>
      </c>
      <c r="P711" t="s">
        <v>14065</v>
      </c>
      <c r="R711" t="s">
        <v>14066</v>
      </c>
    </row>
    <row r="712" spans="4:18">
      <c r="E712" t="s">
        <v>5139</v>
      </c>
      <c r="I712" t="s">
        <v>5140</v>
      </c>
      <c r="K712" t="s">
        <v>14067</v>
      </c>
      <c r="L712" t="s">
        <v>14068</v>
      </c>
      <c r="M712" t="s">
        <v>3963</v>
      </c>
      <c r="N712" t="s">
        <v>3963</v>
      </c>
      <c r="O712" t="s">
        <v>3963</v>
      </c>
      <c r="P712" t="s">
        <v>14068</v>
      </c>
      <c r="R712" t="s">
        <v>14069</v>
      </c>
    </row>
    <row r="713" spans="4:18">
      <c r="D713" t="s">
        <v>717</v>
      </c>
      <c r="H713" t="s">
        <v>5141</v>
      </c>
      <c r="K713" t="s">
        <v>14070</v>
      </c>
      <c r="L713" t="s">
        <v>14071</v>
      </c>
      <c r="M713" t="s">
        <v>3963</v>
      </c>
      <c r="N713" t="s">
        <v>3963</v>
      </c>
      <c r="O713" t="s">
        <v>3963</v>
      </c>
      <c r="P713" t="s">
        <v>14071</v>
      </c>
      <c r="R713" t="s">
        <v>14072</v>
      </c>
    </row>
    <row r="714" spans="4:18">
      <c r="E714" t="s">
        <v>5142</v>
      </c>
      <c r="I714" t="s">
        <v>5143</v>
      </c>
      <c r="K714" t="s">
        <v>14073</v>
      </c>
      <c r="L714" t="s">
        <v>14074</v>
      </c>
      <c r="M714" t="s">
        <v>3963</v>
      </c>
      <c r="N714" t="s">
        <v>3963</v>
      </c>
      <c r="O714" t="s">
        <v>3963</v>
      </c>
      <c r="P714" t="s">
        <v>14074</v>
      </c>
      <c r="R714" t="s">
        <v>14075</v>
      </c>
    </row>
    <row r="715" spans="4:18">
      <c r="E715" t="s">
        <v>5144</v>
      </c>
      <c r="I715" t="s">
        <v>5145</v>
      </c>
      <c r="K715" t="s">
        <v>14076</v>
      </c>
      <c r="L715" t="s">
        <v>14077</v>
      </c>
      <c r="M715" t="s">
        <v>3963</v>
      </c>
      <c r="N715" t="s">
        <v>3963</v>
      </c>
      <c r="O715" t="s">
        <v>3963</v>
      </c>
      <c r="P715" t="s">
        <v>14077</v>
      </c>
      <c r="R715" t="s">
        <v>14078</v>
      </c>
    </row>
    <row r="716" spans="4:18">
      <c r="D716" t="s">
        <v>651</v>
      </c>
      <c r="H716" t="s">
        <v>5146</v>
      </c>
      <c r="K716" t="s">
        <v>14079</v>
      </c>
      <c r="L716" t="s">
        <v>14080</v>
      </c>
      <c r="M716" t="s">
        <v>3963</v>
      </c>
      <c r="N716" t="s">
        <v>3963</v>
      </c>
      <c r="O716" t="s">
        <v>3963</v>
      </c>
      <c r="P716" t="s">
        <v>14080</v>
      </c>
      <c r="R716" t="s">
        <v>14081</v>
      </c>
    </row>
    <row r="717" spans="4:18">
      <c r="E717" t="s">
        <v>5147</v>
      </c>
      <c r="I717" t="s">
        <v>5148</v>
      </c>
      <c r="K717" t="s">
        <v>14082</v>
      </c>
      <c r="L717" t="s">
        <v>14082</v>
      </c>
      <c r="M717" t="s">
        <v>3963</v>
      </c>
      <c r="N717" t="s">
        <v>3963</v>
      </c>
      <c r="O717" t="s">
        <v>3963</v>
      </c>
      <c r="P717" t="s">
        <v>14082</v>
      </c>
      <c r="R717" t="s">
        <v>3963</v>
      </c>
    </row>
    <row r="718" spans="4:18">
      <c r="E718" t="s">
        <v>5149</v>
      </c>
      <c r="I718" t="s">
        <v>5150</v>
      </c>
      <c r="K718" t="s">
        <v>14083</v>
      </c>
      <c r="L718" t="s">
        <v>14084</v>
      </c>
      <c r="M718" t="s">
        <v>3963</v>
      </c>
      <c r="N718" t="s">
        <v>3963</v>
      </c>
      <c r="O718" t="s">
        <v>3963</v>
      </c>
      <c r="P718" t="s">
        <v>14084</v>
      </c>
      <c r="R718" t="s">
        <v>14081</v>
      </c>
    </row>
    <row r="719" spans="4:18">
      <c r="E719" t="s">
        <v>5151</v>
      </c>
      <c r="I719" t="s">
        <v>5152</v>
      </c>
      <c r="K719" t="s">
        <v>3963</v>
      </c>
      <c r="L719" t="s">
        <v>3963</v>
      </c>
      <c r="M719" t="s">
        <v>3963</v>
      </c>
      <c r="N719" t="s">
        <v>3963</v>
      </c>
      <c r="O719" t="s">
        <v>3963</v>
      </c>
      <c r="P719" t="s">
        <v>3963</v>
      </c>
      <c r="R719" t="s">
        <v>3963</v>
      </c>
    </row>
    <row r="720" spans="4:18">
      <c r="E720" t="s">
        <v>5153</v>
      </c>
      <c r="I720" t="s">
        <v>5154</v>
      </c>
      <c r="K720" t="s">
        <v>3963</v>
      </c>
      <c r="L720" t="s">
        <v>3963</v>
      </c>
      <c r="M720" t="s">
        <v>3963</v>
      </c>
      <c r="N720" t="s">
        <v>3963</v>
      </c>
      <c r="O720" t="s">
        <v>3963</v>
      </c>
      <c r="P720" t="s">
        <v>3963</v>
      </c>
      <c r="R720" t="s">
        <v>3963</v>
      </c>
    </row>
    <row r="721" spans="4:18">
      <c r="D721" t="s">
        <v>655</v>
      </c>
      <c r="H721" t="s">
        <v>5155</v>
      </c>
      <c r="K721" t="s">
        <v>14085</v>
      </c>
      <c r="L721" t="s">
        <v>19293</v>
      </c>
      <c r="M721" t="s">
        <v>3963</v>
      </c>
      <c r="N721" t="s">
        <v>3963</v>
      </c>
      <c r="O721" t="s">
        <v>3963</v>
      </c>
      <c r="P721" t="s">
        <v>19293</v>
      </c>
      <c r="R721" t="s">
        <v>19294</v>
      </c>
    </row>
    <row r="722" spans="4:18">
      <c r="E722" t="s">
        <v>5156</v>
      </c>
      <c r="I722" t="s">
        <v>5157</v>
      </c>
      <c r="K722" t="s">
        <v>14086</v>
      </c>
      <c r="L722" t="s">
        <v>14087</v>
      </c>
      <c r="M722" t="s">
        <v>3963</v>
      </c>
      <c r="N722" t="s">
        <v>3963</v>
      </c>
      <c r="O722" t="s">
        <v>3963</v>
      </c>
      <c r="P722" t="s">
        <v>14087</v>
      </c>
      <c r="R722" t="s">
        <v>16975</v>
      </c>
    </row>
    <row r="723" spans="4:18">
      <c r="E723" t="s">
        <v>5158</v>
      </c>
      <c r="I723" t="s">
        <v>5159</v>
      </c>
      <c r="K723" t="s">
        <v>14088</v>
      </c>
      <c r="L723" t="s">
        <v>14089</v>
      </c>
      <c r="M723" t="s">
        <v>3963</v>
      </c>
      <c r="N723" t="s">
        <v>3963</v>
      </c>
      <c r="O723" t="s">
        <v>3963</v>
      </c>
      <c r="P723" t="s">
        <v>14089</v>
      </c>
      <c r="R723" t="s">
        <v>14090</v>
      </c>
    </row>
    <row r="724" spans="4:18">
      <c r="E724" t="s">
        <v>5160</v>
      </c>
      <c r="I724" t="s">
        <v>5161</v>
      </c>
      <c r="K724" t="s">
        <v>14091</v>
      </c>
      <c r="L724" t="s">
        <v>14092</v>
      </c>
      <c r="M724" t="s">
        <v>3963</v>
      </c>
      <c r="N724" t="s">
        <v>3963</v>
      </c>
      <c r="O724" t="s">
        <v>3963</v>
      </c>
      <c r="P724" t="s">
        <v>14092</v>
      </c>
      <c r="R724" t="s">
        <v>14093</v>
      </c>
    </row>
    <row r="725" spans="4:18">
      <c r="E725" t="s">
        <v>5162</v>
      </c>
      <c r="I725" t="s">
        <v>5163</v>
      </c>
      <c r="K725" t="s">
        <v>14094</v>
      </c>
      <c r="L725" t="s">
        <v>14095</v>
      </c>
      <c r="M725" t="s">
        <v>3963</v>
      </c>
      <c r="N725" t="s">
        <v>3963</v>
      </c>
      <c r="O725" t="s">
        <v>3963</v>
      </c>
      <c r="P725" t="s">
        <v>14095</v>
      </c>
      <c r="R725" t="s">
        <v>14096</v>
      </c>
    </row>
    <row r="726" spans="4:18">
      <c r="E726" t="s">
        <v>5164</v>
      </c>
      <c r="I726" t="s">
        <v>5165</v>
      </c>
      <c r="K726" t="s">
        <v>14097</v>
      </c>
      <c r="L726" t="s">
        <v>14098</v>
      </c>
      <c r="M726" t="s">
        <v>3963</v>
      </c>
      <c r="N726" t="s">
        <v>3963</v>
      </c>
      <c r="O726" t="s">
        <v>3963</v>
      </c>
      <c r="P726" t="s">
        <v>14098</v>
      </c>
      <c r="R726" t="s">
        <v>14099</v>
      </c>
    </row>
    <row r="727" spans="4:18">
      <c r="E727" t="s">
        <v>5166</v>
      </c>
      <c r="I727" t="s">
        <v>5167</v>
      </c>
      <c r="K727" t="s">
        <v>14100</v>
      </c>
      <c r="L727" t="s">
        <v>17901</v>
      </c>
      <c r="M727" t="s">
        <v>3963</v>
      </c>
      <c r="N727" t="s">
        <v>3963</v>
      </c>
      <c r="O727" t="s">
        <v>3963</v>
      </c>
      <c r="P727" t="s">
        <v>17901</v>
      </c>
      <c r="R727" t="s">
        <v>17902</v>
      </c>
    </row>
    <row r="728" spans="4:18">
      <c r="E728" t="s">
        <v>5168</v>
      </c>
      <c r="I728" t="s">
        <v>5169</v>
      </c>
      <c r="K728" t="s">
        <v>14101</v>
      </c>
      <c r="L728" t="s">
        <v>19295</v>
      </c>
      <c r="M728" t="s">
        <v>3963</v>
      </c>
      <c r="N728" t="s">
        <v>3963</v>
      </c>
      <c r="O728" t="s">
        <v>3963</v>
      </c>
      <c r="P728" t="s">
        <v>19295</v>
      </c>
      <c r="R728" t="s">
        <v>19296</v>
      </c>
    </row>
    <row r="729" spans="4:18">
      <c r="E729" t="s">
        <v>5170</v>
      </c>
      <c r="I729" t="s">
        <v>5171</v>
      </c>
      <c r="K729" t="s">
        <v>14102</v>
      </c>
      <c r="L729" t="s">
        <v>3963</v>
      </c>
      <c r="M729" t="s">
        <v>3963</v>
      </c>
      <c r="N729" t="s">
        <v>3963</v>
      </c>
      <c r="O729" t="s">
        <v>3963</v>
      </c>
      <c r="P729" t="s">
        <v>3963</v>
      </c>
      <c r="R729" t="s">
        <v>14102</v>
      </c>
    </row>
    <row r="730" spans="4:18">
      <c r="E730" t="s">
        <v>5172</v>
      </c>
      <c r="I730" t="s">
        <v>5173</v>
      </c>
      <c r="K730" t="s">
        <v>12744</v>
      </c>
      <c r="L730" t="s">
        <v>14103</v>
      </c>
      <c r="M730" t="s">
        <v>3963</v>
      </c>
      <c r="N730" t="s">
        <v>3963</v>
      </c>
      <c r="O730" t="s">
        <v>3963</v>
      </c>
      <c r="P730" t="s">
        <v>14103</v>
      </c>
      <c r="R730" t="s">
        <v>14104</v>
      </c>
    </row>
    <row r="731" spans="4:18">
      <c r="D731" t="s">
        <v>707</v>
      </c>
      <c r="H731" t="s">
        <v>5174</v>
      </c>
      <c r="K731" t="s">
        <v>14105</v>
      </c>
      <c r="L731" t="s">
        <v>14106</v>
      </c>
      <c r="M731" t="s">
        <v>3963</v>
      </c>
      <c r="N731" t="s">
        <v>3963</v>
      </c>
      <c r="O731" t="s">
        <v>3963</v>
      </c>
      <c r="P731" t="s">
        <v>14106</v>
      </c>
      <c r="R731" t="s">
        <v>14107</v>
      </c>
    </row>
    <row r="732" spans="4:18">
      <c r="E732" t="s">
        <v>5175</v>
      </c>
      <c r="I732" t="s">
        <v>5176</v>
      </c>
      <c r="K732" t="s">
        <v>14105</v>
      </c>
      <c r="L732" t="s">
        <v>14106</v>
      </c>
      <c r="M732" t="s">
        <v>3963</v>
      </c>
      <c r="N732" t="s">
        <v>3963</v>
      </c>
      <c r="O732" t="s">
        <v>3963</v>
      </c>
      <c r="P732" t="s">
        <v>14106</v>
      </c>
      <c r="R732" t="s">
        <v>14107</v>
      </c>
    </row>
    <row r="733" spans="4:18">
      <c r="D733" t="s">
        <v>658</v>
      </c>
      <c r="H733" t="s">
        <v>659</v>
      </c>
      <c r="K733" t="s">
        <v>14108</v>
      </c>
      <c r="L733" t="s">
        <v>14109</v>
      </c>
      <c r="M733" t="s">
        <v>3963</v>
      </c>
      <c r="N733" t="s">
        <v>3963</v>
      </c>
      <c r="O733" t="s">
        <v>3963</v>
      </c>
      <c r="P733" t="s">
        <v>14109</v>
      </c>
      <c r="R733" t="s">
        <v>14110</v>
      </c>
    </row>
    <row r="734" spans="4:18">
      <c r="E734" t="s">
        <v>5177</v>
      </c>
      <c r="I734" t="s">
        <v>5178</v>
      </c>
      <c r="K734" t="s">
        <v>14111</v>
      </c>
      <c r="L734" t="s">
        <v>14109</v>
      </c>
      <c r="M734" t="s">
        <v>3963</v>
      </c>
      <c r="N734" t="s">
        <v>3963</v>
      </c>
      <c r="O734" t="s">
        <v>3963</v>
      </c>
      <c r="P734" t="s">
        <v>14109</v>
      </c>
      <c r="R734" t="s">
        <v>14112</v>
      </c>
    </row>
    <row r="735" spans="4:18">
      <c r="E735" t="s">
        <v>5179</v>
      </c>
      <c r="I735" t="s">
        <v>5180</v>
      </c>
      <c r="K735" t="s">
        <v>3994</v>
      </c>
      <c r="L735" t="s">
        <v>3963</v>
      </c>
      <c r="M735" t="s">
        <v>3963</v>
      </c>
      <c r="N735" t="s">
        <v>3963</v>
      </c>
      <c r="O735" t="s">
        <v>3963</v>
      </c>
      <c r="P735" t="s">
        <v>3963</v>
      </c>
      <c r="R735" t="s">
        <v>3994</v>
      </c>
    </row>
    <row r="736" spans="4:18">
      <c r="E736" t="s">
        <v>5181</v>
      </c>
      <c r="I736" t="s">
        <v>5182</v>
      </c>
      <c r="K736" t="s">
        <v>14113</v>
      </c>
      <c r="L736" t="s">
        <v>3963</v>
      </c>
      <c r="M736" t="s">
        <v>3963</v>
      </c>
      <c r="N736" t="s">
        <v>3963</v>
      </c>
      <c r="O736" t="s">
        <v>3963</v>
      </c>
      <c r="P736" t="s">
        <v>3963</v>
      </c>
      <c r="R736" t="s">
        <v>14113</v>
      </c>
    </row>
    <row r="737" spans="4:18">
      <c r="D737" t="s">
        <v>702</v>
      </c>
      <c r="H737" t="s">
        <v>5183</v>
      </c>
      <c r="K737" t="s">
        <v>14114</v>
      </c>
      <c r="L737" t="s">
        <v>19297</v>
      </c>
      <c r="M737" t="s">
        <v>20058</v>
      </c>
      <c r="N737" t="s">
        <v>19298</v>
      </c>
      <c r="O737" t="s">
        <v>14115</v>
      </c>
      <c r="P737" t="s">
        <v>20059</v>
      </c>
      <c r="R737" t="s">
        <v>20060</v>
      </c>
    </row>
    <row r="738" spans="4:18">
      <c r="E738" t="s">
        <v>5184</v>
      </c>
      <c r="I738" t="s">
        <v>5185</v>
      </c>
      <c r="K738" t="s">
        <v>3963</v>
      </c>
      <c r="L738" t="s">
        <v>14116</v>
      </c>
      <c r="M738" t="s">
        <v>14117</v>
      </c>
      <c r="N738" t="s">
        <v>3963</v>
      </c>
      <c r="O738" t="s">
        <v>3963</v>
      </c>
      <c r="P738" t="s">
        <v>14118</v>
      </c>
      <c r="R738" t="s">
        <v>7033</v>
      </c>
    </row>
    <row r="739" spans="4:18">
      <c r="E739" t="s">
        <v>5186</v>
      </c>
      <c r="I739" t="s">
        <v>5187</v>
      </c>
      <c r="K739" t="s">
        <v>3963</v>
      </c>
      <c r="L739" t="s">
        <v>14119</v>
      </c>
      <c r="M739" t="s">
        <v>3963</v>
      </c>
      <c r="N739" t="s">
        <v>3963</v>
      </c>
      <c r="O739" t="s">
        <v>3963</v>
      </c>
      <c r="P739" t="s">
        <v>14119</v>
      </c>
      <c r="R739" t="s">
        <v>10851</v>
      </c>
    </row>
    <row r="740" spans="4:18">
      <c r="E740" t="s">
        <v>5188</v>
      </c>
      <c r="I740" t="s">
        <v>5189</v>
      </c>
      <c r="K740" t="s">
        <v>3963</v>
      </c>
      <c r="L740" t="s">
        <v>14120</v>
      </c>
      <c r="M740" t="s">
        <v>3963</v>
      </c>
      <c r="N740" t="s">
        <v>3963</v>
      </c>
      <c r="O740" t="s">
        <v>3963</v>
      </c>
      <c r="P740" t="s">
        <v>14120</v>
      </c>
      <c r="R740" t="s">
        <v>17288</v>
      </c>
    </row>
    <row r="741" spans="4:18">
      <c r="E741" t="s">
        <v>5190</v>
      </c>
      <c r="I741" t="s">
        <v>5191</v>
      </c>
      <c r="K741" t="s">
        <v>3963</v>
      </c>
      <c r="L741" t="s">
        <v>14121</v>
      </c>
      <c r="M741" t="s">
        <v>3963</v>
      </c>
      <c r="N741" t="s">
        <v>3963</v>
      </c>
      <c r="O741" t="s">
        <v>3963</v>
      </c>
      <c r="P741" t="s">
        <v>14121</v>
      </c>
      <c r="R741" t="s">
        <v>5192</v>
      </c>
    </row>
    <row r="742" spans="4:18">
      <c r="E742" t="s">
        <v>5193</v>
      </c>
      <c r="I742" t="s">
        <v>5194</v>
      </c>
      <c r="K742" t="s">
        <v>3963</v>
      </c>
      <c r="L742" t="s">
        <v>17903</v>
      </c>
      <c r="M742" t="s">
        <v>18692</v>
      </c>
      <c r="N742" t="s">
        <v>18693</v>
      </c>
      <c r="O742" t="s">
        <v>3963</v>
      </c>
      <c r="P742" t="s">
        <v>17904</v>
      </c>
      <c r="R742" t="s">
        <v>17905</v>
      </c>
    </row>
    <row r="743" spans="4:18">
      <c r="E743" t="s">
        <v>5195</v>
      </c>
      <c r="I743" t="s">
        <v>5196</v>
      </c>
      <c r="K743" t="s">
        <v>3963</v>
      </c>
      <c r="L743" t="s">
        <v>17906</v>
      </c>
      <c r="M743" t="s">
        <v>20061</v>
      </c>
      <c r="N743" t="s">
        <v>18694</v>
      </c>
      <c r="O743" t="s">
        <v>14122</v>
      </c>
      <c r="P743" t="s">
        <v>20062</v>
      </c>
      <c r="R743" t="s">
        <v>20063</v>
      </c>
    </row>
    <row r="744" spans="4:18">
      <c r="E744" t="s">
        <v>5197</v>
      </c>
      <c r="I744" t="s">
        <v>5198</v>
      </c>
      <c r="K744" t="s">
        <v>3963</v>
      </c>
      <c r="L744" t="s">
        <v>14123</v>
      </c>
      <c r="M744" t="s">
        <v>3963</v>
      </c>
      <c r="N744" t="s">
        <v>3963</v>
      </c>
      <c r="O744" t="s">
        <v>14124</v>
      </c>
      <c r="P744" t="s">
        <v>17107</v>
      </c>
      <c r="R744" t="s">
        <v>17108</v>
      </c>
    </row>
    <row r="745" spans="4:18">
      <c r="E745" t="s">
        <v>5199</v>
      </c>
      <c r="I745" t="s">
        <v>5200</v>
      </c>
      <c r="K745" t="s">
        <v>3963</v>
      </c>
      <c r="L745" t="s">
        <v>14125</v>
      </c>
      <c r="M745" t="s">
        <v>3963</v>
      </c>
      <c r="N745" t="s">
        <v>3963</v>
      </c>
      <c r="O745" t="s">
        <v>3963</v>
      </c>
      <c r="P745" t="s">
        <v>14125</v>
      </c>
      <c r="R745" t="s">
        <v>5201</v>
      </c>
    </row>
    <row r="746" spans="4:18">
      <c r="E746" t="s">
        <v>5202</v>
      </c>
      <c r="I746" t="s">
        <v>5203</v>
      </c>
      <c r="K746" t="s">
        <v>3963</v>
      </c>
      <c r="L746" t="s">
        <v>14126</v>
      </c>
      <c r="M746" t="s">
        <v>3963</v>
      </c>
      <c r="N746" t="s">
        <v>3963</v>
      </c>
      <c r="O746" t="s">
        <v>3963</v>
      </c>
      <c r="P746" t="s">
        <v>14126</v>
      </c>
      <c r="R746" t="s">
        <v>5204</v>
      </c>
    </row>
    <row r="747" spans="4:18">
      <c r="E747" t="s">
        <v>5205</v>
      </c>
      <c r="I747" t="s">
        <v>5206</v>
      </c>
      <c r="K747" t="s">
        <v>3963</v>
      </c>
      <c r="L747" t="s">
        <v>14127</v>
      </c>
      <c r="M747" t="s">
        <v>3963</v>
      </c>
      <c r="N747" t="s">
        <v>3963</v>
      </c>
      <c r="O747" t="s">
        <v>3963</v>
      </c>
      <c r="P747" t="s">
        <v>14127</v>
      </c>
      <c r="R747" t="s">
        <v>7004</v>
      </c>
    </row>
    <row r="748" spans="4:18">
      <c r="E748" t="s">
        <v>9042</v>
      </c>
      <c r="I748" t="s">
        <v>6116</v>
      </c>
      <c r="K748" t="s">
        <v>3963</v>
      </c>
      <c r="L748" t="s">
        <v>3963</v>
      </c>
      <c r="M748" t="s">
        <v>14128</v>
      </c>
      <c r="N748" t="s">
        <v>3963</v>
      </c>
      <c r="O748" t="s">
        <v>3963</v>
      </c>
      <c r="P748" t="s">
        <v>14128</v>
      </c>
      <c r="R748" t="s">
        <v>12236</v>
      </c>
    </row>
    <row r="749" spans="4:18">
      <c r="E749" t="s">
        <v>5207</v>
      </c>
      <c r="I749" t="s">
        <v>5208</v>
      </c>
      <c r="K749" t="s">
        <v>3963</v>
      </c>
      <c r="L749" t="s">
        <v>19299</v>
      </c>
      <c r="M749" t="s">
        <v>19033</v>
      </c>
      <c r="N749" t="s">
        <v>3963</v>
      </c>
      <c r="O749" t="s">
        <v>3963</v>
      </c>
      <c r="P749" t="s">
        <v>19300</v>
      </c>
      <c r="R749" t="s">
        <v>19301</v>
      </c>
    </row>
    <row r="750" spans="4:18">
      <c r="E750" t="s">
        <v>5209</v>
      </c>
      <c r="I750" t="s">
        <v>5210</v>
      </c>
      <c r="K750" t="s">
        <v>3963</v>
      </c>
      <c r="L750" t="s">
        <v>19302</v>
      </c>
      <c r="M750" t="s">
        <v>19303</v>
      </c>
      <c r="N750" t="s">
        <v>3963</v>
      </c>
      <c r="O750" t="s">
        <v>3963</v>
      </c>
      <c r="P750" t="s">
        <v>19304</v>
      </c>
      <c r="R750" t="s">
        <v>19305</v>
      </c>
    </row>
    <row r="751" spans="4:18">
      <c r="E751" t="s">
        <v>5211</v>
      </c>
      <c r="I751" t="s">
        <v>5212</v>
      </c>
      <c r="K751" t="s">
        <v>3963</v>
      </c>
      <c r="L751" t="s">
        <v>14129</v>
      </c>
      <c r="M751" t="s">
        <v>3963</v>
      </c>
      <c r="N751" t="s">
        <v>3963</v>
      </c>
      <c r="O751" t="s">
        <v>3963</v>
      </c>
      <c r="P751" t="s">
        <v>14129</v>
      </c>
      <c r="R751" t="s">
        <v>5213</v>
      </c>
    </row>
    <row r="752" spans="4:18">
      <c r="D752" t="s">
        <v>741</v>
      </c>
      <c r="H752" t="s">
        <v>5214</v>
      </c>
      <c r="K752" t="s">
        <v>14130</v>
      </c>
      <c r="L752" t="s">
        <v>14131</v>
      </c>
      <c r="M752" t="s">
        <v>3963</v>
      </c>
      <c r="N752" t="s">
        <v>3963</v>
      </c>
      <c r="O752" t="s">
        <v>3963</v>
      </c>
      <c r="P752" t="s">
        <v>14131</v>
      </c>
      <c r="R752" t="s">
        <v>14132</v>
      </c>
    </row>
    <row r="753" spans="5:18">
      <c r="E753" t="s">
        <v>1008</v>
      </c>
      <c r="I753" t="s">
        <v>3965</v>
      </c>
      <c r="K753" t="s">
        <v>3963</v>
      </c>
      <c r="L753" t="s">
        <v>3963</v>
      </c>
      <c r="M753" t="s">
        <v>3963</v>
      </c>
      <c r="N753" t="s">
        <v>3963</v>
      </c>
      <c r="O753" t="s">
        <v>3963</v>
      </c>
      <c r="P753" t="s">
        <v>3963</v>
      </c>
      <c r="R753" t="s">
        <v>3963</v>
      </c>
    </row>
    <row r="754" spans="5:18">
      <c r="E754" t="s">
        <v>813</v>
      </c>
      <c r="I754" t="s">
        <v>5215</v>
      </c>
      <c r="K754" t="s">
        <v>14133</v>
      </c>
      <c r="L754" t="s">
        <v>14133</v>
      </c>
      <c r="M754" t="s">
        <v>3963</v>
      </c>
      <c r="N754" t="s">
        <v>3963</v>
      </c>
      <c r="O754" t="s">
        <v>3963</v>
      </c>
      <c r="P754" t="s">
        <v>14133</v>
      </c>
      <c r="R754" t="s">
        <v>3963</v>
      </c>
    </row>
    <row r="755" spans="5:18">
      <c r="E755" t="s">
        <v>814</v>
      </c>
      <c r="I755" t="s">
        <v>5216</v>
      </c>
      <c r="K755" t="s">
        <v>14134</v>
      </c>
      <c r="L755" t="s">
        <v>14135</v>
      </c>
      <c r="M755" t="s">
        <v>3963</v>
      </c>
      <c r="N755" t="s">
        <v>3963</v>
      </c>
      <c r="O755" t="s">
        <v>3963</v>
      </c>
      <c r="P755" t="s">
        <v>14135</v>
      </c>
      <c r="R755" t="s">
        <v>5217</v>
      </c>
    </row>
    <row r="756" spans="5:18">
      <c r="E756" t="s">
        <v>815</v>
      </c>
      <c r="I756" t="s">
        <v>5218</v>
      </c>
      <c r="K756" t="s">
        <v>14136</v>
      </c>
      <c r="L756" t="s">
        <v>14137</v>
      </c>
      <c r="M756" t="s">
        <v>3963</v>
      </c>
      <c r="N756" t="s">
        <v>3963</v>
      </c>
      <c r="O756" t="s">
        <v>3963</v>
      </c>
      <c r="P756" t="s">
        <v>14137</v>
      </c>
      <c r="R756" t="s">
        <v>14138</v>
      </c>
    </row>
    <row r="757" spans="5:18">
      <c r="E757" t="s">
        <v>816</v>
      </c>
      <c r="I757" t="s">
        <v>5219</v>
      </c>
      <c r="K757" t="s">
        <v>14139</v>
      </c>
      <c r="L757" t="s">
        <v>14140</v>
      </c>
      <c r="M757" t="s">
        <v>3963</v>
      </c>
      <c r="N757" t="s">
        <v>3963</v>
      </c>
      <c r="O757" t="s">
        <v>3963</v>
      </c>
      <c r="P757" t="s">
        <v>14140</v>
      </c>
      <c r="R757" t="s">
        <v>14141</v>
      </c>
    </row>
    <row r="758" spans="5:18">
      <c r="E758" t="s">
        <v>817</v>
      </c>
      <c r="I758" t="s">
        <v>5220</v>
      </c>
      <c r="K758" t="s">
        <v>14142</v>
      </c>
      <c r="L758" t="s">
        <v>14142</v>
      </c>
      <c r="M758" t="s">
        <v>3963</v>
      </c>
      <c r="N758" t="s">
        <v>3963</v>
      </c>
      <c r="O758" t="s">
        <v>3963</v>
      </c>
      <c r="P758" t="s">
        <v>14142</v>
      </c>
      <c r="R758" t="s">
        <v>3963</v>
      </c>
    </row>
    <row r="759" spans="5:18">
      <c r="E759" t="s">
        <v>818</v>
      </c>
      <c r="I759" t="s">
        <v>5221</v>
      </c>
      <c r="K759" t="s">
        <v>14143</v>
      </c>
      <c r="L759" t="s">
        <v>14144</v>
      </c>
      <c r="M759" t="s">
        <v>3963</v>
      </c>
      <c r="N759" t="s">
        <v>3963</v>
      </c>
      <c r="O759" t="s">
        <v>3963</v>
      </c>
      <c r="P759" t="s">
        <v>14144</v>
      </c>
      <c r="R759" t="s">
        <v>14145</v>
      </c>
    </row>
    <row r="760" spans="5:18">
      <c r="E760" t="s">
        <v>819</v>
      </c>
      <c r="I760" t="s">
        <v>5222</v>
      </c>
      <c r="K760" t="s">
        <v>14146</v>
      </c>
      <c r="L760" t="s">
        <v>14146</v>
      </c>
      <c r="M760" t="s">
        <v>3963</v>
      </c>
      <c r="N760" t="s">
        <v>3963</v>
      </c>
      <c r="O760" t="s">
        <v>3963</v>
      </c>
      <c r="P760" t="s">
        <v>14146</v>
      </c>
      <c r="R760" t="s">
        <v>3963</v>
      </c>
    </row>
    <row r="761" spans="5:18">
      <c r="E761" t="s">
        <v>820</v>
      </c>
      <c r="I761" t="s">
        <v>5223</v>
      </c>
      <c r="K761" t="s">
        <v>14147</v>
      </c>
      <c r="L761" t="s">
        <v>14148</v>
      </c>
      <c r="M761" t="s">
        <v>3963</v>
      </c>
      <c r="N761" t="s">
        <v>3963</v>
      </c>
      <c r="O761" t="s">
        <v>3963</v>
      </c>
      <c r="P761" t="s">
        <v>14148</v>
      </c>
      <c r="R761" t="s">
        <v>14149</v>
      </c>
    </row>
    <row r="762" spans="5:18">
      <c r="E762" t="s">
        <v>821</v>
      </c>
      <c r="I762" t="s">
        <v>5224</v>
      </c>
      <c r="K762" t="s">
        <v>14150</v>
      </c>
      <c r="L762" t="s">
        <v>14151</v>
      </c>
      <c r="M762" t="s">
        <v>3963</v>
      </c>
      <c r="N762" t="s">
        <v>3963</v>
      </c>
      <c r="O762" t="s">
        <v>3963</v>
      </c>
      <c r="P762" t="s">
        <v>14151</v>
      </c>
      <c r="R762" t="s">
        <v>14152</v>
      </c>
    </row>
    <row r="763" spans="5:18">
      <c r="E763" t="s">
        <v>822</v>
      </c>
      <c r="I763" t="s">
        <v>5225</v>
      </c>
      <c r="K763" t="s">
        <v>14153</v>
      </c>
      <c r="L763" t="s">
        <v>14153</v>
      </c>
      <c r="M763" t="s">
        <v>3963</v>
      </c>
      <c r="N763" t="s">
        <v>3963</v>
      </c>
      <c r="O763" t="s">
        <v>3963</v>
      </c>
      <c r="P763" t="s">
        <v>14153</v>
      </c>
      <c r="R763" t="s">
        <v>3963</v>
      </c>
    </row>
    <row r="764" spans="5:18">
      <c r="E764" t="s">
        <v>823</v>
      </c>
      <c r="I764" t="s">
        <v>5226</v>
      </c>
      <c r="K764" t="s">
        <v>14154</v>
      </c>
      <c r="L764" t="s">
        <v>14155</v>
      </c>
      <c r="M764" t="s">
        <v>3963</v>
      </c>
      <c r="N764" t="s">
        <v>3963</v>
      </c>
      <c r="O764" t="s">
        <v>3963</v>
      </c>
      <c r="P764" t="s">
        <v>14155</v>
      </c>
      <c r="R764" t="s">
        <v>14156</v>
      </c>
    </row>
    <row r="765" spans="5:18">
      <c r="E765" t="s">
        <v>825</v>
      </c>
      <c r="I765" t="s">
        <v>5227</v>
      </c>
      <c r="K765" t="s">
        <v>14157</v>
      </c>
      <c r="L765" t="s">
        <v>14158</v>
      </c>
      <c r="M765" t="s">
        <v>3963</v>
      </c>
      <c r="N765" t="s">
        <v>3963</v>
      </c>
      <c r="O765" t="s">
        <v>3963</v>
      </c>
      <c r="P765" t="s">
        <v>14158</v>
      </c>
      <c r="R765" t="s">
        <v>5228</v>
      </c>
    </row>
    <row r="766" spans="5:18">
      <c r="E766" t="s">
        <v>826</v>
      </c>
      <c r="I766" t="s">
        <v>5229</v>
      </c>
      <c r="K766" t="s">
        <v>14159</v>
      </c>
      <c r="L766" t="s">
        <v>14159</v>
      </c>
      <c r="M766" t="s">
        <v>3963</v>
      </c>
      <c r="N766" t="s">
        <v>3963</v>
      </c>
      <c r="O766" t="s">
        <v>3963</v>
      </c>
      <c r="P766" t="s">
        <v>14159</v>
      </c>
      <c r="R766" t="s">
        <v>3963</v>
      </c>
    </row>
    <row r="767" spans="5:18">
      <c r="E767" t="s">
        <v>827</v>
      </c>
      <c r="I767" t="s">
        <v>5230</v>
      </c>
      <c r="K767" t="s">
        <v>14160</v>
      </c>
      <c r="L767" t="s">
        <v>14161</v>
      </c>
      <c r="M767" t="s">
        <v>3963</v>
      </c>
      <c r="N767" t="s">
        <v>3963</v>
      </c>
      <c r="O767" t="s">
        <v>3963</v>
      </c>
      <c r="P767" t="s">
        <v>14161</v>
      </c>
      <c r="R767" t="s">
        <v>14162</v>
      </c>
    </row>
    <row r="768" spans="5:18">
      <c r="E768" t="s">
        <v>828</v>
      </c>
      <c r="I768" t="s">
        <v>5231</v>
      </c>
      <c r="K768" t="s">
        <v>14163</v>
      </c>
      <c r="L768" t="s">
        <v>14164</v>
      </c>
      <c r="M768" t="s">
        <v>3963</v>
      </c>
      <c r="N768" t="s">
        <v>3963</v>
      </c>
      <c r="O768" t="s">
        <v>3963</v>
      </c>
      <c r="P768" t="s">
        <v>14164</v>
      </c>
      <c r="R768" t="s">
        <v>14165</v>
      </c>
    </row>
    <row r="769" spans="4:18">
      <c r="E769" t="s">
        <v>829</v>
      </c>
      <c r="I769" t="s">
        <v>5232</v>
      </c>
      <c r="K769" t="s">
        <v>14166</v>
      </c>
      <c r="L769" t="s">
        <v>14167</v>
      </c>
      <c r="M769" t="s">
        <v>3963</v>
      </c>
      <c r="N769" t="s">
        <v>3963</v>
      </c>
      <c r="O769" t="s">
        <v>3963</v>
      </c>
      <c r="P769" t="s">
        <v>14167</v>
      </c>
      <c r="R769" t="s">
        <v>14168</v>
      </c>
    </row>
    <row r="770" spans="4:18">
      <c r="E770" t="s">
        <v>830</v>
      </c>
      <c r="I770" t="s">
        <v>5233</v>
      </c>
      <c r="K770" t="s">
        <v>14169</v>
      </c>
      <c r="L770" t="s">
        <v>14170</v>
      </c>
      <c r="M770" t="s">
        <v>3963</v>
      </c>
      <c r="N770" t="s">
        <v>3963</v>
      </c>
      <c r="O770" t="s">
        <v>3963</v>
      </c>
      <c r="P770" t="s">
        <v>14170</v>
      </c>
      <c r="R770" t="s">
        <v>14171</v>
      </c>
    </row>
    <row r="771" spans="4:18">
      <c r="E771" t="s">
        <v>831</v>
      </c>
      <c r="I771" t="s">
        <v>5234</v>
      </c>
      <c r="K771" t="s">
        <v>14172</v>
      </c>
      <c r="L771" t="s">
        <v>14172</v>
      </c>
      <c r="M771" t="s">
        <v>3963</v>
      </c>
      <c r="N771" t="s">
        <v>3963</v>
      </c>
      <c r="O771" t="s">
        <v>3963</v>
      </c>
      <c r="P771" t="s">
        <v>14172</v>
      </c>
      <c r="R771" t="s">
        <v>3963</v>
      </c>
    </row>
    <row r="772" spans="4:18">
      <c r="E772" t="s">
        <v>832</v>
      </c>
      <c r="I772" t="s">
        <v>5235</v>
      </c>
      <c r="K772" t="s">
        <v>14173</v>
      </c>
      <c r="L772" t="s">
        <v>14173</v>
      </c>
      <c r="M772" t="s">
        <v>3963</v>
      </c>
      <c r="N772" t="s">
        <v>3963</v>
      </c>
      <c r="O772" t="s">
        <v>3963</v>
      </c>
      <c r="P772" t="s">
        <v>14173</v>
      </c>
      <c r="R772" t="s">
        <v>3963</v>
      </c>
    </row>
    <row r="773" spans="4:18">
      <c r="E773" t="s">
        <v>833</v>
      </c>
      <c r="I773" t="s">
        <v>5236</v>
      </c>
      <c r="K773" t="s">
        <v>14174</v>
      </c>
      <c r="L773" t="s">
        <v>14175</v>
      </c>
      <c r="M773" t="s">
        <v>3963</v>
      </c>
      <c r="N773" t="s">
        <v>3963</v>
      </c>
      <c r="O773" t="s">
        <v>3963</v>
      </c>
      <c r="P773" t="s">
        <v>14175</v>
      </c>
      <c r="R773" t="s">
        <v>14176</v>
      </c>
    </row>
    <row r="774" spans="4:18">
      <c r="E774" t="s">
        <v>834</v>
      </c>
      <c r="I774" t="s">
        <v>4963</v>
      </c>
      <c r="K774" t="s">
        <v>14177</v>
      </c>
      <c r="L774" t="s">
        <v>14178</v>
      </c>
      <c r="M774" t="s">
        <v>3963</v>
      </c>
      <c r="N774" t="s">
        <v>3963</v>
      </c>
      <c r="O774" t="s">
        <v>3963</v>
      </c>
      <c r="P774" t="s">
        <v>14178</v>
      </c>
      <c r="R774" t="s">
        <v>14179</v>
      </c>
    </row>
    <row r="775" spans="4:18">
      <c r="E775" t="s">
        <v>1039</v>
      </c>
      <c r="I775" t="s">
        <v>5237</v>
      </c>
      <c r="K775" t="s">
        <v>14180</v>
      </c>
      <c r="L775" t="s">
        <v>3963</v>
      </c>
      <c r="M775" t="s">
        <v>3963</v>
      </c>
      <c r="N775" t="s">
        <v>3963</v>
      </c>
      <c r="O775" t="s">
        <v>3963</v>
      </c>
      <c r="P775" t="s">
        <v>3963</v>
      </c>
      <c r="R775" t="s">
        <v>14180</v>
      </c>
    </row>
    <row r="776" spans="4:18">
      <c r="E776" t="s">
        <v>1042</v>
      </c>
      <c r="I776" t="s">
        <v>5238</v>
      </c>
      <c r="K776" t="s">
        <v>14181</v>
      </c>
      <c r="L776" t="s">
        <v>14181</v>
      </c>
      <c r="M776" t="s">
        <v>3963</v>
      </c>
      <c r="N776" t="s">
        <v>3963</v>
      </c>
      <c r="O776" t="s">
        <v>3963</v>
      </c>
      <c r="P776" t="s">
        <v>14181</v>
      </c>
      <c r="R776" t="s">
        <v>3963</v>
      </c>
    </row>
    <row r="777" spans="4:18">
      <c r="E777" t="s">
        <v>1043</v>
      </c>
      <c r="I777" t="s">
        <v>5239</v>
      </c>
      <c r="K777" t="s">
        <v>14182</v>
      </c>
      <c r="L777" t="s">
        <v>14183</v>
      </c>
      <c r="M777" t="s">
        <v>3963</v>
      </c>
      <c r="N777" t="s">
        <v>3963</v>
      </c>
      <c r="O777" t="s">
        <v>3963</v>
      </c>
      <c r="P777" t="s">
        <v>14183</v>
      </c>
      <c r="R777" t="s">
        <v>14184</v>
      </c>
    </row>
    <row r="778" spans="4:18">
      <c r="E778" t="s">
        <v>1044</v>
      </c>
      <c r="I778" t="s">
        <v>1049</v>
      </c>
      <c r="K778" t="s">
        <v>14185</v>
      </c>
      <c r="L778" t="s">
        <v>14186</v>
      </c>
      <c r="M778" t="s">
        <v>3963</v>
      </c>
      <c r="N778" t="s">
        <v>3963</v>
      </c>
      <c r="O778" t="s">
        <v>3963</v>
      </c>
      <c r="P778" t="s">
        <v>14186</v>
      </c>
      <c r="R778" t="s">
        <v>14187</v>
      </c>
    </row>
    <row r="779" spans="4:18">
      <c r="E779" t="s">
        <v>1089</v>
      </c>
      <c r="I779" t="s">
        <v>5240</v>
      </c>
      <c r="K779" t="s">
        <v>14188</v>
      </c>
      <c r="L779" t="s">
        <v>14189</v>
      </c>
      <c r="M779" t="s">
        <v>3963</v>
      </c>
      <c r="N779" t="s">
        <v>3963</v>
      </c>
      <c r="O779" t="s">
        <v>3963</v>
      </c>
      <c r="P779" t="s">
        <v>14189</v>
      </c>
      <c r="R779" t="s">
        <v>5241</v>
      </c>
    </row>
    <row r="780" spans="4:18">
      <c r="E780" t="s">
        <v>1090</v>
      </c>
      <c r="I780" t="s">
        <v>5242</v>
      </c>
      <c r="K780" t="s">
        <v>14190</v>
      </c>
      <c r="L780" t="s">
        <v>14191</v>
      </c>
      <c r="M780" t="s">
        <v>3963</v>
      </c>
      <c r="N780" t="s">
        <v>3963</v>
      </c>
      <c r="O780" t="s">
        <v>3963</v>
      </c>
      <c r="P780" t="s">
        <v>14191</v>
      </c>
      <c r="R780" t="s">
        <v>14192</v>
      </c>
    </row>
    <row r="781" spans="4:18">
      <c r="E781" t="s">
        <v>1306</v>
      </c>
      <c r="I781" t="s">
        <v>5243</v>
      </c>
      <c r="K781" t="s">
        <v>14193</v>
      </c>
      <c r="L781" t="s">
        <v>3963</v>
      </c>
      <c r="M781" t="s">
        <v>3963</v>
      </c>
      <c r="N781" t="s">
        <v>3963</v>
      </c>
      <c r="O781" t="s">
        <v>3963</v>
      </c>
      <c r="P781" t="s">
        <v>3963</v>
      </c>
      <c r="R781" t="s">
        <v>14193</v>
      </c>
    </row>
    <row r="782" spans="4:18">
      <c r="E782" t="s">
        <v>1328</v>
      </c>
      <c r="I782" t="s">
        <v>5244</v>
      </c>
      <c r="K782" t="s">
        <v>14194</v>
      </c>
      <c r="L782" t="s">
        <v>14195</v>
      </c>
      <c r="M782" t="s">
        <v>3963</v>
      </c>
      <c r="N782" t="s">
        <v>3963</v>
      </c>
      <c r="O782" t="s">
        <v>3963</v>
      </c>
      <c r="P782" t="s">
        <v>14195</v>
      </c>
      <c r="R782" t="s">
        <v>14196</v>
      </c>
    </row>
    <row r="783" spans="4:18">
      <c r="E783" t="s">
        <v>1389</v>
      </c>
      <c r="I783" t="s">
        <v>5245</v>
      </c>
      <c r="K783" t="s">
        <v>14197</v>
      </c>
      <c r="L783" t="s">
        <v>3963</v>
      </c>
      <c r="M783" t="s">
        <v>3963</v>
      </c>
      <c r="N783" t="s">
        <v>3963</v>
      </c>
      <c r="O783" t="s">
        <v>3963</v>
      </c>
      <c r="P783" t="s">
        <v>3963</v>
      </c>
      <c r="R783" t="s">
        <v>14197</v>
      </c>
    </row>
    <row r="784" spans="4:18">
      <c r="D784" t="s">
        <v>740</v>
      </c>
      <c r="H784" t="s">
        <v>5246</v>
      </c>
      <c r="K784" t="s">
        <v>14198</v>
      </c>
      <c r="L784" t="s">
        <v>14199</v>
      </c>
      <c r="M784" t="s">
        <v>3963</v>
      </c>
      <c r="N784" t="s">
        <v>3963</v>
      </c>
      <c r="O784" t="s">
        <v>3963</v>
      </c>
      <c r="P784" t="s">
        <v>14199</v>
      </c>
      <c r="R784" t="s">
        <v>14200</v>
      </c>
    </row>
    <row r="785" spans="4:18">
      <c r="E785" t="s">
        <v>5247</v>
      </c>
      <c r="I785" t="s">
        <v>5248</v>
      </c>
      <c r="K785" t="s">
        <v>14201</v>
      </c>
      <c r="L785" t="s">
        <v>14201</v>
      </c>
      <c r="M785" t="s">
        <v>3963</v>
      </c>
      <c r="N785" t="s">
        <v>3963</v>
      </c>
      <c r="O785" t="s">
        <v>3963</v>
      </c>
      <c r="P785" t="s">
        <v>14201</v>
      </c>
      <c r="R785" t="s">
        <v>3963</v>
      </c>
    </row>
    <row r="786" spans="4:18">
      <c r="E786" t="s">
        <v>5249</v>
      </c>
      <c r="I786" t="s">
        <v>5250</v>
      </c>
      <c r="K786" t="s">
        <v>14202</v>
      </c>
      <c r="L786" t="s">
        <v>14203</v>
      </c>
      <c r="M786" t="s">
        <v>3963</v>
      </c>
      <c r="N786" t="s">
        <v>3963</v>
      </c>
      <c r="O786" t="s">
        <v>3963</v>
      </c>
      <c r="P786" t="s">
        <v>14203</v>
      </c>
      <c r="R786" t="s">
        <v>14200</v>
      </c>
    </row>
    <row r="787" spans="4:18">
      <c r="D787" t="s">
        <v>739</v>
      </c>
      <c r="H787" t="s">
        <v>5251</v>
      </c>
      <c r="K787" t="s">
        <v>14204</v>
      </c>
      <c r="L787" t="s">
        <v>14205</v>
      </c>
      <c r="M787" t="s">
        <v>3963</v>
      </c>
      <c r="N787" t="s">
        <v>3963</v>
      </c>
      <c r="O787" t="s">
        <v>3963</v>
      </c>
      <c r="P787" t="s">
        <v>14205</v>
      </c>
      <c r="R787" t="s">
        <v>5252</v>
      </c>
    </row>
    <row r="788" spans="4:18">
      <c r="E788" t="s">
        <v>5253</v>
      </c>
      <c r="I788" t="s">
        <v>5254</v>
      </c>
      <c r="K788" t="s">
        <v>14206</v>
      </c>
      <c r="L788" t="s">
        <v>14207</v>
      </c>
      <c r="M788" t="s">
        <v>3963</v>
      </c>
      <c r="N788" t="s">
        <v>3963</v>
      </c>
      <c r="O788" t="s">
        <v>3963</v>
      </c>
      <c r="P788" t="s">
        <v>14207</v>
      </c>
      <c r="R788" t="s">
        <v>5252</v>
      </c>
    </row>
    <row r="789" spans="4:18">
      <c r="E789" t="s">
        <v>5255</v>
      </c>
      <c r="I789" t="s">
        <v>5256</v>
      </c>
      <c r="K789" t="s">
        <v>3963</v>
      </c>
      <c r="L789" t="s">
        <v>3963</v>
      </c>
      <c r="M789" t="s">
        <v>3963</v>
      </c>
      <c r="N789" t="s">
        <v>3963</v>
      </c>
      <c r="O789" t="s">
        <v>3963</v>
      </c>
      <c r="P789" t="s">
        <v>3963</v>
      </c>
      <c r="R789" t="s">
        <v>3963</v>
      </c>
    </row>
    <row r="790" spans="4:18">
      <c r="E790" t="s">
        <v>5257</v>
      </c>
      <c r="I790" t="s">
        <v>5258</v>
      </c>
      <c r="K790" t="s">
        <v>3963</v>
      </c>
      <c r="L790" t="s">
        <v>3963</v>
      </c>
      <c r="M790" t="s">
        <v>3963</v>
      </c>
      <c r="N790" t="s">
        <v>3963</v>
      </c>
      <c r="O790" t="s">
        <v>3963</v>
      </c>
      <c r="P790" t="s">
        <v>3963</v>
      </c>
      <c r="R790" t="s">
        <v>3963</v>
      </c>
    </row>
    <row r="791" spans="4:18">
      <c r="E791" t="s">
        <v>5259</v>
      </c>
      <c r="I791" t="s">
        <v>5260</v>
      </c>
      <c r="K791" t="s">
        <v>14208</v>
      </c>
      <c r="L791" t="s">
        <v>14208</v>
      </c>
      <c r="M791" t="s">
        <v>3963</v>
      </c>
      <c r="N791" t="s">
        <v>3963</v>
      </c>
      <c r="O791" t="s">
        <v>3963</v>
      </c>
      <c r="P791" t="s">
        <v>14208</v>
      </c>
      <c r="R791" t="s">
        <v>3963</v>
      </c>
    </row>
    <row r="792" spans="4:18">
      <c r="D792" t="s">
        <v>748</v>
      </c>
      <c r="H792" t="s">
        <v>5261</v>
      </c>
      <c r="K792" t="s">
        <v>14209</v>
      </c>
      <c r="L792" t="s">
        <v>3963</v>
      </c>
      <c r="M792" t="s">
        <v>3963</v>
      </c>
      <c r="N792" t="s">
        <v>3963</v>
      </c>
      <c r="O792" t="s">
        <v>3963</v>
      </c>
      <c r="P792" t="s">
        <v>3963</v>
      </c>
      <c r="R792" t="s">
        <v>14209</v>
      </c>
    </row>
    <row r="793" spans="4:18">
      <c r="E793" t="s">
        <v>5262</v>
      </c>
      <c r="I793" t="s">
        <v>5263</v>
      </c>
      <c r="K793" t="s">
        <v>14210</v>
      </c>
      <c r="L793" t="s">
        <v>3963</v>
      </c>
      <c r="M793" t="s">
        <v>3963</v>
      </c>
      <c r="N793" t="s">
        <v>3963</v>
      </c>
      <c r="O793" t="s">
        <v>3963</v>
      </c>
      <c r="P793" t="s">
        <v>3963</v>
      </c>
      <c r="R793" t="s">
        <v>14210</v>
      </c>
    </row>
    <row r="794" spans="4:18">
      <c r="E794" t="s">
        <v>5264</v>
      </c>
      <c r="I794" t="s">
        <v>5265</v>
      </c>
      <c r="K794" t="s">
        <v>14211</v>
      </c>
      <c r="L794" t="s">
        <v>3963</v>
      </c>
      <c r="M794" t="s">
        <v>3963</v>
      </c>
      <c r="N794" t="s">
        <v>3963</v>
      </c>
      <c r="O794" t="s">
        <v>3963</v>
      </c>
      <c r="P794" t="s">
        <v>3963</v>
      </c>
      <c r="R794" t="s">
        <v>14211</v>
      </c>
    </row>
    <row r="795" spans="4:18">
      <c r="E795" t="s">
        <v>5266</v>
      </c>
      <c r="I795" t="s">
        <v>5267</v>
      </c>
      <c r="K795" t="s">
        <v>14212</v>
      </c>
      <c r="L795" t="s">
        <v>3963</v>
      </c>
      <c r="M795" t="s">
        <v>3963</v>
      </c>
      <c r="N795" t="s">
        <v>3963</v>
      </c>
      <c r="O795" t="s">
        <v>3963</v>
      </c>
      <c r="P795" t="s">
        <v>3963</v>
      </c>
      <c r="R795" t="s">
        <v>14212</v>
      </c>
    </row>
    <row r="796" spans="4:18">
      <c r="D796" t="s">
        <v>750</v>
      </c>
      <c r="H796" t="s">
        <v>5268</v>
      </c>
      <c r="K796" t="s">
        <v>14213</v>
      </c>
      <c r="L796" t="s">
        <v>14214</v>
      </c>
      <c r="M796" t="s">
        <v>3963</v>
      </c>
      <c r="N796" t="s">
        <v>3963</v>
      </c>
      <c r="O796" t="s">
        <v>3963</v>
      </c>
      <c r="P796" t="s">
        <v>14214</v>
      </c>
      <c r="R796" t="s">
        <v>14215</v>
      </c>
    </row>
    <row r="797" spans="4:18">
      <c r="E797" t="s">
        <v>5269</v>
      </c>
      <c r="I797" t="s">
        <v>5270</v>
      </c>
      <c r="K797" t="s">
        <v>14213</v>
      </c>
      <c r="L797" t="s">
        <v>14214</v>
      </c>
      <c r="M797" t="s">
        <v>3963</v>
      </c>
      <c r="N797" t="s">
        <v>3963</v>
      </c>
      <c r="O797" t="s">
        <v>3963</v>
      </c>
      <c r="P797" t="s">
        <v>14214</v>
      </c>
      <c r="R797" t="s">
        <v>14215</v>
      </c>
    </row>
    <row r="798" spans="4:18">
      <c r="D798" t="s">
        <v>747</v>
      </c>
      <c r="H798" t="s">
        <v>5271</v>
      </c>
      <c r="K798" t="s">
        <v>14216</v>
      </c>
      <c r="L798" t="s">
        <v>14217</v>
      </c>
      <c r="M798" t="s">
        <v>3963</v>
      </c>
      <c r="N798" t="s">
        <v>17322</v>
      </c>
      <c r="O798" t="s">
        <v>3963</v>
      </c>
      <c r="P798" t="s">
        <v>17323</v>
      </c>
      <c r="R798" t="s">
        <v>17324</v>
      </c>
    </row>
    <row r="799" spans="4:18">
      <c r="E799" t="s">
        <v>5272</v>
      </c>
      <c r="I799" t="s">
        <v>5157</v>
      </c>
      <c r="K799" t="s">
        <v>14218</v>
      </c>
      <c r="L799" t="s">
        <v>14219</v>
      </c>
      <c r="M799" t="s">
        <v>3963</v>
      </c>
      <c r="N799" t="s">
        <v>3963</v>
      </c>
      <c r="O799" t="s">
        <v>3963</v>
      </c>
      <c r="P799" t="s">
        <v>14219</v>
      </c>
      <c r="R799" t="s">
        <v>5273</v>
      </c>
    </row>
    <row r="800" spans="4:18">
      <c r="E800" t="s">
        <v>5274</v>
      </c>
      <c r="I800" t="s">
        <v>5275</v>
      </c>
      <c r="K800" t="s">
        <v>14220</v>
      </c>
      <c r="L800" t="s">
        <v>14221</v>
      </c>
      <c r="M800" t="s">
        <v>3963</v>
      </c>
      <c r="N800" t="s">
        <v>17322</v>
      </c>
      <c r="O800" t="s">
        <v>3963</v>
      </c>
      <c r="P800" t="s">
        <v>17325</v>
      </c>
      <c r="R800" t="s">
        <v>17326</v>
      </c>
    </row>
    <row r="801" spans="4:18">
      <c r="E801" t="s">
        <v>5276</v>
      </c>
      <c r="I801" t="s">
        <v>5277</v>
      </c>
      <c r="K801" t="s">
        <v>14222</v>
      </c>
      <c r="L801" t="s">
        <v>3963</v>
      </c>
      <c r="M801" t="s">
        <v>3963</v>
      </c>
      <c r="N801" t="s">
        <v>3963</v>
      </c>
      <c r="O801" t="s">
        <v>3963</v>
      </c>
      <c r="P801" t="s">
        <v>3963</v>
      </c>
      <c r="R801" t="s">
        <v>14222</v>
      </c>
    </row>
    <row r="802" spans="4:18">
      <c r="E802" t="s">
        <v>5278</v>
      </c>
      <c r="I802" t="s">
        <v>5279</v>
      </c>
      <c r="K802" t="s">
        <v>14223</v>
      </c>
      <c r="L802" t="s">
        <v>14224</v>
      </c>
      <c r="M802" t="s">
        <v>3963</v>
      </c>
      <c r="N802" t="s">
        <v>3963</v>
      </c>
      <c r="O802" t="s">
        <v>3963</v>
      </c>
      <c r="P802" t="s">
        <v>14224</v>
      </c>
      <c r="R802" t="s">
        <v>5280</v>
      </c>
    </row>
    <row r="803" spans="4:18">
      <c r="E803" t="s">
        <v>5281</v>
      </c>
      <c r="I803" t="s">
        <v>5282</v>
      </c>
      <c r="K803" t="s">
        <v>14225</v>
      </c>
      <c r="L803" t="s">
        <v>3963</v>
      </c>
      <c r="M803" t="s">
        <v>3963</v>
      </c>
      <c r="N803" t="s">
        <v>3963</v>
      </c>
      <c r="O803" t="s">
        <v>3963</v>
      </c>
      <c r="P803" t="s">
        <v>3963</v>
      </c>
      <c r="R803" t="s">
        <v>14225</v>
      </c>
    </row>
    <row r="804" spans="4:18">
      <c r="E804" t="s">
        <v>5283</v>
      </c>
      <c r="I804" t="s">
        <v>5284</v>
      </c>
      <c r="K804" t="s">
        <v>14226</v>
      </c>
      <c r="L804" t="s">
        <v>14227</v>
      </c>
      <c r="M804" t="s">
        <v>3963</v>
      </c>
      <c r="N804" t="s">
        <v>3963</v>
      </c>
      <c r="O804" t="s">
        <v>3963</v>
      </c>
      <c r="P804" t="s">
        <v>14227</v>
      </c>
      <c r="R804" t="s">
        <v>14228</v>
      </c>
    </row>
    <row r="805" spans="4:18">
      <c r="E805" t="s">
        <v>5285</v>
      </c>
      <c r="I805" t="s">
        <v>5173</v>
      </c>
      <c r="K805" t="s">
        <v>3994</v>
      </c>
      <c r="L805" t="s">
        <v>3963</v>
      </c>
      <c r="M805" t="s">
        <v>3963</v>
      </c>
      <c r="N805" t="s">
        <v>3963</v>
      </c>
      <c r="O805" t="s">
        <v>3963</v>
      </c>
      <c r="P805" t="s">
        <v>3963</v>
      </c>
      <c r="R805" t="s">
        <v>3994</v>
      </c>
    </row>
    <row r="806" spans="4:18">
      <c r="D806" t="s">
        <v>755</v>
      </c>
      <c r="H806" t="s">
        <v>5286</v>
      </c>
      <c r="K806" t="s">
        <v>14229</v>
      </c>
      <c r="L806" t="s">
        <v>16504</v>
      </c>
      <c r="M806" t="s">
        <v>17109</v>
      </c>
      <c r="N806" t="s">
        <v>18695</v>
      </c>
      <c r="O806" t="s">
        <v>3963</v>
      </c>
      <c r="P806" t="s">
        <v>18696</v>
      </c>
      <c r="R806" t="s">
        <v>18697</v>
      </c>
    </row>
    <row r="807" spans="4:18">
      <c r="E807" t="s">
        <v>5287</v>
      </c>
      <c r="I807" t="s">
        <v>5288</v>
      </c>
      <c r="K807" t="s">
        <v>14230</v>
      </c>
      <c r="L807" t="s">
        <v>14231</v>
      </c>
      <c r="M807" t="s">
        <v>3963</v>
      </c>
      <c r="N807" t="s">
        <v>18698</v>
      </c>
      <c r="O807" t="s">
        <v>3963</v>
      </c>
      <c r="P807" t="s">
        <v>18699</v>
      </c>
      <c r="R807" t="s">
        <v>18700</v>
      </c>
    </row>
    <row r="808" spans="4:18">
      <c r="E808" t="s">
        <v>5289</v>
      </c>
      <c r="I808" t="s">
        <v>5290</v>
      </c>
      <c r="K808" t="s">
        <v>14232</v>
      </c>
      <c r="L808" t="s">
        <v>14233</v>
      </c>
      <c r="M808" t="s">
        <v>3963</v>
      </c>
      <c r="N808" t="s">
        <v>3963</v>
      </c>
      <c r="O808" t="s">
        <v>3963</v>
      </c>
      <c r="P808" t="s">
        <v>14233</v>
      </c>
      <c r="R808" t="s">
        <v>18701</v>
      </c>
    </row>
    <row r="809" spans="4:18">
      <c r="E809" t="s">
        <v>5291</v>
      </c>
      <c r="I809" t="s">
        <v>5292</v>
      </c>
      <c r="K809" t="s">
        <v>14234</v>
      </c>
      <c r="L809" t="s">
        <v>14234</v>
      </c>
      <c r="M809" t="s">
        <v>3963</v>
      </c>
      <c r="N809" t="s">
        <v>3963</v>
      </c>
      <c r="O809" t="s">
        <v>3963</v>
      </c>
      <c r="P809" t="s">
        <v>14234</v>
      </c>
      <c r="R809" t="s">
        <v>3963</v>
      </c>
    </row>
    <row r="810" spans="4:18">
      <c r="E810" t="s">
        <v>5293</v>
      </c>
      <c r="I810" t="s">
        <v>5294</v>
      </c>
      <c r="K810" t="s">
        <v>14235</v>
      </c>
      <c r="L810" t="s">
        <v>14235</v>
      </c>
      <c r="M810" t="s">
        <v>3963</v>
      </c>
      <c r="N810" t="s">
        <v>3963</v>
      </c>
      <c r="O810" t="s">
        <v>3963</v>
      </c>
      <c r="P810" t="s">
        <v>14235</v>
      </c>
      <c r="R810" t="s">
        <v>3963</v>
      </c>
    </row>
    <row r="811" spans="4:18">
      <c r="E811" t="s">
        <v>5295</v>
      </c>
      <c r="I811" t="s">
        <v>5296</v>
      </c>
      <c r="K811" t="s">
        <v>5297</v>
      </c>
      <c r="L811" t="s">
        <v>14236</v>
      </c>
      <c r="M811" t="s">
        <v>3963</v>
      </c>
      <c r="N811" t="s">
        <v>3963</v>
      </c>
      <c r="O811" t="s">
        <v>3963</v>
      </c>
      <c r="P811" t="s">
        <v>14236</v>
      </c>
      <c r="R811" t="s">
        <v>14237</v>
      </c>
    </row>
    <row r="812" spans="4:18">
      <c r="E812" t="s">
        <v>5298</v>
      </c>
      <c r="I812" t="s">
        <v>5299</v>
      </c>
      <c r="K812" t="s">
        <v>14238</v>
      </c>
      <c r="L812" t="s">
        <v>16505</v>
      </c>
      <c r="M812" t="s">
        <v>17109</v>
      </c>
      <c r="N812" t="s">
        <v>16282</v>
      </c>
      <c r="O812" t="s">
        <v>3963</v>
      </c>
      <c r="P812" t="s">
        <v>17110</v>
      </c>
      <c r="R812" t="s">
        <v>17111</v>
      </c>
    </row>
    <row r="813" spans="4:18">
      <c r="E813" t="s">
        <v>5300</v>
      </c>
      <c r="I813" t="s">
        <v>5301</v>
      </c>
      <c r="K813" t="s">
        <v>14239</v>
      </c>
      <c r="L813" t="s">
        <v>14240</v>
      </c>
      <c r="M813" t="s">
        <v>3963</v>
      </c>
      <c r="N813" t="s">
        <v>3963</v>
      </c>
      <c r="O813" t="s">
        <v>3963</v>
      </c>
      <c r="P813" t="s">
        <v>14240</v>
      </c>
      <c r="R813" t="s">
        <v>17327</v>
      </c>
    </row>
    <row r="814" spans="4:18">
      <c r="E814" t="s">
        <v>5302</v>
      </c>
      <c r="I814" t="s">
        <v>5303</v>
      </c>
      <c r="K814" t="s">
        <v>14241</v>
      </c>
      <c r="L814" t="s">
        <v>14242</v>
      </c>
      <c r="M814" t="s">
        <v>3963</v>
      </c>
      <c r="N814" t="s">
        <v>3963</v>
      </c>
      <c r="O814" t="s">
        <v>3963</v>
      </c>
      <c r="P814" t="s">
        <v>14242</v>
      </c>
      <c r="R814" t="s">
        <v>14243</v>
      </c>
    </row>
    <row r="815" spans="4:18">
      <c r="E815" t="s">
        <v>5304</v>
      </c>
      <c r="I815" t="s">
        <v>5305</v>
      </c>
      <c r="K815" t="s">
        <v>14244</v>
      </c>
      <c r="L815" t="s">
        <v>3963</v>
      </c>
      <c r="M815" t="s">
        <v>3963</v>
      </c>
      <c r="N815" t="s">
        <v>18702</v>
      </c>
      <c r="O815" t="s">
        <v>3963</v>
      </c>
      <c r="P815" t="s">
        <v>18702</v>
      </c>
      <c r="R815" t="s">
        <v>18703</v>
      </c>
    </row>
    <row r="816" spans="4:18">
      <c r="E816" t="s">
        <v>5306</v>
      </c>
      <c r="I816" t="s">
        <v>5307</v>
      </c>
      <c r="K816" t="s">
        <v>14245</v>
      </c>
      <c r="L816" t="s">
        <v>14246</v>
      </c>
      <c r="M816" t="s">
        <v>3963</v>
      </c>
      <c r="N816" t="s">
        <v>3963</v>
      </c>
      <c r="O816" t="s">
        <v>3963</v>
      </c>
      <c r="P816" t="s">
        <v>14246</v>
      </c>
      <c r="R816" t="s">
        <v>14247</v>
      </c>
    </row>
    <row r="817" spans="4:18">
      <c r="D817" t="s">
        <v>720</v>
      </c>
      <c r="H817" t="s">
        <v>722</v>
      </c>
      <c r="K817" t="s">
        <v>14248</v>
      </c>
      <c r="L817" t="s">
        <v>14249</v>
      </c>
      <c r="M817" t="s">
        <v>3963</v>
      </c>
      <c r="N817" t="s">
        <v>3963</v>
      </c>
      <c r="O817" t="s">
        <v>3963</v>
      </c>
      <c r="P817" t="s">
        <v>14249</v>
      </c>
      <c r="R817" t="s">
        <v>14250</v>
      </c>
    </row>
    <row r="818" spans="4:18">
      <c r="E818" t="s">
        <v>5308</v>
      </c>
      <c r="I818" t="s">
        <v>5309</v>
      </c>
      <c r="K818" t="s">
        <v>14251</v>
      </c>
      <c r="L818" t="s">
        <v>14252</v>
      </c>
      <c r="M818" t="s">
        <v>3963</v>
      </c>
      <c r="N818" t="s">
        <v>3963</v>
      </c>
      <c r="O818" t="s">
        <v>3963</v>
      </c>
      <c r="P818" t="s">
        <v>14252</v>
      </c>
      <c r="R818" t="s">
        <v>14253</v>
      </c>
    </row>
    <row r="819" spans="4:18">
      <c r="E819" t="s">
        <v>5310</v>
      </c>
      <c r="I819" t="s">
        <v>5311</v>
      </c>
      <c r="K819" t="s">
        <v>14254</v>
      </c>
      <c r="L819" t="s">
        <v>14255</v>
      </c>
      <c r="M819" t="s">
        <v>3963</v>
      </c>
      <c r="N819" t="s">
        <v>3963</v>
      </c>
      <c r="O819" t="s">
        <v>3963</v>
      </c>
      <c r="P819" t="s">
        <v>14255</v>
      </c>
      <c r="R819" t="s">
        <v>14256</v>
      </c>
    </row>
    <row r="820" spans="4:18">
      <c r="E820" t="s">
        <v>5312</v>
      </c>
      <c r="I820" t="s">
        <v>5313</v>
      </c>
      <c r="K820" t="s">
        <v>14257</v>
      </c>
      <c r="L820" t="s">
        <v>3963</v>
      </c>
      <c r="M820" t="s">
        <v>3963</v>
      </c>
      <c r="N820" t="s">
        <v>3963</v>
      </c>
      <c r="O820" t="s">
        <v>3963</v>
      </c>
      <c r="P820" t="s">
        <v>3963</v>
      </c>
      <c r="R820" t="s">
        <v>14257</v>
      </c>
    </row>
    <row r="821" spans="4:18">
      <c r="E821" t="s">
        <v>5314</v>
      </c>
      <c r="I821" t="s">
        <v>5315</v>
      </c>
      <c r="K821" t="s">
        <v>14258</v>
      </c>
      <c r="L821" t="s">
        <v>14259</v>
      </c>
      <c r="M821" t="s">
        <v>3963</v>
      </c>
      <c r="N821" t="s">
        <v>3963</v>
      </c>
      <c r="O821" t="s">
        <v>3963</v>
      </c>
      <c r="P821" t="s">
        <v>14259</v>
      </c>
      <c r="R821" t="s">
        <v>14260</v>
      </c>
    </row>
    <row r="822" spans="4:18">
      <c r="D822" t="s">
        <v>749</v>
      </c>
      <c r="H822" t="s">
        <v>5316</v>
      </c>
      <c r="K822" t="s">
        <v>14261</v>
      </c>
      <c r="L822" t="s">
        <v>14262</v>
      </c>
      <c r="M822" t="s">
        <v>3963</v>
      </c>
      <c r="N822" t="s">
        <v>3963</v>
      </c>
      <c r="O822" t="s">
        <v>3963</v>
      </c>
      <c r="P822" t="s">
        <v>14262</v>
      </c>
      <c r="R822" t="s">
        <v>14263</v>
      </c>
    </row>
    <row r="823" spans="4:18">
      <c r="E823" t="s">
        <v>5317</v>
      </c>
      <c r="I823" t="s">
        <v>5318</v>
      </c>
      <c r="K823" t="s">
        <v>14264</v>
      </c>
      <c r="L823" t="s">
        <v>14265</v>
      </c>
      <c r="M823" t="s">
        <v>3963</v>
      </c>
      <c r="N823" t="s">
        <v>3963</v>
      </c>
      <c r="O823" t="s">
        <v>3963</v>
      </c>
      <c r="P823" t="s">
        <v>14265</v>
      </c>
      <c r="R823" t="s">
        <v>14266</v>
      </c>
    </row>
    <row r="824" spans="4:18">
      <c r="E824" t="s">
        <v>5319</v>
      </c>
      <c r="I824" t="s">
        <v>5320</v>
      </c>
      <c r="K824" t="s">
        <v>5321</v>
      </c>
      <c r="L824" t="s">
        <v>14267</v>
      </c>
      <c r="M824" t="s">
        <v>3963</v>
      </c>
      <c r="N824" t="s">
        <v>3963</v>
      </c>
      <c r="O824" t="s">
        <v>3963</v>
      </c>
      <c r="P824" t="s">
        <v>14267</v>
      </c>
      <c r="R824" t="s">
        <v>14268</v>
      </c>
    </row>
    <row r="825" spans="4:18">
      <c r="E825" t="s">
        <v>5322</v>
      </c>
      <c r="I825" t="s">
        <v>5323</v>
      </c>
      <c r="K825" t="s">
        <v>3963</v>
      </c>
      <c r="L825" t="s">
        <v>3963</v>
      </c>
      <c r="M825" t="s">
        <v>3963</v>
      </c>
      <c r="N825" t="s">
        <v>3963</v>
      </c>
      <c r="O825" t="s">
        <v>3963</v>
      </c>
      <c r="P825" t="s">
        <v>3963</v>
      </c>
      <c r="R825" t="s">
        <v>3963</v>
      </c>
    </row>
    <row r="826" spans="4:18">
      <c r="E826" t="s">
        <v>5324</v>
      </c>
      <c r="I826" t="s">
        <v>5263</v>
      </c>
      <c r="K826" t="s">
        <v>13367</v>
      </c>
      <c r="L826" t="s">
        <v>14269</v>
      </c>
      <c r="M826" t="s">
        <v>3963</v>
      </c>
      <c r="N826" t="s">
        <v>3963</v>
      </c>
      <c r="O826" t="s">
        <v>3963</v>
      </c>
      <c r="P826" t="s">
        <v>14269</v>
      </c>
      <c r="R826" t="s">
        <v>14270</v>
      </c>
    </row>
    <row r="827" spans="4:18">
      <c r="E827" t="s">
        <v>5325</v>
      </c>
      <c r="I827" t="s">
        <v>5326</v>
      </c>
      <c r="K827" t="s">
        <v>4384</v>
      </c>
      <c r="L827" t="s">
        <v>14271</v>
      </c>
      <c r="M827" t="s">
        <v>3963</v>
      </c>
      <c r="N827" t="s">
        <v>3963</v>
      </c>
      <c r="O827" t="s">
        <v>3963</v>
      </c>
      <c r="P827" t="s">
        <v>14271</v>
      </c>
      <c r="R827" t="s">
        <v>14272</v>
      </c>
    </row>
    <row r="828" spans="4:18">
      <c r="E828" t="s">
        <v>5327</v>
      </c>
      <c r="I828" t="s">
        <v>5328</v>
      </c>
      <c r="K828" t="s">
        <v>14273</v>
      </c>
      <c r="L828" t="s">
        <v>14274</v>
      </c>
      <c r="M828" t="s">
        <v>3963</v>
      </c>
      <c r="N828" t="s">
        <v>3963</v>
      </c>
      <c r="O828" t="s">
        <v>3963</v>
      </c>
      <c r="P828" t="s">
        <v>14274</v>
      </c>
      <c r="R828" t="s">
        <v>14275</v>
      </c>
    </row>
    <row r="829" spans="4:18">
      <c r="E829" t="s">
        <v>5329</v>
      </c>
      <c r="I829" t="s">
        <v>5330</v>
      </c>
      <c r="K829" t="s">
        <v>14276</v>
      </c>
      <c r="L829" t="s">
        <v>14277</v>
      </c>
      <c r="M829" t="s">
        <v>3963</v>
      </c>
      <c r="N829" t="s">
        <v>3963</v>
      </c>
      <c r="O829" t="s">
        <v>3963</v>
      </c>
      <c r="P829" t="s">
        <v>14277</v>
      </c>
      <c r="R829" t="s">
        <v>14278</v>
      </c>
    </row>
    <row r="830" spans="4:18">
      <c r="D830" t="s">
        <v>752</v>
      </c>
      <c r="H830" t="s">
        <v>5331</v>
      </c>
      <c r="K830" t="s">
        <v>14279</v>
      </c>
      <c r="L830" t="s">
        <v>14280</v>
      </c>
      <c r="M830" t="s">
        <v>18879</v>
      </c>
      <c r="N830" t="s">
        <v>3963</v>
      </c>
      <c r="O830" t="s">
        <v>3963</v>
      </c>
      <c r="P830" t="s">
        <v>18880</v>
      </c>
      <c r="R830" t="s">
        <v>18881</v>
      </c>
    </row>
    <row r="831" spans="4:18">
      <c r="E831" t="s">
        <v>5332</v>
      </c>
      <c r="I831" t="s">
        <v>5333</v>
      </c>
      <c r="K831" t="s">
        <v>14281</v>
      </c>
      <c r="L831" t="s">
        <v>14282</v>
      </c>
      <c r="M831" t="s">
        <v>18879</v>
      </c>
      <c r="N831" t="s">
        <v>3963</v>
      </c>
      <c r="O831" t="s">
        <v>3963</v>
      </c>
      <c r="P831" t="s">
        <v>18882</v>
      </c>
      <c r="R831" t="s">
        <v>18883</v>
      </c>
    </row>
    <row r="832" spans="4:18">
      <c r="E832" t="s">
        <v>5334</v>
      </c>
      <c r="I832" t="s">
        <v>5335</v>
      </c>
      <c r="K832" t="s">
        <v>14283</v>
      </c>
      <c r="L832" t="s">
        <v>14284</v>
      </c>
      <c r="M832" t="s">
        <v>3963</v>
      </c>
      <c r="N832" t="s">
        <v>3963</v>
      </c>
      <c r="O832" t="s">
        <v>3963</v>
      </c>
      <c r="P832" t="s">
        <v>14284</v>
      </c>
      <c r="R832" t="s">
        <v>14285</v>
      </c>
    </row>
    <row r="833" spans="4:18">
      <c r="E833" t="s">
        <v>5336</v>
      </c>
      <c r="I833" t="s">
        <v>5318</v>
      </c>
      <c r="K833" t="s">
        <v>3963</v>
      </c>
      <c r="L833" t="s">
        <v>3963</v>
      </c>
      <c r="M833" t="s">
        <v>3963</v>
      </c>
      <c r="N833" t="s">
        <v>3963</v>
      </c>
      <c r="O833" t="s">
        <v>3963</v>
      </c>
      <c r="P833" t="s">
        <v>3963</v>
      </c>
      <c r="R833" t="s">
        <v>3963</v>
      </c>
    </row>
    <row r="834" spans="4:18">
      <c r="E834" t="s">
        <v>5337</v>
      </c>
      <c r="I834" t="s">
        <v>5335</v>
      </c>
      <c r="K834" t="s">
        <v>3963</v>
      </c>
      <c r="L834" t="s">
        <v>3963</v>
      </c>
      <c r="M834" t="s">
        <v>3963</v>
      </c>
      <c r="N834" t="s">
        <v>3963</v>
      </c>
      <c r="O834" t="s">
        <v>3963</v>
      </c>
      <c r="P834" t="s">
        <v>3963</v>
      </c>
      <c r="R834" t="s">
        <v>3963</v>
      </c>
    </row>
    <row r="835" spans="4:18">
      <c r="E835" t="s">
        <v>5338</v>
      </c>
      <c r="I835" t="s">
        <v>5323</v>
      </c>
      <c r="K835" t="s">
        <v>3963</v>
      </c>
      <c r="L835" t="s">
        <v>3963</v>
      </c>
      <c r="M835" t="s">
        <v>3963</v>
      </c>
      <c r="N835" t="s">
        <v>3963</v>
      </c>
      <c r="O835" t="s">
        <v>3963</v>
      </c>
      <c r="P835" t="s">
        <v>3963</v>
      </c>
      <c r="R835" t="s">
        <v>3963</v>
      </c>
    </row>
    <row r="836" spans="4:18">
      <c r="D836" t="s">
        <v>751</v>
      </c>
      <c r="H836" t="s">
        <v>5339</v>
      </c>
      <c r="K836" t="s">
        <v>14286</v>
      </c>
      <c r="L836" t="s">
        <v>14287</v>
      </c>
      <c r="M836" t="s">
        <v>3963</v>
      </c>
      <c r="N836" t="s">
        <v>3963</v>
      </c>
      <c r="O836" t="s">
        <v>3963</v>
      </c>
      <c r="P836" t="s">
        <v>14287</v>
      </c>
      <c r="R836" t="s">
        <v>14288</v>
      </c>
    </row>
    <row r="837" spans="4:18">
      <c r="E837" t="s">
        <v>5340</v>
      </c>
      <c r="I837" t="s">
        <v>5341</v>
      </c>
      <c r="K837" t="s">
        <v>14289</v>
      </c>
      <c r="L837" t="s">
        <v>14290</v>
      </c>
      <c r="M837" t="s">
        <v>3963</v>
      </c>
      <c r="N837" t="s">
        <v>3963</v>
      </c>
      <c r="O837" t="s">
        <v>3963</v>
      </c>
      <c r="P837" t="s">
        <v>14290</v>
      </c>
      <c r="R837" t="s">
        <v>14291</v>
      </c>
    </row>
    <row r="838" spans="4:18">
      <c r="E838" t="s">
        <v>5342</v>
      </c>
      <c r="I838" t="s">
        <v>5343</v>
      </c>
      <c r="K838" t="s">
        <v>12803</v>
      </c>
      <c r="L838" t="s">
        <v>14292</v>
      </c>
      <c r="M838" t="s">
        <v>3963</v>
      </c>
      <c r="N838" t="s">
        <v>3963</v>
      </c>
      <c r="O838" t="s">
        <v>3963</v>
      </c>
      <c r="P838" t="s">
        <v>14292</v>
      </c>
      <c r="R838" t="s">
        <v>14293</v>
      </c>
    </row>
    <row r="839" spans="4:18">
      <c r="E839" t="s">
        <v>5344</v>
      </c>
      <c r="I839" t="s">
        <v>5345</v>
      </c>
      <c r="K839" t="s">
        <v>14294</v>
      </c>
      <c r="L839" t="s">
        <v>14295</v>
      </c>
      <c r="M839" t="s">
        <v>3963</v>
      </c>
      <c r="N839" t="s">
        <v>3963</v>
      </c>
      <c r="O839" t="s">
        <v>3963</v>
      </c>
      <c r="P839" t="s">
        <v>14295</v>
      </c>
      <c r="R839" t="s">
        <v>14296</v>
      </c>
    </row>
    <row r="840" spans="4:18">
      <c r="E840" t="s">
        <v>5346</v>
      </c>
      <c r="I840" t="s">
        <v>5347</v>
      </c>
      <c r="K840" t="s">
        <v>14297</v>
      </c>
      <c r="L840" t="s">
        <v>14298</v>
      </c>
      <c r="M840" t="s">
        <v>3963</v>
      </c>
      <c r="N840" t="s">
        <v>3963</v>
      </c>
      <c r="O840" t="s">
        <v>3963</v>
      </c>
      <c r="P840" t="s">
        <v>14298</v>
      </c>
      <c r="R840" t="s">
        <v>14299</v>
      </c>
    </row>
    <row r="841" spans="4:18">
      <c r="D841" t="s">
        <v>753</v>
      </c>
      <c r="H841" t="s">
        <v>5348</v>
      </c>
      <c r="K841" t="s">
        <v>14300</v>
      </c>
      <c r="L841" t="s">
        <v>14301</v>
      </c>
      <c r="M841" t="s">
        <v>20064</v>
      </c>
      <c r="N841" t="s">
        <v>14302</v>
      </c>
      <c r="O841" t="s">
        <v>3963</v>
      </c>
      <c r="P841" t="s">
        <v>20065</v>
      </c>
      <c r="R841" t="s">
        <v>20066</v>
      </c>
    </row>
    <row r="842" spans="4:18">
      <c r="E842" t="s">
        <v>5349</v>
      </c>
      <c r="I842" t="s">
        <v>5350</v>
      </c>
      <c r="K842" t="s">
        <v>14300</v>
      </c>
      <c r="L842" t="s">
        <v>14301</v>
      </c>
      <c r="M842" t="s">
        <v>20064</v>
      </c>
      <c r="N842" t="s">
        <v>14302</v>
      </c>
      <c r="O842" t="s">
        <v>3963</v>
      </c>
      <c r="P842" t="s">
        <v>20065</v>
      </c>
      <c r="R842" t="s">
        <v>20066</v>
      </c>
    </row>
    <row r="843" spans="4:18">
      <c r="D843" t="s">
        <v>754</v>
      </c>
      <c r="H843" t="s">
        <v>5351</v>
      </c>
      <c r="K843" t="s">
        <v>6956</v>
      </c>
      <c r="L843" t="s">
        <v>14303</v>
      </c>
      <c r="M843" t="s">
        <v>3963</v>
      </c>
      <c r="N843" t="s">
        <v>3963</v>
      </c>
      <c r="O843" t="s">
        <v>3963</v>
      </c>
      <c r="P843" t="s">
        <v>14303</v>
      </c>
      <c r="R843" t="s">
        <v>14304</v>
      </c>
    </row>
    <row r="844" spans="4:18">
      <c r="E844" t="s">
        <v>5352</v>
      </c>
      <c r="I844" t="s">
        <v>5353</v>
      </c>
      <c r="K844" t="s">
        <v>6956</v>
      </c>
      <c r="L844" t="s">
        <v>14303</v>
      </c>
      <c r="M844" t="s">
        <v>3963</v>
      </c>
      <c r="N844" t="s">
        <v>3963</v>
      </c>
      <c r="O844" t="s">
        <v>3963</v>
      </c>
      <c r="P844" t="s">
        <v>14303</v>
      </c>
      <c r="R844" t="s">
        <v>14304</v>
      </c>
    </row>
    <row r="845" spans="4:18">
      <c r="D845" t="s">
        <v>779</v>
      </c>
      <c r="H845" t="s">
        <v>5354</v>
      </c>
      <c r="K845" t="s">
        <v>4038</v>
      </c>
      <c r="L845" t="s">
        <v>14305</v>
      </c>
      <c r="M845" t="s">
        <v>3963</v>
      </c>
      <c r="N845" t="s">
        <v>3963</v>
      </c>
      <c r="O845" t="s">
        <v>3963</v>
      </c>
      <c r="P845" t="s">
        <v>14305</v>
      </c>
      <c r="R845" t="s">
        <v>14306</v>
      </c>
    </row>
    <row r="846" spans="4:18">
      <c r="E846" t="s">
        <v>5355</v>
      </c>
      <c r="I846" t="s">
        <v>5356</v>
      </c>
      <c r="K846" t="s">
        <v>14307</v>
      </c>
      <c r="L846" t="s">
        <v>14307</v>
      </c>
      <c r="M846" t="s">
        <v>3963</v>
      </c>
      <c r="N846" t="s">
        <v>3963</v>
      </c>
      <c r="O846" t="s">
        <v>3963</v>
      </c>
      <c r="P846" t="s">
        <v>14307</v>
      </c>
      <c r="R846" t="s">
        <v>3963</v>
      </c>
    </row>
    <row r="847" spans="4:18">
      <c r="E847" t="s">
        <v>5357</v>
      </c>
      <c r="I847" t="s">
        <v>5358</v>
      </c>
      <c r="K847" t="s">
        <v>14308</v>
      </c>
      <c r="L847" t="s">
        <v>14308</v>
      </c>
      <c r="M847" t="s">
        <v>3963</v>
      </c>
      <c r="N847" t="s">
        <v>3963</v>
      </c>
      <c r="O847" t="s">
        <v>3963</v>
      </c>
      <c r="P847" t="s">
        <v>14308</v>
      </c>
      <c r="R847" t="s">
        <v>3963</v>
      </c>
    </row>
    <row r="848" spans="4:18">
      <c r="E848" t="s">
        <v>5359</v>
      </c>
      <c r="I848" t="s">
        <v>5360</v>
      </c>
      <c r="K848" t="s">
        <v>14309</v>
      </c>
      <c r="L848" t="s">
        <v>14310</v>
      </c>
      <c r="M848" t="s">
        <v>3963</v>
      </c>
      <c r="N848" t="s">
        <v>3963</v>
      </c>
      <c r="O848" t="s">
        <v>3963</v>
      </c>
      <c r="P848" t="s">
        <v>14310</v>
      </c>
      <c r="R848" t="s">
        <v>14311</v>
      </c>
    </row>
    <row r="849" spans="4:18">
      <c r="E849" t="s">
        <v>5361</v>
      </c>
      <c r="I849" t="s">
        <v>5362</v>
      </c>
      <c r="K849" t="s">
        <v>14312</v>
      </c>
      <c r="L849" t="s">
        <v>14312</v>
      </c>
      <c r="M849" t="s">
        <v>3963</v>
      </c>
      <c r="N849" t="s">
        <v>3963</v>
      </c>
      <c r="O849" t="s">
        <v>3963</v>
      </c>
      <c r="P849" t="s">
        <v>14312</v>
      </c>
      <c r="R849" t="s">
        <v>3963</v>
      </c>
    </row>
    <row r="850" spans="4:18">
      <c r="E850" t="s">
        <v>5363</v>
      </c>
      <c r="I850" t="s">
        <v>5326</v>
      </c>
      <c r="K850" t="s">
        <v>14313</v>
      </c>
      <c r="L850" t="s">
        <v>14313</v>
      </c>
      <c r="M850" t="s">
        <v>3963</v>
      </c>
      <c r="N850" t="s">
        <v>3963</v>
      </c>
      <c r="O850" t="s">
        <v>3963</v>
      </c>
      <c r="P850" t="s">
        <v>14313</v>
      </c>
      <c r="R850" t="s">
        <v>3963</v>
      </c>
    </row>
    <row r="851" spans="4:18">
      <c r="E851" t="s">
        <v>5364</v>
      </c>
      <c r="I851" t="s">
        <v>5328</v>
      </c>
      <c r="K851" t="s">
        <v>14314</v>
      </c>
      <c r="L851" t="s">
        <v>14315</v>
      </c>
      <c r="M851" t="s">
        <v>3963</v>
      </c>
      <c r="N851" t="s">
        <v>3963</v>
      </c>
      <c r="O851" t="s">
        <v>3963</v>
      </c>
      <c r="P851" t="s">
        <v>14315</v>
      </c>
      <c r="R851" t="s">
        <v>14316</v>
      </c>
    </row>
    <row r="852" spans="4:18">
      <c r="D852" t="s">
        <v>805</v>
      </c>
      <c r="H852" t="s">
        <v>5365</v>
      </c>
      <c r="K852" t="s">
        <v>14317</v>
      </c>
      <c r="L852" t="s">
        <v>14318</v>
      </c>
      <c r="M852" t="s">
        <v>3963</v>
      </c>
      <c r="N852" t="s">
        <v>3963</v>
      </c>
      <c r="O852" t="s">
        <v>3963</v>
      </c>
      <c r="P852" t="s">
        <v>14318</v>
      </c>
      <c r="R852" t="s">
        <v>14319</v>
      </c>
    </row>
    <row r="853" spans="4:18">
      <c r="E853" t="s">
        <v>5366</v>
      </c>
      <c r="I853" t="s">
        <v>5140</v>
      </c>
      <c r="K853" t="s">
        <v>14320</v>
      </c>
      <c r="L853" t="s">
        <v>3963</v>
      </c>
      <c r="M853" t="s">
        <v>3963</v>
      </c>
      <c r="N853" t="s">
        <v>3963</v>
      </c>
      <c r="O853" t="s">
        <v>3963</v>
      </c>
      <c r="P853" t="s">
        <v>3963</v>
      </c>
      <c r="R853" t="s">
        <v>14320</v>
      </c>
    </row>
    <row r="854" spans="4:18">
      <c r="E854" t="s">
        <v>5367</v>
      </c>
      <c r="I854" t="s">
        <v>5368</v>
      </c>
      <c r="K854" t="s">
        <v>14321</v>
      </c>
      <c r="L854" t="s">
        <v>14318</v>
      </c>
      <c r="M854" t="s">
        <v>3963</v>
      </c>
      <c r="N854" t="s">
        <v>3963</v>
      </c>
      <c r="O854" t="s">
        <v>3963</v>
      </c>
      <c r="P854" t="s">
        <v>14318</v>
      </c>
      <c r="R854" t="s">
        <v>14322</v>
      </c>
    </row>
    <row r="855" spans="4:18">
      <c r="E855" t="s">
        <v>5369</v>
      </c>
      <c r="I855" t="s">
        <v>5370</v>
      </c>
      <c r="K855" t="s">
        <v>14323</v>
      </c>
      <c r="L855" t="s">
        <v>3963</v>
      </c>
      <c r="M855" t="s">
        <v>3963</v>
      </c>
      <c r="N855" t="s">
        <v>3963</v>
      </c>
      <c r="O855" t="s">
        <v>3963</v>
      </c>
      <c r="P855" t="s">
        <v>3963</v>
      </c>
      <c r="R855" t="s">
        <v>14323</v>
      </c>
    </row>
    <row r="856" spans="4:18">
      <c r="D856" t="s">
        <v>807</v>
      </c>
      <c r="H856" t="s">
        <v>5371</v>
      </c>
      <c r="K856" t="s">
        <v>14324</v>
      </c>
      <c r="L856" t="s">
        <v>17907</v>
      </c>
      <c r="M856" t="s">
        <v>14325</v>
      </c>
      <c r="N856" t="s">
        <v>14326</v>
      </c>
      <c r="O856" t="s">
        <v>3963</v>
      </c>
      <c r="P856" t="s">
        <v>17908</v>
      </c>
      <c r="R856" t="s">
        <v>17909</v>
      </c>
    </row>
    <row r="857" spans="4:18">
      <c r="E857" t="s">
        <v>5372</v>
      </c>
      <c r="I857" t="s">
        <v>5373</v>
      </c>
      <c r="K857" t="s">
        <v>14327</v>
      </c>
      <c r="L857" t="s">
        <v>14328</v>
      </c>
      <c r="M857" t="s">
        <v>3963</v>
      </c>
      <c r="N857" t="s">
        <v>14329</v>
      </c>
      <c r="O857" t="s">
        <v>3963</v>
      </c>
      <c r="P857" t="s">
        <v>14327</v>
      </c>
      <c r="R857" t="s">
        <v>3963</v>
      </c>
    </row>
    <row r="858" spans="4:18">
      <c r="E858" t="s">
        <v>5374</v>
      </c>
      <c r="I858" t="s">
        <v>5373</v>
      </c>
      <c r="K858" t="s">
        <v>14330</v>
      </c>
      <c r="L858" t="s">
        <v>14331</v>
      </c>
      <c r="M858" t="s">
        <v>3963</v>
      </c>
      <c r="N858" t="s">
        <v>14329</v>
      </c>
      <c r="O858" t="s">
        <v>3963</v>
      </c>
      <c r="P858" t="s">
        <v>14330</v>
      </c>
      <c r="R858" t="s">
        <v>3963</v>
      </c>
    </row>
    <row r="859" spans="4:18">
      <c r="E859" t="s">
        <v>5375</v>
      </c>
      <c r="I859" t="s">
        <v>5376</v>
      </c>
      <c r="K859" t="s">
        <v>5377</v>
      </c>
      <c r="L859" t="s">
        <v>14332</v>
      </c>
      <c r="M859" t="s">
        <v>3963</v>
      </c>
      <c r="N859" t="s">
        <v>3963</v>
      </c>
      <c r="O859" t="s">
        <v>3963</v>
      </c>
      <c r="P859" t="s">
        <v>14332</v>
      </c>
      <c r="R859" t="s">
        <v>14333</v>
      </c>
    </row>
    <row r="860" spans="4:18">
      <c r="E860" t="s">
        <v>5378</v>
      </c>
      <c r="I860" t="s">
        <v>5379</v>
      </c>
      <c r="K860" t="s">
        <v>14334</v>
      </c>
      <c r="L860" t="s">
        <v>14335</v>
      </c>
      <c r="M860" t="s">
        <v>14325</v>
      </c>
      <c r="N860" t="s">
        <v>3963</v>
      </c>
      <c r="O860" t="s">
        <v>3963</v>
      </c>
      <c r="P860" t="s">
        <v>14336</v>
      </c>
      <c r="R860" t="s">
        <v>14337</v>
      </c>
    </row>
    <row r="861" spans="4:18">
      <c r="E861" t="s">
        <v>5380</v>
      </c>
      <c r="I861" t="s">
        <v>5381</v>
      </c>
      <c r="K861" t="s">
        <v>14338</v>
      </c>
      <c r="L861" t="s">
        <v>14339</v>
      </c>
      <c r="M861" t="s">
        <v>3963</v>
      </c>
      <c r="N861" t="s">
        <v>3963</v>
      </c>
      <c r="O861" t="s">
        <v>3963</v>
      </c>
      <c r="P861" t="s">
        <v>14339</v>
      </c>
      <c r="R861" t="s">
        <v>14340</v>
      </c>
    </row>
    <row r="862" spans="4:18">
      <c r="E862" t="s">
        <v>5382</v>
      </c>
      <c r="I862" t="s">
        <v>5173</v>
      </c>
      <c r="K862" t="s">
        <v>4150</v>
      </c>
      <c r="L862" t="s">
        <v>17910</v>
      </c>
      <c r="M862" t="s">
        <v>3963</v>
      </c>
      <c r="N862" t="s">
        <v>3963</v>
      </c>
      <c r="O862" t="s">
        <v>3963</v>
      </c>
      <c r="P862" t="s">
        <v>17910</v>
      </c>
      <c r="R862" t="s">
        <v>17911</v>
      </c>
    </row>
    <row r="863" spans="4:18">
      <c r="E863" t="s">
        <v>5383</v>
      </c>
      <c r="I863" t="s">
        <v>5384</v>
      </c>
      <c r="K863" t="s">
        <v>14341</v>
      </c>
      <c r="L863" t="s">
        <v>3963</v>
      </c>
      <c r="M863" t="s">
        <v>3963</v>
      </c>
      <c r="N863" t="s">
        <v>3963</v>
      </c>
      <c r="O863" t="s">
        <v>3963</v>
      </c>
      <c r="P863" t="s">
        <v>3963</v>
      </c>
      <c r="R863" t="s">
        <v>14341</v>
      </c>
    </row>
    <row r="864" spans="4:18">
      <c r="D864" t="s">
        <v>837</v>
      </c>
      <c r="H864" t="s">
        <v>5385</v>
      </c>
      <c r="K864" t="s">
        <v>14342</v>
      </c>
      <c r="L864" t="s">
        <v>14343</v>
      </c>
      <c r="M864" t="s">
        <v>3963</v>
      </c>
      <c r="N864" t="s">
        <v>3963</v>
      </c>
      <c r="O864" t="s">
        <v>3963</v>
      </c>
      <c r="P864" t="s">
        <v>14343</v>
      </c>
      <c r="R864" t="s">
        <v>14344</v>
      </c>
    </row>
    <row r="865" spans="4:18">
      <c r="E865" t="s">
        <v>5386</v>
      </c>
      <c r="I865" t="s">
        <v>5387</v>
      </c>
      <c r="K865" t="s">
        <v>14345</v>
      </c>
      <c r="L865" t="s">
        <v>14346</v>
      </c>
      <c r="M865" t="s">
        <v>3963</v>
      </c>
      <c r="N865" t="s">
        <v>3963</v>
      </c>
      <c r="O865" t="s">
        <v>3963</v>
      </c>
      <c r="P865" t="s">
        <v>14346</v>
      </c>
      <c r="R865" t="s">
        <v>14347</v>
      </c>
    </row>
    <row r="866" spans="4:18">
      <c r="E866" t="s">
        <v>5388</v>
      </c>
      <c r="I866" t="s">
        <v>5389</v>
      </c>
      <c r="K866" t="s">
        <v>14348</v>
      </c>
      <c r="L866" t="s">
        <v>14349</v>
      </c>
      <c r="M866" t="s">
        <v>3963</v>
      </c>
      <c r="N866" t="s">
        <v>3963</v>
      </c>
      <c r="O866" t="s">
        <v>3963</v>
      </c>
      <c r="P866" t="s">
        <v>14349</v>
      </c>
      <c r="R866" t="s">
        <v>14350</v>
      </c>
    </row>
    <row r="867" spans="4:18">
      <c r="E867" t="s">
        <v>5390</v>
      </c>
      <c r="I867" t="s">
        <v>5391</v>
      </c>
      <c r="K867" t="s">
        <v>14351</v>
      </c>
      <c r="L867" t="s">
        <v>14352</v>
      </c>
      <c r="M867" t="s">
        <v>3963</v>
      </c>
      <c r="N867" t="s">
        <v>3963</v>
      </c>
      <c r="O867" t="s">
        <v>3963</v>
      </c>
      <c r="P867" t="s">
        <v>14352</v>
      </c>
      <c r="R867" t="s">
        <v>14353</v>
      </c>
    </row>
    <row r="868" spans="4:18">
      <c r="E868" t="s">
        <v>5392</v>
      </c>
      <c r="I868" t="s">
        <v>5393</v>
      </c>
      <c r="K868" t="s">
        <v>14354</v>
      </c>
      <c r="L868" t="s">
        <v>14355</v>
      </c>
      <c r="M868" t="s">
        <v>3963</v>
      </c>
      <c r="N868" t="s">
        <v>3963</v>
      </c>
      <c r="O868" t="s">
        <v>3963</v>
      </c>
      <c r="P868" t="s">
        <v>14355</v>
      </c>
      <c r="R868" t="s">
        <v>14356</v>
      </c>
    </row>
    <row r="869" spans="4:18">
      <c r="D869" t="s">
        <v>841</v>
      </c>
      <c r="H869" t="s">
        <v>5394</v>
      </c>
      <c r="K869" t="s">
        <v>14357</v>
      </c>
      <c r="L869" t="s">
        <v>14358</v>
      </c>
      <c r="M869" t="s">
        <v>3963</v>
      </c>
      <c r="N869" t="s">
        <v>3963</v>
      </c>
      <c r="O869" t="s">
        <v>3963</v>
      </c>
      <c r="P869" t="s">
        <v>14358</v>
      </c>
      <c r="R869" t="s">
        <v>14359</v>
      </c>
    </row>
    <row r="870" spans="4:18">
      <c r="E870" t="s">
        <v>5395</v>
      </c>
      <c r="I870" t="s">
        <v>5396</v>
      </c>
      <c r="K870" t="s">
        <v>14360</v>
      </c>
      <c r="L870" t="s">
        <v>14361</v>
      </c>
      <c r="M870" t="s">
        <v>3963</v>
      </c>
      <c r="N870" t="s">
        <v>3963</v>
      </c>
      <c r="O870" t="s">
        <v>3963</v>
      </c>
      <c r="P870" t="s">
        <v>14361</v>
      </c>
      <c r="R870" t="s">
        <v>14362</v>
      </c>
    </row>
    <row r="871" spans="4:18">
      <c r="E871" t="s">
        <v>5397</v>
      </c>
      <c r="I871" t="s">
        <v>5398</v>
      </c>
      <c r="K871" t="s">
        <v>14363</v>
      </c>
      <c r="L871" t="s">
        <v>14364</v>
      </c>
      <c r="M871" t="s">
        <v>3963</v>
      </c>
      <c r="N871" t="s">
        <v>3963</v>
      </c>
      <c r="O871" t="s">
        <v>3963</v>
      </c>
      <c r="P871" t="s">
        <v>14364</v>
      </c>
      <c r="R871" t="s">
        <v>14365</v>
      </c>
    </row>
    <row r="872" spans="4:18">
      <c r="E872" t="s">
        <v>5399</v>
      </c>
      <c r="I872" t="s">
        <v>5400</v>
      </c>
      <c r="K872" t="s">
        <v>14366</v>
      </c>
      <c r="L872" t="s">
        <v>14367</v>
      </c>
      <c r="M872" t="s">
        <v>3963</v>
      </c>
      <c r="N872" t="s">
        <v>3963</v>
      </c>
      <c r="O872" t="s">
        <v>3963</v>
      </c>
      <c r="P872" t="s">
        <v>14367</v>
      </c>
      <c r="R872" t="s">
        <v>14368</v>
      </c>
    </row>
    <row r="873" spans="4:18">
      <c r="D873" t="s">
        <v>843</v>
      </c>
      <c r="H873" t="s">
        <v>5401</v>
      </c>
      <c r="K873" t="s">
        <v>14369</v>
      </c>
      <c r="L873" t="s">
        <v>14370</v>
      </c>
      <c r="M873" t="s">
        <v>3963</v>
      </c>
      <c r="N873" t="s">
        <v>3963</v>
      </c>
      <c r="O873" t="s">
        <v>3963</v>
      </c>
      <c r="P873" t="s">
        <v>14370</v>
      </c>
      <c r="R873" t="s">
        <v>14371</v>
      </c>
    </row>
    <row r="874" spans="4:18">
      <c r="E874" t="s">
        <v>5402</v>
      </c>
      <c r="I874" t="s">
        <v>5403</v>
      </c>
      <c r="K874" t="s">
        <v>14372</v>
      </c>
      <c r="L874" t="s">
        <v>14373</v>
      </c>
      <c r="M874" t="s">
        <v>3963</v>
      </c>
      <c r="N874" t="s">
        <v>3963</v>
      </c>
      <c r="O874" t="s">
        <v>3963</v>
      </c>
      <c r="P874" t="s">
        <v>14373</v>
      </c>
      <c r="R874" t="s">
        <v>14374</v>
      </c>
    </row>
    <row r="875" spans="4:18">
      <c r="E875" t="s">
        <v>5404</v>
      </c>
      <c r="I875" t="s">
        <v>5405</v>
      </c>
      <c r="K875" t="s">
        <v>14375</v>
      </c>
      <c r="L875" t="s">
        <v>14376</v>
      </c>
      <c r="M875" t="s">
        <v>3963</v>
      </c>
      <c r="N875" t="s">
        <v>3963</v>
      </c>
      <c r="O875" t="s">
        <v>3963</v>
      </c>
      <c r="P875" t="s">
        <v>14376</v>
      </c>
      <c r="R875" t="s">
        <v>14377</v>
      </c>
    </row>
    <row r="876" spans="4:18">
      <c r="E876" t="s">
        <v>5406</v>
      </c>
      <c r="I876" t="s">
        <v>5407</v>
      </c>
      <c r="K876" t="s">
        <v>14378</v>
      </c>
      <c r="L876" t="s">
        <v>14379</v>
      </c>
      <c r="M876" t="s">
        <v>3963</v>
      </c>
      <c r="N876" t="s">
        <v>3963</v>
      </c>
      <c r="O876" t="s">
        <v>3963</v>
      </c>
      <c r="P876" t="s">
        <v>14379</v>
      </c>
      <c r="R876" t="s">
        <v>14380</v>
      </c>
    </row>
    <row r="877" spans="4:18">
      <c r="E877" t="s">
        <v>5408</v>
      </c>
      <c r="I877" t="s">
        <v>5409</v>
      </c>
      <c r="K877" t="s">
        <v>14381</v>
      </c>
      <c r="L877" t="s">
        <v>14382</v>
      </c>
      <c r="M877" t="s">
        <v>3963</v>
      </c>
      <c r="N877" t="s">
        <v>3963</v>
      </c>
      <c r="O877" t="s">
        <v>3963</v>
      </c>
      <c r="P877" t="s">
        <v>14382</v>
      </c>
      <c r="R877" t="s">
        <v>14383</v>
      </c>
    </row>
    <row r="878" spans="4:18">
      <c r="D878" t="s">
        <v>844</v>
      </c>
      <c r="H878" t="s">
        <v>5410</v>
      </c>
      <c r="K878" t="s">
        <v>14384</v>
      </c>
      <c r="L878" t="s">
        <v>20067</v>
      </c>
      <c r="M878" t="s">
        <v>20068</v>
      </c>
      <c r="N878" t="s">
        <v>18704</v>
      </c>
      <c r="O878" t="s">
        <v>3963</v>
      </c>
      <c r="P878" t="s">
        <v>20069</v>
      </c>
      <c r="R878" t="s">
        <v>20070</v>
      </c>
    </row>
    <row r="879" spans="4:18">
      <c r="E879" t="s">
        <v>5411</v>
      </c>
      <c r="I879" t="s">
        <v>5412</v>
      </c>
      <c r="K879" t="s">
        <v>14385</v>
      </c>
      <c r="L879" t="s">
        <v>17912</v>
      </c>
      <c r="M879" t="s">
        <v>3963</v>
      </c>
      <c r="N879" t="s">
        <v>3963</v>
      </c>
      <c r="O879" t="s">
        <v>3963</v>
      </c>
      <c r="P879" t="s">
        <v>17912</v>
      </c>
      <c r="R879" t="s">
        <v>17913</v>
      </c>
    </row>
    <row r="880" spans="4:18">
      <c r="E880" t="s">
        <v>5413</v>
      </c>
      <c r="I880" t="s">
        <v>5414</v>
      </c>
      <c r="K880" t="s">
        <v>3963</v>
      </c>
      <c r="L880" t="s">
        <v>3963</v>
      </c>
      <c r="M880" t="s">
        <v>3963</v>
      </c>
      <c r="N880" t="s">
        <v>3963</v>
      </c>
      <c r="O880" t="s">
        <v>3963</v>
      </c>
      <c r="P880" t="s">
        <v>3963</v>
      </c>
      <c r="R880" t="s">
        <v>3963</v>
      </c>
    </row>
    <row r="881" spans="4:18">
      <c r="E881" t="s">
        <v>5415</v>
      </c>
      <c r="I881" t="s">
        <v>5416</v>
      </c>
      <c r="K881" t="s">
        <v>4699</v>
      </c>
      <c r="L881" t="s">
        <v>14386</v>
      </c>
      <c r="M881" t="s">
        <v>3963</v>
      </c>
      <c r="N881" t="s">
        <v>3963</v>
      </c>
      <c r="O881" t="s">
        <v>3963</v>
      </c>
      <c r="P881" t="s">
        <v>14386</v>
      </c>
      <c r="R881" t="s">
        <v>14387</v>
      </c>
    </row>
    <row r="882" spans="4:18">
      <c r="E882" t="s">
        <v>5417</v>
      </c>
      <c r="I882" t="s">
        <v>5418</v>
      </c>
      <c r="K882" t="s">
        <v>14388</v>
      </c>
      <c r="L882" t="s">
        <v>17914</v>
      </c>
      <c r="M882" t="s">
        <v>3963</v>
      </c>
      <c r="N882" t="s">
        <v>3963</v>
      </c>
      <c r="O882" t="s">
        <v>3963</v>
      </c>
      <c r="P882" t="s">
        <v>17914</v>
      </c>
      <c r="R882" t="s">
        <v>17915</v>
      </c>
    </row>
    <row r="883" spans="4:18">
      <c r="E883" t="s">
        <v>5419</v>
      </c>
      <c r="I883" t="s">
        <v>5420</v>
      </c>
      <c r="K883" t="s">
        <v>4162</v>
      </c>
      <c r="L883" t="s">
        <v>14389</v>
      </c>
      <c r="M883" t="s">
        <v>3963</v>
      </c>
      <c r="N883" t="s">
        <v>3963</v>
      </c>
      <c r="O883" t="s">
        <v>3963</v>
      </c>
      <c r="P883" t="s">
        <v>14389</v>
      </c>
      <c r="R883" t="s">
        <v>14390</v>
      </c>
    </row>
    <row r="884" spans="4:18">
      <c r="E884" t="s">
        <v>5421</v>
      </c>
      <c r="I884" t="s">
        <v>5422</v>
      </c>
      <c r="K884" t="s">
        <v>14391</v>
      </c>
      <c r="L884" t="s">
        <v>14392</v>
      </c>
      <c r="M884" t="s">
        <v>3963</v>
      </c>
      <c r="N884" t="s">
        <v>3963</v>
      </c>
      <c r="O884" t="s">
        <v>3963</v>
      </c>
      <c r="P884" t="s">
        <v>14392</v>
      </c>
      <c r="R884" t="s">
        <v>17328</v>
      </c>
    </row>
    <row r="885" spans="4:18">
      <c r="E885" t="s">
        <v>5423</v>
      </c>
      <c r="I885" t="s">
        <v>5424</v>
      </c>
      <c r="K885" t="s">
        <v>12798</v>
      </c>
      <c r="L885" t="s">
        <v>3963</v>
      </c>
      <c r="M885" t="s">
        <v>3963</v>
      </c>
      <c r="N885" t="s">
        <v>3963</v>
      </c>
      <c r="O885" t="s">
        <v>3963</v>
      </c>
      <c r="P885" t="s">
        <v>3963</v>
      </c>
      <c r="R885" t="s">
        <v>12798</v>
      </c>
    </row>
    <row r="886" spans="4:18">
      <c r="E886" t="s">
        <v>5425</v>
      </c>
      <c r="I886" t="s">
        <v>5426</v>
      </c>
      <c r="K886" t="s">
        <v>3983</v>
      </c>
      <c r="L886" t="s">
        <v>14393</v>
      </c>
      <c r="M886" t="s">
        <v>3963</v>
      </c>
      <c r="N886" t="s">
        <v>3963</v>
      </c>
      <c r="O886" t="s">
        <v>3963</v>
      </c>
      <c r="P886" t="s">
        <v>14393</v>
      </c>
      <c r="R886" t="s">
        <v>11191</v>
      </c>
    </row>
    <row r="887" spans="4:18">
      <c r="E887" t="s">
        <v>5427</v>
      </c>
      <c r="I887" t="s">
        <v>5428</v>
      </c>
      <c r="K887" t="s">
        <v>13143</v>
      </c>
      <c r="L887" t="s">
        <v>3963</v>
      </c>
      <c r="M887" t="s">
        <v>3963</v>
      </c>
      <c r="N887" t="s">
        <v>3963</v>
      </c>
      <c r="O887" t="s">
        <v>3963</v>
      </c>
      <c r="P887" t="s">
        <v>3963</v>
      </c>
      <c r="R887" t="s">
        <v>13143</v>
      </c>
    </row>
    <row r="888" spans="4:18">
      <c r="E888" t="s">
        <v>5429</v>
      </c>
      <c r="I888" t="s">
        <v>5430</v>
      </c>
      <c r="K888" t="s">
        <v>14394</v>
      </c>
      <c r="L888" t="s">
        <v>20071</v>
      </c>
      <c r="M888" t="s">
        <v>20068</v>
      </c>
      <c r="N888" t="s">
        <v>18704</v>
      </c>
      <c r="O888" t="s">
        <v>3963</v>
      </c>
      <c r="P888" t="s">
        <v>20072</v>
      </c>
      <c r="R888" t="s">
        <v>20073</v>
      </c>
    </row>
    <row r="889" spans="4:18">
      <c r="E889" t="s">
        <v>5431</v>
      </c>
      <c r="I889" t="s">
        <v>5432</v>
      </c>
      <c r="K889" t="s">
        <v>4201</v>
      </c>
      <c r="L889" t="s">
        <v>3963</v>
      </c>
      <c r="M889" t="s">
        <v>3963</v>
      </c>
      <c r="N889" t="s">
        <v>3963</v>
      </c>
      <c r="O889" t="s">
        <v>3963</v>
      </c>
      <c r="P889" t="s">
        <v>3963</v>
      </c>
      <c r="R889" t="s">
        <v>4201</v>
      </c>
    </row>
    <row r="890" spans="4:18">
      <c r="E890" t="s">
        <v>5433</v>
      </c>
      <c r="I890" t="s">
        <v>5434</v>
      </c>
      <c r="K890" t="s">
        <v>4182</v>
      </c>
      <c r="L890" t="s">
        <v>14395</v>
      </c>
      <c r="M890" t="s">
        <v>3963</v>
      </c>
      <c r="N890" t="s">
        <v>3963</v>
      </c>
      <c r="O890" t="s">
        <v>3963</v>
      </c>
      <c r="P890" t="s">
        <v>14395</v>
      </c>
      <c r="R890" t="s">
        <v>16976</v>
      </c>
    </row>
    <row r="891" spans="4:18">
      <c r="D891" t="s">
        <v>848</v>
      </c>
      <c r="H891" t="s">
        <v>5435</v>
      </c>
      <c r="K891" t="s">
        <v>14396</v>
      </c>
      <c r="L891" t="s">
        <v>14397</v>
      </c>
      <c r="M891" t="s">
        <v>3963</v>
      </c>
      <c r="N891" t="s">
        <v>3963</v>
      </c>
      <c r="O891" t="s">
        <v>3963</v>
      </c>
      <c r="P891" t="s">
        <v>14397</v>
      </c>
      <c r="R891" t="s">
        <v>14398</v>
      </c>
    </row>
    <row r="892" spans="4:18">
      <c r="E892" t="s">
        <v>5436</v>
      </c>
      <c r="I892" t="s">
        <v>5437</v>
      </c>
      <c r="K892" t="s">
        <v>14399</v>
      </c>
      <c r="L892" t="s">
        <v>14400</v>
      </c>
      <c r="M892" t="s">
        <v>3963</v>
      </c>
      <c r="N892" t="s">
        <v>3963</v>
      </c>
      <c r="O892" t="s">
        <v>3963</v>
      </c>
      <c r="P892" t="s">
        <v>14400</v>
      </c>
      <c r="R892" t="s">
        <v>14401</v>
      </c>
    </row>
    <row r="893" spans="4:18">
      <c r="E893" t="s">
        <v>5438</v>
      </c>
      <c r="I893" t="s">
        <v>5439</v>
      </c>
      <c r="K893" t="s">
        <v>14402</v>
      </c>
      <c r="L893" t="s">
        <v>14403</v>
      </c>
      <c r="M893" t="s">
        <v>3963</v>
      </c>
      <c r="N893" t="s">
        <v>3963</v>
      </c>
      <c r="O893" t="s">
        <v>3963</v>
      </c>
      <c r="P893" t="s">
        <v>14403</v>
      </c>
      <c r="R893" t="s">
        <v>14404</v>
      </c>
    </row>
    <row r="894" spans="4:18">
      <c r="E894" t="s">
        <v>5440</v>
      </c>
      <c r="I894" t="s">
        <v>5441</v>
      </c>
      <c r="K894" t="s">
        <v>14405</v>
      </c>
      <c r="L894" t="s">
        <v>14406</v>
      </c>
      <c r="M894" t="s">
        <v>3963</v>
      </c>
      <c r="N894" t="s">
        <v>3963</v>
      </c>
      <c r="O894" t="s">
        <v>3963</v>
      </c>
      <c r="P894" t="s">
        <v>14406</v>
      </c>
      <c r="R894" t="s">
        <v>14407</v>
      </c>
    </row>
    <row r="895" spans="4:18">
      <c r="D895" t="s">
        <v>857</v>
      </c>
      <c r="H895" t="s">
        <v>5442</v>
      </c>
      <c r="K895" t="s">
        <v>14408</v>
      </c>
      <c r="L895" t="s">
        <v>14409</v>
      </c>
      <c r="M895" t="s">
        <v>18705</v>
      </c>
      <c r="N895" t="s">
        <v>3963</v>
      </c>
      <c r="O895" t="s">
        <v>3963</v>
      </c>
      <c r="P895" t="s">
        <v>18706</v>
      </c>
      <c r="R895" t="s">
        <v>18707</v>
      </c>
    </row>
    <row r="896" spans="4:18">
      <c r="E896" t="s">
        <v>5443</v>
      </c>
      <c r="I896" t="s">
        <v>4679</v>
      </c>
      <c r="K896" t="s">
        <v>14410</v>
      </c>
      <c r="L896" t="s">
        <v>14411</v>
      </c>
      <c r="M896" t="s">
        <v>3963</v>
      </c>
      <c r="N896" t="s">
        <v>3963</v>
      </c>
      <c r="O896" t="s">
        <v>3963</v>
      </c>
      <c r="P896" t="s">
        <v>14411</v>
      </c>
      <c r="R896" t="s">
        <v>14412</v>
      </c>
    </row>
    <row r="897" spans="4:18">
      <c r="E897" t="s">
        <v>5444</v>
      </c>
      <c r="I897" t="s">
        <v>5445</v>
      </c>
      <c r="K897" t="s">
        <v>14413</v>
      </c>
      <c r="L897" t="s">
        <v>14414</v>
      </c>
      <c r="M897" t="s">
        <v>14415</v>
      </c>
      <c r="N897" t="s">
        <v>3963</v>
      </c>
      <c r="O897" t="s">
        <v>3963</v>
      </c>
      <c r="P897" t="s">
        <v>14416</v>
      </c>
      <c r="R897" t="s">
        <v>14417</v>
      </c>
    </row>
    <row r="898" spans="4:18">
      <c r="E898" t="s">
        <v>5446</v>
      </c>
      <c r="I898" t="s">
        <v>5447</v>
      </c>
      <c r="K898" t="s">
        <v>14418</v>
      </c>
      <c r="L898" t="s">
        <v>14419</v>
      </c>
      <c r="M898" t="s">
        <v>14420</v>
      </c>
      <c r="N898" t="s">
        <v>3963</v>
      </c>
      <c r="O898" t="s">
        <v>3963</v>
      </c>
      <c r="P898" t="s">
        <v>14421</v>
      </c>
      <c r="R898" t="s">
        <v>14422</v>
      </c>
    </row>
    <row r="899" spans="4:18">
      <c r="E899" t="s">
        <v>5448</v>
      </c>
      <c r="I899" t="s">
        <v>5449</v>
      </c>
      <c r="K899" t="s">
        <v>14423</v>
      </c>
      <c r="L899" t="s">
        <v>14424</v>
      </c>
      <c r="M899" t="s">
        <v>3963</v>
      </c>
      <c r="N899" t="s">
        <v>3963</v>
      </c>
      <c r="O899" t="s">
        <v>3963</v>
      </c>
      <c r="P899" t="s">
        <v>14424</v>
      </c>
      <c r="R899" t="s">
        <v>18708</v>
      </c>
    </row>
    <row r="900" spans="4:18">
      <c r="E900" t="s">
        <v>5450</v>
      </c>
      <c r="I900" t="s">
        <v>5451</v>
      </c>
      <c r="K900" t="s">
        <v>4165</v>
      </c>
      <c r="L900" t="s">
        <v>14425</v>
      </c>
      <c r="M900" t="s">
        <v>3963</v>
      </c>
      <c r="N900" t="s">
        <v>3963</v>
      </c>
      <c r="O900" t="s">
        <v>3963</v>
      </c>
      <c r="P900" t="s">
        <v>14425</v>
      </c>
      <c r="R900" t="s">
        <v>14426</v>
      </c>
    </row>
    <row r="901" spans="4:18">
      <c r="E901" t="s">
        <v>5452</v>
      </c>
      <c r="I901" t="s">
        <v>5453</v>
      </c>
      <c r="K901" t="s">
        <v>14427</v>
      </c>
      <c r="L901" t="s">
        <v>3963</v>
      </c>
      <c r="M901" t="s">
        <v>3963</v>
      </c>
      <c r="N901" t="s">
        <v>3963</v>
      </c>
      <c r="O901" t="s">
        <v>3963</v>
      </c>
      <c r="P901" t="s">
        <v>3963</v>
      </c>
      <c r="R901" t="s">
        <v>14427</v>
      </c>
    </row>
    <row r="902" spans="4:18">
      <c r="D902" t="s">
        <v>859</v>
      </c>
      <c r="H902" t="s">
        <v>5454</v>
      </c>
      <c r="K902" t="s">
        <v>14428</v>
      </c>
      <c r="L902" t="s">
        <v>14429</v>
      </c>
      <c r="M902" t="s">
        <v>3963</v>
      </c>
      <c r="N902" t="s">
        <v>3963</v>
      </c>
      <c r="O902" t="s">
        <v>3963</v>
      </c>
      <c r="P902" t="s">
        <v>14429</v>
      </c>
      <c r="R902" t="s">
        <v>14430</v>
      </c>
    </row>
    <row r="903" spans="4:18">
      <c r="E903" t="s">
        <v>5455</v>
      </c>
      <c r="I903" t="s">
        <v>5437</v>
      </c>
      <c r="K903" t="s">
        <v>14431</v>
      </c>
      <c r="L903" t="s">
        <v>14432</v>
      </c>
      <c r="M903" t="s">
        <v>3963</v>
      </c>
      <c r="N903" t="s">
        <v>3963</v>
      </c>
      <c r="O903" t="s">
        <v>3963</v>
      </c>
      <c r="P903" t="s">
        <v>14432</v>
      </c>
      <c r="R903" t="s">
        <v>14433</v>
      </c>
    </row>
    <row r="904" spans="4:18">
      <c r="E904" t="s">
        <v>5456</v>
      </c>
      <c r="I904" t="s">
        <v>5439</v>
      </c>
      <c r="K904" t="s">
        <v>13161</v>
      </c>
      <c r="L904" t="s">
        <v>14434</v>
      </c>
      <c r="M904" t="s">
        <v>3963</v>
      </c>
      <c r="N904" t="s">
        <v>3963</v>
      </c>
      <c r="O904" t="s">
        <v>3963</v>
      </c>
      <c r="P904" t="s">
        <v>14434</v>
      </c>
      <c r="R904" t="s">
        <v>14435</v>
      </c>
    </row>
    <row r="905" spans="4:18">
      <c r="E905" t="s">
        <v>5457</v>
      </c>
      <c r="I905" t="s">
        <v>5441</v>
      </c>
      <c r="K905" t="s">
        <v>14436</v>
      </c>
      <c r="L905" t="s">
        <v>3963</v>
      </c>
      <c r="M905" t="s">
        <v>3963</v>
      </c>
      <c r="N905" t="s">
        <v>3963</v>
      </c>
      <c r="O905" t="s">
        <v>3963</v>
      </c>
      <c r="P905" t="s">
        <v>3963</v>
      </c>
      <c r="R905" t="s">
        <v>14436</v>
      </c>
    </row>
    <row r="906" spans="4:18">
      <c r="D906" t="s">
        <v>942</v>
      </c>
      <c r="H906" t="s">
        <v>5458</v>
      </c>
      <c r="K906" t="s">
        <v>4132</v>
      </c>
      <c r="L906" t="s">
        <v>14437</v>
      </c>
      <c r="M906" t="s">
        <v>3963</v>
      </c>
      <c r="N906" t="s">
        <v>3963</v>
      </c>
      <c r="O906" t="s">
        <v>3963</v>
      </c>
      <c r="P906" t="s">
        <v>14437</v>
      </c>
      <c r="R906" t="s">
        <v>14438</v>
      </c>
    </row>
    <row r="907" spans="4:18">
      <c r="E907" t="s">
        <v>5459</v>
      </c>
      <c r="I907" t="s">
        <v>5437</v>
      </c>
      <c r="K907" t="s">
        <v>14439</v>
      </c>
      <c r="L907" t="s">
        <v>14440</v>
      </c>
      <c r="M907" t="s">
        <v>3963</v>
      </c>
      <c r="N907" t="s">
        <v>3963</v>
      </c>
      <c r="O907" t="s">
        <v>3963</v>
      </c>
      <c r="P907" t="s">
        <v>14440</v>
      </c>
      <c r="R907" t="s">
        <v>5460</v>
      </c>
    </row>
    <row r="908" spans="4:18">
      <c r="E908" t="s">
        <v>5461</v>
      </c>
      <c r="I908" t="s">
        <v>5439</v>
      </c>
      <c r="K908" t="s">
        <v>14441</v>
      </c>
      <c r="L908" t="s">
        <v>3963</v>
      </c>
      <c r="M908" t="s">
        <v>3963</v>
      </c>
      <c r="N908" t="s">
        <v>3963</v>
      </c>
      <c r="O908" t="s">
        <v>3963</v>
      </c>
      <c r="P908" t="s">
        <v>3963</v>
      </c>
      <c r="R908" t="s">
        <v>14441</v>
      </c>
    </row>
    <row r="909" spans="4:18">
      <c r="E909" t="s">
        <v>5462</v>
      </c>
      <c r="I909" t="s">
        <v>5441</v>
      </c>
      <c r="K909" t="s">
        <v>14442</v>
      </c>
      <c r="L909" t="s">
        <v>14443</v>
      </c>
      <c r="M909" t="s">
        <v>3963</v>
      </c>
      <c r="N909" t="s">
        <v>3963</v>
      </c>
      <c r="O909" t="s">
        <v>3963</v>
      </c>
      <c r="P909" t="s">
        <v>14443</v>
      </c>
      <c r="R909" t="s">
        <v>14444</v>
      </c>
    </row>
    <row r="910" spans="4:18">
      <c r="D910" t="s">
        <v>944</v>
      </c>
      <c r="H910" t="s">
        <v>5463</v>
      </c>
      <c r="K910" t="s">
        <v>14445</v>
      </c>
      <c r="L910" t="s">
        <v>14446</v>
      </c>
      <c r="M910" t="s">
        <v>3963</v>
      </c>
      <c r="N910" t="s">
        <v>3963</v>
      </c>
      <c r="O910" t="s">
        <v>3963</v>
      </c>
      <c r="P910" t="s">
        <v>14446</v>
      </c>
      <c r="R910" t="s">
        <v>14447</v>
      </c>
    </row>
    <row r="911" spans="4:18">
      <c r="E911" t="s">
        <v>5464</v>
      </c>
      <c r="I911" t="s">
        <v>5437</v>
      </c>
      <c r="K911" t="s">
        <v>3963</v>
      </c>
      <c r="L911" t="s">
        <v>3963</v>
      </c>
      <c r="M911" t="s">
        <v>3963</v>
      </c>
      <c r="N911" t="s">
        <v>3963</v>
      </c>
      <c r="O911" t="s">
        <v>3963</v>
      </c>
      <c r="P911" t="s">
        <v>3963</v>
      </c>
      <c r="R911" t="s">
        <v>3963</v>
      </c>
    </row>
    <row r="912" spans="4:18">
      <c r="E912" t="s">
        <v>5465</v>
      </c>
      <c r="I912" t="s">
        <v>5439</v>
      </c>
      <c r="K912" t="s">
        <v>3963</v>
      </c>
      <c r="L912" t="s">
        <v>3963</v>
      </c>
      <c r="M912" t="s">
        <v>3963</v>
      </c>
      <c r="N912" t="s">
        <v>3963</v>
      </c>
      <c r="O912" t="s">
        <v>3963</v>
      </c>
      <c r="P912" t="s">
        <v>3963</v>
      </c>
      <c r="R912" t="s">
        <v>3963</v>
      </c>
    </row>
    <row r="913" spans="4:18">
      <c r="E913" t="s">
        <v>5466</v>
      </c>
      <c r="I913" t="s">
        <v>5441</v>
      </c>
      <c r="K913" t="s">
        <v>14445</v>
      </c>
      <c r="L913" t="s">
        <v>14446</v>
      </c>
      <c r="M913" t="s">
        <v>3963</v>
      </c>
      <c r="N913" t="s">
        <v>3963</v>
      </c>
      <c r="O913" t="s">
        <v>3963</v>
      </c>
      <c r="P913" t="s">
        <v>14446</v>
      </c>
      <c r="R913" t="s">
        <v>14447</v>
      </c>
    </row>
    <row r="914" spans="4:18">
      <c r="D914" t="s">
        <v>945</v>
      </c>
      <c r="H914" t="s">
        <v>5467</v>
      </c>
      <c r="K914" t="s">
        <v>14448</v>
      </c>
      <c r="L914" t="s">
        <v>14449</v>
      </c>
      <c r="M914" t="s">
        <v>3963</v>
      </c>
      <c r="N914" t="s">
        <v>3963</v>
      </c>
      <c r="O914" t="s">
        <v>3963</v>
      </c>
      <c r="P914" t="s">
        <v>14449</v>
      </c>
      <c r="R914" t="s">
        <v>14450</v>
      </c>
    </row>
    <row r="915" spans="4:18">
      <c r="E915" t="s">
        <v>5468</v>
      </c>
      <c r="I915" t="s">
        <v>4676</v>
      </c>
      <c r="K915" t="s">
        <v>14451</v>
      </c>
      <c r="L915" t="s">
        <v>14452</v>
      </c>
      <c r="M915" t="s">
        <v>3963</v>
      </c>
      <c r="N915" t="s">
        <v>3963</v>
      </c>
      <c r="O915" t="s">
        <v>3963</v>
      </c>
      <c r="P915" t="s">
        <v>14452</v>
      </c>
      <c r="R915" t="s">
        <v>14453</v>
      </c>
    </row>
    <row r="916" spans="4:18">
      <c r="E916" t="s">
        <v>5469</v>
      </c>
      <c r="I916" t="s">
        <v>5470</v>
      </c>
      <c r="K916" t="s">
        <v>14454</v>
      </c>
      <c r="L916" t="s">
        <v>14455</v>
      </c>
      <c r="M916" t="s">
        <v>3963</v>
      </c>
      <c r="N916" t="s">
        <v>3963</v>
      </c>
      <c r="O916" t="s">
        <v>3963</v>
      </c>
      <c r="P916" t="s">
        <v>14455</v>
      </c>
      <c r="R916" t="s">
        <v>14456</v>
      </c>
    </row>
    <row r="917" spans="4:18">
      <c r="E917" t="s">
        <v>5471</v>
      </c>
      <c r="I917" t="s">
        <v>5472</v>
      </c>
      <c r="K917" t="s">
        <v>14457</v>
      </c>
      <c r="L917" t="s">
        <v>14458</v>
      </c>
      <c r="M917" t="s">
        <v>3963</v>
      </c>
      <c r="N917" t="s">
        <v>3963</v>
      </c>
      <c r="O917" t="s">
        <v>3963</v>
      </c>
      <c r="P917" t="s">
        <v>14458</v>
      </c>
      <c r="R917" t="s">
        <v>5473</v>
      </c>
    </row>
    <row r="918" spans="4:18">
      <c r="D918" t="s">
        <v>989</v>
      </c>
      <c r="H918" t="s">
        <v>5474</v>
      </c>
      <c r="K918" t="s">
        <v>14459</v>
      </c>
      <c r="L918" t="s">
        <v>14460</v>
      </c>
      <c r="M918" t="s">
        <v>3963</v>
      </c>
      <c r="N918" t="s">
        <v>3963</v>
      </c>
      <c r="O918" t="s">
        <v>3963</v>
      </c>
      <c r="P918" t="s">
        <v>14460</v>
      </c>
      <c r="R918" t="s">
        <v>14461</v>
      </c>
    </row>
    <row r="919" spans="4:18">
      <c r="E919" t="s">
        <v>5475</v>
      </c>
      <c r="I919" t="s">
        <v>5476</v>
      </c>
      <c r="K919" t="s">
        <v>14462</v>
      </c>
      <c r="L919" t="s">
        <v>14462</v>
      </c>
      <c r="M919" t="s">
        <v>3963</v>
      </c>
      <c r="N919" t="s">
        <v>3963</v>
      </c>
      <c r="O919" t="s">
        <v>3963</v>
      </c>
      <c r="P919" t="s">
        <v>14462</v>
      </c>
      <c r="R919" t="s">
        <v>3963</v>
      </c>
    </row>
    <row r="920" spans="4:18">
      <c r="E920" t="s">
        <v>5477</v>
      </c>
      <c r="I920" t="s">
        <v>5478</v>
      </c>
      <c r="K920" t="s">
        <v>14463</v>
      </c>
      <c r="L920" t="s">
        <v>14463</v>
      </c>
      <c r="M920" t="s">
        <v>3963</v>
      </c>
      <c r="N920" t="s">
        <v>3963</v>
      </c>
      <c r="O920" t="s">
        <v>3963</v>
      </c>
      <c r="P920" t="s">
        <v>14463</v>
      </c>
      <c r="R920" t="s">
        <v>3963</v>
      </c>
    </row>
    <row r="921" spans="4:18">
      <c r="E921" t="s">
        <v>5479</v>
      </c>
      <c r="I921" t="s">
        <v>5480</v>
      </c>
      <c r="K921" t="s">
        <v>14464</v>
      </c>
      <c r="L921" t="s">
        <v>14465</v>
      </c>
      <c r="M921" t="s">
        <v>3963</v>
      </c>
      <c r="N921" t="s">
        <v>3963</v>
      </c>
      <c r="O921" t="s">
        <v>3963</v>
      </c>
      <c r="P921" t="s">
        <v>14465</v>
      </c>
      <c r="R921" t="s">
        <v>14466</v>
      </c>
    </row>
    <row r="922" spans="4:18">
      <c r="E922" t="s">
        <v>5481</v>
      </c>
      <c r="I922" t="s">
        <v>5482</v>
      </c>
      <c r="K922" t="s">
        <v>3963</v>
      </c>
      <c r="L922" t="s">
        <v>3963</v>
      </c>
      <c r="M922" t="s">
        <v>3963</v>
      </c>
      <c r="N922" t="s">
        <v>3963</v>
      </c>
      <c r="O922" t="s">
        <v>3963</v>
      </c>
      <c r="P922" t="s">
        <v>3963</v>
      </c>
      <c r="R922" t="s">
        <v>3963</v>
      </c>
    </row>
    <row r="923" spans="4:18">
      <c r="E923" t="s">
        <v>5483</v>
      </c>
      <c r="I923" t="s">
        <v>5484</v>
      </c>
      <c r="K923" t="s">
        <v>14467</v>
      </c>
      <c r="L923" t="s">
        <v>14468</v>
      </c>
      <c r="M923" t="s">
        <v>3963</v>
      </c>
      <c r="N923" t="s">
        <v>3963</v>
      </c>
      <c r="O923" t="s">
        <v>3963</v>
      </c>
      <c r="P923" t="s">
        <v>14468</v>
      </c>
      <c r="R923" t="s">
        <v>14469</v>
      </c>
    </row>
    <row r="924" spans="4:18">
      <c r="D924" t="s">
        <v>990</v>
      </c>
      <c r="H924" t="s">
        <v>5485</v>
      </c>
      <c r="K924" t="s">
        <v>14470</v>
      </c>
      <c r="L924" t="s">
        <v>14471</v>
      </c>
      <c r="M924" t="s">
        <v>3963</v>
      </c>
      <c r="N924" t="s">
        <v>3963</v>
      </c>
      <c r="O924" t="s">
        <v>3963</v>
      </c>
      <c r="P924" t="s">
        <v>14471</v>
      </c>
      <c r="R924" t="s">
        <v>14472</v>
      </c>
    </row>
    <row r="925" spans="4:18">
      <c r="E925" t="s">
        <v>5486</v>
      </c>
      <c r="I925" t="s">
        <v>5487</v>
      </c>
      <c r="K925" t="s">
        <v>14473</v>
      </c>
      <c r="L925" t="s">
        <v>14474</v>
      </c>
      <c r="M925" t="s">
        <v>3963</v>
      </c>
      <c r="N925" t="s">
        <v>3963</v>
      </c>
      <c r="O925" t="s">
        <v>3963</v>
      </c>
      <c r="P925" t="s">
        <v>14474</v>
      </c>
      <c r="R925" t="s">
        <v>14475</v>
      </c>
    </row>
    <row r="926" spans="4:18">
      <c r="E926" t="s">
        <v>5488</v>
      </c>
      <c r="I926" t="s">
        <v>5489</v>
      </c>
      <c r="K926" t="s">
        <v>14476</v>
      </c>
      <c r="L926" t="s">
        <v>14477</v>
      </c>
      <c r="M926" t="s">
        <v>3963</v>
      </c>
      <c r="N926" t="s">
        <v>3963</v>
      </c>
      <c r="O926" t="s">
        <v>3963</v>
      </c>
      <c r="P926" t="s">
        <v>14477</v>
      </c>
      <c r="R926" t="s">
        <v>14478</v>
      </c>
    </row>
    <row r="927" spans="4:18">
      <c r="E927" t="s">
        <v>5490</v>
      </c>
      <c r="I927" t="s">
        <v>5491</v>
      </c>
      <c r="K927" t="s">
        <v>3963</v>
      </c>
      <c r="L927" t="s">
        <v>3963</v>
      </c>
      <c r="M927" t="s">
        <v>3963</v>
      </c>
      <c r="N927" t="s">
        <v>3963</v>
      </c>
      <c r="O927" t="s">
        <v>3963</v>
      </c>
      <c r="P927" t="s">
        <v>3963</v>
      </c>
      <c r="R927" t="s">
        <v>3963</v>
      </c>
    </row>
    <row r="928" spans="4:18">
      <c r="E928" t="s">
        <v>5492</v>
      </c>
      <c r="I928" t="s">
        <v>5493</v>
      </c>
      <c r="K928" t="s">
        <v>3963</v>
      </c>
      <c r="L928" t="s">
        <v>3963</v>
      </c>
      <c r="M928" t="s">
        <v>3963</v>
      </c>
      <c r="N928" t="s">
        <v>3963</v>
      </c>
      <c r="O928" t="s">
        <v>3963</v>
      </c>
      <c r="P928" t="s">
        <v>3963</v>
      </c>
      <c r="R928" t="s">
        <v>3963</v>
      </c>
    </row>
    <row r="929" spans="4:18">
      <c r="E929" t="s">
        <v>5494</v>
      </c>
      <c r="I929" t="s">
        <v>5495</v>
      </c>
      <c r="K929" t="s">
        <v>3963</v>
      </c>
      <c r="L929" t="s">
        <v>3963</v>
      </c>
      <c r="M929" t="s">
        <v>3963</v>
      </c>
      <c r="N929" t="s">
        <v>3963</v>
      </c>
      <c r="O929" t="s">
        <v>3963</v>
      </c>
      <c r="P929" t="s">
        <v>3963</v>
      </c>
      <c r="R929" t="s">
        <v>3963</v>
      </c>
    </row>
    <row r="930" spans="4:18">
      <c r="E930" t="s">
        <v>5496</v>
      </c>
      <c r="I930" t="s">
        <v>5497</v>
      </c>
      <c r="K930" t="s">
        <v>3963</v>
      </c>
      <c r="L930" t="s">
        <v>3963</v>
      </c>
      <c r="M930" t="s">
        <v>3963</v>
      </c>
      <c r="N930" t="s">
        <v>3963</v>
      </c>
      <c r="O930" t="s">
        <v>3963</v>
      </c>
      <c r="P930" t="s">
        <v>3963</v>
      </c>
      <c r="R930" t="s">
        <v>3963</v>
      </c>
    </row>
    <row r="931" spans="4:18">
      <c r="E931" t="s">
        <v>5498</v>
      </c>
      <c r="I931" t="s">
        <v>5499</v>
      </c>
      <c r="K931" t="s">
        <v>3963</v>
      </c>
      <c r="L931" t="s">
        <v>3963</v>
      </c>
      <c r="M931" t="s">
        <v>3963</v>
      </c>
      <c r="N931" t="s">
        <v>3963</v>
      </c>
      <c r="O931" t="s">
        <v>3963</v>
      </c>
      <c r="P931" t="s">
        <v>3963</v>
      </c>
      <c r="R931" t="s">
        <v>3963</v>
      </c>
    </row>
    <row r="932" spans="4:18">
      <c r="E932" t="s">
        <v>5500</v>
      </c>
      <c r="I932" t="s">
        <v>5501</v>
      </c>
      <c r="K932" t="s">
        <v>3963</v>
      </c>
      <c r="L932" t="s">
        <v>3963</v>
      </c>
      <c r="M932" t="s">
        <v>3963</v>
      </c>
      <c r="N932" t="s">
        <v>3963</v>
      </c>
      <c r="O932" t="s">
        <v>3963</v>
      </c>
      <c r="P932" t="s">
        <v>3963</v>
      </c>
      <c r="R932" t="s">
        <v>3963</v>
      </c>
    </row>
    <row r="933" spans="4:18">
      <c r="E933" t="s">
        <v>5502</v>
      </c>
      <c r="I933" t="s">
        <v>5503</v>
      </c>
      <c r="K933" t="s">
        <v>14479</v>
      </c>
      <c r="L933" t="s">
        <v>14480</v>
      </c>
      <c r="M933" t="s">
        <v>3963</v>
      </c>
      <c r="N933" t="s">
        <v>3963</v>
      </c>
      <c r="O933" t="s">
        <v>3963</v>
      </c>
      <c r="P933" t="s">
        <v>14480</v>
      </c>
      <c r="R933" t="s">
        <v>14481</v>
      </c>
    </row>
    <row r="934" spans="4:18">
      <c r="D934" t="s">
        <v>991</v>
      </c>
      <c r="H934" t="s">
        <v>5504</v>
      </c>
      <c r="K934" t="s">
        <v>14482</v>
      </c>
      <c r="L934" t="s">
        <v>14483</v>
      </c>
      <c r="M934" t="s">
        <v>3963</v>
      </c>
      <c r="N934" t="s">
        <v>3963</v>
      </c>
      <c r="O934" t="s">
        <v>3963</v>
      </c>
      <c r="P934" t="s">
        <v>14483</v>
      </c>
      <c r="R934" t="s">
        <v>14484</v>
      </c>
    </row>
    <row r="935" spans="4:18">
      <c r="E935" t="s">
        <v>5505</v>
      </c>
      <c r="I935" t="s">
        <v>5506</v>
      </c>
      <c r="K935" t="s">
        <v>14485</v>
      </c>
      <c r="L935" t="s">
        <v>14486</v>
      </c>
      <c r="M935" t="s">
        <v>3963</v>
      </c>
      <c r="N935" t="s">
        <v>3963</v>
      </c>
      <c r="O935" t="s">
        <v>3963</v>
      </c>
      <c r="P935" t="s">
        <v>14486</v>
      </c>
      <c r="R935" t="s">
        <v>14487</v>
      </c>
    </row>
    <row r="936" spans="4:18">
      <c r="E936" t="s">
        <v>5507</v>
      </c>
      <c r="I936" t="s">
        <v>5508</v>
      </c>
      <c r="K936" t="s">
        <v>3963</v>
      </c>
      <c r="L936" t="s">
        <v>3963</v>
      </c>
      <c r="M936" t="s">
        <v>3963</v>
      </c>
      <c r="N936" t="s">
        <v>3963</v>
      </c>
      <c r="O936" t="s">
        <v>3963</v>
      </c>
      <c r="P936" t="s">
        <v>3963</v>
      </c>
      <c r="R936" t="s">
        <v>3963</v>
      </c>
    </row>
    <row r="937" spans="4:18">
      <c r="E937" t="s">
        <v>5509</v>
      </c>
      <c r="I937" t="s">
        <v>5510</v>
      </c>
      <c r="K937" t="s">
        <v>3963</v>
      </c>
      <c r="L937" t="s">
        <v>3963</v>
      </c>
      <c r="M937" t="s">
        <v>3963</v>
      </c>
      <c r="N937" t="s">
        <v>3963</v>
      </c>
      <c r="O937" t="s">
        <v>3963</v>
      </c>
      <c r="P937" t="s">
        <v>3963</v>
      </c>
      <c r="R937" t="s">
        <v>3963</v>
      </c>
    </row>
    <row r="938" spans="4:18">
      <c r="E938" t="s">
        <v>5511</v>
      </c>
      <c r="I938" t="s">
        <v>5512</v>
      </c>
      <c r="K938" t="s">
        <v>14488</v>
      </c>
      <c r="L938" t="s">
        <v>14489</v>
      </c>
      <c r="M938" t="s">
        <v>3963</v>
      </c>
      <c r="N938" t="s">
        <v>3963</v>
      </c>
      <c r="O938" t="s">
        <v>3963</v>
      </c>
      <c r="P938" t="s">
        <v>14489</v>
      </c>
      <c r="R938" t="s">
        <v>14490</v>
      </c>
    </row>
    <row r="939" spans="4:18">
      <c r="E939" t="s">
        <v>5513</v>
      </c>
      <c r="I939" t="s">
        <v>5514</v>
      </c>
      <c r="K939" t="s">
        <v>14491</v>
      </c>
      <c r="L939" t="s">
        <v>14492</v>
      </c>
      <c r="M939" t="s">
        <v>3963</v>
      </c>
      <c r="N939" t="s">
        <v>3963</v>
      </c>
      <c r="O939" t="s">
        <v>3963</v>
      </c>
      <c r="P939" t="s">
        <v>14492</v>
      </c>
      <c r="R939" t="s">
        <v>14493</v>
      </c>
    </row>
    <row r="940" spans="4:18">
      <c r="E940" t="s">
        <v>5515</v>
      </c>
      <c r="I940" t="s">
        <v>5516</v>
      </c>
      <c r="K940" t="s">
        <v>14494</v>
      </c>
      <c r="L940" t="s">
        <v>14495</v>
      </c>
      <c r="M940" t="s">
        <v>3963</v>
      </c>
      <c r="N940" t="s">
        <v>3963</v>
      </c>
      <c r="O940" t="s">
        <v>3963</v>
      </c>
      <c r="P940" t="s">
        <v>14495</v>
      </c>
      <c r="R940" t="s">
        <v>14496</v>
      </c>
    </row>
    <row r="941" spans="4:18">
      <c r="E941" t="s">
        <v>5517</v>
      </c>
      <c r="I941" t="s">
        <v>5518</v>
      </c>
      <c r="K941" t="s">
        <v>14497</v>
      </c>
      <c r="L941" t="s">
        <v>3963</v>
      </c>
      <c r="M941" t="s">
        <v>3963</v>
      </c>
      <c r="N941" t="s">
        <v>3963</v>
      </c>
      <c r="O941" t="s">
        <v>3963</v>
      </c>
      <c r="P941" t="s">
        <v>3963</v>
      </c>
      <c r="R941" t="s">
        <v>14497</v>
      </c>
    </row>
    <row r="942" spans="4:18">
      <c r="E942" t="s">
        <v>5519</v>
      </c>
      <c r="I942" t="s">
        <v>5520</v>
      </c>
      <c r="K942" t="s">
        <v>14498</v>
      </c>
      <c r="L942" t="s">
        <v>3963</v>
      </c>
      <c r="M942" t="s">
        <v>3963</v>
      </c>
      <c r="N942" t="s">
        <v>3963</v>
      </c>
      <c r="O942" t="s">
        <v>3963</v>
      </c>
      <c r="P942" t="s">
        <v>3963</v>
      </c>
      <c r="R942" t="s">
        <v>14498</v>
      </c>
    </row>
    <row r="943" spans="4:18">
      <c r="D943" t="s">
        <v>988</v>
      </c>
      <c r="H943" t="s">
        <v>5521</v>
      </c>
      <c r="K943" t="s">
        <v>14499</v>
      </c>
      <c r="L943" t="s">
        <v>14500</v>
      </c>
      <c r="M943" t="s">
        <v>3963</v>
      </c>
      <c r="N943" t="s">
        <v>3963</v>
      </c>
      <c r="O943" t="s">
        <v>3963</v>
      </c>
      <c r="P943" t="s">
        <v>14500</v>
      </c>
      <c r="R943" t="s">
        <v>14501</v>
      </c>
    </row>
    <row r="944" spans="4:18">
      <c r="E944" t="s">
        <v>5522</v>
      </c>
      <c r="I944" t="s">
        <v>5523</v>
      </c>
      <c r="K944" t="s">
        <v>14502</v>
      </c>
      <c r="L944" t="s">
        <v>14503</v>
      </c>
      <c r="M944" t="s">
        <v>3963</v>
      </c>
      <c r="N944" t="s">
        <v>3963</v>
      </c>
      <c r="O944" t="s">
        <v>3963</v>
      </c>
      <c r="P944" t="s">
        <v>14503</v>
      </c>
      <c r="R944" t="s">
        <v>14504</v>
      </c>
    </row>
    <row r="945" spans="4:18">
      <c r="E945" t="s">
        <v>5524</v>
      </c>
      <c r="I945" t="s">
        <v>5525</v>
      </c>
      <c r="K945" t="s">
        <v>14505</v>
      </c>
      <c r="L945" t="s">
        <v>14506</v>
      </c>
      <c r="M945" t="s">
        <v>3963</v>
      </c>
      <c r="N945" t="s">
        <v>3963</v>
      </c>
      <c r="O945" t="s">
        <v>3963</v>
      </c>
      <c r="P945" t="s">
        <v>14506</v>
      </c>
      <c r="R945" t="s">
        <v>14507</v>
      </c>
    </row>
    <row r="946" spans="4:18">
      <c r="D946" t="s">
        <v>996</v>
      </c>
      <c r="H946" t="s">
        <v>5526</v>
      </c>
      <c r="K946" t="s">
        <v>14508</v>
      </c>
      <c r="L946" t="s">
        <v>14509</v>
      </c>
      <c r="M946" t="s">
        <v>3963</v>
      </c>
      <c r="N946" t="s">
        <v>3963</v>
      </c>
      <c r="O946" t="s">
        <v>3963</v>
      </c>
      <c r="P946" t="s">
        <v>14509</v>
      </c>
      <c r="R946" t="s">
        <v>14510</v>
      </c>
    </row>
    <row r="947" spans="4:18">
      <c r="E947" t="s">
        <v>5527</v>
      </c>
      <c r="I947" t="s">
        <v>5528</v>
      </c>
      <c r="K947" t="s">
        <v>14508</v>
      </c>
      <c r="L947" t="s">
        <v>14509</v>
      </c>
      <c r="M947" t="s">
        <v>3963</v>
      </c>
      <c r="N947" t="s">
        <v>3963</v>
      </c>
      <c r="O947" t="s">
        <v>3963</v>
      </c>
      <c r="P947" t="s">
        <v>14509</v>
      </c>
      <c r="R947" t="s">
        <v>14510</v>
      </c>
    </row>
    <row r="948" spans="4:18">
      <c r="E948" t="s">
        <v>5529</v>
      </c>
      <c r="I948" t="s">
        <v>5489</v>
      </c>
      <c r="K948" t="s">
        <v>3963</v>
      </c>
      <c r="L948" t="s">
        <v>3963</v>
      </c>
      <c r="M948" t="s">
        <v>3963</v>
      </c>
      <c r="N948" t="s">
        <v>3963</v>
      </c>
      <c r="O948" t="s">
        <v>3963</v>
      </c>
      <c r="P948" t="s">
        <v>3963</v>
      </c>
      <c r="R948" t="s">
        <v>3963</v>
      </c>
    </row>
    <row r="949" spans="4:18">
      <c r="E949" t="s">
        <v>5530</v>
      </c>
      <c r="I949" t="s">
        <v>5531</v>
      </c>
      <c r="K949" t="s">
        <v>3963</v>
      </c>
      <c r="L949" t="s">
        <v>3963</v>
      </c>
      <c r="M949" t="s">
        <v>3963</v>
      </c>
      <c r="N949" t="s">
        <v>3963</v>
      </c>
      <c r="O949" t="s">
        <v>3963</v>
      </c>
      <c r="P949" t="s">
        <v>3963</v>
      </c>
      <c r="R949" t="s">
        <v>3963</v>
      </c>
    </row>
    <row r="950" spans="4:18">
      <c r="D950" t="s">
        <v>997</v>
      </c>
      <c r="H950" t="s">
        <v>5485</v>
      </c>
      <c r="K950" t="s">
        <v>14511</v>
      </c>
      <c r="L950" t="s">
        <v>14512</v>
      </c>
      <c r="M950" t="s">
        <v>3963</v>
      </c>
      <c r="N950" t="s">
        <v>3963</v>
      </c>
      <c r="O950" t="s">
        <v>3963</v>
      </c>
      <c r="P950" t="s">
        <v>14512</v>
      </c>
      <c r="R950" t="s">
        <v>14513</v>
      </c>
    </row>
    <row r="951" spans="4:18">
      <c r="E951" t="s">
        <v>5532</v>
      </c>
      <c r="I951" t="s">
        <v>5528</v>
      </c>
      <c r="K951" t="s">
        <v>14511</v>
      </c>
      <c r="L951" t="s">
        <v>14512</v>
      </c>
      <c r="M951" t="s">
        <v>3963</v>
      </c>
      <c r="N951" t="s">
        <v>3963</v>
      </c>
      <c r="O951" t="s">
        <v>3963</v>
      </c>
      <c r="P951" t="s">
        <v>14512</v>
      </c>
      <c r="R951" t="s">
        <v>14513</v>
      </c>
    </row>
    <row r="952" spans="4:18">
      <c r="E952" t="s">
        <v>5533</v>
      </c>
      <c r="I952" t="s">
        <v>5489</v>
      </c>
      <c r="K952" t="s">
        <v>3963</v>
      </c>
      <c r="L952" t="s">
        <v>3963</v>
      </c>
      <c r="M952" t="s">
        <v>3963</v>
      </c>
      <c r="N952" t="s">
        <v>3963</v>
      </c>
      <c r="O952" t="s">
        <v>3963</v>
      </c>
      <c r="P952" t="s">
        <v>3963</v>
      </c>
      <c r="R952" t="s">
        <v>3963</v>
      </c>
    </row>
    <row r="953" spans="4:18">
      <c r="E953" t="s">
        <v>5534</v>
      </c>
      <c r="I953" t="s">
        <v>5531</v>
      </c>
      <c r="K953" t="s">
        <v>3963</v>
      </c>
      <c r="L953" t="s">
        <v>3963</v>
      </c>
      <c r="M953" t="s">
        <v>3963</v>
      </c>
      <c r="N953" t="s">
        <v>3963</v>
      </c>
      <c r="O953" t="s">
        <v>3963</v>
      </c>
      <c r="P953" t="s">
        <v>3963</v>
      </c>
      <c r="R953" t="s">
        <v>3963</v>
      </c>
    </row>
    <row r="954" spans="4:18">
      <c r="D954" t="s">
        <v>994</v>
      </c>
      <c r="H954" t="s">
        <v>5354</v>
      </c>
      <c r="K954" t="s">
        <v>14514</v>
      </c>
      <c r="L954" t="s">
        <v>14515</v>
      </c>
      <c r="M954" t="s">
        <v>3963</v>
      </c>
      <c r="N954" t="s">
        <v>3963</v>
      </c>
      <c r="O954" t="s">
        <v>3963</v>
      </c>
      <c r="P954" t="s">
        <v>14515</v>
      </c>
      <c r="R954" t="s">
        <v>18709</v>
      </c>
    </row>
    <row r="955" spans="4:18">
      <c r="E955" t="s">
        <v>5535</v>
      </c>
      <c r="I955" t="s">
        <v>5536</v>
      </c>
      <c r="K955" t="s">
        <v>13367</v>
      </c>
      <c r="L955" t="s">
        <v>14517</v>
      </c>
      <c r="M955" t="s">
        <v>3963</v>
      </c>
      <c r="N955" t="s">
        <v>3963</v>
      </c>
      <c r="O955" t="s">
        <v>3963</v>
      </c>
      <c r="P955" t="s">
        <v>14517</v>
      </c>
      <c r="R955" t="s">
        <v>16977</v>
      </c>
    </row>
    <row r="956" spans="4:18">
      <c r="E956" t="s">
        <v>5537</v>
      </c>
      <c r="I956" t="s">
        <v>5538</v>
      </c>
      <c r="K956" t="s">
        <v>12814</v>
      </c>
      <c r="L956" t="s">
        <v>14518</v>
      </c>
      <c r="M956" t="s">
        <v>3963</v>
      </c>
      <c r="N956" t="s">
        <v>3963</v>
      </c>
      <c r="O956" t="s">
        <v>3963</v>
      </c>
      <c r="P956" t="s">
        <v>14518</v>
      </c>
      <c r="R956" t="s">
        <v>14519</v>
      </c>
    </row>
    <row r="957" spans="4:18">
      <c r="E957" t="s">
        <v>5539</v>
      </c>
      <c r="I957" t="s">
        <v>5540</v>
      </c>
      <c r="K957" t="s">
        <v>3963</v>
      </c>
      <c r="L957" t="s">
        <v>3963</v>
      </c>
      <c r="M957" t="s">
        <v>3963</v>
      </c>
      <c r="N957" t="s">
        <v>3963</v>
      </c>
      <c r="O957" t="s">
        <v>3963</v>
      </c>
      <c r="P957" t="s">
        <v>3963</v>
      </c>
      <c r="R957" t="s">
        <v>3963</v>
      </c>
    </row>
    <row r="958" spans="4:18">
      <c r="E958" t="s">
        <v>5541</v>
      </c>
      <c r="I958" t="s">
        <v>5542</v>
      </c>
      <c r="K958" t="s">
        <v>14520</v>
      </c>
      <c r="L958" t="s">
        <v>14521</v>
      </c>
      <c r="M958" t="s">
        <v>3963</v>
      </c>
      <c r="N958" t="s">
        <v>3963</v>
      </c>
      <c r="O958" t="s">
        <v>3963</v>
      </c>
      <c r="P958" t="s">
        <v>14521</v>
      </c>
      <c r="R958" t="s">
        <v>14522</v>
      </c>
    </row>
    <row r="959" spans="4:18">
      <c r="E959" t="s">
        <v>5543</v>
      </c>
      <c r="I959" t="s">
        <v>5544</v>
      </c>
      <c r="K959" t="s">
        <v>14523</v>
      </c>
      <c r="L959" t="s">
        <v>3963</v>
      </c>
      <c r="M959" t="s">
        <v>3963</v>
      </c>
      <c r="N959" t="s">
        <v>3963</v>
      </c>
      <c r="O959" t="s">
        <v>3963</v>
      </c>
      <c r="P959" t="s">
        <v>3963</v>
      </c>
      <c r="R959" t="s">
        <v>14523</v>
      </c>
    </row>
    <row r="960" spans="4:18">
      <c r="E960" t="s">
        <v>5545</v>
      </c>
      <c r="I960" t="s">
        <v>5546</v>
      </c>
      <c r="K960" t="s">
        <v>14524</v>
      </c>
      <c r="L960" t="s">
        <v>14525</v>
      </c>
      <c r="M960" t="s">
        <v>3963</v>
      </c>
      <c r="N960" t="s">
        <v>3963</v>
      </c>
      <c r="O960" t="s">
        <v>3963</v>
      </c>
      <c r="P960" t="s">
        <v>14525</v>
      </c>
      <c r="R960" t="s">
        <v>18710</v>
      </c>
    </row>
    <row r="961" spans="4:18">
      <c r="D961" t="s">
        <v>1001</v>
      </c>
      <c r="H961" t="s">
        <v>5547</v>
      </c>
      <c r="K961" t="s">
        <v>14394</v>
      </c>
      <c r="L961" t="s">
        <v>14526</v>
      </c>
      <c r="M961" t="s">
        <v>3963</v>
      </c>
      <c r="N961" t="s">
        <v>3963</v>
      </c>
      <c r="O961" t="s">
        <v>3963</v>
      </c>
      <c r="P961" t="s">
        <v>14526</v>
      </c>
      <c r="R961" t="s">
        <v>14527</v>
      </c>
    </row>
    <row r="962" spans="4:18">
      <c r="E962" t="s">
        <v>5548</v>
      </c>
      <c r="I962" t="s">
        <v>5549</v>
      </c>
      <c r="K962" t="s">
        <v>14394</v>
      </c>
      <c r="L962" t="s">
        <v>14526</v>
      </c>
      <c r="M962" t="s">
        <v>3963</v>
      </c>
      <c r="N962" t="s">
        <v>3963</v>
      </c>
      <c r="O962" t="s">
        <v>3963</v>
      </c>
      <c r="P962" t="s">
        <v>14526</v>
      </c>
      <c r="R962" t="s">
        <v>14527</v>
      </c>
    </row>
    <row r="963" spans="4:18">
      <c r="D963" t="s">
        <v>1012</v>
      </c>
      <c r="H963" t="s">
        <v>5550</v>
      </c>
      <c r="K963" t="s">
        <v>14528</v>
      </c>
      <c r="L963" t="s">
        <v>19306</v>
      </c>
      <c r="M963" t="s">
        <v>19894</v>
      </c>
      <c r="N963" t="s">
        <v>19191</v>
      </c>
      <c r="O963" t="s">
        <v>3963</v>
      </c>
      <c r="P963" t="s">
        <v>19895</v>
      </c>
      <c r="R963" t="s">
        <v>19896</v>
      </c>
    </row>
    <row r="964" spans="4:18">
      <c r="E964" t="s">
        <v>5551</v>
      </c>
      <c r="I964" t="s">
        <v>5552</v>
      </c>
      <c r="K964" t="s">
        <v>14529</v>
      </c>
      <c r="L964" t="s">
        <v>19192</v>
      </c>
      <c r="M964" t="s">
        <v>19894</v>
      </c>
      <c r="N964" t="s">
        <v>3963</v>
      </c>
      <c r="O964" t="s">
        <v>3963</v>
      </c>
      <c r="P964" t="s">
        <v>19897</v>
      </c>
      <c r="R964" t="s">
        <v>19898</v>
      </c>
    </row>
    <row r="965" spans="4:18">
      <c r="E965" t="s">
        <v>5553</v>
      </c>
      <c r="I965" t="s">
        <v>5441</v>
      </c>
      <c r="K965" t="s">
        <v>14530</v>
      </c>
      <c r="L965" t="s">
        <v>19307</v>
      </c>
      <c r="M965" t="s">
        <v>3963</v>
      </c>
      <c r="N965" t="s">
        <v>19191</v>
      </c>
      <c r="O965" t="s">
        <v>3963</v>
      </c>
      <c r="P965" t="s">
        <v>19308</v>
      </c>
      <c r="R965" t="s">
        <v>19309</v>
      </c>
    </row>
    <row r="966" spans="4:18">
      <c r="E966" t="s">
        <v>5554</v>
      </c>
      <c r="I966" t="s">
        <v>5437</v>
      </c>
      <c r="K966" t="s">
        <v>14531</v>
      </c>
      <c r="L966" t="s">
        <v>14532</v>
      </c>
      <c r="M966" t="s">
        <v>3963</v>
      </c>
      <c r="N966" t="s">
        <v>3963</v>
      </c>
      <c r="O966" t="s">
        <v>3963</v>
      </c>
      <c r="P966" t="s">
        <v>14532</v>
      </c>
      <c r="R966" t="s">
        <v>14533</v>
      </c>
    </row>
    <row r="967" spans="4:18">
      <c r="D967" t="s">
        <v>1009</v>
      </c>
      <c r="H967" t="s">
        <v>5555</v>
      </c>
      <c r="K967" t="s">
        <v>12690</v>
      </c>
      <c r="L967" t="s">
        <v>14534</v>
      </c>
      <c r="M967" t="s">
        <v>3963</v>
      </c>
      <c r="N967" t="s">
        <v>3963</v>
      </c>
      <c r="O967" t="s">
        <v>3963</v>
      </c>
      <c r="P967" t="s">
        <v>14534</v>
      </c>
      <c r="R967" t="s">
        <v>14535</v>
      </c>
    </row>
    <row r="968" spans="4:18">
      <c r="E968" t="s">
        <v>5556</v>
      </c>
      <c r="I968" t="s">
        <v>5557</v>
      </c>
      <c r="K968" t="s">
        <v>14536</v>
      </c>
      <c r="L968" t="s">
        <v>14537</v>
      </c>
      <c r="M968" t="s">
        <v>3963</v>
      </c>
      <c r="N968" t="s">
        <v>3963</v>
      </c>
      <c r="O968" t="s">
        <v>3963</v>
      </c>
      <c r="P968" t="s">
        <v>14537</v>
      </c>
      <c r="R968" t="s">
        <v>14538</v>
      </c>
    </row>
    <row r="969" spans="4:18">
      <c r="E969" t="s">
        <v>5558</v>
      </c>
      <c r="I969" t="s">
        <v>5559</v>
      </c>
      <c r="K969" t="s">
        <v>14539</v>
      </c>
      <c r="L969" t="s">
        <v>14540</v>
      </c>
      <c r="M969" t="s">
        <v>3963</v>
      </c>
      <c r="N969" t="s">
        <v>3963</v>
      </c>
      <c r="O969" t="s">
        <v>3963</v>
      </c>
      <c r="P969" t="s">
        <v>14540</v>
      </c>
      <c r="R969" t="s">
        <v>14541</v>
      </c>
    </row>
    <row r="970" spans="4:18">
      <c r="E970" t="s">
        <v>5560</v>
      </c>
      <c r="I970" t="s">
        <v>5561</v>
      </c>
      <c r="K970" t="s">
        <v>14542</v>
      </c>
      <c r="L970" t="s">
        <v>14540</v>
      </c>
      <c r="M970" t="s">
        <v>3963</v>
      </c>
      <c r="N970" t="s">
        <v>3963</v>
      </c>
      <c r="O970" t="s">
        <v>3963</v>
      </c>
      <c r="P970" t="s">
        <v>14540</v>
      </c>
      <c r="R970" t="s">
        <v>14543</v>
      </c>
    </row>
    <row r="971" spans="4:18">
      <c r="D971" t="s">
        <v>1011</v>
      </c>
      <c r="H971" t="s">
        <v>5562</v>
      </c>
      <c r="K971" t="s">
        <v>14544</v>
      </c>
      <c r="L971" t="s">
        <v>3963</v>
      </c>
      <c r="M971" t="s">
        <v>3963</v>
      </c>
      <c r="N971" t="s">
        <v>3963</v>
      </c>
      <c r="O971" t="s">
        <v>3963</v>
      </c>
      <c r="P971" t="s">
        <v>3963</v>
      </c>
      <c r="R971" t="s">
        <v>14544</v>
      </c>
    </row>
    <row r="972" spans="4:18">
      <c r="E972" t="s">
        <v>5563</v>
      </c>
      <c r="I972" t="s">
        <v>5564</v>
      </c>
      <c r="K972" t="s">
        <v>14545</v>
      </c>
      <c r="L972" t="s">
        <v>3963</v>
      </c>
      <c r="M972" t="s">
        <v>3963</v>
      </c>
      <c r="N972" t="s">
        <v>3963</v>
      </c>
      <c r="O972" t="s">
        <v>3963</v>
      </c>
      <c r="P972" t="s">
        <v>3963</v>
      </c>
      <c r="R972" t="s">
        <v>14545</v>
      </c>
    </row>
    <row r="973" spans="4:18">
      <c r="E973" t="s">
        <v>5565</v>
      </c>
      <c r="I973" t="s">
        <v>5566</v>
      </c>
      <c r="K973" t="s">
        <v>14546</v>
      </c>
      <c r="L973" t="s">
        <v>3963</v>
      </c>
      <c r="M973" t="s">
        <v>3963</v>
      </c>
      <c r="N973" t="s">
        <v>3963</v>
      </c>
      <c r="O973" t="s">
        <v>3963</v>
      </c>
      <c r="P973" t="s">
        <v>3963</v>
      </c>
      <c r="R973" t="s">
        <v>14546</v>
      </c>
    </row>
    <row r="974" spans="4:18">
      <c r="E974" t="s">
        <v>5567</v>
      </c>
      <c r="I974" t="s">
        <v>5568</v>
      </c>
      <c r="K974" t="s">
        <v>14547</v>
      </c>
      <c r="L974" t="s">
        <v>3963</v>
      </c>
      <c r="M974" t="s">
        <v>3963</v>
      </c>
      <c r="N974" t="s">
        <v>3963</v>
      </c>
      <c r="O974" t="s">
        <v>3963</v>
      </c>
      <c r="P974" t="s">
        <v>3963</v>
      </c>
      <c r="R974" t="s">
        <v>14547</v>
      </c>
    </row>
    <row r="975" spans="4:18">
      <c r="E975" t="s">
        <v>5569</v>
      </c>
      <c r="I975" t="s">
        <v>5570</v>
      </c>
      <c r="K975" t="s">
        <v>3963</v>
      </c>
      <c r="L975" t="s">
        <v>3963</v>
      </c>
      <c r="M975" t="s">
        <v>3963</v>
      </c>
      <c r="N975" t="s">
        <v>3963</v>
      </c>
      <c r="O975" t="s">
        <v>3963</v>
      </c>
      <c r="P975" t="s">
        <v>3963</v>
      </c>
      <c r="R975" t="s">
        <v>3963</v>
      </c>
    </row>
    <row r="976" spans="4:18">
      <c r="E976" t="s">
        <v>5571</v>
      </c>
      <c r="I976" t="s">
        <v>5572</v>
      </c>
      <c r="K976" t="s">
        <v>14548</v>
      </c>
      <c r="L976" t="s">
        <v>3963</v>
      </c>
      <c r="M976" t="s">
        <v>3963</v>
      </c>
      <c r="N976" t="s">
        <v>3963</v>
      </c>
      <c r="O976" t="s">
        <v>3963</v>
      </c>
      <c r="P976" t="s">
        <v>3963</v>
      </c>
      <c r="R976" t="s">
        <v>14548</v>
      </c>
    </row>
    <row r="977" spans="4:18">
      <c r="E977" t="s">
        <v>5573</v>
      </c>
      <c r="I977" t="s">
        <v>5574</v>
      </c>
      <c r="K977" t="s">
        <v>3963</v>
      </c>
      <c r="L977" t="s">
        <v>3963</v>
      </c>
      <c r="M977" t="s">
        <v>3963</v>
      </c>
      <c r="N977" t="s">
        <v>3963</v>
      </c>
      <c r="O977" t="s">
        <v>3963</v>
      </c>
      <c r="P977" t="s">
        <v>3963</v>
      </c>
      <c r="R977" t="s">
        <v>3963</v>
      </c>
    </row>
    <row r="978" spans="4:18">
      <c r="D978" t="s">
        <v>1010</v>
      </c>
      <c r="H978" t="s">
        <v>5575</v>
      </c>
      <c r="K978" t="s">
        <v>14549</v>
      </c>
      <c r="L978" t="s">
        <v>14550</v>
      </c>
      <c r="M978" t="s">
        <v>3963</v>
      </c>
      <c r="N978" t="s">
        <v>3963</v>
      </c>
      <c r="O978" t="s">
        <v>3963</v>
      </c>
      <c r="P978" t="s">
        <v>14550</v>
      </c>
      <c r="R978" t="s">
        <v>14551</v>
      </c>
    </row>
    <row r="979" spans="4:18">
      <c r="E979" t="s">
        <v>5576</v>
      </c>
      <c r="I979" t="s">
        <v>5552</v>
      </c>
      <c r="K979" t="s">
        <v>14552</v>
      </c>
      <c r="L979" t="s">
        <v>14553</v>
      </c>
      <c r="M979" t="s">
        <v>3963</v>
      </c>
      <c r="N979" t="s">
        <v>3963</v>
      </c>
      <c r="O979" t="s">
        <v>3963</v>
      </c>
      <c r="P979" t="s">
        <v>14553</v>
      </c>
      <c r="R979" t="s">
        <v>14554</v>
      </c>
    </row>
    <row r="980" spans="4:18">
      <c r="E980" t="s">
        <v>5577</v>
      </c>
      <c r="I980" t="s">
        <v>5441</v>
      </c>
      <c r="K980" t="s">
        <v>14555</v>
      </c>
      <c r="L980" t="s">
        <v>14556</v>
      </c>
      <c r="M980" t="s">
        <v>3963</v>
      </c>
      <c r="N980" t="s">
        <v>3963</v>
      </c>
      <c r="O980" t="s">
        <v>3963</v>
      </c>
      <c r="P980" t="s">
        <v>14556</v>
      </c>
      <c r="R980" t="s">
        <v>14557</v>
      </c>
    </row>
    <row r="981" spans="4:18">
      <c r="E981" t="s">
        <v>5578</v>
      </c>
      <c r="I981" t="s">
        <v>5437</v>
      </c>
      <c r="K981" t="s">
        <v>3963</v>
      </c>
      <c r="L981" t="s">
        <v>3963</v>
      </c>
      <c r="M981" t="s">
        <v>3963</v>
      </c>
      <c r="N981" t="s">
        <v>3963</v>
      </c>
      <c r="O981" t="s">
        <v>3963</v>
      </c>
      <c r="P981" t="s">
        <v>3963</v>
      </c>
      <c r="R981" t="s">
        <v>3963</v>
      </c>
    </row>
    <row r="982" spans="4:18">
      <c r="D982" t="s">
        <v>1007</v>
      </c>
      <c r="H982" t="s">
        <v>5579</v>
      </c>
      <c r="K982" t="s">
        <v>14558</v>
      </c>
      <c r="L982" t="s">
        <v>14559</v>
      </c>
      <c r="M982" t="s">
        <v>3963</v>
      </c>
      <c r="N982" t="s">
        <v>3963</v>
      </c>
      <c r="O982" t="s">
        <v>3963</v>
      </c>
      <c r="P982" t="s">
        <v>14559</v>
      </c>
      <c r="R982" t="s">
        <v>14560</v>
      </c>
    </row>
    <row r="983" spans="4:18">
      <c r="E983" t="s">
        <v>5580</v>
      </c>
      <c r="I983" t="s">
        <v>5581</v>
      </c>
      <c r="K983" t="s">
        <v>14561</v>
      </c>
      <c r="L983" t="s">
        <v>14562</v>
      </c>
      <c r="M983" t="s">
        <v>3963</v>
      </c>
      <c r="N983" t="s">
        <v>3963</v>
      </c>
      <c r="O983" t="s">
        <v>3963</v>
      </c>
      <c r="P983" t="s">
        <v>14562</v>
      </c>
      <c r="R983" t="s">
        <v>14563</v>
      </c>
    </row>
    <row r="984" spans="4:18">
      <c r="E984" t="s">
        <v>5582</v>
      </c>
      <c r="I984" t="s">
        <v>5583</v>
      </c>
      <c r="K984" t="s">
        <v>14564</v>
      </c>
      <c r="L984" t="s">
        <v>14565</v>
      </c>
      <c r="M984" t="s">
        <v>3963</v>
      </c>
      <c r="N984" t="s">
        <v>3963</v>
      </c>
      <c r="O984" t="s">
        <v>3963</v>
      </c>
      <c r="P984" t="s">
        <v>14565</v>
      </c>
      <c r="R984" t="s">
        <v>14566</v>
      </c>
    </row>
    <row r="985" spans="4:18">
      <c r="E985" t="s">
        <v>5584</v>
      </c>
      <c r="I985" t="s">
        <v>5585</v>
      </c>
      <c r="K985" t="s">
        <v>14567</v>
      </c>
      <c r="L985" t="s">
        <v>14568</v>
      </c>
      <c r="M985" t="s">
        <v>3963</v>
      </c>
      <c r="N985" t="s">
        <v>3963</v>
      </c>
      <c r="O985" t="s">
        <v>3963</v>
      </c>
      <c r="P985" t="s">
        <v>14568</v>
      </c>
      <c r="R985" t="s">
        <v>4893</v>
      </c>
    </row>
    <row r="986" spans="4:18">
      <c r="D986" t="s">
        <v>1006</v>
      </c>
      <c r="H986" t="s">
        <v>5586</v>
      </c>
      <c r="K986" t="s">
        <v>14569</v>
      </c>
      <c r="L986" t="s">
        <v>14570</v>
      </c>
      <c r="M986" t="s">
        <v>3963</v>
      </c>
      <c r="N986" t="s">
        <v>3963</v>
      </c>
      <c r="O986" t="s">
        <v>3963</v>
      </c>
      <c r="P986" t="s">
        <v>14570</v>
      </c>
      <c r="R986" t="s">
        <v>14571</v>
      </c>
    </row>
    <row r="987" spans="4:18">
      <c r="E987" t="s">
        <v>5587</v>
      </c>
      <c r="I987" t="s">
        <v>5588</v>
      </c>
      <c r="K987" t="s">
        <v>14569</v>
      </c>
      <c r="L987" t="s">
        <v>14570</v>
      </c>
      <c r="M987" t="s">
        <v>3963</v>
      </c>
      <c r="N987" t="s">
        <v>3963</v>
      </c>
      <c r="O987" t="s">
        <v>3963</v>
      </c>
      <c r="P987" t="s">
        <v>14570</v>
      </c>
      <c r="R987" t="s">
        <v>14571</v>
      </c>
    </row>
    <row r="988" spans="4:18">
      <c r="E988" t="s">
        <v>5589</v>
      </c>
      <c r="I988" t="s">
        <v>4599</v>
      </c>
      <c r="K988" t="s">
        <v>3963</v>
      </c>
      <c r="L988" t="s">
        <v>3963</v>
      </c>
      <c r="M988" t="s">
        <v>3963</v>
      </c>
      <c r="N988" t="s">
        <v>3963</v>
      </c>
      <c r="O988" t="s">
        <v>3963</v>
      </c>
      <c r="P988" t="s">
        <v>3963</v>
      </c>
      <c r="R988" t="s">
        <v>3963</v>
      </c>
    </row>
    <row r="989" spans="4:18">
      <c r="D989" t="s">
        <v>1013</v>
      </c>
      <c r="H989" t="s">
        <v>5590</v>
      </c>
      <c r="K989" t="s">
        <v>14572</v>
      </c>
      <c r="L989" t="s">
        <v>3963</v>
      </c>
      <c r="M989" t="s">
        <v>3963</v>
      </c>
      <c r="N989" t="s">
        <v>3963</v>
      </c>
      <c r="O989" t="s">
        <v>3963</v>
      </c>
      <c r="P989" t="s">
        <v>3963</v>
      </c>
      <c r="R989" t="s">
        <v>14572</v>
      </c>
    </row>
    <row r="990" spans="4:18">
      <c r="E990" t="s">
        <v>5591</v>
      </c>
      <c r="I990" t="s">
        <v>5437</v>
      </c>
      <c r="K990" t="s">
        <v>14573</v>
      </c>
      <c r="L990" t="s">
        <v>3963</v>
      </c>
      <c r="M990" t="s">
        <v>3963</v>
      </c>
      <c r="N990" t="s">
        <v>3963</v>
      </c>
      <c r="O990" t="s">
        <v>3963</v>
      </c>
      <c r="P990" t="s">
        <v>3963</v>
      </c>
      <c r="R990" t="s">
        <v>14573</v>
      </c>
    </row>
    <row r="991" spans="4:18">
      <c r="E991" t="s">
        <v>5592</v>
      </c>
      <c r="I991" t="s">
        <v>5552</v>
      </c>
      <c r="K991" t="s">
        <v>14574</v>
      </c>
      <c r="L991" t="s">
        <v>3963</v>
      </c>
      <c r="M991" t="s">
        <v>3963</v>
      </c>
      <c r="N991" t="s">
        <v>3963</v>
      </c>
      <c r="O991" t="s">
        <v>3963</v>
      </c>
      <c r="P991" t="s">
        <v>3963</v>
      </c>
      <c r="R991" t="s">
        <v>14574</v>
      </c>
    </row>
    <row r="992" spans="4:18">
      <c r="E992" t="s">
        <v>5593</v>
      </c>
      <c r="I992" t="s">
        <v>5441</v>
      </c>
      <c r="K992" t="s">
        <v>14575</v>
      </c>
      <c r="L992" t="s">
        <v>3963</v>
      </c>
      <c r="M992" t="s">
        <v>3963</v>
      </c>
      <c r="N992" t="s">
        <v>3963</v>
      </c>
      <c r="O992" t="s">
        <v>3963</v>
      </c>
      <c r="P992" t="s">
        <v>3963</v>
      </c>
      <c r="R992" t="s">
        <v>14575</v>
      </c>
    </row>
    <row r="993" spans="4:18">
      <c r="D993" t="s">
        <v>1027</v>
      </c>
      <c r="H993" t="s">
        <v>5594</v>
      </c>
      <c r="K993" t="s">
        <v>14576</v>
      </c>
      <c r="L993" t="s">
        <v>14577</v>
      </c>
      <c r="M993" t="s">
        <v>3963</v>
      </c>
      <c r="N993" t="s">
        <v>3963</v>
      </c>
      <c r="O993" t="s">
        <v>3963</v>
      </c>
      <c r="P993" t="s">
        <v>14577</v>
      </c>
      <c r="R993" t="s">
        <v>14578</v>
      </c>
    </row>
    <row r="994" spans="4:18">
      <c r="E994" t="s">
        <v>5595</v>
      </c>
      <c r="I994" t="s">
        <v>5596</v>
      </c>
      <c r="K994" t="s">
        <v>14579</v>
      </c>
      <c r="L994" t="s">
        <v>14580</v>
      </c>
      <c r="M994" t="s">
        <v>3963</v>
      </c>
      <c r="N994" t="s">
        <v>3963</v>
      </c>
      <c r="O994" t="s">
        <v>3963</v>
      </c>
      <c r="P994" t="s">
        <v>14580</v>
      </c>
      <c r="R994" t="s">
        <v>14581</v>
      </c>
    </row>
    <row r="995" spans="4:18">
      <c r="E995" t="s">
        <v>5597</v>
      </c>
      <c r="I995" t="s">
        <v>5598</v>
      </c>
      <c r="K995" t="s">
        <v>14582</v>
      </c>
      <c r="L995" t="s">
        <v>14582</v>
      </c>
      <c r="M995" t="s">
        <v>3963</v>
      </c>
      <c r="N995" t="s">
        <v>3963</v>
      </c>
      <c r="O995" t="s">
        <v>3963</v>
      </c>
      <c r="P995" t="s">
        <v>14582</v>
      </c>
      <c r="R995" t="s">
        <v>3963</v>
      </c>
    </row>
    <row r="996" spans="4:18">
      <c r="E996" t="s">
        <v>5599</v>
      </c>
      <c r="I996" t="s">
        <v>5600</v>
      </c>
      <c r="K996" t="s">
        <v>3963</v>
      </c>
      <c r="L996" t="s">
        <v>3963</v>
      </c>
      <c r="M996" t="s">
        <v>3963</v>
      </c>
      <c r="N996" t="s">
        <v>3963</v>
      </c>
      <c r="O996" t="s">
        <v>3963</v>
      </c>
      <c r="P996" t="s">
        <v>3963</v>
      </c>
      <c r="R996" t="s">
        <v>3963</v>
      </c>
    </row>
    <row r="997" spans="4:18">
      <c r="E997" t="s">
        <v>5601</v>
      </c>
      <c r="I997" t="s">
        <v>5602</v>
      </c>
      <c r="K997" t="s">
        <v>14583</v>
      </c>
      <c r="L997" t="s">
        <v>14584</v>
      </c>
      <c r="M997" t="s">
        <v>3963</v>
      </c>
      <c r="N997" t="s">
        <v>3963</v>
      </c>
      <c r="O997" t="s">
        <v>3963</v>
      </c>
      <c r="P997" t="s">
        <v>14584</v>
      </c>
      <c r="R997" t="s">
        <v>14585</v>
      </c>
    </row>
    <row r="998" spans="4:18">
      <c r="E998" t="s">
        <v>5603</v>
      </c>
      <c r="I998" t="s">
        <v>5572</v>
      </c>
      <c r="K998" t="s">
        <v>3963</v>
      </c>
      <c r="L998" t="s">
        <v>3963</v>
      </c>
      <c r="M998" t="s">
        <v>3963</v>
      </c>
      <c r="N998" t="s">
        <v>3963</v>
      </c>
      <c r="O998" t="s">
        <v>3963</v>
      </c>
      <c r="P998" t="s">
        <v>3963</v>
      </c>
      <c r="R998" t="s">
        <v>3963</v>
      </c>
    </row>
    <row r="999" spans="4:18">
      <c r="E999" t="s">
        <v>5604</v>
      </c>
      <c r="I999" t="s">
        <v>5480</v>
      </c>
      <c r="K999" t="s">
        <v>14586</v>
      </c>
      <c r="L999" t="s">
        <v>14587</v>
      </c>
      <c r="M999" t="s">
        <v>3963</v>
      </c>
      <c r="N999" t="s">
        <v>3963</v>
      </c>
      <c r="O999" t="s">
        <v>3963</v>
      </c>
      <c r="P999" t="s">
        <v>14587</v>
      </c>
      <c r="R999" t="s">
        <v>14588</v>
      </c>
    </row>
    <row r="1000" spans="4:18">
      <c r="E1000" t="s">
        <v>5605</v>
      </c>
      <c r="I1000" t="s">
        <v>5606</v>
      </c>
      <c r="K1000" t="s">
        <v>14589</v>
      </c>
      <c r="L1000" t="s">
        <v>14590</v>
      </c>
      <c r="M1000" t="s">
        <v>3963</v>
      </c>
      <c r="N1000" t="s">
        <v>3963</v>
      </c>
      <c r="O1000" t="s">
        <v>3963</v>
      </c>
      <c r="P1000" t="s">
        <v>14590</v>
      </c>
      <c r="R1000" t="s">
        <v>14591</v>
      </c>
    </row>
    <row r="1001" spans="4:18">
      <c r="D1001" t="s">
        <v>1024</v>
      </c>
      <c r="H1001" t="s">
        <v>5607</v>
      </c>
      <c r="K1001" t="s">
        <v>14592</v>
      </c>
      <c r="L1001" t="s">
        <v>20074</v>
      </c>
      <c r="M1001" t="s">
        <v>20075</v>
      </c>
      <c r="N1001" t="s">
        <v>19848</v>
      </c>
      <c r="O1001" t="s">
        <v>3963</v>
      </c>
      <c r="P1001" t="s">
        <v>20076</v>
      </c>
      <c r="R1001" t="s">
        <v>20077</v>
      </c>
    </row>
    <row r="1002" spans="4:18">
      <c r="E1002" t="s">
        <v>5608</v>
      </c>
      <c r="I1002" t="s">
        <v>5552</v>
      </c>
      <c r="K1002" t="s">
        <v>14593</v>
      </c>
      <c r="L1002" t="s">
        <v>20078</v>
      </c>
      <c r="M1002" t="s">
        <v>20079</v>
      </c>
      <c r="N1002" t="s">
        <v>19849</v>
      </c>
      <c r="O1002" t="s">
        <v>3963</v>
      </c>
      <c r="P1002" t="s">
        <v>20080</v>
      </c>
      <c r="R1002" t="s">
        <v>20081</v>
      </c>
    </row>
    <row r="1003" spans="4:18">
      <c r="E1003" t="s">
        <v>5609</v>
      </c>
      <c r="I1003" t="s">
        <v>5441</v>
      </c>
      <c r="K1003" t="s">
        <v>14594</v>
      </c>
      <c r="L1003" t="s">
        <v>14595</v>
      </c>
      <c r="M1003" t="s">
        <v>16283</v>
      </c>
      <c r="N1003" t="s">
        <v>19850</v>
      </c>
      <c r="O1003" t="s">
        <v>3963</v>
      </c>
      <c r="P1003" t="s">
        <v>19851</v>
      </c>
      <c r="R1003" t="s">
        <v>19852</v>
      </c>
    </row>
    <row r="1004" spans="4:18">
      <c r="E1004" t="s">
        <v>5610</v>
      </c>
      <c r="I1004" t="s">
        <v>5437</v>
      </c>
      <c r="K1004" t="s">
        <v>14596</v>
      </c>
      <c r="L1004" t="s">
        <v>14597</v>
      </c>
      <c r="M1004" t="s">
        <v>14598</v>
      </c>
      <c r="N1004" t="s">
        <v>3963</v>
      </c>
      <c r="O1004" t="s">
        <v>3963</v>
      </c>
      <c r="P1004" t="s">
        <v>14599</v>
      </c>
      <c r="R1004" t="s">
        <v>14600</v>
      </c>
    </row>
    <row r="1005" spans="4:18">
      <c r="D1005" t="s">
        <v>1025</v>
      </c>
      <c r="H1005" t="s">
        <v>5611</v>
      </c>
      <c r="K1005" t="s">
        <v>14601</v>
      </c>
      <c r="L1005" t="s">
        <v>14602</v>
      </c>
      <c r="M1005" t="s">
        <v>3963</v>
      </c>
      <c r="N1005" t="s">
        <v>3963</v>
      </c>
      <c r="O1005" t="s">
        <v>3963</v>
      </c>
      <c r="P1005" t="s">
        <v>14602</v>
      </c>
      <c r="R1005" t="s">
        <v>18711</v>
      </c>
    </row>
    <row r="1006" spans="4:18">
      <c r="E1006" t="s">
        <v>5612</v>
      </c>
      <c r="I1006" t="s">
        <v>5613</v>
      </c>
      <c r="K1006" t="s">
        <v>13595</v>
      </c>
      <c r="L1006" t="s">
        <v>3963</v>
      </c>
      <c r="M1006" t="s">
        <v>3963</v>
      </c>
      <c r="N1006" t="s">
        <v>3963</v>
      </c>
      <c r="O1006" t="s">
        <v>3963</v>
      </c>
      <c r="P1006" t="s">
        <v>3963</v>
      </c>
      <c r="R1006" t="s">
        <v>13595</v>
      </c>
    </row>
    <row r="1007" spans="4:18">
      <c r="E1007" t="s">
        <v>5614</v>
      </c>
      <c r="I1007" t="s">
        <v>5615</v>
      </c>
      <c r="K1007" t="s">
        <v>14603</v>
      </c>
      <c r="L1007" t="s">
        <v>3963</v>
      </c>
      <c r="M1007" t="s">
        <v>3963</v>
      </c>
      <c r="N1007" t="s">
        <v>3963</v>
      </c>
      <c r="O1007" t="s">
        <v>3963</v>
      </c>
      <c r="P1007" t="s">
        <v>3963</v>
      </c>
      <c r="R1007" t="s">
        <v>14603</v>
      </c>
    </row>
    <row r="1008" spans="4:18">
      <c r="E1008" t="s">
        <v>5616</v>
      </c>
      <c r="I1008" t="s">
        <v>5617</v>
      </c>
      <c r="K1008" t="s">
        <v>14604</v>
      </c>
      <c r="L1008" t="s">
        <v>3963</v>
      </c>
      <c r="M1008" t="s">
        <v>3963</v>
      </c>
      <c r="N1008" t="s">
        <v>3963</v>
      </c>
      <c r="O1008" t="s">
        <v>3963</v>
      </c>
      <c r="P1008" t="s">
        <v>3963</v>
      </c>
      <c r="R1008" t="s">
        <v>14604</v>
      </c>
    </row>
    <row r="1009" spans="4:18">
      <c r="E1009" t="s">
        <v>5618</v>
      </c>
      <c r="I1009" t="s">
        <v>5619</v>
      </c>
      <c r="K1009" t="s">
        <v>14605</v>
      </c>
      <c r="L1009" t="s">
        <v>14606</v>
      </c>
      <c r="M1009" t="s">
        <v>3963</v>
      </c>
      <c r="N1009" t="s">
        <v>3963</v>
      </c>
      <c r="O1009" t="s">
        <v>3963</v>
      </c>
      <c r="P1009" t="s">
        <v>14606</v>
      </c>
      <c r="R1009" t="s">
        <v>14607</v>
      </c>
    </row>
    <row r="1010" spans="4:18">
      <c r="E1010" t="s">
        <v>5620</v>
      </c>
      <c r="I1010" t="s">
        <v>5621</v>
      </c>
      <c r="K1010" t="s">
        <v>14608</v>
      </c>
      <c r="L1010" t="s">
        <v>14609</v>
      </c>
      <c r="M1010" t="s">
        <v>3963</v>
      </c>
      <c r="N1010" t="s">
        <v>3963</v>
      </c>
      <c r="O1010" t="s">
        <v>3963</v>
      </c>
      <c r="P1010" t="s">
        <v>14609</v>
      </c>
      <c r="R1010" t="s">
        <v>14610</v>
      </c>
    </row>
    <row r="1011" spans="4:18">
      <c r="E1011" t="s">
        <v>5622</v>
      </c>
      <c r="I1011" t="s">
        <v>5559</v>
      </c>
      <c r="K1011" t="s">
        <v>14611</v>
      </c>
      <c r="L1011" t="s">
        <v>3963</v>
      </c>
      <c r="M1011" t="s">
        <v>3963</v>
      </c>
      <c r="N1011" t="s">
        <v>3963</v>
      </c>
      <c r="O1011" t="s">
        <v>3963</v>
      </c>
      <c r="P1011" t="s">
        <v>3963</v>
      </c>
      <c r="R1011" t="s">
        <v>14611</v>
      </c>
    </row>
    <row r="1012" spans="4:18">
      <c r="E1012" t="s">
        <v>5623</v>
      </c>
      <c r="I1012" t="s">
        <v>5624</v>
      </c>
      <c r="K1012" t="s">
        <v>14612</v>
      </c>
      <c r="L1012" t="s">
        <v>3963</v>
      </c>
      <c r="M1012" t="s">
        <v>3963</v>
      </c>
      <c r="N1012" t="s">
        <v>3963</v>
      </c>
      <c r="O1012" t="s">
        <v>3963</v>
      </c>
      <c r="P1012" t="s">
        <v>3963</v>
      </c>
      <c r="R1012" t="s">
        <v>14612</v>
      </c>
    </row>
    <row r="1013" spans="4:18">
      <c r="E1013" t="s">
        <v>5625</v>
      </c>
      <c r="I1013" t="s">
        <v>5626</v>
      </c>
      <c r="K1013" t="s">
        <v>4201</v>
      </c>
      <c r="L1013" t="s">
        <v>3963</v>
      </c>
      <c r="M1013" t="s">
        <v>3963</v>
      </c>
      <c r="N1013" t="s">
        <v>3963</v>
      </c>
      <c r="O1013" t="s">
        <v>3963</v>
      </c>
      <c r="P1013" t="s">
        <v>3963</v>
      </c>
      <c r="R1013" t="s">
        <v>4201</v>
      </c>
    </row>
    <row r="1014" spans="4:18">
      <c r="D1014" t="s">
        <v>1026</v>
      </c>
      <c r="H1014" t="s">
        <v>5627</v>
      </c>
      <c r="K1014" t="s">
        <v>14613</v>
      </c>
      <c r="L1014" t="s">
        <v>14614</v>
      </c>
      <c r="M1014" t="s">
        <v>3963</v>
      </c>
      <c r="N1014" t="s">
        <v>3963</v>
      </c>
      <c r="O1014" t="s">
        <v>3963</v>
      </c>
      <c r="P1014" t="s">
        <v>14614</v>
      </c>
      <c r="R1014" t="s">
        <v>19193</v>
      </c>
    </row>
    <row r="1015" spans="4:18">
      <c r="E1015" t="s">
        <v>5628</v>
      </c>
      <c r="I1015" t="s">
        <v>5629</v>
      </c>
      <c r="K1015" t="s">
        <v>14615</v>
      </c>
      <c r="L1015" t="s">
        <v>14616</v>
      </c>
      <c r="M1015" t="s">
        <v>3963</v>
      </c>
      <c r="N1015" t="s">
        <v>3963</v>
      </c>
      <c r="O1015" t="s">
        <v>3963</v>
      </c>
      <c r="P1015" t="s">
        <v>14616</v>
      </c>
      <c r="R1015" t="s">
        <v>14617</v>
      </c>
    </row>
    <row r="1016" spans="4:18">
      <c r="E1016" t="s">
        <v>5630</v>
      </c>
      <c r="I1016" t="s">
        <v>5528</v>
      </c>
      <c r="K1016" t="s">
        <v>14618</v>
      </c>
      <c r="L1016" t="s">
        <v>14619</v>
      </c>
      <c r="M1016" t="s">
        <v>3963</v>
      </c>
      <c r="N1016" t="s">
        <v>3963</v>
      </c>
      <c r="O1016" t="s">
        <v>3963</v>
      </c>
      <c r="P1016" t="s">
        <v>14619</v>
      </c>
      <c r="R1016" t="s">
        <v>14620</v>
      </c>
    </row>
    <row r="1017" spans="4:18">
      <c r="E1017" t="s">
        <v>5631</v>
      </c>
      <c r="I1017" t="s">
        <v>5632</v>
      </c>
      <c r="K1017" t="s">
        <v>14621</v>
      </c>
      <c r="L1017" t="s">
        <v>3963</v>
      </c>
      <c r="M1017" t="s">
        <v>3963</v>
      </c>
      <c r="N1017" t="s">
        <v>3963</v>
      </c>
      <c r="O1017" t="s">
        <v>3963</v>
      </c>
      <c r="P1017" t="s">
        <v>3963</v>
      </c>
      <c r="R1017" t="s">
        <v>14621</v>
      </c>
    </row>
    <row r="1018" spans="4:18">
      <c r="E1018" t="s">
        <v>5633</v>
      </c>
      <c r="I1018" t="s">
        <v>5634</v>
      </c>
      <c r="K1018" t="s">
        <v>14622</v>
      </c>
      <c r="L1018" t="s">
        <v>14623</v>
      </c>
      <c r="M1018" t="s">
        <v>3963</v>
      </c>
      <c r="N1018" t="s">
        <v>3963</v>
      </c>
      <c r="O1018" t="s">
        <v>3963</v>
      </c>
      <c r="P1018" t="s">
        <v>14623</v>
      </c>
      <c r="R1018" t="s">
        <v>14624</v>
      </c>
    </row>
    <row r="1019" spans="4:18">
      <c r="E1019" t="s">
        <v>5635</v>
      </c>
      <c r="I1019" t="s">
        <v>5542</v>
      </c>
      <c r="K1019" t="s">
        <v>13178</v>
      </c>
      <c r="L1019" t="s">
        <v>14625</v>
      </c>
      <c r="M1019" t="s">
        <v>3963</v>
      </c>
      <c r="N1019" t="s">
        <v>3963</v>
      </c>
      <c r="O1019" t="s">
        <v>3963</v>
      </c>
      <c r="P1019" t="s">
        <v>14625</v>
      </c>
      <c r="R1019" t="s">
        <v>14626</v>
      </c>
    </row>
    <row r="1020" spans="4:18">
      <c r="E1020" t="s">
        <v>5636</v>
      </c>
      <c r="I1020" t="s">
        <v>5544</v>
      </c>
      <c r="K1020" t="s">
        <v>14428</v>
      </c>
      <c r="L1020" t="s">
        <v>14627</v>
      </c>
      <c r="M1020" t="s">
        <v>3963</v>
      </c>
      <c r="N1020" t="s">
        <v>3963</v>
      </c>
      <c r="O1020" t="s">
        <v>3963</v>
      </c>
      <c r="P1020" t="s">
        <v>14627</v>
      </c>
      <c r="R1020" t="s">
        <v>14628</v>
      </c>
    </row>
    <row r="1021" spans="4:18">
      <c r="E1021" t="s">
        <v>5637</v>
      </c>
      <c r="I1021" t="s">
        <v>5546</v>
      </c>
      <c r="K1021" t="s">
        <v>13080</v>
      </c>
      <c r="L1021" t="s">
        <v>14629</v>
      </c>
      <c r="M1021" t="s">
        <v>3963</v>
      </c>
      <c r="N1021" t="s">
        <v>3963</v>
      </c>
      <c r="O1021" t="s">
        <v>3963</v>
      </c>
      <c r="P1021" t="s">
        <v>14629</v>
      </c>
      <c r="R1021" t="s">
        <v>14630</v>
      </c>
    </row>
    <row r="1022" spans="4:18">
      <c r="E1022" t="s">
        <v>5638</v>
      </c>
      <c r="I1022" t="s">
        <v>5639</v>
      </c>
      <c r="K1022" t="s">
        <v>13248</v>
      </c>
      <c r="L1022" t="s">
        <v>14631</v>
      </c>
      <c r="M1022" t="s">
        <v>3963</v>
      </c>
      <c r="N1022" t="s">
        <v>3963</v>
      </c>
      <c r="O1022" t="s">
        <v>3963</v>
      </c>
      <c r="P1022" t="s">
        <v>14631</v>
      </c>
      <c r="R1022" t="s">
        <v>19194</v>
      </c>
    </row>
    <row r="1023" spans="4:18">
      <c r="D1023" t="s">
        <v>1014</v>
      </c>
      <c r="H1023" t="s">
        <v>5640</v>
      </c>
      <c r="K1023" t="s">
        <v>14632</v>
      </c>
      <c r="L1023" t="s">
        <v>14633</v>
      </c>
      <c r="M1023" t="s">
        <v>3963</v>
      </c>
      <c r="N1023" t="s">
        <v>3963</v>
      </c>
      <c r="O1023" t="s">
        <v>3963</v>
      </c>
      <c r="P1023" t="s">
        <v>14633</v>
      </c>
      <c r="R1023" t="s">
        <v>18712</v>
      </c>
    </row>
    <row r="1024" spans="4:18">
      <c r="E1024" t="s">
        <v>5641</v>
      </c>
      <c r="I1024" t="s">
        <v>5642</v>
      </c>
      <c r="K1024" t="s">
        <v>14634</v>
      </c>
      <c r="L1024" t="s">
        <v>14635</v>
      </c>
      <c r="M1024" t="s">
        <v>3963</v>
      </c>
      <c r="N1024" t="s">
        <v>3963</v>
      </c>
      <c r="O1024" t="s">
        <v>3963</v>
      </c>
      <c r="P1024" t="s">
        <v>14635</v>
      </c>
      <c r="R1024" t="s">
        <v>14636</v>
      </c>
    </row>
    <row r="1025" spans="4:18">
      <c r="E1025" t="s">
        <v>5643</v>
      </c>
      <c r="I1025" t="s">
        <v>5644</v>
      </c>
      <c r="K1025" t="s">
        <v>14637</v>
      </c>
      <c r="L1025" t="s">
        <v>14638</v>
      </c>
      <c r="M1025" t="s">
        <v>3963</v>
      </c>
      <c r="N1025" t="s">
        <v>3963</v>
      </c>
      <c r="O1025" t="s">
        <v>3963</v>
      </c>
      <c r="P1025" t="s">
        <v>14638</v>
      </c>
      <c r="R1025" t="s">
        <v>18713</v>
      </c>
    </row>
    <row r="1026" spans="4:18">
      <c r="D1026" t="s">
        <v>1101</v>
      </c>
      <c r="H1026" t="s">
        <v>5645</v>
      </c>
      <c r="K1026" t="s">
        <v>14639</v>
      </c>
      <c r="L1026" t="s">
        <v>14640</v>
      </c>
      <c r="M1026" t="s">
        <v>3963</v>
      </c>
      <c r="N1026" t="s">
        <v>3963</v>
      </c>
      <c r="O1026" t="s">
        <v>3963</v>
      </c>
      <c r="P1026" t="s">
        <v>14640</v>
      </c>
      <c r="R1026" t="s">
        <v>14641</v>
      </c>
    </row>
    <row r="1027" spans="4:18">
      <c r="E1027" t="s">
        <v>5646</v>
      </c>
      <c r="I1027" t="s">
        <v>5647</v>
      </c>
      <c r="K1027" t="s">
        <v>14642</v>
      </c>
      <c r="L1027" t="s">
        <v>14643</v>
      </c>
      <c r="M1027" t="s">
        <v>3963</v>
      </c>
      <c r="N1027" t="s">
        <v>3963</v>
      </c>
      <c r="O1027" t="s">
        <v>3963</v>
      </c>
      <c r="P1027" t="s">
        <v>14643</v>
      </c>
      <c r="R1027" t="s">
        <v>14644</v>
      </c>
    </row>
    <row r="1028" spans="4:18">
      <c r="E1028" t="s">
        <v>5648</v>
      </c>
      <c r="I1028" t="s">
        <v>5649</v>
      </c>
      <c r="K1028" t="s">
        <v>4182</v>
      </c>
      <c r="L1028" t="s">
        <v>14645</v>
      </c>
      <c r="M1028" t="s">
        <v>3963</v>
      </c>
      <c r="N1028" t="s">
        <v>3963</v>
      </c>
      <c r="O1028" t="s">
        <v>3963</v>
      </c>
      <c r="P1028" t="s">
        <v>14645</v>
      </c>
      <c r="R1028" t="s">
        <v>14646</v>
      </c>
    </row>
    <row r="1029" spans="4:18">
      <c r="D1029" t="s">
        <v>1116</v>
      </c>
      <c r="H1029" t="s">
        <v>5081</v>
      </c>
      <c r="K1029" t="s">
        <v>14647</v>
      </c>
      <c r="L1029" t="s">
        <v>19542</v>
      </c>
      <c r="M1029" t="s">
        <v>19899</v>
      </c>
      <c r="N1029" t="s">
        <v>20082</v>
      </c>
      <c r="O1029" t="s">
        <v>3963</v>
      </c>
      <c r="P1029" t="s">
        <v>20083</v>
      </c>
      <c r="R1029" t="s">
        <v>20084</v>
      </c>
    </row>
    <row r="1030" spans="4:18">
      <c r="E1030" t="s">
        <v>5650</v>
      </c>
      <c r="I1030" t="s">
        <v>5439</v>
      </c>
      <c r="K1030" t="s">
        <v>14648</v>
      </c>
      <c r="L1030" t="s">
        <v>19543</v>
      </c>
      <c r="M1030" t="s">
        <v>19899</v>
      </c>
      <c r="N1030" t="s">
        <v>20082</v>
      </c>
      <c r="O1030" t="s">
        <v>3963</v>
      </c>
      <c r="P1030" t="s">
        <v>20085</v>
      </c>
      <c r="R1030" t="s">
        <v>20086</v>
      </c>
    </row>
    <row r="1031" spans="4:18">
      <c r="E1031" t="s">
        <v>5651</v>
      </c>
      <c r="I1031" t="s">
        <v>5437</v>
      </c>
      <c r="K1031" t="s">
        <v>14649</v>
      </c>
      <c r="L1031" t="s">
        <v>14650</v>
      </c>
      <c r="M1031" t="s">
        <v>3963</v>
      </c>
      <c r="N1031" t="s">
        <v>3963</v>
      </c>
      <c r="O1031" t="s">
        <v>3963</v>
      </c>
      <c r="P1031" t="s">
        <v>14650</v>
      </c>
      <c r="R1031" t="s">
        <v>14651</v>
      </c>
    </row>
    <row r="1032" spans="4:18">
      <c r="E1032" t="s">
        <v>5652</v>
      </c>
      <c r="I1032" t="s">
        <v>5441</v>
      </c>
      <c r="K1032" t="s">
        <v>14652</v>
      </c>
      <c r="L1032" t="s">
        <v>3963</v>
      </c>
      <c r="M1032" t="s">
        <v>3963</v>
      </c>
      <c r="N1032" t="s">
        <v>3963</v>
      </c>
      <c r="O1032" t="s">
        <v>3963</v>
      </c>
      <c r="P1032" t="s">
        <v>3963</v>
      </c>
      <c r="R1032" t="s">
        <v>14652</v>
      </c>
    </row>
    <row r="1033" spans="4:18">
      <c r="E1033" t="s">
        <v>5653</v>
      </c>
      <c r="I1033" t="s">
        <v>5654</v>
      </c>
      <c r="K1033" t="s">
        <v>12814</v>
      </c>
      <c r="L1033" t="s">
        <v>3963</v>
      </c>
      <c r="M1033" t="s">
        <v>3963</v>
      </c>
      <c r="N1033" t="s">
        <v>3963</v>
      </c>
      <c r="O1033" t="s">
        <v>3963</v>
      </c>
      <c r="P1033" t="s">
        <v>3963</v>
      </c>
      <c r="R1033" t="s">
        <v>12814</v>
      </c>
    </row>
    <row r="1034" spans="4:18">
      <c r="D1034" t="s">
        <v>1146</v>
      </c>
      <c r="H1034" t="s">
        <v>5655</v>
      </c>
      <c r="K1034" t="s">
        <v>14653</v>
      </c>
      <c r="L1034" t="s">
        <v>14654</v>
      </c>
      <c r="M1034" t="s">
        <v>3963</v>
      </c>
      <c r="N1034" t="s">
        <v>3963</v>
      </c>
      <c r="O1034" t="s">
        <v>3963</v>
      </c>
      <c r="P1034" t="s">
        <v>14654</v>
      </c>
      <c r="R1034" t="s">
        <v>14655</v>
      </c>
    </row>
    <row r="1035" spans="4:18">
      <c r="E1035" t="s">
        <v>5656</v>
      </c>
      <c r="I1035" t="s">
        <v>5657</v>
      </c>
      <c r="K1035" t="s">
        <v>14653</v>
      </c>
      <c r="L1035" t="s">
        <v>14654</v>
      </c>
      <c r="M1035" t="s">
        <v>3963</v>
      </c>
      <c r="N1035" t="s">
        <v>3963</v>
      </c>
      <c r="O1035" t="s">
        <v>3963</v>
      </c>
      <c r="P1035" t="s">
        <v>14654</v>
      </c>
      <c r="R1035" t="s">
        <v>14655</v>
      </c>
    </row>
    <row r="1036" spans="4:18">
      <c r="D1036" t="s">
        <v>1159</v>
      </c>
      <c r="H1036" t="s">
        <v>5658</v>
      </c>
      <c r="K1036" t="s">
        <v>14656</v>
      </c>
      <c r="L1036" t="s">
        <v>14657</v>
      </c>
      <c r="M1036" t="s">
        <v>14658</v>
      </c>
      <c r="N1036" t="s">
        <v>14659</v>
      </c>
      <c r="O1036" t="s">
        <v>3963</v>
      </c>
      <c r="P1036" t="s">
        <v>14660</v>
      </c>
      <c r="R1036" t="s">
        <v>14661</v>
      </c>
    </row>
    <row r="1037" spans="4:18">
      <c r="E1037" t="s">
        <v>5659</v>
      </c>
      <c r="I1037" t="s">
        <v>5660</v>
      </c>
      <c r="K1037" t="s">
        <v>14662</v>
      </c>
      <c r="L1037" t="s">
        <v>14663</v>
      </c>
      <c r="M1037" t="s">
        <v>3963</v>
      </c>
      <c r="N1037" t="s">
        <v>3963</v>
      </c>
      <c r="O1037" t="s">
        <v>3963</v>
      </c>
      <c r="P1037" t="s">
        <v>14663</v>
      </c>
      <c r="R1037" t="s">
        <v>14664</v>
      </c>
    </row>
    <row r="1038" spans="4:18">
      <c r="E1038" t="s">
        <v>5661</v>
      </c>
      <c r="I1038" t="s">
        <v>5662</v>
      </c>
      <c r="K1038" t="s">
        <v>14665</v>
      </c>
      <c r="L1038" t="s">
        <v>14666</v>
      </c>
      <c r="M1038" t="s">
        <v>14667</v>
      </c>
      <c r="N1038" t="s">
        <v>3963</v>
      </c>
      <c r="O1038" t="s">
        <v>3963</v>
      </c>
      <c r="P1038" t="s">
        <v>14668</v>
      </c>
      <c r="R1038" t="s">
        <v>14669</v>
      </c>
    </row>
    <row r="1039" spans="4:18">
      <c r="E1039" t="s">
        <v>5663</v>
      </c>
      <c r="I1039" t="s">
        <v>5480</v>
      </c>
      <c r="K1039" t="s">
        <v>14670</v>
      </c>
      <c r="L1039" t="s">
        <v>14671</v>
      </c>
      <c r="M1039" t="s">
        <v>14672</v>
      </c>
      <c r="N1039" t="s">
        <v>3963</v>
      </c>
      <c r="O1039" t="s">
        <v>3963</v>
      </c>
      <c r="P1039" t="s">
        <v>14673</v>
      </c>
      <c r="R1039" t="s">
        <v>11454</v>
      </c>
    </row>
    <row r="1040" spans="4:18">
      <c r="E1040" t="s">
        <v>5664</v>
      </c>
      <c r="I1040" t="s">
        <v>5665</v>
      </c>
      <c r="K1040" t="s">
        <v>14674</v>
      </c>
      <c r="L1040" t="s">
        <v>14675</v>
      </c>
      <c r="M1040" t="s">
        <v>3963</v>
      </c>
      <c r="N1040" t="s">
        <v>14659</v>
      </c>
      <c r="O1040" t="s">
        <v>3963</v>
      </c>
      <c r="P1040" t="s">
        <v>14676</v>
      </c>
      <c r="R1040" t="s">
        <v>14677</v>
      </c>
    </row>
    <row r="1041" spans="4:18">
      <c r="E1041" t="s">
        <v>5666</v>
      </c>
      <c r="I1041" t="s">
        <v>5667</v>
      </c>
      <c r="K1041" t="s">
        <v>4021</v>
      </c>
      <c r="L1041" t="s">
        <v>14678</v>
      </c>
      <c r="M1041" t="s">
        <v>3963</v>
      </c>
      <c r="N1041" t="s">
        <v>3963</v>
      </c>
      <c r="O1041" t="s">
        <v>3963</v>
      </c>
      <c r="P1041" t="s">
        <v>14678</v>
      </c>
      <c r="R1041" t="s">
        <v>14679</v>
      </c>
    </row>
    <row r="1042" spans="4:18">
      <c r="D1042" t="s">
        <v>1152</v>
      </c>
      <c r="H1042" t="s">
        <v>5668</v>
      </c>
      <c r="K1042" t="s">
        <v>14680</v>
      </c>
      <c r="L1042" t="s">
        <v>14681</v>
      </c>
      <c r="M1042" t="s">
        <v>3963</v>
      </c>
      <c r="N1042" t="s">
        <v>16284</v>
      </c>
      <c r="O1042" t="s">
        <v>3963</v>
      </c>
      <c r="P1042" t="s">
        <v>16978</v>
      </c>
      <c r="R1042" t="s">
        <v>16979</v>
      </c>
    </row>
    <row r="1043" spans="4:18">
      <c r="E1043" t="s">
        <v>5669</v>
      </c>
      <c r="I1043" t="s">
        <v>5670</v>
      </c>
      <c r="K1043" t="s">
        <v>14682</v>
      </c>
      <c r="L1043" t="s">
        <v>14683</v>
      </c>
      <c r="M1043" t="s">
        <v>3963</v>
      </c>
      <c r="N1043" t="s">
        <v>3963</v>
      </c>
      <c r="O1043" t="s">
        <v>3963</v>
      </c>
      <c r="P1043" t="s">
        <v>14683</v>
      </c>
      <c r="R1043" t="s">
        <v>16980</v>
      </c>
    </row>
    <row r="1044" spans="4:18">
      <c r="E1044" t="s">
        <v>5671</v>
      </c>
      <c r="I1044" t="s">
        <v>5672</v>
      </c>
      <c r="K1044" t="s">
        <v>14684</v>
      </c>
      <c r="L1044" t="s">
        <v>14685</v>
      </c>
      <c r="M1044" t="s">
        <v>3963</v>
      </c>
      <c r="N1044" t="s">
        <v>3963</v>
      </c>
      <c r="O1044" t="s">
        <v>3963</v>
      </c>
      <c r="P1044" t="s">
        <v>14685</v>
      </c>
      <c r="R1044" t="s">
        <v>14686</v>
      </c>
    </row>
    <row r="1045" spans="4:18">
      <c r="E1045" t="s">
        <v>5673</v>
      </c>
      <c r="I1045" t="s">
        <v>5503</v>
      </c>
      <c r="K1045" t="s">
        <v>12518</v>
      </c>
      <c r="L1045" t="s">
        <v>3963</v>
      </c>
      <c r="M1045" t="s">
        <v>3963</v>
      </c>
      <c r="N1045" t="s">
        <v>3963</v>
      </c>
      <c r="O1045" t="s">
        <v>3963</v>
      </c>
      <c r="P1045" t="s">
        <v>3963</v>
      </c>
      <c r="R1045" t="s">
        <v>12518</v>
      </c>
    </row>
    <row r="1046" spans="4:18">
      <c r="E1046" t="s">
        <v>5674</v>
      </c>
      <c r="I1046" t="s">
        <v>5675</v>
      </c>
      <c r="K1046" t="s">
        <v>4995</v>
      </c>
      <c r="L1046" t="s">
        <v>14687</v>
      </c>
      <c r="M1046" t="s">
        <v>3963</v>
      </c>
      <c r="N1046" t="s">
        <v>16284</v>
      </c>
      <c r="O1046" t="s">
        <v>3963</v>
      </c>
      <c r="P1046" t="s">
        <v>16285</v>
      </c>
      <c r="R1046" t="s">
        <v>16286</v>
      </c>
    </row>
    <row r="1047" spans="4:18">
      <c r="E1047" t="s">
        <v>5676</v>
      </c>
      <c r="I1047" t="s">
        <v>5677</v>
      </c>
      <c r="K1047" t="s">
        <v>12518</v>
      </c>
      <c r="L1047" t="s">
        <v>3963</v>
      </c>
      <c r="M1047" t="s">
        <v>3963</v>
      </c>
      <c r="N1047" t="s">
        <v>3963</v>
      </c>
      <c r="O1047" t="s">
        <v>3963</v>
      </c>
      <c r="P1047" t="s">
        <v>3963</v>
      </c>
      <c r="R1047" t="s">
        <v>12518</v>
      </c>
    </row>
    <row r="1048" spans="4:18">
      <c r="E1048" t="s">
        <v>5678</v>
      </c>
      <c r="I1048" t="s">
        <v>5679</v>
      </c>
      <c r="K1048" t="s">
        <v>12764</v>
      </c>
      <c r="L1048" t="s">
        <v>3963</v>
      </c>
      <c r="M1048" t="s">
        <v>3963</v>
      </c>
      <c r="N1048" t="s">
        <v>3963</v>
      </c>
      <c r="O1048" t="s">
        <v>3963</v>
      </c>
      <c r="P1048" t="s">
        <v>3963</v>
      </c>
      <c r="R1048" t="s">
        <v>12764</v>
      </c>
    </row>
    <row r="1049" spans="4:18">
      <c r="E1049" t="s">
        <v>5680</v>
      </c>
      <c r="I1049" t="s">
        <v>5681</v>
      </c>
      <c r="K1049" t="s">
        <v>4661</v>
      </c>
      <c r="L1049" t="s">
        <v>14688</v>
      </c>
      <c r="M1049" t="s">
        <v>3963</v>
      </c>
      <c r="N1049" t="s">
        <v>3963</v>
      </c>
      <c r="O1049" t="s">
        <v>3963</v>
      </c>
      <c r="P1049" t="s">
        <v>14688</v>
      </c>
      <c r="R1049" t="s">
        <v>14689</v>
      </c>
    </row>
    <row r="1050" spans="4:18">
      <c r="E1050" t="s">
        <v>7042</v>
      </c>
      <c r="I1050" t="s">
        <v>7043</v>
      </c>
      <c r="K1050" t="s">
        <v>14690</v>
      </c>
      <c r="L1050" t="s">
        <v>3963</v>
      </c>
      <c r="M1050" t="s">
        <v>3963</v>
      </c>
      <c r="N1050" t="s">
        <v>3963</v>
      </c>
      <c r="O1050" t="s">
        <v>3963</v>
      </c>
      <c r="P1050" t="s">
        <v>3963</v>
      </c>
      <c r="R1050" t="s">
        <v>14690</v>
      </c>
    </row>
    <row r="1051" spans="4:18">
      <c r="D1051" t="s">
        <v>1155</v>
      </c>
      <c r="H1051" t="s">
        <v>5682</v>
      </c>
      <c r="K1051" t="s">
        <v>14691</v>
      </c>
      <c r="L1051" t="s">
        <v>14692</v>
      </c>
      <c r="M1051" t="s">
        <v>18501</v>
      </c>
      <c r="N1051" t="s">
        <v>3963</v>
      </c>
      <c r="O1051" t="s">
        <v>3963</v>
      </c>
      <c r="P1051" t="s">
        <v>18714</v>
      </c>
      <c r="R1051" t="s">
        <v>18715</v>
      </c>
    </row>
    <row r="1052" spans="4:18">
      <c r="E1052" t="s">
        <v>5683</v>
      </c>
      <c r="I1052" t="s">
        <v>5684</v>
      </c>
      <c r="K1052" t="s">
        <v>14693</v>
      </c>
      <c r="L1052" t="s">
        <v>14694</v>
      </c>
      <c r="M1052" t="s">
        <v>3963</v>
      </c>
      <c r="N1052" t="s">
        <v>3963</v>
      </c>
      <c r="O1052" t="s">
        <v>3963</v>
      </c>
      <c r="P1052" t="s">
        <v>14694</v>
      </c>
      <c r="R1052" t="s">
        <v>18716</v>
      </c>
    </row>
    <row r="1053" spans="4:18">
      <c r="E1053" t="s">
        <v>5685</v>
      </c>
      <c r="I1053" t="s">
        <v>5686</v>
      </c>
      <c r="K1053" t="s">
        <v>14695</v>
      </c>
      <c r="L1053" t="s">
        <v>14696</v>
      </c>
      <c r="M1053" t="s">
        <v>3963</v>
      </c>
      <c r="N1053" t="s">
        <v>3963</v>
      </c>
      <c r="O1053" t="s">
        <v>3963</v>
      </c>
      <c r="P1053" t="s">
        <v>14696</v>
      </c>
      <c r="R1053" t="s">
        <v>14697</v>
      </c>
    </row>
    <row r="1054" spans="4:18">
      <c r="E1054" t="s">
        <v>5687</v>
      </c>
      <c r="I1054" t="s">
        <v>5688</v>
      </c>
      <c r="K1054" t="s">
        <v>14698</v>
      </c>
      <c r="L1054" t="s">
        <v>14699</v>
      </c>
      <c r="M1054" t="s">
        <v>3963</v>
      </c>
      <c r="N1054" t="s">
        <v>3963</v>
      </c>
      <c r="O1054" t="s">
        <v>3963</v>
      </c>
      <c r="P1054" t="s">
        <v>14699</v>
      </c>
      <c r="R1054" t="s">
        <v>14700</v>
      </c>
    </row>
    <row r="1055" spans="4:18">
      <c r="E1055" t="s">
        <v>5689</v>
      </c>
      <c r="I1055" t="s">
        <v>5690</v>
      </c>
      <c r="K1055" t="s">
        <v>14701</v>
      </c>
      <c r="L1055" t="s">
        <v>14702</v>
      </c>
      <c r="M1055" t="s">
        <v>3963</v>
      </c>
      <c r="N1055" t="s">
        <v>3963</v>
      </c>
      <c r="O1055" t="s">
        <v>3963</v>
      </c>
      <c r="P1055" t="s">
        <v>14702</v>
      </c>
      <c r="R1055" t="s">
        <v>14703</v>
      </c>
    </row>
    <row r="1056" spans="4:18">
      <c r="E1056" t="s">
        <v>5691</v>
      </c>
      <c r="I1056" t="s">
        <v>5692</v>
      </c>
      <c r="K1056" t="s">
        <v>14704</v>
      </c>
      <c r="L1056" t="s">
        <v>14705</v>
      </c>
      <c r="M1056" t="s">
        <v>3963</v>
      </c>
      <c r="N1056" t="s">
        <v>3963</v>
      </c>
      <c r="O1056" t="s">
        <v>3963</v>
      </c>
      <c r="P1056" t="s">
        <v>14705</v>
      </c>
      <c r="R1056" t="s">
        <v>14706</v>
      </c>
    </row>
    <row r="1057" spans="4:18">
      <c r="E1057" t="s">
        <v>5693</v>
      </c>
      <c r="I1057" t="s">
        <v>5694</v>
      </c>
      <c r="K1057" t="s">
        <v>14707</v>
      </c>
      <c r="L1057" t="s">
        <v>14708</v>
      </c>
      <c r="M1057" t="s">
        <v>3963</v>
      </c>
      <c r="N1057" t="s">
        <v>3963</v>
      </c>
      <c r="O1057" t="s">
        <v>3963</v>
      </c>
      <c r="P1057" t="s">
        <v>14708</v>
      </c>
      <c r="R1057" t="s">
        <v>14709</v>
      </c>
    </row>
    <row r="1058" spans="4:18">
      <c r="E1058" t="s">
        <v>5695</v>
      </c>
      <c r="I1058" t="s">
        <v>5696</v>
      </c>
      <c r="K1058" t="s">
        <v>14710</v>
      </c>
      <c r="L1058" t="s">
        <v>14711</v>
      </c>
      <c r="M1058" t="s">
        <v>3963</v>
      </c>
      <c r="N1058" t="s">
        <v>3963</v>
      </c>
      <c r="O1058" t="s">
        <v>3963</v>
      </c>
      <c r="P1058" t="s">
        <v>14711</v>
      </c>
      <c r="R1058" t="s">
        <v>16981</v>
      </c>
    </row>
    <row r="1059" spans="4:18">
      <c r="E1059" t="s">
        <v>5697</v>
      </c>
      <c r="I1059" t="s">
        <v>4674</v>
      </c>
      <c r="K1059" t="s">
        <v>14712</v>
      </c>
      <c r="L1059" t="s">
        <v>14713</v>
      </c>
      <c r="M1059" t="s">
        <v>3963</v>
      </c>
      <c r="N1059" t="s">
        <v>3963</v>
      </c>
      <c r="O1059" t="s">
        <v>3963</v>
      </c>
      <c r="P1059" t="s">
        <v>14713</v>
      </c>
      <c r="R1059" t="s">
        <v>16982</v>
      </c>
    </row>
    <row r="1060" spans="4:18">
      <c r="E1060" t="s">
        <v>5698</v>
      </c>
      <c r="I1060" t="s">
        <v>5699</v>
      </c>
      <c r="K1060" t="s">
        <v>5700</v>
      </c>
      <c r="L1060" t="s">
        <v>14714</v>
      </c>
      <c r="M1060" t="s">
        <v>3963</v>
      </c>
      <c r="N1060" t="s">
        <v>3963</v>
      </c>
      <c r="O1060" t="s">
        <v>3963</v>
      </c>
      <c r="P1060" t="s">
        <v>14714</v>
      </c>
      <c r="R1060" t="s">
        <v>17289</v>
      </c>
    </row>
    <row r="1061" spans="4:18">
      <c r="E1061" t="s">
        <v>5701</v>
      </c>
      <c r="I1061" t="s">
        <v>5699</v>
      </c>
      <c r="K1061" t="s">
        <v>14715</v>
      </c>
      <c r="L1061" t="s">
        <v>14716</v>
      </c>
      <c r="M1061" t="s">
        <v>17112</v>
      </c>
      <c r="N1061" t="s">
        <v>3963</v>
      </c>
      <c r="O1061" t="s">
        <v>3963</v>
      </c>
      <c r="P1061" t="s">
        <v>17113</v>
      </c>
      <c r="R1061" t="s">
        <v>17114</v>
      </c>
    </row>
    <row r="1062" spans="4:18">
      <c r="E1062" t="s">
        <v>5702</v>
      </c>
      <c r="I1062" t="s">
        <v>5703</v>
      </c>
      <c r="K1062" t="s">
        <v>14717</v>
      </c>
      <c r="L1062" t="s">
        <v>14718</v>
      </c>
      <c r="M1062" t="s">
        <v>3963</v>
      </c>
      <c r="N1062" t="s">
        <v>3963</v>
      </c>
      <c r="O1062" t="s">
        <v>3963</v>
      </c>
      <c r="P1062" t="s">
        <v>14718</v>
      </c>
      <c r="R1062" t="s">
        <v>14719</v>
      </c>
    </row>
    <row r="1063" spans="4:18">
      <c r="E1063" t="s">
        <v>5704</v>
      </c>
      <c r="I1063" t="s">
        <v>5705</v>
      </c>
      <c r="K1063" t="s">
        <v>14720</v>
      </c>
      <c r="L1063" t="s">
        <v>14721</v>
      </c>
      <c r="M1063" t="s">
        <v>3963</v>
      </c>
      <c r="N1063" t="s">
        <v>3963</v>
      </c>
      <c r="O1063" t="s">
        <v>3963</v>
      </c>
      <c r="P1063" t="s">
        <v>14721</v>
      </c>
      <c r="R1063" t="s">
        <v>5706</v>
      </c>
    </row>
    <row r="1064" spans="4:18">
      <c r="E1064" t="s">
        <v>5707</v>
      </c>
      <c r="I1064" t="s">
        <v>5708</v>
      </c>
      <c r="K1064" t="s">
        <v>14722</v>
      </c>
      <c r="L1064" t="s">
        <v>14723</v>
      </c>
      <c r="M1064" t="s">
        <v>14516</v>
      </c>
      <c r="N1064" t="s">
        <v>3963</v>
      </c>
      <c r="O1064" t="s">
        <v>3963</v>
      </c>
      <c r="P1064" t="s">
        <v>14724</v>
      </c>
      <c r="R1064" t="s">
        <v>14725</v>
      </c>
    </row>
    <row r="1065" spans="4:18">
      <c r="E1065" t="s">
        <v>5709</v>
      </c>
      <c r="I1065" t="s">
        <v>5710</v>
      </c>
      <c r="K1065" t="s">
        <v>14726</v>
      </c>
      <c r="L1065" t="s">
        <v>14727</v>
      </c>
      <c r="M1065" t="s">
        <v>3963</v>
      </c>
      <c r="N1065" t="s">
        <v>3963</v>
      </c>
      <c r="O1065" t="s">
        <v>3963</v>
      </c>
      <c r="P1065" t="s">
        <v>14727</v>
      </c>
      <c r="R1065" t="s">
        <v>14728</v>
      </c>
    </row>
    <row r="1066" spans="4:18">
      <c r="E1066" t="s">
        <v>5711</v>
      </c>
      <c r="I1066" t="s">
        <v>5712</v>
      </c>
      <c r="K1066" t="s">
        <v>13860</v>
      </c>
      <c r="L1066" t="s">
        <v>14729</v>
      </c>
      <c r="M1066" t="s">
        <v>3963</v>
      </c>
      <c r="N1066" t="s">
        <v>3963</v>
      </c>
      <c r="O1066" t="s">
        <v>3963</v>
      </c>
      <c r="P1066" t="s">
        <v>14729</v>
      </c>
      <c r="R1066" t="s">
        <v>14730</v>
      </c>
    </row>
    <row r="1067" spans="4:18">
      <c r="E1067" t="s">
        <v>5713</v>
      </c>
      <c r="I1067" t="s">
        <v>5714</v>
      </c>
      <c r="K1067" t="s">
        <v>12744</v>
      </c>
      <c r="L1067" t="s">
        <v>14731</v>
      </c>
      <c r="M1067" t="s">
        <v>3963</v>
      </c>
      <c r="N1067" t="s">
        <v>3963</v>
      </c>
      <c r="O1067" t="s">
        <v>3963</v>
      </c>
      <c r="P1067" t="s">
        <v>14731</v>
      </c>
      <c r="R1067" t="s">
        <v>7034</v>
      </c>
    </row>
    <row r="1068" spans="4:18">
      <c r="D1068" t="s">
        <v>1156</v>
      </c>
      <c r="H1068" t="s">
        <v>5715</v>
      </c>
      <c r="K1068" t="s">
        <v>14732</v>
      </c>
      <c r="L1068" t="s">
        <v>14733</v>
      </c>
      <c r="M1068" t="s">
        <v>3963</v>
      </c>
      <c r="N1068" t="s">
        <v>3963</v>
      </c>
      <c r="O1068" t="s">
        <v>3963</v>
      </c>
      <c r="P1068" t="s">
        <v>14733</v>
      </c>
      <c r="R1068" t="s">
        <v>14734</v>
      </c>
    </row>
    <row r="1069" spans="4:18">
      <c r="E1069" t="s">
        <v>5716</v>
      </c>
      <c r="I1069" t="s">
        <v>5717</v>
      </c>
      <c r="K1069" t="s">
        <v>14735</v>
      </c>
      <c r="L1069" t="s">
        <v>14736</v>
      </c>
      <c r="M1069" t="s">
        <v>3963</v>
      </c>
      <c r="N1069" t="s">
        <v>3963</v>
      </c>
      <c r="O1069" t="s">
        <v>3963</v>
      </c>
      <c r="P1069" t="s">
        <v>14736</v>
      </c>
      <c r="R1069" t="s">
        <v>14737</v>
      </c>
    </row>
    <row r="1070" spans="4:18">
      <c r="E1070" t="s">
        <v>5718</v>
      </c>
      <c r="I1070" t="s">
        <v>5267</v>
      </c>
      <c r="K1070" t="s">
        <v>14738</v>
      </c>
      <c r="L1070" t="s">
        <v>14739</v>
      </c>
      <c r="M1070" t="s">
        <v>3963</v>
      </c>
      <c r="N1070" t="s">
        <v>3963</v>
      </c>
      <c r="O1070" t="s">
        <v>3963</v>
      </c>
      <c r="P1070" t="s">
        <v>14739</v>
      </c>
      <c r="R1070" t="s">
        <v>14740</v>
      </c>
    </row>
    <row r="1071" spans="4:18">
      <c r="D1071" t="s">
        <v>1351</v>
      </c>
      <c r="H1071" t="s">
        <v>5719</v>
      </c>
      <c r="K1071" t="s">
        <v>14741</v>
      </c>
      <c r="L1071" t="s">
        <v>14742</v>
      </c>
      <c r="M1071" t="s">
        <v>3963</v>
      </c>
      <c r="N1071" t="s">
        <v>3963</v>
      </c>
      <c r="O1071" t="s">
        <v>3963</v>
      </c>
      <c r="P1071" t="s">
        <v>14742</v>
      </c>
      <c r="R1071" t="s">
        <v>14743</v>
      </c>
    </row>
    <row r="1072" spans="4:18">
      <c r="E1072" t="s">
        <v>5720</v>
      </c>
      <c r="I1072" t="s">
        <v>5721</v>
      </c>
      <c r="K1072" t="s">
        <v>14744</v>
      </c>
      <c r="L1072" t="s">
        <v>14745</v>
      </c>
      <c r="M1072" t="s">
        <v>3963</v>
      </c>
      <c r="N1072" t="s">
        <v>3963</v>
      </c>
      <c r="O1072" t="s">
        <v>3963</v>
      </c>
      <c r="P1072" t="s">
        <v>14745</v>
      </c>
      <c r="R1072" t="s">
        <v>14746</v>
      </c>
    </row>
    <row r="1073" spans="4:18">
      <c r="E1073" t="s">
        <v>5722</v>
      </c>
      <c r="I1073" t="s">
        <v>5723</v>
      </c>
      <c r="K1073" t="s">
        <v>14747</v>
      </c>
      <c r="L1073" t="s">
        <v>14748</v>
      </c>
      <c r="M1073" t="s">
        <v>3963</v>
      </c>
      <c r="N1073" t="s">
        <v>3963</v>
      </c>
      <c r="O1073" t="s">
        <v>3963</v>
      </c>
      <c r="P1073" t="s">
        <v>14748</v>
      </c>
      <c r="R1073" t="s">
        <v>14749</v>
      </c>
    </row>
    <row r="1074" spans="4:18">
      <c r="E1074" t="s">
        <v>5724</v>
      </c>
      <c r="I1074" t="s">
        <v>5725</v>
      </c>
      <c r="K1074" t="s">
        <v>5377</v>
      </c>
      <c r="L1074" t="s">
        <v>14750</v>
      </c>
      <c r="M1074" t="s">
        <v>3963</v>
      </c>
      <c r="N1074" t="s">
        <v>3963</v>
      </c>
      <c r="O1074" t="s">
        <v>3963</v>
      </c>
      <c r="P1074" t="s">
        <v>14750</v>
      </c>
      <c r="R1074" t="s">
        <v>5726</v>
      </c>
    </row>
    <row r="1075" spans="4:18">
      <c r="D1075" t="s">
        <v>1282</v>
      </c>
      <c r="H1075" t="s">
        <v>5727</v>
      </c>
      <c r="K1075" t="s">
        <v>14751</v>
      </c>
      <c r="L1075" t="s">
        <v>14752</v>
      </c>
      <c r="M1075" t="s">
        <v>3963</v>
      </c>
      <c r="N1075" t="s">
        <v>3963</v>
      </c>
      <c r="O1075" t="s">
        <v>3963</v>
      </c>
      <c r="P1075" t="s">
        <v>14752</v>
      </c>
      <c r="R1075" t="s">
        <v>14753</v>
      </c>
    </row>
    <row r="1076" spans="4:18">
      <c r="E1076" t="s">
        <v>5728</v>
      </c>
      <c r="I1076" t="s">
        <v>5729</v>
      </c>
      <c r="K1076" t="s">
        <v>14754</v>
      </c>
      <c r="L1076" t="s">
        <v>14755</v>
      </c>
      <c r="M1076" t="s">
        <v>3963</v>
      </c>
      <c r="N1076" t="s">
        <v>3963</v>
      </c>
      <c r="O1076" t="s">
        <v>3963</v>
      </c>
      <c r="P1076" t="s">
        <v>14755</v>
      </c>
      <c r="R1076" t="s">
        <v>14756</v>
      </c>
    </row>
    <row r="1077" spans="4:18">
      <c r="E1077" t="s">
        <v>5730</v>
      </c>
      <c r="I1077" t="s">
        <v>5731</v>
      </c>
      <c r="K1077" t="s">
        <v>14757</v>
      </c>
      <c r="L1077" t="s">
        <v>14758</v>
      </c>
      <c r="M1077" t="s">
        <v>3963</v>
      </c>
      <c r="N1077" t="s">
        <v>3963</v>
      </c>
      <c r="O1077" t="s">
        <v>3963</v>
      </c>
      <c r="P1077" t="s">
        <v>14758</v>
      </c>
      <c r="R1077" t="s">
        <v>14759</v>
      </c>
    </row>
    <row r="1078" spans="4:18">
      <c r="E1078" t="s">
        <v>5732</v>
      </c>
      <c r="I1078" t="s">
        <v>5733</v>
      </c>
      <c r="K1078" t="s">
        <v>14760</v>
      </c>
      <c r="L1078" t="s">
        <v>14761</v>
      </c>
      <c r="M1078" t="s">
        <v>3963</v>
      </c>
      <c r="N1078" t="s">
        <v>3963</v>
      </c>
      <c r="O1078" t="s">
        <v>3963</v>
      </c>
      <c r="P1078" t="s">
        <v>14761</v>
      </c>
      <c r="R1078" t="s">
        <v>14762</v>
      </c>
    </row>
    <row r="1079" spans="4:18">
      <c r="D1079" t="s">
        <v>1337</v>
      </c>
      <c r="H1079" t="s">
        <v>5734</v>
      </c>
      <c r="K1079" t="s">
        <v>6957</v>
      </c>
      <c r="L1079" t="s">
        <v>14763</v>
      </c>
      <c r="M1079" t="s">
        <v>3963</v>
      </c>
      <c r="N1079" t="s">
        <v>3963</v>
      </c>
      <c r="O1079" t="s">
        <v>3963</v>
      </c>
      <c r="P1079" t="s">
        <v>14763</v>
      </c>
      <c r="R1079" t="s">
        <v>14764</v>
      </c>
    </row>
    <row r="1080" spans="4:18">
      <c r="E1080" t="s">
        <v>5735</v>
      </c>
      <c r="I1080" t="s">
        <v>5634</v>
      </c>
      <c r="K1080" t="s">
        <v>14765</v>
      </c>
      <c r="L1080" t="s">
        <v>14766</v>
      </c>
      <c r="M1080" t="s">
        <v>3963</v>
      </c>
      <c r="N1080" t="s">
        <v>3963</v>
      </c>
      <c r="O1080" t="s">
        <v>3963</v>
      </c>
      <c r="P1080" t="s">
        <v>14766</v>
      </c>
      <c r="R1080" t="s">
        <v>14767</v>
      </c>
    </row>
    <row r="1081" spans="4:18">
      <c r="E1081" t="s">
        <v>5736</v>
      </c>
      <c r="I1081" t="s">
        <v>5737</v>
      </c>
      <c r="K1081" t="s">
        <v>5321</v>
      </c>
      <c r="L1081" t="s">
        <v>14768</v>
      </c>
      <c r="M1081" t="s">
        <v>3963</v>
      </c>
      <c r="N1081" t="s">
        <v>3963</v>
      </c>
      <c r="O1081" t="s">
        <v>3963</v>
      </c>
      <c r="P1081" t="s">
        <v>14768</v>
      </c>
      <c r="R1081" t="s">
        <v>14769</v>
      </c>
    </row>
    <row r="1082" spans="4:18">
      <c r="E1082" t="s">
        <v>5738</v>
      </c>
      <c r="I1082" t="s">
        <v>5546</v>
      </c>
      <c r="K1082" t="s">
        <v>13801</v>
      </c>
      <c r="L1082" t="s">
        <v>14770</v>
      </c>
      <c r="M1082" t="s">
        <v>3963</v>
      </c>
      <c r="N1082" t="s">
        <v>3963</v>
      </c>
      <c r="O1082" t="s">
        <v>3963</v>
      </c>
      <c r="P1082" t="s">
        <v>14770</v>
      </c>
      <c r="R1082" t="s">
        <v>14771</v>
      </c>
    </row>
    <row r="1083" spans="4:18">
      <c r="E1083" t="s">
        <v>5739</v>
      </c>
      <c r="I1083" t="s">
        <v>5740</v>
      </c>
      <c r="K1083" t="s">
        <v>14772</v>
      </c>
      <c r="L1083" t="s">
        <v>14773</v>
      </c>
      <c r="M1083" t="s">
        <v>3963</v>
      </c>
      <c r="N1083" t="s">
        <v>3963</v>
      </c>
      <c r="O1083" t="s">
        <v>3963</v>
      </c>
      <c r="P1083" t="s">
        <v>14773</v>
      </c>
      <c r="R1083" t="s">
        <v>14774</v>
      </c>
    </row>
    <row r="1084" spans="4:18">
      <c r="D1084" t="s">
        <v>1315</v>
      </c>
      <c r="H1084" t="s">
        <v>5741</v>
      </c>
      <c r="K1084" t="s">
        <v>14775</v>
      </c>
      <c r="L1084" t="s">
        <v>14776</v>
      </c>
      <c r="M1084" t="s">
        <v>18717</v>
      </c>
      <c r="N1084" t="s">
        <v>14779</v>
      </c>
      <c r="O1084" t="s">
        <v>3963</v>
      </c>
      <c r="P1084" t="s">
        <v>18718</v>
      </c>
      <c r="R1084" t="s">
        <v>18719</v>
      </c>
    </row>
    <row r="1085" spans="4:18">
      <c r="E1085" t="s">
        <v>5742</v>
      </c>
      <c r="I1085" t="s">
        <v>5743</v>
      </c>
      <c r="K1085" t="s">
        <v>14777</v>
      </c>
      <c r="L1085" t="s">
        <v>14778</v>
      </c>
      <c r="M1085" t="s">
        <v>3963</v>
      </c>
      <c r="N1085" t="s">
        <v>14779</v>
      </c>
      <c r="O1085" t="s">
        <v>3963</v>
      </c>
      <c r="P1085" t="s">
        <v>14780</v>
      </c>
      <c r="R1085" t="s">
        <v>14781</v>
      </c>
    </row>
    <row r="1086" spans="4:18">
      <c r="E1086" t="s">
        <v>5744</v>
      </c>
      <c r="I1086" t="s">
        <v>5745</v>
      </c>
      <c r="K1086" t="s">
        <v>14782</v>
      </c>
      <c r="L1086" t="s">
        <v>14783</v>
      </c>
      <c r="M1086" t="s">
        <v>3963</v>
      </c>
      <c r="N1086" t="s">
        <v>3963</v>
      </c>
      <c r="O1086" t="s">
        <v>3963</v>
      </c>
      <c r="P1086" t="s">
        <v>14783</v>
      </c>
      <c r="R1086" t="s">
        <v>14784</v>
      </c>
    </row>
    <row r="1087" spans="4:18">
      <c r="E1087" t="s">
        <v>5746</v>
      </c>
      <c r="I1087" t="s">
        <v>5747</v>
      </c>
      <c r="K1087" t="s">
        <v>14785</v>
      </c>
      <c r="L1087" t="s">
        <v>14786</v>
      </c>
      <c r="M1087" t="s">
        <v>14787</v>
      </c>
      <c r="N1087" t="s">
        <v>3963</v>
      </c>
      <c r="O1087" t="s">
        <v>3963</v>
      </c>
      <c r="P1087" t="s">
        <v>14788</v>
      </c>
      <c r="R1087" t="s">
        <v>14789</v>
      </c>
    </row>
    <row r="1088" spans="4:18">
      <c r="E1088" t="s">
        <v>5748</v>
      </c>
      <c r="I1088" t="s">
        <v>5749</v>
      </c>
      <c r="K1088" t="s">
        <v>14790</v>
      </c>
      <c r="L1088" t="s">
        <v>14791</v>
      </c>
      <c r="M1088" t="s">
        <v>3963</v>
      </c>
      <c r="N1088" t="s">
        <v>3963</v>
      </c>
      <c r="O1088" t="s">
        <v>3963</v>
      </c>
      <c r="P1088" t="s">
        <v>14791</v>
      </c>
      <c r="R1088" t="s">
        <v>16983</v>
      </c>
    </row>
    <row r="1089" spans="4:18">
      <c r="E1089" t="s">
        <v>5750</v>
      </c>
      <c r="I1089" t="s">
        <v>5751</v>
      </c>
      <c r="K1089" t="s">
        <v>14792</v>
      </c>
      <c r="L1089" t="s">
        <v>14793</v>
      </c>
      <c r="M1089" t="s">
        <v>18720</v>
      </c>
      <c r="N1089" t="s">
        <v>3963</v>
      </c>
      <c r="O1089" t="s">
        <v>3963</v>
      </c>
      <c r="P1089" t="s">
        <v>18721</v>
      </c>
      <c r="R1089" t="s">
        <v>18722</v>
      </c>
    </row>
    <row r="1090" spans="4:18">
      <c r="E1090" t="s">
        <v>5752</v>
      </c>
      <c r="I1090" t="s">
        <v>5753</v>
      </c>
      <c r="K1090" t="s">
        <v>14794</v>
      </c>
      <c r="L1090" t="s">
        <v>14795</v>
      </c>
      <c r="M1090" t="s">
        <v>14796</v>
      </c>
      <c r="N1090" t="s">
        <v>3963</v>
      </c>
      <c r="O1090" t="s">
        <v>3963</v>
      </c>
      <c r="P1090" t="s">
        <v>14797</v>
      </c>
      <c r="R1090" t="s">
        <v>14798</v>
      </c>
    </row>
    <row r="1091" spans="4:18">
      <c r="E1091" t="s">
        <v>5754</v>
      </c>
      <c r="I1091" t="s">
        <v>5755</v>
      </c>
      <c r="K1091" t="s">
        <v>14799</v>
      </c>
      <c r="L1091" t="s">
        <v>14800</v>
      </c>
      <c r="M1091" t="s">
        <v>17329</v>
      </c>
      <c r="N1091" t="s">
        <v>3963</v>
      </c>
      <c r="O1091" t="s">
        <v>3963</v>
      </c>
      <c r="P1091" t="s">
        <v>17330</v>
      </c>
      <c r="R1091" t="s">
        <v>17331</v>
      </c>
    </row>
    <row r="1092" spans="4:18">
      <c r="E1092" t="s">
        <v>5756</v>
      </c>
      <c r="I1092" t="s">
        <v>5757</v>
      </c>
      <c r="K1092" t="s">
        <v>14801</v>
      </c>
      <c r="L1092" t="s">
        <v>3963</v>
      </c>
      <c r="M1092" t="s">
        <v>3963</v>
      </c>
      <c r="N1092" t="s">
        <v>3963</v>
      </c>
      <c r="O1092" t="s">
        <v>3963</v>
      </c>
      <c r="P1092" t="s">
        <v>3963</v>
      </c>
      <c r="R1092" t="s">
        <v>14801</v>
      </c>
    </row>
    <row r="1093" spans="4:18">
      <c r="D1093" t="s">
        <v>1361</v>
      </c>
      <c r="H1093" t="s">
        <v>5758</v>
      </c>
      <c r="K1093" t="s">
        <v>14802</v>
      </c>
      <c r="L1093" t="s">
        <v>14803</v>
      </c>
      <c r="M1093" t="s">
        <v>3963</v>
      </c>
      <c r="N1093" t="s">
        <v>3963</v>
      </c>
      <c r="O1093" t="s">
        <v>3963</v>
      </c>
      <c r="P1093" t="s">
        <v>14803</v>
      </c>
      <c r="R1093" t="s">
        <v>14804</v>
      </c>
    </row>
    <row r="1094" spans="4:18">
      <c r="E1094" t="s">
        <v>5759</v>
      </c>
      <c r="I1094" t="s">
        <v>5760</v>
      </c>
      <c r="K1094" t="s">
        <v>14805</v>
      </c>
      <c r="L1094" t="s">
        <v>14806</v>
      </c>
      <c r="M1094" t="s">
        <v>3963</v>
      </c>
      <c r="N1094" t="s">
        <v>3963</v>
      </c>
      <c r="O1094" t="s">
        <v>3963</v>
      </c>
      <c r="P1094" t="s">
        <v>14806</v>
      </c>
      <c r="R1094" t="s">
        <v>14807</v>
      </c>
    </row>
    <row r="1095" spans="4:18">
      <c r="E1095" t="s">
        <v>5761</v>
      </c>
      <c r="I1095" t="s">
        <v>5762</v>
      </c>
      <c r="K1095" t="s">
        <v>14808</v>
      </c>
      <c r="L1095" t="s">
        <v>14809</v>
      </c>
      <c r="M1095" t="s">
        <v>3963</v>
      </c>
      <c r="N1095" t="s">
        <v>3963</v>
      </c>
      <c r="O1095" t="s">
        <v>3963</v>
      </c>
      <c r="P1095" t="s">
        <v>14809</v>
      </c>
      <c r="R1095" t="s">
        <v>14810</v>
      </c>
    </row>
    <row r="1096" spans="4:18">
      <c r="E1096" t="s">
        <v>5763</v>
      </c>
      <c r="I1096" t="s">
        <v>5764</v>
      </c>
      <c r="K1096" t="s">
        <v>14811</v>
      </c>
      <c r="L1096" t="s">
        <v>14812</v>
      </c>
      <c r="M1096" t="s">
        <v>3963</v>
      </c>
      <c r="N1096" t="s">
        <v>3963</v>
      </c>
      <c r="O1096" t="s">
        <v>3963</v>
      </c>
      <c r="P1096" t="s">
        <v>14812</v>
      </c>
      <c r="R1096" t="s">
        <v>14813</v>
      </c>
    </row>
    <row r="1097" spans="4:18">
      <c r="D1097" t="s">
        <v>1399</v>
      </c>
      <c r="H1097" t="s">
        <v>5765</v>
      </c>
      <c r="K1097" t="s">
        <v>14814</v>
      </c>
      <c r="L1097" t="s">
        <v>14815</v>
      </c>
      <c r="M1097" t="s">
        <v>3963</v>
      </c>
      <c r="N1097" t="s">
        <v>3963</v>
      </c>
      <c r="O1097" t="s">
        <v>3963</v>
      </c>
      <c r="P1097" t="s">
        <v>14815</v>
      </c>
      <c r="R1097" t="s">
        <v>14816</v>
      </c>
    </row>
    <row r="1098" spans="4:18">
      <c r="E1098" t="s">
        <v>5766</v>
      </c>
      <c r="I1098" t="s">
        <v>5767</v>
      </c>
      <c r="K1098" t="s">
        <v>14817</v>
      </c>
      <c r="L1098" t="s">
        <v>14818</v>
      </c>
      <c r="M1098" t="s">
        <v>3963</v>
      </c>
      <c r="N1098" t="s">
        <v>3963</v>
      </c>
      <c r="O1098" t="s">
        <v>3963</v>
      </c>
      <c r="P1098" t="s">
        <v>14818</v>
      </c>
      <c r="R1098" t="s">
        <v>14819</v>
      </c>
    </row>
    <row r="1099" spans="4:18">
      <c r="E1099" t="s">
        <v>5768</v>
      </c>
      <c r="I1099" t="s">
        <v>5769</v>
      </c>
      <c r="K1099" t="s">
        <v>13161</v>
      </c>
      <c r="L1099" t="s">
        <v>14820</v>
      </c>
      <c r="M1099" t="s">
        <v>3963</v>
      </c>
      <c r="N1099" t="s">
        <v>3963</v>
      </c>
      <c r="O1099" t="s">
        <v>3963</v>
      </c>
      <c r="P1099" t="s">
        <v>14820</v>
      </c>
      <c r="R1099" t="s">
        <v>14821</v>
      </c>
    </row>
    <row r="1100" spans="4:18">
      <c r="E1100" t="s">
        <v>5770</v>
      </c>
      <c r="I1100" t="s">
        <v>5771</v>
      </c>
      <c r="K1100" t="s">
        <v>14822</v>
      </c>
      <c r="L1100" t="s">
        <v>14823</v>
      </c>
      <c r="M1100" t="s">
        <v>3963</v>
      </c>
      <c r="N1100" t="s">
        <v>3963</v>
      </c>
      <c r="O1100" t="s">
        <v>3963</v>
      </c>
      <c r="P1100" t="s">
        <v>14823</v>
      </c>
      <c r="R1100" t="s">
        <v>14824</v>
      </c>
    </row>
    <row r="1101" spans="4:18">
      <c r="D1101" t="s">
        <v>1355</v>
      </c>
      <c r="H1101" t="s">
        <v>5772</v>
      </c>
      <c r="K1101" t="s">
        <v>14825</v>
      </c>
      <c r="L1101" t="s">
        <v>14826</v>
      </c>
      <c r="M1101" t="s">
        <v>3963</v>
      </c>
      <c r="N1101" t="s">
        <v>3963</v>
      </c>
      <c r="O1101" t="s">
        <v>3963</v>
      </c>
      <c r="P1101" t="s">
        <v>14826</v>
      </c>
      <c r="R1101" t="s">
        <v>14827</v>
      </c>
    </row>
    <row r="1102" spans="4:18">
      <c r="E1102" t="s">
        <v>5773</v>
      </c>
      <c r="I1102" t="s">
        <v>5774</v>
      </c>
      <c r="K1102" t="s">
        <v>14828</v>
      </c>
      <c r="L1102" t="s">
        <v>3963</v>
      </c>
      <c r="M1102" t="s">
        <v>3963</v>
      </c>
      <c r="N1102" t="s">
        <v>3963</v>
      </c>
      <c r="O1102" t="s">
        <v>3963</v>
      </c>
      <c r="P1102" t="s">
        <v>3963</v>
      </c>
      <c r="R1102" t="s">
        <v>14828</v>
      </c>
    </row>
    <row r="1103" spans="4:18">
      <c r="E1103" t="s">
        <v>5775</v>
      </c>
      <c r="I1103" t="s">
        <v>5642</v>
      </c>
      <c r="K1103" t="s">
        <v>3963</v>
      </c>
      <c r="L1103" t="s">
        <v>3963</v>
      </c>
      <c r="M1103" t="s">
        <v>3963</v>
      </c>
      <c r="N1103" t="s">
        <v>3963</v>
      </c>
      <c r="O1103" t="s">
        <v>3963</v>
      </c>
      <c r="P1103" t="s">
        <v>3963</v>
      </c>
      <c r="R1103" t="s">
        <v>3963</v>
      </c>
    </row>
    <row r="1104" spans="4:18">
      <c r="E1104" t="s">
        <v>5776</v>
      </c>
      <c r="I1104" t="s">
        <v>5777</v>
      </c>
      <c r="K1104" t="s">
        <v>13383</v>
      </c>
      <c r="L1104" t="s">
        <v>14826</v>
      </c>
      <c r="M1104" t="s">
        <v>3963</v>
      </c>
      <c r="N1104" t="s">
        <v>3963</v>
      </c>
      <c r="O1104" t="s">
        <v>3963</v>
      </c>
      <c r="P1104" t="s">
        <v>14826</v>
      </c>
      <c r="R1104" t="s">
        <v>14829</v>
      </c>
    </row>
    <row r="1105" spans="4:18">
      <c r="D1105" t="s">
        <v>1356</v>
      </c>
      <c r="H1105" t="s">
        <v>5778</v>
      </c>
      <c r="K1105" t="s">
        <v>14830</v>
      </c>
      <c r="L1105" t="s">
        <v>14831</v>
      </c>
      <c r="M1105" t="s">
        <v>3963</v>
      </c>
      <c r="N1105" t="s">
        <v>3963</v>
      </c>
      <c r="O1105" t="s">
        <v>3963</v>
      </c>
      <c r="P1105" t="s">
        <v>14831</v>
      </c>
      <c r="R1105" t="s">
        <v>14832</v>
      </c>
    </row>
    <row r="1106" spans="4:18">
      <c r="E1106" t="s">
        <v>5779</v>
      </c>
      <c r="I1106" t="s">
        <v>5780</v>
      </c>
      <c r="K1106" t="s">
        <v>14833</v>
      </c>
      <c r="L1106" t="s">
        <v>14834</v>
      </c>
      <c r="M1106" t="s">
        <v>3963</v>
      </c>
      <c r="N1106" t="s">
        <v>3963</v>
      </c>
      <c r="O1106" t="s">
        <v>3963</v>
      </c>
      <c r="P1106" t="s">
        <v>14834</v>
      </c>
      <c r="R1106" t="s">
        <v>14835</v>
      </c>
    </row>
    <row r="1107" spans="4:18">
      <c r="E1107" t="s">
        <v>5781</v>
      </c>
      <c r="I1107" t="s">
        <v>5782</v>
      </c>
      <c r="K1107" t="s">
        <v>14836</v>
      </c>
      <c r="L1107" t="s">
        <v>14837</v>
      </c>
      <c r="M1107" t="s">
        <v>3963</v>
      </c>
      <c r="N1107" t="s">
        <v>3963</v>
      </c>
      <c r="O1107" t="s">
        <v>3963</v>
      </c>
      <c r="P1107" t="s">
        <v>14837</v>
      </c>
      <c r="R1107" t="s">
        <v>14838</v>
      </c>
    </row>
    <row r="1108" spans="4:18">
      <c r="E1108" t="s">
        <v>5783</v>
      </c>
      <c r="I1108" t="s">
        <v>5480</v>
      </c>
      <c r="K1108" t="s">
        <v>14839</v>
      </c>
      <c r="L1108" t="s">
        <v>14840</v>
      </c>
      <c r="M1108" t="s">
        <v>3963</v>
      </c>
      <c r="N1108" t="s">
        <v>3963</v>
      </c>
      <c r="O1108" t="s">
        <v>3963</v>
      </c>
      <c r="P1108" t="s">
        <v>14840</v>
      </c>
      <c r="R1108" t="s">
        <v>14841</v>
      </c>
    </row>
    <row r="1109" spans="4:18">
      <c r="E1109" t="s">
        <v>5784</v>
      </c>
      <c r="I1109" t="s">
        <v>5785</v>
      </c>
      <c r="K1109" t="s">
        <v>14842</v>
      </c>
      <c r="L1109" t="s">
        <v>14843</v>
      </c>
      <c r="M1109" t="s">
        <v>3963</v>
      </c>
      <c r="N1109" t="s">
        <v>3963</v>
      </c>
      <c r="O1109" t="s">
        <v>3963</v>
      </c>
      <c r="P1109" t="s">
        <v>14843</v>
      </c>
      <c r="R1109" t="s">
        <v>14844</v>
      </c>
    </row>
    <row r="1110" spans="4:18">
      <c r="D1110" t="s">
        <v>1359</v>
      </c>
      <c r="H1110" t="s">
        <v>5786</v>
      </c>
      <c r="K1110" t="s">
        <v>14845</v>
      </c>
      <c r="L1110" t="s">
        <v>19310</v>
      </c>
      <c r="M1110" t="s">
        <v>18912</v>
      </c>
      <c r="N1110" t="s">
        <v>3963</v>
      </c>
      <c r="O1110" t="s">
        <v>3963</v>
      </c>
      <c r="P1110" t="s">
        <v>19311</v>
      </c>
      <c r="R1110" t="s">
        <v>19312</v>
      </c>
    </row>
    <row r="1111" spans="4:18">
      <c r="E1111" t="s">
        <v>5787</v>
      </c>
      <c r="I1111" t="s">
        <v>4676</v>
      </c>
      <c r="K1111" t="s">
        <v>3963</v>
      </c>
      <c r="L1111" t="s">
        <v>3963</v>
      </c>
      <c r="M1111" t="s">
        <v>3963</v>
      </c>
      <c r="N1111" t="s">
        <v>3963</v>
      </c>
      <c r="O1111" t="s">
        <v>3963</v>
      </c>
      <c r="P1111" t="s">
        <v>3963</v>
      </c>
      <c r="R1111" t="s">
        <v>3963</v>
      </c>
    </row>
    <row r="1112" spans="4:18">
      <c r="E1112" t="s">
        <v>5788</v>
      </c>
      <c r="I1112" t="s">
        <v>5789</v>
      </c>
      <c r="K1112" t="s">
        <v>14846</v>
      </c>
      <c r="L1112" t="s">
        <v>19313</v>
      </c>
      <c r="M1112" t="s">
        <v>18912</v>
      </c>
      <c r="N1112" t="s">
        <v>3963</v>
      </c>
      <c r="O1112" t="s">
        <v>3963</v>
      </c>
      <c r="P1112" t="s">
        <v>19314</v>
      </c>
      <c r="R1112" t="s">
        <v>19315</v>
      </c>
    </row>
    <row r="1113" spans="4:18">
      <c r="E1113" t="s">
        <v>5790</v>
      </c>
      <c r="I1113" t="s">
        <v>5791</v>
      </c>
      <c r="K1113" t="s">
        <v>14847</v>
      </c>
      <c r="L1113" t="s">
        <v>14848</v>
      </c>
      <c r="M1113" t="s">
        <v>3963</v>
      </c>
      <c r="N1113" t="s">
        <v>3963</v>
      </c>
      <c r="O1113" t="s">
        <v>3963</v>
      </c>
      <c r="P1113" t="s">
        <v>14848</v>
      </c>
      <c r="R1113" t="s">
        <v>14849</v>
      </c>
    </row>
    <row r="1114" spans="4:18">
      <c r="D1114" t="s">
        <v>1360</v>
      </c>
      <c r="H1114" t="s">
        <v>5792</v>
      </c>
      <c r="K1114" t="s">
        <v>14850</v>
      </c>
      <c r="L1114" t="s">
        <v>19316</v>
      </c>
      <c r="M1114" t="s">
        <v>18723</v>
      </c>
      <c r="N1114" t="s">
        <v>3963</v>
      </c>
      <c r="O1114" t="s">
        <v>3963</v>
      </c>
      <c r="P1114" t="s">
        <v>19317</v>
      </c>
      <c r="R1114" t="s">
        <v>19318</v>
      </c>
    </row>
    <row r="1115" spans="4:18">
      <c r="E1115" t="s">
        <v>5793</v>
      </c>
      <c r="I1115" t="s">
        <v>5794</v>
      </c>
      <c r="K1115" t="s">
        <v>14851</v>
      </c>
      <c r="L1115" t="s">
        <v>14851</v>
      </c>
      <c r="M1115" t="s">
        <v>3963</v>
      </c>
      <c r="N1115" t="s">
        <v>3963</v>
      </c>
      <c r="O1115" t="s">
        <v>3963</v>
      </c>
      <c r="P1115" t="s">
        <v>14851</v>
      </c>
      <c r="R1115" t="s">
        <v>3963</v>
      </c>
    </row>
    <row r="1116" spans="4:18">
      <c r="E1116" t="s">
        <v>5795</v>
      </c>
      <c r="I1116" t="s">
        <v>5796</v>
      </c>
      <c r="K1116" t="s">
        <v>14852</v>
      </c>
      <c r="L1116" t="s">
        <v>19319</v>
      </c>
      <c r="M1116" t="s">
        <v>18723</v>
      </c>
      <c r="N1116" t="s">
        <v>3963</v>
      </c>
      <c r="O1116" t="s">
        <v>3963</v>
      </c>
      <c r="P1116" t="s">
        <v>19320</v>
      </c>
      <c r="R1116" t="s">
        <v>19321</v>
      </c>
    </row>
    <row r="1117" spans="4:18">
      <c r="D1117" t="s">
        <v>1565</v>
      </c>
      <c r="H1117" t="s">
        <v>1100</v>
      </c>
      <c r="K1117" t="s">
        <v>14853</v>
      </c>
      <c r="L1117" t="s">
        <v>19322</v>
      </c>
      <c r="M1117" t="s">
        <v>19195</v>
      </c>
      <c r="N1117" t="s">
        <v>3963</v>
      </c>
      <c r="O1117" t="s">
        <v>3963</v>
      </c>
      <c r="P1117" t="s">
        <v>19323</v>
      </c>
      <c r="R1117" t="s">
        <v>19324</v>
      </c>
    </row>
    <row r="1118" spans="4:18">
      <c r="E1118" t="s">
        <v>5797</v>
      </c>
      <c r="I1118" t="s">
        <v>5798</v>
      </c>
      <c r="K1118" t="s">
        <v>14854</v>
      </c>
      <c r="L1118" t="s">
        <v>19325</v>
      </c>
      <c r="M1118" t="s">
        <v>16984</v>
      </c>
      <c r="N1118" t="s">
        <v>3963</v>
      </c>
      <c r="O1118" t="s">
        <v>3963</v>
      </c>
      <c r="P1118" t="s">
        <v>19326</v>
      </c>
      <c r="R1118" t="s">
        <v>19327</v>
      </c>
    </row>
    <row r="1119" spans="4:18">
      <c r="E1119" t="s">
        <v>5799</v>
      </c>
      <c r="I1119" t="s">
        <v>5800</v>
      </c>
      <c r="K1119" t="s">
        <v>14855</v>
      </c>
      <c r="L1119" t="s">
        <v>19328</v>
      </c>
      <c r="M1119" t="s">
        <v>19196</v>
      </c>
      <c r="N1119" t="s">
        <v>3963</v>
      </c>
      <c r="O1119" t="s">
        <v>3963</v>
      </c>
      <c r="P1119" t="s">
        <v>19329</v>
      </c>
      <c r="R1119" t="s">
        <v>19330</v>
      </c>
    </row>
    <row r="1120" spans="4:18">
      <c r="E1120" t="s">
        <v>5801</v>
      </c>
      <c r="I1120" t="s">
        <v>5802</v>
      </c>
      <c r="K1120" t="s">
        <v>14856</v>
      </c>
      <c r="L1120" t="s">
        <v>14857</v>
      </c>
      <c r="M1120" t="s">
        <v>3963</v>
      </c>
      <c r="N1120" t="s">
        <v>3963</v>
      </c>
      <c r="O1120" t="s">
        <v>3963</v>
      </c>
      <c r="P1120" t="s">
        <v>14857</v>
      </c>
      <c r="R1120" t="s">
        <v>14858</v>
      </c>
    </row>
    <row r="1121" spans="4:18">
      <c r="E1121" t="s">
        <v>5803</v>
      </c>
      <c r="I1121" t="s">
        <v>5804</v>
      </c>
      <c r="K1121" t="s">
        <v>14859</v>
      </c>
      <c r="L1121" t="s">
        <v>3963</v>
      </c>
      <c r="M1121" t="s">
        <v>3963</v>
      </c>
      <c r="N1121" t="s">
        <v>3963</v>
      </c>
      <c r="O1121" t="s">
        <v>3963</v>
      </c>
      <c r="P1121" t="s">
        <v>3963</v>
      </c>
      <c r="R1121" t="s">
        <v>14859</v>
      </c>
    </row>
    <row r="1122" spans="4:18">
      <c r="E1122" t="s">
        <v>5805</v>
      </c>
      <c r="I1122" t="s">
        <v>5806</v>
      </c>
      <c r="K1122" t="s">
        <v>14860</v>
      </c>
      <c r="L1122" t="s">
        <v>17916</v>
      </c>
      <c r="M1122" t="s">
        <v>17564</v>
      </c>
      <c r="N1122" t="s">
        <v>3963</v>
      </c>
      <c r="O1122" t="s">
        <v>3963</v>
      </c>
      <c r="P1122" t="s">
        <v>17917</v>
      </c>
      <c r="R1122" t="s">
        <v>17918</v>
      </c>
    </row>
    <row r="1123" spans="4:18">
      <c r="E1123" t="s">
        <v>5807</v>
      </c>
      <c r="I1123" t="s">
        <v>5808</v>
      </c>
      <c r="K1123" t="s">
        <v>4091</v>
      </c>
      <c r="L1123" t="s">
        <v>14861</v>
      </c>
      <c r="M1123" t="s">
        <v>3963</v>
      </c>
      <c r="N1123" t="s">
        <v>3963</v>
      </c>
      <c r="O1123" t="s">
        <v>3963</v>
      </c>
      <c r="P1123" t="s">
        <v>14861</v>
      </c>
      <c r="R1123" t="s">
        <v>14862</v>
      </c>
    </row>
    <row r="1124" spans="4:18">
      <c r="D1124" t="s">
        <v>1569</v>
      </c>
      <c r="H1124" t="s">
        <v>5809</v>
      </c>
      <c r="K1124" t="s">
        <v>14863</v>
      </c>
      <c r="L1124" t="s">
        <v>14864</v>
      </c>
      <c r="M1124" t="s">
        <v>3963</v>
      </c>
      <c r="N1124" t="s">
        <v>3963</v>
      </c>
      <c r="O1124" t="s">
        <v>3963</v>
      </c>
      <c r="P1124" t="s">
        <v>14864</v>
      </c>
      <c r="R1124" t="s">
        <v>14865</v>
      </c>
    </row>
    <row r="1125" spans="4:18">
      <c r="E1125" t="s">
        <v>5810</v>
      </c>
      <c r="I1125" t="s">
        <v>5811</v>
      </c>
      <c r="K1125" t="s">
        <v>14866</v>
      </c>
      <c r="L1125" t="s">
        <v>14867</v>
      </c>
      <c r="M1125" t="s">
        <v>3963</v>
      </c>
      <c r="N1125" t="s">
        <v>3963</v>
      </c>
      <c r="O1125" t="s">
        <v>3963</v>
      </c>
      <c r="P1125" t="s">
        <v>14867</v>
      </c>
      <c r="R1125" t="s">
        <v>14865</v>
      </c>
    </row>
    <row r="1126" spans="4:18">
      <c r="E1126" t="s">
        <v>5812</v>
      </c>
      <c r="I1126" t="s">
        <v>5528</v>
      </c>
      <c r="K1126" t="s">
        <v>14868</v>
      </c>
      <c r="L1126" t="s">
        <v>14868</v>
      </c>
      <c r="M1126" t="s">
        <v>3963</v>
      </c>
      <c r="N1126" t="s">
        <v>3963</v>
      </c>
      <c r="O1126" t="s">
        <v>3963</v>
      </c>
      <c r="P1126" t="s">
        <v>14868</v>
      </c>
      <c r="R1126" t="s">
        <v>3963</v>
      </c>
    </row>
    <row r="1127" spans="4:18">
      <c r="D1127" t="s">
        <v>1567</v>
      </c>
      <c r="H1127" t="s">
        <v>5813</v>
      </c>
      <c r="K1127" t="s">
        <v>14869</v>
      </c>
      <c r="L1127" t="s">
        <v>14870</v>
      </c>
      <c r="M1127" t="s">
        <v>3963</v>
      </c>
      <c r="N1127" t="s">
        <v>3963</v>
      </c>
      <c r="O1127" t="s">
        <v>3963</v>
      </c>
      <c r="P1127" t="s">
        <v>14870</v>
      </c>
      <c r="R1127" t="s">
        <v>14871</v>
      </c>
    </row>
    <row r="1128" spans="4:18">
      <c r="E1128" t="s">
        <v>5814</v>
      </c>
      <c r="I1128" t="s">
        <v>5437</v>
      </c>
      <c r="K1128" t="s">
        <v>14872</v>
      </c>
      <c r="L1128" t="s">
        <v>14872</v>
      </c>
      <c r="M1128" t="s">
        <v>3963</v>
      </c>
      <c r="N1128" t="s">
        <v>3963</v>
      </c>
      <c r="O1128" t="s">
        <v>3963</v>
      </c>
      <c r="P1128" t="s">
        <v>14872</v>
      </c>
      <c r="R1128" t="s">
        <v>3963</v>
      </c>
    </row>
    <row r="1129" spans="4:18">
      <c r="E1129" t="s">
        <v>5815</v>
      </c>
      <c r="I1129" t="s">
        <v>5816</v>
      </c>
      <c r="K1129" t="s">
        <v>14873</v>
      </c>
      <c r="L1129" t="s">
        <v>14874</v>
      </c>
      <c r="M1129" t="s">
        <v>3963</v>
      </c>
      <c r="N1129" t="s">
        <v>3963</v>
      </c>
      <c r="O1129" t="s">
        <v>3963</v>
      </c>
      <c r="P1129" t="s">
        <v>14874</v>
      </c>
      <c r="R1129" t="s">
        <v>14871</v>
      </c>
    </row>
    <row r="1130" spans="4:18">
      <c r="E1130" t="s">
        <v>5817</v>
      </c>
      <c r="I1130" t="s">
        <v>5818</v>
      </c>
      <c r="K1130" t="s">
        <v>14875</v>
      </c>
      <c r="L1130" t="s">
        <v>14875</v>
      </c>
      <c r="M1130" t="s">
        <v>3963</v>
      </c>
      <c r="N1130" t="s">
        <v>3963</v>
      </c>
      <c r="O1130" t="s">
        <v>3963</v>
      </c>
      <c r="P1130" t="s">
        <v>14875</v>
      </c>
      <c r="R1130" t="s">
        <v>3963</v>
      </c>
    </row>
    <row r="1131" spans="4:18">
      <c r="D1131" t="s">
        <v>1510</v>
      </c>
      <c r="H1131" t="s">
        <v>5819</v>
      </c>
      <c r="K1131" t="s">
        <v>14876</v>
      </c>
      <c r="L1131" t="s">
        <v>14877</v>
      </c>
      <c r="M1131" t="s">
        <v>3963</v>
      </c>
      <c r="N1131" t="s">
        <v>3963</v>
      </c>
      <c r="O1131" t="s">
        <v>3963</v>
      </c>
      <c r="P1131" t="s">
        <v>14877</v>
      </c>
      <c r="R1131" t="s">
        <v>14878</v>
      </c>
    </row>
    <row r="1132" spans="4:18">
      <c r="E1132" t="s">
        <v>5820</v>
      </c>
      <c r="I1132" t="s">
        <v>5821</v>
      </c>
      <c r="K1132" t="s">
        <v>14876</v>
      </c>
      <c r="L1132" t="s">
        <v>14877</v>
      </c>
      <c r="M1132" t="s">
        <v>3963</v>
      </c>
      <c r="N1132" t="s">
        <v>3963</v>
      </c>
      <c r="O1132" t="s">
        <v>3963</v>
      </c>
      <c r="P1132" t="s">
        <v>14877</v>
      </c>
      <c r="R1132" t="s">
        <v>14878</v>
      </c>
    </row>
    <row r="1133" spans="4:18">
      <c r="D1133" t="s">
        <v>1539</v>
      </c>
      <c r="H1133" t="s">
        <v>5822</v>
      </c>
      <c r="K1133" t="s">
        <v>14879</v>
      </c>
      <c r="L1133" t="s">
        <v>14880</v>
      </c>
      <c r="M1133" t="s">
        <v>3963</v>
      </c>
      <c r="N1133" t="s">
        <v>3963</v>
      </c>
      <c r="O1133" t="s">
        <v>3963</v>
      </c>
      <c r="P1133" t="s">
        <v>14880</v>
      </c>
      <c r="R1133" t="s">
        <v>14881</v>
      </c>
    </row>
    <row r="1134" spans="4:18">
      <c r="E1134" t="s">
        <v>5823</v>
      </c>
      <c r="I1134" t="s">
        <v>5824</v>
      </c>
      <c r="K1134" t="s">
        <v>14882</v>
      </c>
      <c r="L1134" t="s">
        <v>3963</v>
      </c>
      <c r="M1134" t="s">
        <v>3963</v>
      </c>
      <c r="N1134" t="s">
        <v>3963</v>
      </c>
      <c r="O1134" t="s">
        <v>3963</v>
      </c>
      <c r="P1134" t="s">
        <v>3963</v>
      </c>
      <c r="R1134" t="s">
        <v>14882</v>
      </c>
    </row>
    <row r="1135" spans="4:18">
      <c r="E1135" t="s">
        <v>5825</v>
      </c>
      <c r="I1135" t="s">
        <v>5826</v>
      </c>
      <c r="K1135" t="s">
        <v>14883</v>
      </c>
      <c r="L1135" t="s">
        <v>14884</v>
      </c>
      <c r="M1135" t="s">
        <v>3963</v>
      </c>
      <c r="N1135" t="s">
        <v>3963</v>
      </c>
      <c r="O1135" t="s">
        <v>3963</v>
      </c>
      <c r="P1135" t="s">
        <v>14884</v>
      </c>
      <c r="R1135" t="s">
        <v>14885</v>
      </c>
    </row>
    <row r="1136" spans="4:18">
      <c r="E1136" t="s">
        <v>5827</v>
      </c>
      <c r="I1136" t="s">
        <v>5828</v>
      </c>
      <c r="K1136" t="s">
        <v>14886</v>
      </c>
      <c r="L1136" t="s">
        <v>14887</v>
      </c>
      <c r="M1136" t="s">
        <v>3963</v>
      </c>
      <c r="N1136" t="s">
        <v>3963</v>
      </c>
      <c r="O1136" t="s">
        <v>3963</v>
      </c>
      <c r="P1136" t="s">
        <v>14887</v>
      </c>
      <c r="R1136" t="s">
        <v>14888</v>
      </c>
    </row>
    <row r="1137" spans="4:18">
      <c r="E1137" t="s">
        <v>5829</v>
      </c>
      <c r="I1137" t="s">
        <v>5830</v>
      </c>
      <c r="K1137" t="s">
        <v>14889</v>
      </c>
      <c r="L1137" t="s">
        <v>14890</v>
      </c>
      <c r="M1137" t="s">
        <v>3963</v>
      </c>
      <c r="N1137" t="s">
        <v>3963</v>
      </c>
      <c r="O1137" t="s">
        <v>3963</v>
      </c>
      <c r="P1137" t="s">
        <v>14890</v>
      </c>
      <c r="R1137" t="s">
        <v>14891</v>
      </c>
    </row>
    <row r="1138" spans="4:18">
      <c r="E1138" t="s">
        <v>5831</v>
      </c>
      <c r="I1138" t="s">
        <v>5832</v>
      </c>
      <c r="K1138" t="s">
        <v>4201</v>
      </c>
      <c r="L1138" t="s">
        <v>14892</v>
      </c>
      <c r="M1138" t="s">
        <v>3963</v>
      </c>
      <c r="N1138" t="s">
        <v>3963</v>
      </c>
      <c r="O1138" t="s">
        <v>3963</v>
      </c>
      <c r="P1138" t="s">
        <v>14892</v>
      </c>
      <c r="R1138" t="s">
        <v>14893</v>
      </c>
    </row>
    <row r="1139" spans="4:18">
      <c r="E1139" t="s">
        <v>5833</v>
      </c>
      <c r="I1139" t="s">
        <v>5834</v>
      </c>
      <c r="K1139" t="s">
        <v>14894</v>
      </c>
      <c r="L1139" t="s">
        <v>14895</v>
      </c>
      <c r="M1139" t="s">
        <v>3963</v>
      </c>
      <c r="N1139" t="s">
        <v>3963</v>
      </c>
      <c r="O1139" t="s">
        <v>3963</v>
      </c>
      <c r="P1139" t="s">
        <v>14895</v>
      </c>
      <c r="R1139" t="s">
        <v>14896</v>
      </c>
    </row>
    <row r="1140" spans="4:18">
      <c r="E1140" t="s">
        <v>5835</v>
      </c>
      <c r="I1140" t="s">
        <v>5836</v>
      </c>
      <c r="K1140" t="s">
        <v>14897</v>
      </c>
      <c r="L1140" t="s">
        <v>14898</v>
      </c>
      <c r="M1140" t="s">
        <v>3963</v>
      </c>
      <c r="N1140" t="s">
        <v>3963</v>
      </c>
      <c r="O1140" t="s">
        <v>3963</v>
      </c>
      <c r="P1140" t="s">
        <v>14898</v>
      </c>
      <c r="R1140" t="s">
        <v>14899</v>
      </c>
    </row>
    <row r="1141" spans="4:18">
      <c r="E1141" t="s">
        <v>5837</v>
      </c>
      <c r="I1141" t="s">
        <v>5838</v>
      </c>
      <c r="K1141" t="s">
        <v>13749</v>
      </c>
      <c r="L1141" t="s">
        <v>3963</v>
      </c>
      <c r="M1141" t="s">
        <v>3963</v>
      </c>
      <c r="N1141" t="s">
        <v>3963</v>
      </c>
      <c r="O1141" t="s">
        <v>3963</v>
      </c>
      <c r="P1141" t="s">
        <v>3963</v>
      </c>
      <c r="R1141" t="s">
        <v>13749</v>
      </c>
    </row>
    <row r="1142" spans="4:18">
      <c r="E1142" t="s">
        <v>5839</v>
      </c>
      <c r="I1142" t="s">
        <v>5840</v>
      </c>
      <c r="K1142" t="s">
        <v>14900</v>
      </c>
      <c r="L1142" t="s">
        <v>14901</v>
      </c>
      <c r="M1142" t="s">
        <v>3963</v>
      </c>
      <c r="N1142" t="s">
        <v>3963</v>
      </c>
      <c r="O1142" t="s">
        <v>3963</v>
      </c>
      <c r="P1142" t="s">
        <v>14901</v>
      </c>
      <c r="R1142" t="s">
        <v>14902</v>
      </c>
    </row>
    <row r="1143" spans="4:18">
      <c r="E1143" t="s">
        <v>5841</v>
      </c>
      <c r="I1143" t="s">
        <v>5842</v>
      </c>
      <c r="K1143" t="s">
        <v>14903</v>
      </c>
      <c r="L1143" t="s">
        <v>14904</v>
      </c>
      <c r="M1143" t="s">
        <v>3963</v>
      </c>
      <c r="N1143" t="s">
        <v>3963</v>
      </c>
      <c r="O1143" t="s">
        <v>3963</v>
      </c>
      <c r="P1143" t="s">
        <v>14904</v>
      </c>
      <c r="R1143" t="s">
        <v>14905</v>
      </c>
    </row>
    <row r="1144" spans="4:18">
      <c r="E1144" t="s">
        <v>5843</v>
      </c>
      <c r="I1144" t="s">
        <v>5844</v>
      </c>
      <c r="K1144" t="s">
        <v>13749</v>
      </c>
      <c r="L1144" t="s">
        <v>14906</v>
      </c>
      <c r="M1144" t="s">
        <v>3963</v>
      </c>
      <c r="N1144" t="s">
        <v>3963</v>
      </c>
      <c r="O1144" t="s">
        <v>3963</v>
      </c>
      <c r="P1144" t="s">
        <v>14906</v>
      </c>
      <c r="R1144" t="s">
        <v>14907</v>
      </c>
    </row>
    <row r="1145" spans="4:18">
      <c r="E1145" t="s">
        <v>5845</v>
      </c>
      <c r="I1145" t="s">
        <v>5846</v>
      </c>
      <c r="K1145" t="s">
        <v>13749</v>
      </c>
      <c r="L1145" t="s">
        <v>14908</v>
      </c>
      <c r="M1145" t="s">
        <v>3963</v>
      </c>
      <c r="N1145" t="s">
        <v>3963</v>
      </c>
      <c r="O1145" t="s">
        <v>3963</v>
      </c>
      <c r="P1145" t="s">
        <v>14908</v>
      </c>
      <c r="R1145" t="s">
        <v>14909</v>
      </c>
    </row>
    <row r="1146" spans="4:18">
      <c r="E1146" t="s">
        <v>5847</v>
      </c>
      <c r="I1146" t="s">
        <v>5848</v>
      </c>
      <c r="K1146" t="s">
        <v>4182</v>
      </c>
      <c r="L1146" t="s">
        <v>14910</v>
      </c>
      <c r="M1146" t="s">
        <v>3963</v>
      </c>
      <c r="N1146" t="s">
        <v>3963</v>
      </c>
      <c r="O1146" t="s">
        <v>3963</v>
      </c>
      <c r="P1146" t="s">
        <v>14910</v>
      </c>
      <c r="R1146" t="s">
        <v>14911</v>
      </c>
    </row>
    <row r="1147" spans="4:18">
      <c r="D1147" t="s">
        <v>1566</v>
      </c>
      <c r="H1147" t="s">
        <v>5849</v>
      </c>
      <c r="K1147" t="s">
        <v>14912</v>
      </c>
      <c r="L1147" t="s">
        <v>19331</v>
      </c>
      <c r="M1147" t="s">
        <v>18724</v>
      </c>
      <c r="N1147" t="s">
        <v>3963</v>
      </c>
      <c r="O1147" t="s">
        <v>3963</v>
      </c>
      <c r="P1147" t="s">
        <v>19332</v>
      </c>
      <c r="R1147" t="s">
        <v>19333</v>
      </c>
    </row>
    <row r="1148" spans="4:18">
      <c r="E1148" t="s">
        <v>5850</v>
      </c>
      <c r="I1148" t="s">
        <v>5437</v>
      </c>
      <c r="K1148" t="s">
        <v>14913</v>
      </c>
      <c r="L1148" t="s">
        <v>19334</v>
      </c>
      <c r="M1148" t="s">
        <v>18724</v>
      </c>
      <c r="N1148" t="s">
        <v>3963</v>
      </c>
      <c r="O1148" t="s">
        <v>3963</v>
      </c>
      <c r="P1148" t="s">
        <v>19335</v>
      </c>
      <c r="R1148" t="s">
        <v>19336</v>
      </c>
    </row>
    <row r="1149" spans="4:18">
      <c r="E1149" t="s">
        <v>5851</v>
      </c>
      <c r="I1149" t="s">
        <v>5439</v>
      </c>
      <c r="K1149" t="s">
        <v>14914</v>
      </c>
      <c r="L1149" t="s">
        <v>14915</v>
      </c>
      <c r="M1149" t="s">
        <v>3963</v>
      </c>
      <c r="N1149" t="s">
        <v>3963</v>
      </c>
      <c r="O1149" t="s">
        <v>3963</v>
      </c>
      <c r="P1149" t="s">
        <v>14915</v>
      </c>
      <c r="R1149" t="s">
        <v>14916</v>
      </c>
    </row>
    <row r="1150" spans="4:18">
      <c r="E1150" t="s">
        <v>5852</v>
      </c>
      <c r="I1150" t="s">
        <v>5853</v>
      </c>
      <c r="K1150" t="s">
        <v>14917</v>
      </c>
      <c r="L1150" t="s">
        <v>14918</v>
      </c>
      <c r="M1150" t="s">
        <v>3963</v>
      </c>
      <c r="N1150" t="s">
        <v>3963</v>
      </c>
      <c r="O1150" t="s">
        <v>3963</v>
      </c>
      <c r="P1150" t="s">
        <v>14918</v>
      </c>
      <c r="R1150" t="s">
        <v>14919</v>
      </c>
    </row>
    <row r="1151" spans="4:18">
      <c r="D1151" t="s">
        <v>1564</v>
      </c>
      <c r="H1151" t="s">
        <v>5854</v>
      </c>
      <c r="K1151" t="s">
        <v>14920</v>
      </c>
      <c r="L1151" t="s">
        <v>14921</v>
      </c>
      <c r="M1151" t="s">
        <v>3963</v>
      </c>
      <c r="N1151" t="s">
        <v>3963</v>
      </c>
      <c r="O1151" t="s">
        <v>3963</v>
      </c>
      <c r="P1151" t="s">
        <v>14921</v>
      </c>
      <c r="R1151" t="s">
        <v>14922</v>
      </c>
    </row>
    <row r="1152" spans="4:18">
      <c r="E1152" t="s">
        <v>5855</v>
      </c>
      <c r="I1152" t="s">
        <v>5856</v>
      </c>
      <c r="K1152" t="s">
        <v>14920</v>
      </c>
      <c r="L1152" t="s">
        <v>14921</v>
      </c>
      <c r="M1152" t="s">
        <v>3963</v>
      </c>
      <c r="N1152" t="s">
        <v>3963</v>
      </c>
      <c r="O1152" t="s">
        <v>3963</v>
      </c>
      <c r="P1152" t="s">
        <v>14921</v>
      </c>
      <c r="R1152" t="s">
        <v>14922</v>
      </c>
    </row>
    <row r="1153" spans="4:18">
      <c r="D1153" t="s">
        <v>1552</v>
      </c>
      <c r="H1153" t="s">
        <v>5857</v>
      </c>
      <c r="K1153" t="s">
        <v>14923</v>
      </c>
      <c r="L1153" t="s">
        <v>3963</v>
      </c>
      <c r="M1153" t="s">
        <v>3963</v>
      </c>
      <c r="N1153" t="s">
        <v>3963</v>
      </c>
      <c r="O1153" t="s">
        <v>3963</v>
      </c>
      <c r="P1153" t="s">
        <v>3963</v>
      </c>
      <c r="R1153" t="s">
        <v>14923</v>
      </c>
    </row>
    <row r="1154" spans="4:18">
      <c r="E1154" t="s">
        <v>5858</v>
      </c>
      <c r="I1154" t="s">
        <v>5859</v>
      </c>
      <c r="K1154" t="s">
        <v>14923</v>
      </c>
      <c r="L1154" t="s">
        <v>3963</v>
      </c>
      <c r="M1154" t="s">
        <v>3963</v>
      </c>
      <c r="N1154" t="s">
        <v>3963</v>
      </c>
      <c r="O1154" t="s">
        <v>3963</v>
      </c>
      <c r="P1154" t="s">
        <v>3963</v>
      </c>
      <c r="R1154" t="s">
        <v>14923</v>
      </c>
    </row>
    <row r="1155" spans="4:18">
      <c r="D1155" t="s">
        <v>1568</v>
      </c>
      <c r="H1155" t="s">
        <v>5860</v>
      </c>
      <c r="K1155" t="s">
        <v>14924</v>
      </c>
      <c r="L1155" t="s">
        <v>14925</v>
      </c>
      <c r="M1155" t="s">
        <v>3963</v>
      </c>
      <c r="N1155" t="s">
        <v>3963</v>
      </c>
      <c r="O1155" t="s">
        <v>3963</v>
      </c>
      <c r="P1155" t="s">
        <v>14925</v>
      </c>
      <c r="R1155" t="s">
        <v>14926</v>
      </c>
    </row>
    <row r="1156" spans="4:18">
      <c r="E1156" t="s">
        <v>5861</v>
      </c>
      <c r="I1156" t="s">
        <v>4676</v>
      </c>
      <c r="K1156" t="s">
        <v>14927</v>
      </c>
      <c r="L1156" t="s">
        <v>14928</v>
      </c>
      <c r="M1156" t="s">
        <v>3963</v>
      </c>
      <c r="N1156" t="s">
        <v>3963</v>
      </c>
      <c r="O1156" t="s">
        <v>3963</v>
      </c>
      <c r="P1156" t="s">
        <v>14928</v>
      </c>
      <c r="R1156" t="s">
        <v>14929</v>
      </c>
    </row>
    <row r="1157" spans="4:18">
      <c r="E1157" t="s">
        <v>5862</v>
      </c>
      <c r="I1157" t="s">
        <v>5863</v>
      </c>
      <c r="K1157" t="s">
        <v>14930</v>
      </c>
      <c r="L1157" t="s">
        <v>14931</v>
      </c>
      <c r="M1157" t="s">
        <v>3963</v>
      </c>
      <c r="N1157" t="s">
        <v>3963</v>
      </c>
      <c r="O1157" t="s">
        <v>3963</v>
      </c>
      <c r="P1157" t="s">
        <v>14931</v>
      </c>
      <c r="R1157" t="s">
        <v>14932</v>
      </c>
    </row>
    <row r="1158" spans="4:18">
      <c r="E1158" t="s">
        <v>5864</v>
      </c>
      <c r="I1158" t="s">
        <v>5865</v>
      </c>
      <c r="K1158" t="s">
        <v>14933</v>
      </c>
      <c r="L1158" t="s">
        <v>3963</v>
      </c>
      <c r="M1158" t="s">
        <v>3963</v>
      </c>
      <c r="N1158" t="s">
        <v>3963</v>
      </c>
      <c r="O1158" t="s">
        <v>3963</v>
      </c>
      <c r="P1158" t="s">
        <v>3963</v>
      </c>
      <c r="R1158" t="s">
        <v>14933</v>
      </c>
    </row>
    <row r="1159" spans="4:18">
      <c r="D1159" t="s">
        <v>1580</v>
      </c>
      <c r="H1159" t="s">
        <v>5866</v>
      </c>
      <c r="K1159" t="s">
        <v>13678</v>
      </c>
      <c r="L1159" t="s">
        <v>14934</v>
      </c>
      <c r="M1159" t="s">
        <v>3963</v>
      </c>
      <c r="N1159" t="s">
        <v>3963</v>
      </c>
      <c r="O1159" t="s">
        <v>3963</v>
      </c>
      <c r="P1159" t="s">
        <v>14934</v>
      </c>
      <c r="R1159" t="s">
        <v>14935</v>
      </c>
    </row>
    <row r="1160" spans="4:18">
      <c r="E1160" t="s">
        <v>5867</v>
      </c>
      <c r="I1160" t="s">
        <v>5868</v>
      </c>
      <c r="K1160" t="s">
        <v>3963</v>
      </c>
      <c r="L1160" t="s">
        <v>3963</v>
      </c>
      <c r="M1160" t="s">
        <v>3963</v>
      </c>
      <c r="N1160" t="s">
        <v>3963</v>
      </c>
      <c r="O1160" t="s">
        <v>3963</v>
      </c>
      <c r="P1160" t="s">
        <v>3963</v>
      </c>
      <c r="R1160" t="s">
        <v>3963</v>
      </c>
    </row>
    <row r="1161" spans="4:18">
      <c r="E1161" t="s">
        <v>5869</v>
      </c>
      <c r="I1161" t="s">
        <v>5870</v>
      </c>
      <c r="K1161" t="s">
        <v>5871</v>
      </c>
      <c r="L1161" t="s">
        <v>14936</v>
      </c>
      <c r="M1161" t="s">
        <v>3963</v>
      </c>
      <c r="N1161" t="s">
        <v>3963</v>
      </c>
      <c r="O1161" t="s">
        <v>3963</v>
      </c>
      <c r="P1161" t="s">
        <v>14936</v>
      </c>
      <c r="R1161" t="s">
        <v>14937</v>
      </c>
    </row>
    <row r="1162" spans="4:18">
      <c r="E1162" t="s">
        <v>5872</v>
      </c>
      <c r="I1162" t="s">
        <v>5873</v>
      </c>
      <c r="K1162" t="s">
        <v>14938</v>
      </c>
      <c r="L1162" t="s">
        <v>14939</v>
      </c>
      <c r="M1162" t="s">
        <v>3963</v>
      </c>
      <c r="N1162" t="s">
        <v>3963</v>
      </c>
      <c r="O1162" t="s">
        <v>3963</v>
      </c>
      <c r="P1162" t="s">
        <v>14939</v>
      </c>
      <c r="R1162" t="s">
        <v>14940</v>
      </c>
    </row>
    <row r="1163" spans="4:18">
      <c r="E1163" t="s">
        <v>5874</v>
      </c>
      <c r="I1163" t="s">
        <v>5875</v>
      </c>
      <c r="K1163" t="s">
        <v>4928</v>
      </c>
      <c r="L1163" t="s">
        <v>14941</v>
      </c>
      <c r="M1163" t="s">
        <v>3963</v>
      </c>
      <c r="N1163" t="s">
        <v>3963</v>
      </c>
      <c r="O1163" t="s">
        <v>3963</v>
      </c>
      <c r="P1163" t="s">
        <v>14941</v>
      </c>
      <c r="R1163" t="s">
        <v>14942</v>
      </c>
    </row>
    <row r="1164" spans="4:18">
      <c r="D1164" t="s">
        <v>1579</v>
      </c>
      <c r="H1164" t="s">
        <v>5876</v>
      </c>
      <c r="K1164" t="s">
        <v>4038</v>
      </c>
      <c r="L1164" t="s">
        <v>14943</v>
      </c>
      <c r="M1164" t="s">
        <v>3963</v>
      </c>
      <c r="N1164" t="s">
        <v>3963</v>
      </c>
      <c r="O1164" t="s">
        <v>3963</v>
      </c>
      <c r="P1164" t="s">
        <v>14943</v>
      </c>
      <c r="R1164" t="s">
        <v>14944</v>
      </c>
    </row>
    <row r="1165" spans="4:18">
      <c r="E1165" t="s">
        <v>5877</v>
      </c>
      <c r="I1165" t="s">
        <v>5878</v>
      </c>
      <c r="K1165" t="s">
        <v>14945</v>
      </c>
      <c r="L1165" t="s">
        <v>3963</v>
      </c>
      <c r="M1165" t="s">
        <v>3963</v>
      </c>
      <c r="N1165" t="s">
        <v>3963</v>
      </c>
      <c r="O1165" t="s">
        <v>3963</v>
      </c>
      <c r="P1165" t="s">
        <v>3963</v>
      </c>
      <c r="R1165" t="s">
        <v>14945</v>
      </c>
    </row>
    <row r="1166" spans="4:18">
      <c r="E1166" t="s">
        <v>5879</v>
      </c>
      <c r="I1166" t="s">
        <v>5880</v>
      </c>
      <c r="K1166" t="s">
        <v>14946</v>
      </c>
      <c r="L1166" t="s">
        <v>3963</v>
      </c>
      <c r="M1166" t="s">
        <v>3963</v>
      </c>
      <c r="N1166" t="s">
        <v>3963</v>
      </c>
      <c r="O1166" t="s">
        <v>3963</v>
      </c>
      <c r="P1166" t="s">
        <v>3963</v>
      </c>
      <c r="R1166" t="s">
        <v>14946</v>
      </c>
    </row>
    <row r="1167" spans="4:18">
      <c r="E1167" t="s">
        <v>5881</v>
      </c>
      <c r="I1167" t="s">
        <v>5882</v>
      </c>
      <c r="K1167" t="s">
        <v>14523</v>
      </c>
      <c r="L1167" t="s">
        <v>14947</v>
      </c>
      <c r="M1167" t="s">
        <v>3963</v>
      </c>
      <c r="N1167" t="s">
        <v>3963</v>
      </c>
      <c r="O1167" t="s">
        <v>3963</v>
      </c>
      <c r="P1167" t="s">
        <v>14947</v>
      </c>
      <c r="R1167" t="s">
        <v>14948</v>
      </c>
    </row>
    <row r="1168" spans="4:18">
      <c r="E1168" t="s">
        <v>5883</v>
      </c>
      <c r="I1168" t="s">
        <v>5884</v>
      </c>
      <c r="K1168" t="s">
        <v>13276</v>
      </c>
      <c r="L1168" t="s">
        <v>3963</v>
      </c>
      <c r="M1168" t="s">
        <v>3963</v>
      </c>
      <c r="N1168" t="s">
        <v>3963</v>
      </c>
      <c r="O1168" t="s">
        <v>3963</v>
      </c>
      <c r="P1168" t="s">
        <v>3963</v>
      </c>
      <c r="R1168" t="s">
        <v>13276</v>
      </c>
    </row>
    <row r="1169" spans="4:18">
      <c r="E1169" t="s">
        <v>5885</v>
      </c>
      <c r="I1169" t="s">
        <v>5886</v>
      </c>
      <c r="K1169" t="s">
        <v>14949</v>
      </c>
      <c r="L1169" t="s">
        <v>14950</v>
      </c>
      <c r="M1169" t="s">
        <v>3963</v>
      </c>
      <c r="N1169" t="s">
        <v>3963</v>
      </c>
      <c r="O1169" t="s">
        <v>3963</v>
      </c>
      <c r="P1169" t="s">
        <v>14950</v>
      </c>
      <c r="R1169" t="s">
        <v>14951</v>
      </c>
    </row>
    <row r="1170" spans="4:18">
      <c r="D1170" t="s">
        <v>1578</v>
      </c>
      <c r="H1170" t="s">
        <v>5887</v>
      </c>
      <c r="K1170" t="s">
        <v>14952</v>
      </c>
      <c r="L1170" t="s">
        <v>14953</v>
      </c>
      <c r="M1170" t="s">
        <v>3963</v>
      </c>
      <c r="N1170" t="s">
        <v>3963</v>
      </c>
      <c r="O1170" t="s">
        <v>3963</v>
      </c>
      <c r="P1170" t="s">
        <v>14953</v>
      </c>
      <c r="R1170" t="s">
        <v>14954</v>
      </c>
    </row>
    <row r="1171" spans="4:18">
      <c r="E1171" t="s">
        <v>5888</v>
      </c>
      <c r="I1171" t="s">
        <v>5889</v>
      </c>
      <c r="K1171" t="s">
        <v>14955</v>
      </c>
      <c r="L1171" t="s">
        <v>14953</v>
      </c>
      <c r="M1171" t="s">
        <v>3963</v>
      </c>
      <c r="N1171" t="s">
        <v>3963</v>
      </c>
      <c r="O1171" t="s">
        <v>3963</v>
      </c>
      <c r="P1171" t="s">
        <v>14953</v>
      </c>
      <c r="R1171" t="s">
        <v>14956</v>
      </c>
    </row>
    <row r="1172" spans="4:18">
      <c r="E1172" t="s">
        <v>5890</v>
      </c>
      <c r="I1172" t="s">
        <v>5891</v>
      </c>
      <c r="K1172" t="s">
        <v>14957</v>
      </c>
      <c r="L1172" t="s">
        <v>3963</v>
      </c>
      <c r="M1172" t="s">
        <v>3963</v>
      </c>
      <c r="N1172" t="s">
        <v>3963</v>
      </c>
      <c r="O1172" t="s">
        <v>3963</v>
      </c>
      <c r="P1172" t="s">
        <v>3963</v>
      </c>
      <c r="R1172" t="s">
        <v>14957</v>
      </c>
    </row>
    <row r="1173" spans="4:18">
      <c r="D1173" t="s">
        <v>1604</v>
      </c>
      <c r="H1173" t="s">
        <v>5892</v>
      </c>
      <c r="K1173" t="s">
        <v>14958</v>
      </c>
      <c r="L1173" t="s">
        <v>17919</v>
      </c>
      <c r="M1173" t="s">
        <v>14967</v>
      </c>
      <c r="N1173" t="s">
        <v>3963</v>
      </c>
      <c r="O1173" t="s">
        <v>3963</v>
      </c>
      <c r="P1173" t="s">
        <v>17920</v>
      </c>
      <c r="R1173" t="s">
        <v>17921</v>
      </c>
    </row>
    <row r="1174" spans="4:18">
      <c r="E1174" t="s">
        <v>5893</v>
      </c>
      <c r="I1174" t="s">
        <v>5894</v>
      </c>
      <c r="K1174" t="s">
        <v>14959</v>
      </c>
      <c r="L1174" t="s">
        <v>14960</v>
      </c>
      <c r="M1174" t="s">
        <v>3963</v>
      </c>
      <c r="N1174" t="s">
        <v>3963</v>
      </c>
      <c r="O1174" t="s">
        <v>3963</v>
      </c>
      <c r="P1174" t="s">
        <v>14960</v>
      </c>
      <c r="R1174" t="s">
        <v>14961</v>
      </c>
    </row>
    <row r="1175" spans="4:18">
      <c r="E1175" t="s">
        <v>5895</v>
      </c>
      <c r="I1175" t="s">
        <v>5896</v>
      </c>
      <c r="K1175" t="s">
        <v>4086</v>
      </c>
      <c r="L1175" t="s">
        <v>14962</v>
      </c>
      <c r="M1175" t="s">
        <v>3963</v>
      </c>
      <c r="N1175" t="s">
        <v>3963</v>
      </c>
      <c r="O1175" t="s">
        <v>3963</v>
      </c>
      <c r="P1175" t="s">
        <v>14962</v>
      </c>
      <c r="R1175" t="s">
        <v>14963</v>
      </c>
    </row>
    <row r="1176" spans="4:18">
      <c r="E1176" t="s">
        <v>5897</v>
      </c>
      <c r="I1176" t="s">
        <v>5898</v>
      </c>
      <c r="K1176" t="s">
        <v>14964</v>
      </c>
      <c r="L1176" t="s">
        <v>3963</v>
      </c>
      <c r="M1176" t="s">
        <v>3963</v>
      </c>
      <c r="N1176" t="s">
        <v>3963</v>
      </c>
      <c r="O1176" t="s">
        <v>3963</v>
      </c>
      <c r="P1176" t="s">
        <v>3963</v>
      </c>
      <c r="R1176" t="s">
        <v>14964</v>
      </c>
    </row>
    <row r="1177" spans="4:18">
      <c r="E1177" t="s">
        <v>5899</v>
      </c>
      <c r="I1177" t="s">
        <v>5900</v>
      </c>
      <c r="K1177" t="s">
        <v>14965</v>
      </c>
      <c r="L1177" t="s">
        <v>17922</v>
      </c>
      <c r="M1177" t="s">
        <v>3963</v>
      </c>
      <c r="N1177" t="s">
        <v>3963</v>
      </c>
      <c r="O1177" t="s">
        <v>3963</v>
      </c>
      <c r="P1177" t="s">
        <v>17922</v>
      </c>
      <c r="R1177" t="s">
        <v>17923</v>
      </c>
    </row>
    <row r="1178" spans="4:18">
      <c r="E1178" t="s">
        <v>5901</v>
      </c>
      <c r="I1178" t="s">
        <v>5902</v>
      </c>
      <c r="K1178" t="s">
        <v>14966</v>
      </c>
      <c r="L1178" t="s">
        <v>3963</v>
      </c>
      <c r="M1178" t="s">
        <v>3963</v>
      </c>
      <c r="N1178" t="s">
        <v>3963</v>
      </c>
      <c r="O1178" t="s">
        <v>3963</v>
      </c>
      <c r="P1178" t="s">
        <v>3963</v>
      </c>
      <c r="R1178" t="s">
        <v>14966</v>
      </c>
    </row>
    <row r="1179" spans="4:18">
      <c r="E1179" t="s">
        <v>5903</v>
      </c>
      <c r="I1179" t="s">
        <v>5904</v>
      </c>
      <c r="K1179" t="s">
        <v>4661</v>
      </c>
      <c r="L1179" t="s">
        <v>3963</v>
      </c>
      <c r="M1179" t="s">
        <v>14967</v>
      </c>
      <c r="N1179" t="s">
        <v>3963</v>
      </c>
      <c r="O1179" t="s">
        <v>3963</v>
      </c>
      <c r="P1179" t="s">
        <v>14967</v>
      </c>
      <c r="R1179" t="s">
        <v>14968</v>
      </c>
    </row>
    <row r="1180" spans="4:18">
      <c r="D1180" t="s">
        <v>1596</v>
      </c>
      <c r="H1180" t="s">
        <v>5905</v>
      </c>
      <c r="K1180" t="s">
        <v>14969</v>
      </c>
      <c r="L1180" t="s">
        <v>3963</v>
      </c>
      <c r="M1180" t="s">
        <v>3963</v>
      </c>
      <c r="N1180" t="s">
        <v>3963</v>
      </c>
      <c r="O1180" t="s">
        <v>3963</v>
      </c>
      <c r="P1180" t="s">
        <v>3963</v>
      </c>
      <c r="R1180" t="s">
        <v>14969</v>
      </c>
    </row>
    <row r="1181" spans="4:18">
      <c r="E1181" t="s">
        <v>5906</v>
      </c>
      <c r="I1181" t="s">
        <v>5907</v>
      </c>
      <c r="K1181" t="s">
        <v>14970</v>
      </c>
      <c r="L1181" t="s">
        <v>3963</v>
      </c>
      <c r="M1181" t="s">
        <v>3963</v>
      </c>
      <c r="N1181" t="s">
        <v>3963</v>
      </c>
      <c r="O1181" t="s">
        <v>3963</v>
      </c>
      <c r="P1181" t="s">
        <v>3963</v>
      </c>
      <c r="R1181" t="s">
        <v>14970</v>
      </c>
    </row>
    <row r="1182" spans="4:18">
      <c r="E1182" t="s">
        <v>5908</v>
      </c>
      <c r="I1182" t="s">
        <v>5615</v>
      </c>
      <c r="K1182" t="s">
        <v>12670</v>
      </c>
      <c r="L1182" t="s">
        <v>3963</v>
      </c>
      <c r="M1182" t="s">
        <v>3963</v>
      </c>
      <c r="N1182" t="s">
        <v>3963</v>
      </c>
      <c r="O1182" t="s">
        <v>3963</v>
      </c>
      <c r="P1182" t="s">
        <v>3963</v>
      </c>
      <c r="R1182" t="s">
        <v>12670</v>
      </c>
    </row>
    <row r="1183" spans="4:18">
      <c r="E1183" t="s">
        <v>5909</v>
      </c>
      <c r="I1183" t="s">
        <v>5617</v>
      </c>
      <c r="K1183" t="s">
        <v>13484</v>
      </c>
      <c r="L1183" t="s">
        <v>3963</v>
      </c>
      <c r="M1183" t="s">
        <v>3963</v>
      </c>
      <c r="N1183" t="s">
        <v>3963</v>
      </c>
      <c r="O1183" t="s">
        <v>3963</v>
      </c>
      <c r="P1183" t="s">
        <v>3963</v>
      </c>
      <c r="R1183" t="s">
        <v>13484</v>
      </c>
    </row>
    <row r="1184" spans="4:18">
      <c r="E1184" t="s">
        <v>5910</v>
      </c>
      <c r="I1184" t="s">
        <v>5911</v>
      </c>
      <c r="K1184" t="s">
        <v>4091</v>
      </c>
      <c r="L1184" t="s">
        <v>3963</v>
      </c>
      <c r="M1184" t="s">
        <v>3963</v>
      </c>
      <c r="N1184" t="s">
        <v>3963</v>
      </c>
      <c r="O1184" t="s">
        <v>3963</v>
      </c>
      <c r="P1184" t="s">
        <v>3963</v>
      </c>
      <c r="R1184" t="s">
        <v>4091</v>
      </c>
    </row>
    <row r="1185" spans="4:18">
      <c r="E1185" t="s">
        <v>5912</v>
      </c>
      <c r="I1185" t="s">
        <v>5621</v>
      </c>
      <c r="K1185" t="s">
        <v>4150</v>
      </c>
      <c r="L1185" t="s">
        <v>3963</v>
      </c>
      <c r="M1185" t="s">
        <v>3963</v>
      </c>
      <c r="N1185" t="s">
        <v>3963</v>
      </c>
      <c r="O1185" t="s">
        <v>3963</v>
      </c>
      <c r="P1185" t="s">
        <v>3963</v>
      </c>
      <c r="R1185" t="s">
        <v>4150</v>
      </c>
    </row>
    <row r="1186" spans="4:18">
      <c r="E1186" t="s">
        <v>5913</v>
      </c>
      <c r="I1186" t="s">
        <v>5559</v>
      </c>
      <c r="K1186" t="s">
        <v>5871</v>
      </c>
      <c r="L1186" t="s">
        <v>3963</v>
      </c>
      <c r="M1186" t="s">
        <v>3963</v>
      </c>
      <c r="N1186" t="s">
        <v>3963</v>
      </c>
      <c r="O1186" t="s">
        <v>3963</v>
      </c>
      <c r="P1186" t="s">
        <v>3963</v>
      </c>
      <c r="R1186" t="s">
        <v>5871</v>
      </c>
    </row>
    <row r="1187" spans="4:18">
      <c r="E1187" t="s">
        <v>5914</v>
      </c>
      <c r="I1187" t="s">
        <v>5561</v>
      </c>
      <c r="K1187" t="s">
        <v>13595</v>
      </c>
      <c r="L1187" t="s">
        <v>3963</v>
      </c>
      <c r="M1187" t="s">
        <v>3963</v>
      </c>
      <c r="N1187" t="s">
        <v>3963</v>
      </c>
      <c r="O1187" t="s">
        <v>3963</v>
      </c>
      <c r="P1187" t="s">
        <v>3963</v>
      </c>
      <c r="R1187" t="s">
        <v>13595</v>
      </c>
    </row>
    <row r="1188" spans="4:18">
      <c r="D1188" t="s">
        <v>1608</v>
      </c>
      <c r="H1188" t="s">
        <v>5915</v>
      </c>
      <c r="K1188" t="s">
        <v>14971</v>
      </c>
      <c r="L1188" t="s">
        <v>14972</v>
      </c>
      <c r="M1188" t="s">
        <v>14973</v>
      </c>
      <c r="N1188" t="s">
        <v>18725</v>
      </c>
      <c r="O1188" t="s">
        <v>3963</v>
      </c>
      <c r="P1188" t="s">
        <v>18726</v>
      </c>
      <c r="R1188" t="s">
        <v>18727</v>
      </c>
    </row>
    <row r="1189" spans="4:18">
      <c r="E1189" t="s">
        <v>5916</v>
      </c>
      <c r="I1189" t="s">
        <v>5917</v>
      </c>
      <c r="K1189" t="s">
        <v>14974</v>
      </c>
      <c r="L1189" t="s">
        <v>14975</v>
      </c>
      <c r="M1189" t="s">
        <v>3963</v>
      </c>
      <c r="N1189" t="s">
        <v>3963</v>
      </c>
      <c r="O1189" t="s">
        <v>3963</v>
      </c>
      <c r="P1189" t="s">
        <v>14975</v>
      </c>
      <c r="R1189" t="s">
        <v>14976</v>
      </c>
    </row>
    <row r="1190" spans="4:18">
      <c r="E1190" t="s">
        <v>5918</v>
      </c>
      <c r="I1190" t="s">
        <v>5863</v>
      </c>
      <c r="K1190" t="s">
        <v>14977</v>
      </c>
      <c r="L1190" t="s">
        <v>14978</v>
      </c>
      <c r="M1190" t="s">
        <v>3963</v>
      </c>
      <c r="N1190" t="s">
        <v>3963</v>
      </c>
      <c r="O1190" t="s">
        <v>3963</v>
      </c>
      <c r="P1190" t="s">
        <v>14978</v>
      </c>
      <c r="R1190" t="s">
        <v>14979</v>
      </c>
    </row>
    <row r="1191" spans="4:18">
      <c r="E1191" t="s">
        <v>5919</v>
      </c>
      <c r="I1191" t="s">
        <v>5480</v>
      </c>
      <c r="K1191" t="s">
        <v>14980</v>
      </c>
      <c r="L1191" t="s">
        <v>14981</v>
      </c>
      <c r="M1191" t="s">
        <v>14973</v>
      </c>
      <c r="N1191" t="s">
        <v>18728</v>
      </c>
      <c r="O1191" t="s">
        <v>3963</v>
      </c>
      <c r="P1191" t="s">
        <v>18729</v>
      </c>
      <c r="R1191" t="s">
        <v>18730</v>
      </c>
    </row>
    <row r="1192" spans="4:18">
      <c r="E1192" t="s">
        <v>5920</v>
      </c>
      <c r="I1192" t="s">
        <v>5921</v>
      </c>
      <c r="K1192" t="s">
        <v>14982</v>
      </c>
      <c r="L1192" t="s">
        <v>14983</v>
      </c>
      <c r="M1192" t="s">
        <v>3963</v>
      </c>
      <c r="N1192" t="s">
        <v>14984</v>
      </c>
      <c r="O1192" t="s">
        <v>3963</v>
      </c>
      <c r="P1192" t="s">
        <v>14985</v>
      </c>
      <c r="R1192" t="s">
        <v>14986</v>
      </c>
    </row>
    <row r="1193" spans="4:18">
      <c r="E1193" t="s">
        <v>5922</v>
      </c>
      <c r="I1193" t="s">
        <v>5923</v>
      </c>
      <c r="K1193" t="s">
        <v>14987</v>
      </c>
      <c r="L1193" t="s">
        <v>3963</v>
      </c>
      <c r="M1193" t="s">
        <v>3963</v>
      </c>
      <c r="N1193" t="s">
        <v>3963</v>
      </c>
      <c r="O1193" t="s">
        <v>3963</v>
      </c>
      <c r="P1193" t="s">
        <v>3963</v>
      </c>
      <c r="R1193" t="s">
        <v>14987</v>
      </c>
    </row>
    <row r="1194" spans="4:18">
      <c r="D1194" t="s">
        <v>1597</v>
      </c>
      <c r="H1194" t="s">
        <v>5924</v>
      </c>
      <c r="K1194" t="s">
        <v>14988</v>
      </c>
      <c r="L1194" t="s">
        <v>14989</v>
      </c>
      <c r="M1194" t="s">
        <v>3963</v>
      </c>
      <c r="N1194" t="s">
        <v>3963</v>
      </c>
      <c r="O1194" t="s">
        <v>3963</v>
      </c>
      <c r="P1194" t="s">
        <v>14989</v>
      </c>
      <c r="R1194" t="s">
        <v>14990</v>
      </c>
    </row>
    <row r="1195" spans="4:18">
      <c r="E1195" t="s">
        <v>5925</v>
      </c>
      <c r="I1195" t="s">
        <v>5926</v>
      </c>
      <c r="K1195" t="s">
        <v>14991</v>
      </c>
      <c r="L1195" t="s">
        <v>14992</v>
      </c>
      <c r="M1195" t="s">
        <v>3963</v>
      </c>
      <c r="N1195" t="s">
        <v>3963</v>
      </c>
      <c r="O1195" t="s">
        <v>3963</v>
      </c>
      <c r="P1195" t="s">
        <v>14992</v>
      </c>
      <c r="R1195" t="s">
        <v>14993</v>
      </c>
    </row>
    <row r="1196" spans="4:18">
      <c r="E1196" t="s">
        <v>5927</v>
      </c>
      <c r="I1196" t="s">
        <v>5928</v>
      </c>
      <c r="K1196" t="s">
        <v>12784</v>
      </c>
      <c r="L1196" t="s">
        <v>14994</v>
      </c>
      <c r="M1196" t="s">
        <v>3963</v>
      </c>
      <c r="N1196" t="s">
        <v>3963</v>
      </c>
      <c r="O1196" t="s">
        <v>3963</v>
      </c>
      <c r="P1196" t="s">
        <v>14994</v>
      </c>
      <c r="R1196" t="s">
        <v>14995</v>
      </c>
    </row>
    <row r="1197" spans="4:18">
      <c r="E1197" t="s">
        <v>5929</v>
      </c>
      <c r="I1197" t="s">
        <v>5930</v>
      </c>
      <c r="K1197" t="s">
        <v>14621</v>
      </c>
      <c r="L1197" t="s">
        <v>14996</v>
      </c>
      <c r="M1197" t="s">
        <v>3963</v>
      </c>
      <c r="N1197" t="s">
        <v>3963</v>
      </c>
      <c r="O1197" t="s">
        <v>3963</v>
      </c>
      <c r="P1197" t="s">
        <v>14996</v>
      </c>
      <c r="R1197" t="s">
        <v>14997</v>
      </c>
    </row>
    <row r="1198" spans="4:18">
      <c r="E1198" t="s">
        <v>5931</v>
      </c>
      <c r="I1198" t="s">
        <v>5932</v>
      </c>
      <c r="K1198" t="s">
        <v>14998</v>
      </c>
      <c r="L1198" t="s">
        <v>14999</v>
      </c>
      <c r="M1198" t="s">
        <v>3963</v>
      </c>
      <c r="N1198" t="s">
        <v>3963</v>
      </c>
      <c r="O1198" t="s">
        <v>3963</v>
      </c>
      <c r="P1198" t="s">
        <v>14999</v>
      </c>
      <c r="R1198" t="s">
        <v>15000</v>
      </c>
    </row>
    <row r="1199" spans="4:18">
      <c r="E1199" t="s">
        <v>5933</v>
      </c>
      <c r="I1199" t="s">
        <v>5934</v>
      </c>
      <c r="K1199" t="s">
        <v>12827</v>
      </c>
      <c r="L1199" t="s">
        <v>15001</v>
      </c>
      <c r="M1199" t="s">
        <v>3963</v>
      </c>
      <c r="N1199" t="s">
        <v>3963</v>
      </c>
      <c r="O1199" t="s">
        <v>3963</v>
      </c>
      <c r="P1199" t="s">
        <v>15001</v>
      </c>
      <c r="R1199" t="s">
        <v>15002</v>
      </c>
    </row>
    <row r="1200" spans="4:18">
      <c r="D1200" t="s">
        <v>1610</v>
      </c>
      <c r="H1200" t="s">
        <v>5935</v>
      </c>
      <c r="K1200" t="s">
        <v>15003</v>
      </c>
      <c r="L1200" t="s">
        <v>15004</v>
      </c>
      <c r="M1200" t="s">
        <v>3963</v>
      </c>
      <c r="N1200" t="s">
        <v>3963</v>
      </c>
      <c r="O1200" t="s">
        <v>3963</v>
      </c>
      <c r="P1200" t="s">
        <v>15004</v>
      </c>
      <c r="R1200" t="s">
        <v>15005</v>
      </c>
    </row>
    <row r="1201" spans="4:18">
      <c r="E1201" t="s">
        <v>5936</v>
      </c>
      <c r="I1201" t="s">
        <v>5937</v>
      </c>
      <c r="K1201" t="s">
        <v>15006</v>
      </c>
      <c r="L1201" t="s">
        <v>15007</v>
      </c>
      <c r="M1201" t="s">
        <v>3963</v>
      </c>
      <c r="N1201" t="s">
        <v>3963</v>
      </c>
      <c r="O1201" t="s">
        <v>3963</v>
      </c>
      <c r="P1201" t="s">
        <v>15007</v>
      </c>
      <c r="R1201" t="s">
        <v>15008</v>
      </c>
    </row>
    <row r="1202" spans="4:18">
      <c r="E1202" t="s">
        <v>5938</v>
      </c>
      <c r="I1202" t="s">
        <v>5939</v>
      </c>
      <c r="K1202" t="s">
        <v>15009</v>
      </c>
      <c r="L1202" t="s">
        <v>15010</v>
      </c>
      <c r="M1202" t="s">
        <v>3963</v>
      </c>
      <c r="N1202" t="s">
        <v>3963</v>
      </c>
      <c r="O1202" t="s">
        <v>3963</v>
      </c>
      <c r="P1202" t="s">
        <v>15010</v>
      </c>
      <c r="R1202" t="s">
        <v>15011</v>
      </c>
    </row>
    <row r="1203" spans="4:18">
      <c r="E1203" t="s">
        <v>5940</v>
      </c>
      <c r="I1203" t="s">
        <v>5941</v>
      </c>
      <c r="K1203" t="s">
        <v>15012</v>
      </c>
      <c r="L1203" t="s">
        <v>15013</v>
      </c>
      <c r="M1203" t="s">
        <v>3963</v>
      </c>
      <c r="N1203" t="s">
        <v>3963</v>
      </c>
      <c r="O1203" t="s">
        <v>3963</v>
      </c>
      <c r="P1203" t="s">
        <v>15013</v>
      </c>
      <c r="R1203" t="s">
        <v>15014</v>
      </c>
    </row>
    <row r="1204" spans="4:18">
      <c r="E1204" t="s">
        <v>5942</v>
      </c>
      <c r="I1204" t="s">
        <v>5943</v>
      </c>
      <c r="K1204" t="s">
        <v>15015</v>
      </c>
      <c r="L1204" t="s">
        <v>15016</v>
      </c>
      <c r="M1204" t="s">
        <v>3963</v>
      </c>
      <c r="N1204" t="s">
        <v>3963</v>
      </c>
      <c r="O1204" t="s">
        <v>3963</v>
      </c>
      <c r="P1204" t="s">
        <v>15016</v>
      </c>
      <c r="R1204" t="s">
        <v>15017</v>
      </c>
    </row>
    <row r="1205" spans="4:18">
      <c r="D1205" t="s">
        <v>2298</v>
      </c>
      <c r="H1205" t="s">
        <v>5944</v>
      </c>
      <c r="K1205" t="s">
        <v>15018</v>
      </c>
      <c r="L1205" t="s">
        <v>17924</v>
      </c>
      <c r="M1205" t="s">
        <v>3963</v>
      </c>
      <c r="N1205" t="s">
        <v>15019</v>
      </c>
      <c r="O1205" t="s">
        <v>3963</v>
      </c>
      <c r="P1205" t="s">
        <v>17925</v>
      </c>
      <c r="R1205" t="s">
        <v>17926</v>
      </c>
    </row>
    <row r="1206" spans="4:18">
      <c r="E1206" t="s">
        <v>5945</v>
      </c>
      <c r="I1206" t="s">
        <v>5946</v>
      </c>
      <c r="K1206" t="s">
        <v>5947</v>
      </c>
      <c r="L1206" t="s">
        <v>15020</v>
      </c>
      <c r="M1206" t="s">
        <v>3963</v>
      </c>
      <c r="N1206" t="s">
        <v>3963</v>
      </c>
      <c r="O1206" t="s">
        <v>3963</v>
      </c>
      <c r="P1206" t="s">
        <v>15020</v>
      </c>
      <c r="R1206" t="s">
        <v>16287</v>
      </c>
    </row>
    <row r="1207" spans="4:18">
      <c r="E1207" t="s">
        <v>5948</v>
      </c>
      <c r="I1207" t="s">
        <v>5949</v>
      </c>
      <c r="K1207" t="s">
        <v>15021</v>
      </c>
      <c r="L1207" t="s">
        <v>17927</v>
      </c>
      <c r="M1207" t="s">
        <v>3963</v>
      </c>
      <c r="N1207" t="s">
        <v>3963</v>
      </c>
      <c r="O1207" t="s">
        <v>3963</v>
      </c>
      <c r="P1207" t="s">
        <v>17927</v>
      </c>
      <c r="R1207" t="s">
        <v>17928</v>
      </c>
    </row>
    <row r="1208" spans="4:18">
      <c r="E1208" t="s">
        <v>5950</v>
      </c>
      <c r="I1208" t="s">
        <v>5951</v>
      </c>
      <c r="K1208" t="s">
        <v>15022</v>
      </c>
      <c r="L1208" t="s">
        <v>3963</v>
      </c>
      <c r="M1208" t="s">
        <v>3963</v>
      </c>
      <c r="N1208" t="s">
        <v>15019</v>
      </c>
      <c r="O1208" t="s">
        <v>3963</v>
      </c>
      <c r="P1208" t="s">
        <v>15019</v>
      </c>
      <c r="R1208" t="s">
        <v>15023</v>
      </c>
    </row>
    <row r="1209" spans="4:18">
      <c r="E1209" t="s">
        <v>5952</v>
      </c>
      <c r="I1209" t="s">
        <v>5953</v>
      </c>
      <c r="K1209" t="s">
        <v>15024</v>
      </c>
      <c r="L1209" t="s">
        <v>15025</v>
      </c>
      <c r="M1209" t="s">
        <v>3963</v>
      </c>
      <c r="N1209" t="s">
        <v>3963</v>
      </c>
      <c r="O1209" t="s">
        <v>3963</v>
      </c>
      <c r="P1209" t="s">
        <v>15025</v>
      </c>
      <c r="R1209" t="s">
        <v>15026</v>
      </c>
    </row>
    <row r="1210" spans="4:18">
      <c r="D1210" t="s">
        <v>1625</v>
      </c>
      <c r="H1210" t="s">
        <v>5954</v>
      </c>
      <c r="K1210" t="s">
        <v>15027</v>
      </c>
      <c r="L1210" t="s">
        <v>15028</v>
      </c>
      <c r="M1210" t="s">
        <v>3963</v>
      </c>
      <c r="N1210" t="s">
        <v>3963</v>
      </c>
      <c r="O1210" t="s">
        <v>3963</v>
      </c>
      <c r="P1210" t="s">
        <v>15028</v>
      </c>
      <c r="R1210" t="s">
        <v>15029</v>
      </c>
    </row>
    <row r="1211" spans="4:18">
      <c r="E1211" t="s">
        <v>5955</v>
      </c>
      <c r="I1211" t="s">
        <v>5956</v>
      </c>
      <c r="K1211" t="s">
        <v>15030</v>
      </c>
      <c r="L1211" t="s">
        <v>15031</v>
      </c>
      <c r="M1211" t="s">
        <v>3963</v>
      </c>
      <c r="N1211" t="s">
        <v>3963</v>
      </c>
      <c r="O1211" t="s">
        <v>3963</v>
      </c>
      <c r="P1211" t="s">
        <v>15031</v>
      </c>
      <c r="R1211" t="s">
        <v>15032</v>
      </c>
    </row>
    <row r="1212" spans="4:18">
      <c r="E1212" t="s">
        <v>5957</v>
      </c>
      <c r="I1212" t="s">
        <v>5958</v>
      </c>
      <c r="K1212" t="s">
        <v>15033</v>
      </c>
      <c r="L1212" t="s">
        <v>15034</v>
      </c>
      <c r="M1212" t="s">
        <v>3963</v>
      </c>
      <c r="N1212" t="s">
        <v>3963</v>
      </c>
      <c r="O1212" t="s">
        <v>3963</v>
      </c>
      <c r="P1212" t="s">
        <v>15034</v>
      </c>
      <c r="R1212" t="s">
        <v>15035</v>
      </c>
    </row>
    <row r="1213" spans="4:18">
      <c r="E1213" t="s">
        <v>5959</v>
      </c>
      <c r="I1213" t="s">
        <v>5960</v>
      </c>
      <c r="K1213" t="s">
        <v>15036</v>
      </c>
      <c r="L1213" t="s">
        <v>15037</v>
      </c>
      <c r="M1213" t="s">
        <v>3963</v>
      </c>
      <c r="N1213" t="s">
        <v>3963</v>
      </c>
      <c r="O1213" t="s">
        <v>3963</v>
      </c>
      <c r="P1213" t="s">
        <v>15037</v>
      </c>
      <c r="R1213" t="s">
        <v>15038</v>
      </c>
    </row>
    <row r="1214" spans="4:18">
      <c r="E1214" t="s">
        <v>5961</v>
      </c>
      <c r="I1214" t="s">
        <v>5962</v>
      </c>
      <c r="K1214" t="s">
        <v>15039</v>
      </c>
      <c r="L1214" t="s">
        <v>15040</v>
      </c>
      <c r="M1214" t="s">
        <v>3963</v>
      </c>
      <c r="N1214" t="s">
        <v>3963</v>
      </c>
      <c r="O1214" t="s">
        <v>3963</v>
      </c>
      <c r="P1214" t="s">
        <v>15040</v>
      </c>
      <c r="R1214" t="s">
        <v>15041</v>
      </c>
    </row>
    <row r="1215" spans="4:18">
      <c r="E1215" t="s">
        <v>5963</v>
      </c>
      <c r="I1215" t="s">
        <v>5964</v>
      </c>
      <c r="K1215" t="s">
        <v>15042</v>
      </c>
      <c r="L1215" t="s">
        <v>15043</v>
      </c>
      <c r="M1215" t="s">
        <v>3963</v>
      </c>
      <c r="N1215" t="s">
        <v>3963</v>
      </c>
      <c r="O1215" t="s">
        <v>3963</v>
      </c>
      <c r="P1215" t="s">
        <v>15043</v>
      </c>
      <c r="R1215" t="s">
        <v>15044</v>
      </c>
    </row>
    <row r="1216" spans="4:18">
      <c r="E1216" t="s">
        <v>5965</v>
      </c>
      <c r="I1216" t="s">
        <v>5966</v>
      </c>
      <c r="K1216" t="s">
        <v>15045</v>
      </c>
      <c r="L1216" t="s">
        <v>15046</v>
      </c>
      <c r="M1216" t="s">
        <v>3963</v>
      </c>
      <c r="N1216" t="s">
        <v>3963</v>
      </c>
      <c r="O1216" t="s">
        <v>3963</v>
      </c>
      <c r="P1216" t="s">
        <v>15046</v>
      </c>
      <c r="R1216" t="s">
        <v>15047</v>
      </c>
    </row>
    <row r="1217" spans="4:18">
      <c r="E1217" t="s">
        <v>5967</v>
      </c>
      <c r="I1217" t="s">
        <v>5968</v>
      </c>
      <c r="K1217" t="s">
        <v>4162</v>
      </c>
      <c r="L1217" t="s">
        <v>15048</v>
      </c>
      <c r="M1217" t="s">
        <v>3963</v>
      </c>
      <c r="N1217" t="s">
        <v>3963</v>
      </c>
      <c r="O1217" t="s">
        <v>3963</v>
      </c>
      <c r="P1217" t="s">
        <v>15048</v>
      </c>
      <c r="R1217" t="s">
        <v>15049</v>
      </c>
    </row>
    <row r="1218" spans="4:18">
      <c r="E1218" t="s">
        <v>5969</v>
      </c>
      <c r="I1218" t="s">
        <v>5970</v>
      </c>
      <c r="K1218" t="s">
        <v>15050</v>
      </c>
      <c r="L1218" t="s">
        <v>15051</v>
      </c>
      <c r="M1218" t="s">
        <v>3963</v>
      </c>
      <c r="N1218" t="s">
        <v>3963</v>
      </c>
      <c r="O1218" t="s">
        <v>3963</v>
      </c>
      <c r="P1218" t="s">
        <v>15051</v>
      </c>
      <c r="R1218" t="s">
        <v>15052</v>
      </c>
    </row>
    <row r="1219" spans="4:18">
      <c r="D1219" t="s">
        <v>1626</v>
      </c>
      <c r="H1219" t="s">
        <v>5971</v>
      </c>
      <c r="K1219" t="s">
        <v>15053</v>
      </c>
      <c r="L1219" t="s">
        <v>15054</v>
      </c>
      <c r="M1219" t="s">
        <v>15055</v>
      </c>
      <c r="N1219" t="s">
        <v>3963</v>
      </c>
      <c r="O1219" t="s">
        <v>3963</v>
      </c>
      <c r="P1219" t="s">
        <v>15056</v>
      </c>
      <c r="R1219" t="s">
        <v>15057</v>
      </c>
    </row>
    <row r="1220" spans="4:18">
      <c r="E1220" t="s">
        <v>5972</v>
      </c>
      <c r="I1220" t="s">
        <v>5557</v>
      </c>
      <c r="K1220" t="s">
        <v>15058</v>
      </c>
      <c r="L1220" t="s">
        <v>15059</v>
      </c>
      <c r="M1220" t="s">
        <v>3963</v>
      </c>
      <c r="N1220" t="s">
        <v>3963</v>
      </c>
      <c r="O1220" t="s">
        <v>3963</v>
      </c>
      <c r="P1220" t="s">
        <v>15059</v>
      </c>
      <c r="R1220" t="s">
        <v>15060</v>
      </c>
    </row>
    <row r="1221" spans="4:18">
      <c r="E1221" t="s">
        <v>5973</v>
      </c>
      <c r="I1221" t="s">
        <v>5974</v>
      </c>
      <c r="K1221" t="s">
        <v>3963</v>
      </c>
      <c r="L1221" t="s">
        <v>3963</v>
      </c>
      <c r="M1221" t="s">
        <v>3963</v>
      </c>
      <c r="N1221" t="s">
        <v>3963</v>
      </c>
      <c r="O1221" t="s">
        <v>3963</v>
      </c>
      <c r="P1221" t="s">
        <v>3963</v>
      </c>
      <c r="R1221" t="s">
        <v>3963</v>
      </c>
    </row>
    <row r="1222" spans="4:18">
      <c r="E1222" t="s">
        <v>5975</v>
      </c>
      <c r="I1222" t="s">
        <v>5976</v>
      </c>
      <c r="K1222" t="s">
        <v>12953</v>
      </c>
      <c r="L1222" t="s">
        <v>3963</v>
      </c>
      <c r="M1222" t="s">
        <v>3963</v>
      </c>
      <c r="N1222" t="s">
        <v>3963</v>
      </c>
      <c r="O1222" t="s">
        <v>3963</v>
      </c>
      <c r="P1222" t="s">
        <v>3963</v>
      </c>
      <c r="R1222" t="s">
        <v>12953</v>
      </c>
    </row>
    <row r="1223" spans="4:18">
      <c r="E1223" t="s">
        <v>5977</v>
      </c>
      <c r="I1223" t="s">
        <v>5978</v>
      </c>
      <c r="K1223" t="s">
        <v>3963</v>
      </c>
      <c r="L1223" t="s">
        <v>3963</v>
      </c>
      <c r="M1223" t="s">
        <v>3963</v>
      </c>
      <c r="N1223" t="s">
        <v>3963</v>
      </c>
      <c r="O1223" t="s">
        <v>3963</v>
      </c>
      <c r="P1223" t="s">
        <v>3963</v>
      </c>
      <c r="R1223" t="s">
        <v>3963</v>
      </c>
    </row>
    <row r="1224" spans="4:18">
      <c r="E1224" t="s">
        <v>5979</v>
      </c>
      <c r="I1224" t="s">
        <v>5615</v>
      </c>
      <c r="K1224" t="s">
        <v>13367</v>
      </c>
      <c r="L1224" t="s">
        <v>3963</v>
      </c>
      <c r="M1224" t="s">
        <v>3963</v>
      </c>
      <c r="N1224" t="s">
        <v>3963</v>
      </c>
      <c r="O1224" t="s">
        <v>3963</v>
      </c>
      <c r="P1224" t="s">
        <v>3963</v>
      </c>
      <c r="R1224" t="s">
        <v>13367</v>
      </c>
    </row>
    <row r="1225" spans="4:18">
      <c r="E1225" t="s">
        <v>5980</v>
      </c>
      <c r="I1225" t="s">
        <v>5981</v>
      </c>
      <c r="K1225" t="s">
        <v>15061</v>
      </c>
      <c r="L1225" t="s">
        <v>3963</v>
      </c>
      <c r="M1225" t="s">
        <v>3963</v>
      </c>
      <c r="N1225" t="s">
        <v>3963</v>
      </c>
      <c r="O1225" t="s">
        <v>3963</v>
      </c>
      <c r="P1225" t="s">
        <v>3963</v>
      </c>
      <c r="R1225" t="s">
        <v>15061</v>
      </c>
    </row>
    <row r="1226" spans="4:18">
      <c r="E1226" t="s">
        <v>5982</v>
      </c>
      <c r="I1226" t="s">
        <v>5983</v>
      </c>
      <c r="K1226" t="s">
        <v>3963</v>
      </c>
      <c r="L1226" t="s">
        <v>3963</v>
      </c>
      <c r="M1226" t="s">
        <v>3963</v>
      </c>
      <c r="N1226" t="s">
        <v>3963</v>
      </c>
      <c r="O1226" t="s">
        <v>3963</v>
      </c>
      <c r="P1226" t="s">
        <v>3963</v>
      </c>
      <c r="R1226" t="s">
        <v>3963</v>
      </c>
    </row>
    <row r="1227" spans="4:18">
      <c r="E1227" t="s">
        <v>5984</v>
      </c>
      <c r="I1227" t="s">
        <v>5985</v>
      </c>
      <c r="K1227" t="s">
        <v>3963</v>
      </c>
      <c r="L1227" t="s">
        <v>3963</v>
      </c>
      <c r="M1227" t="s">
        <v>3963</v>
      </c>
      <c r="N1227" t="s">
        <v>3963</v>
      </c>
      <c r="O1227" t="s">
        <v>3963</v>
      </c>
      <c r="P1227" t="s">
        <v>3963</v>
      </c>
      <c r="R1227" t="s">
        <v>3963</v>
      </c>
    </row>
    <row r="1228" spans="4:18">
      <c r="E1228" t="s">
        <v>5986</v>
      </c>
      <c r="I1228" t="s">
        <v>5987</v>
      </c>
      <c r="K1228" t="s">
        <v>3963</v>
      </c>
      <c r="L1228" t="s">
        <v>3963</v>
      </c>
      <c r="M1228" t="s">
        <v>3963</v>
      </c>
      <c r="N1228" t="s">
        <v>3963</v>
      </c>
      <c r="O1228" t="s">
        <v>3963</v>
      </c>
      <c r="P1228" t="s">
        <v>3963</v>
      </c>
      <c r="R1228" t="s">
        <v>3963</v>
      </c>
    </row>
    <row r="1229" spans="4:18">
      <c r="E1229" t="s">
        <v>5988</v>
      </c>
      <c r="I1229" t="s">
        <v>5559</v>
      </c>
      <c r="K1229" t="s">
        <v>15062</v>
      </c>
      <c r="L1229" t="s">
        <v>3963</v>
      </c>
      <c r="M1229" t="s">
        <v>3963</v>
      </c>
      <c r="N1229" t="s">
        <v>3963</v>
      </c>
      <c r="O1229" t="s">
        <v>3963</v>
      </c>
      <c r="P1229" t="s">
        <v>3963</v>
      </c>
      <c r="R1229" t="s">
        <v>15062</v>
      </c>
    </row>
    <row r="1230" spans="4:18">
      <c r="E1230" t="s">
        <v>5989</v>
      </c>
      <c r="I1230" t="s">
        <v>5624</v>
      </c>
      <c r="K1230" t="s">
        <v>15063</v>
      </c>
      <c r="L1230" t="s">
        <v>3963</v>
      </c>
      <c r="M1230" t="s">
        <v>3963</v>
      </c>
      <c r="N1230" t="s">
        <v>3963</v>
      </c>
      <c r="O1230" t="s">
        <v>3963</v>
      </c>
      <c r="P1230" t="s">
        <v>3963</v>
      </c>
      <c r="R1230" t="s">
        <v>15063</v>
      </c>
    </row>
    <row r="1231" spans="4:18">
      <c r="E1231" t="s">
        <v>5990</v>
      </c>
      <c r="I1231" t="s">
        <v>5991</v>
      </c>
      <c r="K1231" t="s">
        <v>15064</v>
      </c>
      <c r="L1231" t="s">
        <v>15065</v>
      </c>
      <c r="M1231" t="s">
        <v>15055</v>
      </c>
      <c r="N1231" t="s">
        <v>3963</v>
      </c>
      <c r="O1231" t="s">
        <v>3963</v>
      </c>
      <c r="P1231" t="s">
        <v>15066</v>
      </c>
      <c r="R1231" t="s">
        <v>15067</v>
      </c>
    </row>
    <row r="1232" spans="4:18">
      <c r="D1232" t="s">
        <v>1633</v>
      </c>
      <c r="H1232" t="s">
        <v>5992</v>
      </c>
      <c r="K1232" t="s">
        <v>15068</v>
      </c>
      <c r="L1232" t="s">
        <v>15069</v>
      </c>
      <c r="M1232" t="s">
        <v>3963</v>
      </c>
      <c r="N1232" t="s">
        <v>3963</v>
      </c>
      <c r="O1232" t="s">
        <v>3963</v>
      </c>
      <c r="P1232" t="s">
        <v>15069</v>
      </c>
      <c r="R1232" t="s">
        <v>15070</v>
      </c>
    </row>
    <row r="1233" spans="4:18">
      <c r="E1233" t="s">
        <v>5993</v>
      </c>
      <c r="I1233" t="s">
        <v>5437</v>
      </c>
      <c r="K1233" t="s">
        <v>3994</v>
      </c>
      <c r="L1233" t="s">
        <v>3963</v>
      </c>
      <c r="M1233" t="s">
        <v>3963</v>
      </c>
      <c r="N1233" t="s">
        <v>3963</v>
      </c>
      <c r="O1233" t="s">
        <v>3963</v>
      </c>
      <c r="P1233" t="s">
        <v>3963</v>
      </c>
      <c r="R1233" t="s">
        <v>3994</v>
      </c>
    </row>
    <row r="1234" spans="4:18">
      <c r="E1234" t="s">
        <v>5994</v>
      </c>
      <c r="I1234" t="s">
        <v>5995</v>
      </c>
      <c r="K1234" t="s">
        <v>12518</v>
      </c>
      <c r="L1234" t="s">
        <v>3963</v>
      </c>
      <c r="M1234" t="s">
        <v>3963</v>
      </c>
      <c r="N1234" t="s">
        <v>3963</v>
      </c>
      <c r="O1234" t="s">
        <v>3963</v>
      </c>
      <c r="P1234" t="s">
        <v>3963</v>
      </c>
      <c r="R1234" t="s">
        <v>12518</v>
      </c>
    </row>
    <row r="1235" spans="4:18">
      <c r="E1235" t="s">
        <v>5996</v>
      </c>
      <c r="I1235" t="s">
        <v>5997</v>
      </c>
      <c r="K1235" t="s">
        <v>15071</v>
      </c>
      <c r="L1235" t="s">
        <v>15069</v>
      </c>
      <c r="M1235" t="s">
        <v>3963</v>
      </c>
      <c r="N1235" t="s">
        <v>3963</v>
      </c>
      <c r="O1235" t="s">
        <v>3963</v>
      </c>
      <c r="P1235" t="s">
        <v>15069</v>
      </c>
      <c r="R1235" t="s">
        <v>15072</v>
      </c>
    </row>
    <row r="1236" spans="4:18">
      <c r="D1236" t="s">
        <v>1631</v>
      </c>
      <c r="H1236" t="s">
        <v>5998</v>
      </c>
      <c r="K1236" t="s">
        <v>15073</v>
      </c>
      <c r="L1236" t="s">
        <v>15074</v>
      </c>
      <c r="M1236" t="s">
        <v>3963</v>
      </c>
      <c r="N1236" t="s">
        <v>3963</v>
      </c>
      <c r="O1236" t="s">
        <v>3963</v>
      </c>
      <c r="P1236" t="s">
        <v>15074</v>
      </c>
      <c r="R1236" t="s">
        <v>15075</v>
      </c>
    </row>
    <row r="1237" spans="4:18">
      <c r="E1237" t="s">
        <v>5999</v>
      </c>
      <c r="I1237" t="s">
        <v>6000</v>
      </c>
      <c r="K1237" t="s">
        <v>15076</v>
      </c>
      <c r="L1237" t="s">
        <v>15077</v>
      </c>
      <c r="M1237" t="s">
        <v>3963</v>
      </c>
      <c r="N1237" t="s">
        <v>3963</v>
      </c>
      <c r="O1237" t="s">
        <v>3963</v>
      </c>
      <c r="P1237" t="s">
        <v>15077</v>
      </c>
      <c r="R1237" t="s">
        <v>15078</v>
      </c>
    </row>
    <row r="1238" spans="4:18">
      <c r="E1238" t="s">
        <v>6001</v>
      </c>
      <c r="I1238" t="s">
        <v>6002</v>
      </c>
      <c r="K1238" t="s">
        <v>15079</v>
      </c>
      <c r="L1238" t="s">
        <v>15080</v>
      </c>
      <c r="M1238" t="s">
        <v>3963</v>
      </c>
      <c r="N1238" t="s">
        <v>3963</v>
      </c>
      <c r="O1238" t="s">
        <v>3963</v>
      </c>
      <c r="P1238" t="s">
        <v>15080</v>
      </c>
      <c r="R1238" t="s">
        <v>15081</v>
      </c>
    </row>
    <row r="1239" spans="4:18">
      <c r="E1239" t="s">
        <v>6003</v>
      </c>
      <c r="I1239" t="s">
        <v>6004</v>
      </c>
      <c r="K1239" t="s">
        <v>15082</v>
      </c>
      <c r="L1239" t="s">
        <v>15083</v>
      </c>
      <c r="M1239" t="s">
        <v>3963</v>
      </c>
      <c r="N1239" t="s">
        <v>3963</v>
      </c>
      <c r="O1239" t="s">
        <v>3963</v>
      </c>
      <c r="P1239" t="s">
        <v>15083</v>
      </c>
      <c r="R1239" t="s">
        <v>15084</v>
      </c>
    </row>
    <row r="1240" spans="4:18">
      <c r="E1240" t="s">
        <v>6005</v>
      </c>
      <c r="I1240" t="s">
        <v>6006</v>
      </c>
      <c r="K1240" t="s">
        <v>3994</v>
      </c>
      <c r="L1240" t="s">
        <v>3963</v>
      </c>
      <c r="M1240" t="s">
        <v>3963</v>
      </c>
      <c r="N1240" t="s">
        <v>3963</v>
      </c>
      <c r="O1240" t="s">
        <v>3963</v>
      </c>
      <c r="P1240" t="s">
        <v>3963</v>
      </c>
      <c r="R1240" t="s">
        <v>3994</v>
      </c>
    </row>
    <row r="1241" spans="4:18">
      <c r="D1241" t="s">
        <v>1632</v>
      </c>
      <c r="H1241" t="s">
        <v>6007</v>
      </c>
      <c r="K1241" t="s">
        <v>15085</v>
      </c>
      <c r="L1241" t="s">
        <v>15086</v>
      </c>
      <c r="M1241" t="s">
        <v>3963</v>
      </c>
      <c r="N1241" t="s">
        <v>3963</v>
      </c>
      <c r="O1241" t="s">
        <v>3963</v>
      </c>
      <c r="P1241" t="s">
        <v>15086</v>
      </c>
      <c r="R1241" t="s">
        <v>15087</v>
      </c>
    </row>
    <row r="1242" spans="4:18">
      <c r="E1242" t="s">
        <v>6008</v>
      </c>
      <c r="I1242" t="s">
        <v>6009</v>
      </c>
      <c r="K1242" t="s">
        <v>15088</v>
      </c>
      <c r="L1242" t="s">
        <v>15089</v>
      </c>
      <c r="M1242" t="s">
        <v>3963</v>
      </c>
      <c r="N1242" t="s">
        <v>3963</v>
      </c>
      <c r="O1242" t="s">
        <v>3963</v>
      </c>
      <c r="P1242" t="s">
        <v>15089</v>
      </c>
      <c r="R1242" t="s">
        <v>15090</v>
      </c>
    </row>
    <row r="1243" spans="4:18">
      <c r="E1243" t="s">
        <v>6010</v>
      </c>
      <c r="I1243" t="s">
        <v>6011</v>
      </c>
      <c r="K1243" t="s">
        <v>15091</v>
      </c>
      <c r="L1243" t="s">
        <v>15092</v>
      </c>
      <c r="M1243" t="s">
        <v>3963</v>
      </c>
      <c r="N1243" t="s">
        <v>3963</v>
      </c>
      <c r="O1243" t="s">
        <v>3963</v>
      </c>
      <c r="P1243" t="s">
        <v>15092</v>
      </c>
      <c r="R1243" t="s">
        <v>15093</v>
      </c>
    </row>
    <row r="1244" spans="4:18">
      <c r="E1244" t="s">
        <v>6012</v>
      </c>
      <c r="I1244" t="s">
        <v>6013</v>
      </c>
      <c r="K1244" t="s">
        <v>15094</v>
      </c>
      <c r="L1244" t="s">
        <v>15094</v>
      </c>
      <c r="M1244" t="s">
        <v>3963</v>
      </c>
      <c r="N1244" t="s">
        <v>3963</v>
      </c>
      <c r="O1244" t="s">
        <v>3963</v>
      </c>
      <c r="P1244" t="s">
        <v>15094</v>
      </c>
      <c r="R1244" t="s">
        <v>3963</v>
      </c>
    </row>
    <row r="1245" spans="4:18">
      <c r="D1245" t="s">
        <v>1644</v>
      </c>
      <c r="H1245" t="s">
        <v>6014</v>
      </c>
      <c r="K1245" t="s">
        <v>15095</v>
      </c>
      <c r="L1245" t="s">
        <v>15096</v>
      </c>
      <c r="M1245" t="s">
        <v>3963</v>
      </c>
      <c r="N1245" t="s">
        <v>3963</v>
      </c>
      <c r="O1245" t="s">
        <v>3963</v>
      </c>
      <c r="P1245" t="s">
        <v>15096</v>
      </c>
      <c r="R1245" t="s">
        <v>15097</v>
      </c>
    </row>
    <row r="1246" spans="4:18">
      <c r="E1246" t="s">
        <v>6015</v>
      </c>
      <c r="I1246" t="s">
        <v>5816</v>
      </c>
      <c r="K1246" t="s">
        <v>15095</v>
      </c>
      <c r="L1246" t="s">
        <v>15096</v>
      </c>
      <c r="M1246" t="s">
        <v>3963</v>
      </c>
      <c r="N1246" t="s">
        <v>3963</v>
      </c>
      <c r="O1246" t="s">
        <v>3963</v>
      </c>
      <c r="P1246" t="s">
        <v>15096</v>
      </c>
      <c r="R1246" t="s">
        <v>15097</v>
      </c>
    </row>
    <row r="1247" spans="4:18">
      <c r="E1247" t="s">
        <v>6016</v>
      </c>
      <c r="I1247" t="s">
        <v>5441</v>
      </c>
      <c r="K1247" t="s">
        <v>3963</v>
      </c>
      <c r="L1247" t="s">
        <v>3963</v>
      </c>
      <c r="M1247" t="s">
        <v>3963</v>
      </c>
      <c r="N1247" t="s">
        <v>3963</v>
      </c>
      <c r="O1247" t="s">
        <v>3963</v>
      </c>
      <c r="P1247" t="s">
        <v>3963</v>
      </c>
      <c r="R1247" t="s">
        <v>3963</v>
      </c>
    </row>
    <row r="1248" spans="4:18">
      <c r="E1248" t="s">
        <v>6017</v>
      </c>
      <c r="I1248" t="s">
        <v>6018</v>
      </c>
      <c r="K1248" t="s">
        <v>3963</v>
      </c>
      <c r="L1248" t="s">
        <v>3963</v>
      </c>
      <c r="M1248" t="s">
        <v>3963</v>
      </c>
      <c r="N1248" t="s">
        <v>3963</v>
      </c>
      <c r="O1248" t="s">
        <v>3963</v>
      </c>
      <c r="P1248" t="s">
        <v>3963</v>
      </c>
      <c r="R1248" t="s">
        <v>3963</v>
      </c>
    </row>
    <row r="1249" spans="4:18">
      <c r="D1249" t="s">
        <v>1649</v>
      </c>
      <c r="H1249" t="s">
        <v>6019</v>
      </c>
      <c r="K1249" t="s">
        <v>15098</v>
      </c>
      <c r="L1249" t="s">
        <v>15099</v>
      </c>
      <c r="M1249" t="s">
        <v>3963</v>
      </c>
      <c r="N1249" t="s">
        <v>3963</v>
      </c>
      <c r="O1249" t="s">
        <v>3963</v>
      </c>
      <c r="P1249" t="s">
        <v>15099</v>
      </c>
      <c r="R1249" t="s">
        <v>15100</v>
      </c>
    </row>
    <row r="1250" spans="4:18">
      <c r="E1250" t="s">
        <v>6020</v>
      </c>
      <c r="I1250" t="s">
        <v>6021</v>
      </c>
      <c r="K1250" t="s">
        <v>15101</v>
      </c>
      <c r="L1250" t="s">
        <v>15101</v>
      </c>
      <c r="M1250" t="s">
        <v>3963</v>
      </c>
      <c r="N1250" t="s">
        <v>3963</v>
      </c>
      <c r="O1250" t="s">
        <v>3963</v>
      </c>
      <c r="P1250" t="s">
        <v>15101</v>
      </c>
      <c r="R1250" t="s">
        <v>3963</v>
      </c>
    </row>
    <row r="1251" spans="4:18">
      <c r="E1251" t="s">
        <v>6022</v>
      </c>
      <c r="I1251" t="s">
        <v>6023</v>
      </c>
      <c r="K1251" t="s">
        <v>15102</v>
      </c>
      <c r="L1251" t="s">
        <v>15103</v>
      </c>
      <c r="M1251" t="s">
        <v>3963</v>
      </c>
      <c r="N1251" t="s">
        <v>3963</v>
      </c>
      <c r="O1251" t="s">
        <v>3963</v>
      </c>
      <c r="P1251" t="s">
        <v>15103</v>
      </c>
      <c r="R1251" t="s">
        <v>15100</v>
      </c>
    </row>
    <row r="1252" spans="4:18">
      <c r="D1252" t="s">
        <v>2308</v>
      </c>
      <c r="H1252" t="s">
        <v>6024</v>
      </c>
      <c r="K1252" t="s">
        <v>15104</v>
      </c>
      <c r="L1252" t="s">
        <v>15105</v>
      </c>
      <c r="M1252" t="s">
        <v>3963</v>
      </c>
      <c r="N1252" t="s">
        <v>3963</v>
      </c>
      <c r="O1252" t="s">
        <v>3963</v>
      </c>
      <c r="P1252" t="s">
        <v>15105</v>
      </c>
      <c r="R1252" t="s">
        <v>15106</v>
      </c>
    </row>
    <row r="1253" spans="4:18">
      <c r="E1253" t="s">
        <v>6025</v>
      </c>
      <c r="I1253" t="s">
        <v>5476</v>
      </c>
      <c r="K1253" t="s">
        <v>15107</v>
      </c>
      <c r="L1253" t="s">
        <v>15108</v>
      </c>
      <c r="M1253" t="s">
        <v>3963</v>
      </c>
      <c r="N1253" t="s">
        <v>3963</v>
      </c>
      <c r="O1253" t="s">
        <v>3963</v>
      </c>
      <c r="P1253" t="s">
        <v>15108</v>
      </c>
      <c r="R1253" t="s">
        <v>15109</v>
      </c>
    </row>
    <row r="1254" spans="4:18">
      <c r="E1254" t="s">
        <v>6026</v>
      </c>
      <c r="I1254" t="s">
        <v>6027</v>
      </c>
      <c r="K1254" t="s">
        <v>15110</v>
      </c>
      <c r="L1254" t="s">
        <v>15111</v>
      </c>
      <c r="M1254" t="s">
        <v>3963</v>
      </c>
      <c r="N1254" t="s">
        <v>3963</v>
      </c>
      <c r="O1254" t="s">
        <v>3963</v>
      </c>
      <c r="P1254" t="s">
        <v>15111</v>
      </c>
      <c r="R1254" t="s">
        <v>15112</v>
      </c>
    </row>
    <row r="1255" spans="4:18">
      <c r="E1255" t="s">
        <v>6028</v>
      </c>
      <c r="I1255" t="s">
        <v>6029</v>
      </c>
      <c r="K1255" t="s">
        <v>15113</v>
      </c>
      <c r="L1255" t="s">
        <v>15114</v>
      </c>
      <c r="M1255" t="s">
        <v>3963</v>
      </c>
      <c r="N1255" t="s">
        <v>3963</v>
      </c>
      <c r="O1255" t="s">
        <v>3963</v>
      </c>
      <c r="P1255" t="s">
        <v>15114</v>
      </c>
      <c r="R1255" t="s">
        <v>15115</v>
      </c>
    </row>
    <row r="1256" spans="4:18">
      <c r="E1256" t="s">
        <v>6030</v>
      </c>
      <c r="I1256" t="s">
        <v>5480</v>
      </c>
      <c r="K1256" t="s">
        <v>3963</v>
      </c>
      <c r="L1256" t="s">
        <v>3963</v>
      </c>
      <c r="M1256" t="s">
        <v>3963</v>
      </c>
      <c r="N1256" t="s">
        <v>3963</v>
      </c>
      <c r="O1256" t="s">
        <v>3963</v>
      </c>
      <c r="P1256" t="s">
        <v>3963</v>
      </c>
      <c r="R1256" t="s">
        <v>3963</v>
      </c>
    </row>
    <row r="1257" spans="4:18">
      <c r="E1257" t="s">
        <v>6031</v>
      </c>
      <c r="I1257" t="s">
        <v>6032</v>
      </c>
      <c r="K1257" t="s">
        <v>15116</v>
      </c>
      <c r="L1257" t="s">
        <v>15117</v>
      </c>
      <c r="M1257" t="s">
        <v>3963</v>
      </c>
      <c r="N1257" t="s">
        <v>3963</v>
      </c>
      <c r="O1257" t="s">
        <v>3963</v>
      </c>
      <c r="P1257" t="s">
        <v>15117</v>
      </c>
      <c r="R1257" t="s">
        <v>15118</v>
      </c>
    </row>
    <row r="1258" spans="4:18">
      <c r="D1258" t="s">
        <v>2311</v>
      </c>
      <c r="H1258" t="s">
        <v>6033</v>
      </c>
      <c r="K1258" t="s">
        <v>15119</v>
      </c>
      <c r="L1258" t="s">
        <v>15120</v>
      </c>
      <c r="M1258" t="s">
        <v>3963</v>
      </c>
      <c r="N1258" t="s">
        <v>3963</v>
      </c>
      <c r="O1258" t="s">
        <v>3963</v>
      </c>
      <c r="P1258" t="s">
        <v>15120</v>
      </c>
      <c r="R1258" t="s">
        <v>14672</v>
      </c>
    </row>
    <row r="1259" spans="4:18">
      <c r="E1259" t="s">
        <v>6034</v>
      </c>
      <c r="I1259" t="s">
        <v>6035</v>
      </c>
      <c r="K1259" t="s">
        <v>15121</v>
      </c>
      <c r="L1259" t="s">
        <v>15122</v>
      </c>
      <c r="M1259" t="s">
        <v>3963</v>
      </c>
      <c r="N1259" t="s">
        <v>3963</v>
      </c>
      <c r="O1259" t="s">
        <v>3963</v>
      </c>
      <c r="P1259" t="s">
        <v>15122</v>
      </c>
      <c r="R1259" t="s">
        <v>15123</v>
      </c>
    </row>
    <row r="1260" spans="4:18">
      <c r="E1260" t="s">
        <v>6036</v>
      </c>
      <c r="I1260" t="s">
        <v>5480</v>
      </c>
      <c r="K1260" t="s">
        <v>15124</v>
      </c>
      <c r="L1260" t="s">
        <v>15125</v>
      </c>
      <c r="M1260" t="s">
        <v>3963</v>
      </c>
      <c r="N1260" t="s">
        <v>3963</v>
      </c>
      <c r="O1260" t="s">
        <v>3963</v>
      </c>
      <c r="P1260" t="s">
        <v>15125</v>
      </c>
      <c r="R1260" t="s">
        <v>15126</v>
      </c>
    </row>
    <row r="1261" spans="4:18">
      <c r="E1261" t="s">
        <v>6037</v>
      </c>
      <c r="I1261" t="s">
        <v>6038</v>
      </c>
      <c r="K1261" t="s">
        <v>15127</v>
      </c>
      <c r="L1261" t="s">
        <v>3963</v>
      </c>
      <c r="M1261" t="s">
        <v>3963</v>
      </c>
      <c r="N1261" t="s">
        <v>3963</v>
      </c>
      <c r="O1261" t="s">
        <v>3963</v>
      </c>
      <c r="P1261" t="s">
        <v>3963</v>
      </c>
      <c r="R1261" t="s">
        <v>15127</v>
      </c>
    </row>
    <row r="1262" spans="4:18">
      <c r="D1262" t="s">
        <v>2314</v>
      </c>
      <c r="H1262" t="s">
        <v>6039</v>
      </c>
      <c r="K1262" t="s">
        <v>15128</v>
      </c>
      <c r="L1262" t="s">
        <v>15129</v>
      </c>
      <c r="M1262" t="s">
        <v>3963</v>
      </c>
      <c r="N1262" t="s">
        <v>3963</v>
      </c>
      <c r="O1262" t="s">
        <v>3963</v>
      </c>
      <c r="P1262" t="s">
        <v>15129</v>
      </c>
      <c r="R1262" t="s">
        <v>15130</v>
      </c>
    </row>
    <row r="1263" spans="4:18">
      <c r="E1263" t="s">
        <v>6040</v>
      </c>
      <c r="I1263" t="s">
        <v>6041</v>
      </c>
      <c r="K1263" t="s">
        <v>15131</v>
      </c>
      <c r="L1263" t="s">
        <v>15132</v>
      </c>
      <c r="M1263" t="s">
        <v>3963</v>
      </c>
      <c r="N1263" t="s">
        <v>3963</v>
      </c>
      <c r="O1263" t="s">
        <v>3963</v>
      </c>
      <c r="P1263" t="s">
        <v>15132</v>
      </c>
      <c r="R1263" t="s">
        <v>6042</v>
      </c>
    </row>
    <row r="1264" spans="4:18">
      <c r="E1264" t="s">
        <v>6043</v>
      </c>
      <c r="I1264" t="s">
        <v>6044</v>
      </c>
      <c r="K1264" t="s">
        <v>15133</v>
      </c>
      <c r="L1264" t="s">
        <v>15134</v>
      </c>
      <c r="M1264" t="s">
        <v>3963</v>
      </c>
      <c r="N1264" t="s">
        <v>3963</v>
      </c>
      <c r="O1264" t="s">
        <v>3963</v>
      </c>
      <c r="P1264" t="s">
        <v>15134</v>
      </c>
      <c r="R1264" t="s">
        <v>15135</v>
      </c>
    </row>
    <row r="1265" spans="4:18">
      <c r="E1265" t="s">
        <v>6045</v>
      </c>
      <c r="I1265" t="s">
        <v>6046</v>
      </c>
      <c r="K1265" t="s">
        <v>15136</v>
      </c>
      <c r="L1265" t="s">
        <v>15137</v>
      </c>
      <c r="M1265" t="s">
        <v>3963</v>
      </c>
      <c r="N1265" t="s">
        <v>3963</v>
      </c>
      <c r="O1265" t="s">
        <v>3963</v>
      </c>
      <c r="P1265" t="s">
        <v>15137</v>
      </c>
      <c r="R1265" t="s">
        <v>15138</v>
      </c>
    </row>
    <row r="1266" spans="4:18">
      <c r="E1266" t="s">
        <v>6047</v>
      </c>
      <c r="I1266" t="s">
        <v>6048</v>
      </c>
      <c r="K1266" t="s">
        <v>15139</v>
      </c>
      <c r="L1266" t="s">
        <v>15140</v>
      </c>
      <c r="M1266" t="s">
        <v>3963</v>
      </c>
      <c r="N1266" t="s">
        <v>3963</v>
      </c>
      <c r="O1266" t="s">
        <v>3963</v>
      </c>
      <c r="P1266" t="s">
        <v>15140</v>
      </c>
      <c r="R1266" t="s">
        <v>15141</v>
      </c>
    </row>
    <row r="1267" spans="4:18">
      <c r="D1267" t="s">
        <v>2317</v>
      </c>
      <c r="H1267" t="s">
        <v>6049</v>
      </c>
      <c r="K1267" t="s">
        <v>15142</v>
      </c>
      <c r="L1267" t="s">
        <v>15143</v>
      </c>
      <c r="M1267" t="s">
        <v>3963</v>
      </c>
      <c r="N1267" t="s">
        <v>3963</v>
      </c>
      <c r="O1267" t="s">
        <v>3963</v>
      </c>
      <c r="P1267" t="s">
        <v>15143</v>
      </c>
      <c r="R1267" t="s">
        <v>15144</v>
      </c>
    </row>
    <row r="1268" spans="4:18">
      <c r="E1268" t="s">
        <v>6050</v>
      </c>
      <c r="I1268" t="s">
        <v>5995</v>
      </c>
      <c r="K1268" t="s">
        <v>15145</v>
      </c>
      <c r="L1268" t="s">
        <v>15146</v>
      </c>
      <c r="M1268" t="s">
        <v>3963</v>
      </c>
      <c r="N1268" t="s">
        <v>3963</v>
      </c>
      <c r="O1268" t="s">
        <v>3963</v>
      </c>
      <c r="P1268" t="s">
        <v>15146</v>
      </c>
      <c r="R1268" t="s">
        <v>15147</v>
      </c>
    </row>
    <row r="1269" spans="4:18">
      <c r="E1269" t="s">
        <v>6051</v>
      </c>
      <c r="I1269" t="s">
        <v>5441</v>
      </c>
      <c r="K1269" t="s">
        <v>3963</v>
      </c>
      <c r="L1269" t="s">
        <v>3963</v>
      </c>
      <c r="M1269" t="s">
        <v>3963</v>
      </c>
      <c r="N1269" t="s">
        <v>3963</v>
      </c>
      <c r="O1269" t="s">
        <v>3963</v>
      </c>
      <c r="P1269" t="s">
        <v>3963</v>
      </c>
      <c r="R1269" t="s">
        <v>3963</v>
      </c>
    </row>
    <row r="1270" spans="4:18">
      <c r="E1270" t="s">
        <v>6052</v>
      </c>
      <c r="I1270" t="s">
        <v>6053</v>
      </c>
      <c r="K1270" t="s">
        <v>4702</v>
      </c>
      <c r="L1270" t="s">
        <v>3963</v>
      </c>
      <c r="M1270" t="s">
        <v>3963</v>
      </c>
      <c r="N1270" t="s">
        <v>3963</v>
      </c>
      <c r="O1270" t="s">
        <v>3963</v>
      </c>
      <c r="P1270" t="s">
        <v>3963</v>
      </c>
      <c r="R1270" t="s">
        <v>4702</v>
      </c>
    </row>
    <row r="1271" spans="4:18">
      <c r="E1271" t="s">
        <v>6054</v>
      </c>
      <c r="I1271" t="s">
        <v>6055</v>
      </c>
      <c r="K1271" t="s">
        <v>13374</v>
      </c>
      <c r="L1271" t="s">
        <v>15148</v>
      </c>
      <c r="M1271" t="s">
        <v>3963</v>
      </c>
      <c r="N1271" t="s">
        <v>3963</v>
      </c>
      <c r="O1271" t="s">
        <v>3963</v>
      </c>
      <c r="P1271" t="s">
        <v>15148</v>
      </c>
      <c r="R1271" t="s">
        <v>15149</v>
      </c>
    </row>
    <row r="1272" spans="4:18">
      <c r="E1272" t="s">
        <v>6056</v>
      </c>
      <c r="I1272" t="s">
        <v>6057</v>
      </c>
      <c r="K1272" t="s">
        <v>13663</v>
      </c>
      <c r="L1272" t="s">
        <v>15150</v>
      </c>
      <c r="M1272" t="s">
        <v>3963</v>
      </c>
      <c r="N1272" t="s">
        <v>3963</v>
      </c>
      <c r="O1272" t="s">
        <v>3963</v>
      </c>
      <c r="P1272" t="s">
        <v>15150</v>
      </c>
      <c r="R1272" t="s">
        <v>15151</v>
      </c>
    </row>
    <row r="1273" spans="4:18">
      <c r="E1273" t="s">
        <v>6058</v>
      </c>
      <c r="I1273" t="s">
        <v>6059</v>
      </c>
      <c r="K1273" t="s">
        <v>15152</v>
      </c>
      <c r="L1273" t="s">
        <v>3963</v>
      </c>
      <c r="M1273" t="s">
        <v>3963</v>
      </c>
      <c r="N1273" t="s">
        <v>3963</v>
      </c>
      <c r="O1273" t="s">
        <v>3963</v>
      </c>
      <c r="P1273" t="s">
        <v>3963</v>
      </c>
      <c r="R1273" t="s">
        <v>15152</v>
      </c>
    </row>
    <row r="1274" spans="4:18">
      <c r="D1274" t="s">
        <v>2318</v>
      </c>
      <c r="H1274" t="s">
        <v>6060</v>
      </c>
      <c r="K1274" t="s">
        <v>15153</v>
      </c>
      <c r="L1274" t="s">
        <v>15154</v>
      </c>
      <c r="M1274" t="s">
        <v>3963</v>
      </c>
      <c r="N1274" t="s">
        <v>3963</v>
      </c>
      <c r="O1274" t="s">
        <v>3963</v>
      </c>
      <c r="P1274" t="s">
        <v>15154</v>
      </c>
      <c r="R1274" t="s">
        <v>15155</v>
      </c>
    </row>
    <row r="1275" spans="4:18">
      <c r="E1275" t="s">
        <v>6061</v>
      </c>
      <c r="I1275" t="s">
        <v>6062</v>
      </c>
      <c r="K1275" t="s">
        <v>15156</v>
      </c>
      <c r="L1275" t="s">
        <v>15157</v>
      </c>
      <c r="M1275" t="s">
        <v>3963</v>
      </c>
      <c r="N1275" t="s">
        <v>3963</v>
      </c>
      <c r="O1275" t="s">
        <v>3963</v>
      </c>
      <c r="P1275" t="s">
        <v>15157</v>
      </c>
      <c r="R1275" t="s">
        <v>15158</v>
      </c>
    </row>
    <row r="1276" spans="4:18">
      <c r="E1276" t="s">
        <v>6063</v>
      </c>
      <c r="I1276" t="s">
        <v>5596</v>
      </c>
      <c r="K1276" t="s">
        <v>3963</v>
      </c>
      <c r="L1276" t="s">
        <v>3963</v>
      </c>
      <c r="M1276" t="s">
        <v>3963</v>
      </c>
      <c r="N1276" t="s">
        <v>3963</v>
      </c>
      <c r="O1276" t="s">
        <v>3963</v>
      </c>
      <c r="P1276" t="s">
        <v>3963</v>
      </c>
      <c r="R1276" t="s">
        <v>3963</v>
      </c>
    </row>
    <row r="1277" spans="4:18">
      <c r="E1277" t="s">
        <v>6064</v>
      </c>
      <c r="I1277" t="s">
        <v>5480</v>
      </c>
      <c r="K1277" t="s">
        <v>15159</v>
      </c>
      <c r="L1277" t="s">
        <v>15160</v>
      </c>
      <c r="M1277" t="s">
        <v>3963</v>
      </c>
      <c r="N1277" t="s">
        <v>3963</v>
      </c>
      <c r="O1277" t="s">
        <v>3963</v>
      </c>
      <c r="P1277" t="s">
        <v>15160</v>
      </c>
      <c r="R1277" t="s">
        <v>15161</v>
      </c>
    </row>
    <row r="1278" spans="4:18">
      <c r="D1278" t="s">
        <v>2319</v>
      </c>
      <c r="H1278" t="s">
        <v>6065</v>
      </c>
      <c r="K1278" t="s">
        <v>15162</v>
      </c>
      <c r="L1278" t="s">
        <v>15163</v>
      </c>
      <c r="M1278" t="s">
        <v>3963</v>
      </c>
      <c r="N1278" t="s">
        <v>3963</v>
      </c>
      <c r="O1278" t="s">
        <v>3963</v>
      </c>
      <c r="P1278" t="s">
        <v>15163</v>
      </c>
      <c r="R1278" t="s">
        <v>15164</v>
      </c>
    </row>
    <row r="1279" spans="4:18">
      <c r="E1279" t="s">
        <v>6066</v>
      </c>
      <c r="I1279" t="s">
        <v>6067</v>
      </c>
      <c r="K1279" t="s">
        <v>15165</v>
      </c>
      <c r="L1279" t="s">
        <v>15166</v>
      </c>
      <c r="M1279" t="s">
        <v>3963</v>
      </c>
      <c r="N1279" t="s">
        <v>3963</v>
      </c>
      <c r="O1279" t="s">
        <v>3963</v>
      </c>
      <c r="P1279" t="s">
        <v>15166</v>
      </c>
      <c r="R1279" t="s">
        <v>15167</v>
      </c>
    </row>
    <row r="1280" spans="4:18">
      <c r="E1280" t="s">
        <v>6068</v>
      </c>
      <c r="I1280" t="s">
        <v>5441</v>
      </c>
      <c r="K1280" t="s">
        <v>15168</v>
      </c>
      <c r="L1280" t="s">
        <v>15169</v>
      </c>
      <c r="M1280" t="s">
        <v>3963</v>
      </c>
      <c r="N1280" t="s">
        <v>3963</v>
      </c>
      <c r="O1280" t="s">
        <v>3963</v>
      </c>
      <c r="P1280" t="s">
        <v>15169</v>
      </c>
      <c r="R1280" t="s">
        <v>15170</v>
      </c>
    </row>
    <row r="1281" spans="4:18">
      <c r="E1281" t="s">
        <v>6069</v>
      </c>
      <c r="I1281" t="s">
        <v>6018</v>
      </c>
      <c r="K1281" t="s">
        <v>12518</v>
      </c>
      <c r="L1281" t="s">
        <v>3963</v>
      </c>
      <c r="M1281" t="s">
        <v>3963</v>
      </c>
      <c r="N1281" t="s">
        <v>3963</v>
      </c>
      <c r="O1281" t="s">
        <v>3963</v>
      </c>
      <c r="P1281" t="s">
        <v>3963</v>
      </c>
      <c r="R1281" t="s">
        <v>12518</v>
      </c>
    </row>
    <row r="1282" spans="4:18">
      <c r="D1282" t="s">
        <v>2321</v>
      </c>
      <c r="H1282" t="s">
        <v>6070</v>
      </c>
      <c r="K1282" t="s">
        <v>15171</v>
      </c>
      <c r="L1282" t="s">
        <v>15172</v>
      </c>
      <c r="M1282" t="s">
        <v>3963</v>
      </c>
      <c r="N1282" t="s">
        <v>3963</v>
      </c>
      <c r="O1282" t="s">
        <v>3963</v>
      </c>
      <c r="P1282" t="s">
        <v>15172</v>
      </c>
      <c r="R1282" t="s">
        <v>15173</v>
      </c>
    </row>
    <row r="1283" spans="4:18">
      <c r="E1283" t="s">
        <v>6071</v>
      </c>
      <c r="I1283" t="s">
        <v>6067</v>
      </c>
      <c r="K1283" t="s">
        <v>15174</v>
      </c>
      <c r="L1283" t="s">
        <v>15175</v>
      </c>
      <c r="M1283" t="s">
        <v>3963</v>
      </c>
      <c r="N1283" t="s">
        <v>3963</v>
      </c>
      <c r="O1283" t="s">
        <v>3963</v>
      </c>
      <c r="P1283" t="s">
        <v>15175</v>
      </c>
      <c r="R1283" t="s">
        <v>15176</v>
      </c>
    </row>
    <row r="1284" spans="4:18">
      <c r="E1284" t="s">
        <v>6072</v>
      </c>
      <c r="I1284" t="s">
        <v>5441</v>
      </c>
      <c r="K1284" t="s">
        <v>15177</v>
      </c>
      <c r="L1284" t="s">
        <v>15178</v>
      </c>
      <c r="M1284" t="s">
        <v>3963</v>
      </c>
      <c r="N1284" t="s">
        <v>3963</v>
      </c>
      <c r="O1284" t="s">
        <v>3963</v>
      </c>
      <c r="P1284" t="s">
        <v>15178</v>
      </c>
      <c r="R1284" t="s">
        <v>15179</v>
      </c>
    </row>
    <row r="1285" spans="4:18">
      <c r="E1285" t="s">
        <v>6073</v>
      </c>
      <c r="I1285" t="s">
        <v>6018</v>
      </c>
      <c r="K1285" t="s">
        <v>4021</v>
      </c>
      <c r="L1285" t="s">
        <v>3963</v>
      </c>
      <c r="M1285" t="s">
        <v>3963</v>
      </c>
      <c r="N1285" t="s">
        <v>3963</v>
      </c>
      <c r="O1285" t="s">
        <v>3963</v>
      </c>
      <c r="P1285" t="s">
        <v>3963</v>
      </c>
      <c r="R1285" t="s">
        <v>4021</v>
      </c>
    </row>
    <row r="1286" spans="4:18">
      <c r="D1286" t="s">
        <v>2324</v>
      </c>
      <c r="H1286" t="s">
        <v>6074</v>
      </c>
      <c r="K1286" t="s">
        <v>15180</v>
      </c>
      <c r="L1286" t="s">
        <v>15181</v>
      </c>
      <c r="M1286" t="s">
        <v>3963</v>
      </c>
      <c r="N1286" t="s">
        <v>3963</v>
      </c>
      <c r="O1286" t="s">
        <v>3963</v>
      </c>
      <c r="P1286" t="s">
        <v>15181</v>
      </c>
      <c r="R1286" t="s">
        <v>15182</v>
      </c>
    </row>
    <row r="1287" spans="4:18">
      <c r="E1287" t="s">
        <v>6075</v>
      </c>
      <c r="I1287" t="s">
        <v>5437</v>
      </c>
      <c r="K1287" t="s">
        <v>15183</v>
      </c>
      <c r="L1287" t="s">
        <v>15184</v>
      </c>
      <c r="M1287" t="s">
        <v>3963</v>
      </c>
      <c r="N1287" t="s">
        <v>3963</v>
      </c>
      <c r="O1287" t="s">
        <v>3963</v>
      </c>
      <c r="P1287" t="s">
        <v>15184</v>
      </c>
      <c r="R1287" t="s">
        <v>4893</v>
      </c>
    </row>
    <row r="1288" spans="4:18">
      <c r="E1288" t="s">
        <v>6076</v>
      </c>
      <c r="I1288" t="s">
        <v>5439</v>
      </c>
      <c r="K1288" t="s">
        <v>15185</v>
      </c>
      <c r="L1288" t="s">
        <v>15186</v>
      </c>
      <c r="M1288" t="s">
        <v>3963</v>
      </c>
      <c r="N1288" t="s">
        <v>3963</v>
      </c>
      <c r="O1288" t="s">
        <v>3963</v>
      </c>
      <c r="P1288" t="s">
        <v>15186</v>
      </c>
      <c r="R1288" t="s">
        <v>15187</v>
      </c>
    </row>
    <row r="1289" spans="4:18">
      <c r="E1289" t="s">
        <v>6077</v>
      </c>
      <c r="I1289" t="s">
        <v>5441</v>
      </c>
      <c r="K1289" t="s">
        <v>15188</v>
      </c>
      <c r="L1289" t="s">
        <v>15189</v>
      </c>
      <c r="M1289" t="s">
        <v>3963</v>
      </c>
      <c r="N1289" t="s">
        <v>3963</v>
      </c>
      <c r="O1289" t="s">
        <v>3963</v>
      </c>
      <c r="P1289" t="s">
        <v>15189</v>
      </c>
      <c r="R1289" t="s">
        <v>15190</v>
      </c>
    </row>
    <row r="1290" spans="4:18">
      <c r="D1290" t="s">
        <v>2327</v>
      </c>
      <c r="H1290" t="s">
        <v>6078</v>
      </c>
      <c r="K1290" t="s">
        <v>15191</v>
      </c>
      <c r="L1290" t="s">
        <v>15192</v>
      </c>
      <c r="M1290" t="s">
        <v>3963</v>
      </c>
      <c r="N1290" t="s">
        <v>3963</v>
      </c>
      <c r="O1290" t="s">
        <v>3963</v>
      </c>
      <c r="P1290" t="s">
        <v>15192</v>
      </c>
      <c r="R1290" t="s">
        <v>15193</v>
      </c>
    </row>
    <row r="1291" spans="4:18">
      <c r="E1291" t="s">
        <v>6079</v>
      </c>
      <c r="I1291" t="s">
        <v>6080</v>
      </c>
      <c r="K1291" t="s">
        <v>15191</v>
      </c>
      <c r="L1291" t="s">
        <v>15192</v>
      </c>
      <c r="M1291" t="s">
        <v>3963</v>
      </c>
      <c r="N1291" t="s">
        <v>3963</v>
      </c>
      <c r="O1291" t="s">
        <v>3963</v>
      </c>
      <c r="P1291" t="s">
        <v>15192</v>
      </c>
      <c r="R1291" t="s">
        <v>15193</v>
      </c>
    </row>
    <row r="1292" spans="4:18">
      <c r="D1292" t="s">
        <v>2330</v>
      </c>
      <c r="H1292" t="s">
        <v>6081</v>
      </c>
      <c r="K1292" t="s">
        <v>15194</v>
      </c>
      <c r="L1292" t="s">
        <v>15195</v>
      </c>
      <c r="M1292" t="s">
        <v>16985</v>
      </c>
      <c r="N1292" t="s">
        <v>3963</v>
      </c>
      <c r="O1292" t="s">
        <v>3963</v>
      </c>
      <c r="P1292" t="s">
        <v>17115</v>
      </c>
      <c r="R1292" t="s">
        <v>17116</v>
      </c>
    </row>
    <row r="1293" spans="4:18">
      <c r="E1293" t="s">
        <v>6082</v>
      </c>
      <c r="I1293" t="s">
        <v>6083</v>
      </c>
      <c r="K1293" t="s">
        <v>12523</v>
      </c>
      <c r="L1293" t="s">
        <v>15196</v>
      </c>
      <c r="M1293" t="s">
        <v>16985</v>
      </c>
      <c r="N1293" t="s">
        <v>3963</v>
      </c>
      <c r="O1293" t="s">
        <v>3963</v>
      </c>
      <c r="P1293" t="s">
        <v>16986</v>
      </c>
      <c r="R1293" t="s">
        <v>16987</v>
      </c>
    </row>
    <row r="1294" spans="4:18">
      <c r="E1294" t="s">
        <v>6084</v>
      </c>
      <c r="I1294" t="s">
        <v>6085</v>
      </c>
      <c r="K1294" t="s">
        <v>15197</v>
      </c>
      <c r="L1294" t="s">
        <v>3963</v>
      </c>
      <c r="M1294" t="s">
        <v>3963</v>
      </c>
      <c r="N1294" t="s">
        <v>3963</v>
      </c>
      <c r="O1294" t="s">
        <v>3963</v>
      </c>
      <c r="P1294" t="s">
        <v>3963</v>
      </c>
      <c r="R1294" t="s">
        <v>15197</v>
      </c>
    </row>
    <row r="1295" spans="4:18">
      <c r="E1295" t="s">
        <v>6086</v>
      </c>
      <c r="I1295" t="s">
        <v>6087</v>
      </c>
      <c r="K1295" t="s">
        <v>4150</v>
      </c>
      <c r="L1295" t="s">
        <v>15198</v>
      </c>
      <c r="M1295" t="s">
        <v>3963</v>
      </c>
      <c r="N1295" t="s">
        <v>3963</v>
      </c>
      <c r="O1295" t="s">
        <v>3963</v>
      </c>
      <c r="P1295" t="s">
        <v>15198</v>
      </c>
      <c r="R1295" t="s">
        <v>17117</v>
      </c>
    </row>
    <row r="1296" spans="4:18">
      <c r="E1296" t="s">
        <v>6088</v>
      </c>
      <c r="I1296" t="s">
        <v>5624</v>
      </c>
      <c r="K1296" t="s">
        <v>15199</v>
      </c>
      <c r="L1296" t="s">
        <v>3963</v>
      </c>
      <c r="M1296" t="s">
        <v>3963</v>
      </c>
      <c r="N1296" t="s">
        <v>3963</v>
      </c>
      <c r="O1296" t="s">
        <v>3963</v>
      </c>
      <c r="P1296" t="s">
        <v>3963</v>
      </c>
      <c r="R1296" t="s">
        <v>15199</v>
      </c>
    </row>
    <row r="1297" spans="4:18">
      <c r="E1297" t="s">
        <v>6089</v>
      </c>
      <c r="I1297" t="s">
        <v>5559</v>
      </c>
      <c r="K1297" t="s">
        <v>15200</v>
      </c>
      <c r="L1297" t="s">
        <v>3963</v>
      </c>
      <c r="M1297" t="s">
        <v>3963</v>
      </c>
      <c r="N1297" t="s">
        <v>3963</v>
      </c>
      <c r="O1297" t="s">
        <v>3963</v>
      </c>
      <c r="P1297" t="s">
        <v>3963</v>
      </c>
      <c r="R1297" t="s">
        <v>15200</v>
      </c>
    </row>
    <row r="1298" spans="4:18">
      <c r="E1298" t="s">
        <v>6090</v>
      </c>
      <c r="I1298" t="s">
        <v>6091</v>
      </c>
      <c r="K1298" t="s">
        <v>15201</v>
      </c>
      <c r="L1298" t="s">
        <v>3963</v>
      </c>
      <c r="M1298" t="s">
        <v>3963</v>
      </c>
      <c r="N1298" t="s">
        <v>3963</v>
      </c>
      <c r="O1298" t="s">
        <v>3963</v>
      </c>
      <c r="P1298" t="s">
        <v>3963</v>
      </c>
      <c r="R1298" t="s">
        <v>15201</v>
      </c>
    </row>
    <row r="1299" spans="4:18">
      <c r="D1299" t="s">
        <v>2331</v>
      </c>
      <c r="H1299" t="s">
        <v>6092</v>
      </c>
      <c r="K1299" t="s">
        <v>15202</v>
      </c>
      <c r="L1299" t="s">
        <v>15203</v>
      </c>
      <c r="M1299" t="s">
        <v>3963</v>
      </c>
      <c r="N1299" t="s">
        <v>3963</v>
      </c>
      <c r="O1299" t="s">
        <v>3963</v>
      </c>
      <c r="P1299" t="s">
        <v>15203</v>
      </c>
      <c r="R1299" t="s">
        <v>15204</v>
      </c>
    </row>
    <row r="1300" spans="4:18">
      <c r="E1300" t="s">
        <v>6093</v>
      </c>
      <c r="I1300" t="s">
        <v>6094</v>
      </c>
      <c r="K1300" t="s">
        <v>15205</v>
      </c>
      <c r="L1300" t="s">
        <v>15206</v>
      </c>
      <c r="M1300" t="s">
        <v>3963</v>
      </c>
      <c r="N1300" t="s">
        <v>3963</v>
      </c>
      <c r="O1300" t="s">
        <v>3963</v>
      </c>
      <c r="P1300" t="s">
        <v>15206</v>
      </c>
      <c r="R1300" t="s">
        <v>15207</v>
      </c>
    </row>
    <row r="1301" spans="4:18">
      <c r="E1301" t="s">
        <v>6095</v>
      </c>
      <c r="I1301" t="s">
        <v>6096</v>
      </c>
      <c r="K1301" t="s">
        <v>15208</v>
      </c>
      <c r="L1301" t="s">
        <v>3963</v>
      </c>
      <c r="M1301" t="s">
        <v>3963</v>
      </c>
      <c r="N1301" t="s">
        <v>3963</v>
      </c>
      <c r="O1301" t="s">
        <v>3963</v>
      </c>
      <c r="P1301" t="s">
        <v>3963</v>
      </c>
      <c r="R1301" t="s">
        <v>15208</v>
      </c>
    </row>
    <row r="1302" spans="4:18">
      <c r="E1302" t="s">
        <v>6097</v>
      </c>
      <c r="I1302" t="s">
        <v>6098</v>
      </c>
      <c r="K1302" t="s">
        <v>15209</v>
      </c>
      <c r="L1302" t="s">
        <v>15210</v>
      </c>
      <c r="M1302" t="s">
        <v>3963</v>
      </c>
      <c r="N1302" t="s">
        <v>3963</v>
      </c>
      <c r="O1302" t="s">
        <v>3963</v>
      </c>
      <c r="P1302" t="s">
        <v>15210</v>
      </c>
      <c r="R1302" t="s">
        <v>15211</v>
      </c>
    </row>
    <row r="1303" spans="4:18">
      <c r="E1303" t="s">
        <v>6099</v>
      </c>
      <c r="I1303" t="s">
        <v>6100</v>
      </c>
      <c r="K1303" t="s">
        <v>3963</v>
      </c>
      <c r="L1303" t="s">
        <v>3963</v>
      </c>
      <c r="M1303" t="s">
        <v>3963</v>
      </c>
      <c r="N1303" t="s">
        <v>3963</v>
      </c>
      <c r="O1303" t="s">
        <v>3963</v>
      </c>
      <c r="P1303" t="s">
        <v>3963</v>
      </c>
      <c r="R1303" t="s">
        <v>3963</v>
      </c>
    </row>
    <row r="1304" spans="4:18">
      <c r="E1304" t="s">
        <v>6101</v>
      </c>
      <c r="I1304" t="s">
        <v>6102</v>
      </c>
      <c r="K1304" t="s">
        <v>15212</v>
      </c>
      <c r="L1304" t="s">
        <v>3963</v>
      </c>
      <c r="M1304" t="s">
        <v>3963</v>
      </c>
      <c r="N1304" t="s">
        <v>3963</v>
      </c>
      <c r="O1304" t="s">
        <v>3963</v>
      </c>
      <c r="P1304" t="s">
        <v>3963</v>
      </c>
      <c r="R1304" t="s">
        <v>15212</v>
      </c>
    </row>
    <row r="1305" spans="4:18">
      <c r="D1305" t="s">
        <v>2332</v>
      </c>
      <c r="H1305" t="s">
        <v>6103</v>
      </c>
      <c r="K1305" t="s">
        <v>15213</v>
      </c>
      <c r="L1305" t="s">
        <v>15214</v>
      </c>
      <c r="M1305" t="s">
        <v>3963</v>
      </c>
      <c r="N1305" t="s">
        <v>3963</v>
      </c>
      <c r="O1305" t="s">
        <v>3963</v>
      </c>
      <c r="P1305" t="s">
        <v>15214</v>
      </c>
      <c r="R1305" t="s">
        <v>15215</v>
      </c>
    </row>
    <row r="1306" spans="4:18">
      <c r="E1306" t="s">
        <v>6104</v>
      </c>
      <c r="I1306" t="s">
        <v>6105</v>
      </c>
      <c r="K1306" t="s">
        <v>15216</v>
      </c>
      <c r="L1306" t="s">
        <v>15217</v>
      </c>
      <c r="M1306" t="s">
        <v>3963</v>
      </c>
      <c r="N1306" t="s">
        <v>3963</v>
      </c>
      <c r="O1306" t="s">
        <v>3963</v>
      </c>
      <c r="P1306" t="s">
        <v>15217</v>
      </c>
      <c r="R1306" t="s">
        <v>15218</v>
      </c>
    </row>
    <row r="1307" spans="4:18">
      <c r="E1307" t="s">
        <v>6106</v>
      </c>
      <c r="I1307" t="s">
        <v>5480</v>
      </c>
      <c r="K1307" t="s">
        <v>15219</v>
      </c>
      <c r="L1307" t="s">
        <v>15220</v>
      </c>
      <c r="M1307" t="s">
        <v>3963</v>
      </c>
      <c r="N1307" t="s">
        <v>3963</v>
      </c>
      <c r="O1307" t="s">
        <v>3963</v>
      </c>
      <c r="P1307" t="s">
        <v>15220</v>
      </c>
      <c r="R1307" t="s">
        <v>15221</v>
      </c>
    </row>
    <row r="1308" spans="4:18">
      <c r="D1308" t="s">
        <v>2239</v>
      </c>
      <c r="H1308" t="s">
        <v>6107</v>
      </c>
      <c r="K1308" t="s">
        <v>15222</v>
      </c>
      <c r="L1308" t="s">
        <v>19900</v>
      </c>
      <c r="M1308" t="s">
        <v>19901</v>
      </c>
      <c r="N1308" t="s">
        <v>19902</v>
      </c>
      <c r="O1308" t="s">
        <v>3963</v>
      </c>
      <c r="P1308" t="s">
        <v>19903</v>
      </c>
      <c r="R1308" t="s">
        <v>19904</v>
      </c>
    </row>
    <row r="1309" spans="4:18">
      <c r="E1309" t="s">
        <v>6108</v>
      </c>
      <c r="I1309" t="s">
        <v>5212</v>
      </c>
      <c r="K1309" t="s">
        <v>15223</v>
      </c>
      <c r="L1309" t="s">
        <v>15224</v>
      </c>
      <c r="M1309" t="s">
        <v>3963</v>
      </c>
      <c r="N1309" t="s">
        <v>3963</v>
      </c>
      <c r="O1309" t="s">
        <v>3963</v>
      </c>
      <c r="P1309" t="s">
        <v>15224</v>
      </c>
      <c r="R1309" t="s">
        <v>15225</v>
      </c>
    </row>
    <row r="1310" spans="4:18">
      <c r="E1310" t="s">
        <v>6109</v>
      </c>
      <c r="I1310" t="s">
        <v>5185</v>
      </c>
      <c r="K1310" t="s">
        <v>15226</v>
      </c>
      <c r="L1310" t="s">
        <v>19337</v>
      </c>
      <c r="M1310" t="s">
        <v>18731</v>
      </c>
      <c r="N1310" t="s">
        <v>3963</v>
      </c>
      <c r="O1310" t="s">
        <v>3963</v>
      </c>
      <c r="P1310" t="s">
        <v>19338</v>
      </c>
      <c r="R1310" t="s">
        <v>19339</v>
      </c>
    </row>
    <row r="1311" spans="4:18">
      <c r="E1311" t="s">
        <v>6110</v>
      </c>
      <c r="I1311" t="s">
        <v>6111</v>
      </c>
      <c r="K1311" t="s">
        <v>15227</v>
      </c>
      <c r="L1311" t="s">
        <v>19340</v>
      </c>
      <c r="M1311" t="s">
        <v>3963</v>
      </c>
      <c r="N1311" t="s">
        <v>3963</v>
      </c>
      <c r="O1311" t="s">
        <v>3963</v>
      </c>
      <c r="P1311" t="s">
        <v>19340</v>
      </c>
      <c r="R1311" t="s">
        <v>19341</v>
      </c>
    </row>
    <row r="1312" spans="4:18">
      <c r="E1312" t="s">
        <v>6112</v>
      </c>
      <c r="I1312" t="s">
        <v>6113</v>
      </c>
      <c r="K1312" t="s">
        <v>15228</v>
      </c>
      <c r="L1312" t="s">
        <v>19060</v>
      </c>
      <c r="M1312" t="s">
        <v>17118</v>
      </c>
      <c r="N1312" t="s">
        <v>3963</v>
      </c>
      <c r="O1312" t="s">
        <v>3963</v>
      </c>
      <c r="P1312" t="s">
        <v>19061</v>
      </c>
      <c r="R1312" t="s">
        <v>19062</v>
      </c>
    </row>
    <row r="1313" spans="4:18">
      <c r="E1313" t="s">
        <v>6114</v>
      </c>
      <c r="I1313" t="s">
        <v>5200</v>
      </c>
      <c r="K1313" t="s">
        <v>15229</v>
      </c>
      <c r="L1313" t="s">
        <v>17929</v>
      </c>
      <c r="M1313" t="s">
        <v>19853</v>
      </c>
      <c r="N1313" t="s">
        <v>3963</v>
      </c>
      <c r="O1313" t="s">
        <v>3963</v>
      </c>
      <c r="P1313" t="s">
        <v>19854</v>
      </c>
      <c r="R1313" t="s">
        <v>19855</v>
      </c>
    </row>
    <row r="1314" spans="4:18">
      <c r="E1314" t="s">
        <v>6115</v>
      </c>
      <c r="I1314" t="s">
        <v>6116</v>
      </c>
      <c r="K1314" t="s">
        <v>4038</v>
      </c>
      <c r="L1314" t="s">
        <v>19544</v>
      </c>
      <c r="M1314" t="s">
        <v>19905</v>
      </c>
      <c r="N1314" t="s">
        <v>19906</v>
      </c>
      <c r="O1314" t="s">
        <v>3963</v>
      </c>
      <c r="P1314" t="s">
        <v>19907</v>
      </c>
      <c r="R1314" t="s">
        <v>19908</v>
      </c>
    </row>
    <row r="1315" spans="4:18">
      <c r="E1315" t="s">
        <v>6117</v>
      </c>
      <c r="I1315" t="s">
        <v>5208</v>
      </c>
      <c r="K1315" t="s">
        <v>15230</v>
      </c>
      <c r="L1315" t="s">
        <v>19909</v>
      </c>
      <c r="M1315" t="s">
        <v>19910</v>
      </c>
      <c r="N1315" t="s">
        <v>19911</v>
      </c>
      <c r="O1315" t="s">
        <v>3963</v>
      </c>
      <c r="P1315" t="s">
        <v>19912</v>
      </c>
      <c r="R1315" t="s">
        <v>19913</v>
      </c>
    </row>
    <row r="1316" spans="4:18">
      <c r="E1316" t="s">
        <v>6118</v>
      </c>
      <c r="I1316" t="s">
        <v>5210</v>
      </c>
      <c r="K1316" t="s">
        <v>15231</v>
      </c>
      <c r="L1316" t="s">
        <v>19342</v>
      </c>
      <c r="M1316" t="s">
        <v>18913</v>
      </c>
      <c r="N1316" t="s">
        <v>3963</v>
      </c>
      <c r="O1316" t="s">
        <v>3963</v>
      </c>
      <c r="P1316" t="s">
        <v>19343</v>
      </c>
      <c r="R1316" t="s">
        <v>19344</v>
      </c>
    </row>
    <row r="1317" spans="4:18">
      <c r="D1317" t="s">
        <v>2334</v>
      </c>
      <c r="H1317" t="s">
        <v>6119</v>
      </c>
      <c r="K1317" t="s">
        <v>15232</v>
      </c>
      <c r="L1317" t="s">
        <v>3963</v>
      </c>
      <c r="M1317" t="s">
        <v>3963</v>
      </c>
      <c r="N1317" t="s">
        <v>3963</v>
      </c>
      <c r="O1317" t="s">
        <v>3963</v>
      </c>
      <c r="P1317" t="s">
        <v>3963</v>
      </c>
      <c r="R1317" t="s">
        <v>15232</v>
      </c>
    </row>
    <row r="1318" spans="4:18">
      <c r="E1318" t="s">
        <v>6120</v>
      </c>
      <c r="I1318" t="s">
        <v>4676</v>
      </c>
      <c r="K1318" t="s">
        <v>15233</v>
      </c>
      <c r="L1318" t="s">
        <v>3963</v>
      </c>
      <c r="M1318" t="s">
        <v>3963</v>
      </c>
      <c r="N1318" t="s">
        <v>3963</v>
      </c>
      <c r="O1318" t="s">
        <v>3963</v>
      </c>
      <c r="P1318" t="s">
        <v>3963</v>
      </c>
      <c r="R1318" t="s">
        <v>15233</v>
      </c>
    </row>
    <row r="1319" spans="4:18">
      <c r="E1319" t="s">
        <v>6121</v>
      </c>
      <c r="I1319" t="s">
        <v>6122</v>
      </c>
      <c r="K1319" t="s">
        <v>15234</v>
      </c>
      <c r="L1319" t="s">
        <v>3963</v>
      </c>
      <c r="M1319" t="s">
        <v>3963</v>
      </c>
      <c r="N1319" t="s">
        <v>3963</v>
      </c>
      <c r="O1319" t="s">
        <v>3963</v>
      </c>
      <c r="P1319" t="s">
        <v>3963</v>
      </c>
      <c r="R1319" t="s">
        <v>15234</v>
      </c>
    </row>
    <row r="1320" spans="4:18">
      <c r="E1320" t="s">
        <v>6123</v>
      </c>
      <c r="I1320" t="s">
        <v>6124</v>
      </c>
      <c r="K1320" t="s">
        <v>15235</v>
      </c>
      <c r="L1320" t="s">
        <v>3963</v>
      </c>
      <c r="M1320" t="s">
        <v>3963</v>
      </c>
      <c r="N1320" t="s">
        <v>3963</v>
      </c>
      <c r="O1320" t="s">
        <v>3963</v>
      </c>
      <c r="P1320" t="s">
        <v>3963</v>
      </c>
      <c r="R1320" t="s">
        <v>15235</v>
      </c>
    </row>
    <row r="1321" spans="4:18">
      <c r="D1321" t="s">
        <v>2336</v>
      </c>
      <c r="H1321" t="s">
        <v>6125</v>
      </c>
      <c r="K1321" t="s">
        <v>15236</v>
      </c>
      <c r="L1321" t="s">
        <v>15237</v>
      </c>
      <c r="M1321" t="s">
        <v>18502</v>
      </c>
      <c r="N1321" t="s">
        <v>3963</v>
      </c>
      <c r="O1321" t="s">
        <v>3963</v>
      </c>
      <c r="P1321" t="s">
        <v>18503</v>
      </c>
      <c r="R1321" t="s">
        <v>18504</v>
      </c>
    </row>
    <row r="1322" spans="4:18">
      <c r="E1322" t="s">
        <v>6126</v>
      </c>
      <c r="I1322" t="s">
        <v>6127</v>
      </c>
      <c r="K1322" t="s">
        <v>15238</v>
      </c>
      <c r="L1322" t="s">
        <v>15239</v>
      </c>
      <c r="M1322" t="s">
        <v>3963</v>
      </c>
      <c r="N1322" t="s">
        <v>3963</v>
      </c>
      <c r="O1322" t="s">
        <v>3963</v>
      </c>
      <c r="P1322" t="s">
        <v>15239</v>
      </c>
      <c r="R1322" t="s">
        <v>15240</v>
      </c>
    </row>
    <row r="1323" spans="4:18">
      <c r="E1323" t="s">
        <v>6128</v>
      </c>
      <c r="I1323" t="s">
        <v>6129</v>
      </c>
      <c r="K1323" t="s">
        <v>15241</v>
      </c>
      <c r="L1323" t="s">
        <v>15242</v>
      </c>
      <c r="M1323" t="s">
        <v>3963</v>
      </c>
      <c r="N1323" t="s">
        <v>3963</v>
      </c>
      <c r="O1323" t="s">
        <v>3963</v>
      </c>
      <c r="P1323" t="s">
        <v>15242</v>
      </c>
      <c r="R1323" t="s">
        <v>15243</v>
      </c>
    </row>
    <row r="1324" spans="4:18">
      <c r="E1324" t="s">
        <v>6130</v>
      </c>
      <c r="I1324" t="s">
        <v>6131</v>
      </c>
      <c r="K1324" t="s">
        <v>15244</v>
      </c>
      <c r="L1324" t="s">
        <v>15245</v>
      </c>
      <c r="M1324" t="s">
        <v>3963</v>
      </c>
      <c r="N1324" t="s">
        <v>3963</v>
      </c>
      <c r="O1324" t="s">
        <v>3963</v>
      </c>
      <c r="P1324" t="s">
        <v>15245</v>
      </c>
      <c r="R1324" t="s">
        <v>15246</v>
      </c>
    </row>
    <row r="1325" spans="4:18">
      <c r="E1325" t="s">
        <v>6132</v>
      </c>
      <c r="I1325" t="s">
        <v>6133</v>
      </c>
      <c r="K1325" t="s">
        <v>15247</v>
      </c>
      <c r="L1325" t="s">
        <v>15248</v>
      </c>
      <c r="M1325" t="s">
        <v>17119</v>
      </c>
      <c r="N1325" t="s">
        <v>3963</v>
      </c>
      <c r="O1325" t="s">
        <v>3963</v>
      </c>
      <c r="P1325" t="s">
        <v>17120</v>
      </c>
      <c r="R1325" t="s">
        <v>17121</v>
      </c>
    </row>
    <row r="1326" spans="4:18">
      <c r="E1326" t="s">
        <v>6134</v>
      </c>
      <c r="I1326" t="s">
        <v>6135</v>
      </c>
      <c r="K1326" t="s">
        <v>15249</v>
      </c>
      <c r="L1326" t="s">
        <v>15250</v>
      </c>
      <c r="M1326" t="s">
        <v>3963</v>
      </c>
      <c r="N1326" t="s">
        <v>3963</v>
      </c>
      <c r="O1326" t="s">
        <v>3963</v>
      </c>
      <c r="P1326" t="s">
        <v>15250</v>
      </c>
      <c r="R1326" t="s">
        <v>15251</v>
      </c>
    </row>
    <row r="1327" spans="4:18">
      <c r="E1327" t="s">
        <v>6136</v>
      </c>
      <c r="I1327" t="s">
        <v>6137</v>
      </c>
      <c r="K1327" t="s">
        <v>15252</v>
      </c>
      <c r="L1327" t="s">
        <v>15253</v>
      </c>
      <c r="M1327" t="s">
        <v>3963</v>
      </c>
      <c r="N1327" t="s">
        <v>3963</v>
      </c>
      <c r="O1327" t="s">
        <v>3963</v>
      </c>
      <c r="P1327" t="s">
        <v>15253</v>
      </c>
      <c r="R1327" t="s">
        <v>15254</v>
      </c>
    </row>
    <row r="1328" spans="4:18">
      <c r="E1328" t="s">
        <v>6138</v>
      </c>
      <c r="I1328" t="s">
        <v>6139</v>
      </c>
      <c r="K1328" t="s">
        <v>15255</v>
      </c>
      <c r="L1328" t="s">
        <v>15256</v>
      </c>
      <c r="M1328" t="s">
        <v>18505</v>
      </c>
      <c r="N1328" t="s">
        <v>3963</v>
      </c>
      <c r="O1328" t="s">
        <v>3963</v>
      </c>
      <c r="P1328" t="s">
        <v>18506</v>
      </c>
      <c r="R1328" t="s">
        <v>18507</v>
      </c>
    </row>
    <row r="1329" spans="4:18">
      <c r="E1329" t="s">
        <v>6140</v>
      </c>
      <c r="I1329" t="s">
        <v>6141</v>
      </c>
      <c r="K1329" t="s">
        <v>15257</v>
      </c>
      <c r="L1329" t="s">
        <v>3963</v>
      </c>
      <c r="M1329" t="s">
        <v>3963</v>
      </c>
      <c r="N1329" t="s">
        <v>3963</v>
      </c>
      <c r="O1329" t="s">
        <v>3963</v>
      </c>
      <c r="P1329" t="s">
        <v>3963</v>
      </c>
      <c r="R1329" t="s">
        <v>15257</v>
      </c>
    </row>
    <row r="1330" spans="4:18">
      <c r="D1330" t="s">
        <v>2338</v>
      </c>
      <c r="H1330" t="s">
        <v>6142</v>
      </c>
      <c r="K1330" t="s">
        <v>15258</v>
      </c>
      <c r="L1330" t="s">
        <v>3963</v>
      </c>
      <c r="M1330" t="s">
        <v>3963</v>
      </c>
      <c r="N1330" t="s">
        <v>3963</v>
      </c>
      <c r="O1330" t="s">
        <v>3963</v>
      </c>
      <c r="P1330" t="s">
        <v>3963</v>
      </c>
      <c r="R1330" t="s">
        <v>15258</v>
      </c>
    </row>
    <row r="1331" spans="4:18">
      <c r="E1331" t="s">
        <v>6143</v>
      </c>
      <c r="I1331" t="s">
        <v>6144</v>
      </c>
      <c r="K1331" t="s">
        <v>15259</v>
      </c>
      <c r="L1331" t="s">
        <v>3963</v>
      </c>
      <c r="M1331" t="s">
        <v>3963</v>
      </c>
      <c r="N1331" t="s">
        <v>3963</v>
      </c>
      <c r="O1331" t="s">
        <v>3963</v>
      </c>
      <c r="P1331" t="s">
        <v>3963</v>
      </c>
      <c r="R1331" t="s">
        <v>15259</v>
      </c>
    </row>
    <row r="1332" spans="4:18">
      <c r="E1332" t="s">
        <v>6145</v>
      </c>
      <c r="I1332" t="s">
        <v>6146</v>
      </c>
      <c r="K1332" t="s">
        <v>15260</v>
      </c>
      <c r="L1332" t="s">
        <v>3963</v>
      </c>
      <c r="M1332" t="s">
        <v>3963</v>
      </c>
      <c r="N1332" t="s">
        <v>3963</v>
      </c>
      <c r="O1332" t="s">
        <v>3963</v>
      </c>
      <c r="P1332" t="s">
        <v>3963</v>
      </c>
      <c r="R1332" t="s">
        <v>15260</v>
      </c>
    </row>
    <row r="1333" spans="4:18">
      <c r="D1333" t="s">
        <v>2339</v>
      </c>
      <c r="H1333" t="s">
        <v>6147</v>
      </c>
      <c r="K1333" t="s">
        <v>15261</v>
      </c>
      <c r="L1333" t="s">
        <v>15262</v>
      </c>
      <c r="M1333" t="s">
        <v>18732</v>
      </c>
      <c r="N1333" t="s">
        <v>3963</v>
      </c>
      <c r="O1333" t="s">
        <v>3963</v>
      </c>
      <c r="P1333" t="s">
        <v>18914</v>
      </c>
      <c r="R1333" t="s">
        <v>18915</v>
      </c>
    </row>
    <row r="1334" spans="4:18">
      <c r="E1334" t="s">
        <v>1957</v>
      </c>
      <c r="I1334" t="s">
        <v>6059</v>
      </c>
      <c r="K1334" t="s">
        <v>15263</v>
      </c>
      <c r="L1334" t="s">
        <v>3963</v>
      </c>
      <c r="M1334" t="s">
        <v>3963</v>
      </c>
      <c r="N1334" t="s">
        <v>3963</v>
      </c>
      <c r="O1334" t="s">
        <v>3963</v>
      </c>
      <c r="P1334" t="s">
        <v>3963</v>
      </c>
      <c r="R1334" t="s">
        <v>15263</v>
      </c>
    </row>
    <row r="1335" spans="4:18">
      <c r="E1335" t="s">
        <v>1949</v>
      </c>
      <c r="I1335" t="s">
        <v>6148</v>
      </c>
      <c r="K1335" t="s">
        <v>4038</v>
      </c>
      <c r="L1335" t="s">
        <v>15264</v>
      </c>
      <c r="M1335" t="s">
        <v>3963</v>
      </c>
      <c r="N1335" t="s">
        <v>3963</v>
      </c>
      <c r="O1335" t="s">
        <v>3963</v>
      </c>
      <c r="P1335" t="s">
        <v>15264</v>
      </c>
      <c r="R1335" t="s">
        <v>15265</v>
      </c>
    </row>
    <row r="1336" spans="4:18">
      <c r="E1336" t="s">
        <v>1950</v>
      </c>
      <c r="I1336" t="s">
        <v>6149</v>
      </c>
      <c r="K1336" t="s">
        <v>6956</v>
      </c>
      <c r="L1336" t="s">
        <v>15266</v>
      </c>
      <c r="M1336" t="s">
        <v>3963</v>
      </c>
      <c r="N1336" t="s">
        <v>3963</v>
      </c>
      <c r="O1336" t="s">
        <v>3963</v>
      </c>
      <c r="P1336" t="s">
        <v>15266</v>
      </c>
      <c r="R1336" t="s">
        <v>15267</v>
      </c>
    </row>
    <row r="1337" spans="4:18">
      <c r="E1337" t="s">
        <v>1951</v>
      </c>
      <c r="I1337" t="s">
        <v>6150</v>
      </c>
      <c r="K1337" t="s">
        <v>4038</v>
      </c>
      <c r="L1337" t="s">
        <v>15268</v>
      </c>
      <c r="M1337" t="s">
        <v>18732</v>
      </c>
      <c r="N1337" t="s">
        <v>3963</v>
      </c>
      <c r="O1337" t="s">
        <v>3963</v>
      </c>
      <c r="P1337" t="s">
        <v>18733</v>
      </c>
      <c r="R1337" t="s">
        <v>18734</v>
      </c>
    </row>
    <row r="1338" spans="4:18">
      <c r="E1338" t="s">
        <v>1953</v>
      </c>
      <c r="I1338" t="s">
        <v>6151</v>
      </c>
      <c r="K1338" t="s">
        <v>15269</v>
      </c>
      <c r="L1338" t="s">
        <v>15270</v>
      </c>
      <c r="M1338" t="s">
        <v>3963</v>
      </c>
      <c r="N1338" t="s">
        <v>3963</v>
      </c>
      <c r="O1338" t="s">
        <v>3963</v>
      </c>
      <c r="P1338" t="s">
        <v>15270</v>
      </c>
      <c r="R1338" t="s">
        <v>15271</v>
      </c>
    </row>
    <row r="1339" spans="4:18">
      <c r="E1339" t="s">
        <v>1954</v>
      </c>
      <c r="I1339" t="s">
        <v>6152</v>
      </c>
      <c r="K1339" t="s">
        <v>12803</v>
      </c>
      <c r="L1339" t="s">
        <v>15272</v>
      </c>
      <c r="M1339" t="s">
        <v>3963</v>
      </c>
      <c r="N1339" t="s">
        <v>3963</v>
      </c>
      <c r="O1339" t="s">
        <v>3963</v>
      </c>
      <c r="P1339" t="s">
        <v>15272</v>
      </c>
      <c r="R1339" t="s">
        <v>15273</v>
      </c>
    </row>
    <row r="1340" spans="4:18">
      <c r="E1340" t="s">
        <v>1952</v>
      </c>
      <c r="I1340" t="s">
        <v>6153</v>
      </c>
      <c r="K1340" t="s">
        <v>15274</v>
      </c>
      <c r="L1340" t="s">
        <v>3963</v>
      </c>
      <c r="M1340" t="s">
        <v>3963</v>
      </c>
      <c r="N1340" t="s">
        <v>3963</v>
      </c>
      <c r="O1340" t="s">
        <v>3963</v>
      </c>
      <c r="P1340" t="s">
        <v>3963</v>
      </c>
      <c r="R1340" t="s">
        <v>15274</v>
      </c>
    </row>
    <row r="1341" spans="4:18">
      <c r="E1341" t="s">
        <v>2042</v>
      </c>
      <c r="I1341" t="s">
        <v>6154</v>
      </c>
      <c r="K1341" t="s">
        <v>15275</v>
      </c>
      <c r="L1341" t="s">
        <v>15276</v>
      </c>
      <c r="M1341" t="s">
        <v>3963</v>
      </c>
      <c r="N1341" t="s">
        <v>3963</v>
      </c>
      <c r="O1341" t="s">
        <v>3963</v>
      </c>
      <c r="P1341" t="s">
        <v>15276</v>
      </c>
      <c r="R1341" t="s">
        <v>15277</v>
      </c>
    </row>
    <row r="1342" spans="4:18">
      <c r="E1342" t="s">
        <v>2043</v>
      </c>
      <c r="I1342" t="s">
        <v>6155</v>
      </c>
      <c r="K1342" t="s">
        <v>15278</v>
      </c>
      <c r="L1342" t="s">
        <v>15279</v>
      </c>
      <c r="M1342" t="s">
        <v>3963</v>
      </c>
      <c r="N1342" t="s">
        <v>3963</v>
      </c>
      <c r="O1342" t="s">
        <v>3963</v>
      </c>
      <c r="P1342" t="s">
        <v>15279</v>
      </c>
      <c r="R1342" t="s">
        <v>15280</v>
      </c>
    </row>
    <row r="1343" spans="4:18">
      <c r="E1343" t="s">
        <v>2044</v>
      </c>
      <c r="I1343" t="s">
        <v>6156</v>
      </c>
      <c r="K1343" t="s">
        <v>4661</v>
      </c>
      <c r="L1343" t="s">
        <v>15281</v>
      </c>
      <c r="M1343" t="s">
        <v>3963</v>
      </c>
      <c r="N1343" t="s">
        <v>3963</v>
      </c>
      <c r="O1343" t="s">
        <v>3963</v>
      </c>
      <c r="P1343" t="s">
        <v>15281</v>
      </c>
      <c r="R1343" t="s">
        <v>15282</v>
      </c>
    </row>
    <row r="1344" spans="4:18">
      <c r="E1344" t="s">
        <v>2045</v>
      </c>
      <c r="I1344" t="s">
        <v>6157</v>
      </c>
      <c r="K1344" t="s">
        <v>12953</v>
      </c>
      <c r="L1344" t="s">
        <v>15283</v>
      </c>
      <c r="M1344" t="s">
        <v>3963</v>
      </c>
      <c r="N1344" t="s">
        <v>3963</v>
      </c>
      <c r="O1344" t="s">
        <v>3963</v>
      </c>
      <c r="P1344" t="s">
        <v>15283</v>
      </c>
      <c r="R1344" t="s">
        <v>18916</v>
      </c>
    </row>
    <row r="1345" spans="4:18">
      <c r="E1345" t="s">
        <v>2062</v>
      </c>
      <c r="I1345" t="s">
        <v>6158</v>
      </c>
      <c r="K1345" t="s">
        <v>13749</v>
      </c>
      <c r="L1345" t="s">
        <v>15284</v>
      </c>
      <c r="M1345" t="s">
        <v>3963</v>
      </c>
      <c r="N1345" t="s">
        <v>3963</v>
      </c>
      <c r="O1345" t="s">
        <v>3963</v>
      </c>
      <c r="P1345" t="s">
        <v>15284</v>
      </c>
      <c r="R1345" t="s">
        <v>15285</v>
      </c>
    </row>
    <row r="1346" spans="4:18">
      <c r="E1346" t="s">
        <v>2085</v>
      </c>
      <c r="I1346" t="s">
        <v>6159</v>
      </c>
      <c r="K1346" t="s">
        <v>15286</v>
      </c>
      <c r="L1346" t="s">
        <v>15287</v>
      </c>
      <c r="M1346" t="s">
        <v>3963</v>
      </c>
      <c r="N1346" t="s">
        <v>3963</v>
      </c>
      <c r="O1346" t="s">
        <v>3963</v>
      </c>
      <c r="P1346" t="s">
        <v>15287</v>
      </c>
      <c r="R1346" t="s">
        <v>15288</v>
      </c>
    </row>
    <row r="1347" spans="4:18">
      <c r="E1347" t="s">
        <v>2095</v>
      </c>
      <c r="I1347" t="s">
        <v>6160</v>
      </c>
      <c r="K1347" t="s">
        <v>15289</v>
      </c>
      <c r="L1347" t="s">
        <v>15290</v>
      </c>
      <c r="M1347" t="s">
        <v>3963</v>
      </c>
      <c r="N1347" t="s">
        <v>3963</v>
      </c>
      <c r="O1347" t="s">
        <v>3963</v>
      </c>
      <c r="P1347" t="s">
        <v>15290</v>
      </c>
      <c r="R1347" t="s">
        <v>15291</v>
      </c>
    </row>
    <row r="1348" spans="4:18">
      <c r="E1348" t="s">
        <v>2499</v>
      </c>
      <c r="I1348" t="s">
        <v>6161</v>
      </c>
      <c r="K1348" t="s">
        <v>12803</v>
      </c>
      <c r="L1348" t="s">
        <v>3963</v>
      </c>
      <c r="M1348" t="s">
        <v>3963</v>
      </c>
      <c r="N1348" t="s">
        <v>3963</v>
      </c>
      <c r="O1348" t="s">
        <v>3963</v>
      </c>
      <c r="P1348" t="s">
        <v>3963</v>
      </c>
      <c r="R1348" t="s">
        <v>12803</v>
      </c>
    </row>
    <row r="1349" spans="4:18">
      <c r="D1349" t="s">
        <v>2341</v>
      </c>
      <c r="H1349" t="s">
        <v>6162</v>
      </c>
      <c r="K1349" t="s">
        <v>15292</v>
      </c>
      <c r="L1349" t="s">
        <v>19345</v>
      </c>
      <c r="M1349" t="s">
        <v>19034</v>
      </c>
      <c r="N1349" t="s">
        <v>3963</v>
      </c>
      <c r="O1349" t="s">
        <v>3963</v>
      </c>
      <c r="P1349" t="s">
        <v>19346</v>
      </c>
      <c r="R1349" t="s">
        <v>19347</v>
      </c>
    </row>
    <row r="1350" spans="4:18">
      <c r="E1350" t="s">
        <v>6163</v>
      </c>
      <c r="I1350" t="s">
        <v>6164</v>
      </c>
      <c r="K1350" t="s">
        <v>15293</v>
      </c>
      <c r="L1350" t="s">
        <v>19348</v>
      </c>
      <c r="M1350" t="s">
        <v>19034</v>
      </c>
      <c r="N1350" t="s">
        <v>3963</v>
      </c>
      <c r="O1350" t="s">
        <v>3963</v>
      </c>
      <c r="P1350" t="s">
        <v>19349</v>
      </c>
      <c r="R1350" t="s">
        <v>19350</v>
      </c>
    </row>
    <row r="1351" spans="4:18">
      <c r="E1351" t="s">
        <v>6165</v>
      </c>
      <c r="I1351" t="s">
        <v>5596</v>
      </c>
      <c r="K1351" t="s">
        <v>6166</v>
      </c>
      <c r="L1351" t="s">
        <v>3963</v>
      </c>
      <c r="M1351" t="s">
        <v>3963</v>
      </c>
      <c r="N1351" t="s">
        <v>3963</v>
      </c>
      <c r="O1351" t="s">
        <v>3963</v>
      </c>
      <c r="P1351" t="s">
        <v>3963</v>
      </c>
      <c r="R1351" t="s">
        <v>6166</v>
      </c>
    </row>
    <row r="1352" spans="4:18">
      <c r="E1352" t="s">
        <v>6167</v>
      </c>
      <c r="I1352" t="s">
        <v>5865</v>
      </c>
      <c r="K1352" t="s">
        <v>4150</v>
      </c>
      <c r="L1352" t="s">
        <v>16506</v>
      </c>
      <c r="M1352" t="s">
        <v>3963</v>
      </c>
      <c r="N1352" t="s">
        <v>3963</v>
      </c>
      <c r="O1352" t="s">
        <v>3963</v>
      </c>
      <c r="P1352" t="s">
        <v>16506</v>
      </c>
      <c r="R1352" t="s">
        <v>16507</v>
      </c>
    </row>
    <row r="1353" spans="4:18">
      <c r="D1353" t="s">
        <v>2342</v>
      </c>
      <c r="H1353" t="s">
        <v>6168</v>
      </c>
      <c r="K1353" t="s">
        <v>15294</v>
      </c>
      <c r="L1353" t="s">
        <v>15295</v>
      </c>
      <c r="M1353" t="s">
        <v>3963</v>
      </c>
      <c r="N1353" t="s">
        <v>3963</v>
      </c>
      <c r="O1353" t="s">
        <v>3963</v>
      </c>
      <c r="P1353" t="s">
        <v>15295</v>
      </c>
      <c r="R1353" t="s">
        <v>15296</v>
      </c>
    </row>
    <row r="1354" spans="4:18">
      <c r="E1354" t="s">
        <v>6169</v>
      </c>
      <c r="I1354" t="s">
        <v>6170</v>
      </c>
      <c r="K1354" t="s">
        <v>15297</v>
      </c>
      <c r="L1354" t="s">
        <v>15295</v>
      </c>
      <c r="M1354" t="s">
        <v>3963</v>
      </c>
      <c r="N1354" t="s">
        <v>3963</v>
      </c>
      <c r="O1354" t="s">
        <v>3963</v>
      </c>
      <c r="P1354" t="s">
        <v>15295</v>
      </c>
      <c r="R1354" t="s">
        <v>15298</v>
      </c>
    </row>
    <row r="1355" spans="4:18">
      <c r="E1355" t="s">
        <v>6171</v>
      </c>
      <c r="I1355" t="s">
        <v>6172</v>
      </c>
      <c r="K1355" t="s">
        <v>4702</v>
      </c>
      <c r="L1355" t="s">
        <v>3963</v>
      </c>
      <c r="M1355" t="s">
        <v>3963</v>
      </c>
      <c r="N1355" t="s">
        <v>3963</v>
      </c>
      <c r="O1355" t="s">
        <v>3963</v>
      </c>
      <c r="P1355" t="s">
        <v>3963</v>
      </c>
      <c r="R1355" t="s">
        <v>4702</v>
      </c>
    </row>
    <row r="1356" spans="4:18">
      <c r="D1356" t="s">
        <v>2343</v>
      </c>
      <c r="H1356" t="s">
        <v>6173</v>
      </c>
      <c r="K1356" t="s">
        <v>15299</v>
      </c>
      <c r="L1356" t="s">
        <v>3963</v>
      </c>
      <c r="M1356" t="s">
        <v>3963</v>
      </c>
      <c r="N1356" t="s">
        <v>3963</v>
      </c>
      <c r="O1356" t="s">
        <v>3963</v>
      </c>
      <c r="P1356" t="s">
        <v>3963</v>
      </c>
      <c r="R1356" t="s">
        <v>15299</v>
      </c>
    </row>
    <row r="1357" spans="4:18">
      <c r="E1357" t="s">
        <v>6174</v>
      </c>
      <c r="I1357" t="s">
        <v>4676</v>
      </c>
      <c r="K1357" t="s">
        <v>15300</v>
      </c>
      <c r="L1357" t="s">
        <v>3963</v>
      </c>
      <c r="M1357" t="s">
        <v>3963</v>
      </c>
      <c r="N1357" t="s">
        <v>3963</v>
      </c>
      <c r="O1357" t="s">
        <v>3963</v>
      </c>
      <c r="P1357" t="s">
        <v>3963</v>
      </c>
      <c r="R1357" t="s">
        <v>15300</v>
      </c>
    </row>
    <row r="1358" spans="4:18">
      <c r="E1358" t="s">
        <v>6175</v>
      </c>
      <c r="I1358" t="s">
        <v>6176</v>
      </c>
      <c r="K1358" t="s">
        <v>15301</v>
      </c>
      <c r="L1358" t="s">
        <v>3963</v>
      </c>
      <c r="M1358" t="s">
        <v>3963</v>
      </c>
      <c r="N1358" t="s">
        <v>3963</v>
      </c>
      <c r="O1358" t="s">
        <v>3963</v>
      </c>
      <c r="P1358" t="s">
        <v>3963</v>
      </c>
      <c r="R1358" t="s">
        <v>15301</v>
      </c>
    </row>
    <row r="1359" spans="4:18">
      <c r="E1359" t="s">
        <v>6177</v>
      </c>
      <c r="I1359" t="s">
        <v>6178</v>
      </c>
      <c r="K1359" t="s">
        <v>15302</v>
      </c>
      <c r="L1359" t="s">
        <v>3963</v>
      </c>
      <c r="M1359" t="s">
        <v>3963</v>
      </c>
      <c r="N1359" t="s">
        <v>3963</v>
      </c>
      <c r="O1359" t="s">
        <v>3963</v>
      </c>
      <c r="P1359" t="s">
        <v>3963</v>
      </c>
      <c r="R1359" t="s">
        <v>15302</v>
      </c>
    </row>
    <row r="1360" spans="4:18">
      <c r="D1360" t="s">
        <v>2344</v>
      </c>
      <c r="H1360" t="s">
        <v>6179</v>
      </c>
      <c r="K1360" t="s">
        <v>15303</v>
      </c>
      <c r="L1360" t="s">
        <v>15304</v>
      </c>
      <c r="M1360" t="s">
        <v>15311</v>
      </c>
      <c r="N1360" t="s">
        <v>16288</v>
      </c>
      <c r="O1360" t="s">
        <v>3963</v>
      </c>
      <c r="P1360" t="s">
        <v>18735</v>
      </c>
      <c r="R1360" t="s">
        <v>18736</v>
      </c>
    </row>
    <row r="1361" spans="4:18">
      <c r="E1361" t="s">
        <v>6180</v>
      </c>
      <c r="I1361" t="s">
        <v>6181</v>
      </c>
      <c r="K1361" t="s">
        <v>15305</v>
      </c>
      <c r="L1361" t="s">
        <v>15306</v>
      </c>
      <c r="M1361" t="s">
        <v>3963</v>
      </c>
      <c r="N1361" t="s">
        <v>3963</v>
      </c>
      <c r="O1361" t="s">
        <v>3963</v>
      </c>
      <c r="P1361" t="s">
        <v>15306</v>
      </c>
      <c r="R1361" t="s">
        <v>15307</v>
      </c>
    </row>
    <row r="1362" spans="4:18">
      <c r="E1362" t="s">
        <v>6182</v>
      </c>
      <c r="I1362" t="s">
        <v>6183</v>
      </c>
      <c r="K1362" t="s">
        <v>15308</v>
      </c>
      <c r="L1362" t="s">
        <v>15309</v>
      </c>
      <c r="M1362" t="s">
        <v>3963</v>
      </c>
      <c r="N1362" t="s">
        <v>3963</v>
      </c>
      <c r="O1362" t="s">
        <v>3963</v>
      </c>
      <c r="P1362" t="s">
        <v>15309</v>
      </c>
      <c r="R1362" t="s">
        <v>18737</v>
      </c>
    </row>
    <row r="1363" spans="4:18">
      <c r="E1363" t="s">
        <v>6184</v>
      </c>
      <c r="I1363" t="s">
        <v>6185</v>
      </c>
      <c r="K1363" t="s">
        <v>4150</v>
      </c>
      <c r="L1363" t="s">
        <v>15310</v>
      </c>
      <c r="M1363" t="s">
        <v>15311</v>
      </c>
      <c r="N1363" t="s">
        <v>3963</v>
      </c>
      <c r="O1363" t="s">
        <v>3963</v>
      </c>
      <c r="P1363" t="s">
        <v>15312</v>
      </c>
      <c r="R1363" t="s">
        <v>15313</v>
      </c>
    </row>
    <row r="1364" spans="4:18">
      <c r="E1364" t="s">
        <v>6186</v>
      </c>
      <c r="I1364" t="s">
        <v>5891</v>
      </c>
      <c r="K1364" t="s">
        <v>15314</v>
      </c>
      <c r="L1364" t="s">
        <v>15315</v>
      </c>
      <c r="M1364" t="s">
        <v>3963</v>
      </c>
      <c r="N1364" t="s">
        <v>16288</v>
      </c>
      <c r="O1364" t="s">
        <v>3963</v>
      </c>
      <c r="P1364" t="s">
        <v>17122</v>
      </c>
      <c r="R1364" t="s">
        <v>17123</v>
      </c>
    </row>
    <row r="1365" spans="4:18">
      <c r="E1365" t="s">
        <v>6187</v>
      </c>
      <c r="I1365" t="s">
        <v>6188</v>
      </c>
      <c r="K1365" t="s">
        <v>15316</v>
      </c>
      <c r="L1365" t="s">
        <v>15317</v>
      </c>
      <c r="M1365" t="s">
        <v>3963</v>
      </c>
      <c r="N1365" t="s">
        <v>3963</v>
      </c>
      <c r="O1365" t="s">
        <v>3963</v>
      </c>
      <c r="P1365" t="s">
        <v>15317</v>
      </c>
      <c r="R1365" t="s">
        <v>15318</v>
      </c>
    </row>
    <row r="1366" spans="4:18">
      <c r="E1366" t="s">
        <v>6189</v>
      </c>
      <c r="I1366" t="s">
        <v>6190</v>
      </c>
      <c r="K1366" t="s">
        <v>4182</v>
      </c>
      <c r="L1366" t="s">
        <v>3963</v>
      </c>
      <c r="M1366" t="s">
        <v>3963</v>
      </c>
      <c r="N1366" t="s">
        <v>3963</v>
      </c>
      <c r="O1366" t="s">
        <v>3963</v>
      </c>
      <c r="P1366" t="s">
        <v>3963</v>
      </c>
      <c r="R1366" t="s">
        <v>4182</v>
      </c>
    </row>
    <row r="1367" spans="4:18">
      <c r="D1367" t="s">
        <v>2345</v>
      </c>
      <c r="H1367" t="s">
        <v>6191</v>
      </c>
      <c r="K1367" t="s">
        <v>15319</v>
      </c>
      <c r="L1367" t="s">
        <v>15320</v>
      </c>
      <c r="M1367" t="s">
        <v>15321</v>
      </c>
      <c r="N1367" t="s">
        <v>19545</v>
      </c>
      <c r="O1367" t="s">
        <v>3963</v>
      </c>
      <c r="P1367" t="s">
        <v>19546</v>
      </c>
      <c r="R1367" t="s">
        <v>19547</v>
      </c>
    </row>
    <row r="1368" spans="4:18">
      <c r="E1368" t="s">
        <v>6192</v>
      </c>
      <c r="I1368" t="s">
        <v>6193</v>
      </c>
      <c r="K1368" t="s">
        <v>15319</v>
      </c>
      <c r="L1368" t="s">
        <v>15320</v>
      </c>
      <c r="M1368" t="s">
        <v>15321</v>
      </c>
      <c r="N1368" t="s">
        <v>19545</v>
      </c>
      <c r="O1368" t="s">
        <v>3963</v>
      </c>
      <c r="P1368" t="s">
        <v>19546</v>
      </c>
      <c r="R1368" t="s">
        <v>19547</v>
      </c>
    </row>
    <row r="1369" spans="4:18">
      <c r="E1369" t="s">
        <v>6194</v>
      </c>
      <c r="I1369" t="s">
        <v>6195</v>
      </c>
      <c r="K1369" t="s">
        <v>3963</v>
      </c>
      <c r="L1369" t="s">
        <v>3963</v>
      </c>
      <c r="M1369" t="s">
        <v>3963</v>
      </c>
      <c r="N1369" t="s">
        <v>3963</v>
      </c>
      <c r="O1369" t="s">
        <v>3963</v>
      </c>
      <c r="P1369" t="s">
        <v>3963</v>
      </c>
      <c r="R1369" t="s">
        <v>3963</v>
      </c>
    </row>
    <row r="1370" spans="4:18">
      <c r="E1370" t="s">
        <v>6196</v>
      </c>
      <c r="I1370" t="s">
        <v>6197</v>
      </c>
      <c r="K1370" t="s">
        <v>3963</v>
      </c>
      <c r="L1370" t="s">
        <v>3963</v>
      </c>
      <c r="M1370" t="s">
        <v>3963</v>
      </c>
      <c r="N1370" t="s">
        <v>3963</v>
      </c>
      <c r="O1370" t="s">
        <v>3963</v>
      </c>
      <c r="P1370" t="s">
        <v>3963</v>
      </c>
      <c r="R1370" t="s">
        <v>3963</v>
      </c>
    </row>
    <row r="1371" spans="4:18">
      <c r="E1371" t="s">
        <v>6198</v>
      </c>
      <c r="I1371" t="s">
        <v>6199</v>
      </c>
      <c r="K1371" t="s">
        <v>3963</v>
      </c>
      <c r="L1371" t="s">
        <v>3963</v>
      </c>
      <c r="M1371" t="s">
        <v>3963</v>
      </c>
      <c r="N1371" t="s">
        <v>3963</v>
      </c>
      <c r="O1371" t="s">
        <v>3963</v>
      </c>
      <c r="P1371" t="s">
        <v>3963</v>
      </c>
      <c r="R1371" t="s">
        <v>3963</v>
      </c>
    </row>
    <row r="1372" spans="4:18">
      <c r="E1372" t="s">
        <v>6200</v>
      </c>
      <c r="I1372" t="s">
        <v>5621</v>
      </c>
      <c r="K1372" t="s">
        <v>3963</v>
      </c>
      <c r="L1372" t="s">
        <v>3963</v>
      </c>
      <c r="M1372" t="s">
        <v>3963</v>
      </c>
      <c r="N1372" t="s">
        <v>3963</v>
      </c>
      <c r="O1372" t="s">
        <v>3963</v>
      </c>
      <c r="P1372" t="s">
        <v>3963</v>
      </c>
      <c r="R1372" t="s">
        <v>3963</v>
      </c>
    </row>
    <row r="1373" spans="4:18">
      <c r="E1373" t="s">
        <v>6201</v>
      </c>
      <c r="I1373" t="s">
        <v>5619</v>
      </c>
      <c r="K1373" t="s">
        <v>3963</v>
      </c>
      <c r="L1373" t="s">
        <v>3963</v>
      </c>
      <c r="M1373" t="s">
        <v>3963</v>
      </c>
      <c r="N1373" t="s">
        <v>3963</v>
      </c>
      <c r="O1373" t="s">
        <v>3963</v>
      </c>
      <c r="P1373" t="s">
        <v>3963</v>
      </c>
      <c r="R1373" t="s">
        <v>3963</v>
      </c>
    </row>
    <row r="1374" spans="4:18">
      <c r="D1374" t="s">
        <v>2346</v>
      </c>
      <c r="H1374" t="s">
        <v>6202</v>
      </c>
      <c r="K1374" t="s">
        <v>15322</v>
      </c>
      <c r="L1374" t="s">
        <v>15323</v>
      </c>
      <c r="M1374" t="s">
        <v>3963</v>
      </c>
      <c r="N1374" t="s">
        <v>3963</v>
      </c>
      <c r="O1374" t="s">
        <v>3963</v>
      </c>
      <c r="P1374" t="s">
        <v>15323</v>
      </c>
      <c r="R1374" t="s">
        <v>15324</v>
      </c>
    </row>
    <row r="1375" spans="4:18">
      <c r="E1375" t="s">
        <v>6203</v>
      </c>
      <c r="I1375" t="s">
        <v>5856</v>
      </c>
      <c r="K1375" t="s">
        <v>15322</v>
      </c>
      <c r="L1375" t="s">
        <v>15323</v>
      </c>
      <c r="M1375" t="s">
        <v>3963</v>
      </c>
      <c r="N1375" t="s">
        <v>3963</v>
      </c>
      <c r="O1375" t="s">
        <v>3963</v>
      </c>
      <c r="P1375" t="s">
        <v>15323</v>
      </c>
      <c r="R1375" t="s">
        <v>15324</v>
      </c>
    </row>
    <row r="1376" spans="4:18">
      <c r="D1376" t="s">
        <v>2348</v>
      </c>
      <c r="H1376" t="s">
        <v>6204</v>
      </c>
      <c r="K1376" t="s">
        <v>15325</v>
      </c>
      <c r="L1376" t="s">
        <v>19351</v>
      </c>
      <c r="M1376" t="s">
        <v>19352</v>
      </c>
      <c r="N1376" t="s">
        <v>19914</v>
      </c>
      <c r="O1376" t="s">
        <v>3963</v>
      </c>
      <c r="P1376" t="s">
        <v>19915</v>
      </c>
      <c r="R1376" t="s">
        <v>19916</v>
      </c>
    </row>
    <row r="1377" spans="4:18">
      <c r="E1377" t="s">
        <v>6205</v>
      </c>
      <c r="I1377" t="s">
        <v>5185</v>
      </c>
      <c r="K1377" t="s">
        <v>6955</v>
      </c>
      <c r="L1377" t="s">
        <v>16508</v>
      </c>
      <c r="M1377" t="s">
        <v>3963</v>
      </c>
      <c r="N1377" t="s">
        <v>3963</v>
      </c>
      <c r="O1377" t="s">
        <v>3963</v>
      </c>
      <c r="P1377" t="s">
        <v>16508</v>
      </c>
      <c r="R1377" t="s">
        <v>18738</v>
      </c>
    </row>
    <row r="1378" spans="4:18">
      <c r="E1378" t="s">
        <v>6206</v>
      </c>
      <c r="I1378" t="s">
        <v>6207</v>
      </c>
      <c r="K1378" t="s">
        <v>15326</v>
      </c>
      <c r="L1378" t="s">
        <v>19353</v>
      </c>
      <c r="M1378" t="s">
        <v>19354</v>
      </c>
      <c r="N1378" t="s">
        <v>3963</v>
      </c>
      <c r="O1378" t="s">
        <v>3963</v>
      </c>
      <c r="P1378" t="s">
        <v>19355</v>
      </c>
      <c r="R1378" t="s">
        <v>19356</v>
      </c>
    </row>
    <row r="1379" spans="4:18">
      <c r="E1379" t="s">
        <v>6208</v>
      </c>
      <c r="I1379" t="s">
        <v>6209</v>
      </c>
      <c r="K1379" t="s">
        <v>18739</v>
      </c>
      <c r="L1379" t="s">
        <v>15327</v>
      </c>
      <c r="M1379" t="s">
        <v>18884</v>
      </c>
      <c r="N1379" t="s">
        <v>19197</v>
      </c>
      <c r="O1379" t="s">
        <v>3963</v>
      </c>
      <c r="P1379" t="s">
        <v>19198</v>
      </c>
      <c r="R1379" t="s">
        <v>19199</v>
      </c>
    </row>
    <row r="1380" spans="4:18">
      <c r="E1380" t="s">
        <v>6210</v>
      </c>
      <c r="I1380" t="s">
        <v>5200</v>
      </c>
      <c r="K1380" t="s">
        <v>6955</v>
      </c>
      <c r="L1380" t="s">
        <v>3963</v>
      </c>
      <c r="M1380" t="s">
        <v>3963</v>
      </c>
      <c r="N1380" t="s">
        <v>15328</v>
      </c>
      <c r="O1380" t="s">
        <v>3963</v>
      </c>
      <c r="P1380" t="s">
        <v>15328</v>
      </c>
      <c r="R1380" t="s">
        <v>15329</v>
      </c>
    </row>
    <row r="1381" spans="4:18">
      <c r="E1381" t="s">
        <v>6211</v>
      </c>
      <c r="I1381" t="s">
        <v>6116</v>
      </c>
      <c r="K1381" t="s">
        <v>12518</v>
      </c>
      <c r="L1381" t="s">
        <v>15330</v>
      </c>
      <c r="M1381" t="s">
        <v>3963</v>
      </c>
      <c r="N1381" t="s">
        <v>3963</v>
      </c>
      <c r="O1381" t="s">
        <v>3963</v>
      </c>
      <c r="P1381" t="s">
        <v>15330</v>
      </c>
      <c r="R1381" t="s">
        <v>15331</v>
      </c>
    </row>
    <row r="1382" spans="4:18">
      <c r="E1382" t="s">
        <v>6212</v>
      </c>
      <c r="I1382" t="s">
        <v>5208</v>
      </c>
      <c r="K1382" t="s">
        <v>15332</v>
      </c>
      <c r="L1382" t="s">
        <v>19357</v>
      </c>
      <c r="M1382" t="s">
        <v>18885</v>
      </c>
      <c r="N1382" t="s">
        <v>19917</v>
      </c>
      <c r="O1382" t="s">
        <v>3963</v>
      </c>
      <c r="P1382" t="s">
        <v>19918</v>
      </c>
      <c r="R1382" t="s">
        <v>19919</v>
      </c>
    </row>
    <row r="1383" spans="4:18">
      <c r="E1383" t="s">
        <v>6213</v>
      </c>
      <c r="I1383" t="s">
        <v>5210</v>
      </c>
      <c r="K1383" t="s">
        <v>15333</v>
      </c>
      <c r="L1383" t="s">
        <v>19358</v>
      </c>
      <c r="M1383" t="s">
        <v>18917</v>
      </c>
      <c r="N1383" t="s">
        <v>13379</v>
      </c>
      <c r="O1383" t="s">
        <v>3963</v>
      </c>
      <c r="P1383" t="s">
        <v>19359</v>
      </c>
      <c r="R1383" t="s">
        <v>19360</v>
      </c>
    </row>
    <row r="1384" spans="4:18">
      <c r="D1384" t="s">
        <v>2349</v>
      </c>
      <c r="H1384" t="s">
        <v>6214</v>
      </c>
      <c r="K1384" t="s">
        <v>15334</v>
      </c>
      <c r="L1384" t="s">
        <v>19361</v>
      </c>
      <c r="M1384" t="s">
        <v>3963</v>
      </c>
      <c r="N1384" t="s">
        <v>3963</v>
      </c>
      <c r="O1384" t="s">
        <v>3963</v>
      </c>
      <c r="P1384" t="s">
        <v>19361</v>
      </c>
      <c r="R1384" t="s">
        <v>19362</v>
      </c>
    </row>
    <row r="1385" spans="4:18">
      <c r="E1385" t="s">
        <v>6215</v>
      </c>
      <c r="I1385" t="s">
        <v>6216</v>
      </c>
      <c r="K1385" t="s">
        <v>17332</v>
      </c>
      <c r="L1385" t="s">
        <v>19363</v>
      </c>
      <c r="M1385" t="s">
        <v>3963</v>
      </c>
      <c r="N1385" t="s">
        <v>3963</v>
      </c>
      <c r="O1385" t="s">
        <v>3963</v>
      </c>
      <c r="P1385" t="s">
        <v>19363</v>
      </c>
      <c r="R1385" t="s">
        <v>19364</v>
      </c>
    </row>
    <row r="1386" spans="4:18">
      <c r="E1386" t="s">
        <v>6217</v>
      </c>
      <c r="I1386" t="s">
        <v>6218</v>
      </c>
      <c r="K1386" t="s">
        <v>15335</v>
      </c>
      <c r="L1386" t="s">
        <v>3963</v>
      </c>
      <c r="M1386" t="s">
        <v>3963</v>
      </c>
      <c r="N1386" t="s">
        <v>3963</v>
      </c>
      <c r="O1386" t="s">
        <v>3963</v>
      </c>
      <c r="P1386" t="s">
        <v>3963</v>
      </c>
      <c r="R1386" t="s">
        <v>15335</v>
      </c>
    </row>
    <row r="1387" spans="4:18">
      <c r="E1387" t="s">
        <v>6219</v>
      </c>
      <c r="I1387" t="s">
        <v>5626</v>
      </c>
      <c r="K1387" t="s">
        <v>17193</v>
      </c>
      <c r="L1387" t="s">
        <v>19200</v>
      </c>
      <c r="M1387" t="s">
        <v>3963</v>
      </c>
      <c r="N1387" t="s">
        <v>3963</v>
      </c>
      <c r="O1387" t="s">
        <v>3963</v>
      </c>
      <c r="P1387" t="s">
        <v>19200</v>
      </c>
      <c r="R1387" t="s">
        <v>19201</v>
      </c>
    </row>
    <row r="1388" spans="4:18">
      <c r="E1388" t="s">
        <v>6220</v>
      </c>
      <c r="I1388" t="s">
        <v>6221</v>
      </c>
      <c r="K1388" t="s">
        <v>17333</v>
      </c>
      <c r="L1388" t="s">
        <v>3963</v>
      </c>
      <c r="M1388" t="s">
        <v>3963</v>
      </c>
      <c r="N1388" t="s">
        <v>3963</v>
      </c>
      <c r="O1388" t="s">
        <v>3963</v>
      </c>
      <c r="P1388" t="s">
        <v>3963</v>
      </c>
      <c r="R1388" t="s">
        <v>17333</v>
      </c>
    </row>
    <row r="1389" spans="4:18">
      <c r="E1389" t="s">
        <v>6222</v>
      </c>
      <c r="I1389" t="s">
        <v>6223</v>
      </c>
      <c r="K1389" t="s">
        <v>17334</v>
      </c>
      <c r="L1389" t="s">
        <v>19365</v>
      </c>
      <c r="M1389" t="s">
        <v>3963</v>
      </c>
      <c r="N1389" t="s">
        <v>3963</v>
      </c>
      <c r="O1389" t="s">
        <v>3963</v>
      </c>
      <c r="P1389" t="s">
        <v>19365</v>
      </c>
      <c r="R1389" t="s">
        <v>19366</v>
      </c>
    </row>
    <row r="1390" spans="4:18">
      <c r="D1390" t="s">
        <v>2351</v>
      </c>
      <c r="H1390" t="s">
        <v>6224</v>
      </c>
      <c r="K1390" t="s">
        <v>15336</v>
      </c>
      <c r="L1390" t="s">
        <v>16509</v>
      </c>
      <c r="M1390" t="s">
        <v>17124</v>
      </c>
      <c r="N1390" t="s">
        <v>3963</v>
      </c>
      <c r="O1390" t="s">
        <v>3963</v>
      </c>
      <c r="P1390" t="s">
        <v>17125</v>
      </c>
      <c r="R1390" t="s">
        <v>17126</v>
      </c>
    </row>
    <row r="1391" spans="4:18">
      <c r="E1391" t="s">
        <v>6225</v>
      </c>
      <c r="I1391" t="s">
        <v>6226</v>
      </c>
      <c r="K1391" t="s">
        <v>15337</v>
      </c>
      <c r="L1391" t="s">
        <v>15338</v>
      </c>
      <c r="M1391" t="s">
        <v>3963</v>
      </c>
      <c r="N1391" t="s">
        <v>3963</v>
      </c>
      <c r="O1391" t="s">
        <v>3963</v>
      </c>
      <c r="P1391" t="s">
        <v>15338</v>
      </c>
      <c r="R1391" t="s">
        <v>15339</v>
      </c>
    </row>
    <row r="1392" spans="4:18">
      <c r="E1392" t="s">
        <v>6227</v>
      </c>
      <c r="I1392" t="s">
        <v>6228</v>
      </c>
      <c r="K1392" t="s">
        <v>15340</v>
      </c>
      <c r="L1392" t="s">
        <v>15341</v>
      </c>
      <c r="M1392" t="s">
        <v>3963</v>
      </c>
      <c r="N1392" t="s">
        <v>3963</v>
      </c>
      <c r="O1392" t="s">
        <v>3963</v>
      </c>
      <c r="P1392" t="s">
        <v>15341</v>
      </c>
      <c r="R1392" t="s">
        <v>15342</v>
      </c>
    </row>
    <row r="1393" spans="4:18">
      <c r="E1393" t="s">
        <v>6229</v>
      </c>
      <c r="I1393" t="s">
        <v>6228</v>
      </c>
      <c r="K1393" t="s">
        <v>15343</v>
      </c>
      <c r="L1393" t="s">
        <v>15344</v>
      </c>
      <c r="M1393" t="s">
        <v>3963</v>
      </c>
      <c r="N1393" t="s">
        <v>3963</v>
      </c>
      <c r="O1393" t="s">
        <v>3963</v>
      </c>
      <c r="P1393" t="s">
        <v>15344</v>
      </c>
      <c r="R1393" t="s">
        <v>6230</v>
      </c>
    </row>
    <row r="1394" spans="4:18">
      <c r="E1394" t="s">
        <v>6231</v>
      </c>
      <c r="I1394" t="s">
        <v>6226</v>
      </c>
      <c r="K1394" t="s">
        <v>15345</v>
      </c>
      <c r="L1394" t="s">
        <v>15346</v>
      </c>
      <c r="M1394" t="s">
        <v>3963</v>
      </c>
      <c r="N1394" t="s">
        <v>3963</v>
      </c>
      <c r="O1394" t="s">
        <v>3963</v>
      </c>
      <c r="P1394" t="s">
        <v>15346</v>
      </c>
      <c r="R1394" t="s">
        <v>6958</v>
      </c>
    </row>
    <row r="1395" spans="4:18">
      <c r="E1395" t="s">
        <v>6232</v>
      </c>
      <c r="I1395" t="s">
        <v>6233</v>
      </c>
      <c r="K1395" t="s">
        <v>15347</v>
      </c>
      <c r="L1395" t="s">
        <v>15348</v>
      </c>
      <c r="M1395" t="s">
        <v>3963</v>
      </c>
      <c r="N1395" t="s">
        <v>3963</v>
      </c>
      <c r="O1395" t="s">
        <v>3963</v>
      </c>
      <c r="P1395" t="s">
        <v>15348</v>
      </c>
      <c r="R1395" t="s">
        <v>15349</v>
      </c>
    </row>
    <row r="1396" spans="4:18">
      <c r="E1396" t="s">
        <v>6234</v>
      </c>
      <c r="I1396" t="s">
        <v>6235</v>
      </c>
      <c r="K1396" t="s">
        <v>15350</v>
      </c>
      <c r="L1396" t="s">
        <v>3963</v>
      </c>
      <c r="M1396" t="s">
        <v>3963</v>
      </c>
      <c r="N1396" t="s">
        <v>3963</v>
      </c>
      <c r="O1396" t="s">
        <v>3963</v>
      </c>
      <c r="P1396" t="s">
        <v>3963</v>
      </c>
      <c r="R1396" t="s">
        <v>15350</v>
      </c>
    </row>
    <row r="1397" spans="4:18">
      <c r="E1397" t="s">
        <v>6236</v>
      </c>
      <c r="I1397" t="s">
        <v>6237</v>
      </c>
      <c r="K1397" t="s">
        <v>15351</v>
      </c>
      <c r="L1397" t="s">
        <v>16510</v>
      </c>
      <c r="M1397" t="s">
        <v>3963</v>
      </c>
      <c r="N1397" t="s">
        <v>3963</v>
      </c>
      <c r="O1397" t="s">
        <v>3963</v>
      </c>
      <c r="P1397" t="s">
        <v>16510</v>
      </c>
      <c r="R1397" t="s">
        <v>16511</v>
      </c>
    </row>
    <row r="1398" spans="4:18">
      <c r="E1398" t="s">
        <v>6238</v>
      </c>
      <c r="I1398" t="s">
        <v>6237</v>
      </c>
      <c r="K1398" t="s">
        <v>15352</v>
      </c>
      <c r="L1398" t="s">
        <v>15353</v>
      </c>
      <c r="M1398" t="s">
        <v>3963</v>
      </c>
      <c r="N1398" t="s">
        <v>3963</v>
      </c>
      <c r="O1398" t="s">
        <v>3963</v>
      </c>
      <c r="P1398" t="s">
        <v>15353</v>
      </c>
      <c r="R1398" t="s">
        <v>15354</v>
      </c>
    </row>
    <row r="1399" spans="4:18">
      <c r="E1399" t="s">
        <v>6239</v>
      </c>
      <c r="I1399" t="s">
        <v>6240</v>
      </c>
      <c r="K1399" t="s">
        <v>15355</v>
      </c>
      <c r="L1399" t="s">
        <v>3963</v>
      </c>
      <c r="M1399" t="s">
        <v>3963</v>
      </c>
      <c r="N1399" t="s">
        <v>3963</v>
      </c>
      <c r="O1399" t="s">
        <v>3963</v>
      </c>
      <c r="P1399" t="s">
        <v>3963</v>
      </c>
      <c r="R1399" t="s">
        <v>15355</v>
      </c>
    </row>
    <row r="1400" spans="4:18">
      <c r="E1400" t="s">
        <v>6241</v>
      </c>
      <c r="I1400" t="s">
        <v>6242</v>
      </c>
      <c r="K1400" t="s">
        <v>15356</v>
      </c>
      <c r="L1400" t="s">
        <v>16512</v>
      </c>
      <c r="M1400" t="s">
        <v>17124</v>
      </c>
      <c r="N1400" t="s">
        <v>3963</v>
      </c>
      <c r="O1400" t="s">
        <v>3963</v>
      </c>
      <c r="P1400" t="s">
        <v>17127</v>
      </c>
      <c r="R1400" t="s">
        <v>17128</v>
      </c>
    </row>
    <row r="1401" spans="4:18">
      <c r="D1401" t="s">
        <v>2353</v>
      </c>
      <c r="H1401" t="s">
        <v>6243</v>
      </c>
      <c r="K1401" t="s">
        <v>15357</v>
      </c>
      <c r="L1401" t="s">
        <v>15358</v>
      </c>
      <c r="M1401" t="s">
        <v>3963</v>
      </c>
      <c r="N1401" t="s">
        <v>3963</v>
      </c>
      <c r="O1401" t="s">
        <v>3963</v>
      </c>
      <c r="P1401" t="s">
        <v>15358</v>
      </c>
      <c r="R1401" t="s">
        <v>15359</v>
      </c>
    </row>
    <row r="1402" spans="4:18">
      <c r="E1402" t="s">
        <v>6244</v>
      </c>
      <c r="I1402" t="s">
        <v>6245</v>
      </c>
      <c r="K1402" t="s">
        <v>15360</v>
      </c>
      <c r="L1402" t="s">
        <v>15361</v>
      </c>
      <c r="M1402" t="s">
        <v>3963</v>
      </c>
      <c r="N1402" t="s">
        <v>3963</v>
      </c>
      <c r="O1402" t="s">
        <v>3963</v>
      </c>
      <c r="P1402" t="s">
        <v>15361</v>
      </c>
      <c r="R1402" t="s">
        <v>15362</v>
      </c>
    </row>
    <row r="1403" spans="4:18">
      <c r="E1403" t="s">
        <v>6246</v>
      </c>
      <c r="I1403" t="s">
        <v>6247</v>
      </c>
      <c r="K1403" t="s">
        <v>15363</v>
      </c>
      <c r="L1403" t="s">
        <v>15364</v>
      </c>
      <c r="M1403" t="s">
        <v>3963</v>
      </c>
      <c r="N1403" t="s">
        <v>3963</v>
      </c>
      <c r="O1403" t="s">
        <v>3963</v>
      </c>
      <c r="P1403" t="s">
        <v>15364</v>
      </c>
      <c r="R1403" t="s">
        <v>15365</v>
      </c>
    </row>
    <row r="1404" spans="4:18">
      <c r="E1404" t="s">
        <v>6248</v>
      </c>
      <c r="I1404" t="s">
        <v>6249</v>
      </c>
      <c r="K1404" t="s">
        <v>15366</v>
      </c>
      <c r="L1404" t="s">
        <v>3963</v>
      </c>
      <c r="M1404" t="s">
        <v>3963</v>
      </c>
      <c r="N1404" t="s">
        <v>3963</v>
      </c>
      <c r="O1404" t="s">
        <v>3963</v>
      </c>
      <c r="P1404" t="s">
        <v>3963</v>
      </c>
      <c r="R1404" t="s">
        <v>15366</v>
      </c>
    </row>
    <row r="1405" spans="4:18">
      <c r="D1405" t="s">
        <v>2355</v>
      </c>
      <c r="H1405" t="s">
        <v>6250</v>
      </c>
      <c r="K1405" t="s">
        <v>15367</v>
      </c>
      <c r="L1405" t="s">
        <v>15368</v>
      </c>
      <c r="M1405" t="s">
        <v>3963</v>
      </c>
      <c r="N1405" t="s">
        <v>3963</v>
      </c>
      <c r="O1405" t="s">
        <v>3963</v>
      </c>
      <c r="P1405" t="s">
        <v>15368</v>
      </c>
      <c r="R1405" t="s">
        <v>15369</v>
      </c>
    </row>
    <row r="1406" spans="4:18">
      <c r="E1406" t="s">
        <v>6251</v>
      </c>
      <c r="I1406" t="s">
        <v>5437</v>
      </c>
      <c r="K1406" t="s">
        <v>3963</v>
      </c>
      <c r="L1406" t="s">
        <v>3963</v>
      </c>
      <c r="M1406" t="s">
        <v>3963</v>
      </c>
      <c r="N1406" t="s">
        <v>3963</v>
      </c>
      <c r="O1406" t="s">
        <v>3963</v>
      </c>
      <c r="P1406" t="s">
        <v>3963</v>
      </c>
      <c r="R1406" t="s">
        <v>3963</v>
      </c>
    </row>
    <row r="1407" spans="4:18">
      <c r="E1407" t="s">
        <v>6252</v>
      </c>
      <c r="I1407" t="s">
        <v>6253</v>
      </c>
      <c r="K1407" t="s">
        <v>15367</v>
      </c>
      <c r="L1407" t="s">
        <v>15368</v>
      </c>
      <c r="M1407" t="s">
        <v>3963</v>
      </c>
      <c r="N1407" t="s">
        <v>3963</v>
      </c>
      <c r="O1407" t="s">
        <v>3963</v>
      </c>
      <c r="P1407" t="s">
        <v>15368</v>
      </c>
      <c r="R1407" t="s">
        <v>15369</v>
      </c>
    </row>
    <row r="1408" spans="4:18">
      <c r="D1408" t="s">
        <v>2357</v>
      </c>
      <c r="H1408" t="s">
        <v>1829</v>
      </c>
      <c r="K1408" t="s">
        <v>15370</v>
      </c>
      <c r="L1408" t="s">
        <v>15371</v>
      </c>
      <c r="M1408" t="s">
        <v>17565</v>
      </c>
      <c r="N1408" t="s">
        <v>3963</v>
      </c>
      <c r="O1408" t="s">
        <v>3963</v>
      </c>
      <c r="P1408" t="s">
        <v>17566</v>
      </c>
      <c r="R1408" t="s">
        <v>17567</v>
      </c>
    </row>
    <row r="1409" spans="4:18">
      <c r="E1409" t="s">
        <v>6254</v>
      </c>
      <c r="I1409" t="s">
        <v>6255</v>
      </c>
      <c r="K1409" t="s">
        <v>15373</v>
      </c>
      <c r="L1409" t="s">
        <v>3963</v>
      </c>
      <c r="M1409" t="s">
        <v>15372</v>
      </c>
      <c r="N1409" t="s">
        <v>3963</v>
      </c>
      <c r="O1409" t="s">
        <v>3963</v>
      </c>
      <c r="P1409" t="s">
        <v>15372</v>
      </c>
      <c r="R1409" t="s">
        <v>15374</v>
      </c>
    </row>
    <row r="1410" spans="4:18">
      <c r="E1410" t="s">
        <v>6256</v>
      </c>
      <c r="I1410" t="s">
        <v>6257</v>
      </c>
      <c r="K1410" t="s">
        <v>15375</v>
      </c>
      <c r="L1410" t="s">
        <v>3963</v>
      </c>
      <c r="M1410" t="s">
        <v>3963</v>
      </c>
      <c r="N1410" t="s">
        <v>3963</v>
      </c>
      <c r="O1410" t="s">
        <v>3963</v>
      </c>
      <c r="P1410" t="s">
        <v>3963</v>
      </c>
      <c r="R1410" t="s">
        <v>15375</v>
      </c>
    </row>
    <row r="1411" spans="4:18">
      <c r="E1411" t="s">
        <v>6258</v>
      </c>
      <c r="I1411" t="s">
        <v>6259</v>
      </c>
      <c r="K1411" t="s">
        <v>15376</v>
      </c>
      <c r="L1411" t="s">
        <v>15371</v>
      </c>
      <c r="M1411" t="s">
        <v>3963</v>
      </c>
      <c r="N1411" t="s">
        <v>3963</v>
      </c>
      <c r="O1411" t="s">
        <v>3963</v>
      </c>
      <c r="P1411" t="s">
        <v>15371</v>
      </c>
      <c r="R1411" t="s">
        <v>15377</v>
      </c>
    </row>
    <row r="1412" spans="4:18">
      <c r="E1412" t="s">
        <v>6260</v>
      </c>
      <c r="I1412" t="s">
        <v>5566</v>
      </c>
      <c r="K1412" t="s">
        <v>14029</v>
      </c>
      <c r="L1412" t="s">
        <v>3963</v>
      </c>
      <c r="M1412" t="s">
        <v>17568</v>
      </c>
      <c r="N1412" t="s">
        <v>3963</v>
      </c>
      <c r="O1412" t="s">
        <v>3963</v>
      </c>
      <c r="P1412" t="s">
        <v>17568</v>
      </c>
      <c r="R1412" t="s">
        <v>17569</v>
      </c>
    </row>
    <row r="1413" spans="4:18">
      <c r="D1413" t="s">
        <v>2359</v>
      </c>
      <c r="H1413" t="s">
        <v>6261</v>
      </c>
      <c r="K1413" t="s">
        <v>15378</v>
      </c>
      <c r="L1413" t="s">
        <v>15379</v>
      </c>
      <c r="M1413" t="s">
        <v>3963</v>
      </c>
      <c r="N1413" t="s">
        <v>3963</v>
      </c>
      <c r="O1413" t="s">
        <v>3963</v>
      </c>
      <c r="P1413" t="s">
        <v>15379</v>
      </c>
      <c r="R1413" t="s">
        <v>15380</v>
      </c>
    </row>
    <row r="1414" spans="4:18">
      <c r="E1414" t="s">
        <v>6262</v>
      </c>
      <c r="I1414" t="s">
        <v>6263</v>
      </c>
      <c r="K1414" t="s">
        <v>4091</v>
      </c>
      <c r="L1414" t="s">
        <v>3963</v>
      </c>
      <c r="M1414" t="s">
        <v>3963</v>
      </c>
      <c r="N1414" t="s">
        <v>3963</v>
      </c>
      <c r="O1414" t="s">
        <v>3963</v>
      </c>
      <c r="P1414" t="s">
        <v>3963</v>
      </c>
      <c r="R1414" t="s">
        <v>4091</v>
      </c>
    </row>
    <row r="1415" spans="4:18">
      <c r="E1415" t="s">
        <v>6264</v>
      </c>
      <c r="I1415" t="s">
        <v>6265</v>
      </c>
      <c r="K1415" t="s">
        <v>4038</v>
      </c>
      <c r="L1415" t="s">
        <v>3963</v>
      </c>
      <c r="M1415" t="s">
        <v>3963</v>
      </c>
      <c r="N1415" t="s">
        <v>3963</v>
      </c>
      <c r="O1415" t="s">
        <v>3963</v>
      </c>
      <c r="P1415" t="s">
        <v>3963</v>
      </c>
      <c r="R1415" t="s">
        <v>4038</v>
      </c>
    </row>
    <row r="1416" spans="4:18">
      <c r="E1416" t="s">
        <v>6266</v>
      </c>
      <c r="I1416" t="s">
        <v>6267</v>
      </c>
      <c r="K1416" t="s">
        <v>14611</v>
      </c>
      <c r="L1416" t="s">
        <v>15381</v>
      </c>
      <c r="M1416" t="s">
        <v>3963</v>
      </c>
      <c r="N1416" t="s">
        <v>3963</v>
      </c>
      <c r="O1416" t="s">
        <v>3963</v>
      </c>
      <c r="P1416" t="s">
        <v>15381</v>
      </c>
      <c r="R1416" t="s">
        <v>15382</v>
      </c>
    </row>
    <row r="1417" spans="4:18">
      <c r="E1417" t="s">
        <v>6268</v>
      </c>
      <c r="I1417" t="s">
        <v>6269</v>
      </c>
      <c r="K1417" t="s">
        <v>6270</v>
      </c>
      <c r="L1417" t="s">
        <v>3963</v>
      </c>
      <c r="M1417" t="s">
        <v>3963</v>
      </c>
      <c r="N1417" t="s">
        <v>3963</v>
      </c>
      <c r="O1417" t="s">
        <v>3963</v>
      </c>
      <c r="P1417" t="s">
        <v>3963</v>
      </c>
      <c r="R1417" t="s">
        <v>6270</v>
      </c>
    </row>
    <row r="1418" spans="4:18">
      <c r="E1418" t="s">
        <v>6271</v>
      </c>
      <c r="I1418" t="s">
        <v>6272</v>
      </c>
      <c r="K1418" t="s">
        <v>15383</v>
      </c>
      <c r="L1418" t="s">
        <v>3963</v>
      </c>
      <c r="M1418" t="s">
        <v>3963</v>
      </c>
      <c r="N1418" t="s">
        <v>3963</v>
      </c>
      <c r="O1418" t="s">
        <v>3963</v>
      </c>
      <c r="P1418" t="s">
        <v>3963</v>
      </c>
      <c r="R1418" t="s">
        <v>15383</v>
      </c>
    </row>
    <row r="1419" spans="4:18">
      <c r="E1419" t="s">
        <v>6273</v>
      </c>
      <c r="I1419" t="s">
        <v>6274</v>
      </c>
      <c r="K1419" t="s">
        <v>4091</v>
      </c>
      <c r="L1419" t="s">
        <v>15384</v>
      </c>
      <c r="M1419" t="s">
        <v>3963</v>
      </c>
      <c r="N1419" t="s">
        <v>3963</v>
      </c>
      <c r="O1419" t="s">
        <v>3963</v>
      </c>
      <c r="P1419" t="s">
        <v>15384</v>
      </c>
      <c r="R1419" t="s">
        <v>15385</v>
      </c>
    </row>
    <row r="1420" spans="4:18">
      <c r="D1420" t="s">
        <v>2361</v>
      </c>
      <c r="H1420" t="s">
        <v>6275</v>
      </c>
      <c r="K1420" t="s">
        <v>15386</v>
      </c>
      <c r="L1420" t="s">
        <v>15387</v>
      </c>
      <c r="M1420" t="s">
        <v>3963</v>
      </c>
      <c r="N1420" t="s">
        <v>3963</v>
      </c>
      <c r="O1420" t="s">
        <v>3963</v>
      </c>
      <c r="P1420" t="s">
        <v>15387</v>
      </c>
      <c r="R1420" t="s">
        <v>15388</v>
      </c>
    </row>
    <row r="1421" spans="4:18">
      <c r="E1421" t="s">
        <v>6276</v>
      </c>
      <c r="I1421" t="s">
        <v>6277</v>
      </c>
      <c r="K1421" t="s">
        <v>15389</v>
      </c>
      <c r="L1421" t="s">
        <v>15390</v>
      </c>
      <c r="M1421" t="s">
        <v>3963</v>
      </c>
      <c r="N1421" t="s">
        <v>3963</v>
      </c>
      <c r="O1421" t="s">
        <v>3963</v>
      </c>
      <c r="P1421" t="s">
        <v>15390</v>
      </c>
      <c r="R1421" t="s">
        <v>6278</v>
      </c>
    </row>
    <row r="1422" spans="4:18">
      <c r="E1422" t="s">
        <v>6279</v>
      </c>
      <c r="I1422" t="s">
        <v>6280</v>
      </c>
      <c r="K1422" t="s">
        <v>15391</v>
      </c>
      <c r="L1422" t="s">
        <v>15392</v>
      </c>
      <c r="M1422" t="s">
        <v>3963</v>
      </c>
      <c r="N1422" t="s">
        <v>3963</v>
      </c>
      <c r="O1422" t="s">
        <v>3963</v>
      </c>
      <c r="P1422" t="s">
        <v>15392</v>
      </c>
      <c r="R1422" t="s">
        <v>6281</v>
      </c>
    </row>
    <row r="1423" spans="4:18">
      <c r="E1423" t="s">
        <v>6282</v>
      </c>
      <c r="I1423" t="s">
        <v>6283</v>
      </c>
      <c r="K1423" t="s">
        <v>15393</v>
      </c>
      <c r="L1423" t="s">
        <v>15394</v>
      </c>
      <c r="M1423" t="s">
        <v>3963</v>
      </c>
      <c r="N1423" t="s">
        <v>3963</v>
      </c>
      <c r="O1423" t="s">
        <v>3963</v>
      </c>
      <c r="P1423" t="s">
        <v>15394</v>
      </c>
      <c r="R1423" t="s">
        <v>15395</v>
      </c>
    </row>
    <row r="1424" spans="4:18">
      <c r="E1424" t="s">
        <v>6284</v>
      </c>
      <c r="I1424" t="s">
        <v>6285</v>
      </c>
      <c r="K1424" t="s">
        <v>4048</v>
      </c>
      <c r="L1424" t="s">
        <v>15396</v>
      </c>
      <c r="M1424" t="s">
        <v>3963</v>
      </c>
      <c r="N1424" t="s">
        <v>3963</v>
      </c>
      <c r="O1424" t="s">
        <v>3963</v>
      </c>
      <c r="P1424" t="s">
        <v>15396</v>
      </c>
      <c r="R1424" t="s">
        <v>15397</v>
      </c>
    </row>
    <row r="1425" spans="4:18">
      <c r="E1425" t="s">
        <v>6286</v>
      </c>
      <c r="I1425" t="s">
        <v>6287</v>
      </c>
      <c r="K1425" t="s">
        <v>3963</v>
      </c>
      <c r="L1425" t="s">
        <v>3963</v>
      </c>
      <c r="M1425" t="s">
        <v>3963</v>
      </c>
      <c r="N1425" t="s">
        <v>3963</v>
      </c>
      <c r="O1425" t="s">
        <v>3963</v>
      </c>
      <c r="P1425" t="s">
        <v>3963</v>
      </c>
      <c r="R1425" t="s">
        <v>3963</v>
      </c>
    </row>
    <row r="1426" spans="4:18">
      <c r="D1426" t="s">
        <v>2363</v>
      </c>
      <c r="H1426" t="s">
        <v>6288</v>
      </c>
      <c r="K1426" t="s">
        <v>15398</v>
      </c>
      <c r="L1426" t="s">
        <v>15399</v>
      </c>
      <c r="M1426" t="s">
        <v>3963</v>
      </c>
      <c r="N1426" t="s">
        <v>3963</v>
      </c>
      <c r="O1426" t="s">
        <v>3963</v>
      </c>
      <c r="P1426" t="s">
        <v>15399</v>
      </c>
      <c r="R1426" t="s">
        <v>15400</v>
      </c>
    </row>
    <row r="1427" spans="4:18">
      <c r="E1427" t="s">
        <v>6289</v>
      </c>
      <c r="I1427" t="s">
        <v>6290</v>
      </c>
      <c r="K1427" t="s">
        <v>15401</v>
      </c>
      <c r="L1427" t="s">
        <v>15402</v>
      </c>
      <c r="M1427" t="s">
        <v>3963</v>
      </c>
      <c r="N1427" t="s">
        <v>3963</v>
      </c>
      <c r="O1427" t="s">
        <v>3963</v>
      </c>
      <c r="P1427" t="s">
        <v>15402</v>
      </c>
      <c r="R1427" t="s">
        <v>15403</v>
      </c>
    </row>
    <row r="1428" spans="4:18">
      <c r="E1428" t="s">
        <v>6291</v>
      </c>
      <c r="I1428" t="s">
        <v>6292</v>
      </c>
      <c r="K1428" t="s">
        <v>14436</v>
      </c>
      <c r="L1428" t="s">
        <v>3963</v>
      </c>
      <c r="M1428" t="s">
        <v>3963</v>
      </c>
      <c r="N1428" t="s">
        <v>3963</v>
      </c>
      <c r="O1428" t="s">
        <v>3963</v>
      </c>
      <c r="P1428" t="s">
        <v>3963</v>
      </c>
      <c r="R1428" t="s">
        <v>14436</v>
      </c>
    </row>
    <row r="1429" spans="4:18">
      <c r="E1429" t="s">
        <v>6293</v>
      </c>
      <c r="I1429" t="s">
        <v>6294</v>
      </c>
      <c r="K1429" t="s">
        <v>15404</v>
      </c>
      <c r="L1429" t="s">
        <v>15405</v>
      </c>
      <c r="M1429" t="s">
        <v>3963</v>
      </c>
      <c r="N1429" t="s">
        <v>3963</v>
      </c>
      <c r="O1429" t="s">
        <v>3963</v>
      </c>
      <c r="P1429" t="s">
        <v>15405</v>
      </c>
      <c r="R1429" t="s">
        <v>15406</v>
      </c>
    </row>
    <row r="1430" spans="4:18">
      <c r="E1430" t="s">
        <v>6295</v>
      </c>
      <c r="I1430" t="s">
        <v>6296</v>
      </c>
      <c r="K1430" t="s">
        <v>15407</v>
      </c>
      <c r="L1430" t="s">
        <v>3963</v>
      </c>
      <c r="M1430" t="s">
        <v>3963</v>
      </c>
      <c r="N1430" t="s">
        <v>3963</v>
      </c>
      <c r="O1430" t="s">
        <v>3963</v>
      </c>
      <c r="P1430" t="s">
        <v>3963</v>
      </c>
      <c r="R1430" t="s">
        <v>15407</v>
      </c>
    </row>
    <row r="1431" spans="4:18">
      <c r="E1431" t="s">
        <v>6297</v>
      </c>
      <c r="I1431" t="s">
        <v>6298</v>
      </c>
      <c r="K1431" t="s">
        <v>15408</v>
      </c>
      <c r="L1431" t="s">
        <v>3963</v>
      </c>
      <c r="M1431" t="s">
        <v>3963</v>
      </c>
      <c r="N1431" t="s">
        <v>3963</v>
      </c>
      <c r="O1431" t="s">
        <v>3963</v>
      </c>
      <c r="P1431" t="s">
        <v>3963</v>
      </c>
      <c r="R1431" t="s">
        <v>15408</v>
      </c>
    </row>
    <row r="1432" spans="4:18">
      <c r="D1432" t="s">
        <v>2366</v>
      </c>
      <c r="H1432" t="s">
        <v>6299</v>
      </c>
      <c r="K1432" t="s">
        <v>15409</v>
      </c>
      <c r="L1432" t="s">
        <v>15410</v>
      </c>
      <c r="M1432" t="s">
        <v>15414</v>
      </c>
      <c r="N1432" t="s">
        <v>15411</v>
      </c>
      <c r="O1432" t="s">
        <v>3963</v>
      </c>
      <c r="P1432" t="s">
        <v>15415</v>
      </c>
      <c r="R1432" t="s">
        <v>18918</v>
      </c>
    </row>
    <row r="1433" spans="4:18">
      <c r="E1433" t="s">
        <v>6300</v>
      </c>
      <c r="I1433" t="s">
        <v>5437</v>
      </c>
      <c r="K1433" t="s">
        <v>3963</v>
      </c>
      <c r="L1433" t="s">
        <v>3963</v>
      </c>
      <c r="M1433" t="s">
        <v>3963</v>
      </c>
      <c r="N1433" t="s">
        <v>3963</v>
      </c>
      <c r="O1433" t="s">
        <v>3963</v>
      </c>
      <c r="P1433" t="s">
        <v>3963</v>
      </c>
      <c r="R1433" t="s">
        <v>3963</v>
      </c>
    </row>
    <row r="1434" spans="4:18">
      <c r="E1434" t="s">
        <v>6301</v>
      </c>
      <c r="I1434" t="s">
        <v>5995</v>
      </c>
      <c r="K1434" t="s">
        <v>15413</v>
      </c>
      <c r="L1434" t="s">
        <v>15410</v>
      </c>
      <c r="M1434" t="s">
        <v>15414</v>
      </c>
      <c r="N1434" t="s">
        <v>15411</v>
      </c>
      <c r="O1434" t="s">
        <v>3963</v>
      </c>
      <c r="P1434" t="s">
        <v>15415</v>
      </c>
      <c r="R1434" t="s">
        <v>15412</v>
      </c>
    </row>
    <row r="1435" spans="4:18">
      <c r="E1435" t="s">
        <v>6302</v>
      </c>
      <c r="I1435" t="s">
        <v>5997</v>
      </c>
      <c r="K1435" t="s">
        <v>3963</v>
      </c>
      <c r="L1435" t="s">
        <v>3963</v>
      </c>
      <c r="M1435" t="s">
        <v>3963</v>
      </c>
      <c r="N1435" t="s">
        <v>3963</v>
      </c>
      <c r="O1435" t="s">
        <v>3963</v>
      </c>
      <c r="P1435" t="s">
        <v>3963</v>
      </c>
      <c r="R1435" t="s">
        <v>3963</v>
      </c>
    </row>
    <row r="1436" spans="4:18">
      <c r="E1436" t="s">
        <v>6303</v>
      </c>
      <c r="I1436" t="s">
        <v>6057</v>
      </c>
      <c r="K1436" t="s">
        <v>15416</v>
      </c>
      <c r="L1436" t="s">
        <v>3963</v>
      </c>
      <c r="M1436" t="s">
        <v>3963</v>
      </c>
      <c r="N1436" t="s">
        <v>3963</v>
      </c>
      <c r="O1436" t="s">
        <v>3963</v>
      </c>
      <c r="P1436" t="s">
        <v>3963</v>
      </c>
      <c r="R1436" t="s">
        <v>15416</v>
      </c>
    </row>
    <row r="1437" spans="4:18">
      <c r="E1437" t="s">
        <v>6304</v>
      </c>
      <c r="I1437" t="s">
        <v>6305</v>
      </c>
      <c r="K1437" t="s">
        <v>3963</v>
      </c>
      <c r="L1437" t="s">
        <v>3963</v>
      </c>
      <c r="M1437" t="s">
        <v>3963</v>
      </c>
      <c r="N1437" t="s">
        <v>3963</v>
      </c>
      <c r="O1437" t="s">
        <v>3963</v>
      </c>
      <c r="P1437" t="s">
        <v>3963</v>
      </c>
      <c r="R1437" t="s">
        <v>3963</v>
      </c>
    </row>
    <row r="1438" spans="4:18">
      <c r="D1438" t="s">
        <v>2367</v>
      </c>
      <c r="H1438" t="s">
        <v>6306</v>
      </c>
      <c r="K1438" t="s">
        <v>3963</v>
      </c>
      <c r="L1438" t="s">
        <v>3963</v>
      </c>
      <c r="M1438" t="s">
        <v>3963</v>
      </c>
      <c r="N1438" t="s">
        <v>3963</v>
      </c>
      <c r="O1438" t="s">
        <v>3963</v>
      </c>
      <c r="P1438" t="s">
        <v>3963</v>
      </c>
      <c r="R1438" t="s">
        <v>3963</v>
      </c>
    </row>
    <row r="1439" spans="4:18">
      <c r="E1439" t="s">
        <v>6307</v>
      </c>
      <c r="I1439" t="s">
        <v>6308</v>
      </c>
      <c r="K1439" t="s">
        <v>3963</v>
      </c>
      <c r="L1439" t="s">
        <v>3963</v>
      </c>
      <c r="M1439" t="s">
        <v>3963</v>
      </c>
      <c r="N1439" t="s">
        <v>3963</v>
      </c>
      <c r="O1439" t="s">
        <v>3963</v>
      </c>
      <c r="P1439" t="s">
        <v>3963</v>
      </c>
      <c r="R1439" t="s">
        <v>3963</v>
      </c>
    </row>
    <row r="1440" spans="4:18">
      <c r="E1440" t="s">
        <v>6309</v>
      </c>
      <c r="I1440" t="s">
        <v>6310</v>
      </c>
      <c r="K1440" t="s">
        <v>3963</v>
      </c>
      <c r="L1440" t="s">
        <v>3963</v>
      </c>
      <c r="M1440" t="s">
        <v>3963</v>
      </c>
      <c r="N1440" t="s">
        <v>3963</v>
      </c>
      <c r="O1440" t="s">
        <v>3963</v>
      </c>
      <c r="P1440" t="s">
        <v>3963</v>
      </c>
      <c r="R1440" t="s">
        <v>3963</v>
      </c>
    </row>
    <row r="1441" spans="4:18">
      <c r="E1441" t="s">
        <v>6311</v>
      </c>
      <c r="I1441" t="s">
        <v>5900</v>
      </c>
      <c r="K1441" t="s">
        <v>3963</v>
      </c>
      <c r="L1441" t="s">
        <v>3963</v>
      </c>
      <c r="M1441" t="s">
        <v>3963</v>
      </c>
      <c r="N1441" t="s">
        <v>3963</v>
      </c>
      <c r="O1441" t="s">
        <v>3963</v>
      </c>
      <c r="P1441" t="s">
        <v>3963</v>
      </c>
      <c r="R1441" t="s">
        <v>3963</v>
      </c>
    </row>
    <row r="1442" spans="4:18">
      <c r="E1442" t="s">
        <v>6312</v>
      </c>
      <c r="I1442" t="s">
        <v>6313</v>
      </c>
      <c r="K1442" t="s">
        <v>3963</v>
      </c>
      <c r="L1442" t="s">
        <v>3963</v>
      </c>
      <c r="M1442" t="s">
        <v>3963</v>
      </c>
      <c r="N1442" t="s">
        <v>3963</v>
      </c>
      <c r="O1442" t="s">
        <v>3963</v>
      </c>
      <c r="P1442" t="s">
        <v>3963</v>
      </c>
      <c r="R1442" t="s">
        <v>3963</v>
      </c>
    </row>
    <row r="1443" spans="4:18">
      <c r="E1443" t="s">
        <v>6314</v>
      </c>
      <c r="I1443" t="s">
        <v>6315</v>
      </c>
      <c r="K1443" t="s">
        <v>3963</v>
      </c>
      <c r="L1443" t="s">
        <v>3963</v>
      </c>
      <c r="M1443" t="s">
        <v>3963</v>
      </c>
      <c r="N1443" t="s">
        <v>3963</v>
      </c>
      <c r="O1443" t="s">
        <v>3963</v>
      </c>
      <c r="P1443" t="s">
        <v>3963</v>
      </c>
      <c r="R1443" t="s">
        <v>3963</v>
      </c>
    </row>
    <row r="1444" spans="4:18">
      <c r="E1444" t="s">
        <v>6316</v>
      </c>
      <c r="I1444" t="s">
        <v>6317</v>
      </c>
      <c r="K1444" t="s">
        <v>3963</v>
      </c>
      <c r="L1444" t="s">
        <v>3963</v>
      </c>
      <c r="M1444" t="s">
        <v>3963</v>
      </c>
      <c r="N1444" t="s">
        <v>3963</v>
      </c>
      <c r="O1444" t="s">
        <v>3963</v>
      </c>
      <c r="P1444" t="s">
        <v>3963</v>
      </c>
      <c r="R1444" t="s">
        <v>3963</v>
      </c>
    </row>
    <row r="1445" spans="4:18">
      <c r="D1445" t="s">
        <v>2368</v>
      </c>
      <c r="H1445" t="s">
        <v>6318</v>
      </c>
      <c r="K1445" t="s">
        <v>14958</v>
      </c>
      <c r="L1445" t="s">
        <v>15417</v>
      </c>
      <c r="M1445" t="s">
        <v>3963</v>
      </c>
      <c r="N1445" t="s">
        <v>3963</v>
      </c>
      <c r="O1445" t="s">
        <v>3963</v>
      </c>
      <c r="P1445" t="s">
        <v>15417</v>
      </c>
      <c r="R1445" t="s">
        <v>15418</v>
      </c>
    </row>
    <row r="1446" spans="4:18">
      <c r="E1446" t="s">
        <v>6319</v>
      </c>
      <c r="I1446" t="s">
        <v>6320</v>
      </c>
      <c r="K1446" t="s">
        <v>15419</v>
      </c>
      <c r="L1446" t="s">
        <v>15420</v>
      </c>
      <c r="M1446" t="s">
        <v>3963</v>
      </c>
      <c r="N1446" t="s">
        <v>3963</v>
      </c>
      <c r="O1446" t="s">
        <v>3963</v>
      </c>
      <c r="P1446" t="s">
        <v>15420</v>
      </c>
      <c r="R1446" t="s">
        <v>15421</v>
      </c>
    </row>
    <row r="1447" spans="4:18">
      <c r="E1447" t="s">
        <v>6321</v>
      </c>
      <c r="I1447" t="s">
        <v>6320</v>
      </c>
      <c r="K1447" t="s">
        <v>15422</v>
      </c>
      <c r="L1447" t="s">
        <v>15423</v>
      </c>
      <c r="M1447" t="s">
        <v>3963</v>
      </c>
      <c r="N1447" t="s">
        <v>3963</v>
      </c>
      <c r="O1447" t="s">
        <v>3963</v>
      </c>
      <c r="P1447" t="s">
        <v>15423</v>
      </c>
      <c r="R1447" t="s">
        <v>15424</v>
      </c>
    </row>
    <row r="1448" spans="4:18">
      <c r="E1448" t="s">
        <v>6322</v>
      </c>
      <c r="I1448" t="s">
        <v>6323</v>
      </c>
      <c r="K1448" t="s">
        <v>15425</v>
      </c>
      <c r="L1448" t="s">
        <v>15426</v>
      </c>
      <c r="M1448" t="s">
        <v>3963</v>
      </c>
      <c r="N1448" t="s">
        <v>3963</v>
      </c>
      <c r="O1448" t="s">
        <v>3963</v>
      </c>
      <c r="P1448" t="s">
        <v>15426</v>
      </c>
      <c r="R1448" t="s">
        <v>15427</v>
      </c>
    </row>
    <row r="1449" spans="4:18">
      <c r="E1449" t="s">
        <v>6324</v>
      </c>
      <c r="I1449" t="s">
        <v>6320</v>
      </c>
      <c r="K1449" t="s">
        <v>13342</v>
      </c>
      <c r="L1449" t="s">
        <v>3963</v>
      </c>
      <c r="M1449" t="s">
        <v>3963</v>
      </c>
      <c r="N1449" t="s">
        <v>3963</v>
      </c>
      <c r="O1449" t="s">
        <v>3963</v>
      </c>
      <c r="P1449" t="s">
        <v>3963</v>
      </c>
      <c r="R1449" t="s">
        <v>13342</v>
      </c>
    </row>
    <row r="1450" spans="4:18">
      <c r="D1450" t="s">
        <v>2370</v>
      </c>
      <c r="H1450" t="s">
        <v>6325</v>
      </c>
      <c r="K1450" t="s">
        <v>3963</v>
      </c>
      <c r="L1450" t="s">
        <v>3963</v>
      </c>
      <c r="M1450" t="s">
        <v>3963</v>
      </c>
      <c r="N1450" t="s">
        <v>3963</v>
      </c>
      <c r="O1450" t="s">
        <v>3963</v>
      </c>
      <c r="P1450" t="s">
        <v>3963</v>
      </c>
      <c r="R1450" t="s">
        <v>3963</v>
      </c>
    </row>
    <row r="1451" spans="4:18">
      <c r="E1451" t="s">
        <v>6326</v>
      </c>
      <c r="I1451" t="s">
        <v>6327</v>
      </c>
      <c r="K1451" t="s">
        <v>3963</v>
      </c>
      <c r="L1451" t="s">
        <v>3963</v>
      </c>
      <c r="M1451" t="s">
        <v>3963</v>
      </c>
      <c r="N1451" t="s">
        <v>3963</v>
      </c>
      <c r="O1451" t="s">
        <v>3963</v>
      </c>
      <c r="P1451" t="s">
        <v>3963</v>
      </c>
      <c r="R1451" t="s">
        <v>3963</v>
      </c>
    </row>
    <row r="1452" spans="4:18">
      <c r="E1452" t="s">
        <v>6328</v>
      </c>
      <c r="I1452" t="s">
        <v>6329</v>
      </c>
      <c r="K1452" t="s">
        <v>3963</v>
      </c>
      <c r="L1452" t="s">
        <v>3963</v>
      </c>
      <c r="M1452" t="s">
        <v>3963</v>
      </c>
      <c r="N1452" t="s">
        <v>3963</v>
      </c>
      <c r="O1452" t="s">
        <v>3963</v>
      </c>
      <c r="P1452" t="s">
        <v>3963</v>
      </c>
      <c r="R1452" t="s">
        <v>3963</v>
      </c>
    </row>
    <row r="1453" spans="4:18">
      <c r="E1453" t="s">
        <v>6330</v>
      </c>
      <c r="I1453" t="s">
        <v>5472</v>
      </c>
      <c r="K1453" t="s">
        <v>3963</v>
      </c>
      <c r="L1453" t="s">
        <v>3963</v>
      </c>
      <c r="M1453" t="s">
        <v>3963</v>
      </c>
      <c r="N1453" t="s">
        <v>3963</v>
      </c>
      <c r="O1453" t="s">
        <v>3963</v>
      </c>
      <c r="P1453" t="s">
        <v>3963</v>
      </c>
      <c r="R1453" t="s">
        <v>3963</v>
      </c>
    </row>
    <row r="1454" spans="4:18">
      <c r="E1454" t="s">
        <v>6331</v>
      </c>
      <c r="I1454" t="s">
        <v>5642</v>
      </c>
      <c r="K1454" t="s">
        <v>3963</v>
      </c>
      <c r="L1454" t="s">
        <v>3963</v>
      </c>
      <c r="M1454" t="s">
        <v>3963</v>
      </c>
      <c r="N1454" t="s">
        <v>3963</v>
      </c>
      <c r="O1454" t="s">
        <v>3963</v>
      </c>
      <c r="P1454" t="s">
        <v>3963</v>
      </c>
      <c r="R1454" t="s">
        <v>3963</v>
      </c>
    </row>
    <row r="1455" spans="4:18">
      <c r="D1455" t="s">
        <v>2371</v>
      </c>
      <c r="H1455" t="s">
        <v>6332</v>
      </c>
      <c r="K1455" t="s">
        <v>15428</v>
      </c>
      <c r="L1455" t="s">
        <v>19367</v>
      </c>
      <c r="M1455" t="s">
        <v>15431</v>
      </c>
      <c r="N1455" t="s">
        <v>3963</v>
      </c>
      <c r="O1455" t="s">
        <v>3963</v>
      </c>
      <c r="P1455" t="s">
        <v>19368</v>
      </c>
      <c r="R1455" t="s">
        <v>19369</v>
      </c>
    </row>
    <row r="1456" spans="4:18">
      <c r="E1456" t="s">
        <v>6333</v>
      </c>
      <c r="I1456" t="s">
        <v>6334</v>
      </c>
      <c r="K1456" t="s">
        <v>15429</v>
      </c>
      <c r="L1456" t="s">
        <v>19367</v>
      </c>
      <c r="M1456" t="s">
        <v>3963</v>
      </c>
      <c r="N1456" t="s">
        <v>3963</v>
      </c>
      <c r="O1456" t="s">
        <v>3963</v>
      </c>
      <c r="P1456" t="s">
        <v>19367</v>
      </c>
      <c r="R1456" t="s">
        <v>19370</v>
      </c>
    </row>
    <row r="1457" spans="4:18">
      <c r="E1457" t="s">
        <v>6335</v>
      </c>
      <c r="I1457" t="s">
        <v>6310</v>
      </c>
      <c r="K1457" t="s">
        <v>12875</v>
      </c>
      <c r="L1457" t="s">
        <v>3963</v>
      </c>
      <c r="M1457" t="s">
        <v>3963</v>
      </c>
      <c r="N1457" t="s">
        <v>3963</v>
      </c>
      <c r="O1457" t="s">
        <v>3963</v>
      </c>
      <c r="P1457" t="s">
        <v>3963</v>
      </c>
      <c r="R1457" t="s">
        <v>12875</v>
      </c>
    </row>
    <row r="1458" spans="4:18">
      <c r="E1458" t="s">
        <v>6336</v>
      </c>
      <c r="I1458" t="s">
        <v>6310</v>
      </c>
      <c r="K1458" t="s">
        <v>15430</v>
      </c>
      <c r="L1458" t="s">
        <v>3963</v>
      </c>
      <c r="M1458" t="s">
        <v>15431</v>
      </c>
      <c r="N1458" t="s">
        <v>3963</v>
      </c>
      <c r="O1458" t="s">
        <v>3963</v>
      </c>
      <c r="P1458" t="s">
        <v>15431</v>
      </c>
      <c r="R1458" t="s">
        <v>15432</v>
      </c>
    </row>
    <row r="1459" spans="4:18">
      <c r="E1459" t="s">
        <v>6337</v>
      </c>
      <c r="I1459" t="s">
        <v>6315</v>
      </c>
      <c r="K1459" t="s">
        <v>3963</v>
      </c>
      <c r="L1459" t="s">
        <v>3963</v>
      </c>
      <c r="M1459" t="s">
        <v>3963</v>
      </c>
      <c r="N1459" t="s">
        <v>3963</v>
      </c>
      <c r="O1459" t="s">
        <v>3963</v>
      </c>
      <c r="P1459" t="s">
        <v>3963</v>
      </c>
      <c r="R1459" t="s">
        <v>3963</v>
      </c>
    </row>
    <row r="1460" spans="4:18">
      <c r="E1460" t="s">
        <v>6338</v>
      </c>
      <c r="I1460" t="s">
        <v>6317</v>
      </c>
      <c r="K1460" t="s">
        <v>3963</v>
      </c>
      <c r="L1460" t="s">
        <v>3963</v>
      </c>
      <c r="M1460" t="s">
        <v>3963</v>
      </c>
      <c r="N1460" t="s">
        <v>3963</v>
      </c>
      <c r="O1460" t="s">
        <v>3963</v>
      </c>
      <c r="P1460" t="s">
        <v>3963</v>
      </c>
      <c r="R1460" t="s">
        <v>3963</v>
      </c>
    </row>
    <row r="1461" spans="4:18">
      <c r="E1461" t="s">
        <v>6339</v>
      </c>
      <c r="I1461" t="s">
        <v>6340</v>
      </c>
      <c r="K1461" t="s">
        <v>15433</v>
      </c>
      <c r="L1461" t="s">
        <v>3963</v>
      </c>
      <c r="M1461" t="s">
        <v>3963</v>
      </c>
      <c r="N1461" t="s">
        <v>3963</v>
      </c>
      <c r="O1461" t="s">
        <v>3963</v>
      </c>
      <c r="P1461" t="s">
        <v>3963</v>
      </c>
      <c r="R1461" t="s">
        <v>15433</v>
      </c>
    </row>
    <row r="1462" spans="4:18">
      <c r="E1462" t="s">
        <v>6341</v>
      </c>
      <c r="I1462" t="s">
        <v>6342</v>
      </c>
      <c r="K1462" t="s">
        <v>15434</v>
      </c>
      <c r="L1462" t="s">
        <v>3963</v>
      </c>
      <c r="M1462" t="s">
        <v>3963</v>
      </c>
      <c r="N1462" t="s">
        <v>3963</v>
      </c>
      <c r="O1462" t="s">
        <v>3963</v>
      </c>
      <c r="P1462" t="s">
        <v>3963</v>
      </c>
      <c r="R1462" t="s">
        <v>15434</v>
      </c>
    </row>
    <row r="1463" spans="4:18">
      <c r="E1463" t="s">
        <v>6343</v>
      </c>
      <c r="I1463" t="s">
        <v>6344</v>
      </c>
      <c r="K1463" t="s">
        <v>14618</v>
      </c>
      <c r="L1463" t="s">
        <v>3963</v>
      </c>
      <c r="M1463" t="s">
        <v>3963</v>
      </c>
      <c r="N1463" t="s">
        <v>3963</v>
      </c>
      <c r="O1463" t="s">
        <v>3963</v>
      </c>
      <c r="P1463" t="s">
        <v>3963</v>
      </c>
      <c r="R1463" t="s">
        <v>14618</v>
      </c>
    </row>
    <row r="1464" spans="4:18">
      <c r="D1464" t="s">
        <v>2373</v>
      </c>
      <c r="H1464" t="s">
        <v>6345</v>
      </c>
      <c r="K1464" t="s">
        <v>15435</v>
      </c>
      <c r="L1464" t="s">
        <v>15436</v>
      </c>
      <c r="M1464" t="s">
        <v>3963</v>
      </c>
      <c r="N1464" t="s">
        <v>3963</v>
      </c>
      <c r="O1464" t="s">
        <v>3963</v>
      </c>
      <c r="P1464" t="s">
        <v>15436</v>
      </c>
      <c r="R1464" t="s">
        <v>15437</v>
      </c>
    </row>
    <row r="1465" spans="4:18">
      <c r="E1465" t="s">
        <v>6346</v>
      </c>
      <c r="I1465" t="s">
        <v>6347</v>
      </c>
      <c r="K1465" t="s">
        <v>15438</v>
      </c>
      <c r="L1465" t="s">
        <v>15439</v>
      </c>
      <c r="M1465" t="s">
        <v>3963</v>
      </c>
      <c r="N1465" t="s">
        <v>3963</v>
      </c>
      <c r="O1465" t="s">
        <v>3963</v>
      </c>
      <c r="P1465" t="s">
        <v>15439</v>
      </c>
      <c r="R1465" t="s">
        <v>15440</v>
      </c>
    </row>
    <row r="1466" spans="4:18">
      <c r="E1466" t="s">
        <v>6348</v>
      </c>
      <c r="I1466" t="s">
        <v>6027</v>
      </c>
      <c r="K1466" t="s">
        <v>15441</v>
      </c>
      <c r="L1466" t="s">
        <v>15442</v>
      </c>
      <c r="M1466" t="s">
        <v>3963</v>
      </c>
      <c r="N1466" t="s">
        <v>3963</v>
      </c>
      <c r="O1466" t="s">
        <v>3963</v>
      </c>
      <c r="P1466" t="s">
        <v>15442</v>
      </c>
      <c r="R1466" t="s">
        <v>15443</v>
      </c>
    </row>
    <row r="1467" spans="4:18">
      <c r="E1467" t="s">
        <v>6349</v>
      </c>
      <c r="I1467" t="s">
        <v>6350</v>
      </c>
      <c r="K1467" t="s">
        <v>3963</v>
      </c>
      <c r="L1467" t="s">
        <v>3963</v>
      </c>
      <c r="M1467" t="s">
        <v>3963</v>
      </c>
      <c r="N1467" t="s">
        <v>3963</v>
      </c>
      <c r="O1467" t="s">
        <v>3963</v>
      </c>
      <c r="P1467" t="s">
        <v>3963</v>
      </c>
      <c r="R1467" t="s">
        <v>3963</v>
      </c>
    </row>
    <row r="1468" spans="4:18">
      <c r="D1468" t="s">
        <v>2374</v>
      </c>
      <c r="H1468" t="s">
        <v>6351</v>
      </c>
      <c r="K1468" t="s">
        <v>15444</v>
      </c>
      <c r="L1468" t="s">
        <v>15445</v>
      </c>
      <c r="M1468" t="s">
        <v>3963</v>
      </c>
      <c r="N1468" t="s">
        <v>3963</v>
      </c>
      <c r="O1468" t="s">
        <v>3963</v>
      </c>
      <c r="P1468" t="s">
        <v>15445</v>
      </c>
      <c r="R1468" t="s">
        <v>15446</v>
      </c>
    </row>
    <row r="1469" spans="4:18">
      <c r="E1469" t="s">
        <v>6352</v>
      </c>
      <c r="I1469" t="s">
        <v>6353</v>
      </c>
      <c r="K1469" t="s">
        <v>15444</v>
      </c>
      <c r="L1469" t="s">
        <v>15445</v>
      </c>
      <c r="M1469" t="s">
        <v>3963</v>
      </c>
      <c r="N1469" t="s">
        <v>3963</v>
      </c>
      <c r="O1469" t="s">
        <v>3963</v>
      </c>
      <c r="P1469" t="s">
        <v>15445</v>
      </c>
      <c r="R1469" t="s">
        <v>15446</v>
      </c>
    </row>
    <row r="1470" spans="4:18">
      <c r="D1470" t="s">
        <v>2376</v>
      </c>
      <c r="H1470" t="s">
        <v>6092</v>
      </c>
      <c r="K1470" t="s">
        <v>15447</v>
      </c>
      <c r="L1470" t="s">
        <v>15448</v>
      </c>
      <c r="M1470" t="s">
        <v>19920</v>
      </c>
      <c r="N1470" t="s">
        <v>19921</v>
      </c>
      <c r="O1470" t="s">
        <v>3963</v>
      </c>
      <c r="P1470" t="s">
        <v>19922</v>
      </c>
      <c r="R1470" t="s">
        <v>19923</v>
      </c>
    </row>
    <row r="1471" spans="4:18">
      <c r="E1471" t="s">
        <v>6354</v>
      </c>
      <c r="I1471" t="s">
        <v>6355</v>
      </c>
      <c r="K1471" t="s">
        <v>15449</v>
      </c>
      <c r="L1471" t="s">
        <v>15448</v>
      </c>
      <c r="M1471" t="s">
        <v>19920</v>
      </c>
      <c r="N1471" t="s">
        <v>19921</v>
      </c>
      <c r="O1471" t="s">
        <v>3963</v>
      </c>
      <c r="P1471" t="s">
        <v>19922</v>
      </c>
      <c r="R1471" t="s">
        <v>19924</v>
      </c>
    </row>
    <row r="1472" spans="4:18">
      <c r="E1472" t="s">
        <v>6356</v>
      </c>
      <c r="I1472" t="s">
        <v>6357</v>
      </c>
      <c r="K1472" t="s">
        <v>15450</v>
      </c>
      <c r="L1472" t="s">
        <v>3963</v>
      </c>
      <c r="M1472" t="s">
        <v>3963</v>
      </c>
      <c r="N1472" t="s">
        <v>3963</v>
      </c>
      <c r="O1472" t="s">
        <v>3963</v>
      </c>
      <c r="P1472" t="s">
        <v>3963</v>
      </c>
      <c r="R1472" t="s">
        <v>15450</v>
      </c>
    </row>
    <row r="1473" spans="4:18">
      <c r="E1473" t="s">
        <v>6358</v>
      </c>
      <c r="I1473" t="s">
        <v>6359</v>
      </c>
      <c r="K1473" t="s">
        <v>15451</v>
      </c>
      <c r="L1473" t="s">
        <v>3963</v>
      </c>
      <c r="M1473" t="s">
        <v>3963</v>
      </c>
      <c r="N1473" t="s">
        <v>3963</v>
      </c>
      <c r="O1473" t="s">
        <v>3963</v>
      </c>
      <c r="P1473" t="s">
        <v>3963</v>
      </c>
      <c r="R1473" t="s">
        <v>15451</v>
      </c>
    </row>
    <row r="1474" spans="4:18">
      <c r="E1474" t="s">
        <v>6360</v>
      </c>
      <c r="I1474" t="s">
        <v>6361</v>
      </c>
      <c r="K1474" t="s">
        <v>12744</v>
      </c>
      <c r="L1474" t="s">
        <v>3963</v>
      </c>
      <c r="M1474" t="s">
        <v>3963</v>
      </c>
      <c r="N1474" t="s">
        <v>3963</v>
      </c>
      <c r="O1474" t="s">
        <v>3963</v>
      </c>
      <c r="P1474" t="s">
        <v>3963</v>
      </c>
      <c r="R1474" t="s">
        <v>12744</v>
      </c>
    </row>
    <row r="1475" spans="4:18">
      <c r="E1475" t="s">
        <v>6362</v>
      </c>
      <c r="I1475" t="s">
        <v>6363</v>
      </c>
      <c r="K1475" t="s">
        <v>4384</v>
      </c>
      <c r="L1475" t="s">
        <v>3963</v>
      </c>
      <c r="M1475" t="s">
        <v>3963</v>
      </c>
      <c r="N1475" t="s">
        <v>3963</v>
      </c>
      <c r="O1475" t="s">
        <v>3963</v>
      </c>
      <c r="P1475" t="s">
        <v>3963</v>
      </c>
      <c r="R1475" t="s">
        <v>4384</v>
      </c>
    </row>
    <row r="1476" spans="4:18">
      <c r="E1476" t="s">
        <v>6364</v>
      </c>
      <c r="I1476" t="s">
        <v>6365</v>
      </c>
      <c r="K1476" t="s">
        <v>12518</v>
      </c>
      <c r="L1476" t="s">
        <v>3963</v>
      </c>
      <c r="M1476" t="s">
        <v>3963</v>
      </c>
      <c r="N1476" t="s">
        <v>3963</v>
      </c>
      <c r="O1476" t="s">
        <v>3963</v>
      </c>
      <c r="P1476" t="s">
        <v>3963</v>
      </c>
      <c r="R1476" t="s">
        <v>12518</v>
      </c>
    </row>
    <row r="1477" spans="4:18">
      <c r="D1477" t="s">
        <v>2378</v>
      </c>
      <c r="H1477" t="s">
        <v>6147</v>
      </c>
      <c r="K1477" t="s">
        <v>6957</v>
      </c>
      <c r="L1477" t="s">
        <v>15452</v>
      </c>
      <c r="M1477" t="s">
        <v>3963</v>
      </c>
      <c r="N1477" t="s">
        <v>3963</v>
      </c>
      <c r="O1477" t="s">
        <v>3963</v>
      </c>
      <c r="P1477" t="s">
        <v>15452</v>
      </c>
      <c r="R1477" t="s">
        <v>15453</v>
      </c>
    </row>
    <row r="1478" spans="4:18">
      <c r="E1478" t="s">
        <v>2169</v>
      </c>
      <c r="I1478" t="s">
        <v>6059</v>
      </c>
      <c r="K1478" t="s">
        <v>15454</v>
      </c>
      <c r="L1478" t="s">
        <v>3963</v>
      </c>
      <c r="M1478" t="s">
        <v>3963</v>
      </c>
      <c r="N1478" t="s">
        <v>3963</v>
      </c>
      <c r="O1478" t="s">
        <v>3963</v>
      </c>
      <c r="P1478" t="s">
        <v>3963</v>
      </c>
      <c r="R1478" t="s">
        <v>15454</v>
      </c>
    </row>
    <row r="1479" spans="4:18">
      <c r="E1479" t="s">
        <v>2170</v>
      </c>
      <c r="I1479" t="s">
        <v>2174</v>
      </c>
      <c r="K1479" t="s">
        <v>15455</v>
      </c>
      <c r="L1479" t="s">
        <v>15456</v>
      </c>
      <c r="M1479" t="s">
        <v>3963</v>
      </c>
      <c r="N1479" t="s">
        <v>3963</v>
      </c>
      <c r="O1479" t="s">
        <v>3963</v>
      </c>
      <c r="P1479" t="s">
        <v>15456</v>
      </c>
      <c r="R1479" t="s">
        <v>15457</v>
      </c>
    </row>
    <row r="1480" spans="4:18">
      <c r="E1480" t="s">
        <v>2171</v>
      </c>
      <c r="I1480" t="s">
        <v>6366</v>
      </c>
      <c r="K1480" t="s">
        <v>15458</v>
      </c>
      <c r="L1480" t="s">
        <v>15459</v>
      </c>
      <c r="M1480" t="s">
        <v>3963</v>
      </c>
      <c r="N1480" t="s">
        <v>3963</v>
      </c>
      <c r="O1480" t="s">
        <v>3963</v>
      </c>
      <c r="P1480" t="s">
        <v>15459</v>
      </c>
      <c r="R1480" t="s">
        <v>15460</v>
      </c>
    </row>
    <row r="1481" spans="4:18">
      <c r="E1481" t="s">
        <v>2172</v>
      </c>
      <c r="I1481" t="s">
        <v>6367</v>
      </c>
      <c r="K1481" t="s">
        <v>15461</v>
      </c>
      <c r="L1481" t="s">
        <v>15462</v>
      </c>
      <c r="M1481" t="s">
        <v>3963</v>
      </c>
      <c r="N1481" t="s">
        <v>3963</v>
      </c>
      <c r="O1481" t="s">
        <v>3963</v>
      </c>
      <c r="P1481" t="s">
        <v>15462</v>
      </c>
      <c r="R1481" t="s">
        <v>15463</v>
      </c>
    </row>
    <row r="1482" spans="4:18">
      <c r="E1482" t="s">
        <v>2173</v>
      </c>
      <c r="I1482" t="s">
        <v>6368</v>
      </c>
      <c r="K1482" t="s">
        <v>15464</v>
      </c>
      <c r="L1482" t="s">
        <v>15465</v>
      </c>
      <c r="M1482" t="s">
        <v>3963</v>
      </c>
      <c r="N1482" t="s">
        <v>3963</v>
      </c>
      <c r="O1482" t="s">
        <v>3963</v>
      </c>
      <c r="P1482" t="s">
        <v>15465</v>
      </c>
      <c r="R1482" t="s">
        <v>15466</v>
      </c>
    </row>
    <row r="1483" spans="4:18">
      <c r="E1483" t="s">
        <v>2184</v>
      </c>
      <c r="I1483" t="s">
        <v>6369</v>
      </c>
      <c r="K1483" t="s">
        <v>15467</v>
      </c>
      <c r="L1483" t="s">
        <v>15468</v>
      </c>
      <c r="M1483" t="s">
        <v>3963</v>
      </c>
      <c r="N1483" t="s">
        <v>3963</v>
      </c>
      <c r="O1483" t="s">
        <v>3963</v>
      </c>
      <c r="P1483" t="s">
        <v>15468</v>
      </c>
      <c r="R1483" t="s">
        <v>15469</v>
      </c>
    </row>
    <row r="1484" spans="4:18">
      <c r="E1484" t="s">
        <v>2202</v>
      </c>
      <c r="I1484" t="s">
        <v>6370</v>
      </c>
      <c r="K1484" t="s">
        <v>15470</v>
      </c>
      <c r="L1484" t="s">
        <v>15471</v>
      </c>
      <c r="M1484" t="s">
        <v>3963</v>
      </c>
      <c r="N1484" t="s">
        <v>3963</v>
      </c>
      <c r="O1484" t="s">
        <v>3963</v>
      </c>
      <c r="P1484" t="s">
        <v>15471</v>
      </c>
      <c r="R1484" t="s">
        <v>15472</v>
      </c>
    </row>
    <row r="1485" spans="4:18">
      <c r="E1485" t="s">
        <v>2423</v>
      </c>
      <c r="I1485" t="s">
        <v>6371</v>
      </c>
      <c r="K1485" t="s">
        <v>15473</v>
      </c>
      <c r="L1485" t="s">
        <v>15474</v>
      </c>
      <c r="M1485" t="s">
        <v>3963</v>
      </c>
      <c r="N1485" t="s">
        <v>3963</v>
      </c>
      <c r="O1485" t="s">
        <v>3963</v>
      </c>
      <c r="P1485" t="s">
        <v>15474</v>
      </c>
      <c r="R1485" t="s">
        <v>15475</v>
      </c>
    </row>
    <row r="1486" spans="4:18">
      <c r="E1486" t="s">
        <v>2430</v>
      </c>
      <c r="I1486" t="s">
        <v>2431</v>
      </c>
      <c r="K1486" t="s">
        <v>15476</v>
      </c>
      <c r="L1486" t="s">
        <v>15477</v>
      </c>
      <c r="M1486" t="s">
        <v>3963</v>
      </c>
      <c r="N1486" t="s">
        <v>3963</v>
      </c>
      <c r="O1486" t="s">
        <v>3963</v>
      </c>
      <c r="P1486" t="s">
        <v>15477</v>
      </c>
      <c r="R1486" t="s">
        <v>15478</v>
      </c>
    </row>
    <row r="1487" spans="4:18">
      <c r="D1487" t="s">
        <v>2380</v>
      </c>
      <c r="H1487" t="s">
        <v>6372</v>
      </c>
      <c r="K1487" t="s">
        <v>15479</v>
      </c>
      <c r="L1487" t="s">
        <v>3963</v>
      </c>
      <c r="M1487" t="s">
        <v>3963</v>
      </c>
      <c r="N1487" t="s">
        <v>3963</v>
      </c>
      <c r="O1487" t="s">
        <v>3963</v>
      </c>
      <c r="P1487" t="s">
        <v>3963</v>
      </c>
      <c r="R1487" t="s">
        <v>15479</v>
      </c>
    </row>
    <row r="1488" spans="4:18">
      <c r="E1488" t="s">
        <v>6373</v>
      </c>
      <c r="I1488" t="s">
        <v>6374</v>
      </c>
      <c r="K1488" t="s">
        <v>15480</v>
      </c>
      <c r="L1488" t="s">
        <v>3963</v>
      </c>
      <c r="M1488" t="s">
        <v>3963</v>
      </c>
      <c r="N1488" t="s">
        <v>3963</v>
      </c>
      <c r="O1488" t="s">
        <v>3963</v>
      </c>
      <c r="P1488" t="s">
        <v>3963</v>
      </c>
      <c r="R1488" t="s">
        <v>15480</v>
      </c>
    </row>
    <row r="1489" spans="4:18">
      <c r="E1489" t="s">
        <v>6375</v>
      </c>
      <c r="I1489" t="s">
        <v>6376</v>
      </c>
      <c r="K1489" t="s">
        <v>15481</v>
      </c>
      <c r="L1489" t="s">
        <v>3963</v>
      </c>
      <c r="M1489" t="s">
        <v>3963</v>
      </c>
      <c r="N1489" t="s">
        <v>3963</v>
      </c>
      <c r="O1489" t="s">
        <v>3963</v>
      </c>
      <c r="P1489" t="s">
        <v>3963</v>
      </c>
      <c r="R1489" t="s">
        <v>15481</v>
      </c>
    </row>
    <row r="1490" spans="4:18">
      <c r="E1490" t="s">
        <v>6377</v>
      </c>
      <c r="I1490" t="s">
        <v>5559</v>
      </c>
      <c r="K1490" t="s">
        <v>12540</v>
      </c>
      <c r="L1490" t="s">
        <v>3963</v>
      </c>
      <c r="M1490" t="s">
        <v>3963</v>
      </c>
      <c r="N1490" t="s">
        <v>3963</v>
      </c>
      <c r="O1490" t="s">
        <v>3963</v>
      </c>
      <c r="P1490" t="s">
        <v>3963</v>
      </c>
      <c r="R1490" t="s">
        <v>12540</v>
      </c>
    </row>
    <row r="1491" spans="4:18">
      <c r="E1491" t="s">
        <v>6378</v>
      </c>
      <c r="I1491" t="s">
        <v>5624</v>
      </c>
      <c r="K1491" t="s">
        <v>15482</v>
      </c>
      <c r="L1491" t="s">
        <v>3963</v>
      </c>
      <c r="M1491" t="s">
        <v>3963</v>
      </c>
      <c r="N1491" t="s">
        <v>3963</v>
      </c>
      <c r="O1491" t="s">
        <v>3963</v>
      </c>
      <c r="P1491" t="s">
        <v>3963</v>
      </c>
      <c r="R1491" t="s">
        <v>15482</v>
      </c>
    </row>
    <row r="1492" spans="4:18">
      <c r="E1492" t="s">
        <v>6379</v>
      </c>
      <c r="I1492" t="s">
        <v>6380</v>
      </c>
      <c r="K1492" t="s">
        <v>13488</v>
      </c>
      <c r="L1492" t="s">
        <v>3963</v>
      </c>
      <c r="M1492" t="s">
        <v>3963</v>
      </c>
      <c r="N1492" t="s">
        <v>3963</v>
      </c>
      <c r="O1492" t="s">
        <v>3963</v>
      </c>
      <c r="P1492" t="s">
        <v>3963</v>
      </c>
      <c r="R1492" t="s">
        <v>13488</v>
      </c>
    </row>
    <row r="1493" spans="4:18">
      <c r="D1493" t="s">
        <v>2382</v>
      </c>
      <c r="H1493" t="s">
        <v>6381</v>
      </c>
      <c r="K1493" t="s">
        <v>15483</v>
      </c>
      <c r="L1493" t="s">
        <v>19371</v>
      </c>
      <c r="M1493" t="s">
        <v>19202</v>
      </c>
      <c r="N1493" t="s">
        <v>18740</v>
      </c>
      <c r="O1493" t="s">
        <v>3963</v>
      </c>
      <c r="P1493" t="s">
        <v>19372</v>
      </c>
      <c r="R1493" t="s">
        <v>19373</v>
      </c>
    </row>
    <row r="1494" spans="4:18">
      <c r="E1494" t="s">
        <v>6382</v>
      </c>
      <c r="I1494" t="s">
        <v>5437</v>
      </c>
      <c r="K1494" t="s">
        <v>15484</v>
      </c>
      <c r="L1494" t="s">
        <v>15485</v>
      </c>
      <c r="M1494" t="s">
        <v>3963</v>
      </c>
      <c r="N1494" t="s">
        <v>3963</v>
      </c>
      <c r="O1494" t="s">
        <v>3963</v>
      </c>
      <c r="P1494" t="s">
        <v>15485</v>
      </c>
      <c r="R1494" t="s">
        <v>12681</v>
      </c>
    </row>
    <row r="1495" spans="4:18">
      <c r="E1495" t="s">
        <v>6383</v>
      </c>
      <c r="I1495" t="s">
        <v>5439</v>
      </c>
      <c r="K1495" t="s">
        <v>15486</v>
      </c>
      <c r="L1495" t="s">
        <v>15487</v>
      </c>
      <c r="M1495" t="s">
        <v>18741</v>
      </c>
      <c r="N1495" t="s">
        <v>18740</v>
      </c>
      <c r="O1495" t="s">
        <v>3963</v>
      </c>
      <c r="P1495" t="s">
        <v>18742</v>
      </c>
      <c r="R1495" t="s">
        <v>18743</v>
      </c>
    </row>
    <row r="1496" spans="4:18">
      <c r="E1496" t="s">
        <v>6384</v>
      </c>
      <c r="I1496" t="s">
        <v>5441</v>
      </c>
      <c r="K1496" t="s">
        <v>15488</v>
      </c>
      <c r="L1496" t="s">
        <v>19374</v>
      </c>
      <c r="M1496" t="s">
        <v>19203</v>
      </c>
      <c r="N1496" t="s">
        <v>3963</v>
      </c>
      <c r="O1496" t="s">
        <v>3963</v>
      </c>
      <c r="P1496" t="s">
        <v>19375</v>
      </c>
      <c r="R1496" t="s">
        <v>19376</v>
      </c>
    </row>
    <row r="1497" spans="4:18">
      <c r="D1497" t="s">
        <v>2384</v>
      </c>
      <c r="H1497" t="s">
        <v>5849</v>
      </c>
      <c r="K1497" t="s">
        <v>15489</v>
      </c>
      <c r="L1497" t="s">
        <v>20087</v>
      </c>
      <c r="M1497" t="s">
        <v>20088</v>
      </c>
      <c r="N1497" t="s">
        <v>19377</v>
      </c>
      <c r="O1497" t="s">
        <v>3963</v>
      </c>
      <c r="P1497" t="s">
        <v>20089</v>
      </c>
      <c r="R1497" t="s">
        <v>20090</v>
      </c>
    </row>
    <row r="1498" spans="4:18">
      <c r="E1498" t="s">
        <v>6385</v>
      </c>
      <c r="I1498" t="s">
        <v>5437</v>
      </c>
      <c r="K1498" t="s">
        <v>15490</v>
      </c>
      <c r="L1498" t="s">
        <v>17930</v>
      </c>
      <c r="M1498" t="s">
        <v>19219</v>
      </c>
      <c r="N1498" t="s">
        <v>3963</v>
      </c>
      <c r="O1498" t="s">
        <v>3963</v>
      </c>
      <c r="P1498" t="s">
        <v>19220</v>
      </c>
      <c r="R1498" t="s">
        <v>19221</v>
      </c>
    </row>
    <row r="1499" spans="4:18">
      <c r="E1499" t="s">
        <v>6386</v>
      </c>
      <c r="I1499" t="s">
        <v>5439</v>
      </c>
      <c r="K1499" t="s">
        <v>15491</v>
      </c>
      <c r="L1499" t="s">
        <v>20091</v>
      </c>
      <c r="M1499" t="s">
        <v>20092</v>
      </c>
      <c r="N1499" t="s">
        <v>19377</v>
      </c>
      <c r="O1499" t="s">
        <v>3963</v>
      </c>
      <c r="P1499" t="s">
        <v>20093</v>
      </c>
      <c r="R1499" t="s">
        <v>20094</v>
      </c>
    </row>
    <row r="1500" spans="4:18">
      <c r="E1500" t="s">
        <v>6387</v>
      </c>
      <c r="I1500" t="s">
        <v>5441</v>
      </c>
      <c r="K1500" t="s">
        <v>13571</v>
      </c>
      <c r="L1500" t="s">
        <v>3963</v>
      </c>
      <c r="M1500" t="s">
        <v>19222</v>
      </c>
      <c r="N1500" t="s">
        <v>3963</v>
      </c>
      <c r="O1500" t="s">
        <v>3963</v>
      </c>
      <c r="P1500" t="s">
        <v>19222</v>
      </c>
      <c r="R1500" t="s">
        <v>19223</v>
      </c>
    </row>
    <row r="1501" spans="4:18">
      <c r="D1501" t="s">
        <v>2386</v>
      </c>
      <c r="H1501" t="s">
        <v>5849</v>
      </c>
      <c r="K1501" t="s">
        <v>15492</v>
      </c>
      <c r="L1501" t="s">
        <v>19925</v>
      </c>
      <c r="M1501" t="s">
        <v>19926</v>
      </c>
      <c r="N1501" t="s">
        <v>3963</v>
      </c>
      <c r="O1501" t="s">
        <v>3963</v>
      </c>
      <c r="P1501" t="s">
        <v>19927</v>
      </c>
      <c r="R1501" t="s">
        <v>19928</v>
      </c>
    </row>
    <row r="1502" spans="4:18">
      <c r="E1502" t="s">
        <v>6388</v>
      </c>
      <c r="I1502" t="s">
        <v>5437</v>
      </c>
      <c r="K1502" t="s">
        <v>16513</v>
      </c>
      <c r="L1502" t="s">
        <v>18919</v>
      </c>
      <c r="M1502" t="s">
        <v>18920</v>
      </c>
      <c r="N1502" t="s">
        <v>3963</v>
      </c>
      <c r="O1502" t="s">
        <v>3963</v>
      </c>
      <c r="P1502" t="s">
        <v>18921</v>
      </c>
      <c r="R1502" t="s">
        <v>18922</v>
      </c>
    </row>
    <row r="1503" spans="4:18">
      <c r="E1503" t="s">
        <v>6389</v>
      </c>
      <c r="I1503" t="s">
        <v>5439</v>
      </c>
      <c r="K1503" t="s">
        <v>16514</v>
      </c>
      <c r="L1503" t="s">
        <v>17931</v>
      </c>
      <c r="M1503" t="s">
        <v>17570</v>
      </c>
      <c r="N1503" t="s">
        <v>3963</v>
      </c>
      <c r="O1503" t="s">
        <v>3963</v>
      </c>
      <c r="P1503" t="s">
        <v>17932</v>
      </c>
      <c r="R1503" t="s">
        <v>17933</v>
      </c>
    </row>
    <row r="1504" spans="4:18">
      <c r="E1504" t="s">
        <v>6390</v>
      </c>
      <c r="I1504" t="s">
        <v>5441</v>
      </c>
      <c r="K1504" t="s">
        <v>16515</v>
      </c>
      <c r="L1504" t="s">
        <v>19929</v>
      </c>
      <c r="M1504" t="s">
        <v>19930</v>
      </c>
      <c r="N1504" t="s">
        <v>3963</v>
      </c>
      <c r="O1504" t="s">
        <v>3963</v>
      </c>
      <c r="P1504" t="s">
        <v>19931</v>
      </c>
      <c r="R1504" t="s">
        <v>19932</v>
      </c>
    </row>
    <row r="1505" spans="4:18">
      <c r="D1505" t="s">
        <v>2388</v>
      </c>
      <c r="H1505" t="s">
        <v>5849</v>
      </c>
      <c r="K1505" t="s">
        <v>15493</v>
      </c>
      <c r="L1505" t="s">
        <v>19933</v>
      </c>
      <c r="M1505" t="s">
        <v>19934</v>
      </c>
      <c r="N1505" t="s">
        <v>3963</v>
      </c>
      <c r="O1505" t="s">
        <v>3963</v>
      </c>
      <c r="P1505" t="s">
        <v>19935</v>
      </c>
      <c r="R1505" t="s">
        <v>19936</v>
      </c>
    </row>
    <row r="1506" spans="4:18">
      <c r="E1506" t="s">
        <v>6391</v>
      </c>
      <c r="I1506" t="s">
        <v>5439</v>
      </c>
      <c r="K1506" t="s">
        <v>15494</v>
      </c>
      <c r="L1506" t="s">
        <v>17934</v>
      </c>
      <c r="M1506" t="s">
        <v>17571</v>
      </c>
      <c r="N1506" t="s">
        <v>3963</v>
      </c>
      <c r="O1506" t="s">
        <v>3963</v>
      </c>
      <c r="P1506" t="s">
        <v>17935</v>
      </c>
      <c r="R1506" t="s">
        <v>17936</v>
      </c>
    </row>
    <row r="1507" spans="4:18">
      <c r="E1507" t="s">
        <v>6392</v>
      </c>
      <c r="I1507" t="s">
        <v>5437</v>
      </c>
      <c r="K1507" t="s">
        <v>15495</v>
      </c>
      <c r="L1507" t="s">
        <v>18923</v>
      </c>
      <c r="M1507" t="s">
        <v>18924</v>
      </c>
      <c r="N1507" t="s">
        <v>3963</v>
      </c>
      <c r="O1507" t="s">
        <v>3963</v>
      </c>
      <c r="P1507" t="s">
        <v>18925</v>
      </c>
      <c r="R1507" t="s">
        <v>18926</v>
      </c>
    </row>
    <row r="1508" spans="4:18">
      <c r="E1508" t="s">
        <v>6393</v>
      </c>
      <c r="I1508" t="s">
        <v>5441</v>
      </c>
      <c r="K1508" t="s">
        <v>15496</v>
      </c>
      <c r="L1508" t="s">
        <v>19937</v>
      </c>
      <c r="M1508" t="s">
        <v>19938</v>
      </c>
      <c r="N1508" t="s">
        <v>3963</v>
      </c>
      <c r="O1508" t="s">
        <v>3963</v>
      </c>
      <c r="P1508" t="s">
        <v>19939</v>
      </c>
      <c r="R1508" t="s">
        <v>19940</v>
      </c>
    </row>
    <row r="1509" spans="4:18">
      <c r="D1509" t="s">
        <v>2390</v>
      </c>
      <c r="H1509" t="s">
        <v>5849</v>
      </c>
      <c r="K1509" t="s">
        <v>15497</v>
      </c>
      <c r="L1509" t="s">
        <v>20095</v>
      </c>
      <c r="M1509" t="s">
        <v>20096</v>
      </c>
      <c r="N1509" t="s">
        <v>19941</v>
      </c>
      <c r="O1509" t="s">
        <v>3963</v>
      </c>
      <c r="P1509" t="s">
        <v>20097</v>
      </c>
      <c r="R1509" t="s">
        <v>20098</v>
      </c>
    </row>
    <row r="1510" spans="4:18">
      <c r="E1510" t="s">
        <v>6394</v>
      </c>
      <c r="I1510" t="s">
        <v>5437</v>
      </c>
      <c r="K1510" t="s">
        <v>15498</v>
      </c>
      <c r="L1510" t="s">
        <v>18927</v>
      </c>
      <c r="M1510" t="s">
        <v>18928</v>
      </c>
      <c r="N1510" t="s">
        <v>3963</v>
      </c>
      <c r="O1510" t="s">
        <v>3963</v>
      </c>
      <c r="P1510" t="s">
        <v>18929</v>
      </c>
      <c r="R1510" t="s">
        <v>18930</v>
      </c>
    </row>
    <row r="1511" spans="4:18">
      <c r="E1511" t="s">
        <v>6395</v>
      </c>
      <c r="I1511" t="s">
        <v>5439</v>
      </c>
      <c r="K1511" t="s">
        <v>15499</v>
      </c>
      <c r="L1511" t="s">
        <v>20099</v>
      </c>
      <c r="M1511" t="s">
        <v>20100</v>
      </c>
      <c r="N1511" t="s">
        <v>19941</v>
      </c>
      <c r="O1511" t="s">
        <v>3963</v>
      </c>
      <c r="P1511" t="s">
        <v>20101</v>
      </c>
      <c r="R1511" t="s">
        <v>20102</v>
      </c>
    </row>
    <row r="1512" spans="4:18">
      <c r="E1512" t="s">
        <v>6396</v>
      </c>
      <c r="I1512" t="s">
        <v>5441</v>
      </c>
      <c r="K1512" t="s">
        <v>15500</v>
      </c>
      <c r="L1512" t="s">
        <v>19942</v>
      </c>
      <c r="M1512" t="s">
        <v>19943</v>
      </c>
      <c r="N1512" t="s">
        <v>3963</v>
      </c>
      <c r="O1512" t="s">
        <v>3963</v>
      </c>
      <c r="P1512" t="s">
        <v>19944</v>
      </c>
      <c r="R1512" t="s">
        <v>19945</v>
      </c>
    </row>
    <row r="1513" spans="4:18">
      <c r="D1513" t="s">
        <v>2392</v>
      </c>
      <c r="H1513" t="s">
        <v>6397</v>
      </c>
      <c r="K1513" t="s">
        <v>15501</v>
      </c>
      <c r="L1513" t="s">
        <v>15502</v>
      </c>
      <c r="M1513" t="s">
        <v>3963</v>
      </c>
      <c r="N1513" t="s">
        <v>3963</v>
      </c>
      <c r="O1513" t="s">
        <v>3963</v>
      </c>
      <c r="P1513" t="s">
        <v>15502</v>
      </c>
      <c r="R1513" t="s">
        <v>17775</v>
      </c>
    </row>
    <row r="1514" spans="4:18">
      <c r="E1514" t="s">
        <v>6398</v>
      </c>
      <c r="I1514" t="s">
        <v>6399</v>
      </c>
      <c r="K1514" t="s">
        <v>15503</v>
      </c>
      <c r="L1514" t="s">
        <v>3963</v>
      </c>
      <c r="M1514" t="s">
        <v>3963</v>
      </c>
      <c r="N1514" t="s">
        <v>3963</v>
      </c>
      <c r="O1514" t="s">
        <v>3963</v>
      </c>
      <c r="P1514" t="s">
        <v>3963</v>
      </c>
      <c r="R1514" t="s">
        <v>15503</v>
      </c>
    </row>
    <row r="1515" spans="4:18">
      <c r="E1515" t="s">
        <v>6400</v>
      </c>
      <c r="I1515" t="s">
        <v>6401</v>
      </c>
      <c r="K1515" t="s">
        <v>15504</v>
      </c>
      <c r="L1515" t="s">
        <v>3963</v>
      </c>
      <c r="M1515" t="s">
        <v>3963</v>
      </c>
      <c r="N1515" t="s">
        <v>3963</v>
      </c>
      <c r="O1515" t="s">
        <v>3963</v>
      </c>
      <c r="P1515" t="s">
        <v>3963</v>
      </c>
      <c r="R1515" t="s">
        <v>15504</v>
      </c>
    </row>
    <row r="1516" spans="4:18">
      <c r="E1516" t="s">
        <v>6402</v>
      </c>
      <c r="I1516" t="s">
        <v>6403</v>
      </c>
      <c r="K1516" t="s">
        <v>15504</v>
      </c>
      <c r="L1516" t="s">
        <v>3963</v>
      </c>
      <c r="M1516" t="s">
        <v>3963</v>
      </c>
      <c r="N1516" t="s">
        <v>3963</v>
      </c>
      <c r="O1516" t="s">
        <v>3963</v>
      </c>
      <c r="P1516" t="s">
        <v>3963</v>
      </c>
      <c r="R1516" t="s">
        <v>15504</v>
      </c>
    </row>
    <row r="1517" spans="4:18">
      <c r="E1517" t="s">
        <v>6404</v>
      </c>
      <c r="I1517" t="s">
        <v>6405</v>
      </c>
      <c r="K1517" t="s">
        <v>15505</v>
      </c>
      <c r="L1517" t="s">
        <v>3963</v>
      </c>
      <c r="M1517" t="s">
        <v>3963</v>
      </c>
      <c r="N1517" t="s">
        <v>3963</v>
      </c>
      <c r="O1517" t="s">
        <v>3963</v>
      </c>
      <c r="P1517" t="s">
        <v>3963</v>
      </c>
      <c r="R1517" t="s">
        <v>15505</v>
      </c>
    </row>
    <row r="1518" spans="4:18">
      <c r="E1518" t="s">
        <v>6406</v>
      </c>
      <c r="I1518" t="s">
        <v>6407</v>
      </c>
      <c r="K1518" t="s">
        <v>15506</v>
      </c>
      <c r="L1518" t="s">
        <v>3963</v>
      </c>
      <c r="M1518" t="s">
        <v>3963</v>
      </c>
      <c r="N1518" t="s">
        <v>3963</v>
      </c>
      <c r="O1518" t="s">
        <v>3963</v>
      </c>
      <c r="P1518" t="s">
        <v>3963</v>
      </c>
      <c r="R1518" t="s">
        <v>15506</v>
      </c>
    </row>
    <row r="1519" spans="4:18">
      <c r="E1519" t="s">
        <v>6408</v>
      </c>
      <c r="I1519" t="s">
        <v>6409</v>
      </c>
      <c r="K1519" t="s">
        <v>15507</v>
      </c>
      <c r="L1519" t="s">
        <v>15502</v>
      </c>
      <c r="M1519" t="s">
        <v>3963</v>
      </c>
      <c r="N1519" t="s">
        <v>3963</v>
      </c>
      <c r="O1519" t="s">
        <v>3963</v>
      </c>
      <c r="P1519" t="s">
        <v>15502</v>
      </c>
      <c r="R1519" t="s">
        <v>15508</v>
      </c>
    </row>
    <row r="1520" spans="4:18">
      <c r="E1520" t="s">
        <v>6410</v>
      </c>
      <c r="I1520" t="s">
        <v>6411</v>
      </c>
      <c r="K1520" t="s">
        <v>15509</v>
      </c>
      <c r="L1520" t="s">
        <v>3963</v>
      </c>
      <c r="M1520" t="s">
        <v>3963</v>
      </c>
      <c r="N1520" t="s">
        <v>3963</v>
      </c>
      <c r="O1520" t="s">
        <v>3963</v>
      </c>
      <c r="P1520" t="s">
        <v>3963</v>
      </c>
      <c r="R1520" t="s">
        <v>15509</v>
      </c>
    </row>
    <row r="1521" spans="4:18">
      <c r="E1521" t="s">
        <v>6412</v>
      </c>
      <c r="I1521" t="s">
        <v>6413</v>
      </c>
      <c r="K1521" t="s">
        <v>15510</v>
      </c>
      <c r="L1521" t="s">
        <v>3963</v>
      </c>
      <c r="M1521" t="s">
        <v>3963</v>
      </c>
      <c r="N1521" t="s">
        <v>3963</v>
      </c>
      <c r="O1521" t="s">
        <v>3963</v>
      </c>
      <c r="P1521" t="s">
        <v>3963</v>
      </c>
      <c r="R1521" t="s">
        <v>15510</v>
      </c>
    </row>
    <row r="1522" spans="4:18">
      <c r="E1522" t="s">
        <v>6414</v>
      </c>
      <c r="I1522" t="s">
        <v>6415</v>
      </c>
      <c r="K1522" t="s">
        <v>15511</v>
      </c>
      <c r="L1522" t="s">
        <v>3963</v>
      </c>
      <c r="M1522" t="s">
        <v>3963</v>
      </c>
      <c r="N1522" t="s">
        <v>3963</v>
      </c>
      <c r="O1522" t="s">
        <v>3963</v>
      </c>
      <c r="P1522" t="s">
        <v>3963</v>
      </c>
      <c r="R1522" t="s">
        <v>15511</v>
      </c>
    </row>
    <row r="1523" spans="4:18">
      <c r="E1523" t="s">
        <v>6416</v>
      </c>
      <c r="I1523" t="s">
        <v>6417</v>
      </c>
      <c r="K1523" t="s">
        <v>15512</v>
      </c>
      <c r="L1523" t="s">
        <v>3963</v>
      </c>
      <c r="M1523" t="s">
        <v>3963</v>
      </c>
      <c r="N1523" t="s">
        <v>3963</v>
      </c>
      <c r="O1523" t="s">
        <v>3963</v>
      </c>
      <c r="P1523" t="s">
        <v>3963</v>
      </c>
      <c r="R1523" t="s">
        <v>15512</v>
      </c>
    </row>
    <row r="1524" spans="4:18">
      <c r="D1524" t="s">
        <v>2394</v>
      </c>
      <c r="H1524" t="s">
        <v>6418</v>
      </c>
      <c r="K1524" t="s">
        <v>15513</v>
      </c>
      <c r="L1524" t="s">
        <v>3963</v>
      </c>
      <c r="M1524" t="s">
        <v>3963</v>
      </c>
      <c r="N1524" t="s">
        <v>3963</v>
      </c>
      <c r="O1524" t="s">
        <v>3963</v>
      </c>
      <c r="P1524" t="s">
        <v>3963</v>
      </c>
      <c r="R1524" t="s">
        <v>15513</v>
      </c>
    </row>
    <row r="1525" spans="4:18">
      <c r="E1525" t="s">
        <v>6419</v>
      </c>
      <c r="I1525" t="s">
        <v>6399</v>
      </c>
      <c r="K1525" t="s">
        <v>15503</v>
      </c>
      <c r="L1525" t="s">
        <v>3963</v>
      </c>
      <c r="M1525" t="s">
        <v>3963</v>
      </c>
      <c r="N1525" t="s">
        <v>3963</v>
      </c>
      <c r="O1525" t="s">
        <v>3963</v>
      </c>
      <c r="P1525" t="s">
        <v>3963</v>
      </c>
      <c r="R1525" t="s">
        <v>15503</v>
      </c>
    </row>
    <row r="1526" spans="4:18">
      <c r="E1526" t="s">
        <v>6420</v>
      </c>
      <c r="I1526" t="s">
        <v>6401</v>
      </c>
      <c r="K1526" t="s">
        <v>15504</v>
      </c>
      <c r="L1526" t="s">
        <v>3963</v>
      </c>
      <c r="M1526" t="s">
        <v>3963</v>
      </c>
      <c r="N1526" t="s">
        <v>3963</v>
      </c>
      <c r="O1526" t="s">
        <v>3963</v>
      </c>
      <c r="P1526" t="s">
        <v>3963</v>
      </c>
      <c r="R1526" t="s">
        <v>15504</v>
      </c>
    </row>
    <row r="1527" spans="4:18">
      <c r="E1527" t="s">
        <v>6421</v>
      </c>
      <c r="I1527" t="s">
        <v>6403</v>
      </c>
      <c r="K1527" t="s">
        <v>15504</v>
      </c>
      <c r="L1527" t="s">
        <v>3963</v>
      </c>
      <c r="M1527" t="s">
        <v>3963</v>
      </c>
      <c r="N1527" t="s">
        <v>3963</v>
      </c>
      <c r="O1527" t="s">
        <v>3963</v>
      </c>
      <c r="P1527" t="s">
        <v>3963</v>
      </c>
      <c r="R1527" t="s">
        <v>15504</v>
      </c>
    </row>
    <row r="1528" spans="4:18">
      <c r="E1528" t="s">
        <v>6422</v>
      </c>
      <c r="I1528" t="s">
        <v>6405</v>
      </c>
      <c r="K1528" t="s">
        <v>15514</v>
      </c>
      <c r="L1528" t="s">
        <v>3963</v>
      </c>
      <c r="M1528" t="s">
        <v>3963</v>
      </c>
      <c r="N1528" t="s">
        <v>3963</v>
      </c>
      <c r="O1528" t="s">
        <v>3963</v>
      </c>
      <c r="P1528" t="s">
        <v>3963</v>
      </c>
      <c r="R1528" t="s">
        <v>15514</v>
      </c>
    </row>
    <row r="1529" spans="4:18">
      <c r="E1529" t="s">
        <v>6423</v>
      </c>
      <c r="I1529" t="s">
        <v>6407</v>
      </c>
      <c r="K1529" t="s">
        <v>15515</v>
      </c>
      <c r="L1529" t="s">
        <v>3963</v>
      </c>
      <c r="M1529" t="s">
        <v>3963</v>
      </c>
      <c r="N1529" t="s">
        <v>3963</v>
      </c>
      <c r="O1529" t="s">
        <v>3963</v>
      </c>
      <c r="P1529" t="s">
        <v>3963</v>
      </c>
      <c r="R1529" t="s">
        <v>15515</v>
      </c>
    </row>
    <row r="1530" spans="4:18">
      <c r="E1530" t="s">
        <v>6424</v>
      </c>
      <c r="I1530" t="s">
        <v>6409</v>
      </c>
      <c r="K1530" t="s">
        <v>15507</v>
      </c>
      <c r="L1530" t="s">
        <v>3963</v>
      </c>
      <c r="M1530" t="s">
        <v>3963</v>
      </c>
      <c r="N1530" t="s">
        <v>3963</v>
      </c>
      <c r="O1530" t="s">
        <v>3963</v>
      </c>
      <c r="P1530" t="s">
        <v>3963</v>
      </c>
      <c r="R1530" t="s">
        <v>15507</v>
      </c>
    </row>
    <row r="1531" spans="4:18">
      <c r="E1531" t="s">
        <v>6425</v>
      </c>
      <c r="I1531" t="s">
        <v>6411</v>
      </c>
      <c r="K1531" t="s">
        <v>15509</v>
      </c>
      <c r="L1531" t="s">
        <v>3963</v>
      </c>
      <c r="M1531" t="s">
        <v>3963</v>
      </c>
      <c r="N1531" t="s">
        <v>3963</v>
      </c>
      <c r="O1531" t="s">
        <v>3963</v>
      </c>
      <c r="P1531" t="s">
        <v>3963</v>
      </c>
      <c r="R1531" t="s">
        <v>15509</v>
      </c>
    </row>
    <row r="1532" spans="4:18">
      <c r="E1532" t="s">
        <v>6426</v>
      </c>
      <c r="I1532" t="s">
        <v>6413</v>
      </c>
      <c r="K1532" t="s">
        <v>15510</v>
      </c>
      <c r="L1532" t="s">
        <v>3963</v>
      </c>
      <c r="M1532" t="s">
        <v>3963</v>
      </c>
      <c r="N1532" t="s">
        <v>3963</v>
      </c>
      <c r="O1532" t="s">
        <v>3963</v>
      </c>
      <c r="P1532" t="s">
        <v>3963</v>
      </c>
      <c r="R1532" t="s">
        <v>15510</v>
      </c>
    </row>
    <row r="1533" spans="4:18">
      <c r="E1533" t="s">
        <v>6427</v>
      </c>
      <c r="I1533" t="s">
        <v>6415</v>
      </c>
      <c r="K1533" t="s">
        <v>15511</v>
      </c>
      <c r="L1533" t="s">
        <v>3963</v>
      </c>
      <c r="M1533" t="s">
        <v>3963</v>
      </c>
      <c r="N1533" t="s">
        <v>3963</v>
      </c>
      <c r="O1533" t="s">
        <v>3963</v>
      </c>
      <c r="P1533" t="s">
        <v>3963</v>
      </c>
      <c r="R1533" t="s">
        <v>15511</v>
      </c>
    </row>
    <row r="1534" spans="4:18">
      <c r="E1534" t="s">
        <v>6428</v>
      </c>
      <c r="I1534" t="s">
        <v>6417</v>
      </c>
      <c r="K1534" t="s">
        <v>15512</v>
      </c>
      <c r="L1534" t="s">
        <v>3963</v>
      </c>
      <c r="M1534" t="s">
        <v>3963</v>
      </c>
      <c r="N1534" t="s">
        <v>3963</v>
      </c>
      <c r="O1534" t="s">
        <v>3963</v>
      </c>
      <c r="P1534" t="s">
        <v>3963</v>
      </c>
      <c r="R1534" t="s">
        <v>15512</v>
      </c>
    </row>
    <row r="1535" spans="4:18">
      <c r="D1535" t="s">
        <v>2396</v>
      </c>
      <c r="H1535" t="s">
        <v>6429</v>
      </c>
      <c r="K1535" t="s">
        <v>15516</v>
      </c>
      <c r="L1535" t="s">
        <v>15517</v>
      </c>
      <c r="M1535" t="s">
        <v>3963</v>
      </c>
      <c r="N1535" t="s">
        <v>3963</v>
      </c>
      <c r="O1535" t="s">
        <v>3963</v>
      </c>
      <c r="P1535" t="s">
        <v>15517</v>
      </c>
      <c r="R1535" t="s">
        <v>15518</v>
      </c>
    </row>
    <row r="1536" spans="4:18">
      <c r="E1536" t="s">
        <v>6430</v>
      </c>
      <c r="I1536" t="s">
        <v>6431</v>
      </c>
      <c r="K1536" t="s">
        <v>15519</v>
      </c>
      <c r="L1536" t="s">
        <v>15520</v>
      </c>
      <c r="M1536" t="s">
        <v>3963</v>
      </c>
      <c r="N1536" t="s">
        <v>3963</v>
      </c>
      <c r="O1536" t="s">
        <v>3963</v>
      </c>
      <c r="P1536" t="s">
        <v>15520</v>
      </c>
      <c r="R1536" t="s">
        <v>15521</v>
      </c>
    </row>
    <row r="1537" spans="4:18">
      <c r="E1537" t="s">
        <v>6432</v>
      </c>
      <c r="I1537" t="s">
        <v>6433</v>
      </c>
      <c r="K1537" t="s">
        <v>15522</v>
      </c>
      <c r="L1537" t="s">
        <v>15523</v>
      </c>
      <c r="M1537" t="s">
        <v>3963</v>
      </c>
      <c r="N1537" t="s">
        <v>3963</v>
      </c>
      <c r="O1537" t="s">
        <v>3963</v>
      </c>
      <c r="P1537" t="s">
        <v>15523</v>
      </c>
      <c r="R1537" t="s">
        <v>15524</v>
      </c>
    </row>
    <row r="1538" spans="4:18">
      <c r="D1538" t="s">
        <v>2398</v>
      </c>
      <c r="H1538" t="s">
        <v>6434</v>
      </c>
      <c r="K1538" t="s">
        <v>15525</v>
      </c>
      <c r="L1538" t="s">
        <v>15526</v>
      </c>
      <c r="M1538" t="s">
        <v>3963</v>
      </c>
      <c r="N1538" t="s">
        <v>3963</v>
      </c>
      <c r="O1538" t="s">
        <v>3963</v>
      </c>
      <c r="P1538" t="s">
        <v>15526</v>
      </c>
      <c r="R1538" t="s">
        <v>15527</v>
      </c>
    </row>
    <row r="1539" spans="4:18">
      <c r="E1539" t="s">
        <v>6435</v>
      </c>
      <c r="I1539" t="s">
        <v>6436</v>
      </c>
      <c r="K1539" t="s">
        <v>15528</v>
      </c>
      <c r="L1539" t="s">
        <v>15529</v>
      </c>
      <c r="M1539" t="s">
        <v>3963</v>
      </c>
      <c r="N1539" t="s">
        <v>3963</v>
      </c>
      <c r="O1539" t="s">
        <v>3963</v>
      </c>
      <c r="P1539" t="s">
        <v>15529</v>
      </c>
      <c r="R1539" t="s">
        <v>15530</v>
      </c>
    </row>
    <row r="1540" spans="4:18">
      <c r="E1540" t="s">
        <v>6437</v>
      </c>
      <c r="I1540" t="s">
        <v>6436</v>
      </c>
      <c r="K1540" t="s">
        <v>3963</v>
      </c>
      <c r="L1540" t="s">
        <v>3963</v>
      </c>
      <c r="M1540" t="s">
        <v>3963</v>
      </c>
      <c r="N1540" t="s">
        <v>3963</v>
      </c>
      <c r="O1540" t="s">
        <v>3963</v>
      </c>
      <c r="P1540" t="s">
        <v>3963</v>
      </c>
      <c r="R1540" t="s">
        <v>3963</v>
      </c>
    </row>
    <row r="1541" spans="4:18">
      <c r="E1541" t="s">
        <v>6438</v>
      </c>
      <c r="I1541" t="s">
        <v>5480</v>
      </c>
      <c r="K1541" t="s">
        <v>15531</v>
      </c>
      <c r="L1541" t="s">
        <v>15532</v>
      </c>
      <c r="M1541" t="s">
        <v>3963</v>
      </c>
      <c r="N1541" t="s">
        <v>3963</v>
      </c>
      <c r="O1541" t="s">
        <v>3963</v>
      </c>
      <c r="P1541" t="s">
        <v>15532</v>
      </c>
      <c r="R1541" t="s">
        <v>15533</v>
      </c>
    </row>
    <row r="1542" spans="4:18">
      <c r="D1542" t="s">
        <v>2400</v>
      </c>
      <c r="H1542" t="s">
        <v>6439</v>
      </c>
      <c r="K1542" t="s">
        <v>15534</v>
      </c>
      <c r="L1542" t="s">
        <v>15535</v>
      </c>
      <c r="M1542" t="s">
        <v>3963</v>
      </c>
      <c r="N1542" t="s">
        <v>3963</v>
      </c>
      <c r="O1542" t="s">
        <v>3963</v>
      </c>
      <c r="P1542" t="s">
        <v>15535</v>
      </c>
      <c r="R1542" t="s">
        <v>15536</v>
      </c>
    </row>
    <row r="1543" spans="4:18">
      <c r="E1543" t="s">
        <v>6440</v>
      </c>
      <c r="I1543" t="s">
        <v>6441</v>
      </c>
      <c r="K1543" t="s">
        <v>15537</v>
      </c>
      <c r="L1543" t="s">
        <v>15535</v>
      </c>
      <c r="M1543" t="s">
        <v>3963</v>
      </c>
      <c r="N1543" t="s">
        <v>3963</v>
      </c>
      <c r="O1543" t="s">
        <v>3963</v>
      </c>
      <c r="P1543" t="s">
        <v>15535</v>
      </c>
      <c r="R1543" t="s">
        <v>15538</v>
      </c>
    </row>
    <row r="1544" spans="4:18">
      <c r="E1544" t="s">
        <v>6442</v>
      </c>
      <c r="I1544" t="s">
        <v>6443</v>
      </c>
      <c r="K1544" t="s">
        <v>6956</v>
      </c>
      <c r="L1544" t="s">
        <v>3963</v>
      </c>
      <c r="M1544" t="s">
        <v>3963</v>
      </c>
      <c r="N1544" t="s">
        <v>3963</v>
      </c>
      <c r="O1544" t="s">
        <v>3963</v>
      </c>
      <c r="P1544" t="s">
        <v>3963</v>
      </c>
      <c r="R1544" t="s">
        <v>6956</v>
      </c>
    </row>
    <row r="1545" spans="4:18">
      <c r="E1545" t="s">
        <v>6444</v>
      </c>
      <c r="I1545" t="s">
        <v>6445</v>
      </c>
      <c r="K1545" t="s">
        <v>15539</v>
      </c>
      <c r="L1545" t="s">
        <v>3963</v>
      </c>
      <c r="M1545" t="s">
        <v>3963</v>
      </c>
      <c r="N1545" t="s">
        <v>3963</v>
      </c>
      <c r="O1545" t="s">
        <v>3963</v>
      </c>
      <c r="P1545" t="s">
        <v>3963</v>
      </c>
      <c r="R1545" t="s">
        <v>15539</v>
      </c>
    </row>
    <row r="1546" spans="4:18">
      <c r="D1546" t="s">
        <v>2402</v>
      </c>
      <c r="H1546" t="s">
        <v>6446</v>
      </c>
      <c r="K1546" t="s">
        <v>15540</v>
      </c>
      <c r="L1546" t="s">
        <v>15541</v>
      </c>
      <c r="M1546" t="s">
        <v>3963</v>
      </c>
      <c r="N1546" t="s">
        <v>3963</v>
      </c>
      <c r="O1546" t="s">
        <v>3963</v>
      </c>
      <c r="P1546" t="s">
        <v>15541</v>
      </c>
      <c r="R1546" t="s">
        <v>15542</v>
      </c>
    </row>
    <row r="1547" spans="4:18">
      <c r="E1547" t="s">
        <v>6447</v>
      </c>
      <c r="I1547" t="s">
        <v>6448</v>
      </c>
      <c r="K1547" t="s">
        <v>15543</v>
      </c>
      <c r="L1547" t="s">
        <v>15541</v>
      </c>
      <c r="M1547" t="s">
        <v>3963</v>
      </c>
      <c r="N1547" t="s">
        <v>3963</v>
      </c>
      <c r="O1547" t="s">
        <v>3963</v>
      </c>
      <c r="P1547" t="s">
        <v>15541</v>
      </c>
      <c r="R1547" t="s">
        <v>15544</v>
      </c>
    </row>
    <row r="1548" spans="4:18">
      <c r="E1548" t="s">
        <v>6449</v>
      </c>
      <c r="I1548" t="s">
        <v>6450</v>
      </c>
      <c r="K1548" t="s">
        <v>14490</v>
      </c>
      <c r="L1548" t="s">
        <v>3963</v>
      </c>
      <c r="M1548" t="s">
        <v>3963</v>
      </c>
      <c r="N1548" t="s">
        <v>3963</v>
      </c>
      <c r="O1548" t="s">
        <v>3963</v>
      </c>
      <c r="P1548" t="s">
        <v>3963</v>
      </c>
      <c r="R1548" t="s">
        <v>14490</v>
      </c>
    </row>
    <row r="1549" spans="4:18">
      <c r="E1549" t="s">
        <v>6451</v>
      </c>
      <c r="I1549" t="s">
        <v>6452</v>
      </c>
      <c r="K1549" t="s">
        <v>3963</v>
      </c>
      <c r="L1549" t="s">
        <v>3963</v>
      </c>
      <c r="M1549" t="s">
        <v>3963</v>
      </c>
      <c r="N1549" t="s">
        <v>3963</v>
      </c>
      <c r="O1549" t="s">
        <v>3963</v>
      </c>
      <c r="P1549" t="s">
        <v>3963</v>
      </c>
      <c r="R1549" t="s">
        <v>3963</v>
      </c>
    </row>
    <row r="1550" spans="4:18">
      <c r="D1550" t="s">
        <v>2403</v>
      </c>
      <c r="H1550" t="s">
        <v>6453</v>
      </c>
      <c r="K1550" t="s">
        <v>16289</v>
      </c>
      <c r="L1550" t="s">
        <v>15545</v>
      </c>
      <c r="M1550" t="s">
        <v>3963</v>
      </c>
      <c r="N1550" t="s">
        <v>3963</v>
      </c>
      <c r="O1550" t="s">
        <v>3963</v>
      </c>
      <c r="P1550" t="s">
        <v>15545</v>
      </c>
      <c r="R1550" t="s">
        <v>16290</v>
      </c>
    </row>
    <row r="1551" spans="4:18">
      <c r="E1551" t="s">
        <v>6454</v>
      </c>
      <c r="I1551" t="s">
        <v>16291</v>
      </c>
      <c r="K1551" t="s">
        <v>15547</v>
      </c>
      <c r="L1551" t="s">
        <v>3963</v>
      </c>
      <c r="M1551" t="s">
        <v>3963</v>
      </c>
      <c r="N1551" t="s">
        <v>3963</v>
      </c>
      <c r="O1551" t="s">
        <v>3963</v>
      </c>
      <c r="P1551" t="s">
        <v>3963</v>
      </c>
      <c r="R1551" t="s">
        <v>15547</v>
      </c>
    </row>
    <row r="1552" spans="4:18">
      <c r="E1552" t="s">
        <v>6455</v>
      </c>
      <c r="I1552" t="s">
        <v>5437</v>
      </c>
      <c r="K1552" t="s">
        <v>10293</v>
      </c>
      <c r="L1552" t="s">
        <v>3963</v>
      </c>
      <c r="M1552" t="s">
        <v>3963</v>
      </c>
      <c r="N1552" t="s">
        <v>3963</v>
      </c>
      <c r="O1552" t="s">
        <v>3963</v>
      </c>
      <c r="P1552" t="s">
        <v>3963</v>
      </c>
      <c r="R1552" t="s">
        <v>10293</v>
      </c>
    </row>
    <row r="1553" spans="4:18">
      <c r="E1553" t="s">
        <v>6456</v>
      </c>
      <c r="I1553" t="s">
        <v>16292</v>
      </c>
      <c r="K1553" t="s">
        <v>6956</v>
      </c>
      <c r="L1553" t="s">
        <v>3963</v>
      </c>
      <c r="M1553" t="s">
        <v>3963</v>
      </c>
      <c r="N1553" t="s">
        <v>3963</v>
      </c>
      <c r="O1553" t="s">
        <v>3963</v>
      </c>
      <c r="P1553" t="s">
        <v>3963</v>
      </c>
      <c r="R1553" t="s">
        <v>6956</v>
      </c>
    </row>
    <row r="1554" spans="4:18">
      <c r="E1554" t="s">
        <v>6457</v>
      </c>
      <c r="I1554" t="s">
        <v>16293</v>
      </c>
      <c r="K1554" t="s">
        <v>12504</v>
      </c>
      <c r="L1554" t="s">
        <v>3963</v>
      </c>
      <c r="M1554" t="s">
        <v>3963</v>
      </c>
      <c r="N1554" t="s">
        <v>3963</v>
      </c>
      <c r="O1554" t="s">
        <v>3963</v>
      </c>
      <c r="P1554" t="s">
        <v>3963</v>
      </c>
      <c r="R1554" t="s">
        <v>12504</v>
      </c>
    </row>
    <row r="1555" spans="4:18">
      <c r="E1555" t="s">
        <v>6458</v>
      </c>
      <c r="I1555" t="s">
        <v>16294</v>
      </c>
      <c r="K1555" t="s">
        <v>15546</v>
      </c>
      <c r="L1555" t="s">
        <v>3963</v>
      </c>
      <c r="M1555" t="s">
        <v>3963</v>
      </c>
      <c r="N1555" t="s">
        <v>3963</v>
      </c>
      <c r="O1555" t="s">
        <v>3963</v>
      </c>
      <c r="P1555" t="s">
        <v>3963</v>
      </c>
      <c r="R1555" t="s">
        <v>15546</v>
      </c>
    </row>
    <row r="1556" spans="4:18">
      <c r="E1556" t="s">
        <v>6459</v>
      </c>
      <c r="I1556" t="s">
        <v>16295</v>
      </c>
      <c r="K1556" t="s">
        <v>13890</v>
      </c>
      <c r="L1556" t="s">
        <v>15545</v>
      </c>
      <c r="M1556" t="s">
        <v>3963</v>
      </c>
      <c r="N1556" t="s">
        <v>3963</v>
      </c>
      <c r="O1556" t="s">
        <v>3963</v>
      </c>
      <c r="P1556" t="s">
        <v>15545</v>
      </c>
      <c r="R1556" t="s">
        <v>16296</v>
      </c>
    </row>
    <row r="1557" spans="4:18">
      <c r="E1557" t="s">
        <v>16297</v>
      </c>
      <c r="I1557" t="s">
        <v>16298</v>
      </c>
      <c r="K1557" t="s">
        <v>4162</v>
      </c>
      <c r="L1557" t="s">
        <v>3963</v>
      </c>
      <c r="M1557" t="s">
        <v>3963</v>
      </c>
      <c r="N1557" t="s">
        <v>3963</v>
      </c>
      <c r="O1557" t="s">
        <v>3963</v>
      </c>
      <c r="P1557" t="s">
        <v>3963</v>
      </c>
      <c r="R1557" t="s">
        <v>4162</v>
      </c>
    </row>
    <row r="1558" spans="4:18">
      <c r="E1558" t="s">
        <v>16299</v>
      </c>
      <c r="I1558" t="s">
        <v>16300</v>
      </c>
      <c r="K1558" t="s">
        <v>16301</v>
      </c>
      <c r="L1558" t="s">
        <v>3963</v>
      </c>
      <c r="M1558" t="s">
        <v>3963</v>
      </c>
      <c r="N1558" t="s">
        <v>3963</v>
      </c>
      <c r="O1558" t="s">
        <v>3963</v>
      </c>
      <c r="P1558" t="s">
        <v>3963</v>
      </c>
      <c r="R1558" t="s">
        <v>16301</v>
      </c>
    </row>
    <row r="1559" spans="4:18">
      <c r="D1559" t="s">
        <v>2404</v>
      </c>
      <c r="H1559" t="s">
        <v>5849</v>
      </c>
      <c r="K1559" t="s">
        <v>15548</v>
      </c>
      <c r="L1559" t="s">
        <v>20103</v>
      </c>
      <c r="M1559" t="s">
        <v>20104</v>
      </c>
      <c r="N1559" t="s">
        <v>19204</v>
      </c>
      <c r="O1559" t="s">
        <v>3963</v>
      </c>
      <c r="P1559" t="s">
        <v>20105</v>
      </c>
      <c r="R1559" t="s">
        <v>20106</v>
      </c>
    </row>
    <row r="1560" spans="4:18">
      <c r="E1560" t="s">
        <v>6460</v>
      </c>
      <c r="I1560" t="s">
        <v>5437</v>
      </c>
      <c r="K1560" t="s">
        <v>15549</v>
      </c>
      <c r="L1560" t="s">
        <v>17930</v>
      </c>
      <c r="M1560" t="s">
        <v>19205</v>
      </c>
      <c r="N1560" t="s">
        <v>3963</v>
      </c>
      <c r="O1560" t="s">
        <v>3963</v>
      </c>
      <c r="P1560" t="s">
        <v>19206</v>
      </c>
      <c r="R1560" t="s">
        <v>19207</v>
      </c>
    </row>
    <row r="1561" spans="4:18">
      <c r="E1561" t="s">
        <v>6461</v>
      </c>
      <c r="I1561" t="s">
        <v>5439</v>
      </c>
      <c r="K1561" t="s">
        <v>15550</v>
      </c>
      <c r="L1561" t="s">
        <v>20107</v>
      </c>
      <c r="M1561" t="s">
        <v>20108</v>
      </c>
      <c r="N1561" t="s">
        <v>19204</v>
      </c>
      <c r="O1561" t="s">
        <v>3963</v>
      </c>
      <c r="P1561" t="s">
        <v>20109</v>
      </c>
      <c r="R1561" t="s">
        <v>20110</v>
      </c>
    </row>
    <row r="1562" spans="4:18">
      <c r="E1562" t="s">
        <v>6462</v>
      </c>
      <c r="I1562" t="s">
        <v>5441</v>
      </c>
      <c r="K1562" t="s">
        <v>15551</v>
      </c>
      <c r="L1562" t="s">
        <v>3963</v>
      </c>
      <c r="M1562" t="s">
        <v>19208</v>
      </c>
      <c r="N1562" t="s">
        <v>3963</v>
      </c>
      <c r="O1562" t="s">
        <v>3963</v>
      </c>
      <c r="P1562" t="s">
        <v>19208</v>
      </c>
      <c r="R1562" t="s">
        <v>19209</v>
      </c>
    </row>
    <row r="1563" spans="4:18">
      <c r="D1563" t="s">
        <v>2406</v>
      </c>
      <c r="H1563" t="s">
        <v>6024</v>
      </c>
      <c r="K1563" t="s">
        <v>15552</v>
      </c>
      <c r="L1563" t="s">
        <v>19378</v>
      </c>
      <c r="M1563" t="s">
        <v>18744</v>
      </c>
      <c r="N1563" t="s">
        <v>3963</v>
      </c>
      <c r="O1563" t="s">
        <v>3963</v>
      </c>
      <c r="P1563" t="s">
        <v>19379</v>
      </c>
      <c r="R1563" t="s">
        <v>19380</v>
      </c>
    </row>
    <row r="1564" spans="4:18">
      <c r="E1564" t="s">
        <v>6463</v>
      </c>
      <c r="I1564" t="s">
        <v>6464</v>
      </c>
      <c r="K1564" t="s">
        <v>15554</v>
      </c>
      <c r="L1564" t="s">
        <v>15553</v>
      </c>
      <c r="M1564" t="s">
        <v>3963</v>
      </c>
      <c r="N1564" t="s">
        <v>3963</v>
      </c>
      <c r="O1564" t="s">
        <v>3963</v>
      </c>
      <c r="P1564" t="s">
        <v>15553</v>
      </c>
      <c r="R1564" t="s">
        <v>15555</v>
      </c>
    </row>
    <row r="1565" spans="4:18">
      <c r="E1565" t="s">
        <v>6465</v>
      </c>
      <c r="I1565" t="s">
        <v>6466</v>
      </c>
      <c r="K1565" t="s">
        <v>15556</v>
      </c>
      <c r="L1565" t="s">
        <v>19381</v>
      </c>
      <c r="M1565" t="s">
        <v>15557</v>
      </c>
      <c r="N1565" t="s">
        <v>3963</v>
      </c>
      <c r="O1565" t="s">
        <v>3963</v>
      </c>
      <c r="P1565" t="s">
        <v>19382</v>
      </c>
      <c r="R1565" t="s">
        <v>19383</v>
      </c>
    </row>
    <row r="1566" spans="4:18">
      <c r="E1566" t="s">
        <v>6467</v>
      </c>
      <c r="I1566" t="s">
        <v>6468</v>
      </c>
      <c r="K1566" t="s">
        <v>15558</v>
      </c>
      <c r="L1566" t="s">
        <v>19384</v>
      </c>
      <c r="M1566" t="s">
        <v>18745</v>
      </c>
      <c r="N1566" t="s">
        <v>3963</v>
      </c>
      <c r="O1566" t="s">
        <v>3963</v>
      </c>
      <c r="P1566" t="s">
        <v>19385</v>
      </c>
      <c r="R1566" t="s">
        <v>19386</v>
      </c>
    </row>
    <row r="1567" spans="4:18">
      <c r="D1567" t="s">
        <v>2408</v>
      </c>
      <c r="H1567" t="s">
        <v>6469</v>
      </c>
      <c r="K1567" t="s">
        <v>15559</v>
      </c>
      <c r="L1567" t="s">
        <v>15560</v>
      </c>
      <c r="M1567" t="s">
        <v>3963</v>
      </c>
      <c r="N1567" t="s">
        <v>19856</v>
      </c>
      <c r="O1567" t="s">
        <v>3963</v>
      </c>
      <c r="P1567" t="s">
        <v>19857</v>
      </c>
      <c r="R1567" t="s">
        <v>19858</v>
      </c>
    </row>
    <row r="1568" spans="4:18">
      <c r="E1568" t="s">
        <v>6470</v>
      </c>
      <c r="I1568" t="s">
        <v>6471</v>
      </c>
      <c r="K1568" t="s">
        <v>15561</v>
      </c>
      <c r="L1568" t="s">
        <v>15562</v>
      </c>
      <c r="M1568" t="s">
        <v>3963</v>
      </c>
      <c r="N1568" t="s">
        <v>19859</v>
      </c>
      <c r="O1568" t="s">
        <v>3963</v>
      </c>
      <c r="P1568" t="s">
        <v>19860</v>
      </c>
      <c r="R1568" t="s">
        <v>19861</v>
      </c>
    </row>
    <row r="1569" spans="4:18">
      <c r="E1569" t="s">
        <v>6472</v>
      </c>
      <c r="I1569" t="s">
        <v>6473</v>
      </c>
      <c r="K1569" t="s">
        <v>15563</v>
      </c>
      <c r="L1569" t="s">
        <v>15564</v>
      </c>
      <c r="M1569" t="s">
        <v>3963</v>
      </c>
      <c r="N1569" t="s">
        <v>19859</v>
      </c>
      <c r="O1569" t="s">
        <v>3963</v>
      </c>
      <c r="P1569" t="s">
        <v>19862</v>
      </c>
      <c r="R1569" t="s">
        <v>19863</v>
      </c>
    </row>
    <row r="1570" spans="4:18">
      <c r="D1570" t="s">
        <v>2410</v>
      </c>
      <c r="H1570" t="s">
        <v>5849</v>
      </c>
      <c r="K1570" t="s">
        <v>15565</v>
      </c>
      <c r="L1570" t="s">
        <v>3963</v>
      </c>
      <c r="M1570" t="s">
        <v>3963</v>
      </c>
      <c r="N1570" t="s">
        <v>3963</v>
      </c>
      <c r="O1570" t="s">
        <v>3963</v>
      </c>
      <c r="P1570" t="s">
        <v>3963</v>
      </c>
      <c r="R1570" t="s">
        <v>15565</v>
      </c>
    </row>
    <row r="1571" spans="4:18">
      <c r="E1571" t="s">
        <v>6474</v>
      </c>
      <c r="I1571" t="s">
        <v>6475</v>
      </c>
      <c r="K1571" t="s">
        <v>4172</v>
      </c>
      <c r="L1571" t="s">
        <v>3963</v>
      </c>
      <c r="M1571" t="s">
        <v>3963</v>
      </c>
      <c r="N1571" t="s">
        <v>3963</v>
      </c>
      <c r="O1571" t="s">
        <v>3963</v>
      </c>
      <c r="P1571" t="s">
        <v>3963</v>
      </c>
      <c r="R1571" t="s">
        <v>4172</v>
      </c>
    </row>
    <row r="1572" spans="4:18">
      <c r="E1572" t="s">
        <v>6476</v>
      </c>
      <c r="I1572" t="s">
        <v>6475</v>
      </c>
      <c r="K1572" t="s">
        <v>4172</v>
      </c>
      <c r="L1572" t="s">
        <v>3963</v>
      </c>
      <c r="M1572" t="s">
        <v>3963</v>
      </c>
      <c r="N1572" t="s">
        <v>3963</v>
      </c>
      <c r="O1572" t="s">
        <v>3963</v>
      </c>
      <c r="P1572" t="s">
        <v>3963</v>
      </c>
      <c r="R1572" t="s">
        <v>4172</v>
      </c>
    </row>
    <row r="1573" spans="4:18">
      <c r="E1573" t="s">
        <v>6477</v>
      </c>
      <c r="I1573" t="s">
        <v>6478</v>
      </c>
      <c r="K1573" t="s">
        <v>15566</v>
      </c>
      <c r="L1573" t="s">
        <v>3963</v>
      </c>
      <c r="M1573" t="s">
        <v>3963</v>
      </c>
      <c r="N1573" t="s">
        <v>3963</v>
      </c>
      <c r="O1573" t="s">
        <v>3963</v>
      </c>
      <c r="P1573" t="s">
        <v>3963</v>
      </c>
      <c r="R1573" t="s">
        <v>15566</v>
      </c>
    </row>
    <row r="1574" spans="4:18">
      <c r="E1574" t="s">
        <v>6479</v>
      </c>
      <c r="I1574" t="s">
        <v>6480</v>
      </c>
      <c r="K1574" t="s">
        <v>15566</v>
      </c>
      <c r="L1574" t="s">
        <v>3963</v>
      </c>
      <c r="M1574" t="s">
        <v>3963</v>
      </c>
      <c r="N1574" t="s">
        <v>3963</v>
      </c>
      <c r="O1574" t="s">
        <v>3963</v>
      </c>
      <c r="P1574" t="s">
        <v>3963</v>
      </c>
      <c r="R1574" t="s">
        <v>15566</v>
      </c>
    </row>
    <row r="1575" spans="4:18">
      <c r="E1575" t="s">
        <v>6481</v>
      </c>
      <c r="I1575" t="s">
        <v>6482</v>
      </c>
      <c r="K1575" t="s">
        <v>15566</v>
      </c>
      <c r="L1575" t="s">
        <v>3963</v>
      </c>
      <c r="M1575" t="s">
        <v>3963</v>
      </c>
      <c r="N1575" t="s">
        <v>3963</v>
      </c>
      <c r="O1575" t="s">
        <v>3963</v>
      </c>
      <c r="P1575" t="s">
        <v>3963</v>
      </c>
      <c r="R1575" t="s">
        <v>15566</v>
      </c>
    </row>
    <row r="1576" spans="4:18">
      <c r="E1576" t="s">
        <v>6483</v>
      </c>
      <c r="I1576" t="s">
        <v>6484</v>
      </c>
      <c r="K1576" t="s">
        <v>15566</v>
      </c>
      <c r="L1576" t="s">
        <v>3963</v>
      </c>
      <c r="M1576" t="s">
        <v>3963</v>
      </c>
      <c r="N1576" t="s">
        <v>3963</v>
      </c>
      <c r="O1576" t="s">
        <v>3963</v>
      </c>
      <c r="P1576" t="s">
        <v>3963</v>
      </c>
      <c r="R1576" t="s">
        <v>15566</v>
      </c>
    </row>
    <row r="1577" spans="4:18">
      <c r="E1577" t="s">
        <v>6485</v>
      </c>
      <c r="I1577" t="s">
        <v>6486</v>
      </c>
      <c r="K1577" t="s">
        <v>15566</v>
      </c>
      <c r="L1577" t="s">
        <v>3963</v>
      </c>
      <c r="M1577" t="s">
        <v>3963</v>
      </c>
      <c r="N1577" t="s">
        <v>3963</v>
      </c>
      <c r="O1577" t="s">
        <v>3963</v>
      </c>
      <c r="P1577" t="s">
        <v>3963</v>
      </c>
      <c r="R1577" t="s">
        <v>15566</v>
      </c>
    </row>
    <row r="1578" spans="4:18">
      <c r="E1578" t="s">
        <v>6487</v>
      </c>
      <c r="I1578" t="s">
        <v>6488</v>
      </c>
      <c r="K1578" t="s">
        <v>15567</v>
      </c>
      <c r="L1578" t="s">
        <v>3963</v>
      </c>
      <c r="M1578" t="s">
        <v>3963</v>
      </c>
      <c r="N1578" t="s">
        <v>3963</v>
      </c>
      <c r="O1578" t="s">
        <v>3963</v>
      </c>
      <c r="P1578" t="s">
        <v>3963</v>
      </c>
      <c r="R1578" t="s">
        <v>15567</v>
      </c>
    </row>
    <row r="1579" spans="4:18">
      <c r="D1579" t="s">
        <v>2412</v>
      </c>
      <c r="H1579" t="s">
        <v>6489</v>
      </c>
      <c r="K1579" t="s">
        <v>15568</v>
      </c>
      <c r="L1579" t="s">
        <v>19387</v>
      </c>
      <c r="M1579" t="s">
        <v>19864</v>
      </c>
      <c r="N1579" t="s">
        <v>3963</v>
      </c>
      <c r="O1579" t="s">
        <v>3963</v>
      </c>
      <c r="P1579" t="s">
        <v>19865</v>
      </c>
      <c r="R1579" t="s">
        <v>19866</v>
      </c>
    </row>
    <row r="1580" spans="4:18">
      <c r="E1580" t="s">
        <v>6490</v>
      </c>
      <c r="I1580" t="s">
        <v>5995</v>
      </c>
      <c r="K1580" t="s">
        <v>15568</v>
      </c>
      <c r="L1580" t="s">
        <v>19387</v>
      </c>
      <c r="M1580" t="s">
        <v>19864</v>
      </c>
      <c r="N1580" t="s">
        <v>3963</v>
      </c>
      <c r="O1580" t="s">
        <v>3963</v>
      </c>
      <c r="P1580" t="s">
        <v>19865</v>
      </c>
      <c r="R1580" t="s">
        <v>19866</v>
      </c>
    </row>
    <row r="1581" spans="4:18">
      <c r="D1581" t="s">
        <v>2413</v>
      </c>
      <c r="H1581" t="s">
        <v>6381</v>
      </c>
      <c r="K1581" t="s">
        <v>18746</v>
      </c>
      <c r="L1581" t="s">
        <v>16516</v>
      </c>
      <c r="M1581" t="s">
        <v>15941</v>
      </c>
      <c r="N1581" t="s">
        <v>18747</v>
      </c>
      <c r="O1581" t="s">
        <v>3963</v>
      </c>
      <c r="P1581" t="s">
        <v>18748</v>
      </c>
      <c r="R1581" t="s">
        <v>18749</v>
      </c>
    </row>
    <row r="1582" spans="4:18">
      <c r="E1582" t="s">
        <v>6491</v>
      </c>
      <c r="I1582" t="s">
        <v>6492</v>
      </c>
      <c r="K1582" t="s">
        <v>17776</v>
      </c>
      <c r="L1582" t="s">
        <v>15569</v>
      </c>
      <c r="M1582" t="s">
        <v>15570</v>
      </c>
      <c r="N1582" t="s">
        <v>3963</v>
      </c>
      <c r="O1582" t="s">
        <v>3963</v>
      </c>
      <c r="P1582" t="s">
        <v>15571</v>
      </c>
      <c r="R1582" t="s">
        <v>17777</v>
      </c>
    </row>
    <row r="1583" spans="4:18">
      <c r="E1583" t="s">
        <v>6493</v>
      </c>
      <c r="I1583" t="s">
        <v>6494</v>
      </c>
      <c r="K1583" t="s">
        <v>17778</v>
      </c>
      <c r="L1583" t="s">
        <v>16517</v>
      </c>
      <c r="M1583" t="s">
        <v>3963</v>
      </c>
      <c r="N1583" t="s">
        <v>3963</v>
      </c>
      <c r="O1583" t="s">
        <v>3963</v>
      </c>
      <c r="P1583" t="s">
        <v>16517</v>
      </c>
      <c r="R1583" t="s">
        <v>17779</v>
      </c>
    </row>
    <row r="1584" spans="4:18">
      <c r="E1584" t="s">
        <v>6495</v>
      </c>
      <c r="I1584" t="s">
        <v>6496</v>
      </c>
      <c r="K1584" t="s">
        <v>17780</v>
      </c>
      <c r="L1584" t="s">
        <v>15572</v>
      </c>
      <c r="M1584" t="s">
        <v>3963</v>
      </c>
      <c r="N1584" t="s">
        <v>3963</v>
      </c>
      <c r="O1584" t="s">
        <v>3963</v>
      </c>
      <c r="P1584" t="s">
        <v>15572</v>
      </c>
      <c r="R1584" t="s">
        <v>17781</v>
      </c>
    </row>
    <row r="1585" spans="4:18">
      <c r="E1585" t="s">
        <v>6497</v>
      </c>
      <c r="I1585" t="s">
        <v>5441</v>
      </c>
      <c r="K1585" t="s">
        <v>17782</v>
      </c>
      <c r="L1585" t="s">
        <v>16518</v>
      </c>
      <c r="M1585" t="s">
        <v>15942</v>
      </c>
      <c r="N1585" t="s">
        <v>18747</v>
      </c>
      <c r="O1585" t="s">
        <v>3963</v>
      </c>
      <c r="P1585" t="s">
        <v>18750</v>
      </c>
      <c r="R1585" t="s">
        <v>18751</v>
      </c>
    </row>
    <row r="1586" spans="4:18">
      <c r="E1586" t="s">
        <v>6498</v>
      </c>
      <c r="I1586" t="s">
        <v>6499</v>
      </c>
      <c r="K1586" t="s">
        <v>3963</v>
      </c>
      <c r="L1586" t="s">
        <v>3963</v>
      </c>
      <c r="M1586" t="s">
        <v>3963</v>
      </c>
      <c r="N1586" t="s">
        <v>3963</v>
      </c>
      <c r="O1586" t="s">
        <v>3963</v>
      </c>
      <c r="P1586" t="s">
        <v>3963</v>
      </c>
      <c r="R1586" t="s">
        <v>3963</v>
      </c>
    </row>
    <row r="1587" spans="4:18">
      <c r="D1587" t="s">
        <v>2414</v>
      </c>
      <c r="H1587" t="s">
        <v>6500</v>
      </c>
      <c r="K1587" t="s">
        <v>15573</v>
      </c>
      <c r="L1587" t="s">
        <v>15574</v>
      </c>
      <c r="M1587" t="s">
        <v>15575</v>
      </c>
      <c r="N1587" t="s">
        <v>3963</v>
      </c>
      <c r="O1587" t="s">
        <v>3963</v>
      </c>
      <c r="P1587" t="s">
        <v>15576</v>
      </c>
      <c r="R1587" t="s">
        <v>15577</v>
      </c>
    </row>
    <row r="1588" spans="4:18">
      <c r="E1588" t="s">
        <v>6501</v>
      </c>
      <c r="I1588" t="s">
        <v>6502</v>
      </c>
      <c r="K1588" t="s">
        <v>4573</v>
      </c>
      <c r="L1588" t="s">
        <v>15578</v>
      </c>
      <c r="M1588" t="s">
        <v>15579</v>
      </c>
      <c r="N1588" t="s">
        <v>3963</v>
      </c>
      <c r="O1588" t="s">
        <v>3963</v>
      </c>
      <c r="P1588" t="s">
        <v>15580</v>
      </c>
      <c r="R1588" t="s">
        <v>15581</v>
      </c>
    </row>
    <row r="1589" spans="4:18">
      <c r="E1589" t="s">
        <v>6503</v>
      </c>
      <c r="I1589" t="s">
        <v>6504</v>
      </c>
      <c r="K1589" t="s">
        <v>17129</v>
      </c>
      <c r="L1589" t="s">
        <v>15582</v>
      </c>
      <c r="M1589" t="s">
        <v>3963</v>
      </c>
      <c r="N1589" t="s">
        <v>3963</v>
      </c>
      <c r="O1589" t="s">
        <v>3963</v>
      </c>
      <c r="P1589" t="s">
        <v>15582</v>
      </c>
      <c r="R1589" t="s">
        <v>17130</v>
      </c>
    </row>
    <row r="1590" spans="4:18">
      <c r="E1590" t="s">
        <v>6505</v>
      </c>
      <c r="I1590" t="s">
        <v>6506</v>
      </c>
      <c r="K1590" t="s">
        <v>15583</v>
      </c>
      <c r="L1590" t="s">
        <v>15584</v>
      </c>
      <c r="M1590" t="s">
        <v>3963</v>
      </c>
      <c r="N1590" t="s">
        <v>3963</v>
      </c>
      <c r="O1590" t="s">
        <v>3963</v>
      </c>
      <c r="P1590" t="s">
        <v>15584</v>
      </c>
      <c r="R1590" t="s">
        <v>15585</v>
      </c>
    </row>
    <row r="1591" spans="4:18">
      <c r="E1591" t="s">
        <v>6507</v>
      </c>
      <c r="I1591" t="s">
        <v>5441</v>
      </c>
      <c r="K1591" t="s">
        <v>17131</v>
      </c>
      <c r="L1591" t="s">
        <v>15586</v>
      </c>
      <c r="M1591" t="s">
        <v>15587</v>
      </c>
      <c r="N1591" t="s">
        <v>3963</v>
      </c>
      <c r="O1591" t="s">
        <v>3963</v>
      </c>
      <c r="P1591" t="s">
        <v>15588</v>
      </c>
      <c r="R1591" t="s">
        <v>17132</v>
      </c>
    </row>
    <row r="1592" spans="4:18">
      <c r="D1592" t="s">
        <v>2435</v>
      </c>
      <c r="H1592" t="s">
        <v>6508</v>
      </c>
      <c r="K1592" t="s">
        <v>15589</v>
      </c>
      <c r="L1592" t="s">
        <v>17783</v>
      </c>
      <c r="M1592" t="s">
        <v>3963</v>
      </c>
      <c r="N1592" t="s">
        <v>3963</v>
      </c>
      <c r="O1592" t="s">
        <v>3963</v>
      </c>
      <c r="P1592" t="s">
        <v>17783</v>
      </c>
      <c r="R1592" t="s">
        <v>17784</v>
      </c>
    </row>
    <row r="1593" spans="4:18">
      <c r="E1593" t="s">
        <v>6509</v>
      </c>
      <c r="I1593" t="s">
        <v>6510</v>
      </c>
      <c r="K1593" t="s">
        <v>14966</v>
      </c>
      <c r="L1593" t="s">
        <v>3963</v>
      </c>
      <c r="M1593" t="s">
        <v>3963</v>
      </c>
      <c r="N1593" t="s">
        <v>3963</v>
      </c>
      <c r="O1593" t="s">
        <v>3963</v>
      </c>
      <c r="P1593" t="s">
        <v>3963</v>
      </c>
      <c r="R1593" t="s">
        <v>14966</v>
      </c>
    </row>
    <row r="1594" spans="4:18">
      <c r="E1594" t="s">
        <v>6511</v>
      </c>
      <c r="I1594" t="s">
        <v>6512</v>
      </c>
      <c r="K1594" t="s">
        <v>4132</v>
      </c>
      <c r="L1594" t="s">
        <v>15590</v>
      </c>
      <c r="M1594" t="s">
        <v>3963</v>
      </c>
      <c r="N1594" t="s">
        <v>3963</v>
      </c>
      <c r="O1594" t="s">
        <v>3963</v>
      </c>
      <c r="P1594" t="s">
        <v>15590</v>
      </c>
      <c r="R1594" t="s">
        <v>15591</v>
      </c>
    </row>
    <row r="1595" spans="4:18">
      <c r="E1595" t="s">
        <v>6513</v>
      </c>
      <c r="I1595" t="s">
        <v>6514</v>
      </c>
      <c r="K1595" t="s">
        <v>15592</v>
      </c>
      <c r="L1595" t="s">
        <v>15593</v>
      </c>
      <c r="M1595" t="s">
        <v>3963</v>
      </c>
      <c r="N1595" t="s">
        <v>3963</v>
      </c>
      <c r="O1595" t="s">
        <v>3963</v>
      </c>
      <c r="P1595" t="s">
        <v>15593</v>
      </c>
      <c r="R1595" t="s">
        <v>15594</v>
      </c>
    </row>
    <row r="1596" spans="4:18">
      <c r="E1596" t="s">
        <v>6515</v>
      </c>
      <c r="I1596" t="s">
        <v>6516</v>
      </c>
      <c r="K1596" t="s">
        <v>13107</v>
      </c>
      <c r="L1596" t="s">
        <v>3963</v>
      </c>
      <c r="M1596" t="s">
        <v>3963</v>
      </c>
      <c r="N1596" t="s">
        <v>3963</v>
      </c>
      <c r="O1596" t="s">
        <v>3963</v>
      </c>
      <c r="P1596" t="s">
        <v>3963</v>
      </c>
      <c r="R1596" t="s">
        <v>13107</v>
      </c>
    </row>
    <row r="1597" spans="4:18">
      <c r="E1597" t="s">
        <v>6517</v>
      </c>
      <c r="I1597" t="s">
        <v>6518</v>
      </c>
      <c r="K1597" t="s">
        <v>12753</v>
      </c>
      <c r="L1597" t="s">
        <v>3963</v>
      </c>
      <c r="M1597" t="s">
        <v>3963</v>
      </c>
      <c r="N1597" t="s">
        <v>3963</v>
      </c>
      <c r="O1597" t="s">
        <v>3963</v>
      </c>
      <c r="P1597" t="s">
        <v>3963</v>
      </c>
      <c r="R1597" t="s">
        <v>12753</v>
      </c>
    </row>
    <row r="1598" spans="4:18">
      <c r="E1598" t="s">
        <v>6519</v>
      </c>
      <c r="I1598" t="s">
        <v>6520</v>
      </c>
      <c r="K1598" t="s">
        <v>4699</v>
      </c>
      <c r="L1598" t="s">
        <v>15595</v>
      </c>
      <c r="M1598" t="s">
        <v>3963</v>
      </c>
      <c r="N1598" t="s">
        <v>3963</v>
      </c>
      <c r="O1598" t="s">
        <v>3963</v>
      </c>
      <c r="P1598" t="s">
        <v>15595</v>
      </c>
      <c r="R1598" t="s">
        <v>15596</v>
      </c>
    </row>
    <row r="1599" spans="4:18">
      <c r="E1599" t="s">
        <v>6521</v>
      </c>
      <c r="I1599" t="s">
        <v>6522</v>
      </c>
      <c r="K1599" t="s">
        <v>15597</v>
      </c>
      <c r="L1599" t="s">
        <v>17785</v>
      </c>
      <c r="M1599" t="s">
        <v>3963</v>
      </c>
      <c r="N1599" t="s">
        <v>3963</v>
      </c>
      <c r="O1599" t="s">
        <v>3963</v>
      </c>
      <c r="P1599" t="s">
        <v>17785</v>
      </c>
      <c r="R1599" t="s">
        <v>17786</v>
      </c>
    </row>
    <row r="1600" spans="4:18">
      <c r="E1600" t="s">
        <v>6523</v>
      </c>
      <c r="I1600" t="s">
        <v>6524</v>
      </c>
      <c r="K1600" t="s">
        <v>15598</v>
      </c>
      <c r="L1600" t="s">
        <v>3963</v>
      </c>
      <c r="M1600" t="s">
        <v>3963</v>
      </c>
      <c r="N1600" t="s">
        <v>3963</v>
      </c>
      <c r="O1600" t="s">
        <v>3963</v>
      </c>
      <c r="P1600" t="s">
        <v>3963</v>
      </c>
      <c r="R1600" t="s">
        <v>15598</v>
      </c>
    </row>
    <row r="1601" spans="4:18">
      <c r="E1601" t="s">
        <v>6525</v>
      </c>
      <c r="I1601" t="s">
        <v>6526</v>
      </c>
      <c r="K1601" t="s">
        <v>4702</v>
      </c>
      <c r="L1601" t="s">
        <v>16519</v>
      </c>
      <c r="M1601" t="s">
        <v>3963</v>
      </c>
      <c r="N1601" t="s">
        <v>3963</v>
      </c>
      <c r="O1601" t="s">
        <v>3963</v>
      </c>
      <c r="P1601" t="s">
        <v>16519</v>
      </c>
      <c r="R1601" t="s">
        <v>16520</v>
      </c>
    </row>
    <row r="1602" spans="4:18">
      <c r="D1602" t="s">
        <v>2436</v>
      </c>
      <c r="H1602" t="s">
        <v>6527</v>
      </c>
      <c r="K1602" t="s">
        <v>15599</v>
      </c>
      <c r="L1602" t="s">
        <v>19388</v>
      </c>
      <c r="M1602" t="s">
        <v>18752</v>
      </c>
      <c r="N1602" t="s">
        <v>18753</v>
      </c>
      <c r="O1602" t="s">
        <v>3963</v>
      </c>
      <c r="P1602" t="s">
        <v>19389</v>
      </c>
      <c r="R1602" t="s">
        <v>19390</v>
      </c>
    </row>
    <row r="1603" spans="4:18">
      <c r="E1603" t="s">
        <v>6528</v>
      </c>
      <c r="I1603" t="s">
        <v>6529</v>
      </c>
      <c r="K1603" t="s">
        <v>15600</v>
      </c>
      <c r="L1603" t="s">
        <v>15601</v>
      </c>
      <c r="M1603" t="s">
        <v>3963</v>
      </c>
      <c r="N1603" t="s">
        <v>3963</v>
      </c>
      <c r="O1603" t="s">
        <v>3963</v>
      </c>
      <c r="P1603" t="s">
        <v>15601</v>
      </c>
      <c r="R1603" t="s">
        <v>15602</v>
      </c>
    </row>
    <row r="1604" spans="4:18">
      <c r="E1604" t="s">
        <v>6530</v>
      </c>
      <c r="I1604" t="s">
        <v>6531</v>
      </c>
      <c r="K1604" t="s">
        <v>18754</v>
      </c>
      <c r="L1604" t="s">
        <v>19391</v>
      </c>
      <c r="M1604" t="s">
        <v>3963</v>
      </c>
      <c r="N1604" t="s">
        <v>3963</v>
      </c>
      <c r="O1604" t="s">
        <v>3963</v>
      </c>
      <c r="P1604" t="s">
        <v>19391</v>
      </c>
      <c r="R1604" t="s">
        <v>19392</v>
      </c>
    </row>
    <row r="1605" spans="4:18">
      <c r="E1605" t="s">
        <v>6532</v>
      </c>
      <c r="I1605" t="s">
        <v>6533</v>
      </c>
      <c r="K1605" t="s">
        <v>14970</v>
      </c>
      <c r="L1605" t="s">
        <v>15603</v>
      </c>
      <c r="M1605" t="s">
        <v>3963</v>
      </c>
      <c r="N1605" t="s">
        <v>3963</v>
      </c>
      <c r="O1605" t="s">
        <v>3963</v>
      </c>
      <c r="P1605" t="s">
        <v>15603</v>
      </c>
      <c r="R1605" t="s">
        <v>15604</v>
      </c>
    </row>
    <row r="1606" spans="4:18">
      <c r="E1606" t="s">
        <v>6534</v>
      </c>
      <c r="I1606" t="s">
        <v>6535</v>
      </c>
      <c r="K1606" t="s">
        <v>15605</v>
      </c>
      <c r="L1606" t="s">
        <v>15606</v>
      </c>
      <c r="M1606" t="s">
        <v>15607</v>
      </c>
      <c r="N1606" t="s">
        <v>3963</v>
      </c>
      <c r="O1606" t="s">
        <v>3963</v>
      </c>
      <c r="P1606" t="s">
        <v>15608</v>
      </c>
      <c r="R1606" t="s">
        <v>15609</v>
      </c>
    </row>
    <row r="1607" spans="4:18">
      <c r="E1607" t="s">
        <v>6536</v>
      </c>
      <c r="I1607" t="s">
        <v>6537</v>
      </c>
      <c r="K1607" t="s">
        <v>4021</v>
      </c>
      <c r="L1607" t="s">
        <v>3963</v>
      </c>
      <c r="M1607" t="s">
        <v>3963</v>
      </c>
      <c r="N1607" t="s">
        <v>3963</v>
      </c>
      <c r="O1607" t="s">
        <v>3963</v>
      </c>
      <c r="P1607" t="s">
        <v>3963</v>
      </c>
      <c r="R1607" t="s">
        <v>4021</v>
      </c>
    </row>
    <row r="1608" spans="4:18">
      <c r="E1608" t="s">
        <v>6538</v>
      </c>
      <c r="I1608" t="s">
        <v>6539</v>
      </c>
      <c r="K1608" t="s">
        <v>4201</v>
      </c>
      <c r="L1608" t="s">
        <v>15989</v>
      </c>
      <c r="M1608" t="s">
        <v>3963</v>
      </c>
      <c r="N1608" t="s">
        <v>3963</v>
      </c>
      <c r="O1608" t="s">
        <v>3963</v>
      </c>
      <c r="P1608" t="s">
        <v>15989</v>
      </c>
      <c r="R1608" t="s">
        <v>15990</v>
      </c>
    </row>
    <row r="1609" spans="4:18">
      <c r="E1609" t="s">
        <v>6540</v>
      </c>
      <c r="I1609" t="s">
        <v>6541</v>
      </c>
      <c r="K1609" t="s">
        <v>12744</v>
      </c>
      <c r="L1609" t="s">
        <v>3963</v>
      </c>
      <c r="M1609" t="s">
        <v>3963</v>
      </c>
      <c r="N1609" t="s">
        <v>3963</v>
      </c>
      <c r="O1609" t="s">
        <v>3963</v>
      </c>
      <c r="P1609" t="s">
        <v>3963</v>
      </c>
      <c r="R1609" t="s">
        <v>12744</v>
      </c>
    </row>
    <row r="1610" spans="4:18">
      <c r="E1610" t="s">
        <v>6542</v>
      </c>
      <c r="I1610" t="s">
        <v>6543</v>
      </c>
      <c r="K1610" t="s">
        <v>3994</v>
      </c>
      <c r="L1610" t="s">
        <v>3963</v>
      </c>
      <c r="M1610" t="s">
        <v>3963</v>
      </c>
      <c r="N1610" t="s">
        <v>3963</v>
      </c>
      <c r="O1610" t="s">
        <v>3963</v>
      </c>
      <c r="P1610" t="s">
        <v>3963</v>
      </c>
      <c r="R1610" t="s">
        <v>3994</v>
      </c>
    </row>
    <row r="1611" spans="4:18">
      <c r="E1611" t="s">
        <v>6544</v>
      </c>
      <c r="I1611" t="s">
        <v>6545</v>
      </c>
      <c r="K1611" t="s">
        <v>14970</v>
      </c>
      <c r="L1611" t="s">
        <v>15610</v>
      </c>
      <c r="M1611" t="s">
        <v>18508</v>
      </c>
      <c r="N1611" t="s">
        <v>3963</v>
      </c>
      <c r="O1611" t="s">
        <v>3963</v>
      </c>
      <c r="P1611" t="s">
        <v>18509</v>
      </c>
      <c r="R1611" t="s">
        <v>18510</v>
      </c>
    </row>
    <row r="1612" spans="4:18">
      <c r="E1612" t="s">
        <v>6546</v>
      </c>
      <c r="I1612" t="s">
        <v>6547</v>
      </c>
      <c r="K1612" t="s">
        <v>18755</v>
      </c>
      <c r="L1612" t="s">
        <v>19393</v>
      </c>
      <c r="M1612" t="s">
        <v>18756</v>
      </c>
      <c r="N1612" t="s">
        <v>18753</v>
      </c>
      <c r="O1612" t="s">
        <v>3963</v>
      </c>
      <c r="P1612" t="s">
        <v>19394</v>
      </c>
      <c r="R1612" t="s">
        <v>19395</v>
      </c>
    </row>
    <row r="1613" spans="4:18">
      <c r="D1613" t="s">
        <v>2487</v>
      </c>
      <c r="H1613" t="s">
        <v>6548</v>
      </c>
      <c r="K1613" t="s">
        <v>3963</v>
      </c>
      <c r="L1613" t="s">
        <v>3963</v>
      </c>
      <c r="M1613" t="s">
        <v>3963</v>
      </c>
      <c r="N1613" t="s">
        <v>3963</v>
      </c>
      <c r="O1613" t="s">
        <v>3963</v>
      </c>
      <c r="P1613" t="s">
        <v>3963</v>
      </c>
      <c r="R1613" t="s">
        <v>3963</v>
      </c>
    </row>
    <row r="1614" spans="4:18">
      <c r="E1614" t="s">
        <v>6549</v>
      </c>
      <c r="I1614" t="s">
        <v>6550</v>
      </c>
      <c r="K1614" t="s">
        <v>3963</v>
      </c>
      <c r="L1614" t="s">
        <v>3963</v>
      </c>
      <c r="M1614" t="s">
        <v>3963</v>
      </c>
      <c r="N1614" t="s">
        <v>3963</v>
      </c>
      <c r="O1614" t="s">
        <v>3963</v>
      </c>
      <c r="P1614" t="s">
        <v>3963</v>
      </c>
      <c r="R1614" t="s">
        <v>3963</v>
      </c>
    </row>
    <row r="1615" spans="4:18">
      <c r="E1615" t="s">
        <v>6551</v>
      </c>
      <c r="I1615" t="s">
        <v>6552</v>
      </c>
      <c r="K1615" t="s">
        <v>3963</v>
      </c>
      <c r="L1615" t="s">
        <v>3963</v>
      </c>
      <c r="M1615" t="s">
        <v>3963</v>
      </c>
      <c r="N1615" t="s">
        <v>3963</v>
      </c>
      <c r="O1615" t="s">
        <v>3963</v>
      </c>
      <c r="P1615" t="s">
        <v>3963</v>
      </c>
      <c r="R1615" t="s">
        <v>3963</v>
      </c>
    </row>
    <row r="1616" spans="4:18">
      <c r="E1616" t="s">
        <v>6553</v>
      </c>
      <c r="I1616" t="s">
        <v>6554</v>
      </c>
      <c r="K1616" t="s">
        <v>3963</v>
      </c>
      <c r="L1616" t="s">
        <v>3963</v>
      </c>
      <c r="M1616" t="s">
        <v>3963</v>
      </c>
      <c r="N1616" t="s">
        <v>3963</v>
      </c>
      <c r="O1616" t="s">
        <v>3963</v>
      </c>
      <c r="P1616" t="s">
        <v>3963</v>
      </c>
      <c r="R1616" t="s">
        <v>3963</v>
      </c>
    </row>
    <row r="1617" spans="4:18">
      <c r="E1617" t="s">
        <v>6555</v>
      </c>
      <c r="I1617" t="s">
        <v>5441</v>
      </c>
      <c r="K1617" t="s">
        <v>3963</v>
      </c>
      <c r="L1617" t="s">
        <v>3963</v>
      </c>
      <c r="M1617" t="s">
        <v>3963</v>
      </c>
      <c r="N1617" t="s">
        <v>3963</v>
      </c>
      <c r="O1617" t="s">
        <v>3963</v>
      </c>
      <c r="P1617" t="s">
        <v>3963</v>
      </c>
      <c r="R1617" t="s">
        <v>3963</v>
      </c>
    </row>
    <row r="1618" spans="4:18">
      <c r="E1618" t="s">
        <v>6556</v>
      </c>
      <c r="I1618" t="s">
        <v>6557</v>
      </c>
      <c r="K1618" t="s">
        <v>3963</v>
      </c>
      <c r="L1618" t="s">
        <v>3963</v>
      </c>
      <c r="M1618" t="s">
        <v>3963</v>
      </c>
      <c r="N1618" t="s">
        <v>3963</v>
      </c>
      <c r="O1618" t="s">
        <v>3963</v>
      </c>
      <c r="P1618" t="s">
        <v>3963</v>
      </c>
      <c r="R1618" t="s">
        <v>3963</v>
      </c>
    </row>
    <row r="1619" spans="4:18">
      <c r="D1619" t="s">
        <v>2557</v>
      </c>
      <c r="H1619" t="s">
        <v>6558</v>
      </c>
      <c r="K1619" t="s">
        <v>14879</v>
      </c>
      <c r="L1619" t="s">
        <v>19396</v>
      </c>
      <c r="M1619" t="s">
        <v>18986</v>
      </c>
      <c r="N1619" t="s">
        <v>3963</v>
      </c>
      <c r="O1619" t="s">
        <v>3963</v>
      </c>
      <c r="P1619" t="s">
        <v>19397</v>
      </c>
      <c r="R1619" t="s">
        <v>19398</v>
      </c>
    </row>
    <row r="1620" spans="4:18">
      <c r="E1620" t="s">
        <v>2638</v>
      </c>
      <c r="I1620" t="s">
        <v>6059</v>
      </c>
      <c r="K1620" t="s">
        <v>15611</v>
      </c>
      <c r="L1620" t="s">
        <v>3963</v>
      </c>
      <c r="M1620" t="s">
        <v>3963</v>
      </c>
      <c r="N1620" t="s">
        <v>3963</v>
      </c>
      <c r="O1620" t="s">
        <v>3963</v>
      </c>
      <c r="P1620" t="s">
        <v>3963</v>
      </c>
      <c r="R1620" t="s">
        <v>15611</v>
      </c>
    </row>
    <row r="1621" spans="4:18">
      <c r="E1621" t="s">
        <v>2639</v>
      </c>
      <c r="I1621" t="s">
        <v>6559</v>
      </c>
      <c r="K1621" t="s">
        <v>15612</v>
      </c>
      <c r="L1621" t="s">
        <v>18931</v>
      </c>
      <c r="M1621" t="s">
        <v>18757</v>
      </c>
      <c r="N1621" t="s">
        <v>3963</v>
      </c>
      <c r="O1621" t="s">
        <v>3963</v>
      </c>
      <c r="P1621" t="s">
        <v>18932</v>
      </c>
      <c r="R1621" t="s">
        <v>18933</v>
      </c>
    </row>
    <row r="1622" spans="4:18">
      <c r="E1622" t="s">
        <v>2640</v>
      </c>
      <c r="I1622" t="s">
        <v>6560</v>
      </c>
      <c r="K1622" t="s">
        <v>6166</v>
      </c>
      <c r="L1622" t="s">
        <v>15613</v>
      </c>
      <c r="M1622" t="s">
        <v>3963</v>
      </c>
      <c r="N1622" t="s">
        <v>3963</v>
      </c>
      <c r="O1622" t="s">
        <v>3963</v>
      </c>
      <c r="P1622" t="s">
        <v>15613</v>
      </c>
      <c r="R1622" t="s">
        <v>15614</v>
      </c>
    </row>
    <row r="1623" spans="4:18">
      <c r="E1623" t="s">
        <v>2641</v>
      </c>
      <c r="I1623" t="s">
        <v>6561</v>
      </c>
      <c r="K1623" t="s">
        <v>4091</v>
      </c>
      <c r="L1623" t="s">
        <v>16521</v>
      </c>
      <c r="M1623" t="s">
        <v>3963</v>
      </c>
      <c r="N1623" t="s">
        <v>3963</v>
      </c>
      <c r="O1623" t="s">
        <v>3963</v>
      </c>
      <c r="P1623" t="s">
        <v>16521</v>
      </c>
      <c r="R1623" t="s">
        <v>17133</v>
      </c>
    </row>
    <row r="1624" spans="4:18">
      <c r="E1624" t="s">
        <v>2767</v>
      </c>
      <c r="I1624" t="s">
        <v>6562</v>
      </c>
      <c r="K1624" t="s">
        <v>15615</v>
      </c>
      <c r="L1624" t="s">
        <v>15616</v>
      </c>
      <c r="M1624" t="s">
        <v>3963</v>
      </c>
      <c r="N1624" t="s">
        <v>3963</v>
      </c>
      <c r="O1624" t="s">
        <v>3963</v>
      </c>
      <c r="P1624" t="s">
        <v>15616</v>
      </c>
      <c r="R1624" t="s">
        <v>15617</v>
      </c>
    </row>
    <row r="1625" spans="4:18">
      <c r="E1625" t="s">
        <v>2770</v>
      </c>
      <c r="I1625" t="s">
        <v>6563</v>
      </c>
      <c r="K1625" t="s">
        <v>15618</v>
      </c>
      <c r="L1625" t="s">
        <v>16522</v>
      </c>
      <c r="M1625" t="s">
        <v>3963</v>
      </c>
      <c r="N1625" t="s">
        <v>3963</v>
      </c>
      <c r="O1625" t="s">
        <v>3963</v>
      </c>
      <c r="P1625" t="s">
        <v>16522</v>
      </c>
      <c r="R1625" t="s">
        <v>16523</v>
      </c>
    </row>
    <row r="1626" spans="4:18">
      <c r="E1626" t="s">
        <v>2880</v>
      </c>
      <c r="I1626" t="s">
        <v>6564</v>
      </c>
      <c r="K1626" t="s">
        <v>15619</v>
      </c>
      <c r="L1626" t="s">
        <v>3963</v>
      </c>
      <c r="M1626" t="s">
        <v>3963</v>
      </c>
      <c r="N1626" t="s">
        <v>3963</v>
      </c>
      <c r="O1626" t="s">
        <v>3963</v>
      </c>
      <c r="P1626" t="s">
        <v>3963</v>
      </c>
      <c r="R1626" t="s">
        <v>15619</v>
      </c>
    </row>
    <row r="1627" spans="4:18">
      <c r="E1627" t="s">
        <v>2881</v>
      </c>
      <c r="I1627" t="s">
        <v>6565</v>
      </c>
      <c r="K1627" t="s">
        <v>15620</v>
      </c>
      <c r="L1627" t="s">
        <v>15621</v>
      </c>
      <c r="M1627" t="s">
        <v>3963</v>
      </c>
      <c r="N1627" t="s">
        <v>3963</v>
      </c>
      <c r="O1627" t="s">
        <v>3963</v>
      </c>
      <c r="P1627" t="s">
        <v>15621</v>
      </c>
      <c r="R1627" t="s">
        <v>15622</v>
      </c>
    </row>
    <row r="1628" spans="4:18">
      <c r="E1628" t="s">
        <v>2887</v>
      </c>
      <c r="I1628" t="s">
        <v>6566</v>
      </c>
      <c r="K1628" t="s">
        <v>15623</v>
      </c>
      <c r="L1628" t="s">
        <v>18758</v>
      </c>
      <c r="M1628" t="s">
        <v>3963</v>
      </c>
      <c r="N1628" t="s">
        <v>3963</v>
      </c>
      <c r="O1628" t="s">
        <v>3963</v>
      </c>
      <c r="P1628" t="s">
        <v>18758</v>
      </c>
      <c r="R1628" t="s">
        <v>18759</v>
      </c>
    </row>
    <row r="1629" spans="4:18">
      <c r="E1629" t="s">
        <v>6798</v>
      </c>
      <c r="I1629" t="s">
        <v>6805</v>
      </c>
      <c r="K1629" t="s">
        <v>4038</v>
      </c>
      <c r="L1629" t="s">
        <v>15624</v>
      </c>
      <c r="M1629" t="s">
        <v>3963</v>
      </c>
      <c r="N1629" t="s">
        <v>3963</v>
      </c>
      <c r="O1629" t="s">
        <v>3963</v>
      </c>
      <c r="P1629" t="s">
        <v>15624</v>
      </c>
      <c r="R1629" t="s">
        <v>15625</v>
      </c>
    </row>
    <row r="1630" spans="4:18">
      <c r="E1630" t="s">
        <v>6868</v>
      </c>
      <c r="I1630" t="s">
        <v>6873</v>
      </c>
      <c r="K1630" t="s">
        <v>4038</v>
      </c>
      <c r="L1630" t="s">
        <v>19399</v>
      </c>
      <c r="M1630" t="s">
        <v>3963</v>
      </c>
      <c r="N1630" t="s">
        <v>3963</v>
      </c>
      <c r="O1630" t="s">
        <v>3963</v>
      </c>
      <c r="P1630" t="s">
        <v>19399</v>
      </c>
      <c r="R1630" t="s">
        <v>19400</v>
      </c>
    </row>
    <row r="1631" spans="4:18">
      <c r="E1631" t="s">
        <v>6951</v>
      </c>
      <c r="I1631" t="s">
        <v>8741</v>
      </c>
      <c r="K1631" t="s">
        <v>6867</v>
      </c>
      <c r="L1631" t="s">
        <v>19401</v>
      </c>
      <c r="M1631" t="s">
        <v>18987</v>
      </c>
      <c r="N1631" t="s">
        <v>3963</v>
      </c>
      <c r="O1631" t="s">
        <v>3963</v>
      </c>
      <c r="P1631" t="s">
        <v>19402</v>
      </c>
      <c r="R1631" t="s">
        <v>19403</v>
      </c>
    </row>
    <row r="1632" spans="4:18">
      <c r="E1632" t="s">
        <v>6952</v>
      </c>
      <c r="I1632" t="s">
        <v>6959</v>
      </c>
      <c r="K1632" t="s">
        <v>15626</v>
      </c>
      <c r="L1632" t="s">
        <v>3963</v>
      </c>
      <c r="M1632" t="s">
        <v>3963</v>
      </c>
      <c r="N1632" t="s">
        <v>3963</v>
      </c>
      <c r="O1632" t="s">
        <v>3963</v>
      </c>
      <c r="P1632" t="s">
        <v>3963</v>
      </c>
      <c r="R1632" t="s">
        <v>15626</v>
      </c>
    </row>
    <row r="1633" spans="4:18">
      <c r="E1633" t="s">
        <v>7019</v>
      </c>
      <c r="I1633" t="s">
        <v>7021</v>
      </c>
      <c r="K1633" t="s">
        <v>13890</v>
      </c>
      <c r="L1633" t="s">
        <v>3963</v>
      </c>
      <c r="M1633" t="s">
        <v>3963</v>
      </c>
      <c r="N1633" t="s">
        <v>3963</v>
      </c>
      <c r="O1633" t="s">
        <v>3963</v>
      </c>
      <c r="P1633" t="s">
        <v>3963</v>
      </c>
      <c r="R1633" t="s">
        <v>13890</v>
      </c>
    </row>
    <row r="1634" spans="4:18">
      <c r="D1634" t="s">
        <v>2570</v>
      </c>
      <c r="H1634" t="s">
        <v>6567</v>
      </c>
      <c r="K1634" t="s">
        <v>15627</v>
      </c>
      <c r="L1634" t="s">
        <v>15628</v>
      </c>
      <c r="M1634" t="s">
        <v>3963</v>
      </c>
      <c r="N1634" t="s">
        <v>15629</v>
      </c>
      <c r="O1634" t="s">
        <v>3963</v>
      </c>
      <c r="P1634" t="s">
        <v>15630</v>
      </c>
      <c r="R1634" t="s">
        <v>15631</v>
      </c>
    </row>
    <row r="1635" spans="4:18">
      <c r="E1635" t="s">
        <v>6568</v>
      </c>
      <c r="I1635" t="s">
        <v>6569</v>
      </c>
      <c r="K1635" t="s">
        <v>3963</v>
      </c>
      <c r="L1635" t="s">
        <v>3963</v>
      </c>
      <c r="M1635" t="s">
        <v>3963</v>
      </c>
      <c r="N1635" t="s">
        <v>3963</v>
      </c>
      <c r="O1635" t="s">
        <v>3963</v>
      </c>
      <c r="P1635" t="s">
        <v>3963</v>
      </c>
      <c r="R1635" t="s">
        <v>3963</v>
      </c>
    </row>
    <row r="1636" spans="4:18">
      <c r="E1636" t="s">
        <v>6570</v>
      </c>
      <c r="I1636" t="s">
        <v>6571</v>
      </c>
      <c r="K1636" t="s">
        <v>15632</v>
      </c>
      <c r="L1636" t="s">
        <v>15633</v>
      </c>
      <c r="M1636" t="s">
        <v>3963</v>
      </c>
      <c r="N1636" t="s">
        <v>3963</v>
      </c>
      <c r="O1636" t="s">
        <v>3963</v>
      </c>
      <c r="P1636" t="s">
        <v>15633</v>
      </c>
      <c r="R1636" t="s">
        <v>15634</v>
      </c>
    </row>
    <row r="1637" spans="4:18">
      <c r="E1637" t="s">
        <v>6572</v>
      </c>
      <c r="I1637" t="s">
        <v>6573</v>
      </c>
      <c r="K1637" t="s">
        <v>3963</v>
      </c>
      <c r="L1637" t="s">
        <v>3963</v>
      </c>
      <c r="M1637" t="s">
        <v>3963</v>
      </c>
      <c r="N1637" t="s">
        <v>3963</v>
      </c>
      <c r="O1637" t="s">
        <v>3963</v>
      </c>
      <c r="P1637" t="s">
        <v>3963</v>
      </c>
      <c r="R1637" t="s">
        <v>3963</v>
      </c>
    </row>
    <row r="1638" spans="4:18">
      <c r="E1638" t="s">
        <v>6574</v>
      </c>
      <c r="I1638" t="s">
        <v>6571</v>
      </c>
      <c r="K1638" t="s">
        <v>15635</v>
      </c>
      <c r="L1638" t="s">
        <v>15636</v>
      </c>
      <c r="M1638" t="s">
        <v>3963</v>
      </c>
      <c r="N1638" t="s">
        <v>15629</v>
      </c>
      <c r="O1638" t="s">
        <v>3963</v>
      </c>
      <c r="P1638" t="s">
        <v>15637</v>
      </c>
      <c r="R1638" t="s">
        <v>15638</v>
      </c>
    </row>
    <row r="1639" spans="4:18">
      <c r="D1639" t="s">
        <v>2604</v>
      </c>
      <c r="H1639" t="s">
        <v>2415</v>
      </c>
      <c r="K1639" t="s">
        <v>15639</v>
      </c>
      <c r="L1639" t="s">
        <v>15640</v>
      </c>
      <c r="M1639" t="s">
        <v>15641</v>
      </c>
      <c r="N1639" t="s">
        <v>18511</v>
      </c>
      <c r="O1639" t="s">
        <v>3963</v>
      </c>
      <c r="P1639" t="s">
        <v>18512</v>
      </c>
      <c r="R1639" t="s">
        <v>18513</v>
      </c>
    </row>
    <row r="1640" spans="4:18">
      <c r="E1640" t="s">
        <v>6575</v>
      </c>
      <c r="I1640" t="s">
        <v>6576</v>
      </c>
      <c r="K1640" t="s">
        <v>15643</v>
      </c>
      <c r="L1640" t="s">
        <v>3963</v>
      </c>
      <c r="M1640" t="s">
        <v>3963</v>
      </c>
      <c r="N1640" t="s">
        <v>3963</v>
      </c>
      <c r="O1640" t="s">
        <v>3963</v>
      </c>
      <c r="P1640" t="s">
        <v>3963</v>
      </c>
      <c r="R1640" t="s">
        <v>15643</v>
      </c>
    </row>
    <row r="1641" spans="4:18">
      <c r="E1641" t="s">
        <v>6577</v>
      </c>
      <c r="I1641" t="s">
        <v>6576</v>
      </c>
      <c r="K1641" t="s">
        <v>15644</v>
      </c>
      <c r="L1641" t="s">
        <v>3963</v>
      </c>
      <c r="M1641" t="s">
        <v>3963</v>
      </c>
      <c r="N1641" t="s">
        <v>3963</v>
      </c>
      <c r="O1641" t="s">
        <v>3963</v>
      </c>
      <c r="P1641" t="s">
        <v>3963</v>
      </c>
      <c r="R1641" t="s">
        <v>15644</v>
      </c>
    </row>
    <row r="1642" spans="4:18">
      <c r="E1642" t="s">
        <v>6578</v>
      </c>
      <c r="I1642" t="s">
        <v>6579</v>
      </c>
      <c r="K1642" t="s">
        <v>15645</v>
      </c>
      <c r="L1642" t="s">
        <v>3963</v>
      </c>
      <c r="M1642" t="s">
        <v>3963</v>
      </c>
      <c r="N1642" t="s">
        <v>15642</v>
      </c>
      <c r="O1642" t="s">
        <v>3963</v>
      </c>
      <c r="P1642" t="s">
        <v>15642</v>
      </c>
      <c r="R1642" t="s">
        <v>15646</v>
      </c>
    </row>
    <row r="1643" spans="4:18">
      <c r="E1643" t="s">
        <v>6580</v>
      </c>
      <c r="I1643" t="s">
        <v>6581</v>
      </c>
      <c r="K1643" t="s">
        <v>15647</v>
      </c>
      <c r="L1643" t="s">
        <v>3963</v>
      </c>
      <c r="M1643" t="s">
        <v>3963</v>
      </c>
      <c r="N1643" t="s">
        <v>3963</v>
      </c>
      <c r="O1643" t="s">
        <v>3963</v>
      </c>
      <c r="P1643" t="s">
        <v>3963</v>
      </c>
      <c r="R1643" t="s">
        <v>15647</v>
      </c>
    </row>
    <row r="1644" spans="4:18">
      <c r="E1644" t="s">
        <v>6582</v>
      </c>
      <c r="I1644" t="s">
        <v>6583</v>
      </c>
      <c r="K1644" t="s">
        <v>15648</v>
      </c>
      <c r="L1644" t="s">
        <v>3963</v>
      </c>
      <c r="M1644" t="s">
        <v>3963</v>
      </c>
      <c r="N1644" t="s">
        <v>3963</v>
      </c>
      <c r="O1644" t="s">
        <v>3963</v>
      </c>
      <c r="P1644" t="s">
        <v>3963</v>
      </c>
      <c r="R1644" t="s">
        <v>15648</v>
      </c>
    </row>
    <row r="1645" spans="4:18">
      <c r="E1645" t="s">
        <v>6584</v>
      </c>
      <c r="I1645" t="s">
        <v>6585</v>
      </c>
      <c r="K1645" t="s">
        <v>15649</v>
      </c>
      <c r="L1645" t="s">
        <v>3963</v>
      </c>
      <c r="M1645" t="s">
        <v>3963</v>
      </c>
      <c r="N1645" t="s">
        <v>3963</v>
      </c>
      <c r="O1645" t="s">
        <v>3963</v>
      </c>
      <c r="P1645" t="s">
        <v>3963</v>
      </c>
      <c r="R1645" t="s">
        <v>15649</v>
      </c>
    </row>
    <row r="1646" spans="4:18">
      <c r="E1646" t="s">
        <v>6586</v>
      </c>
      <c r="I1646" t="s">
        <v>6587</v>
      </c>
      <c r="K1646" t="s">
        <v>15650</v>
      </c>
      <c r="L1646" t="s">
        <v>3963</v>
      </c>
      <c r="M1646" t="s">
        <v>3963</v>
      </c>
      <c r="N1646" t="s">
        <v>18514</v>
      </c>
      <c r="O1646" t="s">
        <v>3963</v>
      </c>
      <c r="P1646" t="s">
        <v>18514</v>
      </c>
      <c r="R1646" t="s">
        <v>18515</v>
      </c>
    </row>
    <row r="1647" spans="4:18">
      <c r="E1647" t="s">
        <v>6588</v>
      </c>
      <c r="I1647" t="s">
        <v>6589</v>
      </c>
      <c r="K1647" t="s">
        <v>15651</v>
      </c>
      <c r="L1647" t="s">
        <v>3963</v>
      </c>
      <c r="M1647" t="s">
        <v>3963</v>
      </c>
      <c r="N1647" t="s">
        <v>3963</v>
      </c>
      <c r="O1647" t="s">
        <v>3963</v>
      </c>
      <c r="P1647" t="s">
        <v>3963</v>
      </c>
      <c r="R1647" t="s">
        <v>15651</v>
      </c>
    </row>
    <row r="1648" spans="4:18">
      <c r="E1648" t="s">
        <v>6590</v>
      </c>
      <c r="I1648" t="s">
        <v>6591</v>
      </c>
      <c r="K1648" t="s">
        <v>15652</v>
      </c>
      <c r="L1648" t="s">
        <v>3963</v>
      </c>
      <c r="M1648" t="s">
        <v>3963</v>
      </c>
      <c r="N1648" t="s">
        <v>3963</v>
      </c>
      <c r="O1648" t="s">
        <v>3963</v>
      </c>
      <c r="P1648" t="s">
        <v>3963</v>
      </c>
      <c r="R1648" t="s">
        <v>15652</v>
      </c>
    </row>
    <row r="1649" spans="4:18">
      <c r="E1649" t="s">
        <v>6592</v>
      </c>
      <c r="I1649" t="s">
        <v>6593</v>
      </c>
      <c r="K1649" t="s">
        <v>15653</v>
      </c>
      <c r="L1649" t="s">
        <v>3963</v>
      </c>
      <c r="M1649" t="s">
        <v>3963</v>
      </c>
      <c r="N1649" t="s">
        <v>3963</v>
      </c>
      <c r="O1649" t="s">
        <v>3963</v>
      </c>
      <c r="P1649" t="s">
        <v>3963</v>
      </c>
      <c r="R1649" t="s">
        <v>15653</v>
      </c>
    </row>
    <row r="1650" spans="4:18">
      <c r="E1650" t="s">
        <v>6594</v>
      </c>
      <c r="I1650" t="s">
        <v>6595</v>
      </c>
      <c r="K1650" t="s">
        <v>15654</v>
      </c>
      <c r="L1650" t="s">
        <v>3963</v>
      </c>
      <c r="M1650" t="s">
        <v>3963</v>
      </c>
      <c r="N1650" t="s">
        <v>3963</v>
      </c>
      <c r="O1650" t="s">
        <v>3963</v>
      </c>
      <c r="P1650" t="s">
        <v>3963</v>
      </c>
      <c r="R1650" t="s">
        <v>15654</v>
      </c>
    </row>
    <row r="1651" spans="4:18">
      <c r="E1651" t="s">
        <v>6596</v>
      </c>
      <c r="I1651" t="s">
        <v>6597</v>
      </c>
      <c r="K1651" t="s">
        <v>15655</v>
      </c>
      <c r="L1651" t="s">
        <v>3963</v>
      </c>
      <c r="M1651" t="s">
        <v>3963</v>
      </c>
      <c r="N1651" t="s">
        <v>3963</v>
      </c>
      <c r="O1651" t="s">
        <v>3963</v>
      </c>
      <c r="P1651" t="s">
        <v>3963</v>
      </c>
      <c r="R1651" t="s">
        <v>15655</v>
      </c>
    </row>
    <row r="1652" spans="4:18">
      <c r="E1652" t="s">
        <v>6598</v>
      </c>
      <c r="I1652" t="s">
        <v>6599</v>
      </c>
      <c r="K1652" t="s">
        <v>15656</v>
      </c>
      <c r="L1652" t="s">
        <v>15640</v>
      </c>
      <c r="M1652" t="s">
        <v>15641</v>
      </c>
      <c r="N1652" t="s">
        <v>3963</v>
      </c>
      <c r="O1652" t="s">
        <v>3963</v>
      </c>
      <c r="P1652" t="s">
        <v>15657</v>
      </c>
      <c r="R1652" t="s">
        <v>15658</v>
      </c>
    </row>
    <row r="1653" spans="4:18">
      <c r="D1653" t="s">
        <v>2619</v>
      </c>
      <c r="H1653" t="s">
        <v>6600</v>
      </c>
      <c r="K1653" t="s">
        <v>15659</v>
      </c>
      <c r="L1653" t="s">
        <v>19063</v>
      </c>
      <c r="M1653" t="s">
        <v>15660</v>
      </c>
      <c r="N1653" t="s">
        <v>3963</v>
      </c>
      <c r="O1653" t="s">
        <v>3963</v>
      </c>
      <c r="P1653" t="s">
        <v>19064</v>
      </c>
      <c r="R1653" t="s">
        <v>19065</v>
      </c>
    </row>
    <row r="1654" spans="4:18">
      <c r="E1654" t="s">
        <v>6601</v>
      </c>
      <c r="I1654" t="s">
        <v>6602</v>
      </c>
      <c r="K1654" t="s">
        <v>15661</v>
      </c>
      <c r="L1654" t="s">
        <v>19066</v>
      </c>
      <c r="M1654" t="s">
        <v>3963</v>
      </c>
      <c r="N1654" t="s">
        <v>3963</v>
      </c>
      <c r="O1654" t="s">
        <v>3963</v>
      </c>
      <c r="P1654" t="s">
        <v>19066</v>
      </c>
      <c r="R1654" t="s">
        <v>19067</v>
      </c>
    </row>
    <row r="1655" spans="4:18">
      <c r="E1655" t="s">
        <v>6603</v>
      </c>
      <c r="I1655" t="s">
        <v>6604</v>
      </c>
      <c r="K1655" t="s">
        <v>4699</v>
      </c>
      <c r="L1655" t="s">
        <v>17937</v>
      </c>
      <c r="M1655" t="s">
        <v>3963</v>
      </c>
      <c r="N1655" t="s">
        <v>3963</v>
      </c>
      <c r="O1655" t="s">
        <v>3963</v>
      </c>
      <c r="P1655" t="s">
        <v>17937</v>
      </c>
      <c r="R1655" t="s">
        <v>17938</v>
      </c>
    </row>
    <row r="1656" spans="4:18">
      <c r="E1656" t="s">
        <v>6605</v>
      </c>
      <c r="I1656" t="s">
        <v>6606</v>
      </c>
      <c r="K1656" t="s">
        <v>3963</v>
      </c>
      <c r="L1656" t="s">
        <v>3963</v>
      </c>
      <c r="M1656" t="s">
        <v>3963</v>
      </c>
      <c r="N1656" t="s">
        <v>3963</v>
      </c>
      <c r="O1656" t="s">
        <v>3963</v>
      </c>
      <c r="P1656" t="s">
        <v>3963</v>
      </c>
      <c r="R1656" t="s">
        <v>3963</v>
      </c>
    </row>
    <row r="1657" spans="4:18">
      <c r="E1657" t="s">
        <v>6607</v>
      </c>
      <c r="I1657" t="s">
        <v>6608</v>
      </c>
      <c r="K1657" t="s">
        <v>15660</v>
      </c>
      <c r="L1657" t="s">
        <v>3963</v>
      </c>
      <c r="M1657" t="s">
        <v>15660</v>
      </c>
      <c r="N1657" t="s">
        <v>3963</v>
      </c>
      <c r="O1657" t="s">
        <v>3963</v>
      </c>
      <c r="P1657" t="s">
        <v>15660</v>
      </c>
      <c r="R1657" t="s">
        <v>3963</v>
      </c>
    </row>
    <row r="1658" spans="4:18">
      <c r="D1658" t="s">
        <v>2616</v>
      </c>
      <c r="H1658" t="s">
        <v>2509</v>
      </c>
      <c r="K1658" t="s">
        <v>15662</v>
      </c>
      <c r="L1658" t="s">
        <v>17939</v>
      </c>
      <c r="M1658" t="s">
        <v>18516</v>
      </c>
      <c r="N1658" t="s">
        <v>3963</v>
      </c>
      <c r="O1658" t="s">
        <v>3963</v>
      </c>
      <c r="P1658" t="s">
        <v>18517</v>
      </c>
      <c r="R1658" t="s">
        <v>18518</v>
      </c>
    </row>
    <row r="1659" spans="4:18">
      <c r="E1659" t="s">
        <v>6609</v>
      </c>
      <c r="I1659" t="s">
        <v>5437</v>
      </c>
      <c r="K1659" t="s">
        <v>15664</v>
      </c>
      <c r="L1659" t="s">
        <v>15663</v>
      </c>
      <c r="M1659" t="s">
        <v>15665</v>
      </c>
      <c r="N1659" t="s">
        <v>3963</v>
      </c>
      <c r="O1659" t="s">
        <v>3963</v>
      </c>
      <c r="P1659" t="s">
        <v>15666</v>
      </c>
      <c r="R1659" t="s">
        <v>15667</v>
      </c>
    </row>
    <row r="1660" spans="4:18">
      <c r="E1660" t="s">
        <v>6610</v>
      </c>
      <c r="I1660" t="s">
        <v>6611</v>
      </c>
      <c r="K1660" t="s">
        <v>15668</v>
      </c>
      <c r="L1660" t="s">
        <v>17940</v>
      </c>
      <c r="M1660" t="s">
        <v>18519</v>
      </c>
      <c r="N1660" t="s">
        <v>3963</v>
      </c>
      <c r="O1660" t="s">
        <v>3963</v>
      </c>
      <c r="P1660" t="s">
        <v>18520</v>
      </c>
      <c r="R1660" t="s">
        <v>18521</v>
      </c>
    </row>
    <row r="1661" spans="4:18">
      <c r="E1661" t="s">
        <v>6612</v>
      </c>
      <c r="I1661" t="s">
        <v>5891</v>
      </c>
      <c r="K1661" t="s">
        <v>15669</v>
      </c>
      <c r="L1661" t="s">
        <v>3963</v>
      </c>
      <c r="M1661" t="s">
        <v>3963</v>
      </c>
      <c r="N1661" t="s">
        <v>3963</v>
      </c>
      <c r="O1661" t="s">
        <v>3963</v>
      </c>
      <c r="P1661" t="s">
        <v>3963</v>
      </c>
      <c r="R1661" t="s">
        <v>15669</v>
      </c>
    </row>
    <row r="1662" spans="4:18">
      <c r="E1662" t="s">
        <v>6613</v>
      </c>
      <c r="I1662" t="s">
        <v>5731</v>
      </c>
      <c r="K1662" t="s">
        <v>15670</v>
      </c>
      <c r="L1662" t="s">
        <v>3963</v>
      </c>
      <c r="M1662" t="s">
        <v>3963</v>
      </c>
      <c r="N1662" t="s">
        <v>3963</v>
      </c>
      <c r="O1662" t="s">
        <v>3963</v>
      </c>
      <c r="P1662" t="s">
        <v>3963</v>
      </c>
      <c r="R1662" t="s">
        <v>15670</v>
      </c>
    </row>
    <row r="1663" spans="4:18">
      <c r="D1663" t="s">
        <v>2617</v>
      </c>
      <c r="H1663" t="s">
        <v>6614</v>
      </c>
      <c r="K1663" t="s">
        <v>15671</v>
      </c>
      <c r="L1663" t="s">
        <v>15672</v>
      </c>
      <c r="M1663" t="s">
        <v>3963</v>
      </c>
      <c r="N1663" t="s">
        <v>3963</v>
      </c>
      <c r="O1663" t="s">
        <v>3963</v>
      </c>
      <c r="P1663" t="s">
        <v>15672</v>
      </c>
      <c r="R1663" t="s">
        <v>17134</v>
      </c>
    </row>
    <row r="1664" spans="4:18">
      <c r="E1664" t="s">
        <v>6615</v>
      </c>
      <c r="I1664" t="s">
        <v>6616</v>
      </c>
      <c r="K1664" t="s">
        <v>15673</v>
      </c>
      <c r="L1664" t="s">
        <v>15674</v>
      </c>
      <c r="M1664" t="s">
        <v>3963</v>
      </c>
      <c r="N1664" t="s">
        <v>3963</v>
      </c>
      <c r="O1664" t="s">
        <v>3963</v>
      </c>
      <c r="P1664" t="s">
        <v>15674</v>
      </c>
      <c r="R1664" t="s">
        <v>17135</v>
      </c>
    </row>
    <row r="1665" spans="4:18">
      <c r="E1665" t="s">
        <v>6617</v>
      </c>
      <c r="I1665" t="s">
        <v>6618</v>
      </c>
      <c r="K1665" t="s">
        <v>4038</v>
      </c>
      <c r="L1665" t="s">
        <v>15675</v>
      </c>
      <c r="M1665" t="s">
        <v>3963</v>
      </c>
      <c r="N1665" t="s">
        <v>3963</v>
      </c>
      <c r="O1665" t="s">
        <v>3963</v>
      </c>
      <c r="P1665" t="s">
        <v>15675</v>
      </c>
      <c r="R1665" t="s">
        <v>17136</v>
      </c>
    </row>
    <row r="1666" spans="4:18">
      <c r="E1666" t="s">
        <v>6619</v>
      </c>
      <c r="I1666" t="s">
        <v>6566</v>
      </c>
      <c r="K1666" t="s">
        <v>15676</v>
      </c>
      <c r="L1666" t="s">
        <v>15677</v>
      </c>
      <c r="M1666" t="s">
        <v>3963</v>
      </c>
      <c r="N1666" t="s">
        <v>3963</v>
      </c>
      <c r="O1666" t="s">
        <v>3963</v>
      </c>
      <c r="P1666" t="s">
        <v>15677</v>
      </c>
      <c r="R1666" t="s">
        <v>15678</v>
      </c>
    </row>
    <row r="1667" spans="4:18">
      <c r="E1667" t="s">
        <v>6620</v>
      </c>
      <c r="I1667" t="s">
        <v>6621</v>
      </c>
      <c r="K1667" t="s">
        <v>15679</v>
      </c>
      <c r="L1667" t="s">
        <v>15680</v>
      </c>
      <c r="M1667" t="s">
        <v>3963</v>
      </c>
      <c r="N1667" t="s">
        <v>3963</v>
      </c>
      <c r="O1667" t="s">
        <v>3963</v>
      </c>
      <c r="P1667" t="s">
        <v>15680</v>
      </c>
      <c r="R1667" t="s">
        <v>15681</v>
      </c>
    </row>
    <row r="1668" spans="4:18">
      <c r="E1668" t="s">
        <v>6622</v>
      </c>
      <c r="I1668" t="s">
        <v>6623</v>
      </c>
      <c r="K1668" t="s">
        <v>15682</v>
      </c>
      <c r="L1668" t="s">
        <v>3963</v>
      </c>
      <c r="M1668" t="s">
        <v>3963</v>
      </c>
      <c r="N1668" t="s">
        <v>3963</v>
      </c>
      <c r="O1668" t="s">
        <v>3963</v>
      </c>
      <c r="P1668" t="s">
        <v>3963</v>
      </c>
      <c r="R1668" t="s">
        <v>15682</v>
      </c>
    </row>
    <row r="1669" spans="4:18">
      <c r="E1669" t="s">
        <v>6624</v>
      </c>
      <c r="I1669" t="s">
        <v>6566</v>
      </c>
      <c r="K1669" t="s">
        <v>3983</v>
      </c>
      <c r="L1669" t="s">
        <v>3963</v>
      </c>
      <c r="M1669" t="s">
        <v>3963</v>
      </c>
      <c r="N1669" t="s">
        <v>3963</v>
      </c>
      <c r="O1669" t="s">
        <v>3963</v>
      </c>
      <c r="P1669" t="s">
        <v>3963</v>
      </c>
      <c r="R1669" t="s">
        <v>3983</v>
      </c>
    </row>
    <row r="1670" spans="4:18">
      <c r="E1670" t="s">
        <v>6625</v>
      </c>
      <c r="I1670" t="s">
        <v>6626</v>
      </c>
      <c r="K1670" t="s">
        <v>15683</v>
      </c>
      <c r="L1670" t="s">
        <v>15684</v>
      </c>
      <c r="M1670" t="s">
        <v>3963</v>
      </c>
      <c r="N1670" t="s">
        <v>3963</v>
      </c>
      <c r="O1670" t="s">
        <v>3963</v>
      </c>
      <c r="P1670" t="s">
        <v>15684</v>
      </c>
      <c r="R1670" t="s">
        <v>15685</v>
      </c>
    </row>
    <row r="1671" spans="4:18">
      <c r="E1671" t="s">
        <v>6627</v>
      </c>
      <c r="I1671" t="s">
        <v>6628</v>
      </c>
      <c r="K1671" t="s">
        <v>15686</v>
      </c>
      <c r="L1671" t="s">
        <v>15686</v>
      </c>
      <c r="M1671" t="s">
        <v>3963</v>
      </c>
      <c r="N1671" t="s">
        <v>3963</v>
      </c>
      <c r="O1671" t="s">
        <v>3963</v>
      </c>
      <c r="P1671" t="s">
        <v>15686</v>
      </c>
      <c r="R1671" t="s">
        <v>3963</v>
      </c>
    </row>
    <row r="1672" spans="4:18">
      <c r="E1672" t="s">
        <v>6629</v>
      </c>
      <c r="I1672" t="s">
        <v>6630</v>
      </c>
      <c r="K1672" t="s">
        <v>4162</v>
      </c>
      <c r="L1672" t="s">
        <v>15687</v>
      </c>
      <c r="M1672" t="s">
        <v>3963</v>
      </c>
      <c r="N1672" t="s">
        <v>3963</v>
      </c>
      <c r="O1672" t="s">
        <v>3963</v>
      </c>
      <c r="P1672" t="s">
        <v>15687</v>
      </c>
      <c r="R1672" t="s">
        <v>15688</v>
      </c>
    </row>
    <row r="1673" spans="4:18">
      <c r="E1673" t="s">
        <v>6778</v>
      </c>
      <c r="I1673" t="s">
        <v>6779</v>
      </c>
      <c r="K1673" t="s">
        <v>13398</v>
      </c>
      <c r="L1673" t="s">
        <v>3963</v>
      </c>
      <c r="M1673" t="s">
        <v>3963</v>
      </c>
      <c r="N1673" t="s">
        <v>3963</v>
      </c>
      <c r="O1673" t="s">
        <v>3963</v>
      </c>
      <c r="P1673" t="s">
        <v>3963</v>
      </c>
      <c r="R1673" t="s">
        <v>13398</v>
      </c>
    </row>
    <row r="1674" spans="4:18">
      <c r="E1674" t="s">
        <v>6874</v>
      </c>
      <c r="I1674" t="s">
        <v>6875</v>
      </c>
      <c r="K1674" t="s">
        <v>12518</v>
      </c>
      <c r="L1674" t="s">
        <v>15689</v>
      </c>
      <c r="M1674" t="s">
        <v>3963</v>
      </c>
      <c r="N1674" t="s">
        <v>3963</v>
      </c>
      <c r="O1674" t="s">
        <v>3963</v>
      </c>
      <c r="P1674" t="s">
        <v>15689</v>
      </c>
      <c r="R1674" t="s">
        <v>15690</v>
      </c>
    </row>
    <row r="1675" spans="4:18">
      <c r="D1675" t="s">
        <v>2626</v>
      </c>
      <c r="H1675" t="s">
        <v>2955</v>
      </c>
      <c r="K1675" t="s">
        <v>15691</v>
      </c>
      <c r="L1675" t="s">
        <v>3963</v>
      </c>
      <c r="M1675" t="s">
        <v>3963</v>
      </c>
      <c r="N1675" t="s">
        <v>18760</v>
      </c>
      <c r="O1675" t="s">
        <v>3963</v>
      </c>
      <c r="P1675" t="s">
        <v>18760</v>
      </c>
      <c r="R1675" t="s">
        <v>18761</v>
      </c>
    </row>
    <row r="1676" spans="4:18">
      <c r="E1676" t="s">
        <v>6631</v>
      </c>
      <c r="I1676" t="s">
        <v>5437</v>
      </c>
      <c r="K1676" t="s">
        <v>15664</v>
      </c>
      <c r="L1676" t="s">
        <v>3963</v>
      </c>
      <c r="M1676" t="s">
        <v>3963</v>
      </c>
      <c r="N1676" t="s">
        <v>18762</v>
      </c>
      <c r="O1676" t="s">
        <v>3963</v>
      </c>
      <c r="P1676" t="s">
        <v>18762</v>
      </c>
      <c r="R1676" t="s">
        <v>18763</v>
      </c>
    </row>
    <row r="1677" spans="4:18">
      <c r="E1677" t="s">
        <v>6632</v>
      </c>
      <c r="I1677" t="s">
        <v>6611</v>
      </c>
      <c r="K1677" t="s">
        <v>15692</v>
      </c>
      <c r="L1677" t="s">
        <v>3963</v>
      </c>
      <c r="M1677" t="s">
        <v>3963</v>
      </c>
      <c r="N1677" t="s">
        <v>15693</v>
      </c>
      <c r="O1677" t="s">
        <v>3963</v>
      </c>
      <c r="P1677" t="s">
        <v>15693</v>
      </c>
      <c r="R1677" t="s">
        <v>15694</v>
      </c>
    </row>
    <row r="1678" spans="4:18">
      <c r="E1678" t="s">
        <v>6633</v>
      </c>
      <c r="I1678" t="s">
        <v>5891</v>
      </c>
      <c r="K1678" t="s">
        <v>15695</v>
      </c>
      <c r="L1678" t="s">
        <v>3963</v>
      </c>
      <c r="M1678" t="s">
        <v>3963</v>
      </c>
      <c r="N1678" t="s">
        <v>15696</v>
      </c>
      <c r="O1678" t="s">
        <v>3963</v>
      </c>
      <c r="P1678" t="s">
        <v>15696</v>
      </c>
      <c r="R1678" t="s">
        <v>15697</v>
      </c>
    </row>
    <row r="1679" spans="4:18">
      <c r="E1679" t="s">
        <v>6634</v>
      </c>
      <c r="I1679" t="s">
        <v>5731</v>
      </c>
      <c r="K1679" t="s">
        <v>15670</v>
      </c>
      <c r="L1679" t="s">
        <v>3963</v>
      </c>
      <c r="M1679" t="s">
        <v>3963</v>
      </c>
      <c r="N1679" t="s">
        <v>3963</v>
      </c>
      <c r="O1679" t="s">
        <v>3963</v>
      </c>
      <c r="P1679" t="s">
        <v>3963</v>
      </c>
      <c r="R1679" t="s">
        <v>15670</v>
      </c>
    </row>
    <row r="1680" spans="4:18">
      <c r="D1680" t="s">
        <v>2637</v>
      </c>
      <c r="H1680" t="s">
        <v>6635</v>
      </c>
      <c r="K1680" t="s">
        <v>6955</v>
      </c>
      <c r="L1680" t="s">
        <v>3963</v>
      </c>
      <c r="M1680" t="s">
        <v>3963</v>
      </c>
      <c r="N1680" t="s">
        <v>3963</v>
      </c>
      <c r="O1680" t="s">
        <v>3963</v>
      </c>
      <c r="P1680" t="s">
        <v>3963</v>
      </c>
      <c r="R1680" t="s">
        <v>6955</v>
      </c>
    </row>
    <row r="1681" spans="4:18">
      <c r="E1681" t="s">
        <v>6636</v>
      </c>
      <c r="I1681" t="s">
        <v>5856</v>
      </c>
      <c r="K1681" t="s">
        <v>6955</v>
      </c>
      <c r="L1681" t="s">
        <v>3963</v>
      </c>
      <c r="M1681" t="s">
        <v>3963</v>
      </c>
      <c r="N1681" t="s">
        <v>3963</v>
      </c>
      <c r="O1681" t="s">
        <v>3963</v>
      </c>
      <c r="P1681" t="s">
        <v>3963</v>
      </c>
      <c r="R1681" t="s">
        <v>6955</v>
      </c>
    </row>
    <row r="1682" spans="4:18">
      <c r="D1682" t="s">
        <v>2653</v>
      </c>
      <c r="H1682" t="s">
        <v>6637</v>
      </c>
      <c r="K1682" t="s">
        <v>15698</v>
      </c>
      <c r="L1682" t="s">
        <v>3963</v>
      </c>
      <c r="M1682" t="s">
        <v>3963</v>
      </c>
      <c r="N1682" t="s">
        <v>15699</v>
      </c>
      <c r="O1682" t="s">
        <v>3963</v>
      </c>
      <c r="P1682" t="s">
        <v>15699</v>
      </c>
      <c r="R1682" t="s">
        <v>15700</v>
      </c>
    </row>
    <row r="1683" spans="4:18">
      <c r="E1683" t="s">
        <v>6638</v>
      </c>
      <c r="I1683" t="s">
        <v>5437</v>
      </c>
      <c r="K1683" t="s">
        <v>15701</v>
      </c>
      <c r="L1683" t="s">
        <v>3963</v>
      </c>
      <c r="M1683" t="s">
        <v>3963</v>
      </c>
      <c r="N1683" t="s">
        <v>3963</v>
      </c>
      <c r="O1683" t="s">
        <v>3963</v>
      </c>
      <c r="P1683" t="s">
        <v>3963</v>
      </c>
      <c r="R1683" t="s">
        <v>15701</v>
      </c>
    </row>
    <row r="1684" spans="4:18">
      <c r="E1684" t="s">
        <v>6639</v>
      </c>
      <c r="I1684" t="s">
        <v>5441</v>
      </c>
      <c r="K1684" t="s">
        <v>15702</v>
      </c>
      <c r="L1684" t="s">
        <v>3963</v>
      </c>
      <c r="M1684" t="s">
        <v>3963</v>
      </c>
      <c r="N1684" t="s">
        <v>3963</v>
      </c>
      <c r="O1684" t="s">
        <v>3963</v>
      </c>
      <c r="P1684" t="s">
        <v>3963</v>
      </c>
      <c r="R1684" t="s">
        <v>15702</v>
      </c>
    </row>
    <row r="1685" spans="4:18">
      <c r="E1685" t="s">
        <v>6640</v>
      </c>
      <c r="I1685" t="s">
        <v>6641</v>
      </c>
      <c r="K1685" t="s">
        <v>15703</v>
      </c>
      <c r="L1685" t="s">
        <v>3963</v>
      </c>
      <c r="M1685" t="s">
        <v>3963</v>
      </c>
      <c r="N1685" t="s">
        <v>15704</v>
      </c>
      <c r="O1685" t="s">
        <v>3963</v>
      </c>
      <c r="P1685" t="s">
        <v>15704</v>
      </c>
      <c r="R1685" t="s">
        <v>15705</v>
      </c>
    </row>
    <row r="1686" spans="4:18">
      <c r="E1686" t="s">
        <v>6642</v>
      </c>
      <c r="I1686" t="s">
        <v>6643</v>
      </c>
      <c r="K1686" t="s">
        <v>15706</v>
      </c>
      <c r="L1686" t="s">
        <v>3963</v>
      </c>
      <c r="M1686" t="s">
        <v>3963</v>
      </c>
      <c r="N1686" t="s">
        <v>15707</v>
      </c>
      <c r="O1686" t="s">
        <v>3963</v>
      </c>
      <c r="P1686" t="s">
        <v>15707</v>
      </c>
      <c r="R1686" t="s">
        <v>15708</v>
      </c>
    </row>
    <row r="1687" spans="4:18">
      <c r="E1687" t="s">
        <v>6644</v>
      </c>
      <c r="I1687" t="s">
        <v>6645</v>
      </c>
      <c r="K1687" t="s">
        <v>15709</v>
      </c>
      <c r="L1687" t="s">
        <v>3963</v>
      </c>
      <c r="M1687" t="s">
        <v>3963</v>
      </c>
      <c r="N1687" t="s">
        <v>3963</v>
      </c>
      <c r="O1687" t="s">
        <v>3963</v>
      </c>
      <c r="P1687" t="s">
        <v>3963</v>
      </c>
      <c r="R1687" t="s">
        <v>15709</v>
      </c>
    </row>
    <row r="1688" spans="4:18">
      <c r="E1688" t="s">
        <v>6646</v>
      </c>
      <c r="I1688" t="s">
        <v>6647</v>
      </c>
      <c r="K1688" t="s">
        <v>15710</v>
      </c>
      <c r="L1688" t="s">
        <v>3963</v>
      </c>
      <c r="M1688" t="s">
        <v>3963</v>
      </c>
      <c r="N1688" t="s">
        <v>3963</v>
      </c>
      <c r="O1688" t="s">
        <v>3963</v>
      </c>
      <c r="P1688" t="s">
        <v>3963</v>
      </c>
      <c r="R1688" t="s">
        <v>15710</v>
      </c>
    </row>
    <row r="1689" spans="4:18">
      <c r="D1689" t="s">
        <v>2692</v>
      </c>
      <c r="H1689" t="s">
        <v>6648</v>
      </c>
      <c r="K1689" t="s">
        <v>15711</v>
      </c>
      <c r="L1689" t="s">
        <v>16524</v>
      </c>
      <c r="M1689" t="s">
        <v>15712</v>
      </c>
      <c r="N1689" t="s">
        <v>3963</v>
      </c>
      <c r="O1689" t="s">
        <v>3963</v>
      </c>
      <c r="P1689" t="s">
        <v>16525</v>
      </c>
      <c r="R1689" t="s">
        <v>16526</v>
      </c>
    </row>
    <row r="1690" spans="4:18">
      <c r="E1690" t="s">
        <v>6649</v>
      </c>
      <c r="I1690" t="s">
        <v>6650</v>
      </c>
      <c r="K1690" t="s">
        <v>15713</v>
      </c>
      <c r="L1690" t="s">
        <v>16527</v>
      </c>
      <c r="M1690" t="s">
        <v>3963</v>
      </c>
      <c r="N1690" t="s">
        <v>3963</v>
      </c>
      <c r="O1690" t="s">
        <v>3963</v>
      </c>
      <c r="P1690" t="s">
        <v>16527</v>
      </c>
      <c r="R1690" t="s">
        <v>16528</v>
      </c>
    </row>
    <row r="1691" spans="4:18">
      <c r="E1691" t="s">
        <v>6651</v>
      </c>
      <c r="I1691" t="s">
        <v>6652</v>
      </c>
      <c r="K1691" t="s">
        <v>15714</v>
      </c>
      <c r="L1691" t="s">
        <v>16529</v>
      </c>
      <c r="M1691" t="s">
        <v>15712</v>
      </c>
      <c r="N1691" t="s">
        <v>3963</v>
      </c>
      <c r="O1691" t="s">
        <v>3963</v>
      </c>
      <c r="P1691" t="s">
        <v>16530</v>
      </c>
      <c r="R1691" t="s">
        <v>16531</v>
      </c>
    </row>
    <row r="1692" spans="4:18">
      <c r="D1692" t="s">
        <v>2654</v>
      </c>
      <c r="H1692" t="s">
        <v>6653</v>
      </c>
      <c r="K1692" t="s">
        <v>13678</v>
      </c>
      <c r="L1692" t="s">
        <v>15715</v>
      </c>
      <c r="M1692" t="s">
        <v>3963</v>
      </c>
      <c r="N1692" t="s">
        <v>3963</v>
      </c>
      <c r="O1692" t="s">
        <v>3963</v>
      </c>
      <c r="P1692" t="s">
        <v>15715</v>
      </c>
      <c r="R1692" t="s">
        <v>15716</v>
      </c>
    </row>
    <row r="1693" spans="4:18">
      <c r="E1693" t="s">
        <v>6654</v>
      </c>
      <c r="I1693" t="s">
        <v>6655</v>
      </c>
      <c r="K1693" t="s">
        <v>4021</v>
      </c>
      <c r="L1693" t="s">
        <v>15717</v>
      </c>
      <c r="M1693" t="s">
        <v>3963</v>
      </c>
      <c r="N1693" t="s">
        <v>3963</v>
      </c>
      <c r="O1693" t="s">
        <v>3963</v>
      </c>
      <c r="P1693" t="s">
        <v>15717</v>
      </c>
      <c r="R1693" t="s">
        <v>15718</v>
      </c>
    </row>
    <row r="1694" spans="4:18">
      <c r="E1694" t="s">
        <v>6656</v>
      </c>
      <c r="I1694" t="s">
        <v>6657</v>
      </c>
      <c r="K1694" t="s">
        <v>15079</v>
      </c>
      <c r="L1694" t="s">
        <v>15719</v>
      </c>
      <c r="M1694" t="s">
        <v>3963</v>
      </c>
      <c r="N1694" t="s">
        <v>3963</v>
      </c>
      <c r="O1694" t="s">
        <v>3963</v>
      </c>
      <c r="P1694" t="s">
        <v>15719</v>
      </c>
      <c r="R1694" t="s">
        <v>15720</v>
      </c>
    </row>
    <row r="1695" spans="4:18">
      <c r="E1695" t="s">
        <v>6658</v>
      </c>
      <c r="I1695" t="s">
        <v>6659</v>
      </c>
      <c r="K1695" t="s">
        <v>15721</v>
      </c>
      <c r="L1695" t="s">
        <v>15722</v>
      </c>
      <c r="M1695" t="s">
        <v>3963</v>
      </c>
      <c r="N1695" t="s">
        <v>3963</v>
      </c>
      <c r="O1695" t="s">
        <v>3963</v>
      </c>
      <c r="P1695" t="s">
        <v>15722</v>
      </c>
      <c r="R1695" t="s">
        <v>15723</v>
      </c>
    </row>
    <row r="1696" spans="4:18">
      <c r="E1696" t="s">
        <v>6660</v>
      </c>
      <c r="I1696" t="s">
        <v>6661</v>
      </c>
      <c r="K1696" t="s">
        <v>15724</v>
      </c>
      <c r="L1696" t="s">
        <v>15724</v>
      </c>
      <c r="M1696" t="s">
        <v>3963</v>
      </c>
      <c r="N1696" t="s">
        <v>3963</v>
      </c>
      <c r="O1696" t="s">
        <v>3963</v>
      </c>
      <c r="P1696" t="s">
        <v>15724</v>
      </c>
      <c r="R1696" t="s">
        <v>3963</v>
      </c>
    </row>
    <row r="1697" spans="4:18">
      <c r="E1697" t="s">
        <v>6662</v>
      </c>
      <c r="I1697" t="s">
        <v>6663</v>
      </c>
      <c r="K1697" t="s">
        <v>4134</v>
      </c>
      <c r="L1697" t="s">
        <v>3963</v>
      </c>
      <c r="M1697" t="s">
        <v>3963</v>
      </c>
      <c r="N1697" t="s">
        <v>3963</v>
      </c>
      <c r="O1697" t="s">
        <v>3963</v>
      </c>
      <c r="P1697" t="s">
        <v>3963</v>
      </c>
      <c r="R1697" t="s">
        <v>4134</v>
      </c>
    </row>
    <row r="1698" spans="4:18">
      <c r="D1698" t="s">
        <v>2690</v>
      </c>
      <c r="H1698" t="s">
        <v>6664</v>
      </c>
      <c r="K1698" t="s">
        <v>3963</v>
      </c>
      <c r="L1698" t="s">
        <v>3963</v>
      </c>
      <c r="M1698" t="s">
        <v>3963</v>
      </c>
      <c r="N1698" t="s">
        <v>3963</v>
      </c>
      <c r="O1698" t="s">
        <v>3963</v>
      </c>
      <c r="P1698" t="s">
        <v>3963</v>
      </c>
      <c r="R1698" t="s">
        <v>3963</v>
      </c>
    </row>
    <row r="1699" spans="4:18">
      <c r="E1699" t="s">
        <v>6665</v>
      </c>
      <c r="I1699" t="s">
        <v>6666</v>
      </c>
      <c r="K1699" t="s">
        <v>3963</v>
      </c>
      <c r="L1699" t="s">
        <v>3963</v>
      </c>
      <c r="M1699" t="s">
        <v>3963</v>
      </c>
      <c r="N1699" t="s">
        <v>3963</v>
      </c>
      <c r="O1699" t="s">
        <v>3963</v>
      </c>
      <c r="P1699" t="s">
        <v>3963</v>
      </c>
      <c r="R1699" t="s">
        <v>3963</v>
      </c>
    </row>
    <row r="1700" spans="4:18">
      <c r="E1700" t="s">
        <v>6667</v>
      </c>
      <c r="I1700" t="s">
        <v>6668</v>
      </c>
      <c r="K1700" t="s">
        <v>3963</v>
      </c>
      <c r="L1700" t="s">
        <v>3963</v>
      </c>
      <c r="M1700" t="s">
        <v>3963</v>
      </c>
      <c r="N1700" t="s">
        <v>3963</v>
      </c>
      <c r="O1700" t="s">
        <v>3963</v>
      </c>
      <c r="P1700" t="s">
        <v>3963</v>
      </c>
      <c r="R1700" t="s">
        <v>3963</v>
      </c>
    </row>
    <row r="1701" spans="4:18">
      <c r="E1701" t="s">
        <v>6669</v>
      </c>
      <c r="I1701" t="s">
        <v>6670</v>
      </c>
      <c r="K1701" t="s">
        <v>3963</v>
      </c>
      <c r="L1701" t="s">
        <v>3963</v>
      </c>
      <c r="M1701" t="s">
        <v>3963</v>
      </c>
      <c r="N1701" t="s">
        <v>3963</v>
      </c>
      <c r="O1701" t="s">
        <v>3963</v>
      </c>
      <c r="P1701" t="s">
        <v>3963</v>
      </c>
      <c r="R1701" t="s">
        <v>3963</v>
      </c>
    </row>
    <row r="1702" spans="4:18">
      <c r="D1702" t="s">
        <v>2685</v>
      </c>
      <c r="H1702" t="s">
        <v>6671</v>
      </c>
      <c r="K1702" t="s">
        <v>3963</v>
      </c>
      <c r="L1702" t="s">
        <v>3963</v>
      </c>
      <c r="M1702" t="s">
        <v>3963</v>
      </c>
      <c r="N1702" t="s">
        <v>3963</v>
      </c>
      <c r="O1702" t="s">
        <v>3963</v>
      </c>
      <c r="P1702" t="s">
        <v>3963</v>
      </c>
      <c r="R1702" t="s">
        <v>3963</v>
      </c>
    </row>
    <row r="1703" spans="4:18">
      <c r="E1703" t="s">
        <v>6672</v>
      </c>
      <c r="I1703" t="s">
        <v>6673</v>
      </c>
      <c r="K1703" t="s">
        <v>3963</v>
      </c>
      <c r="L1703" t="s">
        <v>3963</v>
      </c>
      <c r="M1703" t="s">
        <v>3963</v>
      </c>
      <c r="N1703" t="s">
        <v>3963</v>
      </c>
      <c r="O1703" t="s">
        <v>3963</v>
      </c>
      <c r="P1703" t="s">
        <v>3963</v>
      </c>
      <c r="R1703" t="s">
        <v>3963</v>
      </c>
    </row>
    <row r="1704" spans="4:18">
      <c r="E1704" t="s">
        <v>6674</v>
      </c>
      <c r="I1704" t="s">
        <v>6675</v>
      </c>
      <c r="K1704" t="s">
        <v>3963</v>
      </c>
      <c r="L1704" t="s">
        <v>3963</v>
      </c>
      <c r="M1704" t="s">
        <v>3963</v>
      </c>
      <c r="N1704" t="s">
        <v>3963</v>
      </c>
      <c r="O1704" t="s">
        <v>3963</v>
      </c>
      <c r="P1704" t="s">
        <v>3963</v>
      </c>
      <c r="R1704" t="s">
        <v>3963</v>
      </c>
    </row>
    <row r="1705" spans="4:18">
      <c r="E1705" t="s">
        <v>6676</v>
      </c>
      <c r="I1705" t="s">
        <v>6223</v>
      </c>
      <c r="K1705" t="s">
        <v>3963</v>
      </c>
      <c r="L1705" t="s">
        <v>3963</v>
      </c>
      <c r="M1705" t="s">
        <v>3963</v>
      </c>
      <c r="N1705" t="s">
        <v>3963</v>
      </c>
      <c r="O1705" t="s">
        <v>3963</v>
      </c>
      <c r="P1705" t="s">
        <v>3963</v>
      </c>
      <c r="R1705" t="s">
        <v>3963</v>
      </c>
    </row>
    <row r="1706" spans="4:18">
      <c r="E1706" t="s">
        <v>6677</v>
      </c>
      <c r="I1706" t="s">
        <v>5731</v>
      </c>
      <c r="K1706" t="s">
        <v>3963</v>
      </c>
      <c r="L1706" t="s">
        <v>3963</v>
      </c>
      <c r="M1706" t="s">
        <v>3963</v>
      </c>
      <c r="N1706" t="s">
        <v>3963</v>
      </c>
      <c r="O1706" t="s">
        <v>3963</v>
      </c>
      <c r="P1706" t="s">
        <v>3963</v>
      </c>
      <c r="R1706" t="s">
        <v>3963</v>
      </c>
    </row>
    <row r="1707" spans="4:18">
      <c r="D1707" t="s">
        <v>2686</v>
      </c>
      <c r="H1707" t="s">
        <v>6678</v>
      </c>
      <c r="K1707" t="s">
        <v>15725</v>
      </c>
      <c r="L1707" t="s">
        <v>17941</v>
      </c>
      <c r="M1707" t="s">
        <v>17572</v>
      </c>
      <c r="N1707" t="s">
        <v>3963</v>
      </c>
      <c r="O1707" t="s">
        <v>3963</v>
      </c>
      <c r="P1707" t="s">
        <v>17942</v>
      </c>
      <c r="R1707" t="s">
        <v>17943</v>
      </c>
    </row>
    <row r="1708" spans="4:18">
      <c r="E1708" t="s">
        <v>6679</v>
      </c>
      <c r="I1708" t="s">
        <v>6680</v>
      </c>
      <c r="K1708" t="s">
        <v>15726</v>
      </c>
      <c r="L1708" t="s">
        <v>3963</v>
      </c>
      <c r="M1708" t="s">
        <v>3963</v>
      </c>
      <c r="N1708" t="s">
        <v>3963</v>
      </c>
      <c r="O1708" t="s">
        <v>3963</v>
      </c>
      <c r="P1708" t="s">
        <v>3963</v>
      </c>
      <c r="R1708" t="s">
        <v>15726</v>
      </c>
    </row>
    <row r="1709" spans="4:18">
      <c r="E1709" t="s">
        <v>6681</v>
      </c>
      <c r="I1709" t="s">
        <v>6573</v>
      </c>
      <c r="K1709" t="s">
        <v>15727</v>
      </c>
      <c r="L1709" t="s">
        <v>17941</v>
      </c>
      <c r="M1709" t="s">
        <v>17572</v>
      </c>
      <c r="N1709" t="s">
        <v>3963</v>
      </c>
      <c r="O1709" t="s">
        <v>3963</v>
      </c>
      <c r="P1709" t="s">
        <v>17942</v>
      </c>
      <c r="R1709" t="s">
        <v>17944</v>
      </c>
    </row>
    <row r="1710" spans="4:18">
      <c r="D1710" t="s">
        <v>2687</v>
      </c>
      <c r="H1710" t="s">
        <v>6682</v>
      </c>
      <c r="K1710" t="s">
        <v>15728</v>
      </c>
      <c r="L1710" t="s">
        <v>3963</v>
      </c>
      <c r="M1710" t="s">
        <v>3963</v>
      </c>
      <c r="N1710" t="s">
        <v>17945</v>
      </c>
      <c r="O1710" t="s">
        <v>3963</v>
      </c>
      <c r="P1710" t="s">
        <v>17945</v>
      </c>
      <c r="R1710" t="s">
        <v>17946</v>
      </c>
    </row>
    <row r="1711" spans="4:18">
      <c r="E1711" t="s">
        <v>6683</v>
      </c>
      <c r="I1711" t="s">
        <v>6680</v>
      </c>
      <c r="K1711" t="s">
        <v>15729</v>
      </c>
      <c r="L1711" t="s">
        <v>3963</v>
      </c>
      <c r="M1711" t="s">
        <v>3963</v>
      </c>
      <c r="N1711" t="s">
        <v>17945</v>
      </c>
      <c r="O1711" t="s">
        <v>3963</v>
      </c>
      <c r="P1711" t="s">
        <v>17945</v>
      </c>
      <c r="R1711" t="s">
        <v>17947</v>
      </c>
    </row>
    <row r="1712" spans="4:18">
      <c r="E1712" t="s">
        <v>6684</v>
      </c>
      <c r="I1712" t="s">
        <v>6573</v>
      </c>
      <c r="K1712" t="s">
        <v>15730</v>
      </c>
      <c r="L1712" t="s">
        <v>3963</v>
      </c>
      <c r="M1712" t="s">
        <v>3963</v>
      </c>
      <c r="N1712" t="s">
        <v>3963</v>
      </c>
      <c r="O1712" t="s">
        <v>3963</v>
      </c>
      <c r="P1712" t="s">
        <v>3963</v>
      </c>
      <c r="R1712" t="s">
        <v>15730</v>
      </c>
    </row>
    <row r="1713" spans="4:18">
      <c r="D1713" t="s">
        <v>2693</v>
      </c>
      <c r="H1713" t="s">
        <v>6648</v>
      </c>
      <c r="K1713" t="s">
        <v>15731</v>
      </c>
      <c r="L1713" t="s">
        <v>16532</v>
      </c>
      <c r="M1713" t="s">
        <v>3963</v>
      </c>
      <c r="N1713" t="s">
        <v>3963</v>
      </c>
      <c r="O1713" t="s">
        <v>3963</v>
      </c>
      <c r="P1713" t="s">
        <v>16532</v>
      </c>
      <c r="R1713" t="s">
        <v>16533</v>
      </c>
    </row>
    <row r="1714" spans="4:18">
      <c r="E1714" t="s">
        <v>6685</v>
      </c>
      <c r="I1714" t="s">
        <v>6686</v>
      </c>
      <c r="K1714" t="s">
        <v>15732</v>
      </c>
      <c r="L1714" t="s">
        <v>16532</v>
      </c>
      <c r="M1714" t="s">
        <v>3963</v>
      </c>
      <c r="N1714" t="s">
        <v>3963</v>
      </c>
      <c r="O1714" t="s">
        <v>3963</v>
      </c>
      <c r="P1714" t="s">
        <v>16532</v>
      </c>
      <c r="R1714" t="s">
        <v>16534</v>
      </c>
    </row>
    <row r="1715" spans="4:18">
      <c r="D1715" t="s">
        <v>2772</v>
      </c>
      <c r="H1715" t="s">
        <v>6687</v>
      </c>
      <c r="K1715" t="s">
        <v>19548</v>
      </c>
      <c r="L1715" t="s">
        <v>15733</v>
      </c>
      <c r="M1715" t="s">
        <v>3963</v>
      </c>
      <c r="N1715" t="s">
        <v>3963</v>
      </c>
      <c r="O1715" t="s">
        <v>3963</v>
      </c>
      <c r="P1715" t="s">
        <v>15733</v>
      </c>
      <c r="R1715" t="s">
        <v>19549</v>
      </c>
    </row>
    <row r="1716" spans="4:18">
      <c r="E1716" t="s">
        <v>6688</v>
      </c>
      <c r="I1716" t="s">
        <v>6689</v>
      </c>
      <c r="K1716" t="s">
        <v>19548</v>
      </c>
      <c r="L1716" t="s">
        <v>15733</v>
      </c>
      <c r="M1716" t="s">
        <v>3963</v>
      </c>
      <c r="N1716" t="s">
        <v>3963</v>
      </c>
      <c r="O1716" t="s">
        <v>3963</v>
      </c>
      <c r="P1716" t="s">
        <v>15733</v>
      </c>
      <c r="R1716" t="s">
        <v>19549</v>
      </c>
    </row>
    <row r="1717" spans="4:18">
      <c r="D1717" t="s">
        <v>2774</v>
      </c>
      <c r="H1717" t="s">
        <v>6690</v>
      </c>
      <c r="K1717" t="s">
        <v>3963</v>
      </c>
      <c r="L1717" t="s">
        <v>3963</v>
      </c>
      <c r="M1717" t="s">
        <v>3963</v>
      </c>
      <c r="N1717" t="s">
        <v>3963</v>
      </c>
      <c r="O1717" t="s">
        <v>3963</v>
      </c>
      <c r="P1717" t="s">
        <v>3963</v>
      </c>
      <c r="R1717" t="s">
        <v>3963</v>
      </c>
    </row>
    <row r="1718" spans="4:18">
      <c r="E1718" t="s">
        <v>6691</v>
      </c>
      <c r="I1718" t="s">
        <v>6692</v>
      </c>
      <c r="K1718" t="s">
        <v>3963</v>
      </c>
      <c r="L1718" t="s">
        <v>3963</v>
      </c>
      <c r="M1718" t="s">
        <v>3963</v>
      </c>
      <c r="N1718" t="s">
        <v>3963</v>
      </c>
      <c r="O1718" t="s">
        <v>3963</v>
      </c>
      <c r="P1718" t="s">
        <v>3963</v>
      </c>
      <c r="R1718" t="s">
        <v>3963</v>
      </c>
    </row>
    <row r="1719" spans="4:18">
      <c r="E1719" t="s">
        <v>6693</v>
      </c>
      <c r="I1719" t="s">
        <v>6694</v>
      </c>
      <c r="K1719" t="s">
        <v>3963</v>
      </c>
      <c r="L1719" t="s">
        <v>3963</v>
      </c>
      <c r="M1719" t="s">
        <v>3963</v>
      </c>
      <c r="N1719" t="s">
        <v>3963</v>
      </c>
      <c r="O1719" t="s">
        <v>3963</v>
      </c>
      <c r="P1719" t="s">
        <v>3963</v>
      </c>
      <c r="R1719" t="s">
        <v>3963</v>
      </c>
    </row>
    <row r="1720" spans="4:18">
      <c r="E1720" t="s">
        <v>6695</v>
      </c>
      <c r="I1720" t="s">
        <v>6696</v>
      </c>
      <c r="K1720" t="s">
        <v>3963</v>
      </c>
      <c r="L1720" t="s">
        <v>3963</v>
      </c>
      <c r="M1720" t="s">
        <v>3963</v>
      </c>
      <c r="N1720" t="s">
        <v>3963</v>
      </c>
      <c r="O1720" t="s">
        <v>3963</v>
      </c>
      <c r="P1720" t="s">
        <v>3963</v>
      </c>
      <c r="R1720" t="s">
        <v>3963</v>
      </c>
    </row>
    <row r="1721" spans="4:18">
      <c r="E1721" t="s">
        <v>6697</v>
      </c>
      <c r="I1721" t="s">
        <v>6698</v>
      </c>
      <c r="K1721" t="s">
        <v>3963</v>
      </c>
      <c r="L1721" t="s">
        <v>3963</v>
      </c>
      <c r="M1721" t="s">
        <v>3963</v>
      </c>
      <c r="N1721" t="s">
        <v>3963</v>
      </c>
      <c r="O1721" t="s">
        <v>3963</v>
      </c>
      <c r="P1721" t="s">
        <v>3963</v>
      </c>
      <c r="R1721" t="s">
        <v>3963</v>
      </c>
    </row>
    <row r="1722" spans="4:18">
      <c r="E1722" t="s">
        <v>6699</v>
      </c>
      <c r="I1722" t="s">
        <v>6700</v>
      </c>
      <c r="K1722" t="s">
        <v>3963</v>
      </c>
      <c r="L1722" t="s">
        <v>3963</v>
      </c>
      <c r="M1722" t="s">
        <v>3963</v>
      </c>
      <c r="N1722" t="s">
        <v>3963</v>
      </c>
      <c r="O1722" t="s">
        <v>3963</v>
      </c>
      <c r="P1722" t="s">
        <v>3963</v>
      </c>
      <c r="R1722" t="s">
        <v>3963</v>
      </c>
    </row>
    <row r="1723" spans="4:18">
      <c r="E1723" t="s">
        <v>6701</v>
      </c>
      <c r="I1723" t="s">
        <v>6702</v>
      </c>
      <c r="K1723" t="s">
        <v>3963</v>
      </c>
      <c r="L1723" t="s">
        <v>3963</v>
      </c>
      <c r="M1723" t="s">
        <v>3963</v>
      </c>
      <c r="N1723" t="s">
        <v>3963</v>
      </c>
      <c r="O1723" t="s">
        <v>3963</v>
      </c>
      <c r="P1723" t="s">
        <v>3963</v>
      </c>
      <c r="R1723" t="s">
        <v>3963</v>
      </c>
    </row>
    <row r="1724" spans="4:18">
      <c r="E1724" t="s">
        <v>6703</v>
      </c>
      <c r="I1724" t="s">
        <v>6704</v>
      </c>
      <c r="K1724" t="s">
        <v>3963</v>
      </c>
      <c r="L1724" t="s">
        <v>3963</v>
      </c>
      <c r="M1724" t="s">
        <v>3963</v>
      </c>
      <c r="N1724" t="s">
        <v>3963</v>
      </c>
      <c r="O1724" t="s">
        <v>3963</v>
      </c>
      <c r="P1724" t="s">
        <v>3963</v>
      </c>
      <c r="R1724" t="s">
        <v>3963</v>
      </c>
    </row>
    <row r="1725" spans="4:18">
      <c r="E1725" t="s">
        <v>6705</v>
      </c>
      <c r="I1725" t="s">
        <v>6706</v>
      </c>
      <c r="K1725" t="s">
        <v>3963</v>
      </c>
      <c r="L1725" t="s">
        <v>3963</v>
      </c>
      <c r="M1725" t="s">
        <v>3963</v>
      </c>
      <c r="N1725" t="s">
        <v>3963</v>
      </c>
      <c r="O1725" t="s">
        <v>3963</v>
      </c>
      <c r="P1725" t="s">
        <v>3963</v>
      </c>
      <c r="R1725" t="s">
        <v>3963</v>
      </c>
    </row>
    <row r="1726" spans="4:18">
      <c r="E1726" t="s">
        <v>6707</v>
      </c>
      <c r="I1726" t="s">
        <v>6708</v>
      </c>
      <c r="K1726" t="s">
        <v>3963</v>
      </c>
      <c r="L1726" t="s">
        <v>3963</v>
      </c>
      <c r="M1726" t="s">
        <v>3963</v>
      </c>
      <c r="N1726" t="s">
        <v>3963</v>
      </c>
      <c r="O1726" t="s">
        <v>3963</v>
      </c>
      <c r="P1726" t="s">
        <v>3963</v>
      </c>
      <c r="R1726" t="s">
        <v>3963</v>
      </c>
    </row>
    <row r="1727" spans="4:18">
      <c r="E1727" t="s">
        <v>6709</v>
      </c>
      <c r="I1727" t="s">
        <v>6710</v>
      </c>
      <c r="K1727" t="s">
        <v>3963</v>
      </c>
      <c r="L1727" t="s">
        <v>3963</v>
      </c>
      <c r="M1727" t="s">
        <v>3963</v>
      </c>
      <c r="N1727" t="s">
        <v>3963</v>
      </c>
      <c r="O1727" t="s">
        <v>3963</v>
      </c>
      <c r="P1727" t="s">
        <v>3963</v>
      </c>
      <c r="R1727" t="s">
        <v>3963</v>
      </c>
    </row>
    <row r="1728" spans="4:18">
      <c r="E1728" t="s">
        <v>6711</v>
      </c>
      <c r="I1728" t="s">
        <v>6712</v>
      </c>
      <c r="K1728" t="s">
        <v>3963</v>
      </c>
      <c r="L1728" t="s">
        <v>3963</v>
      </c>
      <c r="M1728" t="s">
        <v>3963</v>
      </c>
      <c r="N1728" t="s">
        <v>3963</v>
      </c>
      <c r="O1728" t="s">
        <v>3963</v>
      </c>
      <c r="P1728" t="s">
        <v>3963</v>
      </c>
      <c r="R1728" t="s">
        <v>3963</v>
      </c>
    </row>
    <row r="1729" spans="4:18">
      <c r="D1729" t="s">
        <v>2792</v>
      </c>
      <c r="H1729" t="s">
        <v>6713</v>
      </c>
      <c r="K1729" t="s">
        <v>15734</v>
      </c>
      <c r="L1729" t="s">
        <v>17948</v>
      </c>
      <c r="M1729" t="s">
        <v>17137</v>
      </c>
      <c r="N1729" t="s">
        <v>19946</v>
      </c>
      <c r="O1729" t="s">
        <v>3963</v>
      </c>
      <c r="P1729" t="s">
        <v>19947</v>
      </c>
      <c r="R1729" t="s">
        <v>19948</v>
      </c>
    </row>
    <row r="1730" spans="4:18">
      <c r="E1730" t="s">
        <v>6714</v>
      </c>
      <c r="I1730" t="s">
        <v>6059</v>
      </c>
      <c r="K1730" t="s">
        <v>3963</v>
      </c>
      <c r="L1730" t="s">
        <v>3963</v>
      </c>
      <c r="M1730" t="s">
        <v>3963</v>
      </c>
      <c r="N1730" t="s">
        <v>3963</v>
      </c>
      <c r="O1730" t="s">
        <v>3963</v>
      </c>
      <c r="P1730" t="s">
        <v>3963</v>
      </c>
      <c r="R1730" t="s">
        <v>3963</v>
      </c>
    </row>
    <row r="1731" spans="4:18">
      <c r="E1731" t="s">
        <v>7044</v>
      </c>
      <c r="I1731" t="s">
        <v>5185</v>
      </c>
      <c r="K1731" t="s">
        <v>15735</v>
      </c>
      <c r="L1731" t="s">
        <v>3963</v>
      </c>
      <c r="M1731" t="s">
        <v>3963</v>
      </c>
      <c r="N1731" t="s">
        <v>3963</v>
      </c>
      <c r="O1731" t="s">
        <v>3963</v>
      </c>
      <c r="P1731" t="s">
        <v>3963</v>
      </c>
      <c r="R1731" t="s">
        <v>15735</v>
      </c>
    </row>
    <row r="1732" spans="4:18">
      <c r="E1732" t="s">
        <v>7045</v>
      </c>
      <c r="I1732" t="s">
        <v>6111</v>
      </c>
      <c r="K1732" t="s">
        <v>6955</v>
      </c>
      <c r="L1732" t="s">
        <v>3963</v>
      </c>
      <c r="M1732" t="s">
        <v>3963</v>
      </c>
      <c r="N1732" t="s">
        <v>3963</v>
      </c>
      <c r="O1732" t="s">
        <v>3963</v>
      </c>
      <c r="P1732" t="s">
        <v>3963</v>
      </c>
      <c r="R1732" t="s">
        <v>6955</v>
      </c>
    </row>
    <row r="1733" spans="4:18">
      <c r="E1733" t="s">
        <v>7046</v>
      </c>
      <c r="I1733" t="s">
        <v>5189</v>
      </c>
      <c r="K1733" t="s">
        <v>15736</v>
      </c>
      <c r="L1733" t="s">
        <v>3963</v>
      </c>
      <c r="M1733" t="s">
        <v>15991</v>
      </c>
      <c r="N1733" t="s">
        <v>3963</v>
      </c>
      <c r="O1733" t="s">
        <v>3963</v>
      </c>
      <c r="P1733" t="s">
        <v>15991</v>
      </c>
      <c r="R1733" t="s">
        <v>15992</v>
      </c>
    </row>
    <row r="1734" spans="4:18">
      <c r="E1734" t="s">
        <v>7047</v>
      </c>
      <c r="I1734" t="s">
        <v>5194</v>
      </c>
      <c r="K1734" t="s">
        <v>15737</v>
      </c>
      <c r="L1734" t="s">
        <v>3963</v>
      </c>
      <c r="M1734" t="s">
        <v>15738</v>
      </c>
      <c r="N1734" t="s">
        <v>19550</v>
      </c>
      <c r="O1734" t="s">
        <v>3963</v>
      </c>
      <c r="P1734" t="s">
        <v>19551</v>
      </c>
      <c r="R1734" t="s">
        <v>19552</v>
      </c>
    </row>
    <row r="1735" spans="4:18">
      <c r="E1735" t="s">
        <v>7048</v>
      </c>
      <c r="I1735" t="s">
        <v>7049</v>
      </c>
      <c r="K1735" t="s">
        <v>15735</v>
      </c>
      <c r="L1735" t="s">
        <v>3963</v>
      </c>
      <c r="M1735" t="s">
        <v>3963</v>
      </c>
      <c r="N1735" t="s">
        <v>3963</v>
      </c>
      <c r="O1735" t="s">
        <v>3963</v>
      </c>
      <c r="P1735" t="s">
        <v>3963</v>
      </c>
      <c r="R1735" t="s">
        <v>15735</v>
      </c>
    </row>
    <row r="1736" spans="4:18">
      <c r="E1736" t="s">
        <v>7050</v>
      </c>
      <c r="I1736" t="s">
        <v>5196</v>
      </c>
      <c r="K1736" t="s">
        <v>15739</v>
      </c>
      <c r="L1736" t="s">
        <v>15943</v>
      </c>
      <c r="M1736" t="s">
        <v>15944</v>
      </c>
      <c r="N1736" t="s">
        <v>3963</v>
      </c>
      <c r="O1736" t="s">
        <v>3963</v>
      </c>
      <c r="P1736" t="s">
        <v>15945</v>
      </c>
      <c r="R1736" t="s">
        <v>15946</v>
      </c>
    </row>
    <row r="1737" spans="4:18">
      <c r="E1737" t="s">
        <v>7051</v>
      </c>
      <c r="I1737" t="s">
        <v>7052</v>
      </c>
      <c r="K1737" t="s">
        <v>15740</v>
      </c>
      <c r="L1737" t="s">
        <v>3963</v>
      </c>
      <c r="M1737" t="s">
        <v>3963</v>
      </c>
      <c r="N1737" t="s">
        <v>3963</v>
      </c>
      <c r="O1737" t="s">
        <v>3963</v>
      </c>
      <c r="P1737" t="s">
        <v>3963</v>
      </c>
      <c r="R1737" t="s">
        <v>15740</v>
      </c>
    </row>
    <row r="1738" spans="4:18">
      <c r="E1738" t="s">
        <v>7053</v>
      </c>
      <c r="I1738" t="s">
        <v>5200</v>
      </c>
      <c r="K1738" t="s">
        <v>15740</v>
      </c>
      <c r="L1738" t="s">
        <v>17949</v>
      </c>
      <c r="M1738" t="s">
        <v>3963</v>
      </c>
      <c r="N1738" t="s">
        <v>3963</v>
      </c>
      <c r="O1738" t="s">
        <v>3963</v>
      </c>
      <c r="P1738" t="s">
        <v>17949</v>
      </c>
      <c r="R1738" t="s">
        <v>17950</v>
      </c>
    </row>
    <row r="1739" spans="4:18">
      <c r="E1739" t="s">
        <v>7054</v>
      </c>
      <c r="I1739" t="s">
        <v>5203</v>
      </c>
      <c r="K1739" t="s">
        <v>15740</v>
      </c>
      <c r="L1739" t="s">
        <v>3963</v>
      </c>
      <c r="M1739" t="s">
        <v>3963</v>
      </c>
      <c r="N1739" t="s">
        <v>3963</v>
      </c>
      <c r="O1739" t="s">
        <v>3963</v>
      </c>
      <c r="P1739" t="s">
        <v>3963</v>
      </c>
      <c r="R1739" t="s">
        <v>15740</v>
      </c>
    </row>
    <row r="1740" spans="4:18">
      <c r="E1740" t="s">
        <v>7055</v>
      </c>
      <c r="I1740" t="s">
        <v>5206</v>
      </c>
      <c r="K1740" t="s">
        <v>15740</v>
      </c>
      <c r="L1740" t="s">
        <v>3963</v>
      </c>
      <c r="M1740" t="s">
        <v>3963</v>
      </c>
      <c r="N1740" t="s">
        <v>3963</v>
      </c>
      <c r="O1740" t="s">
        <v>3963</v>
      </c>
      <c r="P1740" t="s">
        <v>3963</v>
      </c>
      <c r="R1740" t="s">
        <v>15740</v>
      </c>
    </row>
    <row r="1741" spans="4:18">
      <c r="E1741" t="s">
        <v>7056</v>
      </c>
      <c r="I1741" t="s">
        <v>6116</v>
      </c>
      <c r="K1741" t="s">
        <v>12504</v>
      </c>
      <c r="L1741" t="s">
        <v>15741</v>
      </c>
      <c r="M1741" t="s">
        <v>3963</v>
      </c>
      <c r="N1741" t="s">
        <v>3963</v>
      </c>
      <c r="O1741" t="s">
        <v>3963</v>
      </c>
      <c r="P1741" t="s">
        <v>15741</v>
      </c>
      <c r="R1741" t="s">
        <v>15742</v>
      </c>
    </row>
    <row r="1742" spans="4:18">
      <c r="E1742" t="s">
        <v>7057</v>
      </c>
      <c r="I1742" t="s">
        <v>5208</v>
      </c>
      <c r="K1742" t="s">
        <v>15223</v>
      </c>
      <c r="L1742" t="s">
        <v>3963</v>
      </c>
      <c r="M1742" t="s">
        <v>3963</v>
      </c>
      <c r="N1742" t="s">
        <v>19949</v>
      </c>
      <c r="O1742" t="s">
        <v>3963</v>
      </c>
      <c r="P1742" t="s">
        <v>19949</v>
      </c>
      <c r="R1742" t="s">
        <v>19950</v>
      </c>
    </row>
    <row r="1743" spans="4:18">
      <c r="E1743" t="s">
        <v>7058</v>
      </c>
      <c r="I1743" t="s">
        <v>5210</v>
      </c>
      <c r="K1743" t="s">
        <v>6955</v>
      </c>
      <c r="L1743" t="s">
        <v>15743</v>
      </c>
      <c r="M1743" t="s">
        <v>3963</v>
      </c>
      <c r="N1743" t="s">
        <v>3963</v>
      </c>
      <c r="O1743" t="s">
        <v>3963</v>
      </c>
      <c r="P1743" t="s">
        <v>15743</v>
      </c>
      <c r="R1743" t="s">
        <v>15744</v>
      </c>
    </row>
    <row r="1744" spans="4:18">
      <c r="D1744" t="s">
        <v>3211</v>
      </c>
      <c r="H1744" t="s">
        <v>6715</v>
      </c>
      <c r="K1744" t="s">
        <v>15745</v>
      </c>
      <c r="L1744" t="s">
        <v>19404</v>
      </c>
      <c r="M1744" t="s">
        <v>3963</v>
      </c>
      <c r="N1744" t="s">
        <v>3963</v>
      </c>
      <c r="O1744" t="s">
        <v>3963</v>
      </c>
      <c r="P1744" t="s">
        <v>19404</v>
      </c>
      <c r="R1744" t="s">
        <v>19405</v>
      </c>
    </row>
    <row r="1745" spans="4:18">
      <c r="E1745" t="s">
        <v>6716</v>
      </c>
      <c r="I1745" t="s">
        <v>6717</v>
      </c>
      <c r="K1745" t="s">
        <v>17290</v>
      </c>
      <c r="L1745" t="s">
        <v>19404</v>
      </c>
      <c r="M1745" t="s">
        <v>3963</v>
      </c>
      <c r="N1745" t="s">
        <v>3963</v>
      </c>
      <c r="O1745" t="s">
        <v>3963</v>
      </c>
      <c r="P1745" t="s">
        <v>19404</v>
      </c>
      <c r="R1745" t="s">
        <v>19406</v>
      </c>
    </row>
    <row r="1746" spans="4:18">
      <c r="E1746" t="s">
        <v>6718</v>
      </c>
      <c r="I1746" t="s">
        <v>6719</v>
      </c>
      <c r="K1746" t="s">
        <v>17291</v>
      </c>
      <c r="L1746" t="s">
        <v>3963</v>
      </c>
      <c r="M1746" t="s">
        <v>3963</v>
      </c>
      <c r="N1746" t="s">
        <v>3963</v>
      </c>
      <c r="O1746" t="s">
        <v>3963</v>
      </c>
      <c r="P1746" t="s">
        <v>3963</v>
      </c>
      <c r="R1746" t="s">
        <v>17291</v>
      </c>
    </row>
    <row r="1747" spans="4:18">
      <c r="E1747" t="s">
        <v>6720</v>
      </c>
      <c r="I1747" t="s">
        <v>6721</v>
      </c>
      <c r="K1747" t="s">
        <v>15746</v>
      </c>
      <c r="L1747" t="s">
        <v>3963</v>
      </c>
      <c r="M1747" t="s">
        <v>3963</v>
      </c>
      <c r="N1747" t="s">
        <v>3963</v>
      </c>
      <c r="O1747" t="s">
        <v>3963</v>
      </c>
      <c r="P1747" t="s">
        <v>3963</v>
      </c>
      <c r="R1747" t="s">
        <v>15746</v>
      </c>
    </row>
    <row r="1748" spans="4:18">
      <c r="E1748" t="s">
        <v>6722</v>
      </c>
      <c r="I1748" t="s">
        <v>6048</v>
      </c>
      <c r="K1748" t="s">
        <v>4021</v>
      </c>
      <c r="L1748" t="s">
        <v>3963</v>
      </c>
      <c r="M1748" t="s">
        <v>3963</v>
      </c>
      <c r="N1748" t="s">
        <v>3963</v>
      </c>
      <c r="O1748" t="s">
        <v>3963</v>
      </c>
      <c r="P1748" t="s">
        <v>3963</v>
      </c>
      <c r="R1748" t="s">
        <v>4021</v>
      </c>
    </row>
    <row r="1749" spans="4:18">
      <c r="D1749" t="s">
        <v>3212</v>
      </c>
      <c r="H1749" t="s">
        <v>6723</v>
      </c>
      <c r="K1749" t="s">
        <v>15747</v>
      </c>
      <c r="L1749" t="s">
        <v>19407</v>
      </c>
      <c r="M1749" t="s">
        <v>19210</v>
      </c>
      <c r="N1749" t="s">
        <v>3963</v>
      </c>
      <c r="O1749" t="s">
        <v>3963</v>
      </c>
      <c r="P1749" t="s">
        <v>19408</v>
      </c>
      <c r="R1749" t="s">
        <v>19409</v>
      </c>
    </row>
    <row r="1750" spans="4:18">
      <c r="E1750" t="s">
        <v>6724</v>
      </c>
      <c r="I1750" t="s">
        <v>4713</v>
      </c>
      <c r="K1750" t="s">
        <v>15748</v>
      </c>
      <c r="L1750" t="s">
        <v>17951</v>
      </c>
      <c r="M1750" t="s">
        <v>3963</v>
      </c>
      <c r="N1750" t="s">
        <v>3963</v>
      </c>
      <c r="O1750" t="s">
        <v>3963</v>
      </c>
      <c r="P1750" t="s">
        <v>17951</v>
      </c>
      <c r="R1750" t="s">
        <v>17952</v>
      </c>
    </row>
    <row r="1751" spans="4:18">
      <c r="E1751" t="s">
        <v>6725</v>
      </c>
      <c r="I1751" t="s">
        <v>4729</v>
      </c>
      <c r="K1751" t="s">
        <v>13763</v>
      </c>
      <c r="L1751" t="s">
        <v>3963</v>
      </c>
      <c r="M1751" t="s">
        <v>3963</v>
      </c>
      <c r="N1751" t="s">
        <v>3963</v>
      </c>
      <c r="O1751" t="s">
        <v>3963</v>
      </c>
      <c r="P1751" t="s">
        <v>3963</v>
      </c>
      <c r="R1751" t="s">
        <v>13763</v>
      </c>
    </row>
    <row r="1752" spans="4:18">
      <c r="E1752" t="s">
        <v>6726</v>
      </c>
      <c r="I1752" t="s">
        <v>4719</v>
      </c>
      <c r="K1752" t="s">
        <v>3994</v>
      </c>
      <c r="L1752" t="s">
        <v>18764</v>
      </c>
      <c r="M1752" t="s">
        <v>3963</v>
      </c>
      <c r="N1752" t="s">
        <v>3963</v>
      </c>
      <c r="O1752" t="s">
        <v>3963</v>
      </c>
      <c r="P1752" t="s">
        <v>18764</v>
      </c>
      <c r="R1752" t="s">
        <v>18765</v>
      </c>
    </row>
    <row r="1753" spans="4:18">
      <c r="E1753" t="s">
        <v>6727</v>
      </c>
      <c r="I1753" t="s">
        <v>4719</v>
      </c>
      <c r="K1753" t="s">
        <v>4699</v>
      </c>
      <c r="L1753" t="s">
        <v>19410</v>
      </c>
      <c r="M1753" t="s">
        <v>19210</v>
      </c>
      <c r="N1753" t="s">
        <v>3963</v>
      </c>
      <c r="O1753" t="s">
        <v>3963</v>
      </c>
      <c r="P1753" t="s">
        <v>19411</v>
      </c>
      <c r="R1753" t="s">
        <v>19412</v>
      </c>
    </row>
    <row r="1754" spans="4:18">
      <c r="E1754" t="s">
        <v>6728</v>
      </c>
      <c r="I1754" t="s">
        <v>6729</v>
      </c>
      <c r="K1754" t="s">
        <v>4021</v>
      </c>
      <c r="L1754" t="s">
        <v>3963</v>
      </c>
      <c r="M1754" t="s">
        <v>3963</v>
      </c>
      <c r="N1754" t="s">
        <v>3963</v>
      </c>
      <c r="O1754" t="s">
        <v>3963</v>
      </c>
      <c r="P1754" t="s">
        <v>3963</v>
      </c>
      <c r="R1754" t="s">
        <v>4021</v>
      </c>
    </row>
    <row r="1755" spans="4:18">
      <c r="E1755" t="s">
        <v>6730</v>
      </c>
      <c r="I1755" t="s">
        <v>6731</v>
      </c>
      <c r="K1755" t="s">
        <v>4021</v>
      </c>
      <c r="L1755" t="s">
        <v>3963</v>
      </c>
      <c r="M1755" t="s">
        <v>3963</v>
      </c>
      <c r="N1755" t="s">
        <v>3963</v>
      </c>
      <c r="O1755" t="s">
        <v>3963</v>
      </c>
      <c r="P1755" t="s">
        <v>3963</v>
      </c>
      <c r="R1755" t="s">
        <v>4021</v>
      </c>
    </row>
    <row r="1756" spans="4:18">
      <c r="E1756" t="s">
        <v>6732</v>
      </c>
      <c r="I1756" t="s">
        <v>4726</v>
      </c>
      <c r="K1756" t="s">
        <v>15749</v>
      </c>
      <c r="L1756" t="s">
        <v>3963</v>
      </c>
      <c r="M1756" t="s">
        <v>3963</v>
      </c>
      <c r="N1756" t="s">
        <v>3963</v>
      </c>
      <c r="O1756" t="s">
        <v>3963</v>
      </c>
      <c r="P1756" t="s">
        <v>3963</v>
      </c>
      <c r="R1756" t="s">
        <v>15749</v>
      </c>
    </row>
    <row r="1757" spans="4:18">
      <c r="E1757" t="s">
        <v>6733</v>
      </c>
      <c r="I1757" t="s">
        <v>6734</v>
      </c>
      <c r="K1757" t="s">
        <v>4162</v>
      </c>
      <c r="L1757" t="s">
        <v>3963</v>
      </c>
      <c r="M1757" t="s">
        <v>3963</v>
      </c>
      <c r="N1757" t="s">
        <v>3963</v>
      </c>
      <c r="O1757" t="s">
        <v>3963</v>
      </c>
      <c r="P1757" t="s">
        <v>3963</v>
      </c>
      <c r="R1757" t="s">
        <v>4162</v>
      </c>
    </row>
    <row r="1758" spans="4:18">
      <c r="D1758" t="s">
        <v>3232</v>
      </c>
      <c r="H1758" t="s">
        <v>6735</v>
      </c>
      <c r="K1758" t="s">
        <v>3963</v>
      </c>
      <c r="L1758" t="s">
        <v>3963</v>
      </c>
      <c r="M1758" t="s">
        <v>3963</v>
      </c>
      <c r="N1758" t="s">
        <v>3963</v>
      </c>
      <c r="O1758" t="s">
        <v>3963</v>
      </c>
      <c r="P1758" t="s">
        <v>3963</v>
      </c>
      <c r="R1758" t="s">
        <v>3963</v>
      </c>
    </row>
    <row r="1759" spans="4:18">
      <c r="E1759" t="s">
        <v>6736</v>
      </c>
      <c r="I1759" t="s">
        <v>5863</v>
      </c>
      <c r="K1759" t="s">
        <v>3963</v>
      </c>
      <c r="L1759" t="s">
        <v>3963</v>
      </c>
      <c r="M1759" t="s">
        <v>3963</v>
      </c>
      <c r="N1759" t="s">
        <v>3963</v>
      </c>
      <c r="O1759" t="s">
        <v>3963</v>
      </c>
      <c r="P1759" t="s">
        <v>3963</v>
      </c>
      <c r="R1759" t="s">
        <v>3963</v>
      </c>
    </row>
    <row r="1760" spans="4:18">
      <c r="E1760" t="s">
        <v>6737</v>
      </c>
      <c r="I1760" t="s">
        <v>5480</v>
      </c>
      <c r="K1760" t="s">
        <v>3963</v>
      </c>
      <c r="L1760" t="s">
        <v>3963</v>
      </c>
      <c r="M1760" t="s">
        <v>3963</v>
      </c>
      <c r="N1760" t="s">
        <v>3963</v>
      </c>
      <c r="O1760" t="s">
        <v>3963</v>
      </c>
      <c r="P1760" t="s">
        <v>3963</v>
      </c>
      <c r="R1760" t="s">
        <v>3963</v>
      </c>
    </row>
    <row r="1761" spans="4:18">
      <c r="E1761" t="s">
        <v>6738</v>
      </c>
      <c r="I1761" t="s">
        <v>6739</v>
      </c>
      <c r="K1761" t="s">
        <v>3963</v>
      </c>
      <c r="L1761" t="s">
        <v>3963</v>
      </c>
      <c r="M1761" t="s">
        <v>3963</v>
      </c>
      <c r="N1761" t="s">
        <v>3963</v>
      </c>
      <c r="O1761" t="s">
        <v>3963</v>
      </c>
      <c r="P1761" t="s">
        <v>3963</v>
      </c>
      <c r="R1761" t="s">
        <v>3963</v>
      </c>
    </row>
    <row r="1762" spans="4:18">
      <c r="E1762" t="s">
        <v>6740</v>
      </c>
      <c r="I1762" t="s">
        <v>6741</v>
      </c>
      <c r="K1762" t="s">
        <v>3963</v>
      </c>
      <c r="L1762" t="s">
        <v>3963</v>
      </c>
      <c r="M1762" t="s">
        <v>3963</v>
      </c>
      <c r="N1762" t="s">
        <v>3963</v>
      </c>
      <c r="O1762" t="s">
        <v>3963</v>
      </c>
      <c r="P1762" t="s">
        <v>3963</v>
      </c>
      <c r="R1762" t="s">
        <v>3963</v>
      </c>
    </row>
    <row r="1763" spans="4:18">
      <c r="E1763" t="s">
        <v>6742</v>
      </c>
      <c r="I1763" t="s">
        <v>6743</v>
      </c>
      <c r="K1763" t="s">
        <v>3963</v>
      </c>
      <c r="L1763" t="s">
        <v>3963</v>
      </c>
      <c r="M1763" t="s">
        <v>3963</v>
      </c>
      <c r="N1763" t="s">
        <v>3963</v>
      </c>
      <c r="O1763" t="s">
        <v>3963</v>
      </c>
      <c r="P1763" t="s">
        <v>3963</v>
      </c>
      <c r="R1763" t="s">
        <v>3963</v>
      </c>
    </row>
    <row r="1764" spans="4:18">
      <c r="D1764" t="s">
        <v>3233</v>
      </c>
      <c r="H1764" t="s">
        <v>6735</v>
      </c>
      <c r="K1764" t="s">
        <v>3963</v>
      </c>
      <c r="L1764" t="s">
        <v>3963</v>
      </c>
      <c r="M1764" t="s">
        <v>3963</v>
      </c>
      <c r="N1764" t="s">
        <v>3963</v>
      </c>
      <c r="O1764" t="s">
        <v>3963</v>
      </c>
      <c r="P1764" t="s">
        <v>3963</v>
      </c>
      <c r="R1764" t="s">
        <v>3963</v>
      </c>
    </row>
    <row r="1765" spans="4:18">
      <c r="E1765" t="s">
        <v>6744</v>
      </c>
      <c r="I1765" t="s">
        <v>5863</v>
      </c>
      <c r="K1765" t="s">
        <v>3963</v>
      </c>
      <c r="L1765" t="s">
        <v>3963</v>
      </c>
      <c r="M1765" t="s">
        <v>3963</v>
      </c>
      <c r="N1765" t="s">
        <v>3963</v>
      </c>
      <c r="O1765" t="s">
        <v>3963</v>
      </c>
      <c r="P1765" t="s">
        <v>3963</v>
      </c>
      <c r="R1765" t="s">
        <v>3963</v>
      </c>
    </row>
    <row r="1766" spans="4:18">
      <c r="E1766" t="s">
        <v>6745</v>
      </c>
      <c r="I1766" t="s">
        <v>5480</v>
      </c>
      <c r="K1766" t="s">
        <v>3963</v>
      </c>
      <c r="L1766" t="s">
        <v>3963</v>
      </c>
      <c r="M1766" t="s">
        <v>3963</v>
      </c>
      <c r="N1766" t="s">
        <v>3963</v>
      </c>
      <c r="O1766" t="s">
        <v>3963</v>
      </c>
      <c r="P1766" t="s">
        <v>3963</v>
      </c>
      <c r="R1766" t="s">
        <v>3963</v>
      </c>
    </row>
    <row r="1767" spans="4:18">
      <c r="E1767" t="s">
        <v>6746</v>
      </c>
      <c r="I1767" t="s">
        <v>6739</v>
      </c>
      <c r="K1767" t="s">
        <v>3963</v>
      </c>
      <c r="L1767" t="s">
        <v>3963</v>
      </c>
      <c r="M1767" t="s">
        <v>3963</v>
      </c>
      <c r="N1767" t="s">
        <v>3963</v>
      </c>
      <c r="O1767" t="s">
        <v>3963</v>
      </c>
      <c r="P1767" t="s">
        <v>3963</v>
      </c>
      <c r="R1767" t="s">
        <v>3963</v>
      </c>
    </row>
    <row r="1768" spans="4:18">
      <c r="E1768" t="s">
        <v>6747</v>
      </c>
      <c r="I1768" t="s">
        <v>6741</v>
      </c>
      <c r="K1768" t="s">
        <v>3963</v>
      </c>
      <c r="L1768" t="s">
        <v>3963</v>
      </c>
      <c r="M1768" t="s">
        <v>3963</v>
      </c>
      <c r="N1768" t="s">
        <v>3963</v>
      </c>
      <c r="O1768" t="s">
        <v>3963</v>
      </c>
      <c r="P1768" t="s">
        <v>3963</v>
      </c>
      <c r="R1768" t="s">
        <v>3963</v>
      </c>
    </row>
    <row r="1769" spans="4:18">
      <c r="E1769" t="s">
        <v>6748</v>
      </c>
      <c r="I1769" t="s">
        <v>6743</v>
      </c>
      <c r="K1769" t="s">
        <v>3963</v>
      </c>
      <c r="L1769" t="s">
        <v>3963</v>
      </c>
      <c r="M1769" t="s">
        <v>3963</v>
      </c>
      <c r="N1769" t="s">
        <v>3963</v>
      </c>
      <c r="O1769" t="s">
        <v>3963</v>
      </c>
      <c r="P1769" t="s">
        <v>3963</v>
      </c>
      <c r="R1769" t="s">
        <v>3963</v>
      </c>
    </row>
    <row r="1770" spans="4:18">
      <c r="D1770" t="s">
        <v>3927</v>
      </c>
      <c r="H1770" t="s">
        <v>6749</v>
      </c>
      <c r="K1770" t="s">
        <v>12518</v>
      </c>
      <c r="L1770" t="s">
        <v>3963</v>
      </c>
      <c r="M1770" t="s">
        <v>15750</v>
      </c>
      <c r="N1770" t="s">
        <v>3963</v>
      </c>
      <c r="O1770" t="s">
        <v>3963</v>
      </c>
      <c r="P1770" t="s">
        <v>15750</v>
      </c>
      <c r="R1770" t="s">
        <v>15751</v>
      </c>
    </row>
    <row r="1771" spans="4:18">
      <c r="E1771" t="s">
        <v>6750</v>
      </c>
      <c r="I1771" t="s">
        <v>5863</v>
      </c>
      <c r="K1771" t="s">
        <v>13143</v>
      </c>
      <c r="L1771" t="s">
        <v>3963</v>
      </c>
      <c r="M1771" t="s">
        <v>15752</v>
      </c>
      <c r="N1771" t="s">
        <v>3963</v>
      </c>
      <c r="O1771" t="s">
        <v>3963</v>
      </c>
      <c r="P1771" t="s">
        <v>15752</v>
      </c>
      <c r="R1771" t="s">
        <v>15753</v>
      </c>
    </row>
    <row r="1772" spans="4:18">
      <c r="E1772" t="s">
        <v>6751</v>
      </c>
      <c r="I1772" t="s">
        <v>5480</v>
      </c>
      <c r="K1772" t="s">
        <v>12744</v>
      </c>
      <c r="L1772" t="s">
        <v>3963</v>
      </c>
      <c r="M1772" t="s">
        <v>15754</v>
      </c>
      <c r="N1772" t="s">
        <v>3963</v>
      </c>
      <c r="O1772" t="s">
        <v>3963</v>
      </c>
      <c r="P1772" t="s">
        <v>15754</v>
      </c>
      <c r="R1772" t="s">
        <v>15755</v>
      </c>
    </row>
    <row r="1773" spans="4:18">
      <c r="D1773" t="s">
        <v>3922</v>
      </c>
      <c r="H1773" t="s">
        <v>6752</v>
      </c>
      <c r="K1773" t="s">
        <v>15756</v>
      </c>
      <c r="L1773" t="s">
        <v>3963</v>
      </c>
      <c r="M1773" t="s">
        <v>3963</v>
      </c>
      <c r="N1773" t="s">
        <v>19553</v>
      </c>
      <c r="O1773" t="s">
        <v>3963</v>
      </c>
      <c r="P1773" t="s">
        <v>19553</v>
      </c>
      <c r="R1773" t="s">
        <v>19554</v>
      </c>
    </row>
    <row r="1774" spans="4:18">
      <c r="E1774" t="s">
        <v>6753</v>
      </c>
      <c r="I1774" t="s">
        <v>5863</v>
      </c>
      <c r="K1774" t="s">
        <v>15757</v>
      </c>
      <c r="L1774" t="s">
        <v>3963</v>
      </c>
      <c r="M1774" t="s">
        <v>3963</v>
      </c>
      <c r="N1774" t="s">
        <v>19555</v>
      </c>
      <c r="O1774" t="s">
        <v>3963</v>
      </c>
      <c r="P1774" t="s">
        <v>19555</v>
      </c>
      <c r="R1774" t="s">
        <v>19556</v>
      </c>
    </row>
    <row r="1775" spans="4:18">
      <c r="E1775" t="s">
        <v>6754</v>
      </c>
      <c r="I1775" t="s">
        <v>6755</v>
      </c>
      <c r="K1775" t="s">
        <v>15480</v>
      </c>
      <c r="L1775" t="s">
        <v>3963</v>
      </c>
      <c r="M1775" t="s">
        <v>3963</v>
      </c>
      <c r="N1775" t="s">
        <v>19557</v>
      </c>
      <c r="O1775" t="s">
        <v>3963</v>
      </c>
      <c r="P1775" t="s">
        <v>19557</v>
      </c>
      <c r="R1775" t="s">
        <v>19558</v>
      </c>
    </row>
    <row r="1776" spans="4:18">
      <c r="D1776" t="s">
        <v>3925</v>
      </c>
      <c r="H1776" t="s">
        <v>6756</v>
      </c>
      <c r="K1776" t="s">
        <v>15758</v>
      </c>
      <c r="L1776" t="s">
        <v>3963</v>
      </c>
      <c r="M1776" t="s">
        <v>3963</v>
      </c>
      <c r="N1776" t="s">
        <v>19559</v>
      </c>
      <c r="O1776" t="s">
        <v>3963</v>
      </c>
      <c r="P1776" t="s">
        <v>19559</v>
      </c>
      <c r="R1776" t="s">
        <v>19560</v>
      </c>
    </row>
    <row r="1777" spans="4:18">
      <c r="E1777" t="s">
        <v>6757</v>
      </c>
      <c r="I1777" t="s">
        <v>5863</v>
      </c>
      <c r="K1777" t="s">
        <v>15759</v>
      </c>
      <c r="L1777" t="s">
        <v>3963</v>
      </c>
      <c r="M1777" t="s">
        <v>3963</v>
      </c>
      <c r="N1777" t="s">
        <v>19561</v>
      </c>
      <c r="O1777" t="s">
        <v>3963</v>
      </c>
      <c r="P1777" t="s">
        <v>19561</v>
      </c>
      <c r="R1777" t="s">
        <v>19562</v>
      </c>
    </row>
    <row r="1778" spans="4:18">
      <c r="E1778" t="s">
        <v>6758</v>
      </c>
      <c r="I1778" t="s">
        <v>6755</v>
      </c>
      <c r="K1778" t="s">
        <v>4162</v>
      </c>
      <c r="L1778" t="s">
        <v>3963</v>
      </c>
      <c r="M1778" t="s">
        <v>3963</v>
      </c>
      <c r="N1778" t="s">
        <v>19557</v>
      </c>
      <c r="O1778" t="s">
        <v>3963</v>
      </c>
      <c r="P1778" t="s">
        <v>19557</v>
      </c>
      <c r="R1778" t="s">
        <v>19563</v>
      </c>
    </row>
    <row r="1779" spans="4:18">
      <c r="D1779" t="s">
        <v>7437</v>
      </c>
      <c r="H1779" t="s">
        <v>7801</v>
      </c>
      <c r="K1779" t="s">
        <v>15760</v>
      </c>
      <c r="L1779" t="s">
        <v>3963</v>
      </c>
      <c r="M1779" t="s">
        <v>18766</v>
      </c>
      <c r="N1779" t="s">
        <v>3963</v>
      </c>
      <c r="O1779" t="s">
        <v>3963</v>
      </c>
      <c r="P1779" t="s">
        <v>18766</v>
      </c>
      <c r="R1779" t="s">
        <v>18767</v>
      </c>
    </row>
    <row r="1780" spans="4:18">
      <c r="E1780" t="s">
        <v>7802</v>
      </c>
      <c r="I1780" t="s">
        <v>6741</v>
      </c>
      <c r="K1780" t="s">
        <v>17573</v>
      </c>
      <c r="L1780" t="s">
        <v>3963</v>
      </c>
      <c r="M1780" t="s">
        <v>18768</v>
      </c>
      <c r="N1780" t="s">
        <v>3963</v>
      </c>
      <c r="O1780" t="s">
        <v>3963</v>
      </c>
      <c r="P1780" t="s">
        <v>18768</v>
      </c>
      <c r="R1780" t="s">
        <v>18769</v>
      </c>
    </row>
    <row r="1781" spans="4:18">
      <c r="E1781" t="s">
        <v>7803</v>
      </c>
      <c r="I1781" t="s">
        <v>5480</v>
      </c>
      <c r="K1781" t="s">
        <v>17574</v>
      </c>
      <c r="L1781" t="s">
        <v>3963</v>
      </c>
      <c r="M1781" t="s">
        <v>18770</v>
      </c>
      <c r="N1781" t="s">
        <v>3963</v>
      </c>
      <c r="O1781" t="s">
        <v>3963</v>
      </c>
      <c r="P1781" t="s">
        <v>18770</v>
      </c>
      <c r="R1781" t="s">
        <v>18771</v>
      </c>
    </row>
    <row r="1782" spans="4:18">
      <c r="D1782" t="s">
        <v>8422</v>
      </c>
      <c r="H1782" t="s">
        <v>8445</v>
      </c>
      <c r="K1782" t="s">
        <v>15761</v>
      </c>
      <c r="L1782" t="s">
        <v>3963</v>
      </c>
      <c r="M1782" t="s">
        <v>3963</v>
      </c>
      <c r="N1782" t="s">
        <v>3963</v>
      </c>
      <c r="O1782" t="s">
        <v>3963</v>
      </c>
      <c r="P1782" t="s">
        <v>3963</v>
      </c>
      <c r="R1782" t="s">
        <v>15761</v>
      </c>
    </row>
    <row r="1783" spans="4:18">
      <c r="E1783" t="s">
        <v>8446</v>
      </c>
      <c r="I1783" t="s">
        <v>5865</v>
      </c>
      <c r="K1783" t="s">
        <v>15762</v>
      </c>
      <c r="L1783" t="s">
        <v>3963</v>
      </c>
      <c r="M1783" t="s">
        <v>3963</v>
      </c>
      <c r="N1783" t="s">
        <v>3963</v>
      </c>
      <c r="O1783" t="s">
        <v>3963</v>
      </c>
      <c r="P1783" t="s">
        <v>3963</v>
      </c>
      <c r="R1783" t="s">
        <v>15762</v>
      </c>
    </row>
    <row r="1784" spans="4:18">
      <c r="E1784" t="s">
        <v>8447</v>
      </c>
      <c r="I1784" t="s">
        <v>8448</v>
      </c>
      <c r="K1784" t="s">
        <v>15763</v>
      </c>
      <c r="L1784" t="s">
        <v>3963</v>
      </c>
      <c r="M1784" t="s">
        <v>3963</v>
      </c>
      <c r="N1784" t="s">
        <v>3963</v>
      </c>
      <c r="O1784" t="s">
        <v>3963</v>
      </c>
      <c r="P1784" t="s">
        <v>3963</v>
      </c>
      <c r="R1784" t="s">
        <v>15763</v>
      </c>
    </row>
    <row r="1785" spans="4:18">
      <c r="E1785" t="s">
        <v>8449</v>
      </c>
      <c r="I1785" t="s">
        <v>8450</v>
      </c>
      <c r="K1785" t="s">
        <v>15764</v>
      </c>
      <c r="L1785" t="s">
        <v>3963</v>
      </c>
      <c r="M1785" t="s">
        <v>3963</v>
      </c>
      <c r="N1785" t="s">
        <v>3963</v>
      </c>
      <c r="O1785" t="s">
        <v>3963</v>
      </c>
      <c r="P1785" t="s">
        <v>3963</v>
      </c>
      <c r="R1785" t="s">
        <v>15764</v>
      </c>
    </row>
    <row r="1786" spans="4:18">
      <c r="D1786" t="s">
        <v>6777</v>
      </c>
      <c r="H1786" t="s">
        <v>6780</v>
      </c>
      <c r="K1786" t="s">
        <v>15765</v>
      </c>
      <c r="L1786" t="s">
        <v>19413</v>
      </c>
      <c r="M1786" t="s">
        <v>17292</v>
      </c>
      <c r="N1786" t="s">
        <v>17138</v>
      </c>
      <c r="O1786" t="s">
        <v>3963</v>
      </c>
      <c r="P1786" t="s">
        <v>20111</v>
      </c>
      <c r="R1786" t="s">
        <v>20112</v>
      </c>
    </row>
    <row r="1787" spans="4:18">
      <c r="E1787" t="s">
        <v>6781</v>
      </c>
      <c r="I1787" t="s">
        <v>6782</v>
      </c>
      <c r="K1787" t="s">
        <v>16302</v>
      </c>
      <c r="L1787" t="s">
        <v>19414</v>
      </c>
      <c r="M1787" t="s">
        <v>15766</v>
      </c>
      <c r="N1787" t="s">
        <v>17138</v>
      </c>
      <c r="O1787" t="s">
        <v>3963</v>
      </c>
      <c r="P1787" t="s">
        <v>19415</v>
      </c>
      <c r="R1787" t="s">
        <v>19416</v>
      </c>
    </row>
    <row r="1788" spans="4:18">
      <c r="E1788" t="s">
        <v>6783</v>
      </c>
      <c r="I1788" t="s">
        <v>5863</v>
      </c>
      <c r="K1788" t="s">
        <v>16303</v>
      </c>
      <c r="L1788" t="s">
        <v>17953</v>
      </c>
      <c r="M1788" t="s">
        <v>17293</v>
      </c>
      <c r="N1788" t="s">
        <v>3963</v>
      </c>
      <c r="O1788" t="s">
        <v>3963</v>
      </c>
      <c r="P1788" t="s">
        <v>20113</v>
      </c>
      <c r="R1788" t="s">
        <v>20114</v>
      </c>
    </row>
    <row r="1789" spans="4:18">
      <c r="E1789" t="s">
        <v>6784</v>
      </c>
      <c r="I1789" t="s">
        <v>5480</v>
      </c>
      <c r="K1789" t="s">
        <v>6864</v>
      </c>
      <c r="L1789" t="s">
        <v>3963</v>
      </c>
      <c r="M1789" t="s">
        <v>3963</v>
      </c>
      <c r="N1789" t="s">
        <v>3963</v>
      </c>
      <c r="O1789" t="s">
        <v>3963</v>
      </c>
      <c r="P1789" t="s">
        <v>3963</v>
      </c>
      <c r="R1789" t="s">
        <v>6864</v>
      </c>
    </row>
    <row r="1790" spans="4:18">
      <c r="D1790" t="s">
        <v>7433</v>
      </c>
      <c r="H1790" t="s">
        <v>7804</v>
      </c>
      <c r="K1790" t="s">
        <v>12953</v>
      </c>
      <c r="L1790" t="s">
        <v>3963</v>
      </c>
      <c r="M1790" t="s">
        <v>3963</v>
      </c>
      <c r="N1790" t="s">
        <v>19417</v>
      </c>
      <c r="O1790" t="s">
        <v>3963</v>
      </c>
      <c r="P1790" t="s">
        <v>19417</v>
      </c>
      <c r="R1790" t="s">
        <v>19418</v>
      </c>
    </row>
    <row r="1791" spans="4:18">
      <c r="E1791" t="s">
        <v>7805</v>
      </c>
      <c r="I1791" t="s">
        <v>5863</v>
      </c>
      <c r="K1791" t="s">
        <v>4177</v>
      </c>
      <c r="L1791" t="s">
        <v>3963</v>
      </c>
      <c r="M1791" t="s">
        <v>3963</v>
      </c>
      <c r="N1791" t="s">
        <v>19419</v>
      </c>
      <c r="O1791" t="s">
        <v>3963</v>
      </c>
      <c r="P1791" t="s">
        <v>19419</v>
      </c>
      <c r="R1791" t="s">
        <v>19420</v>
      </c>
    </row>
    <row r="1792" spans="4:18">
      <c r="E1792" t="s">
        <v>7806</v>
      </c>
      <c r="I1792" t="s">
        <v>5480</v>
      </c>
      <c r="K1792" t="s">
        <v>4172</v>
      </c>
      <c r="L1792" t="s">
        <v>3963</v>
      </c>
      <c r="M1792" t="s">
        <v>3963</v>
      </c>
      <c r="N1792" t="s">
        <v>19147</v>
      </c>
      <c r="O1792" t="s">
        <v>3963</v>
      </c>
      <c r="P1792" t="s">
        <v>19147</v>
      </c>
      <c r="R1792" t="s">
        <v>19148</v>
      </c>
    </row>
    <row r="1793" spans="4:18">
      <c r="D1793" t="s">
        <v>6883</v>
      </c>
      <c r="H1793" t="s">
        <v>6381</v>
      </c>
      <c r="K1793" t="s">
        <v>15767</v>
      </c>
      <c r="L1793" t="s">
        <v>15768</v>
      </c>
      <c r="M1793" t="s">
        <v>3963</v>
      </c>
      <c r="N1793" t="s">
        <v>17139</v>
      </c>
      <c r="O1793" t="s">
        <v>3963</v>
      </c>
      <c r="P1793" t="s">
        <v>17140</v>
      </c>
      <c r="R1793" t="s">
        <v>17141</v>
      </c>
    </row>
    <row r="1794" spans="4:18">
      <c r="E1794" t="s">
        <v>6884</v>
      </c>
      <c r="I1794" t="s">
        <v>6885</v>
      </c>
      <c r="K1794" t="s">
        <v>15769</v>
      </c>
      <c r="L1794" t="s">
        <v>15770</v>
      </c>
      <c r="M1794" t="s">
        <v>3963</v>
      </c>
      <c r="N1794" t="s">
        <v>17142</v>
      </c>
      <c r="O1794" t="s">
        <v>3963</v>
      </c>
      <c r="P1794" t="s">
        <v>17143</v>
      </c>
      <c r="R1794" t="s">
        <v>17144</v>
      </c>
    </row>
    <row r="1795" spans="4:18">
      <c r="E1795" t="s">
        <v>6886</v>
      </c>
      <c r="I1795" t="s">
        <v>6887</v>
      </c>
      <c r="K1795" t="s">
        <v>15771</v>
      </c>
      <c r="L1795" t="s">
        <v>15770</v>
      </c>
      <c r="M1795" t="s">
        <v>3963</v>
      </c>
      <c r="N1795" t="s">
        <v>17145</v>
      </c>
      <c r="O1795" t="s">
        <v>3963</v>
      </c>
      <c r="P1795" t="s">
        <v>17146</v>
      </c>
      <c r="R1795" t="s">
        <v>17147</v>
      </c>
    </row>
    <row r="1796" spans="4:18">
      <c r="E1796" t="s">
        <v>6888</v>
      </c>
      <c r="I1796" t="s">
        <v>6889</v>
      </c>
      <c r="K1796" t="s">
        <v>15773</v>
      </c>
      <c r="L1796" t="s">
        <v>15770</v>
      </c>
      <c r="M1796" t="s">
        <v>3963</v>
      </c>
      <c r="N1796" t="s">
        <v>17148</v>
      </c>
      <c r="O1796" t="s">
        <v>3963</v>
      </c>
      <c r="P1796" t="s">
        <v>17149</v>
      </c>
      <c r="R1796" t="s">
        <v>17150</v>
      </c>
    </row>
    <row r="1797" spans="4:18">
      <c r="E1797" t="s">
        <v>6890</v>
      </c>
      <c r="I1797" t="s">
        <v>6891</v>
      </c>
      <c r="K1797" t="s">
        <v>15774</v>
      </c>
      <c r="L1797" t="s">
        <v>3963</v>
      </c>
      <c r="M1797" t="s">
        <v>3963</v>
      </c>
      <c r="N1797" t="s">
        <v>17151</v>
      </c>
      <c r="O1797" t="s">
        <v>3963</v>
      </c>
      <c r="P1797" t="s">
        <v>17151</v>
      </c>
      <c r="R1797" t="s">
        <v>17152</v>
      </c>
    </row>
    <row r="1798" spans="4:18">
      <c r="E1798" t="s">
        <v>6892</v>
      </c>
      <c r="I1798" t="s">
        <v>6893</v>
      </c>
      <c r="K1798" t="s">
        <v>15775</v>
      </c>
      <c r="L1798" t="s">
        <v>3963</v>
      </c>
      <c r="M1798" t="s">
        <v>3963</v>
      </c>
      <c r="N1798" t="s">
        <v>17151</v>
      </c>
      <c r="O1798" t="s">
        <v>3963</v>
      </c>
      <c r="P1798" t="s">
        <v>17151</v>
      </c>
      <c r="R1798" t="s">
        <v>17153</v>
      </c>
    </row>
    <row r="1799" spans="4:18">
      <c r="E1799" t="s">
        <v>6894</v>
      </c>
      <c r="I1799" t="s">
        <v>6895</v>
      </c>
      <c r="K1799" t="s">
        <v>15776</v>
      </c>
      <c r="L1799" t="s">
        <v>3963</v>
      </c>
      <c r="M1799" t="s">
        <v>3963</v>
      </c>
      <c r="N1799" t="s">
        <v>17148</v>
      </c>
      <c r="O1799" t="s">
        <v>3963</v>
      </c>
      <c r="P1799" t="s">
        <v>17148</v>
      </c>
      <c r="R1799" t="s">
        <v>17154</v>
      </c>
    </row>
    <row r="1800" spans="4:18">
      <c r="E1800" t="s">
        <v>6896</v>
      </c>
      <c r="I1800" t="s">
        <v>6897</v>
      </c>
      <c r="K1800" t="s">
        <v>15777</v>
      </c>
      <c r="L1800" t="s">
        <v>15770</v>
      </c>
      <c r="M1800" t="s">
        <v>3963</v>
      </c>
      <c r="N1800" t="s">
        <v>17151</v>
      </c>
      <c r="O1800" t="s">
        <v>3963</v>
      </c>
      <c r="P1800" t="s">
        <v>17155</v>
      </c>
      <c r="R1800" t="s">
        <v>17156</v>
      </c>
    </row>
    <row r="1801" spans="4:18">
      <c r="E1801" t="s">
        <v>6898</v>
      </c>
      <c r="I1801" t="s">
        <v>6899</v>
      </c>
      <c r="K1801" t="s">
        <v>15778</v>
      </c>
      <c r="L1801" t="s">
        <v>15770</v>
      </c>
      <c r="M1801" t="s">
        <v>3963</v>
      </c>
      <c r="N1801" t="s">
        <v>17151</v>
      </c>
      <c r="O1801" t="s">
        <v>3963</v>
      </c>
      <c r="P1801" t="s">
        <v>17155</v>
      </c>
      <c r="R1801" t="s">
        <v>17157</v>
      </c>
    </row>
    <row r="1802" spans="4:18">
      <c r="E1802" t="s">
        <v>6900</v>
      </c>
      <c r="I1802" t="s">
        <v>6901</v>
      </c>
      <c r="K1802" t="s">
        <v>15779</v>
      </c>
      <c r="L1802" t="s">
        <v>3963</v>
      </c>
      <c r="M1802" t="s">
        <v>3963</v>
      </c>
      <c r="N1802" t="s">
        <v>17158</v>
      </c>
      <c r="O1802" t="s">
        <v>3963</v>
      </c>
      <c r="P1802" t="s">
        <v>17158</v>
      </c>
      <c r="R1802" t="s">
        <v>17159</v>
      </c>
    </row>
    <row r="1803" spans="4:18">
      <c r="E1803" t="s">
        <v>6902</v>
      </c>
      <c r="I1803" t="s">
        <v>6903</v>
      </c>
      <c r="K1803" t="s">
        <v>15780</v>
      </c>
      <c r="L1803" t="s">
        <v>15770</v>
      </c>
      <c r="M1803" t="s">
        <v>3963</v>
      </c>
      <c r="N1803" t="s">
        <v>17151</v>
      </c>
      <c r="O1803" t="s">
        <v>3963</v>
      </c>
      <c r="P1803" t="s">
        <v>17155</v>
      </c>
      <c r="R1803" t="s">
        <v>17160</v>
      </c>
    </row>
    <row r="1804" spans="4:18">
      <c r="E1804" t="s">
        <v>6904</v>
      </c>
      <c r="I1804" t="s">
        <v>6905</v>
      </c>
      <c r="K1804" t="s">
        <v>15780</v>
      </c>
      <c r="L1804" t="s">
        <v>15770</v>
      </c>
      <c r="M1804" t="s">
        <v>3963</v>
      </c>
      <c r="N1804" t="s">
        <v>17151</v>
      </c>
      <c r="O1804" t="s">
        <v>3963</v>
      </c>
      <c r="P1804" t="s">
        <v>17155</v>
      </c>
      <c r="R1804" t="s">
        <v>17160</v>
      </c>
    </row>
    <row r="1805" spans="4:18">
      <c r="E1805" t="s">
        <v>6906</v>
      </c>
      <c r="I1805" t="s">
        <v>6907</v>
      </c>
      <c r="K1805" t="s">
        <v>15781</v>
      </c>
      <c r="L1805" t="s">
        <v>3963</v>
      </c>
      <c r="M1805" t="s">
        <v>3963</v>
      </c>
      <c r="N1805" t="s">
        <v>17161</v>
      </c>
      <c r="O1805" t="s">
        <v>3963</v>
      </c>
      <c r="P1805" t="s">
        <v>17161</v>
      </c>
      <c r="R1805" t="s">
        <v>17162</v>
      </c>
    </row>
    <row r="1806" spans="4:18">
      <c r="E1806" t="s">
        <v>6908</v>
      </c>
      <c r="I1806" t="s">
        <v>6909</v>
      </c>
      <c r="K1806" t="s">
        <v>15782</v>
      </c>
      <c r="L1806" t="s">
        <v>3963</v>
      </c>
      <c r="M1806" t="s">
        <v>3963</v>
      </c>
      <c r="N1806" t="s">
        <v>17145</v>
      </c>
      <c r="O1806" t="s">
        <v>3963</v>
      </c>
      <c r="P1806" t="s">
        <v>17145</v>
      </c>
      <c r="R1806" t="s">
        <v>17163</v>
      </c>
    </row>
    <row r="1807" spans="4:18">
      <c r="E1807" t="s">
        <v>6910</v>
      </c>
      <c r="I1807" t="s">
        <v>6911</v>
      </c>
      <c r="K1807" t="s">
        <v>15782</v>
      </c>
      <c r="L1807" t="s">
        <v>3963</v>
      </c>
      <c r="M1807" t="s">
        <v>3963</v>
      </c>
      <c r="N1807" t="s">
        <v>17145</v>
      </c>
      <c r="O1807" t="s">
        <v>3963</v>
      </c>
      <c r="P1807" t="s">
        <v>17145</v>
      </c>
      <c r="R1807" t="s">
        <v>17163</v>
      </c>
    </row>
    <row r="1808" spans="4:18">
      <c r="E1808" t="s">
        <v>6912</v>
      </c>
      <c r="I1808" t="s">
        <v>6913</v>
      </c>
      <c r="K1808" t="s">
        <v>15783</v>
      </c>
      <c r="L1808" t="s">
        <v>3963</v>
      </c>
      <c r="M1808" t="s">
        <v>3963</v>
      </c>
      <c r="N1808" t="s">
        <v>17145</v>
      </c>
      <c r="O1808" t="s">
        <v>3963</v>
      </c>
      <c r="P1808" t="s">
        <v>17145</v>
      </c>
      <c r="R1808" t="s">
        <v>17164</v>
      </c>
    </row>
    <row r="1809" spans="4:18">
      <c r="E1809" t="s">
        <v>6914</v>
      </c>
      <c r="I1809" t="s">
        <v>6915</v>
      </c>
      <c r="K1809" t="s">
        <v>15784</v>
      </c>
      <c r="L1809" t="s">
        <v>3963</v>
      </c>
      <c r="M1809" t="s">
        <v>3963</v>
      </c>
      <c r="N1809" t="s">
        <v>17145</v>
      </c>
      <c r="O1809" t="s">
        <v>3963</v>
      </c>
      <c r="P1809" t="s">
        <v>17145</v>
      </c>
      <c r="R1809" t="s">
        <v>17165</v>
      </c>
    </row>
    <row r="1810" spans="4:18">
      <c r="E1810" t="s">
        <v>6916</v>
      </c>
      <c r="I1810" t="s">
        <v>6917</v>
      </c>
      <c r="K1810" t="s">
        <v>15785</v>
      </c>
      <c r="L1810" t="s">
        <v>3963</v>
      </c>
      <c r="M1810" t="s">
        <v>3963</v>
      </c>
      <c r="N1810" t="s">
        <v>3963</v>
      </c>
      <c r="O1810" t="s">
        <v>3963</v>
      </c>
      <c r="P1810" t="s">
        <v>3963</v>
      </c>
      <c r="R1810" t="s">
        <v>15785</v>
      </c>
    </row>
    <row r="1811" spans="4:18">
      <c r="E1811" t="s">
        <v>6918</v>
      </c>
      <c r="I1811" t="s">
        <v>6919</v>
      </c>
      <c r="K1811" t="s">
        <v>15786</v>
      </c>
      <c r="L1811" t="s">
        <v>3963</v>
      </c>
      <c r="M1811" t="s">
        <v>3963</v>
      </c>
      <c r="N1811" t="s">
        <v>17151</v>
      </c>
      <c r="O1811" t="s">
        <v>3963</v>
      </c>
      <c r="P1811" t="s">
        <v>17151</v>
      </c>
      <c r="R1811" t="s">
        <v>17166</v>
      </c>
    </row>
    <row r="1812" spans="4:18">
      <c r="E1812" t="s">
        <v>6920</v>
      </c>
      <c r="I1812" t="s">
        <v>6921</v>
      </c>
      <c r="K1812" t="s">
        <v>15787</v>
      </c>
      <c r="L1812" t="s">
        <v>3963</v>
      </c>
      <c r="M1812" t="s">
        <v>3963</v>
      </c>
      <c r="N1812" t="s">
        <v>17151</v>
      </c>
      <c r="O1812" t="s">
        <v>3963</v>
      </c>
      <c r="P1812" t="s">
        <v>17151</v>
      </c>
      <c r="R1812" t="s">
        <v>17167</v>
      </c>
    </row>
    <row r="1813" spans="4:18">
      <c r="E1813" t="s">
        <v>6922</v>
      </c>
      <c r="I1813" t="s">
        <v>6923</v>
      </c>
      <c r="K1813" t="s">
        <v>15788</v>
      </c>
      <c r="L1813" t="s">
        <v>3963</v>
      </c>
      <c r="M1813" t="s">
        <v>3963</v>
      </c>
      <c r="N1813" t="s">
        <v>17168</v>
      </c>
      <c r="O1813" t="s">
        <v>3963</v>
      </c>
      <c r="P1813" t="s">
        <v>17168</v>
      </c>
      <c r="R1813" t="s">
        <v>17169</v>
      </c>
    </row>
    <row r="1814" spans="4:18">
      <c r="E1814" t="s">
        <v>6924</v>
      </c>
      <c r="I1814" t="s">
        <v>6925</v>
      </c>
      <c r="K1814" t="s">
        <v>15788</v>
      </c>
      <c r="L1814" t="s">
        <v>3963</v>
      </c>
      <c r="M1814" t="s">
        <v>3963</v>
      </c>
      <c r="N1814" t="s">
        <v>17168</v>
      </c>
      <c r="O1814" t="s">
        <v>3963</v>
      </c>
      <c r="P1814" t="s">
        <v>17168</v>
      </c>
      <c r="R1814" t="s">
        <v>17169</v>
      </c>
    </row>
    <row r="1815" spans="4:18">
      <c r="E1815" t="s">
        <v>6926</v>
      </c>
      <c r="I1815" t="s">
        <v>6927</v>
      </c>
      <c r="K1815" t="s">
        <v>15789</v>
      </c>
      <c r="L1815" t="s">
        <v>3963</v>
      </c>
      <c r="M1815" t="s">
        <v>3963</v>
      </c>
      <c r="N1815" t="s">
        <v>17145</v>
      </c>
      <c r="O1815" t="s">
        <v>3963</v>
      </c>
      <c r="P1815" t="s">
        <v>17145</v>
      </c>
      <c r="R1815" t="s">
        <v>17170</v>
      </c>
    </row>
    <row r="1816" spans="4:18">
      <c r="E1816" t="s">
        <v>6928</v>
      </c>
      <c r="I1816" t="s">
        <v>6929</v>
      </c>
      <c r="K1816" t="s">
        <v>15789</v>
      </c>
      <c r="L1816" t="s">
        <v>3963</v>
      </c>
      <c r="M1816" t="s">
        <v>3963</v>
      </c>
      <c r="N1816" t="s">
        <v>17145</v>
      </c>
      <c r="O1816" t="s">
        <v>3963</v>
      </c>
      <c r="P1816" t="s">
        <v>17145</v>
      </c>
      <c r="R1816" t="s">
        <v>17170</v>
      </c>
    </row>
    <row r="1817" spans="4:18">
      <c r="E1817" t="s">
        <v>6930</v>
      </c>
      <c r="I1817" t="s">
        <v>6931</v>
      </c>
      <c r="K1817" t="s">
        <v>15789</v>
      </c>
      <c r="L1817" t="s">
        <v>3963</v>
      </c>
      <c r="M1817" t="s">
        <v>3963</v>
      </c>
      <c r="N1817" t="s">
        <v>17145</v>
      </c>
      <c r="O1817" t="s">
        <v>3963</v>
      </c>
      <c r="P1817" t="s">
        <v>17145</v>
      </c>
      <c r="R1817" t="s">
        <v>17170</v>
      </c>
    </row>
    <row r="1818" spans="4:18">
      <c r="E1818" t="s">
        <v>6932</v>
      </c>
      <c r="I1818" t="s">
        <v>6933</v>
      </c>
      <c r="K1818" t="s">
        <v>15789</v>
      </c>
      <c r="L1818" t="s">
        <v>3963</v>
      </c>
      <c r="M1818" t="s">
        <v>3963</v>
      </c>
      <c r="N1818" t="s">
        <v>15772</v>
      </c>
      <c r="O1818" t="s">
        <v>3963</v>
      </c>
      <c r="P1818" t="s">
        <v>15772</v>
      </c>
      <c r="R1818" t="s">
        <v>15790</v>
      </c>
    </row>
    <row r="1819" spans="4:18">
      <c r="E1819" t="s">
        <v>6934</v>
      </c>
      <c r="I1819" t="s">
        <v>6935</v>
      </c>
      <c r="K1819" t="s">
        <v>15791</v>
      </c>
      <c r="L1819" t="s">
        <v>3963</v>
      </c>
      <c r="M1819" t="s">
        <v>3963</v>
      </c>
      <c r="N1819" t="s">
        <v>15772</v>
      </c>
      <c r="O1819" t="s">
        <v>3963</v>
      </c>
      <c r="P1819" t="s">
        <v>15772</v>
      </c>
      <c r="R1819" t="s">
        <v>15792</v>
      </c>
    </row>
    <row r="1820" spans="4:18">
      <c r="E1820" t="s">
        <v>6936</v>
      </c>
      <c r="I1820" t="s">
        <v>6937</v>
      </c>
      <c r="K1820" t="s">
        <v>15791</v>
      </c>
      <c r="L1820" t="s">
        <v>3963</v>
      </c>
      <c r="M1820" t="s">
        <v>3963</v>
      </c>
      <c r="N1820" t="s">
        <v>15772</v>
      </c>
      <c r="O1820" t="s">
        <v>3963</v>
      </c>
      <c r="P1820" t="s">
        <v>15772</v>
      </c>
      <c r="R1820" t="s">
        <v>15792</v>
      </c>
    </row>
    <row r="1821" spans="4:18">
      <c r="E1821" t="s">
        <v>6938</v>
      </c>
      <c r="I1821" t="s">
        <v>6939</v>
      </c>
      <c r="K1821" t="s">
        <v>15793</v>
      </c>
      <c r="L1821" t="s">
        <v>3963</v>
      </c>
      <c r="M1821" t="s">
        <v>3963</v>
      </c>
      <c r="N1821" t="s">
        <v>15772</v>
      </c>
      <c r="O1821" t="s">
        <v>3963</v>
      </c>
      <c r="P1821" t="s">
        <v>15772</v>
      </c>
      <c r="R1821" t="s">
        <v>15794</v>
      </c>
    </row>
    <row r="1822" spans="4:18">
      <c r="E1822" t="s">
        <v>6940</v>
      </c>
      <c r="I1822" t="s">
        <v>6941</v>
      </c>
      <c r="K1822" t="s">
        <v>15795</v>
      </c>
      <c r="L1822" t="s">
        <v>3963</v>
      </c>
      <c r="M1822" t="s">
        <v>3963</v>
      </c>
      <c r="N1822" t="s">
        <v>15772</v>
      </c>
      <c r="O1822" t="s">
        <v>3963</v>
      </c>
      <c r="P1822" t="s">
        <v>15772</v>
      </c>
      <c r="R1822" t="s">
        <v>15796</v>
      </c>
    </row>
    <row r="1823" spans="4:18">
      <c r="D1823" t="s">
        <v>7434</v>
      </c>
      <c r="H1823" t="s">
        <v>7807</v>
      </c>
      <c r="K1823" t="s">
        <v>4165</v>
      </c>
      <c r="L1823" t="s">
        <v>3963</v>
      </c>
      <c r="M1823" t="s">
        <v>3963</v>
      </c>
      <c r="N1823" t="s">
        <v>18772</v>
      </c>
      <c r="O1823" t="s">
        <v>3963</v>
      </c>
      <c r="P1823" t="s">
        <v>18772</v>
      </c>
      <c r="R1823" t="s">
        <v>18773</v>
      </c>
    </row>
    <row r="1824" spans="4:18">
      <c r="E1824" t="s">
        <v>7808</v>
      </c>
      <c r="I1824" t="s">
        <v>5552</v>
      </c>
      <c r="K1824" t="s">
        <v>13398</v>
      </c>
      <c r="L1824" t="s">
        <v>3963</v>
      </c>
      <c r="M1824" t="s">
        <v>3963</v>
      </c>
      <c r="N1824" t="s">
        <v>6958</v>
      </c>
      <c r="O1824" t="s">
        <v>3963</v>
      </c>
      <c r="P1824" t="s">
        <v>6958</v>
      </c>
      <c r="R1824" t="s">
        <v>18774</v>
      </c>
    </row>
    <row r="1825" spans="4:18">
      <c r="E1825" t="s">
        <v>7809</v>
      </c>
      <c r="I1825" t="s">
        <v>5441</v>
      </c>
      <c r="K1825" t="s">
        <v>13398</v>
      </c>
      <c r="L1825" t="s">
        <v>3963</v>
      </c>
      <c r="M1825" t="s">
        <v>3963</v>
      </c>
      <c r="N1825" t="s">
        <v>6958</v>
      </c>
      <c r="O1825" t="s">
        <v>3963</v>
      </c>
      <c r="P1825" t="s">
        <v>6958</v>
      </c>
      <c r="R1825" t="s">
        <v>18774</v>
      </c>
    </row>
    <row r="1826" spans="4:18">
      <c r="D1826" t="s">
        <v>7444</v>
      </c>
      <c r="H1826" t="s">
        <v>7815</v>
      </c>
      <c r="K1826" t="s">
        <v>15797</v>
      </c>
      <c r="L1826" t="s">
        <v>20115</v>
      </c>
      <c r="M1826" t="s">
        <v>20116</v>
      </c>
      <c r="N1826" t="s">
        <v>19068</v>
      </c>
      <c r="O1826" t="s">
        <v>3963</v>
      </c>
      <c r="P1826" t="s">
        <v>20117</v>
      </c>
      <c r="R1826" t="s">
        <v>20118</v>
      </c>
    </row>
    <row r="1827" spans="4:18">
      <c r="E1827" t="s">
        <v>7816</v>
      </c>
      <c r="I1827" t="s">
        <v>10801</v>
      </c>
      <c r="K1827" t="s">
        <v>4699</v>
      </c>
      <c r="L1827" t="s">
        <v>3963</v>
      </c>
      <c r="M1827" t="s">
        <v>3963</v>
      </c>
      <c r="N1827" t="s">
        <v>15798</v>
      </c>
      <c r="O1827" t="s">
        <v>3963</v>
      </c>
      <c r="P1827" t="s">
        <v>15798</v>
      </c>
      <c r="R1827" t="s">
        <v>15799</v>
      </c>
    </row>
    <row r="1828" spans="4:18">
      <c r="E1828" t="s">
        <v>8935</v>
      </c>
      <c r="I1828" t="s">
        <v>6959</v>
      </c>
      <c r="K1828" t="s">
        <v>9951</v>
      </c>
      <c r="L1828" t="s">
        <v>3963</v>
      </c>
      <c r="M1828" t="s">
        <v>3963</v>
      </c>
      <c r="N1828" t="s">
        <v>3963</v>
      </c>
      <c r="O1828" t="s">
        <v>3963</v>
      </c>
      <c r="P1828" t="s">
        <v>3963</v>
      </c>
      <c r="R1828" t="s">
        <v>9951</v>
      </c>
    </row>
    <row r="1829" spans="4:18">
      <c r="E1829" t="s">
        <v>8936</v>
      </c>
      <c r="I1829" t="s">
        <v>10802</v>
      </c>
      <c r="K1829" t="s">
        <v>4177</v>
      </c>
      <c r="L1829" t="s">
        <v>3963</v>
      </c>
      <c r="M1829" t="s">
        <v>16535</v>
      </c>
      <c r="N1829" t="s">
        <v>3963</v>
      </c>
      <c r="O1829" t="s">
        <v>3963</v>
      </c>
      <c r="P1829" t="s">
        <v>16535</v>
      </c>
      <c r="R1829" t="s">
        <v>16536</v>
      </c>
    </row>
    <row r="1830" spans="4:18">
      <c r="E1830" t="s">
        <v>8937</v>
      </c>
      <c r="I1830" t="s">
        <v>11266</v>
      </c>
      <c r="K1830" t="s">
        <v>19211</v>
      </c>
      <c r="L1830" t="s">
        <v>19421</v>
      </c>
      <c r="M1830" t="s">
        <v>3963</v>
      </c>
      <c r="N1830" t="s">
        <v>3963</v>
      </c>
      <c r="O1830" t="s">
        <v>3963</v>
      </c>
      <c r="P1830" t="s">
        <v>19421</v>
      </c>
      <c r="R1830" t="s">
        <v>19422</v>
      </c>
    </row>
    <row r="1831" spans="4:18">
      <c r="E1831" t="s">
        <v>8938</v>
      </c>
      <c r="I1831" t="s">
        <v>12078</v>
      </c>
      <c r="K1831" t="s">
        <v>14615</v>
      </c>
      <c r="L1831" t="s">
        <v>3963</v>
      </c>
      <c r="M1831" t="s">
        <v>15800</v>
      </c>
      <c r="N1831" t="s">
        <v>3963</v>
      </c>
      <c r="O1831" t="s">
        <v>3963</v>
      </c>
      <c r="P1831" t="s">
        <v>15800</v>
      </c>
      <c r="R1831" t="s">
        <v>15801</v>
      </c>
    </row>
    <row r="1832" spans="4:18">
      <c r="E1832" t="s">
        <v>8939</v>
      </c>
      <c r="I1832" t="s">
        <v>15802</v>
      </c>
      <c r="K1832" t="s">
        <v>4201</v>
      </c>
      <c r="L1832" t="s">
        <v>19423</v>
      </c>
      <c r="M1832" t="s">
        <v>19951</v>
      </c>
      <c r="N1832" t="s">
        <v>3963</v>
      </c>
      <c r="O1832" t="s">
        <v>3963</v>
      </c>
      <c r="P1832" t="s">
        <v>19952</v>
      </c>
      <c r="R1832" t="s">
        <v>19953</v>
      </c>
    </row>
    <row r="1833" spans="4:18">
      <c r="E1833" t="s">
        <v>8940</v>
      </c>
      <c r="I1833" t="s">
        <v>16988</v>
      </c>
      <c r="K1833" t="s">
        <v>16989</v>
      </c>
      <c r="L1833" t="s">
        <v>20119</v>
      </c>
      <c r="M1833" t="s">
        <v>20120</v>
      </c>
      <c r="N1833" t="s">
        <v>19069</v>
      </c>
      <c r="O1833" t="s">
        <v>3963</v>
      </c>
      <c r="P1833" t="s">
        <v>20121</v>
      </c>
      <c r="R1833" t="s">
        <v>20122</v>
      </c>
    </row>
    <row r="1834" spans="4:18">
      <c r="E1834" t="s">
        <v>8941</v>
      </c>
      <c r="I1834" t="s">
        <v>17171</v>
      </c>
      <c r="K1834" t="s">
        <v>4091</v>
      </c>
      <c r="L1834" t="s">
        <v>3963</v>
      </c>
      <c r="M1834" t="s">
        <v>18775</v>
      </c>
      <c r="N1834" t="s">
        <v>3963</v>
      </c>
      <c r="O1834" t="s">
        <v>3963</v>
      </c>
      <c r="P1834" t="s">
        <v>18775</v>
      </c>
      <c r="R1834" t="s">
        <v>18776</v>
      </c>
    </row>
    <row r="1835" spans="4:18">
      <c r="D1835" t="s">
        <v>7464</v>
      </c>
      <c r="H1835" t="s">
        <v>7817</v>
      </c>
      <c r="K1835" t="s">
        <v>15947</v>
      </c>
      <c r="L1835" t="s">
        <v>19424</v>
      </c>
      <c r="M1835" t="s">
        <v>17954</v>
      </c>
      <c r="N1835" t="s">
        <v>17575</v>
      </c>
      <c r="O1835" t="s">
        <v>3963</v>
      </c>
      <c r="P1835" t="s">
        <v>19425</v>
      </c>
      <c r="R1835" t="s">
        <v>19426</v>
      </c>
    </row>
    <row r="1836" spans="4:18">
      <c r="E1836" t="s">
        <v>7818</v>
      </c>
      <c r="I1836" t="s">
        <v>7819</v>
      </c>
      <c r="K1836" t="s">
        <v>15993</v>
      </c>
      <c r="L1836" t="s">
        <v>19424</v>
      </c>
      <c r="M1836" t="s">
        <v>17954</v>
      </c>
      <c r="N1836" t="s">
        <v>17576</v>
      </c>
      <c r="O1836" t="s">
        <v>3963</v>
      </c>
      <c r="P1836" t="s">
        <v>19427</v>
      </c>
      <c r="R1836" t="s">
        <v>19428</v>
      </c>
    </row>
    <row r="1837" spans="4:18">
      <c r="E1837" t="s">
        <v>7820</v>
      </c>
      <c r="I1837" t="s">
        <v>5552</v>
      </c>
      <c r="K1837" t="s">
        <v>15994</v>
      </c>
      <c r="L1837" t="s">
        <v>3963</v>
      </c>
      <c r="M1837" t="s">
        <v>3963</v>
      </c>
      <c r="N1837" t="s">
        <v>3963</v>
      </c>
      <c r="O1837" t="s">
        <v>3963</v>
      </c>
      <c r="P1837" t="s">
        <v>3963</v>
      </c>
      <c r="R1837" t="s">
        <v>15994</v>
      </c>
    </row>
    <row r="1838" spans="4:18">
      <c r="E1838" t="s">
        <v>7821</v>
      </c>
      <c r="I1838" t="s">
        <v>7822</v>
      </c>
      <c r="K1838" t="s">
        <v>15995</v>
      </c>
      <c r="L1838" t="s">
        <v>3963</v>
      </c>
      <c r="M1838" t="s">
        <v>3963</v>
      </c>
      <c r="N1838" t="s">
        <v>3963</v>
      </c>
      <c r="O1838" t="s">
        <v>3963</v>
      </c>
      <c r="P1838" t="s">
        <v>3963</v>
      </c>
      <c r="R1838" t="s">
        <v>15995</v>
      </c>
    </row>
    <row r="1839" spans="4:18">
      <c r="E1839" t="s">
        <v>7823</v>
      </c>
      <c r="I1839" t="s">
        <v>7824</v>
      </c>
      <c r="K1839" t="s">
        <v>4162</v>
      </c>
      <c r="L1839" t="s">
        <v>3963</v>
      </c>
      <c r="M1839" t="s">
        <v>3963</v>
      </c>
      <c r="N1839" t="s">
        <v>3963</v>
      </c>
      <c r="O1839" t="s">
        <v>3963</v>
      </c>
      <c r="P1839" t="s">
        <v>3963</v>
      </c>
      <c r="R1839" t="s">
        <v>4162</v>
      </c>
    </row>
    <row r="1840" spans="4:18">
      <c r="E1840" t="s">
        <v>7825</v>
      </c>
      <c r="I1840" t="s">
        <v>7826</v>
      </c>
      <c r="K1840" t="s">
        <v>4699</v>
      </c>
      <c r="L1840" t="s">
        <v>3963</v>
      </c>
      <c r="M1840" t="s">
        <v>3963</v>
      </c>
      <c r="N1840" t="s">
        <v>3963</v>
      </c>
      <c r="O1840" t="s">
        <v>3963</v>
      </c>
      <c r="P1840" t="s">
        <v>3963</v>
      </c>
      <c r="R1840" t="s">
        <v>4699</v>
      </c>
    </row>
    <row r="1841" spans="4:18">
      <c r="E1841" t="s">
        <v>7827</v>
      </c>
      <c r="I1841" t="s">
        <v>5441</v>
      </c>
      <c r="K1841" t="s">
        <v>15996</v>
      </c>
      <c r="L1841" t="s">
        <v>3963</v>
      </c>
      <c r="M1841" t="s">
        <v>3963</v>
      </c>
      <c r="N1841" t="s">
        <v>16304</v>
      </c>
      <c r="O1841" t="s">
        <v>3963</v>
      </c>
      <c r="P1841" t="s">
        <v>16304</v>
      </c>
      <c r="R1841" t="s">
        <v>16305</v>
      </c>
    </row>
    <row r="1842" spans="4:18">
      <c r="E1842" t="s">
        <v>7828</v>
      </c>
      <c r="I1842" t="s">
        <v>7829</v>
      </c>
      <c r="K1842" t="s">
        <v>4661</v>
      </c>
      <c r="L1842" t="s">
        <v>3963</v>
      </c>
      <c r="M1842" t="s">
        <v>3963</v>
      </c>
      <c r="N1842" t="s">
        <v>3963</v>
      </c>
      <c r="O1842" t="s">
        <v>3963</v>
      </c>
      <c r="P1842" t="s">
        <v>3963</v>
      </c>
      <c r="R1842" t="s">
        <v>4661</v>
      </c>
    </row>
    <row r="1843" spans="4:18">
      <c r="E1843" t="s">
        <v>7830</v>
      </c>
      <c r="I1843" t="s">
        <v>7831</v>
      </c>
      <c r="K1843" t="s">
        <v>14621</v>
      </c>
      <c r="L1843" t="s">
        <v>3963</v>
      </c>
      <c r="M1843" t="s">
        <v>3963</v>
      </c>
      <c r="N1843" t="s">
        <v>3963</v>
      </c>
      <c r="O1843" t="s">
        <v>3963</v>
      </c>
      <c r="P1843" t="s">
        <v>3963</v>
      </c>
      <c r="R1843" t="s">
        <v>14621</v>
      </c>
    </row>
    <row r="1844" spans="4:18">
      <c r="D1844" t="s">
        <v>7453</v>
      </c>
      <c r="H1844" t="s">
        <v>7454</v>
      </c>
      <c r="K1844" t="s">
        <v>3963</v>
      </c>
      <c r="L1844" t="s">
        <v>3963</v>
      </c>
      <c r="M1844" t="s">
        <v>3963</v>
      </c>
      <c r="N1844" t="s">
        <v>3963</v>
      </c>
      <c r="O1844" t="s">
        <v>3963</v>
      </c>
      <c r="P1844" t="s">
        <v>3963</v>
      </c>
      <c r="R1844" t="s">
        <v>3963</v>
      </c>
    </row>
    <row r="1845" spans="4:18">
      <c r="E1845" t="s">
        <v>7832</v>
      </c>
      <c r="I1845" t="s">
        <v>6611</v>
      </c>
      <c r="K1845" t="s">
        <v>3963</v>
      </c>
      <c r="L1845" t="s">
        <v>3963</v>
      </c>
      <c r="M1845" t="s">
        <v>3963</v>
      </c>
      <c r="N1845" t="s">
        <v>3963</v>
      </c>
      <c r="O1845" t="s">
        <v>3963</v>
      </c>
      <c r="P1845" t="s">
        <v>3963</v>
      </c>
      <c r="R1845" t="s">
        <v>3963</v>
      </c>
    </row>
    <row r="1846" spans="4:18">
      <c r="E1846" t="s">
        <v>7833</v>
      </c>
      <c r="I1846" t="s">
        <v>5441</v>
      </c>
      <c r="K1846" t="s">
        <v>3963</v>
      </c>
      <c r="L1846" t="s">
        <v>3963</v>
      </c>
      <c r="M1846" t="s">
        <v>3963</v>
      </c>
      <c r="N1846" t="s">
        <v>3963</v>
      </c>
      <c r="O1846" t="s">
        <v>3963</v>
      </c>
      <c r="P1846" t="s">
        <v>3963</v>
      </c>
      <c r="R1846" t="s">
        <v>3963</v>
      </c>
    </row>
    <row r="1847" spans="4:18">
      <c r="D1847" t="s">
        <v>8419</v>
      </c>
      <c r="H1847" t="s">
        <v>8451</v>
      </c>
      <c r="K1847" t="s">
        <v>3963</v>
      </c>
      <c r="L1847" t="s">
        <v>3963</v>
      </c>
      <c r="M1847" t="s">
        <v>3963</v>
      </c>
      <c r="N1847" t="s">
        <v>3963</v>
      </c>
      <c r="O1847" t="s">
        <v>3963</v>
      </c>
      <c r="P1847" t="s">
        <v>3963</v>
      </c>
      <c r="R1847" t="s">
        <v>3963</v>
      </c>
    </row>
    <row r="1848" spans="4:18">
      <c r="E1848" t="s">
        <v>8452</v>
      </c>
      <c r="I1848" t="s">
        <v>8453</v>
      </c>
      <c r="K1848" t="s">
        <v>3963</v>
      </c>
      <c r="L1848" t="s">
        <v>3963</v>
      </c>
      <c r="M1848" t="s">
        <v>3963</v>
      </c>
      <c r="N1848" t="s">
        <v>3963</v>
      </c>
      <c r="O1848" t="s">
        <v>3963</v>
      </c>
      <c r="P1848" t="s">
        <v>3963</v>
      </c>
      <c r="R1848" t="s">
        <v>3963</v>
      </c>
    </row>
    <row r="1849" spans="4:18">
      <c r="E1849" t="s">
        <v>8454</v>
      </c>
      <c r="I1849" t="s">
        <v>8455</v>
      </c>
      <c r="K1849" t="s">
        <v>3963</v>
      </c>
      <c r="L1849" t="s">
        <v>3963</v>
      </c>
      <c r="M1849" t="s">
        <v>3963</v>
      </c>
      <c r="N1849" t="s">
        <v>3963</v>
      </c>
      <c r="O1849" t="s">
        <v>3963</v>
      </c>
      <c r="P1849" t="s">
        <v>3963</v>
      </c>
      <c r="R1849" t="s">
        <v>3963</v>
      </c>
    </row>
    <row r="1850" spans="4:18">
      <c r="E1850" t="s">
        <v>8456</v>
      </c>
      <c r="I1850" t="s">
        <v>6663</v>
      </c>
      <c r="K1850" t="s">
        <v>3963</v>
      </c>
      <c r="L1850" t="s">
        <v>3963</v>
      </c>
      <c r="M1850" t="s">
        <v>3963</v>
      </c>
      <c r="N1850" t="s">
        <v>3963</v>
      </c>
      <c r="O1850" t="s">
        <v>3963</v>
      </c>
      <c r="P1850" t="s">
        <v>3963</v>
      </c>
      <c r="R1850" t="s">
        <v>3963</v>
      </c>
    </row>
    <row r="1851" spans="4:18">
      <c r="D1851" t="s">
        <v>8884</v>
      </c>
      <c r="H1851" t="s">
        <v>8915</v>
      </c>
      <c r="K1851" t="s">
        <v>4134</v>
      </c>
      <c r="L1851" t="s">
        <v>3963</v>
      </c>
      <c r="M1851" t="s">
        <v>3963</v>
      </c>
      <c r="N1851" t="s">
        <v>3963</v>
      </c>
      <c r="O1851" t="s">
        <v>3963</v>
      </c>
      <c r="P1851" t="s">
        <v>3963</v>
      </c>
      <c r="R1851" t="s">
        <v>4134</v>
      </c>
    </row>
    <row r="1852" spans="4:18">
      <c r="E1852" t="s">
        <v>8916</v>
      </c>
      <c r="I1852" t="s">
        <v>8917</v>
      </c>
      <c r="K1852" t="s">
        <v>4134</v>
      </c>
      <c r="L1852" t="s">
        <v>3963</v>
      </c>
      <c r="M1852" t="s">
        <v>3963</v>
      </c>
      <c r="N1852" t="s">
        <v>3963</v>
      </c>
      <c r="O1852" t="s">
        <v>3963</v>
      </c>
      <c r="P1852" t="s">
        <v>3963</v>
      </c>
      <c r="R1852" t="s">
        <v>4134</v>
      </c>
    </row>
    <row r="1853" spans="4:18">
      <c r="D1853" t="s">
        <v>8883</v>
      </c>
      <c r="H1853" t="s">
        <v>8918</v>
      </c>
      <c r="K1853" t="s">
        <v>3963</v>
      </c>
      <c r="L1853" t="s">
        <v>3963</v>
      </c>
      <c r="M1853" t="s">
        <v>3963</v>
      </c>
      <c r="N1853" t="s">
        <v>3963</v>
      </c>
      <c r="O1853" t="s">
        <v>3963</v>
      </c>
      <c r="P1853" t="s">
        <v>3963</v>
      </c>
      <c r="R1853" t="s">
        <v>3963</v>
      </c>
    </row>
    <row r="1854" spans="4:18">
      <c r="E1854" t="s">
        <v>8919</v>
      </c>
      <c r="I1854" t="s">
        <v>8920</v>
      </c>
      <c r="K1854" t="s">
        <v>3963</v>
      </c>
      <c r="L1854" t="s">
        <v>3963</v>
      </c>
      <c r="M1854" t="s">
        <v>3963</v>
      </c>
      <c r="N1854" t="s">
        <v>3963</v>
      </c>
      <c r="O1854" t="s">
        <v>3963</v>
      </c>
      <c r="P1854" t="s">
        <v>3963</v>
      </c>
      <c r="R1854" t="s">
        <v>3963</v>
      </c>
    </row>
    <row r="1855" spans="4:18">
      <c r="D1855" t="s">
        <v>8885</v>
      </c>
      <c r="H1855" t="s">
        <v>7430</v>
      </c>
      <c r="K1855" t="s">
        <v>3963</v>
      </c>
      <c r="L1855" t="s">
        <v>3963</v>
      </c>
      <c r="M1855" t="s">
        <v>3963</v>
      </c>
      <c r="N1855" t="s">
        <v>3963</v>
      </c>
      <c r="O1855" t="s">
        <v>3963</v>
      </c>
      <c r="P1855" t="s">
        <v>3963</v>
      </c>
      <c r="R1855" t="s">
        <v>3963</v>
      </c>
    </row>
    <row r="1856" spans="4:18">
      <c r="E1856" t="s">
        <v>8921</v>
      </c>
      <c r="I1856" t="s">
        <v>8922</v>
      </c>
      <c r="K1856" t="s">
        <v>3963</v>
      </c>
      <c r="L1856" t="s">
        <v>3963</v>
      </c>
      <c r="M1856" t="s">
        <v>3963</v>
      </c>
      <c r="N1856" t="s">
        <v>3963</v>
      </c>
      <c r="O1856" t="s">
        <v>3963</v>
      </c>
      <c r="P1856" t="s">
        <v>3963</v>
      </c>
      <c r="R1856" t="s">
        <v>3963</v>
      </c>
    </row>
    <row r="1857" spans="4:18">
      <c r="E1857" t="s">
        <v>8923</v>
      </c>
      <c r="I1857" t="s">
        <v>8924</v>
      </c>
      <c r="K1857" t="s">
        <v>3963</v>
      </c>
      <c r="L1857" t="s">
        <v>3963</v>
      </c>
      <c r="M1857" t="s">
        <v>3963</v>
      </c>
      <c r="N1857" t="s">
        <v>3963</v>
      </c>
      <c r="O1857" t="s">
        <v>3963</v>
      </c>
      <c r="P1857" t="s">
        <v>3963</v>
      </c>
      <c r="R1857" t="s">
        <v>3963</v>
      </c>
    </row>
    <row r="1858" spans="4:18">
      <c r="D1858" t="s">
        <v>9602</v>
      </c>
      <c r="H1858" t="s">
        <v>9640</v>
      </c>
      <c r="K1858" t="s">
        <v>15079</v>
      </c>
      <c r="L1858" t="s">
        <v>3963</v>
      </c>
      <c r="M1858" t="s">
        <v>3963</v>
      </c>
      <c r="N1858" t="s">
        <v>19867</v>
      </c>
      <c r="O1858" t="s">
        <v>3963</v>
      </c>
      <c r="P1858" t="s">
        <v>19867</v>
      </c>
      <c r="R1858" t="s">
        <v>19868</v>
      </c>
    </row>
    <row r="1859" spans="4:18">
      <c r="E1859" t="s">
        <v>9641</v>
      </c>
      <c r="I1859" t="s">
        <v>9642</v>
      </c>
      <c r="K1859" t="s">
        <v>15079</v>
      </c>
      <c r="L1859" t="s">
        <v>3963</v>
      </c>
      <c r="M1859" t="s">
        <v>3963</v>
      </c>
      <c r="N1859" t="s">
        <v>19867</v>
      </c>
      <c r="O1859" t="s">
        <v>3963</v>
      </c>
      <c r="P1859" t="s">
        <v>19867</v>
      </c>
      <c r="R1859" t="s">
        <v>19868</v>
      </c>
    </row>
    <row r="1860" spans="4:18">
      <c r="D1860" t="s">
        <v>8955</v>
      </c>
      <c r="H1860" t="s">
        <v>9194</v>
      </c>
      <c r="K1860" t="s">
        <v>3963</v>
      </c>
      <c r="L1860" t="s">
        <v>3963</v>
      </c>
      <c r="M1860" t="s">
        <v>3963</v>
      </c>
      <c r="N1860" t="s">
        <v>3963</v>
      </c>
      <c r="O1860" t="s">
        <v>3963</v>
      </c>
      <c r="P1860" t="s">
        <v>3963</v>
      </c>
      <c r="R1860" t="s">
        <v>3963</v>
      </c>
    </row>
    <row r="1861" spans="4:18">
      <c r="E1861" t="s">
        <v>9195</v>
      </c>
      <c r="I1861" t="s">
        <v>5552</v>
      </c>
      <c r="K1861" t="s">
        <v>3963</v>
      </c>
      <c r="L1861" t="s">
        <v>3963</v>
      </c>
      <c r="M1861" t="s">
        <v>3963</v>
      </c>
      <c r="N1861" t="s">
        <v>3963</v>
      </c>
      <c r="O1861" t="s">
        <v>3963</v>
      </c>
      <c r="P1861" t="s">
        <v>3963</v>
      </c>
      <c r="R1861" t="s">
        <v>3963</v>
      </c>
    </row>
    <row r="1862" spans="4:18">
      <c r="E1862" t="s">
        <v>9196</v>
      </c>
      <c r="I1862" t="s">
        <v>5441</v>
      </c>
      <c r="K1862" t="s">
        <v>3963</v>
      </c>
      <c r="L1862" t="s">
        <v>3963</v>
      </c>
      <c r="M1862" t="s">
        <v>3963</v>
      </c>
      <c r="N1862" t="s">
        <v>3963</v>
      </c>
      <c r="O1862" t="s">
        <v>3963</v>
      </c>
      <c r="P1862" t="s">
        <v>3963</v>
      </c>
      <c r="R1862" t="s">
        <v>3963</v>
      </c>
    </row>
    <row r="1863" spans="4:18">
      <c r="D1863" t="s">
        <v>8933</v>
      </c>
      <c r="H1863" t="s">
        <v>7812</v>
      </c>
      <c r="K1863" t="s">
        <v>17335</v>
      </c>
      <c r="L1863" t="s">
        <v>3963</v>
      </c>
      <c r="M1863" t="s">
        <v>3963</v>
      </c>
      <c r="N1863" t="s">
        <v>17336</v>
      </c>
      <c r="O1863" t="s">
        <v>3963</v>
      </c>
      <c r="P1863" t="s">
        <v>17336</v>
      </c>
      <c r="R1863" t="s">
        <v>17337</v>
      </c>
    </row>
    <row r="1864" spans="4:18">
      <c r="E1864" t="s">
        <v>9043</v>
      </c>
      <c r="I1864" t="s">
        <v>7813</v>
      </c>
      <c r="K1864" t="s">
        <v>17338</v>
      </c>
      <c r="L1864" t="s">
        <v>3963</v>
      </c>
      <c r="M1864" t="s">
        <v>3963</v>
      </c>
      <c r="N1864" t="s">
        <v>17339</v>
      </c>
      <c r="O1864" t="s">
        <v>3963</v>
      </c>
      <c r="P1864" t="s">
        <v>17339</v>
      </c>
      <c r="R1864" t="s">
        <v>17340</v>
      </c>
    </row>
    <row r="1865" spans="4:18">
      <c r="E1865" t="s">
        <v>9044</v>
      </c>
      <c r="I1865" t="s">
        <v>5552</v>
      </c>
      <c r="K1865" t="s">
        <v>17341</v>
      </c>
      <c r="L1865" t="s">
        <v>3963</v>
      </c>
      <c r="M1865" t="s">
        <v>3963</v>
      </c>
      <c r="N1865" t="s">
        <v>17342</v>
      </c>
      <c r="O1865" t="s">
        <v>3963</v>
      </c>
      <c r="P1865" t="s">
        <v>17342</v>
      </c>
      <c r="R1865" t="s">
        <v>17343</v>
      </c>
    </row>
    <row r="1866" spans="4:18">
      <c r="E1866" t="s">
        <v>9045</v>
      </c>
      <c r="I1866" t="s">
        <v>5441</v>
      </c>
      <c r="K1866" t="s">
        <v>17344</v>
      </c>
      <c r="L1866" t="s">
        <v>3963</v>
      </c>
      <c r="M1866" t="s">
        <v>3963</v>
      </c>
      <c r="N1866" t="s">
        <v>17345</v>
      </c>
      <c r="O1866" t="s">
        <v>3963</v>
      </c>
      <c r="P1866" t="s">
        <v>17345</v>
      </c>
      <c r="R1866" t="s">
        <v>17346</v>
      </c>
    </row>
    <row r="1867" spans="4:18">
      <c r="E1867" t="s">
        <v>9046</v>
      </c>
      <c r="I1867" t="s">
        <v>7814</v>
      </c>
      <c r="K1867" t="s">
        <v>17347</v>
      </c>
      <c r="L1867" t="s">
        <v>3963</v>
      </c>
      <c r="M1867" t="s">
        <v>3963</v>
      </c>
      <c r="N1867" t="s">
        <v>3963</v>
      </c>
      <c r="O1867" t="s">
        <v>3963</v>
      </c>
      <c r="P1867" t="s">
        <v>3963</v>
      </c>
      <c r="R1867" t="s">
        <v>17347</v>
      </c>
    </row>
    <row r="1868" spans="4:18">
      <c r="D1868" t="s">
        <v>8975</v>
      </c>
      <c r="H1868" t="s">
        <v>7810</v>
      </c>
      <c r="K1868" t="s">
        <v>3963</v>
      </c>
      <c r="L1868" t="s">
        <v>3963</v>
      </c>
      <c r="M1868" t="s">
        <v>3963</v>
      </c>
      <c r="N1868" t="s">
        <v>3963</v>
      </c>
      <c r="O1868" t="s">
        <v>3963</v>
      </c>
      <c r="P1868" t="s">
        <v>3963</v>
      </c>
      <c r="R1868" t="s">
        <v>3963</v>
      </c>
    </row>
    <row r="1869" spans="4:18">
      <c r="E1869" t="s">
        <v>9047</v>
      </c>
      <c r="I1869" t="s">
        <v>5552</v>
      </c>
      <c r="K1869" t="s">
        <v>3963</v>
      </c>
      <c r="L1869" t="s">
        <v>3963</v>
      </c>
      <c r="M1869" t="s">
        <v>3963</v>
      </c>
      <c r="N1869" t="s">
        <v>3963</v>
      </c>
      <c r="O1869" t="s">
        <v>3963</v>
      </c>
      <c r="P1869" t="s">
        <v>3963</v>
      </c>
      <c r="R1869" t="s">
        <v>3963</v>
      </c>
    </row>
    <row r="1870" spans="4:18">
      <c r="E1870" t="s">
        <v>9048</v>
      </c>
      <c r="I1870" t="s">
        <v>7811</v>
      </c>
      <c r="K1870" t="s">
        <v>3963</v>
      </c>
      <c r="L1870" t="s">
        <v>3963</v>
      </c>
      <c r="M1870" t="s">
        <v>3963</v>
      </c>
      <c r="N1870" t="s">
        <v>3963</v>
      </c>
      <c r="O1870" t="s">
        <v>3963</v>
      </c>
      <c r="P1870" t="s">
        <v>3963</v>
      </c>
      <c r="R1870" t="s">
        <v>3963</v>
      </c>
    </row>
    <row r="1871" spans="4:18">
      <c r="E1871" t="s">
        <v>9049</v>
      </c>
      <c r="I1871" t="s">
        <v>5441</v>
      </c>
      <c r="K1871" t="s">
        <v>3963</v>
      </c>
      <c r="L1871" t="s">
        <v>3963</v>
      </c>
      <c r="M1871" t="s">
        <v>3963</v>
      </c>
      <c r="N1871" t="s">
        <v>3963</v>
      </c>
      <c r="O1871" t="s">
        <v>3963</v>
      </c>
      <c r="P1871" t="s">
        <v>3963</v>
      </c>
      <c r="R1871" t="s">
        <v>3963</v>
      </c>
    </row>
    <row r="1872" spans="4:18">
      <c r="D1872" t="s">
        <v>10700</v>
      </c>
      <c r="H1872" t="s">
        <v>10751</v>
      </c>
      <c r="K1872" t="s">
        <v>3963</v>
      </c>
      <c r="L1872" t="s">
        <v>3963</v>
      </c>
      <c r="M1872" t="s">
        <v>3963</v>
      </c>
      <c r="N1872" t="s">
        <v>3963</v>
      </c>
      <c r="O1872" t="s">
        <v>3963</v>
      </c>
      <c r="P1872" t="s">
        <v>3963</v>
      </c>
      <c r="R1872" t="s">
        <v>3963</v>
      </c>
    </row>
    <row r="1873" spans="4:18">
      <c r="E1873" t="s">
        <v>10752</v>
      </c>
      <c r="I1873" t="s">
        <v>5552</v>
      </c>
      <c r="K1873" t="s">
        <v>3963</v>
      </c>
      <c r="L1873" t="s">
        <v>3963</v>
      </c>
      <c r="M1873" t="s">
        <v>3963</v>
      </c>
      <c r="N1873" t="s">
        <v>3963</v>
      </c>
      <c r="O1873" t="s">
        <v>3963</v>
      </c>
      <c r="P1873" t="s">
        <v>3963</v>
      </c>
      <c r="R1873" t="s">
        <v>3963</v>
      </c>
    </row>
    <row r="1874" spans="4:18">
      <c r="E1874" t="s">
        <v>10753</v>
      </c>
      <c r="I1874" t="s">
        <v>5441</v>
      </c>
      <c r="K1874" t="s">
        <v>3963</v>
      </c>
      <c r="L1874" t="s">
        <v>3963</v>
      </c>
      <c r="M1874" t="s">
        <v>3963</v>
      </c>
      <c r="N1874" t="s">
        <v>3963</v>
      </c>
      <c r="O1874" t="s">
        <v>3963</v>
      </c>
      <c r="P1874" t="s">
        <v>3963</v>
      </c>
      <c r="R1874" t="s">
        <v>3963</v>
      </c>
    </row>
    <row r="1875" spans="4:18">
      <c r="D1875" t="s">
        <v>17720</v>
      </c>
      <c r="H1875" t="s">
        <v>17787</v>
      </c>
      <c r="K1875" t="s">
        <v>3963</v>
      </c>
      <c r="L1875" t="s">
        <v>3963</v>
      </c>
      <c r="M1875" t="s">
        <v>3963</v>
      </c>
      <c r="N1875" t="s">
        <v>3963</v>
      </c>
      <c r="O1875" t="s">
        <v>3963</v>
      </c>
      <c r="P1875" t="s">
        <v>3963</v>
      </c>
      <c r="R1875" t="s">
        <v>3963</v>
      </c>
    </row>
    <row r="1876" spans="4:18">
      <c r="E1876" t="s">
        <v>17788</v>
      </c>
      <c r="I1876" t="s">
        <v>5552</v>
      </c>
      <c r="K1876" t="s">
        <v>3963</v>
      </c>
      <c r="L1876" t="s">
        <v>3963</v>
      </c>
      <c r="M1876" t="s">
        <v>3963</v>
      </c>
      <c r="N1876" t="s">
        <v>3963</v>
      </c>
      <c r="O1876" t="s">
        <v>3963</v>
      </c>
      <c r="P1876" t="s">
        <v>3963</v>
      </c>
      <c r="R1876" t="s">
        <v>3963</v>
      </c>
    </row>
    <row r="1877" spans="4:18">
      <c r="E1877" t="s">
        <v>17789</v>
      </c>
      <c r="I1877" t="s">
        <v>5441</v>
      </c>
      <c r="K1877" t="s">
        <v>3963</v>
      </c>
      <c r="L1877" t="s">
        <v>3963</v>
      </c>
      <c r="M1877" t="s">
        <v>3963</v>
      </c>
      <c r="N1877" t="s">
        <v>3963</v>
      </c>
      <c r="O1877" t="s">
        <v>3963</v>
      </c>
      <c r="P1877" t="s">
        <v>3963</v>
      </c>
      <c r="R1877" t="s">
        <v>3963</v>
      </c>
    </row>
    <row r="1878" spans="4:18">
      <c r="D1878" t="s">
        <v>12251</v>
      </c>
      <c r="H1878" t="s">
        <v>11455</v>
      </c>
      <c r="K1878" t="s">
        <v>3963</v>
      </c>
      <c r="L1878" t="s">
        <v>3963</v>
      </c>
      <c r="M1878" t="s">
        <v>3963</v>
      </c>
      <c r="N1878" t="s">
        <v>3963</v>
      </c>
      <c r="O1878" t="s">
        <v>3963</v>
      </c>
      <c r="P1878" t="s">
        <v>3963</v>
      </c>
      <c r="R1878" t="s">
        <v>3963</v>
      </c>
    </row>
    <row r="1879" spans="4:18">
      <c r="E1879" t="s">
        <v>15803</v>
      </c>
      <c r="I1879" t="s">
        <v>15804</v>
      </c>
      <c r="K1879" t="s">
        <v>3963</v>
      </c>
      <c r="L1879" t="s">
        <v>3963</v>
      </c>
      <c r="M1879" t="s">
        <v>3963</v>
      </c>
      <c r="N1879" t="s">
        <v>3963</v>
      </c>
      <c r="O1879" t="s">
        <v>3963</v>
      </c>
      <c r="P1879" t="s">
        <v>3963</v>
      </c>
      <c r="R1879" t="s">
        <v>3963</v>
      </c>
    </row>
    <row r="1880" spans="4:18">
      <c r="E1880" t="s">
        <v>15805</v>
      </c>
      <c r="I1880" t="s">
        <v>15806</v>
      </c>
      <c r="K1880" t="s">
        <v>3963</v>
      </c>
      <c r="L1880" t="s">
        <v>3963</v>
      </c>
      <c r="M1880" t="s">
        <v>3963</v>
      </c>
      <c r="N1880" t="s">
        <v>3963</v>
      </c>
      <c r="O1880" t="s">
        <v>3963</v>
      </c>
      <c r="P1880" t="s">
        <v>3963</v>
      </c>
      <c r="R1880" t="s">
        <v>3963</v>
      </c>
    </row>
    <row r="1881" spans="4:18">
      <c r="E1881" t="s">
        <v>15807</v>
      </c>
      <c r="I1881" t="s">
        <v>15808</v>
      </c>
      <c r="K1881" t="s">
        <v>3963</v>
      </c>
      <c r="L1881" t="s">
        <v>3963</v>
      </c>
      <c r="M1881" t="s">
        <v>3963</v>
      </c>
      <c r="N1881" t="s">
        <v>3963</v>
      </c>
      <c r="O1881" t="s">
        <v>3963</v>
      </c>
      <c r="P1881" t="s">
        <v>3963</v>
      </c>
      <c r="R1881" t="s">
        <v>3963</v>
      </c>
    </row>
    <row r="1882" spans="4:18">
      <c r="D1882" t="s">
        <v>16992</v>
      </c>
      <c r="H1882" t="s">
        <v>17172</v>
      </c>
      <c r="K1882" t="s">
        <v>17348</v>
      </c>
      <c r="L1882" t="s">
        <v>3963</v>
      </c>
      <c r="M1882" t="s">
        <v>3963</v>
      </c>
      <c r="N1882" t="s">
        <v>18777</v>
      </c>
      <c r="O1882" t="s">
        <v>3963</v>
      </c>
      <c r="P1882" t="s">
        <v>18777</v>
      </c>
      <c r="R1882" t="s">
        <v>18778</v>
      </c>
    </row>
    <row r="1883" spans="4:18">
      <c r="E1883" t="s">
        <v>17173</v>
      </c>
      <c r="I1883" t="s">
        <v>5995</v>
      </c>
      <c r="K1883" t="s">
        <v>17349</v>
      </c>
      <c r="L1883" t="s">
        <v>3963</v>
      </c>
      <c r="M1883" t="s">
        <v>3963</v>
      </c>
      <c r="N1883" t="s">
        <v>18777</v>
      </c>
      <c r="O1883" t="s">
        <v>3963</v>
      </c>
      <c r="P1883" t="s">
        <v>18777</v>
      </c>
      <c r="R1883" t="s">
        <v>18779</v>
      </c>
    </row>
    <row r="1884" spans="4:18">
      <c r="E1884" t="s">
        <v>17174</v>
      </c>
      <c r="I1884" t="s">
        <v>5441</v>
      </c>
      <c r="K1884" t="s">
        <v>17350</v>
      </c>
      <c r="L1884" t="s">
        <v>3963</v>
      </c>
      <c r="M1884" t="s">
        <v>3963</v>
      </c>
      <c r="N1884" t="s">
        <v>3963</v>
      </c>
      <c r="O1884" t="s">
        <v>3963</v>
      </c>
      <c r="P1884" t="s">
        <v>3963</v>
      </c>
      <c r="R1884" t="s">
        <v>17350</v>
      </c>
    </row>
    <row r="1885" spans="4:18">
      <c r="E1885" t="s">
        <v>17175</v>
      </c>
      <c r="I1885" t="s">
        <v>17176</v>
      </c>
      <c r="K1885" t="s">
        <v>17351</v>
      </c>
      <c r="L1885" t="s">
        <v>3963</v>
      </c>
      <c r="M1885" t="s">
        <v>3963</v>
      </c>
      <c r="N1885" t="s">
        <v>3963</v>
      </c>
      <c r="O1885" t="s">
        <v>3963</v>
      </c>
      <c r="P1885" t="s">
        <v>3963</v>
      </c>
      <c r="R1885" t="s">
        <v>17351</v>
      </c>
    </row>
    <row r="1886" spans="4:18">
      <c r="D1886" t="s">
        <v>18528</v>
      </c>
      <c r="H1886" t="s">
        <v>18780</v>
      </c>
      <c r="K1886" t="s">
        <v>3963</v>
      </c>
      <c r="L1886" t="s">
        <v>3963</v>
      </c>
      <c r="M1886" t="s">
        <v>3963</v>
      </c>
      <c r="N1886" t="s">
        <v>3963</v>
      </c>
      <c r="O1886" t="s">
        <v>3963</v>
      </c>
      <c r="P1886" t="s">
        <v>3963</v>
      </c>
      <c r="R1886" t="s">
        <v>3963</v>
      </c>
    </row>
    <row r="1887" spans="4:18">
      <c r="E1887" t="s">
        <v>18781</v>
      </c>
      <c r="I1887" t="s">
        <v>5995</v>
      </c>
      <c r="K1887" t="s">
        <v>3963</v>
      </c>
      <c r="L1887" t="s">
        <v>3963</v>
      </c>
      <c r="M1887" t="s">
        <v>3963</v>
      </c>
      <c r="N1887" t="s">
        <v>3963</v>
      </c>
      <c r="O1887" t="s">
        <v>3963</v>
      </c>
      <c r="P1887" t="s">
        <v>3963</v>
      </c>
      <c r="R1887" t="s">
        <v>3963</v>
      </c>
    </row>
    <row r="1888" spans="4:18">
      <c r="E1888" t="s">
        <v>18782</v>
      </c>
      <c r="I1888" t="s">
        <v>5441</v>
      </c>
      <c r="K1888" t="s">
        <v>3963</v>
      </c>
      <c r="L1888" t="s">
        <v>3963</v>
      </c>
      <c r="M1888" t="s">
        <v>3963</v>
      </c>
      <c r="N1888" t="s">
        <v>3963</v>
      </c>
      <c r="O1888" t="s">
        <v>3963</v>
      </c>
      <c r="P1888" t="s">
        <v>3963</v>
      </c>
      <c r="R1888" t="s">
        <v>3963</v>
      </c>
    </row>
    <row r="1889" spans="4:18">
      <c r="D1889" t="s">
        <v>6759</v>
      </c>
      <c r="K1889" t="s">
        <v>19564</v>
      </c>
      <c r="L1889" t="s">
        <v>20123</v>
      </c>
      <c r="M1889" t="s">
        <v>20124</v>
      </c>
      <c r="N1889" t="s">
        <v>20125</v>
      </c>
      <c r="O1889" t="s">
        <v>14115</v>
      </c>
      <c r="P1889" t="s">
        <v>20126</v>
      </c>
      <c r="R1889" t="s">
        <v>20127</v>
      </c>
    </row>
  </sheetData>
  <pageMargins left="0.511811024" right="0.511811024" top="0.78740157499999996" bottom="0.78740157499999996" header="0.31496062000000002" footer="0.31496062000000002"/>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7622A-CA72-4EA1-BA7E-B1596039F1E4}">
  <sheetPr codeName="Planilha20"/>
  <dimension ref="A1:J178"/>
  <sheetViews>
    <sheetView workbookViewId="0">
      <selection activeCell="E1" sqref="E1:E1048576"/>
    </sheetView>
  </sheetViews>
  <sheetFormatPr defaultColWidth="9.1796875" defaultRowHeight="14.5"/>
  <cols>
    <col min="1" max="1" width="20" style="389" bestFit="1" customWidth="1"/>
    <col min="2" max="2" width="18" style="389" bestFit="1" customWidth="1"/>
    <col min="3" max="3" width="42" style="389" bestFit="1" customWidth="1"/>
    <col min="4" max="4" width="18" style="389" bestFit="1" customWidth="1"/>
    <col min="5" max="5" width="12" style="389" bestFit="1" customWidth="1"/>
    <col min="6" max="6" width="17" style="389" bestFit="1" customWidth="1"/>
    <col min="7" max="7" width="11" style="389" bestFit="1" customWidth="1"/>
    <col min="8" max="8" width="42" style="389" bestFit="1" customWidth="1"/>
    <col min="9" max="9" width="37" style="389" bestFit="1" customWidth="1"/>
    <col min="10" max="10" width="15" style="389" bestFit="1" customWidth="1"/>
    <col min="11" max="16384" width="9.1796875" style="389"/>
  </cols>
  <sheetData>
    <row r="1" spans="1:10" ht="29">
      <c r="A1" s="387" t="s">
        <v>3071</v>
      </c>
      <c r="B1" s="387" t="s">
        <v>3341</v>
      </c>
      <c r="C1" s="387" t="s">
        <v>3072</v>
      </c>
      <c r="D1" s="388" t="s">
        <v>3073</v>
      </c>
      <c r="E1" s="388"/>
      <c r="F1" s="387" t="s">
        <v>3074</v>
      </c>
      <c r="G1" s="388" t="s">
        <v>3075</v>
      </c>
      <c r="H1" s="387" t="s">
        <v>2968</v>
      </c>
      <c r="I1" s="387" t="s">
        <v>3076</v>
      </c>
      <c r="J1" s="387" t="s">
        <v>2957</v>
      </c>
    </row>
    <row r="2" spans="1:10">
      <c r="A2" s="389" t="s">
        <v>810</v>
      </c>
      <c r="B2" s="389" t="s">
        <v>3083</v>
      </c>
      <c r="C2" s="389" t="s">
        <v>3084</v>
      </c>
      <c r="D2" s="389" t="s">
        <v>3077</v>
      </c>
      <c r="E2" s="389" t="s">
        <v>3085</v>
      </c>
      <c r="F2" s="390">
        <v>252</v>
      </c>
      <c r="G2" s="389" t="s">
        <v>2917</v>
      </c>
      <c r="H2" s="389" t="s">
        <v>3086</v>
      </c>
      <c r="I2" s="389" t="s">
        <v>3087</v>
      </c>
      <c r="J2" s="391">
        <v>44280</v>
      </c>
    </row>
    <row r="3" spans="1:10">
      <c r="A3" s="389" t="s">
        <v>810</v>
      </c>
      <c r="B3" s="389" t="s">
        <v>3083</v>
      </c>
      <c r="C3" s="389" t="s">
        <v>3084</v>
      </c>
      <c r="D3" s="389" t="s">
        <v>3077</v>
      </c>
      <c r="E3" s="389" t="s">
        <v>3088</v>
      </c>
      <c r="F3" s="390">
        <v>968</v>
      </c>
      <c r="G3" s="389" t="s">
        <v>2917</v>
      </c>
      <c r="H3" s="389" t="s">
        <v>3089</v>
      </c>
      <c r="I3" s="389" t="s">
        <v>2981</v>
      </c>
      <c r="J3" s="391">
        <v>44316</v>
      </c>
    </row>
    <row r="4" spans="1:10">
      <c r="A4" s="389" t="s">
        <v>810</v>
      </c>
      <c r="B4" s="389" t="s">
        <v>3083</v>
      </c>
      <c r="C4" s="389" t="s">
        <v>3084</v>
      </c>
      <c r="D4" s="389" t="s">
        <v>3077</v>
      </c>
      <c r="E4" s="389" t="s">
        <v>3088</v>
      </c>
      <c r="F4" s="390">
        <v>71.3</v>
      </c>
      <c r="G4" s="389" t="s">
        <v>2917</v>
      </c>
      <c r="H4" s="389" t="s">
        <v>3089</v>
      </c>
      <c r="I4" s="389" t="s">
        <v>2981</v>
      </c>
      <c r="J4" s="391">
        <v>44316</v>
      </c>
    </row>
    <row r="5" spans="1:10">
      <c r="A5" s="389" t="s">
        <v>810</v>
      </c>
      <c r="B5" s="389" t="s">
        <v>3083</v>
      </c>
      <c r="C5" s="389" t="s">
        <v>3084</v>
      </c>
      <c r="D5" s="389" t="s">
        <v>3077</v>
      </c>
      <c r="E5" s="389" t="s">
        <v>3090</v>
      </c>
      <c r="F5" s="390">
        <v>0.01</v>
      </c>
      <c r="G5" s="389" t="s">
        <v>2917</v>
      </c>
      <c r="H5" s="389" t="s">
        <v>3091</v>
      </c>
      <c r="I5" s="389" t="s">
        <v>3092</v>
      </c>
      <c r="J5" s="391">
        <v>44370</v>
      </c>
    </row>
    <row r="6" spans="1:10">
      <c r="A6" s="389" t="s">
        <v>1019</v>
      </c>
      <c r="B6" s="389" t="s">
        <v>3093</v>
      </c>
      <c r="C6" s="389" t="s">
        <v>3084</v>
      </c>
      <c r="D6" s="389" t="s">
        <v>3077</v>
      </c>
      <c r="E6" s="389" t="s">
        <v>3094</v>
      </c>
      <c r="F6" s="390">
        <v>15017.03</v>
      </c>
      <c r="G6" s="389" t="s">
        <v>2917</v>
      </c>
      <c r="H6" s="389" t="s">
        <v>3095</v>
      </c>
      <c r="I6" s="389" t="s">
        <v>3096</v>
      </c>
      <c r="J6" s="391">
        <v>44397</v>
      </c>
    </row>
    <row r="7" spans="1:10">
      <c r="A7" s="389" t="s">
        <v>1019</v>
      </c>
      <c r="B7" s="389" t="s">
        <v>3093</v>
      </c>
      <c r="C7" s="389" t="s">
        <v>3084</v>
      </c>
      <c r="D7" s="389" t="s">
        <v>3077</v>
      </c>
      <c r="E7" s="389" t="s">
        <v>3097</v>
      </c>
      <c r="F7" s="390">
        <v>44037.49</v>
      </c>
      <c r="G7" s="389" t="s">
        <v>2917</v>
      </c>
      <c r="H7" s="389" t="s">
        <v>3098</v>
      </c>
      <c r="I7" s="389" t="s">
        <v>3096</v>
      </c>
      <c r="J7" s="391">
        <v>44419</v>
      </c>
    </row>
    <row r="8" spans="1:10">
      <c r="A8" s="389" t="s">
        <v>1095</v>
      </c>
      <c r="B8" s="389" t="s">
        <v>3099</v>
      </c>
      <c r="C8" s="389" t="s">
        <v>3084</v>
      </c>
      <c r="D8" s="389" t="s">
        <v>3077</v>
      </c>
      <c r="E8" s="389" t="s">
        <v>3100</v>
      </c>
      <c r="F8" s="390">
        <v>118406</v>
      </c>
      <c r="G8" s="389" t="s">
        <v>2917</v>
      </c>
      <c r="H8" s="389" t="s">
        <v>3101</v>
      </c>
      <c r="I8" s="389" t="s">
        <v>3102</v>
      </c>
      <c r="J8" s="391">
        <v>44495</v>
      </c>
    </row>
    <row r="9" spans="1:10">
      <c r="A9" s="389" t="s">
        <v>709</v>
      </c>
      <c r="B9" s="389" t="s">
        <v>3078</v>
      </c>
      <c r="C9" s="389" t="s">
        <v>3079</v>
      </c>
      <c r="D9" s="389" t="s">
        <v>3077</v>
      </c>
      <c r="E9" s="389" t="s">
        <v>2988</v>
      </c>
      <c r="F9" s="390">
        <v>85501.759999999995</v>
      </c>
      <c r="G9" s="389" t="s">
        <v>2917</v>
      </c>
      <c r="H9" s="389" t="s">
        <v>2989</v>
      </c>
      <c r="I9" s="389" t="s">
        <v>3318</v>
      </c>
      <c r="J9" s="391">
        <v>44511</v>
      </c>
    </row>
    <row r="10" spans="1:10">
      <c r="A10" s="389" t="s">
        <v>709</v>
      </c>
      <c r="B10" s="389" t="s">
        <v>3078</v>
      </c>
      <c r="C10" s="389" t="s">
        <v>3079</v>
      </c>
      <c r="D10" s="389" t="s">
        <v>3077</v>
      </c>
      <c r="E10" s="389" t="s">
        <v>2988</v>
      </c>
      <c r="F10" s="390">
        <v>21679.39</v>
      </c>
      <c r="G10" s="389" t="s">
        <v>2917</v>
      </c>
      <c r="H10" s="389" t="s">
        <v>3103</v>
      </c>
      <c r="I10" s="389" t="s">
        <v>3318</v>
      </c>
      <c r="J10" s="391">
        <v>44511</v>
      </c>
    </row>
    <row r="11" spans="1:10">
      <c r="A11" s="389" t="s">
        <v>709</v>
      </c>
      <c r="B11" s="389" t="s">
        <v>3078</v>
      </c>
      <c r="C11" s="389" t="s">
        <v>3079</v>
      </c>
      <c r="D11" s="389" t="s">
        <v>3077</v>
      </c>
      <c r="E11" s="389" t="s">
        <v>2988</v>
      </c>
      <c r="F11" s="390">
        <v>2000</v>
      </c>
      <c r="G11" s="389" t="s">
        <v>2917</v>
      </c>
      <c r="H11" s="389" t="s">
        <v>2991</v>
      </c>
      <c r="I11" s="389" t="s">
        <v>3318</v>
      </c>
      <c r="J11" s="391">
        <v>44511</v>
      </c>
    </row>
    <row r="12" spans="1:10">
      <c r="A12" s="389" t="s">
        <v>709</v>
      </c>
      <c r="B12" s="389" t="s">
        <v>3104</v>
      </c>
      <c r="C12" s="389" t="s">
        <v>3105</v>
      </c>
      <c r="D12" s="389" t="s">
        <v>3077</v>
      </c>
      <c r="E12" s="389" t="s">
        <v>3106</v>
      </c>
      <c r="F12" s="390">
        <v>389.62</v>
      </c>
      <c r="G12" s="389" t="s">
        <v>2917</v>
      </c>
      <c r="H12" s="389" t="s">
        <v>3107</v>
      </c>
      <c r="I12" s="389" t="s">
        <v>3041</v>
      </c>
      <c r="J12" s="391">
        <v>44539</v>
      </c>
    </row>
    <row r="13" spans="1:10">
      <c r="A13" s="389" t="s">
        <v>1019</v>
      </c>
      <c r="B13" s="389" t="s">
        <v>3093</v>
      </c>
      <c r="C13" s="389" t="s">
        <v>3108</v>
      </c>
      <c r="D13" s="389" t="s">
        <v>3077</v>
      </c>
      <c r="E13" s="389" t="s">
        <v>3109</v>
      </c>
      <c r="F13" s="390">
        <v>25305.14</v>
      </c>
      <c r="G13" s="389" t="s">
        <v>2917</v>
      </c>
      <c r="H13" s="389" t="s">
        <v>3110</v>
      </c>
      <c r="I13" s="389" t="s">
        <v>3096</v>
      </c>
      <c r="J13" s="391">
        <v>44655</v>
      </c>
    </row>
    <row r="14" spans="1:10">
      <c r="A14" s="389" t="s">
        <v>1095</v>
      </c>
      <c r="B14" s="389" t="s">
        <v>3099</v>
      </c>
      <c r="C14" s="389" t="s">
        <v>3084</v>
      </c>
      <c r="D14" s="389" t="s">
        <v>3077</v>
      </c>
      <c r="E14" s="389" t="s">
        <v>3111</v>
      </c>
      <c r="F14" s="390">
        <v>2208</v>
      </c>
      <c r="G14" s="389" t="s">
        <v>2917</v>
      </c>
      <c r="H14" s="389" t="s">
        <v>3112</v>
      </c>
      <c r="I14" s="389" t="s">
        <v>3087</v>
      </c>
      <c r="J14" s="391">
        <v>44677</v>
      </c>
    </row>
    <row r="15" spans="1:10">
      <c r="A15" s="389" t="s">
        <v>1095</v>
      </c>
      <c r="B15" s="389" t="s">
        <v>3099</v>
      </c>
      <c r="C15" s="389" t="s">
        <v>3084</v>
      </c>
      <c r="D15" s="389" t="s">
        <v>3077</v>
      </c>
      <c r="E15" s="389" t="s">
        <v>3049</v>
      </c>
      <c r="F15" s="390">
        <v>233.5</v>
      </c>
      <c r="G15" s="389" t="s">
        <v>2917</v>
      </c>
      <c r="H15" s="389" t="s">
        <v>3050</v>
      </c>
      <c r="I15" s="389" t="s">
        <v>2981</v>
      </c>
      <c r="J15" s="391">
        <v>44705</v>
      </c>
    </row>
    <row r="16" spans="1:10">
      <c r="A16" s="389" t="s">
        <v>1095</v>
      </c>
      <c r="B16" s="389" t="s">
        <v>3099</v>
      </c>
      <c r="C16" s="389" t="s">
        <v>3084</v>
      </c>
      <c r="D16" s="389" t="s">
        <v>3077</v>
      </c>
      <c r="E16" s="389" t="s">
        <v>3049</v>
      </c>
      <c r="F16" s="390">
        <v>165.8</v>
      </c>
      <c r="G16" s="389" t="s">
        <v>2917</v>
      </c>
      <c r="H16" s="389" t="s">
        <v>3113</v>
      </c>
      <c r="I16" s="389" t="s">
        <v>2981</v>
      </c>
      <c r="J16" s="391">
        <v>44705</v>
      </c>
    </row>
    <row r="17" spans="1:10">
      <c r="A17" s="389" t="s">
        <v>709</v>
      </c>
      <c r="B17" s="389" t="s">
        <v>3080</v>
      </c>
      <c r="C17" s="389" t="s">
        <v>3114</v>
      </c>
      <c r="D17" s="389" t="s">
        <v>3077</v>
      </c>
      <c r="E17" s="389" t="s">
        <v>3011</v>
      </c>
      <c r="F17" s="390">
        <v>10450</v>
      </c>
      <c r="G17" s="389" t="s">
        <v>2917</v>
      </c>
      <c r="H17" s="389" t="s">
        <v>3012</v>
      </c>
      <c r="I17" s="389" t="s">
        <v>3014</v>
      </c>
      <c r="J17" s="391">
        <v>44817</v>
      </c>
    </row>
    <row r="18" spans="1:10">
      <c r="A18" s="389" t="s">
        <v>2237</v>
      </c>
      <c r="B18" s="389" t="s">
        <v>3115</v>
      </c>
      <c r="C18" s="389" t="s">
        <v>3116</v>
      </c>
      <c r="D18" s="389" t="s">
        <v>3077</v>
      </c>
      <c r="E18" s="389" t="s">
        <v>3117</v>
      </c>
      <c r="F18" s="390">
        <v>154030.85</v>
      </c>
      <c r="G18" s="389" t="s">
        <v>2917</v>
      </c>
      <c r="H18" s="389" t="s">
        <v>3118</v>
      </c>
      <c r="I18" s="389" t="s">
        <v>3119</v>
      </c>
      <c r="J18" s="391">
        <v>44907</v>
      </c>
    </row>
    <row r="19" spans="1:10">
      <c r="A19" s="389" t="s">
        <v>2237</v>
      </c>
      <c r="B19" s="389" t="s">
        <v>3120</v>
      </c>
      <c r="C19" s="389" t="s">
        <v>3121</v>
      </c>
      <c r="D19" s="389" t="s">
        <v>3077</v>
      </c>
      <c r="E19" s="389" t="s">
        <v>3117</v>
      </c>
      <c r="F19" s="390">
        <v>0.01</v>
      </c>
      <c r="G19" s="389" t="s">
        <v>2917</v>
      </c>
      <c r="H19" s="389" t="s">
        <v>3122</v>
      </c>
      <c r="I19" s="389" t="s">
        <v>3119</v>
      </c>
      <c r="J19" s="391">
        <v>44907</v>
      </c>
    </row>
    <row r="20" spans="1:10">
      <c r="A20" s="389" t="s">
        <v>2237</v>
      </c>
      <c r="B20" s="389" t="s">
        <v>3115</v>
      </c>
      <c r="C20" s="389" t="s">
        <v>3123</v>
      </c>
      <c r="D20" s="389" t="s">
        <v>3077</v>
      </c>
      <c r="E20" s="389" t="s">
        <v>3117</v>
      </c>
      <c r="F20" s="390">
        <v>178820.51</v>
      </c>
      <c r="G20" s="389" t="s">
        <v>2917</v>
      </c>
      <c r="H20" s="389" t="s">
        <v>3124</v>
      </c>
      <c r="I20" s="389" t="s">
        <v>3119</v>
      </c>
      <c r="J20" s="391">
        <v>44907</v>
      </c>
    </row>
    <row r="21" spans="1:10">
      <c r="A21" s="389" t="s">
        <v>2237</v>
      </c>
      <c r="B21" s="389" t="s">
        <v>3120</v>
      </c>
      <c r="C21" s="389" t="s">
        <v>3125</v>
      </c>
      <c r="D21" s="389" t="s">
        <v>3077</v>
      </c>
      <c r="E21" s="389" t="s">
        <v>3117</v>
      </c>
      <c r="F21" s="390">
        <v>0.01</v>
      </c>
      <c r="G21" s="389" t="s">
        <v>2917</v>
      </c>
      <c r="H21" s="389" t="s">
        <v>3126</v>
      </c>
      <c r="I21" s="389" t="s">
        <v>3119</v>
      </c>
      <c r="J21" s="391">
        <v>44907</v>
      </c>
    </row>
    <row r="22" spans="1:10">
      <c r="A22" s="389" t="s">
        <v>2237</v>
      </c>
      <c r="B22" s="389" t="s">
        <v>3115</v>
      </c>
      <c r="C22" s="389" t="s">
        <v>3127</v>
      </c>
      <c r="D22" s="389" t="s">
        <v>3077</v>
      </c>
      <c r="E22" s="389" t="s">
        <v>3117</v>
      </c>
      <c r="F22" s="390">
        <v>235750.83</v>
      </c>
      <c r="G22" s="389" t="s">
        <v>2917</v>
      </c>
      <c r="H22" s="389" t="s">
        <v>3128</v>
      </c>
      <c r="I22" s="389" t="s">
        <v>3119</v>
      </c>
      <c r="J22" s="391">
        <v>44907</v>
      </c>
    </row>
    <row r="23" spans="1:10">
      <c r="A23" s="389" t="s">
        <v>2237</v>
      </c>
      <c r="B23" s="389" t="s">
        <v>3120</v>
      </c>
      <c r="C23" s="389" t="s">
        <v>3129</v>
      </c>
      <c r="D23" s="389" t="s">
        <v>3077</v>
      </c>
      <c r="E23" s="389" t="s">
        <v>3117</v>
      </c>
      <c r="F23" s="390">
        <v>0.01</v>
      </c>
      <c r="G23" s="389" t="s">
        <v>2917</v>
      </c>
      <c r="H23" s="389" t="s">
        <v>3130</v>
      </c>
      <c r="I23" s="389" t="s">
        <v>3119</v>
      </c>
      <c r="J23" s="391">
        <v>44907</v>
      </c>
    </row>
    <row r="24" spans="1:10">
      <c r="A24" s="389" t="s">
        <v>2237</v>
      </c>
      <c r="B24" s="389" t="s">
        <v>3115</v>
      </c>
      <c r="C24" s="389" t="s">
        <v>3131</v>
      </c>
      <c r="D24" s="389" t="s">
        <v>3077</v>
      </c>
      <c r="E24" s="389" t="s">
        <v>3117</v>
      </c>
      <c r="F24" s="390">
        <v>235750.83</v>
      </c>
      <c r="G24" s="389" t="s">
        <v>2917</v>
      </c>
      <c r="H24" s="389" t="s">
        <v>3132</v>
      </c>
      <c r="I24" s="389" t="s">
        <v>3119</v>
      </c>
      <c r="J24" s="391">
        <v>44907</v>
      </c>
    </row>
    <row r="25" spans="1:10">
      <c r="A25" s="389" t="s">
        <v>2237</v>
      </c>
      <c r="B25" s="389" t="s">
        <v>3120</v>
      </c>
      <c r="C25" s="389" t="s">
        <v>3133</v>
      </c>
      <c r="D25" s="389" t="s">
        <v>3077</v>
      </c>
      <c r="E25" s="389" t="s">
        <v>3117</v>
      </c>
      <c r="F25" s="390">
        <v>0.01</v>
      </c>
      <c r="G25" s="389" t="s">
        <v>2917</v>
      </c>
      <c r="H25" s="389" t="s">
        <v>3134</v>
      </c>
      <c r="I25" s="389" t="s">
        <v>3119</v>
      </c>
      <c r="J25" s="391">
        <v>44907</v>
      </c>
    </row>
    <row r="26" spans="1:10">
      <c r="A26" s="389" t="s">
        <v>2237</v>
      </c>
      <c r="B26" s="389" t="s">
        <v>3115</v>
      </c>
      <c r="C26" s="389" t="s">
        <v>3795</v>
      </c>
      <c r="D26" s="389" t="s">
        <v>3077</v>
      </c>
      <c r="E26" s="389" t="s">
        <v>3117</v>
      </c>
      <c r="F26" s="390">
        <v>137263.38</v>
      </c>
      <c r="G26" s="389" t="s">
        <v>2917</v>
      </c>
      <c r="H26" s="389" t="s">
        <v>3796</v>
      </c>
      <c r="I26" s="389" t="s">
        <v>3119</v>
      </c>
      <c r="J26" s="391">
        <v>44907</v>
      </c>
    </row>
    <row r="27" spans="1:10">
      <c r="A27" s="389" t="s">
        <v>2237</v>
      </c>
      <c r="B27" s="389" t="s">
        <v>3115</v>
      </c>
      <c r="C27" s="389" t="s">
        <v>3797</v>
      </c>
      <c r="D27" s="389" t="s">
        <v>3077</v>
      </c>
      <c r="E27" s="389" t="s">
        <v>3117</v>
      </c>
      <c r="F27" s="390">
        <v>137263.38</v>
      </c>
      <c r="G27" s="389" t="s">
        <v>2917</v>
      </c>
      <c r="H27" s="389" t="s">
        <v>3798</v>
      </c>
      <c r="I27" s="389" t="s">
        <v>3119</v>
      </c>
      <c r="J27" s="391">
        <v>44907</v>
      </c>
    </row>
    <row r="28" spans="1:10">
      <c r="A28" s="389" t="s">
        <v>2237</v>
      </c>
      <c r="B28" s="389" t="s">
        <v>3115</v>
      </c>
      <c r="C28" s="389" t="s">
        <v>3799</v>
      </c>
      <c r="D28" s="389" t="s">
        <v>3077</v>
      </c>
      <c r="E28" s="389" t="s">
        <v>3117</v>
      </c>
      <c r="F28" s="390">
        <v>137263.38</v>
      </c>
      <c r="G28" s="389" t="s">
        <v>2917</v>
      </c>
      <c r="H28" s="389" t="s">
        <v>3800</v>
      </c>
      <c r="I28" s="389" t="s">
        <v>3119</v>
      </c>
      <c r="J28" s="391">
        <v>44907</v>
      </c>
    </row>
    <row r="29" spans="1:10">
      <c r="A29" s="389" t="s">
        <v>2237</v>
      </c>
      <c r="B29" s="389" t="s">
        <v>3115</v>
      </c>
      <c r="C29" s="389" t="s">
        <v>3801</v>
      </c>
      <c r="D29" s="389" t="s">
        <v>3077</v>
      </c>
      <c r="E29" s="389" t="s">
        <v>3117</v>
      </c>
      <c r="F29" s="390">
        <v>137263.38</v>
      </c>
      <c r="G29" s="389" t="s">
        <v>2917</v>
      </c>
      <c r="H29" s="389" t="s">
        <v>3802</v>
      </c>
      <c r="I29" s="389" t="s">
        <v>3119</v>
      </c>
      <c r="J29" s="391">
        <v>44907</v>
      </c>
    </row>
    <row r="30" spans="1:10">
      <c r="A30" s="389" t="s">
        <v>2237</v>
      </c>
      <c r="B30" s="389" t="s">
        <v>3135</v>
      </c>
      <c r="C30" s="389" t="s">
        <v>3082</v>
      </c>
      <c r="D30" s="389" t="s">
        <v>3077</v>
      </c>
      <c r="E30" s="389" t="s">
        <v>3008</v>
      </c>
      <c r="F30" s="390">
        <v>2142.5</v>
      </c>
      <c r="G30" s="389" t="s">
        <v>2917</v>
      </c>
      <c r="H30" s="389" t="s">
        <v>3009</v>
      </c>
      <c r="I30" s="389" t="s">
        <v>2981</v>
      </c>
      <c r="J30" s="391">
        <v>44935</v>
      </c>
    </row>
    <row r="31" spans="1:10">
      <c r="A31" s="389" t="s">
        <v>2237</v>
      </c>
      <c r="B31" s="389" t="s">
        <v>3135</v>
      </c>
      <c r="C31" s="389" t="s">
        <v>3082</v>
      </c>
      <c r="D31" s="389" t="s">
        <v>3077</v>
      </c>
      <c r="E31" s="389" t="s">
        <v>3008</v>
      </c>
      <c r="F31" s="390">
        <v>825</v>
      </c>
      <c r="G31" s="389" t="s">
        <v>2917</v>
      </c>
      <c r="H31" s="389" t="s">
        <v>3010</v>
      </c>
      <c r="I31" s="389" t="s">
        <v>2981</v>
      </c>
      <c r="J31" s="391">
        <v>44935</v>
      </c>
    </row>
    <row r="32" spans="1:10">
      <c r="A32" s="389" t="s">
        <v>2237</v>
      </c>
      <c r="B32" s="389" t="s">
        <v>3135</v>
      </c>
      <c r="C32" s="389" t="s">
        <v>3082</v>
      </c>
      <c r="D32" s="389" t="s">
        <v>3077</v>
      </c>
      <c r="E32" s="389" t="s">
        <v>2977</v>
      </c>
      <c r="F32" s="390">
        <v>16440.3</v>
      </c>
      <c r="G32" s="389" t="s">
        <v>2917</v>
      </c>
      <c r="H32" s="389" t="s">
        <v>2979</v>
      </c>
      <c r="I32" s="389" t="s">
        <v>2981</v>
      </c>
      <c r="J32" s="391">
        <v>44935</v>
      </c>
    </row>
    <row r="33" spans="1:10">
      <c r="A33" s="389" t="s">
        <v>2237</v>
      </c>
      <c r="B33" s="389" t="s">
        <v>3135</v>
      </c>
      <c r="C33" s="389" t="s">
        <v>3082</v>
      </c>
      <c r="D33" s="389" t="s">
        <v>3077</v>
      </c>
      <c r="E33" s="389" t="s">
        <v>2977</v>
      </c>
      <c r="F33" s="390">
        <v>660.35</v>
      </c>
      <c r="G33" s="389" t="s">
        <v>2917</v>
      </c>
      <c r="H33" s="389" t="s">
        <v>230</v>
      </c>
      <c r="I33" s="389" t="s">
        <v>2981</v>
      </c>
      <c r="J33" s="391">
        <v>44935</v>
      </c>
    </row>
    <row r="34" spans="1:10">
      <c r="A34" s="389" t="s">
        <v>2422</v>
      </c>
      <c r="B34" s="389" t="s">
        <v>3136</v>
      </c>
      <c r="C34" s="389" t="s">
        <v>3137</v>
      </c>
      <c r="D34" s="389" t="s">
        <v>3077</v>
      </c>
      <c r="E34" s="389" t="s">
        <v>3138</v>
      </c>
      <c r="F34" s="390">
        <v>116.08</v>
      </c>
      <c r="G34" s="389" t="s">
        <v>2917</v>
      </c>
      <c r="H34" s="389" t="s">
        <v>3139</v>
      </c>
      <c r="I34" s="389" t="s">
        <v>3140</v>
      </c>
      <c r="J34" s="391">
        <v>44935</v>
      </c>
    </row>
    <row r="35" spans="1:10">
      <c r="A35" s="389" t="s">
        <v>2422</v>
      </c>
      <c r="B35" s="389" t="s">
        <v>3136</v>
      </c>
      <c r="C35" s="389" t="s">
        <v>3137</v>
      </c>
      <c r="D35" s="389" t="s">
        <v>3077</v>
      </c>
      <c r="E35" s="389" t="s">
        <v>3138</v>
      </c>
      <c r="F35" s="390">
        <v>358.5</v>
      </c>
      <c r="G35" s="389" t="s">
        <v>2917</v>
      </c>
      <c r="H35" s="389" t="s">
        <v>3139</v>
      </c>
      <c r="I35" s="389" t="s">
        <v>3140</v>
      </c>
      <c r="J35" s="391">
        <v>44935</v>
      </c>
    </row>
    <row r="36" spans="1:10">
      <c r="A36" s="389" t="s">
        <v>2237</v>
      </c>
      <c r="B36" s="389" t="s">
        <v>3135</v>
      </c>
      <c r="C36" s="389" t="s">
        <v>3082</v>
      </c>
      <c r="D36" s="389" t="s">
        <v>3077</v>
      </c>
      <c r="E36" s="389" t="s">
        <v>2998</v>
      </c>
      <c r="F36" s="390">
        <v>19977</v>
      </c>
      <c r="G36" s="389" t="s">
        <v>2917</v>
      </c>
      <c r="H36" s="389" t="s">
        <v>2999</v>
      </c>
      <c r="I36" s="389" t="s">
        <v>2981</v>
      </c>
      <c r="J36" s="391">
        <v>44949</v>
      </c>
    </row>
    <row r="37" spans="1:10">
      <c r="A37" s="389" t="s">
        <v>2237</v>
      </c>
      <c r="B37" s="389" t="s">
        <v>3135</v>
      </c>
      <c r="C37" s="389" t="s">
        <v>3082</v>
      </c>
      <c r="D37" s="389" t="s">
        <v>3077</v>
      </c>
      <c r="E37" s="389" t="s">
        <v>2998</v>
      </c>
      <c r="F37" s="390">
        <v>671.6</v>
      </c>
      <c r="G37" s="389" t="s">
        <v>2917</v>
      </c>
      <c r="H37" s="389" t="s">
        <v>230</v>
      </c>
      <c r="I37" s="389" t="s">
        <v>2981</v>
      </c>
      <c r="J37" s="391">
        <v>44949</v>
      </c>
    </row>
    <row r="38" spans="1:10">
      <c r="A38" s="389" t="s">
        <v>2237</v>
      </c>
      <c r="B38" s="389" t="s">
        <v>3135</v>
      </c>
      <c r="C38" s="389" t="s">
        <v>3082</v>
      </c>
      <c r="D38" s="389" t="s">
        <v>3077</v>
      </c>
      <c r="E38" s="389" t="s">
        <v>2995</v>
      </c>
      <c r="F38" s="390">
        <v>2452.5</v>
      </c>
      <c r="G38" s="389" t="s">
        <v>2917</v>
      </c>
      <c r="H38" s="389" t="s">
        <v>2996</v>
      </c>
      <c r="I38" s="389" t="s">
        <v>2981</v>
      </c>
      <c r="J38" s="391">
        <v>44959</v>
      </c>
    </row>
    <row r="39" spans="1:10">
      <c r="A39" s="389" t="s">
        <v>2237</v>
      </c>
      <c r="B39" s="389" t="s">
        <v>3135</v>
      </c>
      <c r="C39" s="389" t="s">
        <v>3082</v>
      </c>
      <c r="D39" s="389" t="s">
        <v>3077</v>
      </c>
      <c r="E39" s="389" t="s">
        <v>2995</v>
      </c>
      <c r="F39" s="390">
        <v>1137.25</v>
      </c>
      <c r="G39" s="389" t="s">
        <v>2917</v>
      </c>
      <c r="H39" s="389" t="s">
        <v>2997</v>
      </c>
      <c r="I39" s="389" t="s">
        <v>2981</v>
      </c>
      <c r="J39" s="391">
        <v>44959</v>
      </c>
    </row>
    <row r="40" spans="1:10">
      <c r="A40" s="389" t="s">
        <v>2418</v>
      </c>
      <c r="B40" s="389" t="s">
        <v>3141</v>
      </c>
      <c r="C40" s="389" t="s">
        <v>3142</v>
      </c>
      <c r="D40" s="389" t="s">
        <v>3077</v>
      </c>
      <c r="E40" s="389" t="s">
        <v>3143</v>
      </c>
      <c r="F40" s="390">
        <v>301832.17</v>
      </c>
      <c r="G40" s="389" t="s">
        <v>2917</v>
      </c>
      <c r="H40" s="389" t="s">
        <v>3144</v>
      </c>
      <c r="I40" s="389" t="s">
        <v>3145</v>
      </c>
      <c r="J40" s="391">
        <v>45068</v>
      </c>
    </row>
    <row r="41" spans="1:10">
      <c r="A41" s="389" t="s">
        <v>2418</v>
      </c>
      <c r="B41" s="389" t="s">
        <v>3141</v>
      </c>
      <c r="C41" s="389" t="s">
        <v>3146</v>
      </c>
      <c r="D41" s="389" t="s">
        <v>3077</v>
      </c>
      <c r="E41" s="389" t="s">
        <v>3143</v>
      </c>
      <c r="F41" s="390">
        <v>21450.94</v>
      </c>
      <c r="G41" s="389" t="s">
        <v>2917</v>
      </c>
      <c r="H41" s="389" t="s">
        <v>3147</v>
      </c>
      <c r="I41" s="389" t="s">
        <v>3145</v>
      </c>
      <c r="J41" s="391">
        <v>45068</v>
      </c>
    </row>
    <row r="42" spans="1:10">
      <c r="A42" s="389" t="s">
        <v>2418</v>
      </c>
      <c r="B42" s="389" t="s">
        <v>3141</v>
      </c>
      <c r="C42" s="389" t="s">
        <v>3146</v>
      </c>
      <c r="D42" s="389" t="s">
        <v>3077</v>
      </c>
      <c r="E42" s="389" t="s">
        <v>3143</v>
      </c>
      <c r="F42" s="390">
        <v>16167.71</v>
      </c>
      <c r="G42" s="389" t="s">
        <v>2917</v>
      </c>
      <c r="H42" s="389" t="s">
        <v>6818</v>
      </c>
      <c r="I42" s="389" t="s">
        <v>3145</v>
      </c>
      <c r="J42" s="391">
        <v>45068</v>
      </c>
    </row>
    <row r="43" spans="1:10">
      <c r="A43" s="389" t="s">
        <v>698</v>
      </c>
      <c r="B43" s="389" t="s">
        <v>3148</v>
      </c>
      <c r="C43" s="389" t="s">
        <v>3149</v>
      </c>
      <c r="D43" s="389" t="s">
        <v>3077</v>
      </c>
      <c r="E43" s="389" t="s">
        <v>3150</v>
      </c>
      <c r="F43" s="390">
        <v>200</v>
      </c>
      <c r="G43" s="389" t="s">
        <v>2917</v>
      </c>
      <c r="H43" s="389" t="s">
        <v>3151</v>
      </c>
      <c r="I43" s="389" t="s">
        <v>3152</v>
      </c>
      <c r="J43" s="391">
        <v>45076</v>
      </c>
    </row>
    <row r="44" spans="1:10">
      <c r="A44" s="389" t="s">
        <v>2418</v>
      </c>
      <c r="B44" s="389" t="s">
        <v>3156</v>
      </c>
      <c r="C44" s="389" t="s">
        <v>3137</v>
      </c>
      <c r="D44" s="389" t="s">
        <v>3077</v>
      </c>
      <c r="E44" s="389" t="s">
        <v>2982</v>
      </c>
      <c r="F44" s="390">
        <v>18717.5</v>
      </c>
      <c r="G44" s="389" t="s">
        <v>2917</v>
      </c>
      <c r="H44" s="389" t="s">
        <v>2983</v>
      </c>
      <c r="I44" s="389" t="s">
        <v>2981</v>
      </c>
      <c r="J44" s="391">
        <v>45096</v>
      </c>
    </row>
    <row r="45" spans="1:10">
      <c r="A45" s="389" t="s">
        <v>2418</v>
      </c>
      <c r="B45" s="389" t="s">
        <v>3156</v>
      </c>
      <c r="C45" s="389" t="s">
        <v>3137</v>
      </c>
      <c r="D45" s="389" t="s">
        <v>3077</v>
      </c>
      <c r="E45" s="389" t="s">
        <v>2982</v>
      </c>
      <c r="F45" s="390">
        <v>936.9</v>
      </c>
      <c r="G45" s="389" t="s">
        <v>2917</v>
      </c>
      <c r="H45" s="389" t="s">
        <v>2984</v>
      </c>
      <c r="I45" s="389" t="s">
        <v>2981</v>
      </c>
      <c r="J45" s="391">
        <v>45096</v>
      </c>
    </row>
    <row r="46" spans="1:10">
      <c r="A46" s="389" t="s">
        <v>810</v>
      </c>
      <c r="B46" s="389" t="s">
        <v>3083</v>
      </c>
      <c r="C46" s="389" t="s">
        <v>3084</v>
      </c>
      <c r="D46" s="389" t="s">
        <v>3077</v>
      </c>
      <c r="E46" s="389" t="s">
        <v>3157</v>
      </c>
      <c r="F46" s="390">
        <v>0.01</v>
      </c>
      <c r="G46" s="389" t="s">
        <v>2917</v>
      </c>
      <c r="H46" s="389" t="s">
        <v>3164</v>
      </c>
      <c r="I46" s="389" t="s">
        <v>3092</v>
      </c>
      <c r="J46" s="391">
        <v>45116</v>
      </c>
    </row>
    <row r="47" spans="1:10">
      <c r="A47" s="389" t="s">
        <v>2418</v>
      </c>
      <c r="B47" s="389" t="s">
        <v>3156</v>
      </c>
      <c r="C47" s="389" t="s">
        <v>3082</v>
      </c>
      <c r="D47" s="389" t="s">
        <v>3077</v>
      </c>
      <c r="E47" s="389" t="s">
        <v>3002</v>
      </c>
      <c r="F47" s="390">
        <v>35524.6</v>
      </c>
      <c r="G47" s="389" t="s">
        <v>2917</v>
      </c>
      <c r="H47" s="389" t="s">
        <v>3003</v>
      </c>
      <c r="I47" s="389" t="s">
        <v>2981</v>
      </c>
      <c r="J47" s="391">
        <v>45117</v>
      </c>
    </row>
    <row r="48" spans="1:10">
      <c r="A48" s="389" t="s">
        <v>2418</v>
      </c>
      <c r="B48" s="389" t="s">
        <v>3156</v>
      </c>
      <c r="C48" s="389" t="s">
        <v>3082</v>
      </c>
      <c r="D48" s="389" t="s">
        <v>3077</v>
      </c>
      <c r="E48" s="389" t="s">
        <v>3002</v>
      </c>
      <c r="F48" s="390">
        <v>742.85</v>
      </c>
      <c r="G48" s="389" t="s">
        <v>2917</v>
      </c>
      <c r="H48" s="389" t="s">
        <v>3004</v>
      </c>
      <c r="I48" s="389" t="s">
        <v>2981</v>
      </c>
      <c r="J48" s="391">
        <v>45117</v>
      </c>
    </row>
    <row r="49" spans="1:10">
      <c r="A49" s="389" t="s">
        <v>2418</v>
      </c>
      <c r="B49" s="389" t="s">
        <v>3156</v>
      </c>
      <c r="C49" s="389" t="s">
        <v>3137</v>
      </c>
      <c r="D49" s="389" t="s">
        <v>3077</v>
      </c>
      <c r="E49" s="389" t="s">
        <v>2985</v>
      </c>
      <c r="F49" s="390">
        <v>13</v>
      </c>
      <c r="G49" s="389" t="s">
        <v>2917</v>
      </c>
      <c r="H49" s="389" t="s">
        <v>3317</v>
      </c>
      <c r="I49" s="389" t="s">
        <v>2986</v>
      </c>
      <c r="J49" s="391">
        <v>45117</v>
      </c>
    </row>
    <row r="50" spans="1:10">
      <c r="A50" s="389" t="s">
        <v>2418</v>
      </c>
      <c r="B50" s="389" t="s">
        <v>3156</v>
      </c>
      <c r="C50" s="389" t="s">
        <v>3137</v>
      </c>
      <c r="D50" s="389" t="s">
        <v>3077</v>
      </c>
      <c r="E50" s="389" t="s">
        <v>2985</v>
      </c>
      <c r="F50" s="390">
        <v>2254.8000000000002</v>
      </c>
      <c r="G50" s="389" t="s">
        <v>2917</v>
      </c>
      <c r="H50" s="389" t="s">
        <v>2987</v>
      </c>
      <c r="I50" s="389" t="s">
        <v>2986</v>
      </c>
      <c r="J50" s="391">
        <v>45117</v>
      </c>
    </row>
    <row r="51" spans="1:10">
      <c r="A51" s="389" t="s">
        <v>2418</v>
      </c>
      <c r="B51" s="389" t="s">
        <v>3156</v>
      </c>
      <c r="C51" s="389" t="s">
        <v>3082</v>
      </c>
      <c r="D51" s="389" t="s">
        <v>3077</v>
      </c>
      <c r="E51" s="389" t="s">
        <v>2992</v>
      </c>
      <c r="F51" s="390">
        <v>62749</v>
      </c>
      <c r="G51" s="389" t="s">
        <v>2917</v>
      </c>
      <c r="H51" s="389" t="s">
        <v>2993</v>
      </c>
      <c r="I51" s="389" t="s">
        <v>2994</v>
      </c>
      <c r="J51" s="391">
        <v>45194</v>
      </c>
    </row>
    <row r="52" spans="1:10">
      <c r="A52" s="389" t="s">
        <v>709</v>
      </c>
      <c r="B52" s="389" t="s">
        <v>3080</v>
      </c>
      <c r="C52" s="389" t="s">
        <v>3081</v>
      </c>
      <c r="D52" s="389" t="s">
        <v>3077</v>
      </c>
      <c r="E52" s="389" t="s">
        <v>3169</v>
      </c>
      <c r="F52" s="390">
        <v>4228.55</v>
      </c>
      <c r="G52" s="389" t="s">
        <v>2917</v>
      </c>
      <c r="H52" s="389" t="s">
        <v>3170</v>
      </c>
      <c r="I52" s="389" t="s">
        <v>3000</v>
      </c>
      <c r="J52" s="391">
        <v>45257</v>
      </c>
    </row>
    <row r="53" spans="1:10">
      <c r="A53" s="389" t="s">
        <v>709</v>
      </c>
      <c r="B53" s="389" t="s">
        <v>3080</v>
      </c>
      <c r="C53" s="389" t="s">
        <v>3081</v>
      </c>
      <c r="D53" s="389" t="s">
        <v>3077</v>
      </c>
      <c r="E53" s="389" t="s">
        <v>3169</v>
      </c>
      <c r="F53" s="390">
        <v>531.23</v>
      </c>
      <c r="G53" s="389" t="s">
        <v>2917</v>
      </c>
      <c r="H53" s="389" t="s">
        <v>3171</v>
      </c>
      <c r="I53" s="389" t="s">
        <v>3000</v>
      </c>
      <c r="J53" s="391">
        <v>45257</v>
      </c>
    </row>
    <row r="54" spans="1:10">
      <c r="A54" s="389" t="s">
        <v>2237</v>
      </c>
      <c r="B54" s="389" t="s">
        <v>3135</v>
      </c>
      <c r="C54" s="389" t="s">
        <v>3082</v>
      </c>
      <c r="D54" s="389" t="s">
        <v>3077</v>
      </c>
      <c r="E54" s="389" t="s">
        <v>3047</v>
      </c>
      <c r="F54" s="390">
        <v>2156</v>
      </c>
      <c r="G54" s="389" t="s">
        <v>2917</v>
      </c>
      <c r="H54" s="389" t="s">
        <v>3048</v>
      </c>
      <c r="I54" s="389" t="s">
        <v>3321</v>
      </c>
      <c r="J54" s="391">
        <v>45267</v>
      </c>
    </row>
    <row r="55" spans="1:10">
      <c r="A55" s="389" t="s">
        <v>2237</v>
      </c>
      <c r="B55" s="389" t="s">
        <v>3135</v>
      </c>
      <c r="C55" s="389" t="s">
        <v>3082</v>
      </c>
      <c r="D55" s="389" t="s">
        <v>3077</v>
      </c>
      <c r="E55" s="389" t="s">
        <v>3047</v>
      </c>
      <c r="F55" s="390">
        <v>725.2</v>
      </c>
      <c r="G55" s="389" t="s">
        <v>2917</v>
      </c>
      <c r="H55" s="389" t="s">
        <v>3053</v>
      </c>
      <c r="I55" s="389" t="s">
        <v>3321</v>
      </c>
      <c r="J55" s="391">
        <v>45267</v>
      </c>
    </row>
    <row r="56" spans="1:10">
      <c r="A56" s="389" t="s">
        <v>2418</v>
      </c>
      <c r="B56" s="389" t="s">
        <v>3141</v>
      </c>
      <c r="C56" s="389" t="s">
        <v>3175</v>
      </c>
      <c r="D56" s="389" t="s">
        <v>3077</v>
      </c>
      <c r="E56" s="389" t="s">
        <v>3017</v>
      </c>
      <c r="F56" s="390">
        <v>82831.240000000005</v>
      </c>
      <c r="G56" s="389" t="s">
        <v>2917</v>
      </c>
      <c r="H56" s="389" t="s">
        <v>3018</v>
      </c>
      <c r="I56" s="389" t="s">
        <v>3019</v>
      </c>
      <c r="J56" s="391">
        <v>45327</v>
      </c>
    </row>
    <row r="57" spans="1:10">
      <c r="A57" s="389" t="s">
        <v>2418</v>
      </c>
      <c r="B57" s="389" t="s">
        <v>3141</v>
      </c>
      <c r="C57" s="389" t="s">
        <v>3174</v>
      </c>
      <c r="D57" s="389" t="s">
        <v>3077</v>
      </c>
      <c r="E57" s="389" t="s">
        <v>3017</v>
      </c>
      <c r="F57" s="390">
        <v>50360.81</v>
      </c>
      <c r="G57" s="389" t="s">
        <v>2917</v>
      </c>
      <c r="H57" s="389" t="s">
        <v>3020</v>
      </c>
      <c r="I57" s="389" t="s">
        <v>3019</v>
      </c>
      <c r="J57" s="391">
        <v>45327</v>
      </c>
    </row>
    <row r="58" spans="1:10">
      <c r="A58" s="389" t="s">
        <v>2418</v>
      </c>
      <c r="B58" s="389" t="s">
        <v>3141</v>
      </c>
      <c r="C58" s="389" t="s">
        <v>3174</v>
      </c>
      <c r="D58" s="389" t="s">
        <v>3077</v>
      </c>
      <c r="E58" s="389" t="s">
        <v>3017</v>
      </c>
      <c r="F58" s="390">
        <v>10295.799999999999</v>
      </c>
      <c r="G58" s="389" t="s">
        <v>2917</v>
      </c>
      <c r="H58" s="389" t="s">
        <v>3021</v>
      </c>
      <c r="I58" s="389" t="s">
        <v>3019</v>
      </c>
      <c r="J58" s="391">
        <v>45327</v>
      </c>
    </row>
    <row r="59" spans="1:10">
      <c r="A59" s="389" t="s">
        <v>2418</v>
      </c>
      <c r="B59" s="389" t="s">
        <v>3141</v>
      </c>
      <c r="C59" s="389" t="s">
        <v>3174</v>
      </c>
      <c r="D59" s="389" t="s">
        <v>3077</v>
      </c>
      <c r="E59" s="389" t="s">
        <v>3017</v>
      </c>
      <c r="F59" s="390">
        <v>7141.47</v>
      </c>
      <c r="G59" s="389" t="s">
        <v>2917</v>
      </c>
      <c r="H59" s="389" t="s">
        <v>3022</v>
      </c>
      <c r="I59" s="389" t="s">
        <v>3019</v>
      </c>
      <c r="J59" s="391">
        <v>45327</v>
      </c>
    </row>
    <row r="60" spans="1:10">
      <c r="A60" s="389" t="s">
        <v>2418</v>
      </c>
      <c r="B60" s="389" t="s">
        <v>3141</v>
      </c>
      <c r="C60" s="389" t="s">
        <v>3174</v>
      </c>
      <c r="D60" s="389" t="s">
        <v>3077</v>
      </c>
      <c r="E60" s="389" t="s">
        <v>3017</v>
      </c>
      <c r="F60" s="390">
        <v>7428.06</v>
      </c>
      <c r="G60" s="389" t="s">
        <v>2917</v>
      </c>
      <c r="H60" s="389" t="s">
        <v>3023</v>
      </c>
      <c r="I60" s="389" t="s">
        <v>3019</v>
      </c>
      <c r="J60" s="391">
        <v>45327</v>
      </c>
    </row>
    <row r="61" spans="1:10">
      <c r="A61" s="389" t="s">
        <v>2418</v>
      </c>
      <c r="B61" s="389" t="s">
        <v>3141</v>
      </c>
      <c r="C61" s="389" t="s">
        <v>3174</v>
      </c>
      <c r="D61" s="389" t="s">
        <v>3077</v>
      </c>
      <c r="E61" s="389" t="s">
        <v>3017</v>
      </c>
      <c r="F61" s="390">
        <v>16200.36</v>
      </c>
      <c r="G61" s="389" t="s">
        <v>2917</v>
      </c>
      <c r="H61" s="389" t="s">
        <v>3024</v>
      </c>
      <c r="I61" s="389" t="s">
        <v>3019</v>
      </c>
      <c r="J61" s="391">
        <v>45327</v>
      </c>
    </row>
    <row r="62" spans="1:10">
      <c r="A62" s="389" t="s">
        <v>2418</v>
      </c>
      <c r="B62" s="389" t="s">
        <v>3141</v>
      </c>
      <c r="C62" s="389" t="s">
        <v>3174</v>
      </c>
      <c r="D62" s="389" t="s">
        <v>3077</v>
      </c>
      <c r="E62" s="389" t="s">
        <v>3017</v>
      </c>
      <c r="F62" s="390">
        <v>5924.94</v>
      </c>
      <c r="G62" s="389" t="s">
        <v>2917</v>
      </c>
      <c r="H62" s="389" t="s">
        <v>3025</v>
      </c>
      <c r="I62" s="389" t="s">
        <v>3019</v>
      </c>
      <c r="J62" s="391">
        <v>45327</v>
      </c>
    </row>
    <row r="63" spans="1:10">
      <c r="A63" s="389" t="s">
        <v>2418</v>
      </c>
      <c r="B63" s="389" t="s">
        <v>3141</v>
      </c>
      <c r="C63" s="389" t="s">
        <v>3174</v>
      </c>
      <c r="D63" s="389" t="s">
        <v>3077</v>
      </c>
      <c r="E63" s="389" t="s">
        <v>3017</v>
      </c>
      <c r="F63" s="390">
        <v>4603.49</v>
      </c>
      <c r="G63" s="389" t="s">
        <v>2917</v>
      </c>
      <c r="H63" s="389" t="s">
        <v>3026</v>
      </c>
      <c r="I63" s="389" t="s">
        <v>3019</v>
      </c>
      <c r="J63" s="391">
        <v>45327</v>
      </c>
    </row>
    <row r="64" spans="1:10">
      <c r="A64" s="389" t="s">
        <v>2418</v>
      </c>
      <c r="B64" s="389" t="s">
        <v>3141</v>
      </c>
      <c r="C64" s="389" t="s">
        <v>3174</v>
      </c>
      <c r="D64" s="389" t="s">
        <v>3077</v>
      </c>
      <c r="E64" s="389" t="s">
        <v>3017</v>
      </c>
      <c r="F64" s="390">
        <v>25753.29</v>
      </c>
      <c r="G64" s="389" t="s">
        <v>2917</v>
      </c>
      <c r="H64" s="389" t="s">
        <v>3027</v>
      </c>
      <c r="I64" s="389" t="s">
        <v>3019</v>
      </c>
      <c r="J64" s="391">
        <v>45327</v>
      </c>
    </row>
    <row r="65" spans="1:10">
      <c r="A65" s="389" t="s">
        <v>2418</v>
      </c>
      <c r="B65" s="389" t="s">
        <v>3141</v>
      </c>
      <c r="C65" s="389" t="s">
        <v>3174</v>
      </c>
      <c r="D65" s="389" t="s">
        <v>3077</v>
      </c>
      <c r="E65" s="389" t="s">
        <v>3017</v>
      </c>
      <c r="F65" s="390">
        <v>12773.82</v>
      </c>
      <c r="G65" s="389" t="s">
        <v>2917</v>
      </c>
      <c r="H65" s="389" t="s">
        <v>3028</v>
      </c>
      <c r="I65" s="389" t="s">
        <v>3019</v>
      </c>
      <c r="J65" s="391">
        <v>45327</v>
      </c>
    </row>
    <row r="66" spans="1:10">
      <c r="A66" s="389" t="s">
        <v>2418</v>
      </c>
      <c r="B66" s="389" t="s">
        <v>3141</v>
      </c>
      <c r="C66" s="389" t="s">
        <v>3174</v>
      </c>
      <c r="D66" s="389" t="s">
        <v>3077</v>
      </c>
      <c r="E66" s="389" t="s">
        <v>3017</v>
      </c>
      <c r="F66" s="390">
        <v>12773.82</v>
      </c>
      <c r="G66" s="389" t="s">
        <v>2917</v>
      </c>
      <c r="H66" s="389" t="s">
        <v>3029</v>
      </c>
      <c r="I66" s="389" t="s">
        <v>3019</v>
      </c>
      <c r="J66" s="391">
        <v>45327</v>
      </c>
    </row>
    <row r="67" spans="1:10">
      <c r="A67" s="389" t="s">
        <v>2418</v>
      </c>
      <c r="B67" s="389" t="s">
        <v>3141</v>
      </c>
      <c r="C67" s="389" t="s">
        <v>3174</v>
      </c>
      <c r="D67" s="389" t="s">
        <v>3077</v>
      </c>
      <c r="E67" s="389" t="s">
        <v>3017</v>
      </c>
      <c r="F67" s="390">
        <v>56429.05</v>
      </c>
      <c r="G67" s="389" t="s">
        <v>2917</v>
      </c>
      <c r="H67" s="389" t="s">
        <v>3030</v>
      </c>
      <c r="I67" s="389" t="s">
        <v>3019</v>
      </c>
      <c r="J67" s="391">
        <v>45327</v>
      </c>
    </row>
    <row r="68" spans="1:10">
      <c r="A68" s="389" t="s">
        <v>2418</v>
      </c>
      <c r="B68" s="389" t="s">
        <v>3141</v>
      </c>
      <c r="C68" s="389" t="s">
        <v>3174</v>
      </c>
      <c r="D68" s="389" t="s">
        <v>3077</v>
      </c>
      <c r="E68" s="389" t="s">
        <v>3017</v>
      </c>
      <c r="F68" s="390">
        <v>45458.13</v>
      </c>
      <c r="G68" s="389" t="s">
        <v>2917</v>
      </c>
      <c r="H68" s="389" t="s">
        <v>3319</v>
      </c>
      <c r="I68" s="389" t="s">
        <v>3019</v>
      </c>
      <c r="J68" s="391">
        <v>45327</v>
      </c>
    </row>
    <row r="69" spans="1:10">
      <c r="A69" s="389" t="s">
        <v>2418</v>
      </c>
      <c r="B69" s="389" t="s">
        <v>3141</v>
      </c>
      <c r="C69" s="389" t="s">
        <v>3174</v>
      </c>
      <c r="D69" s="389" t="s">
        <v>3077</v>
      </c>
      <c r="E69" s="389" t="s">
        <v>3017</v>
      </c>
      <c r="F69" s="390">
        <v>14745.2</v>
      </c>
      <c r="G69" s="389" t="s">
        <v>2917</v>
      </c>
      <c r="H69" s="389" t="s">
        <v>3320</v>
      </c>
      <c r="I69" s="389" t="s">
        <v>3019</v>
      </c>
      <c r="J69" s="391">
        <v>45327</v>
      </c>
    </row>
    <row r="70" spans="1:10">
      <c r="A70" s="389" t="s">
        <v>2418</v>
      </c>
      <c r="B70" s="389" t="s">
        <v>3141</v>
      </c>
      <c r="C70" s="389" t="s">
        <v>3176</v>
      </c>
      <c r="D70" s="389" t="s">
        <v>3077</v>
      </c>
      <c r="E70" s="389" t="s">
        <v>3017</v>
      </c>
      <c r="F70" s="390">
        <v>37086.949999999997</v>
      </c>
      <c r="G70" s="389" t="s">
        <v>2917</v>
      </c>
      <c r="H70" s="389" t="s">
        <v>3031</v>
      </c>
      <c r="I70" s="389" t="s">
        <v>3019</v>
      </c>
      <c r="J70" s="391">
        <v>45327</v>
      </c>
    </row>
    <row r="71" spans="1:10">
      <c r="A71" s="389" t="s">
        <v>2418</v>
      </c>
      <c r="B71" s="389" t="s">
        <v>3141</v>
      </c>
      <c r="C71" s="389" t="s">
        <v>3176</v>
      </c>
      <c r="D71" s="389" t="s">
        <v>3077</v>
      </c>
      <c r="E71" s="389" t="s">
        <v>3017</v>
      </c>
      <c r="F71" s="390">
        <v>11003.29</v>
      </c>
      <c r="G71" s="389" t="s">
        <v>2917</v>
      </c>
      <c r="H71" s="389" t="s">
        <v>3032</v>
      </c>
      <c r="I71" s="389" t="s">
        <v>3019</v>
      </c>
      <c r="J71" s="391">
        <v>45327</v>
      </c>
    </row>
    <row r="72" spans="1:10">
      <c r="A72" s="389" t="s">
        <v>2418</v>
      </c>
      <c r="B72" s="389" t="s">
        <v>3141</v>
      </c>
      <c r="C72" s="389" t="s">
        <v>3177</v>
      </c>
      <c r="D72" s="389" t="s">
        <v>3077</v>
      </c>
      <c r="E72" s="389" t="s">
        <v>3017</v>
      </c>
      <c r="F72" s="390">
        <v>23867.65</v>
      </c>
      <c r="G72" s="389" t="s">
        <v>2917</v>
      </c>
      <c r="H72" s="389" t="s">
        <v>3033</v>
      </c>
      <c r="I72" s="389" t="s">
        <v>3019</v>
      </c>
      <c r="J72" s="391">
        <v>45327</v>
      </c>
    </row>
    <row r="73" spans="1:10">
      <c r="A73" s="389" t="s">
        <v>2418</v>
      </c>
      <c r="B73" s="389" t="s">
        <v>3141</v>
      </c>
      <c r="C73" s="389" t="s">
        <v>3174</v>
      </c>
      <c r="D73" s="389" t="s">
        <v>3077</v>
      </c>
      <c r="E73" s="389" t="s">
        <v>3017</v>
      </c>
      <c r="F73" s="390">
        <v>6064.04</v>
      </c>
      <c r="G73" s="389" t="s">
        <v>2917</v>
      </c>
      <c r="H73" s="389" t="s">
        <v>3034</v>
      </c>
      <c r="I73" s="389" t="s">
        <v>3019</v>
      </c>
      <c r="J73" s="391">
        <v>45327</v>
      </c>
    </row>
    <row r="74" spans="1:10">
      <c r="A74" s="389" t="s">
        <v>2418</v>
      </c>
      <c r="B74" s="389" t="s">
        <v>3141</v>
      </c>
      <c r="C74" s="389" t="s">
        <v>3326</v>
      </c>
      <c r="D74" s="389" t="s">
        <v>3077</v>
      </c>
      <c r="E74" s="389" t="s">
        <v>3017</v>
      </c>
      <c r="F74" s="390">
        <v>14096.47</v>
      </c>
      <c r="G74" s="389" t="s">
        <v>2917</v>
      </c>
      <c r="H74" s="389" t="s">
        <v>3035</v>
      </c>
      <c r="I74" s="389" t="s">
        <v>3019</v>
      </c>
      <c r="J74" s="391">
        <v>45327</v>
      </c>
    </row>
    <row r="75" spans="1:10">
      <c r="A75" s="389" t="s">
        <v>2418</v>
      </c>
      <c r="B75" s="389" t="s">
        <v>3141</v>
      </c>
      <c r="C75" s="389" t="s">
        <v>3174</v>
      </c>
      <c r="D75" s="389" t="s">
        <v>3077</v>
      </c>
      <c r="E75" s="389" t="s">
        <v>3017</v>
      </c>
      <c r="F75" s="390">
        <v>28600.05</v>
      </c>
      <c r="G75" s="389" t="s">
        <v>2917</v>
      </c>
      <c r="H75" s="389" t="s">
        <v>3036</v>
      </c>
      <c r="I75" s="389" t="s">
        <v>3019</v>
      </c>
      <c r="J75" s="391">
        <v>45327</v>
      </c>
    </row>
    <row r="76" spans="1:10">
      <c r="A76" s="389" t="s">
        <v>2418</v>
      </c>
      <c r="B76" s="389" t="s">
        <v>3156</v>
      </c>
      <c r="C76" s="389" t="s">
        <v>3178</v>
      </c>
      <c r="D76" s="389" t="s">
        <v>3077</v>
      </c>
      <c r="E76" s="389" t="s">
        <v>3017</v>
      </c>
      <c r="F76" s="390">
        <v>1</v>
      </c>
      <c r="G76" s="389" t="s">
        <v>2917</v>
      </c>
      <c r="H76" s="389" t="s">
        <v>3037</v>
      </c>
      <c r="I76" s="389" t="s">
        <v>3019</v>
      </c>
      <c r="J76" s="391">
        <v>45327</v>
      </c>
    </row>
    <row r="77" spans="1:10">
      <c r="A77" s="389" t="s">
        <v>2418</v>
      </c>
      <c r="B77" s="389" t="s">
        <v>3141</v>
      </c>
      <c r="C77" s="389" t="s">
        <v>3175</v>
      </c>
      <c r="D77" s="389" t="s">
        <v>3077</v>
      </c>
      <c r="E77" s="389" t="s">
        <v>3017</v>
      </c>
      <c r="F77" s="390">
        <v>7967.07</v>
      </c>
      <c r="G77" s="389" t="s">
        <v>2917</v>
      </c>
      <c r="H77" s="389" t="s">
        <v>3038</v>
      </c>
      <c r="I77" s="389" t="s">
        <v>3019</v>
      </c>
      <c r="J77" s="391">
        <v>45327</v>
      </c>
    </row>
    <row r="78" spans="1:10">
      <c r="A78" s="389" t="s">
        <v>2418</v>
      </c>
      <c r="B78" s="389" t="s">
        <v>3141</v>
      </c>
      <c r="C78" s="389" t="s">
        <v>3142</v>
      </c>
      <c r="D78" s="389" t="s">
        <v>3077</v>
      </c>
      <c r="E78" s="389" t="s">
        <v>3017</v>
      </c>
      <c r="F78" s="390">
        <v>6923</v>
      </c>
      <c r="G78" s="389" t="s">
        <v>2917</v>
      </c>
      <c r="H78" s="389" t="s">
        <v>3327</v>
      </c>
      <c r="I78" s="389" t="s">
        <v>3019</v>
      </c>
      <c r="J78" s="391">
        <v>45327</v>
      </c>
    </row>
    <row r="79" spans="1:10">
      <c r="A79" s="389" t="s">
        <v>2418</v>
      </c>
      <c r="B79" s="389" t="s">
        <v>3156</v>
      </c>
      <c r="C79" s="389" t="s">
        <v>3082</v>
      </c>
      <c r="D79" s="389" t="s">
        <v>3077</v>
      </c>
      <c r="E79" s="389" t="s">
        <v>3042</v>
      </c>
      <c r="F79" s="390">
        <v>514.5</v>
      </c>
      <c r="G79" s="389" t="s">
        <v>2917</v>
      </c>
      <c r="H79" s="389" t="s">
        <v>3045</v>
      </c>
      <c r="I79" s="389" t="s">
        <v>3321</v>
      </c>
      <c r="J79" s="391">
        <v>45337</v>
      </c>
    </row>
    <row r="80" spans="1:10">
      <c r="A80" s="389" t="s">
        <v>2418</v>
      </c>
      <c r="B80" s="389" t="s">
        <v>3156</v>
      </c>
      <c r="C80" s="389" t="s">
        <v>3082</v>
      </c>
      <c r="D80" s="389" t="s">
        <v>3077</v>
      </c>
      <c r="E80" s="389" t="s">
        <v>3042</v>
      </c>
      <c r="F80" s="390">
        <v>847.4</v>
      </c>
      <c r="G80" s="389" t="s">
        <v>2917</v>
      </c>
      <c r="H80" s="389" t="s">
        <v>3061</v>
      </c>
      <c r="I80" s="389" t="s">
        <v>3321</v>
      </c>
      <c r="J80" s="391">
        <v>45337</v>
      </c>
    </row>
    <row r="81" spans="1:10">
      <c r="A81" s="389" t="s">
        <v>2418</v>
      </c>
      <c r="B81" s="389" t="s">
        <v>3156</v>
      </c>
      <c r="C81" s="389" t="s">
        <v>3082</v>
      </c>
      <c r="D81" s="389" t="s">
        <v>3077</v>
      </c>
      <c r="E81" s="389" t="s">
        <v>3042</v>
      </c>
      <c r="F81" s="390">
        <v>5978</v>
      </c>
      <c r="G81" s="389" t="s">
        <v>2917</v>
      </c>
      <c r="H81" s="389" t="s">
        <v>3046</v>
      </c>
      <c r="I81" s="389" t="s">
        <v>3321</v>
      </c>
      <c r="J81" s="391">
        <v>45337</v>
      </c>
    </row>
    <row r="82" spans="1:10">
      <c r="A82" s="389" t="s">
        <v>2501</v>
      </c>
      <c r="B82" s="389" t="s">
        <v>3172</v>
      </c>
      <c r="C82" s="389" t="s">
        <v>3173</v>
      </c>
      <c r="D82" s="389" t="s">
        <v>3077</v>
      </c>
      <c r="E82" s="389" t="s">
        <v>3051</v>
      </c>
      <c r="F82" s="390">
        <v>108</v>
      </c>
      <c r="G82" s="389" t="s">
        <v>2917</v>
      </c>
      <c r="H82" s="389" t="s">
        <v>3052</v>
      </c>
      <c r="I82" s="389" t="s">
        <v>3041</v>
      </c>
      <c r="J82" s="391">
        <v>45400</v>
      </c>
    </row>
    <row r="83" spans="1:10">
      <c r="A83" s="389" t="s">
        <v>1095</v>
      </c>
      <c r="B83" s="389" t="s">
        <v>3099</v>
      </c>
      <c r="C83" s="389" t="s">
        <v>3084</v>
      </c>
      <c r="D83" s="389" t="s">
        <v>3077</v>
      </c>
      <c r="E83" s="389" t="s">
        <v>3056</v>
      </c>
      <c r="F83" s="390">
        <v>108</v>
      </c>
      <c r="G83" s="389" t="s">
        <v>2917</v>
      </c>
      <c r="H83" s="389" t="s">
        <v>3057</v>
      </c>
      <c r="I83" s="389" t="s">
        <v>3041</v>
      </c>
      <c r="J83" s="391">
        <v>45425</v>
      </c>
    </row>
    <row r="84" spans="1:10">
      <c r="A84" s="389" t="s">
        <v>2681</v>
      </c>
      <c r="B84" s="389" t="s">
        <v>3195</v>
      </c>
      <c r="C84" s="389" t="s">
        <v>3180</v>
      </c>
      <c r="D84" s="389" t="s">
        <v>3077</v>
      </c>
      <c r="E84" s="389" t="s">
        <v>3196</v>
      </c>
      <c r="F84" s="390">
        <v>131270.62</v>
      </c>
      <c r="G84" s="389" t="s">
        <v>2917</v>
      </c>
      <c r="H84" s="389" t="s">
        <v>3197</v>
      </c>
      <c r="I84" s="389" t="s">
        <v>3198</v>
      </c>
      <c r="J84" s="391">
        <v>45440</v>
      </c>
    </row>
    <row r="85" spans="1:10">
      <c r="A85" s="389" t="s">
        <v>2681</v>
      </c>
      <c r="B85" s="389" t="s">
        <v>3195</v>
      </c>
      <c r="C85" s="389" t="s">
        <v>3180</v>
      </c>
      <c r="D85" s="389" t="s">
        <v>3077</v>
      </c>
      <c r="E85" s="389" t="s">
        <v>3196</v>
      </c>
      <c r="F85" s="390">
        <v>23201.27</v>
      </c>
      <c r="G85" s="389" t="s">
        <v>2917</v>
      </c>
      <c r="H85" s="389" t="s">
        <v>3199</v>
      </c>
      <c r="I85" s="389" t="s">
        <v>3198</v>
      </c>
      <c r="J85" s="391">
        <v>45440</v>
      </c>
    </row>
    <row r="86" spans="1:10">
      <c r="A86" s="389" t="s">
        <v>2418</v>
      </c>
      <c r="B86" s="389" t="s">
        <v>3141</v>
      </c>
      <c r="C86" s="389" t="s">
        <v>3328</v>
      </c>
      <c r="D86" s="389" t="s">
        <v>3077</v>
      </c>
      <c r="E86" s="389" t="s">
        <v>3054</v>
      </c>
      <c r="F86" s="390">
        <v>0.83</v>
      </c>
      <c r="G86" s="389" t="s">
        <v>2917</v>
      </c>
      <c r="H86" s="389" t="s">
        <v>3322</v>
      </c>
      <c r="I86" s="389" t="s">
        <v>3055</v>
      </c>
      <c r="J86" s="391">
        <v>45440</v>
      </c>
    </row>
    <row r="87" spans="1:10">
      <c r="A87" s="389" t="s">
        <v>2418</v>
      </c>
      <c r="B87" s="389" t="s">
        <v>3141</v>
      </c>
      <c r="C87" s="389" t="s">
        <v>3329</v>
      </c>
      <c r="D87" s="389" t="s">
        <v>3077</v>
      </c>
      <c r="E87" s="389" t="s">
        <v>3054</v>
      </c>
      <c r="F87" s="390">
        <v>22008.799999999999</v>
      </c>
      <c r="G87" s="389" t="s">
        <v>2917</v>
      </c>
      <c r="H87" s="389" t="s">
        <v>3323</v>
      </c>
      <c r="I87" s="389" t="s">
        <v>3055</v>
      </c>
      <c r="J87" s="391">
        <v>45440</v>
      </c>
    </row>
    <row r="88" spans="1:10">
      <c r="A88" s="389" t="s">
        <v>2501</v>
      </c>
      <c r="B88" s="389" t="s">
        <v>3172</v>
      </c>
      <c r="C88" s="389" t="s">
        <v>3330</v>
      </c>
      <c r="D88" s="389" t="s">
        <v>3077</v>
      </c>
      <c r="E88" s="389" t="s">
        <v>3200</v>
      </c>
      <c r="F88" s="390">
        <v>2754</v>
      </c>
      <c r="G88" s="389" t="s">
        <v>2917</v>
      </c>
      <c r="H88" s="389" t="s">
        <v>3201</v>
      </c>
      <c r="I88" s="389" t="s">
        <v>2981</v>
      </c>
      <c r="J88" s="391">
        <v>45497</v>
      </c>
    </row>
    <row r="89" spans="1:10">
      <c r="A89" s="389" t="s">
        <v>2501</v>
      </c>
      <c r="B89" s="389" t="s">
        <v>3172</v>
      </c>
      <c r="C89" s="389" t="s">
        <v>3330</v>
      </c>
      <c r="D89" s="389" t="s">
        <v>3077</v>
      </c>
      <c r="E89" s="389" t="s">
        <v>3202</v>
      </c>
      <c r="F89" s="390">
        <v>6899</v>
      </c>
      <c r="G89" s="389" t="s">
        <v>2917</v>
      </c>
      <c r="H89" s="389" t="s">
        <v>3203</v>
      </c>
      <c r="I89" s="389" t="s">
        <v>3041</v>
      </c>
      <c r="J89" s="391">
        <v>45497</v>
      </c>
    </row>
    <row r="90" spans="1:10">
      <c r="A90" s="389" t="s">
        <v>2418</v>
      </c>
      <c r="B90" s="389" t="s">
        <v>3141</v>
      </c>
      <c r="C90" s="389" t="s">
        <v>3207</v>
      </c>
      <c r="D90" s="389" t="s">
        <v>3077</v>
      </c>
      <c r="E90" s="389" t="s">
        <v>6795</v>
      </c>
      <c r="F90" s="390">
        <v>2150</v>
      </c>
      <c r="G90" s="389" t="s">
        <v>2917</v>
      </c>
      <c r="H90" s="389" t="s">
        <v>3209</v>
      </c>
      <c r="I90" s="389" t="s">
        <v>3815</v>
      </c>
      <c r="J90" s="391">
        <v>45533</v>
      </c>
    </row>
    <row r="91" spans="1:10">
      <c r="A91" s="389" t="s">
        <v>2418</v>
      </c>
      <c r="B91" s="389" t="s">
        <v>3141</v>
      </c>
      <c r="C91" s="389" t="s">
        <v>6768</v>
      </c>
      <c r="D91" s="389" t="s">
        <v>3077</v>
      </c>
      <c r="E91" s="389" t="s">
        <v>6796</v>
      </c>
      <c r="F91" s="390">
        <v>12691.52</v>
      </c>
      <c r="G91" s="389" t="s">
        <v>2917</v>
      </c>
      <c r="H91" s="389" t="s">
        <v>6769</v>
      </c>
      <c r="I91" s="389" t="s">
        <v>6785</v>
      </c>
      <c r="J91" s="391">
        <v>45533</v>
      </c>
    </row>
    <row r="92" spans="1:10">
      <c r="A92" s="389" t="s">
        <v>2418</v>
      </c>
      <c r="B92" s="389" t="s">
        <v>3141</v>
      </c>
      <c r="C92" s="389" t="s">
        <v>6768</v>
      </c>
      <c r="D92" s="389" t="s">
        <v>3077</v>
      </c>
      <c r="E92" s="389" t="s">
        <v>6796</v>
      </c>
      <c r="F92" s="390">
        <v>100.73</v>
      </c>
      <c r="G92" s="389" t="s">
        <v>2917</v>
      </c>
      <c r="H92" s="389" t="s">
        <v>6770</v>
      </c>
      <c r="I92" s="389" t="s">
        <v>6785</v>
      </c>
      <c r="J92" s="391">
        <v>45533</v>
      </c>
    </row>
    <row r="93" spans="1:10">
      <c r="A93" s="389" t="s">
        <v>2418</v>
      </c>
      <c r="B93" s="389" t="s">
        <v>3141</v>
      </c>
      <c r="C93" s="389" t="s">
        <v>6768</v>
      </c>
      <c r="D93" s="389" t="s">
        <v>3077</v>
      </c>
      <c r="E93" s="389" t="s">
        <v>6796</v>
      </c>
      <c r="F93" s="390">
        <v>261.44</v>
      </c>
      <c r="G93" s="389" t="s">
        <v>2917</v>
      </c>
      <c r="H93" s="389" t="s">
        <v>6771</v>
      </c>
      <c r="I93" s="389" t="s">
        <v>6785</v>
      </c>
      <c r="J93" s="391">
        <v>45533</v>
      </c>
    </row>
    <row r="94" spans="1:10">
      <c r="A94" s="389" t="s">
        <v>2418</v>
      </c>
      <c r="B94" s="389" t="s">
        <v>3141</v>
      </c>
      <c r="C94" s="389" t="s">
        <v>6768</v>
      </c>
      <c r="D94" s="389" t="s">
        <v>3077</v>
      </c>
      <c r="E94" s="389" t="s">
        <v>6796</v>
      </c>
      <c r="F94" s="390">
        <v>324.49</v>
      </c>
      <c r="G94" s="389" t="s">
        <v>2917</v>
      </c>
      <c r="H94" s="389" t="s">
        <v>6772</v>
      </c>
      <c r="I94" s="389" t="s">
        <v>6785</v>
      </c>
      <c r="J94" s="391">
        <v>45533</v>
      </c>
    </row>
    <row r="95" spans="1:10">
      <c r="A95" s="389" t="s">
        <v>2418</v>
      </c>
      <c r="B95" s="389" t="s">
        <v>3141</v>
      </c>
      <c r="C95" s="389" t="s">
        <v>6768</v>
      </c>
      <c r="D95" s="389" t="s">
        <v>3077</v>
      </c>
      <c r="E95" s="389" t="s">
        <v>6796</v>
      </c>
      <c r="F95" s="390">
        <v>249.14</v>
      </c>
      <c r="G95" s="389" t="s">
        <v>2917</v>
      </c>
      <c r="H95" s="389" t="s">
        <v>6773</v>
      </c>
      <c r="I95" s="389" t="s">
        <v>6785</v>
      </c>
      <c r="J95" s="391">
        <v>45533</v>
      </c>
    </row>
    <row r="96" spans="1:10">
      <c r="A96" s="389" t="s">
        <v>2418</v>
      </c>
      <c r="B96" s="389" t="s">
        <v>3141</v>
      </c>
      <c r="C96" s="389" t="s">
        <v>6768</v>
      </c>
      <c r="D96" s="389" t="s">
        <v>3077</v>
      </c>
      <c r="E96" s="389" t="s">
        <v>6796</v>
      </c>
      <c r="F96" s="390">
        <v>743.57</v>
      </c>
      <c r="G96" s="389" t="s">
        <v>2917</v>
      </c>
      <c r="H96" s="389" t="s">
        <v>6774</v>
      </c>
      <c r="I96" s="389" t="s">
        <v>6785</v>
      </c>
      <c r="J96" s="391">
        <v>45533</v>
      </c>
    </row>
    <row r="97" spans="1:10">
      <c r="A97" s="389" t="s">
        <v>2418</v>
      </c>
      <c r="B97" s="389" t="s">
        <v>3141</v>
      </c>
      <c r="C97" s="389" t="s">
        <v>6768</v>
      </c>
      <c r="D97" s="389" t="s">
        <v>3077</v>
      </c>
      <c r="E97" s="389" t="s">
        <v>6796</v>
      </c>
      <c r="F97" s="390">
        <v>645.91999999999996</v>
      </c>
      <c r="G97" s="389" t="s">
        <v>2917</v>
      </c>
      <c r="H97" s="389" t="s">
        <v>6775</v>
      </c>
      <c r="I97" s="389" t="s">
        <v>6785</v>
      </c>
      <c r="J97" s="391">
        <v>45533</v>
      </c>
    </row>
    <row r="98" spans="1:10">
      <c r="A98" s="389" t="s">
        <v>2418</v>
      </c>
      <c r="B98" s="389" t="s">
        <v>3141</v>
      </c>
      <c r="C98" s="389" t="s">
        <v>6830</v>
      </c>
      <c r="D98" s="389" t="s">
        <v>3077</v>
      </c>
      <c r="E98" s="389" t="s">
        <v>6880</v>
      </c>
      <c r="F98" s="390">
        <v>31690.400000000001</v>
      </c>
      <c r="G98" s="389" t="s">
        <v>2917</v>
      </c>
      <c r="H98" s="389" t="s">
        <v>6831</v>
      </c>
      <c r="I98" s="389" t="s">
        <v>6876</v>
      </c>
      <c r="J98" s="391">
        <v>45559</v>
      </c>
    </row>
    <row r="99" spans="1:10">
      <c r="A99" s="389" t="s">
        <v>2418</v>
      </c>
      <c r="B99" s="389" t="s">
        <v>3141</v>
      </c>
      <c r="C99" s="389" t="s">
        <v>6830</v>
      </c>
      <c r="D99" s="389" t="s">
        <v>3077</v>
      </c>
      <c r="E99" s="389" t="s">
        <v>6880</v>
      </c>
      <c r="F99" s="390">
        <v>88700.800000000003</v>
      </c>
      <c r="G99" s="389" t="s">
        <v>2917</v>
      </c>
      <c r="H99" s="389" t="s">
        <v>6832</v>
      </c>
      <c r="I99" s="389" t="s">
        <v>6876</v>
      </c>
      <c r="J99" s="391">
        <v>45559</v>
      </c>
    </row>
    <row r="100" spans="1:10">
      <c r="A100" s="389" t="s">
        <v>2418</v>
      </c>
      <c r="B100" s="389" t="s">
        <v>3141</v>
      </c>
      <c r="C100" s="389" t="s">
        <v>6830</v>
      </c>
      <c r="D100" s="389" t="s">
        <v>3077</v>
      </c>
      <c r="E100" s="389" t="s">
        <v>6880</v>
      </c>
      <c r="F100" s="390">
        <v>35958.400000000001</v>
      </c>
      <c r="G100" s="389" t="s">
        <v>2917</v>
      </c>
      <c r="H100" s="389" t="s">
        <v>6833</v>
      </c>
      <c r="I100" s="389" t="s">
        <v>6876</v>
      </c>
      <c r="J100" s="391">
        <v>45559</v>
      </c>
    </row>
    <row r="101" spans="1:10">
      <c r="A101" s="389" t="s">
        <v>2418</v>
      </c>
      <c r="B101" s="389" t="s">
        <v>3141</v>
      </c>
      <c r="C101" s="389" t="s">
        <v>6830</v>
      </c>
      <c r="D101" s="389" t="s">
        <v>3077</v>
      </c>
      <c r="E101" s="389" t="s">
        <v>6880</v>
      </c>
      <c r="F101" s="390">
        <v>29762.400000000001</v>
      </c>
      <c r="G101" s="389" t="s">
        <v>2917</v>
      </c>
      <c r="H101" s="389" t="s">
        <v>6834</v>
      </c>
      <c r="I101" s="389" t="s">
        <v>6876</v>
      </c>
      <c r="J101" s="391">
        <v>45559</v>
      </c>
    </row>
    <row r="102" spans="1:10">
      <c r="A102" s="389" t="s">
        <v>2418</v>
      </c>
      <c r="B102" s="389" t="s">
        <v>3141</v>
      </c>
      <c r="C102" s="389" t="s">
        <v>6830</v>
      </c>
      <c r="D102" s="389" t="s">
        <v>3077</v>
      </c>
      <c r="E102" s="389" t="s">
        <v>6880</v>
      </c>
      <c r="F102" s="390">
        <v>73134.399999999994</v>
      </c>
      <c r="G102" s="389" t="s">
        <v>2917</v>
      </c>
      <c r="H102" s="389" t="s">
        <v>6835</v>
      </c>
      <c r="I102" s="389" t="s">
        <v>6876</v>
      </c>
      <c r="J102" s="391">
        <v>45559</v>
      </c>
    </row>
    <row r="103" spans="1:10">
      <c r="A103" s="389" t="s">
        <v>2418</v>
      </c>
      <c r="B103" s="389" t="s">
        <v>3141</v>
      </c>
      <c r="C103" s="389" t="s">
        <v>6830</v>
      </c>
      <c r="D103" s="389" t="s">
        <v>3077</v>
      </c>
      <c r="E103" s="389" t="s">
        <v>6880</v>
      </c>
      <c r="F103" s="390">
        <v>6000</v>
      </c>
      <c r="G103" s="389" t="s">
        <v>2917</v>
      </c>
      <c r="H103" s="389" t="s">
        <v>6836</v>
      </c>
      <c r="I103" s="389" t="s">
        <v>6876</v>
      </c>
      <c r="J103" s="391">
        <v>45559</v>
      </c>
    </row>
    <row r="104" spans="1:10">
      <c r="A104" s="389" t="s">
        <v>7030</v>
      </c>
      <c r="B104" s="389" t="s">
        <v>7035</v>
      </c>
      <c r="C104" s="389" t="s">
        <v>7244</v>
      </c>
      <c r="D104" s="389" t="s">
        <v>3077</v>
      </c>
      <c r="E104" s="389" t="s">
        <v>7245</v>
      </c>
      <c r="F104" s="390">
        <v>48881.5</v>
      </c>
      <c r="G104" s="389" t="s">
        <v>2917</v>
      </c>
      <c r="H104" s="389" t="s">
        <v>7246</v>
      </c>
      <c r="I104" s="389" t="s">
        <v>2981</v>
      </c>
      <c r="J104" s="391">
        <v>45562</v>
      </c>
    </row>
    <row r="105" spans="1:10">
      <c r="A105" s="389" t="s">
        <v>7030</v>
      </c>
      <c r="B105" s="389" t="s">
        <v>7035</v>
      </c>
      <c r="C105" s="389" t="s">
        <v>7244</v>
      </c>
      <c r="D105" s="389" t="s">
        <v>3077</v>
      </c>
      <c r="E105" s="389" t="s">
        <v>7245</v>
      </c>
      <c r="F105" s="390">
        <v>4408.18</v>
      </c>
      <c r="G105" s="389" t="s">
        <v>2917</v>
      </c>
      <c r="H105" s="389" t="s">
        <v>7247</v>
      </c>
      <c r="I105" s="389" t="s">
        <v>2981</v>
      </c>
      <c r="J105" s="391">
        <v>45562</v>
      </c>
    </row>
    <row r="106" spans="1:10">
      <c r="A106" s="389" t="s">
        <v>7030</v>
      </c>
      <c r="B106" s="389" t="s">
        <v>7035</v>
      </c>
      <c r="C106" s="389" t="s">
        <v>7038</v>
      </c>
      <c r="D106" s="389" t="s">
        <v>3077</v>
      </c>
      <c r="E106" s="389" t="s">
        <v>7059</v>
      </c>
      <c r="F106" s="390">
        <v>3582</v>
      </c>
      <c r="G106" s="389" t="s">
        <v>2917</v>
      </c>
      <c r="H106" s="389" t="s">
        <v>7039</v>
      </c>
      <c r="I106" s="389" t="s">
        <v>2981</v>
      </c>
      <c r="J106" s="391">
        <v>45601</v>
      </c>
    </row>
    <row r="107" spans="1:10">
      <c r="A107" s="389" t="s">
        <v>7030</v>
      </c>
      <c r="B107" s="389" t="s">
        <v>7035</v>
      </c>
      <c r="C107" s="389" t="s">
        <v>7038</v>
      </c>
      <c r="D107" s="389" t="s">
        <v>3077</v>
      </c>
      <c r="E107" s="389" t="s">
        <v>7059</v>
      </c>
      <c r="F107" s="390">
        <v>1939.97</v>
      </c>
      <c r="G107" s="389" t="s">
        <v>2917</v>
      </c>
      <c r="H107" s="389" t="s">
        <v>7040</v>
      </c>
      <c r="I107" s="389" t="s">
        <v>2981</v>
      </c>
      <c r="J107" s="391">
        <v>45601</v>
      </c>
    </row>
    <row r="108" spans="1:10">
      <c r="A108" s="389" t="s">
        <v>7030</v>
      </c>
      <c r="B108" s="389" t="s">
        <v>7035</v>
      </c>
      <c r="C108" s="389" t="s">
        <v>7036</v>
      </c>
      <c r="D108" s="389" t="s">
        <v>3077</v>
      </c>
      <c r="E108" s="389" t="s">
        <v>7060</v>
      </c>
      <c r="F108" s="390">
        <v>100950.5</v>
      </c>
      <c r="G108" s="389" t="s">
        <v>2917</v>
      </c>
      <c r="H108" s="389" t="s">
        <v>7037</v>
      </c>
      <c r="I108" s="389" t="s">
        <v>2981</v>
      </c>
      <c r="J108" s="391">
        <v>45602</v>
      </c>
    </row>
    <row r="109" spans="1:10">
      <c r="A109" s="389" t="s">
        <v>7030</v>
      </c>
      <c r="B109" s="389" t="s">
        <v>7035</v>
      </c>
      <c r="C109" s="389" t="s">
        <v>7036</v>
      </c>
      <c r="D109" s="389" t="s">
        <v>3077</v>
      </c>
      <c r="E109" s="389" t="s">
        <v>7060</v>
      </c>
      <c r="F109" s="390">
        <v>3172.42</v>
      </c>
      <c r="G109" s="389" t="s">
        <v>2917</v>
      </c>
      <c r="H109" s="389" t="s">
        <v>230</v>
      </c>
      <c r="I109" s="389" t="s">
        <v>2981</v>
      </c>
      <c r="J109" s="391">
        <v>45602</v>
      </c>
    </row>
    <row r="110" spans="1:10">
      <c r="A110" s="389" t="s">
        <v>7030</v>
      </c>
      <c r="B110" s="389" t="s">
        <v>7035</v>
      </c>
      <c r="C110" s="389" t="s">
        <v>7132</v>
      </c>
      <c r="D110" s="389" t="s">
        <v>3077</v>
      </c>
      <c r="E110" s="389" t="s">
        <v>7133</v>
      </c>
      <c r="F110" s="390">
        <v>77678.5</v>
      </c>
      <c r="G110" s="389" t="s">
        <v>2917</v>
      </c>
      <c r="H110" s="389" t="s">
        <v>3010</v>
      </c>
      <c r="I110" s="389" t="s">
        <v>2981</v>
      </c>
      <c r="J110" s="391">
        <v>45615</v>
      </c>
    </row>
    <row r="111" spans="1:10">
      <c r="A111" s="389" t="s">
        <v>7030</v>
      </c>
      <c r="B111" s="389" t="s">
        <v>7035</v>
      </c>
      <c r="C111" s="389" t="s">
        <v>7132</v>
      </c>
      <c r="D111" s="389" t="s">
        <v>3077</v>
      </c>
      <c r="E111" s="389" t="s">
        <v>7133</v>
      </c>
      <c r="F111" s="390">
        <v>431.1</v>
      </c>
      <c r="G111" s="389" t="s">
        <v>2917</v>
      </c>
      <c r="H111" s="389" t="s">
        <v>7134</v>
      </c>
      <c r="I111" s="389" t="s">
        <v>2981</v>
      </c>
      <c r="J111" s="391">
        <v>45615</v>
      </c>
    </row>
    <row r="112" spans="1:10">
      <c r="A112" s="389" t="s">
        <v>2501</v>
      </c>
      <c r="B112" s="389" t="s">
        <v>3172</v>
      </c>
      <c r="C112" s="389" t="s">
        <v>3173</v>
      </c>
      <c r="D112" s="389" t="s">
        <v>3077</v>
      </c>
      <c r="E112" s="389" t="s">
        <v>7135</v>
      </c>
      <c r="F112" s="390">
        <v>1512.33</v>
      </c>
      <c r="G112" s="389" t="s">
        <v>2917</v>
      </c>
      <c r="H112" s="389" t="s">
        <v>7136</v>
      </c>
      <c r="I112" s="389" t="s">
        <v>3324</v>
      </c>
      <c r="J112" s="391">
        <v>45615</v>
      </c>
    </row>
    <row r="113" spans="1:10">
      <c r="A113" s="389" t="s">
        <v>7030</v>
      </c>
      <c r="B113" s="389" t="s">
        <v>7035</v>
      </c>
      <c r="C113" s="389" t="s">
        <v>7137</v>
      </c>
      <c r="D113" s="389" t="s">
        <v>3077</v>
      </c>
      <c r="E113" s="389" t="s">
        <v>7138</v>
      </c>
      <c r="F113" s="390">
        <v>931</v>
      </c>
      <c r="G113" s="389" t="s">
        <v>2917</v>
      </c>
      <c r="H113" s="389" t="s">
        <v>3043</v>
      </c>
      <c r="I113" s="389" t="s">
        <v>3321</v>
      </c>
      <c r="J113" s="391">
        <v>45615</v>
      </c>
    </row>
    <row r="114" spans="1:10">
      <c r="A114" s="389" t="s">
        <v>7030</v>
      </c>
      <c r="B114" s="389" t="s">
        <v>7035</v>
      </c>
      <c r="C114" s="389" t="s">
        <v>7137</v>
      </c>
      <c r="D114" s="389" t="s">
        <v>3077</v>
      </c>
      <c r="E114" s="389" t="s">
        <v>7138</v>
      </c>
      <c r="F114" s="390">
        <v>1274</v>
      </c>
      <c r="G114" s="389" t="s">
        <v>2917</v>
      </c>
      <c r="H114" s="389" t="s">
        <v>7139</v>
      </c>
      <c r="I114" s="389" t="s">
        <v>3321</v>
      </c>
      <c r="J114" s="391">
        <v>45615</v>
      </c>
    </row>
    <row r="115" spans="1:10">
      <c r="A115" s="389" t="s">
        <v>7030</v>
      </c>
      <c r="B115" s="389" t="s">
        <v>7035</v>
      </c>
      <c r="C115" s="389" t="s">
        <v>7137</v>
      </c>
      <c r="D115" s="389" t="s">
        <v>3077</v>
      </c>
      <c r="E115" s="389" t="s">
        <v>7138</v>
      </c>
      <c r="F115" s="390">
        <v>26608</v>
      </c>
      <c r="G115" s="389" t="s">
        <v>2917</v>
      </c>
      <c r="H115" s="389" t="s">
        <v>7140</v>
      </c>
      <c r="I115" s="389" t="s">
        <v>3321</v>
      </c>
      <c r="J115" s="391">
        <v>45615</v>
      </c>
    </row>
    <row r="116" spans="1:10">
      <c r="A116" s="389" t="s">
        <v>7030</v>
      </c>
      <c r="B116" s="389" t="s">
        <v>7035</v>
      </c>
      <c r="C116" s="389" t="s">
        <v>7137</v>
      </c>
      <c r="D116" s="389" t="s">
        <v>3077</v>
      </c>
      <c r="E116" s="389" t="s">
        <v>7138</v>
      </c>
      <c r="F116" s="390">
        <v>38695.300000000003</v>
      </c>
      <c r="G116" s="389" t="s">
        <v>2917</v>
      </c>
      <c r="H116" s="389" t="s">
        <v>7141</v>
      </c>
      <c r="I116" s="389" t="s">
        <v>3321</v>
      </c>
      <c r="J116" s="391">
        <v>45615</v>
      </c>
    </row>
    <row r="117" spans="1:10">
      <c r="A117" s="389" t="s">
        <v>7030</v>
      </c>
      <c r="B117" s="389" t="s">
        <v>7035</v>
      </c>
      <c r="C117" s="389" t="s">
        <v>7137</v>
      </c>
      <c r="D117" s="389" t="s">
        <v>3077</v>
      </c>
      <c r="E117" s="389" t="s">
        <v>7138</v>
      </c>
      <c r="F117" s="390">
        <v>11760</v>
      </c>
      <c r="G117" s="389" t="s">
        <v>2917</v>
      </c>
      <c r="H117" s="389" t="s">
        <v>7142</v>
      </c>
      <c r="I117" s="389" t="s">
        <v>3321</v>
      </c>
      <c r="J117" s="391">
        <v>45615</v>
      </c>
    </row>
    <row r="118" spans="1:10">
      <c r="A118" s="389" t="s">
        <v>7030</v>
      </c>
      <c r="B118" s="389" t="s">
        <v>7035</v>
      </c>
      <c r="C118" s="389" t="s">
        <v>7137</v>
      </c>
      <c r="D118" s="389" t="s">
        <v>3077</v>
      </c>
      <c r="E118" s="389" t="s">
        <v>7138</v>
      </c>
      <c r="F118" s="390">
        <v>3136</v>
      </c>
      <c r="G118" s="389" t="s">
        <v>2917</v>
      </c>
      <c r="H118" s="389" t="s">
        <v>7143</v>
      </c>
      <c r="I118" s="389" t="s">
        <v>3321</v>
      </c>
      <c r="J118" s="391">
        <v>45615</v>
      </c>
    </row>
    <row r="119" spans="1:10">
      <c r="A119" s="389" t="s">
        <v>7030</v>
      </c>
      <c r="B119" s="389" t="s">
        <v>7164</v>
      </c>
      <c r="C119" s="389" t="s">
        <v>7165</v>
      </c>
      <c r="D119" s="389" t="s">
        <v>3077</v>
      </c>
      <c r="E119" s="389" t="s">
        <v>7207</v>
      </c>
      <c r="F119" s="390">
        <v>20555.52</v>
      </c>
      <c r="G119" s="389" t="s">
        <v>2917</v>
      </c>
      <c r="H119" s="389" t="s">
        <v>7166</v>
      </c>
      <c r="I119" s="389" t="s">
        <v>3000</v>
      </c>
      <c r="J119" s="391">
        <v>45638</v>
      </c>
    </row>
    <row r="120" spans="1:10">
      <c r="A120" s="389" t="s">
        <v>7030</v>
      </c>
      <c r="B120" s="389" t="s">
        <v>7164</v>
      </c>
      <c r="C120" s="389" t="s">
        <v>7165</v>
      </c>
      <c r="D120" s="389" t="s">
        <v>3077</v>
      </c>
      <c r="E120" s="389" t="s">
        <v>7207</v>
      </c>
      <c r="F120" s="390">
        <v>18420.259999999998</v>
      </c>
      <c r="G120" s="389" t="s">
        <v>2917</v>
      </c>
      <c r="H120" s="389" t="s">
        <v>7167</v>
      </c>
      <c r="I120" s="389" t="s">
        <v>3000</v>
      </c>
      <c r="J120" s="391">
        <v>45638</v>
      </c>
    </row>
    <row r="121" spans="1:10">
      <c r="A121" s="389" t="s">
        <v>7030</v>
      </c>
      <c r="B121" s="389" t="s">
        <v>7164</v>
      </c>
      <c r="C121" s="389" t="s">
        <v>7165</v>
      </c>
      <c r="D121" s="389" t="s">
        <v>3077</v>
      </c>
      <c r="E121" s="389" t="s">
        <v>7207</v>
      </c>
      <c r="F121" s="390">
        <v>25151.68</v>
      </c>
      <c r="G121" s="389" t="s">
        <v>2917</v>
      </c>
      <c r="H121" s="389" t="s">
        <v>7168</v>
      </c>
      <c r="I121" s="389" t="s">
        <v>3000</v>
      </c>
      <c r="J121" s="391">
        <v>45638</v>
      </c>
    </row>
    <row r="122" spans="1:10">
      <c r="A122" s="389" t="s">
        <v>7030</v>
      </c>
      <c r="B122" s="389" t="s">
        <v>7164</v>
      </c>
      <c r="C122" s="389" t="s">
        <v>7165</v>
      </c>
      <c r="D122" s="389" t="s">
        <v>3077</v>
      </c>
      <c r="E122" s="389" t="s">
        <v>7207</v>
      </c>
      <c r="F122" s="390">
        <v>6522.82</v>
      </c>
      <c r="G122" s="389" t="s">
        <v>2917</v>
      </c>
      <c r="H122" s="389" t="s">
        <v>7169</v>
      </c>
      <c r="I122" s="389" t="s">
        <v>3000</v>
      </c>
      <c r="J122" s="391">
        <v>45638</v>
      </c>
    </row>
    <row r="123" spans="1:10">
      <c r="A123" s="389" t="s">
        <v>7030</v>
      </c>
      <c r="B123" s="389" t="s">
        <v>7164</v>
      </c>
      <c r="C123" s="389" t="s">
        <v>7165</v>
      </c>
      <c r="D123" s="389" t="s">
        <v>3077</v>
      </c>
      <c r="E123" s="389" t="s">
        <v>7207</v>
      </c>
      <c r="F123" s="390">
        <v>5695.16</v>
      </c>
      <c r="G123" s="389" t="s">
        <v>2917</v>
      </c>
      <c r="H123" s="389" t="s">
        <v>7170</v>
      </c>
      <c r="I123" s="389" t="s">
        <v>3000</v>
      </c>
      <c r="J123" s="391">
        <v>45638</v>
      </c>
    </row>
    <row r="124" spans="1:10">
      <c r="A124" s="389" t="s">
        <v>7030</v>
      </c>
      <c r="B124" s="389" t="s">
        <v>7164</v>
      </c>
      <c r="C124" s="389" t="s">
        <v>7165</v>
      </c>
      <c r="D124" s="389" t="s">
        <v>3077</v>
      </c>
      <c r="E124" s="389" t="s">
        <v>7207</v>
      </c>
      <c r="F124" s="390">
        <v>1282.18</v>
      </c>
      <c r="G124" s="389" t="s">
        <v>2917</v>
      </c>
      <c r="H124" s="389" t="s">
        <v>7171</v>
      </c>
      <c r="I124" s="389" t="s">
        <v>3000</v>
      </c>
      <c r="J124" s="391">
        <v>45638</v>
      </c>
    </row>
    <row r="125" spans="1:10">
      <c r="A125" s="389" t="s">
        <v>7030</v>
      </c>
      <c r="B125" s="389" t="s">
        <v>7164</v>
      </c>
      <c r="C125" s="389" t="s">
        <v>7165</v>
      </c>
      <c r="D125" s="389" t="s">
        <v>3077</v>
      </c>
      <c r="E125" s="389" t="s">
        <v>7207</v>
      </c>
      <c r="F125" s="390">
        <v>76893.25</v>
      </c>
      <c r="G125" s="389" t="s">
        <v>2917</v>
      </c>
      <c r="H125" s="389" t="s">
        <v>7172</v>
      </c>
      <c r="I125" s="389" t="s">
        <v>3000</v>
      </c>
      <c r="J125" s="391">
        <v>45638</v>
      </c>
    </row>
    <row r="126" spans="1:10">
      <c r="A126" s="389" t="s">
        <v>7030</v>
      </c>
      <c r="B126" s="389" t="s">
        <v>7164</v>
      </c>
      <c r="C126" s="389" t="s">
        <v>7165</v>
      </c>
      <c r="D126" s="389" t="s">
        <v>3077</v>
      </c>
      <c r="E126" s="389" t="s">
        <v>7207</v>
      </c>
      <c r="F126" s="390">
        <v>4540.1899999999996</v>
      </c>
      <c r="G126" s="389" t="s">
        <v>2917</v>
      </c>
      <c r="H126" s="389" t="s">
        <v>7173</v>
      </c>
      <c r="I126" s="389" t="s">
        <v>3000</v>
      </c>
      <c r="J126" s="391">
        <v>45638</v>
      </c>
    </row>
    <row r="127" spans="1:10">
      <c r="A127" s="389" t="s">
        <v>7030</v>
      </c>
      <c r="B127" s="389" t="s">
        <v>7164</v>
      </c>
      <c r="C127" s="389" t="s">
        <v>7165</v>
      </c>
      <c r="D127" s="389" t="s">
        <v>3077</v>
      </c>
      <c r="E127" s="389" t="s">
        <v>7207</v>
      </c>
      <c r="F127" s="390">
        <v>24195.13</v>
      </c>
      <c r="G127" s="389" t="s">
        <v>2917</v>
      </c>
      <c r="H127" s="389" t="s">
        <v>3168</v>
      </c>
      <c r="I127" s="389" t="s">
        <v>3000</v>
      </c>
      <c r="J127" s="391">
        <v>45638</v>
      </c>
    </row>
    <row r="128" spans="1:10">
      <c r="A128" s="389" t="s">
        <v>7030</v>
      </c>
      <c r="B128" s="389" t="s">
        <v>7164</v>
      </c>
      <c r="C128" s="389" t="s">
        <v>7165</v>
      </c>
      <c r="D128" s="389" t="s">
        <v>3077</v>
      </c>
      <c r="E128" s="389" t="s">
        <v>7207</v>
      </c>
      <c r="F128" s="390">
        <v>678.4</v>
      </c>
      <c r="G128" s="389" t="s">
        <v>2917</v>
      </c>
      <c r="H128" s="389" t="s">
        <v>8770</v>
      </c>
      <c r="I128" s="389" t="s">
        <v>3000</v>
      </c>
      <c r="J128" s="391">
        <v>45638</v>
      </c>
    </row>
    <row r="129" spans="1:10">
      <c r="A129" s="389" t="s">
        <v>6815</v>
      </c>
      <c r="B129" s="389" t="s">
        <v>6945</v>
      </c>
      <c r="C129" s="389" t="s">
        <v>6948</v>
      </c>
      <c r="D129" s="389" t="s">
        <v>3077</v>
      </c>
      <c r="E129" s="389" t="s">
        <v>7208</v>
      </c>
      <c r="F129" s="390">
        <v>9100</v>
      </c>
      <c r="G129" s="389" t="s">
        <v>2917</v>
      </c>
      <c r="H129" s="389" t="s">
        <v>6949</v>
      </c>
      <c r="I129" s="389" t="s">
        <v>7209</v>
      </c>
      <c r="J129" s="391">
        <v>45642</v>
      </c>
    </row>
    <row r="130" spans="1:10">
      <c r="A130" s="389" t="s">
        <v>7030</v>
      </c>
      <c r="B130" s="389" t="s">
        <v>7035</v>
      </c>
      <c r="C130" s="389" t="s">
        <v>7211</v>
      </c>
      <c r="D130" s="389" t="s">
        <v>3077</v>
      </c>
      <c r="E130" s="389" t="s">
        <v>7214</v>
      </c>
      <c r="F130" s="390">
        <v>39800</v>
      </c>
      <c r="G130" s="389" t="s">
        <v>2917</v>
      </c>
      <c r="H130" s="389" t="s">
        <v>7212</v>
      </c>
      <c r="I130" s="389" t="s">
        <v>2981</v>
      </c>
      <c r="J130" s="391">
        <v>45645</v>
      </c>
    </row>
    <row r="131" spans="1:10">
      <c r="A131" s="389" t="s">
        <v>7030</v>
      </c>
      <c r="B131" s="389" t="s">
        <v>7153</v>
      </c>
      <c r="C131" s="389" t="s">
        <v>7154</v>
      </c>
      <c r="D131" s="389" t="s">
        <v>3077</v>
      </c>
      <c r="E131" s="389" t="s">
        <v>7231</v>
      </c>
      <c r="F131" s="390">
        <v>119915.68</v>
      </c>
      <c r="G131" s="389" t="s">
        <v>2917</v>
      </c>
      <c r="H131" s="389" t="s">
        <v>3065</v>
      </c>
      <c r="I131" s="389" t="s">
        <v>3000</v>
      </c>
      <c r="J131" s="391">
        <v>45646</v>
      </c>
    </row>
    <row r="132" spans="1:10">
      <c r="A132" s="389" t="s">
        <v>7030</v>
      </c>
      <c r="B132" s="389" t="s">
        <v>7153</v>
      </c>
      <c r="C132" s="389" t="s">
        <v>7155</v>
      </c>
      <c r="D132" s="389" t="s">
        <v>3077</v>
      </c>
      <c r="E132" s="389" t="s">
        <v>7231</v>
      </c>
      <c r="F132" s="390">
        <v>11488.7</v>
      </c>
      <c r="G132" s="389" t="s">
        <v>2917</v>
      </c>
      <c r="H132" s="389" t="s">
        <v>3066</v>
      </c>
      <c r="I132" s="389" t="s">
        <v>3000</v>
      </c>
      <c r="J132" s="391">
        <v>45646</v>
      </c>
    </row>
    <row r="133" spans="1:10">
      <c r="A133" s="389" t="s">
        <v>7030</v>
      </c>
      <c r="B133" s="389" t="s">
        <v>7153</v>
      </c>
      <c r="C133" s="389" t="s">
        <v>7155</v>
      </c>
      <c r="D133" s="389" t="s">
        <v>3077</v>
      </c>
      <c r="E133" s="389" t="s">
        <v>7231</v>
      </c>
      <c r="F133" s="390">
        <v>6161.57</v>
      </c>
      <c r="G133" s="389" t="s">
        <v>2917</v>
      </c>
      <c r="H133" s="389" t="s">
        <v>3067</v>
      </c>
      <c r="I133" s="389" t="s">
        <v>3000</v>
      </c>
      <c r="J133" s="391">
        <v>45646</v>
      </c>
    </row>
    <row r="134" spans="1:10">
      <c r="A134" s="389" t="s">
        <v>7030</v>
      </c>
      <c r="B134" s="389" t="s">
        <v>7153</v>
      </c>
      <c r="C134" s="389" t="s">
        <v>7155</v>
      </c>
      <c r="D134" s="389" t="s">
        <v>3077</v>
      </c>
      <c r="E134" s="389" t="s">
        <v>7231</v>
      </c>
      <c r="F134" s="390">
        <v>10572.87</v>
      </c>
      <c r="G134" s="389" t="s">
        <v>2917</v>
      </c>
      <c r="H134" s="389" t="s">
        <v>3068</v>
      </c>
      <c r="I134" s="389" t="s">
        <v>3000</v>
      </c>
      <c r="J134" s="391">
        <v>45646</v>
      </c>
    </row>
    <row r="135" spans="1:10">
      <c r="A135" s="389" t="s">
        <v>7030</v>
      </c>
      <c r="B135" s="389" t="s">
        <v>7153</v>
      </c>
      <c r="C135" s="389" t="s">
        <v>7154</v>
      </c>
      <c r="D135" s="389" t="s">
        <v>3077</v>
      </c>
      <c r="E135" s="389" t="s">
        <v>7231</v>
      </c>
      <c r="F135" s="390">
        <v>120265.06</v>
      </c>
      <c r="G135" s="389" t="s">
        <v>2917</v>
      </c>
      <c r="H135" s="389" t="s">
        <v>7156</v>
      </c>
      <c r="I135" s="389" t="s">
        <v>3000</v>
      </c>
      <c r="J135" s="391">
        <v>45646</v>
      </c>
    </row>
    <row r="136" spans="1:10">
      <c r="A136" s="389" t="s">
        <v>7030</v>
      </c>
      <c r="B136" s="389" t="s">
        <v>7153</v>
      </c>
      <c r="C136" s="389" t="s">
        <v>7155</v>
      </c>
      <c r="D136" s="389" t="s">
        <v>3077</v>
      </c>
      <c r="E136" s="389" t="s">
        <v>7231</v>
      </c>
      <c r="F136" s="390">
        <v>7659.14</v>
      </c>
      <c r="G136" s="389" t="s">
        <v>2917</v>
      </c>
      <c r="H136" s="389" t="s">
        <v>3153</v>
      </c>
      <c r="I136" s="389" t="s">
        <v>3000</v>
      </c>
      <c r="J136" s="391">
        <v>45646</v>
      </c>
    </row>
    <row r="137" spans="1:10">
      <c r="A137" s="389" t="s">
        <v>7030</v>
      </c>
      <c r="B137" s="389" t="s">
        <v>7153</v>
      </c>
      <c r="C137" s="389" t="s">
        <v>7155</v>
      </c>
      <c r="D137" s="389" t="s">
        <v>3077</v>
      </c>
      <c r="E137" s="389" t="s">
        <v>7231</v>
      </c>
      <c r="F137" s="390">
        <v>4107.71</v>
      </c>
      <c r="G137" s="389" t="s">
        <v>2917</v>
      </c>
      <c r="H137" s="389" t="s">
        <v>3154</v>
      </c>
      <c r="I137" s="389" t="s">
        <v>3000</v>
      </c>
      <c r="J137" s="391">
        <v>45646</v>
      </c>
    </row>
    <row r="138" spans="1:10">
      <c r="A138" s="389" t="s">
        <v>7030</v>
      </c>
      <c r="B138" s="389" t="s">
        <v>7153</v>
      </c>
      <c r="C138" s="389" t="s">
        <v>7155</v>
      </c>
      <c r="D138" s="389" t="s">
        <v>3077</v>
      </c>
      <c r="E138" s="389" t="s">
        <v>7231</v>
      </c>
      <c r="F138" s="390">
        <v>7048.58</v>
      </c>
      <c r="G138" s="389" t="s">
        <v>2917</v>
      </c>
      <c r="H138" s="389" t="s">
        <v>3155</v>
      </c>
      <c r="I138" s="389" t="s">
        <v>3000</v>
      </c>
      <c r="J138" s="391">
        <v>45646</v>
      </c>
    </row>
    <row r="139" spans="1:10">
      <c r="A139" s="389" t="s">
        <v>7030</v>
      </c>
      <c r="B139" s="389" t="s">
        <v>7153</v>
      </c>
      <c r="C139" s="389" t="s">
        <v>7154</v>
      </c>
      <c r="D139" s="389" t="s">
        <v>3077</v>
      </c>
      <c r="E139" s="389" t="s">
        <v>7231</v>
      </c>
      <c r="F139" s="390">
        <v>128466.91</v>
      </c>
      <c r="G139" s="389" t="s">
        <v>2917</v>
      </c>
      <c r="H139" s="389" t="s">
        <v>8745</v>
      </c>
      <c r="I139" s="389" t="s">
        <v>3000</v>
      </c>
      <c r="J139" s="391">
        <v>45646</v>
      </c>
    </row>
    <row r="140" spans="1:10">
      <c r="A140" s="389" t="s">
        <v>7030</v>
      </c>
      <c r="B140" s="389" t="s">
        <v>7153</v>
      </c>
      <c r="C140" s="389" t="s">
        <v>7155</v>
      </c>
      <c r="D140" s="389" t="s">
        <v>3077</v>
      </c>
      <c r="E140" s="389" t="s">
        <v>7231</v>
      </c>
      <c r="F140" s="390">
        <v>8269.69</v>
      </c>
      <c r="G140" s="389" t="s">
        <v>2917</v>
      </c>
      <c r="H140" s="389" t="s">
        <v>7157</v>
      </c>
      <c r="I140" s="389" t="s">
        <v>3000</v>
      </c>
      <c r="J140" s="391">
        <v>45646</v>
      </c>
    </row>
    <row r="141" spans="1:10">
      <c r="A141" s="389" t="s">
        <v>7030</v>
      </c>
      <c r="B141" s="389" t="s">
        <v>7153</v>
      </c>
      <c r="C141" s="389" t="s">
        <v>7155</v>
      </c>
      <c r="D141" s="389" t="s">
        <v>3077</v>
      </c>
      <c r="E141" s="389" t="s">
        <v>7231</v>
      </c>
      <c r="F141" s="390">
        <v>4107.71</v>
      </c>
      <c r="G141" s="389" t="s">
        <v>2917</v>
      </c>
      <c r="H141" s="389" t="s">
        <v>7158</v>
      </c>
      <c r="I141" s="389" t="s">
        <v>3000</v>
      </c>
      <c r="J141" s="391">
        <v>45646</v>
      </c>
    </row>
    <row r="142" spans="1:10">
      <c r="A142" s="389" t="s">
        <v>7030</v>
      </c>
      <c r="B142" s="389" t="s">
        <v>7153</v>
      </c>
      <c r="C142" s="389" t="s">
        <v>7155</v>
      </c>
      <c r="D142" s="389" t="s">
        <v>3077</v>
      </c>
      <c r="E142" s="389" t="s">
        <v>7231</v>
      </c>
      <c r="F142" s="390">
        <v>7048.58</v>
      </c>
      <c r="G142" s="389" t="s">
        <v>2917</v>
      </c>
      <c r="H142" s="389" t="s">
        <v>7159</v>
      </c>
      <c r="I142" s="389" t="s">
        <v>3000</v>
      </c>
      <c r="J142" s="391">
        <v>45646</v>
      </c>
    </row>
    <row r="143" spans="1:10">
      <c r="A143" s="389" t="s">
        <v>7030</v>
      </c>
      <c r="B143" s="389" t="s">
        <v>7153</v>
      </c>
      <c r="C143" s="389" t="s">
        <v>7160</v>
      </c>
      <c r="D143" s="389" t="s">
        <v>3077</v>
      </c>
      <c r="E143" s="389" t="s">
        <v>7231</v>
      </c>
      <c r="F143" s="390">
        <v>36070.19</v>
      </c>
      <c r="G143" s="389" t="s">
        <v>2917</v>
      </c>
      <c r="H143" s="389" t="s">
        <v>3007</v>
      </c>
      <c r="I143" s="389" t="s">
        <v>3000</v>
      </c>
      <c r="J143" s="391">
        <v>45646</v>
      </c>
    </row>
    <row r="144" spans="1:10">
      <c r="A144" s="389" t="s">
        <v>7030</v>
      </c>
      <c r="B144" s="389" t="s">
        <v>7153</v>
      </c>
      <c r="C144" s="389" t="s">
        <v>7161</v>
      </c>
      <c r="D144" s="389" t="s">
        <v>3077</v>
      </c>
      <c r="E144" s="389" t="s">
        <v>7231</v>
      </c>
      <c r="F144" s="390">
        <v>32318.98</v>
      </c>
      <c r="G144" s="389" t="s">
        <v>2917</v>
      </c>
      <c r="H144" s="389" t="s">
        <v>8746</v>
      </c>
      <c r="I144" s="389" t="s">
        <v>3000</v>
      </c>
      <c r="J144" s="391">
        <v>45646</v>
      </c>
    </row>
    <row r="145" spans="1:10">
      <c r="A145" s="389" t="s">
        <v>7030</v>
      </c>
      <c r="B145" s="389" t="s">
        <v>7153</v>
      </c>
      <c r="C145" s="389" t="s">
        <v>7161</v>
      </c>
      <c r="D145" s="389" t="s">
        <v>3077</v>
      </c>
      <c r="E145" s="389" t="s">
        <v>7231</v>
      </c>
      <c r="F145" s="390">
        <v>873.44</v>
      </c>
      <c r="G145" s="389" t="s">
        <v>2917</v>
      </c>
      <c r="H145" s="389" t="s">
        <v>3069</v>
      </c>
      <c r="I145" s="389" t="s">
        <v>3000</v>
      </c>
      <c r="J145" s="391">
        <v>45646</v>
      </c>
    </row>
    <row r="146" spans="1:10">
      <c r="A146" s="389" t="s">
        <v>7030</v>
      </c>
      <c r="B146" s="389" t="s">
        <v>7153</v>
      </c>
      <c r="C146" s="389" t="s">
        <v>7161</v>
      </c>
      <c r="D146" s="389" t="s">
        <v>3077</v>
      </c>
      <c r="E146" s="389" t="s">
        <v>7231</v>
      </c>
      <c r="F146" s="390">
        <v>686.88</v>
      </c>
      <c r="G146" s="389" t="s">
        <v>2917</v>
      </c>
      <c r="H146" s="389" t="s">
        <v>7162</v>
      </c>
      <c r="I146" s="389" t="s">
        <v>3000</v>
      </c>
      <c r="J146" s="391">
        <v>45646</v>
      </c>
    </row>
    <row r="147" spans="1:10">
      <c r="A147" s="389" t="s">
        <v>7030</v>
      </c>
      <c r="B147" s="389" t="s">
        <v>7153</v>
      </c>
      <c r="C147" s="389" t="s">
        <v>7161</v>
      </c>
      <c r="D147" s="389" t="s">
        <v>3077</v>
      </c>
      <c r="E147" s="389" t="s">
        <v>7231</v>
      </c>
      <c r="F147" s="390">
        <v>20022.13</v>
      </c>
      <c r="G147" s="389" t="s">
        <v>2917</v>
      </c>
      <c r="H147" s="389" t="s">
        <v>7163</v>
      </c>
      <c r="I147" s="389" t="s">
        <v>3000</v>
      </c>
      <c r="J147" s="391">
        <v>45646</v>
      </c>
    </row>
    <row r="148" spans="1:10">
      <c r="A148" s="389" t="s">
        <v>2418</v>
      </c>
      <c r="B148" s="389" t="s">
        <v>3156</v>
      </c>
      <c r="C148" s="389" t="s">
        <v>3082</v>
      </c>
      <c r="D148" s="389" t="s">
        <v>3077</v>
      </c>
      <c r="E148" s="389" t="s">
        <v>7248</v>
      </c>
      <c r="F148" s="390">
        <v>25505</v>
      </c>
      <c r="G148" s="389" t="s">
        <v>2917</v>
      </c>
      <c r="H148" s="389" t="s">
        <v>7249</v>
      </c>
      <c r="I148" s="389" t="s">
        <v>2981</v>
      </c>
      <c r="J148" s="391">
        <v>45666</v>
      </c>
    </row>
    <row r="149" spans="1:10">
      <c r="A149" s="389" t="s">
        <v>2418</v>
      </c>
      <c r="B149" s="389" t="s">
        <v>3156</v>
      </c>
      <c r="C149" s="389" t="s">
        <v>3082</v>
      </c>
      <c r="D149" s="389" t="s">
        <v>3077</v>
      </c>
      <c r="E149" s="389" t="s">
        <v>7248</v>
      </c>
      <c r="F149" s="390">
        <v>499</v>
      </c>
      <c r="G149" s="389" t="s">
        <v>2917</v>
      </c>
      <c r="H149" s="389" t="s">
        <v>7250</v>
      </c>
      <c r="I149" s="389" t="s">
        <v>2981</v>
      </c>
      <c r="J149" s="391">
        <v>45666</v>
      </c>
    </row>
    <row r="150" spans="1:10">
      <c r="A150" s="389" t="s">
        <v>7030</v>
      </c>
      <c r="B150" s="389" t="s">
        <v>7251</v>
      </c>
      <c r="C150" s="389" t="s">
        <v>7252</v>
      </c>
      <c r="D150" s="389" t="s">
        <v>3077</v>
      </c>
      <c r="E150" s="389" t="s">
        <v>7420</v>
      </c>
      <c r="F150" s="390">
        <v>19633.13</v>
      </c>
      <c r="G150" s="389" t="s">
        <v>2917</v>
      </c>
      <c r="H150" s="389" t="s">
        <v>7254</v>
      </c>
      <c r="I150" s="389" t="s">
        <v>3000</v>
      </c>
      <c r="J150" s="391">
        <v>45678</v>
      </c>
    </row>
    <row r="151" spans="1:10">
      <c r="A151" s="389" t="s">
        <v>7030</v>
      </c>
      <c r="B151" s="389" t="s">
        <v>7251</v>
      </c>
      <c r="C151" s="389" t="s">
        <v>7252</v>
      </c>
      <c r="D151" s="389" t="s">
        <v>3077</v>
      </c>
      <c r="E151" s="389" t="s">
        <v>7420</v>
      </c>
      <c r="F151" s="390">
        <v>3378.21</v>
      </c>
      <c r="G151" s="389" t="s">
        <v>2917</v>
      </c>
      <c r="H151" s="389" t="s">
        <v>3168</v>
      </c>
      <c r="I151" s="389" t="s">
        <v>3000</v>
      </c>
      <c r="J151" s="391">
        <v>45678</v>
      </c>
    </row>
    <row r="152" spans="1:10">
      <c r="A152" s="389" t="s">
        <v>7030</v>
      </c>
      <c r="B152" s="389" t="s">
        <v>7251</v>
      </c>
      <c r="C152" s="389" t="s">
        <v>7252</v>
      </c>
      <c r="D152" s="389" t="s">
        <v>3077</v>
      </c>
      <c r="E152" s="389" t="s">
        <v>7420</v>
      </c>
      <c r="F152" s="390">
        <v>103.95</v>
      </c>
      <c r="G152" s="389" t="s">
        <v>2917</v>
      </c>
      <c r="H152" s="389" t="s">
        <v>7255</v>
      </c>
      <c r="I152" s="389" t="s">
        <v>3000</v>
      </c>
      <c r="J152" s="391">
        <v>45678</v>
      </c>
    </row>
    <row r="153" spans="1:10">
      <c r="A153" s="389" t="s">
        <v>810</v>
      </c>
      <c r="B153" s="389" t="s">
        <v>3083</v>
      </c>
      <c r="C153" s="389" t="s">
        <v>3330</v>
      </c>
      <c r="D153" s="389" t="s">
        <v>3077</v>
      </c>
      <c r="E153" s="389" t="s">
        <v>8771</v>
      </c>
      <c r="F153" s="390">
        <v>0.64</v>
      </c>
      <c r="G153" s="389" t="s">
        <v>2917</v>
      </c>
      <c r="H153" s="389" t="s">
        <v>8772</v>
      </c>
      <c r="I153" s="389" t="s">
        <v>3016</v>
      </c>
      <c r="J153" s="391">
        <v>45702</v>
      </c>
    </row>
    <row r="154" spans="1:10">
      <c r="A154" s="389" t="s">
        <v>7030</v>
      </c>
      <c r="B154" s="389" t="s">
        <v>8773</v>
      </c>
      <c r="C154" s="389" t="s">
        <v>8774</v>
      </c>
      <c r="D154" s="389" t="s">
        <v>3077</v>
      </c>
      <c r="E154" s="389" t="s">
        <v>8775</v>
      </c>
      <c r="F154" s="390">
        <v>25018.45</v>
      </c>
      <c r="G154" s="389" t="s">
        <v>2917</v>
      </c>
      <c r="H154" s="389" t="s">
        <v>8776</v>
      </c>
      <c r="I154" s="389" t="s">
        <v>8777</v>
      </c>
      <c r="J154" s="391">
        <v>45702</v>
      </c>
    </row>
    <row r="155" spans="1:10">
      <c r="A155" s="389" t="s">
        <v>810</v>
      </c>
      <c r="B155" s="389" t="s">
        <v>3083</v>
      </c>
      <c r="C155" s="389" t="s">
        <v>3330</v>
      </c>
      <c r="D155" s="389" t="s">
        <v>3077</v>
      </c>
      <c r="E155" s="389" t="s">
        <v>8781</v>
      </c>
      <c r="F155" s="390">
        <v>21151</v>
      </c>
      <c r="G155" s="389" t="s">
        <v>2917</v>
      </c>
      <c r="H155" s="389" t="s">
        <v>8782</v>
      </c>
      <c r="I155" s="389" t="s">
        <v>3041</v>
      </c>
      <c r="J155" s="391">
        <v>45702</v>
      </c>
    </row>
    <row r="156" spans="1:10">
      <c r="A156" s="389" t="s">
        <v>810</v>
      </c>
      <c r="B156" s="389" t="s">
        <v>3083</v>
      </c>
      <c r="C156" s="389" t="s">
        <v>3330</v>
      </c>
      <c r="D156" s="389" t="s">
        <v>3077</v>
      </c>
      <c r="E156" s="389" t="s">
        <v>8783</v>
      </c>
      <c r="F156" s="390">
        <v>3888</v>
      </c>
      <c r="G156" s="389" t="s">
        <v>2917</v>
      </c>
      <c r="H156" s="389" t="s">
        <v>8784</v>
      </c>
      <c r="I156" s="389" t="s">
        <v>2981</v>
      </c>
      <c r="J156" s="391">
        <v>45702</v>
      </c>
    </row>
    <row r="157" spans="1:10">
      <c r="A157" s="389" t="s">
        <v>2724</v>
      </c>
      <c r="B157" s="389" t="s">
        <v>3181</v>
      </c>
      <c r="C157" s="389" t="s">
        <v>3180</v>
      </c>
      <c r="D157" s="389" t="s">
        <v>3077</v>
      </c>
      <c r="E157" s="389" t="s">
        <v>8785</v>
      </c>
      <c r="F157" s="390">
        <v>27094.41</v>
      </c>
      <c r="G157" s="389" t="s">
        <v>2917</v>
      </c>
      <c r="H157" s="389" t="s">
        <v>8786</v>
      </c>
      <c r="I157" s="389" t="s">
        <v>3000</v>
      </c>
      <c r="J157" s="391">
        <v>45709</v>
      </c>
    </row>
    <row r="158" spans="1:10">
      <c r="A158" s="389" t="s">
        <v>2724</v>
      </c>
      <c r="B158" s="389" t="s">
        <v>3181</v>
      </c>
      <c r="C158" s="389" t="s">
        <v>3180</v>
      </c>
      <c r="D158" s="389" t="s">
        <v>3077</v>
      </c>
      <c r="E158" s="389" t="s">
        <v>8785</v>
      </c>
      <c r="F158" s="390">
        <v>1302.82</v>
      </c>
      <c r="G158" s="389" t="s">
        <v>2917</v>
      </c>
      <c r="H158" s="389" t="s">
        <v>8787</v>
      </c>
      <c r="I158" s="389" t="s">
        <v>3000</v>
      </c>
      <c r="J158" s="391">
        <v>45709</v>
      </c>
    </row>
    <row r="159" spans="1:10">
      <c r="A159" s="389" t="s">
        <v>7030</v>
      </c>
      <c r="B159" s="389" t="s">
        <v>8358</v>
      </c>
      <c r="C159" s="389" t="s">
        <v>8359</v>
      </c>
      <c r="D159" s="389" t="s">
        <v>3077</v>
      </c>
      <c r="E159" s="389" t="s">
        <v>9062</v>
      </c>
      <c r="F159" s="390">
        <v>79100</v>
      </c>
      <c r="G159" s="389" t="s">
        <v>2917</v>
      </c>
      <c r="H159" s="389" t="s">
        <v>8360</v>
      </c>
      <c r="I159" s="389" t="s">
        <v>8361</v>
      </c>
      <c r="J159" s="391">
        <v>45713</v>
      </c>
    </row>
    <row r="160" spans="1:10">
      <c r="A160" s="389" t="s">
        <v>7030</v>
      </c>
      <c r="B160" s="389" t="s">
        <v>9570</v>
      </c>
      <c r="C160" s="389" t="s">
        <v>9571</v>
      </c>
      <c r="D160" s="389" t="s">
        <v>3077</v>
      </c>
      <c r="E160" s="389" t="s">
        <v>10804</v>
      </c>
      <c r="F160" s="390">
        <v>279510.18</v>
      </c>
      <c r="G160" s="389" t="s">
        <v>2917</v>
      </c>
      <c r="H160" s="389" t="s">
        <v>9572</v>
      </c>
      <c r="I160" s="389" t="s">
        <v>9573</v>
      </c>
      <c r="J160" s="391">
        <v>45727</v>
      </c>
    </row>
    <row r="161" spans="1:10">
      <c r="A161" s="389" t="s">
        <v>2418</v>
      </c>
      <c r="B161" s="389" t="s">
        <v>3156</v>
      </c>
      <c r="C161" s="389" t="s">
        <v>3082</v>
      </c>
      <c r="D161" s="389" t="s">
        <v>3077</v>
      </c>
      <c r="E161" s="389" t="s">
        <v>10855</v>
      </c>
      <c r="F161" s="390">
        <v>34982.699999999997</v>
      </c>
      <c r="G161" s="389" t="s">
        <v>2917</v>
      </c>
      <c r="H161" s="389" t="s">
        <v>3037</v>
      </c>
      <c r="I161" s="389" t="s">
        <v>2981</v>
      </c>
      <c r="J161" s="391">
        <v>45728</v>
      </c>
    </row>
    <row r="162" spans="1:10">
      <c r="A162" s="389" t="s">
        <v>2418</v>
      </c>
      <c r="B162" s="389" t="s">
        <v>11203</v>
      </c>
      <c r="C162" s="389" t="s">
        <v>8774</v>
      </c>
      <c r="D162" s="389" t="s">
        <v>3077</v>
      </c>
      <c r="E162" s="389" t="s">
        <v>11204</v>
      </c>
      <c r="F162" s="390">
        <v>15011.07</v>
      </c>
      <c r="G162" s="389" t="s">
        <v>2917</v>
      </c>
      <c r="H162" s="389" t="s">
        <v>11205</v>
      </c>
      <c r="I162" s="389" t="s">
        <v>8777</v>
      </c>
      <c r="J162" s="391">
        <v>45737</v>
      </c>
    </row>
    <row r="163" spans="1:10">
      <c r="A163" s="389" t="s">
        <v>7030</v>
      </c>
      <c r="B163" s="389" t="s">
        <v>7035</v>
      </c>
      <c r="C163" s="389" t="s">
        <v>3178</v>
      </c>
      <c r="D163" s="389" t="s">
        <v>3077</v>
      </c>
      <c r="E163" s="389" t="s">
        <v>15825</v>
      </c>
      <c r="F163" s="390">
        <v>6003.75</v>
      </c>
      <c r="G163" s="389" t="s">
        <v>2917</v>
      </c>
      <c r="H163" s="389" t="s">
        <v>15826</v>
      </c>
      <c r="I163" s="389" t="s">
        <v>15827</v>
      </c>
      <c r="J163" s="391">
        <v>45761</v>
      </c>
    </row>
    <row r="164" spans="1:10">
      <c r="A164" s="389" t="s">
        <v>2418</v>
      </c>
      <c r="B164" s="389" t="s">
        <v>3156</v>
      </c>
      <c r="C164" s="389" t="s">
        <v>3137</v>
      </c>
      <c r="D164" s="389" t="s">
        <v>3077</v>
      </c>
      <c r="E164" s="389" t="s">
        <v>17354</v>
      </c>
      <c r="F164" s="390">
        <v>20278.5</v>
      </c>
      <c r="G164" s="389" t="s">
        <v>2917</v>
      </c>
      <c r="H164" s="389" t="s">
        <v>17294</v>
      </c>
      <c r="I164" s="389" t="s">
        <v>2981</v>
      </c>
      <c r="J164" s="391">
        <v>45798</v>
      </c>
    </row>
    <row r="165" spans="1:10">
      <c r="A165" s="389" t="s">
        <v>2418</v>
      </c>
      <c r="B165" s="389" t="s">
        <v>3156</v>
      </c>
      <c r="C165" s="389" t="s">
        <v>3137</v>
      </c>
      <c r="D165" s="389" t="s">
        <v>3077</v>
      </c>
      <c r="E165" s="389" t="s">
        <v>17354</v>
      </c>
      <c r="F165" s="390">
        <v>100</v>
      </c>
      <c r="G165" s="389" t="s">
        <v>2917</v>
      </c>
      <c r="H165" s="389" t="s">
        <v>17295</v>
      </c>
      <c r="I165" s="389" t="s">
        <v>2981</v>
      </c>
      <c r="J165" s="391">
        <v>45798</v>
      </c>
    </row>
    <row r="166" spans="1:10">
      <c r="A166" s="389" t="s">
        <v>2237</v>
      </c>
      <c r="B166" s="389" t="s">
        <v>3115</v>
      </c>
      <c r="C166" s="389" t="s">
        <v>3797</v>
      </c>
      <c r="D166" s="389" t="s">
        <v>3077</v>
      </c>
      <c r="E166" s="389" t="s">
        <v>17815</v>
      </c>
      <c r="F166" s="390">
        <v>7221.54</v>
      </c>
      <c r="G166" s="389" t="s">
        <v>2917</v>
      </c>
      <c r="H166" s="389" t="s">
        <v>17803</v>
      </c>
      <c r="I166" s="389" t="s">
        <v>3119</v>
      </c>
      <c r="J166" s="391">
        <v>45806</v>
      </c>
    </row>
    <row r="167" spans="1:10">
      <c r="A167" s="389" t="s">
        <v>2418</v>
      </c>
      <c r="B167" s="389" t="s">
        <v>3141</v>
      </c>
      <c r="C167" s="389" t="s">
        <v>3328</v>
      </c>
      <c r="D167" s="389" t="s">
        <v>3077</v>
      </c>
      <c r="E167" s="389" t="s">
        <v>17835</v>
      </c>
      <c r="F167" s="390">
        <v>13750</v>
      </c>
      <c r="G167" s="389" t="s">
        <v>2917</v>
      </c>
      <c r="H167" s="389" t="s">
        <v>6960</v>
      </c>
      <c r="I167" s="389" t="s">
        <v>8286</v>
      </c>
      <c r="J167" s="391">
        <v>45807</v>
      </c>
    </row>
    <row r="168" spans="1:10">
      <c r="A168" s="389" t="s">
        <v>2418</v>
      </c>
      <c r="B168" s="389" t="s">
        <v>3141</v>
      </c>
      <c r="C168" s="389" t="s">
        <v>11855</v>
      </c>
      <c r="D168" s="389" t="s">
        <v>3077</v>
      </c>
      <c r="E168" s="389" t="s">
        <v>18795</v>
      </c>
      <c r="F168" s="390">
        <v>79450</v>
      </c>
      <c r="G168" s="389" t="s">
        <v>2917</v>
      </c>
      <c r="H168" s="389" t="s">
        <v>16917</v>
      </c>
      <c r="I168" s="389" t="s">
        <v>7209</v>
      </c>
      <c r="J168" s="391">
        <v>45819</v>
      </c>
    </row>
    <row r="169" spans="1:10">
      <c r="A169" s="389" t="s">
        <v>2418</v>
      </c>
      <c r="B169" s="389" t="s">
        <v>3141</v>
      </c>
      <c r="C169" s="389" t="s">
        <v>11855</v>
      </c>
      <c r="D169" s="389" t="s">
        <v>3077</v>
      </c>
      <c r="E169" s="389" t="s">
        <v>18795</v>
      </c>
      <c r="F169" s="390">
        <v>4500</v>
      </c>
      <c r="G169" s="389" t="s">
        <v>2917</v>
      </c>
      <c r="H169" s="389" t="s">
        <v>16918</v>
      </c>
      <c r="I169" s="389" t="s">
        <v>7209</v>
      </c>
      <c r="J169" s="391">
        <v>45819</v>
      </c>
    </row>
    <row r="170" spans="1:10">
      <c r="A170" s="389" t="s">
        <v>2418</v>
      </c>
      <c r="B170" s="389" t="s">
        <v>3141</v>
      </c>
      <c r="C170" s="389" t="s">
        <v>11855</v>
      </c>
      <c r="D170" s="389" t="s">
        <v>3077</v>
      </c>
      <c r="E170" s="389" t="s">
        <v>18795</v>
      </c>
      <c r="F170" s="390">
        <v>36300</v>
      </c>
      <c r="G170" s="389" t="s">
        <v>2917</v>
      </c>
      <c r="H170" s="389" t="s">
        <v>16919</v>
      </c>
      <c r="I170" s="389" t="s">
        <v>7209</v>
      </c>
      <c r="J170" s="391">
        <v>45819</v>
      </c>
    </row>
    <row r="171" spans="1:10">
      <c r="A171" s="389" t="s">
        <v>2418</v>
      </c>
      <c r="B171" s="389" t="s">
        <v>3141</v>
      </c>
      <c r="C171" s="389" t="s">
        <v>11855</v>
      </c>
      <c r="D171" s="389" t="s">
        <v>3077</v>
      </c>
      <c r="E171" s="389" t="s">
        <v>18795</v>
      </c>
      <c r="F171" s="390">
        <v>9100</v>
      </c>
      <c r="G171" s="389" t="s">
        <v>2917</v>
      </c>
      <c r="H171" s="389" t="s">
        <v>16920</v>
      </c>
      <c r="I171" s="389" t="s">
        <v>7209</v>
      </c>
      <c r="J171" s="391">
        <v>45819</v>
      </c>
    </row>
    <row r="172" spans="1:10">
      <c r="A172" s="389" t="s">
        <v>2418</v>
      </c>
      <c r="B172" s="389" t="s">
        <v>3141</v>
      </c>
      <c r="C172" s="389" t="s">
        <v>3328</v>
      </c>
      <c r="D172" s="389" t="s">
        <v>3077</v>
      </c>
      <c r="E172" s="389" t="s">
        <v>18796</v>
      </c>
      <c r="F172" s="390">
        <v>13870</v>
      </c>
      <c r="G172" s="389" t="s">
        <v>2917</v>
      </c>
      <c r="H172" s="389" t="s">
        <v>6960</v>
      </c>
      <c r="I172" s="389" t="s">
        <v>8286</v>
      </c>
      <c r="J172" s="391">
        <v>45824</v>
      </c>
    </row>
    <row r="173" spans="1:10">
      <c r="A173" s="389" t="s">
        <v>2418</v>
      </c>
      <c r="B173" s="389" t="s">
        <v>3141</v>
      </c>
      <c r="C173" s="389" t="s">
        <v>3328</v>
      </c>
      <c r="D173" s="389" t="s">
        <v>3077</v>
      </c>
      <c r="E173" s="389" t="s">
        <v>18886</v>
      </c>
      <c r="F173" s="390">
        <v>9450</v>
      </c>
      <c r="G173" s="389" t="s">
        <v>2917</v>
      </c>
      <c r="H173" s="389" t="s">
        <v>6960</v>
      </c>
      <c r="I173" s="389" t="s">
        <v>8286</v>
      </c>
      <c r="J173" s="391">
        <v>45829</v>
      </c>
    </row>
    <row r="174" spans="1:10">
      <c r="A174" s="389" t="s">
        <v>2418</v>
      </c>
      <c r="B174" s="389" t="s">
        <v>3141</v>
      </c>
      <c r="C174" s="389" t="s">
        <v>11855</v>
      </c>
      <c r="D174" s="389" t="s">
        <v>3077</v>
      </c>
      <c r="E174" s="389" t="s">
        <v>19215</v>
      </c>
      <c r="F174" s="390">
        <v>2173</v>
      </c>
      <c r="G174" s="389" t="s">
        <v>2917</v>
      </c>
      <c r="H174" s="389" t="s">
        <v>19216</v>
      </c>
      <c r="I174" s="389" t="s">
        <v>19217</v>
      </c>
      <c r="J174" s="391">
        <v>45835</v>
      </c>
    </row>
    <row r="175" spans="1:10">
      <c r="A175" s="389" t="s">
        <v>2418</v>
      </c>
      <c r="B175" s="389" t="s">
        <v>3141</v>
      </c>
      <c r="C175" s="389" t="s">
        <v>3207</v>
      </c>
      <c r="D175" s="389" t="s">
        <v>3077</v>
      </c>
      <c r="E175" s="389" t="s">
        <v>19218</v>
      </c>
      <c r="F175" s="390">
        <v>12531</v>
      </c>
      <c r="G175" s="389" t="s">
        <v>2917</v>
      </c>
      <c r="H175" s="389" t="s">
        <v>19216</v>
      </c>
      <c r="I175" s="389" t="s">
        <v>19217</v>
      </c>
      <c r="J175" s="391">
        <v>45835</v>
      </c>
    </row>
    <row r="176" spans="1:10">
      <c r="A176" s="389" t="s">
        <v>2418</v>
      </c>
      <c r="B176" s="389" t="s">
        <v>3141</v>
      </c>
      <c r="C176" s="389" t="s">
        <v>3328</v>
      </c>
      <c r="D176" s="389" t="s">
        <v>3077</v>
      </c>
      <c r="E176" s="389" t="s">
        <v>19833</v>
      </c>
      <c r="F176" s="390">
        <v>8965</v>
      </c>
      <c r="G176" s="389" t="s">
        <v>2917</v>
      </c>
      <c r="H176" s="389" t="s">
        <v>6960</v>
      </c>
      <c r="I176" s="389" t="s">
        <v>8286</v>
      </c>
      <c r="J176" s="391">
        <v>45839</v>
      </c>
    </row>
    <row r="177" spans="1:10">
      <c r="A177" s="389" t="s">
        <v>2418</v>
      </c>
      <c r="B177" s="389" t="s">
        <v>3141</v>
      </c>
      <c r="C177" s="389" t="s">
        <v>3328</v>
      </c>
      <c r="D177" s="389" t="s">
        <v>3077</v>
      </c>
      <c r="E177" s="389" t="s">
        <v>19834</v>
      </c>
      <c r="F177" s="390">
        <v>8325</v>
      </c>
      <c r="G177" s="389" t="s">
        <v>2917</v>
      </c>
      <c r="H177" s="389" t="s">
        <v>6960</v>
      </c>
      <c r="I177" s="389" t="s">
        <v>8286</v>
      </c>
      <c r="J177" s="391">
        <v>45839</v>
      </c>
    </row>
    <row r="178" spans="1:10">
      <c r="A178" s="389" t="s">
        <v>7030</v>
      </c>
      <c r="B178" s="389" t="s">
        <v>7164</v>
      </c>
      <c r="C178" s="389" t="s">
        <v>7165</v>
      </c>
      <c r="D178" s="389" t="s">
        <v>7253</v>
      </c>
      <c r="F178" s="390">
        <v>65209.23</v>
      </c>
      <c r="G178" s="389" t="s">
        <v>2917</v>
      </c>
      <c r="H178" s="389" t="s">
        <v>9569</v>
      </c>
      <c r="I178" s="389" t="s">
        <v>3000</v>
      </c>
      <c r="J178" s="391">
        <v>45623</v>
      </c>
    </row>
  </sheetData>
  <pageMargins left="0.511811024" right="0.511811024" top="0.78740157499999996" bottom="0.78740157499999996" header="0.31496062000000002" footer="0.31496062000000002"/>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3D4D-D2FF-4A0D-AEA4-36FC50E7F276}">
  <sheetPr codeName="Planilha28"/>
  <dimension ref="A1:S1404"/>
  <sheetViews>
    <sheetView workbookViewId="0">
      <selection activeCell="C2" sqref="C2:C1404"/>
    </sheetView>
  </sheetViews>
  <sheetFormatPr defaultColWidth="9.1796875" defaultRowHeight="14.5"/>
  <cols>
    <col min="1" max="1" width="18" style="389" bestFit="1" customWidth="1"/>
    <col min="2" max="2" width="15" style="389" bestFit="1" customWidth="1"/>
    <col min="3" max="3" width="13" style="389" bestFit="1" customWidth="1"/>
    <col min="4" max="4" width="8" style="389" bestFit="1" customWidth="1"/>
    <col min="5" max="5" width="14" style="389" bestFit="1" customWidth="1"/>
    <col min="6" max="6" width="21" style="389" bestFit="1" customWidth="1"/>
    <col min="7" max="7" width="14" style="389" bestFit="1" customWidth="1"/>
    <col min="8" max="8" width="17" style="389" bestFit="1" customWidth="1"/>
    <col min="9" max="9" width="16" style="389" bestFit="1" customWidth="1"/>
    <col min="10" max="10" width="17" style="389" bestFit="1" customWidth="1"/>
    <col min="11" max="11" width="12" style="389" bestFit="1" customWidth="1"/>
    <col min="12" max="12" width="20" style="389" bestFit="1" customWidth="1"/>
    <col min="13" max="13" width="11" style="389" bestFit="1" customWidth="1"/>
    <col min="14" max="14" width="52" style="389" bestFit="1" customWidth="1"/>
    <col min="15" max="15" width="42" style="389" bestFit="1" customWidth="1"/>
    <col min="16" max="16" width="21" style="389" bestFit="1" customWidth="1"/>
    <col min="17" max="17" width="32" style="389" bestFit="1" customWidth="1"/>
    <col min="18" max="18" width="11" style="389" bestFit="1" customWidth="1"/>
    <col min="19" max="19" width="39" style="389" bestFit="1" customWidth="1"/>
    <col min="20" max="16384" width="9.1796875" style="389"/>
  </cols>
  <sheetData>
    <row r="1" spans="1:19" ht="29">
      <c r="A1" s="387" t="s">
        <v>3340</v>
      </c>
      <c r="B1" s="387" t="s">
        <v>3331</v>
      </c>
      <c r="C1" s="387" t="s">
        <v>3225</v>
      </c>
      <c r="D1" s="387" t="s">
        <v>2959</v>
      </c>
      <c r="E1" s="387" t="s">
        <v>2956</v>
      </c>
      <c r="F1" s="387" t="s">
        <v>2960</v>
      </c>
      <c r="G1" s="387" t="s">
        <v>2961</v>
      </c>
      <c r="H1" s="387" t="s">
        <v>2962</v>
      </c>
      <c r="I1" s="387" t="s">
        <v>3217</v>
      </c>
      <c r="J1" s="387" t="s">
        <v>2964</v>
      </c>
      <c r="K1" s="388" t="s">
        <v>2965</v>
      </c>
      <c r="L1" s="387" t="s">
        <v>2966</v>
      </c>
      <c r="M1" s="388" t="s">
        <v>2967</v>
      </c>
      <c r="N1" s="387" t="s">
        <v>2968</v>
      </c>
      <c r="O1" s="387" t="s">
        <v>2969</v>
      </c>
      <c r="P1" s="387" t="s">
        <v>2970</v>
      </c>
      <c r="Q1" s="387" t="s">
        <v>2971</v>
      </c>
      <c r="R1" s="387" t="s">
        <v>2915</v>
      </c>
      <c r="S1" s="387" t="s">
        <v>3218</v>
      </c>
    </row>
    <row r="2" spans="1:19">
      <c r="A2" s="389" t="s">
        <v>1179</v>
      </c>
      <c r="B2" s="391" t="str">
        <f>IF(LEFT(A2,1)="E",A2,LEFT(A2,13))</f>
        <v>EEX-210001-00-25</v>
      </c>
      <c r="C2" s="389" t="str">
        <f>TEXT(E2,"mmmm")</f>
        <v>abril</v>
      </c>
      <c r="D2" s="389" t="s">
        <v>11332</v>
      </c>
      <c r="E2" s="391">
        <v>45764</v>
      </c>
      <c r="F2" s="389" t="s">
        <v>16001</v>
      </c>
      <c r="G2" s="389" t="s">
        <v>2916</v>
      </c>
      <c r="H2" s="389" t="s">
        <v>16002</v>
      </c>
      <c r="I2" s="398">
        <v>7650</v>
      </c>
      <c r="J2" s="390">
        <v>1328.42</v>
      </c>
      <c r="K2" s="389" t="s">
        <v>2917</v>
      </c>
      <c r="L2" s="390">
        <v>7650</v>
      </c>
      <c r="M2" s="389" t="s">
        <v>2918</v>
      </c>
      <c r="N2" s="389" t="s">
        <v>2939</v>
      </c>
      <c r="O2" s="389" t="s">
        <v>2939</v>
      </c>
      <c r="P2" s="389" t="s">
        <v>2924</v>
      </c>
      <c r="Q2" s="389" t="s">
        <v>3219</v>
      </c>
      <c r="R2" s="389" t="s">
        <v>2208</v>
      </c>
      <c r="S2" s="389" t="s">
        <v>2208</v>
      </c>
    </row>
    <row r="3" spans="1:19">
      <c r="A3" s="389" t="s">
        <v>1179</v>
      </c>
      <c r="B3" s="391" t="str">
        <f t="shared" ref="B3:B66" si="0">IF(LEFT(A3,1)="E",A3,LEFT(A3,13))</f>
        <v>EEX-210001-00-25</v>
      </c>
      <c r="C3" s="389" t="str">
        <f t="shared" ref="C3:C66" si="1">TEXT(E3,"mmmm")</f>
        <v>abril</v>
      </c>
      <c r="D3" s="389" t="s">
        <v>11332</v>
      </c>
      <c r="E3" s="391">
        <v>45771</v>
      </c>
      <c r="F3" s="389" t="s">
        <v>16001</v>
      </c>
      <c r="G3" s="389" t="s">
        <v>2916</v>
      </c>
      <c r="H3" s="389" t="s">
        <v>16003</v>
      </c>
      <c r="I3" s="398">
        <v>0</v>
      </c>
      <c r="J3" s="390">
        <v>-122.88</v>
      </c>
      <c r="K3" s="389" t="s">
        <v>2917</v>
      </c>
      <c r="L3" s="390">
        <v>-707.63</v>
      </c>
      <c r="M3" s="389" t="s">
        <v>2918</v>
      </c>
      <c r="N3" s="389" t="s">
        <v>16004</v>
      </c>
      <c r="O3" s="389" t="s">
        <v>2939</v>
      </c>
      <c r="P3" s="389" t="s">
        <v>2924</v>
      </c>
      <c r="Q3" s="389" t="s">
        <v>3219</v>
      </c>
      <c r="R3" s="389" t="s">
        <v>2208</v>
      </c>
      <c r="S3" s="389" t="s">
        <v>2208</v>
      </c>
    </row>
    <row r="4" spans="1:19">
      <c r="A4" s="389" t="s">
        <v>1642</v>
      </c>
      <c r="B4" s="391" t="str">
        <f t="shared" si="0"/>
        <v>EEX-220001-00-09</v>
      </c>
      <c r="C4" s="389" t="str">
        <f t="shared" si="1"/>
        <v>março</v>
      </c>
      <c r="D4" s="389" t="s">
        <v>9127</v>
      </c>
      <c r="E4" s="391">
        <v>45740</v>
      </c>
      <c r="F4" s="389" t="s">
        <v>11206</v>
      </c>
      <c r="G4" s="389" t="s">
        <v>2916</v>
      </c>
      <c r="H4" s="389" t="s">
        <v>11207</v>
      </c>
      <c r="I4" s="398">
        <v>17338</v>
      </c>
      <c r="J4" s="390">
        <v>2971.56</v>
      </c>
      <c r="K4" s="389" t="s">
        <v>2917</v>
      </c>
      <c r="L4" s="390">
        <v>17338</v>
      </c>
      <c r="M4" s="389" t="s">
        <v>2918</v>
      </c>
      <c r="N4" s="389" t="s">
        <v>8804</v>
      </c>
      <c r="O4" s="389" t="s">
        <v>8804</v>
      </c>
      <c r="P4" s="389" t="s">
        <v>2924</v>
      </c>
      <c r="Q4" s="389" t="s">
        <v>3219</v>
      </c>
      <c r="R4" s="389" t="s">
        <v>2208</v>
      </c>
      <c r="S4" s="389" t="s">
        <v>2208</v>
      </c>
    </row>
    <row r="5" spans="1:19">
      <c r="A5" s="389" t="s">
        <v>1642</v>
      </c>
      <c r="B5" s="391" t="str">
        <f t="shared" si="0"/>
        <v>EEX-220001-00-09</v>
      </c>
      <c r="C5" s="389" t="str">
        <f t="shared" si="1"/>
        <v>março</v>
      </c>
      <c r="D5" s="389" t="s">
        <v>9127</v>
      </c>
      <c r="E5" s="391">
        <v>45741</v>
      </c>
      <c r="F5" s="389" t="s">
        <v>11206</v>
      </c>
      <c r="G5" s="389" t="s">
        <v>2916</v>
      </c>
      <c r="H5" s="389" t="s">
        <v>11208</v>
      </c>
      <c r="I5" s="398">
        <v>0</v>
      </c>
      <c r="J5" s="390">
        <v>-274.87</v>
      </c>
      <c r="K5" s="389" t="s">
        <v>2917</v>
      </c>
      <c r="L5" s="390">
        <v>-1603.77</v>
      </c>
      <c r="M5" s="389" t="s">
        <v>2918</v>
      </c>
      <c r="N5" s="389" t="s">
        <v>11209</v>
      </c>
      <c r="O5" s="389" t="s">
        <v>8804</v>
      </c>
      <c r="P5" s="389" t="s">
        <v>2924</v>
      </c>
      <c r="Q5" s="389" t="s">
        <v>3219</v>
      </c>
      <c r="R5" s="389" t="s">
        <v>2208</v>
      </c>
      <c r="S5" s="389" t="s">
        <v>2208</v>
      </c>
    </row>
    <row r="6" spans="1:19">
      <c r="A6" s="389" t="s">
        <v>1765</v>
      </c>
      <c r="B6" s="391" t="str">
        <f t="shared" si="0"/>
        <v>EEX-220001-00-22</v>
      </c>
      <c r="C6" s="389" t="str">
        <f t="shared" si="1"/>
        <v>janeiro</v>
      </c>
      <c r="D6" s="389" t="s">
        <v>2921</v>
      </c>
      <c r="E6" s="391">
        <v>45684</v>
      </c>
      <c r="F6" s="389" t="s">
        <v>6853</v>
      </c>
      <c r="G6" s="389" t="s">
        <v>2916</v>
      </c>
      <c r="H6" s="389" t="s">
        <v>8362</v>
      </c>
      <c r="I6" s="393">
        <v>21606.3</v>
      </c>
      <c r="J6" s="390">
        <v>3498.71</v>
      </c>
      <c r="K6" s="389" t="s">
        <v>2917</v>
      </c>
      <c r="L6" s="390">
        <v>21606.3</v>
      </c>
      <c r="M6" s="389" t="s">
        <v>2918</v>
      </c>
      <c r="N6" s="389" t="s">
        <v>2941</v>
      </c>
      <c r="O6" s="389" t="s">
        <v>2941</v>
      </c>
      <c r="P6" s="389" t="s">
        <v>2924</v>
      </c>
      <c r="Q6" s="389" t="s">
        <v>3219</v>
      </c>
      <c r="R6" s="389" t="s">
        <v>2208</v>
      </c>
      <c r="S6" s="389" t="s">
        <v>2208</v>
      </c>
    </row>
    <row r="7" spans="1:19">
      <c r="A7" s="389" t="s">
        <v>2096</v>
      </c>
      <c r="B7" s="391" t="str">
        <f t="shared" si="0"/>
        <v>EEX-230001-00-17</v>
      </c>
      <c r="C7" s="389" t="str">
        <f t="shared" si="1"/>
        <v>março</v>
      </c>
      <c r="D7" s="389" t="s">
        <v>9127</v>
      </c>
      <c r="E7" s="391">
        <v>45740</v>
      </c>
      <c r="F7" s="389" t="s">
        <v>11210</v>
      </c>
      <c r="G7" s="389" t="s">
        <v>2916</v>
      </c>
      <c r="H7" s="389" t="s">
        <v>11211</v>
      </c>
      <c r="I7" s="398">
        <v>1800</v>
      </c>
      <c r="J7" s="390">
        <v>308.5</v>
      </c>
      <c r="K7" s="389" t="s">
        <v>2917</v>
      </c>
      <c r="L7" s="390">
        <v>1800</v>
      </c>
      <c r="M7" s="389" t="s">
        <v>2918</v>
      </c>
      <c r="N7" s="389" t="s">
        <v>11179</v>
      </c>
      <c r="O7" s="389" t="s">
        <v>11179</v>
      </c>
      <c r="P7" s="389" t="s">
        <v>2924</v>
      </c>
      <c r="Q7" s="389" t="s">
        <v>3219</v>
      </c>
      <c r="R7" s="389" t="s">
        <v>2208</v>
      </c>
      <c r="S7" s="389" t="s">
        <v>2208</v>
      </c>
    </row>
    <row r="8" spans="1:19">
      <c r="A8" s="389" t="s">
        <v>2096</v>
      </c>
      <c r="B8" s="391" t="str">
        <f t="shared" si="0"/>
        <v>EEX-230001-00-17</v>
      </c>
      <c r="C8" s="389" t="str">
        <f t="shared" si="1"/>
        <v>março</v>
      </c>
      <c r="D8" s="389" t="s">
        <v>9127</v>
      </c>
      <c r="E8" s="391">
        <v>45741</v>
      </c>
      <c r="F8" s="389" t="s">
        <v>11210</v>
      </c>
      <c r="G8" s="389" t="s">
        <v>2916</v>
      </c>
      <c r="H8" s="389" t="s">
        <v>11212</v>
      </c>
      <c r="I8" s="398">
        <v>0</v>
      </c>
      <c r="J8" s="390">
        <v>-28.53</v>
      </c>
      <c r="K8" s="389" t="s">
        <v>2917</v>
      </c>
      <c r="L8" s="390">
        <v>-166.5</v>
      </c>
      <c r="M8" s="389" t="s">
        <v>2918</v>
      </c>
      <c r="N8" s="389" t="s">
        <v>11213</v>
      </c>
      <c r="O8" s="389" t="s">
        <v>11179</v>
      </c>
      <c r="P8" s="389" t="s">
        <v>2924</v>
      </c>
      <c r="Q8" s="389" t="s">
        <v>3219</v>
      </c>
      <c r="R8" s="389" t="s">
        <v>2208</v>
      </c>
      <c r="S8" s="389" t="s">
        <v>2208</v>
      </c>
    </row>
    <row r="9" spans="1:19">
      <c r="A9" s="389" t="s">
        <v>2096</v>
      </c>
      <c r="B9" s="391" t="str">
        <f t="shared" si="0"/>
        <v>EEX-230001-00-17</v>
      </c>
      <c r="C9" s="389" t="str">
        <f t="shared" si="1"/>
        <v>abril</v>
      </c>
      <c r="D9" s="389" t="s">
        <v>11332</v>
      </c>
      <c r="E9" s="391">
        <v>45775</v>
      </c>
      <c r="F9" s="389" t="s">
        <v>2208</v>
      </c>
      <c r="G9" s="389" t="s">
        <v>2916</v>
      </c>
      <c r="H9" s="389" t="s">
        <v>16332</v>
      </c>
      <c r="I9" s="393">
        <v>0</v>
      </c>
      <c r="J9" s="390">
        <v>5.16</v>
      </c>
      <c r="K9" s="389" t="s">
        <v>2917</v>
      </c>
      <c r="L9" s="390">
        <v>29.7</v>
      </c>
      <c r="M9" s="389" t="s">
        <v>2918</v>
      </c>
      <c r="N9" s="389" t="s">
        <v>16333</v>
      </c>
      <c r="O9" s="389" t="s">
        <v>2208</v>
      </c>
      <c r="P9" s="389" t="s">
        <v>6851</v>
      </c>
      <c r="Q9" s="389" t="s">
        <v>6852</v>
      </c>
      <c r="R9" s="389" t="s">
        <v>2208</v>
      </c>
      <c r="S9" s="389" t="s">
        <v>2208</v>
      </c>
    </row>
    <row r="10" spans="1:19">
      <c r="A10" s="389" t="s">
        <v>2096</v>
      </c>
      <c r="B10" s="391" t="str">
        <f t="shared" si="0"/>
        <v>EEX-230001-00-17</v>
      </c>
      <c r="C10" s="389" t="str">
        <f t="shared" si="1"/>
        <v>abril</v>
      </c>
      <c r="D10" s="389" t="s">
        <v>11332</v>
      </c>
      <c r="E10" s="391">
        <v>45775</v>
      </c>
      <c r="F10" s="389" t="s">
        <v>2208</v>
      </c>
      <c r="G10" s="389" t="s">
        <v>2916</v>
      </c>
      <c r="H10" s="389" t="s">
        <v>16332</v>
      </c>
      <c r="I10" s="393">
        <v>0</v>
      </c>
      <c r="J10" s="390">
        <v>23.76</v>
      </c>
      <c r="K10" s="389" t="s">
        <v>2917</v>
      </c>
      <c r="L10" s="390">
        <v>136.80000000000001</v>
      </c>
      <c r="M10" s="389" t="s">
        <v>2918</v>
      </c>
      <c r="N10" s="389" t="s">
        <v>16333</v>
      </c>
      <c r="O10" s="389" t="s">
        <v>2208</v>
      </c>
      <c r="P10" s="389" t="s">
        <v>6851</v>
      </c>
      <c r="Q10" s="389" t="s">
        <v>6852</v>
      </c>
      <c r="R10" s="389" t="s">
        <v>2208</v>
      </c>
      <c r="S10" s="389" t="s">
        <v>2208</v>
      </c>
    </row>
    <row r="11" spans="1:19">
      <c r="A11" s="389" t="s">
        <v>3808</v>
      </c>
      <c r="B11" s="391" t="str">
        <f t="shared" si="0"/>
        <v>EEX-240006-00-07</v>
      </c>
      <c r="C11" s="389" t="str">
        <f t="shared" si="1"/>
        <v>janeiro</v>
      </c>
      <c r="D11" s="389" t="s">
        <v>2921</v>
      </c>
      <c r="E11" s="391">
        <v>45684</v>
      </c>
      <c r="F11" s="389" t="s">
        <v>7150</v>
      </c>
      <c r="G11" s="389" t="s">
        <v>2916</v>
      </c>
      <c r="H11" s="389" t="s">
        <v>8363</v>
      </c>
      <c r="I11" s="393">
        <v>19668.03</v>
      </c>
      <c r="J11" s="390">
        <v>3184.84</v>
      </c>
      <c r="K11" s="389" t="s">
        <v>2917</v>
      </c>
      <c r="L11" s="390">
        <v>19668.03</v>
      </c>
      <c r="M11" s="389" t="s">
        <v>2918</v>
      </c>
      <c r="N11" s="389" t="s">
        <v>2941</v>
      </c>
      <c r="O11" s="389" t="s">
        <v>2941</v>
      </c>
      <c r="P11" s="389" t="s">
        <v>2924</v>
      </c>
      <c r="Q11" s="389" t="s">
        <v>3219</v>
      </c>
      <c r="R11" s="389" t="s">
        <v>2208</v>
      </c>
      <c r="S11" s="389" t="s">
        <v>2208</v>
      </c>
    </row>
    <row r="12" spans="1:19">
      <c r="A12" s="389" t="s">
        <v>3808</v>
      </c>
      <c r="B12" s="391" t="str">
        <f t="shared" si="0"/>
        <v>EEX-240006-00-07</v>
      </c>
      <c r="C12" s="389" t="str">
        <f t="shared" si="1"/>
        <v>março</v>
      </c>
      <c r="D12" s="389" t="s">
        <v>9127</v>
      </c>
      <c r="E12" s="391">
        <v>45740</v>
      </c>
      <c r="F12" s="389" t="s">
        <v>7150</v>
      </c>
      <c r="G12" s="389" t="s">
        <v>2916</v>
      </c>
      <c r="H12" s="389" t="s">
        <v>11214</v>
      </c>
      <c r="I12" s="393">
        <v>127085.28</v>
      </c>
      <c r="J12" s="390">
        <v>21781.15</v>
      </c>
      <c r="K12" s="389" t="s">
        <v>2917</v>
      </c>
      <c r="L12" s="390">
        <v>127085.28</v>
      </c>
      <c r="M12" s="389" t="s">
        <v>2918</v>
      </c>
      <c r="N12" s="389" t="s">
        <v>2941</v>
      </c>
      <c r="O12" s="389" t="s">
        <v>2941</v>
      </c>
      <c r="P12" s="389" t="s">
        <v>2924</v>
      </c>
      <c r="Q12" s="389" t="s">
        <v>3219</v>
      </c>
      <c r="R12" s="389" t="s">
        <v>2208</v>
      </c>
      <c r="S12" s="389" t="s">
        <v>2208</v>
      </c>
    </row>
    <row r="13" spans="1:19">
      <c r="A13" s="389" t="s">
        <v>3808</v>
      </c>
      <c r="B13" s="391" t="str">
        <f t="shared" si="0"/>
        <v>EEX-240006-00-07</v>
      </c>
      <c r="C13" s="389" t="str">
        <f t="shared" si="1"/>
        <v>abril</v>
      </c>
      <c r="D13" s="389" t="s">
        <v>11332</v>
      </c>
      <c r="E13" s="391">
        <v>45770</v>
      </c>
      <c r="F13" s="389" t="s">
        <v>7150</v>
      </c>
      <c r="G13" s="389" t="s">
        <v>2916</v>
      </c>
      <c r="H13" s="389" t="s">
        <v>16005</v>
      </c>
      <c r="I13" s="398">
        <v>70680</v>
      </c>
      <c r="J13" s="390">
        <v>12273.58</v>
      </c>
      <c r="K13" s="389" t="s">
        <v>2917</v>
      </c>
      <c r="L13" s="390">
        <v>70680</v>
      </c>
      <c r="M13" s="389" t="s">
        <v>2918</v>
      </c>
      <c r="N13" s="389" t="s">
        <v>2941</v>
      </c>
      <c r="O13" s="389" t="s">
        <v>2941</v>
      </c>
      <c r="P13" s="389" t="s">
        <v>2924</v>
      </c>
      <c r="Q13" s="389" t="s">
        <v>3219</v>
      </c>
      <c r="R13" s="389" t="s">
        <v>2208</v>
      </c>
      <c r="S13" s="389" t="s">
        <v>2208</v>
      </c>
    </row>
    <row r="14" spans="1:19">
      <c r="A14" s="389" t="s">
        <v>3808</v>
      </c>
      <c r="B14" s="391" t="str">
        <f t="shared" si="0"/>
        <v>EEX-240006-00-07</v>
      </c>
      <c r="C14" s="389" t="str">
        <f t="shared" si="1"/>
        <v>abril</v>
      </c>
      <c r="D14" s="389" t="s">
        <v>11332</v>
      </c>
      <c r="E14" s="391">
        <v>45771</v>
      </c>
      <c r="F14" s="389" t="s">
        <v>7150</v>
      </c>
      <c r="G14" s="389" t="s">
        <v>2916</v>
      </c>
      <c r="H14" s="389" t="s">
        <v>16006</v>
      </c>
      <c r="I14" s="393">
        <v>181551.06</v>
      </c>
      <c r="J14" s="390">
        <v>31526.34</v>
      </c>
      <c r="K14" s="389" t="s">
        <v>2917</v>
      </c>
      <c r="L14" s="390">
        <v>181551.06</v>
      </c>
      <c r="M14" s="389" t="s">
        <v>2918</v>
      </c>
      <c r="N14" s="389" t="s">
        <v>2941</v>
      </c>
      <c r="O14" s="389" t="s">
        <v>2941</v>
      </c>
      <c r="P14" s="389" t="s">
        <v>2924</v>
      </c>
      <c r="Q14" s="389" t="s">
        <v>3219</v>
      </c>
      <c r="R14" s="389" t="s">
        <v>2208</v>
      </c>
      <c r="S14" s="389" t="s">
        <v>2208</v>
      </c>
    </row>
    <row r="15" spans="1:19">
      <c r="A15" s="389" t="s">
        <v>3808</v>
      </c>
      <c r="B15" s="391" t="str">
        <f t="shared" si="0"/>
        <v>EEX-240006-00-07</v>
      </c>
      <c r="C15" s="389" t="str">
        <f t="shared" si="1"/>
        <v>maio</v>
      </c>
      <c r="D15" s="389" t="s">
        <v>16361</v>
      </c>
      <c r="E15" s="391">
        <v>45799</v>
      </c>
      <c r="F15" s="389" t="s">
        <v>7150</v>
      </c>
      <c r="G15" s="389" t="s">
        <v>2916</v>
      </c>
      <c r="H15" s="389" t="s">
        <v>17678</v>
      </c>
      <c r="I15" s="393">
        <v>358563.34</v>
      </c>
      <c r="J15" s="390">
        <v>63644.99</v>
      </c>
      <c r="K15" s="389" t="s">
        <v>2917</v>
      </c>
      <c r="L15" s="390">
        <v>358563.34</v>
      </c>
      <c r="M15" s="389" t="s">
        <v>2918</v>
      </c>
      <c r="N15" s="389" t="s">
        <v>2941</v>
      </c>
      <c r="O15" s="389" t="s">
        <v>2941</v>
      </c>
      <c r="P15" s="389" t="s">
        <v>2924</v>
      </c>
      <c r="Q15" s="389" t="s">
        <v>3219</v>
      </c>
      <c r="R15" s="389" t="s">
        <v>2208</v>
      </c>
      <c r="S15" s="389" t="s">
        <v>2208</v>
      </c>
    </row>
    <row r="16" spans="1:19">
      <c r="A16" s="389" t="s">
        <v>3808</v>
      </c>
      <c r="B16" s="391" t="str">
        <f t="shared" si="0"/>
        <v>EEX-240006-00-07</v>
      </c>
      <c r="C16" s="389" t="str">
        <f t="shared" si="1"/>
        <v>junho</v>
      </c>
      <c r="D16" s="389" t="s">
        <v>17898</v>
      </c>
      <c r="E16" s="391">
        <v>45832</v>
      </c>
      <c r="F16" s="389" t="s">
        <v>7150</v>
      </c>
      <c r="G16" s="389" t="s">
        <v>2916</v>
      </c>
      <c r="H16" s="389" t="s">
        <v>19115</v>
      </c>
      <c r="I16" s="393">
        <v>354024.8</v>
      </c>
      <c r="J16" s="390">
        <v>62379.17</v>
      </c>
      <c r="K16" s="389" t="s">
        <v>2917</v>
      </c>
      <c r="L16" s="390">
        <v>354024.8</v>
      </c>
      <c r="M16" s="389" t="s">
        <v>2918</v>
      </c>
      <c r="N16" s="389" t="s">
        <v>2941</v>
      </c>
      <c r="O16" s="389" t="s">
        <v>2941</v>
      </c>
      <c r="P16" s="389" t="s">
        <v>2924</v>
      </c>
      <c r="Q16" s="389" t="s">
        <v>3219</v>
      </c>
      <c r="R16" s="389" t="s">
        <v>2208</v>
      </c>
      <c r="S16" s="389" t="s">
        <v>2208</v>
      </c>
    </row>
    <row r="17" spans="1:19">
      <c r="A17" s="389" t="s">
        <v>7023</v>
      </c>
      <c r="B17" s="391" t="str">
        <f t="shared" si="0"/>
        <v>EEX-240006-00-08</v>
      </c>
      <c r="C17" s="389" t="str">
        <f t="shared" si="1"/>
        <v>fevereiro</v>
      </c>
      <c r="D17" s="389" t="s">
        <v>2925</v>
      </c>
      <c r="E17" s="391">
        <v>45702</v>
      </c>
      <c r="F17" s="389" t="s">
        <v>8788</v>
      </c>
      <c r="G17" s="389" t="s">
        <v>2916</v>
      </c>
      <c r="H17" s="389" t="s">
        <v>8789</v>
      </c>
      <c r="I17" s="398">
        <v>76948</v>
      </c>
      <c r="J17" s="390">
        <v>13231.21</v>
      </c>
      <c r="K17" s="389" t="s">
        <v>2917</v>
      </c>
      <c r="L17" s="390">
        <v>76948</v>
      </c>
      <c r="M17" s="389" t="s">
        <v>2918</v>
      </c>
      <c r="N17" s="389" t="s">
        <v>2941</v>
      </c>
      <c r="O17" s="389" t="s">
        <v>2941</v>
      </c>
      <c r="P17" s="389" t="s">
        <v>2924</v>
      </c>
      <c r="Q17" s="389" t="s">
        <v>3219</v>
      </c>
      <c r="R17" s="389" t="s">
        <v>2208</v>
      </c>
      <c r="S17" s="389" t="s">
        <v>2208</v>
      </c>
    </row>
    <row r="18" spans="1:19">
      <c r="A18" s="389" t="s">
        <v>7023</v>
      </c>
      <c r="B18" s="391" t="str">
        <f t="shared" si="0"/>
        <v>EEX-240006-00-08</v>
      </c>
      <c r="C18" s="389" t="str">
        <f t="shared" si="1"/>
        <v>fevereiro</v>
      </c>
      <c r="D18" s="389" t="s">
        <v>2925</v>
      </c>
      <c r="E18" s="391">
        <v>45705</v>
      </c>
      <c r="F18" s="389" t="s">
        <v>8788</v>
      </c>
      <c r="G18" s="389" t="s">
        <v>2916</v>
      </c>
      <c r="H18" s="389" t="s">
        <v>8790</v>
      </c>
      <c r="I18" s="398">
        <v>-76948</v>
      </c>
      <c r="J18" s="390">
        <v>-13231.21</v>
      </c>
      <c r="K18" s="389" t="s">
        <v>2917</v>
      </c>
      <c r="L18" s="390">
        <v>-76948</v>
      </c>
      <c r="M18" s="389" t="s">
        <v>2918</v>
      </c>
      <c r="N18" s="389" t="s">
        <v>2941</v>
      </c>
      <c r="O18" s="389" t="s">
        <v>2941</v>
      </c>
      <c r="P18" s="389" t="s">
        <v>2924</v>
      </c>
      <c r="Q18" s="389" t="s">
        <v>3219</v>
      </c>
      <c r="R18" s="389" t="s">
        <v>2208</v>
      </c>
      <c r="S18" s="389" t="s">
        <v>2208</v>
      </c>
    </row>
    <row r="19" spans="1:19">
      <c r="A19" s="389" t="s">
        <v>7024</v>
      </c>
      <c r="B19" s="391" t="str">
        <f t="shared" si="0"/>
        <v>EEX-240006-00-09</v>
      </c>
      <c r="C19" s="389" t="str">
        <f t="shared" si="1"/>
        <v>abril</v>
      </c>
      <c r="D19" s="389" t="s">
        <v>11332</v>
      </c>
      <c r="E19" s="391">
        <v>45764</v>
      </c>
      <c r="F19" s="389" t="s">
        <v>16007</v>
      </c>
      <c r="G19" s="389" t="s">
        <v>2916</v>
      </c>
      <c r="H19" s="389" t="s">
        <v>16008</v>
      </c>
      <c r="I19" s="393">
        <v>84031.54</v>
      </c>
      <c r="J19" s="390">
        <v>14592.08</v>
      </c>
      <c r="K19" s="389" t="s">
        <v>2917</v>
      </c>
      <c r="L19" s="390">
        <v>84031.54</v>
      </c>
      <c r="M19" s="389" t="s">
        <v>2918</v>
      </c>
      <c r="N19" s="389" t="s">
        <v>2939</v>
      </c>
      <c r="O19" s="389" t="s">
        <v>2939</v>
      </c>
      <c r="P19" s="389" t="s">
        <v>2924</v>
      </c>
      <c r="Q19" s="389" t="s">
        <v>3219</v>
      </c>
      <c r="R19" s="389" t="s">
        <v>2208</v>
      </c>
      <c r="S19" s="389" t="s">
        <v>2208</v>
      </c>
    </row>
    <row r="20" spans="1:19">
      <c r="A20" s="389" t="s">
        <v>7468</v>
      </c>
      <c r="B20" s="391" t="str">
        <f t="shared" si="0"/>
        <v>EEX-250002-00-02</v>
      </c>
      <c r="C20" s="389" t="str">
        <f t="shared" si="1"/>
        <v>junho</v>
      </c>
      <c r="D20" s="389" t="s">
        <v>17898</v>
      </c>
      <c r="E20" s="391">
        <v>45826</v>
      </c>
      <c r="F20" s="389" t="s">
        <v>18797</v>
      </c>
      <c r="G20" s="389" t="s">
        <v>2916</v>
      </c>
      <c r="H20" s="389" t="s">
        <v>18798</v>
      </c>
      <c r="I20" s="398">
        <v>17883</v>
      </c>
      <c r="J20" s="390">
        <v>3150.98</v>
      </c>
      <c r="K20" s="389" t="s">
        <v>2917</v>
      </c>
      <c r="L20" s="390">
        <v>17883</v>
      </c>
      <c r="M20" s="389" t="s">
        <v>2918</v>
      </c>
      <c r="N20" s="389" t="s">
        <v>11179</v>
      </c>
      <c r="O20" s="389" t="s">
        <v>11179</v>
      </c>
      <c r="P20" s="389" t="s">
        <v>2924</v>
      </c>
      <c r="Q20" s="389" t="s">
        <v>3219</v>
      </c>
      <c r="R20" s="389" t="s">
        <v>2208</v>
      </c>
      <c r="S20" s="389" t="s">
        <v>2208</v>
      </c>
    </row>
    <row r="21" spans="1:19">
      <c r="A21" s="389" t="s">
        <v>8480</v>
      </c>
      <c r="B21" s="391" t="str">
        <f t="shared" si="0"/>
        <v>EEX-250002-00-03</v>
      </c>
      <c r="C21" s="389" t="str">
        <f t="shared" si="1"/>
        <v>março</v>
      </c>
      <c r="D21" s="389" t="s">
        <v>9127</v>
      </c>
      <c r="E21" s="391">
        <v>45741</v>
      </c>
      <c r="F21" s="389" t="s">
        <v>11859</v>
      </c>
      <c r="G21" s="389" t="s">
        <v>2916</v>
      </c>
      <c r="H21" s="389" t="s">
        <v>11860</v>
      </c>
      <c r="I21" s="398">
        <v>76948</v>
      </c>
      <c r="J21" s="390">
        <v>13188.12</v>
      </c>
      <c r="K21" s="389" t="s">
        <v>2917</v>
      </c>
      <c r="L21" s="390">
        <v>76948</v>
      </c>
      <c r="M21" s="389" t="s">
        <v>2918</v>
      </c>
      <c r="N21" s="389" t="s">
        <v>2941</v>
      </c>
      <c r="O21" s="389" t="s">
        <v>2941</v>
      </c>
      <c r="P21" s="389" t="s">
        <v>2924</v>
      </c>
      <c r="Q21" s="389" t="s">
        <v>3219</v>
      </c>
      <c r="R21" s="389" t="s">
        <v>2208</v>
      </c>
      <c r="S21" s="389" t="s">
        <v>2208</v>
      </c>
    </row>
    <row r="22" spans="1:19">
      <c r="A22" s="389" t="s">
        <v>10952</v>
      </c>
      <c r="B22" s="391" t="str">
        <f t="shared" si="0"/>
        <v>EEX-250002-00-05</v>
      </c>
      <c r="C22" s="389" t="str">
        <f t="shared" si="1"/>
        <v>maio</v>
      </c>
      <c r="D22" s="389" t="s">
        <v>16361</v>
      </c>
      <c r="E22" s="391">
        <v>45803</v>
      </c>
      <c r="F22" s="389" t="s">
        <v>17679</v>
      </c>
      <c r="G22" s="389" t="s">
        <v>2916</v>
      </c>
      <c r="H22" s="389" t="s">
        <v>17680</v>
      </c>
      <c r="I22" s="398">
        <v>77880</v>
      </c>
      <c r="J22" s="390">
        <v>13823.7</v>
      </c>
      <c r="K22" s="389" t="s">
        <v>2917</v>
      </c>
      <c r="L22" s="390">
        <v>77880</v>
      </c>
      <c r="M22" s="389" t="s">
        <v>2918</v>
      </c>
      <c r="N22" s="389" t="s">
        <v>11179</v>
      </c>
      <c r="O22" s="389" t="s">
        <v>11179</v>
      </c>
      <c r="P22" s="389" t="s">
        <v>2924</v>
      </c>
      <c r="Q22" s="389" t="s">
        <v>3219</v>
      </c>
      <c r="R22" s="389" t="s">
        <v>2208</v>
      </c>
      <c r="S22" s="389" t="s">
        <v>2208</v>
      </c>
    </row>
    <row r="23" spans="1:19">
      <c r="A23" s="389" t="s">
        <v>10952</v>
      </c>
      <c r="B23" s="391" t="str">
        <f t="shared" si="0"/>
        <v>EEX-250002-00-05</v>
      </c>
      <c r="C23" s="389" t="str">
        <f t="shared" si="1"/>
        <v>junho</v>
      </c>
      <c r="D23" s="389" t="s">
        <v>17898</v>
      </c>
      <c r="E23" s="391">
        <v>45834</v>
      </c>
      <c r="F23" s="389" t="s">
        <v>17679</v>
      </c>
      <c r="G23" s="389" t="s">
        <v>2916</v>
      </c>
      <c r="H23" s="389" t="s">
        <v>19443</v>
      </c>
      <c r="I23" s="398">
        <v>37030</v>
      </c>
      <c r="J23" s="390">
        <v>6524.69</v>
      </c>
      <c r="K23" s="389" t="s">
        <v>2917</v>
      </c>
      <c r="L23" s="390">
        <v>37030</v>
      </c>
      <c r="M23" s="389" t="s">
        <v>2918</v>
      </c>
      <c r="N23" s="389" t="s">
        <v>11179</v>
      </c>
      <c r="O23" s="389" t="s">
        <v>11179</v>
      </c>
      <c r="P23" s="389" t="s">
        <v>2924</v>
      </c>
      <c r="Q23" s="389" t="s">
        <v>3219</v>
      </c>
      <c r="R23" s="389" t="s">
        <v>2208</v>
      </c>
      <c r="S23" s="389" t="s">
        <v>2208</v>
      </c>
    </row>
    <row r="24" spans="1:19">
      <c r="A24" s="389" t="s">
        <v>10952</v>
      </c>
      <c r="B24" s="391" t="str">
        <f t="shared" si="0"/>
        <v>EEX-250002-00-05</v>
      </c>
      <c r="C24" s="389" t="str">
        <f t="shared" si="1"/>
        <v>junho</v>
      </c>
      <c r="D24" s="389" t="s">
        <v>17898</v>
      </c>
      <c r="E24" s="391">
        <v>45834</v>
      </c>
      <c r="F24" s="389" t="s">
        <v>17679</v>
      </c>
      <c r="G24" s="389" t="s">
        <v>2916</v>
      </c>
      <c r="H24" s="389" t="s">
        <v>19444</v>
      </c>
      <c r="I24" s="398">
        <v>58410</v>
      </c>
      <c r="J24" s="390">
        <v>10291.84</v>
      </c>
      <c r="K24" s="389" t="s">
        <v>2917</v>
      </c>
      <c r="L24" s="390">
        <v>58410</v>
      </c>
      <c r="M24" s="389" t="s">
        <v>2918</v>
      </c>
      <c r="N24" s="389" t="s">
        <v>11179</v>
      </c>
      <c r="O24" s="389" t="s">
        <v>11179</v>
      </c>
      <c r="P24" s="389" t="s">
        <v>2924</v>
      </c>
      <c r="Q24" s="389" t="s">
        <v>3219</v>
      </c>
      <c r="R24" s="389" t="s">
        <v>2208</v>
      </c>
      <c r="S24" s="389" t="s">
        <v>2208</v>
      </c>
    </row>
    <row r="25" spans="1:19">
      <c r="A25" s="389" t="s">
        <v>9979</v>
      </c>
      <c r="B25" s="391" t="str">
        <f t="shared" si="0"/>
        <v>LCP-200170-EX</v>
      </c>
      <c r="C25" s="389" t="str">
        <f t="shared" si="1"/>
        <v>maio</v>
      </c>
      <c r="D25" s="389" t="s">
        <v>16361</v>
      </c>
      <c r="E25" s="391">
        <v>45798</v>
      </c>
      <c r="F25" s="389" t="s">
        <v>11068</v>
      </c>
      <c r="G25" s="389" t="s">
        <v>2916</v>
      </c>
      <c r="H25" s="389" t="s">
        <v>17355</v>
      </c>
      <c r="I25" s="398">
        <v>60000</v>
      </c>
      <c r="J25" s="390">
        <v>10650</v>
      </c>
      <c r="K25" s="389" t="s">
        <v>2917</v>
      </c>
      <c r="L25" s="390">
        <v>60000</v>
      </c>
      <c r="M25" s="389" t="s">
        <v>2918</v>
      </c>
      <c r="N25" s="389" t="s">
        <v>2923</v>
      </c>
      <c r="O25" s="389" t="s">
        <v>2923</v>
      </c>
      <c r="P25" s="389" t="s">
        <v>2924</v>
      </c>
      <c r="Q25" s="389" t="s">
        <v>3219</v>
      </c>
      <c r="R25" s="389" t="s">
        <v>2208</v>
      </c>
      <c r="S25" s="389" t="s">
        <v>2208</v>
      </c>
    </row>
    <row r="26" spans="1:19">
      <c r="A26" s="389" t="s">
        <v>9979</v>
      </c>
      <c r="B26" s="391" t="str">
        <f t="shared" si="0"/>
        <v>LCP-200170-EX</v>
      </c>
      <c r="C26" s="389" t="str">
        <f t="shared" si="1"/>
        <v>maio</v>
      </c>
      <c r="D26" s="389" t="s">
        <v>16361</v>
      </c>
      <c r="E26" s="391">
        <v>45804</v>
      </c>
      <c r="F26" s="389" t="s">
        <v>11068</v>
      </c>
      <c r="G26" s="389" t="s">
        <v>2916</v>
      </c>
      <c r="H26" s="389" t="s">
        <v>18396</v>
      </c>
      <c r="I26" s="398">
        <v>0</v>
      </c>
      <c r="J26" s="390">
        <v>-985.12</v>
      </c>
      <c r="K26" s="389" t="s">
        <v>2917</v>
      </c>
      <c r="L26" s="390">
        <v>-5550</v>
      </c>
      <c r="M26" s="389" t="s">
        <v>2918</v>
      </c>
      <c r="N26" s="389" t="s">
        <v>18397</v>
      </c>
      <c r="O26" s="389" t="s">
        <v>2923</v>
      </c>
      <c r="P26" s="389" t="s">
        <v>2924</v>
      </c>
      <c r="Q26" s="389" t="s">
        <v>3219</v>
      </c>
      <c r="R26" s="389" t="s">
        <v>2208</v>
      </c>
      <c r="S26" s="389" t="s">
        <v>2208</v>
      </c>
    </row>
    <row r="27" spans="1:19">
      <c r="A27" s="389" t="s">
        <v>6854</v>
      </c>
      <c r="B27" s="391" t="str">
        <f t="shared" si="0"/>
        <v>LCP-200185-EX</v>
      </c>
      <c r="C27" s="389" t="str">
        <f t="shared" si="1"/>
        <v>janeiro</v>
      </c>
      <c r="D27" s="389" t="s">
        <v>2921</v>
      </c>
      <c r="E27" s="391">
        <v>45680</v>
      </c>
      <c r="F27" s="389" t="s">
        <v>7151</v>
      </c>
      <c r="G27" s="389" t="s">
        <v>2916</v>
      </c>
      <c r="H27" s="389" t="s">
        <v>8364</v>
      </c>
      <c r="I27" s="398">
        <v>5071</v>
      </c>
      <c r="J27" s="390">
        <v>821.15</v>
      </c>
      <c r="K27" s="389" t="s">
        <v>2917</v>
      </c>
      <c r="L27" s="390">
        <v>5071</v>
      </c>
      <c r="M27" s="389" t="s">
        <v>2918</v>
      </c>
      <c r="N27" s="389" t="s">
        <v>2936</v>
      </c>
      <c r="O27" s="389" t="s">
        <v>2936</v>
      </c>
      <c r="P27" s="389" t="s">
        <v>2924</v>
      </c>
      <c r="Q27" s="389" t="s">
        <v>3219</v>
      </c>
      <c r="R27" s="389" t="s">
        <v>2208</v>
      </c>
      <c r="S27" s="389" t="s">
        <v>2208</v>
      </c>
    </row>
    <row r="28" spans="1:19">
      <c r="A28" s="389" t="s">
        <v>6854</v>
      </c>
      <c r="B28" s="391" t="str">
        <f t="shared" si="0"/>
        <v>LCP-200185-EX</v>
      </c>
      <c r="C28" s="389" t="str">
        <f t="shared" si="1"/>
        <v>janeiro</v>
      </c>
      <c r="D28" s="389" t="s">
        <v>2921</v>
      </c>
      <c r="E28" s="391">
        <v>45680</v>
      </c>
      <c r="F28" s="389" t="s">
        <v>2922</v>
      </c>
      <c r="G28" s="389" t="s">
        <v>2916</v>
      </c>
      <c r="H28" s="389" t="s">
        <v>8365</v>
      </c>
      <c r="I28" s="393">
        <v>45045.36</v>
      </c>
      <c r="J28" s="390">
        <v>7294.2</v>
      </c>
      <c r="K28" s="389" t="s">
        <v>2917</v>
      </c>
      <c r="L28" s="390">
        <v>45045.36</v>
      </c>
      <c r="M28" s="389" t="s">
        <v>2918</v>
      </c>
      <c r="N28" s="389" t="s">
        <v>2923</v>
      </c>
      <c r="O28" s="389" t="s">
        <v>2923</v>
      </c>
      <c r="P28" s="389" t="s">
        <v>2924</v>
      </c>
      <c r="Q28" s="389" t="s">
        <v>3219</v>
      </c>
      <c r="R28" s="389" t="s">
        <v>2208</v>
      </c>
      <c r="S28" s="389" t="s">
        <v>2208</v>
      </c>
    </row>
    <row r="29" spans="1:19">
      <c r="A29" s="389" t="s">
        <v>6854</v>
      </c>
      <c r="B29" s="391" t="str">
        <f t="shared" si="0"/>
        <v>LCP-200185-EX</v>
      </c>
      <c r="C29" s="389" t="str">
        <f t="shared" si="1"/>
        <v>janeiro</v>
      </c>
      <c r="D29" s="389" t="s">
        <v>2921</v>
      </c>
      <c r="E29" s="391">
        <v>45685</v>
      </c>
      <c r="F29" s="389" t="s">
        <v>7151</v>
      </c>
      <c r="G29" s="389" t="s">
        <v>2916</v>
      </c>
      <c r="H29" s="389" t="s">
        <v>8366</v>
      </c>
      <c r="I29" s="398">
        <v>0</v>
      </c>
      <c r="J29" s="390">
        <v>-75.959999999999994</v>
      </c>
      <c r="K29" s="389" t="s">
        <v>2917</v>
      </c>
      <c r="L29" s="390">
        <v>-469.07</v>
      </c>
      <c r="M29" s="389" t="s">
        <v>2918</v>
      </c>
      <c r="N29" s="389" t="s">
        <v>8367</v>
      </c>
      <c r="O29" s="389" t="s">
        <v>2936</v>
      </c>
      <c r="P29" s="389" t="s">
        <v>2924</v>
      </c>
      <c r="Q29" s="389" t="s">
        <v>3219</v>
      </c>
      <c r="R29" s="389" t="s">
        <v>2208</v>
      </c>
      <c r="S29" s="389" t="s">
        <v>2208</v>
      </c>
    </row>
    <row r="30" spans="1:19">
      <c r="A30" s="389" t="s">
        <v>6854</v>
      </c>
      <c r="B30" s="391" t="str">
        <f t="shared" si="0"/>
        <v>LCP-200185-EX</v>
      </c>
      <c r="C30" s="389" t="str">
        <f t="shared" si="1"/>
        <v>janeiro</v>
      </c>
      <c r="D30" s="389" t="s">
        <v>2921</v>
      </c>
      <c r="E30" s="391">
        <v>45686</v>
      </c>
      <c r="F30" s="389" t="s">
        <v>2922</v>
      </c>
      <c r="G30" s="389" t="s">
        <v>2916</v>
      </c>
      <c r="H30" s="389" t="s">
        <v>8368</v>
      </c>
      <c r="I30" s="398">
        <v>0</v>
      </c>
      <c r="J30" s="390">
        <v>-674.72</v>
      </c>
      <c r="K30" s="389" t="s">
        <v>2917</v>
      </c>
      <c r="L30" s="390">
        <v>-4166.7</v>
      </c>
      <c r="M30" s="389" t="s">
        <v>2918</v>
      </c>
      <c r="N30" s="389" t="s">
        <v>8369</v>
      </c>
      <c r="O30" s="389" t="s">
        <v>2923</v>
      </c>
      <c r="P30" s="389" t="s">
        <v>2924</v>
      </c>
      <c r="Q30" s="389" t="s">
        <v>3219</v>
      </c>
      <c r="R30" s="389" t="s">
        <v>2208</v>
      </c>
      <c r="S30" s="389" t="s">
        <v>2208</v>
      </c>
    </row>
    <row r="31" spans="1:19">
      <c r="A31" s="389" t="s">
        <v>6854</v>
      </c>
      <c r="B31" s="391" t="str">
        <f t="shared" si="0"/>
        <v>LCP-200185-EX</v>
      </c>
      <c r="C31" s="389" t="str">
        <f t="shared" si="1"/>
        <v>janeiro</v>
      </c>
      <c r="D31" s="389" t="s">
        <v>2921</v>
      </c>
      <c r="E31" s="391">
        <v>45688</v>
      </c>
      <c r="F31" s="389" t="s">
        <v>2208</v>
      </c>
      <c r="G31" s="389" t="s">
        <v>2916</v>
      </c>
      <c r="H31" s="389" t="s">
        <v>8370</v>
      </c>
      <c r="I31" s="393">
        <v>0</v>
      </c>
      <c r="J31" s="390">
        <v>7.0000000000000007E-2</v>
      </c>
      <c r="K31" s="389" t="s">
        <v>2917</v>
      </c>
      <c r="L31" s="390">
        <v>0</v>
      </c>
      <c r="M31" s="389" t="s">
        <v>2918</v>
      </c>
      <c r="N31" s="389" t="s">
        <v>2919</v>
      </c>
      <c r="O31" s="389" t="s">
        <v>2208</v>
      </c>
      <c r="P31" s="389" t="s">
        <v>2916</v>
      </c>
      <c r="Q31" s="389" t="s">
        <v>3220</v>
      </c>
      <c r="R31" s="389" t="s">
        <v>2208</v>
      </c>
      <c r="S31" s="389" t="s">
        <v>2208</v>
      </c>
    </row>
    <row r="32" spans="1:19">
      <c r="A32" s="389" t="s">
        <v>6854</v>
      </c>
      <c r="B32" s="391" t="str">
        <f t="shared" si="0"/>
        <v>LCP-200185-EX</v>
      </c>
      <c r="C32" s="389" t="str">
        <f t="shared" si="1"/>
        <v>março</v>
      </c>
      <c r="D32" s="389" t="s">
        <v>9127</v>
      </c>
      <c r="E32" s="391">
        <v>45737</v>
      </c>
      <c r="F32" s="389" t="s">
        <v>2922</v>
      </c>
      <c r="G32" s="389" t="s">
        <v>2916</v>
      </c>
      <c r="H32" s="389" t="s">
        <v>11036</v>
      </c>
      <c r="I32" s="393">
        <v>36436.69</v>
      </c>
      <c r="J32" s="390">
        <v>6244.88</v>
      </c>
      <c r="K32" s="389" t="s">
        <v>2917</v>
      </c>
      <c r="L32" s="390">
        <v>36436.69</v>
      </c>
      <c r="M32" s="389" t="s">
        <v>2918</v>
      </c>
      <c r="N32" s="389" t="s">
        <v>2923</v>
      </c>
      <c r="O32" s="389" t="s">
        <v>2923</v>
      </c>
      <c r="P32" s="389" t="s">
        <v>2924</v>
      </c>
      <c r="Q32" s="389" t="s">
        <v>3219</v>
      </c>
      <c r="R32" s="389" t="s">
        <v>2208</v>
      </c>
      <c r="S32" s="389" t="s">
        <v>2208</v>
      </c>
    </row>
    <row r="33" spans="1:19">
      <c r="A33" s="389" t="s">
        <v>6854</v>
      </c>
      <c r="B33" s="391" t="str">
        <f t="shared" si="0"/>
        <v>LCP-200185-EX</v>
      </c>
      <c r="C33" s="389" t="str">
        <f t="shared" si="1"/>
        <v>março</v>
      </c>
      <c r="D33" s="389" t="s">
        <v>9127</v>
      </c>
      <c r="E33" s="391">
        <v>45741</v>
      </c>
      <c r="F33" s="389" t="s">
        <v>8890</v>
      </c>
      <c r="G33" s="389" t="s">
        <v>2916</v>
      </c>
      <c r="H33" s="389" t="s">
        <v>11861</v>
      </c>
      <c r="I33" s="393">
        <v>23658.67</v>
      </c>
      <c r="J33" s="390">
        <v>4054.86</v>
      </c>
      <c r="K33" s="389" t="s">
        <v>2917</v>
      </c>
      <c r="L33" s="390">
        <v>23658.67</v>
      </c>
      <c r="M33" s="389" t="s">
        <v>2918</v>
      </c>
      <c r="N33" s="389" t="s">
        <v>2923</v>
      </c>
      <c r="O33" s="389" t="s">
        <v>2923</v>
      </c>
      <c r="P33" s="389" t="s">
        <v>2924</v>
      </c>
      <c r="Q33" s="389" t="s">
        <v>3219</v>
      </c>
      <c r="R33" s="389" t="s">
        <v>2208</v>
      </c>
      <c r="S33" s="389" t="s">
        <v>2208</v>
      </c>
    </row>
    <row r="34" spans="1:19">
      <c r="A34" s="389" t="s">
        <v>6854</v>
      </c>
      <c r="B34" s="391" t="str">
        <f t="shared" si="0"/>
        <v>LCP-200185-EX</v>
      </c>
      <c r="C34" s="389" t="str">
        <f t="shared" si="1"/>
        <v>março</v>
      </c>
      <c r="D34" s="389" t="s">
        <v>9127</v>
      </c>
      <c r="E34" s="391">
        <v>45742</v>
      </c>
      <c r="F34" s="389" t="s">
        <v>8890</v>
      </c>
      <c r="G34" s="389" t="s">
        <v>2916</v>
      </c>
      <c r="H34" s="389" t="s">
        <v>11862</v>
      </c>
      <c r="I34" s="398">
        <v>0</v>
      </c>
      <c r="J34" s="390">
        <v>-375.08</v>
      </c>
      <c r="K34" s="389" t="s">
        <v>2917</v>
      </c>
      <c r="L34" s="390">
        <v>-2188.4299999999998</v>
      </c>
      <c r="M34" s="389" t="s">
        <v>2918</v>
      </c>
      <c r="N34" s="389" t="s">
        <v>11863</v>
      </c>
      <c r="O34" s="389" t="s">
        <v>2923</v>
      </c>
      <c r="P34" s="389" t="s">
        <v>2924</v>
      </c>
      <c r="Q34" s="389" t="s">
        <v>3219</v>
      </c>
      <c r="R34" s="389" t="s">
        <v>2208</v>
      </c>
      <c r="S34" s="389" t="s">
        <v>2208</v>
      </c>
    </row>
    <row r="35" spans="1:19">
      <c r="A35" s="389" t="s">
        <v>6854</v>
      </c>
      <c r="B35" s="391" t="str">
        <f t="shared" si="0"/>
        <v>LCP-200185-EX</v>
      </c>
      <c r="C35" s="389" t="str">
        <f t="shared" si="1"/>
        <v>março</v>
      </c>
      <c r="D35" s="389" t="s">
        <v>9127</v>
      </c>
      <c r="E35" s="391">
        <v>45743</v>
      </c>
      <c r="F35" s="389" t="s">
        <v>2922</v>
      </c>
      <c r="G35" s="389" t="s">
        <v>2916</v>
      </c>
      <c r="H35" s="389" t="s">
        <v>11864</v>
      </c>
      <c r="I35" s="398">
        <v>0</v>
      </c>
      <c r="J35" s="390">
        <v>-577.65</v>
      </c>
      <c r="K35" s="389" t="s">
        <v>2917</v>
      </c>
      <c r="L35" s="390">
        <v>-3370.4</v>
      </c>
      <c r="M35" s="389" t="s">
        <v>2918</v>
      </c>
      <c r="N35" s="389" t="s">
        <v>11865</v>
      </c>
      <c r="O35" s="389" t="s">
        <v>2923</v>
      </c>
      <c r="P35" s="389" t="s">
        <v>2924</v>
      </c>
      <c r="Q35" s="389" t="s">
        <v>3219</v>
      </c>
      <c r="R35" s="389" t="s">
        <v>2208</v>
      </c>
      <c r="S35" s="389" t="s">
        <v>2208</v>
      </c>
    </row>
    <row r="36" spans="1:19">
      <c r="A36" s="389" t="s">
        <v>6854</v>
      </c>
      <c r="B36" s="391" t="str">
        <f t="shared" si="0"/>
        <v>LCP-200185-EX</v>
      </c>
      <c r="C36" s="389" t="str">
        <f t="shared" si="1"/>
        <v>março</v>
      </c>
      <c r="D36" s="389" t="s">
        <v>9127</v>
      </c>
      <c r="E36" s="391">
        <v>45747</v>
      </c>
      <c r="F36" s="389" t="s">
        <v>2208</v>
      </c>
      <c r="G36" s="389" t="s">
        <v>2916</v>
      </c>
      <c r="H36" s="389" t="s">
        <v>11866</v>
      </c>
      <c r="I36" s="393">
        <v>0</v>
      </c>
      <c r="J36" s="390">
        <v>-0.05</v>
      </c>
      <c r="K36" s="389" t="s">
        <v>2917</v>
      </c>
      <c r="L36" s="390">
        <v>0</v>
      </c>
      <c r="M36" s="389" t="s">
        <v>2918</v>
      </c>
      <c r="N36" s="389" t="s">
        <v>2919</v>
      </c>
      <c r="O36" s="389" t="s">
        <v>2208</v>
      </c>
      <c r="P36" s="389" t="s">
        <v>2916</v>
      </c>
      <c r="Q36" s="389" t="s">
        <v>3220</v>
      </c>
      <c r="R36" s="389" t="s">
        <v>2208</v>
      </c>
      <c r="S36" s="389" t="s">
        <v>2208</v>
      </c>
    </row>
    <row r="37" spans="1:19">
      <c r="A37" s="389" t="s">
        <v>6854</v>
      </c>
      <c r="B37" s="391" t="str">
        <f t="shared" si="0"/>
        <v>LCP-200185-EX</v>
      </c>
      <c r="C37" s="389" t="str">
        <f t="shared" si="1"/>
        <v>março</v>
      </c>
      <c r="D37" s="389" t="s">
        <v>9127</v>
      </c>
      <c r="E37" s="391">
        <v>45747</v>
      </c>
      <c r="F37" s="389" t="s">
        <v>2208</v>
      </c>
      <c r="G37" s="389" t="s">
        <v>2916</v>
      </c>
      <c r="H37" s="389" t="s">
        <v>11867</v>
      </c>
      <c r="I37" s="393">
        <v>0</v>
      </c>
      <c r="J37" s="390">
        <v>-0.04</v>
      </c>
      <c r="K37" s="389" t="s">
        <v>2917</v>
      </c>
      <c r="L37" s="390">
        <v>0</v>
      </c>
      <c r="M37" s="389" t="s">
        <v>2918</v>
      </c>
      <c r="N37" s="389" t="s">
        <v>2919</v>
      </c>
      <c r="O37" s="389" t="s">
        <v>2208</v>
      </c>
      <c r="P37" s="389" t="s">
        <v>2916</v>
      </c>
      <c r="Q37" s="389" t="s">
        <v>3220</v>
      </c>
      <c r="R37" s="389" t="s">
        <v>2208</v>
      </c>
      <c r="S37" s="389" t="s">
        <v>2208</v>
      </c>
    </row>
    <row r="38" spans="1:19">
      <c r="A38" s="389" t="s">
        <v>6854</v>
      </c>
      <c r="B38" s="391" t="str">
        <f t="shared" si="0"/>
        <v>LCP-200185-EX</v>
      </c>
      <c r="C38" s="389" t="str">
        <f t="shared" si="1"/>
        <v>maio</v>
      </c>
      <c r="D38" s="389" t="s">
        <v>16361</v>
      </c>
      <c r="E38" s="391">
        <v>45803</v>
      </c>
      <c r="F38" s="389" t="s">
        <v>8890</v>
      </c>
      <c r="G38" s="389" t="s">
        <v>2916</v>
      </c>
      <c r="H38" s="389" t="s">
        <v>17681</v>
      </c>
      <c r="I38" s="393">
        <v>46134.400000000001</v>
      </c>
      <c r="J38" s="390">
        <v>8188.86</v>
      </c>
      <c r="K38" s="389" t="s">
        <v>2917</v>
      </c>
      <c r="L38" s="390">
        <v>46134.400000000001</v>
      </c>
      <c r="M38" s="389" t="s">
        <v>2918</v>
      </c>
      <c r="N38" s="389" t="s">
        <v>2923</v>
      </c>
      <c r="O38" s="389" t="s">
        <v>2923</v>
      </c>
      <c r="P38" s="389" t="s">
        <v>2924</v>
      </c>
      <c r="Q38" s="389" t="s">
        <v>3219</v>
      </c>
      <c r="R38" s="389" t="s">
        <v>2208</v>
      </c>
      <c r="S38" s="389" t="s">
        <v>2208</v>
      </c>
    </row>
    <row r="39" spans="1:19">
      <c r="A39" s="389" t="s">
        <v>6854</v>
      </c>
      <c r="B39" s="391" t="str">
        <f t="shared" si="0"/>
        <v>LCP-200185-EX</v>
      </c>
      <c r="C39" s="389" t="str">
        <f t="shared" si="1"/>
        <v>maio</v>
      </c>
      <c r="D39" s="389" t="s">
        <v>16361</v>
      </c>
      <c r="E39" s="391">
        <v>45804</v>
      </c>
      <c r="F39" s="389" t="s">
        <v>8890</v>
      </c>
      <c r="G39" s="389" t="s">
        <v>2916</v>
      </c>
      <c r="H39" s="389" t="s">
        <v>17682</v>
      </c>
      <c r="I39" s="398">
        <v>0</v>
      </c>
      <c r="J39" s="390">
        <v>-757.47</v>
      </c>
      <c r="K39" s="389" t="s">
        <v>2917</v>
      </c>
      <c r="L39" s="390">
        <v>-4267.43</v>
      </c>
      <c r="M39" s="389" t="s">
        <v>2918</v>
      </c>
      <c r="N39" s="389" t="s">
        <v>17683</v>
      </c>
      <c r="O39" s="389" t="s">
        <v>2923</v>
      </c>
      <c r="P39" s="389" t="s">
        <v>2924</v>
      </c>
      <c r="Q39" s="389" t="s">
        <v>3219</v>
      </c>
      <c r="R39" s="389" t="s">
        <v>2208</v>
      </c>
      <c r="S39" s="389" t="s">
        <v>2208</v>
      </c>
    </row>
    <row r="40" spans="1:19">
      <c r="A40" s="389" t="s">
        <v>6855</v>
      </c>
      <c r="B40" s="391" t="str">
        <f t="shared" si="0"/>
        <v>LCP-200185-EX</v>
      </c>
      <c r="C40" s="389" t="str">
        <f t="shared" si="1"/>
        <v>janeiro</v>
      </c>
      <c r="D40" s="389" t="s">
        <v>2921</v>
      </c>
      <c r="E40" s="391">
        <v>45685</v>
      </c>
      <c r="F40" s="389" t="s">
        <v>6856</v>
      </c>
      <c r="G40" s="389" t="s">
        <v>2916</v>
      </c>
      <c r="H40" s="389" t="s">
        <v>8371</v>
      </c>
      <c r="I40" s="393">
        <v>352.88</v>
      </c>
      <c r="J40" s="390">
        <v>57.14</v>
      </c>
      <c r="K40" s="389" t="s">
        <v>2917</v>
      </c>
      <c r="L40" s="390">
        <v>352.88</v>
      </c>
      <c r="M40" s="389" t="s">
        <v>2918</v>
      </c>
      <c r="N40" s="389" t="s">
        <v>6857</v>
      </c>
      <c r="O40" s="389" t="s">
        <v>6857</v>
      </c>
      <c r="P40" s="389" t="s">
        <v>2924</v>
      </c>
      <c r="Q40" s="389" t="s">
        <v>3219</v>
      </c>
      <c r="R40" s="389" t="s">
        <v>2208</v>
      </c>
      <c r="S40" s="389" t="s">
        <v>2208</v>
      </c>
    </row>
    <row r="41" spans="1:19">
      <c r="A41" s="389" t="s">
        <v>6855</v>
      </c>
      <c r="B41" s="391" t="str">
        <f t="shared" si="0"/>
        <v>LCP-200185-EX</v>
      </c>
      <c r="C41" s="389" t="str">
        <f t="shared" si="1"/>
        <v>janeiro</v>
      </c>
      <c r="D41" s="389" t="s">
        <v>2921</v>
      </c>
      <c r="E41" s="391">
        <v>45685</v>
      </c>
      <c r="F41" s="389" t="s">
        <v>6856</v>
      </c>
      <c r="G41" s="389" t="s">
        <v>2916</v>
      </c>
      <c r="H41" s="389" t="s">
        <v>8372</v>
      </c>
      <c r="I41" s="398">
        <v>0</v>
      </c>
      <c r="J41" s="390">
        <v>-5.28</v>
      </c>
      <c r="K41" s="389" t="s">
        <v>2917</v>
      </c>
      <c r="L41" s="390">
        <v>-32.64</v>
      </c>
      <c r="M41" s="389" t="s">
        <v>2918</v>
      </c>
      <c r="N41" s="389" t="s">
        <v>8373</v>
      </c>
      <c r="O41" s="389" t="s">
        <v>6857</v>
      </c>
      <c r="P41" s="389" t="s">
        <v>2924</v>
      </c>
      <c r="Q41" s="389" t="s">
        <v>3219</v>
      </c>
      <c r="R41" s="389" t="s">
        <v>2208</v>
      </c>
      <c r="S41" s="389" t="s">
        <v>2208</v>
      </c>
    </row>
    <row r="42" spans="1:19">
      <c r="A42" s="389" t="s">
        <v>6855</v>
      </c>
      <c r="B42" s="391" t="str">
        <f t="shared" si="0"/>
        <v>LCP-200185-EX</v>
      </c>
      <c r="C42" s="389" t="str">
        <f t="shared" si="1"/>
        <v>janeiro</v>
      </c>
      <c r="D42" s="389" t="s">
        <v>2921</v>
      </c>
      <c r="E42" s="391">
        <v>45688</v>
      </c>
      <c r="F42" s="389" t="s">
        <v>2208</v>
      </c>
      <c r="G42" s="389" t="s">
        <v>2916</v>
      </c>
      <c r="H42" s="389" t="s">
        <v>8374</v>
      </c>
      <c r="I42" s="393">
        <v>0</v>
      </c>
      <c r="J42" s="390">
        <v>-0.04</v>
      </c>
      <c r="K42" s="389" t="s">
        <v>2917</v>
      </c>
      <c r="L42" s="390">
        <v>0</v>
      </c>
      <c r="M42" s="389" t="s">
        <v>2918</v>
      </c>
      <c r="N42" s="389" t="s">
        <v>2919</v>
      </c>
      <c r="O42" s="389" t="s">
        <v>2208</v>
      </c>
      <c r="P42" s="389" t="s">
        <v>2916</v>
      </c>
      <c r="Q42" s="389" t="s">
        <v>3220</v>
      </c>
      <c r="R42" s="389" t="s">
        <v>2208</v>
      </c>
      <c r="S42" s="389" t="s">
        <v>2208</v>
      </c>
    </row>
    <row r="43" spans="1:19">
      <c r="A43" s="389" t="s">
        <v>6855</v>
      </c>
      <c r="B43" s="391" t="str">
        <f t="shared" si="0"/>
        <v>LCP-200185-EX</v>
      </c>
      <c r="C43" s="389" t="str">
        <f t="shared" si="1"/>
        <v>fevereiro</v>
      </c>
      <c r="D43" s="389" t="s">
        <v>2925</v>
      </c>
      <c r="E43" s="391">
        <v>45709</v>
      </c>
      <c r="F43" s="389" t="s">
        <v>6856</v>
      </c>
      <c r="G43" s="389" t="s">
        <v>2916</v>
      </c>
      <c r="H43" s="389" t="s">
        <v>8791</v>
      </c>
      <c r="I43" s="398">
        <v>11522</v>
      </c>
      <c r="J43" s="390">
        <v>1981.21</v>
      </c>
      <c r="K43" s="389" t="s">
        <v>2917</v>
      </c>
      <c r="L43" s="390">
        <v>11522</v>
      </c>
      <c r="M43" s="389" t="s">
        <v>2918</v>
      </c>
      <c r="N43" s="389" t="s">
        <v>6857</v>
      </c>
      <c r="O43" s="389" t="s">
        <v>6857</v>
      </c>
      <c r="P43" s="389" t="s">
        <v>2924</v>
      </c>
      <c r="Q43" s="389" t="s">
        <v>3219</v>
      </c>
      <c r="R43" s="389" t="s">
        <v>2208</v>
      </c>
      <c r="S43" s="389" t="s">
        <v>2208</v>
      </c>
    </row>
    <row r="44" spans="1:19">
      <c r="A44" s="389" t="s">
        <v>6855</v>
      </c>
      <c r="B44" s="391" t="str">
        <f t="shared" si="0"/>
        <v>LCP-200185-EX</v>
      </c>
      <c r="C44" s="389" t="str">
        <f t="shared" si="1"/>
        <v>fevereiro</v>
      </c>
      <c r="D44" s="389" t="s">
        <v>2925</v>
      </c>
      <c r="E44" s="391">
        <v>45712</v>
      </c>
      <c r="F44" s="389" t="s">
        <v>6856</v>
      </c>
      <c r="G44" s="389" t="s">
        <v>2916</v>
      </c>
      <c r="H44" s="389" t="s">
        <v>8792</v>
      </c>
      <c r="I44" s="398">
        <v>11522</v>
      </c>
      <c r="J44" s="390">
        <v>1981.21</v>
      </c>
      <c r="K44" s="389" t="s">
        <v>2917</v>
      </c>
      <c r="L44" s="390">
        <v>11522</v>
      </c>
      <c r="M44" s="389" t="s">
        <v>2918</v>
      </c>
      <c r="N44" s="389" t="s">
        <v>6857</v>
      </c>
      <c r="O44" s="389" t="s">
        <v>6857</v>
      </c>
      <c r="P44" s="389" t="s">
        <v>2924</v>
      </c>
      <c r="Q44" s="389" t="s">
        <v>3219</v>
      </c>
      <c r="R44" s="389" t="s">
        <v>2208</v>
      </c>
      <c r="S44" s="389" t="s">
        <v>2208</v>
      </c>
    </row>
    <row r="45" spans="1:19">
      <c r="A45" s="389" t="s">
        <v>6855</v>
      </c>
      <c r="B45" s="391" t="str">
        <f t="shared" si="0"/>
        <v>LCP-200185-EX</v>
      </c>
      <c r="C45" s="389" t="str">
        <f t="shared" si="1"/>
        <v>fevereiro</v>
      </c>
      <c r="D45" s="389" t="s">
        <v>2925</v>
      </c>
      <c r="E45" s="391">
        <v>45714</v>
      </c>
      <c r="F45" s="389" t="s">
        <v>6856</v>
      </c>
      <c r="G45" s="389" t="s">
        <v>2916</v>
      </c>
      <c r="H45" s="389" t="s">
        <v>9574</v>
      </c>
      <c r="I45" s="398">
        <v>0</v>
      </c>
      <c r="J45" s="390">
        <v>-183.26</v>
      </c>
      <c r="K45" s="389" t="s">
        <v>2917</v>
      </c>
      <c r="L45" s="390">
        <v>-1065.78</v>
      </c>
      <c r="M45" s="389" t="s">
        <v>2918</v>
      </c>
      <c r="N45" s="389" t="s">
        <v>9575</v>
      </c>
      <c r="O45" s="389" t="s">
        <v>6857</v>
      </c>
      <c r="P45" s="389" t="s">
        <v>2924</v>
      </c>
      <c r="Q45" s="389" t="s">
        <v>3219</v>
      </c>
      <c r="R45" s="389" t="s">
        <v>2208</v>
      </c>
      <c r="S45" s="389" t="s">
        <v>2208</v>
      </c>
    </row>
    <row r="46" spans="1:19">
      <c r="A46" s="389" t="s">
        <v>6855</v>
      </c>
      <c r="B46" s="391" t="str">
        <f t="shared" si="0"/>
        <v>LCP-200185-EX</v>
      </c>
      <c r="C46" s="389" t="str">
        <f t="shared" si="1"/>
        <v>fevereiro</v>
      </c>
      <c r="D46" s="389" t="s">
        <v>2925</v>
      </c>
      <c r="E46" s="391">
        <v>45714</v>
      </c>
      <c r="F46" s="389" t="s">
        <v>6856</v>
      </c>
      <c r="G46" s="389" t="s">
        <v>2916</v>
      </c>
      <c r="H46" s="389" t="s">
        <v>9576</v>
      </c>
      <c r="I46" s="398">
        <v>0</v>
      </c>
      <c r="J46" s="390">
        <v>-183.26</v>
      </c>
      <c r="K46" s="389" t="s">
        <v>2917</v>
      </c>
      <c r="L46" s="390">
        <v>-1065.78</v>
      </c>
      <c r="M46" s="389" t="s">
        <v>2918</v>
      </c>
      <c r="N46" s="389" t="s">
        <v>9577</v>
      </c>
      <c r="O46" s="389" t="s">
        <v>6857</v>
      </c>
      <c r="P46" s="389" t="s">
        <v>2924</v>
      </c>
      <c r="Q46" s="389" t="s">
        <v>3219</v>
      </c>
      <c r="R46" s="389" t="s">
        <v>2208</v>
      </c>
      <c r="S46" s="389" t="s">
        <v>2208</v>
      </c>
    </row>
    <row r="47" spans="1:19">
      <c r="A47" s="389" t="s">
        <v>6855</v>
      </c>
      <c r="B47" s="391" t="str">
        <f t="shared" si="0"/>
        <v>LCP-200185-EX</v>
      </c>
      <c r="C47" s="389" t="str">
        <f t="shared" si="1"/>
        <v>fevereiro</v>
      </c>
      <c r="D47" s="389" t="s">
        <v>2925</v>
      </c>
      <c r="E47" s="391">
        <v>45716</v>
      </c>
      <c r="F47" s="389" t="s">
        <v>2208</v>
      </c>
      <c r="G47" s="389" t="s">
        <v>2916</v>
      </c>
      <c r="H47" s="389" t="s">
        <v>9578</v>
      </c>
      <c r="I47" s="393">
        <v>0</v>
      </c>
      <c r="J47" s="390">
        <v>-0.08</v>
      </c>
      <c r="K47" s="389" t="s">
        <v>2917</v>
      </c>
      <c r="L47" s="390">
        <v>0</v>
      </c>
      <c r="M47" s="389" t="s">
        <v>2918</v>
      </c>
      <c r="N47" s="389" t="s">
        <v>2919</v>
      </c>
      <c r="O47" s="389" t="s">
        <v>2208</v>
      </c>
      <c r="P47" s="389" t="s">
        <v>2916</v>
      </c>
      <c r="Q47" s="389" t="s">
        <v>3220</v>
      </c>
      <c r="R47" s="389" t="s">
        <v>2208</v>
      </c>
      <c r="S47" s="389" t="s">
        <v>2208</v>
      </c>
    </row>
    <row r="48" spans="1:19">
      <c r="A48" s="389" t="s">
        <v>10148</v>
      </c>
      <c r="B48" s="391" t="str">
        <f t="shared" si="0"/>
        <v>LCP-210086-EX</v>
      </c>
      <c r="C48" s="389" t="str">
        <f t="shared" si="1"/>
        <v>maio</v>
      </c>
      <c r="D48" s="389" t="s">
        <v>16361</v>
      </c>
      <c r="E48" s="391">
        <v>45804</v>
      </c>
      <c r="F48" s="389" t="s">
        <v>17684</v>
      </c>
      <c r="G48" s="389" t="s">
        <v>2916</v>
      </c>
      <c r="H48" s="389" t="s">
        <v>17685</v>
      </c>
      <c r="I48" s="398">
        <v>89000</v>
      </c>
      <c r="J48" s="390">
        <v>15797.5</v>
      </c>
      <c r="K48" s="389" t="s">
        <v>2917</v>
      </c>
      <c r="L48" s="390">
        <v>89000</v>
      </c>
      <c r="M48" s="389" t="s">
        <v>2918</v>
      </c>
      <c r="N48" s="389" t="s">
        <v>2945</v>
      </c>
      <c r="O48" s="389" t="s">
        <v>2945</v>
      </c>
      <c r="P48" s="389" t="s">
        <v>2924</v>
      </c>
      <c r="Q48" s="389" t="s">
        <v>3219</v>
      </c>
      <c r="R48" s="389" t="s">
        <v>2208</v>
      </c>
      <c r="S48" s="389" t="s">
        <v>2208</v>
      </c>
    </row>
    <row r="49" spans="1:19">
      <c r="A49" s="389" t="s">
        <v>10148</v>
      </c>
      <c r="B49" s="391" t="str">
        <f t="shared" si="0"/>
        <v>LCP-210086-EX</v>
      </c>
      <c r="C49" s="389" t="str">
        <f t="shared" si="1"/>
        <v>maio</v>
      </c>
      <c r="D49" s="389" t="s">
        <v>16361</v>
      </c>
      <c r="E49" s="391">
        <v>45806</v>
      </c>
      <c r="F49" s="389" t="s">
        <v>17684</v>
      </c>
      <c r="G49" s="389" t="s">
        <v>2916</v>
      </c>
      <c r="H49" s="389" t="s">
        <v>18398</v>
      </c>
      <c r="I49" s="398">
        <v>0</v>
      </c>
      <c r="J49" s="390">
        <v>-1461.27</v>
      </c>
      <c r="K49" s="389" t="s">
        <v>2917</v>
      </c>
      <c r="L49" s="390">
        <v>-8232.5</v>
      </c>
      <c r="M49" s="389" t="s">
        <v>2918</v>
      </c>
      <c r="N49" s="389" t="s">
        <v>18399</v>
      </c>
      <c r="O49" s="389" t="s">
        <v>2945</v>
      </c>
      <c r="P49" s="389" t="s">
        <v>2924</v>
      </c>
      <c r="Q49" s="389" t="s">
        <v>3219</v>
      </c>
      <c r="R49" s="389" t="s">
        <v>2208</v>
      </c>
      <c r="S49" s="389" t="s">
        <v>2208</v>
      </c>
    </row>
    <row r="50" spans="1:19">
      <c r="A50" s="389" t="s">
        <v>10148</v>
      </c>
      <c r="B50" s="391" t="str">
        <f t="shared" si="0"/>
        <v>LCP-210086-EX</v>
      </c>
      <c r="C50" s="389" t="str">
        <f t="shared" si="1"/>
        <v>maio</v>
      </c>
      <c r="D50" s="389" t="s">
        <v>16361</v>
      </c>
      <c r="E50" s="391">
        <v>45808</v>
      </c>
      <c r="F50" s="389" t="s">
        <v>2208</v>
      </c>
      <c r="G50" s="389" t="s">
        <v>2916</v>
      </c>
      <c r="H50" s="389" t="s">
        <v>18400</v>
      </c>
      <c r="I50" s="393">
        <v>0</v>
      </c>
      <c r="J50" s="390">
        <v>0.09</v>
      </c>
      <c r="K50" s="389" t="s">
        <v>2917</v>
      </c>
      <c r="L50" s="390">
        <v>0</v>
      </c>
      <c r="M50" s="389" t="s">
        <v>2918</v>
      </c>
      <c r="N50" s="389" t="s">
        <v>2919</v>
      </c>
      <c r="O50" s="389" t="s">
        <v>2208</v>
      </c>
      <c r="P50" s="389" t="s">
        <v>2916</v>
      </c>
      <c r="Q50" s="389" t="s">
        <v>3220</v>
      </c>
      <c r="R50" s="389" t="s">
        <v>2208</v>
      </c>
      <c r="S50" s="389" t="s">
        <v>2208</v>
      </c>
    </row>
    <row r="51" spans="1:19">
      <c r="A51" s="389" t="s">
        <v>6865</v>
      </c>
      <c r="B51" s="391" t="str">
        <f t="shared" si="0"/>
        <v>LCP-220044-EX</v>
      </c>
      <c r="C51" s="389" t="str">
        <f t="shared" si="1"/>
        <v>janeiro</v>
      </c>
      <c r="D51" s="389" t="s">
        <v>2921</v>
      </c>
      <c r="E51" s="391">
        <v>45679</v>
      </c>
      <c r="F51" s="389" t="s">
        <v>8375</v>
      </c>
      <c r="G51" s="389" t="s">
        <v>2916</v>
      </c>
      <c r="H51" s="389" t="s">
        <v>8376</v>
      </c>
      <c r="I51" s="393">
        <v>10627.4</v>
      </c>
      <c r="J51" s="390">
        <v>1720.89</v>
      </c>
      <c r="K51" s="389" t="s">
        <v>2917</v>
      </c>
      <c r="L51" s="390">
        <v>10627.4</v>
      </c>
      <c r="M51" s="389" t="s">
        <v>2918</v>
      </c>
      <c r="N51" s="389" t="s">
        <v>2923</v>
      </c>
      <c r="O51" s="389" t="s">
        <v>2923</v>
      </c>
      <c r="P51" s="389" t="s">
        <v>2924</v>
      </c>
      <c r="Q51" s="389" t="s">
        <v>3219</v>
      </c>
      <c r="R51" s="389" t="s">
        <v>2208</v>
      </c>
      <c r="S51" s="389" t="s">
        <v>2208</v>
      </c>
    </row>
    <row r="52" spans="1:19">
      <c r="A52" s="389" t="s">
        <v>6865</v>
      </c>
      <c r="B52" s="391" t="str">
        <f t="shared" si="0"/>
        <v>LCP-220044-EX</v>
      </c>
      <c r="C52" s="389" t="str">
        <f t="shared" si="1"/>
        <v>janeiro</v>
      </c>
      <c r="D52" s="389" t="s">
        <v>2921</v>
      </c>
      <c r="E52" s="391">
        <v>45686</v>
      </c>
      <c r="F52" s="389" t="s">
        <v>8375</v>
      </c>
      <c r="G52" s="389" t="s">
        <v>2916</v>
      </c>
      <c r="H52" s="389" t="s">
        <v>8377</v>
      </c>
      <c r="I52" s="398">
        <v>0</v>
      </c>
      <c r="J52" s="390">
        <v>-159.18</v>
      </c>
      <c r="K52" s="389" t="s">
        <v>2917</v>
      </c>
      <c r="L52" s="390">
        <v>-983.03</v>
      </c>
      <c r="M52" s="389" t="s">
        <v>2918</v>
      </c>
      <c r="N52" s="389" t="s">
        <v>8378</v>
      </c>
      <c r="O52" s="389" t="s">
        <v>2923</v>
      </c>
      <c r="P52" s="389" t="s">
        <v>2924</v>
      </c>
      <c r="Q52" s="389" t="s">
        <v>3219</v>
      </c>
      <c r="R52" s="389" t="s">
        <v>2208</v>
      </c>
      <c r="S52" s="389" t="s">
        <v>2208</v>
      </c>
    </row>
    <row r="53" spans="1:19">
      <c r="A53" s="389" t="s">
        <v>6865</v>
      </c>
      <c r="B53" s="391" t="str">
        <f t="shared" si="0"/>
        <v>LCP-220044-EX</v>
      </c>
      <c r="C53" s="389" t="str">
        <f t="shared" si="1"/>
        <v>janeiro</v>
      </c>
      <c r="D53" s="389" t="s">
        <v>2921</v>
      </c>
      <c r="E53" s="391">
        <v>45688</v>
      </c>
      <c r="F53" s="389" t="s">
        <v>2208</v>
      </c>
      <c r="G53" s="389" t="s">
        <v>2916</v>
      </c>
      <c r="H53" s="389" t="s">
        <v>8379</v>
      </c>
      <c r="I53" s="393">
        <v>0</v>
      </c>
      <c r="J53" s="390">
        <v>-0.06</v>
      </c>
      <c r="K53" s="389" t="s">
        <v>2917</v>
      </c>
      <c r="L53" s="390">
        <v>0</v>
      </c>
      <c r="M53" s="389" t="s">
        <v>2918</v>
      </c>
      <c r="N53" s="389" t="s">
        <v>2919</v>
      </c>
      <c r="O53" s="389" t="s">
        <v>2208</v>
      </c>
      <c r="P53" s="389" t="s">
        <v>2916</v>
      </c>
      <c r="Q53" s="389" t="s">
        <v>3220</v>
      </c>
      <c r="R53" s="389" t="s">
        <v>2208</v>
      </c>
      <c r="S53" s="389" t="s">
        <v>2208</v>
      </c>
    </row>
    <row r="54" spans="1:19">
      <c r="A54" s="389" t="s">
        <v>6865</v>
      </c>
      <c r="B54" s="391" t="str">
        <f t="shared" si="0"/>
        <v>LCP-220044-EX</v>
      </c>
      <c r="C54" s="389" t="str">
        <f t="shared" si="1"/>
        <v>maio</v>
      </c>
      <c r="D54" s="389" t="s">
        <v>16361</v>
      </c>
      <c r="E54" s="391">
        <v>45800</v>
      </c>
      <c r="F54" s="389" t="s">
        <v>8375</v>
      </c>
      <c r="G54" s="389" t="s">
        <v>2916</v>
      </c>
      <c r="H54" s="389" t="s">
        <v>17686</v>
      </c>
      <c r="I54" s="393">
        <v>2136.6</v>
      </c>
      <c r="J54" s="390">
        <v>379.25</v>
      </c>
      <c r="K54" s="389" t="s">
        <v>2917</v>
      </c>
      <c r="L54" s="390">
        <v>2136.6</v>
      </c>
      <c r="M54" s="389" t="s">
        <v>2918</v>
      </c>
      <c r="N54" s="389" t="s">
        <v>2923</v>
      </c>
      <c r="O54" s="389" t="s">
        <v>2923</v>
      </c>
      <c r="P54" s="389" t="s">
        <v>2924</v>
      </c>
      <c r="Q54" s="389" t="s">
        <v>3219</v>
      </c>
      <c r="R54" s="389" t="s">
        <v>2208</v>
      </c>
      <c r="S54" s="389" t="s">
        <v>2208</v>
      </c>
    </row>
    <row r="55" spans="1:19">
      <c r="A55" s="389" t="s">
        <v>6865</v>
      </c>
      <c r="B55" s="391" t="str">
        <f t="shared" si="0"/>
        <v>LCP-220044-EX</v>
      </c>
      <c r="C55" s="389" t="str">
        <f t="shared" si="1"/>
        <v>maio</v>
      </c>
      <c r="D55" s="389" t="s">
        <v>16361</v>
      </c>
      <c r="E55" s="391">
        <v>45803</v>
      </c>
      <c r="F55" s="389" t="s">
        <v>8375</v>
      </c>
      <c r="G55" s="389" t="s">
        <v>2916</v>
      </c>
      <c r="H55" s="389" t="s">
        <v>17687</v>
      </c>
      <c r="I55" s="398">
        <v>0</v>
      </c>
      <c r="J55" s="390">
        <v>-35.08</v>
      </c>
      <c r="K55" s="389" t="s">
        <v>2917</v>
      </c>
      <c r="L55" s="390">
        <v>-197.63</v>
      </c>
      <c r="M55" s="389" t="s">
        <v>2918</v>
      </c>
      <c r="N55" s="389" t="s">
        <v>17688</v>
      </c>
      <c r="O55" s="389" t="s">
        <v>2923</v>
      </c>
      <c r="P55" s="389" t="s">
        <v>2924</v>
      </c>
      <c r="Q55" s="389" t="s">
        <v>3219</v>
      </c>
      <c r="R55" s="389" t="s">
        <v>2208</v>
      </c>
      <c r="S55" s="389" t="s">
        <v>2208</v>
      </c>
    </row>
    <row r="56" spans="1:19">
      <c r="A56" s="389" t="s">
        <v>8793</v>
      </c>
      <c r="B56" s="391" t="str">
        <f t="shared" si="0"/>
        <v>LCP-220207-EX</v>
      </c>
      <c r="C56" s="389" t="str">
        <f t="shared" si="1"/>
        <v>fevereiro</v>
      </c>
      <c r="D56" s="389" t="s">
        <v>2925</v>
      </c>
      <c r="E56" s="391">
        <v>45694</v>
      </c>
      <c r="F56" s="389" t="s">
        <v>8794</v>
      </c>
      <c r="G56" s="389" t="s">
        <v>2916</v>
      </c>
      <c r="H56" s="389" t="s">
        <v>8795</v>
      </c>
      <c r="I56" s="398">
        <v>40</v>
      </c>
      <c r="J56" s="390">
        <v>5483.14</v>
      </c>
      <c r="K56" s="389" t="s">
        <v>2917</v>
      </c>
      <c r="L56" s="390">
        <v>31888</v>
      </c>
      <c r="M56" s="389" t="s">
        <v>2918</v>
      </c>
      <c r="N56" s="389" t="s">
        <v>8796</v>
      </c>
      <c r="O56" s="389" t="s">
        <v>8797</v>
      </c>
      <c r="P56" s="389" t="s">
        <v>2924</v>
      </c>
      <c r="Q56" s="389" t="s">
        <v>3219</v>
      </c>
      <c r="R56" s="389" t="s">
        <v>8798</v>
      </c>
      <c r="S56" s="389" t="s">
        <v>8799</v>
      </c>
    </row>
    <row r="57" spans="1:19">
      <c r="A57" s="389" t="s">
        <v>10395</v>
      </c>
      <c r="B57" s="391" t="str">
        <f t="shared" si="0"/>
        <v>LCP-220207-EX</v>
      </c>
      <c r="C57" s="389" t="str">
        <f t="shared" si="1"/>
        <v>maio</v>
      </c>
      <c r="D57" s="389" t="s">
        <v>16361</v>
      </c>
      <c r="E57" s="391">
        <v>45784</v>
      </c>
      <c r="F57" s="389" t="s">
        <v>17195</v>
      </c>
      <c r="G57" s="389" t="s">
        <v>2916</v>
      </c>
      <c r="H57" s="389" t="s">
        <v>17196</v>
      </c>
      <c r="I57" s="398">
        <v>3</v>
      </c>
      <c r="J57" s="390">
        <v>713.55</v>
      </c>
      <c r="K57" s="389" t="s">
        <v>2917</v>
      </c>
      <c r="L57" s="390">
        <v>4020</v>
      </c>
      <c r="M57" s="389" t="s">
        <v>2918</v>
      </c>
      <c r="N57" s="389" t="s">
        <v>17197</v>
      </c>
      <c r="O57" s="389" t="s">
        <v>17198</v>
      </c>
      <c r="P57" s="389" t="s">
        <v>2924</v>
      </c>
      <c r="Q57" s="389" t="s">
        <v>3219</v>
      </c>
      <c r="R57" s="389" t="s">
        <v>17199</v>
      </c>
      <c r="S57" s="389" t="s">
        <v>17200</v>
      </c>
    </row>
    <row r="58" spans="1:19">
      <c r="A58" s="389" t="s">
        <v>10395</v>
      </c>
      <c r="B58" s="391" t="str">
        <f t="shared" si="0"/>
        <v>LCP-220207-EX</v>
      </c>
      <c r="C58" s="389" t="str">
        <f t="shared" si="1"/>
        <v>maio</v>
      </c>
      <c r="D58" s="389" t="s">
        <v>16361</v>
      </c>
      <c r="E58" s="391">
        <v>45784</v>
      </c>
      <c r="F58" s="389" t="s">
        <v>17195</v>
      </c>
      <c r="G58" s="389" t="s">
        <v>2916</v>
      </c>
      <c r="H58" s="389" t="s">
        <v>17196</v>
      </c>
      <c r="I58" s="398">
        <v>3</v>
      </c>
      <c r="J58" s="390">
        <v>5.33</v>
      </c>
      <c r="K58" s="389" t="s">
        <v>2917</v>
      </c>
      <c r="L58" s="390">
        <v>30</v>
      </c>
      <c r="M58" s="389" t="s">
        <v>2918</v>
      </c>
      <c r="N58" s="389" t="s">
        <v>17197</v>
      </c>
      <c r="O58" s="389" t="s">
        <v>17201</v>
      </c>
      <c r="P58" s="389" t="s">
        <v>2924</v>
      </c>
      <c r="Q58" s="389" t="s">
        <v>3219</v>
      </c>
      <c r="R58" s="389" t="s">
        <v>17202</v>
      </c>
      <c r="S58" s="389" t="s">
        <v>17203</v>
      </c>
    </row>
    <row r="59" spans="1:19">
      <c r="A59" s="389" t="s">
        <v>6858</v>
      </c>
      <c r="B59" s="391" t="str">
        <f t="shared" si="0"/>
        <v>LCP-220207-EX</v>
      </c>
      <c r="C59" s="389" t="str">
        <f t="shared" si="1"/>
        <v>janeiro</v>
      </c>
      <c r="D59" s="389" t="s">
        <v>2921</v>
      </c>
      <c r="E59" s="391">
        <v>45679</v>
      </c>
      <c r="F59" s="389" t="s">
        <v>6859</v>
      </c>
      <c r="G59" s="389" t="s">
        <v>2916</v>
      </c>
      <c r="H59" s="389" t="s">
        <v>8380</v>
      </c>
      <c r="I59" s="398">
        <v>1850</v>
      </c>
      <c r="J59" s="390">
        <v>299.57</v>
      </c>
      <c r="K59" s="389" t="s">
        <v>2917</v>
      </c>
      <c r="L59" s="390">
        <v>1850</v>
      </c>
      <c r="M59" s="389" t="s">
        <v>2918</v>
      </c>
      <c r="N59" s="389" t="s">
        <v>6857</v>
      </c>
      <c r="O59" s="389" t="s">
        <v>6857</v>
      </c>
      <c r="P59" s="389" t="s">
        <v>2924</v>
      </c>
      <c r="Q59" s="389" t="s">
        <v>3219</v>
      </c>
      <c r="R59" s="389" t="s">
        <v>2208</v>
      </c>
      <c r="S59" s="389" t="s">
        <v>2208</v>
      </c>
    </row>
    <row r="60" spans="1:19">
      <c r="A60" s="389" t="s">
        <v>6858</v>
      </c>
      <c r="B60" s="391" t="str">
        <f t="shared" si="0"/>
        <v>LCP-220207-EX</v>
      </c>
      <c r="C60" s="389" t="str">
        <f t="shared" si="1"/>
        <v>janeiro</v>
      </c>
      <c r="D60" s="389" t="s">
        <v>2921</v>
      </c>
      <c r="E60" s="391">
        <v>45684</v>
      </c>
      <c r="F60" s="389" t="s">
        <v>6859</v>
      </c>
      <c r="G60" s="389" t="s">
        <v>2916</v>
      </c>
      <c r="H60" s="389" t="s">
        <v>8381</v>
      </c>
      <c r="I60" s="398">
        <v>1850</v>
      </c>
      <c r="J60" s="390">
        <v>299.57</v>
      </c>
      <c r="K60" s="389" t="s">
        <v>2917</v>
      </c>
      <c r="L60" s="390">
        <v>1850</v>
      </c>
      <c r="M60" s="389" t="s">
        <v>2918</v>
      </c>
      <c r="N60" s="389" t="s">
        <v>6857</v>
      </c>
      <c r="O60" s="389" t="s">
        <v>6857</v>
      </c>
      <c r="P60" s="389" t="s">
        <v>2924</v>
      </c>
      <c r="Q60" s="389" t="s">
        <v>3219</v>
      </c>
      <c r="R60" s="389" t="s">
        <v>2208</v>
      </c>
      <c r="S60" s="389" t="s">
        <v>2208</v>
      </c>
    </row>
    <row r="61" spans="1:19">
      <c r="A61" s="389" t="s">
        <v>6858</v>
      </c>
      <c r="B61" s="391" t="str">
        <f t="shared" si="0"/>
        <v>LCP-220207-EX</v>
      </c>
      <c r="C61" s="389" t="str">
        <f t="shared" si="1"/>
        <v>fevereiro</v>
      </c>
      <c r="D61" s="389" t="s">
        <v>2925</v>
      </c>
      <c r="E61" s="391">
        <v>45695</v>
      </c>
      <c r="F61" s="389" t="s">
        <v>6859</v>
      </c>
      <c r="G61" s="389" t="s">
        <v>2916</v>
      </c>
      <c r="H61" s="389" t="s">
        <v>8800</v>
      </c>
      <c r="I61" s="398">
        <v>0</v>
      </c>
      <c r="J61" s="390">
        <v>-10.89</v>
      </c>
      <c r="K61" s="389" t="s">
        <v>2917</v>
      </c>
      <c r="L61" s="390">
        <v>-171.13</v>
      </c>
      <c r="M61" s="389" t="s">
        <v>2918</v>
      </c>
      <c r="N61" s="389" t="s">
        <v>8801</v>
      </c>
      <c r="O61" s="389" t="s">
        <v>6857</v>
      </c>
      <c r="P61" s="389" t="s">
        <v>2924</v>
      </c>
      <c r="Q61" s="389" t="s">
        <v>3219</v>
      </c>
      <c r="R61" s="389" t="s">
        <v>2208</v>
      </c>
      <c r="S61" s="389" t="s">
        <v>2208</v>
      </c>
    </row>
    <row r="62" spans="1:19">
      <c r="A62" s="389" t="s">
        <v>6858</v>
      </c>
      <c r="B62" s="391" t="str">
        <f t="shared" si="0"/>
        <v>LCP-220207-EX</v>
      </c>
      <c r="C62" s="389" t="str">
        <f t="shared" si="1"/>
        <v>fevereiro</v>
      </c>
      <c r="D62" s="389" t="s">
        <v>2925</v>
      </c>
      <c r="E62" s="391">
        <v>45716</v>
      </c>
      <c r="F62" s="389" t="s">
        <v>2208</v>
      </c>
      <c r="G62" s="389" t="s">
        <v>2916</v>
      </c>
      <c r="H62" s="389" t="s">
        <v>9579</v>
      </c>
      <c r="I62" s="393">
        <v>0</v>
      </c>
      <c r="J62" s="390">
        <v>-18.510000000000002</v>
      </c>
      <c r="K62" s="389" t="s">
        <v>2917</v>
      </c>
      <c r="L62" s="390">
        <v>0</v>
      </c>
      <c r="M62" s="389" t="s">
        <v>2918</v>
      </c>
      <c r="N62" s="389" t="s">
        <v>2919</v>
      </c>
      <c r="O62" s="389" t="s">
        <v>2208</v>
      </c>
      <c r="P62" s="389" t="s">
        <v>2916</v>
      </c>
      <c r="Q62" s="389" t="s">
        <v>3220</v>
      </c>
      <c r="R62" s="389" t="s">
        <v>2208</v>
      </c>
      <c r="S62" s="389" t="s">
        <v>2208</v>
      </c>
    </row>
    <row r="63" spans="1:19">
      <c r="A63" s="389" t="s">
        <v>6858</v>
      </c>
      <c r="B63" s="391" t="str">
        <f t="shared" si="0"/>
        <v>LCP-220207-EX</v>
      </c>
      <c r="C63" s="389" t="str">
        <f t="shared" si="1"/>
        <v>abril</v>
      </c>
      <c r="D63" s="389" t="s">
        <v>11332</v>
      </c>
      <c r="E63" s="391">
        <v>45764</v>
      </c>
      <c r="F63" s="389" t="s">
        <v>16009</v>
      </c>
      <c r="G63" s="389" t="s">
        <v>2916</v>
      </c>
      <c r="H63" s="389" t="s">
        <v>16010</v>
      </c>
      <c r="I63" s="398">
        <v>5761</v>
      </c>
      <c r="J63" s="390">
        <v>1000.4</v>
      </c>
      <c r="K63" s="389" t="s">
        <v>2917</v>
      </c>
      <c r="L63" s="390">
        <v>5761</v>
      </c>
      <c r="M63" s="389" t="s">
        <v>2918</v>
      </c>
      <c r="N63" s="389" t="s">
        <v>6857</v>
      </c>
      <c r="O63" s="389" t="s">
        <v>6857</v>
      </c>
      <c r="P63" s="389" t="s">
        <v>2924</v>
      </c>
      <c r="Q63" s="389" t="s">
        <v>3219</v>
      </c>
      <c r="R63" s="389" t="s">
        <v>2208</v>
      </c>
      <c r="S63" s="389" t="s">
        <v>2208</v>
      </c>
    </row>
    <row r="64" spans="1:19">
      <c r="A64" s="389" t="s">
        <v>6858</v>
      </c>
      <c r="B64" s="391" t="str">
        <f t="shared" si="0"/>
        <v>LCP-220207-EX</v>
      </c>
      <c r="C64" s="389" t="str">
        <f t="shared" si="1"/>
        <v>abril</v>
      </c>
      <c r="D64" s="389" t="s">
        <v>11332</v>
      </c>
      <c r="E64" s="391">
        <v>45764</v>
      </c>
      <c r="F64" s="389" t="s">
        <v>16009</v>
      </c>
      <c r="G64" s="389" t="s">
        <v>2916</v>
      </c>
      <c r="H64" s="389" t="s">
        <v>16011</v>
      </c>
      <c r="I64" s="398">
        <v>5761</v>
      </c>
      <c r="J64" s="390">
        <v>1000.4</v>
      </c>
      <c r="K64" s="389" t="s">
        <v>2917</v>
      </c>
      <c r="L64" s="390">
        <v>5761</v>
      </c>
      <c r="M64" s="389" t="s">
        <v>2918</v>
      </c>
      <c r="N64" s="389" t="s">
        <v>6857</v>
      </c>
      <c r="O64" s="389" t="s">
        <v>6857</v>
      </c>
      <c r="P64" s="389" t="s">
        <v>2924</v>
      </c>
      <c r="Q64" s="389" t="s">
        <v>3219</v>
      </c>
      <c r="R64" s="389" t="s">
        <v>2208</v>
      </c>
      <c r="S64" s="389" t="s">
        <v>2208</v>
      </c>
    </row>
    <row r="65" spans="1:19">
      <c r="A65" s="389" t="s">
        <v>6858</v>
      </c>
      <c r="B65" s="391" t="str">
        <f t="shared" si="0"/>
        <v>LCP-220207-EX</v>
      </c>
      <c r="C65" s="389" t="str">
        <f t="shared" si="1"/>
        <v>abril</v>
      </c>
      <c r="D65" s="389" t="s">
        <v>11332</v>
      </c>
      <c r="E65" s="391">
        <v>45771</v>
      </c>
      <c r="F65" s="389" t="s">
        <v>16009</v>
      </c>
      <c r="G65" s="389" t="s">
        <v>2916</v>
      </c>
      <c r="H65" s="389" t="s">
        <v>16012</v>
      </c>
      <c r="I65" s="398">
        <v>0</v>
      </c>
      <c r="J65" s="390">
        <v>-92.54</v>
      </c>
      <c r="K65" s="389" t="s">
        <v>2917</v>
      </c>
      <c r="L65" s="390">
        <v>-532.9</v>
      </c>
      <c r="M65" s="389" t="s">
        <v>2918</v>
      </c>
      <c r="N65" s="389" t="s">
        <v>16013</v>
      </c>
      <c r="O65" s="389" t="s">
        <v>6857</v>
      </c>
      <c r="P65" s="389" t="s">
        <v>2924</v>
      </c>
      <c r="Q65" s="389" t="s">
        <v>3219</v>
      </c>
      <c r="R65" s="389" t="s">
        <v>2208</v>
      </c>
      <c r="S65" s="389" t="s">
        <v>2208</v>
      </c>
    </row>
    <row r="66" spans="1:19">
      <c r="A66" s="389" t="s">
        <v>6858</v>
      </c>
      <c r="B66" s="391" t="str">
        <f t="shared" si="0"/>
        <v>LCP-220207-EX</v>
      </c>
      <c r="C66" s="389" t="str">
        <f t="shared" si="1"/>
        <v>abril</v>
      </c>
      <c r="D66" s="389" t="s">
        <v>11332</v>
      </c>
      <c r="E66" s="391">
        <v>45771</v>
      </c>
      <c r="F66" s="389" t="s">
        <v>16009</v>
      </c>
      <c r="G66" s="389" t="s">
        <v>2916</v>
      </c>
      <c r="H66" s="389" t="s">
        <v>16014</v>
      </c>
      <c r="I66" s="398">
        <v>0</v>
      </c>
      <c r="J66" s="390">
        <v>-92.54</v>
      </c>
      <c r="K66" s="389" t="s">
        <v>2917</v>
      </c>
      <c r="L66" s="390">
        <v>-532.9</v>
      </c>
      <c r="M66" s="389" t="s">
        <v>2918</v>
      </c>
      <c r="N66" s="389" t="s">
        <v>16015</v>
      </c>
      <c r="O66" s="389" t="s">
        <v>6857</v>
      </c>
      <c r="P66" s="389" t="s">
        <v>2924</v>
      </c>
      <c r="Q66" s="389" t="s">
        <v>3219</v>
      </c>
      <c r="R66" s="389" t="s">
        <v>2208</v>
      </c>
      <c r="S66" s="389" t="s">
        <v>2208</v>
      </c>
    </row>
    <row r="67" spans="1:19">
      <c r="A67" s="389" t="s">
        <v>6858</v>
      </c>
      <c r="B67" s="391" t="str">
        <f t="shared" ref="B67:B130" si="2">IF(LEFT(A67,1)="E",A67,LEFT(A67,13))</f>
        <v>LCP-220207-EX</v>
      </c>
      <c r="C67" s="389" t="str">
        <f t="shared" ref="C67:C130" si="3">TEXT(E67,"mmmm")</f>
        <v>abril</v>
      </c>
      <c r="D67" s="389" t="s">
        <v>11332</v>
      </c>
      <c r="E67" s="391">
        <v>45777</v>
      </c>
      <c r="F67" s="389" t="s">
        <v>2208</v>
      </c>
      <c r="G67" s="389" t="s">
        <v>2916</v>
      </c>
      <c r="H67" s="389" t="s">
        <v>16936</v>
      </c>
      <c r="I67" s="393">
        <v>0</v>
      </c>
      <c r="J67" s="390">
        <v>-0.04</v>
      </c>
      <c r="K67" s="389" t="s">
        <v>2917</v>
      </c>
      <c r="L67" s="390">
        <v>0</v>
      </c>
      <c r="M67" s="389" t="s">
        <v>2918</v>
      </c>
      <c r="N67" s="389" t="s">
        <v>2919</v>
      </c>
      <c r="O67" s="389" t="s">
        <v>2208</v>
      </c>
      <c r="P67" s="389" t="s">
        <v>2916</v>
      </c>
      <c r="Q67" s="389" t="s">
        <v>3220</v>
      </c>
      <c r="R67" s="389" t="s">
        <v>2208</v>
      </c>
      <c r="S67" s="389" t="s">
        <v>2208</v>
      </c>
    </row>
    <row r="68" spans="1:19">
      <c r="A68" s="389" t="s">
        <v>6858</v>
      </c>
      <c r="B68" s="391" t="str">
        <f t="shared" si="2"/>
        <v>LCP-220207-EX</v>
      </c>
      <c r="C68" s="389" t="str">
        <f t="shared" si="3"/>
        <v>maio</v>
      </c>
      <c r="D68" s="389" t="s">
        <v>16361</v>
      </c>
      <c r="E68" s="391">
        <v>45786</v>
      </c>
      <c r="F68" s="389" t="s">
        <v>6859</v>
      </c>
      <c r="G68" s="389" t="s">
        <v>2916</v>
      </c>
      <c r="H68" s="389" t="s">
        <v>17204</v>
      </c>
      <c r="I68" s="398">
        <v>-1850</v>
      </c>
      <c r="J68" s="390">
        <v>-299.57</v>
      </c>
      <c r="K68" s="389" t="s">
        <v>2917</v>
      </c>
      <c r="L68" s="390">
        <v>-1850</v>
      </c>
      <c r="M68" s="389" t="s">
        <v>2918</v>
      </c>
      <c r="N68" s="389" t="s">
        <v>6857</v>
      </c>
      <c r="O68" s="389" t="s">
        <v>6857</v>
      </c>
      <c r="P68" s="389" t="s">
        <v>2924</v>
      </c>
      <c r="Q68" s="389" t="s">
        <v>3219</v>
      </c>
      <c r="R68" s="389" t="s">
        <v>2208</v>
      </c>
      <c r="S68" s="389" t="s">
        <v>2208</v>
      </c>
    </row>
    <row r="69" spans="1:19">
      <c r="A69" s="389" t="s">
        <v>6858</v>
      </c>
      <c r="B69" s="391" t="str">
        <f t="shared" si="2"/>
        <v>LCP-220207-EX</v>
      </c>
      <c r="C69" s="389" t="str">
        <f t="shared" si="3"/>
        <v>maio</v>
      </c>
      <c r="D69" s="389" t="s">
        <v>16361</v>
      </c>
      <c r="E69" s="391">
        <v>45808</v>
      </c>
      <c r="F69" s="389" t="s">
        <v>2208</v>
      </c>
      <c r="G69" s="389" t="s">
        <v>2916</v>
      </c>
      <c r="H69" s="389" t="s">
        <v>18401</v>
      </c>
      <c r="I69" s="393">
        <v>0</v>
      </c>
      <c r="J69" s="390">
        <v>-28.81</v>
      </c>
      <c r="K69" s="389" t="s">
        <v>2917</v>
      </c>
      <c r="L69" s="390">
        <v>0</v>
      </c>
      <c r="M69" s="389" t="s">
        <v>2918</v>
      </c>
      <c r="N69" s="389" t="s">
        <v>2919</v>
      </c>
      <c r="O69" s="389" t="s">
        <v>2208</v>
      </c>
      <c r="P69" s="389" t="s">
        <v>2916</v>
      </c>
      <c r="Q69" s="389" t="s">
        <v>3220</v>
      </c>
      <c r="R69" s="389" t="s">
        <v>2208</v>
      </c>
      <c r="S69" s="389" t="s">
        <v>2208</v>
      </c>
    </row>
    <row r="70" spans="1:19">
      <c r="A70" s="389" t="s">
        <v>6858</v>
      </c>
      <c r="B70" s="391" t="str">
        <f t="shared" si="2"/>
        <v>LCP-220207-EX</v>
      </c>
      <c r="C70" s="389" t="str">
        <f t="shared" si="3"/>
        <v>junho</v>
      </c>
      <c r="D70" s="389" t="s">
        <v>17898</v>
      </c>
      <c r="E70" s="391">
        <v>45818</v>
      </c>
      <c r="F70" s="389" t="s">
        <v>16009</v>
      </c>
      <c r="G70" s="389" t="s">
        <v>2916</v>
      </c>
      <c r="H70" s="389" t="s">
        <v>18799</v>
      </c>
      <c r="I70" s="398">
        <v>5761</v>
      </c>
      <c r="J70" s="390">
        <v>1015.09</v>
      </c>
      <c r="K70" s="389" t="s">
        <v>2917</v>
      </c>
      <c r="L70" s="390">
        <v>5761</v>
      </c>
      <c r="M70" s="389" t="s">
        <v>2918</v>
      </c>
      <c r="N70" s="389" t="s">
        <v>6857</v>
      </c>
      <c r="O70" s="389" t="s">
        <v>6857</v>
      </c>
      <c r="P70" s="389" t="s">
        <v>2924</v>
      </c>
      <c r="Q70" s="389" t="s">
        <v>3219</v>
      </c>
      <c r="R70" s="389" t="s">
        <v>2208</v>
      </c>
      <c r="S70" s="389" t="s">
        <v>2208</v>
      </c>
    </row>
    <row r="71" spans="1:19">
      <c r="A71" s="389" t="s">
        <v>6858</v>
      </c>
      <c r="B71" s="391" t="str">
        <f t="shared" si="2"/>
        <v>LCP-220207-EX</v>
      </c>
      <c r="C71" s="389" t="str">
        <f t="shared" si="3"/>
        <v>junho</v>
      </c>
      <c r="D71" s="389" t="s">
        <v>17898</v>
      </c>
      <c r="E71" s="391">
        <v>45818</v>
      </c>
      <c r="F71" s="389" t="s">
        <v>16009</v>
      </c>
      <c r="G71" s="389" t="s">
        <v>2916</v>
      </c>
      <c r="H71" s="389" t="s">
        <v>18800</v>
      </c>
      <c r="I71" s="398">
        <v>5761</v>
      </c>
      <c r="J71" s="390">
        <v>1015.09</v>
      </c>
      <c r="K71" s="389" t="s">
        <v>2917</v>
      </c>
      <c r="L71" s="390">
        <v>5761</v>
      </c>
      <c r="M71" s="389" t="s">
        <v>2918</v>
      </c>
      <c r="N71" s="389" t="s">
        <v>6857</v>
      </c>
      <c r="O71" s="389" t="s">
        <v>6857</v>
      </c>
      <c r="P71" s="389" t="s">
        <v>2924</v>
      </c>
      <c r="Q71" s="389" t="s">
        <v>3219</v>
      </c>
      <c r="R71" s="389" t="s">
        <v>2208</v>
      </c>
      <c r="S71" s="389" t="s">
        <v>2208</v>
      </c>
    </row>
    <row r="72" spans="1:19">
      <c r="A72" s="389" t="s">
        <v>6858</v>
      </c>
      <c r="B72" s="391" t="str">
        <f t="shared" si="2"/>
        <v>LCP-220207-EX</v>
      </c>
      <c r="C72" s="389" t="str">
        <f t="shared" si="3"/>
        <v>junho</v>
      </c>
      <c r="D72" s="389" t="s">
        <v>17898</v>
      </c>
      <c r="E72" s="391">
        <v>45833</v>
      </c>
      <c r="F72" s="389" t="s">
        <v>16009</v>
      </c>
      <c r="G72" s="389" t="s">
        <v>2916</v>
      </c>
      <c r="H72" s="389" t="s">
        <v>19445</v>
      </c>
      <c r="I72" s="398">
        <v>0</v>
      </c>
      <c r="J72" s="390">
        <v>-93.9</v>
      </c>
      <c r="K72" s="389" t="s">
        <v>2917</v>
      </c>
      <c r="L72" s="390">
        <v>-532.9</v>
      </c>
      <c r="M72" s="389" t="s">
        <v>2918</v>
      </c>
      <c r="N72" s="389" t="s">
        <v>19446</v>
      </c>
      <c r="O72" s="389" t="s">
        <v>6857</v>
      </c>
      <c r="P72" s="389" t="s">
        <v>2924</v>
      </c>
      <c r="Q72" s="389" t="s">
        <v>3219</v>
      </c>
      <c r="R72" s="389" t="s">
        <v>2208</v>
      </c>
      <c r="S72" s="389" t="s">
        <v>2208</v>
      </c>
    </row>
    <row r="73" spans="1:19">
      <c r="A73" s="389" t="s">
        <v>6858</v>
      </c>
      <c r="B73" s="391" t="str">
        <f t="shared" si="2"/>
        <v>LCP-220207-EX</v>
      </c>
      <c r="C73" s="389" t="str">
        <f t="shared" si="3"/>
        <v>junho</v>
      </c>
      <c r="D73" s="389" t="s">
        <v>17898</v>
      </c>
      <c r="E73" s="391">
        <v>45833</v>
      </c>
      <c r="F73" s="389" t="s">
        <v>16009</v>
      </c>
      <c r="G73" s="389" t="s">
        <v>2916</v>
      </c>
      <c r="H73" s="389" t="s">
        <v>19447</v>
      </c>
      <c r="I73" s="398">
        <v>0</v>
      </c>
      <c r="J73" s="390">
        <v>-93.9</v>
      </c>
      <c r="K73" s="389" t="s">
        <v>2917</v>
      </c>
      <c r="L73" s="390">
        <v>-532.9</v>
      </c>
      <c r="M73" s="389" t="s">
        <v>2918</v>
      </c>
      <c r="N73" s="389" t="s">
        <v>19448</v>
      </c>
      <c r="O73" s="389" t="s">
        <v>6857</v>
      </c>
      <c r="P73" s="389" t="s">
        <v>2924</v>
      </c>
      <c r="Q73" s="389" t="s">
        <v>3219</v>
      </c>
      <c r="R73" s="389" t="s">
        <v>2208</v>
      </c>
      <c r="S73" s="389" t="s">
        <v>2208</v>
      </c>
    </row>
    <row r="74" spans="1:19">
      <c r="A74" s="389" t="s">
        <v>6858</v>
      </c>
      <c r="B74" s="391" t="str">
        <f t="shared" si="2"/>
        <v>LCP-220207-EX</v>
      </c>
      <c r="C74" s="389" t="str">
        <f t="shared" si="3"/>
        <v>junho</v>
      </c>
      <c r="D74" s="389" t="s">
        <v>17898</v>
      </c>
      <c r="E74" s="391">
        <v>45838</v>
      </c>
      <c r="F74" s="389" t="s">
        <v>2208</v>
      </c>
      <c r="G74" s="389" t="s">
        <v>2916</v>
      </c>
      <c r="H74" s="389" t="s">
        <v>19449</v>
      </c>
      <c r="I74" s="393">
        <v>0</v>
      </c>
      <c r="J74" s="390">
        <v>-0.03</v>
      </c>
      <c r="K74" s="389" t="s">
        <v>2917</v>
      </c>
      <c r="L74" s="390">
        <v>0</v>
      </c>
      <c r="M74" s="389" t="s">
        <v>2918</v>
      </c>
      <c r="N74" s="389" t="s">
        <v>2919</v>
      </c>
      <c r="O74" s="389" t="s">
        <v>2208</v>
      </c>
      <c r="P74" s="389" t="s">
        <v>2916</v>
      </c>
      <c r="Q74" s="389" t="s">
        <v>3220</v>
      </c>
      <c r="R74" s="389" t="s">
        <v>2208</v>
      </c>
      <c r="S74" s="389" t="s">
        <v>2208</v>
      </c>
    </row>
    <row r="75" spans="1:19">
      <c r="A75" s="389" t="s">
        <v>6858</v>
      </c>
      <c r="B75" s="391" t="str">
        <f t="shared" si="2"/>
        <v>LCP-220207-EX</v>
      </c>
      <c r="C75" s="389" t="str">
        <f t="shared" si="3"/>
        <v>julho</v>
      </c>
      <c r="D75" s="389" t="s">
        <v>19440</v>
      </c>
      <c r="E75" s="391">
        <v>45839</v>
      </c>
      <c r="F75" s="389" t="s">
        <v>16009</v>
      </c>
      <c r="G75" s="389" t="s">
        <v>2916</v>
      </c>
      <c r="H75" s="389" t="s">
        <v>19450</v>
      </c>
      <c r="I75" s="398">
        <v>5761</v>
      </c>
      <c r="J75" s="390">
        <v>1052.3599999999999</v>
      </c>
      <c r="K75" s="389" t="s">
        <v>2917</v>
      </c>
      <c r="L75" s="390">
        <v>5761</v>
      </c>
      <c r="M75" s="389" t="s">
        <v>2918</v>
      </c>
      <c r="N75" s="389" t="s">
        <v>6857</v>
      </c>
      <c r="O75" s="389" t="s">
        <v>6857</v>
      </c>
      <c r="P75" s="389" t="s">
        <v>2924</v>
      </c>
      <c r="Q75" s="389" t="s">
        <v>3219</v>
      </c>
      <c r="R75" s="389" t="s">
        <v>2208</v>
      </c>
      <c r="S75" s="389" t="s">
        <v>2208</v>
      </c>
    </row>
    <row r="76" spans="1:19">
      <c r="A76" s="389" t="s">
        <v>10444</v>
      </c>
      <c r="B76" s="391" t="str">
        <f t="shared" si="2"/>
        <v>LCP-230053-EX</v>
      </c>
      <c r="C76" s="389" t="str">
        <f t="shared" si="3"/>
        <v>abril</v>
      </c>
      <c r="D76" s="389" t="s">
        <v>11332</v>
      </c>
      <c r="E76" s="391">
        <v>45764</v>
      </c>
      <c r="F76" s="389" t="s">
        <v>16016</v>
      </c>
      <c r="G76" s="389" t="s">
        <v>2916</v>
      </c>
      <c r="H76" s="389" t="s">
        <v>16017</v>
      </c>
      <c r="I76" s="398">
        <v>9559</v>
      </c>
      <c r="J76" s="390">
        <v>1659.92</v>
      </c>
      <c r="K76" s="389" t="s">
        <v>2917</v>
      </c>
      <c r="L76" s="390">
        <v>9559</v>
      </c>
      <c r="M76" s="389" t="s">
        <v>2918</v>
      </c>
      <c r="N76" s="389" t="s">
        <v>2941</v>
      </c>
      <c r="O76" s="389" t="s">
        <v>2941</v>
      </c>
      <c r="P76" s="389" t="s">
        <v>2924</v>
      </c>
      <c r="Q76" s="389" t="s">
        <v>3219</v>
      </c>
      <c r="R76" s="389" t="s">
        <v>2208</v>
      </c>
      <c r="S76" s="389" t="s">
        <v>2208</v>
      </c>
    </row>
    <row r="77" spans="1:19">
      <c r="A77" s="389" t="s">
        <v>10456</v>
      </c>
      <c r="B77" s="391" t="str">
        <f t="shared" si="2"/>
        <v>LCP-230060-EX</v>
      </c>
      <c r="C77" s="389" t="str">
        <f t="shared" si="3"/>
        <v>março</v>
      </c>
      <c r="D77" s="389" t="s">
        <v>9127</v>
      </c>
      <c r="E77" s="391">
        <v>45734</v>
      </c>
      <c r="F77" s="389" t="s">
        <v>11037</v>
      </c>
      <c r="G77" s="389" t="s">
        <v>2916</v>
      </c>
      <c r="H77" s="389" t="s">
        <v>11038</v>
      </c>
      <c r="I77" s="398">
        <v>12975</v>
      </c>
      <c r="J77" s="390">
        <v>2223.79</v>
      </c>
      <c r="K77" s="389" t="s">
        <v>2917</v>
      </c>
      <c r="L77" s="390">
        <v>12975</v>
      </c>
      <c r="M77" s="389" t="s">
        <v>2918</v>
      </c>
      <c r="N77" s="389" t="s">
        <v>2939</v>
      </c>
      <c r="O77" s="389" t="s">
        <v>2939</v>
      </c>
      <c r="P77" s="389" t="s">
        <v>2924</v>
      </c>
      <c r="Q77" s="389" t="s">
        <v>3219</v>
      </c>
      <c r="R77" s="389" t="s">
        <v>2208</v>
      </c>
      <c r="S77" s="389" t="s">
        <v>2208</v>
      </c>
    </row>
    <row r="78" spans="1:19">
      <c r="A78" s="389" t="s">
        <v>10456</v>
      </c>
      <c r="B78" s="391" t="str">
        <f t="shared" si="2"/>
        <v>LCP-230060-EX</v>
      </c>
      <c r="C78" s="389" t="str">
        <f t="shared" si="3"/>
        <v>março</v>
      </c>
      <c r="D78" s="389" t="s">
        <v>9127</v>
      </c>
      <c r="E78" s="391">
        <v>45740</v>
      </c>
      <c r="F78" s="389" t="s">
        <v>11037</v>
      </c>
      <c r="G78" s="389" t="s">
        <v>2916</v>
      </c>
      <c r="H78" s="389" t="s">
        <v>11215</v>
      </c>
      <c r="I78" s="398">
        <v>0</v>
      </c>
      <c r="J78" s="390">
        <v>-205.71</v>
      </c>
      <c r="K78" s="389" t="s">
        <v>2917</v>
      </c>
      <c r="L78" s="390">
        <v>-1200.19</v>
      </c>
      <c r="M78" s="389" t="s">
        <v>2918</v>
      </c>
      <c r="N78" s="389" t="s">
        <v>11216</v>
      </c>
      <c r="O78" s="389" t="s">
        <v>2939</v>
      </c>
      <c r="P78" s="389" t="s">
        <v>2924</v>
      </c>
      <c r="Q78" s="389" t="s">
        <v>3219</v>
      </c>
      <c r="R78" s="389" t="s">
        <v>2208</v>
      </c>
      <c r="S78" s="389" t="s">
        <v>2208</v>
      </c>
    </row>
    <row r="79" spans="1:19">
      <c r="A79" s="389" t="s">
        <v>10456</v>
      </c>
      <c r="B79" s="391" t="str">
        <f t="shared" si="2"/>
        <v>LCP-230060-EX</v>
      </c>
      <c r="C79" s="389" t="str">
        <f t="shared" si="3"/>
        <v>março</v>
      </c>
      <c r="D79" s="389" t="s">
        <v>9127</v>
      </c>
      <c r="E79" s="391">
        <v>45747</v>
      </c>
      <c r="F79" s="389" t="s">
        <v>2208</v>
      </c>
      <c r="G79" s="389" t="s">
        <v>2916</v>
      </c>
      <c r="H79" s="389" t="s">
        <v>11868</v>
      </c>
      <c r="I79" s="393">
        <v>0</v>
      </c>
      <c r="J79" s="390">
        <v>0.04</v>
      </c>
      <c r="K79" s="389" t="s">
        <v>2917</v>
      </c>
      <c r="L79" s="390">
        <v>0</v>
      </c>
      <c r="M79" s="389" t="s">
        <v>2918</v>
      </c>
      <c r="N79" s="389" t="s">
        <v>2919</v>
      </c>
      <c r="O79" s="389" t="s">
        <v>2208</v>
      </c>
      <c r="P79" s="389" t="s">
        <v>2916</v>
      </c>
      <c r="Q79" s="389" t="s">
        <v>3220</v>
      </c>
      <c r="R79" s="389" t="s">
        <v>2208</v>
      </c>
      <c r="S79" s="389" t="s">
        <v>2208</v>
      </c>
    </row>
    <row r="80" spans="1:19">
      <c r="A80" s="389" t="s">
        <v>8925</v>
      </c>
      <c r="B80" s="391" t="str">
        <f t="shared" si="2"/>
        <v>LCP-230060-EX</v>
      </c>
      <c r="C80" s="389" t="str">
        <f t="shared" si="3"/>
        <v>fevereiro</v>
      </c>
      <c r="D80" s="389" t="s">
        <v>2925</v>
      </c>
      <c r="E80" s="391">
        <v>45712</v>
      </c>
      <c r="F80" s="389" t="s">
        <v>8926</v>
      </c>
      <c r="G80" s="389" t="s">
        <v>2916</v>
      </c>
      <c r="H80" s="389" t="s">
        <v>8927</v>
      </c>
      <c r="I80" s="393">
        <v>90129.85</v>
      </c>
      <c r="J80" s="390">
        <v>15497.83</v>
      </c>
      <c r="K80" s="389" t="s">
        <v>2917</v>
      </c>
      <c r="L80" s="390">
        <v>90129.85</v>
      </c>
      <c r="M80" s="389" t="s">
        <v>2918</v>
      </c>
      <c r="N80" s="389" t="s">
        <v>2939</v>
      </c>
      <c r="O80" s="389" t="s">
        <v>2939</v>
      </c>
      <c r="P80" s="389" t="s">
        <v>2924</v>
      </c>
      <c r="Q80" s="389" t="s">
        <v>3219</v>
      </c>
      <c r="R80" s="389" t="s">
        <v>2208</v>
      </c>
      <c r="S80" s="389" t="s">
        <v>2208</v>
      </c>
    </row>
    <row r="81" spans="1:19">
      <c r="A81" s="389" t="s">
        <v>8925</v>
      </c>
      <c r="B81" s="391" t="str">
        <f t="shared" si="2"/>
        <v>LCP-230060-EX</v>
      </c>
      <c r="C81" s="389" t="str">
        <f t="shared" si="3"/>
        <v>fevereiro</v>
      </c>
      <c r="D81" s="389" t="s">
        <v>2925</v>
      </c>
      <c r="E81" s="391">
        <v>45714</v>
      </c>
      <c r="F81" s="389" t="s">
        <v>8926</v>
      </c>
      <c r="G81" s="389" t="s">
        <v>2916</v>
      </c>
      <c r="H81" s="389" t="s">
        <v>9580</v>
      </c>
      <c r="I81" s="398">
        <v>0</v>
      </c>
      <c r="J81" s="390">
        <v>-1433.55</v>
      </c>
      <c r="K81" s="389" t="s">
        <v>2917</v>
      </c>
      <c r="L81" s="390">
        <v>-8337.01</v>
      </c>
      <c r="M81" s="389" t="s">
        <v>2918</v>
      </c>
      <c r="N81" s="389" t="s">
        <v>9581</v>
      </c>
      <c r="O81" s="389" t="s">
        <v>2939</v>
      </c>
      <c r="P81" s="389" t="s">
        <v>2924</v>
      </c>
      <c r="Q81" s="389" t="s">
        <v>3219</v>
      </c>
      <c r="R81" s="389" t="s">
        <v>2208</v>
      </c>
      <c r="S81" s="389" t="s">
        <v>2208</v>
      </c>
    </row>
    <row r="82" spans="1:19">
      <c r="A82" s="389" t="s">
        <v>8925</v>
      </c>
      <c r="B82" s="391" t="str">
        <f t="shared" si="2"/>
        <v>LCP-230060-EX</v>
      </c>
      <c r="C82" s="389" t="str">
        <f t="shared" si="3"/>
        <v>fevereiro</v>
      </c>
      <c r="D82" s="389" t="s">
        <v>2925</v>
      </c>
      <c r="E82" s="391">
        <v>45716</v>
      </c>
      <c r="F82" s="389" t="s">
        <v>2208</v>
      </c>
      <c r="G82" s="389" t="s">
        <v>2916</v>
      </c>
      <c r="H82" s="389" t="s">
        <v>9582</v>
      </c>
      <c r="I82" s="393">
        <v>0</v>
      </c>
      <c r="J82" s="390">
        <v>0.03</v>
      </c>
      <c r="K82" s="389" t="s">
        <v>2917</v>
      </c>
      <c r="L82" s="390">
        <v>0</v>
      </c>
      <c r="M82" s="389" t="s">
        <v>2918</v>
      </c>
      <c r="N82" s="389" t="s">
        <v>2919</v>
      </c>
      <c r="O82" s="389" t="s">
        <v>2208</v>
      </c>
      <c r="P82" s="389" t="s">
        <v>2916</v>
      </c>
      <c r="Q82" s="389" t="s">
        <v>3220</v>
      </c>
      <c r="R82" s="389" t="s">
        <v>2208</v>
      </c>
      <c r="S82" s="389" t="s">
        <v>2208</v>
      </c>
    </row>
    <row r="83" spans="1:19">
      <c r="A83" s="389" t="s">
        <v>8925</v>
      </c>
      <c r="B83" s="391" t="str">
        <f t="shared" si="2"/>
        <v>LCP-230060-EX</v>
      </c>
      <c r="C83" s="389" t="str">
        <f t="shared" si="3"/>
        <v>abril</v>
      </c>
      <c r="D83" s="389" t="s">
        <v>11332</v>
      </c>
      <c r="E83" s="391">
        <v>45771</v>
      </c>
      <c r="F83" s="389" t="s">
        <v>8926</v>
      </c>
      <c r="G83" s="389" t="s">
        <v>2916</v>
      </c>
      <c r="H83" s="389" t="s">
        <v>16018</v>
      </c>
      <c r="I83" s="393">
        <v>26150.15</v>
      </c>
      <c r="J83" s="390">
        <v>4540.97</v>
      </c>
      <c r="K83" s="389" t="s">
        <v>2917</v>
      </c>
      <c r="L83" s="390">
        <v>26150.15</v>
      </c>
      <c r="M83" s="389" t="s">
        <v>2918</v>
      </c>
      <c r="N83" s="389" t="s">
        <v>2939</v>
      </c>
      <c r="O83" s="389" t="s">
        <v>2939</v>
      </c>
      <c r="P83" s="389" t="s">
        <v>2924</v>
      </c>
      <c r="Q83" s="389" t="s">
        <v>3219</v>
      </c>
      <c r="R83" s="389" t="s">
        <v>2208</v>
      </c>
      <c r="S83" s="389" t="s">
        <v>2208</v>
      </c>
    </row>
    <row r="84" spans="1:19">
      <c r="A84" s="389" t="s">
        <v>8925</v>
      </c>
      <c r="B84" s="391" t="str">
        <f t="shared" si="2"/>
        <v>LCP-230060-EX</v>
      </c>
      <c r="C84" s="389" t="str">
        <f t="shared" si="3"/>
        <v>abril</v>
      </c>
      <c r="D84" s="389" t="s">
        <v>11332</v>
      </c>
      <c r="E84" s="391">
        <v>45772</v>
      </c>
      <c r="F84" s="389" t="s">
        <v>8926</v>
      </c>
      <c r="G84" s="389" t="s">
        <v>2916</v>
      </c>
      <c r="H84" s="389" t="s">
        <v>16334</v>
      </c>
      <c r="I84" s="398">
        <v>0</v>
      </c>
      <c r="J84" s="390">
        <v>-420.04</v>
      </c>
      <c r="K84" s="389" t="s">
        <v>2917</v>
      </c>
      <c r="L84" s="390">
        <v>-2418.89</v>
      </c>
      <c r="M84" s="389" t="s">
        <v>2918</v>
      </c>
      <c r="N84" s="389" t="s">
        <v>16335</v>
      </c>
      <c r="O84" s="389" t="s">
        <v>2939</v>
      </c>
      <c r="P84" s="389" t="s">
        <v>2924</v>
      </c>
      <c r="Q84" s="389" t="s">
        <v>3219</v>
      </c>
      <c r="R84" s="389" t="s">
        <v>2208</v>
      </c>
      <c r="S84" s="389" t="s">
        <v>2208</v>
      </c>
    </row>
    <row r="85" spans="1:19">
      <c r="A85" s="389" t="s">
        <v>8925</v>
      </c>
      <c r="B85" s="391" t="str">
        <f t="shared" si="2"/>
        <v>LCP-230060-EX</v>
      </c>
      <c r="C85" s="389" t="str">
        <f t="shared" si="3"/>
        <v>abril</v>
      </c>
      <c r="D85" s="389" t="s">
        <v>11332</v>
      </c>
      <c r="E85" s="391">
        <v>45777</v>
      </c>
      <c r="F85" s="389" t="s">
        <v>2208</v>
      </c>
      <c r="G85" s="389" t="s">
        <v>2916</v>
      </c>
      <c r="H85" s="389" t="s">
        <v>16937</v>
      </c>
      <c r="I85" s="393">
        <v>0</v>
      </c>
      <c r="J85" s="390">
        <v>-0.04</v>
      </c>
      <c r="K85" s="389" t="s">
        <v>2917</v>
      </c>
      <c r="L85" s="390">
        <v>0</v>
      </c>
      <c r="M85" s="389" t="s">
        <v>2918</v>
      </c>
      <c r="N85" s="389" t="s">
        <v>2919</v>
      </c>
      <c r="O85" s="389" t="s">
        <v>2208</v>
      </c>
      <c r="P85" s="389" t="s">
        <v>2916</v>
      </c>
      <c r="Q85" s="389" t="s">
        <v>3220</v>
      </c>
      <c r="R85" s="389" t="s">
        <v>2208</v>
      </c>
      <c r="S85" s="389" t="s">
        <v>2208</v>
      </c>
    </row>
    <row r="86" spans="1:19">
      <c r="A86" s="389" t="s">
        <v>8925</v>
      </c>
      <c r="B86" s="391" t="str">
        <f t="shared" si="2"/>
        <v>LCP-230060-EX</v>
      </c>
      <c r="C86" s="389" t="str">
        <f t="shared" si="3"/>
        <v>maio</v>
      </c>
      <c r="D86" s="389" t="s">
        <v>16361</v>
      </c>
      <c r="E86" s="391">
        <v>45798</v>
      </c>
      <c r="F86" s="389" t="s">
        <v>17356</v>
      </c>
      <c r="G86" s="389" t="s">
        <v>2916</v>
      </c>
      <c r="H86" s="389" t="s">
        <v>17357</v>
      </c>
      <c r="I86" s="398">
        <v>20000</v>
      </c>
      <c r="J86" s="390">
        <v>3550</v>
      </c>
      <c r="K86" s="389" t="s">
        <v>2917</v>
      </c>
      <c r="L86" s="390">
        <v>20000</v>
      </c>
      <c r="M86" s="389" t="s">
        <v>2918</v>
      </c>
      <c r="N86" s="389" t="s">
        <v>17358</v>
      </c>
      <c r="O86" s="389" t="s">
        <v>17358</v>
      </c>
      <c r="P86" s="389" t="s">
        <v>2924</v>
      </c>
      <c r="Q86" s="389" t="s">
        <v>3219</v>
      </c>
      <c r="R86" s="389" t="s">
        <v>2208</v>
      </c>
      <c r="S86" s="389" t="s">
        <v>2208</v>
      </c>
    </row>
    <row r="87" spans="1:19">
      <c r="A87" s="389" t="s">
        <v>8925</v>
      </c>
      <c r="B87" s="391" t="str">
        <f t="shared" si="2"/>
        <v>LCP-230060-EX</v>
      </c>
      <c r="C87" s="389" t="str">
        <f t="shared" si="3"/>
        <v>junho</v>
      </c>
      <c r="D87" s="389" t="s">
        <v>17898</v>
      </c>
      <c r="E87" s="391">
        <v>45832</v>
      </c>
      <c r="F87" s="389" t="s">
        <v>19116</v>
      </c>
      <c r="G87" s="389" t="s">
        <v>2916</v>
      </c>
      <c r="H87" s="389" t="s">
        <v>19117</v>
      </c>
      <c r="I87" s="398">
        <v>30180</v>
      </c>
      <c r="J87" s="390">
        <v>5317.72</v>
      </c>
      <c r="K87" s="389" t="s">
        <v>2917</v>
      </c>
      <c r="L87" s="390">
        <v>30180</v>
      </c>
      <c r="M87" s="389" t="s">
        <v>2918</v>
      </c>
      <c r="N87" s="389" t="s">
        <v>2939</v>
      </c>
      <c r="O87" s="389" t="s">
        <v>2939</v>
      </c>
      <c r="P87" s="389" t="s">
        <v>2924</v>
      </c>
      <c r="Q87" s="389" t="s">
        <v>3219</v>
      </c>
      <c r="R87" s="389" t="s">
        <v>2208</v>
      </c>
      <c r="S87" s="389" t="s">
        <v>2208</v>
      </c>
    </row>
    <row r="88" spans="1:19">
      <c r="A88" s="389" t="s">
        <v>10459</v>
      </c>
      <c r="B88" s="391" t="str">
        <f t="shared" si="2"/>
        <v>LCP-230060-EX</v>
      </c>
      <c r="C88" s="389" t="str">
        <f t="shared" si="3"/>
        <v>abril</v>
      </c>
      <c r="D88" s="389" t="s">
        <v>11332</v>
      </c>
      <c r="E88" s="391">
        <v>45764</v>
      </c>
      <c r="F88" s="389" t="s">
        <v>16009</v>
      </c>
      <c r="G88" s="389" t="s">
        <v>2916</v>
      </c>
      <c r="H88" s="389" t="s">
        <v>16010</v>
      </c>
      <c r="I88" s="398">
        <v>5761</v>
      </c>
      <c r="J88" s="390">
        <v>1000.4</v>
      </c>
      <c r="K88" s="389" t="s">
        <v>2917</v>
      </c>
      <c r="L88" s="390">
        <v>5761</v>
      </c>
      <c r="M88" s="389" t="s">
        <v>2918</v>
      </c>
      <c r="N88" s="389" t="s">
        <v>6857</v>
      </c>
      <c r="O88" s="389" t="s">
        <v>6857</v>
      </c>
      <c r="P88" s="389" t="s">
        <v>2924</v>
      </c>
      <c r="Q88" s="389" t="s">
        <v>3219</v>
      </c>
      <c r="R88" s="389" t="s">
        <v>2208</v>
      </c>
      <c r="S88" s="389" t="s">
        <v>2208</v>
      </c>
    </row>
    <row r="89" spans="1:19">
      <c r="A89" s="389" t="s">
        <v>10459</v>
      </c>
      <c r="B89" s="391" t="str">
        <f t="shared" si="2"/>
        <v>LCP-230060-EX</v>
      </c>
      <c r="C89" s="389" t="str">
        <f t="shared" si="3"/>
        <v>abril</v>
      </c>
      <c r="D89" s="389" t="s">
        <v>11332</v>
      </c>
      <c r="E89" s="391">
        <v>45764</v>
      </c>
      <c r="F89" s="389" t="s">
        <v>16009</v>
      </c>
      <c r="G89" s="389" t="s">
        <v>2916</v>
      </c>
      <c r="H89" s="389" t="s">
        <v>16011</v>
      </c>
      <c r="I89" s="398">
        <v>5761</v>
      </c>
      <c r="J89" s="390">
        <v>1000.4</v>
      </c>
      <c r="K89" s="389" t="s">
        <v>2917</v>
      </c>
      <c r="L89" s="390">
        <v>5761</v>
      </c>
      <c r="M89" s="389" t="s">
        <v>2918</v>
      </c>
      <c r="N89" s="389" t="s">
        <v>6857</v>
      </c>
      <c r="O89" s="389" t="s">
        <v>6857</v>
      </c>
      <c r="P89" s="389" t="s">
        <v>2924</v>
      </c>
      <c r="Q89" s="389" t="s">
        <v>3219</v>
      </c>
      <c r="R89" s="389" t="s">
        <v>2208</v>
      </c>
      <c r="S89" s="389" t="s">
        <v>2208</v>
      </c>
    </row>
    <row r="90" spans="1:19">
      <c r="A90" s="389" t="s">
        <v>10459</v>
      </c>
      <c r="B90" s="391" t="str">
        <f t="shared" si="2"/>
        <v>LCP-230060-EX</v>
      </c>
      <c r="C90" s="389" t="str">
        <f t="shared" si="3"/>
        <v>abril</v>
      </c>
      <c r="D90" s="389" t="s">
        <v>11332</v>
      </c>
      <c r="E90" s="391">
        <v>45771</v>
      </c>
      <c r="F90" s="389" t="s">
        <v>16009</v>
      </c>
      <c r="G90" s="389" t="s">
        <v>2916</v>
      </c>
      <c r="H90" s="389" t="s">
        <v>16012</v>
      </c>
      <c r="I90" s="398">
        <v>0</v>
      </c>
      <c r="J90" s="390">
        <v>-92.54</v>
      </c>
      <c r="K90" s="389" t="s">
        <v>2917</v>
      </c>
      <c r="L90" s="390">
        <v>-532.9</v>
      </c>
      <c r="M90" s="389" t="s">
        <v>2918</v>
      </c>
      <c r="N90" s="389" t="s">
        <v>16013</v>
      </c>
      <c r="O90" s="389" t="s">
        <v>6857</v>
      </c>
      <c r="P90" s="389" t="s">
        <v>2924</v>
      </c>
      <c r="Q90" s="389" t="s">
        <v>3219</v>
      </c>
      <c r="R90" s="389" t="s">
        <v>2208</v>
      </c>
      <c r="S90" s="389" t="s">
        <v>2208</v>
      </c>
    </row>
    <row r="91" spans="1:19">
      <c r="A91" s="389" t="s">
        <v>10459</v>
      </c>
      <c r="B91" s="391" t="str">
        <f t="shared" si="2"/>
        <v>LCP-230060-EX</v>
      </c>
      <c r="C91" s="389" t="str">
        <f t="shared" si="3"/>
        <v>abril</v>
      </c>
      <c r="D91" s="389" t="s">
        <v>11332</v>
      </c>
      <c r="E91" s="391">
        <v>45771</v>
      </c>
      <c r="F91" s="389" t="s">
        <v>16009</v>
      </c>
      <c r="G91" s="389" t="s">
        <v>2916</v>
      </c>
      <c r="H91" s="389" t="s">
        <v>16014</v>
      </c>
      <c r="I91" s="398">
        <v>0</v>
      </c>
      <c r="J91" s="390">
        <v>-92.54</v>
      </c>
      <c r="K91" s="389" t="s">
        <v>2917</v>
      </c>
      <c r="L91" s="390">
        <v>-532.9</v>
      </c>
      <c r="M91" s="389" t="s">
        <v>2918</v>
      </c>
      <c r="N91" s="389" t="s">
        <v>16015</v>
      </c>
      <c r="O91" s="389" t="s">
        <v>6857</v>
      </c>
      <c r="P91" s="389" t="s">
        <v>2924</v>
      </c>
      <c r="Q91" s="389" t="s">
        <v>3219</v>
      </c>
      <c r="R91" s="389" t="s">
        <v>2208</v>
      </c>
      <c r="S91" s="389" t="s">
        <v>2208</v>
      </c>
    </row>
    <row r="92" spans="1:19">
      <c r="A92" s="389" t="s">
        <v>10459</v>
      </c>
      <c r="B92" s="391" t="str">
        <f t="shared" si="2"/>
        <v>LCP-230060-EX</v>
      </c>
      <c r="C92" s="389" t="str">
        <f t="shared" si="3"/>
        <v>abril</v>
      </c>
      <c r="D92" s="389" t="s">
        <v>11332</v>
      </c>
      <c r="E92" s="391">
        <v>45777</v>
      </c>
      <c r="F92" s="389" t="s">
        <v>2208</v>
      </c>
      <c r="G92" s="389" t="s">
        <v>2916</v>
      </c>
      <c r="H92" s="389" t="s">
        <v>16938</v>
      </c>
      <c r="I92" s="393">
        <v>0</v>
      </c>
      <c r="J92" s="390">
        <v>-0.04</v>
      </c>
      <c r="K92" s="389" t="s">
        <v>2917</v>
      </c>
      <c r="L92" s="390">
        <v>0</v>
      </c>
      <c r="M92" s="389" t="s">
        <v>2918</v>
      </c>
      <c r="N92" s="389" t="s">
        <v>2919</v>
      </c>
      <c r="O92" s="389" t="s">
        <v>2208</v>
      </c>
      <c r="P92" s="389" t="s">
        <v>2916</v>
      </c>
      <c r="Q92" s="389" t="s">
        <v>3220</v>
      </c>
      <c r="R92" s="389" t="s">
        <v>2208</v>
      </c>
      <c r="S92" s="389" t="s">
        <v>2208</v>
      </c>
    </row>
    <row r="93" spans="1:19">
      <c r="A93" s="389" t="s">
        <v>10459</v>
      </c>
      <c r="B93" s="391" t="str">
        <f t="shared" si="2"/>
        <v>LCP-230060-EX</v>
      </c>
      <c r="C93" s="389" t="str">
        <f t="shared" si="3"/>
        <v>junho</v>
      </c>
      <c r="D93" s="389" t="s">
        <v>17898</v>
      </c>
      <c r="E93" s="391">
        <v>45818</v>
      </c>
      <c r="F93" s="389" t="s">
        <v>16009</v>
      </c>
      <c r="G93" s="389" t="s">
        <v>2916</v>
      </c>
      <c r="H93" s="389" t="s">
        <v>18799</v>
      </c>
      <c r="I93" s="398">
        <v>5761</v>
      </c>
      <c r="J93" s="390">
        <v>1015.09</v>
      </c>
      <c r="K93" s="389" t="s">
        <v>2917</v>
      </c>
      <c r="L93" s="390">
        <v>5761</v>
      </c>
      <c r="M93" s="389" t="s">
        <v>2918</v>
      </c>
      <c r="N93" s="389" t="s">
        <v>6857</v>
      </c>
      <c r="O93" s="389" t="s">
        <v>6857</v>
      </c>
      <c r="P93" s="389" t="s">
        <v>2924</v>
      </c>
      <c r="Q93" s="389" t="s">
        <v>3219</v>
      </c>
      <c r="R93" s="389" t="s">
        <v>2208</v>
      </c>
      <c r="S93" s="389" t="s">
        <v>2208</v>
      </c>
    </row>
    <row r="94" spans="1:19">
      <c r="A94" s="389" t="s">
        <v>10459</v>
      </c>
      <c r="B94" s="391" t="str">
        <f t="shared" si="2"/>
        <v>LCP-230060-EX</v>
      </c>
      <c r="C94" s="389" t="str">
        <f t="shared" si="3"/>
        <v>junho</v>
      </c>
      <c r="D94" s="389" t="s">
        <v>17898</v>
      </c>
      <c r="E94" s="391">
        <v>45818</v>
      </c>
      <c r="F94" s="389" t="s">
        <v>16009</v>
      </c>
      <c r="G94" s="389" t="s">
        <v>2916</v>
      </c>
      <c r="H94" s="389" t="s">
        <v>18800</v>
      </c>
      <c r="I94" s="398">
        <v>5761</v>
      </c>
      <c r="J94" s="390">
        <v>1015.09</v>
      </c>
      <c r="K94" s="389" t="s">
        <v>2917</v>
      </c>
      <c r="L94" s="390">
        <v>5761</v>
      </c>
      <c r="M94" s="389" t="s">
        <v>2918</v>
      </c>
      <c r="N94" s="389" t="s">
        <v>6857</v>
      </c>
      <c r="O94" s="389" t="s">
        <v>6857</v>
      </c>
      <c r="P94" s="389" t="s">
        <v>2924</v>
      </c>
      <c r="Q94" s="389" t="s">
        <v>3219</v>
      </c>
      <c r="R94" s="389" t="s">
        <v>2208</v>
      </c>
      <c r="S94" s="389" t="s">
        <v>2208</v>
      </c>
    </row>
    <row r="95" spans="1:19">
      <c r="A95" s="389" t="s">
        <v>10459</v>
      </c>
      <c r="B95" s="391" t="str">
        <f t="shared" si="2"/>
        <v>LCP-230060-EX</v>
      </c>
      <c r="C95" s="389" t="str">
        <f t="shared" si="3"/>
        <v>junho</v>
      </c>
      <c r="D95" s="389" t="s">
        <v>17898</v>
      </c>
      <c r="E95" s="391">
        <v>45833</v>
      </c>
      <c r="F95" s="389" t="s">
        <v>16009</v>
      </c>
      <c r="G95" s="389" t="s">
        <v>2916</v>
      </c>
      <c r="H95" s="389" t="s">
        <v>19445</v>
      </c>
      <c r="I95" s="398">
        <v>0</v>
      </c>
      <c r="J95" s="390">
        <v>-93.9</v>
      </c>
      <c r="K95" s="389" t="s">
        <v>2917</v>
      </c>
      <c r="L95" s="390">
        <v>-532.9</v>
      </c>
      <c r="M95" s="389" t="s">
        <v>2918</v>
      </c>
      <c r="N95" s="389" t="s">
        <v>19446</v>
      </c>
      <c r="O95" s="389" t="s">
        <v>6857</v>
      </c>
      <c r="P95" s="389" t="s">
        <v>2924</v>
      </c>
      <c r="Q95" s="389" t="s">
        <v>3219</v>
      </c>
      <c r="R95" s="389" t="s">
        <v>2208</v>
      </c>
      <c r="S95" s="389" t="s">
        <v>2208</v>
      </c>
    </row>
    <row r="96" spans="1:19">
      <c r="A96" s="389" t="s">
        <v>10459</v>
      </c>
      <c r="B96" s="391" t="str">
        <f t="shared" si="2"/>
        <v>LCP-230060-EX</v>
      </c>
      <c r="C96" s="389" t="str">
        <f t="shared" si="3"/>
        <v>junho</v>
      </c>
      <c r="D96" s="389" t="s">
        <v>17898</v>
      </c>
      <c r="E96" s="391">
        <v>45833</v>
      </c>
      <c r="F96" s="389" t="s">
        <v>16009</v>
      </c>
      <c r="G96" s="389" t="s">
        <v>2916</v>
      </c>
      <c r="H96" s="389" t="s">
        <v>19447</v>
      </c>
      <c r="I96" s="398">
        <v>0</v>
      </c>
      <c r="J96" s="390">
        <v>-93.9</v>
      </c>
      <c r="K96" s="389" t="s">
        <v>2917</v>
      </c>
      <c r="L96" s="390">
        <v>-532.9</v>
      </c>
      <c r="M96" s="389" t="s">
        <v>2918</v>
      </c>
      <c r="N96" s="389" t="s">
        <v>19448</v>
      </c>
      <c r="O96" s="389" t="s">
        <v>6857</v>
      </c>
      <c r="P96" s="389" t="s">
        <v>2924</v>
      </c>
      <c r="Q96" s="389" t="s">
        <v>3219</v>
      </c>
      <c r="R96" s="389" t="s">
        <v>2208</v>
      </c>
      <c r="S96" s="389" t="s">
        <v>2208</v>
      </c>
    </row>
    <row r="97" spans="1:19">
      <c r="A97" s="389" t="s">
        <v>10459</v>
      </c>
      <c r="B97" s="391" t="str">
        <f t="shared" si="2"/>
        <v>LCP-230060-EX</v>
      </c>
      <c r="C97" s="389" t="str">
        <f t="shared" si="3"/>
        <v>junho</v>
      </c>
      <c r="D97" s="389" t="s">
        <v>17898</v>
      </c>
      <c r="E97" s="391">
        <v>45838</v>
      </c>
      <c r="F97" s="389" t="s">
        <v>2208</v>
      </c>
      <c r="G97" s="389" t="s">
        <v>2916</v>
      </c>
      <c r="H97" s="389" t="s">
        <v>19451</v>
      </c>
      <c r="I97" s="393">
        <v>0</v>
      </c>
      <c r="J97" s="390">
        <v>-0.03</v>
      </c>
      <c r="K97" s="389" t="s">
        <v>2917</v>
      </c>
      <c r="L97" s="390">
        <v>0</v>
      </c>
      <c r="M97" s="389" t="s">
        <v>2918</v>
      </c>
      <c r="N97" s="389" t="s">
        <v>2919</v>
      </c>
      <c r="O97" s="389" t="s">
        <v>2208</v>
      </c>
      <c r="P97" s="389" t="s">
        <v>2916</v>
      </c>
      <c r="Q97" s="389" t="s">
        <v>3220</v>
      </c>
      <c r="R97" s="389" t="s">
        <v>2208</v>
      </c>
      <c r="S97" s="389" t="s">
        <v>2208</v>
      </c>
    </row>
    <row r="98" spans="1:19">
      <c r="A98" s="389" t="s">
        <v>10459</v>
      </c>
      <c r="B98" s="391" t="str">
        <f t="shared" si="2"/>
        <v>LCP-230060-EX</v>
      </c>
      <c r="C98" s="389" t="str">
        <f t="shared" si="3"/>
        <v>julho</v>
      </c>
      <c r="D98" s="389" t="s">
        <v>19440</v>
      </c>
      <c r="E98" s="391">
        <v>45839</v>
      </c>
      <c r="F98" s="389" t="s">
        <v>16009</v>
      </c>
      <c r="G98" s="389" t="s">
        <v>2916</v>
      </c>
      <c r="H98" s="389" t="s">
        <v>19450</v>
      </c>
      <c r="I98" s="398">
        <v>5761</v>
      </c>
      <c r="J98" s="390">
        <v>1052.3599999999999</v>
      </c>
      <c r="K98" s="389" t="s">
        <v>2917</v>
      </c>
      <c r="L98" s="390">
        <v>5761</v>
      </c>
      <c r="M98" s="389" t="s">
        <v>2918</v>
      </c>
      <c r="N98" s="389" t="s">
        <v>6857</v>
      </c>
      <c r="O98" s="389" t="s">
        <v>6857</v>
      </c>
      <c r="P98" s="389" t="s">
        <v>2924</v>
      </c>
      <c r="Q98" s="389" t="s">
        <v>3219</v>
      </c>
      <c r="R98" s="389" t="s">
        <v>2208</v>
      </c>
      <c r="S98" s="389" t="s">
        <v>2208</v>
      </c>
    </row>
    <row r="99" spans="1:19">
      <c r="A99" s="389" t="s">
        <v>10471</v>
      </c>
      <c r="B99" s="391" t="str">
        <f t="shared" si="2"/>
        <v>LCP-230121-EX</v>
      </c>
      <c r="C99" s="389" t="str">
        <f t="shared" si="3"/>
        <v>maio</v>
      </c>
      <c r="D99" s="389" t="s">
        <v>16361</v>
      </c>
      <c r="E99" s="391">
        <v>45790</v>
      </c>
      <c r="F99" s="389" t="s">
        <v>17205</v>
      </c>
      <c r="G99" s="389" t="s">
        <v>2916</v>
      </c>
      <c r="H99" s="389" t="s">
        <v>17206</v>
      </c>
      <c r="I99" s="398">
        <v>9559</v>
      </c>
      <c r="J99" s="390">
        <v>1696.72</v>
      </c>
      <c r="K99" s="389" t="s">
        <v>2917</v>
      </c>
      <c r="L99" s="390">
        <v>9559</v>
      </c>
      <c r="M99" s="389" t="s">
        <v>2918</v>
      </c>
      <c r="N99" s="389" t="s">
        <v>2941</v>
      </c>
      <c r="O99" s="389" t="s">
        <v>2941</v>
      </c>
      <c r="P99" s="389" t="s">
        <v>2924</v>
      </c>
      <c r="Q99" s="389" t="s">
        <v>3219</v>
      </c>
      <c r="R99" s="389" t="s">
        <v>2208</v>
      </c>
      <c r="S99" s="389" t="s">
        <v>2208</v>
      </c>
    </row>
    <row r="100" spans="1:19">
      <c r="A100" s="389" t="s">
        <v>6866</v>
      </c>
      <c r="B100" s="391" t="str">
        <f t="shared" si="2"/>
        <v>LCP-230186-EX</v>
      </c>
      <c r="C100" s="389" t="str">
        <f t="shared" si="3"/>
        <v>janeiro</v>
      </c>
      <c r="D100" s="389" t="s">
        <v>2921</v>
      </c>
      <c r="E100" s="391">
        <v>45687</v>
      </c>
      <c r="F100" s="389" t="s">
        <v>2208</v>
      </c>
      <c r="G100" s="389" t="s">
        <v>2916</v>
      </c>
      <c r="H100" s="389" t="s">
        <v>8382</v>
      </c>
      <c r="I100" s="393">
        <v>0</v>
      </c>
      <c r="J100" s="390">
        <v>1971.02</v>
      </c>
      <c r="K100" s="389" t="s">
        <v>2917</v>
      </c>
      <c r="L100" s="390">
        <v>12172.08</v>
      </c>
      <c r="M100" s="389" t="s">
        <v>2918</v>
      </c>
      <c r="N100" s="389" t="s">
        <v>8383</v>
      </c>
      <c r="O100" s="389" t="s">
        <v>2208</v>
      </c>
      <c r="P100" s="389" t="s">
        <v>6851</v>
      </c>
      <c r="Q100" s="389" t="s">
        <v>6852</v>
      </c>
      <c r="R100" s="389" t="s">
        <v>2208</v>
      </c>
      <c r="S100" s="389" t="s">
        <v>2208</v>
      </c>
    </row>
    <row r="101" spans="1:19">
      <c r="A101" s="389" t="s">
        <v>6866</v>
      </c>
      <c r="B101" s="391" t="str">
        <f t="shared" si="2"/>
        <v>LCP-230186-EX</v>
      </c>
      <c r="C101" s="389" t="str">
        <f t="shared" si="3"/>
        <v>janeiro</v>
      </c>
      <c r="D101" s="389" t="s">
        <v>2921</v>
      </c>
      <c r="E101" s="391">
        <v>45687</v>
      </c>
      <c r="F101" s="389" t="s">
        <v>2208</v>
      </c>
      <c r="G101" s="389" t="s">
        <v>2916</v>
      </c>
      <c r="H101" s="389" t="s">
        <v>8382</v>
      </c>
      <c r="I101" s="393">
        <v>0</v>
      </c>
      <c r="J101" s="390">
        <v>9078.66</v>
      </c>
      <c r="K101" s="389" t="s">
        <v>2917</v>
      </c>
      <c r="L101" s="390">
        <v>56065.35</v>
      </c>
      <c r="M101" s="389" t="s">
        <v>2918</v>
      </c>
      <c r="N101" s="389" t="s">
        <v>8383</v>
      </c>
      <c r="O101" s="389" t="s">
        <v>2208</v>
      </c>
      <c r="P101" s="389" t="s">
        <v>6851</v>
      </c>
      <c r="Q101" s="389" t="s">
        <v>6852</v>
      </c>
      <c r="R101" s="389" t="s">
        <v>2208</v>
      </c>
      <c r="S101" s="389" t="s">
        <v>2208</v>
      </c>
    </row>
    <row r="102" spans="1:19">
      <c r="A102" s="389" t="s">
        <v>6866</v>
      </c>
      <c r="B102" s="391" t="str">
        <f t="shared" si="2"/>
        <v>LCP-230186-EX</v>
      </c>
      <c r="C102" s="389" t="str">
        <f t="shared" si="3"/>
        <v>janeiro</v>
      </c>
      <c r="D102" s="389" t="s">
        <v>2921</v>
      </c>
      <c r="E102" s="391">
        <v>45688</v>
      </c>
      <c r="F102" s="389" t="s">
        <v>2208</v>
      </c>
      <c r="G102" s="389" t="s">
        <v>2916</v>
      </c>
      <c r="H102" s="389" t="s">
        <v>8384</v>
      </c>
      <c r="I102" s="393">
        <v>0</v>
      </c>
      <c r="J102" s="390">
        <v>-0.06</v>
      </c>
      <c r="K102" s="389" t="s">
        <v>2917</v>
      </c>
      <c r="L102" s="390">
        <v>0</v>
      </c>
      <c r="M102" s="389" t="s">
        <v>2918</v>
      </c>
      <c r="N102" s="389" t="s">
        <v>2919</v>
      </c>
      <c r="O102" s="389" t="s">
        <v>2208</v>
      </c>
      <c r="P102" s="389" t="s">
        <v>2916</v>
      </c>
      <c r="Q102" s="389" t="s">
        <v>3220</v>
      </c>
      <c r="R102" s="389" t="s">
        <v>2208</v>
      </c>
      <c r="S102" s="389" t="s">
        <v>2208</v>
      </c>
    </row>
    <row r="103" spans="1:19">
      <c r="A103" s="389" t="s">
        <v>6860</v>
      </c>
      <c r="B103" s="391" t="str">
        <f t="shared" si="2"/>
        <v>LCP-230213-EX</v>
      </c>
      <c r="C103" s="389" t="str">
        <f t="shared" si="3"/>
        <v>janeiro</v>
      </c>
      <c r="D103" s="389" t="s">
        <v>2921</v>
      </c>
      <c r="E103" s="391">
        <v>45679</v>
      </c>
      <c r="F103" s="389" t="s">
        <v>6861</v>
      </c>
      <c r="G103" s="389" t="s">
        <v>2916</v>
      </c>
      <c r="H103" s="389" t="s">
        <v>8385</v>
      </c>
      <c r="I103" s="393">
        <v>1087.5</v>
      </c>
      <c r="J103" s="390">
        <v>176.1</v>
      </c>
      <c r="K103" s="389" t="s">
        <v>2917</v>
      </c>
      <c r="L103" s="390">
        <v>1087.5</v>
      </c>
      <c r="M103" s="389" t="s">
        <v>2918</v>
      </c>
      <c r="N103" s="389" t="s">
        <v>2939</v>
      </c>
      <c r="O103" s="389" t="s">
        <v>2939</v>
      </c>
      <c r="P103" s="389" t="s">
        <v>2924</v>
      </c>
      <c r="Q103" s="389" t="s">
        <v>3219</v>
      </c>
      <c r="R103" s="389" t="s">
        <v>2208</v>
      </c>
      <c r="S103" s="389" t="s">
        <v>2208</v>
      </c>
    </row>
    <row r="104" spans="1:19">
      <c r="A104" s="389" t="s">
        <v>6860</v>
      </c>
      <c r="B104" s="391" t="str">
        <f t="shared" si="2"/>
        <v>LCP-230213-EX</v>
      </c>
      <c r="C104" s="389" t="str">
        <f t="shared" si="3"/>
        <v>janeiro</v>
      </c>
      <c r="D104" s="389" t="s">
        <v>2921</v>
      </c>
      <c r="E104" s="391">
        <v>45681</v>
      </c>
      <c r="F104" s="389" t="s">
        <v>7213</v>
      </c>
      <c r="G104" s="389" t="s">
        <v>2916</v>
      </c>
      <c r="H104" s="389" t="s">
        <v>8386</v>
      </c>
      <c r="I104" s="398">
        <v>-35346</v>
      </c>
      <c r="J104" s="390">
        <v>-5798.86</v>
      </c>
      <c r="K104" s="389" t="s">
        <v>2917</v>
      </c>
      <c r="L104" s="390">
        <v>-35346</v>
      </c>
      <c r="M104" s="389" t="s">
        <v>2918</v>
      </c>
      <c r="N104" s="389" t="s">
        <v>3315</v>
      </c>
      <c r="O104" s="389" t="s">
        <v>2939</v>
      </c>
      <c r="P104" s="389" t="s">
        <v>2924</v>
      </c>
      <c r="Q104" s="389" t="s">
        <v>3219</v>
      </c>
      <c r="R104" s="389" t="s">
        <v>2208</v>
      </c>
      <c r="S104" s="389" t="s">
        <v>2208</v>
      </c>
    </row>
    <row r="105" spans="1:19">
      <c r="A105" s="389" t="s">
        <v>6860</v>
      </c>
      <c r="B105" s="391" t="str">
        <f t="shared" si="2"/>
        <v>LCP-230213-EX</v>
      </c>
      <c r="C105" s="389" t="str">
        <f t="shared" si="3"/>
        <v>janeiro</v>
      </c>
      <c r="D105" s="389" t="s">
        <v>2921</v>
      </c>
      <c r="E105" s="391">
        <v>45687</v>
      </c>
      <c r="F105" s="389" t="s">
        <v>2208</v>
      </c>
      <c r="G105" s="389" t="s">
        <v>2916</v>
      </c>
      <c r="H105" s="389" t="s">
        <v>8387</v>
      </c>
      <c r="I105" s="393">
        <v>0</v>
      </c>
      <c r="J105" s="390">
        <v>36.65</v>
      </c>
      <c r="K105" s="389" t="s">
        <v>2917</v>
      </c>
      <c r="L105" s="390">
        <v>226.31</v>
      </c>
      <c r="M105" s="389" t="s">
        <v>2918</v>
      </c>
      <c r="N105" s="389" t="s">
        <v>8388</v>
      </c>
      <c r="O105" s="389" t="s">
        <v>2208</v>
      </c>
      <c r="P105" s="389" t="s">
        <v>6851</v>
      </c>
      <c r="Q105" s="389" t="s">
        <v>6852</v>
      </c>
      <c r="R105" s="389" t="s">
        <v>2208</v>
      </c>
      <c r="S105" s="389" t="s">
        <v>2208</v>
      </c>
    </row>
    <row r="106" spans="1:19">
      <c r="A106" s="389" t="s">
        <v>6860</v>
      </c>
      <c r="B106" s="391" t="str">
        <f t="shared" si="2"/>
        <v>LCP-230213-EX</v>
      </c>
      <c r="C106" s="389" t="str">
        <f t="shared" si="3"/>
        <v>janeiro</v>
      </c>
      <c r="D106" s="389" t="s">
        <v>2921</v>
      </c>
      <c r="E106" s="391">
        <v>45687</v>
      </c>
      <c r="F106" s="389" t="s">
        <v>2208</v>
      </c>
      <c r="G106" s="389" t="s">
        <v>2916</v>
      </c>
      <c r="H106" s="389" t="s">
        <v>8387</v>
      </c>
      <c r="I106" s="393">
        <v>0</v>
      </c>
      <c r="J106" s="390">
        <v>168.8</v>
      </c>
      <c r="K106" s="389" t="s">
        <v>2917</v>
      </c>
      <c r="L106" s="390">
        <v>1042.42</v>
      </c>
      <c r="M106" s="389" t="s">
        <v>2918</v>
      </c>
      <c r="N106" s="389" t="s">
        <v>8388</v>
      </c>
      <c r="O106" s="389" t="s">
        <v>2208</v>
      </c>
      <c r="P106" s="389" t="s">
        <v>6851</v>
      </c>
      <c r="Q106" s="389" t="s">
        <v>6852</v>
      </c>
      <c r="R106" s="389" t="s">
        <v>2208</v>
      </c>
      <c r="S106" s="389" t="s">
        <v>2208</v>
      </c>
    </row>
    <row r="107" spans="1:19">
      <c r="A107" s="389" t="s">
        <v>6860</v>
      </c>
      <c r="B107" s="391" t="str">
        <f t="shared" si="2"/>
        <v>LCP-230213-EX</v>
      </c>
      <c r="C107" s="389" t="str">
        <f t="shared" si="3"/>
        <v>janeiro</v>
      </c>
      <c r="D107" s="389" t="s">
        <v>2921</v>
      </c>
      <c r="E107" s="391">
        <v>45688</v>
      </c>
      <c r="F107" s="389" t="s">
        <v>2208</v>
      </c>
      <c r="G107" s="389" t="s">
        <v>2916</v>
      </c>
      <c r="H107" s="389" t="s">
        <v>8389</v>
      </c>
      <c r="I107" s="393">
        <v>0</v>
      </c>
      <c r="J107" s="390">
        <v>75.239999999999995</v>
      </c>
      <c r="K107" s="389" t="s">
        <v>2917</v>
      </c>
      <c r="L107" s="390">
        <v>0</v>
      </c>
      <c r="M107" s="389" t="s">
        <v>2918</v>
      </c>
      <c r="N107" s="389" t="s">
        <v>2919</v>
      </c>
      <c r="O107" s="389" t="s">
        <v>2208</v>
      </c>
      <c r="P107" s="389" t="s">
        <v>2916</v>
      </c>
      <c r="Q107" s="389" t="s">
        <v>3220</v>
      </c>
      <c r="R107" s="389" t="s">
        <v>2208</v>
      </c>
      <c r="S107" s="389" t="s">
        <v>2208</v>
      </c>
    </row>
    <row r="108" spans="1:19">
      <c r="A108" s="389" t="s">
        <v>6860</v>
      </c>
      <c r="B108" s="391" t="str">
        <f t="shared" si="2"/>
        <v>LCP-230213-EX</v>
      </c>
      <c r="C108" s="389" t="str">
        <f t="shared" si="3"/>
        <v>fevereiro</v>
      </c>
      <c r="D108" s="389" t="s">
        <v>2925</v>
      </c>
      <c r="E108" s="391">
        <v>45709</v>
      </c>
      <c r="F108" s="389" t="s">
        <v>8802</v>
      </c>
      <c r="G108" s="389" t="s">
        <v>2916</v>
      </c>
      <c r="H108" s="389" t="s">
        <v>8803</v>
      </c>
      <c r="I108" s="393">
        <v>78064.350000000006</v>
      </c>
      <c r="J108" s="390">
        <v>13423.16</v>
      </c>
      <c r="K108" s="389" t="s">
        <v>2917</v>
      </c>
      <c r="L108" s="390">
        <v>78064.350000000006</v>
      </c>
      <c r="M108" s="389" t="s">
        <v>2918</v>
      </c>
      <c r="N108" s="389" t="s">
        <v>8804</v>
      </c>
      <c r="O108" s="389" t="s">
        <v>8804</v>
      </c>
      <c r="P108" s="389" t="s">
        <v>2924</v>
      </c>
      <c r="Q108" s="389" t="s">
        <v>3219</v>
      </c>
      <c r="R108" s="389" t="s">
        <v>2208</v>
      </c>
      <c r="S108" s="389" t="s">
        <v>2208</v>
      </c>
    </row>
    <row r="109" spans="1:19">
      <c r="A109" s="389" t="s">
        <v>6860</v>
      </c>
      <c r="B109" s="391" t="str">
        <f t="shared" si="2"/>
        <v>LCP-230213-EX</v>
      </c>
      <c r="C109" s="389" t="str">
        <f t="shared" si="3"/>
        <v>fevereiro</v>
      </c>
      <c r="D109" s="389" t="s">
        <v>2925</v>
      </c>
      <c r="E109" s="391">
        <v>45714</v>
      </c>
      <c r="F109" s="389" t="s">
        <v>8802</v>
      </c>
      <c r="G109" s="389" t="s">
        <v>2916</v>
      </c>
      <c r="H109" s="389" t="s">
        <v>9583</v>
      </c>
      <c r="I109" s="398">
        <v>0</v>
      </c>
      <c r="J109" s="390">
        <v>-1241.6400000000001</v>
      </c>
      <c r="K109" s="389" t="s">
        <v>2917</v>
      </c>
      <c r="L109" s="390">
        <v>-7220.95</v>
      </c>
      <c r="M109" s="389" t="s">
        <v>2918</v>
      </c>
      <c r="N109" s="389" t="s">
        <v>9584</v>
      </c>
      <c r="O109" s="389" t="s">
        <v>8804</v>
      </c>
      <c r="P109" s="389" t="s">
        <v>2924</v>
      </c>
      <c r="Q109" s="389" t="s">
        <v>3219</v>
      </c>
      <c r="R109" s="389" t="s">
        <v>2208</v>
      </c>
      <c r="S109" s="389" t="s">
        <v>2208</v>
      </c>
    </row>
    <row r="110" spans="1:19">
      <c r="A110" s="389" t="s">
        <v>6860</v>
      </c>
      <c r="B110" s="391" t="str">
        <f t="shared" si="2"/>
        <v>LCP-230213-EX</v>
      </c>
      <c r="C110" s="389" t="str">
        <f t="shared" si="3"/>
        <v>fevereiro</v>
      </c>
      <c r="D110" s="389" t="s">
        <v>2925</v>
      </c>
      <c r="E110" s="391">
        <v>45715</v>
      </c>
      <c r="F110" s="389" t="s">
        <v>7213</v>
      </c>
      <c r="G110" s="389" t="s">
        <v>2916</v>
      </c>
      <c r="H110" s="389" t="s">
        <v>9585</v>
      </c>
      <c r="I110" s="398">
        <v>35346</v>
      </c>
      <c r="J110" s="390">
        <v>6077.74</v>
      </c>
      <c r="K110" s="389" t="s">
        <v>2917</v>
      </c>
      <c r="L110" s="390">
        <v>35346</v>
      </c>
      <c r="M110" s="389" t="s">
        <v>2918</v>
      </c>
      <c r="N110" s="389" t="s">
        <v>2939</v>
      </c>
      <c r="O110" s="389" t="s">
        <v>2939</v>
      </c>
      <c r="P110" s="389" t="s">
        <v>2924</v>
      </c>
      <c r="Q110" s="389" t="s">
        <v>3219</v>
      </c>
      <c r="R110" s="389" t="s">
        <v>2208</v>
      </c>
      <c r="S110" s="389" t="s">
        <v>2208</v>
      </c>
    </row>
    <row r="111" spans="1:19">
      <c r="A111" s="389" t="s">
        <v>6860</v>
      </c>
      <c r="B111" s="391" t="str">
        <f t="shared" si="2"/>
        <v>LCP-230213-EX</v>
      </c>
      <c r="C111" s="389" t="str">
        <f t="shared" si="3"/>
        <v>fevereiro</v>
      </c>
      <c r="D111" s="389" t="s">
        <v>2925</v>
      </c>
      <c r="E111" s="391">
        <v>45716</v>
      </c>
      <c r="F111" s="389" t="s">
        <v>2208</v>
      </c>
      <c r="G111" s="389" t="s">
        <v>2916</v>
      </c>
      <c r="H111" s="389" t="s">
        <v>9586</v>
      </c>
      <c r="I111" s="393">
        <v>0</v>
      </c>
      <c r="J111" s="390">
        <v>-0.06</v>
      </c>
      <c r="K111" s="389" t="s">
        <v>2917</v>
      </c>
      <c r="L111" s="390">
        <v>0</v>
      </c>
      <c r="M111" s="389" t="s">
        <v>2918</v>
      </c>
      <c r="N111" s="389" t="s">
        <v>2919</v>
      </c>
      <c r="O111" s="389" t="s">
        <v>2208</v>
      </c>
      <c r="P111" s="389" t="s">
        <v>2916</v>
      </c>
      <c r="Q111" s="389" t="s">
        <v>3220</v>
      </c>
      <c r="R111" s="389" t="s">
        <v>2208</v>
      </c>
      <c r="S111" s="389" t="s">
        <v>2208</v>
      </c>
    </row>
    <row r="112" spans="1:19">
      <c r="A112" s="389" t="s">
        <v>6860</v>
      </c>
      <c r="B112" s="391" t="str">
        <f t="shared" si="2"/>
        <v>LCP-230213-EX</v>
      </c>
      <c r="C112" s="389" t="str">
        <f t="shared" si="3"/>
        <v>março</v>
      </c>
      <c r="D112" s="389" t="s">
        <v>9127</v>
      </c>
      <c r="E112" s="391">
        <v>45736</v>
      </c>
      <c r="F112" s="389" t="s">
        <v>11039</v>
      </c>
      <c r="G112" s="389" t="s">
        <v>2916</v>
      </c>
      <c r="H112" s="389" t="s">
        <v>11040</v>
      </c>
      <c r="I112" s="398">
        <v>9015</v>
      </c>
      <c r="J112" s="390">
        <v>1545.08</v>
      </c>
      <c r="K112" s="389" t="s">
        <v>2917</v>
      </c>
      <c r="L112" s="390">
        <v>9015</v>
      </c>
      <c r="M112" s="389" t="s">
        <v>2918</v>
      </c>
      <c r="N112" s="389" t="s">
        <v>2923</v>
      </c>
      <c r="O112" s="389" t="s">
        <v>2923</v>
      </c>
      <c r="P112" s="389" t="s">
        <v>2924</v>
      </c>
      <c r="Q112" s="389" t="s">
        <v>3219</v>
      </c>
      <c r="R112" s="389" t="s">
        <v>2208</v>
      </c>
      <c r="S112" s="389" t="s">
        <v>2208</v>
      </c>
    </row>
    <row r="113" spans="1:19">
      <c r="A113" s="389" t="s">
        <v>6860</v>
      </c>
      <c r="B113" s="391" t="str">
        <f t="shared" si="2"/>
        <v>LCP-230213-EX</v>
      </c>
      <c r="C113" s="389" t="str">
        <f t="shared" si="3"/>
        <v>março</v>
      </c>
      <c r="D113" s="389" t="s">
        <v>9127</v>
      </c>
      <c r="E113" s="391">
        <v>45737</v>
      </c>
      <c r="F113" s="389" t="s">
        <v>8802</v>
      </c>
      <c r="G113" s="389" t="s">
        <v>2916</v>
      </c>
      <c r="H113" s="389" t="s">
        <v>11217</v>
      </c>
      <c r="I113" s="393">
        <v>4108.6499999999996</v>
      </c>
      <c r="J113" s="390">
        <v>704.18</v>
      </c>
      <c r="K113" s="389" t="s">
        <v>2917</v>
      </c>
      <c r="L113" s="390">
        <v>4108.6499999999996</v>
      </c>
      <c r="M113" s="389" t="s">
        <v>2918</v>
      </c>
      <c r="N113" s="389" t="s">
        <v>8804</v>
      </c>
      <c r="O113" s="389" t="s">
        <v>8804</v>
      </c>
      <c r="P113" s="389" t="s">
        <v>2924</v>
      </c>
      <c r="Q113" s="389" t="s">
        <v>3219</v>
      </c>
      <c r="R113" s="389" t="s">
        <v>2208</v>
      </c>
      <c r="S113" s="389" t="s">
        <v>2208</v>
      </c>
    </row>
    <row r="114" spans="1:19">
      <c r="A114" s="389" t="s">
        <v>6860</v>
      </c>
      <c r="B114" s="391" t="str">
        <f t="shared" si="2"/>
        <v>LCP-230213-EX</v>
      </c>
      <c r="C114" s="389" t="str">
        <f t="shared" si="3"/>
        <v>março</v>
      </c>
      <c r="D114" s="389" t="s">
        <v>9127</v>
      </c>
      <c r="E114" s="391">
        <v>45740</v>
      </c>
      <c r="F114" s="389" t="s">
        <v>8802</v>
      </c>
      <c r="G114" s="389" t="s">
        <v>2916</v>
      </c>
      <c r="H114" s="389" t="s">
        <v>11218</v>
      </c>
      <c r="I114" s="398">
        <v>0</v>
      </c>
      <c r="J114" s="390">
        <v>-65.14</v>
      </c>
      <c r="K114" s="389" t="s">
        <v>2917</v>
      </c>
      <c r="L114" s="390">
        <v>-380.05</v>
      </c>
      <c r="M114" s="389" t="s">
        <v>2918</v>
      </c>
      <c r="N114" s="389" t="s">
        <v>11219</v>
      </c>
      <c r="O114" s="389" t="s">
        <v>8804</v>
      </c>
      <c r="P114" s="389" t="s">
        <v>2924</v>
      </c>
      <c r="Q114" s="389" t="s">
        <v>3219</v>
      </c>
      <c r="R114" s="389" t="s">
        <v>2208</v>
      </c>
      <c r="S114" s="389" t="s">
        <v>2208</v>
      </c>
    </row>
    <row r="115" spans="1:19">
      <c r="A115" s="389" t="s">
        <v>6860</v>
      </c>
      <c r="B115" s="391" t="str">
        <f t="shared" si="2"/>
        <v>LCP-230213-EX</v>
      </c>
      <c r="C115" s="389" t="str">
        <f t="shared" si="3"/>
        <v>março</v>
      </c>
      <c r="D115" s="389" t="s">
        <v>9127</v>
      </c>
      <c r="E115" s="391">
        <v>45741</v>
      </c>
      <c r="F115" s="389" t="s">
        <v>11039</v>
      </c>
      <c r="G115" s="389" t="s">
        <v>2916</v>
      </c>
      <c r="H115" s="389" t="s">
        <v>11220</v>
      </c>
      <c r="I115" s="398">
        <v>0</v>
      </c>
      <c r="J115" s="390">
        <v>-142.91999999999999</v>
      </c>
      <c r="K115" s="389" t="s">
        <v>2917</v>
      </c>
      <c r="L115" s="390">
        <v>-833.89</v>
      </c>
      <c r="M115" s="389" t="s">
        <v>2918</v>
      </c>
      <c r="N115" s="389" t="s">
        <v>11221</v>
      </c>
      <c r="O115" s="389" t="s">
        <v>2923</v>
      </c>
      <c r="P115" s="389" t="s">
        <v>2924</v>
      </c>
      <c r="Q115" s="389" t="s">
        <v>3219</v>
      </c>
      <c r="R115" s="389" t="s">
        <v>2208</v>
      </c>
      <c r="S115" s="389" t="s">
        <v>2208</v>
      </c>
    </row>
    <row r="116" spans="1:19">
      <c r="A116" s="389" t="s">
        <v>6860</v>
      </c>
      <c r="B116" s="391" t="str">
        <f t="shared" si="2"/>
        <v>LCP-230213-EX</v>
      </c>
      <c r="C116" s="389" t="str">
        <f t="shared" si="3"/>
        <v>março</v>
      </c>
      <c r="D116" s="389" t="s">
        <v>9127</v>
      </c>
      <c r="E116" s="391">
        <v>45741</v>
      </c>
      <c r="F116" s="389" t="s">
        <v>11039</v>
      </c>
      <c r="G116" s="389" t="s">
        <v>2916</v>
      </c>
      <c r="H116" s="389" t="s">
        <v>11222</v>
      </c>
      <c r="I116" s="398">
        <v>16902</v>
      </c>
      <c r="J116" s="390">
        <v>2896.83</v>
      </c>
      <c r="K116" s="389" t="s">
        <v>2917</v>
      </c>
      <c r="L116" s="390">
        <v>16902</v>
      </c>
      <c r="M116" s="389" t="s">
        <v>2918</v>
      </c>
      <c r="N116" s="389" t="s">
        <v>11223</v>
      </c>
      <c r="O116" s="389" t="s">
        <v>11223</v>
      </c>
      <c r="P116" s="389" t="s">
        <v>2924</v>
      </c>
      <c r="Q116" s="389" t="s">
        <v>3219</v>
      </c>
      <c r="R116" s="389" t="s">
        <v>2208</v>
      </c>
      <c r="S116" s="389" t="s">
        <v>2208</v>
      </c>
    </row>
    <row r="117" spans="1:19">
      <c r="A117" s="389" t="s">
        <v>6860</v>
      </c>
      <c r="B117" s="391" t="str">
        <f t="shared" si="2"/>
        <v>LCP-230213-EX</v>
      </c>
      <c r="C117" s="389" t="str">
        <f t="shared" si="3"/>
        <v>março</v>
      </c>
      <c r="D117" s="389" t="s">
        <v>9127</v>
      </c>
      <c r="E117" s="391">
        <v>45743</v>
      </c>
      <c r="F117" s="389" t="s">
        <v>11039</v>
      </c>
      <c r="G117" s="389" t="s">
        <v>2916</v>
      </c>
      <c r="H117" s="389" t="s">
        <v>11869</v>
      </c>
      <c r="I117" s="398">
        <v>0</v>
      </c>
      <c r="J117" s="390">
        <v>-267.95</v>
      </c>
      <c r="K117" s="389" t="s">
        <v>2917</v>
      </c>
      <c r="L117" s="390">
        <v>-1563.43</v>
      </c>
      <c r="M117" s="389" t="s">
        <v>2918</v>
      </c>
      <c r="N117" s="389" t="s">
        <v>11870</v>
      </c>
      <c r="O117" s="389" t="s">
        <v>11223</v>
      </c>
      <c r="P117" s="389" t="s">
        <v>2924</v>
      </c>
      <c r="Q117" s="389" t="s">
        <v>3219</v>
      </c>
      <c r="R117" s="389" t="s">
        <v>2208</v>
      </c>
      <c r="S117" s="389" t="s">
        <v>2208</v>
      </c>
    </row>
    <row r="118" spans="1:19">
      <c r="A118" s="389" t="s">
        <v>6860</v>
      </c>
      <c r="B118" s="391" t="str">
        <f t="shared" si="2"/>
        <v>LCP-230213-EX</v>
      </c>
      <c r="C118" s="389" t="str">
        <f t="shared" si="3"/>
        <v>março</v>
      </c>
      <c r="D118" s="389" t="s">
        <v>9127</v>
      </c>
      <c r="E118" s="391">
        <v>45747</v>
      </c>
      <c r="F118" s="389" t="s">
        <v>2208</v>
      </c>
      <c r="G118" s="389" t="s">
        <v>2916</v>
      </c>
      <c r="H118" s="389" t="s">
        <v>11871</v>
      </c>
      <c r="I118" s="393">
        <v>0</v>
      </c>
      <c r="J118" s="390">
        <v>-0.05</v>
      </c>
      <c r="K118" s="389" t="s">
        <v>2917</v>
      </c>
      <c r="L118" s="390">
        <v>0</v>
      </c>
      <c r="M118" s="389" t="s">
        <v>2918</v>
      </c>
      <c r="N118" s="389" t="s">
        <v>2919</v>
      </c>
      <c r="O118" s="389" t="s">
        <v>2208</v>
      </c>
      <c r="P118" s="389" t="s">
        <v>2916</v>
      </c>
      <c r="Q118" s="389" t="s">
        <v>3220</v>
      </c>
      <c r="R118" s="389" t="s">
        <v>2208</v>
      </c>
      <c r="S118" s="389" t="s">
        <v>2208</v>
      </c>
    </row>
    <row r="119" spans="1:19">
      <c r="A119" s="389" t="s">
        <v>6860</v>
      </c>
      <c r="B119" s="391" t="str">
        <f t="shared" si="2"/>
        <v>LCP-230213-EX</v>
      </c>
      <c r="C119" s="389" t="str">
        <f t="shared" si="3"/>
        <v>abril</v>
      </c>
      <c r="D119" s="389" t="s">
        <v>11332</v>
      </c>
      <c r="E119" s="391">
        <v>45754</v>
      </c>
      <c r="F119" s="389" t="s">
        <v>7213</v>
      </c>
      <c r="G119" s="389" t="s">
        <v>2916</v>
      </c>
      <c r="H119" s="389" t="s">
        <v>16019</v>
      </c>
      <c r="I119" s="398">
        <v>0</v>
      </c>
      <c r="J119" s="390">
        <v>-507.66</v>
      </c>
      <c r="K119" s="389" t="s">
        <v>2917</v>
      </c>
      <c r="L119" s="390">
        <v>-3269.51</v>
      </c>
      <c r="M119" s="389" t="s">
        <v>2918</v>
      </c>
      <c r="N119" s="389" t="s">
        <v>16020</v>
      </c>
      <c r="O119" s="389" t="s">
        <v>2939</v>
      </c>
      <c r="P119" s="389" t="s">
        <v>2924</v>
      </c>
      <c r="Q119" s="389" t="s">
        <v>3219</v>
      </c>
      <c r="R119" s="389" t="s">
        <v>2208</v>
      </c>
      <c r="S119" s="389" t="s">
        <v>2208</v>
      </c>
    </row>
    <row r="120" spans="1:19">
      <c r="A120" s="389" t="s">
        <v>6860</v>
      </c>
      <c r="B120" s="391" t="str">
        <f t="shared" si="2"/>
        <v>LCP-230213-EX</v>
      </c>
      <c r="C120" s="389" t="str">
        <f t="shared" si="3"/>
        <v>abril</v>
      </c>
      <c r="D120" s="389" t="s">
        <v>11332</v>
      </c>
      <c r="E120" s="391">
        <v>45775</v>
      </c>
      <c r="F120" s="389" t="s">
        <v>2208</v>
      </c>
      <c r="G120" s="389" t="s">
        <v>2916</v>
      </c>
      <c r="H120" s="389" t="s">
        <v>16336</v>
      </c>
      <c r="I120" s="393">
        <v>0</v>
      </c>
      <c r="J120" s="390">
        <v>48.43</v>
      </c>
      <c r="K120" s="389" t="s">
        <v>2917</v>
      </c>
      <c r="L120" s="390">
        <v>278.88</v>
      </c>
      <c r="M120" s="389" t="s">
        <v>2918</v>
      </c>
      <c r="N120" s="389" t="s">
        <v>16337</v>
      </c>
      <c r="O120" s="389" t="s">
        <v>2208</v>
      </c>
      <c r="P120" s="389" t="s">
        <v>6851</v>
      </c>
      <c r="Q120" s="389" t="s">
        <v>6852</v>
      </c>
      <c r="R120" s="389" t="s">
        <v>2208</v>
      </c>
      <c r="S120" s="389" t="s">
        <v>2208</v>
      </c>
    </row>
    <row r="121" spans="1:19">
      <c r="A121" s="389" t="s">
        <v>6860</v>
      </c>
      <c r="B121" s="391" t="str">
        <f t="shared" si="2"/>
        <v>LCP-230213-EX</v>
      </c>
      <c r="C121" s="389" t="str">
        <f t="shared" si="3"/>
        <v>abril</v>
      </c>
      <c r="D121" s="389" t="s">
        <v>11332</v>
      </c>
      <c r="E121" s="391">
        <v>45775</v>
      </c>
      <c r="F121" s="389" t="s">
        <v>2208</v>
      </c>
      <c r="G121" s="389" t="s">
        <v>2916</v>
      </c>
      <c r="H121" s="389" t="s">
        <v>16336</v>
      </c>
      <c r="I121" s="393">
        <v>0</v>
      </c>
      <c r="J121" s="390">
        <v>223.06</v>
      </c>
      <c r="K121" s="389" t="s">
        <v>2917</v>
      </c>
      <c r="L121" s="390">
        <v>1284.55</v>
      </c>
      <c r="M121" s="389" t="s">
        <v>2918</v>
      </c>
      <c r="N121" s="389" t="s">
        <v>16337</v>
      </c>
      <c r="O121" s="389" t="s">
        <v>2208</v>
      </c>
      <c r="P121" s="389" t="s">
        <v>6851</v>
      </c>
      <c r="Q121" s="389" t="s">
        <v>6852</v>
      </c>
      <c r="R121" s="389" t="s">
        <v>2208</v>
      </c>
      <c r="S121" s="389" t="s">
        <v>2208</v>
      </c>
    </row>
    <row r="122" spans="1:19">
      <c r="A122" s="389" t="s">
        <v>6860</v>
      </c>
      <c r="B122" s="391" t="str">
        <f t="shared" si="2"/>
        <v>LCP-230213-EX</v>
      </c>
      <c r="C122" s="389" t="str">
        <f t="shared" si="3"/>
        <v>abril</v>
      </c>
      <c r="D122" s="389" t="s">
        <v>11332</v>
      </c>
      <c r="E122" s="391">
        <v>45777</v>
      </c>
      <c r="F122" s="389" t="s">
        <v>2208</v>
      </c>
      <c r="G122" s="389" t="s">
        <v>2916</v>
      </c>
      <c r="H122" s="389" t="s">
        <v>16939</v>
      </c>
      <c r="I122" s="393">
        <v>0</v>
      </c>
      <c r="J122" s="390">
        <v>-60.08</v>
      </c>
      <c r="K122" s="389" t="s">
        <v>2917</v>
      </c>
      <c r="L122" s="390">
        <v>0</v>
      </c>
      <c r="M122" s="389" t="s">
        <v>2918</v>
      </c>
      <c r="N122" s="389" t="s">
        <v>2919</v>
      </c>
      <c r="O122" s="389" t="s">
        <v>2208</v>
      </c>
      <c r="P122" s="389" t="s">
        <v>2916</v>
      </c>
      <c r="Q122" s="389" t="s">
        <v>3220</v>
      </c>
      <c r="R122" s="389" t="s">
        <v>2208</v>
      </c>
      <c r="S122" s="389" t="s">
        <v>2208</v>
      </c>
    </row>
    <row r="123" spans="1:19">
      <c r="A123" s="389" t="s">
        <v>6860</v>
      </c>
      <c r="B123" s="391" t="str">
        <f t="shared" si="2"/>
        <v>LCP-230213-EX</v>
      </c>
      <c r="C123" s="389" t="str">
        <f t="shared" si="3"/>
        <v>maio</v>
      </c>
      <c r="D123" s="389" t="s">
        <v>16361</v>
      </c>
      <c r="E123" s="391">
        <v>45800</v>
      </c>
      <c r="F123" s="389" t="s">
        <v>17689</v>
      </c>
      <c r="G123" s="389" t="s">
        <v>2916</v>
      </c>
      <c r="H123" s="389" t="s">
        <v>17690</v>
      </c>
      <c r="I123" s="398">
        <v>1</v>
      </c>
      <c r="J123" s="390">
        <v>22705.88</v>
      </c>
      <c r="K123" s="389" t="s">
        <v>2917</v>
      </c>
      <c r="L123" s="390">
        <v>127920.45</v>
      </c>
      <c r="M123" s="389" t="s">
        <v>2918</v>
      </c>
      <c r="N123" s="389" t="s">
        <v>2939</v>
      </c>
      <c r="O123" s="389" t="s">
        <v>2939</v>
      </c>
      <c r="P123" s="389" t="s">
        <v>2924</v>
      </c>
      <c r="Q123" s="389" t="s">
        <v>3219</v>
      </c>
      <c r="R123" s="389" t="s">
        <v>2208</v>
      </c>
      <c r="S123" s="389" t="s">
        <v>2208</v>
      </c>
    </row>
    <row r="124" spans="1:19">
      <c r="A124" s="389" t="s">
        <v>6860</v>
      </c>
      <c r="B124" s="391" t="str">
        <f t="shared" si="2"/>
        <v>LCP-230213-EX</v>
      </c>
      <c r="C124" s="389" t="str">
        <f t="shared" si="3"/>
        <v>maio</v>
      </c>
      <c r="D124" s="389" t="s">
        <v>16361</v>
      </c>
      <c r="E124" s="391">
        <v>45804</v>
      </c>
      <c r="F124" s="389" t="s">
        <v>17689</v>
      </c>
      <c r="G124" s="389" t="s">
        <v>2916</v>
      </c>
      <c r="H124" s="389" t="s">
        <v>18402</v>
      </c>
      <c r="I124" s="398">
        <v>0</v>
      </c>
      <c r="J124" s="390">
        <v>-2100.29</v>
      </c>
      <c r="K124" s="389" t="s">
        <v>2917</v>
      </c>
      <c r="L124" s="390">
        <v>-11832.64</v>
      </c>
      <c r="M124" s="389" t="s">
        <v>2918</v>
      </c>
      <c r="N124" s="389" t="s">
        <v>18403</v>
      </c>
      <c r="O124" s="389" t="s">
        <v>2939</v>
      </c>
      <c r="P124" s="389" t="s">
        <v>2924</v>
      </c>
      <c r="Q124" s="389" t="s">
        <v>3219</v>
      </c>
      <c r="R124" s="389" t="s">
        <v>2208</v>
      </c>
      <c r="S124" s="389" t="s">
        <v>2208</v>
      </c>
    </row>
    <row r="125" spans="1:19">
      <c r="A125" s="389" t="s">
        <v>6860</v>
      </c>
      <c r="B125" s="391" t="str">
        <f t="shared" si="2"/>
        <v>LCP-230213-EX</v>
      </c>
      <c r="C125" s="389" t="str">
        <f t="shared" si="3"/>
        <v>maio</v>
      </c>
      <c r="D125" s="389" t="s">
        <v>16361</v>
      </c>
      <c r="E125" s="391">
        <v>45808</v>
      </c>
      <c r="F125" s="389" t="s">
        <v>2208</v>
      </c>
      <c r="G125" s="389" t="s">
        <v>2916</v>
      </c>
      <c r="H125" s="389" t="s">
        <v>18404</v>
      </c>
      <c r="I125" s="393">
        <v>0</v>
      </c>
      <c r="J125" s="390">
        <v>0.03</v>
      </c>
      <c r="K125" s="389" t="s">
        <v>2917</v>
      </c>
      <c r="L125" s="390">
        <v>0</v>
      </c>
      <c r="M125" s="389" t="s">
        <v>2918</v>
      </c>
      <c r="N125" s="389" t="s">
        <v>2919</v>
      </c>
      <c r="O125" s="389" t="s">
        <v>2208</v>
      </c>
      <c r="P125" s="389" t="s">
        <v>2916</v>
      </c>
      <c r="Q125" s="389" t="s">
        <v>3220</v>
      </c>
      <c r="R125" s="389" t="s">
        <v>2208</v>
      </c>
      <c r="S125" s="389" t="s">
        <v>2208</v>
      </c>
    </row>
    <row r="126" spans="1:19">
      <c r="A126" s="389" t="s">
        <v>7183</v>
      </c>
      <c r="B126" s="391" t="str">
        <f t="shared" si="2"/>
        <v>LCP-240104-EX</v>
      </c>
      <c r="C126" s="389" t="str">
        <f t="shared" si="3"/>
        <v>janeiro</v>
      </c>
      <c r="D126" s="389" t="s">
        <v>2921</v>
      </c>
      <c r="E126" s="391">
        <v>45672</v>
      </c>
      <c r="F126" s="389" t="s">
        <v>7184</v>
      </c>
      <c r="G126" s="389" t="s">
        <v>2916</v>
      </c>
      <c r="H126" s="389" t="s">
        <v>8390</v>
      </c>
      <c r="I126" s="398">
        <v>1</v>
      </c>
      <c r="J126" s="390">
        <v>1494.61</v>
      </c>
      <c r="K126" s="389" t="s">
        <v>2917</v>
      </c>
      <c r="L126" s="390">
        <v>9230</v>
      </c>
      <c r="M126" s="389" t="s">
        <v>2918</v>
      </c>
      <c r="N126" s="389" t="s">
        <v>3315</v>
      </c>
      <c r="O126" s="389" t="s">
        <v>3315</v>
      </c>
      <c r="P126" s="389" t="s">
        <v>2924</v>
      </c>
      <c r="Q126" s="389" t="s">
        <v>3219</v>
      </c>
      <c r="R126" s="389" t="s">
        <v>2208</v>
      </c>
      <c r="S126" s="389" t="s">
        <v>2208</v>
      </c>
    </row>
    <row r="127" spans="1:19">
      <c r="A127" s="389" t="s">
        <v>7183</v>
      </c>
      <c r="B127" s="391" t="str">
        <f t="shared" si="2"/>
        <v>LCP-240104-EX</v>
      </c>
      <c r="C127" s="389" t="str">
        <f t="shared" si="3"/>
        <v>janeiro</v>
      </c>
      <c r="D127" s="389" t="s">
        <v>2921</v>
      </c>
      <c r="E127" s="391">
        <v>45673</v>
      </c>
      <c r="F127" s="389" t="s">
        <v>7184</v>
      </c>
      <c r="G127" s="389" t="s">
        <v>2916</v>
      </c>
      <c r="H127" s="389" t="s">
        <v>8391</v>
      </c>
      <c r="I127" s="398">
        <v>0</v>
      </c>
      <c r="J127" s="390">
        <v>-138.25</v>
      </c>
      <c r="K127" s="389" t="s">
        <v>2917</v>
      </c>
      <c r="L127" s="390">
        <v>-853.78</v>
      </c>
      <c r="M127" s="389" t="s">
        <v>2918</v>
      </c>
      <c r="N127" s="389" t="s">
        <v>8392</v>
      </c>
      <c r="O127" s="389" t="s">
        <v>3315</v>
      </c>
      <c r="P127" s="389" t="s">
        <v>2924</v>
      </c>
      <c r="Q127" s="389" t="s">
        <v>3219</v>
      </c>
      <c r="R127" s="389" t="s">
        <v>2208</v>
      </c>
      <c r="S127" s="389" t="s">
        <v>2208</v>
      </c>
    </row>
    <row r="128" spans="1:19">
      <c r="A128" s="389" t="s">
        <v>7183</v>
      </c>
      <c r="B128" s="391" t="str">
        <f t="shared" si="2"/>
        <v>LCP-240104-EX</v>
      </c>
      <c r="C128" s="389" t="str">
        <f t="shared" si="3"/>
        <v>janeiro</v>
      </c>
      <c r="D128" s="389" t="s">
        <v>2921</v>
      </c>
      <c r="E128" s="391">
        <v>45679</v>
      </c>
      <c r="F128" s="389" t="s">
        <v>7184</v>
      </c>
      <c r="G128" s="389" t="s">
        <v>2916</v>
      </c>
      <c r="H128" s="389" t="s">
        <v>8393</v>
      </c>
      <c r="I128" s="398">
        <v>1</v>
      </c>
      <c r="J128" s="390">
        <v>1494.61</v>
      </c>
      <c r="K128" s="389" t="s">
        <v>2917</v>
      </c>
      <c r="L128" s="390">
        <v>9230</v>
      </c>
      <c r="M128" s="389" t="s">
        <v>2918</v>
      </c>
      <c r="N128" s="389" t="s">
        <v>3315</v>
      </c>
      <c r="O128" s="389" t="s">
        <v>3315</v>
      </c>
      <c r="P128" s="389" t="s">
        <v>2924</v>
      </c>
      <c r="Q128" s="389" t="s">
        <v>3219</v>
      </c>
      <c r="R128" s="389" t="s">
        <v>2208</v>
      </c>
      <c r="S128" s="389" t="s">
        <v>2208</v>
      </c>
    </row>
    <row r="129" spans="1:19">
      <c r="A129" s="389" t="s">
        <v>7183</v>
      </c>
      <c r="B129" s="391" t="str">
        <f t="shared" si="2"/>
        <v>LCP-240104-EX</v>
      </c>
      <c r="C129" s="389" t="str">
        <f t="shared" si="3"/>
        <v>janeiro</v>
      </c>
      <c r="D129" s="389" t="s">
        <v>2921</v>
      </c>
      <c r="E129" s="391">
        <v>45688</v>
      </c>
      <c r="F129" s="389" t="s">
        <v>2208</v>
      </c>
      <c r="G129" s="389" t="s">
        <v>2916</v>
      </c>
      <c r="H129" s="389" t="s">
        <v>8394</v>
      </c>
      <c r="I129" s="393">
        <v>0</v>
      </c>
      <c r="J129" s="390">
        <v>-0.03</v>
      </c>
      <c r="K129" s="389" t="s">
        <v>2917</v>
      </c>
      <c r="L129" s="390">
        <v>0</v>
      </c>
      <c r="M129" s="389" t="s">
        <v>2918</v>
      </c>
      <c r="N129" s="389" t="s">
        <v>2919</v>
      </c>
      <c r="O129" s="389" t="s">
        <v>2208</v>
      </c>
      <c r="P129" s="389" t="s">
        <v>2916</v>
      </c>
      <c r="Q129" s="389" t="s">
        <v>3220</v>
      </c>
      <c r="R129" s="389" t="s">
        <v>2208</v>
      </c>
      <c r="S129" s="389" t="s">
        <v>2208</v>
      </c>
    </row>
    <row r="130" spans="1:19">
      <c r="A130" s="389" t="s">
        <v>7183</v>
      </c>
      <c r="B130" s="391" t="str">
        <f t="shared" si="2"/>
        <v>LCP-240104-EX</v>
      </c>
      <c r="C130" s="389" t="str">
        <f t="shared" si="3"/>
        <v>fevereiro</v>
      </c>
      <c r="D130" s="389" t="s">
        <v>2925</v>
      </c>
      <c r="E130" s="391">
        <v>45694</v>
      </c>
      <c r="F130" s="389" t="s">
        <v>7184</v>
      </c>
      <c r="G130" s="389" t="s">
        <v>2916</v>
      </c>
      <c r="H130" s="389" t="s">
        <v>8805</v>
      </c>
      <c r="I130" s="398">
        <v>1</v>
      </c>
      <c r="J130" s="390">
        <v>1587.1</v>
      </c>
      <c r="K130" s="389" t="s">
        <v>2917</v>
      </c>
      <c r="L130" s="390">
        <v>9230</v>
      </c>
      <c r="M130" s="389" t="s">
        <v>2918</v>
      </c>
      <c r="N130" s="389" t="s">
        <v>3315</v>
      </c>
      <c r="O130" s="389" t="s">
        <v>3315</v>
      </c>
      <c r="P130" s="389" t="s">
        <v>2924</v>
      </c>
      <c r="Q130" s="389" t="s">
        <v>3219</v>
      </c>
      <c r="R130" s="389" t="s">
        <v>2208</v>
      </c>
      <c r="S130" s="389" t="s">
        <v>2208</v>
      </c>
    </row>
    <row r="131" spans="1:19">
      <c r="A131" s="389" t="s">
        <v>7183</v>
      </c>
      <c r="B131" s="391" t="str">
        <f t="shared" ref="B131:B194" si="4">IF(LEFT(A131,1)="E",A131,LEFT(A131,13))</f>
        <v>LCP-240104-EX</v>
      </c>
      <c r="C131" s="389" t="str">
        <f t="shared" ref="C131:C194" si="5">TEXT(E131,"mmmm")</f>
        <v>fevereiro</v>
      </c>
      <c r="D131" s="389" t="s">
        <v>2925</v>
      </c>
      <c r="E131" s="391">
        <v>45695</v>
      </c>
      <c r="F131" s="389" t="s">
        <v>7184</v>
      </c>
      <c r="G131" s="389" t="s">
        <v>2916</v>
      </c>
      <c r="H131" s="389" t="s">
        <v>8806</v>
      </c>
      <c r="I131" s="398">
        <v>1</v>
      </c>
      <c r="J131" s="390">
        <v>1587.1</v>
      </c>
      <c r="K131" s="389" t="s">
        <v>2917</v>
      </c>
      <c r="L131" s="390">
        <v>9230</v>
      </c>
      <c r="M131" s="389" t="s">
        <v>2918</v>
      </c>
      <c r="N131" s="389" t="s">
        <v>3315</v>
      </c>
      <c r="O131" s="389" t="s">
        <v>3315</v>
      </c>
      <c r="P131" s="389" t="s">
        <v>2924</v>
      </c>
      <c r="Q131" s="389" t="s">
        <v>3219</v>
      </c>
      <c r="R131" s="389" t="s">
        <v>2208</v>
      </c>
      <c r="S131" s="389" t="s">
        <v>2208</v>
      </c>
    </row>
    <row r="132" spans="1:19">
      <c r="A132" s="389" t="s">
        <v>7183</v>
      </c>
      <c r="B132" s="391" t="str">
        <f t="shared" si="4"/>
        <v>LCP-240104-EX</v>
      </c>
      <c r="C132" s="389" t="str">
        <f t="shared" si="5"/>
        <v>fevereiro</v>
      </c>
      <c r="D132" s="389" t="s">
        <v>2925</v>
      </c>
      <c r="E132" s="391">
        <v>45700</v>
      </c>
      <c r="F132" s="389" t="s">
        <v>7184</v>
      </c>
      <c r="G132" s="389" t="s">
        <v>2916</v>
      </c>
      <c r="H132" s="389" t="s">
        <v>8807</v>
      </c>
      <c r="I132" s="398">
        <v>1</v>
      </c>
      <c r="J132" s="390">
        <v>1587.1</v>
      </c>
      <c r="K132" s="389" t="s">
        <v>2917</v>
      </c>
      <c r="L132" s="390">
        <v>9230</v>
      </c>
      <c r="M132" s="389" t="s">
        <v>2918</v>
      </c>
      <c r="N132" s="389" t="s">
        <v>3315</v>
      </c>
      <c r="O132" s="389" t="s">
        <v>3315</v>
      </c>
      <c r="P132" s="389" t="s">
        <v>2924</v>
      </c>
      <c r="Q132" s="389" t="s">
        <v>3219</v>
      </c>
      <c r="R132" s="389" t="s">
        <v>2208</v>
      </c>
      <c r="S132" s="389" t="s">
        <v>2208</v>
      </c>
    </row>
    <row r="133" spans="1:19">
      <c r="A133" s="389" t="s">
        <v>7183</v>
      </c>
      <c r="B133" s="391" t="str">
        <f t="shared" si="4"/>
        <v>LCP-240104-EX</v>
      </c>
      <c r="C133" s="389" t="str">
        <f t="shared" si="5"/>
        <v>fevereiro</v>
      </c>
      <c r="D133" s="389" t="s">
        <v>2925</v>
      </c>
      <c r="E133" s="391">
        <v>45702</v>
      </c>
      <c r="F133" s="389" t="s">
        <v>2208</v>
      </c>
      <c r="G133" s="389" t="s">
        <v>2916</v>
      </c>
      <c r="H133" s="389" t="s">
        <v>8808</v>
      </c>
      <c r="I133" s="393">
        <v>0</v>
      </c>
      <c r="J133" s="390">
        <v>-7612.24</v>
      </c>
      <c r="K133" s="389" t="s">
        <v>2917</v>
      </c>
      <c r="L133" s="390">
        <v>0</v>
      </c>
      <c r="M133" s="389" t="s">
        <v>2918</v>
      </c>
      <c r="N133" s="389" t="s">
        <v>2946</v>
      </c>
      <c r="O133" s="389" t="s">
        <v>2208</v>
      </c>
      <c r="P133" s="389" t="s">
        <v>8809</v>
      </c>
      <c r="Q133" s="389" t="s">
        <v>8810</v>
      </c>
      <c r="R133" s="389" t="s">
        <v>2208</v>
      </c>
      <c r="S133" s="389" t="s">
        <v>2208</v>
      </c>
    </row>
    <row r="134" spans="1:19">
      <c r="A134" s="389" t="s">
        <v>7183</v>
      </c>
      <c r="B134" s="391" t="str">
        <f t="shared" si="4"/>
        <v>LCP-240104-EX</v>
      </c>
      <c r="C134" s="389" t="str">
        <f t="shared" si="5"/>
        <v>fevereiro</v>
      </c>
      <c r="D134" s="389" t="s">
        <v>2925</v>
      </c>
      <c r="E134" s="391">
        <v>45702</v>
      </c>
      <c r="F134" s="389" t="s">
        <v>2208</v>
      </c>
      <c r="G134" s="389" t="s">
        <v>2916</v>
      </c>
      <c r="H134" s="389" t="s">
        <v>8811</v>
      </c>
      <c r="I134" s="393">
        <v>0</v>
      </c>
      <c r="J134" s="390">
        <v>0</v>
      </c>
      <c r="K134" s="389" t="s">
        <v>2917</v>
      </c>
      <c r="L134" s="390">
        <v>-45296.22</v>
      </c>
      <c r="M134" s="389" t="s">
        <v>2918</v>
      </c>
      <c r="N134" s="389" t="s">
        <v>2946</v>
      </c>
      <c r="O134" s="389" t="s">
        <v>2208</v>
      </c>
      <c r="P134" s="389" t="s">
        <v>8809</v>
      </c>
      <c r="Q134" s="389" t="s">
        <v>8810</v>
      </c>
      <c r="R134" s="389" t="s">
        <v>2208</v>
      </c>
      <c r="S134" s="389" t="s">
        <v>2208</v>
      </c>
    </row>
    <row r="135" spans="1:19">
      <c r="A135" s="389" t="s">
        <v>7183</v>
      </c>
      <c r="B135" s="391" t="str">
        <f t="shared" si="4"/>
        <v>LCP-240104-EX</v>
      </c>
      <c r="C135" s="389" t="str">
        <f t="shared" si="5"/>
        <v>fevereiro</v>
      </c>
      <c r="D135" s="389" t="s">
        <v>2925</v>
      </c>
      <c r="E135" s="391">
        <v>45705</v>
      </c>
      <c r="F135" s="389" t="s">
        <v>8812</v>
      </c>
      <c r="G135" s="389" t="s">
        <v>2916</v>
      </c>
      <c r="H135" s="389" t="s">
        <v>8813</v>
      </c>
      <c r="I135" s="398">
        <v>1</v>
      </c>
      <c r="J135" s="390">
        <v>3439</v>
      </c>
      <c r="K135" s="389" t="s">
        <v>2917</v>
      </c>
      <c r="L135" s="390">
        <v>20000</v>
      </c>
      <c r="M135" s="389" t="s">
        <v>2918</v>
      </c>
      <c r="N135" s="389" t="s">
        <v>3315</v>
      </c>
      <c r="O135" s="389" t="s">
        <v>3315</v>
      </c>
      <c r="P135" s="389" t="s">
        <v>2924</v>
      </c>
      <c r="Q135" s="389" t="s">
        <v>3219</v>
      </c>
      <c r="R135" s="389" t="s">
        <v>2208</v>
      </c>
      <c r="S135" s="389" t="s">
        <v>2208</v>
      </c>
    </row>
    <row r="136" spans="1:19">
      <c r="A136" s="389" t="s">
        <v>7183</v>
      </c>
      <c r="B136" s="391" t="str">
        <f t="shared" si="4"/>
        <v>LCP-240104-EX</v>
      </c>
      <c r="C136" s="389" t="str">
        <f t="shared" si="5"/>
        <v>fevereiro</v>
      </c>
      <c r="D136" s="389" t="s">
        <v>2925</v>
      </c>
      <c r="E136" s="391">
        <v>45705</v>
      </c>
      <c r="F136" s="389" t="s">
        <v>7184</v>
      </c>
      <c r="G136" s="389" t="s">
        <v>2916</v>
      </c>
      <c r="H136" s="389" t="s">
        <v>8814</v>
      </c>
      <c r="I136" s="398">
        <v>1</v>
      </c>
      <c r="J136" s="390">
        <v>1587.1</v>
      </c>
      <c r="K136" s="389" t="s">
        <v>2917</v>
      </c>
      <c r="L136" s="390">
        <v>9230</v>
      </c>
      <c r="M136" s="389" t="s">
        <v>2918</v>
      </c>
      <c r="N136" s="389" t="s">
        <v>3315</v>
      </c>
      <c r="O136" s="389" t="s">
        <v>3315</v>
      </c>
      <c r="P136" s="389" t="s">
        <v>2924</v>
      </c>
      <c r="Q136" s="389" t="s">
        <v>3219</v>
      </c>
      <c r="R136" s="389" t="s">
        <v>2208</v>
      </c>
      <c r="S136" s="389" t="s">
        <v>2208</v>
      </c>
    </row>
    <row r="137" spans="1:19">
      <c r="A137" s="389" t="s">
        <v>7183</v>
      </c>
      <c r="B137" s="391" t="str">
        <f t="shared" si="4"/>
        <v>LCP-240104-EX</v>
      </c>
      <c r="C137" s="389" t="str">
        <f t="shared" si="5"/>
        <v>fevereiro</v>
      </c>
      <c r="D137" s="389" t="s">
        <v>2925</v>
      </c>
      <c r="E137" s="391">
        <v>45706</v>
      </c>
      <c r="F137" s="389" t="s">
        <v>7184</v>
      </c>
      <c r="G137" s="389" t="s">
        <v>2916</v>
      </c>
      <c r="H137" s="389" t="s">
        <v>8815</v>
      </c>
      <c r="I137" s="398">
        <v>0</v>
      </c>
      <c r="J137" s="390">
        <v>-146.81</v>
      </c>
      <c r="K137" s="389" t="s">
        <v>2917</v>
      </c>
      <c r="L137" s="390">
        <v>-853.78</v>
      </c>
      <c r="M137" s="389" t="s">
        <v>2918</v>
      </c>
      <c r="N137" s="389" t="s">
        <v>8816</v>
      </c>
      <c r="O137" s="389" t="s">
        <v>3315</v>
      </c>
      <c r="P137" s="389" t="s">
        <v>2924</v>
      </c>
      <c r="Q137" s="389" t="s">
        <v>3219</v>
      </c>
      <c r="R137" s="389" t="s">
        <v>2208</v>
      </c>
      <c r="S137" s="389" t="s">
        <v>2208</v>
      </c>
    </row>
    <row r="138" spans="1:19">
      <c r="A138" s="389" t="s">
        <v>7183</v>
      </c>
      <c r="B138" s="391" t="str">
        <f t="shared" si="4"/>
        <v>LCP-240104-EX</v>
      </c>
      <c r="C138" s="389" t="str">
        <f t="shared" si="5"/>
        <v>fevereiro</v>
      </c>
      <c r="D138" s="389" t="s">
        <v>2925</v>
      </c>
      <c r="E138" s="391">
        <v>45706</v>
      </c>
      <c r="F138" s="389" t="s">
        <v>7184</v>
      </c>
      <c r="G138" s="389" t="s">
        <v>2916</v>
      </c>
      <c r="H138" s="389" t="s">
        <v>8817</v>
      </c>
      <c r="I138" s="398">
        <v>0</v>
      </c>
      <c r="J138" s="390">
        <v>-146.81</v>
      </c>
      <c r="K138" s="389" t="s">
        <v>2917</v>
      </c>
      <c r="L138" s="390">
        <v>-853.78</v>
      </c>
      <c r="M138" s="389" t="s">
        <v>2918</v>
      </c>
      <c r="N138" s="389" t="s">
        <v>8818</v>
      </c>
      <c r="O138" s="389" t="s">
        <v>3315</v>
      </c>
      <c r="P138" s="389" t="s">
        <v>2924</v>
      </c>
      <c r="Q138" s="389" t="s">
        <v>3219</v>
      </c>
      <c r="R138" s="389" t="s">
        <v>2208</v>
      </c>
      <c r="S138" s="389" t="s">
        <v>2208</v>
      </c>
    </row>
    <row r="139" spans="1:19">
      <c r="A139" s="389" t="s">
        <v>7183</v>
      </c>
      <c r="B139" s="391" t="str">
        <f t="shared" si="4"/>
        <v>LCP-240104-EX</v>
      </c>
      <c r="C139" s="389" t="str">
        <f t="shared" si="5"/>
        <v>fevereiro</v>
      </c>
      <c r="D139" s="389" t="s">
        <v>2925</v>
      </c>
      <c r="E139" s="391">
        <v>45706</v>
      </c>
      <c r="F139" s="389" t="s">
        <v>7184</v>
      </c>
      <c r="G139" s="389" t="s">
        <v>2916</v>
      </c>
      <c r="H139" s="389" t="s">
        <v>8819</v>
      </c>
      <c r="I139" s="398">
        <v>0</v>
      </c>
      <c r="J139" s="390">
        <v>-146.81</v>
      </c>
      <c r="K139" s="389" t="s">
        <v>2917</v>
      </c>
      <c r="L139" s="390">
        <v>-853.78</v>
      </c>
      <c r="M139" s="389" t="s">
        <v>2918</v>
      </c>
      <c r="N139" s="389" t="s">
        <v>8820</v>
      </c>
      <c r="O139" s="389" t="s">
        <v>3315</v>
      </c>
      <c r="P139" s="389" t="s">
        <v>2924</v>
      </c>
      <c r="Q139" s="389" t="s">
        <v>3219</v>
      </c>
      <c r="R139" s="389" t="s">
        <v>2208</v>
      </c>
      <c r="S139" s="389" t="s">
        <v>2208</v>
      </c>
    </row>
    <row r="140" spans="1:19">
      <c r="A140" s="389" t="s">
        <v>7183</v>
      </c>
      <c r="B140" s="391" t="str">
        <f t="shared" si="4"/>
        <v>LCP-240104-EX</v>
      </c>
      <c r="C140" s="389" t="str">
        <f t="shared" si="5"/>
        <v>fevereiro</v>
      </c>
      <c r="D140" s="389" t="s">
        <v>2925</v>
      </c>
      <c r="E140" s="391">
        <v>45706</v>
      </c>
      <c r="F140" s="389" t="s">
        <v>7184</v>
      </c>
      <c r="G140" s="389" t="s">
        <v>2916</v>
      </c>
      <c r="H140" s="389" t="s">
        <v>8821</v>
      </c>
      <c r="I140" s="398">
        <v>0</v>
      </c>
      <c r="J140" s="390">
        <v>-146.81</v>
      </c>
      <c r="K140" s="389" t="s">
        <v>2917</v>
      </c>
      <c r="L140" s="390">
        <v>-853.78</v>
      </c>
      <c r="M140" s="389" t="s">
        <v>2918</v>
      </c>
      <c r="N140" s="389" t="s">
        <v>8822</v>
      </c>
      <c r="O140" s="389" t="s">
        <v>3315</v>
      </c>
      <c r="P140" s="389" t="s">
        <v>2924</v>
      </c>
      <c r="Q140" s="389" t="s">
        <v>3219</v>
      </c>
      <c r="R140" s="389" t="s">
        <v>2208</v>
      </c>
      <c r="S140" s="389" t="s">
        <v>2208</v>
      </c>
    </row>
    <row r="141" spans="1:19">
      <c r="A141" s="389" t="s">
        <v>7183</v>
      </c>
      <c r="B141" s="391" t="str">
        <f t="shared" si="4"/>
        <v>LCP-240104-EX</v>
      </c>
      <c r="C141" s="389" t="str">
        <f t="shared" si="5"/>
        <v>fevereiro</v>
      </c>
      <c r="D141" s="389" t="s">
        <v>2925</v>
      </c>
      <c r="E141" s="391">
        <v>45707</v>
      </c>
      <c r="F141" s="389" t="s">
        <v>7184</v>
      </c>
      <c r="G141" s="389" t="s">
        <v>2916</v>
      </c>
      <c r="H141" s="389" t="s">
        <v>8823</v>
      </c>
      <c r="I141" s="398">
        <v>1</v>
      </c>
      <c r="J141" s="390">
        <v>1587.1</v>
      </c>
      <c r="K141" s="389" t="s">
        <v>2917</v>
      </c>
      <c r="L141" s="390">
        <v>9230</v>
      </c>
      <c r="M141" s="389" t="s">
        <v>2918</v>
      </c>
      <c r="N141" s="389" t="s">
        <v>3315</v>
      </c>
      <c r="O141" s="389" t="s">
        <v>3315</v>
      </c>
      <c r="P141" s="389" t="s">
        <v>2924</v>
      </c>
      <c r="Q141" s="389" t="s">
        <v>3219</v>
      </c>
      <c r="R141" s="389" t="s">
        <v>2208</v>
      </c>
      <c r="S141" s="389" t="s">
        <v>2208</v>
      </c>
    </row>
    <row r="142" spans="1:19">
      <c r="A142" s="389" t="s">
        <v>7183</v>
      </c>
      <c r="B142" s="391" t="str">
        <f t="shared" si="4"/>
        <v>LCP-240104-EX</v>
      </c>
      <c r="C142" s="389" t="str">
        <f t="shared" si="5"/>
        <v>fevereiro</v>
      </c>
      <c r="D142" s="389" t="s">
        <v>2925</v>
      </c>
      <c r="E142" s="391">
        <v>45709</v>
      </c>
      <c r="F142" s="389" t="s">
        <v>7184</v>
      </c>
      <c r="G142" s="389" t="s">
        <v>2916</v>
      </c>
      <c r="H142" s="389" t="s">
        <v>8824</v>
      </c>
      <c r="I142" s="398">
        <v>0</v>
      </c>
      <c r="J142" s="390">
        <v>-146.81</v>
      </c>
      <c r="K142" s="389" t="s">
        <v>2917</v>
      </c>
      <c r="L142" s="390">
        <v>-853.78</v>
      </c>
      <c r="M142" s="389" t="s">
        <v>2918</v>
      </c>
      <c r="N142" s="389" t="s">
        <v>8825</v>
      </c>
      <c r="O142" s="389" t="s">
        <v>3315</v>
      </c>
      <c r="P142" s="389" t="s">
        <v>2924</v>
      </c>
      <c r="Q142" s="389" t="s">
        <v>3219</v>
      </c>
      <c r="R142" s="389" t="s">
        <v>2208</v>
      </c>
      <c r="S142" s="389" t="s">
        <v>2208</v>
      </c>
    </row>
    <row r="143" spans="1:19">
      <c r="A143" s="389" t="s">
        <v>7183</v>
      </c>
      <c r="B143" s="391" t="str">
        <f t="shared" si="4"/>
        <v>LCP-240104-EX</v>
      </c>
      <c r="C143" s="389" t="str">
        <f t="shared" si="5"/>
        <v>fevereiro</v>
      </c>
      <c r="D143" s="389" t="s">
        <v>2925</v>
      </c>
      <c r="E143" s="391">
        <v>45709</v>
      </c>
      <c r="F143" s="389" t="s">
        <v>8812</v>
      </c>
      <c r="G143" s="389" t="s">
        <v>2916</v>
      </c>
      <c r="H143" s="389" t="s">
        <v>8826</v>
      </c>
      <c r="I143" s="398">
        <v>1</v>
      </c>
      <c r="J143" s="390">
        <v>3439</v>
      </c>
      <c r="K143" s="389" t="s">
        <v>2917</v>
      </c>
      <c r="L143" s="390">
        <v>20000</v>
      </c>
      <c r="M143" s="389" t="s">
        <v>2918</v>
      </c>
      <c r="N143" s="389" t="s">
        <v>3315</v>
      </c>
      <c r="O143" s="389" t="s">
        <v>3315</v>
      </c>
      <c r="P143" s="389" t="s">
        <v>2924</v>
      </c>
      <c r="Q143" s="389" t="s">
        <v>3219</v>
      </c>
      <c r="R143" s="389" t="s">
        <v>2208</v>
      </c>
      <c r="S143" s="389" t="s">
        <v>2208</v>
      </c>
    </row>
    <row r="144" spans="1:19">
      <c r="A144" s="389" t="s">
        <v>7183</v>
      </c>
      <c r="B144" s="391" t="str">
        <f t="shared" si="4"/>
        <v>LCP-240104-EX</v>
      </c>
      <c r="C144" s="389" t="str">
        <f t="shared" si="5"/>
        <v>fevereiro</v>
      </c>
      <c r="D144" s="389" t="s">
        <v>2925</v>
      </c>
      <c r="E144" s="391">
        <v>45715</v>
      </c>
      <c r="F144" s="389" t="s">
        <v>2208</v>
      </c>
      <c r="G144" s="389" t="s">
        <v>2916</v>
      </c>
      <c r="H144" s="389" t="s">
        <v>9587</v>
      </c>
      <c r="I144" s="393">
        <v>0</v>
      </c>
      <c r="J144" s="390">
        <v>-26.19</v>
      </c>
      <c r="K144" s="389" t="s">
        <v>2917</v>
      </c>
      <c r="L144" s="390">
        <v>-152.30000000000001</v>
      </c>
      <c r="M144" s="389" t="s">
        <v>2918</v>
      </c>
      <c r="N144" s="389" t="s">
        <v>9588</v>
      </c>
      <c r="O144" s="389" t="s">
        <v>2208</v>
      </c>
      <c r="P144" s="389" t="s">
        <v>6851</v>
      </c>
      <c r="Q144" s="389" t="s">
        <v>6852</v>
      </c>
      <c r="R144" s="389" t="s">
        <v>2208</v>
      </c>
      <c r="S144" s="389" t="s">
        <v>2208</v>
      </c>
    </row>
    <row r="145" spans="1:19">
      <c r="A145" s="389" t="s">
        <v>7183</v>
      </c>
      <c r="B145" s="391" t="str">
        <f t="shared" si="4"/>
        <v>LCP-240104-EX</v>
      </c>
      <c r="C145" s="389" t="str">
        <f t="shared" si="5"/>
        <v>fevereiro</v>
      </c>
      <c r="D145" s="389" t="s">
        <v>2925</v>
      </c>
      <c r="E145" s="391">
        <v>45715</v>
      </c>
      <c r="F145" s="389" t="s">
        <v>2208</v>
      </c>
      <c r="G145" s="389" t="s">
        <v>2916</v>
      </c>
      <c r="H145" s="389" t="s">
        <v>9587</v>
      </c>
      <c r="I145" s="393">
        <v>0</v>
      </c>
      <c r="J145" s="390">
        <v>-120.62</v>
      </c>
      <c r="K145" s="389" t="s">
        <v>2917</v>
      </c>
      <c r="L145" s="390">
        <v>-701.48</v>
      </c>
      <c r="M145" s="389" t="s">
        <v>2918</v>
      </c>
      <c r="N145" s="389" t="s">
        <v>9588</v>
      </c>
      <c r="O145" s="389" t="s">
        <v>2208</v>
      </c>
      <c r="P145" s="389" t="s">
        <v>6851</v>
      </c>
      <c r="Q145" s="389" t="s">
        <v>6852</v>
      </c>
      <c r="R145" s="389" t="s">
        <v>2208</v>
      </c>
      <c r="S145" s="389" t="s">
        <v>2208</v>
      </c>
    </row>
    <row r="146" spans="1:19">
      <c r="A146" s="389" t="s">
        <v>7183</v>
      </c>
      <c r="B146" s="391" t="str">
        <f t="shared" si="4"/>
        <v>LCP-240104-EX</v>
      </c>
      <c r="C146" s="389" t="str">
        <f t="shared" si="5"/>
        <v>fevereiro</v>
      </c>
      <c r="D146" s="389" t="s">
        <v>2925</v>
      </c>
      <c r="E146" s="391">
        <v>45716</v>
      </c>
      <c r="F146" s="389" t="s">
        <v>2208</v>
      </c>
      <c r="G146" s="389" t="s">
        <v>2916</v>
      </c>
      <c r="H146" s="389" t="s">
        <v>9589</v>
      </c>
      <c r="I146" s="393">
        <v>0</v>
      </c>
      <c r="J146" s="390">
        <v>-0.04</v>
      </c>
      <c r="K146" s="389" t="s">
        <v>2917</v>
      </c>
      <c r="L146" s="390">
        <v>0</v>
      </c>
      <c r="M146" s="389" t="s">
        <v>2918</v>
      </c>
      <c r="N146" s="389" t="s">
        <v>2919</v>
      </c>
      <c r="O146" s="389" t="s">
        <v>2208</v>
      </c>
      <c r="P146" s="389" t="s">
        <v>2916</v>
      </c>
      <c r="Q146" s="389" t="s">
        <v>3220</v>
      </c>
      <c r="R146" s="389" t="s">
        <v>2208</v>
      </c>
      <c r="S146" s="389" t="s">
        <v>2208</v>
      </c>
    </row>
    <row r="147" spans="1:19">
      <c r="A147" s="389" t="s">
        <v>7183</v>
      </c>
      <c r="B147" s="391" t="str">
        <f t="shared" si="4"/>
        <v>LCP-240104-EX</v>
      </c>
      <c r="C147" s="389" t="str">
        <f t="shared" si="5"/>
        <v>março</v>
      </c>
      <c r="D147" s="389" t="s">
        <v>9127</v>
      </c>
      <c r="E147" s="391">
        <v>45719</v>
      </c>
      <c r="F147" s="389" t="s">
        <v>8812</v>
      </c>
      <c r="G147" s="389" t="s">
        <v>2916</v>
      </c>
      <c r="H147" s="389" t="s">
        <v>9590</v>
      </c>
      <c r="I147" s="398">
        <v>1</v>
      </c>
      <c r="J147" s="390">
        <v>3427.8</v>
      </c>
      <c r="K147" s="389" t="s">
        <v>2917</v>
      </c>
      <c r="L147" s="390">
        <v>20000</v>
      </c>
      <c r="M147" s="389" t="s">
        <v>2918</v>
      </c>
      <c r="N147" s="389" t="s">
        <v>3315</v>
      </c>
      <c r="O147" s="389" t="s">
        <v>3315</v>
      </c>
      <c r="P147" s="389" t="s">
        <v>2924</v>
      </c>
      <c r="Q147" s="389" t="s">
        <v>3219</v>
      </c>
      <c r="R147" s="389" t="s">
        <v>2208</v>
      </c>
      <c r="S147" s="389" t="s">
        <v>2208</v>
      </c>
    </row>
    <row r="148" spans="1:19">
      <c r="A148" s="389" t="s">
        <v>7183</v>
      </c>
      <c r="B148" s="391" t="str">
        <f t="shared" si="4"/>
        <v>LCP-240104-EX</v>
      </c>
      <c r="C148" s="389" t="str">
        <f t="shared" si="5"/>
        <v>março</v>
      </c>
      <c r="D148" s="389" t="s">
        <v>9127</v>
      </c>
      <c r="E148" s="391">
        <v>45719</v>
      </c>
      <c r="F148" s="389" t="s">
        <v>7184</v>
      </c>
      <c r="G148" s="389" t="s">
        <v>2916</v>
      </c>
      <c r="H148" s="389" t="s">
        <v>9591</v>
      </c>
      <c r="I148" s="398">
        <v>1</v>
      </c>
      <c r="J148" s="390">
        <v>1581.93</v>
      </c>
      <c r="K148" s="389" t="s">
        <v>2917</v>
      </c>
      <c r="L148" s="390">
        <v>9230</v>
      </c>
      <c r="M148" s="389" t="s">
        <v>2918</v>
      </c>
      <c r="N148" s="389" t="s">
        <v>3315</v>
      </c>
      <c r="O148" s="389" t="s">
        <v>3315</v>
      </c>
      <c r="P148" s="389" t="s">
        <v>2924</v>
      </c>
      <c r="Q148" s="389" t="s">
        <v>3219</v>
      </c>
      <c r="R148" s="389" t="s">
        <v>2208</v>
      </c>
      <c r="S148" s="389" t="s">
        <v>2208</v>
      </c>
    </row>
    <row r="149" spans="1:19">
      <c r="A149" s="389" t="s">
        <v>7183</v>
      </c>
      <c r="B149" s="391" t="str">
        <f t="shared" si="4"/>
        <v>LCP-240104-EX</v>
      </c>
      <c r="C149" s="389" t="str">
        <f t="shared" si="5"/>
        <v>março</v>
      </c>
      <c r="D149" s="389" t="s">
        <v>9127</v>
      </c>
      <c r="E149" s="391">
        <v>45720</v>
      </c>
      <c r="F149" s="389" t="s">
        <v>7184</v>
      </c>
      <c r="G149" s="389" t="s">
        <v>2916</v>
      </c>
      <c r="H149" s="389" t="s">
        <v>9592</v>
      </c>
      <c r="I149" s="398">
        <v>0</v>
      </c>
      <c r="J149" s="390">
        <v>-146.33000000000001</v>
      </c>
      <c r="K149" s="389" t="s">
        <v>2917</v>
      </c>
      <c r="L149" s="390">
        <v>-853.78</v>
      </c>
      <c r="M149" s="389" t="s">
        <v>2918</v>
      </c>
      <c r="N149" s="389" t="s">
        <v>9593</v>
      </c>
      <c r="O149" s="389" t="s">
        <v>3315</v>
      </c>
      <c r="P149" s="389" t="s">
        <v>2924</v>
      </c>
      <c r="Q149" s="389" t="s">
        <v>3219</v>
      </c>
      <c r="R149" s="389" t="s">
        <v>2208</v>
      </c>
      <c r="S149" s="389" t="s">
        <v>2208</v>
      </c>
    </row>
    <row r="150" spans="1:19">
      <c r="A150" s="389" t="s">
        <v>7183</v>
      </c>
      <c r="B150" s="391" t="str">
        <f t="shared" si="4"/>
        <v>LCP-240104-EX</v>
      </c>
      <c r="C150" s="389" t="str">
        <f t="shared" si="5"/>
        <v>março</v>
      </c>
      <c r="D150" s="389" t="s">
        <v>9127</v>
      </c>
      <c r="E150" s="391">
        <v>45729</v>
      </c>
      <c r="F150" s="389" t="s">
        <v>8812</v>
      </c>
      <c r="G150" s="389" t="s">
        <v>2916</v>
      </c>
      <c r="H150" s="389" t="s">
        <v>10856</v>
      </c>
      <c r="I150" s="398">
        <v>1</v>
      </c>
      <c r="J150" s="390">
        <v>3427.8</v>
      </c>
      <c r="K150" s="389" t="s">
        <v>2917</v>
      </c>
      <c r="L150" s="390">
        <v>20000</v>
      </c>
      <c r="M150" s="389" t="s">
        <v>2918</v>
      </c>
      <c r="N150" s="389" t="s">
        <v>3315</v>
      </c>
      <c r="O150" s="389" t="s">
        <v>3315</v>
      </c>
      <c r="P150" s="389" t="s">
        <v>2924</v>
      </c>
      <c r="Q150" s="389" t="s">
        <v>3219</v>
      </c>
      <c r="R150" s="389" t="s">
        <v>2208</v>
      </c>
      <c r="S150" s="389" t="s">
        <v>2208</v>
      </c>
    </row>
    <row r="151" spans="1:19">
      <c r="A151" s="389" t="s">
        <v>7183</v>
      </c>
      <c r="B151" s="391" t="str">
        <f t="shared" si="4"/>
        <v>LCP-240104-EX</v>
      </c>
      <c r="C151" s="389" t="str">
        <f t="shared" si="5"/>
        <v>março</v>
      </c>
      <c r="D151" s="389" t="s">
        <v>9127</v>
      </c>
      <c r="E151" s="391">
        <v>45735</v>
      </c>
      <c r="F151" s="389" t="s">
        <v>8812</v>
      </c>
      <c r="G151" s="389" t="s">
        <v>2916</v>
      </c>
      <c r="H151" s="389" t="s">
        <v>11041</v>
      </c>
      <c r="I151" s="398">
        <v>0</v>
      </c>
      <c r="J151" s="390">
        <v>-317.07</v>
      </c>
      <c r="K151" s="389" t="s">
        <v>2917</v>
      </c>
      <c r="L151" s="390">
        <v>-1850</v>
      </c>
      <c r="M151" s="389" t="s">
        <v>2918</v>
      </c>
      <c r="N151" s="389" t="s">
        <v>11042</v>
      </c>
      <c r="O151" s="389" t="s">
        <v>3315</v>
      </c>
      <c r="P151" s="389" t="s">
        <v>2924</v>
      </c>
      <c r="Q151" s="389" t="s">
        <v>3219</v>
      </c>
      <c r="R151" s="389" t="s">
        <v>2208</v>
      </c>
      <c r="S151" s="389" t="s">
        <v>2208</v>
      </c>
    </row>
    <row r="152" spans="1:19">
      <c r="A152" s="389" t="s">
        <v>7183</v>
      </c>
      <c r="B152" s="391" t="str">
        <f t="shared" si="4"/>
        <v>LCP-240104-EX</v>
      </c>
      <c r="C152" s="389" t="str">
        <f t="shared" si="5"/>
        <v>março</v>
      </c>
      <c r="D152" s="389" t="s">
        <v>9127</v>
      </c>
      <c r="E152" s="391">
        <v>45736</v>
      </c>
      <c r="F152" s="389" t="s">
        <v>8812</v>
      </c>
      <c r="G152" s="389" t="s">
        <v>2916</v>
      </c>
      <c r="H152" s="389" t="s">
        <v>11043</v>
      </c>
      <c r="I152" s="398">
        <v>0</v>
      </c>
      <c r="J152" s="390">
        <v>-317.07</v>
      </c>
      <c r="K152" s="389" t="s">
        <v>2917</v>
      </c>
      <c r="L152" s="390">
        <v>-1850</v>
      </c>
      <c r="M152" s="389" t="s">
        <v>2918</v>
      </c>
      <c r="N152" s="389" t="s">
        <v>11044</v>
      </c>
      <c r="O152" s="389" t="s">
        <v>3315</v>
      </c>
      <c r="P152" s="389" t="s">
        <v>2924</v>
      </c>
      <c r="Q152" s="389" t="s">
        <v>3219</v>
      </c>
      <c r="R152" s="389" t="s">
        <v>2208</v>
      </c>
      <c r="S152" s="389" t="s">
        <v>2208</v>
      </c>
    </row>
    <row r="153" spans="1:19">
      <c r="A153" s="389" t="s">
        <v>7183</v>
      </c>
      <c r="B153" s="391" t="str">
        <f t="shared" si="4"/>
        <v>LCP-240104-EX</v>
      </c>
      <c r="C153" s="389" t="str">
        <f t="shared" si="5"/>
        <v>março</v>
      </c>
      <c r="D153" s="389" t="s">
        <v>9127</v>
      </c>
      <c r="E153" s="391">
        <v>45737</v>
      </c>
      <c r="F153" s="389" t="s">
        <v>7184</v>
      </c>
      <c r="G153" s="389" t="s">
        <v>2916</v>
      </c>
      <c r="H153" s="389" t="s">
        <v>11224</v>
      </c>
      <c r="I153" s="398">
        <v>1</v>
      </c>
      <c r="J153" s="390">
        <v>1581.93</v>
      </c>
      <c r="K153" s="389" t="s">
        <v>2917</v>
      </c>
      <c r="L153" s="390">
        <v>9230</v>
      </c>
      <c r="M153" s="389" t="s">
        <v>2918</v>
      </c>
      <c r="N153" s="389" t="s">
        <v>3315</v>
      </c>
      <c r="O153" s="389" t="s">
        <v>3315</v>
      </c>
      <c r="P153" s="389" t="s">
        <v>2924</v>
      </c>
      <c r="Q153" s="389" t="s">
        <v>3219</v>
      </c>
      <c r="R153" s="389" t="s">
        <v>2208</v>
      </c>
      <c r="S153" s="389" t="s">
        <v>2208</v>
      </c>
    </row>
    <row r="154" spans="1:19">
      <c r="A154" s="389" t="s">
        <v>7183</v>
      </c>
      <c r="B154" s="391" t="str">
        <f t="shared" si="4"/>
        <v>LCP-240104-EX</v>
      </c>
      <c r="C154" s="389" t="str">
        <f t="shared" si="5"/>
        <v>março</v>
      </c>
      <c r="D154" s="389" t="s">
        <v>9127</v>
      </c>
      <c r="E154" s="391">
        <v>45742</v>
      </c>
      <c r="F154" s="389" t="s">
        <v>7184</v>
      </c>
      <c r="G154" s="389" t="s">
        <v>2916</v>
      </c>
      <c r="H154" s="389" t="s">
        <v>11872</v>
      </c>
      <c r="I154" s="398">
        <v>0</v>
      </c>
      <c r="J154" s="390">
        <v>-146.33000000000001</v>
      </c>
      <c r="K154" s="389" t="s">
        <v>2917</v>
      </c>
      <c r="L154" s="390">
        <v>-853.78</v>
      </c>
      <c r="M154" s="389" t="s">
        <v>2918</v>
      </c>
      <c r="N154" s="389" t="s">
        <v>11873</v>
      </c>
      <c r="O154" s="389" t="s">
        <v>3315</v>
      </c>
      <c r="P154" s="389" t="s">
        <v>2924</v>
      </c>
      <c r="Q154" s="389" t="s">
        <v>3219</v>
      </c>
      <c r="R154" s="389" t="s">
        <v>2208</v>
      </c>
      <c r="S154" s="389" t="s">
        <v>2208</v>
      </c>
    </row>
    <row r="155" spans="1:19">
      <c r="A155" s="389" t="s">
        <v>7183</v>
      </c>
      <c r="B155" s="391" t="str">
        <f t="shared" si="4"/>
        <v>LCP-240104-EX</v>
      </c>
      <c r="C155" s="389" t="str">
        <f t="shared" si="5"/>
        <v>março</v>
      </c>
      <c r="D155" s="389" t="s">
        <v>9127</v>
      </c>
      <c r="E155" s="391">
        <v>45744</v>
      </c>
      <c r="F155" s="389" t="s">
        <v>2208</v>
      </c>
      <c r="G155" s="389" t="s">
        <v>2916</v>
      </c>
      <c r="H155" s="389" t="s">
        <v>11874</v>
      </c>
      <c r="I155" s="393">
        <v>0</v>
      </c>
      <c r="J155" s="390">
        <v>-56.56</v>
      </c>
      <c r="K155" s="389" t="s">
        <v>2917</v>
      </c>
      <c r="L155" s="390">
        <v>-330</v>
      </c>
      <c r="M155" s="389" t="s">
        <v>2918</v>
      </c>
      <c r="N155" s="389" t="s">
        <v>11875</v>
      </c>
      <c r="O155" s="389" t="s">
        <v>2208</v>
      </c>
      <c r="P155" s="389" t="s">
        <v>6851</v>
      </c>
      <c r="Q155" s="389" t="s">
        <v>6852</v>
      </c>
      <c r="R155" s="389" t="s">
        <v>2208</v>
      </c>
      <c r="S155" s="389" t="s">
        <v>2208</v>
      </c>
    </row>
    <row r="156" spans="1:19">
      <c r="A156" s="389" t="s">
        <v>7183</v>
      </c>
      <c r="B156" s="391" t="str">
        <f t="shared" si="4"/>
        <v>LCP-240104-EX</v>
      </c>
      <c r="C156" s="389" t="str">
        <f t="shared" si="5"/>
        <v>março</v>
      </c>
      <c r="D156" s="389" t="s">
        <v>9127</v>
      </c>
      <c r="E156" s="391">
        <v>45744</v>
      </c>
      <c r="F156" s="389" t="s">
        <v>2208</v>
      </c>
      <c r="G156" s="389" t="s">
        <v>2916</v>
      </c>
      <c r="H156" s="389" t="s">
        <v>11874</v>
      </c>
      <c r="I156" s="393">
        <v>0</v>
      </c>
      <c r="J156" s="390">
        <v>-260.51</v>
      </c>
      <c r="K156" s="389" t="s">
        <v>2917</v>
      </c>
      <c r="L156" s="390">
        <v>-1520</v>
      </c>
      <c r="M156" s="389" t="s">
        <v>2918</v>
      </c>
      <c r="N156" s="389" t="s">
        <v>11875</v>
      </c>
      <c r="O156" s="389" t="s">
        <v>2208</v>
      </c>
      <c r="P156" s="389" t="s">
        <v>6851</v>
      </c>
      <c r="Q156" s="389" t="s">
        <v>6852</v>
      </c>
      <c r="R156" s="389" t="s">
        <v>2208</v>
      </c>
      <c r="S156" s="389" t="s">
        <v>2208</v>
      </c>
    </row>
    <row r="157" spans="1:19">
      <c r="A157" s="389" t="s">
        <v>7183</v>
      </c>
      <c r="B157" s="391" t="str">
        <f t="shared" si="4"/>
        <v>LCP-240104-EX</v>
      </c>
      <c r="C157" s="389" t="str">
        <f t="shared" si="5"/>
        <v>março</v>
      </c>
      <c r="D157" s="389" t="s">
        <v>9127</v>
      </c>
      <c r="E157" s="391">
        <v>45744</v>
      </c>
      <c r="F157" s="389" t="s">
        <v>2208</v>
      </c>
      <c r="G157" s="389" t="s">
        <v>2916</v>
      </c>
      <c r="H157" s="389" t="s">
        <v>11876</v>
      </c>
      <c r="I157" s="393">
        <v>0</v>
      </c>
      <c r="J157" s="390">
        <v>-56.56</v>
      </c>
      <c r="K157" s="389" t="s">
        <v>2917</v>
      </c>
      <c r="L157" s="390">
        <v>-330</v>
      </c>
      <c r="M157" s="389" t="s">
        <v>2918</v>
      </c>
      <c r="N157" s="389" t="s">
        <v>11877</v>
      </c>
      <c r="O157" s="389" t="s">
        <v>2208</v>
      </c>
      <c r="P157" s="389" t="s">
        <v>6851</v>
      </c>
      <c r="Q157" s="389" t="s">
        <v>6852</v>
      </c>
      <c r="R157" s="389" t="s">
        <v>2208</v>
      </c>
      <c r="S157" s="389" t="s">
        <v>2208</v>
      </c>
    </row>
    <row r="158" spans="1:19">
      <c r="A158" s="389" t="s">
        <v>7183</v>
      </c>
      <c r="B158" s="391" t="str">
        <f t="shared" si="4"/>
        <v>LCP-240104-EX</v>
      </c>
      <c r="C158" s="389" t="str">
        <f t="shared" si="5"/>
        <v>março</v>
      </c>
      <c r="D158" s="389" t="s">
        <v>9127</v>
      </c>
      <c r="E158" s="391">
        <v>45744</v>
      </c>
      <c r="F158" s="389" t="s">
        <v>2208</v>
      </c>
      <c r="G158" s="389" t="s">
        <v>2916</v>
      </c>
      <c r="H158" s="389" t="s">
        <v>11876</v>
      </c>
      <c r="I158" s="393">
        <v>0</v>
      </c>
      <c r="J158" s="390">
        <v>-260.51</v>
      </c>
      <c r="K158" s="389" t="s">
        <v>2917</v>
      </c>
      <c r="L158" s="390">
        <v>-1520</v>
      </c>
      <c r="M158" s="389" t="s">
        <v>2918</v>
      </c>
      <c r="N158" s="389" t="s">
        <v>11877</v>
      </c>
      <c r="O158" s="389" t="s">
        <v>2208</v>
      </c>
      <c r="P158" s="389" t="s">
        <v>6851</v>
      </c>
      <c r="Q158" s="389" t="s">
        <v>6852</v>
      </c>
      <c r="R158" s="389" t="s">
        <v>2208</v>
      </c>
      <c r="S158" s="389" t="s">
        <v>2208</v>
      </c>
    </row>
    <row r="159" spans="1:19">
      <c r="A159" s="389" t="s">
        <v>7183</v>
      </c>
      <c r="B159" s="391" t="str">
        <f t="shared" si="4"/>
        <v>LCP-240104-EX</v>
      </c>
      <c r="C159" s="389" t="str">
        <f t="shared" si="5"/>
        <v>março</v>
      </c>
      <c r="D159" s="389" t="s">
        <v>9127</v>
      </c>
      <c r="E159" s="391">
        <v>45744</v>
      </c>
      <c r="F159" s="389" t="s">
        <v>2208</v>
      </c>
      <c r="G159" s="389" t="s">
        <v>2916</v>
      </c>
      <c r="H159" s="389" t="s">
        <v>11878</v>
      </c>
      <c r="I159" s="393">
        <v>0</v>
      </c>
      <c r="J159" s="390">
        <v>-130.32</v>
      </c>
      <c r="K159" s="389" t="s">
        <v>2917</v>
      </c>
      <c r="L159" s="390">
        <v>-760.37</v>
      </c>
      <c r="M159" s="389" t="s">
        <v>2918</v>
      </c>
      <c r="N159" s="389" t="s">
        <v>11879</v>
      </c>
      <c r="O159" s="389" t="s">
        <v>2208</v>
      </c>
      <c r="P159" s="389" t="s">
        <v>6851</v>
      </c>
      <c r="Q159" s="389" t="s">
        <v>6852</v>
      </c>
      <c r="R159" s="389" t="s">
        <v>2208</v>
      </c>
      <c r="S159" s="389" t="s">
        <v>2208</v>
      </c>
    </row>
    <row r="160" spans="1:19">
      <c r="A160" s="389" t="s">
        <v>7183</v>
      </c>
      <c r="B160" s="391" t="str">
        <f t="shared" si="4"/>
        <v>LCP-240104-EX</v>
      </c>
      <c r="C160" s="389" t="str">
        <f t="shared" si="5"/>
        <v>março</v>
      </c>
      <c r="D160" s="389" t="s">
        <v>9127</v>
      </c>
      <c r="E160" s="391">
        <v>45747</v>
      </c>
      <c r="F160" s="389" t="s">
        <v>2208</v>
      </c>
      <c r="G160" s="389" t="s">
        <v>2916</v>
      </c>
      <c r="H160" s="389" t="s">
        <v>11880</v>
      </c>
      <c r="I160" s="393">
        <v>0</v>
      </c>
      <c r="J160" s="390">
        <v>-31739.86</v>
      </c>
      <c r="K160" s="389" t="s">
        <v>2917</v>
      </c>
      <c r="L160" s="390">
        <v>-185190.86</v>
      </c>
      <c r="M160" s="389" t="s">
        <v>2918</v>
      </c>
      <c r="N160" s="389" t="s">
        <v>11881</v>
      </c>
      <c r="O160" s="389" t="s">
        <v>2208</v>
      </c>
      <c r="P160" s="389" t="s">
        <v>2916</v>
      </c>
      <c r="Q160" s="389" t="s">
        <v>3220</v>
      </c>
      <c r="R160" s="389" t="s">
        <v>2208</v>
      </c>
      <c r="S160" s="389" t="s">
        <v>2208</v>
      </c>
    </row>
    <row r="161" spans="1:19">
      <c r="A161" s="389" t="s">
        <v>7183</v>
      </c>
      <c r="B161" s="391" t="str">
        <f t="shared" si="4"/>
        <v>LCP-240104-EX</v>
      </c>
      <c r="C161" s="389" t="str">
        <f t="shared" si="5"/>
        <v>março</v>
      </c>
      <c r="D161" s="389" t="s">
        <v>9127</v>
      </c>
      <c r="E161" s="391">
        <v>45747</v>
      </c>
      <c r="F161" s="389" t="s">
        <v>2208</v>
      </c>
      <c r="G161" s="389" t="s">
        <v>2916</v>
      </c>
      <c r="H161" s="389" t="s">
        <v>11882</v>
      </c>
      <c r="I161" s="393">
        <v>0</v>
      </c>
      <c r="J161" s="390">
        <v>7612.24</v>
      </c>
      <c r="K161" s="389" t="s">
        <v>2917</v>
      </c>
      <c r="L161" s="390">
        <v>0</v>
      </c>
      <c r="M161" s="389" t="s">
        <v>2918</v>
      </c>
      <c r="N161" s="389" t="s">
        <v>2946</v>
      </c>
      <c r="O161" s="389" t="s">
        <v>2208</v>
      </c>
      <c r="P161" s="389" t="s">
        <v>8809</v>
      </c>
      <c r="Q161" s="389" t="s">
        <v>8810</v>
      </c>
      <c r="R161" s="389" t="s">
        <v>2208</v>
      </c>
      <c r="S161" s="389" t="s">
        <v>2208</v>
      </c>
    </row>
    <row r="162" spans="1:19">
      <c r="A162" s="389" t="s">
        <v>7183</v>
      </c>
      <c r="B162" s="391" t="str">
        <f t="shared" si="4"/>
        <v>LCP-240104-EX</v>
      </c>
      <c r="C162" s="389" t="str">
        <f t="shared" si="5"/>
        <v>março</v>
      </c>
      <c r="D162" s="389" t="s">
        <v>9127</v>
      </c>
      <c r="E162" s="391">
        <v>45747</v>
      </c>
      <c r="F162" s="389" t="s">
        <v>2208</v>
      </c>
      <c r="G162" s="389" t="s">
        <v>2916</v>
      </c>
      <c r="H162" s="389" t="s">
        <v>11883</v>
      </c>
      <c r="I162" s="393">
        <v>0</v>
      </c>
      <c r="J162" s="390">
        <v>0</v>
      </c>
      <c r="K162" s="389" t="s">
        <v>2917</v>
      </c>
      <c r="L162" s="390">
        <v>45296.22</v>
      </c>
      <c r="M162" s="389" t="s">
        <v>2918</v>
      </c>
      <c r="N162" s="389" t="s">
        <v>2946</v>
      </c>
      <c r="O162" s="389" t="s">
        <v>2208</v>
      </c>
      <c r="P162" s="389" t="s">
        <v>8809</v>
      </c>
      <c r="Q162" s="389" t="s">
        <v>8810</v>
      </c>
      <c r="R162" s="389" t="s">
        <v>2208</v>
      </c>
      <c r="S162" s="389" t="s">
        <v>2208</v>
      </c>
    </row>
    <row r="163" spans="1:19">
      <c r="A163" s="389" t="s">
        <v>7183</v>
      </c>
      <c r="B163" s="391" t="str">
        <f t="shared" si="4"/>
        <v>LCP-240104-EX</v>
      </c>
      <c r="C163" s="389" t="str">
        <f t="shared" si="5"/>
        <v>março</v>
      </c>
      <c r="D163" s="389" t="s">
        <v>9127</v>
      </c>
      <c r="E163" s="391">
        <v>45747</v>
      </c>
      <c r="F163" s="389" t="s">
        <v>2208</v>
      </c>
      <c r="G163" s="389" t="s">
        <v>2916</v>
      </c>
      <c r="H163" s="389" t="s">
        <v>11884</v>
      </c>
      <c r="I163" s="393">
        <v>0</v>
      </c>
      <c r="J163" s="390">
        <v>6506.86</v>
      </c>
      <c r="K163" s="389" t="s">
        <v>2917</v>
      </c>
      <c r="L163" s="390">
        <v>37965.25</v>
      </c>
      <c r="M163" s="389" t="s">
        <v>2918</v>
      </c>
      <c r="N163" s="389" t="s">
        <v>11881</v>
      </c>
      <c r="O163" s="389" t="s">
        <v>2208</v>
      </c>
      <c r="P163" s="389" t="s">
        <v>2916</v>
      </c>
      <c r="Q163" s="389" t="s">
        <v>3220</v>
      </c>
      <c r="R163" s="389" t="s">
        <v>2208</v>
      </c>
      <c r="S163" s="389" t="s">
        <v>2208</v>
      </c>
    </row>
    <row r="164" spans="1:19">
      <c r="A164" s="389" t="s">
        <v>7183</v>
      </c>
      <c r="B164" s="391" t="str">
        <f t="shared" si="4"/>
        <v>LCP-240104-EX</v>
      </c>
      <c r="C164" s="389" t="str">
        <f t="shared" si="5"/>
        <v>março</v>
      </c>
      <c r="D164" s="389" t="s">
        <v>9127</v>
      </c>
      <c r="E164" s="391">
        <v>45747</v>
      </c>
      <c r="F164" s="389" t="s">
        <v>2208</v>
      </c>
      <c r="G164" s="389" t="s">
        <v>2916</v>
      </c>
      <c r="H164" s="389" t="s">
        <v>11885</v>
      </c>
      <c r="I164" s="393">
        <v>0</v>
      </c>
      <c r="J164" s="390">
        <v>151.13</v>
      </c>
      <c r="K164" s="389" t="s">
        <v>2917</v>
      </c>
      <c r="L164" s="390">
        <v>0</v>
      </c>
      <c r="M164" s="389" t="s">
        <v>2918</v>
      </c>
      <c r="N164" s="389" t="s">
        <v>2919</v>
      </c>
      <c r="O164" s="389" t="s">
        <v>2208</v>
      </c>
      <c r="P164" s="389" t="s">
        <v>2916</v>
      </c>
      <c r="Q164" s="389" t="s">
        <v>3220</v>
      </c>
      <c r="R164" s="389" t="s">
        <v>2208</v>
      </c>
      <c r="S164" s="389" t="s">
        <v>2208</v>
      </c>
    </row>
    <row r="165" spans="1:19">
      <c r="A165" s="389" t="s">
        <v>7183</v>
      </c>
      <c r="B165" s="391" t="str">
        <f t="shared" si="4"/>
        <v>LCP-240104-EX</v>
      </c>
      <c r="C165" s="389" t="str">
        <f t="shared" si="5"/>
        <v>abril</v>
      </c>
      <c r="D165" s="389" t="s">
        <v>11332</v>
      </c>
      <c r="E165" s="391">
        <v>45755</v>
      </c>
      <c r="F165" s="389" t="s">
        <v>8812</v>
      </c>
      <c r="G165" s="389" t="s">
        <v>2916</v>
      </c>
      <c r="H165" s="389" t="s">
        <v>16021</v>
      </c>
      <c r="I165" s="398">
        <v>1</v>
      </c>
      <c r="J165" s="390">
        <v>3473</v>
      </c>
      <c r="K165" s="389" t="s">
        <v>2917</v>
      </c>
      <c r="L165" s="390">
        <v>20000</v>
      </c>
      <c r="M165" s="389" t="s">
        <v>2918</v>
      </c>
      <c r="N165" s="389" t="s">
        <v>3315</v>
      </c>
      <c r="O165" s="389" t="s">
        <v>3315</v>
      </c>
      <c r="P165" s="389" t="s">
        <v>2924</v>
      </c>
      <c r="Q165" s="389" t="s">
        <v>3219</v>
      </c>
      <c r="R165" s="389" t="s">
        <v>2208</v>
      </c>
      <c r="S165" s="389" t="s">
        <v>2208</v>
      </c>
    </row>
    <row r="166" spans="1:19">
      <c r="A166" s="389" t="s">
        <v>7183</v>
      </c>
      <c r="B166" s="391" t="str">
        <f t="shared" si="4"/>
        <v>LCP-240104-EX</v>
      </c>
      <c r="C166" s="389" t="str">
        <f t="shared" si="5"/>
        <v>abril</v>
      </c>
      <c r="D166" s="389" t="s">
        <v>11332</v>
      </c>
      <c r="E166" s="391">
        <v>45764</v>
      </c>
      <c r="F166" s="389" t="s">
        <v>8812</v>
      </c>
      <c r="G166" s="389" t="s">
        <v>2916</v>
      </c>
      <c r="H166" s="389" t="s">
        <v>16022</v>
      </c>
      <c r="I166" s="398">
        <v>0</v>
      </c>
      <c r="J166" s="390">
        <v>-321.25</v>
      </c>
      <c r="K166" s="389" t="s">
        <v>2917</v>
      </c>
      <c r="L166" s="390">
        <v>-1850</v>
      </c>
      <c r="M166" s="389" t="s">
        <v>2918</v>
      </c>
      <c r="N166" s="389" t="s">
        <v>12312</v>
      </c>
      <c r="O166" s="389" t="s">
        <v>3315</v>
      </c>
      <c r="P166" s="389" t="s">
        <v>2924</v>
      </c>
      <c r="Q166" s="389" t="s">
        <v>3219</v>
      </c>
      <c r="R166" s="389" t="s">
        <v>2208</v>
      </c>
      <c r="S166" s="389" t="s">
        <v>2208</v>
      </c>
    </row>
    <row r="167" spans="1:19">
      <c r="A167" s="389" t="s">
        <v>7183</v>
      </c>
      <c r="B167" s="391" t="str">
        <f t="shared" si="4"/>
        <v>LCP-240104-EX</v>
      </c>
      <c r="C167" s="389" t="str">
        <f t="shared" si="5"/>
        <v>abril</v>
      </c>
      <c r="D167" s="389" t="s">
        <v>11332</v>
      </c>
      <c r="E167" s="391">
        <v>45772</v>
      </c>
      <c r="F167" s="389" t="s">
        <v>2208</v>
      </c>
      <c r="G167" s="389" t="s">
        <v>2916</v>
      </c>
      <c r="H167" s="389" t="s">
        <v>16338</v>
      </c>
      <c r="I167" s="393">
        <v>0</v>
      </c>
      <c r="J167" s="390">
        <v>29.87</v>
      </c>
      <c r="K167" s="389" t="s">
        <v>2917</v>
      </c>
      <c r="L167" s="390">
        <v>0</v>
      </c>
      <c r="M167" s="389" t="s">
        <v>2918</v>
      </c>
      <c r="N167" s="389" t="s">
        <v>2946</v>
      </c>
      <c r="O167" s="389" t="s">
        <v>2208</v>
      </c>
      <c r="P167" s="389" t="s">
        <v>8809</v>
      </c>
      <c r="Q167" s="389" t="s">
        <v>8810</v>
      </c>
      <c r="R167" s="389" t="s">
        <v>2208</v>
      </c>
      <c r="S167" s="389" t="s">
        <v>2208</v>
      </c>
    </row>
    <row r="168" spans="1:19">
      <c r="A168" s="389" t="s">
        <v>6862</v>
      </c>
      <c r="B168" s="391" t="str">
        <f t="shared" si="4"/>
        <v>LCP-240139-EX</v>
      </c>
      <c r="C168" s="389" t="str">
        <f t="shared" si="5"/>
        <v>janeiro</v>
      </c>
      <c r="D168" s="389" t="s">
        <v>2921</v>
      </c>
      <c r="E168" s="391">
        <v>45664</v>
      </c>
      <c r="F168" s="389" t="s">
        <v>6863</v>
      </c>
      <c r="G168" s="389" t="s">
        <v>2916</v>
      </c>
      <c r="H168" s="389" t="s">
        <v>8395</v>
      </c>
      <c r="I168" s="398">
        <v>1</v>
      </c>
      <c r="J168" s="390">
        <v>1620.09</v>
      </c>
      <c r="K168" s="389" t="s">
        <v>2917</v>
      </c>
      <c r="L168" s="390">
        <v>10004.85</v>
      </c>
      <c r="M168" s="389" t="s">
        <v>2918</v>
      </c>
      <c r="N168" s="389" t="s">
        <v>3315</v>
      </c>
      <c r="O168" s="389" t="s">
        <v>3315</v>
      </c>
      <c r="P168" s="389" t="s">
        <v>2924</v>
      </c>
      <c r="Q168" s="389" t="s">
        <v>3219</v>
      </c>
      <c r="R168" s="389" t="s">
        <v>2208</v>
      </c>
      <c r="S168" s="389" t="s">
        <v>2208</v>
      </c>
    </row>
    <row r="169" spans="1:19">
      <c r="A169" s="389" t="s">
        <v>6862</v>
      </c>
      <c r="B169" s="391" t="str">
        <f t="shared" si="4"/>
        <v>LCP-240139-EX</v>
      </c>
      <c r="C169" s="389" t="str">
        <f t="shared" si="5"/>
        <v>janeiro</v>
      </c>
      <c r="D169" s="389" t="s">
        <v>2921</v>
      </c>
      <c r="E169" s="391">
        <v>45664</v>
      </c>
      <c r="F169" s="389" t="s">
        <v>6863</v>
      </c>
      <c r="G169" s="389" t="s">
        <v>2916</v>
      </c>
      <c r="H169" s="389" t="s">
        <v>8396</v>
      </c>
      <c r="I169" s="398">
        <v>1</v>
      </c>
      <c r="J169" s="390">
        <v>1620.09</v>
      </c>
      <c r="K169" s="389" t="s">
        <v>2917</v>
      </c>
      <c r="L169" s="390">
        <v>10004.85</v>
      </c>
      <c r="M169" s="389" t="s">
        <v>2918</v>
      </c>
      <c r="N169" s="389" t="s">
        <v>3315</v>
      </c>
      <c r="O169" s="389" t="s">
        <v>3315</v>
      </c>
      <c r="P169" s="389" t="s">
        <v>2924</v>
      </c>
      <c r="Q169" s="389" t="s">
        <v>3219</v>
      </c>
      <c r="R169" s="389" t="s">
        <v>2208</v>
      </c>
      <c r="S169" s="389" t="s">
        <v>2208</v>
      </c>
    </row>
    <row r="170" spans="1:19">
      <c r="A170" s="389" t="s">
        <v>6862</v>
      </c>
      <c r="B170" s="391" t="str">
        <f t="shared" si="4"/>
        <v>LCP-240139-EX</v>
      </c>
      <c r="C170" s="389" t="str">
        <f t="shared" si="5"/>
        <v>janeiro</v>
      </c>
      <c r="D170" s="389" t="s">
        <v>2921</v>
      </c>
      <c r="E170" s="391">
        <v>45664</v>
      </c>
      <c r="F170" s="389" t="s">
        <v>6863</v>
      </c>
      <c r="G170" s="389" t="s">
        <v>2916</v>
      </c>
      <c r="H170" s="389" t="s">
        <v>8397</v>
      </c>
      <c r="I170" s="398">
        <v>0</v>
      </c>
      <c r="J170" s="390">
        <v>-149.86000000000001</v>
      </c>
      <c r="K170" s="389" t="s">
        <v>2917</v>
      </c>
      <c r="L170" s="390">
        <v>-925.45</v>
      </c>
      <c r="M170" s="389" t="s">
        <v>2918</v>
      </c>
      <c r="N170" s="389" t="s">
        <v>8398</v>
      </c>
      <c r="O170" s="389" t="s">
        <v>3315</v>
      </c>
      <c r="P170" s="389" t="s">
        <v>2924</v>
      </c>
      <c r="Q170" s="389" t="s">
        <v>3219</v>
      </c>
      <c r="R170" s="389" t="s">
        <v>2208</v>
      </c>
      <c r="S170" s="389" t="s">
        <v>2208</v>
      </c>
    </row>
    <row r="171" spans="1:19">
      <c r="A171" s="389" t="s">
        <v>6862</v>
      </c>
      <c r="B171" s="391" t="str">
        <f t="shared" si="4"/>
        <v>LCP-240139-EX</v>
      </c>
      <c r="C171" s="389" t="str">
        <f t="shared" si="5"/>
        <v>janeiro</v>
      </c>
      <c r="D171" s="389" t="s">
        <v>2921</v>
      </c>
      <c r="E171" s="391">
        <v>45664</v>
      </c>
      <c r="F171" s="389" t="s">
        <v>6863</v>
      </c>
      <c r="G171" s="389" t="s">
        <v>2916</v>
      </c>
      <c r="H171" s="389" t="s">
        <v>8399</v>
      </c>
      <c r="I171" s="398">
        <v>0</v>
      </c>
      <c r="J171" s="390">
        <v>-149.86000000000001</v>
      </c>
      <c r="K171" s="389" t="s">
        <v>2917</v>
      </c>
      <c r="L171" s="390">
        <v>-925.45</v>
      </c>
      <c r="M171" s="389" t="s">
        <v>2918</v>
      </c>
      <c r="N171" s="389" t="s">
        <v>8400</v>
      </c>
      <c r="O171" s="389" t="s">
        <v>3315</v>
      </c>
      <c r="P171" s="389" t="s">
        <v>2924</v>
      </c>
      <c r="Q171" s="389" t="s">
        <v>3219</v>
      </c>
      <c r="R171" s="389" t="s">
        <v>2208</v>
      </c>
      <c r="S171" s="389" t="s">
        <v>2208</v>
      </c>
    </row>
    <row r="172" spans="1:19">
      <c r="A172" s="389" t="s">
        <v>6862</v>
      </c>
      <c r="B172" s="391" t="str">
        <f t="shared" si="4"/>
        <v>LCP-240139-EX</v>
      </c>
      <c r="C172" s="389" t="str">
        <f t="shared" si="5"/>
        <v>janeiro</v>
      </c>
      <c r="D172" s="389" t="s">
        <v>2921</v>
      </c>
      <c r="E172" s="391">
        <v>45673</v>
      </c>
      <c r="F172" s="389" t="s">
        <v>6863</v>
      </c>
      <c r="G172" s="389" t="s">
        <v>2916</v>
      </c>
      <c r="H172" s="389" t="s">
        <v>8401</v>
      </c>
      <c r="I172" s="398">
        <v>1</v>
      </c>
      <c r="J172" s="390">
        <v>1620.09</v>
      </c>
      <c r="K172" s="389" t="s">
        <v>2917</v>
      </c>
      <c r="L172" s="390">
        <v>10004.85</v>
      </c>
      <c r="M172" s="389" t="s">
        <v>2918</v>
      </c>
      <c r="N172" s="389" t="s">
        <v>3315</v>
      </c>
      <c r="O172" s="389" t="s">
        <v>3315</v>
      </c>
      <c r="P172" s="389" t="s">
        <v>2924</v>
      </c>
      <c r="Q172" s="389" t="s">
        <v>3219</v>
      </c>
      <c r="R172" s="389" t="s">
        <v>2208</v>
      </c>
      <c r="S172" s="389" t="s">
        <v>2208</v>
      </c>
    </row>
    <row r="173" spans="1:19">
      <c r="A173" s="389" t="s">
        <v>6862</v>
      </c>
      <c r="B173" s="391" t="str">
        <f t="shared" si="4"/>
        <v>LCP-240139-EX</v>
      </c>
      <c r="C173" s="389" t="str">
        <f t="shared" si="5"/>
        <v>janeiro</v>
      </c>
      <c r="D173" s="389" t="s">
        <v>2921</v>
      </c>
      <c r="E173" s="391">
        <v>45673</v>
      </c>
      <c r="F173" s="389" t="s">
        <v>6863</v>
      </c>
      <c r="G173" s="389" t="s">
        <v>2916</v>
      </c>
      <c r="H173" s="389" t="s">
        <v>8402</v>
      </c>
      <c r="I173" s="398">
        <v>1</v>
      </c>
      <c r="J173" s="390">
        <v>1620.09</v>
      </c>
      <c r="K173" s="389" t="s">
        <v>2917</v>
      </c>
      <c r="L173" s="390">
        <v>10004.85</v>
      </c>
      <c r="M173" s="389" t="s">
        <v>2918</v>
      </c>
      <c r="N173" s="389" t="s">
        <v>3315</v>
      </c>
      <c r="O173" s="389" t="s">
        <v>3315</v>
      </c>
      <c r="P173" s="389" t="s">
        <v>2924</v>
      </c>
      <c r="Q173" s="389" t="s">
        <v>3219</v>
      </c>
      <c r="R173" s="389" t="s">
        <v>2208</v>
      </c>
      <c r="S173" s="389" t="s">
        <v>2208</v>
      </c>
    </row>
    <row r="174" spans="1:19">
      <c r="A174" s="389" t="s">
        <v>6862</v>
      </c>
      <c r="B174" s="391" t="str">
        <f t="shared" si="4"/>
        <v>LCP-240139-EX</v>
      </c>
      <c r="C174" s="389" t="str">
        <f t="shared" si="5"/>
        <v>janeiro</v>
      </c>
      <c r="D174" s="389" t="s">
        <v>2921</v>
      </c>
      <c r="E174" s="391">
        <v>45673</v>
      </c>
      <c r="F174" s="389" t="s">
        <v>6863</v>
      </c>
      <c r="G174" s="389" t="s">
        <v>2916</v>
      </c>
      <c r="H174" s="389" t="s">
        <v>8403</v>
      </c>
      <c r="I174" s="398">
        <v>0</v>
      </c>
      <c r="J174" s="390">
        <v>-149.86000000000001</v>
      </c>
      <c r="K174" s="389" t="s">
        <v>2917</v>
      </c>
      <c r="L174" s="390">
        <v>-925.45</v>
      </c>
      <c r="M174" s="389" t="s">
        <v>2918</v>
      </c>
      <c r="N174" s="389" t="s">
        <v>8404</v>
      </c>
      <c r="O174" s="389" t="s">
        <v>3315</v>
      </c>
      <c r="P174" s="389" t="s">
        <v>2924</v>
      </c>
      <c r="Q174" s="389" t="s">
        <v>3219</v>
      </c>
      <c r="R174" s="389" t="s">
        <v>2208</v>
      </c>
      <c r="S174" s="389" t="s">
        <v>2208</v>
      </c>
    </row>
    <row r="175" spans="1:19">
      <c r="A175" s="389" t="s">
        <v>6862</v>
      </c>
      <c r="B175" s="391" t="str">
        <f t="shared" si="4"/>
        <v>LCP-240139-EX</v>
      </c>
      <c r="C175" s="389" t="str">
        <f t="shared" si="5"/>
        <v>janeiro</v>
      </c>
      <c r="D175" s="389" t="s">
        <v>2921</v>
      </c>
      <c r="E175" s="391">
        <v>45673</v>
      </c>
      <c r="F175" s="389" t="s">
        <v>6863</v>
      </c>
      <c r="G175" s="389" t="s">
        <v>2916</v>
      </c>
      <c r="H175" s="389" t="s">
        <v>8405</v>
      </c>
      <c r="I175" s="398">
        <v>0</v>
      </c>
      <c r="J175" s="390">
        <v>-149.86000000000001</v>
      </c>
      <c r="K175" s="389" t="s">
        <v>2917</v>
      </c>
      <c r="L175" s="390">
        <v>-925.45</v>
      </c>
      <c r="M175" s="389" t="s">
        <v>2918</v>
      </c>
      <c r="N175" s="389" t="s">
        <v>8406</v>
      </c>
      <c r="O175" s="389" t="s">
        <v>3315</v>
      </c>
      <c r="P175" s="389" t="s">
        <v>2924</v>
      </c>
      <c r="Q175" s="389" t="s">
        <v>3219</v>
      </c>
      <c r="R175" s="389" t="s">
        <v>2208</v>
      </c>
      <c r="S175" s="389" t="s">
        <v>2208</v>
      </c>
    </row>
    <row r="176" spans="1:19">
      <c r="A176" s="389" t="s">
        <v>6862</v>
      </c>
      <c r="B176" s="391" t="str">
        <f t="shared" si="4"/>
        <v>LCP-240139-EX</v>
      </c>
      <c r="C176" s="389" t="str">
        <f t="shared" si="5"/>
        <v>janeiro</v>
      </c>
      <c r="D176" s="389" t="s">
        <v>2921</v>
      </c>
      <c r="E176" s="391">
        <v>45678</v>
      </c>
      <c r="F176" s="389" t="s">
        <v>6863</v>
      </c>
      <c r="G176" s="389" t="s">
        <v>2916</v>
      </c>
      <c r="H176" s="389" t="s">
        <v>8407</v>
      </c>
      <c r="I176" s="398">
        <v>1</v>
      </c>
      <c r="J176" s="390">
        <v>1620.09</v>
      </c>
      <c r="K176" s="389" t="s">
        <v>2917</v>
      </c>
      <c r="L176" s="390">
        <v>10004.85</v>
      </c>
      <c r="M176" s="389" t="s">
        <v>2918</v>
      </c>
      <c r="N176" s="389" t="s">
        <v>3315</v>
      </c>
      <c r="O176" s="389" t="s">
        <v>3315</v>
      </c>
      <c r="P176" s="389" t="s">
        <v>2924</v>
      </c>
      <c r="Q176" s="389" t="s">
        <v>3219</v>
      </c>
      <c r="R176" s="389" t="s">
        <v>2208</v>
      </c>
      <c r="S176" s="389" t="s">
        <v>2208</v>
      </c>
    </row>
    <row r="177" spans="1:19">
      <c r="A177" s="389" t="s">
        <v>6862</v>
      </c>
      <c r="B177" s="391" t="str">
        <f t="shared" si="4"/>
        <v>LCP-240139-EX</v>
      </c>
      <c r="C177" s="389" t="str">
        <f t="shared" si="5"/>
        <v>janeiro</v>
      </c>
      <c r="D177" s="389" t="s">
        <v>2921</v>
      </c>
      <c r="E177" s="391">
        <v>45678</v>
      </c>
      <c r="F177" s="389" t="s">
        <v>6863</v>
      </c>
      <c r="G177" s="389" t="s">
        <v>2916</v>
      </c>
      <c r="H177" s="389" t="s">
        <v>8408</v>
      </c>
      <c r="I177" s="398">
        <v>1</v>
      </c>
      <c r="J177" s="390">
        <v>1620.09</v>
      </c>
      <c r="K177" s="389" t="s">
        <v>2917</v>
      </c>
      <c r="L177" s="390">
        <v>10004.85</v>
      </c>
      <c r="M177" s="389" t="s">
        <v>2918</v>
      </c>
      <c r="N177" s="389" t="s">
        <v>3315</v>
      </c>
      <c r="O177" s="389" t="s">
        <v>3315</v>
      </c>
      <c r="P177" s="389" t="s">
        <v>2924</v>
      </c>
      <c r="Q177" s="389" t="s">
        <v>3219</v>
      </c>
      <c r="R177" s="389" t="s">
        <v>2208</v>
      </c>
      <c r="S177" s="389" t="s">
        <v>2208</v>
      </c>
    </row>
    <row r="178" spans="1:19">
      <c r="A178" s="389" t="s">
        <v>6862</v>
      </c>
      <c r="B178" s="391" t="str">
        <f t="shared" si="4"/>
        <v>LCP-240139-EX</v>
      </c>
      <c r="C178" s="389" t="str">
        <f t="shared" si="5"/>
        <v>janeiro</v>
      </c>
      <c r="D178" s="389" t="s">
        <v>2921</v>
      </c>
      <c r="E178" s="391">
        <v>45679</v>
      </c>
      <c r="F178" s="389" t="s">
        <v>6863</v>
      </c>
      <c r="G178" s="389" t="s">
        <v>2916</v>
      </c>
      <c r="H178" s="389" t="s">
        <v>8409</v>
      </c>
      <c r="I178" s="398">
        <v>0</v>
      </c>
      <c r="J178" s="390">
        <v>-149.86000000000001</v>
      </c>
      <c r="K178" s="389" t="s">
        <v>2917</v>
      </c>
      <c r="L178" s="390">
        <v>-925.45</v>
      </c>
      <c r="M178" s="389" t="s">
        <v>2918</v>
      </c>
      <c r="N178" s="389" t="s">
        <v>8410</v>
      </c>
      <c r="O178" s="389" t="s">
        <v>3315</v>
      </c>
      <c r="P178" s="389" t="s">
        <v>2924</v>
      </c>
      <c r="Q178" s="389" t="s">
        <v>3219</v>
      </c>
      <c r="R178" s="389" t="s">
        <v>2208</v>
      </c>
      <c r="S178" s="389" t="s">
        <v>2208</v>
      </c>
    </row>
    <row r="179" spans="1:19">
      <c r="A179" s="389" t="s">
        <v>6862</v>
      </c>
      <c r="B179" s="391" t="str">
        <f t="shared" si="4"/>
        <v>LCP-240139-EX</v>
      </c>
      <c r="C179" s="389" t="str">
        <f t="shared" si="5"/>
        <v>janeiro</v>
      </c>
      <c r="D179" s="389" t="s">
        <v>2921</v>
      </c>
      <c r="E179" s="391">
        <v>45679</v>
      </c>
      <c r="F179" s="389" t="s">
        <v>6863</v>
      </c>
      <c r="G179" s="389" t="s">
        <v>2916</v>
      </c>
      <c r="H179" s="389" t="s">
        <v>8411</v>
      </c>
      <c r="I179" s="398">
        <v>0</v>
      </c>
      <c r="J179" s="390">
        <v>-149.86000000000001</v>
      </c>
      <c r="K179" s="389" t="s">
        <v>2917</v>
      </c>
      <c r="L179" s="390">
        <v>-925.45</v>
      </c>
      <c r="M179" s="389" t="s">
        <v>2918</v>
      </c>
      <c r="N179" s="389" t="s">
        <v>8412</v>
      </c>
      <c r="O179" s="389" t="s">
        <v>3315</v>
      </c>
      <c r="P179" s="389" t="s">
        <v>2924</v>
      </c>
      <c r="Q179" s="389" t="s">
        <v>3219</v>
      </c>
      <c r="R179" s="389" t="s">
        <v>2208</v>
      </c>
      <c r="S179" s="389" t="s">
        <v>2208</v>
      </c>
    </row>
    <row r="180" spans="1:19">
      <c r="A180" s="389" t="s">
        <v>6862</v>
      </c>
      <c r="B180" s="391" t="str">
        <f t="shared" si="4"/>
        <v>LCP-240139-EX</v>
      </c>
      <c r="C180" s="389" t="str">
        <f t="shared" si="5"/>
        <v>janeiro</v>
      </c>
      <c r="D180" s="389" t="s">
        <v>2921</v>
      </c>
      <c r="E180" s="391">
        <v>45688</v>
      </c>
      <c r="F180" s="389" t="s">
        <v>2208</v>
      </c>
      <c r="G180" s="389" t="s">
        <v>2916</v>
      </c>
      <c r="H180" s="389" t="s">
        <v>8413</v>
      </c>
      <c r="I180" s="393">
        <v>0</v>
      </c>
      <c r="J180" s="390">
        <v>-0.08</v>
      </c>
      <c r="K180" s="389" t="s">
        <v>2917</v>
      </c>
      <c r="L180" s="390">
        <v>0</v>
      </c>
      <c r="M180" s="389" t="s">
        <v>2918</v>
      </c>
      <c r="N180" s="389" t="s">
        <v>2919</v>
      </c>
      <c r="O180" s="389" t="s">
        <v>2208</v>
      </c>
      <c r="P180" s="389" t="s">
        <v>2916</v>
      </c>
      <c r="Q180" s="389" t="s">
        <v>3220</v>
      </c>
      <c r="R180" s="389" t="s">
        <v>2208</v>
      </c>
      <c r="S180" s="389" t="s">
        <v>2208</v>
      </c>
    </row>
    <row r="181" spans="1:19">
      <c r="A181" s="389" t="s">
        <v>6862</v>
      </c>
      <c r="B181" s="391" t="str">
        <f t="shared" si="4"/>
        <v>LCP-240139-EX</v>
      </c>
      <c r="C181" s="389" t="str">
        <f t="shared" si="5"/>
        <v>fevereiro</v>
      </c>
      <c r="D181" s="389" t="s">
        <v>2925</v>
      </c>
      <c r="E181" s="391">
        <v>45692</v>
      </c>
      <c r="F181" s="389" t="s">
        <v>6863</v>
      </c>
      <c r="G181" s="389" t="s">
        <v>2916</v>
      </c>
      <c r="H181" s="389" t="s">
        <v>8827</v>
      </c>
      <c r="I181" s="398">
        <v>1</v>
      </c>
      <c r="J181" s="390">
        <v>1720.33</v>
      </c>
      <c r="K181" s="389" t="s">
        <v>2917</v>
      </c>
      <c r="L181" s="390">
        <v>10004.85</v>
      </c>
      <c r="M181" s="389" t="s">
        <v>2918</v>
      </c>
      <c r="N181" s="389" t="s">
        <v>3315</v>
      </c>
      <c r="O181" s="389" t="s">
        <v>3315</v>
      </c>
      <c r="P181" s="389" t="s">
        <v>2924</v>
      </c>
      <c r="Q181" s="389" t="s">
        <v>3219</v>
      </c>
      <c r="R181" s="389" t="s">
        <v>2208</v>
      </c>
      <c r="S181" s="389" t="s">
        <v>2208</v>
      </c>
    </row>
    <row r="182" spans="1:19">
      <c r="A182" s="389" t="s">
        <v>6862</v>
      </c>
      <c r="B182" s="391" t="str">
        <f t="shared" si="4"/>
        <v>LCP-240139-EX</v>
      </c>
      <c r="C182" s="389" t="str">
        <f t="shared" si="5"/>
        <v>fevereiro</v>
      </c>
      <c r="D182" s="389" t="s">
        <v>2925</v>
      </c>
      <c r="E182" s="391">
        <v>45692</v>
      </c>
      <c r="F182" s="389" t="s">
        <v>6863</v>
      </c>
      <c r="G182" s="389" t="s">
        <v>2916</v>
      </c>
      <c r="H182" s="389" t="s">
        <v>8828</v>
      </c>
      <c r="I182" s="398">
        <v>1</v>
      </c>
      <c r="J182" s="390">
        <v>1720.33</v>
      </c>
      <c r="K182" s="389" t="s">
        <v>2917</v>
      </c>
      <c r="L182" s="390">
        <v>10004.85</v>
      </c>
      <c r="M182" s="389" t="s">
        <v>2918</v>
      </c>
      <c r="N182" s="389" t="s">
        <v>3315</v>
      </c>
      <c r="O182" s="389" t="s">
        <v>3315</v>
      </c>
      <c r="P182" s="389" t="s">
        <v>2924</v>
      </c>
      <c r="Q182" s="389" t="s">
        <v>3219</v>
      </c>
      <c r="R182" s="389" t="s">
        <v>2208</v>
      </c>
      <c r="S182" s="389" t="s">
        <v>2208</v>
      </c>
    </row>
    <row r="183" spans="1:19">
      <c r="A183" s="389" t="s">
        <v>6862</v>
      </c>
      <c r="B183" s="391" t="str">
        <f t="shared" si="4"/>
        <v>LCP-240139-EX</v>
      </c>
      <c r="C183" s="389" t="str">
        <f t="shared" si="5"/>
        <v>fevereiro</v>
      </c>
      <c r="D183" s="389" t="s">
        <v>2925</v>
      </c>
      <c r="E183" s="391">
        <v>45701</v>
      </c>
      <c r="F183" s="389" t="s">
        <v>6863</v>
      </c>
      <c r="G183" s="389" t="s">
        <v>2916</v>
      </c>
      <c r="H183" s="389" t="s">
        <v>8829</v>
      </c>
      <c r="I183" s="398">
        <v>0</v>
      </c>
      <c r="J183" s="390">
        <v>-159.13</v>
      </c>
      <c r="K183" s="389" t="s">
        <v>2917</v>
      </c>
      <c r="L183" s="390">
        <v>-925.45</v>
      </c>
      <c r="M183" s="389" t="s">
        <v>2918</v>
      </c>
      <c r="N183" s="389" t="s">
        <v>8830</v>
      </c>
      <c r="O183" s="389" t="s">
        <v>3315</v>
      </c>
      <c r="P183" s="389" t="s">
        <v>2924</v>
      </c>
      <c r="Q183" s="389" t="s">
        <v>3219</v>
      </c>
      <c r="R183" s="389" t="s">
        <v>2208</v>
      </c>
      <c r="S183" s="389" t="s">
        <v>2208</v>
      </c>
    </row>
    <row r="184" spans="1:19">
      <c r="A184" s="389" t="s">
        <v>6862</v>
      </c>
      <c r="B184" s="391" t="str">
        <f t="shared" si="4"/>
        <v>LCP-240139-EX</v>
      </c>
      <c r="C184" s="389" t="str">
        <f t="shared" si="5"/>
        <v>fevereiro</v>
      </c>
      <c r="D184" s="389" t="s">
        <v>2925</v>
      </c>
      <c r="E184" s="391">
        <v>45701</v>
      </c>
      <c r="F184" s="389" t="s">
        <v>6863</v>
      </c>
      <c r="G184" s="389" t="s">
        <v>2916</v>
      </c>
      <c r="H184" s="389" t="s">
        <v>8831</v>
      </c>
      <c r="I184" s="398">
        <v>0</v>
      </c>
      <c r="J184" s="390">
        <v>-159.13</v>
      </c>
      <c r="K184" s="389" t="s">
        <v>2917</v>
      </c>
      <c r="L184" s="390">
        <v>-925.45</v>
      </c>
      <c r="M184" s="389" t="s">
        <v>2918</v>
      </c>
      <c r="N184" s="389" t="s">
        <v>8832</v>
      </c>
      <c r="O184" s="389" t="s">
        <v>3315</v>
      </c>
      <c r="P184" s="389" t="s">
        <v>2924</v>
      </c>
      <c r="Q184" s="389" t="s">
        <v>3219</v>
      </c>
      <c r="R184" s="389" t="s">
        <v>2208</v>
      </c>
      <c r="S184" s="389" t="s">
        <v>2208</v>
      </c>
    </row>
    <row r="185" spans="1:19">
      <c r="A185" s="389" t="s">
        <v>6862</v>
      </c>
      <c r="B185" s="391" t="str">
        <f t="shared" si="4"/>
        <v>LCP-240139-EX</v>
      </c>
      <c r="C185" s="389" t="str">
        <f t="shared" si="5"/>
        <v>fevereiro</v>
      </c>
      <c r="D185" s="389" t="s">
        <v>2925</v>
      </c>
      <c r="E185" s="391">
        <v>45702</v>
      </c>
      <c r="F185" s="389" t="s">
        <v>6863</v>
      </c>
      <c r="G185" s="389" t="s">
        <v>2916</v>
      </c>
      <c r="H185" s="389" t="s">
        <v>8833</v>
      </c>
      <c r="I185" s="398">
        <v>1</v>
      </c>
      <c r="J185" s="390">
        <v>1720.33</v>
      </c>
      <c r="K185" s="389" t="s">
        <v>2917</v>
      </c>
      <c r="L185" s="390">
        <v>10004.85</v>
      </c>
      <c r="M185" s="389" t="s">
        <v>2918</v>
      </c>
      <c r="N185" s="389" t="s">
        <v>3315</v>
      </c>
      <c r="O185" s="389" t="s">
        <v>3315</v>
      </c>
      <c r="P185" s="389" t="s">
        <v>2924</v>
      </c>
      <c r="Q185" s="389" t="s">
        <v>3219</v>
      </c>
      <c r="R185" s="389" t="s">
        <v>2208</v>
      </c>
      <c r="S185" s="389" t="s">
        <v>2208</v>
      </c>
    </row>
    <row r="186" spans="1:19">
      <c r="A186" s="389" t="s">
        <v>6862</v>
      </c>
      <c r="B186" s="391" t="str">
        <f t="shared" si="4"/>
        <v>LCP-240139-EX</v>
      </c>
      <c r="C186" s="389" t="str">
        <f t="shared" si="5"/>
        <v>fevereiro</v>
      </c>
      <c r="D186" s="389" t="s">
        <v>2925</v>
      </c>
      <c r="E186" s="391">
        <v>45702</v>
      </c>
      <c r="F186" s="389" t="s">
        <v>6863</v>
      </c>
      <c r="G186" s="389" t="s">
        <v>2916</v>
      </c>
      <c r="H186" s="389" t="s">
        <v>8834</v>
      </c>
      <c r="I186" s="398">
        <v>1</v>
      </c>
      <c r="J186" s="390">
        <v>1720.33</v>
      </c>
      <c r="K186" s="389" t="s">
        <v>2917</v>
      </c>
      <c r="L186" s="390">
        <v>10004.85</v>
      </c>
      <c r="M186" s="389" t="s">
        <v>2918</v>
      </c>
      <c r="N186" s="389" t="s">
        <v>3315</v>
      </c>
      <c r="O186" s="389" t="s">
        <v>3315</v>
      </c>
      <c r="P186" s="389" t="s">
        <v>2924</v>
      </c>
      <c r="Q186" s="389" t="s">
        <v>3219</v>
      </c>
      <c r="R186" s="389" t="s">
        <v>2208</v>
      </c>
      <c r="S186" s="389" t="s">
        <v>2208</v>
      </c>
    </row>
    <row r="187" spans="1:19">
      <c r="A187" s="389" t="s">
        <v>6862</v>
      </c>
      <c r="B187" s="391" t="str">
        <f t="shared" si="4"/>
        <v>LCP-240139-EX</v>
      </c>
      <c r="C187" s="389" t="str">
        <f t="shared" si="5"/>
        <v>fevereiro</v>
      </c>
      <c r="D187" s="389" t="s">
        <v>2925</v>
      </c>
      <c r="E187" s="391">
        <v>45706</v>
      </c>
      <c r="F187" s="389" t="s">
        <v>6863</v>
      </c>
      <c r="G187" s="389" t="s">
        <v>2916</v>
      </c>
      <c r="H187" s="389" t="s">
        <v>8835</v>
      </c>
      <c r="I187" s="398">
        <v>0</v>
      </c>
      <c r="J187" s="390">
        <v>-159.13</v>
      </c>
      <c r="K187" s="389" t="s">
        <v>2917</v>
      </c>
      <c r="L187" s="390">
        <v>-925.45</v>
      </c>
      <c r="M187" s="389" t="s">
        <v>2918</v>
      </c>
      <c r="N187" s="389" t="s">
        <v>8836</v>
      </c>
      <c r="O187" s="389" t="s">
        <v>3315</v>
      </c>
      <c r="P187" s="389" t="s">
        <v>2924</v>
      </c>
      <c r="Q187" s="389" t="s">
        <v>3219</v>
      </c>
      <c r="R187" s="389" t="s">
        <v>2208</v>
      </c>
      <c r="S187" s="389" t="s">
        <v>2208</v>
      </c>
    </row>
    <row r="188" spans="1:19">
      <c r="A188" s="389" t="s">
        <v>6862</v>
      </c>
      <c r="B188" s="391" t="str">
        <f t="shared" si="4"/>
        <v>LCP-240139-EX</v>
      </c>
      <c r="C188" s="389" t="str">
        <f t="shared" si="5"/>
        <v>fevereiro</v>
      </c>
      <c r="D188" s="389" t="s">
        <v>2925</v>
      </c>
      <c r="E188" s="391">
        <v>45706</v>
      </c>
      <c r="F188" s="389" t="s">
        <v>6863</v>
      </c>
      <c r="G188" s="389" t="s">
        <v>2916</v>
      </c>
      <c r="H188" s="389" t="s">
        <v>8837</v>
      </c>
      <c r="I188" s="398">
        <v>0</v>
      </c>
      <c r="J188" s="390">
        <v>-159.13</v>
      </c>
      <c r="K188" s="389" t="s">
        <v>2917</v>
      </c>
      <c r="L188" s="390">
        <v>-925.45</v>
      </c>
      <c r="M188" s="389" t="s">
        <v>2918</v>
      </c>
      <c r="N188" s="389" t="s">
        <v>8838</v>
      </c>
      <c r="O188" s="389" t="s">
        <v>3315</v>
      </c>
      <c r="P188" s="389" t="s">
        <v>2924</v>
      </c>
      <c r="Q188" s="389" t="s">
        <v>3219</v>
      </c>
      <c r="R188" s="389" t="s">
        <v>2208</v>
      </c>
      <c r="S188" s="389" t="s">
        <v>2208</v>
      </c>
    </row>
    <row r="189" spans="1:19">
      <c r="A189" s="389" t="s">
        <v>6862</v>
      </c>
      <c r="B189" s="391" t="str">
        <f t="shared" si="4"/>
        <v>LCP-240139-EX</v>
      </c>
      <c r="C189" s="389" t="str">
        <f t="shared" si="5"/>
        <v>fevereiro</v>
      </c>
      <c r="D189" s="389" t="s">
        <v>2925</v>
      </c>
      <c r="E189" s="391">
        <v>45716</v>
      </c>
      <c r="F189" s="389" t="s">
        <v>2208</v>
      </c>
      <c r="G189" s="389" t="s">
        <v>2916</v>
      </c>
      <c r="H189" s="389" t="s">
        <v>9594</v>
      </c>
      <c r="I189" s="393">
        <v>0</v>
      </c>
      <c r="J189" s="390">
        <v>0.08</v>
      </c>
      <c r="K189" s="389" t="s">
        <v>2917</v>
      </c>
      <c r="L189" s="390">
        <v>0</v>
      </c>
      <c r="M189" s="389" t="s">
        <v>2918</v>
      </c>
      <c r="N189" s="389" t="s">
        <v>2919</v>
      </c>
      <c r="O189" s="389" t="s">
        <v>2208</v>
      </c>
      <c r="P189" s="389" t="s">
        <v>2916</v>
      </c>
      <c r="Q189" s="389" t="s">
        <v>3220</v>
      </c>
      <c r="R189" s="389" t="s">
        <v>2208</v>
      </c>
      <c r="S189" s="389" t="s">
        <v>2208</v>
      </c>
    </row>
    <row r="190" spans="1:19">
      <c r="A190" s="389" t="s">
        <v>6862</v>
      </c>
      <c r="B190" s="391" t="str">
        <f t="shared" si="4"/>
        <v>LCP-240139-EX</v>
      </c>
      <c r="C190" s="389" t="str">
        <f t="shared" si="5"/>
        <v>abril</v>
      </c>
      <c r="D190" s="389" t="s">
        <v>11332</v>
      </c>
      <c r="E190" s="391">
        <v>45751</v>
      </c>
      <c r="F190" s="389" t="s">
        <v>6863</v>
      </c>
      <c r="G190" s="389" t="s">
        <v>2916</v>
      </c>
      <c r="H190" s="389" t="s">
        <v>16023</v>
      </c>
      <c r="I190" s="398">
        <v>1</v>
      </c>
      <c r="J190" s="390">
        <v>1737.34</v>
      </c>
      <c r="K190" s="389" t="s">
        <v>2917</v>
      </c>
      <c r="L190" s="390">
        <v>10004.85</v>
      </c>
      <c r="M190" s="389" t="s">
        <v>2918</v>
      </c>
      <c r="N190" s="389" t="s">
        <v>3315</v>
      </c>
      <c r="O190" s="389" t="s">
        <v>3315</v>
      </c>
      <c r="P190" s="389" t="s">
        <v>2924</v>
      </c>
      <c r="Q190" s="389" t="s">
        <v>3219</v>
      </c>
      <c r="R190" s="389" t="s">
        <v>2208</v>
      </c>
      <c r="S190" s="389" t="s">
        <v>2208</v>
      </c>
    </row>
    <row r="191" spans="1:19">
      <c r="A191" s="389" t="s">
        <v>6862</v>
      </c>
      <c r="B191" s="391" t="str">
        <f t="shared" si="4"/>
        <v>LCP-240139-EX</v>
      </c>
      <c r="C191" s="389" t="str">
        <f t="shared" si="5"/>
        <v>abril</v>
      </c>
      <c r="D191" s="389" t="s">
        <v>11332</v>
      </c>
      <c r="E191" s="391">
        <v>45751</v>
      </c>
      <c r="F191" s="389" t="s">
        <v>6863</v>
      </c>
      <c r="G191" s="389" t="s">
        <v>2916</v>
      </c>
      <c r="H191" s="389" t="s">
        <v>16024</v>
      </c>
      <c r="I191" s="398">
        <v>1</v>
      </c>
      <c r="J191" s="390">
        <v>1737.34</v>
      </c>
      <c r="K191" s="389" t="s">
        <v>2917</v>
      </c>
      <c r="L191" s="390">
        <v>10004.85</v>
      </c>
      <c r="M191" s="389" t="s">
        <v>2918</v>
      </c>
      <c r="N191" s="389" t="s">
        <v>3315</v>
      </c>
      <c r="O191" s="389" t="s">
        <v>3315</v>
      </c>
      <c r="P191" s="389" t="s">
        <v>2924</v>
      </c>
      <c r="Q191" s="389" t="s">
        <v>3219</v>
      </c>
      <c r="R191" s="389" t="s">
        <v>2208</v>
      </c>
      <c r="S191" s="389" t="s">
        <v>2208</v>
      </c>
    </row>
    <row r="192" spans="1:19">
      <c r="A192" s="389" t="s">
        <v>6862</v>
      </c>
      <c r="B192" s="391" t="str">
        <f t="shared" si="4"/>
        <v>LCP-240139-EX</v>
      </c>
      <c r="C192" s="389" t="str">
        <f t="shared" si="5"/>
        <v>abril</v>
      </c>
      <c r="D192" s="389" t="s">
        <v>11332</v>
      </c>
      <c r="E192" s="391">
        <v>45751</v>
      </c>
      <c r="F192" s="389" t="s">
        <v>6863</v>
      </c>
      <c r="G192" s="389" t="s">
        <v>2916</v>
      </c>
      <c r="H192" s="389" t="s">
        <v>16025</v>
      </c>
      <c r="I192" s="398">
        <v>1</v>
      </c>
      <c r="J192" s="390">
        <v>1737.34</v>
      </c>
      <c r="K192" s="389" t="s">
        <v>2917</v>
      </c>
      <c r="L192" s="390">
        <v>10004.85</v>
      </c>
      <c r="M192" s="389" t="s">
        <v>2918</v>
      </c>
      <c r="N192" s="389" t="s">
        <v>3315</v>
      </c>
      <c r="O192" s="389" t="s">
        <v>3315</v>
      </c>
      <c r="P192" s="389" t="s">
        <v>2924</v>
      </c>
      <c r="Q192" s="389" t="s">
        <v>3219</v>
      </c>
      <c r="R192" s="389" t="s">
        <v>2208</v>
      </c>
      <c r="S192" s="389" t="s">
        <v>2208</v>
      </c>
    </row>
    <row r="193" spans="1:19">
      <c r="A193" s="389" t="s">
        <v>6862</v>
      </c>
      <c r="B193" s="391" t="str">
        <f t="shared" si="4"/>
        <v>LCP-240139-EX</v>
      </c>
      <c r="C193" s="389" t="str">
        <f t="shared" si="5"/>
        <v>abril</v>
      </c>
      <c r="D193" s="389" t="s">
        <v>11332</v>
      </c>
      <c r="E193" s="391">
        <v>45751</v>
      </c>
      <c r="F193" s="389" t="s">
        <v>6863</v>
      </c>
      <c r="G193" s="389" t="s">
        <v>2916</v>
      </c>
      <c r="H193" s="389" t="s">
        <v>16026</v>
      </c>
      <c r="I193" s="398">
        <v>1</v>
      </c>
      <c r="J193" s="390">
        <v>1737.34</v>
      </c>
      <c r="K193" s="389" t="s">
        <v>2917</v>
      </c>
      <c r="L193" s="390">
        <v>10004.85</v>
      </c>
      <c r="M193" s="389" t="s">
        <v>2918</v>
      </c>
      <c r="N193" s="389" t="s">
        <v>3315</v>
      </c>
      <c r="O193" s="389" t="s">
        <v>3315</v>
      </c>
      <c r="P193" s="389" t="s">
        <v>2924</v>
      </c>
      <c r="Q193" s="389" t="s">
        <v>3219</v>
      </c>
      <c r="R193" s="389" t="s">
        <v>2208</v>
      </c>
      <c r="S193" s="389" t="s">
        <v>2208</v>
      </c>
    </row>
    <row r="194" spans="1:19">
      <c r="A194" s="389" t="s">
        <v>6862</v>
      </c>
      <c r="B194" s="391" t="str">
        <f t="shared" si="4"/>
        <v>LCP-240139-EX</v>
      </c>
      <c r="C194" s="389" t="str">
        <f t="shared" si="5"/>
        <v>abril</v>
      </c>
      <c r="D194" s="389" t="s">
        <v>11332</v>
      </c>
      <c r="E194" s="391">
        <v>45752</v>
      </c>
      <c r="F194" s="389" t="s">
        <v>6863</v>
      </c>
      <c r="G194" s="389" t="s">
        <v>2916</v>
      </c>
      <c r="H194" s="389" t="s">
        <v>16027</v>
      </c>
      <c r="I194" s="398">
        <v>0</v>
      </c>
      <c r="J194" s="390">
        <v>-160.69999999999999</v>
      </c>
      <c r="K194" s="389" t="s">
        <v>2917</v>
      </c>
      <c r="L194" s="390">
        <v>-925.45</v>
      </c>
      <c r="M194" s="389" t="s">
        <v>2918</v>
      </c>
      <c r="N194" s="389" t="s">
        <v>16028</v>
      </c>
      <c r="O194" s="389" t="s">
        <v>3315</v>
      </c>
      <c r="P194" s="389" t="s">
        <v>2924</v>
      </c>
      <c r="Q194" s="389" t="s">
        <v>3219</v>
      </c>
      <c r="R194" s="389" t="s">
        <v>2208</v>
      </c>
      <c r="S194" s="389" t="s">
        <v>2208</v>
      </c>
    </row>
    <row r="195" spans="1:19">
      <c r="A195" s="389" t="s">
        <v>6862</v>
      </c>
      <c r="B195" s="391" t="str">
        <f t="shared" ref="B195:B258" si="6">IF(LEFT(A195,1)="E",A195,LEFT(A195,13))</f>
        <v>LCP-240139-EX</v>
      </c>
      <c r="C195" s="389" t="str">
        <f t="shared" ref="C195:C258" si="7">TEXT(E195,"mmmm")</f>
        <v>abril</v>
      </c>
      <c r="D195" s="389" t="s">
        <v>11332</v>
      </c>
      <c r="E195" s="391">
        <v>45752</v>
      </c>
      <c r="F195" s="389" t="s">
        <v>6863</v>
      </c>
      <c r="G195" s="389" t="s">
        <v>2916</v>
      </c>
      <c r="H195" s="389" t="s">
        <v>16029</v>
      </c>
      <c r="I195" s="398">
        <v>0</v>
      </c>
      <c r="J195" s="390">
        <v>-160.69999999999999</v>
      </c>
      <c r="K195" s="389" t="s">
        <v>2917</v>
      </c>
      <c r="L195" s="390">
        <v>-925.45</v>
      </c>
      <c r="M195" s="389" t="s">
        <v>2918</v>
      </c>
      <c r="N195" s="389" t="s">
        <v>16030</v>
      </c>
      <c r="O195" s="389" t="s">
        <v>3315</v>
      </c>
      <c r="P195" s="389" t="s">
        <v>2924</v>
      </c>
      <c r="Q195" s="389" t="s">
        <v>3219</v>
      </c>
      <c r="R195" s="389" t="s">
        <v>2208</v>
      </c>
      <c r="S195" s="389" t="s">
        <v>2208</v>
      </c>
    </row>
    <row r="196" spans="1:19">
      <c r="A196" s="389" t="s">
        <v>6862</v>
      </c>
      <c r="B196" s="391" t="str">
        <f t="shared" si="6"/>
        <v>LCP-240139-EX</v>
      </c>
      <c r="C196" s="389" t="str">
        <f t="shared" si="7"/>
        <v>abril</v>
      </c>
      <c r="D196" s="389" t="s">
        <v>11332</v>
      </c>
      <c r="E196" s="391">
        <v>45752</v>
      </c>
      <c r="F196" s="389" t="s">
        <v>6863</v>
      </c>
      <c r="G196" s="389" t="s">
        <v>2916</v>
      </c>
      <c r="H196" s="389" t="s">
        <v>16031</v>
      </c>
      <c r="I196" s="398">
        <v>0</v>
      </c>
      <c r="J196" s="390">
        <v>-160.69999999999999</v>
      </c>
      <c r="K196" s="389" t="s">
        <v>2917</v>
      </c>
      <c r="L196" s="390">
        <v>-925.45</v>
      </c>
      <c r="M196" s="389" t="s">
        <v>2918</v>
      </c>
      <c r="N196" s="389" t="s">
        <v>16032</v>
      </c>
      <c r="O196" s="389" t="s">
        <v>3315</v>
      </c>
      <c r="P196" s="389" t="s">
        <v>2924</v>
      </c>
      <c r="Q196" s="389" t="s">
        <v>3219</v>
      </c>
      <c r="R196" s="389" t="s">
        <v>2208</v>
      </c>
      <c r="S196" s="389" t="s">
        <v>2208</v>
      </c>
    </row>
    <row r="197" spans="1:19">
      <c r="A197" s="389" t="s">
        <v>6862</v>
      </c>
      <c r="B197" s="391" t="str">
        <f t="shared" si="6"/>
        <v>LCP-240139-EX</v>
      </c>
      <c r="C197" s="389" t="str">
        <f t="shared" si="7"/>
        <v>abril</v>
      </c>
      <c r="D197" s="389" t="s">
        <v>11332</v>
      </c>
      <c r="E197" s="391">
        <v>45752</v>
      </c>
      <c r="F197" s="389" t="s">
        <v>6863</v>
      </c>
      <c r="G197" s="389" t="s">
        <v>2916</v>
      </c>
      <c r="H197" s="389" t="s">
        <v>16033</v>
      </c>
      <c r="I197" s="398">
        <v>0</v>
      </c>
      <c r="J197" s="390">
        <v>-160.69999999999999</v>
      </c>
      <c r="K197" s="389" t="s">
        <v>2917</v>
      </c>
      <c r="L197" s="390">
        <v>-925.45</v>
      </c>
      <c r="M197" s="389" t="s">
        <v>2918</v>
      </c>
      <c r="N197" s="389" t="s">
        <v>16034</v>
      </c>
      <c r="O197" s="389" t="s">
        <v>3315</v>
      </c>
      <c r="P197" s="389" t="s">
        <v>2924</v>
      </c>
      <c r="Q197" s="389" t="s">
        <v>3219</v>
      </c>
      <c r="R197" s="389" t="s">
        <v>2208</v>
      </c>
      <c r="S197" s="389" t="s">
        <v>2208</v>
      </c>
    </row>
    <row r="198" spans="1:19">
      <c r="A198" s="389" t="s">
        <v>6862</v>
      </c>
      <c r="B198" s="391" t="str">
        <f t="shared" si="6"/>
        <v>LCP-240139-EX</v>
      </c>
      <c r="C198" s="389" t="str">
        <f t="shared" si="7"/>
        <v>abril</v>
      </c>
      <c r="D198" s="389" t="s">
        <v>11332</v>
      </c>
      <c r="E198" s="391">
        <v>45777</v>
      </c>
      <c r="F198" s="389" t="s">
        <v>2208</v>
      </c>
      <c r="G198" s="389" t="s">
        <v>2916</v>
      </c>
      <c r="H198" s="389" t="s">
        <v>16940</v>
      </c>
      <c r="I198" s="393">
        <v>0</v>
      </c>
      <c r="J198" s="390">
        <v>0.06</v>
      </c>
      <c r="K198" s="389" t="s">
        <v>2917</v>
      </c>
      <c r="L198" s="390">
        <v>0</v>
      </c>
      <c r="M198" s="389" t="s">
        <v>2918</v>
      </c>
      <c r="N198" s="389" t="s">
        <v>2919</v>
      </c>
      <c r="O198" s="389" t="s">
        <v>2208</v>
      </c>
      <c r="P198" s="389" t="s">
        <v>2916</v>
      </c>
      <c r="Q198" s="389" t="s">
        <v>3220</v>
      </c>
      <c r="R198" s="389" t="s">
        <v>2208</v>
      </c>
      <c r="S198" s="389" t="s">
        <v>2208</v>
      </c>
    </row>
    <row r="199" spans="1:19">
      <c r="A199" s="389" t="s">
        <v>6862</v>
      </c>
      <c r="B199" s="391" t="str">
        <f t="shared" si="6"/>
        <v>LCP-240139-EX</v>
      </c>
      <c r="C199" s="389" t="str">
        <f t="shared" si="7"/>
        <v>junho</v>
      </c>
      <c r="D199" s="389" t="s">
        <v>17898</v>
      </c>
      <c r="E199" s="391">
        <v>45826</v>
      </c>
      <c r="F199" s="389" t="s">
        <v>6863</v>
      </c>
      <c r="G199" s="389" t="s">
        <v>2916</v>
      </c>
      <c r="H199" s="389" t="s">
        <v>18801</v>
      </c>
      <c r="I199" s="398">
        <v>1</v>
      </c>
      <c r="J199" s="390">
        <v>1762.85</v>
      </c>
      <c r="K199" s="389" t="s">
        <v>2917</v>
      </c>
      <c r="L199" s="390">
        <v>10004.85</v>
      </c>
      <c r="M199" s="389" t="s">
        <v>2918</v>
      </c>
      <c r="N199" s="389" t="s">
        <v>3315</v>
      </c>
      <c r="O199" s="389" t="s">
        <v>3315</v>
      </c>
      <c r="P199" s="389" t="s">
        <v>2924</v>
      </c>
      <c r="Q199" s="389" t="s">
        <v>3219</v>
      </c>
      <c r="R199" s="389" t="s">
        <v>2208</v>
      </c>
      <c r="S199" s="389" t="s">
        <v>2208</v>
      </c>
    </row>
    <row r="200" spans="1:19">
      <c r="A200" s="389" t="s">
        <v>6862</v>
      </c>
      <c r="B200" s="391" t="str">
        <f t="shared" si="6"/>
        <v>LCP-240139-EX</v>
      </c>
      <c r="C200" s="389" t="str">
        <f t="shared" si="7"/>
        <v>junho</v>
      </c>
      <c r="D200" s="389" t="s">
        <v>17898</v>
      </c>
      <c r="E200" s="391">
        <v>45826</v>
      </c>
      <c r="F200" s="389" t="s">
        <v>6863</v>
      </c>
      <c r="G200" s="389" t="s">
        <v>2916</v>
      </c>
      <c r="H200" s="389" t="s">
        <v>18802</v>
      </c>
      <c r="I200" s="398">
        <v>1</v>
      </c>
      <c r="J200" s="390">
        <v>1762.85</v>
      </c>
      <c r="K200" s="389" t="s">
        <v>2917</v>
      </c>
      <c r="L200" s="390">
        <v>10004.85</v>
      </c>
      <c r="M200" s="389" t="s">
        <v>2918</v>
      </c>
      <c r="N200" s="389" t="s">
        <v>3315</v>
      </c>
      <c r="O200" s="389" t="s">
        <v>3315</v>
      </c>
      <c r="P200" s="389" t="s">
        <v>2924</v>
      </c>
      <c r="Q200" s="389" t="s">
        <v>3219</v>
      </c>
      <c r="R200" s="389" t="s">
        <v>2208</v>
      </c>
      <c r="S200" s="389" t="s">
        <v>2208</v>
      </c>
    </row>
    <row r="201" spans="1:19">
      <c r="A201" s="389" t="s">
        <v>6862</v>
      </c>
      <c r="B201" s="391" t="str">
        <f t="shared" si="6"/>
        <v>LCP-240139-EX</v>
      </c>
      <c r="C201" s="389" t="str">
        <f t="shared" si="7"/>
        <v>junho</v>
      </c>
      <c r="D201" s="389" t="s">
        <v>17898</v>
      </c>
      <c r="E201" s="391">
        <v>45826</v>
      </c>
      <c r="F201" s="389" t="s">
        <v>6863</v>
      </c>
      <c r="G201" s="389" t="s">
        <v>2916</v>
      </c>
      <c r="H201" s="389" t="s">
        <v>18803</v>
      </c>
      <c r="I201" s="398">
        <v>1</v>
      </c>
      <c r="J201" s="390">
        <v>1762.85</v>
      </c>
      <c r="K201" s="389" t="s">
        <v>2917</v>
      </c>
      <c r="L201" s="390">
        <v>10004.85</v>
      </c>
      <c r="M201" s="389" t="s">
        <v>2918</v>
      </c>
      <c r="N201" s="389" t="s">
        <v>3315</v>
      </c>
      <c r="O201" s="389" t="s">
        <v>3315</v>
      </c>
      <c r="P201" s="389" t="s">
        <v>2924</v>
      </c>
      <c r="Q201" s="389" t="s">
        <v>3219</v>
      </c>
      <c r="R201" s="389" t="s">
        <v>2208</v>
      </c>
      <c r="S201" s="389" t="s">
        <v>2208</v>
      </c>
    </row>
    <row r="202" spans="1:19">
      <c r="A202" s="389" t="s">
        <v>6862</v>
      </c>
      <c r="B202" s="391" t="str">
        <f t="shared" si="6"/>
        <v>LCP-240139-EX</v>
      </c>
      <c r="C202" s="389" t="str">
        <f t="shared" si="7"/>
        <v>junho</v>
      </c>
      <c r="D202" s="389" t="s">
        <v>17898</v>
      </c>
      <c r="E202" s="391">
        <v>45826</v>
      </c>
      <c r="F202" s="389" t="s">
        <v>6863</v>
      </c>
      <c r="G202" s="389" t="s">
        <v>2916</v>
      </c>
      <c r="H202" s="389" t="s">
        <v>18804</v>
      </c>
      <c r="I202" s="398">
        <v>1</v>
      </c>
      <c r="J202" s="390">
        <v>1762.85</v>
      </c>
      <c r="K202" s="389" t="s">
        <v>2917</v>
      </c>
      <c r="L202" s="390">
        <v>10004.85</v>
      </c>
      <c r="M202" s="389" t="s">
        <v>2918</v>
      </c>
      <c r="N202" s="389" t="s">
        <v>3315</v>
      </c>
      <c r="O202" s="389" t="s">
        <v>3315</v>
      </c>
      <c r="P202" s="389" t="s">
        <v>2924</v>
      </c>
      <c r="Q202" s="389" t="s">
        <v>3219</v>
      </c>
      <c r="R202" s="389" t="s">
        <v>2208</v>
      </c>
      <c r="S202" s="389" t="s">
        <v>2208</v>
      </c>
    </row>
    <row r="203" spans="1:19">
      <c r="A203" s="389" t="s">
        <v>6862</v>
      </c>
      <c r="B203" s="391" t="str">
        <f t="shared" si="6"/>
        <v>LCP-240139-EX</v>
      </c>
      <c r="C203" s="389" t="str">
        <f t="shared" si="7"/>
        <v>junho</v>
      </c>
      <c r="D203" s="389" t="s">
        <v>17898</v>
      </c>
      <c r="E203" s="391">
        <v>45827</v>
      </c>
      <c r="F203" s="389" t="s">
        <v>6863</v>
      </c>
      <c r="G203" s="389" t="s">
        <v>2916</v>
      </c>
      <c r="H203" s="389" t="s">
        <v>18805</v>
      </c>
      <c r="I203" s="398">
        <v>0</v>
      </c>
      <c r="J203" s="390">
        <v>-163.06</v>
      </c>
      <c r="K203" s="389" t="s">
        <v>2917</v>
      </c>
      <c r="L203" s="390">
        <v>-925.45</v>
      </c>
      <c r="M203" s="389" t="s">
        <v>2918</v>
      </c>
      <c r="N203" s="389" t="s">
        <v>18806</v>
      </c>
      <c r="O203" s="389" t="s">
        <v>3315</v>
      </c>
      <c r="P203" s="389" t="s">
        <v>2924</v>
      </c>
      <c r="Q203" s="389" t="s">
        <v>3219</v>
      </c>
      <c r="R203" s="389" t="s">
        <v>2208</v>
      </c>
      <c r="S203" s="389" t="s">
        <v>2208</v>
      </c>
    </row>
    <row r="204" spans="1:19">
      <c r="A204" s="389" t="s">
        <v>6862</v>
      </c>
      <c r="B204" s="391" t="str">
        <f t="shared" si="6"/>
        <v>LCP-240139-EX</v>
      </c>
      <c r="C204" s="389" t="str">
        <f t="shared" si="7"/>
        <v>junho</v>
      </c>
      <c r="D204" s="389" t="s">
        <v>17898</v>
      </c>
      <c r="E204" s="391">
        <v>45827</v>
      </c>
      <c r="F204" s="389" t="s">
        <v>6863</v>
      </c>
      <c r="G204" s="389" t="s">
        <v>2916</v>
      </c>
      <c r="H204" s="389" t="s">
        <v>18807</v>
      </c>
      <c r="I204" s="398">
        <v>0</v>
      </c>
      <c r="J204" s="390">
        <v>-163.06</v>
      </c>
      <c r="K204" s="389" t="s">
        <v>2917</v>
      </c>
      <c r="L204" s="390">
        <v>-925.45</v>
      </c>
      <c r="M204" s="389" t="s">
        <v>2918</v>
      </c>
      <c r="N204" s="389" t="s">
        <v>18808</v>
      </c>
      <c r="O204" s="389" t="s">
        <v>3315</v>
      </c>
      <c r="P204" s="389" t="s">
        <v>2924</v>
      </c>
      <c r="Q204" s="389" t="s">
        <v>3219</v>
      </c>
      <c r="R204" s="389" t="s">
        <v>2208</v>
      </c>
      <c r="S204" s="389" t="s">
        <v>2208</v>
      </c>
    </row>
    <row r="205" spans="1:19">
      <c r="A205" s="389" t="s">
        <v>6862</v>
      </c>
      <c r="B205" s="391" t="str">
        <f t="shared" si="6"/>
        <v>LCP-240139-EX</v>
      </c>
      <c r="C205" s="389" t="str">
        <f t="shared" si="7"/>
        <v>junho</v>
      </c>
      <c r="D205" s="389" t="s">
        <v>17898</v>
      </c>
      <c r="E205" s="391">
        <v>45827</v>
      </c>
      <c r="F205" s="389" t="s">
        <v>6863</v>
      </c>
      <c r="G205" s="389" t="s">
        <v>2916</v>
      </c>
      <c r="H205" s="389" t="s">
        <v>18809</v>
      </c>
      <c r="I205" s="398">
        <v>0</v>
      </c>
      <c r="J205" s="390">
        <v>-163.06</v>
      </c>
      <c r="K205" s="389" t="s">
        <v>2917</v>
      </c>
      <c r="L205" s="390">
        <v>-925.45</v>
      </c>
      <c r="M205" s="389" t="s">
        <v>2918</v>
      </c>
      <c r="N205" s="389" t="s">
        <v>18810</v>
      </c>
      <c r="O205" s="389" t="s">
        <v>3315</v>
      </c>
      <c r="P205" s="389" t="s">
        <v>2924</v>
      </c>
      <c r="Q205" s="389" t="s">
        <v>3219</v>
      </c>
      <c r="R205" s="389" t="s">
        <v>2208</v>
      </c>
      <c r="S205" s="389" t="s">
        <v>2208</v>
      </c>
    </row>
    <row r="206" spans="1:19">
      <c r="A206" s="389" t="s">
        <v>6862</v>
      </c>
      <c r="B206" s="391" t="str">
        <f t="shared" si="6"/>
        <v>LCP-240139-EX</v>
      </c>
      <c r="C206" s="389" t="str">
        <f t="shared" si="7"/>
        <v>junho</v>
      </c>
      <c r="D206" s="389" t="s">
        <v>17898</v>
      </c>
      <c r="E206" s="391">
        <v>45827</v>
      </c>
      <c r="F206" s="389" t="s">
        <v>6863</v>
      </c>
      <c r="G206" s="389" t="s">
        <v>2916</v>
      </c>
      <c r="H206" s="389" t="s">
        <v>18811</v>
      </c>
      <c r="I206" s="398">
        <v>0</v>
      </c>
      <c r="J206" s="390">
        <v>-163.06</v>
      </c>
      <c r="K206" s="389" t="s">
        <v>2917</v>
      </c>
      <c r="L206" s="390">
        <v>-925.45</v>
      </c>
      <c r="M206" s="389" t="s">
        <v>2918</v>
      </c>
      <c r="N206" s="389" t="s">
        <v>18812</v>
      </c>
      <c r="O206" s="389" t="s">
        <v>3315</v>
      </c>
      <c r="P206" s="389" t="s">
        <v>2924</v>
      </c>
      <c r="Q206" s="389" t="s">
        <v>3219</v>
      </c>
      <c r="R206" s="389" t="s">
        <v>2208</v>
      </c>
      <c r="S206" s="389" t="s">
        <v>2208</v>
      </c>
    </row>
    <row r="207" spans="1:19">
      <c r="A207" s="389" t="s">
        <v>6862</v>
      </c>
      <c r="B207" s="391" t="str">
        <f t="shared" si="6"/>
        <v>LCP-240139-EX</v>
      </c>
      <c r="C207" s="389" t="str">
        <f t="shared" si="7"/>
        <v>junho</v>
      </c>
      <c r="D207" s="389" t="s">
        <v>17898</v>
      </c>
      <c r="E207" s="391">
        <v>45838</v>
      </c>
      <c r="F207" s="389" t="s">
        <v>2208</v>
      </c>
      <c r="G207" s="389" t="s">
        <v>2916</v>
      </c>
      <c r="H207" s="389" t="s">
        <v>19452</v>
      </c>
      <c r="I207" s="393">
        <v>0</v>
      </c>
      <c r="J207" s="390">
        <v>7.0000000000000007E-2</v>
      </c>
      <c r="K207" s="389" t="s">
        <v>2917</v>
      </c>
      <c r="L207" s="390">
        <v>0</v>
      </c>
      <c r="M207" s="389" t="s">
        <v>2918</v>
      </c>
      <c r="N207" s="389" t="s">
        <v>2919</v>
      </c>
      <c r="O207" s="389" t="s">
        <v>2208</v>
      </c>
      <c r="P207" s="389" t="s">
        <v>2916</v>
      </c>
      <c r="Q207" s="389" t="s">
        <v>3220</v>
      </c>
      <c r="R207" s="389" t="s">
        <v>2208</v>
      </c>
      <c r="S207" s="389" t="s">
        <v>2208</v>
      </c>
    </row>
    <row r="208" spans="1:19">
      <c r="A208" s="389" t="s">
        <v>10584</v>
      </c>
      <c r="B208" s="391" t="str">
        <f t="shared" si="6"/>
        <v>LCP-240140-EX</v>
      </c>
      <c r="C208" s="389" t="str">
        <f t="shared" si="7"/>
        <v>março</v>
      </c>
      <c r="D208" s="389" t="s">
        <v>9127</v>
      </c>
      <c r="E208" s="391">
        <v>45740</v>
      </c>
      <c r="F208" s="389" t="s">
        <v>2208</v>
      </c>
      <c r="G208" s="389" t="s">
        <v>2916</v>
      </c>
      <c r="H208" s="389" t="s">
        <v>11225</v>
      </c>
      <c r="I208" s="393">
        <v>0</v>
      </c>
      <c r="J208" s="390">
        <v>945.76</v>
      </c>
      <c r="K208" s="389" t="s">
        <v>2917</v>
      </c>
      <c r="L208" s="390">
        <v>5518.2</v>
      </c>
      <c r="M208" s="389" t="s">
        <v>2918</v>
      </c>
      <c r="N208" s="389" t="s">
        <v>11226</v>
      </c>
      <c r="O208" s="389" t="s">
        <v>2208</v>
      </c>
      <c r="P208" s="389" t="s">
        <v>9155</v>
      </c>
      <c r="Q208" s="389" t="s">
        <v>9156</v>
      </c>
      <c r="R208" s="389" t="s">
        <v>2208</v>
      </c>
      <c r="S208" s="389" t="s">
        <v>2208</v>
      </c>
    </row>
    <row r="209" spans="1:19">
      <c r="A209" s="389" t="s">
        <v>10584</v>
      </c>
      <c r="B209" s="391" t="str">
        <f t="shared" si="6"/>
        <v>LCP-240140-EX</v>
      </c>
      <c r="C209" s="389" t="str">
        <f t="shared" si="7"/>
        <v>março</v>
      </c>
      <c r="D209" s="389" t="s">
        <v>9127</v>
      </c>
      <c r="E209" s="391">
        <v>45747</v>
      </c>
      <c r="F209" s="389" t="s">
        <v>2208</v>
      </c>
      <c r="G209" s="389" t="s">
        <v>2916</v>
      </c>
      <c r="H209" s="389" t="s">
        <v>11886</v>
      </c>
      <c r="I209" s="393">
        <v>0</v>
      </c>
      <c r="J209" s="390">
        <v>-0.03</v>
      </c>
      <c r="K209" s="389" t="s">
        <v>2917</v>
      </c>
      <c r="L209" s="390">
        <v>0</v>
      </c>
      <c r="M209" s="389" t="s">
        <v>2918</v>
      </c>
      <c r="N209" s="389" t="s">
        <v>2919</v>
      </c>
      <c r="O209" s="389" t="s">
        <v>2208</v>
      </c>
      <c r="P209" s="389" t="s">
        <v>2916</v>
      </c>
      <c r="Q209" s="389" t="s">
        <v>3220</v>
      </c>
      <c r="R209" s="389" t="s">
        <v>2208</v>
      </c>
      <c r="S209" s="389" t="s">
        <v>2208</v>
      </c>
    </row>
    <row r="210" spans="1:19">
      <c r="A210" s="389" t="s">
        <v>10584</v>
      </c>
      <c r="B210" s="391" t="str">
        <f t="shared" si="6"/>
        <v>LCP-240140-EX</v>
      </c>
      <c r="C210" s="389" t="str">
        <f t="shared" si="7"/>
        <v>maio</v>
      </c>
      <c r="D210" s="389" t="s">
        <v>16361</v>
      </c>
      <c r="E210" s="391">
        <v>45803</v>
      </c>
      <c r="F210" s="389" t="s">
        <v>2208</v>
      </c>
      <c r="G210" s="389" t="s">
        <v>2916</v>
      </c>
      <c r="H210" s="389" t="s">
        <v>18405</v>
      </c>
      <c r="I210" s="393">
        <v>0</v>
      </c>
      <c r="J210" s="390">
        <v>3264.96</v>
      </c>
      <c r="K210" s="389" t="s">
        <v>2917</v>
      </c>
      <c r="L210" s="390">
        <v>18394.13</v>
      </c>
      <c r="M210" s="389" t="s">
        <v>2918</v>
      </c>
      <c r="N210" s="389" t="s">
        <v>18406</v>
      </c>
      <c r="O210" s="389" t="s">
        <v>2208</v>
      </c>
      <c r="P210" s="389" t="s">
        <v>9155</v>
      </c>
      <c r="Q210" s="389" t="s">
        <v>9156</v>
      </c>
      <c r="R210" s="389" t="s">
        <v>2208</v>
      </c>
      <c r="S210" s="389" t="s">
        <v>2208</v>
      </c>
    </row>
    <row r="211" spans="1:19">
      <c r="A211" s="389" t="s">
        <v>10584</v>
      </c>
      <c r="B211" s="391" t="str">
        <f t="shared" si="6"/>
        <v>LCP-240140-EX</v>
      </c>
      <c r="C211" s="389" t="str">
        <f t="shared" si="7"/>
        <v>maio</v>
      </c>
      <c r="D211" s="389" t="s">
        <v>16361</v>
      </c>
      <c r="E211" s="391">
        <v>45808</v>
      </c>
      <c r="F211" s="389" t="s">
        <v>2208</v>
      </c>
      <c r="G211" s="389" t="s">
        <v>2916</v>
      </c>
      <c r="H211" s="389" t="s">
        <v>18407</v>
      </c>
      <c r="I211" s="393">
        <v>0</v>
      </c>
      <c r="J211" s="390">
        <v>-0.02</v>
      </c>
      <c r="K211" s="389" t="s">
        <v>2917</v>
      </c>
      <c r="L211" s="390">
        <v>0</v>
      </c>
      <c r="M211" s="389" t="s">
        <v>2918</v>
      </c>
      <c r="N211" s="389" t="s">
        <v>2919</v>
      </c>
      <c r="O211" s="389" t="s">
        <v>2208</v>
      </c>
      <c r="P211" s="389" t="s">
        <v>2916</v>
      </c>
      <c r="Q211" s="389" t="s">
        <v>3220</v>
      </c>
      <c r="R211" s="389" t="s">
        <v>2208</v>
      </c>
      <c r="S211" s="389" t="s">
        <v>2208</v>
      </c>
    </row>
    <row r="212" spans="1:19">
      <c r="A212" s="389" t="s">
        <v>8839</v>
      </c>
      <c r="B212" s="391" t="str">
        <f t="shared" si="6"/>
        <v>LCP-240190-EX</v>
      </c>
      <c r="C212" s="389" t="str">
        <f t="shared" si="7"/>
        <v>fevereiro</v>
      </c>
      <c r="D212" s="389" t="s">
        <v>2925</v>
      </c>
      <c r="E212" s="391">
        <v>45695</v>
      </c>
      <c r="F212" s="389" t="s">
        <v>8840</v>
      </c>
      <c r="G212" s="389" t="s">
        <v>2916</v>
      </c>
      <c r="H212" s="389" t="s">
        <v>8841</v>
      </c>
      <c r="I212" s="398">
        <v>1</v>
      </c>
      <c r="J212" s="390">
        <v>1720.33</v>
      </c>
      <c r="K212" s="389" t="s">
        <v>2917</v>
      </c>
      <c r="L212" s="390">
        <v>10004.85</v>
      </c>
      <c r="M212" s="389" t="s">
        <v>2918</v>
      </c>
      <c r="N212" s="389" t="s">
        <v>3315</v>
      </c>
      <c r="O212" s="389" t="s">
        <v>3315</v>
      </c>
      <c r="P212" s="389" t="s">
        <v>2924</v>
      </c>
      <c r="Q212" s="389" t="s">
        <v>3219</v>
      </c>
      <c r="R212" s="389" t="s">
        <v>2208</v>
      </c>
      <c r="S212" s="389" t="s">
        <v>2208</v>
      </c>
    </row>
    <row r="213" spans="1:19">
      <c r="A213" s="389" t="s">
        <v>8839</v>
      </c>
      <c r="B213" s="391" t="str">
        <f t="shared" si="6"/>
        <v>LCP-240190-EX</v>
      </c>
      <c r="C213" s="389" t="str">
        <f t="shared" si="7"/>
        <v>fevereiro</v>
      </c>
      <c r="D213" s="389" t="s">
        <v>2925</v>
      </c>
      <c r="E213" s="391">
        <v>45695</v>
      </c>
      <c r="F213" s="389" t="s">
        <v>8840</v>
      </c>
      <c r="G213" s="389" t="s">
        <v>2916</v>
      </c>
      <c r="H213" s="389" t="s">
        <v>8842</v>
      </c>
      <c r="I213" s="398">
        <v>1</v>
      </c>
      <c r="J213" s="390">
        <v>1720.33</v>
      </c>
      <c r="K213" s="389" t="s">
        <v>2917</v>
      </c>
      <c r="L213" s="390">
        <v>10004.85</v>
      </c>
      <c r="M213" s="389" t="s">
        <v>2918</v>
      </c>
      <c r="N213" s="389" t="s">
        <v>3315</v>
      </c>
      <c r="O213" s="389" t="s">
        <v>3315</v>
      </c>
      <c r="P213" s="389" t="s">
        <v>2924</v>
      </c>
      <c r="Q213" s="389" t="s">
        <v>3219</v>
      </c>
      <c r="R213" s="389" t="s">
        <v>2208</v>
      </c>
      <c r="S213" s="389" t="s">
        <v>2208</v>
      </c>
    </row>
    <row r="214" spans="1:19">
      <c r="A214" s="389" t="s">
        <v>8839</v>
      </c>
      <c r="B214" s="391" t="str">
        <f t="shared" si="6"/>
        <v>LCP-240190-EX</v>
      </c>
      <c r="C214" s="389" t="str">
        <f t="shared" si="7"/>
        <v>fevereiro</v>
      </c>
      <c r="D214" s="389" t="s">
        <v>2925</v>
      </c>
      <c r="E214" s="391">
        <v>45695</v>
      </c>
      <c r="F214" s="389" t="s">
        <v>8840</v>
      </c>
      <c r="G214" s="389" t="s">
        <v>2916</v>
      </c>
      <c r="H214" s="389" t="s">
        <v>8843</v>
      </c>
      <c r="I214" s="398">
        <v>1</v>
      </c>
      <c r="J214" s="390">
        <v>1720.33</v>
      </c>
      <c r="K214" s="389" t="s">
        <v>2917</v>
      </c>
      <c r="L214" s="390">
        <v>10004.85</v>
      </c>
      <c r="M214" s="389" t="s">
        <v>2918</v>
      </c>
      <c r="N214" s="389" t="s">
        <v>3315</v>
      </c>
      <c r="O214" s="389" t="s">
        <v>3315</v>
      </c>
      <c r="P214" s="389" t="s">
        <v>2924</v>
      </c>
      <c r="Q214" s="389" t="s">
        <v>3219</v>
      </c>
      <c r="R214" s="389" t="s">
        <v>2208</v>
      </c>
      <c r="S214" s="389" t="s">
        <v>2208</v>
      </c>
    </row>
    <row r="215" spans="1:19">
      <c r="A215" s="389" t="s">
        <v>8839</v>
      </c>
      <c r="B215" s="391" t="str">
        <f t="shared" si="6"/>
        <v>LCP-240190-EX</v>
      </c>
      <c r="C215" s="389" t="str">
        <f t="shared" si="7"/>
        <v>fevereiro</v>
      </c>
      <c r="D215" s="389" t="s">
        <v>2925</v>
      </c>
      <c r="E215" s="391">
        <v>45695</v>
      </c>
      <c r="F215" s="389" t="s">
        <v>8840</v>
      </c>
      <c r="G215" s="389" t="s">
        <v>2916</v>
      </c>
      <c r="H215" s="389" t="s">
        <v>8844</v>
      </c>
      <c r="I215" s="398">
        <v>1</v>
      </c>
      <c r="J215" s="390">
        <v>1720.33</v>
      </c>
      <c r="K215" s="389" t="s">
        <v>2917</v>
      </c>
      <c r="L215" s="390">
        <v>10004.85</v>
      </c>
      <c r="M215" s="389" t="s">
        <v>2918</v>
      </c>
      <c r="N215" s="389" t="s">
        <v>3315</v>
      </c>
      <c r="O215" s="389" t="s">
        <v>3315</v>
      </c>
      <c r="P215" s="389" t="s">
        <v>2924</v>
      </c>
      <c r="Q215" s="389" t="s">
        <v>3219</v>
      </c>
      <c r="R215" s="389" t="s">
        <v>2208</v>
      </c>
      <c r="S215" s="389" t="s">
        <v>2208</v>
      </c>
    </row>
    <row r="216" spans="1:19">
      <c r="A216" s="389" t="s">
        <v>8839</v>
      </c>
      <c r="B216" s="391" t="str">
        <f t="shared" si="6"/>
        <v>LCP-240190-EX</v>
      </c>
      <c r="C216" s="389" t="str">
        <f t="shared" si="7"/>
        <v>fevereiro</v>
      </c>
      <c r="D216" s="389" t="s">
        <v>2925</v>
      </c>
      <c r="E216" s="391">
        <v>45700</v>
      </c>
      <c r="F216" s="389" t="s">
        <v>8840</v>
      </c>
      <c r="G216" s="389" t="s">
        <v>2916</v>
      </c>
      <c r="H216" s="389" t="s">
        <v>8845</v>
      </c>
      <c r="I216" s="398">
        <v>1</v>
      </c>
      <c r="J216" s="390">
        <v>1720.33</v>
      </c>
      <c r="K216" s="389" t="s">
        <v>2917</v>
      </c>
      <c r="L216" s="390">
        <v>10004.85</v>
      </c>
      <c r="M216" s="389" t="s">
        <v>2918</v>
      </c>
      <c r="N216" s="389" t="s">
        <v>3315</v>
      </c>
      <c r="O216" s="389" t="s">
        <v>3315</v>
      </c>
      <c r="P216" s="389" t="s">
        <v>2924</v>
      </c>
      <c r="Q216" s="389" t="s">
        <v>3219</v>
      </c>
      <c r="R216" s="389" t="s">
        <v>2208</v>
      </c>
      <c r="S216" s="389" t="s">
        <v>2208</v>
      </c>
    </row>
    <row r="217" spans="1:19">
      <c r="A217" s="389" t="s">
        <v>8839</v>
      </c>
      <c r="B217" s="391" t="str">
        <f t="shared" si="6"/>
        <v>LCP-240190-EX</v>
      </c>
      <c r="C217" s="389" t="str">
        <f t="shared" si="7"/>
        <v>fevereiro</v>
      </c>
      <c r="D217" s="389" t="s">
        <v>2925</v>
      </c>
      <c r="E217" s="391">
        <v>45700</v>
      </c>
      <c r="F217" s="389" t="s">
        <v>8840</v>
      </c>
      <c r="G217" s="389" t="s">
        <v>2916</v>
      </c>
      <c r="H217" s="389" t="s">
        <v>8846</v>
      </c>
      <c r="I217" s="398">
        <v>1</v>
      </c>
      <c r="J217" s="390">
        <v>1720.33</v>
      </c>
      <c r="K217" s="389" t="s">
        <v>2917</v>
      </c>
      <c r="L217" s="390">
        <v>10004.85</v>
      </c>
      <c r="M217" s="389" t="s">
        <v>2918</v>
      </c>
      <c r="N217" s="389" t="s">
        <v>3315</v>
      </c>
      <c r="O217" s="389" t="s">
        <v>3315</v>
      </c>
      <c r="P217" s="389" t="s">
        <v>2924</v>
      </c>
      <c r="Q217" s="389" t="s">
        <v>3219</v>
      </c>
      <c r="R217" s="389" t="s">
        <v>2208</v>
      </c>
      <c r="S217" s="389" t="s">
        <v>2208</v>
      </c>
    </row>
    <row r="218" spans="1:19">
      <c r="A218" s="389" t="s">
        <v>8839</v>
      </c>
      <c r="B218" s="391" t="str">
        <f t="shared" si="6"/>
        <v>LCP-240190-EX</v>
      </c>
      <c r="C218" s="389" t="str">
        <f t="shared" si="7"/>
        <v>fevereiro</v>
      </c>
      <c r="D218" s="389" t="s">
        <v>2925</v>
      </c>
      <c r="E218" s="391">
        <v>45700</v>
      </c>
      <c r="F218" s="389" t="s">
        <v>8840</v>
      </c>
      <c r="G218" s="389" t="s">
        <v>2916</v>
      </c>
      <c r="H218" s="389" t="s">
        <v>8847</v>
      </c>
      <c r="I218" s="398">
        <v>1</v>
      </c>
      <c r="J218" s="390">
        <v>1720.33</v>
      </c>
      <c r="K218" s="389" t="s">
        <v>2917</v>
      </c>
      <c r="L218" s="390">
        <v>10004.85</v>
      </c>
      <c r="M218" s="389" t="s">
        <v>2918</v>
      </c>
      <c r="N218" s="389" t="s">
        <v>3315</v>
      </c>
      <c r="O218" s="389" t="s">
        <v>3315</v>
      </c>
      <c r="P218" s="389" t="s">
        <v>2924</v>
      </c>
      <c r="Q218" s="389" t="s">
        <v>3219</v>
      </c>
      <c r="R218" s="389" t="s">
        <v>2208</v>
      </c>
      <c r="S218" s="389" t="s">
        <v>2208</v>
      </c>
    </row>
    <row r="219" spans="1:19">
      <c r="A219" s="389" t="s">
        <v>8839</v>
      </c>
      <c r="B219" s="391" t="str">
        <f t="shared" si="6"/>
        <v>LCP-240190-EX</v>
      </c>
      <c r="C219" s="389" t="str">
        <f t="shared" si="7"/>
        <v>fevereiro</v>
      </c>
      <c r="D219" s="389" t="s">
        <v>2925</v>
      </c>
      <c r="E219" s="391">
        <v>45700</v>
      </c>
      <c r="F219" s="389" t="s">
        <v>8840</v>
      </c>
      <c r="G219" s="389" t="s">
        <v>2916</v>
      </c>
      <c r="H219" s="389" t="s">
        <v>8848</v>
      </c>
      <c r="I219" s="398">
        <v>1</v>
      </c>
      <c r="J219" s="390">
        <v>1720.33</v>
      </c>
      <c r="K219" s="389" t="s">
        <v>2917</v>
      </c>
      <c r="L219" s="390">
        <v>10004.85</v>
      </c>
      <c r="M219" s="389" t="s">
        <v>2918</v>
      </c>
      <c r="N219" s="389" t="s">
        <v>3315</v>
      </c>
      <c r="O219" s="389" t="s">
        <v>3315</v>
      </c>
      <c r="P219" s="389" t="s">
        <v>2924</v>
      </c>
      <c r="Q219" s="389" t="s">
        <v>3219</v>
      </c>
      <c r="R219" s="389" t="s">
        <v>2208</v>
      </c>
      <c r="S219" s="389" t="s">
        <v>2208</v>
      </c>
    </row>
    <row r="220" spans="1:19">
      <c r="A220" s="389" t="s">
        <v>8839</v>
      </c>
      <c r="B220" s="391" t="str">
        <f t="shared" si="6"/>
        <v>LCP-240190-EX</v>
      </c>
      <c r="C220" s="389" t="str">
        <f t="shared" si="7"/>
        <v>fevereiro</v>
      </c>
      <c r="D220" s="389" t="s">
        <v>2925</v>
      </c>
      <c r="E220" s="391">
        <v>45706</v>
      </c>
      <c r="F220" s="389" t="s">
        <v>8840</v>
      </c>
      <c r="G220" s="389" t="s">
        <v>2916</v>
      </c>
      <c r="H220" s="389" t="s">
        <v>8849</v>
      </c>
      <c r="I220" s="398">
        <v>0</v>
      </c>
      <c r="J220" s="390">
        <v>-159.13</v>
      </c>
      <c r="K220" s="389" t="s">
        <v>2917</v>
      </c>
      <c r="L220" s="390">
        <v>-925.45</v>
      </c>
      <c r="M220" s="389" t="s">
        <v>2918</v>
      </c>
      <c r="N220" s="389" t="s">
        <v>8850</v>
      </c>
      <c r="O220" s="389" t="s">
        <v>3315</v>
      </c>
      <c r="P220" s="389" t="s">
        <v>2924</v>
      </c>
      <c r="Q220" s="389" t="s">
        <v>3219</v>
      </c>
      <c r="R220" s="389" t="s">
        <v>2208</v>
      </c>
      <c r="S220" s="389" t="s">
        <v>2208</v>
      </c>
    </row>
    <row r="221" spans="1:19">
      <c r="A221" s="389" t="s">
        <v>8839</v>
      </c>
      <c r="B221" s="391" t="str">
        <f t="shared" si="6"/>
        <v>LCP-240190-EX</v>
      </c>
      <c r="C221" s="389" t="str">
        <f t="shared" si="7"/>
        <v>fevereiro</v>
      </c>
      <c r="D221" s="389" t="s">
        <v>2925</v>
      </c>
      <c r="E221" s="391">
        <v>45706</v>
      </c>
      <c r="F221" s="389" t="s">
        <v>8840</v>
      </c>
      <c r="G221" s="389" t="s">
        <v>2916</v>
      </c>
      <c r="H221" s="389" t="s">
        <v>8851</v>
      </c>
      <c r="I221" s="398">
        <v>0</v>
      </c>
      <c r="J221" s="390">
        <v>-159.13</v>
      </c>
      <c r="K221" s="389" t="s">
        <v>2917</v>
      </c>
      <c r="L221" s="390">
        <v>-925.45</v>
      </c>
      <c r="M221" s="389" t="s">
        <v>2918</v>
      </c>
      <c r="N221" s="389" t="s">
        <v>8852</v>
      </c>
      <c r="O221" s="389" t="s">
        <v>3315</v>
      </c>
      <c r="P221" s="389" t="s">
        <v>2924</v>
      </c>
      <c r="Q221" s="389" t="s">
        <v>3219</v>
      </c>
      <c r="R221" s="389" t="s">
        <v>2208</v>
      </c>
      <c r="S221" s="389" t="s">
        <v>2208</v>
      </c>
    </row>
    <row r="222" spans="1:19">
      <c r="A222" s="389" t="s">
        <v>8839</v>
      </c>
      <c r="B222" s="391" t="str">
        <f t="shared" si="6"/>
        <v>LCP-240190-EX</v>
      </c>
      <c r="C222" s="389" t="str">
        <f t="shared" si="7"/>
        <v>fevereiro</v>
      </c>
      <c r="D222" s="389" t="s">
        <v>2925</v>
      </c>
      <c r="E222" s="391">
        <v>45706</v>
      </c>
      <c r="F222" s="389" t="s">
        <v>8840</v>
      </c>
      <c r="G222" s="389" t="s">
        <v>2916</v>
      </c>
      <c r="H222" s="389" t="s">
        <v>8853</v>
      </c>
      <c r="I222" s="398">
        <v>0</v>
      </c>
      <c r="J222" s="390">
        <v>-159.13</v>
      </c>
      <c r="K222" s="389" t="s">
        <v>2917</v>
      </c>
      <c r="L222" s="390">
        <v>-925.45</v>
      </c>
      <c r="M222" s="389" t="s">
        <v>2918</v>
      </c>
      <c r="N222" s="389" t="s">
        <v>8854</v>
      </c>
      <c r="O222" s="389" t="s">
        <v>3315</v>
      </c>
      <c r="P222" s="389" t="s">
        <v>2924</v>
      </c>
      <c r="Q222" s="389" t="s">
        <v>3219</v>
      </c>
      <c r="R222" s="389" t="s">
        <v>2208</v>
      </c>
      <c r="S222" s="389" t="s">
        <v>2208</v>
      </c>
    </row>
    <row r="223" spans="1:19">
      <c r="A223" s="389" t="s">
        <v>8839</v>
      </c>
      <c r="B223" s="391" t="str">
        <f t="shared" si="6"/>
        <v>LCP-240190-EX</v>
      </c>
      <c r="C223" s="389" t="str">
        <f t="shared" si="7"/>
        <v>fevereiro</v>
      </c>
      <c r="D223" s="389" t="s">
        <v>2925</v>
      </c>
      <c r="E223" s="391">
        <v>45706</v>
      </c>
      <c r="F223" s="389" t="s">
        <v>8840</v>
      </c>
      <c r="G223" s="389" t="s">
        <v>2916</v>
      </c>
      <c r="H223" s="389" t="s">
        <v>8855</v>
      </c>
      <c r="I223" s="398">
        <v>0</v>
      </c>
      <c r="J223" s="390">
        <v>-159.13</v>
      </c>
      <c r="K223" s="389" t="s">
        <v>2917</v>
      </c>
      <c r="L223" s="390">
        <v>-925.45</v>
      </c>
      <c r="M223" s="389" t="s">
        <v>2918</v>
      </c>
      <c r="N223" s="389" t="s">
        <v>8856</v>
      </c>
      <c r="O223" s="389" t="s">
        <v>3315</v>
      </c>
      <c r="P223" s="389" t="s">
        <v>2924</v>
      </c>
      <c r="Q223" s="389" t="s">
        <v>3219</v>
      </c>
      <c r="R223" s="389" t="s">
        <v>2208</v>
      </c>
      <c r="S223" s="389" t="s">
        <v>2208</v>
      </c>
    </row>
    <row r="224" spans="1:19">
      <c r="A224" s="389" t="s">
        <v>8839</v>
      </c>
      <c r="B224" s="391" t="str">
        <f t="shared" si="6"/>
        <v>LCP-240190-EX</v>
      </c>
      <c r="C224" s="389" t="str">
        <f t="shared" si="7"/>
        <v>fevereiro</v>
      </c>
      <c r="D224" s="389" t="s">
        <v>2925</v>
      </c>
      <c r="E224" s="391">
        <v>45706</v>
      </c>
      <c r="F224" s="389" t="s">
        <v>8840</v>
      </c>
      <c r="G224" s="389" t="s">
        <v>2916</v>
      </c>
      <c r="H224" s="389" t="s">
        <v>8857</v>
      </c>
      <c r="I224" s="398">
        <v>0</v>
      </c>
      <c r="J224" s="390">
        <v>-159.13</v>
      </c>
      <c r="K224" s="389" t="s">
        <v>2917</v>
      </c>
      <c r="L224" s="390">
        <v>-925.45</v>
      </c>
      <c r="M224" s="389" t="s">
        <v>2918</v>
      </c>
      <c r="N224" s="389" t="s">
        <v>8858</v>
      </c>
      <c r="O224" s="389" t="s">
        <v>3315</v>
      </c>
      <c r="P224" s="389" t="s">
        <v>2924</v>
      </c>
      <c r="Q224" s="389" t="s">
        <v>3219</v>
      </c>
      <c r="R224" s="389" t="s">
        <v>2208</v>
      </c>
      <c r="S224" s="389" t="s">
        <v>2208</v>
      </c>
    </row>
    <row r="225" spans="1:19">
      <c r="A225" s="389" t="s">
        <v>8839</v>
      </c>
      <c r="B225" s="391" t="str">
        <f t="shared" si="6"/>
        <v>LCP-240190-EX</v>
      </c>
      <c r="C225" s="389" t="str">
        <f t="shared" si="7"/>
        <v>fevereiro</v>
      </c>
      <c r="D225" s="389" t="s">
        <v>2925</v>
      </c>
      <c r="E225" s="391">
        <v>45706</v>
      </c>
      <c r="F225" s="389" t="s">
        <v>8840</v>
      </c>
      <c r="G225" s="389" t="s">
        <v>2916</v>
      </c>
      <c r="H225" s="389" t="s">
        <v>8859</v>
      </c>
      <c r="I225" s="398">
        <v>0</v>
      </c>
      <c r="J225" s="390">
        <v>-159.13</v>
      </c>
      <c r="K225" s="389" t="s">
        <v>2917</v>
      </c>
      <c r="L225" s="390">
        <v>-925.45</v>
      </c>
      <c r="M225" s="389" t="s">
        <v>2918</v>
      </c>
      <c r="N225" s="389" t="s">
        <v>8860</v>
      </c>
      <c r="O225" s="389" t="s">
        <v>3315</v>
      </c>
      <c r="P225" s="389" t="s">
        <v>2924</v>
      </c>
      <c r="Q225" s="389" t="s">
        <v>3219</v>
      </c>
      <c r="R225" s="389" t="s">
        <v>2208</v>
      </c>
      <c r="S225" s="389" t="s">
        <v>2208</v>
      </c>
    </row>
    <row r="226" spans="1:19">
      <c r="A226" s="389" t="s">
        <v>8839</v>
      </c>
      <c r="B226" s="391" t="str">
        <f t="shared" si="6"/>
        <v>LCP-240190-EX</v>
      </c>
      <c r="C226" s="389" t="str">
        <f t="shared" si="7"/>
        <v>fevereiro</v>
      </c>
      <c r="D226" s="389" t="s">
        <v>2925</v>
      </c>
      <c r="E226" s="391">
        <v>45706</v>
      </c>
      <c r="F226" s="389" t="s">
        <v>8840</v>
      </c>
      <c r="G226" s="389" t="s">
        <v>2916</v>
      </c>
      <c r="H226" s="389" t="s">
        <v>8861</v>
      </c>
      <c r="I226" s="398">
        <v>0</v>
      </c>
      <c r="J226" s="390">
        <v>-159.13</v>
      </c>
      <c r="K226" s="389" t="s">
        <v>2917</v>
      </c>
      <c r="L226" s="390">
        <v>-925.45</v>
      </c>
      <c r="M226" s="389" t="s">
        <v>2918</v>
      </c>
      <c r="N226" s="389" t="s">
        <v>8862</v>
      </c>
      <c r="O226" s="389" t="s">
        <v>3315</v>
      </c>
      <c r="P226" s="389" t="s">
        <v>2924</v>
      </c>
      <c r="Q226" s="389" t="s">
        <v>3219</v>
      </c>
      <c r="R226" s="389" t="s">
        <v>2208</v>
      </c>
      <c r="S226" s="389" t="s">
        <v>2208</v>
      </c>
    </row>
    <row r="227" spans="1:19">
      <c r="A227" s="389" t="s">
        <v>8839</v>
      </c>
      <c r="B227" s="391" t="str">
        <f t="shared" si="6"/>
        <v>LCP-240190-EX</v>
      </c>
      <c r="C227" s="389" t="str">
        <f t="shared" si="7"/>
        <v>fevereiro</v>
      </c>
      <c r="D227" s="389" t="s">
        <v>2925</v>
      </c>
      <c r="E227" s="391">
        <v>45706</v>
      </c>
      <c r="F227" s="389" t="s">
        <v>8840</v>
      </c>
      <c r="G227" s="389" t="s">
        <v>2916</v>
      </c>
      <c r="H227" s="389" t="s">
        <v>8863</v>
      </c>
      <c r="I227" s="398">
        <v>0</v>
      </c>
      <c r="J227" s="390">
        <v>-159.13</v>
      </c>
      <c r="K227" s="389" t="s">
        <v>2917</v>
      </c>
      <c r="L227" s="390">
        <v>-925.45</v>
      </c>
      <c r="M227" s="389" t="s">
        <v>2918</v>
      </c>
      <c r="N227" s="389" t="s">
        <v>8864</v>
      </c>
      <c r="O227" s="389" t="s">
        <v>3315</v>
      </c>
      <c r="P227" s="389" t="s">
        <v>2924</v>
      </c>
      <c r="Q227" s="389" t="s">
        <v>3219</v>
      </c>
      <c r="R227" s="389" t="s">
        <v>2208</v>
      </c>
      <c r="S227" s="389" t="s">
        <v>2208</v>
      </c>
    </row>
    <row r="228" spans="1:19">
      <c r="A228" s="389" t="s">
        <v>8839</v>
      </c>
      <c r="B228" s="391" t="str">
        <f t="shared" si="6"/>
        <v>LCP-240190-EX</v>
      </c>
      <c r="C228" s="389" t="str">
        <f t="shared" si="7"/>
        <v>fevereiro</v>
      </c>
      <c r="D228" s="389" t="s">
        <v>2925</v>
      </c>
      <c r="E228" s="391">
        <v>45708</v>
      </c>
      <c r="F228" s="389" t="s">
        <v>8865</v>
      </c>
      <c r="G228" s="389" t="s">
        <v>2916</v>
      </c>
      <c r="H228" s="389" t="s">
        <v>8866</v>
      </c>
      <c r="I228" s="398">
        <v>1</v>
      </c>
      <c r="J228" s="390">
        <v>1720.33</v>
      </c>
      <c r="K228" s="389" t="s">
        <v>2917</v>
      </c>
      <c r="L228" s="390">
        <v>10004.85</v>
      </c>
      <c r="M228" s="389" t="s">
        <v>2918</v>
      </c>
      <c r="N228" s="389" t="s">
        <v>3315</v>
      </c>
      <c r="O228" s="389" t="s">
        <v>3315</v>
      </c>
      <c r="P228" s="389" t="s">
        <v>2924</v>
      </c>
      <c r="Q228" s="389" t="s">
        <v>3219</v>
      </c>
      <c r="R228" s="389" t="s">
        <v>2208</v>
      </c>
      <c r="S228" s="389" t="s">
        <v>2208</v>
      </c>
    </row>
    <row r="229" spans="1:19">
      <c r="A229" s="389" t="s">
        <v>8839</v>
      </c>
      <c r="B229" s="391" t="str">
        <f t="shared" si="6"/>
        <v>LCP-240190-EX</v>
      </c>
      <c r="C229" s="389" t="str">
        <f t="shared" si="7"/>
        <v>fevereiro</v>
      </c>
      <c r="D229" s="389" t="s">
        <v>2925</v>
      </c>
      <c r="E229" s="391">
        <v>45708</v>
      </c>
      <c r="F229" s="389" t="s">
        <v>8865</v>
      </c>
      <c r="G229" s="389" t="s">
        <v>2916</v>
      </c>
      <c r="H229" s="389" t="s">
        <v>8867</v>
      </c>
      <c r="I229" s="398">
        <v>1</v>
      </c>
      <c r="J229" s="390">
        <v>1720.33</v>
      </c>
      <c r="K229" s="389" t="s">
        <v>2917</v>
      </c>
      <c r="L229" s="390">
        <v>10004.85</v>
      </c>
      <c r="M229" s="389" t="s">
        <v>2918</v>
      </c>
      <c r="N229" s="389" t="s">
        <v>3315</v>
      </c>
      <c r="O229" s="389" t="s">
        <v>3315</v>
      </c>
      <c r="P229" s="389" t="s">
        <v>2924</v>
      </c>
      <c r="Q229" s="389" t="s">
        <v>3219</v>
      </c>
      <c r="R229" s="389" t="s">
        <v>2208</v>
      </c>
      <c r="S229" s="389" t="s">
        <v>2208</v>
      </c>
    </row>
    <row r="230" spans="1:19">
      <c r="A230" s="389" t="s">
        <v>8839</v>
      </c>
      <c r="B230" s="391" t="str">
        <f t="shared" si="6"/>
        <v>LCP-240190-EX</v>
      </c>
      <c r="C230" s="389" t="str">
        <f t="shared" si="7"/>
        <v>fevereiro</v>
      </c>
      <c r="D230" s="389" t="s">
        <v>2925</v>
      </c>
      <c r="E230" s="391">
        <v>45709</v>
      </c>
      <c r="F230" s="389" t="s">
        <v>8865</v>
      </c>
      <c r="G230" s="389" t="s">
        <v>2916</v>
      </c>
      <c r="H230" s="389" t="s">
        <v>8868</v>
      </c>
      <c r="I230" s="398">
        <v>0</v>
      </c>
      <c r="J230" s="390">
        <v>-159.13</v>
      </c>
      <c r="K230" s="389" t="s">
        <v>2917</v>
      </c>
      <c r="L230" s="390">
        <v>-925.45</v>
      </c>
      <c r="M230" s="389" t="s">
        <v>2918</v>
      </c>
      <c r="N230" s="389" t="s">
        <v>8869</v>
      </c>
      <c r="O230" s="389" t="s">
        <v>3315</v>
      </c>
      <c r="P230" s="389" t="s">
        <v>2924</v>
      </c>
      <c r="Q230" s="389" t="s">
        <v>3219</v>
      </c>
      <c r="R230" s="389" t="s">
        <v>2208</v>
      </c>
      <c r="S230" s="389" t="s">
        <v>2208</v>
      </c>
    </row>
    <row r="231" spans="1:19">
      <c r="A231" s="389" t="s">
        <v>8839</v>
      </c>
      <c r="B231" s="391" t="str">
        <f t="shared" si="6"/>
        <v>LCP-240190-EX</v>
      </c>
      <c r="C231" s="389" t="str">
        <f t="shared" si="7"/>
        <v>fevereiro</v>
      </c>
      <c r="D231" s="389" t="s">
        <v>2925</v>
      </c>
      <c r="E231" s="391">
        <v>45709</v>
      </c>
      <c r="F231" s="389" t="s">
        <v>8865</v>
      </c>
      <c r="G231" s="389" t="s">
        <v>2916</v>
      </c>
      <c r="H231" s="389" t="s">
        <v>8870</v>
      </c>
      <c r="I231" s="398">
        <v>0</v>
      </c>
      <c r="J231" s="390">
        <v>-159.13</v>
      </c>
      <c r="K231" s="389" t="s">
        <v>2917</v>
      </c>
      <c r="L231" s="390">
        <v>-925.45</v>
      </c>
      <c r="M231" s="389" t="s">
        <v>2918</v>
      </c>
      <c r="N231" s="389" t="s">
        <v>8871</v>
      </c>
      <c r="O231" s="389" t="s">
        <v>3315</v>
      </c>
      <c r="P231" s="389" t="s">
        <v>2924</v>
      </c>
      <c r="Q231" s="389" t="s">
        <v>3219</v>
      </c>
      <c r="R231" s="389" t="s">
        <v>2208</v>
      </c>
      <c r="S231" s="389" t="s">
        <v>2208</v>
      </c>
    </row>
    <row r="232" spans="1:19">
      <c r="A232" s="389" t="s">
        <v>8839</v>
      </c>
      <c r="B232" s="391" t="str">
        <f t="shared" si="6"/>
        <v>LCP-240190-EX</v>
      </c>
      <c r="C232" s="389" t="str">
        <f t="shared" si="7"/>
        <v>fevereiro</v>
      </c>
      <c r="D232" s="389" t="s">
        <v>2925</v>
      </c>
      <c r="E232" s="391">
        <v>45712</v>
      </c>
      <c r="F232" s="389" t="s">
        <v>8872</v>
      </c>
      <c r="G232" s="389" t="s">
        <v>2916</v>
      </c>
      <c r="H232" s="389" t="s">
        <v>8873</v>
      </c>
      <c r="I232" s="398">
        <v>1</v>
      </c>
      <c r="J232" s="390">
        <v>1720.33</v>
      </c>
      <c r="K232" s="389" t="s">
        <v>2917</v>
      </c>
      <c r="L232" s="390">
        <v>10004.85</v>
      </c>
      <c r="M232" s="389" t="s">
        <v>2918</v>
      </c>
      <c r="N232" s="389" t="s">
        <v>3315</v>
      </c>
      <c r="O232" s="389" t="s">
        <v>3315</v>
      </c>
      <c r="P232" s="389" t="s">
        <v>2924</v>
      </c>
      <c r="Q232" s="389" t="s">
        <v>3219</v>
      </c>
      <c r="R232" s="389" t="s">
        <v>2208</v>
      </c>
      <c r="S232" s="389" t="s">
        <v>2208</v>
      </c>
    </row>
    <row r="233" spans="1:19">
      <c r="A233" s="389" t="s">
        <v>8839</v>
      </c>
      <c r="B233" s="391" t="str">
        <f t="shared" si="6"/>
        <v>LCP-240190-EX</v>
      </c>
      <c r="C233" s="389" t="str">
        <f t="shared" si="7"/>
        <v>fevereiro</v>
      </c>
      <c r="D233" s="389" t="s">
        <v>2925</v>
      </c>
      <c r="E233" s="391">
        <v>45712</v>
      </c>
      <c r="F233" s="389" t="s">
        <v>8872</v>
      </c>
      <c r="G233" s="389" t="s">
        <v>2916</v>
      </c>
      <c r="H233" s="389" t="s">
        <v>8874</v>
      </c>
      <c r="I233" s="398">
        <v>1</v>
      </c>
      <c r="J233" s="390">
        <v>1720.33</v>
      </c>
      <c r="K233" s="389" t="s">
        <v>2917</v>
      </c>
      <c r="L233" s="390">
        <v>10004.85</v>
      </c>
      <c r="M233" s="389" t="s">
        <v>2918</v>
      </c>
      <c r="N233" s="389" t="s">
        <v>3315</v>
      </c>
      <c r="O233" s="389" t="s">
        <v>3315</v>
      </c>
      <c r="P233" s="389" t="s">
        <v>2924</v>
      </c>
      <c r="Q233" s="389" t="s">
        <v>3219</v>
      </c>
      <c r="R233" s="389" t="s">
        <v>2208</v>
      </c>
      <c r="S233" s="389" t="s">
        <v>2208</v>
      </c>
    </row>
    <row r="234" spans="1:19">
      <c r="A234" s="389" t="s">
        <v>8839</v>
      </c>
      <c r="B234" s="391" t="str">
        <f t="shared" si="6"/>
        <v>LCP-240190-EX</v>
      </c>
      <c r="C234" s="389" t="str">
        <f t="shared" si="7"/>
        <v>fevereiro</v>
      </c>
      <c r="D234" s="389" t="s">
        <v>2925</v>
      </c>
      <c r="E234" s="391">
        <v>45712</v>
      </c>
      <c r="F234" s="389" t="s">
        <v>8872</v>
      </c>
      <c r="G234" s="389" t="s">
        <v>2916</v>
      </c>
      <c r="H234" s="389" t="s">
        <v>8875</v>
      </c>
      <c r="I234" s="398">
        <v>1</v>
      </c>
      <c r="J234" s="390">
        <v>1720.33</v>
      </c>
      <c r="K234" s="389" t="s">
        <v>2917</v>
      </c>
      <c r="L234" s="390">
        <v>10004.85</v>
      </c>
      <c r="M234" s="389" t="s">
        <v>2918</v>
      </c>
      <c r="N234" s="389" t="s">
        <v>3315</v>
      </c>
      <c r="O234" s="389" t="s">
        <v>3315</v>
      </c>
      <c r="P234" s="389" t="s">
        <v>2924</v>
      </c>
      <c r="Q234" s="389" t="s">
        <v>3219</v>
      </c>
      <c r="R234" s="389" t="s">
        <v>2208</v>
      </c>
      <c r="S234" s="389" t="s">
        <v>2208</v>
      </c>
    </row>
    <row r="235" spans="1:19">
      <c r="A235" s="389" t="s">
        <v>8839</v>
      </c>
      <c r="B235" s="391" t="str">
        <f t="shared" si="6"/>
        <v>LCP-240190-EX</v>
      </c>
      <c r="C235" s="389" t="str">
        <f t="shared" si="7"/>
        <v>fevereiro</v>
      </c>
      <c r="D235" s="389" t="s">
        <v>2925</v>
      </c>
      <c r="E235" s="391">
        <v>45712</v>
      </c>
      <c r="F235" s="389" t="s">
        <v>8872</v>
      </c>
      <c r="G235" s="389" t="s">
        <v>2916</v>
      </c>
      <c r="H235" s="389" t="s">
        <v>8876</v>
      </c>
      <c r="I235" s="398">
        <v>1</v>
      </c>
      <c r="J235" s="390">
        <v>1720.33</v>
      </c>
      <c r="K235" s="389" t="s">
        <v>2917</v>
      </c>
      <c r="L235" s="390">
        <v>10004.85</v>
      </c>
      <c r="M235" s="389" t="s">
        <v>2918</v>
      </c>
      <c r="N235" s="389" t="s">
        <v>3315</v>
      </c>
      <c r="O235" s="389" t="s">
        <v>3315</v>
      </c>
      <c r="P235" s="389" t="s">
        <v>2924</v>
      </c>
      <c r="Q235" s="389" t="s">
        <v>3219</v>
      </c>
      <c r="R235" s="389" t="s">
        <v>2208</v>
      </c>
      <c r="S235" s="389" t="s">
        <v>2208</v>
      </c>
    </row>
    <row r="236" spans="1:19">
      <c r="A236" s="389" t="s">
        <v>8839</v>
      </c>
      <c r="B236" s="391" t="str">
        <f t="shared" si="6"/>
        <v>LCP-240190-EX</v>
      </c>
      <c r="C236" s="389" t="str">
        <f t="shared" si="7"/>
        <v>fevereiro</v>
      </c>
      <c r="D236" s="389" t="s">
        <v>2925</v>
      </c>
      <c r="E236" s="391">
        <v>45713</v>
      </c>
      <c r="F236" s="389" t="s">
        <v>8872</v>
      </c>
      <c r="G236" s="389" t="s">
        <v>2916</v>
      </c>
      <c r="H236" s="389" t="s">
        <v>8928</v>
      </c>
      <c r="I236" s="398">
        <v>0</v>
      </c>
      <c r="J236" s="390">
        <v>-159.13</v>
      </c>
      <c r="K236" s="389" t="s">
        <v>2917</v>
      </c>
      <c r="L236" s="390">
        <v>-925.45</v>
      </c>
      <c r="M236" s="389" t="s">
        <v>2918</v>
      </c>
      <c r="N236" s="389" t="s">
        <v>8929</v>
      </c>
      <c r="O236" s="389" t="s">
        <v>3315</v>
      </c>
      <c r="P236" s="389" t="s">
        <v>2924</v>
      </c>
      <c r="Q236" s="389" t="s">
        <v>3219</v>
      </c>
      <c r="R236" s="389" t="s">
        <v>2208</v>
      </c>
      <c r="S236" s="389" t="s">
        <v>2208</v>
      </c>
    </row>
    <row r="237" spans="1:19">
      <c r="A237" s="389" t="s">
        <v>8839</v>
      </c>
      <c r="B237" s="391" t="str">
        <f t="shared" si="6"/>
        <v>LCP-240190-EX</v>
      </c>
      <c r="C237" s="389" t="str">
        <f t="shared" si="7"/>
        <v>fevereiro</v>
      </c>
      <c r="D237" s="389" t="s">
        <v>2925</v>
      </c>
      <c r="E237" s="391">
        <v>45716</v>
      </c>
      <c r="F237" s="389" t="s">
        <v>2208</v>
      </c>
      <c r="G237" s="389" t="s">
        <v>2916</v>
      </c>
      <c r="H237" s="389" t="s">
        <v>9595</v>
      </c>
      <c r="I237" s="393">
        <v>0</v>
      </c>
      <c r="J237" s="390">
        <v>0.05</v>
      </c>
      <c r="K237" s="389" t="s">
        <v>2917</v>
      </c>
      <c r="L237" s="390">
        <v>0</v>
      </c>
      <c r="M237" s="389" t="s">
        <v>2918</v>
      </c>
      <c r="N237" s="389" t="s">
        <v>2919</v>
      </c>
      <c r="O237" s="389" t="s">
        <v>2208</v>
      </c>
      <c r="P237" s="389" t="s">
        <v>2916</v>
      </c>
      <c r="Q237" s="389" t="s">
        <v>3220</v>
      </c>
      <c r="R237" s="389" t="s">
        <v>2208</v>
      </c>
      <c r="S237" s="389" t="s">
        <v>2208</v>
      </c>
    </row>
    <row r="238" spans="1:19">
      <c r="A238" s="389" t="s">
        <v>8839</v>
      </c>
      <c r="B238" s="391" t="str">
        <f t="shared" si="6"/>
        <v>LCP-240190-EX</v>
      </c>
      <c r="C238" s="389" t="str">
        <f t="shared" si="7"/>
        <v>março</v>
      </c>
      <c r="D238" s="389" t="s">
        <v>9127</v>
      </c>
      <c r="E238" s="391">
        <v>45721</v>
      </c>
      <c r="F238" s="389" t="s">
        <v>8872</v>
      </c>
      <c r="G238" s="389" t="s">
        <v>2916</v>
      </c>
      <c r="H238" s="389" t="s">
        <v>9596</v>
      </c>
      <c r="I238" s="398">
        <v>1</v>
      </c>
      <c r="J238" s="390">
        <v>1714.73</v>
      </c>
      <c r="K238" s="389" t="s">
        <v>2917</v>
      </c>
      <c r="L238" s="390">
        <v>10004.85</v>
      </c>
      <c r="M238" s="389" t="s">
        <v>2918</v>
      </c>
      <c r="N238" s="389" t="s">
        <v>3315</v>
      </c>
      <c r="O238" s="389" t="s">
        <v>3315</v>
      </c>
      <c r="P238" s="389" t="s">
        <v>2924</v>
      </c>
      <c r="Q238" s="389" t="s">
        <v>3219</v>
      </c>
      <c r="R238" s="389" t="s">
        <v>2208</v>
      </c>
      <c r="S238" s="389" t="s">
        <v>2208</v>
      </c>
    </row>
    <row r="239" spans="1:19">
      <c r="A239" s="389" t="s">
        <v>8839</v>
      </c>
      <c r="B239" s="391" t="str">
        <f t="shared" si="6"/>
        <v>LCP-240190-EX</v>
      </c>
      <c r="C239" s="389" t="str">
        <f t="shared" si="7"/>
        <v>março</v>
      </c>
      <c r="D239" s="389" t="s">
        <v>9127</v>
      </c>
      <c r="E239" s="391">
        <v>45721</v>
      </c>
      <c r="F239" s="389" t="s">
        <v>8872</v>
      </c>
      <c r="G239" s="389" t="s">
        <v>2916</v>
      </c>
      <c r="H239" s="389" t="s">
        <v>9597</v>
      </c>
      <c r="I239" s="398">
        <v>1</v>
      </c>
      <c r="J239" s="390">
        <v>1714.73</v>
      </c>
      <c r="K239" s="389" t="s">
        <v>2917</v>
      </c>
      <c r="L239" s="390">
        <v>10004.85</v>
      </c>
      <c r="M239" s="389" t="s">
        <v>2918</v>
      </c>
      <c r="N239" s="389" t="s">
        <v>3315</v>
      </c>
      <c r="O239" s="389" t="s">
        <v>3315</v>
      </c>
      <c r="P239" s="389" t="s">
        <v>2924</v>
      </c>
      <c r="Q239" s="389" t="s">
        <v>3219</v>
      </c>
      <c r="R239" s="389" t="s">
        <v>2208</v>
      </c>
      <c r="S239" s="389" t="s">
        <v>2208</v>
      </c>
    </row>
    <row r="240" spans="1:19">
      <c r="A240" s="389" t="s">
        <v>8839</v>
      </c>
      <c r="B240" s="391" t="str">
        <f t="shared" si="6"/>
        <v>LCP-240190-EX</v>
      </c>
      <c r="C240" s="389" t="str">
        <f t="shared" si="7"/>
        <v>março</v>
      </c>
      <c r="D240" s="389" t="s">
        <v>9127</v>
      </c>
      <c r="E240" s="391">
        <v>45721</v>
      </c>
      <c r="F240" s="389" t="s">
        <v>8872</v>
      </c>
      <c r="G240" s="389" t="s">
        <v>2916</v>
      </c>
      <c r="H240" s="389" t="s">
        <v>9598</v>
      </c>
      <c r="I240" s="398">
        <v>1</v>
      </c>
      <c r="J240" s="390">
        <v>1714.73</v>
      </c>
      <c r="K240" s="389" t="s">
        <v>2917</v>
      </c>
      <c r="L240" s="390">
        <v>10004.85</v>
      </c>
      <c r="M240" s="389" t="s">
        <v>2918</v>
      </c>
      <c r="N240" s="389" t="s">
        <v>3315</v>
      </c>
      <c r="O240" s="389" t="s">
        <v>3315</v>
      </c>
      <c r="P240" s="389" t="s">
        <v>2924</v>
      </c>
      <c r="Q240" s="389" t="s">
        <v>3219</v>
      </c>
      <c r="R240" s="389" t="s">
        <v>2208</v>
      </c>
      <c r="S240" s="389" t="s">
        <v>2208</v>
      </c>
    </row>
    <row r="241" spans="1:19">
      <c r="A241" s="389" t="s">
        <v>8839</v>
      </c>
      <c r="B241" s="391" t="str">
        <f t="shared" si="6"/>
        <v>LCP-240190-EX</v>
      </c>
      <c r="C241" s="389" t="str">
        <f t="shared" si="7"/>
        <v>março</v>
      </c>
      <c r="D241" s="389" t="s">
        <v>9127</v>
      </c>
      <c r="E241" s="391">
        <v>45721</v>
      </c>
      <c r="F241" s="389" t="s">
        <v>8872</v>
      </c>
      <c r="G241" s="389" t="s">
        <v>2916</v>
      </c>
      <c r="H241" s="389" t="s">
        <v>9599</v>
      </c>
      <c r="I241" s="398">
        <v>1</v>
      </c>
      <c r="J241" s="390">
        <v>1714.73</v>
      </c>
      <c r="K241" s="389" t="s">
        <v>2917</v>
      </c>
      <c r="L241" s="390">
        <v>10004.85</v>
      </c>
      <c r="M241" s="389" t="s">
        <v>2918</v>
      </c>
      <c r="N241" s="389" t="s">
        <v>3315</v>
      </c>
      <c r="O241" s="389" t="s">
        <v>3315</v>
      </c>
      <c r="P241" s="389" t="s">
        <v>2924</v>
      </c>
      <c r="Q241" s="389" t="s">
        <v>3219</v>
      </c>
      <c r="R241" s="389" t="s">
        <v>2208</v>
      </c>
      <c r="S241" s="389" t="s">
        <v>2208</v>
      </c>
    </row>
    <row r="242" spans="1:19">
      <c r="A242" s="389" t="s">
        <v>8839</v>
      </c>
      <c r="B242" s="391" t="str">
        <f t="shared" si="6"/>
        <v>LCP-240190-EX</v>
      </c>
      <c r="C242" s="389" t="str">
        <f t="shared" si="7"/>
        <v>março</v>
      </c>
      <c r="D242" s="389" t="s">
        <v>9127</v>
      </c>
      <c r="E242" s="391">
        <v>45721</v>
      </c>
      <c r="F242" s="389" t="s">
        <v>8865</v>
      </c>
      <c r="G242" s="389" t="s">
        <v>2916</v>
      </c>
      <c r="H242" s="389" t="s">
        <v>9600</v>
      </c>
      <c r="I242" s="398">
        <v>1</v>
      </c>
      <c r="J242" s="390">
        <v>1714.73</v>
      </c>
      <c r="K242" s="389" t="s">
        <v>2917</v>
      </c>
      <c r="L242" s="390">
        <v>10004.85</v>
      </c>
      <c r="M242" s="389" t="s">
        <v>2918</v>
      </c>
      <c r="N242" s="389" t="s">
        <v>3315</v>
      </c>
      <c r="O242" s="389" t="s">
        <v>3315</v>
      </c>
      <c r="P242" s="389" t="s">
        <v>2924</v>
      </c>
      <c r="Q242" s="389" t="s">
        <v>3219</v>
      </c>
      <c r="R242" s="389" t="s">
        <v>2208</v>
      </c>
      <c r="S242" s="389" t="s">
        <v>2208</v>
      </c>
    </row>
    <row r="243" spans="1:19">
      <c r="A243" s="389" t="s">
        <v>8839</v>
      </c>
      <c r="B243" s="391" t="str">
        <f t="shared" si="6"/>
        <v>LCP-240190-EX</v>
      </c>
      <c r="C243" s="389" t="str">
        <f t="shared" si="7"/>
        <v>março</v>
      </c>
      <c r="D243" s="389" t="s">
        <v>9127</v>
      </c>
      <c r="E243" s="391">
        <v>45721</v>
      </c>
      <c r="F243" s="389" t="s">
        <v>8865</v>
      </c>
      <c r="G243" s="389" t="s">
        <v>2916</v>
      </c>
      <c r="H243" s="389" t="s">
        <v>9601</v>
      </c>
      <c r="I243" s="398">
        <v>1</v>
      </c>
      <c r="J243" s="390">
        <v>1714.73</v>
      </c>
      <c r="K243" s="389" t="s">
        <v>2917</v>
      </c>
      <c r="L243" s="390">
        <v>10004.85</v>
      </c>
      <c r="M243" s="389" t="s">
        <v>2918</v>
      </c>
      <c r="N243" s="389" t="s">
        <v>3315</v>
      </c>
      <c r="O243" s="389" t="s">
        <v>3315</v>
      </c>
      <c r="P243" s="389" t="s">
        <v>2924</v>
      </c>
      <c r="Q243" s="389" t="s">
        <v>3219</v>
      </c>
      <c r="R243" s="389" t="s">
        <v>2208</v>
      </c>
      <c r="S243" s="389" t="s">
        <v>2208</v>
      </c>
    </row>
    <row r="244" spans="1:19">
      <c r="A244" s="389" t="s">
        <v>8839</v>
      </c>
      <c r="B244" s="391" t="str">
        <f t="shared" si="6"/>
        <v>LCP-240190-EX</v>
      </c>
      <c r="C244" s="389" t="str">
        <f t="shared" si="7"/>
        <v>março</v>
      </c>
      <c r="D244" s="389" t="s">
        <v>9127</v>
      </c>
      <c r="E244" s="391">
        <v>45722</v>
      </c>
      <c r="F244" s="389" t="s">
        <v>8872</v>
      </c>
      <c r="G244" s="389" t="s">
        <v>2916</v>
      </c>
      <c r="H244" s="389" t="s">
        <v>9643</v>
      </c>
      <c r="I244" s="398">
        <v>0</v>
      </c>
      <c r="J244" s="390">
        <v>-158.61000000000001</v>
      </c>
      <c r="K244" s="389" t="s">
        <v>2917</v>
      </c>
      <c r="L244" s="390">
        <v>-925.45</v>
      </c>
      <c r="M244" s="389" t="s">
        <v>2918</v>
      </c>
      <c r="N244" s="389" t="s">
        <v>9644</v>
      </c>
      <c r="O244" s="389" t="s">
        <v>3315</v>
      </c>
      <c r="P244" s="389" t="s">
        <v>2924</v>
      </c>
      <c r="Q244" s="389" t="s">
        <v>3219</v>
      </c>
      <c r="R244" s="389" t="s">
        <v>2208</v>
      </c>
      <c r="S244" s="389" t="s">
        <v>2208</v>
      </c>
    </row>
    <row r="245" spans="1:19">
      <c r="A245" s="389" t="s">
        <v>8839</v>
      </c>
      <c r="B245" s="391" t="str">
        <f t="shared" si="6"/>
        <v>LCP-240190-EX</v>
      </c>
      <c r="C245" s="389" t="str">
        <f t="shared" si="7"/>
        <v>março</v>
      </c>
      <c r="D245" s="389" t="s">
        <v>9127</v>
      </c>
      <c r="E245" s="391">
        <v>45722</v>
      </c>
      <c r="F245" s="389" t="s">
        <v>8872</v>
      </c>
      <c r="G245" s="389" t="s">
        <v>2916</v>
      </c>
      <c r="H245" s="389" t="s">
        <v>9645</v>
      </c>
      <c r="I245" s="398">
        <v>0</v>
      </c>
      <c r="J245" s="390">
        <v>-158.61000000000001</v>
      </c>
      <c r="K245" s="389" t="s">
        <v>2917</v>
      </c>
      <c r="L245" s="390">
        <v>-925.45</v>
      </c>
      <c r="M245" s="389" t="s">
        <v>2918</v>
      </c>
      <c r="N245" s="389" t="s">
        <v>9646</v>
      </c>
      <c r="O245" s="389" t="s">
        <v>3315</v>
      </c>
      <c r="P245" s="389" t="s">
        <v>2924</v>
      </c>
      <c r="Q245" s="389" t="s">
        <v>3219</v>
      </c>
      <c r="R245" s="389" t="s">
        <v>2208</v>
      </c>
      <c r="S245" s="389" t="s">
        <v>2208</v>
      </c>
    </row>
    <row r="246" spans="1:19">
      <c r="A246" s="389" t="s">
        <v>8839</v>
      </c>
      <c r="B246" s="391" t="str">
        <f t="shared" si="6"/>
        <v>LCP-240190-EX</v>
      </c>
      <c r="C246" s="389" t="str">
        <f t="shared" si="7"/>
        <v>março</v>
      </c>
      <c r="D246" s="389" t="s">
        <v>9127</v>
      </c>
      <c r="E246" s="391">
        <v>45722</v>
      </c>
      <c r="F246" s="389" t="s">
        <v>8872</v>
      </c>
      <c r="G246" s="389" t="s">
        <v>2916</v>
      </c>
      <c r="H246" s="389" t="s">
        <v>9647</v>
      </c>
      <c r="I246" s="398">
        <v>0</v>
      </c>
      <c r="J246" s="390">
        <v>-158.61000000000001</v>
      </c>
      <c r="K246" s="389" t="s">
        <v>2917</v>
      </c>
      <c r="L246" s="390">
        <v>-925.45</v>
      </c>
      <c r="M246" s="389" t="s">
        <v>2918</v>
      </c>
      <c r="N246" s="389" t="s">
        <v>9648</v>
      </c>
      <c r="O246" s="389" t="s">
        <v>3315</v>
      </c>
      <c r="P246" s="389" t="s">
        <v>2924</v>
      </c>
      <c r="Q246" s="389" t="s">
        <v>3219</v>
      </c>
      <c r="R246" s="389" t="s">
        <v>2208</v>
      </c>
      <c r="S246" s="389" t="s">
        <v>2208</v>
      </c>
    </row>
    <row r="247" spans="1:19">
      <c r="A247" s="389" t="s">
        <v>8839</v>
      </c>
      <c r="B247" s="391" t="str">
        <f t="shared" si="6"/>
        <v>LCP-240190-EX</v>
      </c>
      <c r="C247" s="389" t="str">
        <f t="shared" si="7"/>
        <v>março</v>
      </c>
      <c r="D247" s="389" t="s">
        <v>9127</v>
      </c>
      <c r="E247" s="391">
        <v>45722</v>
      </c>
      <c r="F247" s="389" t="s">
        <v>8872</v>
      </c>
      <c r="G247" s="389" t="s">
        <v>2916</v>
      </c>
      <c r="H247" s="389" t="s">
        <v>9649</v>
      </c>
      <c r="I247" s="398">
        <v>0</v>
      </c>
      <c r="J247" s="390">
        <v>-158.61000000000001</v>
      </c>
      <c r="K247" s="389" t="s">
        <v>2917</v>
      </c>
      <c r="L247" s="390">
        <v>-925.45</v>
      </c>
      <c r="M247" s="389" t="s">
        <v>2918</v>
      </c>
      <c r="N247" s="389" t="s">
        <v>9650</v>
      </c>
      <c r="O247" s="389" t="s">
        <v>3315</v>
      </c>
      <c r="P247" s="389" t="s">
        <v>2924</v>
      </c>
      <c r="Q247" s="389" t="s">
        <v>3219</v>
      </c>
      <c r="R247" s="389" t="s">
        <v>2208</v>
      </c>
      <c r="S247" s="389" t="s">
        <v>2208</v>
      </c>
    </row>
    <row r="248" spans="1:19">
      <c r="A248" s="389" t="s">
        <v>8839</v>
      </c>
      <c r="B248" s="391" t="str">
        <f t="shared" si="6"/>
        <v>LCP-240190-EX</v>
      </c>
      <c r="C248" s="389" t="str">
        <f t="shared" si="7"/>
        <v>março</v>
      </c>
      <c r="D248" s="389" t="s">
        <v>9127</v>
      </c>
      <c r="E248" s="391">
        <v>45722</v>
      </c>
      <c r="F248" s="389" t="s">
        <v>8865</v>
      </c>
      <c r="G248" s="389" t="s">
        <v>2916</v>
      </c>
      <c r="H248" s="389" t="s">
        <v>9651</v>
      </c>
      <c r="I248" s="398">
        <v>0</v>
      </c>
      <c r="J248" s="390">
        <v>-158.61000000000001</v>
      </c>
      <c r="K248" s="389" t="s">
        <v>2917</v>
      </c>
      <c r="L248" s="390">
        <v>-925.45</v>
      </c>
      <c r="M248" s="389" t="s">
        <v>2918</v>
      </c>
      <c r="N248" s="389" t="s">
        <v>9652</v>
      </c>
      <c r="O248" s="389" t="s">
        <v>3315</v>
      </c>
      <c r="P248" s="389" t="s">
        <v>2924</v>
      </c>
      <c r="Q248" s="389" t="s">
        <v>3219</v>
      </c>
      <c r="R248" s="389" t="s">
        <v>2208</v>
      </c>
      <c r="S248" s="389" t="s">
        <v>2208</v>
      </c>
    </row>
    <row r="249" spans="1:19">
      <c r="A249" s="389" t="s">
        <v>8839</v>
      </c>
      <c r="B249" s="391" t="str">
        <f t="shared" si="6"/>
        <v>LCP-240190-EX</v>
      </c>
      <c r="C249" s="389" t="str">
        <f t="shared" si="7"/>
        <v>março</v>
      </c>
      <c r="D249" s="389" t="s">
        <v>9127</v>
      </c>
      <c r="E249" s="391">
        <v>45722</v>
      </c>
      <c r="F249" s="389" t="s">
        <v>8865</v>
      </c>
      <c r="G249" s="389" t="s">
        <v>2916</v>
      </c>
      <c r="H249" s="389" t="s">
        <v>9653</v>
      </c>
      <c r="I249" s="398">
        <v>0</v>
      </c>
      <c r="J249" s="390">
        <v>-158.61000000000001</v>
      </c>
      <c r="K249" s="389" t="s">
        <v>2917</v>
      </c>
      <c r="L249" s="390">
        <v>-925.45</v>
      </c>
      <c r="M249" s="389" t="s">
        <v>2918</v>
      </c>
      <c r="N249" s="389" t="s">
        <v>9654</v>
      </c>
      <c r="O249" s="389" t="s">
        <v>3315</v>
      </c>
      <c r="P249" s="389" t="s">
        <v>2924</v>
      </c>
      <c r="Q249" s="389" t="s">
        <v>3219</v>
      </c>
      <c r="R249" s="389" t="s">
        <v>2208</v>
      </c>
      <c r="S249" s="389" t="s">
        <v>2208</v>
      </c>
    </row>
    <row r="250" spans="1:19">
      <c r="A250" s="389" t="s">
        <v>8839</v>
      </c>
      <c r="B250" s="391" t="str">
        <f t="shared" si="6"/>
        <v>LCP-240190-EX</v>
      </c>
      <c r="C250" s="389" t="str">
        <f t="shared" si="7"/>
        <v>março</v>
      </c>
      <c r="D250" s="389" t="s">
        <v>9127</v>
      </c>
      <c r="E250" s="391">
        <v>45723</v>
      </c>
      <c r="F250" s="389" t="s">
        <v>10760</v>
      </c>
      <c r="G250" s="389" t="s">
        <v>2916</v>
      </c>
      <c r="H250" s="389" t="s">
        <v>10761</v>
      </c>
      <c r="I250" s="398">
        <v>1</v>
      </c>
      <c r="J250" s="390">
        <v>1714.73</v>
      </c>
      <c r="K250" s="389" t="s">
        <v>2917</v>
      </c>
      <c r="L250" s="390">
        <v>10004.85</v>
      </c>
      <c r="M250" s="389" t="s">
        <v>2918</v>
      </c>
      <c r="N250" s="389" t="s">
        <v>3315</v>
      </c>
      <c r="O250" s="389" t="s">
        <v>3315</v>
      </c>
      <c r="P250" s="389" t="s">
        <v>2924</v>
      </c>
      <c r="Q250" s="389" t="s">
        <v>3219</v>
      </c>
      <c r="R250" s="389" t="s">
        <v>2208</v>
      </c>
      <c r="S250" s="389" t="s">
        <v>2208</v>
      </c>
    </row>
    <row r="251" spans="1:19">
      <c r="A251" s="389" t="s">
        <v>8839</v>
      </c>
      <c r="B251" s="391" t="str">
        <f t="shared" si="6"/>
        <v>LCP-240190-EX</v>
      </c>
      <c r="C251" s="389" t="str">
        <f t="shared" si="7"/>
        <v>março</v>
      </c>
      <c r="D251" s="389" t="s">
        <v>9127</v>
      </c>
      <c r="E251" s="391">
        <v>45723</v>
      </c>
      <c r="F251" s="389" t="s">
        <v>10760</v>
      </c>
      <c r="G251" s="389" t="s">
        <v>2916</v>
      </c>
      <c r="H251" s="389" t="s">
        <v>10762</v>
      </c>
      <c r="I251" s="398">
        <v>1</v>
      </c>
      <c r="J251" s="390">
        <v>1714.73</v>
      </c>
      <c r="K251" s="389" t="s">
        <v>2917</v>
      </c>
      <c r="L251" s="390">
        <v>10004.85</v>
      </c>
      <c r="M251" s="389" t="s">
        <v>2918</v>
      </c>
      <c r="N251" s="389" t="s">
        <v>3315</v>
      </c>
      <c r="O251" s="389" t="s">
        <v>3315</v>
      </c>
      <c r="P251" s="389" t="s">
        <v>2924</v>
      </c>
      <c r="Q251" s="389" t="s">
        <v>3219</v>
      </c>
      <c r="R251" s="389" t="s">
        <v>2208</v>
      </c>
      <c r="S251" s="389" t="s">
        <v>2208</v>
      </c>
    </row>
    <row r="252" spans="1:19">
      <c r="A252" s="389" t="s">
        <v>8839</v>
      </c>
      <c r="B252" s="391" t="str">
        <f t="shared" si="6"/>
        <v>LCP-240190-EX</v>
      </c>
      <c r="C252" s="389" t="str">
        <f t="shared" si="7"/>
        <v>março</v>
      </c>
      <c r="D252" s="389" t="s">
        <v>9127</v>
      </c>
      <c r="E252" s="391">
        <v>45723</v>
      </c>
      <c r="F252" s="389" t="s">
        <v>10760</v>
      </c>
      <c r="G252" s="389" t="s">
        <v>2916</v>
      </c>
      <c r="H252" s="389" t="s">
        <v>10763</v>
      </c>
      <c r="I252" s="398">
        <v>0</v>
      </c>
      <c r="J252" s="390">
        <v>-158.61000000000001</v>
      </c>
      <c r="K252" s="389" t="s">
        <v>2917</v>
      </c>
      <c r="L252" s="390">
        <v>-925.45</v>
      </c>
      <c r="M252" s="389" t="s">
        <v>2918</v>
      </c>
      <c r="N252" s="389" t="s">
        <v>10764</v>
      </c>
      <c r="O252" s="389" t="s">
        <v>3315</v>
      </c>
      <c r="P252" s="389" t="s">
        <v>2924</v>
      </c>
      <c r="Q252" s="389" t="s">
        <v>3219</v>
      </c>
      <c r="R252" s="389" t="s">
        <v>2208</v>
      </c>
      <c r="S252" s="389" t="s">
        <v>2208</v>
      </c>
    </row>
    <row r="253" spans="1:19">
      <c r="A253" s="389" t="s">
        <v>8839</v>
      </c>
      <c r="B253" s="391" t="str">
        <f t="shared" si="6"/>
        <v>LCP-240190-EX</v>
      </c>
      <c r="C253" s="389" t="str">
        <f t="shared" si="7"/>
        <v>março</v>
      </c>
      <c r="D253" s="389" t="s">
        <v>9127</v>
      </c>
      <c r="E253" s="391">
        <v>45723</v>
      </c>
      <c r="F253" s="389" t="s">
        <v>10760</v>
      </c>
      <c r="G253" s="389" t="s">
        <v>2916</v>
      </c>
      <c r="H253" s="389" t="s">
        <v>10765</v>
      </c>
      <c r="I253" s="398">
        <v>0</v>
      </c>
      <c r="J253" s="390">
        <v>-158.61000000000001</v>
      </c>
      <c r="K253" s="389" t="s">
        <v>2917</v>
      </c>
      <c r="L253" s="390">
        <v>-925.45</v>
      </c>
      <c r="M253" s="389" t="s">
        <v>2918</v>
      </c>
      <c r="N253" s="389" t="s">
        <v>10766</v>
      </c>
      <c r="O253" s="389" t="s">
        <v>3315</v>
      </c>
      <c r="P253" s="389" t="s">
        <v>2924</v>
      </c>
      <c r="Q253" s="389" t="s">
        <v>3219</v>
      </c>
      <c r="R253" s="389" t="s">
        <v>2208</v>
      </c>
      <c r="S253" s="389" t="s">
        <v>2208</v>
      </c>
    </row>
    <row r="254" spans="1:19">
      <c r="A254" s="389" t="s">
        <v>8839</v>
      </c>
      <c r="B254" s="391" t="str">
        <f t="shared" si="6"/>
        <v>LCP-240190-EX</v>
      </c>
      <c r="C254" s="389" t="str">
        <f t="shared" si="7"/>
        <v>março</v>
      </c>
      <c r="D254" s="389" t="s">
        <v>9127</v>
      </c>
      <c r="E254" s="391">
        <v>45728</v>
      </c>
      <c r="F254" s="389" t="s">
        <v>10760</v>
      </c>
      <c r="G254" s="389" t="s">
        <v>2916</v>
      </c>
      <c r="H254" s="389" t="s">
        <v>10857</v>
      </c>
      <c r="I254" s="398">
        <v>1</v>
      </c>
      <c r="J254" s="390">
        <v>1714.73</v>
      </c>
      <c r="K254" s="389" t="s">
        <v>2917</v>
      </c>
      <c r="L254" s="390">
        <v>10004.85</v>
      </c>
      <c r="M254" s="389" t="s">
        <v>2918</v>
      </c>
      <c r="N254" s="389" t="s">
        <v>3315</v>
      </c>
      <c r="O254" s="389" t="s">
        <v>3315</v>
      </c>
      <c r="P254" s="389" t="s">
        <v>2924</v>
      </c>
      <c r="Q254" s="389" t="s">
        <v>3219</v>
      </c>
      <c r="R254" s="389" t="s">
        <v>2208</v>
      </c>
      <c r="S254" s="389" t="s">
        <v>2208</v>
      </c>
    </row>
    <row r="255" spans="1:19">
      <c r="A255" s="389" t="s">
        <v>8839</v>
      </c>
      <c r="B255" s="391" t="str">
        <f t="shared" si="6"/>
        <v>LCP-240190-EX</v>
      </c>
      <c r="C255" s="389" t="str">
        <f t="shared" si="7"/>
        <v>março</v>
      </c>
      <c r="D255" s="389" t="s">
        <v>9127</v>
      </c>
      <c r="E255" s="391">
        <v>45728</v>
      </c>
      <c r="F255" s="389" t="s">
        <v>10760</v>
      </c>
      <c r="G255" s="389" t="s">
        <v>2916</v>
      </c>
      <c r="H255" s="389" t="s">
        <v>10858</v>
      </c>
      <c r="I255" s="398">
        <v>1</v>
      </c>
      <c r="J255" s="390">
        <v>1714.73</v>
      </c>
      <c r="K255" s="389" t="s">
        <v>2917</v>
      </c>
      <c r="L255" s="390">
        <v>10004.85</v>
      </c>
      <c r="M255" s="389" t="s">
        <v>2918</v>
      </c>
      <c r="N255" s="389" t="s">
        <v>3315</v>
      </c>
      <c r="O255" s="389" t="s">
        <v>3315</v>
      </c>
      <c r="P255" s="389" t="s">
        <v>2924</v>
      </c>
      <c r="Q255" s="389" t="s">
        <v>3219</v>
      </c>
      <c r="R255" s="389" t="s">
        <v>2208</v>
      </c>
      <c r="S255" s="389" t="s">
        <v>2208</v>
      </c>
    </row>
    <row r="256" spans="1:19">
      <c r="A256" s="389" t="s">
        <v>8839</v>
      </c>
      <c r="B256" s="391" t="str">
        <f t="shared" si="6"/>
        <v>LCP-240190-EX</v>
      </c>
      <c r="C256" s="389" t="str">
        <f t="shared" si="7"/>
        <v>março</v>
      </c>
      <c r="D256" s="389" t="s">
        <v>9127</v>
      </c>
      <c r="E256" s="391">
        <v>45728</v>
      </c>
      <c r="F256" s="389" t="s">
        <v>10760</v>
      </c>
      <c r="G256" s="389" t="s">
        <v>2916</v>
      </c>
      <c r="H256" s="389" t="s">
        <v>10859</v>
      </c>
      <c r="I256" s="398">
        <v>1</v>
      </c>
      <c r="J256" s="390">
        <v>1714.73</v>
      </c>
      <c r="K256" s="389" t="s">
        <v>2917</v>
      </c>
      <c r="L256" s="390">
        <v>10004.85</v>
      </c>
      <c r="M256" s="389" t="s">
        <v>2918</v>
      </c>
      <c r="N256" s="389" t="s">
        <v>3315</v>
      </c>
      <c r="O256" s="389" t="s">
        <v>3315</v>
      </c>
      <c r="P256" s="389" t="s">
        <v>2924</v>
      </c>
      <c r="Q256" s="389" t="s">
        <v>3219</v>
      </c>
      <c r="R256" s="389" t="s">
        <v>2208</v>
      </c>
      <c r="S256" s="389" t="s">
        <v>2208</v>
      </c>
    </row>
    <row r="257" spans="1:19">
      <c r="A257" s="389" t="s">
        <v>8839</v>
      </c>
      <c r="B257" s="391" t="str">
        <f t="shared" si="6"/>
        <v>LCP-240190-EX</v>
      </c>
      <c r="C257" s="389" t="str">
        <f t="shared" si="7"/>
        <v>março</v>
      </c>
      <c r="D257" s="389" t="s">
        <v>9127</v>
      </c>
      <c r="E257" s="391">
        <v>45728</v>
      </c>
      <c r="F257" s="389" t="s">
        <v>10760</v>
      </c>
      <c r="G257" s="389" t="s">
        <v>2916</v>
      </c>
      <c r="H257" s="389" t="s">
        <v>10860</v>
      </c>
      <c r="I257" s="398">
        <v>1</v>
      </c>
      <c r="J257" s="390">
        <v>1714.73</v>
      </c>
      <c r="K257" s="389" t="s">
        <v>2917</v>
      </c>
      <c r="L257" s="390">
        <v>10004.85</v>
      </c>
      <c r="M257" s="389" t="s">
        <v>2918</v>
      </c>
      <c r="N257" s="389" t="s">
        <v>3315</v>
      </c>
      <c r="O257" s="389" t="s">
        <v>3315</v>
      </c>
      <c r="P257" s="389" t="s">
        <v>2924</v>
      </c>
      <c r="Q257" s="389" t="s">
        <v>3219</v>
      </c>
      <c r="R257" s="389" t="s">
        <v>2208</v>
      </c>
      <c r="S257" s="389" t="s">
        <v>2208</v>
      </c>
    </row>
    <row r="258" spans="1:19">
      <c r="A258" s="389" t="s">
        <v>8839</v>
      </c>
      <c r="B258" s="391" t="str">
        <f t="shared" si="6"/>
        <v>LCP-240190-EX</v>
      </c>
      <c r="C258" s="389" t="str">
        <f t="shared" si="7"/>
        <v>março</v>
      </c>
      <c r="D258" s="389" t="s">
        <v>9127</v>
      </c>
      <c r="E258" s="391">
        <v>45730</v>
      </c>
      <c r="F258" s="389" t="s">
        <v>10760</v>
      </c>
      <c r="G258" s="389" t="s">
        <v>2916</v>
      </c>
      <c r="H258" s="389" t="s">
        <v>10861</v>
      </c>
      <c r="I258" s="398">
        <v>1</v>
      </c>
      <c r="J258" s="390">
        <v>1714.73</v>
      </c>
      <c r="K258" s="389" t="s">
        <v>2917</v>
      </c>
      <c r="L258" s="390">
        <v>10004.85</v>
      </c>
      <c r="M258" s="389" t="s">
        <v>2918</v>
      </c>
      <c r="N258" s="389" t="s">
        <v>3315</v>
      </c>
      <c r="O258" s="389" t="s">
        <v>3315</v>
      </c>
      <c r="P258" s="389" t="s">
        <v>2924</v>
      </c>
      <c r="Q258" s="389" t="s">
        <v>3219</v>
      </c>
      <c r="R258" s="389" t="s">
        <v>2208</v>
      </c>
      <c r="S258" s="389" t="s">
        <v>2208</v>
      </c>
    </row>
    <row r="259" spans="1:19">
      <c r="A259" s="389" t="s">
        <v>8839</v>
      </c>
      <c r="B259" s="391" t="str">
        <f t="shared" ref="B259:B322" si="8">IF(LEFT(A259,1)="E",A259,LEFT(A259,13))</f>
        <v>LCP-240190-EX</v>
      </c>
      <c r="C259" s="389" t="str">
        <f t="shared" ref="C259:C322" si="9">TEXT(E259,"mmmm")</f>
        <v>março</v>
      </c>
      <c r="D259" s="389" t="s">
        <v>9127</v>
      </c>
      <c r="E259" s="391">
        <v>45730</v>
      </c>
      <c r="F259" s="389" t="s">
        <v>10760</v>
      </c>
      <c r="G259" s="389" t="s">
        <v>2916</v>
      </c>
      <c r="H259" s="389" t="s">
        <v>10862</v>
      </c>
      <c r="I259" s="398">
        <v>1</v>
      </c>
      <c r="J259" s="390">
        <v>1714.73</v>
      </c>
      <c r="K259" s="389" t="s">
        <v>2917</v>
      </c>
      <c r="L259" s="390">
        <v>10004.85</v>
      </c>
      <c r="M259" s="389" t="s">
        <v>2918</v>
      </c>
      <c r="N259" s="389" t="s">
        <v>3315</v>
      </c>
      <c r="O259" s="389" t="s">
        <v>3315</v>
      </c>
      <c r="P259" s="389" t="s">
        <v>2924</v>
      </c>
      <c r="Q259" s="389" t="s">
        <v>3219</v>
      </c>
      <c r="R259" s="389" t="s">
        <v>2208</v>
      </c>
      <c r="S259" s="389" t="s">
        <v>2208</v>
      </c>
    </row>
    <row r="260" spans="1:19">
      <c r="A260" s="389" t="s">
        <v>8839</v>
      </c>
      <c r="B260" s="391" t="str">
        <f t="shared" si="8"/>
        <v>LCP-240190-EX</v>
      </c>
      <c r="C260" s="389" t="str">
        <f t="shared" si="9"/>
        <v>março</v>
      </c>
      <c r="D260" s="389" t="s">
        <v>9127</v>
      </c>
      <c r="E260" s="391">
        <v>45730</v>
      </c>
      <c r="F260" s="389" t="s">
        <v>10760</v>
      </c>
      <c r="G260" s="389" t="s">
        <v>2916</v>
      </c>
      <c r="H260" s="389" t="s">
        <v>10863</v>
      </c>
      <c r="I260" s="398">
        <v>1</v>
      </c>
      <c r="J260" s="390">
        <v>1714.73</v>
      </c>
      <c r="K260" s="389" t="s">
        <v>2917</v>
      </c>
      <c r="L260" s="390">
        <v>10004.85</v>
      </c>
      <c r="M260" s="389" t="s">
        <v>2918</v>
      </c>
      <c r="N260" s="389" t="s">
        <v>3315</v>
      </c>
      <c r="O260" s="389" t="s">
        <v>3315</v>
      </c>
      <c r="P260" s="389" t="s">
        <v>2924</v>
      </c>
      <c r="Q260" s="389" t="s">
        <v>3219</v>
      </c>
      <c r="R260" s="389" t="s">
        <v>2208</v>
      </c>
      <c r="S260" s="389" t="s">
        <v>2208</v>
      </c>
    </row>
    <row r="261" spans="1:19">
      <c r="A261" s="389" t="s">
        <v>8839</v>
      </c>
      <c r="B261" s="391" t="str">
        <f t="shared" si="8"/>
        <v>LCP-240190-EX</v>
      </c>
      <c r="C261" s="389" t="str">
        <f t="shared" si="9"/>
        <v>março</v>
      </c>
      <c r="D261" s="389" t="s">
        <v>9127</v>
      </c>
      <c r="E261" s="391">
        <v>45730</v>
      </c>
      <c r="F261" s="389" t="s">
        <v>10760</v>
      </c>
      <c r="G261" s="389" t="s">
        <v>2916</v>
      </c>
      <c r="H261" s="389" t="s">
        <v>10864</v>
      </c>
      <c r="I261" s="398">
        <v>1</v>
      </c>
      <c r="J261" s="390">
        <v>1714.73</v>
      </c>
      <c r="K261" s="389" t="s">
        <v>2917</v>
      </c>
      <c r="L261" s="390">
        <v>10004.85</v>
      </c>
      <c r="M261" s="389" t="s">
        <v>2918</v>
      </c>
      <c r="N261" s="389" t="s">
        <v>3315</v>
      </c>
      <c r="O261" s="389" t="s">
        <v>3315</v>
      </c>
      <c r="P261" s="389" t="s">
        <v>2924</v>
      </c>
      <c r="Q261" s="389" t="s">
        <v>3219</v>
      </c>
      <c r="R261" s="389" t="s">
        <v>2208</v>
      </c>
      <c r="S261" s="389" t="s">
        <v>2208</v>
      </c>
    </row>
    <row r="262" spans="1:19">
      <c r="A262" s="389" t="s">
        <v>8839</v>
      </c>
      <c r="B262" s="391" t="str">
        <f t="shared" si="8"/>
        <v>LCP-240190-EX</v>
      </c>
      <c r="C262" s="389" t="str">
        <f t="shared" si="9"/>
        <v>março</v>
      </c>
      <c r="D262" s="389" t="s">
        <v>9127</v>
      </c>
      <c r="E262" s="391">
        <v>45734</v>
      </c>
      <c r="F262" s="389" t="s">
        <v>10760</v>
      </c>
      <c r="G262" s="389" t="s">
        <v>2916</v>
      </c>
      <c r="H262" s="389" t="s">
        <v>11045</v>
      </c>
      <c r="I262" s="398">
        <v>0</v>
      </c>
      <c r="J262" s="390">
        <v>-158.61000000000001</v>
      </c>
      <c r="K262" s="389" t="s">
        <v>2917</v>
      </c>
      <c r="L262" s="390">
        <v>-925.45</v>
      </c>
      <c r="M262" s="389" t="s">
        <v>2918</v>
      </c>
      <c r="N262" s="389" t="s">
        <v>11046</v>
      </c>
      <c r="O262" s="389" t="s">
        <v>3315</v>
      </c>
      <c r="P262" s="389" t="s">
        <v>2924</v>
      </c>
      <c r="Q262" s="389" t="s">
        <v>3219</v>
      </c>
      <c r="R262" s="389" t="s">
        <v>2208</v>
      </c>
      <c r="S262" s="389" t="s">
        <v>2208</v>
      </c>
    </row>
    <row r="263" spans="1:19">
      <c r="A263" s="389" t="s">
        <v>8839</v>
      </c>
      <c r="B263" s="391" t="str">
        <f t="shared" si="8"/>
        <v>LCP-240190-EX</v>
      </c>
      <c r="C263" s="389" t="str">
        <f t="shared" si="9"/>
        <v>março</v>
      </c>
      <c r="D263" s="389" t="s">
        <v>9127</v>
      </c>
      <c r="E263" s="391">
        <v>45734</v>
      </c>
      <c r="F263" s="389" t="s">
        <v>10760</v>
      </c>
      <c r="G263" s="389" t="s">
        <v>2916</v>
      </c>
      <c r="H263" s="389" t="s">
        <v>11047</v>
      </c>
      <c r="I263" s="398">
        <v>0</v>
      </c>
      <c r="J263" s="390">
        <v>-158.61000000000001</v>
      </c>
      <c r="K263" s="389" t="s">
        <v>2917</v>
      </c>
      <c r="L263" s="390">
        <v>-925.45</v>
      </c>
      <c r="M263" s="389" t="s">
        <v>2918</v>
      </c>
      <c r="N263" s="389" t="s">
        <v>11048</v>
      </c>
      <c r="O263" s="389" t="s">
        <v>3315</v>
      </c>
      <c r="P263" s="389" t="s">
        <v>2924</v>
      </c>
      <c r="Q263" s="389" t="s">
        <v>3219</v>
      </c>
      <c r="R263" s="389" t="s">
        <v>2208</v>
      </c>
      <c r="S263" s="389" t="s">
        <v>2208</v>
      </c>
    </row>
    <row r="264" spans="1:19">
      <c r="A264" s="389" t="s">
        <v>8839</v>
      </c>
      <c r="B264" s="391" t="str">
        <f t="shared" si="8"/>
        <v>LCP-240190-EX</v>
      </c>
      <c r="C264" s="389" t="str">
        <f t="shared" si="9"/>
        <v>março</v>
      </c>
      <c r="D264" s="389" t="s">
        <v>9127</v>
      </c>
      <c r="E264" s="391">
        <v>45734</v>
      </c>
      <c r="F264" s="389" t="s">
        <v>10760</v>
      </c>
      <c r="G264" s="389" t="s">
        <v>2916</v>
      </c>
      <c r="H264" s="389" t="s">
        <v>11049</v>
      </c>
      <c r="I264" s="398">
        <v>0</v>
      </c>
      <c r="J264" s="390">
        <v>-158.61000000000001</v>
      </c>
      <c r="K264" s="389" t="s">
        <v>2917</v>
      </c>
      <c r="L264" s="390">
        <v>-925.45</v>
      </c>
      <c r="M264" s="389" t="s">
        <v>2918</v>
      </c>
      <c r="N264" s="389" t="s">
        <v>11050</v>
      </c>
      <c r="O264" s="389" t="s">
        <v>3315</v>
      </c>
      <c r="P264" s="389" t="s">
        <v>2924</v>
      </c>
      <c r="Q264" s="389" t="s">
        <v>3219</v>
      </c>
      <c r="R264" s="389" t="s">
        <v>2208</v>
      </c>
      <c r="S264" s="389" t="s">
        <v>2208</v>
      </c>
    </row>
    <row r="265" spans="1:19">
      <c r="A265" s="389" t="s">
        <v>8839</v>
      </c>
      <c r="B265" s="391" t="str">
        <f t="shared" si="8"/>
        <v>LCP-240190-EX</v>
      </c>
      <c r="C265" s="389" t="str">
        <f t="shared" si="9"/>
        <v>março</v>
      </c>
      <c r="D265" s="389" t="s">
        <v>9127</v>
      </c>
      <c r="E265" s="391">
        <v>45734</v>
      </c>
      <c r="F265" s="389" t="s">
        <v>10760</v>
      </c>
      <c r="G265" s="389" t="s">
        <v>2916</v>
      </c>
      <c r="H265" s="389" t="s">
        <v>11051</v>
      </c>
      <c r="I265" s="398">
        <v>0</v>
      </c>
      <c r="J265" s="390">
        <v>-158.61000000000001</v>
      </c>
      <c r="K265" s="389" t="s">
        <v>2917</v>
      </c>
      <c r="L265" s="390">
        <v>-925.45</v>
      </c>
      <c r="M265" s="389" t="s">
        <v>2918</v>
      </c>
      <c r="N265" s="389" t="s">
        <v>11052</v>
      </c>
      <c r="O265" s="389" t="s">
        <v>3315</v>
      </c>
      <c r="P265" s="389" t="s">
        <v>2924</v>
      </c>
      <c r="Q265" s="389" t="s">
        <v>3219</v>
      </c>
      <c r="R265" s="389" t="s">
        <v>2208</v>
      </c>
      <c r="S265" s="389" t="s">
        <v>2208</v>
      </c>
    </row>
    <row r="266" spans="1:19">
      <c r="A266" s="389" t="s">
        <v>8839</v>
      </c>
      <c r="B266" s="391" t="str">
        <f t="shared" si="8"/>
        <v>LCP-240190-EX</v>
      </c>
      <c r="C266" s="389" t="str">
        <f t="shared" si="9"/>
        <v>março</v>
      </c>
      <c r="D266" s="389" t="s">
        <v>9127</v>
      </c>
      <c r="E266" s="391">
        <v>45734</v>
      </c>
      <c r="F266" s="389" t="s">
        <v>10760</v>
      </c>
      <c r="G266" s="389" t="s">
        <v>2916</v>
      </c>
      <c r="H266" s="389" t="s">
        <v>11053</v>
      </c>
      <c r="I266" s="398">
        <v>0</v>
      </c>
      <c r="J266" s="390">
        <v>-158.61000000000001</v>
      </c>
      <c r="K266" s="389" t="s">
        <v>2917</v>
      </c>
      <c r="L266" s="390">
        <v>-925.45</v>
      </c>
      <c r="M266" s="389" t="s">
        <v>2918</v>
      </c>
      <c r="N266" s="389" t="s">
        <v>7314</v>
      </c>
      <c r="O266" s="389" t="s">
        <v>3315</v>
      </c>
      <c r="P266" s="389" t="s">
        <v>2924</v>
      </c>
      <c r="Q266" s="389" t="s">
        <v>3219</v>
      </c>
      <c r="R266" s="389" t="s">
        <v>2208</v>
      </c>
      <c r="S266" s="389" t="s">
        <v>2208</v>
      </c>
    </row>
    <row r="267" spans="1:19">
      <c r="A267" s="389" t="s">
        <v>8839</v>
      </c>
      <c r="B267" s="391" t="str">
        <f t="shared" si="8"/>
        <v>LCP-240190-EX</v>
      </c>
      <c r="C267" s="389" t="str">
        <f t="shared" si="9"/>
        <v>março</v>
      </c>
      <c r="D267" s="389" t="s">
        <v>9127</v>
      </c>
      <c r="E267" s="391">
        <v>45734</v>
      </c>
      <c r="F267" s="389" t="s">
        <v>10760</v>
      </c>
      <c r="G267" s="389" t="s">
        <v>2916</v>
      </c>
      <c r="H267" s="389" t="s">
        <v>11054</v>
      </c>
      <c r="I267" s="398">
        <v>0</v>
      </c>
      <c r="J267" s="390">
        <v>-158.61000000000001</v>
      </c>
      <c r="K267" s="389" t="s">
        <v>2917</v>
      </c>
      <c r="L267" s="390">
        <v>-925.45</v>
      </c>
      <c r="M267" s="389" t="s">
        <v>2918</v>
      </c>
      <c r="N267" s="389" t="s">
        <v>11055</v>
      </c>
      <c r="O267" s="389" t="s">
        <v>3315</v>
      </c>
      <c r="P267" s="389" t="s">
        <v>2924</v>
      </c>
      <c r="Q267" s="389" t="s">
        <v>3219</v>
      </c>
      <c r="R267" s="389" t="s">
        <v>2208</v>
      </c>
      <c r="S267" s="389" t="s">
        <v>2208</v>
      </c>
    </row>
    <row r="268" spans="1:19">
      <c r="A268" s="389" t="s">
        <v>8839</v>
      </c>
      <c r="B268" s="391" t="str">
        <f t="shared" si="8"/>
        <v>LCP-240190-EX</v>
      </c>
      <c r="C268" s="389" t="str">
        <f t="shared" si="9"/>
        <v>março</v>
      </c>
      <c r="D268" s="389" t="s">
        <v>9127</v>
      </c>
      <c r="E268" s="391">
        <v>45734</v>
      </c>
      <c r="F268" s="389" t="s">
        <v>10760</v>
      </c>
      <c r="G268" s="389" t="s">
        <v>2916</v>
      </c>
      <c r="H268" s="389" t="s">
        <v>11056</v>
      </c>
      <c r="I268" s="398">
        <v>0</v>
      </c>
      <c r="J268" s="390">
        <v>-158.61000000000001</v>
      </c>
      <c r="K268" s="389" t="s">
        <v>2917</v>
      </c>
      <c r="L268" s="390">
        <v>-925.45</v>
      </c>
      <c r="M268" s="389" t="s">
        <v>2918</v>
      </c>
      <c r="N268" s="389" t="s">
        <v>11057</v>
      </c>
      <c r="O268" s="389" t="s">
        <v>3315</v>
      </c>
      <c r="P268" s="389" t="s">
        <v>2924</v>
      </c>
      <c r="Q268" s="389" t="s">
        <v>3219</v>
      </c>
      <c r="R268" s="389" t="s">
        <v>2208</v>
      </c>
      <c r="S268" s="389" t="s">
        <v>2208</v>
      </c>
    </row>
    <row r="269" spans="1:19">
      <c r="A269" s="389" t="s">
        <v>8839</v>
      </c>
      <c r="B269" s="391" t="str">
        <f t="shared" si="8"/>
        <v>LCP-240190-EX</v>
      </c>
      <c r="C269" s="389" t="str">
        <f t="shared" si="9"/>
        <v>março</v>
      </c>
      <c r="D269" s="389" t="s">
        <v>9127</v>
      </c>
      <c r="E269" s="391">
        <v>45734</v>
      </c>
      <c r="F269" s="389" t="s">
        <v>10760</v>
      </c>
      <c r="G269" s="389" t="s">
        <v>2916</v>
      </c>
      <c r="H269" s="389" t="s">
        <v>11058</v>
      </c>
      <c r="I269" s="398">
        <v>0</v>
      </c>
      <c r="J269" s="390">
        <v>-158.61000000000001</v>
      </c>
      <c r="K269" s="389" t="s">
        <v>2917</v>
      </c>
      <c r="L269" s="390">
        <v>-925.45</v>
      </c>
      <c r="M269" s="389" t="s">
        <v>2918</v>
      </c>
      <c r="N269" s="389" t="s">
        <v>11059</v>
      </c>
      <c r="O269" s="389" t="s">
        <v>3315</v>
      </c>
      <c r="P269" s="389" t="s">
        <v>2924</v>
      </c>
      <c r="Q269" s="389" t="s">
        <v>3219</v>
      </c>
      <c r="R269" s="389" t="s">
        <v>2208</v>
      </c>
      <c r="S269" s="389" t="s">
        <v>2208</v>
      </c>
    </row>
    <row r="270" spans="1:19">
      <c r="A270" s="389" t="s">
        <v>8839</v>
      </c>
      <c r="B270" s="391" t="str">
        <f t="shared" si="8"/>
        <v>LCP-240190-EX</v>
      </c>
      <c r="C270" s="389" t="str">
        <f t="shared" si="9"/>
        <v>março</v>
      </c>
      <c r="D270" s="389" t="s">
        <v>9127</v>
      </c>
      <c r="E270" s="391">
        <v>45737</v>
      </c>
      <c r="F270" s="389" t="s">
        <v>10760</v>
      </c>
      <c r="G270" s="389" t="s">
        <v>2916</v>
      </c>
      <c r="H270" s="389" t="s">
        <v>11227</v>
      </c>
      <c r="I270" s="398">
        <v>1</v>
      </c>
      <c r="J270" s="390">
        <v>1714.73</v>
      </c>
      <c r="K270" s="389" t="s">
        <v>2917</v>
      </c>
      <c r="L270" s="390">
        <v>10004.85</v>
      </c>
      <c r="M270" s="389" t="s">
        <v>2918</v>
      </c>
      <c r="N270" s="389" t="s">
        <v>3315</v>
      </c>
      <c r="O270" s="389" t="s">
        <v>3315</v>
      </c>
      <c r="P270" s="389" t="s">
        <v>2924</v>
      </c>
      <c r="Q270" s="389" t="s">
        <v>3219</v>
      </c>
      <c r="R270" s="389" t="s">
        <v>2208</v>
      </c>
      <c r="S270" s="389" t="s">
        <v>2208</v>
      </c>
    </row>
    <row r="271" spans="1:19">
      <c r="A271" s="389" t="s">
        <v>8839</v>
      </c>
      <c r="B271" s="391" t="str">
        <f t="shared" si="8"/>
        <v>LCP-240190-EX</v>
      </c>
      <c r="C271" s="389" t="str">
        <f t="shared" si="9"/>
        <v>março</v>
      </c>
      <c r="D271" s="389" t="s">
        <v>9127</v>
      </c>
      <c r="E271" s="391">
        <v>45737</v>
      </c>
      <c r="F271" s="389" t="s">
        <v>10760</v>
      </c>
      <c r="G271" s="389" t="s">
        <v>2916</v>
      </c>
      <c r="H271" s="389" t="s">
        <v>11228</v>
      </c>
      <c r="I271" s="398">
        <v>1</v>
      </c>
      <c r="J271" s="390">
        <v>1714.73</v>
      </c>
      <c r="K271" s="389" t="s">
        <v>2917</v>
      </c>
      <c r="L271" s="390">
        <v>10004.85</v>
      </c>
      <c r="M271" s="389" t="s">
        <v>2918</v>
      </c>
      <c r="N271" s="389" t="s">
        <v>3315</v>
      </c>
      <c r="O271" s="389" t="s">
        <v>3315</v>
      </c>
      <c r="P271" s="389" t="s">
        <v>2924</v>
      </c>
      <c r="Q271" s="389" t="s">
        <v>3219</v>
      </c>
      <c r="R271" s="389" t="s">
        <v>2208</v>
      </c>
      <c r="S271" s="389" t="s">
        <v>2208</v>
      </c>
    </row>
    <row r="272" spans="1:19">
      <c r="A272" s="389" t="s">
        <v>8839</v>
      </c>
      <c r="B272" s="391" t="str">
        <f t="shared" si="8"/>
        <v>LCP-240190-EX</v>
      </c>
      <c r="C272" s="389" t="str">
        <f t="shared" si="9"/>
        <v>março</v>
      </c>
      <c r="D272" s="389" t="s">
        <v>9127</v>
      </c>
      <c r="E272" s="391">
        <v>45737</v>
      </c>
      <c r="F272" s="389" t="s">
        <v>10760</v>
      </c>
      <c r="G272" s="389" t="s">
        <v>2916</v>
      </c>
      <c r="H272" s="389" t="s">
        <v>11229</v>
      </c>
      <c r="I272" s="398">
        <v>1</v>
      </c>
      <c r="J272" s="390">
        <v>1714.73</v>
      </c>
      <c r="K272" s="389" t="s">
        <v>2917</v>
      </c>
      <c r="L272" s="390">
        <v>10004.85</v>
      </c>
      <c r="M272" s="389" t="s">
        <v>2918</v>
      </c>
      <c r="N272" s="389" t="s">
        <v>3315</v>
      </c>
      <c r="O272" s="389" t="s">
        <v>3315</v>
      </c>
      <c r="P272" s="389" t="s">
        <v>2924</v>
      </c>
      <c r="Q272" s="389" t="s">
        <v>3219</v>
      </c>
      <c r="R272" s="389" t="s">
        <v>2208</v>
      </c>
      <c r="S272" s="389" t="s">
        <v>2208</v>
      </c>
    </row>
    <row r="273" spans="1:19">
      <c r="A273" s="389" t="s">
        <v>8839</v>
      </c>
      <c r="B273" s="391" t="str">
        <f t="shared" si="8"/>
        <v>LCP-240190-EX</v>
      </c>
      <c r="C273" s="389" t="str">
        <f t="shared" si="9"/>
        <v>março</v>
      </c>
      <c r="D273" s="389" t="s">
        <v>9127</v>
      </c>
      <c r="E273" s="391">
        <v>45737</v>
      </c>
      <c r="F273" s="389" t="s">
        <v>10760</v>
      </c>
      <c r="G273" s="389" t="s">
        <v>2916</v>
      </c>
      <c r="H273" s="389" t="s">
        <v>11230</v>
      </c>
      <c r="I273" s="398">
        <v>1</v>
      </c>
      <c r="J273" s="390">
        <v>1714.73</v>
      </c>
      <c r="K273" s="389" t="s">
        <v>2917</v>
      </c>
      <c r="L273" s="390">
        <v>10004.85</v>
      </c>
      <c r="M273" s="389" t="s">
        <v>2918</v>
      </c>
      <c r="N273" s="389" t="s">
        <v>3315</v>
      </c>
      <c r="O273" s="389" t="s">
        <v>3315</v>
      </c>
      <c r="P273" s="389" t="s">
        <v>2924</v>
      </c>
      <c r="Q273" s="389" t="s">
        <v>3219</v>
      </c>
      <c r="R273" s="389" t="s">
        <v>2208</v>
      </c>
      <c r="S273" s="389" t="s">
        <v>2208</v>
      </c>
    </row>
    <row r="274" spans="1:19">
      <c r="A274" s="389" t="s">
        <v>8839</v>
      </c>
      <c r="B274" s="391" t="str">
        <f t="shared" si="8"/>
        <v>LCP-240190-EX</v>
      </c>
      <c r="C274" s="389" t="str">
        <f t="shared" si="9"/>
        <v>março</v>
      </c>
      <c r="D274" s="389" t="s">
        <v>9127</v>
      </c>
      <c r="E274" s="391">
        <v>45740</v>
      </c>
      <c r="F274" s="389" t="s">
        <v>10760</v>
      </c>
      <c r="G274" s="389" t="s">
        <v>2916</v>
      </c>
      <c r="H274" s="389" t="s">
        <v>11231</v>
      </c>
      <c r="I274" s="398">
        <v>1</v>
      </c>
      <c r="J274" s="390">
        <v>1714.73</v>
      </c>
      <c r="K274" s="389" t="s">
        <v>2917</v>
      </c>
      <c r="L274" s="390">
        <v>10004.85</v>
      </c>
      <c r="M274" s="389" t="s">
        <v>2918</v>
      </c>
      <c r="N274" s="389" t="s">
        <v>3315</v>
      </c>
      <c r="O274" s="389" t="s">
        <v>3315</v>
      </c>
      <c r="P274" s="389" t="s">
        <v>2924</v>
      </c>
      <c r="Q274" s="389" t="s">
        <v>3219</v>
      </c>
      <c r="R274" s="389" t="s">
        <v>2208</v>
      </c>
      <c r="S274" s="389" t="s">
        <v>2208</v>
      </c>
    </row>
    <row r="275" spans="1:19">
      <c r="A275" s="389" t="s">
        <v>8839</v>
      </c>
      <c r="B275" s="391" t="str">
        <f t="shared" si="8"/>
        <v>LCP-240190-EX</v>
      </c>
      <c r="C275" s="389" t="str">
        <f t="shared" si="9"/>
        <v>março</v>
      </c>
      <c r="D275" s="389" t="s">
        <v>9127</v>
      </c>
      <c r="E275" s="391">
        <v>45740</v>
      </c>
      <c r="F275" s="389" t="s">
        <v>10760</v>
      </c>
      <c r="G275" s="389" t="s">
        <v>2916</v>
      </c>
      <c r="H275" s="389" t="s">
        <v>11232</v>
      </c>
      <c r="I275" s="398">
        <v>1</v>
      </c>
      <c r="J275" s="390">
        <v>1714.73</v>
      </c>
      <c r="K275" s="389" t="s">
        <v>2917</v>
      </c>
      <c r="L275" s="390">
        <v>10004.85</v>
      </c>
      <c r="M275" s="389" t="s">
        <v>2918</v>
      </c>
      <c r="N275" s="389" t="s">
        <v>3315</v>
      </c>
      <c r="O275" s="389" t="s">
        <v>3315</v>
      </c>
      <c r="P275" s="389" t="s">
        <v>2924</v>
      </c>
      <c r="Q275" s="389" t="s">
        <v>3219</v>
      </c>
      <c r="R275" s="389" t="s">
        <v>2208</v>
      </c>
      <c r="S275" s="389" t="s">
        <v>2208</v>
      </c>
    </row>
    <row r="276" spans="1:19">
      <c r="A276" s="389" t="s">
        <v>8839</v>
      </c>
      <c r="B276" s="391" t="str">
        <f t="shared" si="8"/>
        <v>LCP-240190-EX</v>
      </c>
      <c r="C276" s="389" t="str">
        <f t="shared" si="9"/>
        <v>março</v>
      </c>
      <c r="D276" s="389" t="s">
        <v>9127</v>
      </c>
      <c r="E276" s="391">
        <v>45740</v>
      </c>
      <c r="F276" s="389" t="s">
        <v>10760</v>
      </c>
      <c r="G276" s="389" t="s">
        <v>2916</v>
      </c>
      <c r="H276" s="389" t="s">
        <v>11233</v>
      </c>
      <c r="I276" s="398">
        <v>1</v>
      </c>
      <c r="J276" s="390">
        <v>1714.73</v>
      </c>
      <c r="K276" s="389" t="s">
        <v>2917</v>
      </c>
      <c r="L276" s="390">
        <v>10004.85</v>
      </c>
      <c r="M276" s="389" t="s">
        <v>2918</v>
      </c>
      <c r="N276" s="389" t="s">
        <v>3315</v>
      </c>
      <c r="O276" s="389" t="s">
        <v>3315</v>
      </c>
      <c r="P276" s="389" t="s">
        <v>2924</v>
      </c>
      <c r="Q276" s="389" t="s">
        <v>3219</v>
      </c>
      <c r="R276" s="389" t="s">
        <v>2208</v>
      </c>
      <c r="S276" s="389" t="s">
        <v>2208</v>
      </c>
    </row>
    <row r="277" spans="1:19">
      <c r="A277" s="389" t="s">
        <v>8839</v>
      </c>
      <c r="B277" s="391" t="str">
        <f t="shared" si="8"/>
        <v>LCP-240190-EX</v>
      </c>
      <c r="C277" s="389" t="str">
        <f t="shared" si="9"/>
        <v>março</v>
      </c>
      <c r="D277" s="389" t="s">
        <v>9127</v>
      </c>
      <c r="E277" s="391">
        <v>45740</v>
      </c>
      <c r="F277" s="389" t="s">
        <v>10760</v>
      </c>
      <c r="G277" s="389" t="s">
        <v>2916</v>
      </c>
      <c r="H277" s="389" t="s">
        <v>11234</v>
      </c>
      <c r="I277" s="398">
        <v>1</v>
      </c>
      <c r="J277" s="390">
        <v>1714.73</v>
      </c>
      <c r="K277" s="389" t="s">
        <v>2917</v>
      </c>
      <c r="L277" s="390">
        <v>10004.85</v>
      </c>
      <c r="M277" s="389" t="s">
        <v>2918</v>
      </c>
      <c r="N277" s="389" t="s">
        <v>3315</v>
      </c>
      <c r="O277" s="389" t="s">
        <v>3315</v>
      </c>
      <c r="P277" s="389" t="s">
        <v>2924</v>
      </c>
      <c r="Q277" s="389" t="s">
        <v>3219</v>
      </c>
      <c r="R277" s="389" t="s">
        <v>2208</v>
      </c>
      <c r="S277" s="389" t="s">
        <v>2208</v>
      </c>
    </row>
    <row r="278" spans="1:19">
      <c r="A278" s="389" t="s">
        <v>8839</v>
      </c>
      <c r="B278" s="391" t="str">
        <f t="shared" si="8"/>
        <v>LCP-240190-EX</v>
      </c>
      <c r="C278" s="389" t="str">
        <f t="shared" si="9"/>
        <v>março</v>
      </c>
      <c r="D278" s="389" t="s">
        <v>9127</v>
      </c>
      <c r="E278" s="391">
        <v>45742</v>
      </c>
      <c r="F278" s="389" t="s">
        <v>10760</v>
      </c>
      <c r="G278" s="389" t="s">
        <v>2916</v>
      </c>
      <c r="H278" s="389" t="s">
        <v>11887</v>
      </c>
      <c r="I278" s="398">
        <v>0</v>
      </c>
      <c r="J278" s="390">
        <v>-158.61000000000001</v>
      </c>
      <c r="K278" s="389" t="s">
        <v>2917</v>
      </c>
      <c r="L278" s="390">
        <v>-925.45</v>
      </c>
      <c r="M278" s="389" t="s">
        <v>2918</v>
      </c>
      <c r="N278" s="389" t="s">
        <v>11888</v>
      </c>
      <c r="O278" s="389" t="s">
        <v>3315</v>
      </c>
      <c r="P278" s="389" t="s">
        <v>2924</v>
      </c>
      <c r="Q278" s="389" t="s">
        <v>3219</v>
      </c>
      <c r="R278" s="389" t="s">
        <v>2208</v>
      </c>
      <c r="S278" s="389" t="s">
        <v>2208</v>
      </c>
    </row>
    <row r="279" spans="1:19">
      <c r="A279" s="389" t="s">
        <v>8839</v>
      </c>
      <c r="B279" s="391" t="str">
        <f t="shared" si="8"/>
        <v>LCP-240190-EX</v>
      </c>
      <c r="C279" s="389" t="str">
        <f t="shared" si="9"/>
        <v>março</v>
      </c>
      <c r="D279" s="389" t="s">
        <v>9127</v>
      </c>
      <c r="E279" s="391">
        <v>45742</v>
      </c>
      <c r="F279" s="389" t="s">
        <v>10760</v>
      </c>
      <c r="G279" s="389" t="s">
        <v>2916</v>
      </c>
      <c r="H279" s="389" t="s">
        <v>11889</v>
      </c>
      <c r="I279" s="398">
        <v>0</v>
      </c>
      <c r="J279" s="390">
        <v>-158.61000000000001</v>
      </c>
      <c r="K279" s="389" t="s">
        <v>2917</v>
      </c>
      <c r="L279" s="390">
        <v>-925.45</v>
      </c>
      <c r="M279" s="389" t="s">
        <v>2918</v>
      </c>
      <c r="N279" s="389" t="s">
        <v>11890</v>
      </c>
      <c r="O279" s="389" t="s">
        <v>3315</v>
      </c>
      <c r="P279" s="389" t="s">
        <v>2924</v>
      </c>
      <c r="Q279" s="389" t="s">
        <v>3219</v>
      </c>
      <c r="R279" s="389" t="s">
        <v>2208</v>
      </c>
      <c r="S279" s="389" t="s">
        <v>2208</v>
      </c>
    </row>
    <row r="280" spans="1:19">
      <c r="A280" s="389" t="s">
        <v>8839</v>
      </c>
      <c r="B280" s="391" t="str">
        <f t="shared" si="8"/>
        <v>LCP-240190-EX</v>
      </c>
      <c r="C280" s="389" t="str">
        <f t="shared" si="9"/>
        <v>março</v>
      </c>
      <c r="D280" s="389" t="s">
        <v>9127</v>
      </c>
      <c r="E280" s="391">
        <v>45742</v>
      </c>
      <c r="F280" s="389" t="s">
        <v>10760</v>
      </c>
      <c r="G280" s="389" t="s">
        <v>2916</v>
      </c>
      <c r="H280" s="389" t="s">
        <v>11891</v>
      </c>
      <c r="I280" s="398">
        <v>0</v>
      </c>
      <c r="J280" s="390">
        <v>-158.61000000000001</v>
      </c>
      <c r="K280" s="389" t="s">
        <v>2917</v>
      </c>
      <c r="L280" s="390">
        <v>-925.45</v>
      </c>
      <c r="M280" s="389" t="s">
        <v>2918</v>
      </c>
      <c r="N280" s="389" t="s">
        <v>11892</v>
      </c>
      <c r="O280" s="389" t="s">
        <v>3315</v>
      </c>
      <c r="P280" s="389" t="s">
        <v>2924</v>
      </c>
      <c r="Q280" s="389" t="s">
        <v>3219</v>
      </c>
      <c r="R280" s="389" t="s">
        <v>2208</v>
      </c>
      <c r="S280" s="389" t="s">
        <v>2208</v>
      </c>
    </row>
    <row r="281" spans="1:19">
      <c r="A281" s="389" t="s">
        <v>8839</v>
      </c>
      <c r="B281" s="391" t="str">
        <f t="shared" si="8"/>
        <v>LCP-240190-EX</v>
      </c>
      <c r="C281" s="389" t="str">
        <f t="shared" si="9"/>
        <v>março</v>
      </c>
      <c r="D281" s="389" t="s">
        <v>9127</v>
      </c>
      <c r="E281" s="391">
        <v>45742</v>
      </c>
      <c r="F281" s="389" t="s">
        <v>10760</v>
      </c>
      <c r="G281" s="389" t="s">
        <v>2916</v>
      </c>
      <c r="H281" s="389" t="s">
        <v>11893</v>
      </c>
      <c r="I281" s="398">
        <v>0</v>
      </c>
      <c r="J281" s="390">
        <v>-158.61000000000001</v>
      </c>
      <c r="K281" s="389" t="s">
        <v>2917</v>
      </c>
      <c r="L281" s="390">
        <v>-925.45</v>
      </c>
      <c r="M281" s="389" t="s">
        <v>2918</v>
      </c>
      <c r="N281" s="389" t="s">
        <v>11894</v>
      </c>
      <c r="O281" s="389" t="s">
        <v>3315</v>
      </c>
      <c r="P281" s="389" t="s">
        <v>2924</v>
      </c>
      <c r="Q281" s="389" t="s">
        <v>3219</v>
      </c>
      <c r="R281" s="389" t="s">
        <v>2208</v>
      </c>
      <c r="S281" s="389" t="s">
        <v>2208</v>
      </c>
    </row>
    <row r="282" spans="1:19">
      <c r="A282" s="389" t="s">
        <v>8839</v>
      </c>
      <c r="B282" s="391" t="str">
        <f t="shared" si="8"/>
        <v>LCP-240190-EX</v>
      </c>
      <c r="C282" s="389" t="str">
        <f t="shared" si="9"/>
        <v>março</v>
      </c>
      <c r="D282" s="389" t="s">
        <v>9127</v>
      </c>
      <c r="E282" s="391">
        <v>45742</v>
      </c>
      <c r="F282" s="389" t="s">
        <v>10760</v>
      </c>
      <c r="G282" s="389" t="s">
        <v>2916</v>
      </c>
      <c r="H282" s="389" t="s">
        <v>11895</v>
      </c>
      <c r="I282" s="398">
        <v>0</v>
      </c>
      <c r="J282" s="390">
        <v>-158.61000000000001</v>
      </c>
      <c r="K282" s="389" t="s">
        <v>2917</v>
      </c>
      <c r="L282" s="390">
        <v>-925.45</v>
      </c>
      <c r="M282" s="389" t="s">
        <v>2918</v>
      </c>
      <c r="N282" s="389" t="s">
        <v>11896</v>
      </c>
      <c r="O282" s="389" t="s">
        <v>3315</v>
      </c>
      <c r="P282" s="389" t="s">
        <v>2924</v>
      </c>
      <c r="Q282" s="389" t="s">
        <v>3219</v>
      </c>
      <c r="R282" s="389" t="s">
        <v>2208</v>
      </c>
      <c r="S282" s="389" t="s">
        <v>2208</v>
      </c>
    </row>
    <row r="283" spans="1:19">
      <c r="A283" s="389" t="s">
        <v>8839</v>
      </c>
      <c r="B283" s="391" t="str">
        <f t="shared" si="8"/>
        <v>LCP-240190-EX</v>
      </c>
      <c r="C283" s="389" t="str">
        <f t="shared" si="9"/>
        <v>março</v>
      </c>
      <c r="D283" s="389" t="s">
        <v>9127</v>
      </c>
      <c r="E283" s="391">
        <v>45742</v>
      </c>
      <c r="F283" s="389" t="s">
        <v>10760</v>
      </c>
      <c r="G283" s="389" t="s">
        <v>2916</v>
      </c>
      <c r="H283" s="389" t="s">
        <v>11897</v>
      </c>
      <c r="I283" s="398">
        <v>0</v>
      </c>
      <c r="J283" s="390">
        <v>-158.61000000000001</v>
      </c>
      <c r="K283" s="389" t="s">
        <v>2917</v>
      </c>
      <c r="L283" s="390">
        <v>-925.45</v>
      </c>
      <c r="M283" s="389" t="s">
        <v>2918</v>
      </c>
      <c r="N283" s="389" t="s">
        <v>11898</v>
      </c>
      <c r="O283" s="389" t="s">
        <v>3315</v>
      </c>
      <c r="P283" s="389" t="s">
        <v>2924</v>
      </c>
      <c r="Q283" s="389" t="s">
        <v>3219</v>
      </c>
      <c r="R283" s="389" t="s">
        <v>2208</v>
      </c>
      <c r="S283" s="389" t="s">
        <v>2208</v>
      </c>
    </row>
    <row r="284" spans="1:19">
      <c r="A284" s="389" t="s">
        <v>8839</v>
      </c>
      <c r="B284" s="391" t="str">
        <f t="shared" si="8"/>
        <v>LCP-240190-EX</v>
      </c>
      <c r="C284" s="389" t="str">
        <f t="shared" si="9"/>
        <v>março</v>
      </c>
      <c r="D284" s="389" t="s">
        <v>9127</v>
      </c>
      <c r="E284" s="391">
        <v>45742</v>
      </c>
      <c r="F284" s="389" t="s">
        <v>10760</v>
      </c>
      <c r="G284" s="389" t="s">
        <v>2916</v>
      </c>
      <c r="H284" s="389" t="s">
        <v>11899</v>
      </c>
      <c r="I284" s="398">
        <v>0</v>
      </c>
      <c r="J284" s="390">
        <v>-158.61000000000001</v>
      </c>
      <c r="K284" s="389" t="s">
        <v>2917</v>
      </c>
      <c r="L284" s="390">
        <v>-925.45</v>
      </c>
      <c r="M284" s="389" t="s">
        <v>2918</v>
      </c>
      <c r="N284" s="389" t="s">
        <v>11900</v>
      </c>
      <c r="O284" s="389" t="s">
        <v>3315</v>
      </c>
      <c r="P284" s="389" t="s">
        <v>2924</v>
      </c>
      <c r="Q284" s="389" t="s">
        <v>3219</v>
      </c>
      <c r="R284" s="389" t="s">
        <v>2208</v>
      </c>
      <c r="S284" s="389" t="s">
        <v>2208</v>
      </c>
    </row>
    <row r="285" spans="1:19">
      <c r="A285" s="389" t="s">
        <v>8839</v>
      </c>
      <c r="B285" s="391" t="str">
        <f t="shared" si="8"/>
        <v>LCP-240190-EX</v>
      </c>
      <c r="C285" s="389" t="str">
        <f t="shared" si="9"/>
        <v>março</v>
      </c>
      <c r="D285" s="389" t="s">
        <v>9127</v>
      </c>
      <c r="E285" s="391">
        <v>45742</v>
      </c>
      <c r="F285" s="389" t="s">
        <v>10760</v>
      </c>
      <c r="G285" s="389" t="s">
        <v>2916</v>
      </c>
      <c r="H285" s="389" t="s">
        <v>11901</v>
      </c>
      <c r="I285" s="398">
        <v>0</v>
      </c>
      <c r="J285" s="390">
        <v>-158.61000000000001</v>
      </c>
      <c r="K285" s="389" t="s">
        <v>2917</v>
      </c>
      <c r="L285" s="390">
        <v>-925.45</v>
      </c>
      <c r="M285" s="389" t="s">
        <v>2918</v>
      </c>
      <c r="N285" s="389" t="s">
        <v>11902</v>
      </c>
      <c r="O285" s="389" t="s">
        <v>3315</v>
      </c>
      <c r="P285" s="389" t="s">
        <v>2924</v>
      </c>
      <c r="Q285" s="389" t="s">
        <v>3219</v>
      </c>
      <c r="R285" s="389" t="s">
        <v>2208</v>
      </c>
      <c r="S285" s="389" t="s">
        <v>2208</v>
      </c>
    </row>
    <row r="286" spans="1:19">
      <c r="A286" s="389" t="s">
        <v>8839</v>
      </c>
      <c r="B286" s="391" t="str">
        <f t="shared" si="8"/>
        <v>LCP-240190-EX</v>
      </c>
      <c r="C286" s="389" t="str">
        <f t="shared" si="9"/>
        <v>março</v>
      </c>
      <c r="D286" s="389" t="s">
        <v>9127</v>
      </c>
      <c r="E286" s="391">
        <v>45744</v>
      </c>
      <c r="F286" s="389" t="s">
        <v>2208</v>
      </c>
      <c r="G286" s="389" t="s">
        <v>2916</v>
      </c>
      <c r="H286" s="389" t="s">
        <v>11903</v>
      </c>
      <c r="I286" s="393">
        <v>0</v>
      </c>
      <c r="J286" s="390">
        <v>-28.29</v>
      </c>
      <c r="K286" s="389" t="s">
        <v>2917</v>
      </c>
      <c r="L286" s="390">
        <v>-165.08</v>
      </c>
      <c r="M286" s="389" t="s">
        <v>2918</v>
      </c>
      <c r="N286" s="389" t="s">
        <v>11904</v>
      </c>
      <c r="O286" s="389" t="s">
        <v>2208</v>
      </c>
      <c r="P286" s="389" t="s">
        <v>6851</v>
      </c>
      <c r="Q286" s="389" t="s">
        <v>6852</v>
      </c>
      <c r="R286" s="389" t="s">
        <v>2208</v>
      </c>
      <c r="S286" s="389" t="s">
        <v>2208</v>
      </c>
    </row>
    <row r="287" spans="1:19">
      <c r="A287" s="389" t="s">
        <v>8839</v>
      </c>
      <c r="B287" s="391" t="str">
        <f t="shared" si="8"/>
        <v>LCP-240190-EX</v>
      </c>
      <c r="C287" s="389" t="str">
        <f t="shared" si="9"/>
        <v>março</v>
      </c>
      <c r="D287" s="389" t="s">
        <v>9127</v>
      </c>
      <c r="E287" s="391">
        <v>45744</v>
      </c>
      <c r="F287" s="389" t="s">
        <v>2208</v>
      </c>
      <c r="G287" s="389" t="s">
        <v>2916</v>
      </c>
      <c r="H287" s="389" t="s">
        <v>11903</v>
      </c>
      <c r="I287" s="393">
        <v>0</v>
      </c>
      <c r="J287" s="390">
        <v>-130.32</v>
      </c>
      <c r="K287" s="389" t="s">
        <v>2917</v>
      </c>
      <c r="L287" s="390">
        <v>-760.37</v>
      </c>
      <c r="M287" s="389" t="s">
        <v>2918</v>
      </c>
      <c r="N287" s="389" t="s">
        <v>11904</v>
      </c>
      <c r="O287" s="389" t="s">
        <v>2208</v>
      </c>
      <c r="P287" s="389" t="s">
        <v>6851</v>
      </c>
      <c r="Q287" s="389" t="s">
        <v>6852</v>
      </c>
      <c r="R287" s="389" t="s">
        <v>2208</v>
      </c>
      <c r="S287" s="389" t="s">
        <v>2208</v>
      </c>
    </row>
    <row r="288" spans="1:19">
      <c r="A288" s="389" t="s">
        <v>8839</v>
      </c>
      <c r="B288" s="391" t="str">
        <f t="shared" si="8"/>
        <v>LCP-240190-EX</v>
      </c>
      <c r="C288" s="389" t="str">
        <f t="shared" si="9"/>
        <v>março</v>
      </c>
      <c r="D288" s="389" t="s">
        <v>9127</v>
      </c>
      <c r="E288" s="391">
        <v>45744</v>
      </c>
      <c r="F288" s="389" t="s">
        <v>2208</v>
      </c>
      <c r="G288" s="389" t="s">
        <v>2916</v>
      </c>
      <c r="H288" s="389" t="s">
        <v>11905</v>
      </c>
      <c r="I288" s="393">
        <v>0</v>
      </c>
      <c r="J288" s="390">
        <v>-28.29</v>
      </c>
      <c r="K288" s="389" t="s">
        <v>2917</v>
      </c>
      <c r="L288" s="390">
        <v>-165.08</v>
      </c>
      <c r="M288" s="389" t="s">
        <v>2918</v>
      </c>
      <c r="N288" s="389" t="s">
        <v>11906</v>
      </c>
      <c r="O288" s="389" t="s">
        <v>2208</v>
      </c>
      <c r="P288" s="389" t="s">
        <v>6851</v>
      </c>
      <c r="Q288" s="389" t="s">
        <v>6852</v>
      </c>
      <c r="R288" s="389" t="s">
        <v>2208</v>
      </c>
      <c r="S288" s="389" t="s">
        <v>2208</v>
      </c>
    </row>
    <row r="289" spans="1:19">
      <c r="A289" s="389" t="s">
        <v>8839</v>
      </c>
      <c r="B289" s="391" t="str">
        <f t="shared" si="8"/>
        <v>LCP-240190-EX</v>
      </c>
      <c r="C289" s="389" t="str">
        <f t="shared" si="9"/>
        <v>março</v>
      </c>
      <c r="D289" s="389" t="s">
        <v>9127</v>
      </c>
      <c r="E289" s="391">
        <v>45744</v>
      </c>
      <c r="F289" s="389" t="s">
        <v>2208</v>
      </c>
      <c r="G289" s="389" t="s">
        <v>2916</v>
      </c>
      <c r="H289" s="389" t="s">
        <v>11905</v>
      </c>
      <c r="I289" s="393">
        <v>0</v>
      </c>
      <c r="J289" s="390">
        <v>-130.32</v>
      </c>
      <c r="K289" s="389" t="s">
        <v>2917</v>
      </c>
      <c r="L289" s="390">
        <v>-760.37</v>
      </c>
      <c r="M289" s="389" t="s">
        <v>2918</v>
      </c>
      <c r="N289" s="389" t="s">
        <v>11906</v>
      </c>
      <c r="O289" s="389" t="s">
        <v>2208</v>
      </c>
      <c r="P289" s="389" t="s">
        <v>6851</v>
      </c>
      <c r="Q289" s="389" t="s">
        <v>6852</v>
      </c>
      <c r="R289" s="389" t="s">
        <v>2208</v>
      </c>
      <c r="S289" s="389" t="s">
        <v>2208</v>
      </c>
    </row>
    <row r="290" spans="1:19">
      <c r="A290" s="389" t="s">
        <v>8839</v>
      </c>
      <c r="B290" s="391" t="str">
        <f t="shared" si="8"/>
        <v>LCP-240190-EX</v>
      </c>
      <c r="C290" s="389" t="str">
        <f t="shared" si="9"/>
        <v>março</v>
      </c>
      <c r="D290" s="389" t="s">
        <v>9127</v>
      </c>
      <c r="E290" s="391">
        <v>45744</v>
      </c>
      <c r="F290" s="389" t="s">
        <v>2208</v>
      </c>
      <c r="G290" s="389" t="s">
        <v>2916</v>
      </c>
      <c r="H290" s="389" t="s">
        <v>11878</v>
      </c>
      <c r="I290" s="393">
        <v>0</v>
      </c>
      <c r="J290" s="390">
        <v>-28.29</v>
      </c>
      <c r="K290" s="389" t="s">
        <v>2917</v>
      </c>
      <c r="L290" s="390">
        <v>-165.08</v>
      </c>
      <c r="M290" s="389" t="s">
        <v>2918</v>
      </c>
      <c r="N290" s="389" t="s">
        <v>11879</v>
      </c>
      <c r="O290" s="389" t="s">
        <v>2208</v>
      </c>
      <c r="P290" s="389" t="s">
        <v>6851</v>
      </c>
      <c r="Q290" s="389" t="s">
        <v>6852</v>
      </c>
      <c r="R290" s="389" t="s">
        <v>2208</v>
      </c>
      <c r="S290" s="389" t="s">
        <v>2208</v>
      </c>
    </row>
    <row r="291" spans="1:19">
      <c r="A291" s="389" t="s">
        <v>8839</v>
      </c>
      <c r="B291" s="391" t="str">
        <f t="shared" si="8"/>
        <v>LCP-240190-EX</v>
      </c>
      <c r="C291" s="389" t="str">
        <f t="shared" si="9"/>
        <v>março</v>
      </c>
      <c r="D291" s="389" t="s">
        <v>9127</v>
      </c>
      <c r="E291" s="391">
        <v>45747</v>
      </c>
      <c r="F291" s="389" t="s">
        <v>2208</v>
      </c>
      <c r="G291" s="389" t="s">
        <v>2916</v>
      </c>
      <c r="H291" s="389" t="s">
        <v>11907</v>
      </c>
      <c r="I291" s="393">
        <v>0</v>
      </c>
      <c r="J291" s="390">
        <v>0.02</v>
      </c>
      <c r="K291" s="389" t="s">
        <v>2917</v>
      </c>
      <c r="L291" s="390">
        <v>0</v>
      </c>
      <c r="M291" s="389" t="s">
        <v>2918</v>
      </c>
      <c r="N291" s="389" t="s">
        <v>2919</v>
      </c>
      <c r="O291" s="389" t="s">
        <v>2208</v>
      </c>
      <c r="P291" s="389" t="s">
        <v>2916</v>
      </c>
      <c r="Q291" s="389" t="s">
        <v>3220</v>
      </c>
      <c r="R291" s="389" t="s">
        <v>2208</v>
      </c>
      <c r="S291" s="389" t="s">
        <v>2208</v>
      </c>
    </row>
    <row r="292" spans="1:19">
      <c r="A292" s="389" t="s">
        <v>8839</v>
      </c>
      <c r="B292" s="391" t="str">
        <f t="shared" si="8"/>
        <v>LCP-240190-EX</v>
      </c>
      <c r="C292" s="389" t="str">
        <f t="shared" si="9"/>
        <v>abril</v>
      </c>
      <c r="D292" s="389" t="s">
        <v>11332</v>
      </c>
      <c r="E292" s="391">
        <v>45749</v>
      </c>
      <c r="F292" s="389" t="s">
        <v>8865</v>
      </c>
      <c r="G292" s="389" t="s">
        <v>2916</v>
      </c>
      <c r="H292" s="389" t="s">
        <v>16035</v>
      </c>
      <c r="I292" s="398">
        <v>1</v>
      </c>
      <c r="J292" s="390">
        <v>1737.34</v>
      </c>
      <c r="K292" s="389" t="s">
        <v>2917</v>
      </c>
      <c r="L292" s="390">
        <v>10004.85</v>
      </c>
      <c r="M292" s="389" t="s">
        <v>2918</v>
      </c>
      <c r="N292" s="389" t="s">
        <v>3315</v>
      </c>
      <c r="O292" s="389" t="s">
        <v>3315</v>
      </c>
      <c r="P292" s="389" t="s">
        <v>2924</v>
      </c>
      <c r="Q292" s="389" t="s">
        <v>3219</v>
      </c>
      <c r="R292" s="389" t="s">
        <v>2208</v>
      </c>
      <c r="S292" s="389" t="s">
        <v>2208</v>
      </c>
    </row>
    <row r="293" spans="1:19">
      <c r="A293" s="389" t="s">
        <v>8839</v>
      </c>
      <c r="B293" s="391" t="str">
        <f t="shared" si="8"/>
        <v>LCP-240190-EX</v>
      </c>
      <c r="C293" s="389" t="str">
        <f t="shared" si="9"/>
        <v>abril</v>
      </c>
      <c r="D293" s="389" t="s">
        <v>11332</v>
      </c>
      <c r="E293" s="391">
        <v>45749</v>
      </c>
      <c r="F293" s="389" t="s">
        <v>8865</v>
      </c>
      <c r="G293" s="389" t="s">
        <v>2916</v>
      </c>
      <c r="H293" s="389" t="s">
        <v>16036</v>
      </c>
      <c r="I293" s="398">
        <v>1</v>
      </c>
      <c r="J293" s="390">
        <v>1737.34</v>
      </c>
      <c r="K293" s="389" t="s">
        <v>2917</v>
      </c>
      <c r="L293" s="390">
        <v>10004.85</v>
      </c>
      <c r="M293" s="389" t="s">
        <v>2918</v>
      </c>
      <c r="N293" s="389" t="s">
        <v>3315</v>
      </c>
      <c r="O293" s="389" t="s">
        <v>3315</v>
      </c>
      <c r="P293" s="389" t="s">
        <v>2924</v>
      </c>
      <c r="Q293" s="389" t="s">
        <v>3219</v>
      </c>
      <c r="R293" s="389" t="s">
        <v>2208</v>
      </c>
      <c r="S293" s="389" t="s">
        <v>2208</v>
      </c>
    </row>
    <row r="294" spans="1:19">
      <c r="A294" s="389" t="s">
        <v>8839</v>
      </c>
      <c r="B294" s="391" t="str">
        <f t="shared" si="8"/>
        <v>LCP-240190-EX</v>
      </c>
      <c r="C294" s="389" t="str">
        <f t="shared" si="9"/>
        <v>abril</v>
      </c>
      <c r="D294" s="389" t="s">
        <v>11332</v>
      </c>
      <c r="E294" s="391">
        <v>45749</v>
      </c>
      <c r="F294" s="389" t="s">
        <v>8865</v>
      </c>
      <c r="G294" s="389" t="s">
        <v>2916</v>
      </c>
      <c r="H294" s="389" t="s">
        <v>16037</v>
      </c>
      <c r="I294" s="398">
        <v>1</v>
      </c>
      <c r="J294" s="390">
        <v>1737.34</v>
      </c>
      <c r="K294" s="389" t="s">
        <v>2917</v>
      </c>
      <c r="L294" s="390">
        <v>10004.85</v>
      </c>
      <c r="M294" s="389" t="s">
        <v>2918</v>
      </c>
      <c r="N294" s="389" t="s">
        <v>3315</v>
      </c>
      <c r="O294" s="389" t="s">
        <v>3315</v>
      </c>
      <c r="P294" s="389" t="s">
        <v>2924</v>
      </c>
      <c r="Q294" s="389" t="s">
        <v>3219</v>
      </c>
      <c r="R294" s="389" t="s">
        <v>2208</v>
      </c>
      <c r="S294" s="389" t="s">
        <v>2208</v>
      </c>
    </row>
    <row r="295" spans="1:19">
      <c r="A295" s="389" t="s">
        <v>8839</v>
      </c>
      <c r="B295" s="391" t="str">
        <f t="shared" si="8"/>
        <v>LCP-240190-EX</v>
      </c>
      <c r="C295" s="389" t="str">
        <f t="shared" si="9"/>
        <v>abril</v>
      </c>
      <c r="D295" s="389" t="s">
        <v>11332</v>
      </c>
      <c r="E295" s="391">
        <v>45749</v>
      </c>
      <c r="F295" s="389" t="s">
        <v>8865</v>
      </c>
      <c r="G295" s="389" t="s">
        <v>2916</v>
      </c>
      <c r="H295" s="389" t="s">
        <v>16038</v>
      </c>
      <c r="I295" s="398">
        <v>1</v>
      </c>
      <c r="J295" s="390">
        <v>1737.34</v>
      </c>
      <c r="K295" s="389" t="s">
        <v>2917</v>
      </c>
      <c r="L295" s="390">
        <v>10004.85</v>
      </c>
      <c r="M295" s="389" t="s">
        <v>2918</v>
      </c>
      <c r="N295" s="389" t="s">
        <v>3315</v>
      </c>
      <c r="O295" s="389" t="s">
        <v>3315</v>
      </c>
      <c r="P295" s="389" t="s">
        <v>2924</v>
      </c>
      <c r="Q295" s="389" t="s">
        <v>3219</v>
      </c>
      <c r="R295" s="389" t="s">
        <v>2208</v>
      </c>
      <c r="S295" s="389" t="s">
        <v>2208</v>
      </c>
    </row>
    <row r="296" spans="1:19">
      <c r="A296" s="389" t="s">
        <v>8839</v>
      </c>
      <c r="B296" s="391" t="str">
        <f t="shared" si="8"/>
        <v>LCP-240190-EX</v>
      </c>
      <c r="C296" s="389" t="str">
        <f t="shared" si="9"/>
        <v>abril</v>
      </c>
      <c r="D296" s="389" t="s">
        <v>11332</v>
      </c>
      <c r="E296" s="391">
        <v>45749</v>
      </c>
      <c r="F296" s="389" t="s">
        <v>8865</v>
      </c>
      <c r="G296" s="389" t="s">
        <v>2916</v>
      </c>
      <c r="H296" s="389" t="s">
        <v>16039</v>
      </c>
      <c r="I296" s="398">
        <v>0</v>
      </c>
      <c r="J296" s="390">
        <v>-160.69999999999999</v>
      </c>
      <c r="K296" s="389" t="s">
        <v>2917</v>
      </c>
      <c r="L296" s="390">
        <v>-925.45</v>
      </c>
      <c r="M296" s="389" t="s">
        <v>2918</v>
      </c>
      <c r="N296" s="389" t="s">
        <v>16040</v>
      </c>
      <c r="O296" s="389" t="s">
        <v>3315</v>
      </c>
      <c r="P296" s="389" t="s">
        <v>2924</v>
      </c>
      <c r="Q296" s="389" t="s">
        <v>3219</v>
      </c>
      <c r="R296" s="389" t="s">
        <v>2208</v>
      </c>
      <c r="S296" s="389" t="s">
        <v>2208</v>
      </c>
    </row>
    <row r="297" spans="1:19">
      <c r="A297" s="389" t="s">
        <v>8839</v>
      </c>
      <c r="B297" s="391" t="str">
        <f t="shared" si="8"/>
        <v>LCP-240190-EX</v>
      </c>
      <c r="C297" s="389" t="str">
        <f t="shared" si="9"/>
        <v>abril</v>
      </c>
      <c r="D297" s="389" t="s">
        <v>11332</v>
      </c>
      <c r="E297" s="391">
        <v>45749</v>
      </c>
      <c r="F297" s="389" t="s">
        <v>8865</v>
      </c>
      <c r="G297" s="389" t="s">
        <v>2916</v>
      </c>
      <c r="H297" s="389" t="s">
        <v>16041</v>
      </c>
      <c r="I297" s="398">
        <v>0</v>
      </c>
      <c r="J297" s="390">
        <v>-160.69999999999999</v>
      </c>
      <c r="K297" s="389" t="s">
        <v>2917</v>
      </c>
      <c r="L297" s="390">
        <v>-925.45</v>
      </c>
      <c r="M297" s="389" t="s">
        <v>2918</v>
      </c>
      <c r="N297" s="389" t="s">
        <v>16042</v>
      </c>
      <c r="O297" s="389" t="s">
        <v>3315</v>
      </c>
      <c r="P297" s="389" t="s">
        <v>2924</v>
      </c>
      <c r="Q297" s="389" t="s">
        <v>3219</v>
      </c>
      <c r="R297" s="389" t="s">
        <v>2208</v>
      </c>
      <c r="S297" s="389" t="s">
        <v>2208</v>
      </c>
    </row>
    <row r="298" spans="1:19">
      <c r="A298" s="389" t="s">
        <v>8839</v>
      </c>
      <c r="B298" s="391" t="str">
        <f t="shared" si="8"/>
        <v>LCP-240190-EX</v>
      </c>
      <c r="C298" s="389" t="str">
        <f t="shared" si="9"/>
        <v>abril</v>
      </c>
      <c r="D298" s="389" t="s">
        <v>11332</v>
      </c>
      <c r="E298" s="391">
        <v>45749</v>
      </c>
      <c r="F298" s="389" t="s">
        <v>8865</v>
      </c>
      <c r="G298" s="389" t="s">
        <v>2916</v>
      </c>
      <c r="H298" s="389" t="s">
        <v>16043</v>
      </c>
      <c r="I298" s="398">
        <v>0</v>
      </c>
      <c r="J298" s="390">
        <v>-160.69999999999999</v>
      </c>
      <c r="K298" s="389" t="s">
        <v>2917</v>
      </c>
      <c r="L298" s="390">
        <v>-925.45</v>
      </c>
      <c r="M298" s="389" t="s">
        <v>2918</v>
      </c>
      <c r="N298" s="389" t="s">
        <v>16044</v>
      </c>
      <c r="O298" s="389" t="s">
        <v>3315</v>
      </c>
      <c r="P298" s="389" t="s">
        <v>2924</v>
      </c>
      <c r="Q298" s="389" t="s">
        <v>3219</v>
      </c>
      <c r="R298" s="389" t="s">
        <v>2208</v>
      </c>
      <c r="S298" s="389" t="s">
        <v>2208</v>
      </c>
    </row>
    <row r="299" spans="1:19">
      <c r="A299" s="389" t="s">
        <v>8839</v>
      </c>
      <c r="B299" s="391" t="str">
        <f t="shared" si="8"/>
        <v>LCP-240190-EX</v>
      </c>
      <c r="C299" s="389" t="str">
        <f t="shared" si="9"/>
        <v>abril</v>
      </c>
      <c r="D299" s="389" t="s">
        <v>11332</v>
      </c>
      <c r="E299" s="391">
        <v>45749</v>
      </c>
      <c r="F299" s="389" t="s">
        <v>8865</v>
      </c>
      <c r="G299" s="389" t="s">
        <v>2916</v>
      </c>
      <c r="H299" s="389" t="s">
        <v>16045</v>
      </c>
      <c r="I299" s="398">
        <v>0</v>
      </c>
      <c r="J299" s="390">
        <v>-160.69999999999999</v>
      </c>
      <c r="K299" s="389" t="s">
        <v>2917</v>
      </c>
      <c r="L299" s="390">
        <v>-925.45</v>
      </c>
      <c r="M299" s="389" t="s">
        <v>2918</v>
      </c>
      <c r="N299" s="389" t="s">
        <v>16046</v>
      </c>
      <c r="O299" s="389" t="s">
        <v>3315</v>
      </c>
      <c r="P299" s="389" t="s">
        <v>2924</v>
      </c>
      <c r="Q299" s="389" t="s">
        <v>3219</v>
      </c>
      <c r="R299" s="389" t="s">
        <v>2208</v>
      </c>
      <c r="S299" s="389" t="s">
        <v>2208</v>
      </c>
    </row>
    <row r="300" spans="1:19">
      <c r="A300" s="389" t="s">
        <v>8839</v>
      </c>
      <c r="B300" s="391" t="str">
        <f t="shared" si="8"/>
        <v>LCP-240190-EX</v>
      </c>
      <c r="C300" s="389" t="str">
        <f t="shared" si="9"/>
        <v>abril</v>
      </c>
      <c r="D300" s="389" t="s">
        <v>11332</v>
      </c>
      <c r="E300" s="391">
        <v>45755</v>
      </c>
      <c r="F300" s="389" t="s">
        <v>16047</v>
      </c>
      <c r="G300" s="389" t="s">
        <v>2916</v>
      </c>
      <c r="H300" s="389" t="s">
        <v>16048</v>
      </c>
      <c r="I300" s="398">
        <v>1</v>
      </c>
      <c r="J300" s="390">
        <v>1737.34</v>
      </c>
      <c r="K300" s="389" t="s">
        <v>2917</v>
      </c>
      <c r="L300" s="390">
        <v>10004.85</v>
      </c>
      <c r="M300" s="389" t="s">
        <v>2918</v>
      </c>
      <c r="N300" s="389" t="s">
        <v>3315</v>
      </c>
      <c r="O300" s="389" t="s">
        <v>3315</v>
      </c>
      <c r="P300" s="389" t="s">
        <v>2924</v>
      </c>
      <c r="Q300" s="389" t="s">
        <v>3219</v>
      </c>
      <c r="R300" s="389" t="s">
        <v>2208</v>
      </c>
      <c r="S300" s="389" t="s">
        <v>2208</v>
      </c>
    </row>
    <row r="301" spans="1:19">
      <c r="A301" s="389" t="s">
        <v>8839</v>
      </c>
      <c r="B301" s="391" t="str">
        <f t="shared" si="8"/>
        <v>LCP-240190-EX</v>
      </c>
      <c r="C301" s="389" t="str">
        <f t="shared" si="9"/>
        <v>abril</v>
      </c>
      <c r="D301" s="389" t="s">
        <v>11332</v>
      </c>
      <c r="E301" s="391">
        <v>45755</v>
      </c>
      <c r="F301" s="389" t="s">
        <v>16047</v>
      </c>
      <c r="G301" s="389" t="s">
        <v>2916</v>
      </c>
      <c r="H301" s="389" t="s">
        <v>16049</v>
      </c>
      <c r="I301" s="398">
        <v>1</v>
      </c>
      <c r="J301" s="390">
        <v>1737.34</v>
      </c>
      <c r="K301" s="389" t="s">
        <v>2917</v>
      </c>
      <c r="L301" s="390">
        <v>10004.85</v>
      </c>
      <c r="M301" s="389" t="s">
        <v>2918</v>
      </c>
      <c r="N301" s="389" t="s">
        <v>3315</v>
      </c>
      <c r="O301" s="389" t="s">
        <v>3315</v>
      </c>
      <c r="P301" s="389" t="s">
        <v>2924</v>
      </c>
      <c r="Q301" s="389" t="s">
        <v>3219</v>
      </c>
      <c r="R301" s="389" t="s">
        <v>2208</v>
      </c>
      <c r="S301" s="389" t="s">
        <v>2208</v>
      </c>
    </row>
    <row r="302" spans="1:19">
      <c r="A302" s="389" t="s">
        <v>8839</v>
      </c>
      <c r="B302" s="391" t="str">
        <f t="shared" si="8"/>
        <v>LCP-240190-EX</v>
      </c>
      <c r="C302" s="389" t="str">
        <f t="shared" si="9"/>
        <v>abril</v>
      </c>
      <c r="D302" s="389" t="s">
        <v>11332</v>
      </c>
      <c r="E302" s="391">
        <v>45755</v>
      </c>
      <c r="F302" s="389" t="s">
        <v>16047</v>
      </c>
      <c r="G302" s="389" t="s">
        <v>2916</v>
      </c>
      <c r="H302" s="389" t="s">
        <v>16050</v>
      </c>
      <c r="I302" s="398">
        <v>1</v>
      </c>
      <c r="J302" s="390">
        <v>1737.34</v>
      </c>
      <c r="K302" s="389" t="s">
        <v>2917</v>
      </c>
      <c r="L302" s="390">
        <v>10004.85</v>
      </c>
      <c r="M302" s="389" t="s">
        <v>2918</v>
      </c>
      <c r="N302" s="389" t="s">
        <v>3315</v>
      </c>
      <c r="O302" s="389" t="s">
        <v>3315</v>
      </c>
      <c r="P302" s="389" t="s">
        <v>2924</v>
      </c>
      <c r="Q302" s="389" t="s">
        <v>3219</v>
      </c>
      <c r="R302" s="389" t="s">
        <v>2208</v>
      </c>
      <c r="S302" s="389" t="s">
        <v>2208</v>
      </c>
    </row>
    <row r="303" spans="1:19">
      <c r="A303" s="389" t="s">
        <v>8839</v>
      </c>
      <c r="B303" s="391" t="str">
        <f t="shared" si="8"/>
        <v>LCP-240190-EX</v>
      </c>
      <c r="C303" s="389" t="str">
        <f t="shared" si="9"/>
        <v>abril</v>
      </c>
      <c r="D303" s="389" t="s">
        <v>11332</v>
      </c>
      <c r="E303" s="391">
        <v>45755</v>
      </c>
      <c r="F303" s="389" t="s">
        <v>16047</v>
      </c>
      <c r="G303" s="389" t="s">
        <v>2916</v>
      </c>
      <c r="H303" s="389" t="s">
        <v>16051</v>
      </c>
      <c r="I303" s="398">
        <v>1</v>
      </c>
      <c r="J303" s="390">
        <v>1737.34</v>
      </c>
      <c r="K303" s="389" t="s">
        <v>2917</v>
      </c>
      <c r="L303" s="390">
        <v>10004.85</v>
      </c>
      <c r="M303" s="389" t="s">
        <v>2918</v>
      </c>
      <c r="N303" s="389" t="s">
        <v>3315</v>
      </c>
      <c r="O303" s="389" t="s">
        <v>3315</v>
      </c>
      <c r="P303" s="389" t="s">
        <v>2924</v>
      </c>
      <c r="Q303" s="389" t="s">
        <v>3219</v>
      </c>
      <c r="R303" s="389" t="s">
        <v>2208</v>
      </c>
      <c r="S303" s="389" t="s">
        <v>2208</v>
      </c>
    </row>
    <row r="304" spans="1:19">
      <c r="A304" s="389" t="s">
        <v>8839</v>
      </c>
      <c r="B304" s="391" t="str">
        <f t="shared" si="8"/>
        <v>LCP-240190-EX</v>
      </c>
      <c r="C304" s="389" t="str">
        <f t="shared" si="9"/>
        <v>abril</v>
      </c>
      <c r="D304" s="389" t="s">
        <v>11332</v>
      </c>
      <c r="E304" s="391">
        <v>45755</v>
      </c>
      <c r="F304" s="389" t="s">
        <v>16047</v>
      </c>
      <c r="G304" s="389" t="s">
        <v>2916</v>
      </c>
      <c r="H304" s="389" t="s">
        <v>16052</v>
      </c>
      <c r="I304" s="398">
        <v>1</v>
      </c>
      <c r="J304" s="390">
        <v>1737.34</v>
      </c>
      <c r="K304" s="389" t="s">
        <v>2917</v>
      </c>
      <c r="L304" s="390">
        <v>10004.85</v>
      </c>
      <c r="M304" s="389" t="s">
        <v>2918</v>
      </c>
      <c r="N304" s="389" t="s">
        <v>3315</v>
      </c>
      <c r="O304" s="389" t="s">
        <v>3315</v>
      </c>
      <c r="P304" s="389" t="s">
        <v>2924</v>
      </c>
      <c r="Q304" s="389" t="s">
        <v>3219</v>
      </c>
      <c r="R304" s="389" t="s">
        <v>2208</v>
      </c>
      <c r="S304" s="389" t="s">
        <v>2208</v>
      </c>
    </row>
    <row r="305" spans="1:19">
      <c r="A305" s="389" t="s">
        <v>8839</v>
      </c>
      <c r="B305" s="391" t="str">
        <f t="shared" si="8"/>
        <v>LCP-240190-EX</v>
      </c>
      <c r="C305" s="389" t="str">
        <f t="shared" si="9"/>
        <v>abril</v>
      </c>
      <c r="D305" s="389" t="s">
        <v>11332</v>
      </c>
      <c r="E305" s="391">
        <v>45755</v>
      </c>
      <c r="F305" s="389" t="s">
        <v>16047</v>
      </c>
      <c r="G305" s="389" t="s">
        <v>2916</v>
      </c>
      <c r="H305" s="389" t="s">
        <v>16053</v>
      </c>
      <c r="I305" s="398">
        <v>1</v>
      </c>
      <c r="J305" s="390">
        <v>1737.34</v>
      </c>
      <c r="K305" s="389" t="s">
        <v>2917</v>
      </c>
      <c r="L305" s="390">
        <v>10004.85</v>
      </c>
      <c r="M305" s="389" t="s">
        <v>2918</v>
      </c>
      <c r="N305" s="389" t="s">
        <v>3315</v>
      </c>
      <c r="O305" s="389" t="s">
        <v>3315</v>
      </c>
      <c r="P305" s="389" t="s">
        <v>2924</v>
      </c>
      <c r="Q305" s="389" t="s">
        <v>3219</v>
      </c>
      <c r="R305" s="389" t="s">
        <v>2208</v>
      </c>
      <c r="S305" s="389" t="s">
        <v>2208</v>
      </c>
    </row>
    <row r="306" spans="1:19">
      <c r="A306" s="389" t="s">
        <v>8839</v>
      </c>
      <c r="B306" s="391" t="str">
        <f t="shared" si="8"/>
        <v>LCP-240190-EX</v>
      </c>
      <c r="C306" s="389" t="str">
        <f t="shared" si="9"/>
        <v>abril</v>
      </c>
      <c r="D306" s="389" t="s">
        <v>11332</v>
      </c>
      <c r="E306" s="391">
        <v>45755</v>
      </c>
      <c r="F306" s="389" t="s">
        <v>16047</v>
      </c>
      <c r="G306" s="389" t="s">
        <v>2916</v>
      </c>
      <c r="H306" s="389" t="s">
        <v>16054</v>
      </c>
      <c r="I306" s="398">
        <v>1</v>
      </c>
      <c r="J306" s="390">
        <v>1737.34</v>
      </c>
      <c r="K306" s="389" t="s">
        <v>2917</v>
      </c>
      <c r="L306" s="390">
        <v>10004.85</v>
      </c>
      <c r="M306" s="389" t="s">
        <v>2918</v>
      </c>
      <c r="N306" s="389" t="s">
        <v>3315</v>
      </c>
      <c r="O306" s="389" t="s">
        <v>3315</v>
      </c>
      <c r="P306" s="389" t="s">
        <v>2924</v>
      </c>
      <c r="Q306" s="389" t="s">
        <v>3219</v>
      </c>
      <c r="R306" s="389" t="s">
        <v>2208</v>
      </c>
      <c r="S306" s="389" t="s">
        <v>2208</v>
      </c>
    </row>
    <row r="307" spans="1:19">
      <c r="A307" s="389" t="s">
        <v>8839</v>
      </c>
      <c r="B307" s="391" t="str">
        <f t="shared" si="8"/>
        <v>LCP-240190-EX</v>
      </c>
      <c r="C307" s="389" t="str">
        <f t="shared" si="9"/>
        <v>abril</v>
      </c>
      <c r="D307" s="389" t="s">
        <v>11332</v>
      </c>
      <c r="E307" s="391">
        <v>45755</v>
      </c>
      <c r="F307" s="389" t="s">
        <v>16047</v>
      </c>
      <c r="G307" s="389" t="s">
        <v>2916</v>
      </c>
      <c r="H307" s="389" t="s">
        <v>16055</v>
      </c>
      <c r="I307" s="398">
        <v>1</v>
      </c>
      <c r="J307" s="390">
        <v>1737.34</v>
      </c>
      <c r="K307" s="389" t="s">
        <v>2917</v>
      </c>
      <c r="L307" s="390">
        <v>10004.85</v>
      </c>
      <c r="M307" s="389" t="s">
        <v>2918</v>
      </c>
      <c r="N307" s="389" t="s">
        <v>3315</v>
      </c>
      <c r="O307" s="389" t="s">
        <v>3315</v>
      </c>
      <c r="P307" s="389" t="s">
        <v>2924</v>
      </c>
      <c r="Q307" s="389" t="s">
        <v>3219</v>
      </c>
      <c r="R307" s="389" t="s">
        <v>2208</v>
      </c>
      <c r="S307" s="389" t="s">
        <v>2208</v>
      </c>
    </row>
    <row r="308" spans="1:19">
      <c r="A308" s="389" t="s">
        <v>8839</v>
      </c>
      <c r="B308" s="391" t="str">
        <f t="shared" si="8"/>
        <v>LCP-240190-EX</v>
      </c>
      <c r="C308" s="389" t="str">
        <f t="shared" si="9"/>
        <v>abril</v>
      </c>
      <c r="D308" s="389" t="s">
        <v>11332</v>
      </c>
      <c r="E308" s="391">
        <v>45757</v>
      </c>
      <c r="F308" s="389" t="s">
        <v>16047</v>
      </c>
      <c r="G308" s="389" t="s">
        <v>2916</v>
      </c>
      <c r="H308" s="389" t="s">
        <v>16056</v>
      </c>
      <c r="I308" s="398">
        <v>0</v>
      </c>
      <c r="J308" s="390">
        <v>-160.69999999999999</v>
      </c>
      <c r="K308" s="389" t="s">
        <v>2917</v>
      </c>
      <c r="L308" s="390">
        <v>-925.45</v>
      </c>
      <c r="M308" s="389" t="s">
        <v>2918</v>
      </c>
      <c r="N308" s="389" t="s">
        <v>16057</v>
      </c>
      <c r="O308" s="389" t="s">
        <v>3315</v>
      </c>
      <c r="P308" s="389" t="s">
        <v>2924</v>
      </c>
      <c r="Q308" s="389" t="s">
        <v>3219</v>
      </c>
      <c r="R308" s="389" t="s">
        <v>2208</v>
      </c>
      <c r="S308" s="389" t="s">
        <v>2208</v>
      </c>
    </row>
    <row r="309" spans="1:19">
      <c r="A309" s="389" t="s">
        <v>8839</v>
      </c>
      <c r="B309" s="391" t="str">
        <f t="shared" si="8"/>
        <v>LCP-240190-EX</v>
      </c>
      <c r="C309" s="389" t="str">
        <f t="shared" si="9"/>
        <v>abril</v>
      </c>
      <c r="D309" s="389" t="s">
        <v>11332</v>
      </c>
      <c r="E309" s="391">
        <v>45757</v>
      </c>
      <c r="F309" s="389" t="s">
        <v>16047</v>
      </c>
      <c r="G309" s="389" t="s">
        <v>2916</v>
      </c>
      <c r="H309" s="389" t="s">
        <v>16058</v>
      </c>
      <c r="I309" s="398">
        <v>0</v>
      </c>
      <c r="J309" s="390">
        <v>-160.69999999999999</v>
      </c>
      <c r="K309" s="389" t="s">
        <v>2917</v>
      </c>
      <c r="L309" s="390">
        <v>-925.45</v>
      </c>
      <c r="M309" s="389" t="s">
        <v>2918</v>
      </c>
      <c r="N309" s="389" t="s">
        <v>16059</v>
      </c>
      <c r="O309" s="389" t="s">
        <v>3315</v>
      </c>
      <c r="P309" s="389" t="s">
        <v>2924</v>
      </c>
      <c r="Q309" s="389" t="s">
        <v>3219</v>
      </c>
      <c r="R309" s="389" t="s">
        <v>2208</v>
      </c>
      <c r="S309" s="389" t="s">
        <v>2208</v>
      </c>
    </row>
    <row r="310" spans="1:19">
      <c r="A310" s="389" t="s">
        <v>8839</v>
      </c>
      <c r="B310" s="391" t="str">
        <f t="shared" si="8"/>
        <v>LCP-240190-EX</v>
      </c>
      <c r="C310" s="389" t="str">
        <f t="shared" si="9"/>
        <v>abril</v>
      </c>
      <c r="D310" s="389" t="s">
        <v>11332</v>
      </c>
      <c r="E310" s="391">
        <v>45757</v>
      </c>
      <c r="F310" s="389" t="s">
        <v>16047</v>
      </c>
      <c r="G310" s="389" t="s">
        <v>2916</v>
      </c>
      <c r="H310" s="389" t="s">
        <v>16060</v>
      </c>
      <c r="I310" s="398">
        <v>0</v>
      </c>
      <c r="J310" s="390">
        <v>-160.69999999999999</v>
      </c>
      <c r="K310" s="389" t="s">
        <v>2917</v>
      </c>
      <c r="L310" s="390">
        <v>-925.45</v>
      </c>
      <c r="M310" s="389" t="s">
        <v>2918</v>
      </c>
      <c r="N310" s="389" t="s">
        <v>16061</v>
      </c>
      <c r="O310" s="389" t="s">
        <v>3315</v>
      </c>
      <c r="P310" s="389" t="s">
        <v>2924</v>
      </c>
      <c r="Q310" s="389" t="s">
        <v>3219</v>
      </c>
      <c r="R310" s="389" t="s">
        <v>2208</v>
      </c>
      <c r="S310" s="389" t="s">
        <v>2208</v>
      </c>
    </row>
    <row r="311" spans="1:19">
      <c r="A311" s="389" t="s">
        <v>8839</v>
      </c>
      <c r="B311" s="391" t="str">
        <f t="shared" si="8"/>
        <v>LCP-240190-EX</v>
      </c>
      <c r="C311" s="389" t="str">
        <f t="shared" si="9"/>
        <v>abril</v>
      </c>
      <c r="D311" s="389" t="s">
        <v>11332</v>
      </c>
      <c r="E311" s="391">
        <v>45757</v>
      </c>
      <c r="F311" s="389" t="s">
        <v>16047</v>
      </c>
      <c r="G311" s="389" t="s">
        <v>2916</v>
      </c>
      <c r="H311" s="389" t="s">
        <v>16062</v>
      </c>
      <c r="I311" s="398">
        <v>0</v>
      </c>
      <c r="J311" s="390">
        <v>-160.69999999999999</v>
      </c>
      <c r="K311" s="389" t="s">
        <v>2917</v>
      </c>
      <c r="L311" s="390">
        <v>-925.45</v>
      </c>
      <c r="M311" s="389" t="s">
        <v>2918</v>
      </c>
      <c r="N311" s="389" t="s">
        <v>16063</v>
      </c>
      <c r="O311" s="389" t="s">
        <v>3315</v>
      </c>
      <c r="P311" s="389" t="s">
        <v>2924</v>
      </c>
      <c r="Q311" s="389" t="s">
        <v>3219</v>
      </c>
      <c r="R311" s="389" t="s">
        <v>2208</v>
      </c>
      <c r="S311" s="389" t="s">
        <v>2208</v>
      </c>
    </row>
    <row r="312" spans="1:19">
      <c r="A312" s="389" t="s">
        <v>8839</v>
      </c>
      <c r="B312" s="391" t="str">
        <f t="shared" si="8"/>
        <v>LCP-240190-EX</v>
      </c>
      <c r="C312" s="389" t="str">
        <f t="shared" si="9"/>
        <v>abril</v>
      </c>
      <c r="D312" s="389" t="s">
        <v>11332</v>
      </c>
      <c r="E312" s="391">
        <v>45757</v>
      </c>
      <c r="F312" s="389" t="s">
        <v>16047</v>
      </c>
      <c r="G312" s="389" t="s">
        <v>2916</v>
      </c>
      <c r="H312" s="389" t="s">
        <v>16064</v>
      </c>
      <c r="I312" s="398">
        <v>0</v>
      </c>
      <c r="J312" s="390">
        <v>-160.69999999999999</v>
      </c>
      <c r="K312" s="389" t="s">
        <v>2917</v>
      </c>
      <c r="L312" s="390">
        <v>-925.45</v>
      </c>
      <c r="M312" s="389" t="s">
        <v>2918</v>
      </c>
      <c r="N312" s="389" t="s">
        <v>16065</v>
      </c>
      <c r="O312" s="389" t="s">
        <v>3315</v>
      </c>
      <c r="P312" s="389" t="s">
        <v>2924</v>
      </c>
      <c r="Q312" s="389" t="s">
        <v>3219</v>
      </c>
      <c r="R312" s="389" t="s">
        <v>2208</v>
      </c>
      <c r="S312" s="389" t="s">
        <v>2208</v>
      </c>
    </row>
    <row r="313" spans="1:19">
      <c r="A313" s="389" t="s">
        <v>8839</v>
      </c>
      <c r="B313" s="391" t="str">
        <f t="shared" si="8"/>
        <v>LCP-240190-EX</v>
      </c>
      <c r="C313" s="389" t="str">
        <f t="shared" si="9"/>
        <v>abril</v>
      </c>
      <c r="D313" s="389" t="s">
        <v>11332</v>
      </c>
      <c r="E313" s="391">
        <v>45757</v>
      </c>
      <c r="F313" s="389" t="s">
        <v>16047</v>
      </c>
      <c r="G313" s="389" t="s">
        <v>2916</v>
      </c>
      <c r="H313" s="389" t="s">
        <v>16066</v>
      </c>
      <c r="I313" s="398">
        <v>0</v>
      </c>
      <c r="J313" s="390">
        <v>-160.69999999999999</v>
      </c>
      <c r="K313" s="389" t="s">
        <v>2917</v>
      </c>
      <c r="L313" s="390">
        <v>-925.45</v>
      </c>
      <c r="M313" s="389" t="s">
        <v>2918</v>
      </c>
      <c r="N313" s="389" t="s">
        <v>16067</v>
      </c>
      <c r="O313" s="389" t="s">
        <v>3315</v>
      </c>
      <c r="P313" s="389" t="s">
        <v>2924</v>
      </c>
      <c r="Q313" s="389" t="s">
        <v>3219</v>
      </c>
      <c r="R313" s="389" t="s">
        <v>2208</v>
      </c>
      <c r="S313" s="389" t="s">
        <v>2208</v>
      </c>
    </row>
    <row r="314" spans="1:19">
      <c r="A314" s="389" t="s">
        <v>8839</v>
      </c>
      <c r="B314" s="391" t="str">
        <f t="shared" si="8"/>
        <v>LCP-240190-EX</v>
      </c>
      <c r="C314" s="389" t="str">
        <f t="shared" si="9"/>
        <v>abril</v>
      </c>
      <c r="D314" s="389" t="s">
        <v>11332</v>
      </c>
      <c r="E314" s="391">
        <v>45757</v>
      </c>
      <c r="F314" s="389" t="s">
        <v>16047</v>
      </c>
      <c r="G314" s="389" t="s">
        <v>2916</v>
      </c>
      <c r="H314" s="389" t="s">
        <v>16068</v>
      </c>
      <c r="I314" s="398">
        <v>0</v>
      </c>
      <c r="J314" s="390">
        <v>-160.69999999999999</v>
      </c>
      <c r="K314" s="389" t="s">
        <v>2917</v>
      </c>
      <c r="L314" s="390">
        <v>-925.45</v>
      </c>
      <c r="M314" s="389" t="s">
        <v>2918</v>
      </c>
      <c r="N314" s="389" t="s">
        <v>16069</v>
      </c>
      <c r="O314" s="389" t="s">
        <v>3315</v>
      </c>
      <c r="P314" s="389" t="s">
        <v>2924</v>
      </c>
      <c r="Q314" s="389" t="s">
        <v>3219</v>
      </c>
      <c r="R314" s="389" t="s">
        <v>2208</v>
      </c>
      <c r="S314" s="389" t="s">
        <v>2208</v>
      </c>
    </row>
    <row r="315" spans="1:19">
      <c r="A315" s="389" t="s">
        <v>8839</v>
      </c>
      <c r="B315" s="391" t="str">
        <f t="shared" si="8"/>
        <v>LCP-240190-EX</v>
      </c>
      <c r="C315" s="389" t="str">
        <f t="shared" si="9"/>
        <v>abril</v>
      </c>
      <c r="D315" s="389" t="s">
        <v>11332</v>
      </c>
      <c r="E315" s="391">
        <v>45757</v>
      </c>
      <c r="F315" s="389" t="s">
        <v>16047</v>
      </c>
      <c r="G315" s="389" t="s">
        <v>2916</v>
      </c>
      <c r="H315" s="389" t="s">
        <v>16070</v>
      </c>
      <c r="I315" s="398">
        <v>0</v>
      </c>
      <c r="J315" s="390">
        <v>-160.69999999999999</v>
      </c>
      <c r="K315" s="389" t="s">
        <v>2917</v>
      </c>
      <c r="L315" s="390">
        <v>-925.45</v>
      </c>
      <c r="M315" s="389" t="s">
        <v>2918</v>
      </c>
      <c r="N315" s="389" t="s">
        <v>16071</v>
      </c>
      <c r="O315" s="389" t="s">
        <v>3315</v>
      </c>
      <c r="P315" s="389" t="s">
        <v>2924</v>
      </c>
      <c r="Q315" s="389" t="s">
        <v>3219</v>
      </c>
      <c r="R315" s="389" t="s">
        <v>2208</v>
      </c>
      <c r="S315" s="389" t="s">
        <v>2208</v>
      </c>
    </row>
    <row r="316" spans="1:19">
      <c r="A316" s="389" t="s">
        <v>8839</v>
      </c>
      <c r="B316" s="391" t="str">
        <f t="shared" si="8"/>
        <v>LCP-240190-EX</v>
      </c>
      <c r="C316" s="389" t="str">
        <f t="shared" si="9"/>
        <v>abril</v>
      </c>
      <c r="D316" s="389" t="s">
        <v>11332</v>
      </c>
      <c r="E316" s="391">
        <v>45758</v>
      </c>
      <c r="F316" s="389" t="s">
        <v>16072</v>
      </c>
      <c r="G316" s="389" t="s">
        <v>2916</v>
      </c>
      <c r="H316" s="389" t="s">
        <v>16073</v>
      </c>
      <c r="I316" s="398">
        <v>1</v>
      </c>
      <c r="J316" s="390">
        <v>1737.34</v>
      </c>
      <c r="K316" s="389" t="s">
        <v>2917</v>
      </c>
      <c r="L316" s="390">
        <v>10004.85</v>
      </c>
      <c r="M316" s="389" t="s">
        <v>2918</v>
      </c>
      <c r="N316" s="389" t="s">
        <v>3315</v>
      </c>
      <c r="O316" s="389" t="s">
        <v>3315</v>
      </c>
      <c r="P316" s="389" t="s">
        <v>2924</v>
      </c>
      <c r="Q316" s="389" t="s">
        <v>3219</v>
      </c>
      <c r="R316" s="389" t="s">
        <v>2208</v>
      </c>
      <c r="S316" s="389" t="s">
        <v>2208</v>
      </c>
    </row>
    <row r="317" spans="1:19">
      <c r="A317" s="389" t="s">
        <v>8839</v>
      </c>
      <c r="B317" s="391" t="str">
        <f t="shared" si="8"/>
        <v>LCP-240190-EX</v>
      </c>
      <c r="C317" s="389" t="str">
        <f t="shared" si="9"/>
        <v>abril</v>
      </c>
      <c r="D317" s="389" t="s">
        <v>11332</v>
      </c>
      <c r="E317" s="391">
        <v>45758</v>
      </c>
      <c r="F317" s="389" t="s">
        <v>16072</v>
      </c>
      <c r="G317" s="389" t="s">
        <v>2916</v>
      </c>
      <c r="H317" s="389" t="s">
        <v>16074</v>
      </c>
      <c r="I317" s="398">
        <v>1</v>
      </c>
      <c r="J317" s="390">
        <v>1737.34</v>
      </c>
      <c r="K317" s="389" t="s">
        <v>2917</v>
      </c>
      <c r="L317" s="390">
        <v>10004.85</v>
      </c>
      <c r="M317" s="389" t="s">
        <v>2918</v>
      </c>
      <c r="N317" s="389" t="s">
        <v>3315</v>
      </c>
      <c r="O317" s="389" t="s">
        <v>3315</v>
      </c>
      <c r="P317" s="389" t="s">
        <v>2924</v>
      </c>
      <c r="Q317" s="389" t="s">
        <v>3219</v>
      </c>
      <c r="R317" s="389" t="s">
        <v>2208</v>
      </c>
      <c r="S317" s="389" t="s">
        <v>2208</v>
      </c>
    </row>
    <row r="318" spans="1:19">
      <c r="A318" s="389" t="s">
        <v>8839</v>
      </c>
      <c r="B318" s="391" t="str">
        <f t="shared" si="8"/>
        <v>LCP-240190-EX</v>
      </c>
      <c r="C318" s="389" t="str">
        <f t="shared" si="9"/>
        <v>abril</v>
      </c>
      <c r="D318" s="389" t="s">
        <v>11332</v>
      </c>
      <c r="E318" s="391">
        <v>45758</v>
      </c>
      <c r="F318" s="389" t="s">
        <v>16072</v>
      </c>
      <c r="G318" s="389" t="s">
        <v>2916</v>
      </c>
      <c r="H318" s="389" t="s">
        <v>16075</v>
      </c>
      <c r="I318" s="398">
        <v>1</v>
      </c>
      <c r="J318" s="390">
        <v>1737.34</v>
      </c>
      <c r="K318" s="389" t="s">
        <v>2917</v>
      </c>
      <c r="L318" s="390">
        <v>10004.85</v>
      </c>
      <c r="M318" s="389" t="s">
        <v>2918</v>
      </c>
      <c r="N318" s="389" t="s">
        <v>3315</v>
      </c>
      <c r="O318" s="389" t="s">
        <v>3315</v>
      </c>
      <c r="P318" s="389" t="s">
        <v>2924</v>
      </c>
      <c r="Q318" s="389" t="s">
        <v>3219</v>
      </c>
      <c r="R318" s="389" t="s">
        <v>2208</v>
      </c>
      <c r="S318" s="389" t="s">
        <v>2208</v>
      </c>
    </row>
    <row r="319" spans="1:19">
      <c r="A319" s="389" t="s">
        <v>8839</v>
      </c>
      <c r="B319" s="391" t="str">
        <f t="shared" si="8"/>
        <v>LCP-240190-EX</v>
      </c>
      <c r="C319" s="389" t="str">
        <f t="shared" si="9"/>
        <v>abril</v>
      </c>
      <c r="D319" s="389" t="s">
        <v>11332</v>
      </c>
      <c r="E319" s="391">
        <v>45758</v>
      </c>
      <c r="F319" s="389" t="s">
        <v>16072</v>
      </c>
      <c r="G319" s="389" t="s">
        <v>2916</v>
      </c>
      <c r="H319" s="389" t="s">
        <v>16076</v>
      </c>
      <c r="I319" s="398">
        <v>1</v>
      </c>
      <c r="J319" s="390">
        <v>1737.34</v>
      </c>
      <c r="K319" s="389" t="s">
        <v>2917</v>
      </c>
      <c r="L319" s="390">
        <v>10004.85</v>
      </c>
      <c r="M319" s="389" t="s">
        <v>2918</v>
      </c>
      <c r="N319" s="389" t="s">
        <v>3315</v>
      </c>
      <c r="O319" s="389" t="s">
        <v>3315</v>
      </c>
      <c r="P319" s="389" t="s">
        <v>2924</v>
      </c>
      <c r="Q319" s="389" t="s">
        <v>3219</v>
      </c>
      <c r="R319" s="389" t="s">
        <v>2208</v>
      </c>
      <c r="S319" s="389" t="s">
        <v>2208</v>
      </c>
    </row>
    <row r="320" spans="1:19">
      <c r="A320" s="389" t="s">
        <v>8839</v>
      </c>
      <c r="B320" s="391" t="str">
        <f t="shared" si="8"/>
        <v>LCP-240190-EX</v>
      </c>
      <c r="C320" s="389" t="str">
        <f t="shared" si="9"/>
        <v>abril</v>
      </c>
      <c r="D320" s="389" t="s">
        <v>11332</v>
      </c>
      <c r="E320" s="391">
        <v>45762</v>
      </c>
      <c r="F320" s="389" t="s">
        <v>16072</v>
      </c>
      <c r="G320" s="389" t="s">
        <v>2916</v>
      </c>
      <c r="H320" s="389" t="s">
        <v>16077</v>
      </c>
      <c r="I320" s="398">
        <v>0</v>
      </c>
      <c r="J320" s="390">
        <v>-160.69999999999999</v>
      </c>
      <c r="K320" s="389" t="s">
        <v>2917</v>
      </c>
      <c r="L320" s="390">
        <v>-925.45</v>
      </c>
      <c r="M320" s="389" t="s">
        <v>2918</v>
      </c>
      <c r="N320" s="389" t="s">
        <v>16078</v>
      </c>
      <c r="O320" s="389" t="s">
        <v>3315</v>
      </c>
      <c r="P320" s="389" t="s">
        <v>2924</v>
      </c>
      <c r="Q320" s="389" t="s">
        <v>3219</v>
      </c>
      <c r="R320" s="389" t="s">
        <v>2208</v>
      </c>
      <c r="S320" s="389" t="s">
        <v>2208</v>
      </c>
    </row>
    <row r="321" spans="1:19">
      <c r="A321" s="389" t="s">
        <v>8839</v>
      </c>
      <c r="B321" s="391" t="str">
        <f t="shared" si="8"/>
        <v>LCP-240190-EX</v>
      </c>
      <c r="C321" s="389" t="str">
        <f t="shared" si="9"/>
        <v>abril</v>
      </c>
      <c r="D321" s="389" t="s">
        <v>11332</v>
      </c>
      <c r="E321" s="391">
        <v>45762</v>
      </c>
      <c r="F321" s="389" t="s">
        <v>16072</v>
      </c>
      <c r="G321" s="389" t="s">
        <v>2916</v>
      </c>
      <c r="H321" s="389" t="s">
        <v>16079</v>
      </c>
      <c r="I321" s="398">
        <v>0</v>
      </c>
      <c r="J321" s="390">
        <v>-160.69999999999999</v>
      </c>
      <c r="K321" s="389" t="s">
        <v>2917</v>
      </c>
      <c r="L321" s="390">
        <v>-925.45</v>
      </c>
      <c r="M321" s="389" t="s">
        <v>2918</v>
      </c>
      <c r="N321" s="389" t="s">
        <v>16080</v>
      </c>
      <c r="O321" s="389" t="s">
        <v>3315</v>
      </c>
      <c r="P321" s="389" t="s">
        <v>2924</v>
      </c>
      <c r="Q321" s="389" t="s">
        <v>3219</v>
      </c>
      <c r="R321" s="389" t="s">
        <v>2208</v>
      </c>
      <c r="S321" s="389" t="s">
        <v>2208</v>
      </c>
    </row>
    <row r="322" spans="1:19">
      <c r="A322" s="389" t="s">
        <v>8839</v>
      </c>
      <c r="B322" s="391" t="str">
        <f t="shared" si="8"/>
        <v>LCP-240190-EX</v>
      </c>
      <c r="C322" s="389" t="str">
        <f t="shared" si="9"/>
        <v>abril</v>
      </c>
      <c r="D322" s="389" t="s">
        <v>11332</v>
      </c>
      <c r="E322" s="391">
        <v>45762</v>
      </c>
      <c r="F322" s="389" t="s">
        <v>16072</v>
      </c>
      <c r="G322" s="389" t="s">
        <v>2916</v>
      </c>
      <c r="H322" s="389" t="s">
        <v>16081</v>
      </c>
      <c r="I322" s="398">
        <v>0</v>
      </c>
      <c r="J322" s="390">
        <v>-160.69999999999999</v>
      </c>
      <c r="K322" s="389" t="s">
        <v>2917</v>
      </c>
      <c r="L322" s="390">
        <v>-925.45</v>
      </c>
      <c r="M322" s="389" t="s">
        <v>2918</v>
      </c>
      <c r="N322" s="389" t="s">
        <v>16082</v>
      </c>
      <c r="O322" s="389" t="s">
        <v>3315</v>
      </c>
      <c r="P322" s="389" t="s">
        <v>2924</v>
      </c>
      <c r="Q322" s="389" t="s">
        <v>3219</v>
      </c>
      <c r="R322" s="389" t="s">
        <v>2208</v>
      </c>
      <c r="S322" s="389" t="s">
        <v>2208</v>
      </c>
    </row>
    <row r="323" spans="1:19">
      <c r="A323" s="389" t="s">
        <v>8839</v>
      </c>
      <c r="B323" s="391" t="str">
        <f t="shared" ref="B323:B386" si="10">IF(LEFT(A323,1)="E",A323,LEFT(A323,13))</f>
        <v>LCP-240190-EX</v>
      </c>
      <c r="C323" s="389" t="str">
        <f t="shared" ref="C323:C386" si="11">TEXT(E323,"mmmm")</f>
        <v>abril</v>
      </c>
      <c r="D323" s="389" t="s">
        <v>11332</v>
      </c>
      <c r="E323" s="391">
        <v>45762</v>
      </c>
      <c r="F323" s="389" t="s">
        <v>16072</v>
      </c>
      <c r="G323" s="389" t="s">
        <v>2916</v>
      </c>
      <c r="H323" s="389" t="s">
        <v>16083</v>
      </c>
      <c r="I323" s="398">
        <v>0</v>
      </c>
      <c r="J323" s="390">
        <v>-160.69999999999999</v>
      </c>
      <c r="K323" s="389" t="s">
        <v>2917</v>
      </c>
      <c r="L323" s="390">
        <v>-925.45</v>
      </c>
      <c r="M323" s="389" t="s">
        <v>2918</v>
      </c>
      <c r="N323" s="389" t="s">
        <v>16084</v>
      </c>
      <c r="O323" s="389" t="s">
        <v>3315</v>
      </c>
      <c r="P323" s="389" t="s">
        <v>2924</v>
      </c>
      <c r="Q323" s="389" t="s">
        <v>3219</v>
      </c>
      <c r="R323" s="389" t="s">
        <v>2208</v>
      </c>
      <c r="S323" s="389" t="s">
        <v>2208</v>
      </c>
    </row>
    <row r="324" spans="1:19">
      <c r="A324" s="389" t="s">
        <v>8839</v>
      </c>
      <c r="B324" s="391" t="str">
        <f t="shared" si="10"/>
        <v>LCP-240190-EX</v>
      </c>
      <c r="C324" s="389" t="str">
        <f t="shared" si="11"/>
        <v>abril</v>
      </c>
      <c r="D324" s="389" t="s">
        <v>11332</v>
      </c>
      <c r="E324" s="391">
        <v>45762</v>
      </c>
      <c r="F324" s="389" t="s">
        <v>16072</v>
      </c>
      <c r="G324" s="389" t="s">
        <v>2916</v>
      </c>
      <c r="H324" s="389" t="s">
        <v>16085</v>
      </c>
      <c r="I324" s="398">
        <v>1</v>
      </c>
      <c r="J324" s="390">
        <v>1737.34</v>
      </c>
      <c r="K324" s="389" t="s">
        <v>2917</v>
      </c>
      <c r="L324" s="390">
        <v>10004.85</v>
      </c>
      <c r="M324" s="389" t="s">
        <v>2918</v>
      </c>
      <c r="N324" s="389" t="s">
        <v>3315</v>
      </c>
      <c r="O324" s="389" t="s">
        <v>3315</v>
      </c>
      <c r="P324" s="389" t="s">
        <v>2924</v>
      </c>
      <c r="Q324" s="389" t="s">
        <v>3219</v>
      </c>
      <c r="R324" s="389" t="s">
        <v>2208</v>
      </c>
      <c r="S324" s="389" t="s">
        <v>2208</v>
      </c>
    </row>
    <row r="325" spans="1:19">
      <c r="A325" s="389" t="s">
        <v>8839</v>
      </c>
      <c r="B325" s="391" t="str">
        <f t="shared" si="10"/>
        <v>LCP-240190-EX</v>
      </c>
      <c r="C325" s="389" t="str">
        <f t="shared" si="11"/>
        <v>abril</v>
      </c>
      <c r="D325" s="389" t="s">
        <v>11332</v>
      </c>
      <c r="E325" s="391">
        <v>45762</v>
      </c>
      <c r="F325" s="389" t="s">
        <v>16072</v>
      </c>
      <c r="G325" s="389" t="s">
        <v>2916</v>
      </c>
      <c r="H325" s="389" t="s">
        <v>16086</v>
      </c>
      <c r="I325" s="398">
        <v>1</v>
      </c>
      <c r="J325" s="390">
        <v>1737.34</v>
      </c>
      <c r="K325" s="389" t="s">
        <v>2917</v>
      </c>
      <c r="L325" s="390">
        <v>10004.85</v>
      </c>
      <c r="M325" s="389" t="s">
        <v>2918</v>
      </c>
      <c r="N325" s="389" t="s">
        <v>3315</v>
      </c>
      <c r="O325" s="389" t="s">
        <v>3315</v>
      </c>
      <c r="P325" s="389" t="s">
        <v>2924</v>
      </c>
      <c r="Q325" s="389" t="s">
        <v>3219</v>
      </c>
      <c r="R325" s="389" t="s">
        <v>2208</v>
      </c>
      <c r="S325" s="389" t="s">
        <v>2208</v>
      </c>
    </row>
    <row r="326" spans="1:19">
      <c r="A326" s="389" t="s">
        <v>8839</v>
      </c>
      <c r="B326" s="391" t="str">
        <f t="shared" si="10"/>
        <v>LCP-240190-EX</v>
      </c>
      <c r="C326" s="389" t="str">
        <f t="shared" si="11"/>
        <v>abril</v>
      </c>
      <c r="D326" s="389" t="s">
        <v>11332</v>
      </c>
      <c r="E326" s="391">
        <v>45762</v>
      </c>
      <c r="F326" s="389" t="s">
        <v>16072</v>
      </c>
      <c r="G326" s="389" t="s">
        <v>2916</v>
      </c>
      <c r="H326" s="389" t="s">
        <v>16087</v>
      </c>
      <c r="I326" s="398">
        <v>0</v>
      </c>
      <c r="J326" s="390">
        <v>-160.69999999999999</v>
      </c>
      <c r="K326" s="389" t="s">
        <v>2917</v>
      </c>
      <c r="L326" s="390">
        <v>-925.45</v>
      </c>
      <c r="M326" s="389" t="s">
        <v>2918</v>
      </c>
      <c r="N326" s="389" t="s">
        <v>16088</v>
      </c>
      <c r="O326" s="389" t="s">
        <v>3315</v>
      </c>
      <c r="P326" s="389" t="s">
        <v>2924</v>
      </c>
      <c r="Q326" s="389" t="s">
        <v>3219</v>
      </c>
      <c r="R326" s="389" t="s">
        <v>2208</v>
      </c>
      <c r="S326" s="389" t="s">
        <v>2208</v>
      </c>
    </row>
    <row r="327" spans="1:19">
      <c r="A327" s="389" t="s">
        <v>8839</v>
      </c>
      <c r="B327" s="391" t="str">
        <f t="shared" si="10"/>
        <v>LCP-240190-EX</v>
      </c>
      <c r="C327" s="389" t="str">
        <f t="shared" si="11"/>
        <v>abril</v>
      </c>
      <c r="D327" s="389" t="s">
        <v>11332</v>
      </c>
      <c r="E327" s="391">
        <v>45762</v>
      </c>
      <c r="F327" s="389" t="s">
        <v>16072</v>
      </c>
      <c r="G327" s="389" t="s">
        <v>2916</v>
      </c>
      <c r="H327" s="389" t="s">
        <v>16089</v>
      </c>
      <c r="I327" s="398">
        <v>0</v>
      </c>
      <c r="J327" s="390">
        <v>-160.69999999999999</v>
      </c>
      <c r="K327" s="389" t="s">
        <v>2917</v>
      </c>
      <c r="L327" s="390">
        <v>-925.45</v>
      </c>
      <c r="M327" s="389" t="s">
        <v>2918</v>
      </c>
      <c r="N327" s="389" t="s">
        <v>16090</v>
      </c>
      <c r="O327" s="389" t="s">
        <v>3315</v>
      </c>
      <c r="P327" s="389" t="s">
        <v>2924</v>
      </c>
      <c r="Q327" s="389" t="s">
        <v>3219</v>
      </c>
      <c r="R327" s="389" t="s">
        <v>2208</v>
      </c>
      <c r="S327" s="389" t="s">
        <v>2208</v>
      </c>
    </row>
    <row r="328" spans="1:19">
      <c r="A328" s="389" t="s">
        <v>8839</v>
      </c>
      <c r="B328" s="391" t="str">
        <f t="shared" si="10"/>
        <v>LCP-240190-EX</v>
      </c>
      <c r="C328" s="389" t="str">
        <f t="shared" si="11"/>
        <v>abril</v>
      </c>
      <c r="D328" s="389" t="s">
        <v>11332</v>
      </c>
      <c r="E328" s="391">
        <v>45764</v>
      </c>
      <c r="F328" s="389" t="s">
        <v>8872</v>
      </c>
      <c r="G328" s="389" t="s">
        <v>2916</v>
      </c>
      <c r="H328" s="389" t="s">
        <v>16091</v>
      </c>
      <c r="I328" s="398">
        <v>1</v>
      </c>
      <c r="J328" s="390">
        <v>1737.34</v>
      </c>
      <c r="K328" s="389" t="s">
        <v>2917</v>
      </c>
      <c r="L328" s="390">
        <v>10004.85</v>
      </c>
      <c r="M328" s="389" t="s">
        <v>2918</v>
      </c>
      <c r="N328" s="389" t="s">
        <v>3315</v>
      </c>
      <c r="O328" s="389" t="s">
        <v>3315</v>
      </c>
      <c r="P328" s="389" t="s">
        <v>2924</v>
      </c>
      <c r="Q328" s="389" t="s">
        <v>3219</v>
      </c>
      <c r="R328" s="389" t="s">
        <v>2208</v>
      </c>
      <c r="S328" s="389" t="s">
        <v>2208</v>
      </c>
    </row>
    <row r="329" spans="1:19">
      <c r="A329" s="389" t="s">
        <v>8839</v>
      </c>
      <c r="B329" s="391" t="str">
        <f t="shared" si="10"/>
        <v>LCP-240190-EX</v>
      </c>
      <c r="C329" s="389" t="str">
        <f t="shared" si="11"/>
        <v>abril</v>
      </c>
      <c r="D329" s="389" t="s">
        <v>11332</v>
      </c>
      <c r="E329" s="391">
        <v>45764</v>
      </c>
      <c r="F329" s="389" t="s">
        <v>8872</v>
      </c>
      <c r="G329" s="389" t="s">
        <v>2916</v>
      </c>
      <c r="H329" s="389" t="s">
        <v>16092</v>
      </c>
      <c r="I329" s="398">
        <v>1</v>
      </c>
      <c r="J329" s="390">
        <v>1737.34</v>
      </c>
      <c r="K329" s="389" t="s">
        <v>2917</v>
      </c>
      <c r="L329" s="390">
        <v>10004.85</v>
      </c>
      <c r="M329" s="389" t="s">
        <v>2918</v>
      </c>
      <c r="N329" s="389" t="s">
        <v>3315</v>
      </c>
      <c r="O329" s="389" t="s">
        <v>3315</v>
      </c>
      <c r="P329" s="389" t="s">
        <v>2924</v>
      </c>
      <c r="Q329" s="389" t="s">
        <v>3219</v>
      </c>
      <c r="R329" s="389" t="s">
        <v>2208</v>
      </c>
      <c r="S329" s="389" t="s">
        <v>2208</v>
      </c>
    </row>
    <row r="330" spans="1:19">
      <c r="A330" s="389" t="s">
        <v>8839</v>
      </c>
      <c r="B330" s="391" t="str">
        <f t="shared" si="10"/>
        <v>LCP-240190-EX</v>
      </c>
      <c r="C330" s="389" t="str">
        <f t="shared" si="11"/>
        <v>abril</v>
      </c>
      <c r="D330" s="389" t="s">
        <v>11332</v>
      </c>
      <c r="E330" s="391">
        <v>45764</v>
      </c>
      <c r="F330" s="389" t="s">
        <v>8872</v>
      </c>
      <c r="G330" s="389" t="s">
        <v>2916</v>
      </c>
      <c r="H330" s="389" t="s">
        <v>16093</v>
      </c>
      <c r="I330" s="398">
        <v>1</v>
      </c>
      <c r="J330" s="390">
        <v>1737.34</v>
      </c>
      <c r="K330" s="389" t="s">
        <v>2917</v>
      </c>
      <c r="L330" s="390">
        <v>10004.85</v>
      </c>
      <c r="M330" s="389" t="s">
        <v>2918</v>
      </c>
      <c r="N330" s="389" t="s">
        <v>3315</v>
      </c>
      <c r="O330" s="389" t="s">
        <v>3315</v>
      </c>
      <c r="P330" s="389" t="s">
        <v>2924</v>
      </c>
      <c r="Q330" s="389" t="s">
        <v>3219</v>
      </c>
      <c r="R330" s="389" t="s">
        <v>2208</v>
      </c>
      <c r="S330" s="389" t="s">
        <v>2208</v>
      </c>
    </row>
    <row r="331" spans="1:19">
      <c r="A331" s="389" t="s">
        <v>8839</v>
      </c>
      <c r="B331" s="391" t="str">
        <f t="shared" si="10"/>
        <v>LCP-240190-EX</v>
      </c>
      <c r="C331" s="389" t="str">
        <f t="shared" si="11"/>
        <v>abril</v>
      </c>
      <c r="D331" s="389" t="s">
        <v>11332</v>
      </c>
      <c r="E331" s="391">
        <v>45764</v>
      </c>
      <c r="F331" s="389" t="s">
        <v>8872</v>
      </c>
      <c r="G331" s="389" t="s">
        <v>2916</v>
      </c>
      <c r="H331" s="389" t="s">
        <v>16094</v>
      </c>
      <c r="I331" s="398">
        <v>1</v>
      </c>
      <c r="J331" s="390">
        <v>1737.34</v>
      </c>
      <c r="K331" s="389" t="s">
        <v>2917</v>
      </c>
      <c r="L331" s="390">
        <v>10004.85</v>
      </c>
      <c r="M331" s="389" t="s">
        <v>2918</v>
      </c>
      <c r="N331" s="389" t="s">
        <v>3315</v>
      </c>
      <c r="O331" s="389" t="s">
        <v>3315</v>
      </c>
      <c r="P331" s="389" t="s">
        <v>2924</v>
      </c>
      <c r="Q331" s="389" t="s">
        <v>3219</v>
      </c>
      <c r="R331" s="389" t="s">
        <v>2208</v>
      </c>
      <c r="S331" s="389" t="s">
        <v>2208</v>
      </c>
    </row>
    <row r="332" spans="1:19">
      <c r="A332" s="389" t="s">
        <v>8839</v>
      </c>
      <c r="B332" s="391" t="str">
        <f t="shared" si="10"/>
        <v>LCP-240190-EX</v>
      </c>
      <c r="C332" s="389" t="str">
        <f t="shared" si="11"/>
        <v>abril</v>
      </c>
      <c r="D332" s="389" t="s">
        <v>11332</v>
      </c>
      <c r="E332" s="391">
        <v>45764</v>
      </c>
      <c r="F332" s="389" t="s">
        <v>8865</v>
      </c>
      <c r="G332" s="389" t="s">
        <v>2916</v>
      </c>
      <c r="H332" s="389" t="s">
        <v>16095</v>
      </c>
      <c r="I332" s="398">
        <v>1</v>
      </c>
      <c r="J332" s="390">
        <v>1737.34</v>
      </c>
      <c r="K332" s="389" t="s">
        <v>2917</v>
      </c>
      <c r="L332" s="390">
        <v>10004.85</v>
      </c>
      <c r="M332" s="389" t="s">
        <v>2918</v>
      </c>
      <c r="N332" s="389" t="s">
        <v>3315</v>
      </c>
      <c r="O332" s="389" t="s">
        <v>3315</v>
      </c>
      <c r="P332" s="389" t="s">
        <v>2924</v>
      </c>
      <c r="Q332" s="389" t="s">
        <v>3219</v>
      </c>
      <c r="R332" s="389" t="s">
        <v>2208</v>
      </c>
      <c r="S332" s="389" t="s">
        <v>2208</v>
      </c>
    </row>
    <row r="333" spans="1:19">
      <c r="A333" s="389" t="s">
        <v>8839</v>
      </c>
      <c r="B333" s="391" t="str">
        <f t="shared" si="10"/>
        <v>LCP-240190-EX</v>
      </c>
      <c r="C333" s="389" t="str">
        <f t="shared" si="11"/>
        <v>abril</v>
      </c>
      <c r="D333" s="389" t="s">
        <v>11332</v>
      </c>
      <c r="E333" s="391">
        <v>45764</v>
      </c>
      <c r="F333" s="389" t="s">
        <v>8865</v>
      </c>
      <c r="G333" s="389" t="s">
        <v>2916</v>
      </c>
      <c r="H333" s="389" t="s">
        <v>16096</v>
      </c>
      <c r="I333" s="398">
        <v>1</v>
      </c>
      <c r="J333" s="390">
        <v>1737.34</v>
      </c>
      <c r="K333" s="389" t="s">
        <v>2917</v>
      </c>
      <c r="L333" s="390">
        <v>10004.85</v>
      </c>
      <c r="M333" s="389" t="s">
        <v>2918</v>
      </c>
      <c r="N333" s="389" t="s">
        <v>3315</v>
      </c>
      <c r="O333" s="389" t="s">
        <v>3315</v>
      </c>
      <c r="P333" s="389" t="s">
        <v>2924</v>
      </c>
      <c r="Q333" s="389" t="s">
        <v>3219</v>
      </c>
      <c r="R333" s="389" t="s">
        <v>2208</v>
      </c>
      <c r="S333" s="389" t="s">
        <v>2208</v>
      </c>
    </row>
    <row r="334" spans="1:19">
      <c r="A334" s="389" t="s">
        <v>8839</v>
      </c>
      <c r="B334" s="391" t="str">
        <f t="shared" si="10"/>
        <v>LCP-240190-EX</v>
      </c>
      <c r="C334" s="389" t="str">
        <f t="shared" si="11"/>
        <v>abril</v>
      </c>
      <c r="D334" s="389" t="s">
        <v>11332</v>
      </c>
      <c r="E334" s="391">
        <v>45764</v>
      </c>
      <c r="F334" s="389" t="s">
        <v>8865</v>
      </c>
      <c r="G334" s="389" t="s">
        <v>2916</v>
      </c>
      <c r="H334" s="389" t="s">
        <v>16097</v>
      </c>
      <c r="I334" s="398">
        <v>1</v>
      </c>
      <c r="J334" s="390">
        <v>1737.34</v>
      </c>
      <c r="K334" s="389" t="s">
        <v>2917</v>
      </c>
      <c r="L334" s="390">
        <v>10004.85</v>
      </c>
      <c r="M334" s="389" t="s">
        <v>2918</v>
      </c>
      <c r="N334" s="389" t="s">
        <v>3315</v>
      </c>
      <c r="O334" s="389" t="s">
        <v>3315</v>
      </c>
      <c r="P334" s="389" t="s">
        <v>2924</v>
      </c>
      <c r="Q334" s="389" t="s">
        <v>3219</v>
      </c>
      <c r="R334" s="389" t="s">
        <v>2208</v>
      </c>
      <c r="S334" s="389" t="s">
        <v>2208</v>
      </c>
    </row>
    <row r="335" spans="1:19">
      <c r="A335" s="389" t="s">
        <v>8839</v>
      </c>
      <c r="B335" s="391" t="str">
        <f t="shared" si="10"/>
        <v>LCP-240190-EX</v>
      </c>
      <c r="C335" s="389" t="str">
        <f t="shared" si="11"/>
        <v>abril</v>
      </c>
      <c r="D335" s="389" t="s">
        <v>11332</v>
      </c>
      <c r="E335" s="391">
        <v>45764</v>
      </c>
      <c r="F335" s="389" t="s">
        <v>8865</v>
      </c>
      <c r="G335" s="389" t="s">
        <v>2916</v>
      </c>
      <c r="H335" s="389" t="s">
        <v>16098</v>
      </c>
      <c r="I335" s="398">
        <v>1</v>
      </c>
      <c r="J335" s="390">
        <v>1737.34</v>
      </c>
      <c r="K335" s="389" t="s">
        <v>2917</v>
      </c>
      <c r="L335" s="390">
        <v>10004.85</v>
      </c>
      <c r="M335" s="389" t="s">
        <v>2918</v>
      </c>
      <c r="N335" s="389" t="s">
        <v>3315</v>
      </c>
      <c r="O335" s="389" t="s">
        <v>3315</v>
      </c>
      <c r="P335" s="389" t="s">
        <v>2924</v>
      </c>
      <c r="Q335" s="389" t="s">
        <v>3219</v>
      </c>
      <c r="R335" s="389" t="s">
        <v>2208</v>
      </c>
      <c r="S335" s="389" t="s">
        <v>2208</v>
      </c>
    </row>
    <row r="336" spans="1:19">
      <c r="A336" s="389" t="s">
        <v>8839</v>
      </c>
      <c r="B336" s="391" t="str">
        <f t="shared" si="10"/>
        <v>LCP-240190-EX</v>
      </c>
      <c r="C336" s="389" t="str">
        <f t="shared" si="11"/>
        <v>abril</v>
      </c>
      <c r="D336" s="389" t="s">
        <v>11332</v>
      </c>
      <c r="E336" s="391">
        <v>45764</v>
      </c>
      <c r="F336" s="389" t="s">
        <v>8872</v>
      </c>
      <c r="G336" s="389" t="s">
        <v>2916</v>
      </c>
      <c r="H336" s="389" t="s">
        <v>16099</v>
      </c>
      <c r="I336" s="398">
        <v>0</v>
      </c>
      <c r="J336" s="390">
        <v>-160.69999999999999</v>
      </c>
      <c r="K336" s="389" t="s">
        <v>2917</v>
      </c>
      <c r="L336" s="390">
        <v>-925.45</v>
      </c>
      <c r="M336" s="389" t="s">
        <v>2918</v>
      </c>
      <c r="N336" s="389" t="s">
        <v>16100</v>
      </c>
      <c r="O336" s="389" t="s">
        <v>3315</v>
      </c>
      <c r="P336" s="389" t="s">
        <v>2924</v>
      </c>
      <c r="Q336" s="389" t="s">
        <v>3219</v>
      </c>
      <c r="R336" s="389" t="s">
        <v>2208</v>
      </c>
      <c r="S336" s="389" t="s">
        <v>2208</v>
      </c>
    </row>
    <row r="337" spans="1:19">
      <c r="A337" s="389" t="s">
        <v>8839</v>
      </c>
      <c r="B337" s="391" t="str">
        <f t="shared" si="10"/>
        <v>LCP-240190-EX</v>
      </c>
      <c r="C337" s="389" t="str">
        <f t="shared" si="11"/>
        <v>abril</v>
      </c>
      <c r="D337" s="389" t="s">
        <v>11332</v>
      </c>
      <c r="E337" s="391">
        <v>45764</v>
      </c>
      <c r="F337" s="389" t="s">
        <v>8872</v>
      </c>
      <c r="G337" s="389" t="s">
        <v>2916</v>
      </c>
      <c r="H337" s="389" t="s">
        <v>16101</v>
      </c>
      <c r="I337" s="398">
        <v>0</v>
      </c>
      <c r="J337" s="390">
        <v>-160.69999999999999</v>
      </c>
      <c r="K337" s="389" t="s">
        <v>2917</v>
      </c>
      <c r="L337" s="390">
        <v>-925.45</v>
      </c>
      <c r="M337" s="389" t="s">
        <v>2918</v>
      </c>
      <c r="N337" s="389" t="s">
        <v>16102</v>
      </c>
      <c r="O337" s="389" t="s">
        <v>3315</v>
      </c>
      <c r="P337" s="389" t="s">
        <v>2924</v>
      </c>
      <c r="Q337" s="389" t="s">
        <v>3219</v>
      </c>
      <c r="R337" s="389" t="s">
        <v>2208</v>
      </c>
      <c r="S337" s="389" t="s">
        <v>2208</v>
      </c>
    </row>
    <row r="338" spans="1:19">
      <c r="A338" s="389" t="s">
        <v>8839</v>
      </c>
      <c r="B338" s="391" t="str">
        <f t="shared" si="10"/>
        <v>LCP-240190-EX</v>
      </c>
      <c r="C338" s="389" t="str">
        <f t="shared" si="11"/>
        <v>abril</v>
      </c>
      <c r="D338" s="389" t="s">
        <v>11332</v>
      </c>
      <c r="E338" s="391">
        <v>45764</v>
      </c>
      <c r="F338" s="389" t="s">
        <v>8872</v>
      </c>
      <c r="G338" s="389" t="s">
        <v>2916</v>
      </c>
      <c r="H338" s="389" t="s">
        <v>16103</v>
      </c>
      <c r="I338" s="398">
        <v>0</v>
      </c>
      <c r="J338" s="390">
        <v>-160.69999999999999</v>
      </c>
      <c r="K338" s="389" t="s">
        <v>2917</v>
      </c>
      <c r="L338" s="390">
        <v>-925.45</v>
      </c>
      <c r="M338" s="389" t="s">
        <v>2918</v>
      </c>
      <c r="N338" s="389" t="s">
        <v>16104</v>
      </c>
      <c r="O338" s="389" t="s">
        <v>3315</v>
      </c>
      <c r="P338" s="389" t="s">
        <v>2924</v>
      </c>
      <c r="Q338" s="389" t="s">
        <v>3219</v>
      </c>
      <c r="R338" s="389" t="s">
        <v>2208</v>
      </c>
      <c r="S338" s="389" t="s">
        <v>2208</v>
      </c>
    </row>
    <row r="339" spans="1:19">
      <c r="A339" s="389" t="s">
        <v>8839</v>
      </c>
      <c r="B339" s="391" t="str">
        <f t="shared" si="10"/>
        <v>LCP-240190-EX</v>
      </c>
      <c r="C339" s="389" t="str">
        <f t="shared" si="11"/>
        <v>abril</v>
      </c>
      <c r="D339" s="389" t="s">
        <v>11332</v>
      </c>
      <c r="E339" s="391">
        <v>45764</v>
      </c>
      <c r="F339" s="389" t="s">
        <v>8872</v>
      </c>
      <c r="G339" s="389" t="s">
        <v>2916</v>
      </c>
      <c r="H339" s="389" t="s">
        <v>16105</v>
      </c>
      <c r="I339" s="398">
        <v>0</v>
      </c>
      <c r="J339" s="390">
        <v>-160.69999999999999</v>
      </c>
      <c r="K339" s="389" t="s">
        <v>2917</v>
      </c>
      <c r="L339" s="390">
        <v>-925.45</v>
      </c>
      <c r="M339" s="389" t="s">
        <v>2918</v>
      </c>
      <c r="N339" s="389" t="s">
        <v>16106</v>
      </c>
      <c r="O339" s="389" t="s">
        <v>3315</v>
      </c>
      <c r="P339" s="389" t="s">
        <v>2924</v>
      </c>
      <c r="Q339" s="389" t="s">
        <v>3219</v>
      </c>
      <c r="R339" s="389" t="s">
        <v>2208</v>
      </c>
      <c r="S339" s="389" t="s">
        <v>2208</v>
      </c>
    </row>
    <row r="340" spans="1:19">
      <c r="A340" s="389" t="s">
        <v>8839</v>
      </c>
      <c r="B340" s="391" t="str">
        <f t="shared" si="10"/>
        <v>LCP-240190-EX</v>
      </c>
      <c r="C340" s="389" t="str">
        <f t="shared" si="11"/>
        <v>abril</v>
      </c>
      <c r="D340" s="389" t="s">
        <v>11332</v>
      </c>
      <c r="E340" s="391">
        <v>45764</v>
      </c>
      <c r="F340" s="389" t="s">
        <v>8865</v>
      </c>
      <c r="G340" s="389" t="s">
        <v>2916</v>
      </c>
      <c r="H340" s="389" t="s">
        <v>16107</v>
      </c>
      <c r="I340" s="398">
        <v>0</v>
      </c>
      <c r="J340" s="390">
        <v>-160.69999999999999</v>
      </c>
      <c r="K340" s="389" t="s">
        <v>2917</v>
      </c>
      <c r="L340" s="390">
        <v>-925.45</v>
      </c>
      <c r="M340" s="389" t="s">
        <v>2918</v>
      </c>
      <c r="N340" s="389" t="s">
        <v>16108</v>
      </c>
      <c r="O340" s="389" t="s">
        <v>3315</v>
      </c>
      <c r="P340" s="389" t="s">
        <v>2924</v>
      </c>
      <c r="Q340" s="389" t="s">
        <v>3219</v>
      </c>
      <c r="R340" s="389" t="s">
        <v>2208</v>
      </c>
      <c r="S340" s="389" t="s">
        <v>2208</v>
      </c>
    </row>
    <row r="341" spans="1:19">
      <c r="A341" s="389" t="s">
        <v>8839</v>
      </c>
      <c r="B341" s="391" t="str">
        <f t="shared" si="10"/>
        <v>LCP-240190-EX</v>
      </c>
      <c r="C341" s="389" t="str">
        <f t="shared" si="11"/>
        <v>abril</v>
      </c>
      <c r="D341" s="389" t="s">
        <v>11332</v>
      </c>
      <c r="E341" s="391">
        <v>45764</v>
      </c>
      <c r="F341" s="389" t="s">
        <v>8865</v>
      </c>
      <c r="G341" s="389" t="s">
        <v>2916</v>
      </c>
      <c r="H341" s="389" t="s">
        <v>16109</v>
      </c>
      <c r="I341" s="398">
        <v>0</v>
      </c>
      <c r="J341" s="390">
        <v>-160.69999999999999</v>
      </c>
      <c r="K341" s="389" t="s">
        <v>2917</v>
      </c>
      <c r="L341" s="390">
        <v>-925.45</v>
      </c>
      <c r="M341" s="389" t="s">
        <v>2918</v>
      </c>
      <c r="N341" s="389" t="s">
        <v>16110</v>
      </c>
      <c r="O341" s="389" t="s">
        <v>3315</v>
      </c>
      <c r="P341" s="389" t="s">
        <v>2924</v>
      </c>
      <c r="Q341" s="389" t="s">
        <v>3219</v>
      </c>
      <c r="R341" s="389" t="s">
        <v>2208</v>
      </c>
      <c r="S341" s="389" t="s">
        <v>2208</v>
      </c>
    </row>
    <row r="342" spans="1:19">
      <c r="A342" s="389" t="s">
        <v>8839</v>
      </c>
      <c r="B342" s="391" t="str">
        <f t="shared" si="10"/>
        <v>LCP-240190-EX</v>
      </c>
      <c r="C342" s="389" t="str">
        <f t="shared" si="11"/>
        <v>abril</v>
      </c>
      <c r="D342" s="389" t="s">
        <v>11332</v>
      </c>
      <c r="E342" s="391">
        <v>45764</v>
      </c>
      <c r="F342" s="389" t="s">
        <v>8865</v>
      </c>
      <c r="G342" s="389" t="s">
        <v>2916</v>
      </c>
      <c r="H342" s="389" t="s">
        <v>16111</v>
      </c>
      <c r="I342" s="398">
        <v>0</v>
      </c>
      <c r="J342" s="390">
        <v>-160.69999999999999</v>
      </c>
      <c r="K342" s="389" t="s">
        <v>2917</v>
      </c>
      <c r="L342" s="390">
        <v>-925.45</v>
      </c>
      <c r="M342" s="389" t="s">
        <v>2918</v>
      </c>
      <c r="N342" s="389" t="s">
        <v>16112</v>
      </c>
      <c r="O342" s="389" t="s">
        <v>3315</v>
      </c>
      <c r="P342" s="389" t="s">
        <v>2924</v>
      </c>
      <c r="Q342" s="389" t="s">
        <v>3219</v>
      </c>
      <c r="R342" s="389" t="s">
        <v>2208</v>
      </c>
      <c r="S342" s="389" t="s">
        <v>2208</v>
      </c>
    </row>
    <row r="343" spans="1:19">
      <c r="A343" s="389" t="s">
        <v>8839</v>
      </c>
      <c r="B343" s="391" t="str">
        <f t="shared" si="10"/>
        <v>LCP-240190-EX</v>
      </c>
      <c r="C343" s="389" t="str">
        <f t="shared" si="11"/>
        <v>abril</v>
      </c>
      <c r="D343" s="389" t="s">
        <v>11332</v>
      </c>
      <c r="E343" s="391">
        <v>45764</v>
      </c>
      <c r="F343" s="389" t="s">
        <v>8865</v>
      </c>
      <c r="G343" s="389" t="s">
        <v>2916</v>
      </c>
      <c r="H343" s="389" t="s">
        <v>16113</v>
      </c>
      <c r="I343" s="398">
        <v>0</v>
      </c>
      <c r="J343" s="390">
        <v>-160.69999999999999</v>
      </c>
      <c r="K343" s="389" t="s">
        <v>2917</v>
      </c>
      <c r="L343" s="390">
        <v>-925.45</v>
      </c>
      <c r="M343" s="389" t="s">
        <v>2918</v>
      </c>
      <c r="N343" s="389" t="s">
        <v>16114</v>
      </c>
      <c r="O343" s="389" t="s">
        <v>3315</v>
      </c>
      <c r="P343" s="389" t="s">
        <v>2924</v>
      </c>
      <c r="Q343" s="389" t="s">
        <v>3219</v>
      </c>
      <c r="R343" s="389" t="s">
        <v>2208</v>
      </c>
      <c r="S343" s="389" t="s">
        <v>2208</v>
      </c>
    </row>
    <row r="344" spans="1:19">
      <c r="A344" s="389" t="s">
        <v>8839</v>
      </c>
      <c r="B344" s="391" t="str">
        <f t="shared" si="10"/>
        <v>LCP-240190-EX</v>
      </c>
      <c r="C344" s="389" t="str">
        <f t="shared" si="11"/>
        <v>abril</v>
      </c>
      <c r="D344" s="389" t="s">
        <v>11332</v>
      </c>
      <c r="E344" s="391">
        <v>45769</v>
      </c>
      <c r="F344" s="389" t="s">
        <v>8865</v>
      </c>
      <c r="G344" s="389" t="s">
        <v>2916</v>
      </c>
      <c r="H344" s="389" t="s">
        <v>16115</v>
      </c>
      <c r="I344" s="398">
        <v>1</v>
      </c>
      <c r="J344" s="390">
        <v>1737.34</v>
      </c>
      <c r="K344" s="389" t="s">
        <v>2917</v>
      </c>
      <c r="L344" s="390">
        <v>10004.85</v>
      </c>
      <c r="M344" s="389" t="s">
        <v>2918</v>
      </c>
      <c r="N344" s="389" t="s">
        <v>3315</v>
      </c>
      <c r="O344" s="389" t="s">
        <v>3315</v>
      </c>
      <c r="P344" s="389" t="s">
        <v>2924</v>
      </c>
      <c r="Q344" s="389" t="s">
        <v>3219</v>
      </c>
      <c r="R344" s="389" t="s">
        <v>2208</v>
      </c>
      <c r="S344" s="389" t="s">
        <v>2208</v>
      </c>
    </row>
    <row r="345" spans="1:19">
      <c r="A345" s="389" t="s">
        <v>8839</v>
      </c>
      <c r="B345" s="391" t="str">
        <f t="shared" si="10"/>
        <v>LCP-240190-EX</v>
      </c>
      <c r="C345" s="389" t="str">
        <f t="shared" si="11"/>
        <v>abril</v>
      </c>
      <c r="D345" s="389" t="s">
        <v>11332</v>
      </c>
      <c r="E345" s="391">
        <v>45769</v>
      </c>
      <c r="F345" s="389" t="s">
        <v>8865</v>
      </c>
      <c r="G345" s="389" t="s">
        <v>2916</v>
      </c>
      <c r="H345" s="389" t="s">
        <v>16116</v>
      </c>
      <c r="I345" s="398">
        <v>1</v>
      </c>
      <c r="J345" s="390">
        <v>1737.34</v>
      </c>
      <c r="K345" s="389" t="s">
        <v>2917</v>
      </c>
      <c r="L345" s="390">
        <v>10004.85</v>
      </c>
      <c r="M345" s="389" t="s">
        <v>2918</v>
      </c>
      <c r="N345" s="389" t="s">
        <v>3315</v>
      </c>
      <c r="O345" s="389" t="s">
        <v>3315</v>
      </c>
      <c r="P345" s="389" t="s">
        <v>2924</v>
      </c>
      <c r="Q345" s="389" t="s">
        <v>3219</v>
      </c>
      <c r="R345" s="389" t="s">
        <v>2208</v>
      </c>
      <c r="S345" s="389" t="s">
        <v>2208</v>
      </c>
    </row>
    <row r="346" spans="1:19">
      <c r="A346" s="389" t="s">
        <v>8839</v>
      </c>
      <c r="B346" s="391" t="str">
        <f t="shared" si="10"/>
        <v>LCP-240190-EX</v>
      </c>
      <c r="C346" s="389" t="str">
        <f t="shared" si="11"/>
        <v>abril</v>
      </c>
      <c r="D346" s="389" t="s">
        <v>11332</v>
      </c>
      <c r="E346" s="391">
        <v>45769</v>
      </c>
      <c r="F346" s="389" t="s">
        <v>16117</v>
      </c>
      <c r="G346" s="389" t="s">
        <v>2916</v>
      </c>
      <c r="H346" s="389" t="s">
        <v>16118</v>
      </c>
      <c r="I346" s="398">
        <v>1</v>
      </c>
      <c r="J346" s="390">
        <v>1737.34</v>
      </c>
      <c r="K346" s="389" t="s">
        <v>2917</v>
      </c>
      <c r="L346" s="390">
        <v>10004.85</v>
      </c>
      <c r="M346" s="389" t="s">
        <v>2918</v>
      </c>
      <c r="N346" s="389" t="s">
        <v>3315</v>
      </c>
      <c r="O346" s="389" t="s">
        <v>3315</v>
      </c>
      <c r="P346" s="389" t="s">
        <v>2924</v>
      </c>
      <c r="Q346" s="389" t="s">
        <v>3219</v>
      </c>
      <c r="R346" s="389" t="s">
        <v>2208</v>
      </c>
      <c r="S346" s="389" t="s">
        <v>2208</v>
      </c>
    </row>
    <row r="347" spans="1:19">
      <c r="A347" s="389" t="s">
        <v>8839</v>
      </c>
      <c r="B347" s="391" t="str">
        <f t="shared" si="10"/>
        <v>LCP-240190-EX</v>
      </c>
      <c r="C347" s="389" t="str">
        <f t="shared" si="11"/>
        <v>abril</v>
      </c>
      <c r="D347" s="389" t="s">
        <v>11332</v>
      </c>
      <c r="E347" s="391">
        <v>45769</v>
      </c>
      <c r="F347" s="389" t="s">
        <v>16117</v>
      </c>
      <c r="G347" s="389" t="s">
        <v>2916</v>
      </c>
      <c r="H347" s="389" t="s">
        <v>16119</v>
      </c>
      <c r="I347" s="398">
        <v>1</v>
      </c>
      <c r="J347" s="390">
        <v>1737.34</v>
      </c>
      <c r="K347" s="389" t="s">
        <v>2917</v>
      </c>
      <c r="L347" s="390">
        <v>10004.85</v>
      </c>
      <c r="M347" s="389" t="s">
        <v>2918</v>
      </c>
      <c r="N347" s="389" t="s">
        <v>3315</v>
      </c>
      <c r="O347" s="389" t="s">
        <v>3315</v>
      </c>
      <c r="P347" s="389" t="s">
        <v>2924</v>
      </c>
      <c r="Q347" s="389" t="s">
        <v>3219</v>
      </c>
      <c r="R347" s="389" t="s">
        <v>2208</v>
      </c>
      <c r="S347" s="389" t="s">
        <v>2208</v>
      </c>
    </row>
    <row r="348" spans="1:19">
      <c r="A348" s="389" t="s">
        <v>8839</v>
      </c>
      <c r="B348" s="391" t="str">
        <f t="shared" si="10"/>
        <v>LCP-240190-EX</v>
      </c>
      <c r="C348" s="389" t="str">
        <f t="shared" si="11"/>
        <v>abril</v>
      </c>
      <c r="D348" s="389" t="s">
        <v>11332</v>
      </c>
      <c r="E348" s="391">
        <v>45769</v>
      </c>
      <c r="F348" s="389" t="s">
        <v>8865</v>
      </c>
      <c r="G348" s="389" t="s">
        <v>2916</v>
      </c>
      <c r="H348" s="389" t="s">
        <v>16120</v>
      </c>
      <c r="I348" s="398">
        <v>0</v>
      </c>
      <c r="J348" s="390">
        <v>-160.69999999999999</v>
      </c>
      <c r="K348" s="389" t="s">
        <v>2917</v>
      </c>
      <c r="L348" s="390">
        <v>-925.45</v>
      </c>
      <c r="M348" s="389" t="s">
        <v>2918</v>
      </c>
      <c r="N348" s="389" t="s">
        <v>16121</v>
      </c>
      <c r="O348" s="389" t="s">
        <v>3315</v>
      </c>
      <c r="P348" s="389" t="s">
        <v>2924</v>
      </c>
      <c r="Q348" s="389" t="s">
        <v>3219</v>
      </c>
      <c r="R348" s="389" t="s">
        <v>2208</v>
      </c>
      <c r="S348" s="389" t="s">
        <v>2208</v>
      </c>
    </row>
    <row r="349" spans="1:19">
      <c r="A349" s="389" t="s">
        <v>8839</v>
      </c>
      <c r="B349" s="391" t="str">
        <f t="shared" si="10"/>
        <v>LCP-240190-EX</v>
      </c>
      <c r="C349" s="389" t="str">
        <f t="shared" si="11"/>
        <v>abril</v>
      </c>
      <c r="D349" s="389" t="s">
        <v>11332</v>
      </c>
      <c r="E349" s="391">
        <v>45769</v>
      </c>
      <c r="F349" s="389" t="s">
        <v>8865</v>
      </c>
      <c r="G349" s="389" t="s">
        <v>2916</v>
      </c>
      <c r="H349" s="389" t="s">
        <v>16122</v>
      </c>
      <c r="I349" s="398">
        <v>0</v>
      </c>
      <c r="J349" s="390">
        <v>-160.69999999999999</v>
      </c>
      <c r="K349" s="389" t="s">
        <v>2917</v>
      </c>
      <c r="L349" s="390">
        <v>-925.45</v>
      </c>
      <c r="M349" s="389" t="s">
        <v>2918</v>
      </c>
      <c r="N349" s="389" t="s">
        <v>16123</v>
      </c>
      <c r="O349" s="389" t="s">
        <v>3315</v>
      </c>
      <c r="P349" s="389" t="s">
        <v>2924</v>
      </c>
      <c r="Q349" s="389" t="s">
        <v>3219</v>
      </c>
      <c r="R349" s="389" t="s">
        <v>2208</v>
      </c>
      <c r="S349" s="389" t="s">
        <v>2208</v>
      </c>
    </row>
    <row r="350" spans="1:19">
      <c r="A350" s="389" t="s">
        <v>8839</v>
      </c>
      <c r="B350" s="391" t="str">
        <f t="shared" si="10"/>
        <v>LCP-240190-EX</v>
      </c>
      <c r="C350" s="389" t="str">
        <f t="shared" si="11"/>
        <v>abril</v>
      </c>
      <c r="D350" s="389" t="s">
        <v>11332</v>
      </c>
      <c r="E350" s="391">
        <v>45769</v>
      </c>
      <c r="F350" s="389" t="s">
        <v>16117</v>
      </c>
      <c r="G350" s="389" t="s">
        <v>2916</v>
      </c>
      <c r="H350" s="389" t="s">
        <v>16124</v>
      </c>
      <c r="I350" s="398">
        <v>0</v>
      </c>
      <c r="J350" s="390">
        <v>-160.69999999999999</v>
      </c>
      <c r="K350" s="389" t="s">
        <v>2917</v>
      </c>
      <c r="L350" s="390">
        <v>-925.45</v>
      </c>
      <c r="M350" s="389" t="s">
        <v>2918</v>
      </c>
      <c r="N350" s="389" t="s">
        <v>16125</v>
      </c>
      <c r="O350" s="389" t="s">
        <v>3315</v>
      </c>
      <c r="P350" s="389" t="s">
        <v>2924</v>
      </c>
      <c r="Q350" s="389" t="s">
        <v>3219</v>
      </c>
      <c r="R350" s="389" t="s">
        <v>2208</v>
      </c>
      <c r="S350" s="389" t="s">
        <v>2208</v>
      </c>
    </row>
    <row r="351" spans="1:19">
      <c r="A351" s="389" t="s">
        <v>8839</v>
      </c>
      <c r="B351" s="391" t="str">
        <f t="shared" si="10"/>
        <v>LCP-240190-EX</v>
      </c>
      <c r="C351" s="389" t="str">
        <f t="shared" si="11"/>
        <v>abril</v>
      </c>
      <c r="D351" s="389" t="s">
        <v>11332</v>
      </c>
      <c r="E351" s="391">
        <v>45769</v>
      </c>
      <c r="F351" s="389" t="s">
        <v>16117</v>
      </c>
      <c r="G351" s="389" t="s">
        <v>2916</v>
      </c>
      <c r="H351" s="389" t="s">
        <v>16126</v>
      </c>
      <c r="I351" s="398">
        <v>0</v>
      </c>
      <c r="J351" s="390">
        <v>-160.69999999999999</v>
      </c>
      <c r="K351" s="389" t="s">
        <v>2917</v>
      </c>
      <c r="L351" s="390">
        <v>-925.45</v>
      </c>
      <c r="M351" s="389" t="s">
        <v>2918</v>
      </c>
      <c r="N351" s="389" t="s">
        <v>16127</v>
      </c>
      <c r="O351" s="389" t="s">
        <v>3315</v>
      </c>
      <c r="P351" s="389" t="s">
        <v>2924</v>
      </c>
      <c r="Q351" s="389" t="s">
        <v>3219</v>
      </c>
      <c r="R351" s="389" t="s">
        <v>2208</v>
      </c>
      <c r="S351" s="389" t="s">
        <v>2208</v>
      </c>
    </row>
    <row r="352" spans="1:19">
      <c r="A352" s="389" t="s">
        <v>8839</v>
      </c>
      <c r="B352" s="391" t="str">
        <f t="shared" si="10"/>
        <v>LCP-240190-EX</v>
      </c>
      <c r="C352" s="389" t="str">
        <f t="shared" si="11"/>
        <v>abril</v>
      </c>
      <c r="D352" s="389" t="s">
        <v>11332</v>
      </c>
      <c r="E352" s="391">
        <v>45777</v>
      </c>
      <c r="F352" s="389" t="s">
        <v>2208</v>
      </c>
      <c r="G352" s="389" t="s">
        <v>2916</v>
      </c>
      <c r="H352" s="389" t="s">
        <v>16941</v>
      </c>
      <c r="I352" s="393">
        <v>0</v>
      </c>
      <c r="J352" s="390">
        <v>-7.0000000000000007E-2</v>
      </c>
      <c r="K352" s="389" t="s">
        <v>2917</v>
      </c>
      <c r="L352" s="390">
        <v>0</v>
      </c>
      <c r="M352" s="389" t="s">
        <v>2918</v>
      </c>
      <c r="N352" s="389" t="s">
        <v>2919</v>
      </c>
      <c r="O352" s="389" t="s">
        <v>2208</v>
      </c>
      <c r="P352" s="389" t="s">
        <v>2916</v>
      </c>
      <c r="Q352" s="389" t="s">
        <v>3220</v>
      </c>
      <c r="R352" s="389" t="s">
        <v>2208</v>
      </c>
      <c r="S352" s="389" t="s">
        <v>2208</v>
      </c>
    </row>
    <row r="353" spans="1:19">
      <c r="A353" s="389" t="s">
        <v>8839</v>
      </c>
      <c r="B353" s="391" t="str">
        <f t="shared" si="10"/>
        <v>LCP-240190-EX</v>
      </c>
      <c r="C353" s="389" t="str">
        <f t="shared" si="11"/>
        <v>maio</v>
      </c>
      <c r="D353" s="389" t="s">
        <v>16361</v>
      </c>
      <c r="E353" s="391">
        <v>45779</v>
      </c>
      <c r="F353" s="389" t="s">
        <v>16942</v>
      </c>
      <c r="G353" s="389" t="s">
        <v>2916</v>
      </c>
      <c r="H353" s="389" t="s">
        <v>16943</v>
      </c>
      <c r="I353" s="398">
        <v>176</v>
      </c>
      <c r="J353" s="390">
        <v>24033.54</v>
      </c>
      <c r="K353" s="389" t="s">
        <v>2917</v>
      </c>
      <c r="L353" s="390">
        <v>135400.22</v>
      </c>
      <c r="M353" s="389" t="s">
        <v>2918</v>
      </c>
      <c r="N353" s="389" t="s">
        <v>16944</v>
      </c>
      <c r="O353" s="389" t="s">
        <v>16945</v>
      </c>
      <c r="P353" s="389" t="s">
        <v>2924</v>
      </c>
      <c r="Q353" s="389" t="s">
        <v>3219</v>
      </c>
      <c r="R353" s="389" t="s">
        <v>16946</v>
      </c>
      <c r="S353" s="389" t="s">
        <v>16947</v>
      </c>
    </row>
    <row r="354" spans="1:19">
      <c r="A354" s="389" t="s">
        <v>8839</v>
      </c>
      <c r="B354" s="391" t="str">
        <f t="shared" si="10"/>
        <v>LCP-240190-EX</v>
      </c>
      <c r="C354" s="389" t="str">
        <f t="shared" si="11"/>
        <v>maio</v>
      </c>
      <c r="D354" s="389" t="s">
        <v>16361</v>
      </c>
      <c r="E354" s="391">
        <v>45779</v>
      </c>
      <c r="F354" s="389" t="s">
        <v>16942</v>
      </c>
      <c r="G354" s="389" t="s">
        <v>2916</v>
      </c>
      <c r="H354" s="389" t="s">
        <v>16948</v>
      </c>
      <c r="I354" s="398">
        <v>0</v>
      </c>
      <c r="J354" s="390">
        <v>-6148.98</v>
      </c>
      <c r="K354" s="389" t="s">
        <v>2917</v>
      </c>
      <c r="L354" s="390">
        <v>-34642.15</v>
      </c>
      <c r="M354" s="389" t="s">
        <v>2918</v>
      </c>
      <c r="N354" s="389" t="s">
        <v>16949</v>
      </c>
      <c r="O354" s="389" t="s">
        <v>16945</v>
      </c>
      <c r="P354" s="389" t="s">
        <v>2924</v>
      </c>
      <c r="Q354" s="389" t="s">
        <v>3219</v>
      </c>
      <c r="R354" s="389" t="s">
        <v>16946</v>
      </c>
      <c r="S354" s="389" t="s">
        <v>16947</v>
      </c>
    </row>
    <row r="355" spans="1:19">
      <c r="A355" s="389" t="s">
        <v>8839</v>
      </c>
      <c r="B355" s="391" t="str">
        <f t="shared" si="10"/>
        <v>LCP-240190-EX</v>
      </c>
      <c r="C355" s="389" t="str">
        <f t="shared" si="11"/>
        <v>maio</v>
      </c>
      <c r="D355" s="389" t="s">
        <v>16361</v>
      </c>
      <c r="E355" s="391">
        <v>45791</v>
      </c>
      <c r="F355" s="389" t="s">
        <v>8872</v>
      </c>
      <c r="G355" s="389" t="s">
        <v>2916</v>
      </c>
      <c r="H355" s="389" t="s">
        <v>17207</v>
      </c>
      <c r="I355" s="398">
        <v>1</v>
      </c>
      <c r="J355" s="390">
        <v>1775.86</v>
      </c>
      <c r="K355" s="389" t="s">
        <v>2917</v>
      </c>
      <c r="L355" s="390">
        <v>10004.85</v>
      </c>
      <c r="M355" s="389" t="s">
        <v>2918</v>
      </c>
      <c r="N355" s="389" t="s">
        <v>3315</v>
      </c>
      <c r="O355" s="389" t="s">
        <v>3315</v>
      </c>
      <c r="P355" s="389" t="s">
        <v>2924</v>
      </c>
      <c r="Q355" s="389" t="s">
        <v>3219</v>
      </c>
      <c r="R355" s="389" t="s">
        <v>2208</v>
      </c>
      <c r="S355" s="389" t="s">
        <v>2208</v>
      </c>
    </row>
    <row r="356" spans="1:19">
      <c r="A356" s="389" t="s">
        <v>8839</v>
      </c>
      <c r="B356" s="391" t="str">
        <f t="shared" si="10"/>
        <v>LCP-240190-EX</v>
      </c>
      <c r="C356" s="389" t="str">
        <f t="shared" si="11"/>
        <v>maio</v>
      </c>
      <c r="D356" s="389" t="s">
        <v>16361</v>
      </c>
      <c r="E356" s="391">
        <v>45791</v>
      </c>
      <c r="F356" s="389" t="s">
        <v>8872</v>
      </c>
      <c r="G356" s="389" t="s">
        <v>2916</v>
      </c>
      <c r="H356" s="389" t="s">
        <v>17208</v>
      </c>
      <c r="I356" s="398">
        <v>1</v>
      </c>
      <c r="J356" s="390">
        <v>1775.86</v>
      </c>
      <c r="K356" s="389" t="s">
        <v>2917</v>
      </c>
      <c r="L356" s="390">
        <v>10004.85</v>
      </c>
      <c r="M356" s="389" t="s">
        <v>2918</v>
      </c>
      <c r="N356" s="389" t="s">
        <v>3315</v>
      </c>
      <c r="O356" s="389" t="s">
        <v>3315</v>
      </c>
      <c r="P356" s="389" t="s">
        <v>2924</v>
      </c>
      <c r="Q356" s="389" t="s">
        <v>3219</v>
      </c>
      <c r="R356" s="389" t="s">
        <v>2208</v>
      </c>
      <c r="S356" s="389" t="s">
        <v>2208</v>
      </c>
    </row>
    <row r="357" spans="1:19">
      <c r="A357" s="389" t="s">
        <v>8839</v>
      </c>
      <c r="B357" s="391" t="str">
        <f t="shared" si="10"/>
        <v>LCP-240190-EX</v>
      </c>
      <c r="C357" s="389" t="str">
        <f t="shared" si="11"/>
        <v>maio</v>
      </c>
      <c r="D357" s="389" t="s">
        <v>16361</v>
      </c>
      <c r="E357" s="391">
        <v>45791</v>
      </c>
      <c r="F357" s="389" t="s">
        <v>8872</v>
      </c>
      <c r="G357" s="389" t="s">
        <v>2916</v>
      </c>
      <c r="H357" s="389" t="s">
        <v>17209</v>
      </c>
      <c r="I357" s="398">
        <v>1</v>
      </c>
      <c r="J357" s="390">
        <v>1775.86</v>
      </c>
      <c r="K357" s="389" t="s">
        <v>2917</v>
      </c>
      <c r="L357" s="390">
        <v>10004.85</v>
      </c>
      <c r="M357" s="389" t="s">
        <v>2918</v>
      </c>
      <c r="N357" s="389" t="s">
        <v>3315</v>
      </c>
      <c r="O357" s="389" t="s">
        <v>3315</v>
      </c>
      <c r="P357" s="389" t="s">
        <v>2924</v>
      </c>
      <c r="Q357" s="389" t="s">
        <v>3219</v>
      </c>
      <c r="R357" s="389" t="s">
        <v>2208</v>
      </c>
      <c r="S357" s="389" t="s">
        <v>2208</v>
      </c>
    </row>
    <row r="358" spans="1:19">
      <c r="A358" s="389" t="s">
        <v>8839</v>
      </c>
      <c r="B358" s="391" t="str">
        <f t="shared" si="10"/>
        <v>LCP-240190-EX</v>
      </c>
      <c r="C358" s="389" t="str">
        <f t="shared" si="11"/>
        <v>maio</v>
      </c>
      <c r="D358" s="389" t="s">
        <v>16361</v>
      </c>
      <c r="E358" s="391">
        <v>45791</v>
      </c>
      <c r="F358" s="389" t="s">
        <v>8872</v>
      </c>
      <c r="G358" s="389" t="s">
        <v>2916</v>
      </c>
      <c r="H358" s="389" t="s">
        <v>17210</v>
      </c>
      <c r="I358" s="398">
        <v>1</v>
      </c>
      <c r="J358" s="390">
        <v>1775.86</v>
      </c>
      <c r="K358" s="389" t="s">
        <v>2917</v>
      </c>
      <c r="L358" s="390">
        <v>10004.85</v>
      </c>
      <c r="M358" s="389" t="s">
        <v>2918</v>
      </c>
      <c r="N358" s="389" t="s">
        <v>3315</v>
      </c>
      <c r="O358" s="389" t="s">
        <v>3315</v>
      </c>
      <c r="P358" s="389" t="s">
        <v>2924</v>
      </c>
      <c r="Q358" s="389" t="s">
        <v>3219</v>
      </c>
      <c r="R358" s="389" t="s">
        <v>2208</v>
      </c>
      <c r="S358" s="389" t="s">
        <v>2208</v>
      </c>
    </row>
    <row r="359" spans="1:19">
      <c r="A359" s="389" t="s">
        <v>8839</v>
      </c>
      <c r="B359" s="391" t="str">
        <f t="shared" si="10"/>
        <v>LCP-240190-EX</v>
      </c>
      <c r="C359" s="389" t="str">
        <f t="shared" si="11"/>
        <v>maio</v>
      </c>
      <c r="D359" s="389" t="s">
        <v>16361</v>
      </c>
      <c r="E359" s="391">
        <v>45791</v>
      </c>
      <c r="F359" s="389" t="s">
        <v>8872</v>
      </c>
      <c r="G359" s="389" t="s">
        <v>2916</v>
      </c>
      <c r="H359" s="389" t="s">
        <v>17211</v>
      </c>
      <c r="I359" s="398">
        <v>1</v>
      </c>
      <c r="J359" s="390">
        <v>1775.86</v>
      </c>
      <c r="K359" s="389" t="s">
        <v>2917</v>
      </c>
      <c r="L359" s="390">
        <v>10004.85</v>
      </c>
      <c r="M359" s="389" t="s">
        <v>2918</v>
      </c>
      <c r="N359" s="389" t="s">
        <v>3315</v>
      </c>
      <c r="O359" s="389" t="s">
        <v>3315</v>
      </c>
      <c r="P359" s="389" t="s">
        <v>2924</v>
      </c>
      <c r="Q359" s="389" t="s">
        <v>3219</v>
      </c>
      <c r="R359" s="389" t="s">
        <v>2208</v>
      </c>
      <c r="S359" s="389" t="s">
        <v>2208</v>
      </c>
    </row>
    <row r="360" spans="1:19">
      <c r="A360" s="389" t="s">
        <v>8839</v>
      </c>
      <c r="B360" s="391" t="str">
        <f t="shared" si="10"/>
        <v>LCP-240190-EX</v>
      </c>
      <c r="C360" s="389" t="str">
        <f t="shared" si="11"/>
        <v>maio</v>
      </c>
      <c r="D360" s="389" t="s">
        <v>16361</v>
      </c>
      <c r="E360" s="391">
        <v>45791</v>
      </c>
      <c r="F360" s="389" t="s">
        <v>8872</v>
      </c>
      <c r="G360" s="389" t="s">
        <v>2916</v>
      </c>
      <c r="H360" s="389" t="s">
        <v>17212</v>
      </c>
      <c r="I360" s="398">
        <v>1</v>
      </c>
      <c r="J360" s="390">
        <v>1775.86</v>
      </c>
      <c r="K360" s="389" t="s">
        <v>2917</v>
      </c>
      <c r="L360" s="390">
        <v>10004.85</v>
      </c>
      <c r="M360" s="389" t="s">
        <v>2918</v>
      </c>
      <c r="N360" s="389" t="s">
        <v>3315</v>
      </c>
      <c r="O360" s="389" t="s">
        <v>3315</v>
      </c>
      <c r="P360" s="389" t="s">
        <v>2924</v>
      </c>
      <c r="Q360" s="389" t="s">
        <v>3219</v>
      </c>
      <c r="R360" s="389" t="s">
        <v>2208</v>
      </c>
      <c r="S360" s="389" t="s">
        <v>2208</v>
      </c>
    </row>
    <row r="361" spans="1:19">
      <c r="A361" s="389" t="s">
        <v>8839</v>
      </c>
      <c r="B361" s="391" t="str">
        <f t="shared" si="10"/>
        <v>LCP-240190-EX</v>
      </c>
      <c r="C361" s="389" t="str">
        <f t="shared" si="11"/>
        <v>maio</v>
      </c>
      <c r="D361" s="389" t="s">
        <v>16361</v>
      </c>
      <c r="E361" s="391">
        <v>45791</v>
      </c>
      <c r="F361" s="389" t="s">
        <v>8872</v>
      </c>
      <c r="G361" s="389" t="s">
        <v>2916</v>
      </c>
      <c r="H361" s="389" t="s">
        <v>17213</v>
      </c>
      <c r="I361" s="398">
        <v>1</v>
      </c>
      <c r="J361" s="390">
        <v>1775.86</v>
      </c>
      <c r="K361" s="389" t="s">
        <v>2917</v>
      </c>
      <c r="L361" s="390">
        <v>10004.85</v>
      </c>
      <c r="M361" s="389" t="s">
        <v>2918</v>
      </c>
      <c r="N361" s="389" t="s">
        <v>3315</v>
      </c>
      <c r="O361" s="389" t="s">
        <v>3315</v>
      </c>
      <c r="P361" s="389" t="s">
        <v>2924</v>
      </c>
      <c r="Q361" s="389" t="s">
        <v>3219</v>
      </c>
      <c r="R361" s="389" t="s">
        <v>2208</v>
      </c>
      <c r="S361" s="389" t="s">
        <v>2208</v>
      </c>
    </row>
    <row r="362" spans="1:19">
      <c r="A362" s="389" t="s">
        <v>8839</v>
      </c>
      <c r="B362" s="391" t="str">
        <f t="shared" si="10"/>
        <v>LCP-240190-EX</v>
      </c>
      <c r="C362" s="389" t="str">
        <f t="shared" si="11"/>
        <v>maio</v>
      </c>
      <c r="D362" s="389" t="s">
        <v>16361</v>
      </c>
      <c r="E362" s="391">
        <v>45791</v>
      </c>
      <c r="F362" s="389" t="s">
        <v>8872</v>
      </c>
      <c r="G362" s="389" t="s">
        <v>2916</v>
      </c>
      <c r="H362" s="389" t="s">
        <v>17214</v>
      </c>
      <c r="I362" s="398">
        <v>1</v>
      </c>
      <c r="J362" s="390">
        <v>1775.86</v>
      </c>
      <c r="K362" s="389" t="s">
        <v>2917</v>
      </c>
      <c r="L362" s="390">
        <v>10004.85</v>
      </c>
      <c r="M362" s="389" t="s">
        <v>2918</v>
      </c>
      <c r="N362" s="389" t="s">
        <v>3315</v>
      </c>
      <c r="O362" s="389" t="s">
        <v>3315</v>
      </c>
      <c r="P362" s="389" t="s">
        <v>2924</v>
      </c>
      <c r="Q362" s="389" t="s">
        <v>3219</v>
      </c>
      <c r="R362" s="389" t="s">
        <v>2208</v>
      </c>
      <c r="S362" s="389" t="s">
        <v>2208</v>
      </c>
    </row>
    <row r="363" spans="1:19">
      <c r="A363" s="389" t="s">
        <v>8839</v>
      </c>
      <c r="B363" s="391" t="str">
        <f t="shared" si="10"/>
        <v>LCP-240190-EX</v>
      </c>
      <c r="C363" s="389" t="str">
        <f t="shared" si="11"/>
        <v>maio</v>
      </c>
      <c r="D363" s="389" t="s">
        <v>16361</v>
      </c>
      <c r="E363" s="391">
        <v>45791</v>
      </c>
      <c r="F363" s="389" t="s">
        <v>8872</v>
      </c>
      <c r="G363" s="389" t="s">
        <v>2916</v>
      </c>
      <c r="H363" s="389" t="s">
        <v>17215</v>
      </c>
      <c r="I363" s="398">
        <v>1</v>
      </c>
      <c r="J363" s="390">
        <v>1775.86</v>
      </c>
      <c r="K363" s="389" t="s">
        <v>2917</v>
      </c>
      <c r="L363" s="390">
        <v>10004.85</v>
      </c>
      <c r="M363" s="389" t="s">
        <v>2918</v>
      </c>
      <c r="N363" s="389" t="s">
        <v>3315</v>
      </c>
      <c r="O363" s="389" t="s">
        <v>3315</v>
      </c>
      <c r="P363" s="389" t="s">
        <v>2924</v>
      </c>
      <c r="Q363" s="389" t="s">
        <v>3219</v>
      </c>
      <c r="R363" s="389" t="s">
        <v>2208</v>
      </c>
      <c r="S363" s="389" t="s">
        <v>2208</v>
      </c>
    </row>
    <row r="364" spans="1:19">
      <c r="A364" s="389" t="s">
        <v>8839</v>
      </c>
      <c r="B364" s="391" t="str">
        <f t="shared" si="10"/>
        <v>LCP-240190-EX</v>
      </c>
      <c r="C364" s="389" t="str">
        <f t="shared" si="11"/>
        <v>maio</v>
      </c>
      <c r="D364" s="389" t="s">
        <v>16361</v>
      </c>
      <c r="E364" s="391">
        <v>45791</v>
      </c>
      <c r="F364" s="389" t="s">
        <v>8872</v>
      </c>
      <c r="G364" s="389" t="s">
        <v>2916</v>
      </c>
      <c r="H364" s="389" t="s">
        <v>17216</v>
      </c>
      <c r="I364" s="398">
        <v>1</v>
      </c>
      <c r="J364" s="390">
        <v>1775.86</v>
      </c>
      <c r="K364" s="389" t="s">
        <v>2917</v>
      </c>
      <c r="L364" s="390">
        <v>10004.85</v>
      </c>
      <c r="M364" s="389" t="s">
        <v>2918</v>
      </c>
      <c r="N364" s="389" t="s">
        <v>3315</v>
      </c>
      <c r="O364" s="389" t="s">
        <v>3315</v>
      </c>
      <c r="P364" s="389" t="s">
        <v>2924</v>
      </c>
      <c r="Q364" s="389" t="s">
        <v>3219</v>
      </c>
      <c r="R364" s="389" t="s">
        <v>2208</v>
      </c>
      <c r="S364" s="389" t="s">
        <v>2208</v>
      </c>
    </row>
    <row r="365" spans="1:19">
      <c r="A365" s="389" t="s">
        <v>8839</v>
      </c>
      <c r="B365" s="391" t="str">
        <f t="shared" si="10"/>
        <v>LCP-240190-EX</v>
      </c>
      <c r="C365" s="389" t="str">
        <f t="shared" si="11"/>
        <v>maio</v>
      </c>
      <c r="D365" s="389" t="s">
        <v>16361</v>
      </c>
      <c r="E365" s="391">
        <v>45792</v>
      </c>
      <c r="F365" s="389" t="s">
        <v>16072</v>
      </c>
      <c r="G365" s="389" t="s">
        <v>2916</v>
      </c>
      <c r="H365" s="389" t="s">
        <v>17217</v>
      </c>
      <c r="I365" s="398">
        <v>1</v>
      </c>
      <c r="J365" s="390">
        <v>1775.86</v>
      </c>
      <c r="K365" s="389" t="s">
        <v>2917</v>
      </c>
      <c r="L365" s="390">
        <v>10004.85</v>
      </c>
      <c r="M365" s="389" t="s">
        <v>2918</v>
      </c>
      <c r="N365" s="389" t="s">
        <v>3315</v>
      </c>
      <c r="O365" s="389" t="s">
        <v>3315</v>
      </c>
      <c r="P365" s="389" t="s">
        <v>2924</v>
      </c>
      <c r="Q365" s="389" t="s">
        <v>3219</v>
      </c>
      <c r="R365" s="389" t="s">
        <v>2208</v>
      </c>
      <c r="S365" s="389" t="s">
        <v>2208</v>
      </c>
    </row>
    <row r="366" spans="1:19">
      <c r="A366" s="389" t="s">
        <v>8839</v>
      </c>
      <c r="B366" s="391" t="str">
        <f t="shared" si="10"/>
        <v>LCP-240190-EX</v>
      </c>
      <c r="C366" s="389" t="str">
        <f t="shared" si="11"/>
        <v>maio</v>
      </c>
      <c r="D366" s="389" t="s">
        <v>16361</v>
      </c>
      <c r="E366" s="391">
        <v>45792</v>
      </c>
      <c r="F366" s="389" t="s">
        <v>16072</v>
      </c>
      <c r="G366" s="389" t="s">
        <v>2916</v>
      </c>
      <c r="H366" s="389" t="s">
        <v>17218</v>
      </c>
      <c r="I366" s="398">
        <v>1</v>
      </c>
      <c r="J366" s="390">
        <v>1775.86</v>
      </c>
      <c r="K366" s="389" t="s">
        <v>2917</v>
      </c>
      <c r="L366" s="390">
        <v>10004.85</v>
      </c>
      <c r="M366" s="389" t="s">
        <v>2918</v>
      </c>
      <c r="N366" s="389" t="s">
        <v>3315</v>
      </c>
      <c r="O366" s="389" t="s">
        <v>3315</v>
      </c>
      <c r="P366" s="389" t="s">
        <v>2924</v>
      </c>
      <c r="Q366" s="389" t="s">
        <v>3219</v>
      </c>
      <c r="R366" s="389" t="s">
        <v>2208</v>
      </c>
      <c r="S366" s="389" t="s">
        <v>2208</v>
      </c>
    </row>
    <row r="367" spans="1:19">
      <c r="A367" s="389" t="s">
        <v>8839</v>
      </c>
      <c r="B367" s="391" t="str">
        <f t="shared" si="10"/>
        <v>LCP-240190-EX</v>
      </c>
      <c r="C367" s="389" t="str">
        <f t="shared" si="11"/>
        <v>maio</v>
      </c>
      <c r="D367" s="389" t="s">
        <v>16361</v>
      </c>
      <c r="E367" s="391">
        <v>45793</v>
      </c>
      <c r="F367" s="389" t="s">
        <v>8872</v>
      </c>
      <c r="G367" s="389" t="s">
        <v>2916</v>
      </c>
      <c r="H367" s="389" t="s">
        <v>17219</v>
      </c>
      <c r="I367" s="398">
        <v>0</v>
      </c>
      <c r="J367" s="390">
        <v>-164.27</v>
      </c>
      <c r="K367" s="389" t="s">
        <v>2917</v>
      </c>
      <c r="L367" s="390">
        <v>-925.45</v>
      </c>
      <c r="M367" s="389" t="s">
        <v>2918</v>
      </c>
      <c r="N367" s="389" t="s">
        <v>17220</v>
      </c>
      <c r="O367" s="389" t="s">
        <v>3315</v>
      </c>
      <c r="P367" s="389" t="s">
        <v>2924</v>
      </c>
      <c r="Q367" s="389" t="s">
        <v>3219</v>
      </c>
      <c r="R367" s="389" t="s">
        <v>2208</v>
      </c>
      <c r="S367" s="389" t="s">
        <v>2208</v>
      </c>
    </row>
    <row r="368" spans="1:19">
      <c r="A368" s="389" t="s">
        <v>8839</v>
      </c>
      <c r="B368" s="391" t="str">
        <f t="shared" si="10"/>
        <v>LCP-240190-EX</v>
      </c>
      <c r="C368" s="389" t="str">
        <f t="shared" si="11"/>
        <v>maio</v>
      </c>
      <c r="D368" s="389" t="s">
        <v>16361</v>
      </c>
      <c r="E368" s="391">
        <v>45793</v>
      </c>
      <c r="F368" s="389" t="s">
        <v>8872</v>
      </c>
      <c r="G368" s="389" t="s">
        <v>2916</v>
      </c>
      <c r="H368" s="389" t="s">
        <v>17221</v>
      </c>
      <c r="I368" s="398">
        <v>0</v>
      </c>
      <c r="J368" s="390">
        <v>-164.27</v>
      </c>
      <c r="K368" s="389" t="s">
        <v>2917</v>
      </c>
      <c r="L368" s="390">
        <v>-925.45</v>
      </c>
      <c r="M368" s="389" t="s">
        <v>2918</v>
      </c>
      <c r="N368" s="389" t="s">
        <v>17222</v>
      </c>
      <c r="O368" s="389" t="s">
        <v>3315</v>
      </c>
      <c r="P368" s="389" t="s">
        <v>2924</v>
      </c>
      <c r="Q368" s="389" t="s">
        <v>3219</v>
      </c>
      <c r="R368" s="389" t="s">
        <v>2208</v>
      </c>
      <c r="S368" s="389" t="s">
        <v>2208</v>
      </c>
    </row>
    <row r="369" spans="1:19">
      <c r="A369" s="389" t="s">
        <v>8839</v>
      </c>
      <c r="B369" s="391" t="str">
        <f t="shared" si="10"/>
        <v>LCP-240190-EX</v>
      </c>
      <c r="C369" s="389" t="str">
        <f t="shared" si="11"/>
        <v>maio</v>
      </c>
      <c r="D369" s="389" t="s">
        <v>16361</v>
      </c>
      <c r="E369" s="391">
        <v>45793</v>
      </c>
      <c r="F369" s="389" t="s">
        <v>8872</v>
      </c>
      <c r="G369" s="389" t="s">
        <v>2916</v>
      </c>
      <c r="H369" s="389" t="s">
        <v>17223</v>
      </c>
      <c r="I369" s="398">
        <v>0</v>
      </c>
      <c r="J369" s="390">
        <v>-164.27</v>
      </c>
      <c r="K369" s="389" t="s">
        <v>2917</v>
      </c>
      <c r="L369" s="390">
        <v>-925.45</v>
      </c>
      <c r="M369" s="389" t="s">
        <v>2918</v>
      </c>
      <c r="N369" s="389" t="s">
        <v>17224</v>
      </c>
      <c r="O369" s="389" t="s">
        <v>3315</v>
      </c>
      <c r="P369" s="389" t="s">
        <v>2924</v>
      </c>
      <c r="Q369" s="389" t="s">
        <v>3219</v>
      </c>
      <c r="R369" s="389" t="s">
        <v>2208</v>
      </c>
      <c r="S369" s="389" t="s">
        <v>2208</v>
      </c>
    </row>
    <row r="370" spans="1:19">
      <c r="A370" s="389" t="s">
        <v>8839</v>
      </c>
      <c r="B370" s="391" t="str">
        <f t="shared" si="10"/>
        <v>LCP-240190-EX</v>
      </c>
      <c r="C370" s="389" t="str">
        <f t="shared" si="11"/>
        <v>maio</v>
      </c>
      <c r="D370" s="389" t="s">
        <v>16361</v>
      </c>
      <c r="E370" s="391">
        <v>45793</v>
      </c>
      <c r="F370" s="389" t="s">
        <v>8872</v>
      </c>
      <c r="G370" s="389" t="s">
        <v>2916</v>
      </c>
      <c r="H370" s="389" t="s">
        <v>17225</v>
      </c>
      <c r="I370" s="398">
        <v>0</v>
      </c>
      <c r="J370" s="390">
        <v>-164.27</v>
      </c>
      <c r="K370" s="389" t="s">
        <v>2917</v>
      </c>
      <c r="L370" s="390">
        <v>-925.45</v>
      </c>
      <c r="M370" s="389" t="s">
        <v>2918</v>
      </c>
      <c r="N370" s="389" t="s">
        <v>17226</v>
      </c>
      <c r="O370" s="389" t="s">
        <v>3315</v>
      </c>
      <c r="P370" s="389" t="s">
        <v>2924</v>
      </c>
      <c r="Q370" s="389" t="s">
        <v>3219</v>
      </c>
      <c r="R370" s="389" t="s">
        <v>2208</v>
      </c>
      <c r="S370" s="389" t="s">
        <v>2208</v>
      </c>
    </row>
    <row r="371" spans="1:19">
      <c r="A371" s="389" t="s">
        <v>8839</v>
      </c>
      <c r="B371" s="391" t="str">
        <f t="shared" si="10"/>
        <v>LCP-240190-EX</v>
      </c>
      <c r="C371" s="389" t="str">
        <f t="shared" si="11"/>
        <v>maio</v>
      </c>
      <c r="D371" s="389" t="s">
        <v>16361</v>
      </c>
      <c r="E371" s="391">
        <v>45793</v>
      </c>
      <c r="F371" s="389" t="s">
        <v>8872</v>
      </c>
      <c r="G371" s="389" t="s">
        <v>2916</v>
      </c>
      <c r="H371" s="389" t="s">
        <v>17227</v>
      </c>
      <c r="I371" s="398">
        <v>0</v>
      </c>
      <c r="J371" s="390">
        <v>-164.27</v>
      </c>
      <c r="K371" s="389" t="s">
        <v>2917</v>
      </c>
      <c r="L371" s="390">
        <v>-925.45</v>
      </c>
      <c r="M371" s="389" t="s">
        <v>2918</v>
      </c>
      <c r="N371" s="389" t="s">
        <v>17228</v>
      </c>
      <c r="O371" s="389" t="s">
        <v>3315</v>
      </c>
      <c r="P371" s="389" t="s">
        <v>2924</v>
      </c>
      <c r="Q371" s="389" t="s">
        <v>3219</v>
      </c>
      <c r="R371" s="389" t="s">
        <v>2208</v>
      </c>
      <c r="S371" s="389" t="s">
        <v>2208</v>
      </c>
    </row>
    <row r="372" spans="1:19">
      <c r="A372" s="389" t="s">
        <v>8839</v>
      </c>
      <c r="B372" s="391" t="str">
        <f t="shared" si="10"/>
        <v>LCP-240190-EX</v>
      </c>
      <c r="C372" s="389" t="str">
        <f t="shared" si="11"/>
        <v>maio</v>
      </c>
      <c r="D372" s="389" t="s">
        <v>16361</v>
      </c>
      <c r="E372" s="391">
        <v>45793</v>
      </c>
      <c r="F372" s="389" t="s">
        <v>8872</v>
      </c>
      <c r="G372" s="389" t="s">
        <v>2916</v>
      </c>
      <c r="H372" s="389" t="s">
        <v>17229</v>
      </c>
      <c r="I372" s="398">
        <v>0</v>
      </c>
      <c r="J372" s="390">
        <v>-164.27</v>
      </c>
      <c r="K372" s="389" t="s">
        <v>2917</v>
      </c>
      <c r="L372" s="390">
        <v>-925.45</v>
      </c>
      <c r="M372" s="389" t="s">
        <v>2918</v>
      </c>
      <c r="N372" s="389" t="s">
        <v>17230</v>
      </c>
      <c r="O372" s="389" t="s">
        <v>3315</v>
      </c>
      <c r="P372" s="389" t="s">
        <v>2924</v>
      </c>
      <c r="Q372" s="389" t="s">
        <v>3219</v>
      </c>
      <c r="R372" s="389" t="s">
        <v>2208</v>
      </c>
      <c r="S372" s="389" t="s">
        <v>2208</v>
      </c>
    </row>
    <row r="373" spans="1:19">
      <c r="A373" s="389" t="s">
        <v>8839</v>
      </c>
      <c r="B373" s="391" t="str">
        <f t="shared" si="10"/>
        <v>LCP-240190-EX</v>
      </c>
      <c r="C373" s="389" t="str">
        <f t="shared" si="11"/>
        <v>maio</v>
      </c>
      <c r="D373" s="389" t="s">
        <v>16361</v>
      </c>
      <c r="E373" s="391">
        <v>45793</v>
      </c>
      <c r="F373" s="389" t="s">
        <v>8872</v>
      </c>
      <c r="G373" s="389" t="s">
        <v>2916</v>
      </c>
      <c r="H373" s="389" t="s">
        <v>17231</v>
      </c>
      <c r="I373" s="398">
        <v>0</v>
      </c>
      <c r="J373" s="390">
        <v>-164.27</v>
      </c>
      <c r="K373" s="389" t="s">
        <v>2917</v>
      </c>
      <c r="L373" s="390">
        <v>-925.45</v>
      </c>
      <c r="M373" s="389" t="s">
        <v>2918</v>
      </c>
      <c r="N373" s="389" t="s">
        <v>17232</v>
      </c>
      <c r="O373" s="389" t="s">
        <v>3315</v>
      </c>
      <c r="P373" s="389" t="s">
        <v>2924</v>
      </c>
      <c r="Q373" s="389" t="s">
        <v>3219</v>
      </c>
      <c r="R373" s="389" t="s">
        <v>2208</v>
      </c>
      <c r="S373" s="389" t="s">
        <v>2208</v>
      </c>
    </row>
    <row r="374" spans="1:19">
      <c r="A374" s="389" t="s">
        <v>8839</v>
      </c>
      <c r="B374" s="391" t="str">
        <f t="shared" si="10"/>
        <v>LCP-240190-EX</v>
      </c>
      <c r="C374" s="389" t="str">
        <f t="shared" si="11"/>
        <v>maio</v>
      </c>
      <c r="D374" s="389" t="s">
        <v>16361</v>
      </c>
      <c r="E374" s="391">
        <v>45793</v>
      </c>
      <c r="F374" s="389" t="s">
        <v>8872</v>
      </c>
      <c r="G374" s="389" t="s">
        <v>2916</v>
      </c>
      <c r="H374" s="389" t="s">
        <v>17233</v>
      </c>
      <c r="I374" s="398">
        <v>0</v>
      </c>
      <c r="J374" s="390">
        <v>-164.27</v>
      </c>
      <c r="K374" s="389" t="s">
        <v>2917</v>
      </c>
      <c r="L374" s="390">
        <v>-925.45</v>
      </c>
      <c r="M374" s="389" t="s">
        <v>2918</v>
      </c>
      <c r="N374" s="389" t="s">
        <v>17234</v>
      </c>
      <c r="O374" s="389" t="s">
        <v>3315</v>
      </c>
      <c r="P374" s="389" t="s">
        <v>2924</v>
      </c>
      <c r="Q374" s="389" t="s">
        <v>3219</v>
      </c>
      <c r="R374" s="389" t="s">
        <v>2208</v>
      </c>
      <c r="S374" s="389" t="s">
        <v>2208</v>
      </c>
    </row>
    <row r="375" spans="1:19">
      <c r="A375" s="389" t="s">
        <v>8839</v>
      </c>
      <c r="B375" s="391" t="str">
        <f t="shared" si="10"/>
        <v>LCP-240190-EX</v>
      </c>
      <c r="C375" s="389" t="str">
        <f t="shared" si="11"/>
        <v>maio</v>
      </c>
      <c r="D375" s="389" t="s">
        <v>16361</v>
      </c>
      <c r="E375" s="391">
        <v>45793</v>
      </c>
      <c r="F375" s="389" t="s">
        <v>8872</v>
      </c>
      <c r="G375" s="389" t="s">
        <v>2916</v>
      </c>
      <c r="H375" s="389" t="s">
        <v>17235</v>
      </c>
      <c r="I375" s="398">
        <v>0</v>
      </c>
      <c r="J375" s="390">
        <v>-164.27</v>
      </c>
      <c r="K375" s="389" t="s">
        <v>2917</v>
      </c>
      <c r="L375" s="390">
        <v>-925.45</v>
      </c>
      <c r="M375" s="389" t="s">
        <v>2918</v>
      </c>
      <c r="N375" s="389" t="s">
        <v>17236</v>
      </c>
      <c r="O375" s="389" t="s">
        <v>3315</v>
      </c>
      <c r="P375" s="389" t="s">
        <v>2924</v>
      </c>
      <c r="Q375" s="389" t="s">
        <v>3219</v>
      </c>
      <c r="R375" s="389" t="s">
        <v>2208</v>
      </c>
      <c r="S375" s="389" t="s">
        <v>2208</v>
      </c>
    </row>
    <row r="376" spans="1:19">
      <c r="A376" s="389" t="s">
        <v>8839</v>
      </c>
      <c r="B376" s="391" t="str">
        <f t="shared" si="10"/>
        <v>LCP-240190-EX</v>
      </c>
      <c r="C376" s="389" t="str">
        <f t="shared" si="11"/>
        <v>maio</v>
      </c>
      <c r="D376" s="389" t="s">
        <v>16361</v>
      </c>
      <c r="E376" s="391">
        <v>45793</v>
      </c>
      <c r="F376" s="389" t="s">
        <v>8872</v>
      </c>
      <c r="G376" s="389" t="s">
        <v>2916</v>
      </c>
      <c r="H376" s="389" t="s">
        <v>17237</v>
      </c>
      <c r="I376" s="398">
        <v>0</v>
      </c>
      <c r="J376" s="390">
        <v>-164.27</v>
      </c>
      <c r="K376" s="389" t="s">
        <v>2917</v>
      </c>
      <c r="L376" s="390">
        <v>-925.45</v>
      </c>
      <c r="M376" s="389" t="s">
        <v>2918</v>
      </c>
      <c r="N376" s="389" t="s">
        <v>17238</v>
      </c>
      <c r="O376" s="389" t="s">
        <v>3315</v>
      </c>
      <c r="P376" s="389" t="s">
        <v>2924</v>
      </c>
      <c r="Q376" s="389" t="s">
        <v>3219</v>
      </c>
      <c r="R376" s="389" t="s">
        <v>2208</v>
      </c>
      <c r="S376" s="389" t="s">
        <v>2208</v>
      </c>
    </row>
    <row r="377" spans="1:19">
      <c r="A377" s="389" t="s">
        <v>8839</v>
      </c>
      <c r="B377" s="391" t="str">
        <f t="shared" si="10"/>
        <v>LCP-240190-EX</v>
      </c>
      <c r="C377" s="389" t="str">
        <f t="shared" si="11"/>
        <v>maio</v>
      </c>
      <c r="D377" s="389" t="s">
        <v>16361</v>
      </c>
      <c r="E377" s="391">
        <v>45793</v>
      </c>
      <c r="F377" s="389" t="s">
        <v>16072</v>
      </c>
      <c r="G377" s="389" t="s">
        <v>2916</v>
      </c>
      <c r="H377" s="389" t="s">
        <v>17239</v>
      </c>
      <c r="I377" s="398">
        <v>0</v>
      </c>
      <c r="J377" s="390">
        <v>-164.27</v>
      </c>
      <c r="K377" s="389" t="s">
        <v>2917</v>
      </c>
      <c r="L377" s="390">
        <v>-925.45</v>
      </c>
      <c r="M377" s="389" t="s">
        <v>2918</v>
      </c>
      <c r="N377" s="389" t="s">
        <v>17240</v>
      </c>
      <c r="O377" s="389" t="s">
        <v>3315</v>
      </c>
      <c r="P377" s="389" t="s">
        <v>2924</v>
      </c>
      <c r="Q377" s="389" t="s">
        <v>3219</v>
      </c>
      <c r="R377" s="389" t="s">
        <v>2208</v>
      </c>
      <c r="S377" s="389" t="s">
        <v>2208</v>
      </c>
    </row>
    <row r="378" spans="1:19">
      <c r="A378" s="389" t="s">
        <v>8839</v>
      </c>
      <c r="B378" s="391" t="str">
        <f t="shared" si="10"/>
        <v>LCP-240190-EX</v>
      </c>
      <c r="C378" s="389" t="str">
        <f t="shared" si="11"/>
        <v>maio</v>
      </c>
      <c r="D378" s="389" t="s">
        <v>16361</v>
      </c>
      <c r="E378" s="391">
        <v>45793</v>
      </c>
      <c r="F378" s="389" t="s">
        <v>16072</v>
      </c>
      <c r="G378" s="389" t="s">
        <v>2916</v>
      </c>
      <c r="H378" s="389" t="s">
        <v>17241</v>
      </c>
      <c r="I378" s="398">
        <v>0</v>
      </c>
      <c r="J378" s="390">
        <v>-164.27</v>
      </c>
      <c r="K378" s="389" t="s">
        <v>2917</v>
      </c>
      <c r="L378" s="390">
        <v>-925.45</v>
      </c>
      <c r="M378" s="389" t="s">
        <v>2918</v>
      </c>
      <c r="N378" s="389" t="s">
        <v>17242</v>
      </c>
      <c r="O378" s="389" t="s">
        <v>3315</v>
      </c>
      <c r="P378" s="389" t="s">
        <v>2924</v>
      </c>
      <c r="Q378" s="389" t="s">
        <v>3219</v>
      </c>
      <c r="R378" s="389" t="s">
        <v>2208</v>
      </c>
      <c r="S378" s="389" t="s">
        <v>2208</v>
      </c>
    </row>
    <row r="379" spans="1:19">
      <c r="A379" s="389" t="s">
        <v>8839</v>
      </c>
      <c r="B379" s="391" t="str">
        <f t="shared" si="10"/>
        <v>LCP-240190-EX</v>
      </c>
      <c r="C379" s="389" t="str">
        <f t="shared" si="11"/>
        <v>maio</v>
      </c>
      <c r="D379" s="389" t="s">
        <v>16361</v>
      </c>
      <c r="E379" s="391">
        <v>45793</v>
      </c>
      <c r="F379" s="389" t="s">
        <v>16117</v>
      </c>
      <c r="G379" s="389" t="s">
        <v>2916</v>
      </c>
      <c r="H379" s="389" t="s">
        <v>17243</v>
      </c>
      <c r="I379" s="398">
        <v>1</v>
      </c>
      <c r="J379" s="390">
        <v>1775.86</v>
      </c>
      <c r="K379" s="389" t="s">
        <v>2917</v>
      </c>
      <c r="L379" s="390">
        <v>10004.85</v>
      </c>
      <c r="M379" s="389" t="s">
        <v>2918</v>
      </c>
      <c r="N379" s="389" t="s">
        <v>3315</v>
      </c>
      <c r="O379" s="389" t="s">
        <v>3315</v>
      </c>
      <c r="P379" s="389" t="s">
        <v>2924</v>
      </c>
      <c r="Q379" s="389" t="s">
        <v>3219</v>
      </c>
      <c r="R379" s="389" t="s">
        <v>2208</v>
      </c>
      <c r="S379" s="389" t="s">
        <v>2208</v>
      </c>
    </row>
    <row r="380" spans="1:19">
      <c r="A380" s="389" t="s">
        <v>8839</v>
      </c>
      <c r="B380" s="391" t="str">
        <f t="shared" si="10"/>
        <v>LCP-240190-EX</v>
      </c>
      <c r="C380" s="389" t="str">
        <f t="shared" si="11"/>
        <v>maio</v>
      </c>
      <c r="D380" s="389" t="s">
        <v>16361</v>
      </c>
      <c r="E380" s="391">
        <v>45793</v>
      </c>
      <c r="F380" s="389" t="s">
        <v>16117</v>
      </c>
      <c r="G380" s="389" t="s">
        <v>2916</v>
      </c>
      <c r="H380" s="389" t="s">
        <v>17244</v>
      </c>
      <c r="I380" s="398">
        <v>1</v>
      </c>
      <c r="J380" s="390">
        <v>1775.86</v>
      </c>
      <c r="K380" s="389" t="s">
        <v>2917</v>
      </c>
      <c r="L380" s="390">
        <v>10004.85</v>
      </c>
      <c r="M380" s="389" t="s">
        <v>2918</v>
      </c>
      <c r="N380" s="389" t="s">
        <v>3315</v>
      </c>
      <c r="O380" s="389" t="s">
        <v>3315</v>
      </c>
      <c r="P380" s="389" t="s">
        <v>2924</v>
      </c>
      <c r="Q380" s="389" t="s">
        <v>3219</v>
      </c>
      <c r="R380" s="389" t="s">
        <v>2208</v>
      </c>
      <c r="S380" s="389" t="s">
        <v>2208</v>
      </c>
    </row>
    <row r="381" spans="1:19">
      <c r="A381" s="389" t="s">
        <v>8839</v>
      </c>
      <c r="B381" s="391" t="str">
        <f t="shared" si="10"/>
        <v>LCP-240190-EX</v>
      </c>
      <c r="C381" s="389" t="str">
        <f t="shared" si="11"/>
        <v>maio</v>
      </c>
      <c r="D381" s="389" t="s">
        <v>16361</v>
      </c>
      <c r="E381" s="391">
        <v>45796</v>
      </c>
      <c r="F381" s="389" t="s">
        <v>16117</v>
      </c>
      <c r="G381" s="389" t="s">
        <v>2916</v>
      </c>
      <c r="H381" s="389" t="s">
        <v>17359</v>
      </c>
      <c r="I381" s="398">
        <v>0</v>
      </c>
      <c r="J381" s="390">
        <v>-164.27</v>
      </c>
      <c r="K381" s="389" t="s">
        <v>2917</v>
      </c>
      <c r="L381" s="390">
        <v>-925.45</v>
      </c>
      <c r="M381" s="389" t="s">
        <v>2918</v>
      </c>
      <c r="N381" s="389" t="s">
        <v>17360</v>
      </c>
      <c r="O381" s="389" t="s">
        <v>3315</v>
      </c>
      <c r="P381" s="389" t="s">
        <v>2924</v>
      </c>
      <c r="Q381" s="389" t="s">
        <v>3219</v>
      </c>
      <c r="R381" s="389" t="s">
        <v>2208</v>
      </c>
      <c r="S381" s="389" t="s">
        <v>2208</v>
      </c>
    </row>
    <row r="382" spans="1:19">
      <c r="A382" s="389" t="s">
        <v>8839</v>
      </c>
      <c r="B382" s="391" t="str">
        <f t="shared" si="10"/>
        <v>LCP-240190-EX</v>
      </c>
      <c r="C382" s="389" t="str">
        <f t="shared" si="11"/>
        <v>maio</v>
      </c>
      <c r="D382" s="389" t="s">
        <v>16361</v>
      </c>
      <c r="E382" s="391">
        <v>45797</v>
      </c>
      <c r="F382" s="389" t="s">
        <v>16117</v>
      </c>
      <c r="G382" s="389" t="s">
        <v>2916</v>
      </c>
      <c r="H382" s="389" t="s">
        <v>17361</v>
      </c>
      <c r="I382" s="398">
        <v>0</v>
      </c>
      <c r="J382" s="390">
        <v>-164.27</v>
      </c>
      <c r="K382" s="389" t="s">
        <v>2917</v>
      </c>
      <c r="L382" s="390">
        <v>-925.45</v>
      </c>
      <c r="M382" s="389" t="s">
        <v>2918</v>
      </c>
      <c r="N382" s="389" t="s">
        <v>17362</v>
      </c>
      <c r="O382" s="389" t="s">
        <v>3315</v>
      </c>
      <c r="P382" s="389" t="s">
        <v>2924</v>
      </c>
      <c r="Q382" s="389" t="s">
        <v>3219</v>
      </c>
      <c r="R382" s="389" t="s">
        <v>2208</v>
      </c>
      <c r="S382" s="389" t="s">
        <v>2208</v>
      </c>
    </row>
    <row r="383" spans="1:19">
      <c r="A383" s="389" t="s">
        <v>8839</v>
      </c>
      <c r="B383" s="391" t="str">
        <f t="shared" si="10"/>
        <v>LCP-240190-EX</v>
      </c>
      <c r="C383" s="389" t="str">
        <f t="shared" si="11"/>
        <v>maio</v>
      </c>
      <c r="D383" s="389" t="s">
        <v>16361</v>
      </c>
      <c r="E383" s="391">
        <v>45805</v>
      </c>
      <c r="F383" s="389" t="s">
        <v>2208</v>
      </c>
      <c r="G383" s="389" t="s">
        <v>2916</v>
      </c>
      <c r="H383" s="389" t="s">
        <v>18408</v>
      </c>
      <c r="I383" s="393">
        <v>0</v>
      </c>
      <c r="J383" s="390">
        <v>4326.04</v>
      </c>
      <c r="K383" s="389" t="s">
        <v>2917</v>
      </c>
      <c r="L383" s="390">
        <v>24372.04</v>
      </c>
      <c r="M383" s="389" t="s">
        <v>2918</v>
      </c>
      <c r="N383" s="389" t="s">
        <v>18409</v>
      </c>
      <c r="O383" s="389" t="s">
        <v>2208</v>
      </c>
      <c r="P383" s="389" t="s">
        <v>11434</v>
      </c>
      <c r="Q383" s="389" t="s">
        <v>11435</v>
      </c>
      <c r="R383" s="389" t="s">
        <v>2208</v>
      </c>
      <c r="S383" s="389" t="s">
        <v>2208</v>
      </c>
    </row>
    <row r="384" spans="1:19">
      <c r="A384" s="389" t="s">
        <v>8839</v>
      </c>
      <c r="B384" s="391" t="str">
        <f t="shared" si="10"/>
        <v>LCP-240190-EX</v>
      </c>
      <c r="C384" s="389" t="str">
        <f t="shared" si="11"/>
        <v>maio</v>
      </c>
      <c r="D384" s="389" t="s">
        <v>16361</v>
      </c>
      <c r="E384" s="391">
        <v>45808</v>
      </c>
      <c r="F384" s="389" t="s">
        <v>2208</v>
      </c>
      <c r="G384" s="389" t="s">
        <v>2916</v>
      </c>
      <c r="H384" s="389" t="s">
        <v>18410</v>
      </c>
      <c r="I384" s="393">
        <v>0</v>
      </c>
      <c r="J384" s="390">
        <v>0.1</v>
      </c>
      <c r="K384" s="389" t="s">
        <v>2917</v>
      </c>
      <c r="L384" s="390">
        <v>0</v>
      </c>
      <c r="M384" s="389" t="s">
        <v>2918</v>
      </c>
      <c r="N384" s="389" t="s">
        <v>2919</v>
      </c>
      <c r="O384" s="389" t="s">
        <v>2208</v>
      </c>
      <c r="P384" s="389" t="s">
        <v>2916</v>
      </c>
      <c r="Q384" s="389" t="s">
        <v>3220</v>
      </c>
      <c r="R384" s="389" t="s">
        <v>2208</v>
      </c>
      <c r="S384" s="389" t="s">
        <v>2208</v>
      </c>
    </row>
    <row r="385" spans="1:19">
      <c r="A385" s="389" t="s">
        <v>8839</v>
      </c>
      <c r="B385" s="391" t="str">
        <f t="shared" si="10"/>
        <v>LCP-240190-EX</v>
      </c>
      <c r="C385" s="389" t="str">
        <f t="shared" si="11"/>
        <v>junho</v>
      </c>
      <c r="D385" s="389" t="s">
        <v>17898</v>
      </c>
      <c r="E385" s="391">
        <v>45812</v>
      </c>
      <c r="F385" s="389" t="s">
        <v>16072</v>
      </c>
      <c r="G385" s="389" t="s">
        <v>2916</v>
      </c>
      <c r="H385" s="389" t="s">
        <v>18411</v>
      </c>
      <c r="I385" s="398">
        <v>1</v>
      </c>
      <c r="J385" s="390">
        <v>1762.85</v>
      </c>
      <c r="K385" s="389" t="s">
        <v>2917</v>
      </c>
      <c r="L385" s="390">
        <v>10004.85</v>
      </c>
      <c r="M385" s="389" t="s">
        <v>2918</v>
      </c>
      <c r="N385" s="389" t="s">
        <v>3315</v>
      </c>
      <c r="O385" s="389" t="s">
        <v>3315</v>
      </c>
      <c r="P385" s="389" t="s">
        <v>2924</v>
      </c>
      <c r="Q385" s="389" t="s">
        <v>3219</v>
      </c>
      <c r="R385" s="389" t="s">
        <v>2208</v>
      </c>
      <c r="S385" s="389" t="s">
        <v>2208</v>
      </c>
    </row>
    <row r="386" spans="1:19">
      <c r="A386" s="389" t="s">
        <v>8839</v>
      </c>
      <c r="B386" s="391" t="str">
        <f t="shared" si="10"/>
        <v>LCP-240190-EX</v>
      </c>
      <c r="C386" s="389" t="str">
        <f t="shared" si="11"/>
        <v>junho</v>
      </c>
      <c r="D386" s="389" t="s">
        <v>17898</v>
      </c>
      <c r="E386" s="391">
        <v>45812</v>
      </c>
      <c r="F386" s="389" t="s">
        <v>16072</v>
      </c>
      <c r="G386" s="389" t="s">
        <v>2916</v>
      </c>
      <c r="H386" s="389" t="s">
        <v>18412</v>
      </c>
      <c r="I386" s="398">
        <v>1</v>
      </c>
      <c r="J386" s="390">
        <v>1762.85</v>
      </c>
      <c r="K386" s="389" t="s">
        <v>2917</v>
      </c>
      <c r="L386" s="390">
        <v>10004.85</v>
      </c>
      <c r="M386" s="389" t="s">
        <v>2918</v>
      </c>
      <c r="N386" s="389" t="s">
        <v>3315</v>
      </c>
      <c r="O386" s="389" t="s">
        <v>3315</v>
      </c>
      <c r="P386" s="389" t="s">
        <v>2924</v>
      </c>
      <c r="Q386" s="389" t="s">
        <v>3219</v>
      </c>
      <c r="R386" s="389" t="s">
        <v>2208</v>
      </c>
      <c r="S386" s="389" t="s">
        <v>2208</v>
      </c>
    </row>
    <row r="387" spans="1:19">
      <c r="A387" s="389" t="s">
        <v>8839</v>
      </c>
      <c r="B387" s="391" t="str">
        <f t="shared" ref="B387:B450" si="12">IF(LEFT(A387,1)="E",A387,LEFT(A387,13))</f>
        <v>LCP-240190-EX</v>
      </c>
      <c r="C387" s="389" t="str">
        <f t="shared" ref="C387:C450" si="13">TEXT(E387,"mmmm")</f>
        <v>junho</v>
      </c>
      <c r="D387" s="389" t="s">
        <v>17898</v>
      </c>
      <c r="E387" s="391">
        <v>45812</v>
      </c>
      <c r="F387" s="389" t="s">
        <v>16072</v>
      </c>
      <c r="G387" s="389" t="s">
        <v>2916</v>
      </c>
      <c r="H387" s="389" t="s">
        <v>18413</v>
      </c>
      <c r="I387" s="398">
        <v>1</v>
      </c>
      <c r="J387" s="390">
        <v>1762.85</v>
      </c>
      <c r="K387" s="389" t="s">
        <v>2917</v>
      </c>
      <c r="L387" s="390">
        <v>10004.85</v>
      </c>
      <c r="M387" s="389" t="s">
        <v>2918</v>
      </c>
      <c r="N387" s="389" t="s">
        <v>3315</v>
      </c>
      <c r="O387" s="389" t="s">
        <v>3315</v>
      </c>
      <c r="P387" s="389" t="s">
        <v>2924</v>
      </c>
      <c r="Q387" s="389" t="s">
        <v>3219</v>
      </c>
      <c r="R387" s="389" t="s">
        <v>2208</v>
      </c>
      <c r="S387" s="389" t="s">
        <v>2208</v>
      </c>
    </row>
    <row r="388" spans="1:19">
      <c r="A388" s="389" t="s">
        <v>8839</v>
      </c>
      <c r="B388" s="391" t="str">
        <f t="shared" si="12"/>
        <v>LCP-240190-EX</v>
      </c>
      <c r="C388" s="389" t="str">
        <f t="shared" si="13"/>
        <v>junho</v>
      </c>
      <c r="D388" s="389" t="s">
        <v>17898</v>
      </c>
      <c r="E388" s="391">
        <v>45812</v>
      </c>
      <c r="F388" s="389" t="s">
        <v>16072</v>
      </c>
      <c r="G388" s="389" t="s">
        <v>2916</v>
      </c>
      <c r="H388" s="389" t="s">
        <v>18414</v>
      </c>
      <c r="I388" s="398">
        <v>1</v>
      </c>
      <c r="J388" s="390">
        <v>1762.85</v>
      </c>
      <c r="K388" s="389" t="s">
        <v>2917</v>
      </c>
      <c r="L388" s="390">
        <v>10004.85</v>
      </c>
      <c r="M388" s="389" t="s">
        <v>2918</v>
      </c>
      <c r="N388" s="389" t="s">
        <v>3315</v>
      </c>
      <c r="O388" s="389" t="s">
        <v>3315</v>
      </c>
      <c r="P388" s="389" t="s">
        <v>2924</v>
      </c>
      <c r="Q388" s="389" t="s">
        <v>3219</v>
      </c>
      <c r="R388" s="389" t="s">
        <v>2208</v>
      </c>
      <c r="S388" s="389" t="s">
        <v>2208</v>
      </c>
    </row>
    <row r="389" spans="1:19">
      <c r="A389" s="389" t="s">
        <v>8839</v>
      </c>
      <c r="B389" s="391" t="str">
        <f t="shared" si="12"/>
        <v>LCP-240190-EX</v>
      </c>
      <c r="C389" s="389" t="str">
        <f t="shared" si="13"/>
        <v>junho</v>
      </c>
      <c r="D389" s="389" t="s">
        <v>17898</v>
      </c>
      <c r="E389" s="391">
        <v>45812</v>
      </c>
      <c r="F389" s="389" t="s">
        <v>16072</v>
      </c>
      <c r="G389" s="389" t="s">
        <v>2916</v>
      </c>
      <c r="H389" s="389" t="s">
        <v>18415</v>
      </c>
      <c r="I389" s="398">
        <v>1</v>
      </c>
      <c r="J389" s="390">
        <v>1762.85</v>
      </c>
      <c r="K389" s="389" t="s">
        <v>2917</v>
      </c>
      <c r="L389" s="390">
        <v>10004.85</v>
      </c>
      <c r="M389" s="389" t="s">
        <v>2918</v>
      </c>
      <c r="N389" s="389" t="s">
        <v>3315</v>
      </c>
      <c r="O389" s="389" t="s">
        <v>3315</v>
      </c>
      <c r="P389" s="389" t="s">
        <v>2924</v>
      </c>
      <c r="Q389" s="389" t="s">
        <v>3219</v>
      </c>
      <c r="R389" s="389" t="s">
        <v>2208</v>
      </c>
      <c r="S389" s="389" t="s">
        <v>2208</v>
      </c>
    </row>
    <row r="390" spans="1:19">
      <c r="A390" s="389" t="s">
        <v>8839</v>
      </c>
      <c r="B390" s="391" t="str">
        <f t="shared" si="12"/>
        <v>LCP-240190-EX</v>
      </c>
      <c r="C390" s="389" t="str">
        <f t="shared" si="13"/>
        <v>junho</v>
      </c>
      <c r="D390" s="389" t="s">
        <v>17898</v>
      </c>
      <c r="E390" s="391">
        <v>45812</v>
      </c>
      <c r="F390" s="389" t="s">
        <v>16072</v>
      </c>
      <c r="G390" s="389" t="s">
        <v>2916</v>
      </c>
      <c r="H390" s="389" t="s">
        <v>18416</v>
      </c>
      <c r="I390" s="398">
        <v>1</v>
      </c>
      <c r="J390" s="390">
        <v>1762.85</v>
      </c>
      <c r="K390" s="389" t="s">
        <v>2917</v>
      </c>
      <c r="L390" s="390">
        <v>10004.85</v>
      </c>
      <c r="M390" s="389" t="s">
        <v>2918</v>
      </c>
      <c r="N390" s="389" t="s">
        <v>3315</v>
      </c>
      <c r="O390" s="389" t="s">
        <v>3315</v>
      </c>
      <c r="P390" s="389" t="s">
        <v>2924</v>
      </c>
      <c r="Q390" s="389" t="s">
        <v>3219</v>
      </c>
      <c r="R390" s="389" t="s">
        <v>2208</v>
      </c>
      <c r="S390" s="389" t="s">
        <v>2208</v>
      </c>
    </row>
    <row r="391" spans="1:19">
      <c r="A391" s="389" t="s">
        <v>8839</v>
      </c>
      <c r="B391" s="391" t="str">
        <f t="shared" si="12"/>
        <v>LCP-240190-EX</v>
      </c>
      <c r="C391" s="389" t="str">
        <f t="shared" si="13"/>
        <v>junho</v>
      </c>
      <c r="D391" s="389" t="s">
        <v>17898</v>
      </c>
      <c r="E391" s="391">
        <v>45813</v>
      </c>
      <c r="F391" s="389" t="s">
        <v>16072</v>
      </c>
      <c r="G391" s="389" t="s">
        <v>2916</v>
      </c>
      <c r="H391" s="389" t="s">
        <v>18813</v>
      </c>
      <c r="I391" s="398">
        <v>0</v>
      </c>
      <c r="J391" s="390">
        <v>-163.06</v>
      </c>
      <c r="K391" s="389" t="s">
        <v>2917</v>
      </c>
      <c r="L391" s="390">
        <v>-925.45</v>
      </c>
      <c r="M391" s="389" t="s">
        <v>2918</v>
      </c>
      <c r="N391" s="389" t="s">
        <v>18814</v>
      </c>
      <c r="O391" s="389" t="s">
        <v>3315</v>
      </c>
      <c r="P391" s="389" t="s">
        <v>2924</v>
      </c>
      <c r="Q391" s="389" t="s">
        <v>3219</v>
      </c>
      <c r="R391" s="389" t="s">
        <v>2208</v>
      </c>
      <c r="S391" s="389" t="s">
        <v>2208</v>
      </c>
    </row>
    <row r="392" spans="1:19">
      <c r="A392" s="389" t="s">
        <v>8839</v>
      </c>
      <c r="B392" s="391" t="str">
        <f t="shared" si="12"/>
        <v>LCP-240190-EX</v>
      </c>
      <c r="C392" s="389" t="str">
        <f t="shared" si="13"/>
        <v>junho</v>
      </c>
      <c r="D392" s="389" t="s">
        <v>17898</v>
      </c>
      <c r="E392" s="391">
        <v>45813</v>
      </c>
      <c r="F392" s="389" t="s">
        <v>16072</v>
      </c>
      <c r="G392" s="389" t="s">
        <v>2916</v>
      </c>
      <c r="H392" s="389" t="s">
        <v>18815</v>
      </c>
      <c r="I392" s="398">
        <v>0</v>
      </c>
      <c r="J392" s="390">
        <v>-163.06</v>
      </c>
      <c r="K392" s="389" t="s">
        <v>2917</v>
      </c>
      <c r="L392" s="390">
        <v>-925.45</v>
      </c>
      <c r="M392" s="389" t="s">
        <v>2918</v>
      </c>
      <c r="N392" s="389" t="s">
        <v>18816</v>
      </c>
      <c r="O392" s="389" t="s">
        <v>3315</v>
      </c>
      <c r="P392" s="389" t="s">
        <v>2924</v>
      </c>
      <c r="Q392" s="389" t="s">
        <v>3219</v>
      </c>
      <c r="R392" s="389" t="s">
        <v>2208</v>
      </c>
      <c r="S392" s="389" t="s">
        <v>2208</v>
      </c>
    </row>
    <row r="393" spans="1:19">
      <c r="A393" s="389" t="s">
        <v>8839</v>
      </c>
      <c r="B393" s="391" t="str">
        <f t="shared" si="12"/>
        <v>LCP-240190-EX</v>
      </c>
      <c r="C393" s="389" t="str">
        <f t="shared" si="13"/>
        <v>junho</v>
      </c>
      <c r="D393" s="389" t="s">
        <v>17898</v>
      </c>
      <c r="E393" s="391">
        <v>45813</v>
      </c>
      <c r="F393" s="389" t="s">
        <v>16072</v>
      </c>
      <c r="G393" s="389" t="s">
        <v>2916</v>
      </c>
      <c r="H393" s="389" t="s">
        <v>18817</v>
      </c>
      <c r="I393" s="398">
        <v>0</v>
      </c>
      <c r="J393" s="390">
        <v>-163.06</v>
      </c>
      <c r="K393" s="389" t="s">
        <v>2917</v>
      </c>
      <c r="L393" s="390">
        <v>-925.45</v>
      </c>
      <c r="M393" s="389" t="s">
        <v>2918</v>
      </c>
      <c r="N393" s="389" t="s">
        <v>18818</v>
      </c>
      <c r="O393" s="389" t="s">
        <v>3315</v>
      </c>
      <c r="P393" s="389" t="s">
        <v>2924</v>
      </c>
      <c r="Q393" s="389" t="s">
        <v>3219</v>
      </c>
      <c r="R393" s="389" t="s">
        <v>2208</v>
      </c>
      <c r="S393" s="389" t="s">
        <v>2208</v>
      </c>
    </row>
    <row r="394" spans="1:19">
      <c r="A394" s="389" t="s">
        <v>8839</v>
      </c>
      <c r="B394" s="391" t="str">
        <f t="shared" si="12"/>
        <v>LCP-240190-EX</v>
      </c>
      <c r="C394" s="389" t="str">
        <f t="shared" si="13"/>
        <v>junho</v>
      </c>
      <c r="D394" s="389" t="s">
        <v>17898</v>
      </c>
      <c r="E394" s="391">
        <v>45813</v>
      </c>
      <c r="F394" s="389" t="s">
        <v>16072</v>
      </c>
      <c r="G394" s="389" t="s">
        <v>2916</v>
      </c>
      <c r="H394" s="389" t="s">
        <v>18819</v>
      </c>
      <c r="I394" s="398">
        <v>0</v>
      </c>
      <c r="J394" s="390">
        <v>-163.06</v>
      </c>
      <c r="K394" s="389" t="s">
        <v>2917</v>
      </c>
      <c r="L394" s="390">
        <v>-925.45</v>
      </c>
      <c r="M394" s="389" t="s">
        <v>2918</v>
      </c>
      <c r="N394" s="389" t="s">
        <v>18820</v>
      </c>
      <c r="O394" s="389" t="s">
        <v>3315</v>
      </c>
      <c r="P394" s="389" t="s">
        <v>2924</v>
      </c>
      <c r="Q394" s="389" t="s">
        <v>3219</v>
      </c>
      <c r="R394" s="389" t="s">
        <v>2208</v>
      </c>
      <c r="S394" s="389" t="s">
        <v>2208</v>
      </c>
    </row>
    <row r="395" spans="1:19">
      <c r="A395" s="389" t="s">
        <v>8839</v>
      </c>
      <c r="B395" s="391" t="str">
        <f t="shared" si="12"/>
        <v>LCP-240190-EX</v>
      </c>
      <c r="C395" s="389" t="str">
        <f t="shared" si="13"/>
        <v>junho</v>
      </c>
      <c r="D395" s="389" t="s">
        <v>17898</v>
      </c>
      <c r="E395" s="391">
        <v>45813</v>
      </c>
      <c r="F395" s="389" t="s">
        <v>16072</v>
      </c>
      <c r="G395" s="389" t="s">
        <v>2916</v>
      </c>
      <c r="H395" s="389" t="s">
        <v>18821</v>
      </c>
      <c r="I395" s="398">
        <v>0</v>
      </c>
      <c r="J395" s="390">
        <v>-163.06</v>
      </c>
      <c r="K395" s="389" t="s">
        <v>2917</v>
      </c>
      <c r="L395" s="390">
        <v>-925.45</v>
      </c>
      <c r="M395" s="389" t="s">
        <v>2918</v>
      </c>
      <c r="N395" s="389" t="s">
        <v>18822</v>
      </c>
      <c r="O395" s="389" t="s">
        <v>3315</v>
      </c>
      <c r="P395" s="389" t="s">
        <v>2924</v>
      </c>
      <c r="Q395" s="389" t="s">
        <v>3219</v>
      </c>
      <c r="R395" s="389" t="s">
        <v>2208</v>
      </c>
      <c r="S395" s="389" t="s">
        <v>2208</v>
      </c>
    </row>
    <row r="396" spans="1:19">
      <c r="A396" s="389" t="s">
        <v>8839</v>
      </c>
      <c r="B396" s="391" t="str">
        <f t="shared" si="12"/>
        <v>LCP-240190-EX</v>
      </c>
      <c r="C396" s="389" t="str">
        <f t="shared" si="13"/>
        <v>junho</v>
      </c>
      <c r="D396" s="389" t="s">
        <v>17898</v>
      </c>
      <c r="E396" s="391">
        <v>45813</v>
      </c>
      <c r="F396" s="389" t="s">
        <v>16072</v>
      </c>
      <c r="G396" s="389" t="s">
        <v>2916</v>
      </c>
      <c r="H396" s="389" t="s">
        <v>18823</v>
      </c>
      <c r="I396" s="398">
        <v>0</v>
      </c>
      <c r="J396" s="390">
        <v>-163.06</v>
      </c>
      <c r="K396" s="389" t="s">
        <v>2917</v>
      </c>
      <c r="L396" s="390">
        <v>-925.45</v>
      </c>
      <c r="M396" s="389" t="s">
        <v>2918</v>
      </c>
      <c r="N396" s="389" t="s">
        <v>18824</v>
      </c>
      <c r="O396" s="389" t="s">
        <v>3315</v>
      </c>
      <c r="P396" s="389" t="s">
        <v>2924</v>
      </c>
      <c r="Q396" s="389" t="s">
        <v>3219</v>
      </c>
      <c r="R396" s="389" t="s">
        <v>2208</v>
      </c>
      <c r="S396" s="389" t="s">
        <v>2208</v>
      </c>
    </row>
    <row r="397" spans="1:19">
      <c r="A397" s="389" t="s">
        <v>8839</v>
      </c>
      <c r="B397" s="391" t="str">
        <f t="shared" si="12"/>
        <v>LCP-240190-EX</v>
      </c>
      <c r="C397" s="389" t="str">
        <f t="shared" si="13"/>
        <v>junho</v>
      </c>
      <c r="D397" s="389" t="s">
        <v>17898</v>
      </c>
      <c r="E397" s="391">
        <v>45838</v>
      </c>
      <c r="F397" s="389" t="s">
        <v>2208</v>
      </c>
      <c r="G397" s="389" t="s">
        <v>2916</v>
      </c>
      <c r="H397" s="389" t="s">
        <v>19453</v>
      </c>
      <c r="I397" s="393">
        <v>0</v>
      </c>
      <c r="J397" s="390">
        <v>-7.0000000000000007E-2</v>
      </c>
      <c r="K397" s="389" t="s">
        <v>2917</v>
      </c>
      <c r="L397" s="390">
        <v>0</v>
      </c>
      <c r="M397" s="389" t="s">
        <v>2918</v>
      </c>
      <c r="N397" s="389" t="s">
        <v>2919</v>
      </c>
      <c r="O397" s="389" t="s">
        <v>2208</v>
      </c>
      <c r="P397" s="389" t="s">
        <v>2916</v>
      </c>
      <c r="Q397" s="389" t="s">
        <v>3220</v>
      </c>
      <c r="R397" s="389" t="s">
        <v>2208</v>
      </c>
      <c r="S397" s="389" t="s">
        <v>2208</v>
      </c>
    </row>
    <row r="398" spans="1:19">
      <c r="A398" s="389" t="s">
        <v>10598</v>
      </c>
      <c r="B398" s="391" t="str">
        <f t="shared" si="12"/>
        <v>LCP-240193-EX</v>
      </c>
      <c r="C398" s="389" t="str">
        <f t="shared" si="13"/>
        <v>março</v>
      </c>
      <c r="D398" s="389" t="s">
        <v>9127</v>
      </c>
      <c r="E398" s="391">
        <v>45736</v>
      </c>
      <c r="F398" s="389" t="s">
        <v>11060</v>
      </c>
      <c r="G398" s="389" t="s">
        <v>2916</v>
      </c>
      <c r="H398" s="389" t="s">
        <v>11061</v>
      </c>
      <c r="I398" s="398">
        <v>159000</v>
      </c>
      <c r="J398" s="390">
        <v>27251.01</v>
      </c>
      <c r="K398" s="389" t="s">
        <v>2917</v>
      </c>
      <c r="L398" s="390">
        <v>159000</v>
      </c>
      <c r="M398" s="389" t="s">
        <v>2918</v>
      </c>
      <c r="N398" s="389" t="s">
        <v>2923</v>
      </c>
      <c r="O398" s="389" t="s">
        <v>2923</v>
      </c>
      <c r="P398" s="389" t="s">
        <v>2924</v>
      </c>
      <c r="Q398" s="389" t="s">
        <v>3219</v>
      </c>
      <c r="R398" s="389" t="s">
        <v>2208</v>
      </c>
      <c r="S398" s="389" t="s">
        <v>2208</v>
      </c>
    </row>
    <row r="399" spans="1:19">
      <c r="A399" s="389" t="s">
        <v>10598</v>
      </c>
      <c r="B399" s="391" t="str">
        <f t="shared" si="12"/>
        <v>LCP-240193-EX</v>
      </c>
      <c r="C399" s="389" t="str">
        <f t="shared" si="13"/>
        <v>março</v>
      </c>
      <c r="D399" s="389" t="s">
        <v>9127</v>
      </c>
      <c r="E399" s="391">
        <v>45743</v>
      </c>
      <c r="F399" s="389" t="s">
        <v>11060</v>
      </c>
      <c r="G399" s="389" t="s">
        <v>2916</v>
      </c>
      <c r="H399" s="389" t="s">
        <v>11908</v>
      </c>
      <c r="I399" s="398">
        <v>0</v>
      </c>
      <c r="J399" s="390">
        <v>-2520.7199999999998</v>
      </c>
      <c r="K399" s="389" t="s">
        <v>2917</v>
      </c>
      <c r="L399" s="390">
        <v>-14707.5</v>
      </c>
      <c r="M399" s="389" t="s">
        <v>2918</v>
      </c>
      <c r="N399" s="389" t="s">
        <v>11909</v>
      </c>
      <c r="O399" s="389" t="s">
        <v>2923</v>
      </c>
      <c r="P399" s="389" t="s">
        <v>2924</v>
      </c>
      <c r="Q399" s="389" t="s">
        <v>3219</v>
      </c>
      <c r="R399" s="389" t="s">
        <v>2208</v>
      </c>
      <c r="S399" s="389" t="s">
        <v>2208</v>
      </c>
    </row>
    <row r="400" spans="1:19">
      <c r="A400" s="389" t="s">
        <v>10598</v>
      </c>
      <c r="B400" s="391" t="str">
        <f t="shared" si="12"/>
        <v>LCP-240193-EX</v>
      </c>
      <c r="C400" s="389" t="str">
        <f t="shared" si="13"/>
        <v>março</v>
      </c>
      <c r="D400" s="389" t="s">
        <v>9127</v>
      </c>
      <c r="E400" s="391">
        <v>45747</v>
      </c>
      <c r="F400" s="389" t="s">
        <v>2208</v>
      </c>
      <c r="G400" s="389" t="s">
        <v>2916</v>
      </c>
      <c r="H400" s="389" t="s">
        <v>11910</v>
      </c>
      <c r="I400" s="393">
        <v>0</v>
      </c>
      <c r="J400" s="390">
        <v>0.09</v>
      </c>
      <c r="K400" s="389" t="s">
        <v>2917</v>
      </c>
      <c r="L400" s="390">
        <v>0</v>
      </c>
      <c r="M400" s="389" t="s">
        <v>2918</v>
      </c>
      <c r="N400" s="389" t="s">
        <v>2919</v>
      </c>
      <c r="O400" s="389" t="s">
        <v>2208</v>
      </c>
      <c r="P400" s="389" t="s">
        <v>2916</v>
      </c>
      <c r="Q400" s="389" t="s">
        <v>3220</v>
      </c>
      <c r="R400" s="389" t="s">
        <v>2208</v>
      </c>
      <c r="S400" s="389" t="s">
        <v>2208</v>
      </c>
    </row>
    <row r="401" spans="1:19">
      <c r="A401" s="389" t="s">
        <v>10598</v>
      </c>
      <c r="B401" s="391" t="str">
        <f t="shared" si="12"/>
        <v>LCP-240193-EX</v>
      </c>
      <c r="C401" s="389" t="str">
        <f t="shared" si="13"/>
        <v>junho</v>
      </c>
      <c r="D401" s="389" t="s">
        <v>17898</v>
      </c>
      <c r="E401" s="391">
        <v>45811</v>
      </c>
      <c r="F401" s="389" t="s">
        <v>18417</v>
      </c>
      <c r="G401" s="389" t="s">
        <v>2916</v>
      </c>
      <c r="H401" s="389" t="s">
        <v>18418</v>
      </c>
      <c r="I401" s="398">
        <v>9559</v>
      </c>
      <c r="J401" s="390">
        <v>1684.3</v>
      </c>
      <c r="K401" s="389" t="s">
        <v>2917</v>
      </c>
      <c r="L401" s="390">
        <v>9559</v>
      </c>
      <c r="M401" s="389" t="s">
        <v>2918</v>
      </c>
      <c r="N401" s="389" t="s">
        <v>2941</v>
      </c>
      <c r="O401" s="389" t="s">
        <v>2941</v>
      </c>
      <c r="P401" s="389" t="s">
        <v>2924</v>
      </c>
      <c r="Q401" s="389" t="s">
        <v>3219</v>
      </c>
      <c r="R401" s="389" t="s">
        <v>2208</v>
      </c>
      <c r="S401" s="389" t="s">
        <v>2208</v>
      </c>
    </row>
    <row r="402" spans="1:19">
      <c r="A402" s="394" t="s">
        <v>2208</v>
      </c>
      <c r="B402" s="391" t="str">
        <f t="shared" si="12"/>
        <v/>
      </c>
      <c r="C402" s="389" t="str">
        <f t="shared" si="13"/>
        <v>janeiro</v>
      </c>
      <c r="D402" s="394" t="s">
        <v>2208</v>
      </c>
      <c r="E402" s="395"/>
      <c r="F402" s="394" t="s">
        <v>2208</v>
      </c>
      <c r="G402" s="394" t="s">
        <v>2208</v>
      </c>
      <c r="H402" s="394" t="s">
        <v>2208</v>
      </c>
      <c r="I402" s="396"/>
      <c r="J402" s="397">
        <v>637622.27</v>
      </c>
      <c r="K402" s="394" t="s">
        <v>2917</v>
      </c>
      <c r="L402" s="397">
        <v>3664603.92</v>
      </c>
      <c r="M402" s="394" t="s">
        <v>2918</v>
      </c>
      <c r="N402" s="394" t="s">
        <v>2208</v>
      </c>
      <c r="O402" s="394" t="s">
        <v>2208</v>
      </c>
      <c r="P402" s="394" t="s">
        <v>2208</v>
      </c>
      <c r="Q402" s="394" t="s">
        <v>2208</v>
      </c>
      <c r="R402" s="394" t="s">
        <v>2208</v>
      </c>
      <c r="S402" s="394" t="s">
        <v>2208</v>
      </c>
    </row>
    <row r="403" spans="1:19">
      <c r="B403" s="391" t="str">
        <f t="shared" si="12"/>
        <v/>
      </c>
      <c r="C403" s="389" t="str">
        <f t="shared" si="13"/>
        <v>janeiro</v>
      </c>
    </row>
    <row r="404" spans="1:19">
      <c r="B404" s="391" t="str">
        <f t="shared" si="12"/>
        <v/>
      </c>
      <c r="C404" s="389" t="str">
        <f t="shared" si="13"/>
        <v>janeiro</v>
      </c>
    </row>
    <row r="405" spans="1:19">
      <c r="B405" s="391" t="str">
        <f t="shared" si="12"/>
        <v/>
      </c>
      <c r="C405" s="389" t="str">
        <f t="shared" si="13"/>
        <v>janeiro</v>
      </c>
    </row>
    <row r="406" spans="1:19">
      <c r="B406" s="391" t="str">
        <f t="shared" si="12"/>
        <v/>
      </c>
      <c r="C406" s="389" t="str">
        <f t="shared" si="13"/>
        <v>janeiro</v>
      </c>
    </row>
    <row r="407" spans="1:19">
      <c r="B407" s="391" t="str">
        <f t="shared" si="12"/>
        <v/>
      </c>
      <c r="C407" s="389" t="str">
        <f t="shared" si="13"/>
        <v>janeiro</v>
      </c>
    </row>
    <row r="408" spans="1:19">
      <c r="B408" s="391" t="str">
        <f t="shared" si="12"/>
        <v/>
      </c>
      <c r="C408" s="389" t="str">
        <f t="shared" si="13"/>
        <v>janeiro</v>
      </c>
    </row>
    <row r="409" spans="1:19">
      <c r="B409" s="391" t="str">
        <f t="shared" si="12"/>
        <v/>
      </c>
      <c r="C409" s="389" t="str">
        <f t="shared" si="13"/>
        <v>janeiro</v>
      </c>
    </row>
    <row r="410" spans="1:19">
      <c r="B410" s="391" t="str">
        <f t="shared" si="12"/>
        <v/>
      </c>
      <c r="C410" s="389" t="str">
        <f t="shared" si="13"/>
        <v>janeiro</v>
      </c>
    </row>
    <row r="411" spans="1:19">
      <c r="B411" s="391" t="str">
        <f t="shared" si="12"/>
        <v/>
      </c>
      <c r="C411" s="389" t="str">
        <f t="shared" si="13"/>
        <v>janeiro</v>
      </c>
    </row>
    <row r="412" spans="1:19">
      <c r="B412" s="391" t="str">
        <f t="shared" si="12"/>
        <v/>
      </c>
      <c r="C412" s="389" t="str">
        <f t="shared" si="13"/>
        <v>janeiro</v>
      </c>
    </row>
    <row r="413" spans="1:19">
      <c r="B413" s="391" t="str">
        <f t="shared" si="12"/>
        <v/>
      </c>
      <c r="C413" s="389" t="str">
        <f t="shared" si="13"/>
        <v>janeiro</v>
      </c>
    </row>
    <row r="414" spans="1:19">
      <c r="B414" s="391" t="str">
        <f t="shared" si="12"/>
        <v/>
      </c>
      <c r="C414" s="389" t="str">
        <f t="shared" si="13"/>
        <v>janeiro</v>
      </c>
    </row>
    <row r="415" spans="1:19">
      <c r="B415" s="391" t="str">
        <f t="shared" si="12"/>
        <v/>
      </c>
      <c r="C415" s="389" t="str">
        <f t="shared" si="13"/>
        <v>janeiro</v>
      </c>
    </row>
    <row r="416" spans="1:19">
      <c r="B416" s="391" t="str">
        <f t="shared" si="12"/>
        <v/>
      </c>
      <c r="C416" s="389" t="str">
        <f t="shared" si="13"/>
        <v>janeiro</v>
      </c>
    </row>
    <row r="417" spans="2:3">
      <c r="B417" s="391" t="str">
        <f t="shared" si="12"/>
        <v/>
      </c>
      <c r="C417" s="389" t="str">
        <f t="shared" si="13"/>
        <v>janeiro</v>
      </c>
    </row>
    <row r="418" spans="2:3">
      <c r="B418" s="391" t="str">
        <f t="shared" si="12"/>
        <v/>
      </c>
      <c r="C418" s="389" t="str">
        <f t="shared" si="13"/>
        <v>janeiro</v>
      </c>
    </row>
    <row r="419" spans="2:3">
      <c r="B419" s="391" t="str">
        <f t="shared" si="12"/>
        <v/>
      </c>
      <c r="C419" s="389" t="str">
        <f t="shared" si="13"/>
        <v>janeiro</v>
      </c>
    </row>
    <row r="420" spans="2:3">
      <c r="B420" s="391" t="str">
        <f t="shared" si="12"/>
        <v/>
      </c>
      <c r="C420" s="389" t="str">
        <f t="shared" si="13"/>
        <v>janeiro</v>
      </c>
    </row>
    <row r="421" spans="2:3">
      <c r="B421" s="391" t="str">
        <f t="shared" si="12"/>
        <v/>
      </c>
      <c r="C421" s="389" t="str">
        <f t="shared" si="13"/>
        <v>janeiro</v>
      </c>
    </row>
    <row r="422" spans="2:3">
      <c r="B422" s="391" t="str">
        <f t="shared" si="12"/>
        <v/>
      </c>
      <c r="C422" s="389" t="str">
        <f t="shared" si="13"/>
        <v>janeiro</v>
      </c>
    </row>
    <row r="423" spans="2:3">
      <c r="B423" s="391" t="str">
        <f t="shared" si="12"/>
        <v/>
      </c>
      <c r="C423" s="389" t="str">
        <f t="shared" si="13"/>
        <v>janeiro</v>
      </c>
    </row>
    <row r="424" spans="2:3">
      <c r="B424" s="391" t="str">
        <f t="shared" si="12"/>
        <v/>
      </c>
      <c r="C424" s="389" t="str">
        <f t="shared" si="13"/>
        <v>janeiro</v>
      </c>
    </row>
    <row r="425" spans="2:3">
      <c r="B425" s="391" t="str">
        <f t="shared" si="12"/>
        <v/>
      </c>
      <c r="C425" s="389" t="str">
        <f t="shared" si="13"/>
        <v>janeiro</v>
      </c>
    </row>
    <row r="426" spans="2:3">
      <c r="B426" s="391" t="str">
        <f t="shared" si="12"/>
        <v/>
      </c>
      <c r="C426" s="389" t="str">
        <f t="shared" si="13"/>
        <v>janeiro</v>
      </c>
    </row>
    <row r="427" spans="2:3">
      <c r="B427" s="391" t="str">
        <f t="shared" si="12"/>
        <v/>
      </c>
      <c r="C427" s="389" t="str">
        <f t="shared" si="13"/>
        <v>janeiro</v>
      </c>
    </row>
    <row r="428" spans="2:3">
      <c r="B428" s="391" t="str">
        <f t="shared" si="12"/>
        <v/>
      </c>
      <c r="C428" s="389" t="str">
        <f t="shared" si="13"/>
        <v>janeiro</v>
      </c>
    </row>
    <row r="429" spans="2:3">
      <c r="B429" s="391" t="str">
        <f t="shared" si="12"/>
        <v/>
      </c>
      <c r="C429" s="389" t="str">
        <f t="shared" si="13"/>
        <v>janeiro</v>
      </c>
    </row>
    <row r="430" spans="2:3">
      <c r="B430" s="391" t="str">
        <f t="shared" si="12"/>
        <v/>
      </c>
      <c r="C430" s="389" t="str">
        <f t="shared" si="13"/>
        <v>janeiro</v>
      </c>
    </row>
    <row r="431" spans="2:3">
      <c r="B431" s="391" t="str">
        <f t="shared" si="12"/>
        <v/>
      </c>
      <c r="C431" s="389" t="str">
        <f t="shared" si="13"/>
        <v>janeiro</v>
      </c>
    </row>
    <row r="432" spans="2:3">
      <c r="B432" s="391" t="str">
        <f t="shared" si="12"/>
        <v/>
      </c>
      <c r="C432" s="389" t="str">
        <f t="shared" si="13"/>
        <v>janeiro</v>
      </c>
    </row>
    <row r="433" spans="2:3">
      <c r="B433" s="391" t="str">
        <f t="shared" si="12"/>
        <v/>
      </c>
      <c r="C433" s="389" t="str">
        <f t="shared" si="13"/>
        <v>janeiro</v>
      </c>
    </row>
    <row r="434" spans="2:3">
      <c r="B434" s="391" t="str">
        <f t="shared" si="12"/>
        <v/>
      </c>
      <c r="C434" s="389" t="str">
        <f t="shared" si="13"/>
        <v>janeiro</v>
      </c>
    </row>
    <row r="435" spans="2:3">
      <c r="B435" s="391" t="str">
        <f t="shared" si="12"/>
        <v/>
      </c>
      <c r="C435" s="389" t="str">
        <f t="shared" si="13"/>
        <v>janeiro</v>
      </c>
    </row>
    <row r="436" spans="2:3">
      <c r="B436" s="391" t="str">
        <f t="shared" si="12"/>
        <v/>
      </c>
      <c r="C436" s="389" t="str">
        <f t="shared" si="13"/>
        <v>janeiro</v>
      </c>
    </row>
    <row r="437" spans="2:3">
      <c r="B437" s="391" t="str">
        <f t="shared" si="12"/>
        <v/>
      </c>
      <c r="C437" s="389" t="str">
        <f t="shared" si="13"/>
        <v>janeiro</v>
      </c>
    </row>
    <row r="438" spans="2:3">
      <c r="B438" s="391" t="str">
        <f t="shared" si="12"/>
        <v/>
      </c>
      <c r="C438" s="389" t="str">
        <f t="shared" si="13"/>
        <v>janeiro</v>
      </c>
    </row>
    <row r="439" spans="2:3">
      <c r="B439" s="391" t="str">
        <f t="shared" si="12"/>
        <v/>
      </c>
      <c r="C439" s="389" t="str">
        <f t="shared" si="13"/>
        <v>janeiro</v>
      </c>
    </row>
    <row r="440" spans="2:3">
      <c r="B440" s="391" t="str">
        <f t="shared" si="12"/>
        <v/>
      </c>
      <c r="C440" s="389" t="str">
        <f t="shared" si="13"/>
        <v>janeiro</v>
      </c>
    </row>
    <row r="441" spans="2:3">
      <c r="B441" s="391" t="str">
        <f t="shared" si="12"/>
        <v/>
      </c>
      <c r="C441" s="389" t="str">
        <f t="shared" si="13"/>
        <v>janeiro</v>
      </c>
    </row>
    <row r="442" spans="2:3">
      <c r="B442" s="391" t="str">
        <f t="shared" si="12"/>
        <v/>
      </c>
      <c r="C442" s="389" t="str">
        <f t="shared" si="13"/>
        <v>janeiro</v>
      </c>
    </row>
    <row r="443" spans="2:3">
      <c r="B443" s="391" t="str">
        <f t="shared" si="12"/>
        <v/>
      </c>
      <c r="C443" s="389" t="str">
        <f t="shared" si="13"/>
        <v>janeiro</v>
      </c>
    </row>
    <row r="444" spans="2:3">
      <c r="B444" s="391" t="str">
        <f t="shared" si="12"/>
        <v/>
      </c>
      <c r="C444" s="389" t="str">
        <f t="shared" si="13"/>
        <v>janeiro</v>
      </c>
    </row>
    <row r="445" spans="2:3">
      <c r="B445" s="391" t="str">
        <f t="shared" si="12"/>
        <v/>
      </c>
      <c r="C445" s="389" t="str">
        <f t="shared" si="13"/>
        <v>janeiro</v>
      </c>
    </row>
    <row r="446" spans="2:3">
      <c r="B446" s="391" t="str">
        <f t="shared" si="12"/>
        <v/>
      </c>
      <c r="C446" s="389" t="str">
        <f t="shared" si="13"/>
        <v>janeiro</v>
      </c>
    </row>
    <row r="447" spans="2:3">
      <c r="B447" s="391" t="str">
        <f t="shared" si="12"/>
        <v/>
      </c>
      <c r="C447" s="389" t="str">
        <f t="shared" si="13"/>
        <v>janeiro</v>
      </c>
    </row>
    <row r="448" spans="2:3">
      <c r="B448" s="391" t="str">
        <f t="shared" si="12"/>
        <v/>
      </c>
      <c r="C448" s="389" t="str">
        <f t="shared" si="13"/>
        <v>janeiro</v>
      </c>
    </row>
    <row r="449" spans="2:3">
      <c r="B449" s="391" t="str">
        <f t="shared" si="12"/>
        <v/>
      </c>
      <c r="C449" s="389" t="str">
        <f t="shared" si="13"/>
        <v>janeiro</v>
      </c>
    </row>
    <row r="450" spans="2:3">
      <c r="B450" s="391" t="str">
        <f t="shared" si="12"/>
        <v/>
      </c>
      <c r="C450" s="389" t="str">
        <f t="shared" si="13"/>
        <v>janeiro</v>
      </c>
    </row>
    <row r="451" spans="2:3">
      <c r="B451" s="391" t="str">
        <f t="shared" ref="B451:B514" si="14">IF(LEFT(A451,1)="E",A451,LEFT(A451,13))</f>
        <v/>
      </c>
      <c r="C451" s="389" t="str">
        <f t="shared" ref="C451:C514" si="15">TEXT(E451,"mmmm")</f>
        <v>janeiro</v>
      </c>
    </row>
    <row r="452" spans="2:3">
      <c r="B452" s="391" t="str">
        <f t="shared" si="14"/>
        <v/>
      </c>
      <c r="C452" s="389" t="str">
        <f t="shared" si="15"/>
        <v>janeiro</v>
      </c>
    </row>
    <row r="453" spans="2:3">
      <c r="B453" s="391" t="str">
        <f t="shared" si="14"/>
        <v/>
      </c>
      <c r="C453" s="389" t="str">
        <f t="shared" si="15"/>
        <v>janeiro</v>
      </c>
    </row>
    <row r="454" spans="2:3">
      <c r="B454" s="391" t="str">
        <f t="shared" si="14"/>
        <v/>
      </c>
      <c r="C454" s="389" t="str">
        <f t="shared" si="15"/>
        <v>janeiro</v>
      </c>
    </row>
    <row r="455" spans="2:3">
      <c r="B455" s="391" t="str">
        <f t="shared" si="14"/>
        <v/>
      </c>
      <c r="C455" s="389" t="str">
        <f t="shared" si="15"/>
        <v>janeiro</v>
      </c>
    </row>
    <row r="456" spans="2:3">
      <c r="B456" s="391" t="str">
        <f t="shared" si="14"/>
        <v/>
      </c>
      <c r="C456" s="389" t="str">
        <f t="shared" si="15"/>
        <v>janeiro</v>
      </c>
    </row>
    <row r="457" spans="2:3">
      <c r="B457" s="391" t="str">
        <f t="shared" si="14"/>
        <v/>
      </c>
      <c r="C457" s="389" t="str">
        <f t="shared" si="15"/>
        <v>janeiro</v>
      </c>
    </row>
    <row r="458" spans="2:3">
      <c r="B458" s="391" t="str">
        <f t="shared" si="14"/>
        <v/>
      </c>
      <c r="C458" s="389" t="str">
        <f t="shared" si="15"/>
        <v>janeiro</v>
      </c>
    </row>
    <row r="459" spans="2:3">
      <c r="B459" s="391" t="str">
        <f t="shared" si="14"/>
        <v/>
      </c>
      <c r="C459" s="389" t="str">
        <f t="shared" si="15"/>
        <v>janeiro</v>
      </c>
    </row>
    <row r="460" spans="2:3">
      <c r="B460" s="391" t="str">
        <f t="shared" si="14"/>
        <v/>
      </c>
      <c r="C460" s="389" t="str">
        <f t="shared" si="15"/>
        <v>janeiro</v>
      </c>
    </row>
    <row r="461" spans="2:3">
      <c r="B461" s="391" t="str">
        <f t="shared" si="14"/>
        <v/>
      </c>
      <c r="C461" s="389" t="str">
        <f t="shared" si="15"/>
        <v>janeiro</v>
      </c>
    </row>
    <row r="462" spans="2:3">
      <c r="B462" s="391" t="str">
        <f t="shared" si="14"/>
        <v/>
      </c>
      <c r="C462" s="389" t="str">
        <f t="shared" si="15"/>
        <v>janeiro</v>
      </c>
    </row>
    <row r="463" spans="2:3">
      <c r="B463" s="391" t="str">
        <f t="shared" si="14"/>
        <v/>
      </c>
      <c r="C463" s="389" t="str">
        <f t="shared" si="15"/>
        <v>janeiro</v>
      </c>
    </row>
    <row r="464" spans="2:3">
      <c r="B464" s="391" t="str">
        <f t="shared" si="14"/>
        <v/>
      </c>
      <c r="C464" s="389" t="str">
        <f t="shared" si="15"/>
        <v>janeiro</v>
      </c>
    </row>
    <row r="465" spans="2:3">
      <c r="B465" s="391" t="str">
        <f t="shared" si="14"/>
        <v/>
      </c>
      <c r="C465" s="389" t="str">
        <f t="shared" si="15"/>
        <v>janeiro</v>
      </c>
    </row>
    <row r="466" spans="2:3">
      <c r="B466" s="391" t="str">
        <f t="shared" si="14"/>
        <v/>
      </c>
      <c r="C466" s="389" t="str">
        <f t="shared" si="15"/>
        <v>janeiro</v>
      </c>
    </row>
    <row r="467" spans="2:3">
      <c r="B467" s="391" t="str">
        <f t="shared" si="14"/>
        <v/>
      </c>
      <c r="C467" s="389" t="str">
        <f t="shared" si="15"/>
        <v>janeiro</v>
      </c>
    </row>
    <row r="468" spans="2:3">
      <c r="B468" s="391" t="str">
        <f t="shared" si="14"/>
        <v/>
      </c>
      <c r="C468" s="389" t="str">
        <f t="shared" si="15"/>
        <v>janeiro</v>
      </c>
    </row>
    <row r="469" spans="2:3">
      <c r="B469" s="391" t="str">
        <f t="shared" si="14"/>
        <v/>
      </c>
      <c r="C469" s="389" t="str">
        <f t="shared" si="15"/>
        <v>janeiro</v>
      </c>
    </row>
    <row r="470" spans="2:3">
      <c r="B470" s="391" t="str">
        <f t="shared" si="14"/>
        <v/>
      </c>
      <c r="C470" s="389" t="str">
        <f t="shared" si="15"/>
        <v>janeiro</v>
      </c>
    </row>
    <row r="471" spans="2:3">
      <c r="B471" s="391" t="str">
        <f t="shared" si="14"/>
        <v/>
      </c>
      <c r="C471" s="389" t="str">
        <f t="shared" si="15"/>
        <v>janeiro</v>
      </c>
    </row>
    <row r="472" spans="2:3">
      <c r="B472" s="391" t="str">
        <f t="shared" si="14"/>
        <v/>
      </c>
      <c r="C472" s="389" t="str">
        <f t="shared" si="15"/>
        <v>janeiro</v>
      </c>
    </row>
    <row r="473" spans="2:3">
      <c r="B473" s="391" t="str">
        <f t="shared" si="14"/>
        <v/>
      </c>
      <c r="C473" s="389" t="str">
        <f t="shared" si="15"/>
        <v>janeiro</v>
      </c>
    </row>
    <row r="474" spans="2:3">
      <c r="B474" s="391" t="str">
        <f t="shared" si="14"/>
        <v/>
      </c>
      <c r="C474" s="389" t="str">
        <f t="shared" si="15"/>
        <v>janeiro</v>
      </c>
    </row>
    <row r="475" spans="2:3">
      <c r="B475" s="391" t="str">
        <f t="shared" si="14"/>
        <v/>
      </c>
      <c r="C475" s="389" t="str">
        <f t="shared" si="15"/>
        <v>janeiro</v>
      </c>
    </row>
    <row r="476" spans="2:3">
      <c r="B476" s="391" t="str">
        <f t="shared" si="14"/>
        <v/>
      </c>
      <c r="C476" s="389" t="str">
        <f t="shared" si="15"/>
        <v>janeiro</v>
      </c>
    </row>
    <row r="477" spans="2:3">
      <c r="B477" s="391" t="str">
        <f t="shared" si="14"/>
        <v/>
      </c>
      <c r="C477" s="389" t="str">
        <f t="shared" si="15"/>
        <v>janeiro</v>
      </c>
    </row>
    <row r="478" spans="2:3">
      <c r="B478" s="391" t="str">
        <f t="shared" si="14"/>
        <v/>
      </c>
      <c r="C478" s="389" t="str">
        <f t="shared" si="15"/>
        <v>janeiro</v>
      </c>
    </row>
    <row r="479" spans="2:3">
      <c r="B479" s="391" t="str">
        <f t="shared" si="14"/>
        <v/>
      </c>
      <c r="C479" s="389" t="str">
        <f t="shared" si="15"/>
        <v>janeiro</v>
      </c>
    </row>
    <row r="480" spans="2:3">
      <c r="B480" s="391" t="str">
        <f t="shared" si="14"/>
        <v/>
      </c>
      <c r="C480" s="389" t="str">
        <f t="shared" si="15"/>
        <v>janeiro</v>
      </c>
    </row>
    <row r="481" spans="2:3">
      <c r="B481" s="391" t="str">
        <f t="shared" si="14"/>
        <v/>
      </c>
      <c r="C481" s="389" t="str">
        <f t="shared" si="15"/>
        <v>janeiro</v>
      </c>
    </row>
    <row r="482" spans="2:3">
      <c r="B482" s="391" t="str">
        <f t="shared" si="14"/>
        <v/>
      </c>
      <c r="C482" s="389" t="str">
        <f t="shared" si="15"/>
        <v>janeiro</v>
      </c>
    </row>
    <row r="483" spans="2:3">
      <c r="B483" s="391" t="str">
        <f t="shared" si="14"/>
        <v/>
      </c>
      <c r="C483" s="389" t="str">
        <f t="shared" si="15"/>
        <v>janeiro</v>
      </c>
    </row>
    <row r="484" spans="2:3">
      <c r="B484" s="391" t="str">
        <f t="shared" si="14"/>
        <v/>
      </c>
      <c r="C484" s="389" t="str">
        <f t="shared" si="15"/>
        <v>janeiro</v>
      </c>
    </row>
    <row r="485" spans="2:3">
      <c r="B485" s="391" t="str">
        <f t="shared" si="14"/>
        <v/>
      </c>
      <c r="C485" s="389" t="str">
        <f t="shared" si="15"/>
        <v>janeiro</v>
      </c>
    </row>
    <row r="486" spans="2:3">
      <c r="B486" s="391" t="str">
        <f t="shared" si="14"/>
        <v/>
      </c>
      <c r="C486" s="389" t="str">
        <f t="shared" si="15"/>
        <v>janeiro</v>
      </c>
    </row>
    <row r="487" spans="2:3">
      <c r="B487" s="391" t="str">
        <f t="shared" si="14"/>
        <v/>
      </c>
      <c r="C487" s="389" t="str">
        <f t="shared" si="15"/>
        <v>janeiro</v>
      </c>
    </row>
    <row r="488" spans="2:3">
      <c r="B488" s="391" t="str">
        <f t="shared" si="14"/>
        <v/>
      </c>
      <c r="C488" s="389" t="str">
        <f t="shared" si="15"/>
        <v>janeiro</v>
      </c>
    </row>
    <row r="489" spans="2:3">
      <c r="B489" s="391" t="str">
        <f t="shared" si="14"/>
        <v/>
      </c>
      <c r="C489" s="389" t="str">
        <f t="shared" si="15"/>
        <v>janeiro</v>
      </c>
    </row>
    <row r="490" spans="2:3">
      <c r="B490" s="391" t="str">
        <f t="shared" si="14"/>
        <v/>
      </c>
      <c r="C490" s="389" t="str">
        <f t="shared" si="15"/>
        <v>janeiro</v>
      </c>
    </row>
    <row r="491" spans="2:3">
      <c r="B491" s="391" t="str">
        <f t="shared" si="14"/>
        <v/>
      </c>
      <c r="C491" s="389" t="str">
        <f t="shared" si="15"/>
        <v>janeiro</v>
      </c>
    </row>
    <row r="492" spans="2:3">
      <c r="B492" s="391" t="str">
        <f t="shared" si="14"/>
        <v/>
      </c>
      <c r="C492" s="389" t="str">
        <f t="shared" si="15"/>
        <v>janeiro</v>
      </c>
    </row>
    <row r="493" spans="2:3">
      <c r="B493" s="391" t="str">
        <f t="shared" si="14"/>
        <v/>
      </c>
      <c r="C493" s="389" t="str">
        <f t="shared" si="15"/>
        <v>janeiro</v>
      </c>
    </row>
    <row r="494" spans="2:3">
      <c r="B494" s="391" t="str">
        <f t="shared" si="14"/>
        <v/>
      </c>
      <c r="C494" s="389" t="str">
        <f t="shared" si="15"/>
        <v>janeiro</v>
      </c>
    </row>
    <row r="495" spans="2:3">
      <c r="B495" s="391" t="str">
        <f t="shared" si="14"/>
        <v/>
      </c>
      <c r="C495" s="389" t="str">
        <f t="shared" si="15"/>
        <v>janeiro</v>
      </c>
    </row>
    <row r="496" spans="2:3">
      <c r="B496" s="391" t="str">
        <f t="shared" si="14"/>
        <v/>
      </c>
      <c r="C496" s="389" t="str">
        <f t="shared" si="15"/>
        <v>janeiro</v>
      </c>
    </row>
    <row r="497" spans="2:3">
      <c r="B497" s="391" t="str">
        <f t="shared" si="14"/>
        <v/>
      </c>
      <c r="C497" s="389" t="str">
        <f t="shared" si="15"/>
        <v>janeiro</v>
      </c>
    </row>
    <row r="498" spans="2:3">
      <c r="B498" s="391" t="str">
        <f t="shared" si="14"/>
        <v/>
      </c>
      <c r="C498" s="389" t="str">
        <f t="shared" si="15"/>
        <v>janeiro</v>
      </c>
    </row>
    <row r="499" spans="2:3">
      <c r="B499" s="391" t="str">
        <f t="shared" si="14"/>
        <v/>
      </c>
      <c r="C499" s="389" t="str">
        <f t="shared" si="15"/>
        <v>janeiro</v>
      </c>
    </row>
    <row r="500" spans="2:3">
      <c r="B500" s="391" t="str">
        <f t="shared" si="14"/>
        <v/>
      </c>
      <c r="C500" s="389" t="str">
        <f t="shared" si="15"/>
        <v>janeiro</v>
      </c>
    </row>
    <row r="501" spans="2:3">
      <c r="B501" s="391" t="str">
        <f t="shared" si="14"/>
        <v/>
      </c>
      <c r="C501" s="389" t="str">
        <f t="shared" si="15"/>
        <v>janeiro</v>
      </c>
    </row>
    <row r="502" spans="2:3">
      <c r="B502" s="391" t="str">
        <f t="shared" si="14"/>
        <v/>
      </c>
      <c r="C502" s="389" t="str">
        <f t="shared" si="15"/>
        <v>janeiro</v>
      </c>
    </row>
    <row r="503" spans="2:3">
      <c r="B503" s="391" t="str">
        <f t="shared" si="14"/>
        <v/>
      </c>
      <c r="C503" s="389" t="str">
        <f t="shared" si="15"/>
        <v>janeiro</v>
      </c>
    </row>
    <row r="504" spans="2:3">
      <c r="B504" s="391" t="str">
        <f t="shared" si="14"/>
        <v/>
      </c>
      <c r="C504" s="389" t="str">
        <f t="shared" si="15"/>
        <v>janeiro</v>
      </c>
    </row>
    <row r="505" spans="2:3">
      <c r="B505" s="391" t="str">
        <f t="shared" si="14"/>
        <v/>
      </c>
      <c r="C505" s="389" t="str">
        <f t="shared" si="15"/>
        <v>janeiro</v>
      </c>
    </row>
    <row r="506" spans="2:3">
      <c r="B506" s="391" t="str">
        <f t="shared" si="14"/>
        <v/>
      </c>
      <c r="C506" s="389" t="str">
        <f t="shared" si="15"/>
        <v>janeiro</v>
      </c>
    </row>
    <row r="507" spans="2:3">
      <c r="B507" s="391" t="str">
        <f t="shared" si="14"/>
        <v/>
      </c>
      <c r="C507" s="389" t="str">
        <f t="shared" si="15"/>
        <v>janeiro</v>
      </c>
    </row>
    <row r="508" spans="2:3">
      <c r="B508" s="391" t="str">
        <f t="shared" si="14"/>
        <v/>
      </c>
      <c r="C508" s="389" t="str">
        <f t="shared" si="15"/>
        <v>janeiro</v>
      </c>
    </row>
    <row r="509" spans="2:3">
      <c r="B509" s="391" t="str">
        <f t="shared" si="14"/>
        <v/>
      </c>
      <c r="C509" s="389" t="str">
        <f t="shared" si="15"/>
        <v>janeiro</v>
      </c>
    </row>
    <row r="510" spans="2:3">
      <c r="B510" s="391" t="str">
        <f t="shared" si="14"/>
        <v/>
      </c>
      <c r="C510" s="389" t="str">
        <f t="shared" si="15"/>
        <v>janeiro</v>
      </c>
    </row>
    <row r="511" spans="2:3">
      <c r="B511" s="391" t="str">
        <f t="shared" si="14"/>
        <v/>
      </c>
      <c r="C511" s="389" t="str">
        <f t="shared" si="15"/>
        <v>janeiro</v>
      </c>
    </row>
    <row r="512" spans="2:3">
      <c r="B512" s="391" t="str">
        <f t="shared" si="14"/>
        <v/>
      </c>
      <c r="C512" s="389" t="str">
        <f t="shared" si="15"/>
        <v>janeiro</v>
      </c>
    </row>
    <row r="513" spans="2:3">
      <c r="B513" s="391" t="str">
        <f t="shared" si="14"/>
        <v/>
      </c>
      <c r="C513" s="389" t="str">
        <f t="shared" si="15"/>
        <v>janeiro</v>
      </c>
    </row>
    <row r="514" spans="2:3">
      <c r="B514" s="391" t="str">
        <f t="shared" si="14"/>
        <v/>
      </c>
      <c r="C514" s="389" t="str">
        <f t="shared" si="15"/>
        <v>janeiro</v>
      </c>
    </row>
    <row r="515" spans="2:3">
      <c r="B515" s="391" t="str">
        <f t="shared" ref="B515:B578" si="16">IF(LEFT(A515,1)="E",A515,LEFT(A515,13))</f>
        <v/>
      </c>
      <c r="C515" s="389" t="str">
        <f t="shared" ref="C515:C578" si="17">TEXT(E515,"mmmm")</f>
        <v>janeiro</v>
      </c>
    </row>
    <row r="516" spans="2:3">
      <c r="B516" s="391" t="str">
        <f t="shared" si="16"/>
        <v/>
      </c>
      <c r="C516" s="389" t="str">
        <f t="shared" si="17"/>
        <v>janeiro</v>
      </c>
    </row>
    <row r="517" spans="2:3">
      <c r="B517" s="391" t="str">
        <f t="shared" si="16"/>
        <v/>
      </c>
      <c r="C517" s="389" t="str">
        <f t="shared" si="17"/>
        <v>janeiro</v>
      </c>
    </row>
    <row r="518" spans="2:3">
      <c r="B518" s="391" t="str">
        <f t="shared" si="16"/>
        <v/>
      </c>
      <c r="C518" s="389" t="str">
        <f t="shared" si="17"/>
        <v>janeiro</v>
      </c>
    </row>
    <row r="519" spans="2:3">
      <c r="B519" s="391" t="str">
        <f t="shared" si="16"/>
        <v/>
      </c>
      <c r="C519" s="389" t="str">
        <f t="shared" si="17"/>
        <v>janeiro</v>
      </c>
    </row>
    <row r="520" spans="2:3">
      <c r="B520" s="391" t="str">
        <f t="shared" si="16"/>
        <v/>
      </c>
      <c r="C520" s="389" t="str">
        <f t="shared" si="17"/>
        <v>janeiro</v>
      </c>
    </row>
    <row r="521" spans="2:3">
      <c r="B521" s="391" t="str">
        <f t="shared" si="16"/>
        <v/>
      </c>
      <c r="C521" s="389" t="str">
        <f t="shared" si="17"/>
        <v>janeiro</v>
      </c>
    </row>
    <row r="522" spans="2:3">
      <c r="B522" s="391" t="str">
        <f t="shared" si="16"/>
        <v/>
      </c>
      <c r="C522" s="389" t="str">
        <f t="shared" si="17"/>
        <v>janeiro</v>
      </c>
    </row>
    <row r="523" spans="2:3">
      <c r="B523" s="391" t="str">
        <f t="shared" si="16"/>
        <v/>
      </c>
      <c r="C523" s="389" t="str">
        <f t="shared" si="17"/>
        <v>janeiro</v>
      </c>
    </row>
    <row r="524" spans="2:3">
      <c r="B524" s="391" t="str">
        <f t="shared" si="16"/>
        <v/>
      </c>
      <c r="C524" s="389" t="str">
        <f t="shared" si="17"/>
        <v>janeiro</v>
      </c>
    </row>
    <row r="525" spans="2:3">
      <c r="B525" s="391" t="str">
        <f t="shared" si="16"/>
        <v/>
      </c>
      <c r="C525" s="389" t="str">
        <f t="shared" si="17"/>
        <v>janeiro</v>
      </c>
    </row>
    <row r="526" spans="2:3">
      <c r="B526" s="391" t="str">
        <f t="shared" si="16"/>
        <v/>
      </c>
      <c r="C526" s="389" t="str">
        <f t="shared" si="17"/>
        <v>janeiro</v>
      </c>
    </row>
    <row r="527" spans="2:3">
      <c r="B527" s="391" t="str">
        <f t="shared" si="16"/>
        <v/>
      </c>
      <c r="C527" s="389" t="str">
        <f t="shared" si="17"/>
        <v>janeiro</v>
      </c>
    </row>
    <row r="528" spans="2:3">
      <c r="B528" s="391" t="str">
        <f t="shared" si="16"/>
        <v/>
      </c>
      <c r="C528" s="389" t="str">
        <f t="shared" si="17"/>
        <v>janeiro</v>
      </c>
    </row>
    <row r="529" spans="2:3">
      <c r="B529" s="391" t="str">
        <f t="shared" si="16"/>
        <v/>
      </c>
      <c r="C529" s="389" t="str">
        <f t="shared" si="17"/>
        <v>janeiro</v>
      </c>
    </row>
    <row r="530" spans="2:3">
      <c r="B530" s="391" t="str">
        <f t="shared" si="16"/>
        <v/>
      </c>
      <c r="C530" s="389" t="str">
        <f t="shared" si="17"/>
        <v>janeiro</v>
      </c>
    </row>
    <row r="531" spans="2:3">
      <c r="B531" s="391" t="str">
        <f t="shared" si="16"/>
        <v/>
      </c>
      <c r="C531" s="389" t="str">
        <f t="shared" si="17"/>
        <v>janeiro</v>
      </c>
    </row>
    <row r="532" spans="2:3">
      <c r="B532" s="391" t="str">
        <f t="shared" si="16"/>
        <v/>
      </c>
      <c r="C532" s="389" t="str">
        <f t="shared" si="17"/>
        <v>janeiro</v>
      </c>
    </row>
    <row r="533" spans="2:3">
      <c r="B533" s="391" t="str">
        <f t="shared" si="16"/>
        <v/>
      </c>
      <c r="C533" s="389" t="str">
        <f t="shared" si="17"/>
        <v>janeiro</v>
      </c>
    </row>
    <row r="534" spans="2:3">
      <c r="B534" s="391" t="str">
        <f t="shared" si="16"/>
        <v/>
      </c>
      <c r="C534" s="389" t="str">
        <f t="shared" si="17"/>
        <v>janeiro</v>
      </c>
    </row>
    <row r="535" spans="2:3">
      <c r="B535" s="391" t="str">
        <f t="shared" si="16"/>
        <v/>
      </c>
      <c r="C535" s="389" t="str">
        <f t="shared" si="17"/>
        <v>janeiro</v>
      </c>
    </row>
    <row r="536" spans="2:3">
      <c r="B536" s="391" t="str">
        <f t="shared" si="16"/>
        <v/>
      </c>
      <c r="C536" s="389" t="str">
        <f t="shared" si="17"/>
        <v>janeiro</v>
      </c>
    </row>
    <row r="537" spans="2:3">
      <c r="B537" s="391" t="str">
        <f t="shared" si="16"/>
        <v/>
      </c>
      <c r="C537" s="389" t="str">
        <f t="shared" si="17"/>
        <v>janeiro</v>
      </c>
    </row>
    <row r="538" spans="2:3">
      <c r="B538" s="391" t="str">
        <f t="shared" si="16"/>
        <v/>
      </c>
      <c r="C538" s="389" t="str">
        <f t="shared" si="17"/>
        <v>janeiro</v>
      </c>
    </row>
    <row r="539" spans="2:3">
      <c r="B539" s="391" t="str">
        <f t="shared" si="16"/>
        <v/>
      </c>
      <c r="C539" s="389" t="str">
        <f t="shared" si="17"/>
        <v>janeiro</v>
      </c>
    </row>
    <row r="540" spans="2:3">
      <c r="B540" s="391" t="str">
        <f t="shared" si="16"/>
        <v/>
      </c>
      <c r="C540" s="389" t="str">
        <f t="shared" si="17"/>
        <v>janeiro</v>
      </c>
    </row>
    <row r="541" spans="2:3">
      <c r="B541" s="391" t="str">
        <f t="shared" si="16"/>
        <v/>
      </c>
      <c r="C541" s="389" t="str">
        <f t="shared" si="17"/>
        <v>janeiro</v>
      </c>
    </row>
    <row r="542" spans="2:3">
      <c r="B542" s="391" t="str">
        <f t="shared" si="16"/>
        <v/>
      </c>
      <c r="C542" s="389" t="str">
        <f t="shared" si="17"/>
        <v>janeiro</v>
      </c>
    </row>
    <row r="543" spans="2:3">
      <c r="B543" s="391" t="str">
        <f t="shared" si="16"/>
        <v/>
      </c>
      <c r="C543" s="389" t="str">
        <f t="shared" si="17"/>
        <v>janeiro</v>
      </c>
    </row>
    <row r="544" spans="2:3">
      <c r="B544" s="391" t="str">
        <f t="shared" si="16"/>
        <v/>
      </c>
      <c r="C544" s="389" t="str">
        <f t="shared" si="17"/>
        <v>janeiro</v>
      </c>
    </row>
    <row r="545" spans="2:3">
      <c r="B545" s="391" t="str">
        <f t="shared" si="16"/>
        <v/>
      </c>
      <c r="C545" s="389" t="str">
        <f t="shared" si="17"/>
        <v>janeiro</v>
      </c>
    </row>
    <row r="546" spans="2:3">
      <c r="B546" s="391" t="str">
        <f t="shared" si="16"/>
        <v/>
      </c>
      <c r="C546" s="389" t="str">
        <f t="shared" si="17"/>
        <v>janeiro</v>
      </c>
    </row>
    <row r="547" spans="2:3">
      <c r="B547" s="391" t="str">
        <f t="shared" si="16"/>
        <v/>
      </c>
      <c r="C547" s="389" t="str">
        <f t="shared" si="17"/>
        <v>janeiro</v>
      </c>
    </row>
    <row r="548" spans="2:3">
      <c r="B548" s="391" t="str">
        <f t="shared" si="16"/>
        <v/>
      </c>
      <c r="C548" s="389" t="str">
        <f t="shared" si="17"/>
        <v>janeiro</v>
      </c>
    </row>
    <row r="549" spans="2:3">
      <c r="B549" s="391" t="str">
        <f t="shared" si="16"/>
        <v/>
      </c>
      <c r="C549" s="389" t="str">
        <f t="shared" si="17"/>
        <v>janeiro</v>
      </c>
    </row>
    <row r="550" spans="2:3">
      <c r="B550" s="391" t="str">
        <f t="shared" si="16"/>
        <v/>
      </c>
      <c r="C550" s="389" t="str">
        <f t="shared" si="17"/>
        <v>janeiro</v>
      </c>
    </row>
    <row r="551" spans="2:3">
      <c r="B551" s="391" t="str">
        <f t="shared" si="16"/>
        <v/>
      </c>
      <c r="C551" s="389" t="str">
        <f t="shared" si="17"/>
        <v>janeiro</v>
      </c>
    </row>
    <row r="552" spans="2:3">
      <c r="B552" s="391" t="str">
        <f t="shared" si="16"/>
        <v/>
      </c>
      <c r="C552" s="389" t="str">
        <f t="shared" si="17"/>
        <v>janeiro</v>
      </c>
    </row>
    <row r="553" spans="2:3">
      <c r="B553" s="391" t="str">
        <f t="shared" si="16"/>
        <v/>
      </c>
      <c r="C553" s="389" t="str">
        <f t="shared" si="17"/>
        <v>janeiro</v>
      </c>
    </row>
    <row r="554" spans="2:3">
      <c r="B554" s="391" t="str">
        <f t="shared" si="16"/>
        <v/>
      </c>
      <c r="C554" s="389" t="str">
        <f t="shared" si="17"/>
        <v>janeiro</v>
      </c>
    </row>
    <row r="555" spans="2:3">
      <c r="B555" s="391" t="str">
        <f t="shared" si="16"/>
        <v/>
      </c>
      <c r="C555" s="389" t="str">
        <f t="shared" si="17"/>
        <v>janeiro</v>
      </c>
    </row>
    <row r="556" spans="2:3">
      <c r="B556" s="391" t="str">
        <f t="shared" si="16"/>
        <v/>
      </c>
      <c r="C556" s="389" t="str">
        <f t="shared" si="17"/>
        <v>janeiro</v>
      </c>
    </row>
    <row r="557" spans="2:3">
      <c r="B557" s="391" t="str">
        <f t="shared" si="16"/>
        <v/>
      </c>
      <c r="C557" s="389" t="str">
        <f t="shared" si="17"/>
        <v>janeiro</v>
      </c>
    </row>
    <row r="558" spans="2:3">
      <c r="B558" s="391" t="str">
        <f t="shared" si="16"/>
        <v/>
      </c>
      <c r="C558" s="389" t="str">
        <f t="shared" si="17"/>
        <v>janeiro</v>
      </c>
    </row>
    <row r="559" spans="2:3">
      <c r="B559" s="391" t="str">
        <f t="shared" si="16"/>
        <v/>
      </c>
      <c r="C559" s="389" t="str">
        <f t="shared" si="17"/>
        <v>janeiro</v>
      </c>
    </row>
    <row r="560" spans="2:3">
      <c r="B560" s="391" t="str">
        <f t="shared" si="16"/>
        <v/>
      </c>
      <c r="C560" s="389" t="str">
        <f t="shared" si="17"/>
        <v>janeiro</v>
      </c>
    </row>
    <row r="561" spans="2:3">
      <c r="B561" s="391" t="str">
        <f t="shared" si="16"/>
        <v/>
      </c>
      <c r="C561" s="389" t="str">
        <f t="shared" si="17"/>
        <v>janeiro</v>
      </c>
    </row>
    <row r="562" spans="2:3">
      <c r="B562" s="391" t="str">
        <f t="shared" si="16"/>
        <v/>
      </c>
      <c r="C562" s="389" t="str">
        <f t="shared" si="17"/>
        <v>janeiro</v>
      </c>
    </row>
    <row r="563" spans="2:3">
      <c r="B563" s="391" t="str">
        <f t="shared" si="16"/>
        <v/>
      </c>
      <c r="C563" s="389" t="str">
        <f t="shared" si="17"/>
        <v>janeiro</v>
      </c>
    </row>
    <row r="564" spans="2:3">
      <c r="B564" s="391" t="str">
        <f t="shared" si="16"/>
        <v/>
      </c>
      <c r="C564" s="389" t="str">
        <f t="shared" si="17"/>
        <v>janeiro</v>
      </c>
    </row>
    <row r="565" spans="2:3">
      <c r="B565" s="391" t="str">
        <f t="shared" si="16"/>
        <v/>
      </c>
      <c r="C565" s="389" t="str">
        <f t="shared" si="17"/>
        <v>janeiro</v>
      </c>
    </row>
    <row r="566" spans="2:3">
      <c r="B566" s="391" t="str">
        <f t="shared" si="16"/>
        <v/>
      </c>
      <c r="C566" s="389" t="str">
        <f t="shared" si="17"/>
        <v>janeiro</v>
      </c>
    </row>
    <row r="567" spans="2:3">
      <c r="B567" s="391" t="str">
        <f t="shared" si="16"/>
        <v/>
      </c>
      <c r="C567" s="389" t="str">
        <f t="shared" si="17"/>
        <v>janeiro</v>
      </c>
    </row>
    <row r="568" spans="2:3">
      <c r="B568" s="391" t="str">
        <f t="shared" si="16"/>
        <v/>
      </c>
      <c r="C568" s="389" t="str">
        <f t="shared" si="17"/>
        <v>janeiro</v>
      </c>
    </row>
    <row r="569" spans="2:3">
      <c r="B569" s="391" t="str">
        <f t="shared" si="16"/>
        <v/>
      </c>
      <c r="C569" s="389" t="str">
        <f t="shared" si="17"/>
        <v>janeiro</v>
      </c>
    </row>
    <row r="570" spans="2:3">
      <c r="B570" s="391" t="str">
        <f t="shared" si="16"/>
        <v/>
      </c>
      <c r="C570" s="389" t="str">
        <f t="shared" si="17"/>
        <v>janeiro</v>
      </c>
    </row>
    <row r="571" spans="2:3">
      <c r="B571" s="391" t="str">
        <f t="shared" si="16"/>
        <v/>
      </c>
      <c r="C571" s="389" t="str">
        <f t="shared" si="17"/>
        <v>janeiro</v>
      </c>
    </row>
    <row r="572" spans="2:3">
      <c r="B572" s="391" t="str">
        <f t="shared" si="16"/>
        <v/>
      </c>
      <c r="C572" s="389" t="str">
        <f t="shared" si="17"/>
        <v>janeiro</v>
      </c>
    </row>
    <row r="573" spans="2:3">
      <c r="B573" s="391" t="str">
        <f t="shared" si="16"/>
        <v/>
      </c>
      <c r="C573" s="389" t="str">
        <f t="shared" si="17"/>
        <v>janeiro</v>
      </c>
    </row>
    <row r="574" spans="2:3">
      <c r="B574" s="391" t="str">
        <f t="shared" si="16"/>
        <v/>
      </c>
      <c r="C574" s="389" t="str">
        <f t="shared" si="17"/>
        <v>janeiro</v>
      </c>
    </row>
    <row r="575" spans="2:3">
      <c r="B575" s="391" t="str">
        <f t="shared" si="16"/>
        <v/>
      </c>
      <c r="C575" s="389" t="str">
        <f t="shared" si="17"/>
        <v>janeiro</v>
      </c>
    </row>
    <row r="576" spans="2:3">
      <c r="B576" s="391" t="str">
        <f t="shared" si="16"/>
        <v/>
      </c>
      <c r="C576" s="389" t="str">
        <f t="shared" si="17"/>
        <v>janeiro</v>
      </c>
    </row>
    <row r="577" spans="2:3">
      <c r="B577" s="391" t="str">
        <f t="shared" si="16"/>
        <v/>
      </c>
      <c r="C577" s="389" t="str">
        <f t="shared" si="17"/>
        <v>janeiro</v>
      </c>
    </row>
    <row r="578" spans="2:3">
      <c r="B578" s="391" t="str">
        <f t="shared" si="16"/>
        <v/>
      </c>
      <c r="C578" s="389" t="str">
        <f t="shared" si="17"/>
        <v>janeiro</v>
      </c>
    </row>
    <row r="579" spans="2:3">
      <c r="B579" s="391" t="str">
        <f t="shared" ref="B579:B642" si="18">IF(LEFT(A579,1)="E",A579,LEFT(A579,13))</f>
        <v/>
      </c>
      <c r="C579" s="389" t="str">
        <f t="shared" ref="C579:C642" si="19">TEXT(E579,"mmmm")</f>
        <v>janeiro</v>
      </c>
    </row>
    <row r="580" spans="2:3">
      <c r="B580" s="391" t="str">
        <f t="shared" si="18"/>
        <v/>
      </c>
      <c r="C580" s="389" t="str">
        <f t="shared" si="19"/>
        <v>janeiro</v>
      </c>
    </row>
    <row r="581" spans="2:3">
      <c r="B581" s="391" t="str">
        <f t="shared" si="18"/>
        <v/>
      </c>
      <c r="C581" s="389" t="str">
        <f t="shared" si="19"/>
        <v>janeiro</v>
      </c>
    </row>
    <row r="582" spans="2:3">
      <c r="B582" s="391" t="str">
        <f t="shared" si="18"/>
        <v/>
      </c>
      <c r="C582" s="389" t="str">
        <f t="shared" si="19"/>
        <v>janeiro</v>
      </c>
    </row>
    <row r="583" spans="2:3">
      <c r="B583" s="391" t="str">
        <f t="shared" si="18"/>
        <v/>
      </c>
      <c r="C583" s="389" t="str">
        <f t="shared" si="19"/>
        <v>janeiro</v>
      </c>
    </row>
    <row r="584" spans="2:3">
      <c r="B584" s="391" t="str">
        <f t="shared" si="18"/>
        <v/>
      </c>
      <c r="C584" s="389" t="str">
        <f t="shared" si="19"/>
        <v>janeiro</v>
      </c>
    </row>
    <row r="585" spans="2:3">
      <c r="B585" s="391" t="str">
        <f t="shared" si="18"/>
        <v/>
      </c>
      <c r="C585" s="389" t="str">
        <f t="shared" si="19"/>
        <v>janeiro</v>
      </c>
    </row>
    <row r="586" spans="2:3">
      <c r="B586" s="391" t="str">
        <f t="shared" si="18"/>
        <v/>
      </c>
      <c r="C586" s="389" t="str">
        <f t="shared" si="19"/>
        <v>janeiro</v>
      </c>
    </row>
    <row r="587" spans="2:3">
      <c r="B587" s="391" t="str">
        <f t="shared" si="18"/>
        <v/>
      </c>
      <c r="C587" s="389" t="str">
        <f t="shared" si="19"/>
        <v>janeiro</v>
      </c>
    </row>
    <row r="588" spans="2:3">
      <c r="B588" s="391" t="str">
        <f t="shared" si="18"/>
        <v/>
      </c>
      <c r="C588" s="389" t="str">
        <f t="shared" si="19"/>
        <v>janeiro</v>
      </c>
    </row>
    <row r="589" spans="2:3">
      <c r="B589" s="391" t="str">
        <f t="shared" si="18"/>
        <v/>
      </c>
      <c r="C589" s="389" t="str">
        <f t="shared" si="19"/>
        <v>janeiro</v>
      </c>
    </row>
    <row r="590" spans="2:3">
      <c r="B590" s="391" t="str">
        <f t="shared" si="18"/>
        <v/>
      </c>
      <c r="C590" s="389" t="str">
        <f t="shared" si="19"/>
        <v>janeiro</v>
      </c>
    </row>
    <row r="591" spans="2:3">
      <c r="B591" s="391" t="str">
        <f t="shared" si="18"/>
        <v/>
      </c>
      <c r="C591" s="389" t="str">
        <f t="shared" si="19"/>
        <v>janeiro</v>
      </c>
    </row>
    <row r="592" spans="2:3">
      <c r="B592" s="391" t="str">
        <f t="shared" si="18"/>
        <v/>
      </c>
      <c r="C592" s="389" t="str">
        <f t="shared" si="19"/>
        <v>janeiro</v>
      </c>
    </row>
    <row r="593" spans="2:3">
      <c r="B593" s="391" t="str">
        <f t="shared" si="18"/>
        <v/>
      </c>
      <c r="C593" s="389" t="str">
        <f t="shared" si="19"/>
        <v>janeiro</v>
      </c>
    </row>
    <row r="594" spans="2:3">
      <c r="B594" s="391" t="str">
        <f t="shared" si="18"/>
        <v/>
      </c>
      <c r="C594" s="389" t="str">
        <f t="shared" si="19"/>
        <v>janeiro</v>
      </c>
    </row>
    <row r="595" spans="2:3">
      <c r="B595" s="391" t="str">
        <f t="shared" si="18"/>
        <v/>
      </c>
      <c r="C595" s="389" t="str">
        <f t="shared" si="19"/>
        <v>janeiro</v>
      </c>
    </row>
    <row r="596" spans="2:3">
      <c r="B596" s="391" t="str">
        <f t="shared" si="18"/>
        <v/>
      </c>
      <c r="C596" s="389" t="str">
        <f t="shared" si="19"/>
        <v>janeiro</v>
      </c>
    </row>
    <row r="597" spans="2:3">
      <c r="B597" s="391" t="str">
        <f t="shared" si="18"/>
        <v/>
      </c>
      <c r="C597" s="389" t="str">
        <f t="shared" si="19"/>
        <v>janeiro</v>
      </c>
    </row>
    <row r="598" spans="2:3">
      <c r="B598" s="391" t="str">
        <f t="shared" si="18"/>
        <v/>
      </c>
      <c r="C598" s="389" t="str">
        <f t="shared" si="19"/>
        <v>janeiro</v>
      </c>
    </row>
    <row r="599" spans="2:3">
      <c r="B599" s="391" t="str">
        <f t="shared" si="18"/>
        <v/>
      </c>
      <c r="C599" s="389" t="str">
        <f t="shared" si="19"/>
        <v>janeiro</v>
      </c>
    </row>
    <row r="600" spans="2:3">
      <c r="B600" s="391" t="str">
        <f t="shared" si="18"/>
        <v/>
      </c>
      <c r="C600" s="389" t="str">
        <f t="shared" si="19"/>
        <v>janeiro</v>
      </c>
    </row>
    <row r="601" spans="2:3">
      <c r="B601" s="391" t="str">
        <f t="shared" si="18"/>
        <v/>
      </c>
      <c r="C601" s="389" t="str">
        <f t="shared" si="19"/>
        <v>janeiro</v>
      </c>
    </row>
    <row r="602" spans="2:3">
      <c r="B602" s="391" t="str">
        <f t="shared" si="18"/>
        <v/>
      </c>
      <c r="C602" s="389" t="str">
        <f t="shared" si="19"/>
        <v>janeiro</v>
      </c>
    </row>
    <row r="603" spans="2:3">
      <c r="B603" s="391" t="str">
        <f t="shared" si="18"/>
        <v/>
      </c>
      <c r="C603" s="389" t="str">
        <f t="shared" si="19"/>
        <v>janeiro</v>
      </c>
    </row>
    <row r="604" spans="2:3">
      <c r="B604" s="391" t="str">
        <f t="shared" si="18"/>
        <v/>
      </c>
      <c r="C604" s="389" t="str">
        <f t="shared" si="19"/>
        <v>janeiro</v>
      </c>
    </row>
    <row r="605" spans="2:3">
      <c r="B605" s="391" t="str">
        <f t="shared" si="18"/>
        <v/>
      </c>
      <c r="C605" s="389" t="str">
        <f t="shared" si="19"/>
        <v>janeiro</v>
      </c>
    </row>
    <row r="606" spans="2:3">
      <c r="B606" s="391" t="str">
        <f t="shared" si="18"/>
        <v/>
      </c>
      <c r="C606" s="389" t="str">
        <f t="shared" si="19"/>
        <v>janeiro</v>
      </c>
    </row>
    <row r="607" spans="2:3">
      <c r="B607" s="391" t="str">
        <f t="shared" si="18"/>
        <v/>
      </c>
      <c r="C607" s="389" t="str">
        <f t="shared" si="19"/>
        <v>janeiro</v>
      </c>
    </row>
    <row r="608" spans="2:3">
      <c r="B608" s="391" t="str">
        <f t="shared" si="18"/>
        <v/>
      </c>
      <c r="C608" s="389" t="str">
        <f t="shared" si="19"/>
        <v>janeiro</v>
      </c>
    </row>
    <row r="609" spans="2:3">
      <c r="B609" s="391" t="str">
        <f t="shared" si="18"/>
        <v/>
      </c>
      <c r="C609" s="389" t="str">
        <f t="shared" si="19"/>
        <v>janeiro</v>
      </c>
    </row>
    <row r="610" spans="2:3">
      <c r="B610" s="391" t="str">
        <f t="shared" si="18"/>
        <v/>
      </c>
      <c r="C610" s="389" t="str">
        <f t="shared" si="19"/>
        <v>janeiro</v>
      </c>
    </row>
    <row r="611" spans="2:3">
      <c r="B611" s="391" t="str">
        <f t="shared" si="18"/>
        <v/>
      </c>
      <c r="C611" s="389" t="str">
        <f t="shared" si="19"/>
        <v>janeiro</v>
      </c>
    </row>
    <row r="612" spans="2:3">
      <c r="B612" s="391" t="str">
        <f t="shared" si="18"/>
        <v/>
      </c>
      <c r="C612" s="389" t="str">
        <f t="shared" si="19"/>
        <v>janeiro</v>
      </c>
    </row>
    <row r="613" spans="2:3">
      <c r="B613" s="391" t="str">
        <f t="shared" si="18"/>
        <v/>
      </c>
      <c r="C613" s="389" t="str">
        <f t="shared" si="19"/>
        <v>janeiro</v>
      </c>
    </row>
    <row r="614" spans="2:3">
      <c r="B614" s="391" t="str">
        <f t="shared" si="18"/>
        <v/>
      </c>
      <c r="C614" s="389" t="str">
        <f t="shared" si="19"/>
        <v>janeiro</v>
      </c>
    </row>
    <row r="615" spans="2:3">
      <c r="B615" s="391" t="str">
        <f t="shared" si="18"/>
        <v/>
      </c>
      <c r="C615" s="389" t="str">
        <f t="shared" si="19"/>
        <v>janeiro</v>
      </c>
    </row>
    <row r="616" spans="2:3">
      <c r="B616" s="391" t="str">
        <f t="shared" si="18"/>
        <v/>
      </c>
      <c r="C616" s="389" t="str">
        <f t="shared" si="19"/>
        <v>janeiro</v>
      </c>
    </row>
    <row r="617" spans="2:3">
      <c r="B617" s="391" t="str">
        <f t="shared" si="18"/>
        <v/>
      </c>
      <c r="C617" s="389" t="str">
        <f t="shared" si="19"/>
        <v>janeiro</v>
      </c>
    </row>
    <row r="618" spans="2:3">
      <c r="B618" s="391" t="str">
        <f t="shared" si="18"/>
        <v/>
      </c>
      <c r="C618" s="389" t="str">
        <f t="shared" si="19"/>
        <v>janeiro</v>
      </c>
    </row>
    <row r="619" spans="2:3">
      <c r="B619" s="391" t="str">
        <f t="shared" si="18"/>
        <v/>
      </c>
      <c r="C619" s="389" t="str">
        <f t="shared" si="19"/>
        <v>janeiro</v>
      </c>
    </row>
    <row r="620" spans="2:3">
      <c r="B620" s="391" t="str">
        <f t="shared" si="18"/>
        <v/>
      </c>
      <c r="C620" s="389" t="str">
        <f t="shared" si="19"/>
        <v>janeiro</v>
      </c>
    </row>
    <row r="621" spans="2:3">
      <c r="B621" s="391" t="str">
        <f t="shared" si="18"/>
        <v/>
      </c>
      <c r="C621" s="389" t="str">
        <f t="shared" si="19"/>
        <v>janeiro</v>
      </c>
    </row>
    <row r="622" spans="2:3">
      <c r="B622" s="391" t="str">
        <f t="shared" si="18"/>
        <v/>
      </c>
      <c r="C622" s="389" t="str">
        <f t="shared" si="19"/>
        <v>janeiro</v>
      </c>
    </row>
    <row r="623" spans="2:3">
      <c r="B623" s="391" t="str">
        <f t="shared" si="18"/>
        <v/>
      </c>
      <c r="C623" s="389" t="str">
        <f t="shared" si="19"/>
        <v>janeiro</v>
      </c>
    </row>
    <row r="624" spans="2:3">
      <c r="B624" s="391" t="str">
        <f t="shared" si="18"/>
        <v/>
      </c>
      <c r="C624" s="389" t="str">
        <f t="shared" si="19"/>
        <v>janeiro</v>
      </c>
    </row>
    <row r="625" spans="2:3">
      <c r="B625" s="391" t="str">
        <f t="shared" si="18"/>
        <v/>
      </c>
      <c r="C625" s="389" t="str">
        <f t="shared" si="19"/>
        <v>janeiro</v>
      </c>
    </row>
    <row r="626" spans="2:3">
      <c r="B626" s="391" t="str">
        <f t="shared" si="18"/>
        <v/>
      </c>
      <c r="C626" s="389" t="str">
        <f t="shared" si="19"/>
        <v>janeiro</v>
      </c>
    </row>
    <row r="627" spans="2:3">
      <c r="B627" s="391" t="str">
        <f t="shared" si="18"/>
        <v/>
      </c>
      <c r="C627" s="389" t="str">
        <f t="shared" si="19"/>
        <v>janeiro</v>
      </c>
    </row>
    <row r="628" spans="2:3">
      <c r="B628" s="391" t="str">
        <f t="shared" si="18"/>
        <v/>
      </c>
      <c r="C628" s="389" t="str">
        <f t="shared" si="19"/>
        <v>janeiro</v>
      </c>
    </row>
    <row r="629" spans="2:3">
      <c r="B629" s="391" t="str">
        <f t="shared" si="18"/>
        <v/>
      </c>
      <c r="C629" s="389" t="str">
        <f t="shared" si="19"/>
        <v>janeiro</v>
      </c>
    </row>
    <row r="630" spans="2:3">
      <c r="B630" s="391" t="str">
        <f t="shared" si="18"/>
        <v/>
      </c>
      <c r="C630" s="389" t="str">
        <f t="shared" si="19"/>
        <v>janeiro</v>
      </c>
    </row>
    <row r="631" spans="2:3">
      <c r="B631" s="391" t="str">
        <f t="shared" si="18"/>
        <v/>
      </c>
      <c r="C631" s="389" t="str">
        <f t="shared" si="19"/>
        <v>janeiro</v>
      </c>
    </row>
    <row r="632" spans="2:3">
      <c r="B632" s="391" t="str">
        <f t="shared" si="18"/>
        <v/>
      </c>
      <c r="C632" s="389" t="str">
        <f t="shared" si="19"/>
        <v>janeiro</v>
      </c>
    </row>
    <row r="633" spans="2:3">
      <c r="B633" s="391" t="str">
        <f t="shared" si="18"/>
        <v/>
      </c>
      <c r="C633" s="389" t="str">
        <f t="shared" si="19"/>
        <v>janeiro</v>
      </c>
    </row>
    <row r="634" spans="2:3">
      <c r="B634" s="391" t="str">
        <f t="shared" si="18"/>
        <v/>
      </c>
      <c r="C634" s="389" t="str">
        <f t="shared" si="19"/>
        <v>janeiro</v>
      </c>
    </row>
    <row r="635" spans="2:3">
      <c r="B635" s="391" t="str">
        <f t="shared" si="18"/>
        <v/>
      </c>
      <c r="C635" s="389" t="str">
        <f t="shared" si="19"/>
        <v>janeiro</v>
      </c>
    </row>
    <row r="636" spans="2:3">
      <c r="B636" s="391" t="str">
        <f t="shared" si="18"/>
        <v/>
      </c>
      <c r="C636" s="389" t="str">
        <f t="shared" si="19"/>
        <v>janeiro</v>
      </c>
    </row>
    <row r="637" spans="2:3">
      <c r="B637" s="391" t="str">
        <f t="shared" si="18"/>
        <v/>
      </c>
      <c r="C637" s="389" t="str">
        <f t="shared" si="19"/>
        <v>janeiro</v>
      </c>
    </row>
    <row r="638" spans="2:3">
      <c r="B638" s="391" t="str">
        <f t="shared" si="18"/>
        <v/>
      </c>
      <c r="C638" s="389" t="str">
        <f t="shared" si="19"/>
        <v>janeiro</v>
      </c>
    </row>
    <row r="639" spans="2:3">
      <c r="B639" s="391" t="str">
        <f t="shared" si="18"/>
        <v/>
      </c>
      <c r="C639" s="389" t="str">
        <f t="shared" si="19"/>
        <v>janeiro</v>
      </c>
    </row>
    <row r="640" spans="2:3">
      <c r="B640" s="391" t="str">
        <f t="shared" si="18"/>
        <v/>
      </c>
      <c r="C640" s="389" t="str">
        <f t="shared" si="19"/>
        <v>janeiro</v>
      </c>
    </row>
    <row r="641" spans="2:3">
      <c r="B641" s="391" t="str">
        <f t="shared" si="18"/>
        <v/>
      </c>
      <c r="C641" s="389" t="str">
        <f t="shared" si="19"/>
        <v>janeiro</v>
      </c>
    </row>
    <row r="642" spans="2:3">
      <c r="B642" s="391" t="str">
        <f t="shared" si="18"/>
        <v/>
      </c>
      <c r="C642" s="389" t="str">
        <f t="shared" si="19"/>
        <v>janeiro</v>
      </c>
    </row>
    <row r="643" spans="2:3">
      <c r="B643" s="391" t="str">
        <f t="shared" ref="B643:B706" si="20">IF(LEFT(A643,1)="E",A643,LEFT(A643,13))</f>
        <v/>
      </c>
      <c r="C643" s="389" t="str">
        <f t="shared" ref="C643:C706" si="21">TEXT(E643,"mmmm")</f>
        <v>janeiro</v>
      </c>
    </row>
    <row r="644" spans="2:3">
      <c r="B644" s="391" t="str">
        <f t="shared" si="20"/>
        <v/>
      </c>
      <c r="C644" s="389" t="str">
        <f t="shared" si="21"/>
        <v>janeiro</v>
      </c>
    </row>
    <row r="645" spans="2:3">
      <c r="B645" s="391" t="str">
        <f t="shared" si="20"/>
        <v/>
      </c>
      <c r="C645" s="389" t="str">
        <f t="shared" si="21"/>
        <v>janeiro</v>
      </c>
    </row>
    <row r="646" spans="2:3">
      <c r="B646" s="391" t="str">
        <f t="shared" si="20"/>
        <v/>
      </c>
      <c r="C646" s="389" t="str">
        <f t="shared" si="21"/>
        <v>janeiro</v>
      </c>
    </row>
    <row r="647" spans="2:3">
      <c r="B647" s="391" t="str">
        <f t="shared" si="20"/>
        <v/>
      </c>
      <c r="C647" s="389" t="str">
        <f t="shared" si="21"/>
        <v>janeiro</v>
      </c>
    </row>
    <row r="648" spans="2:3">
      <c r="B648" s="391" t="str">
        <f t="shared" si="20"/>
        <v/>
      </c>
      <c r="C648" s="389" t="str">
        <f t="shared" si="21"/>
        <v>janeiro</v>
      </c>
    </row>
    <row r="649" spans="2:3">
      <c r="B649" s="391" t="str">
        <f t="shared" si="20"/>
        <v/>
      </c>
      <c r="C649" s="389" t="str">
        <f t="shared" si="21"/>
        <v>janeiro</v>
      </c>
    </row>
    <row r="650" spans="2:3">
      <c r="B650" s="391" t="str">
        <f t="shared" si="20"/>
        <v/>
      </c>
      <c r="C650" s="389" t="str">
        <f t="shared" si="21"/>
        <v>janeiro</v>
      </c>
    </row>
    <row r="651" spans="2:3">
      <c r="B651" s="391" t="str">
        <f t="shared" si="20"/>
        <v/>
      </c>
      <c r="C651" s="389" t="str">
        <f t="shared" si="21"/>
        <v>janeiro</v>
      </c>
    </row>
    <row r="652" spans="2:3">
      <c r="B652" s="391" t="str">
        <f t="shared" si="20"/>
        <v/>
      </c>
      <c r="C652" s="389" t="str">
        <f t="shared" si="21"/>
        <v>janeiro</v>
      </c>
    </row>
    <row r="653" spans="2:3">
      <c r="B653" s="391" t="str">
        <f t="shared" si="20"/>
        <v/>
      </c>
      <c r="C653" s="389" t="str">
        <f t="shared" si="21"/>
        <v>janeiro</v>
      </c>
    </row>
    <row r="654" spans="2:3">
      <c r="B654" s="391" t="str">
        <f t="shared" si="20"/>
        <v/>
      </c>
      <c r="C654" s="389" t="str">
        <f t="shared" si="21"/>
        <v>janeiro</v>
      </c>
    </row>
    <row r="655" spans="2:3">
      <c r="B655" s="391" t="str">
        <f t="shared" si="20"/>
        <v/>
      </c>
      <c r="C655" s="389" t="str">
        <f t="shared" si="21"/>
        <v>janeiro</v>
      </c>
    </row>
    <row r="656" spans="2:3">
      <c r="B656" s="391" t="str">
        <f t="shared" si="20"/>
        <v/>
      </c>
      <c r="C656" s="389" t="str">
        <f t="shared" si="21"/>
        <v>janeiro</v>
      </c>
    </row>
    <row r="657" spans="2:3">
      <c r="B657" s="391" t="str">
        <f t="shared" si="20"/>
        <v/>
      </c>
      <c r="C657" s="389" t="str">
        <f t="shared" si="21"/>
        <v>janeiro</v>
      </c>
    </row>
    <row r="658" spans="2:3">
      <c r="B658" s="391" t="str">
        <f t="shared" si="20"/>
        <v/>
      </c>
      <c r="C658" s="389" t="str">
        <f t="shared" si="21"/>
        <v>janeiro</v>
      </c>
    </row>
    <row r="659" spans="2:3">
      <c r="B659" s="391" t="str">
        <f t="shared" si="20"/>
        <v/>
      </c>
      <c r="C659" s="389" t="str">
        <f t="shared" si="21"/>
        <v>janeiro</v>
      </c>
    </row>
    <row r="660" spans="2:3">
      <c r="B660" s="391" t="str">
        <f t="shared" si="20"/>
        <v/>
      </c>
      <c r="C660" s="389" t="str">
        <f t="shared" si="21"/>
        <v>janeiro</v>
      </c>
    </row>
    <row r="661" spans="2:3">
      <c r="B661" s="391" t="str">
        <f t="shared" si="20"/>
        <v/>
      </c>
      <c r="C661" s="389" t="str">
        <f t="shared" si="21"/>
        <v>janeiro</v>
      </c>
    </row>
    <row r="662" spans="2:3">
      <c r="B662" s="391" t="str">
        <f t="shared" si="20"/>
        <v/>
      </c>
      <c r="C662" s="389" t="str">
        <f t="shared" si="21"/>
        <v>janeiro</v>
      </c>
    </row>
    <row r="663" spans="2:3">
      <c r="B663" s="391" t="str">
        <f t="shared" si="20"/>
        <v/>
      </c>
      <c r="C663" s="389" t="str">
        <f t="shared" si="21"/>
        <v>janeiro</v>
      </c>
    </row>
    <row r="664" spans="2:3">
      <c r="B664" s="391" t="str">
        <f t="shared" si="20"/>
        <v/>
      </c>
      <c r="C664" s="389" t="str">
        <f t="shared" si="21"/>
        <v>janeiro</v>
      </c>
    </row>
    <row r="665" spans="2:3">
      <c r="B665" s="391" t="str">
        <f t="shared" si="20"/>
        <v/>
      </c>
      <c r="C665" s="389" t="str">
        <f t="shared" si="21"/>
        <v>janeiro</v>
      </c>
    </row>
    <row r="666" spans="2:3">
      <c r="B666" s="391" t="str">
        <f t="shared" si="20"/>
        <v/>
      </c>
      <c r="C666" s="389" t="str">
        <f t="shared" si="21"/>
        <v>janeiro</v>
      </c>
    </row>
    <row r="667" spans="2:3">
      <c r="B667" s="391" t="str">
        <f t="shared" si="20"/>
        <v/>
      </c>
      <c r="C667" s="389" t="str">
        <f t="shared" si="21"/>
        <v>janeiro</v>
      </c>
    </row>
    <row r="668" spans="2:3">
      <c r="B668" s="391" t="str">
        <f t="shared" si="20"/>
        <v/>
      </c>
      <c r="C668" s="389" t="str">
        <f t="shared" si="21"/>
        <v>janeiro</v>
      </c>
    </row>
    <row r="669" spans="2:3">
      <c r="B669" s="391" t="str">
        <f t="shared" si="20"/>
        <v/>
      </c>
      <c r="C669" s="389" t="str">
        <f t="shared" si="21"/>
        <v>janeiro</v>
      </c>
    </row>
    <row r="670" spans="2:3">
      <c r="B670" s="391" t="str">
        <f t="shared" si="20"/>
        <v/>
      </c>
      <c r="C670" s="389" t="str">
        <f t="shared" si="21"/>
        <v>janeiro</v>
      </c>
    </row>
    <row r="671" spans="2:3">
      <c r="B671" s="391" t="str">
        <f t="shared" si="20"/>
        <v/>
      </c>
      <c r="C671" s="389" t="str">
        <f t="shared" si="21"/>
        <v>janeiro</v>
      </c>
    </row>
    <row r="672" spans="2:3">
      <c r="B672" s="391" t="str">
        <f t="shared" si="20"/>
        <v/>
      </c>
      <c r="C672" s="389" t="str">
        <f t="shared" si="21"/>
        <v>janeiro</v>
      </c>
    </row>
    <row r="673" spans="2:3">
      <c r="B673" s="391" t="str">
        <f t="shared" si="20"/>
        <v/>
      </c>
      <c r="C673" s="389" t="str">
        <f t="shared" si="21"/>
        <v>janeiro</v>
      </c>
    </row>
    <row r="674" spans="2:3">
      <c r="B674" s="391" t="str">
        <f t="shared" si="20"/>
        <v/>
      </c>
      <c r="C674" s="389" t="str">
        <f t="shared" si="21"/>
        <v>janeiro</v>
      </c>
    </row>
    <row r="675" spans="2:3">
      <c r="B675" s="391" t="str">
        <f t="shared" si="20"/>
        <v/>
      </c>
      <c r="C675" s="389" t="str">
        <f t="shared" si="21"/>
        <v>janeiro</v>
      </c>
    </row>
    <row r="676" spans="2:3">
      <c r="B676" s="391" t="str">
        <f t="shared" si="20"/>
        <v/>
      </c>
      <c r="C676" s="389" t="str">
        <f t="shared" si="21"/>
        <v>janeiro</v>
      </c>
    </row>
    <row r="677" spans="2:3">
      <c r="B677" s="391" t="str">
        <f t="shared" si="20"/>
        <v/>
      </c>
      <c r="C677" s="389" t="str">
        <f t="shared" si="21"/>
        <v>janeiro</v>
      </c>
    </row>
    <row r="678" spans="2:3">
      <c r="B678" s="391" t="str">
        <f t="shared" si="20"/>
        <v/>
      </c>
      <c r="C678" s="389" t="str">
        <f t="shared" si="21"/>
        <v>janeiro</v>
      </c>
    </row>
    <row r="679" spans="2:3">
      <c r="B679" s="391" t="str">
        <f t="shared" si="20"/>
        <v/>
      </c>
      <c r="C679" s="389" t="str">
        <f t="shared" si="21"/>
        <v>janeiro</v>
      </c>
    </row>
    <row r="680" spans="2:3">
      <c r="B680" s="391" t="str">
        <f t="shared" si="20"/>
        <v/>
      </c>
      <c r="C680" s="389" t="str">
        <f t="shared" si="21"/>
        <v>janeiro</v>
      </c>
    </row>
    <row r="681" spans="2:3">
      <c r="B681" s="391" t="str">
        <f t="shared" si="20"/>
        <v/>
      </c>
      <c r="C681" s="389" t="str">
        <f t="shared" si="21"/>
        <v>janeiro</v>
      </c>
    </row>
    <row r="682" spans="2:3">
      <c r="B682" s="391" t="str">
        <f t="shared" si="20"/>
        <v/>
      </c>
      <c r="C682" s="389" t="str">
        <f t="shared" si="21"/>
        <v>janeiro</v>
      </c>
    </row>
    <row r="683" spans="2:3">
      <c r="B683" s="391" t="str">
        <f t="shared" si="20"/>
        <v/>
      </c>
      <c r="C683" s="389" t="str">
        <f t="shared" si="21"/>
        <v>janeiro</v>
      </c>
    </row>
    <row r="684" spans="2:3">
      <c r="B684" s="391" t="str">
        <f t="shared" si="20"/>
        <v/>
      </c>
      <c r="C684" s="389" t="str">
        <f t="shared" si="21"/>
        <v>janeiro</v>
      </c>
    </row>
    <row r="685" spans="2:3">
      <c r="B685" s="391" t="str">
        <f t="shared" si="20"/>
        <v/>
      </c>
      <c r="C685" s="389" t="str">
        <f t="shared" si="21"/>
        <v>janeiro</v>
      </c>
    </row>
    <row r="686" spans="2:3">
      <c r="B686" s="391" t="str">
        <f t="shared" si="20"/>
        <v/>
      </c>
      <c r="C686" s="389" t="str">
        <f t="shared" si="21"/>
        <v>janeiro</v>
      </c>
    </row>
    <row r="687" spans="2:3">
      <c r="B687" s="391" t="str">
        <f t="shared" si="20"/>
        <v/>
      </c>
      <c r="C687" s="389" t="str">
        <f t="shared" si="21"/>
        <v>janeiro</v>
      </c>
    </row>
    <row r="688" spans="2:3">
      <c r="B688" s="391" t="str">
        <f t="shared" si="20"/>
        <v/>
      </c>
      <c r="C688" s="389" t="str">
        <f t="shared" si="21"/>
        <v>janeiro</v>
      </c>
    </row>
    <row r="689" spans="2:3">
      <c r="B689" s="391" t="str">
        <f t="shared" si="20"/>
        <v/>
      </c>
      <c r="C689" s="389" t="str">
        <f t="shared" si="21"/>
        <v>janeiro</v>
      </c>
    </row>
    <row r="690" spans="2:3">
      <c r="B690" s="391" t="str">
        <f t="shared" si="20"/>
        <v/>
      </c>
      <c r="C690" s="389" t="str">
        <f t="shared" si="21"/>
        <v>janeiro</v>
      </c>
    </row>
    <row r="691" spans="2:3">
      <c r="B691" s="391" t="str">
        <f t="shared" si="20"/>
        <v/>
      </c>
      <c r="C691" s="389" t="str">
        <f t="shared" si="21"/>
        <v>janeiro</v>
      </c>
    </row>
    <row r="692" spans="2:3">
      <c r="B692" s="391" t="str">
        <f t="shared" si="20"/>
        <v/>
      </c>
      <c r="C692" s="389" t="str">
        <f t="shared" si="21"/>
        <v>janeiro</v>
      </c>
    </row>
    <row r="693" spans="2:3">
      <c r="B693" s="391" t="str">
        <f t="shared" si="20"/>
        <v/>
      </c>
      <c r="C693" s="389" t="str">
        <f t="shared" si="21"/>
        <v>janeiro</v>
      </c>
    </row>
    <row r="694" spans="2:3">
      <c r="B694" s="391" t="str">
        <f t="shared" si="20"/>
        <v/>
      </c>
      <c r="C694" s="389" t="str">
        <f t="shared" si="21"/>
        <v>janeiro</v>
      </c>
    </row>
    <row r="695" spans="2:3">
      <c r="B695" s="391" t="str">
        <f t="shared" si="20"/>
        <v/>
      </c>
      <c r="C695" s="389" t="str">
        <f t="shared" si="21"/>
        <v>janeiro</v>
      </c>
    </row>
    <row r="696" spans="2:3">
      <c r="B696" s="391" t="str">
        <f t="shared" si="20"/>
        <v/>
      </c>
      <c r="C696" s="389" t="str">
        <f t="shared" si="21"/>
        <v>janeiro</v>
      </c>
    </row>
    <row r="697" spans="2:3">
      <c r="B697" s="391" t="str">
        <f t="shared" si="20"/>
        <v/>
      </c>
      <c r="C697" s="389" t="str">
        <f t="shared" si="21"/>
        <v>janeiro</v>
      </c>
    </row>
    <row r="698" spans="2:3">
      <c r="B698" s="391" t="str">
        <f t="shared" si="20"/>
        <v/>
      </c>
      <c r="C698" s="389" t="str">
        <f t="shared" si="21"/>
        <v>janeiro</v>
      </c>
    </row>
    <row r="699" spans="2:3">
      <c r="B699" s="391" t="str">
        <f t="shared" si="20"/>
        <v/>
      </c>
      <c r="C699" s="389" t="str">
        <f t="shared" si="21"/>
        <v>janeiro</v>
      </c>
    </row>
    <row r="700" spans="2:3">
      <c r="B700" s="391" t="str">
        <f t="shared" si="20"/>
        <v/>
      </c>
      <c r="C700" s="389" t="str">
        <f t="shared" si="21"/>
        <v>janeiro</v>
      </c>
    </row>
    <row r="701" spans="2:3">
      <c r="B701" s="391" t="str">
        <f t="shared" si="20"/>
        <v/>
      </c>
      <c r="C701" s="389" t="str">
        <f t="shared" si="21"/>
        <v>janeiro</v>
      </c>
    </row>
    <row r="702" spans="2:3">
      <c r="B702" s="391" t="str">
        <f t="shared" si="20"/>
        <v/>
      </c>
      <c r="C702" s="389" t="str">
        <f t="shared" si="21"/>
        <v>janeiro</v>
      </c>
    </row>
    <row r="703" spans="2:3">
      <c r="B703" s="391" t="str">
        <f t="shared" si="20"/>
        <v/>
      </c>
      <c r="C703" s="389" t="str">
        <f t="shared" si="21"/>
        <v>janeiro</v>
      </c>
    </row>
    <row r="704" spans="2:3">
      <c r="B704" s="391" t="str">
        <f t="shared" si="20"/>
        <v/>
      </c>
      <c r="C704" s="389" t="str">
        <f t="shared" si="21"/>
        <v>janeiro</v>
      </c>
    </row>
    <row r="705" spans="2:3">
      <c r="B705" s="391" t="str">
        <f t="shared" si="20"/>
        <v/>
      </c>
      <c r="C705" s="389" t="str">
        <f t="shared" si="21"/>
        <v>janeiro</v>
      </c>
    </row>
    <row r="706" spans="2:3">
      <c r="B706" s="391" t="str">
        <f t="shared" si="20"/>
        <v/>
      </c>
      <c r="C706" s="389" t="str">
        <f t="shared" si="21"/>
        <v>janeiro</v>
      </c>
    </row>
    <row r="707" spans="2:3">
      <c r="B707" s="391" t="str">
        <f t="shared" ref="B707:B770" si="22">IF(LEFT(A707,1)="E",A707,LEFT(A707,13))</f>
        <v/>
      </c>
      <c r="C707" s="389" t="str">
        <f t="shared" ref="C707:C770" si="23">TEXT(E707,"mmmm")</f>
        <v>janeiro</v>
      </c>
    </row>
    <row r="708" spans="2:3">
      <c r="B708" s="391" t="str">
        <f t="shared" si="22"/>
        <v/>
      </c>
      <c r="C708" s="389" t="str">
        <f t="shared" si="23"/>
        <v>janeiro</v>
      </c>
    </row>
    <row r="709" spans="2:3">
      <c r="B709" s="391" t="str">
        <f t="shared" si="22"/>
        <v/>
      </c>
      <c r="C709" s="389" t="str">
        <f t="shared" si="23"/>
        <v>janeiro</v>
      </c>
    </row>
    <row r="710" spans="2:3">
      <c r="B710" s="391" t="str">
        <f t="shared" si="22"/>
        <v/>
      </c>
      <c r="C710" s="389" t="str">
        <f t="shared" si="23"/>
        <v>janeiro</v>
      </c>
    </row>
    <row r="711" spans="2:3">
      <c r="B711" s="391" t="str">
        <f t="shared" si="22"/>
        <v/>
      </c>
      <c r="C711" s="389" t="str">
        <f t="shared" si="23"/>
        <v>janeiro</v>
      </c>
    </row>
    <row r="712" spans="2:3">
      <c r="B712" s="391" t="str">
        <f t="shared" si="22"/>
        <v/>
      </c>
      <c r="C712" s="389" t="str">
        <f t="shared" si="23"/>
        <v>janeiro</v>
      </c>
    </row>
    <row r="713" spans="2:3">
      <c r="B713" s="391" t="str">
        <f t="shared" si="22"/>
        <v/>
      </c>
      <c r="C713" s="389" t="str">
        <f t="shared" si="23"/>
        <v>janeiro</v>
      </c>
    </row>
    <row r="714" spans="2:3">
      <c r="B714" s="391" t="str">
        <f t="shared" si="22"/>
        <v/>
      </c>
      <c r="C714" s="389" t="str">
        <f t="shared" si="23"/>
        <v>janeiro</v>
      </c>
    </row>
    <row r="715" spans="2:3">
      <c r="B715" s="391" t="str">
        <f t="shared" si="22"/>
        <v/>
      </c>
      <c r="C715" s="389" t="str">
        <f t="shared" si="23"/>
        <v>janeiro</v>
      </c>
    </row>
    <row r="716" spans="2:3">
      <c r="B716" s="391" t="str">
        <f t="shared" si="22"/>
        <v/>
      </c>
      <c r="C716" s="389" t="str">
        <f t="shared" si="23"/>
        <v>janeiro</v>
      </c>
    </row>
    <row r="717" spans="2:3">
      <c r="B717" s="391" t="str">
        <f t="shared" si="22"/>
        <v/>
      </c>
      <c r="C717" s="389" t="str">
        <f t="shared" si="23"/>
        <v>janeiro</v>
      </c>
    </row>
    <row r="718" spans="2:3">
      <c r="B718" s="391" t="str">
        <f t="shared" si="22"/>
        <v/>
      </c>
      <c r="C718" s="389" t="str">
        <f t="shared" si="23"/>
        <v>janeiro</v>
      </c>
    </row>
    <row r="719" spans="2:3">
      <c r="B719" s="391" t="str">
        <f t="shared" si="22"/>
        <v/>
      </c>
      <c r="C719" s="389" t="str">
        <f t="shared" si="23"/>
        <v>janeiro</v>
      </c>
    </row>
    <row r="720" spans="2:3">
      <c r="B720" s="391" t="str">
        <f t="shared" si="22"/>
        <v/>
      </c>
      <c r="C720" s="389" t="str">
        <f t="shared" si="23"/>
        <v>janeiro</v>
      </c>
    </row>
    <row r="721" spans="2:3">
      <c r="B721" s="391" t="str">
        <f t="shared" si="22"/>
        <v/>
      </c>
      <c r="C721" s="389" t="str">
        <f t="shared" si="23"/>
        <v>janeiro</v>
      </c>
    </row>
    <row r="722" spans="2:3">
      <c r="B722" s="391" t="str">
        <f t="shared" si="22"/>
        <v/>
      </c>
      <c r="C722" s="389" t="str">
        <f t="shared" si="23"/>
        <v>janeiro</v>
      </c>
    </row>
    <row r="723" spans="2:3">
      <c r="B723" s="391" t="str">
        <f t="shared" si="22"/>
        <v/>
      </c>
      <c r="C723" s="389" t="str">
        <f t="shared" si="23"/>
        <v>janeiro</v>
      </c>
    </row>
    <row r="724" spans="2:3">
      <c r="B724" s="391" t="str">
        <f t="shared" si="22"/>
        <v/>
      </c>
      <c r="C724" s="389" t="str">
        <f t="shared" si="23"/>
        <v>janeiro</v>
      </c>
    </row>
    <row r="725" spans="2:3">
      <c r="B725" s="391" t="str">
        <f t="shared" si="22"/>
        <v/>
      </c>
      <c r="C725" s="389" t="str">
        <f t="shared" si="23"/>
        <v>janeiro</v>
      </c>
    </row>
    <row r="726" spans="2:3">
      <c r="B726" s="391" t="str">
        <f t="shared" si="22"/>
        <v/>
      </c>
      <c r="C726" s="389" t="str">
        <f t="shared" si="23"/>
        <v>janeiro</v>
      </c>
    </row>
    <row r="727" spans="2:3">
      <c r="B727" s="391" t="str">
        <f t="shared" si="22"/>
        <v/>
      </c>
      <c r="C727" s="389" t="str">
        <f t="shared" si="23"/>
        <v>janeiro</v>
      </c>
    </row>
    <row r="728" spans="2:3">
      <c r="B728" s="391" t="str">
        <f t="shared" si="22"/>
        <v/>
      </c>
      <c r="C728" s="389" t="str">
        <f t="shared" si="23"/>
        <v>janeiro</v>
      </c>
    </row>
    <row r="729" spans="2:3">
      <c r="B729" s="391" t="str">
        <f t="shared" si="22"/>
        <v/>
      </c>
      <c r="C729" s="389" t="str">
        <f t="shared" si="23"/>
        <v>janeiro</v>
      </c>
    </row>
    <row r="730" spans="2:3">
      <c r="B730" s="391" t="str">
        <f t="shared" si="22"/>
        <v/>
      </c>
      <c r="C730" s="389" t="str">
        <f t="shared" si="23"/>
        <v>janeiro</v>
      </c>
    </row>
    <row r="731" spans="2:3">
      <c r="B731" s="391" t="str">
        <f t="shared" si="22"/>
        <v/>
      </c>
      <c r="C731" s="389" t="str">
        <f t="shared" si="23"/>
        <v>janeiro</v>
      </c>
    </row>
    <row r="732" spans="2:3">
      <c r="B732" s="391" t="str">
        <f t="shared" si="22"/>
        <v/>
      </c>
      <c r="C732" s="389" t="str">
        <f t="shared" si="23"/>
        <v>janeiro</v>
      </c>
    </row>
    <row r="733" spans="2:3">
      <c r="B733" s="391" t="str">
        <f t="shared" si="22"/>
        <v/>
      </c>
      <c r="C733" s="389" t="str">
        <f t="shared" si="23"/>
        <v>janeiro</v>
      </c>
    </row>
    <row r="734" spans="2:3">
      <c r="B734" s="391" t="str">
        <f t="shared" si="22"/>
        <v/>
      </c>
      <c r="C734" s="389" t="str">
        <f t="shared" si="23"/>
        <v>janeiro</v>
      </c>
    </row>
    <row r="735" spans="2:3">
      <c r="B735" s="391" t="str">
        <f t="shared" si="22"/>
        <v/>
      </c>
      <c r="C735" s="389" t="str">
        <f t="shared" si="23"/>
        <v>janeiro</v>
      </c>
    </row>
    <row r="736" spans="2:3">
      <c r="B736" s="391" t="str">
        <f t="shared" si="22"/>
        <v/>
      </c>
      <c r="C736" s="389" t="str">
        <f t="shared" si="23"/>
        <v>janeiro</v>
      </c>
    </row>
    <row r="737" spans="2:3">
      <c r="B737" s="391" t="str">
        <f t="shared" si="22"/>
        <v/>
      </c>
      <c r="C737" s="389" t="str">
        <f t="shared" si="23"/>
        <v>janeiro</v>
      </c>
    </row>
    <row r="738" spans="2:3">
      <c r="B738" s="391" t="str">
        <f t="shared" si="22"/>
        <v/>
      </c>
      <c r="C738" s="389" t="str">
        <f t="shared" si="23"/>
        <v>janeiro</v>
      </c>
    </row>
    <row r="739" spans="2:3">
      <c r="B739" s="391" t="str">
        <f t="shared" si="22"/>
        <v/>
      </c>
      <c r="C739" s="389" t="str">
        <f t="shared" si="23"/>
        <v>janeiro</v>
      </c>
    </row>
    <row r="740" spans="2:3">
      <c r="B740" s="391" t="str">
        <f t="shared" si="22"/>
        <v/>
      </c>
      <c r="C740" s="389" t="str">
        <f t="shared" si="23"/>
        <v>janeiro</v>
      </c>
    </row>
    <row r="741" spans="2:3">
      <c r="B741" s="391" t="str">
        <f t="shared" si="22"/>
        <v/>
      </c>
      <c r="C741" s="389" t="str">
        <f t="shared" si="23"/>
        <v>janeiro</v>
      </c>
    </row>
    <row r="742" spans="2:3">
      <c r="B742" s="391" t="str">
        <f t="shared" si="22"/>
        <v/>
      </c>
      <c r="C742" s="389" t="str">
        <f t="shared" si="23"/>
        <v>janeiro</v>
      </c>
    </row>
    <row r="743" spans="2:3">
      <c r="B743" s="391" t="str">
        <f t="shared" si="22"/>
        <v/>
      </c>
      <c r="C743" s="389" t="str">
        <f t="shared" si="23"/>
        <v>janeiro</v>
      </c>
    </row>
    <row r="744" spans="2:3">
      <c r="B744" s="391" t="str">
        <f t="shared" si="22"/>
        <v/>
      </c>
      <c r="C744" s="389" t="str">
        <f t="shared" si="23"/>
        <v>janeiro</v>
      </c>
    </row>
    <row r="745" spans="2:3">
      <c r="B745" s="391" t="str">
        <f t="shared" si="22"/>
        <v/>
      </c>
      <c r="C745" s="389" t="str">
        <f t="shared" si="23"/>
        <v>janeiro</v>
      </c>
    </row>
    <row r="746" spans="2:3">
      <c r="B746" s="391" t="str">
        <f t="shared" si="22"/>
        <v/>
      </c>
      <c r="C746" s="389" t="str">
        <f t="shared" si="23"/>
        <v>janeiro</v>
      </c>
    </row>
    <row r="747" spans="2:3">
      <c r="B747" s="391" t="str">
        <f t="shared" si="22"/>
        <v/>
      </c>
      <c r="C747" s="389" t="str">
        <f t="shared" si="23"/>
        <v>janeiro</v>
      </c>
    </row>
    <row r="748" spans="2:3">
      <c r="B748" s="391" t="str">
        <f t="shared" si="22"/>
        <v/>
      </c>
      <c r="C748" s="389" t="str">
        <f t="shared" si="23"/>
        <v>janeiro</v>
      </c>
    </row>
    <row r="749" spans="2:3">
      <c r="B749" s="391" t="str">
        <f t="shared" si="22"/>
        <v/>
      </c>
      <c r="C749" s="389" t="str">
        <f t="shared" si="23"/>
        <v>janeiro</v>
      </c>
    </row>
    <row r="750" spans="2:3">
      <c r="B750" s="391" t="str">
        <f t="shared" si="22"/>
        <v/>
      </c>
      <c r="C750" s="389" t="str">
        <f t="shared" si="23"/>
        <v>janeiro</v>
      </c>
    </row>
    <row r="751" spans="2:3">
      <c r="B751" s="391" t="str">
        <f t="shared" si="22"/>
        <v/>
      </c>
      <c r="C751" s="389" t="str">
        <f t="shared" si="23"/>
        <v>janeiro</v>
      </c>
    </row>
    <row r="752" spans="2:3">
      <c r="B752" s="391" t="str">
        <f t="shared" si="22"/>
        <v/>
      </c>
      <c r="C752" s="389" t="str">
        <f t="shared" si="23"/>
        <v>janeiro</v>
      </c>
    </row>
    <row r="753" spans="2:3">
      <c r="B753" s="391" t="str">
        <f t="shared" si="22"/>
        <v/>
      </c>
      <c r="C753" s="389" t="str">
        <f t="shared" si="23"/>
        <v>janeiro</v>
      </c>
    </row>
    <row r="754" spans="2:3">
      <c r="B754" s="391" t="str">
        <f t="shared" si="22"/>
        <v/>
      </c>
      <c r="C754" s="389" t="str">
        <f t="shared" si="23"/>
        <v>janeiro</v>
      </c>
    </row>
    <row r="755" spans="2:3">
      <c r="B755" s="391" t="str">
        <f t="shared" si="22"/>
        <v/>
      </c>
      <c r="C755" s="389" t="str">
        <f t="shared" si="23"/>
        <v>janeiro</v>
      </c>
    </row>
    <row r="756" spans="2:3">
      <c r="B756" s="391" t="str">
        <f t="shared" si="22"/>
        <v/>
      </c>
      <c r="C756" s="389" t="str">
        <f t="shared" si="23"/>
        <v>janeiro</v>
      </c>
    </row>
    <row r="757" spans="2:3">
      <c r="B757" s="391" t="str">
        <f t="shared" si="22"/>
        <v/>
      </c>
      <c r="C757" s="389" t="str">
        <f t="shared" si="23"/>
        <v>janeiro</v>
      </c>
    </row>
    <row r="758" spans="2:3">
      <c r="B758" s="391" t="str">
        <f t="shared" si="22"/>
        <v/>
      </c>
      <c r="C758" s="389" t="str">
        <f t="shared" si="23"/>
        <v>janeiro</v>
      </c>
    </row>
    <row r="759" spans="2:3">
      <c r="B759" s="391" t="str">
        <f t="shared" si="22"/>
        <v/>
      </c>
      <c r="C759" s="389" t="str">
        <f t="shared" si="23"/>
        <v>janeiro</v>
      </c>
    </row>
    <row r="760" spans="2:3">
      <c r="B760" s="391" t="str">
        <f t="shared" si="22"/>
        <v/>
      </c>
      <c r="C760" s="389" t="str">
        <f t="shared" si="23"/>
        <v>janeiro</v>
      </c>
    </row>
    <row r="761" spans="2:3">
      <c r="B761" s="391" t="str">
        <f t="shared" si="22"/>
        <v/>
      </c>
      <c r="C761" s="389" t="str">
        <f t="shared" si="23"/>
        <v>janeiro</v>
      </c>
    </row>
    <row r="762" spans="2:3">
      <c r="B762" s="391" t="str">
        <f t="shared" si="22"/>
        <v/>
      </c>
      <c r="C762" s="389" t="str">
        <f t="shared" si="23"/>
        <v>janeiro</v>
      </c>
    </row>
    <row r="763" spans="2:3">
      <c r="B763" s="391" t="str">
        <f t="shared" si="22"/>
        <v/>
      </c>
      <c r="C763" s="389" t="str">
        <f t="shared" si="23"/>
        <v>janeiro</v>
      </c>
    </row>
    <row r="764" spans="2:3">
      <c r="B764" s="391" t="str">
        <f t="shared" si="22"/>
        <v/>
      </c>
      <c r="C764" s="389" t="str">
        <f t="shared" si="23"/>
        <v>janeiro</v>
      </c>
    </row>
    <row r="765" spans="2:3">
      <c r="B765" s="391" t="str">
        <f t="shared" si="22"/>
        <v/>
      </c>
      <c r="C765" s="389" t="str">
        <f t="shared" si="23"/>
        <v>janeiro</v>
      </c>
    </row>
    <row r="766" spans="2:3">
      <c r="B766" s="391" t="str">
        <f t="shared" si="22"/>
        <v/>
      </c>
      <c r="C766" s="389" t="str">
        <f t="shared" si="23"/>
        <v>janeiro</v>
      </c>
    </row>
    <row r="767" spans="2:3">
      <c r="B767" s="391" t="str">
        <f t="shared" si="22"/>
        <v/>
      </c>
      <c r="C767" s="389" t="str">
        <f t="shared" si="23"/>
        <v>janeiro</v>
      </c>
    </row>
    <row r="768" spans="2:3">
      <c r="B768" s="391" t="str">
        <f t="shared" si="22"/>
        <v/>
      </c>
      <c r="C768" s="389" t="str">
        <f t="shared" si="23"/>
        <v>janeiro</v>
      </c>
    </row>
    <row r="769" spans="2:3">
      <c r="B769" s="391" t="str">
        <f t="shared" si="22"/>
        <v/>
      </c>
      <c r="C769" s="389" t="str">
        <f t="shared" si="23"/>
        <v>janeiro</v>
      </c>
    </row>
    <row r="770" spans="2:3">
      <c r="B770" s="391" t="str">
        <f t="shared" si="22"/>
        <v/>
      </c>
      <c r="C770" s="389" t="str">
        <f t="shared" si="23"/>
        <v>janeiro</v>
      </c>
    </row>
    <row r="771" spans="2:3">
      <c r="B771" s="391" t="str">
        <f t="shared" ref="B771:B834" si="24">IF(LEFT(A771,1)="E",A771,LEFT(A771,13))</f>
        <v/>
      </c>
      <c r="C771" s="389" t="str">
        <f t="shared" ref="C771:C834" si="25">TEXT(E771,"mmmm")</f>
        <v>janeiro</v>
      </c>
    </row>
    <row r="772" spans="2:3">
      <c r="B772" s="391" t="str">
        <f t="shared" si="24"/>
        <v/>
      </c>
      <c r="C772" s="389" t="str">
        <f t="shared" si="25"/>
        <v>janeiro</v>
      </c>
    </row>
    <row r="773" spans="2:3">
      <c r="B773" s="391" t="str">
        <f t="shared" si="24"/>
        <v/>
      </c>
      <c r="C773" s="389" t="str">
        <f t="shared" si="25"/>
        <v>janeiro</v>
      </c>
    </row>
    <row r="774" spans="2:3">
      <c r="B774" s="391" t="str">
        <f t="shared" si="24"/>
        <v/>
      </c>
      <c r="C774" s="389" t="str">
        <f t="shared" si="25"/>
        <v>janeiro</v>
      </c>
    </row>
    <row r="775" spans="2:3">
      <c r="B775" s="391" t="str">
        <f t="shared" si="24"/>
        <v/>
      </c>
      <c r="C775" s="389" t="str">
        <f t="shared" si="25"/>
        <v>janeiro</v>
      </c>
    </row>
    <row r="776" spans="2:3">
      <c r="B776" s="391" t="str">
        <f t="shared" si="24"/>
        <v/>
      </c>
      <c r="C776" s="389" t="str">
        <f t="shared" si="25"/>
        <v>janeiro</v>
      </c>
    </row>
    <row r="777" spans="2:3">
      <c r="B777" s="391" t="str">
        <f t="shared" si="24"/>
        <v/>
      </c>
      <c r="C777" s="389" t="str">
        <f t="shared" si="25"/>
        <v>janeiro</v>
      </c>
    </row>
    <row r="778" spans="2:3">
      <c r="B778" s="391" t="str">
        <f t="shared" si="24"/>
        <v/>
      </c>
      <c r="C778" s="389" t="str">
        <f t="shared" si="25"/>
        <v>janeiro</v>
      </c>
    </row>
    <row r="779" spans="2:3">
      <c r="B779" s="391" t="str">
        <f t="shared" si="24"/>
        <v/>
      </c>
      <c r="C779" s="389" t="str">
        <f t="shared" si="25"/>
        <v>janeiro</v>
      </c>
    </row>
    <row r="780" spans="2:3">
      <c r="B780" s="391" t="str">
        <f t="shared" si="24"/>
        <v/>
      </c>
      <c r="C780" s="389" t="str">
        <f t="shared" si="25"/>
        <v>janeiro</v>
      </c>
    </row>
    <row r="781" spans="2:3">
      <c r="B781" s="391" t="str">
        <f t="shared" si="24"/>
        <v/>
      </c>
      <c r="C781" s="389" t="str">
        <f t="shared" si="25"/>
        <v>janeiro</v>
      </c>
    </row>
    <row r="782" spans="2:3">
      <c r="B782" s="391" t="str">
        <f t="shared" si="24"/>
        <v/>
      </c>
      <c r="C782" s="389" t="str">
        <f t="shared" si="25"/>
        <v>janeiro</v>
      </c>
    </row>
    <row r="783" spans="2:3">
      <c r="B783" s="391" t="str">
        <f t="shared" si="24"/>
        <v/>
      </c>
      <c r="C783" s="389" t="str">
        <f t="shared" si="25"/>
        <v>janeiro</v>
      </c>
    </row>
    <row r="784" spans="2:3">
      <c r="B784" s="391" t="str">
        <f t="shared" si="24"/>
        <v/>
      </c>
      <c r="C784" s="389" t="str">
        <f t="shared" si="25"/>
        <v>janeiro</v>
      </c>
    </row>
    <row r="785" spans="2:3">
      <c r="B785" s="391" t="str">
        <f t="shared" si="24"/>
        <v/>
      </c>
      <c r="C785" s="389" t="str">
        <f t="shared" si="25"/>
        <v>janeiro</v>
      </c>
    </row>
    <row r="786" spans="2:3">
      <c r="B786" s="391" t="str">
        <f t="shared" si="24"/>
        <v/>
      </c>
      <c r="C786" s="389" t="str">
        <f t="shared" si="25"/>
        <v>janeiro</v>
      </c>
    </row>
    <row r="787" spans="2:3">
      <c r="B787" s="391" t="str">
        <f t="shared" si="24"/>
        <v/>
      </c>
      <c r="C787" s="389" t="str">
        <f t="shared" si="25"/>
        <v>janeiro</v>
      </c>
    </row>
    <row r="788" spans="2:3">
      <c r="B788" s="391" t="str">
        <f t="shared" si="24"/>
        <v/>
      </c>
      <c r="C788" s="389" t="str">
        <f t="shared" si="25"/>
        <v>janeiro</v>
      </c>
    </row>
    <row r="789" spans="2:3">
      <c r="B789" s="391" t="str">
        <f t="shared" si="24"/>
        <v/>
      </c>
      <c r="C789" s="389" t="str">
        <f t="shared" si="25"/>
        <v>janeiro</v>
      </c>
    </row>
    <row r="790" spans="2:3">
      <c r="B790" s="391" t="str">
        <f t="shared" si="24"/>
        <v/>
      </c>
      <c r="C790" s="389" t="str">
        <f t="shared" si="25"/>
        <v>janeiro</v>
      </c>
    </row>
    <row r="791" spans="2:3">
      <c r="B791" s="391" t="str">
        <f t="shared" si="24"/>
        <v/>
      </c>
      <c r="C791" s="389" t="str">
        <f t="shared" si="25"/>
        <v>janeiro</v>
      </c>
    </row>
    <row r="792" spans="2:3">
      <c r="B792" s="391" t="str">
        <f t="shared" si="24"/>
        <v/>
      </c>
      <c r="C792" s="389" t="str">
        <f t="shared" si="25"/>
        <v>janeiro</v>
      </c>
    </row>
    <row r="793" spans="2:3">
      <c r="B793" s="391" t="str">
        <f t="shared" si="24"/>
        <v/>
      </c>
      <c r="C793" s="389" t="str">
        <f t="shared" si="25"/>
        <v>janeiro</v>
      </c>
    </row>
    <row r="794" spans="2:3">
      <c r="B794" s="391" t="str">
        <f t="shared" si="24"/>
        <v/>
      </c>
      <c r="C794" s="389" t="str">
        <f t="shared" si="25"/>
        <v>janeiro</v>
      </c>
    </row>
    <row r="795" spans="2:3">
      <c r="B795" s="391" t="str">
        <f t="shared" si="24"/>
        <v/>
      </c>
      <c r="C795" s="389" t="str">
        <f t="shared" si="25"/>
        <v>janeiro</v>
      </c>
    </row>
    <row r="796" spans="2:3">
      <c r="B796" s="391" t="str">
        <f t="shared" si="24"/>
        <v/>
      </c>
      <c r="C796" s="389" t="str">
        <f t="shared" si="25"/>
        <v>janeiro</v>
      </c>
    </row>
    <row r="797" spans="2:3">
      <c r="B797" s="391" t="str">
        <f t="shared" si="24"/>
        <v/>
      </c>
      <c r="C797" s="389" t="str">
        <f t="shared" si="25"/>
        <v>janeiro</v>
      </c>
    </row>
    <row r="798" spans="2:3">
      <c r="B798" s="391" t="str">
        <f t="shared" si="24"/>
        <v/>
      </c>
      <c r="C798" s="389" t="str">
        <f t="shared" si="25"/>
        <v>janeiro</v>
      </c>
    </row>
    <row r="799" spans="2:3">
      <c r="B799" s="391" t="str">
        <f t="shared" si="24"/>
        <v/>
      </c>
      <c r="C799" s="389" t="str">
        <f t="shared" si="25"/>
        <v>janeiro</v>
      </c>
    </row>
    <row r="800" spans="2:3">
      <c r="B800" s="391" t="str">
        <f t="shared" si="24"/>
        <v/>
      </c>
      <c r="C800" s="389" t="str">
        <f t="shared" si="25"/>
        <v>janeiro</v>
      </c>
    </row>
    <row r="801" spans="2:3">
      <c r="B801" s="391" t="str">
        <f t="shared" si="24"/>
        <v/>
      </c>
      <c r="C801" s="389" t="str">
        <f t="shared" si="25"/>
        <v>janeiro</v>
      </c>
    </row>
    <row r="802" spans="2:3">
      <c r="B802" s="391" t="str">
        <f t="shared" si="24"/>
        <v/>
      </c>
      <c r="C802" s="389" t="str">
        <f t="shared" si="25"/>
        <v>janeiro</v>
      </c>
    </row>
    <row r="803" spans="2:3">
      <c r="B803" s="391" t="str">
        <f t="shared" si="24"/>
        <v/>
      </c>
      <c r="C803" s="389" t="str">
        <f t="shared" si="25"/>
        <v>janeiro</v>
      </c>
    </row>
    <row r="804" spans="2:3">
      <c r="B804" s="391" t="str">
        <f t="shared" si="24"/>
        <v/>
      </c>
      <c r="C804" s="389" t="str">
        <f t="shared" si="25"/>
        <v>janeiro</v>
      </c>
    </row>
    <row r="805" spans="2:3">
      <c r="B805" s="391" t="str">
        <f t="shared" si="24"/>
        <v/>
      </c>
      <c r="C805" s="389" t="str">
        <f t="shared" si="25"/>
        <v>janeiro</v>
      </c>
    </row>
    <row r="806" spans="2:3">
      <c r="B806" s="391" t="str">
        <f t="shared" si="24"/>
        <v/>
      </c>
      <c r="C806" s="389" t="str">
        <f t="shared" si="25"/>
        <v>janeiro</v>
      </c>
    </row>
    <row r="807" spans="2:3">
      <c r="B807" s="391" t="str">
        <f t="shared" si="24"/>
        <v/>
      </c>
      <c r="C807" s="389" t="str">
        <f t="shared" si="25"/>
        <v>janeiro</v>
      </c>
    </row>
    <row r="808" spans="2:3">
      <c r="B808" s="391" t="str">
        <f t="shared" si="24"/>
        <v/>
      </c>
      <c r="C808" s="389" t="str">
        <f t="shared" si="25"/>
        <v>janeiro</v>
      </c>
    </row>
    <row r="809" spans="2:3">
      <c r="B809" s="391" t="str">
        <f t="shared" si="24"/>
        <v/>
      </c>
      <c r="C809" s="389" t="str">
        <f t="shared" si="25"/>
        <v>janeiro</v>
      </c>
    </row>
    <row r="810" spans="2:3">
      <c r="B810" s="391" t="str">
        <f t="shared" si="24"/>
        <v/>
      </c>
      <c r="C810" s="389" t="str">
        <f t="shared" si="25"/>
        <v>janeiro</v>
      </c>
    </row>
    <row r="811" spans="2:3">
      <c r="B811" s="391" t="str">
        <f t="shared" si="24"/>
        <v/>
      </c>
      <c r="C811" s="389" t="str">
        <f t="shared" si="25"/>
        <v>janeiro</v>
      </c>
    </row>
    <row r="812" spans="2:3">
      <c r="B812" s="391" t="str">
        <f t="shared" si="24"/>
        <v/>
      </c>
      <c r="C812" s="389" t="str">
        <f t="shared" si="25"/>
        <v>janeiro</v>
      </c>
    </row>
    <row r="813" spans="2:3">
      <c r="B813" s="391" t="str">
        <f t="shared" si="24"/>
        <v/>
      </c>
      <c r="C813" s="389" t="str">
        <f t="shared" si="25"/>
        <v>janeiro</v>
      </c>
    </row>
    <row r="814" spans="2:3">
      <c r="B814" s="391" t="str">
        <f t="shared" si="24"/>
        <v/>
      </c>
      <c r="C814" s="389" t="str">
        <f t="shared" si="25"/>
        <v>janeiro</v>
      </c>
    </row>
    <row r="815" spans="2:3">
      <c r="B815" s="391" t="str">
        <f t="shared" si="24"/>
        <v/>
      </c>
      <c r="C815" s="389" t="str">
        <f t="shared" si="25"/>
        <v>janeiro</v>
      </c>
    </row>
    <row r="816" spans="2:3">
      <c r="B816" s="391" t="str">
        <f t="shared" si="24"/>
        <v/>
      </c>
      <c r="C816" s="389" t="str">
        <f t="shared" si="25"/>
        <v>janeiro</v>
      </c>
    </row>
    <row r="817" spans="2:3">
      <c r="B817" s="391" t="str">
        <f t="shared" si="24"/>
        <v/>
      </c>
      <c r="C817" s="389" t="str">
        <f t="shared" si="25"/>
        <v>janeiro</v>
      </c>
    </row>
    <row r="818" spans="2:3">
      <c r="B818" s="391" t="str">
        <f t="shared" si="24"/>
        <v/>
      </c>
      <c r="C818" s="389" t="str">
        <f t="shared" si="25"/>
        <v>janeiro</v>
      </c>
    </row>
    <row r="819" spans="2:3">
      <c r="B819" s="391" t="str">
        <f t="shared" si="24"/>
        <v/>
      </c>
      <c r="C819" s="389" t="str">
        <f t="shared" si="25"/>
        <v>janeiro</v>
      </c>
    </row>
    <row r="820" spans="2:3">
      <c r="B820" s="391" t="str">
        <f t="shared" si="24"/>
        <v/>
      </c>
      <c r="C820" s="389" t="str">
        <f t="shared" si="25"/>
        <v>janeiro</v>
      </c>
    </row>
    <row r="821" spans="2:3">
      <c r="B821" s="391" t="str">
        <f t="shared" si="24"/>
        <v/>
      </c>
      <c r="C821" s="389" t="str">
        <f t="shared" si="25"/>
        <v>janeiro</v>
      </c>
    </row>
    <row r="822" spans="2:3">
      <c r="B822" s="391" t="str">
        <f t="shared" si="24"/>
        <v/>
      </c>
      <c r="C822" s="389" t="str">
        <f t="shared" si="25"/>
        <v>janeiro</v>
      </c>
    </row>
    <row r="823" spans="2:3">
      <c r="B823" s="391" t="str">
        <f t="shared" si="24"/>
        <v/>
      </c>
      <c r="C823" s="389" t="str">
        <f t="shared" si="25"/>
        <v>janeiro</v>
      </c>
    </row>
    <row r="824" spans="2:3">
      <c r="B824" s="391" t="str">
        <f t="shared" si="24"/>
        <v/>
      </c>
      <c r="C824" s="389" t="str">
        <f t="shared" si="25"/>
        <v>janeiro</v>
      </c>
    </row>
    <row r="825" spans="2:3">
      <c r="B825" s="391" t="str">
        <f t="shared" si="24"/>
        <v/>
      </c>
      <c r="C825" s="389" t="str">
        <f t="shared" si="25"/>
        <v>janeiro</v>
      </c>
    </row>
    <row r="826" spans="2:3">
      <c r="B826" s="391" t="str">
        <f t="shared" si="24"/>
        <v/>
      </c>
      <c r="C826" s="389" t="str">
        <f t="shared" si="25"/>
        <v>janeiro</v>
      </c>
    </row>
    <row r="827" spans="2:3">
      <c r="B827" s="391" t="str">
        <f t="shared" si="24"/>
        <v/>
      </c>
      <c r="C827" s="389" t="str">
        <f t="shared" si="25"/>
        <v>janeiro</v>
      </c>
    </row>
    <row r="828" spans="2:3">
      <c r="B828" s="391" t="str">
        <f t="shared" si="24"/>
        <v/>
      </c>
      <c r="C828" s="389" t="str">
        <f t="shared" si="25"/>
        <v>janeiro</v>
      </c>
    </row>
    <row r="829" spans="2:3">
      <c r="B829" s="391" t="str">
        <f t="shared" si="24"/>
        <v/>
      </c>
      <c r="C829" s="389" t="str">
        <f t="shared" si="25"/>
        <v>janeiro</v>
      </c>
    </row>
    <row r="830" spans="2:3">
      <c r="B830" s="391" t="str">
        <f t="shared" si="24"/>
        <v/>
      </c>
      <c r="C830" s="389" t="str">
        <f t="shared" si="25"/>
        <v>janeiro</v>
      </c>
    </row>
    <row r="831" spans="2:3">
      <c r="B831" s="391" t="str">
        <f t="shared" si="24"/>
        <v/>
      </c>
      <c r="C831" s="389" t="str">
        <f t="shared" si="25"/>
        <v>janeiro</v>
      </c>
    </row>
    <row r="832" spans="2:3">
      <c r="B832" s="391" t="str">
        <f t="shared" si="24"/>
        <v/>
      </c>
      <c r="C832" s="389" t="str">
        <f t="shared" si="25"/>
        <v>janeiro</v>
      </c>
    </row>
    <row r="833" spans="2:3">
      <c r="B833" s="391" t="str">
        <f t="shared" si="24"/>
        <v/>
      </c>
      <c r="C833" s="389" t="str">
        <f t="shared" si="25"/>
        <v>janeiro</v>
      </c>
    </row>
    <row r="834" spans="2:3">
      <c r="B834" s="391" t="str">
        <f t="shared" si="24"/>
        <v/>
      </c>
      <c r="C834" s="389" t="str">
        <f t="shared" si="25"/>
        <v>janeiro</v>
      </c>
    </row>
    <row r="835" spans="2:3">
      <c r="B835" s="391" t="str">
        <f t="shared" ref="B835:B898" si="26">IF(LEFT(A835,1)="E",A835,LEFT(A835,13))</f>
        <v/>
      </c>
      <c r="C835" s="389" t="str">
        <f t="shared" ref="C835:C898" si="27">TEXT(E835,"mmmm")</f>
        <v>janeiro</v>
      </c>
    </row>
    <row r="836" spans="2:3">
      <c r="B836" s="391" t="str">
        <f t="shared" si="26"/>
        <v/>
      </c>
      <c r="C836" s="389" t="str">
        <f t="shared" si="27"/>
        <v>janeiro</v>
      </c>
    </row>
    <row r="837" spans="2:3">
      <c r="B837" s="391" t="str">
        <f t="shared" si="26"/>
        <v/>
      </c>
      <c r="C837" s="389" t="str">
        <f t="shared" si="27"/>
        <v>janeiro</v>
      </c>
    </row>
    <row r="838" spans="2:3">
      <c r="B838" s="391" t="str">
        <f t="shared" si="26"/>
        <v/>
      </c>
      <c r="C838" s="389" t="str">
        <f t="shared" si="27"/>
        <v>janeiro</v>
      </c>
    </row>
    <row r="839" spans="2:3">
      <c r="B839" s="391" t="str">
        <f t="shared" si="26"/>
        <v/>
      </c>
      <c r="C839" s="389" t="str">
        <f t="shared" si="27"/>
        <v>janeiro</v>
      </c>
    </row>
    <row r="840" spans="2:3">
      <c r="B840" s="391" t="str">
        <f t="shared" si="26"/>
        <v/>
      </c>
      <c r="C840" s="389" t="str">
        <f t="shared" si="27"/>
        <v>janeiro</v>
      </c>
    </row>
    <row r="841" spans="2:3">
      <c r="B841" s="391" t="str">
        <f t="shared" si="26"/>
        <v/>
      </c>
      <c r="C841" s="389" t="str">
        <f t="shared" si="27"/>
        <v>janeiro</v>
      </c>
    </row>
    <row r="842" spans="2:3">
      <c r="B842" s="391" t="str">
        <f t="shared" si="26"/>
        <v/>
      </c>
      <c r="C842" s="389" t="str">
        <f t="shared" si="27"/>
        <v>janeiro</v>
      </c>
    </row>
    <row r="843" spans="2:3">
      <c r="B843" s="391" t="str">
        <f t="shared" si="26"/>
        <v/>
      </c>
      <c r="C843" s="389" t="str">
        <f t="shared" si="27"/>
        <v>janeiro</v>
      </c>
    </row>
    <row r="844" spans="2:3">
      <c r="B844" s="391" t="str">
        <f t="shared" si="26"/>
        <v/>
      </c>
      <c r="C844" s="389" t="str">
        <f t="shared" si="27"/>
        <v>janeiro</v>
      </c>
    </row>
    <row r="845" spans="2:3">
      <c r="B845" s="391" t="str">
        <f t="shared" si="26"/>
        <v/>
      </c>
      <c r="C845" s="389" t="str">
        <f t="shared" si="27"/>
        <v>janeiro</v>
      </c>
    </row>
    <row r="846" spans="2:3">
      <c r="B846" s="391" t="str">
        <f t="shared" si="26"/>
        <v/>
      </c>
      <c r="C846" s="389" t="str">
        <f t="shared" si="27"/>
        <v>janeiro</v>
      </c>
    </row>
    <row r="847" spans="2:3">
      <c r="B847" s="391" t="str">
        <f t="shared" si="26"/>
        <v/>
      </c>
      <c r="C847" s="389" t="str">
        <f t="shared" si="27"/>
        <v>janeiro</v>
      </c>
    </row>
    <row r="848" spans="2:3">
      <c r="B848" s="391" t="str">
        <f t="shared" si="26"/>
        <v/>
      </c>
      <c r="C848" s="389" t="str">
        <f t="shared" si="27"/>
        <v>janeiro</v>
      </c>
    </row>
    <row r="849" spans="2:3">
      <c r="B849" s="391" t="str">
        <f t="shared" si="26"/>
        <v/>
      </c>
      <c r="C849" s="389" t="str">
        <f t="shared" si="27"/>
        <v>janeiro</v>
      </c>
    </row>
    <row r="850" spans="2:3">
      <c r="B850" s="391" t="str">
        <f t="shared" si="26"/>
        <v/>
      </c>
      <c r="C850" s="389" t="str">
        <f t="shared" si="27"/>
        <v>janeiro</v>
      </c>
    </row>
    <row r="851" spans="2:3">
      <c r="B851" s="391" t="str">
        <f t="shared" si="26"/>
        <v/>
      </c>
      <c r="C851" s="389" t="str">
        <f t="shared" si="27"/>
        <v>janeiro</v>
      </c>
    </row>
    <row r="852" spans="2:3">
      <c r="B852" s="391" t="str">
        <f t="shared" si="26"/>
        <v/>
      </c>
      <c r="C852" s="389" t="str">
        <f t="shared" si="27"/>
        <v>janeiro</v>
      </c>
    </row>
    <row r="853" spans="2:3">
      <c r="B853" s="391" t="str">
        <f t="shared" si="26"/>
        <v/>
      </c>
      <c r="C853" s="389" t="str">
        <f t="shared" si="27"/>
        <v>janeiro</v>
      </c>
    </row>
    <row r="854" spans="2:3">
      <c r="B854" s="391" t="str">
        <f t="shared" si="26"/>
        <v/>
      </c>
      <c r="C854" s="389" t="str">
        <f t="shared" si="27"/>
        <v>janeiro</v>
      </c>
    </row>
    <row r="855" spans="2:3">
      <c r="B855" s="391" t="str">
        <f t="shared" si="26"/>
        <v/>
      </c>
      <c r="C855" s="389" t="str">
        <f t="shared" si="27"/>
        <v>janeiro</v>
      </c>
    </row>
    <row r="856" spans="2:3">
      <c r="B856" s="391" t="str">
        <f t="shared" si="26"/>
        <v/>
      </c>
      <c r="C856" s="389" t="str">
        <f t="shared" si="27"/>
        <v>janeiro</v>
      </c>
    </row>
    <row r="857" spans="2:3">
      <c r="B857" s="391" t="str">
        <f t="shared" si="26"/>
        <v/>
      </c>
      <c r="C857" s="389" t="str">
        <f t="shared" si="27"/>
        <v>janeiro</v>
      </c>
    </row>
    <row r="858" spans="2:3">
      <c r="B858" s="391" t="str">
        <f t="shared" si="26"/>
        <v/>
      </c>
      <c r="C858" s="389" t="str">
        <f t="shared" si="27"/>
        <v>janeiro</v>
      </c>
    </row>
    <row r="859" spans="2:3">
      <c r="B859" s="391" t="str">
        <f t="shared" si="26"/>
        <v/>
      </c>
      <c r="C859" s="389" t="str">
        <f t="shared" si="27"/>
        <v>janeiro</v>
      </c>
    </row>
    <row r="860" spans="2:3">
      <c r="B860" s="391" t="str">
        <f t="shared" si="26"/>
        <v/>
      </c>
      <c r="C860" s="389" t="str">
        <f t="shared" si="27"/>
        <v>janeiro</v>
      </c>
    </row>
    <row r="861" spans="2:3">
      <c r="B861" s="391" t="str">
        <f t="shared" si="26"/>
        <v/>
      </c>
      <c r="C861" s="389" t="str">
        <f t="shared" si="27"/>
        <v>janeiro</v>
      </c>
    </row>
    <row r="862" spans="2:3">
      <c r="B862" s="391" t="str">
        <f t="shared" si="26"/>
        <v/>
      </c>
      <c r="C862" s="389" t="str">
        <f t="shared" si="27"/>
        <v>janeiro</v>
      </c>
    </row>
    <row r="863" spans="2:3">
      <c r="B863" s="391" t="str">
        <f t="shared" si="26"/>
        <v/>
      </c>
      <c r="C863" s="389" t="str">
        <f t="shared" si="27"/>
        <v>janeiro</v>
      </c>
    </row>
    <row r="864" spans="2:3">
      <c r="B864" s="391" t="str">
        <f t="shared" si="26"/>
        <v/>
      </c>
      <c r="C864" s="389" t="str">
        <f t="shared" si="27"/>
        <v>janeiro</v>
      </c>
    </row>
    <row r="865" spans="2:3">
      <c r="B865" s="391" t="str">
        <f t="shared" si="26"/>
        <v/>
      </c>
      <c r="C865" s="389" t="str">
        <f t="shared" si="27"/>
        <v>janeiro</v>
      </c>
    </row>
    <row r="866" spans="2:3">
      <c r="B866" s="391" t="str">
        <f t="shared" si="26"/>
        <v/>
      </c>
      <c r="C866" s="389" t="str">
        <f t="shared" si="27"/>
        <v>janeiro</v>
      </c>
    </row>
    <row r="867" spans="2:3">
      <c r="B867" s="391" t="str">
        <f t="shared" si="26"/>
        <v/>
      </c>
      <c r="C867" s="389" t="str">
        <f t="shared" si="27"/>
        <v>janeiro</v>
      </c>
    </row>
    <row r="868" spans="2:3">
      <c r="B868" s="391" t="str">
        <f t="shared" si="26"/>
        <v/>
      </c>
      <c r="C868" s="389" t="str">
        <f t="shared" si="27"/>
        <v>janeiro</v>
      </c>
    </row>
    <row r="869" spans="2:3">
      <c r="B869" s="391" t="str">
        <f t="shared" si="26"/>
        <v/>
      </c>
      <c r="C869" s="389" t="str">
        <f t="shared" si="27"/>
        <v>janeiro</v>
      </c>
    </row>
    <row r="870" spans="2:3">
      <c r="B870" s="391" t="str">
        <f t="shared" si="26"/>
        <v/>
      </c>
      <c r="C870" s="389" t="str">
        <f t="shared" si="27"/>
        <v>janeiro</v>
      </c>
    </row>
    <row r="871" spans="2:3">
      <c r="B871" s="391" t="str">
        <f t="shared" si="26"/>
        <v/>
      </c>
      <c r="C871" s="389" t="str">
        <f t="shared" si="27"/>
        <v>janeiro</v>
      </c>
    </row>
    <row r="872" spans="2:3">
      <c r="B872" s="391" t="str">
        <f t="shared" si="26"/>
        <v/>
      </c>
      <c r="C872" s="389" t="str">
        <f t="shared" si="27"/>
        <v>janeiro</v>
      </c>
    </row>
    <row r="873" spans="2:3">
      <c r="B873" s="391" t="str">
        <f t="shared" si="26"/>
        <v/>
      </c>
      <c r="C873" s="389" t="str">
        <f t="shared" si="27"/>
        <v>janeiro</v>
      </c>
    </row>
    <row r="874" spans="2:3">
      <c r="B874" s="391" t="str">
        <f t="shared" si="26"/>
        <v/>
      </c>
      <c r="C874" s="389" t="str">
        <f t="shared" si="27"/>
        <v>janeiro</v>
      </c>
    </row>
    <row r="875" spans="2:3">
      <c r="B875" s="391" t="str">
        <f t="shared" si="26"/>
        <v/>
      </c>
      <c r="C875" s="389" t="str">
        <f t="shared" si="27"/>
        <v>janeiro</v>
      </c>
    </row>
    <row r="876" spans="2:3">
      <c r="B876" s="391" t="str">
        <f t="shared" si="26"/>
        <v/>
      </c>
      <c r="C876" s="389" t="str">
        <f t="shared" si="27"/>
        <v>janeiro</v>
      </c>
    </row>
    <row r="877" spans="2:3">
      <c r="B877" s="391" t="str">
        <f t="shared" si="26"/>
        <v/>
      </c>
      <c r="C877" s="389" t="str">
        <f t="shared" si="27"/>
        <v>janeiro</v>
      </c>
    </row>
    <row r="878" spans="2:3">
      <c r="B878" s="391" t="str">
        <f t="shared" si="26"/>
        <v/>
      </c>
      <c r="C878" s="389" t="str">
        <f t="shared" si="27"/>
        <v>janeiro</v>
      </c>
    </row>
    <row r="879" spans="2:3">
      <c r="B879" s="391" t="str">
        <f t="shared" si="26"/>
        <v/>
      </c>
      <c r="C879" s="389" t="str">
        <f t="shared" si="27"/>
        <v>janeiro</v>
      </c>
    </row>
    <row r="880" spans="2:3">
      <c r="B880" s="391" t="str">
        <f t="shared" si="26"/>
        <v/>
      </c>
      <c r="C880" s="389" t="str">
        <f t="shared" si="27"/>
        <v>janeiro</v>
      </c>
    </row>
    <row r="881" spans="2:3">
      <c r="B881" s="391" t="str">
        <f t="shared" si="26"/>
        <v/>
      </c>
      <c r="C881" s="389" t="str">
        <f t="shared" si="27"/>
        <v>janeiro</v>
      </c>
    </row>
    <row r="882" spans="2:3">
      <c r="B882" s="391" t="str">
        <f t="shared" si="26"/>
        <v/>
      </c>
      <c r="C882" s="389" t="str">
        <f t="shared" si="27"/>
        <v>janeiro</v>
      </c>
    </row>
    <row r="883" spans="2:3">
      <c r="B883" s="391" t="str">
        <f t="shared" si="26"/>
        <v/>
      </c>
      <c r="C883" s="389" t="str">
        <f t="shared" si="27"/>
        <v>janeiro</v>
      </c>
    </row>
    <row r="884" spans="2:3">
      <c r="B884" s="391" t="str">
        <f t="shared" si="26"/>
        <v/>
      </c>
      <c r="C884" s="389" t="str">
        <f t="shared" si="27"/>
        <v>janeiro</v>
      </c>
    </row>
    <row r="885" spans="2:3">
      <c r="B885" s="391" t="str">
        <f t="shared" si="26"/>
        <v/>
      </c>
      <c r="C885" s="389" t="str">
        <f t="shared" si="27"/>
        <v>janeiro</v>
      </c>
    </row>
    <row r="886" spans="2:3">
      <c r="B886" s="391" t="str">
        <f t="shared" si="26"/>
        <v/>
      </c>
      <c r="C886" s="389" t="str">
        <f t="shared" si="27"/>
        <v>janeiro</v>
      </c>
    </row>
    <row r="887" spans="2:3">
      <c r="B887" s="391" t="str">
        <f t="shared" si="26"/>
        <v/>
      </c>
      <c r="C887" s="389" t="str">
        <f t="shared" si="27"/>
        <v>janeiro</v>
      </c>
    </row>
    <row r="888" spans="2:3">
      <c r="B888" s="391" t="str">
        <f t="shared" si="26"/>
        <v/>
      </c>
      <c r="C888" s="389" t="str">
        <f t="shared" si="27"/>
        <v>janeiro</v>
      </c>
    </row>
    <row r="889" spans="2:3">
      <c r="B889" s="391" t="str">
        <f t="shared" si="26"/>
        <v/>
      </c>
      <c r="C889" s="389" t="str">
        <f t="shared" si="27"/>
        <v>janeiro</v>
      </c>
    </row>
    <row r="890" spans="2:3">
      <c r="B890" s="391" t="str">
        <f t="shared" si="26"/>
        <v/>
      </c>
      <c r="C890" s="389" t="str">
        <f t="shared" si="27"/>
        <v>janeiro</v>
      </c>
    </row>
    <row r="891" spans="2:3">
      <c r="B891" s="391" t="str">
        <f t="shared" si="26"/>
        <v/>
      </c>
      <c r="C891" s="389" t="str">
        <f t="shared" si="27"/>
        <v>janeiro</v>
      </c>
    </row>
    <row r="892" spans="2:3">
      <c r="B892" s="391" t="str">
        <f t="shared" si="26"/>
        <v/>
      </c>
      <c r="C892" s="389" t="str">
        <f t="shared" si="27"/>
        <v>janeiro</v>
      </c>
    </row>
    <row r="893" spans="2:3">
      <c r="B893" s="391" t="str">
        <f t="shared" si="26"/>
        <v/>
      </c>
      <c r="C893" s="389" t="str">
        <f t="shared" si="27"/>
        <v>janeiro</v>
      </c>
    </row>
    <row r="894" spans="2:3">
      <c r="B894" s="391" t="str">
        <f t="shared" si="26"/>
        <v/>
      </c>
      <c r="C894" s="389" t="str">
        <f t="shared" si="27"/>
        <v>janeiro</v>
      </c>
    </row>
    <row r="895" spans="2:3">
      <c r="B895" s="391" t="str">
        <f t="shared" si="26"/>
        <v/>
      </c>
      <c r="C895" s="389" t="str">
        <f t="shared" si="27"/>
        <v>janeiro</v>
      </c>
    </row>
    <row r="896" spans="2:3">
      <c r="B896" s="391" t="str">
        <f t="shared" si="26"/>
        <v/>
      </c>
      <c r="C896" s="389" t="str">
        <f t="shared" si="27"/>
        <v>janeiro</v>
      </c>
    </row>
    <row r="897" spans="2:3">
      <c r="B897" s="391" t="str">
        <f t="shared" si="26"/>
        <v/>
      </c>
      <c r="C897" s="389" t="str">
        <f t="shared" si="27"/>
        <v>janeiro</v>
      </c>
    </row>
    <row r="898" spans="2:3">
      <c r="B898" s="391" t="str">
        <f t="shared" si="26"/>
        <v/>
      </c>
      <c r="C898" s="389" t="str">
        <f t="shared" si="27"/>
        <v>janeiro</v>
      </c>
    </row>
    <row r="899" spans="2:3">
      <c r="B899" s="391" t="str">
        <f t="shared" ref="B899:B962" si="28">IF(LEFT(A899,1)="E",A899,LEFT(A899,13))</f>
        <v/>
      </c>
      <c r="C899" s="389" t="str">
        <f t="shared" ref="C899:C962" si="29">TEXT(E899,"mmmm")</f>
        <v>janeiro</v>
      </c>
    </row>
    <row r="900" spans="2:3">
      <c r="B900" s="391" t="str">
        <f t="shared" si="28"/>
        <v/>
      </c>
      <c r="C900" s="389" t="str">
        <f t="shared" si="29"/>
        <v>janeiro</v>
      </c>
    </row>
    <row r="901" spans="2:3">
      <c r="B901" s="391" t="str">
        <f t="shared" si="28"/>
        <v/>
      </c>
      <c r="C901" s="389" t="str">
        <f t="shared" si="29"/>
        <v>janeiro</v>
      </c>
    </row>
    <row r="902" spans="2:3">
      <c r="B902" s="391" t="str">
        <f t="shared" si="28"/>
        <v/>
      </c>
      <c r="C902" s="389" t="str">
        <f t="shared" si="29"/>
        <v>janeiro</v>
      </c>
    </row>
    <row r="903" spans="2:3">
      <c r="B903" s="391" t="str">
        <f t="shared" si="28"/>
        <v/>
      </c>
      <c r="C903" s="389" t="str">
        <f t="shared" si="29"/>
        <v>janeiro</v>
      </c>
    </row>
    <row r="904" spans="2:3">
      <c r="B904" s="391" t="str">
        <f t="shared" si="28"/>
        <v/>
      </c>
      <c r="C904" s="389" t="str">
        <f t="shared" si="29"/>
        <v>janeiro</v>
      </c>
    </row>
    <row r="905" spans="2:3">
      <c r="B905" s="391" t="str">
        <f t="shared" si="28"/>
        <v/>
      </c>
      <c r="C905" s="389" t="str">
        <f t="shared" si="29"/>
        <v>janeiro</v>
      </c>
    </row>
    <row r="906" spans="2:3">
      <c r="B906" s="391" t="str">
        <f t="shared" si="28"/>
        <v/>
      </c>
      <c r="C906" s="389" t="str">
        <f t="shared" si="29"/>
        <v>janeiro</v>
      </c>
    </row>
    <row r="907" spans="2:3">
      <c r="B907" s="391" t="str">
        <f t="shared" si="28"/>
        <v/>
      </c>
      <c r="C907" s="389" t="str">
        <f t="shared" si="29"/>
        <v>janeiro</v>
      </c>
    </row>
    <row r="908" spans="2:3">
      <c r="B908" s="391" t="str">
        <f t="shared" si="28"/>
        <v/>
      </c>
      <c r="C908" s="389" t="str">
        <f t="shared" si="29"/>
        <v>janeiro</v>
      </c>
    </row>
    <row r="909" spans="2:3">
      <c r="B909" s="391" t="str">
        <f t="shared" si="28"/>
        <v/>
      </c>
      <c r="C909" s="389" t="str">
        <f t="shared" si="29"/>
        <v>janeiro</v>
      </c>
    </row>
    <row r="910" spans="2:3">
      <c r="B910" s="391" t="str">
        <f t="shared" si="28"/>
        <v/>
      </c>
      <c r="C910" s="389" t="str">
        <f t="shared" si="29"/>
        <v>janeiro</v>
      </c>
    </row>
    <row r="911" spans="2:3">
      <c r="B911" s="391" t="str">
        <f t="shared" si="28"/>
        <v/>
      </c>
      <c r="C911" s="389" t="str">
        <f t="shared" si="29"/>
        <v>janeiro</v>
      </c>
    </row>
    <row r="912" spans="2:3">
      <c r="B912" s="391" t="str">
        <f t="shared" si="28"/>
        <v/>
      </c>
      <c r="C912" s="389" t="str">
        <f t="shared" si="29"/>
        <v>janeiro</v>
      </c>
    </row>
    <row r="913" spans="2:3">
      <c r="B913" s="391" t="str">
        <f t="shared" si="28"/>
        <v/>
      </c>
      <c r="C913" s="389" t="str">
        <f t="shared" si="29"/>
        <v>janeiro</v>
      </c>
    </row>
    <row r="914" spans="2:3">
      <c r="B914" s="391" t="str">
        <f t="shared" si="28"/>
        <v/>
      </c>
      <c r="C914" s="389" t="str">
        <f t="shared" si="29"/>
        <v>janeiro</v>
      </c>
    </row>
    <row r="915" spans="2:3">
      <c r="B915" s="391" t="str">
        <f t="shared" si="28"/>
        <v/>
      </c>
      <c r="C915" s="389" t="str">
        <f t="shared" si="29"/>
        <v>janeiro</v>
      </c>
    </row>
    <row r="916" spans="2:3">
      <c r="B916" s="391" t="str">
        <f t="shared" si="28"/>
        <v/>
      </c>
      <c r="C916" s="389" t="str">
        <f t="shared" si="29"/>
        <v>janeiro</v>
      </c>
    </row>
    <row r="917" spans="2:3">
      <c r="B917" s="391" t="str">
        <f t="shared" si="28"/>
        <v/>
      </c>
      <c r="C917" s="389" t="str">
        <f t="shared" si="29"/>
        <v>janeiro</v>
      </c>
    </row>
    <row r="918" spans="2:3">
      <c r="B918" s="391" t="str">
        <f t="shared" si="28"/>
        <v/>
      </c>
      <c r="C918" s="389" t="str">
        <f t="shared" si="29"/>
        <v>janeiro</v>
      </c>
    </row>
    <row r="919" spans="2:3">
      <c r="B919" s="391" t="str">
        <f t="shared" si="28"/>
        <v/>
      </c>
      <c r="C919" s="389" t="str">
        <f t="shared" si="29"/>
        <v>janeiro</v>
      </c>
    </row>
    <row r="920" spans="2:3">
      <c r="B920" s="391" t="str">
        <f t="shared" si="28"/>
        <v/>
      </c>
      <c r="C920" s="389" t="str">
        <f t="shared" si="29"/>
        <v>janeiro</v>
      </c>
    </row>
    <row r="921" spans="2:3">
      <c r="B921" s="391" t="str">
        <f t="shared" si="28"/>
        <v/>
      </c>
      <c r="C921" s="389" t="str">
        <f t="shared" si="29"/>
        <v>janeiro</v>
      </c>
    </row>
    <row r="922" spans="2:3">
      <c r="B922" s="391" t="str">
        <f t="shared" si="28"/>
        <v/>
      </c>
      <c r="C922" s="389" t="str">
        <f t="shared" si="29"/>
        <v>janeiro</v>
      </c>
    </row>
    <row r="923" spans="2:3">
      <c r="B923" s="391" t="str">
        <f t="shared" si="28"/>
        <v/>
      </c>
      <c r="C923" s="389" t="str">
        <f t="shared" si="29"/>
        <v>janeiro</v>
      </c>
    </row>
    <row r="924" spans="2:3">
      <c r="B924" s="391" t="str">
        <f t="shared" si="28"/>
        <v/>
      </c>
      <c r="C924" s="389" t="str">
        <f t="shared" si="29"/>
        <v>janeiro</v>
      </c>
    </row>
    <row r="925" spans="2:3">
      <c r="B925" s="391" t="str">
        <f t="shared" si="28"/>
        <v/>
      </c>
      <c r="C925" s="389" t="str">
        <f t="shared" si="29"/>
        <v>janeiro</v>
      </c>
    </row>
    <row r="926" spans="2:3">
      <c r="B926" s="391" t="str">
        <f t="shared" si="28"/>
        <v/>
      </c>
      <c r="C926" s="389" t="str">
        <f t="shared" si="29"/>
        <v>janeiro</v>
      </c>
    </row>
    <row r="927" spans="2:3">
      <c r="B927" s="391" t="str">
        <f t="shared" si="28"/>
        <v/>
      </c>
      <c r="C927" s="389" t="str">
        <f t="shared" si="29"/>
        <v>janeiro</v>
      </c>
    </row>
    <row r="928" spans="2:3">
      <c r="B928" s="391" t="str">
        <f t="shared" si="28"/>
        <v/>
      </c>
      <c r="C928" s="389" t="str">
        <f t="shared" si="29"/>
        <v>janeiro</v>
      </c>
    </row>
    <row r="929" spans="2:3">
      <c r="B929" s="391" t="str">
        <f t="shared" si="28"/>
        <v/>
      </c>
      <c r="C929" s="389" t="str">
        <f t="shared" si="29"/>
        <v>janeiro</v>
      </c>
    </row>
    <row r="930" spans="2:3">
      <c r="B930" s="391" t="str">
        <f t="shared" si="28"/>
        <v/>
      </c>
      <c r="C930" s="389" t="str">
        <f t="shared" si="29"/>
        <v>janeiro</v>
      </c>
    </row>
    <row r="931" spans="2:3">
      <c r="B931" s="391" t="str">
        <f t="shared" si="28"/>
        <v/>
      </c>
      <c r="C931" s="389" t="str">
        <f t="shared" si="29"/>
        <v>janeiro</v>
      </c>
    </row>
    <row r="932" spans="2:3">
      <c r="B932" s="391" t="str">
        <f t="shared" si="28"/>
        <v/>
      </c>
      <c r="C932" s="389" t="str">
        <f t="shared" si="29"/>
        <v>janeiro</v>
      </c>
    </row>
    <row r="933" spans="2:3">
      <c r="B933" s="391" t="str">
        <f t="shared" si="28"/>
        <v/>
      </c>
      <c r="C933" s="389" t="str">
        <f t="shared" si="29"/>
        <v>janeiro</v>
      </c>
    </row>
    <row r="934" spans="2:3">
      <c r="B934" s="391" t="str">
        <f t="shared" si="28"/>
        <v/>
      </c>
      <c r="C934" s="389" t="str">
        <f t="shared" si="29"/>
        <v>janeiro</v>
      </c>
    </row>
    <row r="935" spans="2:3">
      <c r="B935" s="391" t="str">
        <f t="shared" si="28"/>
        <v/>
      </c>
      <c r="C935" s="389" t="str">
        <f t="shared" si="29"/>
        <v>janeiro</v>
      </c>
    </row>
    <row r="936" spans="2:3">
      <c r="B936" s="391" t="str">
        <f t="shared" si="28"/>
        <v/>
      </c>
      <c r="C936" s="389" t="str">
        <f t="shared" si="29"/>
        <v>janeiro</v>
      </c>
    </row>
    <row r="937" spans="2:3">
      <c r="B937" s="391" t="str">
        <f t="shared" si="28"/>
        <v/>
      </c>
      <c r="C937" s="389" t="str">
        <f t="shared" si="29"/>
        <v>janeiro</v>
      </c>
    </row>
    <row r="938" spans="2:3">
      <c r="B938" s="391" t="str">
        <f t="shared" si="28"/>
        <v/>
      </c>
      <c r="C938" s="389" t="str">
        <f t="shared" si="29"/>
        <v>janeiro</v>
      </c>
    </row>
    <row r="939" spans="2:3">
      <c r="B939" s="391" t="str">
        <f t="shared" si="28"/>
        <v/>
      </c>
      <c r="C939" s="389" t="str">
        <f t="shared" si="29"/>
        <v>janeiro</v>
      </c>
    </row>
    <row r="940" spans="2:3">
      <c r="B940" s="391" t="str">
        <f t="shared" si="28"/>
        <v/>
      </c>
      <c r="C940" s="389" t="str">
        <f t="shared" si="29"/>
        <v>janeiro</v>
      </c>
    </row>
    <row r="941" spans="2:3">
      <c r="B941" s="391" t="str">
        <f t="shared" si="28"/>
        <v/>
      </c>
      <c r="C941" s="389" t="str">
        <f t="shared" si="29"/>
        <v>janeiro</v>
      </c>
    </row>
    <row r="942" spans="2:3">
      <c r="B942" s="391" t="str">
        <f t="shared" si="28"/>
        <v/>
      </c>
      <c r="C942" s="389" t="str">
        <f t="shared" si="29"/>
        <v>janeiro</v>
      </c>
    </row>
    <row r="943" spans="2:3">
      <c r="B943" s="391" t="str">
        <f t="shared" si="28"/>
        <v/>
      </c>
      <c r="C943" s="389" t="str">
        <f t="shared" si="29"/>
        <v>janeiro</v>
      </c>
    </row>
    <row r="944" spans="2:3">
      <c r="B944" s="391" t="str">
        <f t="shared" si="28"/>
        <v/>
      </c>
      <c r="C944" s="389" t="str">
        <f t="shared" si="29"/>
        <v>janeiro</v>
      </c>
    </row>
    <row r="945" spans="2:3">
      <c r="B945" s="391" t="str">
        <f t="shared" si="28"/>
        <v/>
      </c>
      <c r="C945" s="389" t="str">
        <f t="shared" si="29"/>
        <v>janeiro</v>
      </c>
    </row>
    <row r="946" spans="2:3">
      <c r="B946" s="391" t="str">
        <f t="shared" si="28"/>
        <v/>
      </c>
      <c r="C946" s="389" t="str">
        <f t="shared" si="29"/>
        <v>janeiro</v>
      </c>
    </row>
    <row r="947" spans="2:3">
      <c r="B947" s="391" t="str">
        <f t="shared" si="28"/>
        <v/>
      </c>
      <c r="C947" s="389" t="str">
        <f t="shared" si="29"/>
        <v>janeiro</v>
      </c>
    </row>
    <row r="948" spans="2:3">
      <c r="B948" s="391" t="str">
        <f t="shared" si="28"/>
        <v/>
      </c>
      <c r="C948" s="389" t="str">
        <f t="shared" si="29"/>
        <v>janeiro</v>
      </c>
    </row>
    <row r="949" spans="2:3">
      <c r="B949" s="391" t="str">
        <f t="shared" si="28"/>
        <v/>
      </c>
      <c r="C949" s="389" t="str">
        <f t="shared" si="29"/>
        <v>janeiro</v>
      </c>
    </row>
    <row r="950" spans="2:3">
      <c r="B950" s="391" t="str">
        <f t="shared" si="28"/>
        <v/>
      </c>
      <c r="C950" s="389" t="str">
        <f t="shared" si="29"/>
        <v>janeiro</v>
      </c>
    </row>
    <row r="951" spans="2:3">
      <c r="B951" s="391" t="str">
        <f t="shared" si="28"/>
        <v/>
      </c>
      <c r="C951" s="389" t="str">
        <f t="shared" si="29"/>
        <v>janeiro</v>
      </c>
    </row>
    <row r="952" spans="2:3">
      <c r="B952" s="391" t="str">
        <f t="shared" si="28"/>
        <v/>
      </c>
      <c r="C952" s="389" t="str">
        <f t="shared" si="29"/>
        <v>janeiro</v>
      </c>
    </row>
    <row r="953" spans="2:3">
      <c r="B953" s="391" t="str">
        <f t="shared" si="28"/>
        <v/>
      </c>
      <c r="C953" s="389" t="str">
        <f t="shared" si="29"/>
        <v>janeiro</v>
      </c>
    </row>
    <row r="954" spans="2:3">
      <c r="B954" s="391" t="str">
        <f t="shared" si="28"/>
        <v/>
      </c>
      <c r="C954" s="389" t="str">
        <f t="shared" si="29"/>
        <v>janeiro</v>
      </c>
    </row>
    <row r="955" spans="2:3">
      <c r="B955" s="391" t="str">
        <f t="shared" si="28"/>
        <v/>
      </c>
      <c r="C955" s="389" t="str">
        <f t="shared" si="29"/>
        <v>janeiro</v>
      </c>
    </row>
    <row r="956" spans="2:3">
      <c r="B956" s="391" t="str">
        <f t="shared" si="28"/>
        <v/>
      </c>
      <c r="C956" s="389" t="str">
        <f t="shared" si="29"/>
        <v>janeiro</v>
      </c>
    </row>
    <row r="957" spans="2:3">
      <c r="B957" s="391" t="str">
        <f t="shared" si="28"/>
        <v/>
      </c>
      <c r="C957" s="389" t="str">
        <f t="shared" si="29"/>
        <v>janeiro</v>
      </c>
    </row>
    <row r="958" spans="2:3">
      <c r="B958" s="391" t="str">
        <f t="shared" si="28"/>
        <v/>
      </c>
      <c r="C958" s="389" t="str">
        <f t="shared" si="29"/>
        <v>janeiro</v>
      </c>
    </row>
    <row r="959" spans="2:3">
      <c r="B959" s="391" t="str">
        <f t="shared" si="28"/>
        <v/>
      </c>
      <c r="C959" s="389" t="str">
        <f t="shared" si="29"/>
        <v>janeiro</v>
      </c>
    </row>
    <row r="960" spans="2:3">
      <c r="B960" s="391" t="str">
        <f t="shared" si="28"/>
        <v/>
      </c>
      <c r="C960" s="389" t="str">
        <f t="shared" si="29"/>
        <v>janeiro</v>
      </c>
    </row>
    <row r="961" spans="2:3">
      <c r="B961" s="391" t="str">
        <f t="shared" si="28"/>
        <v/>
      </c>
      <c r="C961" s="389" t="str">
        <f t="shared" si="29"/>
        <v>janeiro</v>
      </c>
    </row>
    <row r="962" spans="2:3">
      <c r="B962" s="391" t="str">
        <f t="shared" si="28"/>
        <v/>
      </c>
      <c r="C962" s="389" t="str">
        <f t="shared" si="29"/>
        <v>janeiro</v>
      </c>
    </row>
    <row r="963" spans="2:3">
      <c r="B963" s="391" t="str">
        <f t="shared" ref="B963:B1026" si="30">IF(LEFT(A963,1)="E",A963,LEFT(A963,13))</f>
        <v/>
      </c>
      <c r="C963" s="389" t="str">
        <f t="shared" ref="C963:C1026" si="31">TEXT(E963,"mmmm")</f>
        <v>janeiro</v>
      </c>
    </row>
    <row r="964" spans="2:3">
      <c r="B964" s="391" t="str">
        <f t="shared" si="30"/>
        <v/>
      </c>
      <c r="C964" s="389" t="str">
        <f t="shared" si="31"/>
        <v>janeiro</v>
      </c>
    </row>
    <row r="965" spans="2:3">
      <c r="B965" s="391" t="str">
        <f t="shared" si="30"/>
        <v/>
      </c>
      <c r="C965" s="389" t="str">
        <f t="shared" si="31"/>
        <v>janeiro</v>
      </c>
    </row>
    <row r="966" spans="2:3">
      <c r="B966" s="391" t="str">
        <f t="shared" si="30"/>
        <v/>
      </c>
      <c r="C966" s="389" t="str">
        <f t="shared" si="31"/>
        <v>janeiro</v>
      </c>
    </row>
    <row r="967" spans="2:3">
      <c r="B967" s="391" t="str">
        <f t="shared" si="30"/>
        <v/>
      </c>
      <c r="C967" s="389" t="str">
        <f t="shared" si="31"/>
        <v>janeiro</v>
      </c>
    </row>
    <row r="968" spans="2:3">
      <c r="B968" s="391" t="str">
        <f t="shared" si="30"/>
        <v/>
      </c>
      <c r="C968" s="389" t="str">
        <f t="shared" si="31"/>
        <v>janeiro</v>
      </c>
    </row>
    <row r="969" spans="2:3">
      <c r="B969" s="391" t="str">
        <f t="shared" si="30"/>
        <v/>
      </c>
      <c r="C969" s="389" t="str">
        <f t="shared" si="31"/>
        <v>janeiro</v>
      </c>
    </row>
    <row r="970" spans="2:3">
      <c r="B970" s="391" t="str">
        <f t="shared" si="30"/>
        <v/>
      </c>
      <c r="C970" s="389" t="str">
        <f t="shared" si="31"/>
        <v>janeiro</v>
      </c>
    </row>
    <row r="971" spans="2:3">
      <c r="B971" s="391" t="str">
        <f t="shared" si="30"/>
        <v/>
      </c>
      <c r="C971" s="389" t="str">
        <f t="shared" si="31"/>
        <v>janeiro</v>
      </c>
    </row>
    <row r="972" spans="2:3">
      <c r="B972" s="391" t="str">
        <f t="shared" si="30"/>
        <v/>
      </c>
      <c r="C972" s="389" t="str">
        <f t="shared" si="31"/>
        <v>janeiro</v>
      </c>
    </row>
    <row r="973" spans="2:3">
      <c r="B973" s="391" t="str">
        <f t="shared" si="30"/>
        <v/>
      </c>
      <c r="C973" s="389" t="str">
        <f t="shared" si="31"/>
        <v>janeiro</v>
      </c>
    </row>
    <row r="974" spans="2:3">
      <c r="B974" s="391" t="str">
        <f t="shared" si="30"/>
        <v/>
      </c>
      <c r="C974" s="389" t="str">
        <f t="shared" si="31"/>
        <v>janeiro</v>
      </c>
    </row>
    <row r="975" spans="2:3">
      <c r="B975" s="391" t="str">
        <f t="shared" si="30"/>
        <v/>
      </c>
      <c r="C975" s="389" t="str">
        <f t="shared" si="31"/>
        <v>janeiro</v>
      </c>
    </row>
    <row r="976" spans="2:3">
      <c r="B976" s="391" t="str">
        <f t="shared" si="30"/>
        <v/>
      </c>
      <c r="C976" s="389" t="str">
        <f t="shared" si="31"/>
        <v>janeiro</v>
      </c>
    </row>
    <row r="977" spans="2:3">
      <c r="B977" s="391" t="str">
        <f t="shared" si="30"/>
        <v/>
      </c>
      <c r="C977" s="389" t="str">
        <f t="shared" si="31"/>
        <v>janeiro</v>
      </c>
    </row>
    <row r="978" spans="2:3">
      <c r="B978" s="391" t="str">
        <f t="shared" si="30"/>
        <v/>
      </c>
      <c r="C978" s="389" t="str">
        <f t="shared" si="31"/>
        <v>janeiro</v>
      </c>
    </row>
    <row r="979" spans="2:3">
      <c r="B979" s="391" t="str">
        <f t="shared" si="30"/>
        <v/>
      </c>
      <c r="C979" s="389" t="str">
        <f t="shared" si="31"/>
        <v>janeiro</v>
      </c>
    </row>
    <row r="980" spans="2:3">
      <c r="B980" s="391" t="str">
        <f t="shared" si="30"/>
        <v/>
      </c>
      <c r="C980" s="389" t="str">
        <f t="shared" si="31"/>
        <v>janeiro</v>
      </c>
    </row>
    <row r="981" spans="2:3">
      <c r="B981" s="391" t="str">
        <f t="shared" si="30"/>
        <v/>
      </c>
      <c r="C981" s="389" t="str">
        <f t="shared" si="31"/>
        <v>janeiro</v>
      </c>
    </row>
    <row r="982" spans="2:3">
      <c r="B982" s="391" t="str">
        <f t="shared" si="30"/>
        <v/>
      </c>
      <c r="C982" s="389" t="str">
        <f t="shared" si="31"/>
        <v>janeiro</v>
      </c>
    </row>
    <row r="983" spans="2:3">
      <c r="B983" s="391" t="str">
        <f t="shared" si="30"/>
        <v/>
      </c>
      <c r="C983" s="389" t="str">
        <f t="shared" si="31"/>
        <v>janeiro</v>
      </c>
    </row>
    <row r="984" spans="2:3">
      <c r="B984" s="391" t="str">
        <f t="shared" si="30"/>
        <v/>
      </c>
      <c r="C984" s="389" t="str">
        <f t="shared" si="31"/>
        <v>janeiro</v>
      </c>
    </row>
    <row r="985" spans="2:3">
      <c r="B985" s="391" t="str">
        <f t="shared" si="30"/>
        <v/>
      </c>
      <c r="C985" s="389" t="str">
        <f t="shared" si="31"/>
        <v>janeiro</v>
      </c>
    </row>
    <row r="986" spans="2:3">
      <c r="B986" s="391" t="str">
        <f t="shared" si="30"/>
        <v/>
      </c>
      <c r="C986" s="389" t="str">
        <f t="shared" si="31"/>
        <v>janeiro</v>
      </c>
    </row>
    <row r="987" spans="2:3">
      <c r="B987" s="391" t="str">
        <f t="shared" si="30"/>
        <v/>
      </c>
      <c r="C987" s="389" t="str">
        <f t="shared" si="31"/>
        <v>janeiro</v>
      </c>
    </row>
    <row r="988" spans="2:3">
      <c r="B988" s="391" t="str">
        <f t="shared" si="30"/>
        <v/>
      </c>
      <c r="C988" s="389" t="str">
        <f t="shared" si="31"/>
        <v>janeiro</v>
      </c>
    </row>
    <row r="989" spans="2:3">
      <c r="B989" s="391" t="str">
        <f t="shared" si="30"/>
        <v/>
      </c>
      <c r="C989" s="389" t="str">
        <f t="shared" si="31"/>
        <v>janeiro</v>
      </c>
    </row>
    <row r="990" spans="2:3">
      <c r="B990" s="391" t="str">
        <f t="shared" si="30"/>
        <v/>
      </c>
      <c r="C990" s="389" t="str">
        <f t="shared" si="31"/>
        <v>janeiro</v>
      </c>
    </row>
    <row r="991" spans="2:3">
      <c r="B991" s="391" t="str">
        <f t="shared" si="30"/>
        <v/>
      </c>
      <c r="C991" s="389" t="str">
        <f t="shared" si="31"/>
        <v>janeiro</v>
      </c>
    </row>
    <row r="992" spans="2:3">
      <c r="B992" s="391" t="str">
        <f t="shared" si="30"/>
        <v/>
      </c>
      <c r="C992" s="389" t="str">
        <f t="shared" si="31"/>
        <v>janeiro</v>
      </c>
    </row>
    <row r="993" spans="2:3">
      <c r="B993" s="391" t="str">
        <f t="shared" si="30"/>
        <v/>
      </c>
      <c r="C993" s="389" t="str">
        <f t="shared" si="31"/>
        <v>janeiro</v>
      </c>
    </row>
    <row r="994" spans="2:3">
      <c r="B994" s="391" t="str">
        <f t="shared" si="30"/>
        <v/>
      </c>
      <c r="C994" s="389" t="str">
        <f t="shared" si="31"/>
        <v>janeiro</v>
      </c>
    </row>
    <row r="995" spans="2:3">
      <c r="B995" s="391" t="str">
        <f t="shared" si="30"/>
        <v/>
      </c>
      <c r="C995" s="389" t="str">
        <f t="shared" si="31"/>
        <v>janeiro</v>
      </c>
    </row>
    <row r="996" spans="2:3">
      <c r="B996" s="391" t="str">
        <f t="shared" si="30"/>
        <v/>
      </c>
      <c r="C996" s="389" t="str">
        <f t="shared" si="31"/>
        <v>janeiro</v>
      </c>
    </row>
    <row r="997" spans="2:3">
      <c r="B997" s="391" t="str">
        <f t="shared" si="30"/>
        <v/>
      </c>
      <c r="C997" s="389" t="str">
        <f t="shared" si="31"/>
        <v>janeiro</v>
      </c>
    </row>
    <row r="998" spans="2:3">
      <c r="B998" s="391" t="str">
        <f t="shared" si="30"/>
        <v/>
      </c>
      <c r="C998" s="389" t="str">
        <f t="shared" si="31"/>
        <v>janeiro</v>
      </c>
    </row>
    <row r="999" spans="2:3">
      <c r="B999" s="391" t="str">
        <f t="shared" si="30"/>
        <v/>
      </c>
      <c r="C999" s="389" t="str">
        <f t="shared" si="31"/>
        <v>janeiro</v>
      </c>
    </row>
    <row r="1000" spans="2:3">
      <c r="B1000" s="391" t="str">
        <f t="shared" si="30"/>
        <v/>
      </c>
      <c r="C1000" s="389" t="str">
        <f t="shared" si="31"/>
        <v>janeiro</v>
      </c>
    </row>
    <row r="1001" spans="2:3">
      <c r="B1001" s="391" t="str">
        <f t="shared" si="30"/>
        <v/>
      </c>
      <c r="C1001" s="389" t="str">
        <f t="shared" si="31"/>
        <v>janeiro</v>
      </c>
    </row>
    <row r="1002" spans="2:3">
      <c r="B1002" s="391" t="str">
        <f t="shared" si="30"/>
        <v/>
      </c>
      <c r="C1002" s="389" t="str">
        <f t="shared" si="31"/>
        <v>janeiro</v>
      </c>
    </row>
    <row r="1003" spans="2:3">
      <c r="B1003" s="391" t="str">
        <f t="shared" si="30"/>
        <v/>
      </c>
      <c r="C1003" s="389" t="str">
        <f t="shared" si="31"/>
        <v>janeiro</v>
      </c>
    </row>
    <row r="1004" spans="2:3">
      <c r="B1004" s="391" t="str">
        <f t="shared" si="30"/>
        <v/>
      </c>
      <c r="C1004" s="389" t="str">
        <f t="shared" si="31"/>
        <v>janeiro</v>
      </c>
    </row>
    <row r="1005" spans="2:3">
      <c r="B1005" s="391" t="str">
        <f t="shared" si="30"/>
        <v/>
      </c>
      <c r="C1005" s="389" t="str">
        <f t="shared" si="31"/>
        <v>janeiro</v>
      </c>
    </row>
    <row r="1006" spans="2:3">
      <c r="B1006" s="391" t="str">
        <f t="shared" si="30"/>
        <v/>
      </c>
      <c r="C1006" s="389" t="str">
        <f t="shared" si="31"/>
        <v>janeiro</v>
      </c>
    </row>
    <row r="1007" spans="2:3">
      <c r="B1007" s="391" t="str">
        <f t="shared" si="30"/>
        <v/>
      </c>
      <c r="C1007" s="389" t="str">
        <f t="shared" si="31"/>
        <v>janeiro</v>
      </c>
    </row>
    <row r="1008" spans="2:3">
      <c r="B1008" s="391" t="str">
        <f t="shared" si="30"/>
        <v/>
      </c>
      <c r="C1008" s="389" t="str">
        <f t="shared" si="31"/>
        <v>janeiro</v>
      </c>
    </row>
    <row r="1009" spans="2:3">
      <c r="B1009" s="391" t="str">
        <f t="shared" si="30"/>
        <v/>
      </c>
      <c r="C1009" s="389" t="str">
        <f t="shared" si="31"/>
        <v>janeiro</v>
      </c>
    </row>
    <row r="1010" spans="2:3">
      <c r="B1010" s="391" t="str">
        <f t="shared" si="30"/>
        <v/>
      </c>
      <c r="C1010" s="389" t="str">
        <f t="shared" si="31"/>
        <v>janeiro</v>
      </c>
    </row>
    <row r="1011" spans="2:3">
      <c r="B1011" s="391" t="str">
        <f t="shared" si="30"/>
        <v/>
      </c>
      <c r="C1011" s="389" t="str">
        <f t="shared" si="31"/>
        <v>janeiro</v>
      </c>
    </row>
    <row r="1012" spans="2:3">
      <c r="B1012" s="391" t="str">
        <f t="shared" si="30"/>
        <v/>
      </c>
      <c r="C1012" s="389" t="str">
        <f t="shared" si="31"/>
        <v>janeiro</v>
      </c>
    </row>
    <row r="1013" spans="2:3">
      <c r="B1013" s="391" t="str">
        <f t="shared" si="30"/>
        <v/>
      </c>
      <c r="C1013" s="389" t="str">
        <f t="shared" si="31"/>
        <v>janeiro</v>
      </c>
    </row>
    <row r="1014" spans="2:3">
      <c r="B1014" s="391" t="str">
        <f t="shared" si="30"/>
        <v/>
      </c>
      <c r="C1014" s="389" t="str">
        <f t="shared" si="31"/>
        <v>janeiro</v>
      </c>
    </row>
    <row r="1015" spans="2:3">
      <c r="B1015" s="391" t="str">
        <f t="shared" si="30"/>
        <v/>
      </c>
      <c r="C1015" s="389" t="str">
        <f t="shared" si="31"/>
        <v>janeiro</v>
      </c>
    </row>
    <row r="1016" spans="2:3">
      <c r="B1016" s="391" t="str">
        <f t="shared" si="30"/>
        <v/>
      </c>
      <c r="C1016" s="389" t="str">
        <f t="shared" si="31"/>
        <v>janeiro</v>
      </c>
    </row>
    <row r="1017" spans="2:3">
      <c r="B1017" s="391" t="str">
        <f t="shared" si="30"/>
        <v/>
      </c>
      <c r="C1017" s="389" t="str">
        <f t="shared" si="31"/>
        <v>janeiro</v>
      </c>
    </row>
    <row r="1018" spans="2:3">
      <c r="B1018" s="391" t="str">
        <f t="shared" si="30"/>
        <v/>
      </c>
      <c r="C1018" s="389" t="str">
        <f t="shared" si="31"/>
        <v>janeiro</v>
      </c>
    </row>
    <row r="1019" spans="2:3">
      <c r="B1019" s="391" t="str">
        <f t="shared" si="30"/>
        <v/>
      </c>
      <c r="C1019" s="389" t="str">
        <f t="shared" si="31"/>
        <v>janeiro</v>
      </c>
    </row>
    <row r="1020" spans="2:3">
      <c r="B1020" s="391" t="str">
        <f t="shared" si="30"/>
        <v/>
      </c>
      <c r="C1020" s="389" t="str">
        <f t="shared" si="31"/>
        <v>janeiro</v>
      </c>
    </row>
    <row r="1021" spans="2:3">
      <c r="B1021" s="391" t="str">
        <f t="shared" si="30"/>
        <v/>
      </c>
      <c r="C1021" s="389" t="str">
        <f t="shared" si="31"/>
        <v>janeiro</v>
      </c>
    </row>
    <row r="1022" spans="2:3">
      <c r="B1022" s="391" t="str">
        <f t="shared" si="30"/>
        <v/>
      </c>
      <c r="C1022" s="389" t="str">
        <f t="shared" si="31"/>
        <v>janeiro</v>
      </c>
    </row>
    <row r="1023" spans="2:3">
      <c r="B1023" s="391" t="str">
        <f t="shared" si="30"/>
        <v/>
      </c>
      <c r="C1023" s="389" t="str">
        <f t="shared" si="31"/>
        <v>janeiro</v>
      </c>
    </row>
    <row r="1024" spans="2:3">
      <c r="B1024" s="391" t="str">
        <f t="shared" si="30"/>
        <v/>
      </c>
      <c r="C1024" s="389" t="str">
        <f t="shared" si="31"/>
        <v>janeiro</v>
      </c>
    </row>
    <row r="1025" spans="2:3">
      <c r="B1025" s="391" t="str">
        <f t="shared" si="30"/>
        <v/>
      </c>
      <c r="C1025" s="389" t="str">
        <f t="shared" si="31"/>
        <v>janeiro</v>
      </c>
    </row>
    <row r="1026" spans="2:3">
      <c r="B1026" s="391" t="str">
        <f t="shared" si="30"/>
        <v/>
      </c>
      <c r="C1026" s="389" t="str">
        <f t="shared" si="31"/>
        <v>janeiro</v>
      </c>
    </row>
    <row r="1027" spans="2:3">
      <c r="B1027" s="391" t="str">
        <f t="shared" ref="B1027:B1090" si="32">IF(LEFT(A1027,1)="E",A1027,LEFT(A1027,13))</f>
        <v/>
      </c>
      <c r="C1027" s="389" t="str">
        <f t="shared" ref="C1027:C1090" si="33">TEXT(E1027,"mmmm")</f>
        <v>janeiro</v>
      </c>
    </row>
    <row r="1028" spans="2:3">
      <c r="B1028" s="391" t="str">
        <f t="shared" si="32"/>
        <v/>
      </c>
      <c r="C1028" s="389" t="str">
        <f t="shared" si="33"/>
        <v>janeiro</v>
      </c>
    </row>
    <row r="1029" spans="2:3">
      <c r="B1029" s="391" t="str">
        <f t="shared" si="32"/>
        <v/>
      </c>
      <c r="C1029" s="389" t="str">
        <f t="shared" si="33"/>
        <v>janeiro</v>
      </c>
    </row>
    <row r="1030" spans="2:3">
      <c r="B1030" s="391" t="str">
        <f t="shared" si="32"/>
        <v/>
      </c>
      <c r="C1030" s="389" t="str">
        <f t="shared" si="33"/>
        <v>janeiro</v>
      </c>
    </row>
    <row r="1031" spans="2:3">
      <c r="B1031" s="391" t="str">
        <f t="shared" si="32"/>
        <v/>
      </c>
      <c r="C1031" s="389" t="str">
        <f t="shared" si="33"/>
        <v>janeiro</v>
      </c>
    </row>
    <row r="1032" spans="2:3">
      <c r="B1032" s="391" t="str">
        <f t="shared" si="32"/>
        <v/>
      </c>
      <c r="C1032" s="389" t="str">
        <f t="shared" si="33"/>
        <v>janeiro</v>
      </c>
    </row>
    <row r="1033" spans="2:3">
      <c r="B1033" s="391" t="str">
        <f t="shared" si="32"/>
        <v/>
      </c>
      <c r="C1033" s="389" t="str">
        <f t="shared" si="33"/>
        <v>janeiro</v>
      </c>
    </row>
    <row r="1034" spans="2:3">
      <c r="B1034" s="391" t="str">
        <f t="shared" si="32"/>
        <v/>
      </c>
      <c r="C1034" s="389" t="str">
        <f t="shared" si="33"/>
        <v>janeiro</v>
      </c>
    </row>
    <row r="1035" spans="2:3">
      <c r="B1035" s="391" t="str">
        <f t="shared" si="32"/>
        <v/>
      </c>
      <c r="C1035" s="389" t="str">
        <f t="shared" si="33"/>
        <v>janeiro</v>
      </c>
    </row>
    <row r="1036" spans="2:3">
      <c r="B1036" s="391" t="str">
        <f t="shared" si="32"/>
        <v/>
      </c>
      <c r="C1036" s="389" t="str">
        <f t="shared" si="33"/>
        <v>janeiro</v>
      </c>
    </row>
    <row r="1037" spans="2:3">
      <c r="B1037" s="391" t="str">
        <f t="shared" si="32"/>
        <v/>
      </c>
      <c r="C1037" s="389" t="str">
        <f t="shared" si="33"/>
        <v>janeiro</v>
      </c>
    </row>
    <row r="1038" spans="2:3">
      <c r="B1038" s="391" t="str">
        <f t="shared" si="32"/>
        <v/>
      </c>
      <c r="C1038" s="389" t="str">
        <f t="shared" si="33"/>
        <v>janeiro</v>
      </c>
    </row>
    <row r="1039" spans="2:3">
      <c r="B1039" s="391" t="str">
        <f t="shared" si="32"/>
        <v/>
      </c>
      <c r="C1039" s="389" t="str">
        <f t="shared" si="33"/>
        <v>janeiro</v>
      </c>
    </row>
    <row r="1040" spans="2:3">
      <c r="B1040" s="391" t="str">
        <f t="shared" si="32"/>
        <v/>
      </c>
      <c r="C1040" s="389" t="str">
        <f t="shared" si="33"/>
        <v>janeiro</v>
      </c>
    </row>
    <row r="1041" spans="2:3">
      <c r="B1041" s="391" t="str">
        <f t="shared" si="32"/>
        <v/>
      </c>
      <c r="C1041" s="389" t="str">
        <f t="shared" si="33"/>
        <v>janeiro</v>
      </c>
    </row>
    <row r="1042" spans="2:3">
      <c r="B1042" s="391" t="str">
        <f t="shared" si="32"/>
        <v/>
      </c>
      <c r="C1042" s="389" t="str">
        <f t="shared" si="33"/>
        <v>janeiro</v>
      </c>
    </row>
    <row r="1043" spans="2:3">
      <c r="B1043" s="391" t="str">
        <f t="shared" si="32"/>
        <v/>
      </c>
      <c r="C1043" s="389" t="str">
        <f t="shared" si="33"/>
        <v>janeiro</v>
      </c>
    </row>
    <row r="1044" spans="2:3">
      <c r="B1044" s="391" t="str">
        <f t="shared" si="32"/>
        <v/>
      </c>
      <c r="C1044" s="389" t="str">
        <f t="shared" si="33"/>
        <v>janeiro</v>
      </c>
    </row>
    <row r="1045" spans="2:3">
      <c r="B1045" s="391" t="str">
        <f t="shared" si="32"/>
        <v/>
      </c>
      <c r="C1045" s="389" t="str">
        <f t="shared" si="33"/>
        <v>janeiro</v>
      </c>
    </row>
    <row r="1046" spans="2:3">
      <c r="B1046" s="391" t="str">
        <f t="shared" si="32"/>
        <v/>
      </c>
      <c r="C1046" s="389" t="str">
        <f t="shared" si="33"/>
        <v>janeiro</v>
      </c>
    </row>
    <row r="1047" spans="2:3">
      <c r="B1047" s="391" t="str">
        <f t="shared" si="32"/>
        <v/>
      </c>
      <c r="C1047" s="389" t="str">
        <f t="shared" si="33"/>
        <v>janeiro</v>
      </c>
    </row>
    <row r="1048" spans="2:3">
      <c r="B1048" s="391" t="str">
        <f t="shared" si="32"/>
        <v/>
      </c>
      <c r="C1048" s="389" t="str">
        <f t="shared" si="33"/>
        <v>janeiro</v>
      </c>
    </row>
    <row r="1049" spans="2:3">
      <c r="B1049" s="391" t="str">
        <f t="shared" si="32"/>
        <v/>
      </c>
      <c r="C1049" s="389" t="str">
        <f t="shared" si="33"/>
        <v>janeiro</v>
      </c>
    </row>
    <row r="1050" spans="2:3">
      <c r="B1050" s="391" t="str">
        <f t="shared" si="32"/>
        <v/>
      </c>
      <c r="C1050" s="389" t="str">
        <f t="shared" si="33"/>
        <v>janeiro</v>
      </c>
    </row>
    <row r="1051" spans="2:3">
      <c r="B1051" s="391" t="str">
        <f t="shared" si="32"/>
        <v/>
      </c>
      <c r="C1051" s="389" t="str">
        <f t="shared" si="33"/>
        <v>janeiro</v>
      </c>
    </row>
    <row r="1052" spans="2:3">
      <c r="B1052" s="391" t="str">
        <f t="shared" si="32"/>
        <v/>
      </c>
      <c r="C1052" s="389" t="str">
        <f t="shared" si="33"/>
        <v>janeiro</v>
      </c>
    </row>
    <row r="1053" spans="2:3">
      <c r="B1053" s="391" t="str">
        <f t="shared" si="32"/>
        <v/>
      </c>
      <c r="C1053" s="389" t="str">
        <f t="shared" si="33"/>
        <v>janeiro</v>
      </c>
    </row>
    <row r="1054" spans="2:3">
      <c r="B1054" s="391" t="str">
        <f t="shared" si="32"/>
        <v/>
      </c>
      <c r="C1054" s="389" t="str">
        <f t="shared" si="33"/>
        <v>janeiro</v>
      </c>
    </row>
    <row r="1055" spans="2:3">
      <c r="B1055" s="391" t="str">
        <f t="shared" si="32"/>
        <v/>
      </c>
      <c r="C1055" s="389" t="str">
        <f t="shared" si="33"/>
        <v>janeiro</v>
      </c>
    </row>
    <row r="1056" spans="2:3">
      <c r="B1056" s="391" t="str">
        <f t="shared" si="32"/>
        <v/>
      </c>
      <c r="C1056" s="389" t="str">
        <f t="shared" si="33"/>
        <v>janeiro</v>
      </c>
    </row>
    <row r="1057" spans="2:3">
      <c r="B1057" s="391" t="str">
        <f t="shared" si="32"/>
        <v/>
      </c>
      <c r="C1057" s="389" t="str">
        <f t="shared" si="33"/>
        <v>janeiro</v>
      </c>
    </row>
    <row r="1058" spans="2:3">
      <c r="B1058" s="391" t="str">
        <f t="shared" si="32"/>
        <v/>
      </c>
      <c r="C1058" s="389" t="str">
        <f t="shared" si="33"/>
        <v>janeiro</v>
      </c>
    </row>
    <row r="1059" spans="2:3">
      <c r="B1059" s="391" t="str">
        <f t="shared" si="32"/>
        <v/>
      </c>
      <c r="C1059" s="389" t="str">
        <f t="shared" si="33"/>
        <v>janeiro</v>
      </c>
    </row>
    <row r="1060" spans="2:3">
      <c r="B1060" s="391" t="str">
        <f t="shared" si="32"/>
        <v/>
      </c>
      <c r="C1060" s="389" t="str">
        <f t="shared" si="33"/>
        <v>janeiro</v>
      </c>
    </row>
    <row r="1061" spans="2:3">
      <c r="B1061" s="391" t="str">
        <f t="shared" si="32"/>
        <v/>
      </c>
      <c r="C1061" s="389" t="str">
        <f t="shared" si="33"/>
        <v>janeiro</v>
      </c>
    </row>
    <row r="1062" spans="2:3">
      <c r="B1062" s="391" t="str">
        <f t="shared" si="32"/>
        <v/>
      </c>
      <c r="C1062" s="389" t="str">
        <f t="shared" si="33"/>
        <v>janeiro</v>
      </c>
    </row>
    <row r="1063" spans="2:3">
      <c r="B1063" s="391" t="str">
        <f t="shared" si="32"/>
        <v/>
      </c>
      <c r="C1063" s="389" t="str">
        <f t="shared" si="33"/>
        <v>janeiro</v>
      </c>
    </row>
    <row r="1064" spans="2:3">
      <c r="B1064" s="391" t="str">
        <f t="shared" si="32"/>
        <v/>
      </c>
      <c r="C1064" s="389" t="str">
        <f t="shared" si="33"/>
        <v>janeiro</v>
      </c>
    </row>
    <row r="1065" spans="2:3">
      <c r="B1065" s="391" t="str">
        <f t="shared" si="32"/>
        <v/>
      </c>
      <c r="C1065" s="389" t="str">
        <f t="shared" si="33"/>
        <v>janeiro</v>
      </c>
    </row>
    <row r="1066" spans="2:3">
      <c r="B1066" s="391" t="str">
        <f t="shared" si="32"/>
        <v/>
      </c>
      <c r="C1066" s="389" t="str">
        <f t="shared" si="33"/>
        <v>janeiro</v>
      </c>
    </row>
    <row r="1067" spans="2:3">
      <c r="B1067" s="391" t="str">
        <f t="shared" si="32"/>
        <v/>
      </c>
      <c r="C1067" s="389" t="str">
        <f t="shared" si="33"/>
        <v>janeiro</v>
      </c>
    </row>
    <row r="1068" spans="2:3">
      <c r="B1068" s="391" t="str">
        <f t="shared" si="32"/>
        <v/>
      </c>
      <c r="C1068" s="389" t="str">
        <f t="shared" si="33"/>
        <v>janeiro</v>
      </c>
    </row>
    <row r="1069" spans="2:3">
      <c r="B1069" s="391" t="str">
        <f t="shared" si="32"/>
        <v/>
      </c>
      <c r="C1069" s="389" t="str">
        <f t="shared" si="33"/>
        <v>janeiro</v>
      </c>
    </row>
    <row r="1070" spans="2:3">
      <c r="B1070" s="391" t="str">
        <f t="shared" si="32"/>
        <v/>
      </c>
      <c r="C1070" s="389" t="str">
        <f t="shared" si="33"/>
        <v>janeiro</v>
      </c>
    </row>
    <row r="1071" spans="2:3">
      <c r="B1071" s="391" t="str">
        <f t="shared" si="32"/>
        <v/>
      </c>
      <c r="C1071" s="389" t="str">
        <f t="shared" si="33"/>
        <v>janeiro</v>
      </c>
    </row>
    <row r="1072" spans="2:3">
      <c r="B1072" s="391" t="str">
        <f t="shared" si="32"/>
        <v/>
      </c>
      <c r="C1072" s="389" t="str">
        <f t="shared" si="33"/>
        <v>janeiro</v>
      </c>
    </row>
    <row r="1073" spans="2:3">
      <c r="B1073" s="391" t="str">
        <f t="shared" si="32"/>
        <v/>
      </c>
      <c r="C1073" s="389" t="str">
        <f t="shared" si="33"/>
        <v>janeiro</v>
      </c>
    </row>
    <row r="1074" spans="2:3">
      <c r="B1074" s="391" t="str">
        <f t="shared" si="32"/>
        <v/>
      </c>
      <c r="C1074" s="389" t="str">
        <f t="shared" si="33"/>
        <v>janeiro</v>
      </c>
    </row>
    <row r="1075" spans="2:3">
      <c r="B1075" s="391" t="str">
        <f t="shared" si="32"/>
        <v/>
      </c>
      <c r="C1075" s="389" t="str">
        <f t="shared" si="33"/>
        <v>janeiro</v>
      </c>
    </row>
    <row r="1076" spans="2:3">
      <c r="B1076" s="391" t="str">
        <f t="shared" si="32"/>
        <v/>
      </c>
      <c r="C1076" s="389" t="str">
        <f t="shared" si="33"/>
        <v>janeiro</v>
      </c>
    </row>
    <row r="1077" spans="2:3">
      <c r="B1077" s="391" t="str">
        <f t="shared" si="32"/>
        <v/>
      </c>
      <c r="C1077" s="389" t="str">
        <f t="shared" si="33"/>
        <v>janeiro</v>
      </c>
    </row>
    <row r="1078" spans="2:3">
      <c r="B1078" s="391" t="str">
        <f t="shared" si="32"/>
        <v/>
      </c>
      <c r="C1078" s="389" t="str">
        <f t="shared" si="33"/>
        <v>janeiro</v>
      </c>
    </row>
    <row r="1079" spans="2:3">
      <c r="B1079" s="391" t="str">
        <f t="shared" si="32"/>
        <v/>
      </c>
      <c r="C1079" s="389" t="str">
        <f t="shared" si="33"/>
        <v>janeiro</v>
      </c>
    </row>
    <row r="1080" spans="2:3">
      <c r="B1080" s="391" t="str">
        <f t="shared" si="32"/>
        <v/>
      </c>
      <c r="C1080" s="389" t="str">
        <f t="shared" si="33"/>
        <v>janeiro</v>
      </c>
    </row>
    <row r="1081" spans="2:3">
      <c r="B1081" s="391" t="str">
        <f t="shared" si="32"/>
        <v/>
      </c>
      <c r="C1081" s="389" t="str">
        <f t="shared" si="33"/>
        <v>janeiro</v>
      </c>
    </row>
    <row r="1082" spans="2:3">
      <c r="B1082" s="391" t="str">
        <f t="shared" si="32"/>
        <v/>
      </c>
      <c r="C1082" s="389" t="str">
        <f t="shared" si="33"/>
        <v>janeiro</v>
      </c>
    </row>
    <row r="1083" spans="2:3">
      <c r="B1083" s="391" t="str">
        <f t="shared" si="32"/>
        <v/>
      </c>
      <c r="C1083" s="389" t="str">
        <f t="shared" si="33"/>
        <v>janeiro</v>
      </c>
    </row>
    <row r="1084" spans="2:3">
      <c r="B1084" s="391" t="str">
        <f t="shared" si="32"/>
        <v/>
      </c>
      <c r="C1084" s="389" t="str">
        <f t="shared" si="33"/>
        <v>janeiro</v>
      </c>
    </row>
    <row r="1085" spans="2:3">
      <c r="B1085" s="391" t="str">
        <f t="shared" si="32"/>
        <v/>
      </c>
      <c r="C1085" s="389" t="str">
        <f t="shared" si="33"/>
        <v>janeiro</v>
      </c>
    </row>
    <row r="1086" spans="2:3">
      <c r="B1086" s="391" t="str">
        <f t="shared" si="32"/>
        <v/>
      </c>
      <c r="C1086" s="389" t="str">
        <f t="shared" si="33"/>
        <v>janeiro</v>
      </c>
    </row>
    <row r="1087" spans="2:3">
      <c r="B1087" s="391" t="str">
        <f t="shared" si="32"/>
        <v/>
      </c>
      <c r="C1087" s="389" t="str">
        <f t="shared" si="33"/>
        <v>janeiro</v>
      </c>
    </row>
    <row r="1088" spans="2:3">
      <c r="B1088" s="391" t="str">
        <f t="shared" si="32"/>
        <v/>
      </c>
      <c r="C1088" s="389" t="str">
        <f t="shared" si="33"/>
        <v>janeiro</v>
      </c>
    </row>
    <row r="1089" spans="2:3">
      <c r="B1089" s="391" t="str">
        <f t="shared" si="32"/>
        <v/>
      </c>
      <c r="C1089" s="389" t="str">
        <f t="shared" si="33"/>
        <v>janeiro</v>
      </c>
    </row>
    <row r="1090" spans="2:3">
      <c r="B1090" s="391" t="str">
        <f t="shared" si="32"/>
        <v/>
      </c>
      <c r="C1090" s="389" t="str">
        <f t="shared" si="33"/>
        <v>janeiro</v>
      </c>
    </row>
    <row r="1091" spans="2:3">
      <c r="B1091" s="391" t="str">
        <f t="shared" ref="B1091:B1154" si="34">IF(LEFT(A1091,1)="E",A1091,LEFT(A1091,13))</f>
        <v/>
      </c>
      <c r="C1091" s="389" t="str">
        <f t="shared" ref="C1091:C1154" si="35">TEXT(E1091,"mmmm")</f>
        <v>janeiro</v>
      </c>
    </row>
    <row r="1092" spans="2:3">
      <c r="B1092" s="391" t="str">
        <f t="shared" si="34"/>
        <v/>
      </c>
      <c r="C1092" s="389" t="str">
        <f t="shared" si="35"/>
        <v>janeiro</v>
      </c>
    </row>
    <row r="1093" spans="2:3">
      <c r="B1093" s="391" t="str">
        <f t="shared" si="34"/>
        <v/>
      </c>
      <c r="C1093" s="389" t="str">
        <f t="shared" si="35"/>
        <v>janeiro</v>
      </c>
    </row>
    <row r="1094" spans="2:3">
      <c r="B1094" s="391" t="str">
        <f t="shared" si="34"/>
        <v/>
      </c>
      <c r="C1094" s="389" t="str">
        <f t="shared" si="35"/>
        <v>janeiro</v>
      </c>
    </row>
    <row r="1095" spans="2:3">
      <c r="B1095" s="391" t="str">
        <f t="shared" si="34"/>
        <v/>
      </c>
      <c r="C1095" s="389" t="str">
        <f t="shared" si="35"/>
        <v>janeiro</v>
      </c>
    </row>
    <row r="1096" spans="2:3">
      <c r="B1096" s="391" t="str">
        <f t="shared" si="34"/>
        <v/>
      </c>
      <c r="C1096" s="389" t="str">
        <f t="shared" si="35"/>
        <v>janeiro</v>
      </c>
    </row>
    <row r="1097" spans="2:3">
      <c r="B1097" s="391" t="str">
        <f t="shared" si="34"/>
        <v/>
      </c>
      <c r="C1097" s="389" t="str">
        <f t="shared" si="35"/>
        <v>janeiro</v>
      </c>
    </row>
    <row r="1098" spans="2:3">
      <c r="B1098" s="391" t="str">
        <f t="shared" si="34"/>
        <v/>
      </c>
      <c r="C1098" s="389" t="str">
        <f t="shared" si="35"/>
        <v>janeiro</v>
      </c>
    </row>
    <row r="1099" spans="2:3">
      <c r="B1099" s="391" t="str">
        <f t="shared" si="34"/>
        <v/>
      </c>
      <c r="C1099" s="389" t="str">
        <f t="shared" si="35"/>
        <v>janeiro</v>
      </c>
    </row>
    <row r="1100" spans="2:3">
      <c r="B1100" s="391" t="str">
        <f t="shared" si="34"/>
        <v/>
      </c>
      <c r="C1100" s="389" t="str">
        <f t="shared" si="35"/>
        <v>janeiro</v>
      </c>
    </row>
    <row r="1101" spans="2:3">
      <c r="B1101" s="391" t="str">
        <f t="shared" si="34"/>
        <v/>
      </c>
      <c r="C1101" s="389" t="str">
        <f t="shared" si="35"/>
        <v>janeiro</v>
      </c>
    </row>
    <row r="1102" spans="2:3">
      <c r="B1102" s="391" t="str">
        <f t="shared" si="34"/>
        <v/>
      </c>
      <c r="C1102" s="389" t="str">
        <f t="shared" si="35"/>
        <v>janeiro</v>
      </c>
    </row>
    <row r="1103" spans="2:3">
      <c r="B1103" s="391" t="str">
        <f t="shared" si="34"/>
        <v/>
      </c>
      <c r="C1103" s="389" t="str">
        <f t="shared" si="35"/>
        <v>janeiro</v>
      </c>
    </row>
    <row r="1104" spans="2:3">
      <c r="B1104" s="391" t="str">
        <f t="shared" si="34"/>
        <v/>
      </c>
      <c r="C1104" s="389" t="str">
        <f t="shared" si="35"/>
        <v>janeiro</v>
      </c>
    </row>
    <row r="1105" spans="2:3">
      <c r="B1105" s="391" t="str">
        <f t="shared" si="34"/>
        <v/>
      </c>
      <c r="C1105" s="389" t="str">
        <f t="shared" si="35"/>
        <v>janeiro</v>
      </c>
    </row>
    <row r="1106" spans="2:3">
      <c r="B1106" s="391" t="str">
        <f t="shared" si="34"/>
        <v/>
      </c>
      <c r="C1106" s="389" t="str">
        <f t="shared" si="35"/>
        <v>janeiro</v>
      </c>
    </row>
    <row r="1107" spans="2:3">
      <c r="B1107" s="391" t="str">
        <f t="shared" si="34"/>
        <v/>
      </c>
      <c r="C1107" s="389" t="str">
        <f t="shared" si="35"/>
        <v>janeiro</v>
      </c>
    </row>
    <row r="1108" spans="2:3">
      <c r="B1108" s="391" t="str">
        <f t="shared" si="34"/>
        <v/>
      </c>
      <c r="C1108" s="389" t="str">
        <f t="shared" si="35"/>
        <v>janeiro</v>
      </c>
    </row>
    <row r="1109" spans="2:3">
      <c r="B1109" s="391" t="str">
        <f t="shared" si="34"/>
        <v/>
      </c>
      <c r="C1109" s="389" t="str">
        <f t="shared" si="35"/>
        <v>janeiro</v>
      </c>
    </row>
    <row r="1110" spans="2:3">
      <c r="B1110" s="391" t="str">
        <f t="shared" si="34"/>
        <v/>
      </c>
      <c r="C1110" s="389" t="str">
        <f t="shared" si="35"/>
        <v>janeiro</v>
      </c>
    </row>
    <row r="1111" spans="2:3">
      <c r="B1111" s="391" t="str">
        <f t="shared" si="34"/>
        <v/>
      </c>
      <c r="C1111" s="389" t="str">
        <f t="shared" si="35"/>
        <v>janeiro</v>
      </c>
    </row>
    <row r="1112" spans="2:3">
      <c r="B1112" s="391" t="str">
        <f t="shared" si="34"/>
        <v/>
      </c>
      <c r="C1112" s="389" t="str">
        <f t="shared" si="35"/>
        <v>janeiro</v>
      </c>
    </row>
    <row r="1113" spans="2:3">
      <c r="B1113" s="391" t="str">
        <f t="shared" si="34"/>
        <v/>
      </c>
      <c r="C1113" s="389" t="str">
        <f t="shared" si="35"/>
        <v>janeiro</v>
      </c>
    </row>
    <row r="1114" spans="2:3">
      <c r="B1114" s="391" t="str">
        <f t="shared" si="34"/>
        <v/>
      </c>
      <c r="C1114" s="389" t="str">
        <f t="shared" si="35"/>
        <v>janeiro</v>
      </c>
    </row>
    <row r="1115" spans="2:3">
      <c r="B1115" s="391" t="str">
        <f t="shared" si="34"/>
        <v/>
      </c>
      <c r="C1115" s="389" t="str">
        <f t="shared" si="35"/>
        <v>janeiro</v>
      </c>
    </row>
    <row r="1116" spans="2:3">
      <c r="B1116" s="391" t="str">
        <f t="shared" si="34"/>
        <v/>
      </c>
      <c r="C1116" s="389" t="str">
        <f t="shared" si="35"/>
        <v>janeiro</v>
      </c>
    </row>
    <row r="1117" spans="2:3">
      <c r="B1117" s="391" t="str">
        <f t="shared" si="34"/>
        <v/>
      </c>
      <c r="C1117" s="389" t="str">
        <f t="shared" si="35"/>
        <v>janeiro</v>
      </c>
    </row>
    <row r="1118" spans="2:3">
      <c r="B1118" s="391" t="str">
        <f t="shared" si="34"/>
        <v/>
      </c>
      <c r="C1118" s="389" t="str">
        <f t="shared" si="35"/>
        <v>janeiro</v>
      </c>
    </row>
    <row r="1119" spans="2:3">
      <c r="B1119" s="391" t="str">
        <f t="shared" si="34"/>
        <v/>
      </c>
      <c r="C1119" s="389" t="str">
        <f t="shared" si="35"/>
        <v>janeiro</v>
      </c>
    </row>
    <row r="1120" spans="2:3">
      <c r="B1120" s="391" t="str">
        <f t="shared" si="34"/>
        <v/>
      </c>
      <c r="C1120" s="389" t="str">
        <f t="shared" si="35"/>
        <v>janeiro</v>
      </c>
    </row>
    <row r="1121" spans="2:3">
      <c r="B1121" s="391" t="str">
        <f t="shared" si="34"/>
        <v/>
      </c>
      <c r="C1121" s="389" t="str">
        <f t="shared" si="35"/>
        <v>janeiro</v>
      </c>
    </row>
    <row r="1122" spans="2:3">
      <c r="B1122" s="391" t="str">
        <f t="shared" si="34"/>
        <v/>
      </c>
      <c r="C1122" s="389" t="str">
        <f t="shared" si="35"/>
        <v>janeiro</v>
      </c>
    </row>
    <row r="1123" spans="2:3">
      <c r="B1123" s="391" t="str">
        <f t="shared" si="34"/>
        <v/>
      </c>
      <c r="C1123" s="389" t="str">
        <f t="shared" si="35"/>
        <v>janeiro</v>
      </c>
    </row>
    <row r="1124" spans="2:3">
      <c r="B1124" s="391" t="str">
        <f t="shared" si="34"/>
        <v/>
      </c>
      <c r="C1124" s="389" t="str">
        <f t="shared" si="35"/>
        <v>janeiro</v>
      </c>
    </row>
    <row r="1125" spans="2:3">
      <c r="B1125" s="391" t="str">
        <f t="shared" si="34"/>
        <v/>
      </c>
      <c r="C1125" s="389" t="str">
        <f t="shared" si="35"/>
        <v>janeiro</v>
      </c>
    </row>
    <row r="1126" spans="2:3">
      <c r="B1126" s="391" t="str">
        <f t="shared" si="34"/>
        <v/>
      </c>
      <c r="C1126" s="389" t="str">
        <f t="shared" si="35"/>
        <v>janeiro</v>
      </c>
    </row>
    <row r="1127" spans="2:3">
      <c r="B1127" s="391" t="str">
        <f t="shared" si="34"/>
        <v/>
      </c>
      <c r="C1127" s="389" t="str">
        <f t="shared" si="35"/>
        <v>janeiro</v>
      </c>
    </row>
    <row r="1128" spans="2:3">
      <c r="B1128" s="391" t="str">
        <f t="shared" si="34"/>
        <v/>
      </c>
      <c r="C1128" s="389" t="str">
        <f t="shared" si="35"/>
        <v>janeiro</v>
      </c>
    </row>
    <row r="1129" spans="2:3">
      <c r="B1129" s="391" t="str">
        <f t="shared" si="34"/>
        <v/>
      </c>
      <c r="C1129" s="389" t="str">
        <f t="shared" si="35"/>
        <v>janeiro</v>
      </c>
    </row>
    <row r="1130" spans="2:3">
      <c r="B1130" s="391" t="str">
        <f t="shared" si="34"/>
        <v/>
      </c>
      <c r="C1130" s="389" t="str">
        <f t="shared" si="35"/>
        <v>janeiro</v>
      </c>
    </row>
    <row r="1131" spans="2:3">
      <c r="B1131" s="391" t="str">
        <f t="shared" si="34"/>
        <v/>
      </c>
      <c r="C1131" s="389" t="str">
        <f t="shared" si="35"/>
        <v>janeiro</v>
      </c>
    </row>
    <row r="1132" spans="2:3">
      <c r="B1132" s="391" t="str">
        <f t="shared" si="34"/>
        <v/>
      </c>
      <c r="C1132" s="389" t="str">
        <f t="shared" si="35"/>
        <v>janeiro</v>
      </c>
    </row>
    <row r="1133" spans="2:3">
      <c r="B1133" s="391" t="str">
        <f t="shared" si="34"/>
        <v/>
      </c>
      <c r="C1133" s="389" t="str">
        <f t="shared" si="35"/>
        <v>janeiro</v>
      </c>
    </row>
    <row r="1134" spans="2:3">
      <c r="B1134" s="391" t="str">
        <f t="shared" si="34"/>
        <v/>
      </c>
      <c r="C1134" s="389" t="str">
        <f t="shared" si="35"/>
        <v>janeiro</v>
      </c>
    </row>
    <row r="1135" spans="2:3">
      <c r="B1135" s="391" t="str">
        <f t="shared" si="34"/>
        <v/>
      </c>
      <c r="C1135" s="389" t="str">
        <f t="shared" si="35"/>
        <v>janeiro</v>
      </c>
    </row>
    <row r="1136" spans="2:3">
      <c r="B1136" s="391" t="str">
        <f t="shared" si="34"/>
        <v/>
      </c>
      <c r="C1136" s="389" t="str">
        <f t="shared" si="35"/>
        <v>janeiro</v>
      </c>
    </row>
    <row r="1137" spans="2:3">
      <c r="B1137" s="391" t="str">
        <f t="shared" si="34"/>
        <v/>
      </c>
      <c r="C1137" s="389" t="str">
        <f t="shared" si="35"/>
        <v>janeiro</v>
      </c>
    </row>
    <row r="1138" spans="2:3">
      <c r="B1138" s="391" t="str">
        <f t="shared" si="34"/>
        <v/>
      </c>
      <c r="C1138" s="389" t="str">
        <f t="shared" si="35"/>
        <v>janeiro</v>
      </c>
    </row>
    <row r="1139" spans="2:3">
      <c r="B1139" s="391" t="str">
        <f t="shared" si="34"/>
        <v/>
      </c>
      <c r="C1139" s="389" t="str">
        <f t="shared" si="35"/>
        <v>janeiro</v>
      </c>
    </row>
    <row r="1140" spans="2:3">
      <c r="B1140" s="391" t="str">
        <f t="shared" si="34"/>
        <v/>
      </c>
      <c r="C1140" s="389" t="str">
        <f t="shared" si="35"/>
        <v>janeiro</v>
      </c>
    </row>
    <row r="1141" spans="2:3">
      <c r="B1141" s="391" t="str">
        <f t="shared" si="34"/>
        <v/>
      </c>
      <c r="C1141" s="389" t="str">
        <f t="shared" si="35"/>
        <v>janeiro</v>
      </c>
    </row>
    <row r="1142" spans="2:3">
      <c r="B1142" s="391" t="str">
        <f t="shared" si="34"/>
        <v/>
      </c>
      <c r="C1142" s="389" t="str">
        <f t="shared" si="35"/>
        <v>janeiro</v>
      </c>
    </row>
    <row r="1143" spans="2:3">
      <c r="B1143" s="391" t="str">
        <f t="shared" si="34"/>
        <v/>
      </c>
      <c r="C1143" s="389" t="str">
        <f t="shared" si="35"/>
        <v>janeiro</v>
      </c>
    </row>
    <row r="1144" spans="2:3">
      <c r="B1144" s="391" t="str">
        <f t="shared" si="34"/>
        <v/>
      </c>
      <c r="C1144" s="389" t="str">
        <f t="shared" si="35"/>
        <v>janeiro</v>
      </c>
    </row>
    <row r="1145" spans="2:3">
      <c r="B1145" s="391" t="str">
        <f t="shared" si="34"/>
        <v/>
      </c>
      <c r="C1145" s="389" t="str">
        <f t="shared" si="35"/>
        <v>janeiro</v>
      </c>
    </row>
    <row r="1146" spans="2:3">
      <c r="B1146" s="391" t="str">
        <f t="shared" si="34"/>
        <v/>
      </c>
      <c r="C1146" s="389" t="str">
        <f t="shared" si="35"/>
        <v>janeiro</v>
      </c>
    </row>
    <row r="1147" spans="2:3">
      <c r="B1147" s="391" t="str">
        <f t="shared" si="34"/>
        <v/>
      </c>
      <c r="C1147" s="389" t="str">
        <f t="shared" si="35"/>
        <v>janeiro</v>
      </c>
    </row>
    <row r="1148" spans="2:3">
      <c r="B1148" s="391" t="str">
        <f t="shared" si="34"/>
        <v/>
      </c>
      <c r="C1148" s="389" t="str">
        <f t="shared" si="35"/>
        <v>janeiro</v>
      </c>
    </row>
    <row r="1149" spans="2:3">
      <c r="B1149" s="391" t="str">
        <f t="shared" si="34"/>
        <v/>
      </c>
      <c r="C1149" s="389" t="str">
        <f t="shared" si="35"/>
        <v>janeiro</v>
      </c>
    </row>
    <row r="1150" spans="2:3">
      <c r="B1150" s="391" t="str">
        <f t="shared" si="34"/>
        <v/>
      </c>
      <c r="C1150" s="389" t="str">
        <f t="shared" si="35"/>
        <v>janeiro</v>
      </c>
    </row>
    <row r="1151" spans="2:3">
      <c r="B1151" s="391" t="str">
        <f t="shared" si="34"/>
        <v/>
      </c>
      <c r="C1151" s="389" t="str">
        <f t="shared" si="35"/>
        <v>janeiro</v>
      </c>
    </row>
    <row r="1152" spans="2:3">
      <c r="B1152" s="391" t="str">
        <f t="shared" si="34"/>
        <v/>
      </c>
      <c r="C1152" s="389" t="str">
        <f t="shared" si="35"/>
        <v>janeiro</v>
      </c>
    </row>
    <row r="1153" spans="2:3">
      <c r="B1153" s="391" t="str">
        <f t="shared" si="34"/>
        <v/>
      </c>
      <c r="C1153" s="389" t="str">
        <f t="shared" si="35"/>
        <v>janeiro</v>
      </c>
    </row>
    <row r="1154" spans="2:3">
      <c r="B1154" s="391" t="str">
        <f t="shared" si="34"/>
        <v/>
      </c>
      <c r="C1154" s="389" t="str">
        <f t="shared" si="35"/>
        <v>janeiro</v>
      </c>
    </row>
    <row r="1155" spans="2:3">
      <c r="B1155" s="391" t="str">
        <f t="shared" ref="B1155:B1218" si="36">IF(LEFT(A1155,1)="E",A1155,LEFT(A1155,13))</f>
        <v/>
      </c>
      <c r="C1155" s="389" t="str">
        <f t="shared" ref="C1155:C1218" si="37">TEXT(E1155,"mmmm")</f>
        <v>janeiro</v>
      </c>
    </row>
    <row r="1156" spans="2:3">
      <c r="B1156" s="391" t="str">
        <f t="shared" si="36"/>
        <v/>
      </c>
      <c r="C1156" s="389" t="str">
        <f t="shared" si="37"/>
        <v>janeiro</v>
      </c>
    </row>
    <row r="1157" spans="2:3">
      <c r="B1157" s="391" t="str">
        <f t="shared" si="36"/>
        <v/>
      </c>
      <c r="C1157" s="389" t="str">
        <f t="shared" si="37"/>
        <v>janeiro</v>
      </c>
    </row>
    <row r="1158" spans="2:3">
      <c r="B1158" s="391" t="str">
        <f t="shared" si="36"/>
        <v/>
      </c>
      <c r="C1158" s="389" t="str">
        <f t="shared" si="37"/>
        <v>janeiro</v>
      </c>
    </row>
    <row r="1159" spans="2:3">
      <c r="B1159" s="391" t="str">
        <f t="shared" si="36"/>
        <v/>
      </c>
      <c r="C1159" s="389" t="str">
        <f t="shared" si="37"/>
        <v>janeiro</v>
      </c>
    </row>
    <row r="1160" spans="2:3">
      <c r="B1160" s="391" t="str">
        <f t="shared" si="36"/>
        <v/>
      </c>
      <c r="C1160" s="389" t="str">
        <f t="shared" si="37"/>
        <v>janeiro</v>
      </c>
    </row>
    <row r="1161" spans="2:3">
      <c r="B1161" s="391" t="str">
        <f t="shared" si="36"/>
        <v/>
      </c>
      <c r="C1161" s="389" t="str">
        <f t="shared" si="37"/>
        <v>janeiro</v>
      </c>
    </row>
    <row r="1162" spans="2:3">
      <c r="B1162" s="391" t="str">
        <f t="shared" si="36"/>
        <v/>
      </c>
      <c r="C1162" s="389" t="str">
        <f t="shared" si="37"/>
        <v>janeiro</v>
      </c>
    </row>
    <row r="1163" spans="2:3">
      <c r="B1163" s="391" t="str">
        <f t="shared" si="36"/>
        <v/>
      </c>
      <c r="C1163" s="389" t="str">
        <f t="shared" si="37"/>
        <v>janeiro</v>
      </c>
    </row>
    <row r="1164" spans="2:3">
      <c r="B1164" s="391" t="str">
        <f t="shared" si="36"/>
        <v/>
      </c>
      <c r="C1164" s="389" t="str">
        <f t="shared" si="37"/>
        <v>janeiro</v>
      </c>
    </row>
    <row r="1165" spans="2:3">
      <c r="B1165" s="391" t="str">
        <f t="shared" si="36"/>
        <v/>
      </c>
      <c r="C1165" s="389" t="str">
        <f t="shared" si="37"/>
        <v>janeiro</v>
      </c>
    </row>
    <row r="1166" spans="2:3">
      <c r="B1166" s="391" t="str">
        <f t="shared" si="36"/>
        <v/>
      </c>
      <c r="C1166" s="389" t="str">
        <f t="shared" si="37"/>
        <v>janeiro</v>
      </c>
    </row>
    <row r="1167" spans="2:3">
      <c r="B1167" s="391" t="str">
        <f t="shared" si="36"/>
        <v/>
      </c>
      <c r="C1167" s="389" t="str">
        <f t="shared" si="37"/>
        <v>janeiro</v>
      </c>
    </row>
    <row r="1168" spans="2:3">
      <c r="B1168" s="391" t="str">
        <f t="shared" si="36"/>
        <v/>
      </c>
      <c r="C1168" s="389" t="str">
        <f t="shared" si="37"/>
        <v>janeiro</v>
      </c>
    </row>
    <row r="1169" spans="2:3">
      <c r="B1169" s="391" t="str">
        <f t="shared" si="36"/>
        <v/>
      </c>
      <c r="C1169" s="389" t="str">
        <f t="shared" si="37"/>
        <v>janeiro</v>
      </c>
    </row>
    <row r="1170" spans="2:3">
      <c r="B1170" s="391" t="str">
        <f t="shared" si="36"/>
        <v/>
      </c>
      <c r="C1170" s="389" t="str">
        <f t="shared" si="37"/>
        <v>janeiro</v>
      </c>
    </row>
    <row r="1171" spans="2:3">
      <c r="B1171" s="391" t="str">
        <f t="shared" si="36"/>
        <v/>
      </c>
      <c r="C1171" s="389" t="str">
        <f t="shared" si="37"/>
        <v>janeiro</v>
      </c>
    </row>
    <row r="1172" spans="2:3">
      <c r="B1172" s="391" t="str">
        <f t="shared" si="36"/>
        <v/>
      </c>
      <c r="C1172" s="389" t="str">
        <f t="shared" si="37"/>
        <v>janeiro</v>
      </c>
    </row>
    <row r="1173" spans="2:3">
      <c r="B1173" s="391" t="str">
        <f t="shared" si="36"/>
        <v/>
      </c>
      <c r="C1173" s="389" t="str">
        <f t="shared" si="37"/>
        <v>janeiro</v>
      </c>
    </row>
    <row r="1174" spans="2:3">
      <c r="B1174" s="391" t="str">
        <f t="shared" si="36"/>
        <v/>
      </c>
      <c r="C1174" s="389" t="str">
        <f t="shared" si="37"/>
        <v>janeiro</v>
      </c>
    </row>
    <row r="1175" spans="2:3">
      <c r="B1175" s="391" t="str">
        <f t="shared" si="36"/>
        <v/>
      </c>
      <c r="C1175" s="389" t="str">
        <f t="shared" si="37"/>
        <v>janeiro</v>
      </c>
    </row>
    <row r="1176" spans="2:3">
      <c r="B1176" s="391" t="str">
        <f t="shared" si="36"/>
        <v/>
      </c>
      <c r="C1176" s="389" t="str">
        <f t="shared" si="37"/>
        <v>janeiro</v>
      </c>
    </row>
    <row r="1177" spans="2:3">
      <c r="B1177" s="391" t="str">
        <f t="shared" si="36"/>
        <v/>
      </c>
      <c r="C1177" s="389" t="str">
        <f t="shared" si="37"/>
        <v>janeiro</v>
      </c>
    </row>
    <row r="1178" spans="2:3">
      <c r="B1178" s="391" t="str">
        <f t="shared" si="36"/>
        <v/>
      </c>
      <c r="C1178" s="389" t="str">
        <f t="shared" si="37"/>
        <v>janeiro</v>
      </c>
    </row>
    <row r="1179" spans="2:3">
      <c r="B1179" s="391" t="str">
        <f t="shared" si="36"/>
        <v/>
      </c>
      <c r="C1179" s="389" t="str">
        <f t="shared" si="37"/>
        <v>janeiro</v>
      </c>
    </row>
    <row r="1180" spans="2:3">
      <c r="B1180" s="391" t="str">
        <f t="shared" si="36"/>
        <v/>
      </c>
      <c r="C1180" s="389" t="str">
        <f t="shared" si="37"/>
        <v>janeiro</v>
      </c>
    </row>
    <row r="1181" spans="2:3">
      <c r="B1181" s="391" t="str">
        <f t="shared" si="36"/>
        <v/>
      </c>
      <c r="C1181" s="389" t="str">
        <f t="shared" si="37"/>
        <v>janeiro</v>
      </c>
    </row>
    <row r="1182" spans="2:3">
      <c r="B1182" s="391" t="str">
        <f t="shared" si="36"/>
        <v/>
      </c>
      <c r="C1182" s="389" t="str">
        <f t="shared" si="37"/>
        <v>janeiro</v>
      </c>
    </row>
    <row r="1183" spans="2:3">
      <c r="B1183" s="391" t="str">
        <f t="shared" si="36"/>
        <v/>
      </c>
      <c r="C1183" s="389" t="str">
        <f t="shared" si="37"/>
        <v>janeiro</v>
      </c>
    </row>
    <row r="1184" spans="2:3">
      <c r="B1184" s="391" t="str">
        <f t="shared" si="36"/>
        <v/>
      </c>
      <c r="C1184" s="389" t="str">
        <f t="shared" si="37"/>
        <v>janeiro</v>
      </c>
    </row>
    <row r="1185" spans="2:3">
      <c r="B1185" s="391" t="str">
        <f t="shared" si="36"/>
        <v/>
      </c>
      <c r="C1185" s="389" t="str">
        <f t="shared" si="37"/>
        <v>janeiro</v>
      </c>
    </row>
    <row r="1186" spans="2:3">
      <c r="B1186" s="391" t="str">
        <f t="shared" si="36"/>
        <v/>
      </c>
      <c r="C1186" s="389" t="str">
        <f t="shared" si="37"/>
        <v>janeiro</v>
      </c>
    </row>
    <row r="1187" spans="2:3">
      <c r="B1187" s="391" t="str">
        <f t="shared" si="36"/>
        <v/>
      </c>
      <c r="C1187" s="389" t="str">
        <f t="shared" si="37"/>
        <v>janeiro</v>
      </c>
    </row>
    <row r="1188" spans="2:3">
      <c r="B1188" s="391" t="str">
        <f t="shared" si="36"/>
        <v/>
      </c>
      <c r="C1188" s="389" t="str">
        <f t="shared" si="37"/>
        <v>janeiro</v>
      </c>
    </row>
    <row r="1189" spans="2:3">
      <c r="B1189" s="391" t="str">
        <f t="shared" si="36"/>
        <v/>
      </c>
      <c r="C1189" s="389" t="str">
        <f t="shared" si="37"/>
        <v>janeiro</v>
      </c>
    </row>
    <row r="1190" spans="2:3">
      <c r="B1190" s="391" t="str">
        <f t="shared" si="36"/>
        <v/>
      </c>
      <c r="C1190" s="389" t="str">
        <f t="shared" si="37"/>
        <v>janeiro</v>
      </c>
    </row>
    <row r="1191" spans="2:3">
      <c r="B1191" s="391" t="str">
        <f t="shared" si="36"/>
        <v/>
      </c>
      <c r="C1191" s="389" t="str">
        <f t="shared" si="37"/>
        <v>janeiro</v>
      </c>
    </row>
    <row r="1192" spans="2:3">
      <c r="B1192" s="391" t="str">
        <f t="shared" si="36"/>
        <v/>
      </c>
      <c r="C1192" s="389" t="str">
        <f t="shared" si="37"/>
        <v>janeiro</v>
      </c>
    </row>
    <row r="1193" spans="2:3">
      <c r="B1193" s="391" t="str">
        <f t="shared" si="36"/>
        <v/>
      </c>
      <c r="C1193" s="389" t="str">
        <f t="shared" si="37"/>
        <v>janeiro</v>
      </c>
    </row>
    <row r="1194" spans="2:3">
      <c r="B1194" s="391" t="str">
        <f t="shared" si="36"/>
        <v/>
      </c>
      <c r="C1194" s="389" t="str">
        <f t="shared" si="37"/>
        <v>janeiro</v>
      </c>
    </row>
    <row r="1195" spans="2:3">
      <c r="B1195" s="391" t="str">
        <f t="shared" si="36"/>
        <v/>
      </c>
      <c r="C1195" s="389" t="str">
        <f t="shared" si="37"/>
        <v>janeiro</v>
      </c>
    </row>
    <row r="1196" spans="2:3">
      <c r="B1196" s="391" t="str">
        <f t="shared" si="36"/>
        <v/>
      </c>
      <c r="C1196" s="389" t="str">
        <f t="shared" si="37"/>
        <v>janeiro</v>
      </c>
    </row>
    <row r="1197" spans="2:3">
      <c r="B1197" s="391" t="str">
        <f t="shared" si="36"/>
        <v/>
      </c>
      <c r="C1197" s="389" t="str">
        <f t="shared" si="37"/>
        <v>janeiro</v>
      </c>
    </row>
    <row r="1198" spans="2:3">
      <c r="B1198" s="391" t="str">
        <f t="shared" si="36"/>
        <v/>
      </c>
      <c r="C1198" s="389" t="str">
        <f t="shared" si="37"/>
        <v>janeiro</v>
      </c>
    </row>
    <row r="1199" spans="2:3">
      <c r="B1199" s="391" t="str">
        <f t="shared" si="36"/>
        <v/>
      </c>
      <c r="C1199" s="389" t="str">
        <f t="shared" si="37"/>
        <v>janeiro</v>
      </c>
    </row>
    <row r="1200" spans="2:3">
      <c r="B1200" s="391" t="str">
        <f t="shared" si="36"/>
        <v/>
      </c>
      <c r="C1200" s="389" t="str">
        <f t="shared" si="37"/>
        <v>janeiro</v>
      </c>
    </row>
    <row r="1201" spans="2:3">
      <c r="B1201" s="391" t="str">
        <f t="shared" si="36"/>
        <v/>
      </c>
      <c r="C1201" s="389" t="str">
        <f t="shared" si="37"/>
        <v>janeiro</v>
      </c>
    </row>
    <row r="1202" spans="2:3">
      <c r="B1202" s="391" t="str">
        <f t="shared" si="36"/>
        <v/>
      </c>
      <c r="C1202" s="389" t="str">
        <f t="shared" si="37"/>
        <v>janeiro</v>
      </c>
    </row>
    <row r="1203" spans="2:3">
      <c r="B1203" s="391" t="str">
        <f t="shared" si="36"/>
        <v/>
      </c>
      <c r="C1203" s="389" t="str">
        <f t="shared" si="37"/>
        <v>janeiro</v>
      </c>
    </row>
    <row r="1204" spans="2:3">
      <c r="B1204" s="391" t="str">
        <f t="shared" si="36"/>
        <v/>
      </c>
      <c r="C1204" s="389" t="str">
        <f t="shared" si="37"/>
        <v>janeiro</v>
      </c>
    </row>
    <row r="1205" spans="2:3">
      <c r="B1205" s="391" t="str">
        <f t="shared" si="36"/>
        <v/>
      </c>
      <c r="C1205" s="389" t="str">
        <f t="shared" si="37"/>
        <v>janeiro</v>
      </c>
    </row>
    <row r="1206" spans="2:3">
      <c r="B1206" s="391" t="str">
        <f t="shared" si="36"/>
        <v/>
      </c>
      <c r="C1206" s="389" t="str">
        <f t="shared" si="37"/>
        <v>janeiro</v>
      </c>
    </row>
    <row r="1207" spans="2:3">
      <c r="B1207" s="391" t="str">
        <f t="shared" si="36"/>
        <v/>
      </c>
      <c r="C1207" s="389" t="str">
        <f t="shared" si="37"/>
        <v>janeiro</v>
      </c>
    </row>
    <row r="1208" spans="2:3">
      <c r="B1208" s="391" t="str">
        <f t="shared" si="36"/>
        <v/>
      </c>
      <c r="C1208" s="389" t="str">
        <f t="shared" si="37"/>
        <v>janeiro</v>
      </c>
    </row>
    <row r="1209" spans="2:3">
      <c r="B1209" s="391" t="str">
        <f t="shared" si="36"/>
        <v/>
      </c>
      <c r="C1209" s="389" t="str">
        <f t="shared" si="37"/>
        <v>janeiro</v>
      </c>
    </row>
    <row r="1210" spans="2:3">
      <c r="B1210" s="391" t="str">
        <f t="shared" si="36"/>
        <v/>
      </c>
      <c r="C1210" s="389" t="str">
        <f t="shared" si="37"/>
        <v>janeiro</v>
      </c>
    </row>
    <row r="1211" spans="2:3">
      <c r="B1211" s="391" t="str">
        <f t="shared" si="36"/>
        <v/>
      </c>
      <c r="C1211" s="389" t="str">
        <f t="shared" si="37"/>
        <v>janeiro</v>
      </c>
    </row>
    <row r="1212" spans="2:3">
      <c r="B1212" s="391" t="str">
        <f t="shared" si="36"/>
        <v/>
      </c>
      <c r="C1212" s="389" t="str">
        <f t="shared" si="37"/>
        <v>janeiro</v>
      </c>
    </row>
    <row r="1213" spans="2:3">
      <c r="B1213" s="391" t="str">
        <f t="shared" si="36"/>
        <v/>
      </c>
      <c r="C1213" s="389" t="str">
        <f t="shared" si="37"/>
        <v>janeiro</v>
      </c>
    </row>
    <row r="1214" spans="2:3">
      <c r="B1214" s="391" t="str">
        <f t="shared" si="36"/>
        <v/>
      </c>
      <c r="C1214" s="389" t="str">
        <f t="shared" si="37"/>
        <v>janeiro</v>
      </c>
    </row>
    <row r="1215" spans="2:3">
      <c r="B1215" s="391" t="str">
        <f t="shared" si="36"/>
        <v/>
      </c>
      <c r="C1215" s="389" t="str">
        <f t="shared" si="37"/>
        <v>janeiro</v>
      </c>
    </row>
    <row r="1216" spans="2:3">
      <c r="B1216" s="391" t="str">
        <f t="shared" si="36"/>
        <v/>
      </c>
      <c r="C1216" s="389" t="str">
        <f t="shared" si="37"/>
        <v>janeiro</v>
      </c>
    </row>
    <row r="1217" spans="2:3">
      <c r="B1217" s="391" t="str">
        <f t="shared" si="36"/>
        <v/>
      </c>
      <c r="C1217" s="389" t="str">
        <f t="shared" si="37"/>
        <v>janeiro</v>
      </c>
    </row>
    <row r="1218" spans="2:3">
      <c r="B1218" s="391" t="str">
        <f t="shared" si="36"/>
        <v/>
      </c>
      <c r="C1218" s="389" t="str">
        <f t="shared" si="37"/>
        <v>janeiro</v>
      </c>
    </row>
    <row r="1219" spans="2:3">
      <c r="B1219" s="391" t="str">
        <f t="shared" ref="B1219:B1282" si="38">IF(LEFT(A1219,1)="E",A1219,LEFT(A1219,13))</f>
        <v/>
      </c>
      <c r="C1219" s="389" t="str">
        <f t="shared" ref="C1219:C1282" si="39">TEXT(E1219,"mmmm")</f>
        <v>janeiro</v>
      </c>
    </row>
    <row r="1220" spans="2:3">
      <c r="B1220" s="391" t="str">
        <f t="shared" si="38"/>
        <v/>
      </c>
      <c r="C1220" s="389" t="str">
        <f t="shared" si="39"/>
        <v>janeiro</v>
      </c>
    </row>
    <row r="1221" spans="2:3">
      <c r="B1221" s="391" t="str">
        <f t="shared" si="38"/>
        <v/>
      </c>
      <c r="C1221" s="389" t="str">
        <f t="shared" si="39"/>
        <v>janeiro</v>
      </c>
    </row>
    <row r="1222" spans="2:3">
      <c r="B1222" s="391" t="str">
        <f t="shared" si="38"/>
        <v/>
      </c>
      <c r="C1222" s="389" t="str">
        <f t="shared" si="39"/>
        <v>janeiro</v>
      </c>
    </row>
    <row r="1223" spans="2:3">
      <c r="B1223" s="391" t="str">
        <f t="shared" si="38"/>
        <v/>
      </c>
      <c r="C1223" s="389" t="str">
        <f t="shared" si="39"/>
        <v>janeiro</v>
      </c>
    </row>
    <row r="1224" spans="2:3">
      <c r="B1224" s="391" t="str">
        <f t="shared" si="38"/>
        <v/>
      </c>
      <c r="C1224" s="389" t="str">
        <f t="shared" si="39"/>
        <v>janeiro</v>
      </c>
    </row>
    <row r="1225" spans="2:3">
      <c r="B1225" s="391" t="str">
        <f t="shared" si="38"/>
        <v/>
      </c>
      <c r="C1225" s="389" t="str">
        <f t="shared" si="39"/>
        <v>janeiro</v>
      </c>
    </row>
    <row r="1226" spans="2:3">
      <c r="B1226" s="391" t="str">
        <f t="shared" si="38"/>
        <v/>
      </c>
      <c r="C1226" s="389" t="str">
        <f t="shared" si="39"/>
        <v>janeiro</v>
      </c>
    </row>
    <row r="1227" spans="2:3">
      <c r="B1227" s="391" t="str">
        <f t="shared" si="38"/>
        <v/>
      </c>
      <c r="C1227" s="389" t="str">
        <f t="shared" si="39"/>
        <v>janeiro</v>
      </c>
    </row>
    <row r="1228" spans="2:3">
      <c r="B1228" s="391" t="str">
        <f t="shared" si="38"/>
        <v/>
      </c>
      <c r="C1228" s="389" t="str">
        <f t="shared" si="39"/>
        <v>janeiro</v>
      </c>
    </row>
    <row r="1229" spans="2:3">
      <c r="B1229" s="391" t="str">
        <f t="shared" si="38"/>
        <v/>
      </c>
      <c r="C1229" s="389" t="str">
        <f t="shared" si="39"/>
        <v>janeiro</v>
      </c>
    </row>
    <row r="1230" spans="2:3">
      <c r="B1230" s="391" t="str">
        <f t="shared" si="38"/>
        <v/>
      </c>
      <c r="C1230" s="389" t="str">
        <f t="shared" si="39"/>
        <v>janeiro</v>
      </c>
    </row>
    <row r="1231" spans="2:3">
      <c r="B1231" s="391" t="str">
        <f t="shared" si="38"/>
        <v/>
      </c>
      <c r="C1231" s="389" t="str">
        <f t="shared" si="39"/>
        <v>janeiro</v>
      </c>
    </row>
    <row r="1232" spans="2:3">
      <c r="B1232" s="391" t="str">
        <f t="shared" si="38"/>
        <v/>
      </c>
      <c r="C1232" s="389" t="str">
        <f t="shared" si="39"/>
        <v>janeiro</v>
      </c>
    </row>
    <row r="1233" spans="2:3">
      <c r="B1233" s="391" t="str">
        <f t="shared" si="38"/>
        <v/>
      </c>
      <c r="C1233" s="389" t="str">
        <f t="shared" si="39"/>
        <v>janeiro</v>
      </c>
    </row>
    <row r="1234" spans="2:3">
      <c r="B1234" s="391" t="str">
        <f t="shared" si="38"/>
        <v/>
      </c>
      <c r="C1234" s="389" t="str">
        <f t="shared" si="39"/>
        <v>janeiro</v>
      </c>
    </row>
    <row r="1235" spans="2:3">
      <c r="B1235" s="391" t="str">
        <f t="shared" si="38"/>
        <v/>
      </c>
      <c r="C1235" s="389" t="str">
        <f t="shared" si="39"/>
        <v>janeiro</v>
      </c>
    </row>
    <row r="1236" spans="2:3">
      <c r="B1236" s="391" t="str">
        <f t="shared" si="38"/>
        <v/>
      </c>
      <c r="C1236" s="389" t="str">
        <f t="shared" si="39"/>
        <v>janeiro</v>
      </c>
    </row>
    <row r="1237" spans="2:3">
      <c r="B1237" s="391" t="str">
        <f t="shared" si="38"/>
        <v/>
      </c>
      <c r="C1237" s="389" t="str">
        <f t="shared" si="39"/>
        <v>janeiro</v>
      </c>
    </row>
    <row r="1238" spans="2:3">
      <c r="B1238" s="391" t="str">
        <f t="shared" si="38"/>
        <v/>
      </c>
      <c r="C1238" s="389" t="str">
        <f t="shared" si="39"/>
        <v>janeiro</v>
      </c>
    </row>
    <row r="1239" spans="2:3">
      <c r="B1239" s="391" t="str">
        <f t="shared" si="38"/>
        <v/>
      </c>
      <c r="C1239" s="389" t="str">
        <f t="shared" si="39"/>
        <v>janeiro</v>
      </c>
    </row>
    <row r="1240" spans="2:3">
      <c r="B1240" s="391" t="str">
        <f t="shared" si="38"/>
        <v/>
      </c>
      <c r="C1240" s="389" t="str">
        <f t="shared" si="39"/>
        <v>janeiro</v>
      </c>
    </row>
    <row r="1241" spans="2:3">
      <c r="B1241" s="391" t="str">
        <f t="shared" si="38"/>
        <v/>
      </c>
      <c r="C1241" s="389" t="str">
        <f t="shared" si="39"/>
        <v>janeiro</v>
      </c>
    </row>
    <row r="1242" spans="2:3">
      <c r="B1242" s="391" t="str">
        <f t="shared" si="38"/>
        <v/>
      </c>
      <c r="C1242" s="389" t="str">
        <f t="shared" si="39"/>
        <v>janeiro</v>
      </c>
    </row>
    <row r="1243" spans="2:3">
      <c r="B1243" s="391" t="str">
        <f t="shared" si="38"/>
        <v/>
      </c>
      <c r="C1243" s="389" t="str">
        <f t="shared" si="39"/>
        <v>janeiro</v>
      </c>
    </row>
    <row r="1244" spans="2:3">
      <c r="B1244" s="391" t="str">
        <f t="shared" si="38"/>
        <v/>
      </c>
      <c r="C1244" s="389" t="str">
        <f t="shared" si="39"/>
        <v>janeiro</v>
      </c>
    </row>
    <row r="1245" spans="2:3">
      <c r="B1245" s="391" t="str">
        <f t="shared" si="38"/>
        <v/>
      </c>
      <c r="C1245" s="389" t="str">
        <f t="shared" si="39"/>
        <v>janeiro</v>
      </c>
    </row>
    <row r="1246" spans="2:3">
      <c r="B1246" s="391" t="str">
        <f t="shared" si="38"/>
        <v/>
      </c>
      <c r="C1246" s="389" t="str">
        <f t="shared" si="39"/>
        <v>janeiro</v>
      </c>
    </row>
    <row r="1247" spans="2:3">
      <c r="B1247" s="391" t="str">
        <f t="shared" si="38"/>
        <v/>
      </c>
      <c r="C1247" s="389" t="str">
        <f t="shared" si="39"/>
        <v>janeiro</v>
      </c>
    </row>
    <row r="1248" spans="2:3">
      <c r="B1248" s="391" t="str">
        <f t="shared" si="38"/>
        <v/>
      </c>
      <c r="C1248" s="389" t="str">
        <f t="shared" si="39"/>
        <v>janeiro</v>
      </c>
    </row>
    <row r="1249" spans="2:3">
      <c r="B1249" s="391" t="str">
        <f t="shared" si="38"/>
        <v/>
      </c>
      <c r="C1249" s="389" t="str">
        <f t="shared" si="39"/>
        <v>janeiro</v>
      </c>
    </row>
    <row r="1250" spans="2:3">
      <c r="B1250" s="391" t="str">
        <f t="shared" si="38"/>
        <v/>
      </c>
      <c r="C1250" s="389" t="str">
        <f t="shared" si="39"/>
        <v>janeiro</v>
      </c>
    </row>
    <row r="1251" spans="2:3">
      <c r="B1251" s="391" t="str">
        <f t="shared" si="38"/>
        <v/>
      </c>
      <c r="C1251" s="389" t="str">
        <f t="shared" si="39"/>
        <v>janeiro</v>
      </c>
    </row>
    <row r="1252" spans="2:3">
      <c r="B1252" s="391" t="str">
        <f t="shared" si="38"/>
        <v/>
      </c>
      <c r="C1252" s="389" t="str">
        <f t="shared" si="39"/>
        <v>janeiro</v>
      </c>
    </row>
    <row r="1253" spans="2:3">
      <c r="B1253" s="391" t="str">
        <f t="shared" si="38"/>
        <v/>
      </c>
      <c r="C1253" s="389" t="str">
        <f t="shared" si="39"/>
        <v>janeiro</v>
      </c>
    </row>
    <row r="1254" spans="2:3">
      <c r="B1254" s="391" t="str">
        <f t="shared" si="38"/>
        <v/>
      </c>
      <c r="C1254" s="389" t="str">
        <f t="shared" si="39"/>
        <v>janeiro</v>
      </c>
    </row>
    <row r="1255" spans="2:3">
      <c r="B1255" s="391" t="str">
        <f t="shared" si="38"/>
        <v/>
      </c>
      <c r="C1255" s="389" t="str">
        <f t="shared" si="39"/>
        <v>janeiro</v>
      </c>
    </row>
    <row r="1256" spans="2:3">
      <c r="B1256" s="391" t="str">
        <f t="shared" si="38"/>
        <v/>
      </c>
      <c r="C1256" s="389" t="str">
        <f t="shared" si="39"/>
        <v>janeiro</v>
      </c>
    </row>
    <row r="1257" spans="2:3">
      <c r="B1257" s="391" t="str">
        <f t="shared" si="38"/>
        <v/>
      </c>
      <c r="C1257" s="389" t="str">
        <f t="shared" si="39"/>
        <v>janeiro</v>
      </c>
    </row>
    <row r="1258" spans="2:3">
      <c r="B1258" s="391" t="str">
        <f t="shared" si="38"/>
        <v/>
      </c>
      <c r="C1258" s="389" t="str">
        <f t="shared" si="39"/>
        <v>janeiro</v>
      </c>
    </row>
    <row r="1259" spans="2:3">
      <c r="B1259" s="391" t="str">
        <f t="shared" si="38"/>
        <v/>
      </c>
      <c r="C1259" s="389" t="str">
        <f t="shared" si="39"/>
        <v>janeiro</v>
      </c>
    </row>
    <row r="1260" spans="2:3">
      <c r="B1260" s="391" t="str">
        <f t="shared" si="38"/>
        <v/>
      </c>
      <c r="C1260" s="389" t="str">
        <f t="shared" si="39"/>
        <v>janeiro</v>
      </c>
    </row>
    <row r="1261" spans="2:3">
      <c r="B1261" s="391" t="str">
        <f t="shared" si="38"/>
        <v/>
      </c>
      <c r="C1261" s="389" t="str">
        <f t="shared" si="39"/>
        <v>janeiro</v>
      </c>
    </row>
    <row r="1262" spans="2:3">
      <c r="B1262" s="391" t="str">
        <f t="shared" si="38"/>
        <v/>
      </c>
      <c r="C1262" s="389" t="str">
        <f t="shared" si="39"/>
        <v>janeiro</v>
      </c>
    </row>
    <row r="1263" spans="2:3">
      <c r="B1263" s="391" t="str">
        <f t="shared" si="38"/>
        <v/>
      </c>
      <c r="C1263" s="389" t="str">
        <f t="shared" si="39"/>
        <v>janeiro</v>
      </c>
    </row>
    <row r="1264" spans="2:3">
      <c r="B1264" s="391" t="str">
        <f t="shared" si="38"/>
        <v/>
      </c>
      <c r="C1264" s="389" t="str">
        <f t="shared" si="39"/>
        <v>janeiro</v>
      </c>
    </row>
    <row r="1265" spans="2:3">
      <c r="B1265" s="391" t="str">
        <f t="shared" si="38"/>
        <v/>
      </c>
      <c r="C1265" s="389" t="str">
        <f t="shared" si="39"/>
        <v>janeiro</v>
      </c>
    </row>
    <row r="1266" spans="2:3">
      <c r="B1266" s="391" t="str">
        <f t="shared" si="38"/>
        <v/>
      </c>
      <c r="C1266" s="389" t="str">
        <f t="shared" si="39"/>
        <v>janeiro</v>
      </c>
    </row>
    <row r="1267" spans="2:3">
      <c r="B1267" s="391" t="str">
        <f t="shared" si="38"/>
        <v/>
      </c>
      <c r="C1267" s="389" t="str">
        <f t="shared" si="39"/>
        <v>janeiro</v>
      </c>
    </row>
    <row r="1268" spans="2:3">
      <c r="B1268" s="391" t="str">
        <f t="shared" si="38"/>
        <v/>
      </c>
      <c r="C1268" s="389" t="str">
        <f t="shared" si="39"/>
        <v>janeiro</v>
      </c>
    </row>
    <row r="1269" spans="2:3">
      <c r="B1269" s="391" t="str">
        <f t="shared" si="38"/>
        <v/>
      </c>
      <c r="C1269" s="389" t="str">
        <f t="shared" si="39"/>
        <v>janeiro</v>
      </c>
    </row>
    <row r="1270" spans="2:3">
      <c r="B1270" s="391" t="str">
        <f t="shared" si="38"/>
        <v/>
      </c>
      <c r="C1270" s="389" t="str">
        <f t="shared" si="39"/>
        <v>janeiro</v>
      </c>
    </row>
    <row r="1271" spans="2:3">
      <c r="B1271" s="391" t="str">
        <f t="shared" si="38"/>
        <v/>
      </c>
      <c r="C1271" s="389" t="str">
        <f t="shared" si="39"/>
        <v>janeiro</v>
      </c>
    </row>
    <row r="1272" spans="2:3">
      <c r="B1272" s="391" t="str">
        <f t="shared" si="38"/>
        <v/>
      </c>
      <c r="C1272" s="389" t="str">
        <f t="shared" si="39"/>
        <v>janeiro</v>
      </c>
    </row>
    <row r="1273" spans="2:3">
      <c r="B1273" s="391" t="str">
        <f t="shared" si="38"/>
        <v/>
      </c>
      <c r="C1273" s="389" t="str">
        <f t="shared" si="39"/>
        <v>janeiro</v>
      </c>
    </row>
    <row r="1274" spans="2:3">
      <c r="B1274" s="391" t="str">
        <f t="shared" si="38"/>
        <v/>
      </c>
      <c r="C1274" s="389" t="str">
        <f t="shared" si="39"/>
        <v>janeiro</v>
      </c>
    </row>
    <row r="1275" spans="2:3">
      <c r="B1275" s="391" t="str">
        <f t="shared" si="38"/>
        <v/>
      </c>
      <c r="C1275" s="389" t="str">
        <f t="shared" si="39"/>
        <v>janeiro</v>
      </c>
    </row>
    <row r="1276" spans="2:3">
      <c r="B1276" s="391" t="str">
        <f t="shared" si="38"/>
        <v/>
      </c>
      <c r="C1276" s="389" t="str">
        <f t="shared" si="39"/>
        <v>janeiro</v>
      </c>
    </row>
    <row r="1277" spans="2:3">
      <c r="B1277" s="391" t="str">
        <f t="shared" si="38"/>
        <v/>
      </c>
      <c r="C1277" s="389" t="str">
        <f t="shared" si="39"/>
        <v>janeiro</v>
      </c>
    </row>
    <row r="1278" spans="2:3">
      <c r="B1278" s="391" t="str">
        <f t="shared" si="38"/>
        <v/>
      </c>
      <c r="C1278" s="389" t="str">
        <f t="shared" si="39"/>
        <v>janeiro</v>
      </c>
    </row>
    <row r="1279" spans="2:3">
      <c r="B1279" s="391" t="str">
        <f t="shared" si="38"/>
        <v/>
      </c>
      <c r="C1279" s="389" t="str">
        <f t="shared" si="39"/>
        <v>janeiro</v>
      </c>
    </row>
    <row r="1280" spans="2:3">
      <c r="B1280" s="391" t="str">
        <f t="shared" si="38"/>
        <v/>
      </c>
      <c r="C1280" s="389" t="str">
        <f t="shared" si="39"/>
        <v>janeiro</v>
      </c>
    </row>
    <row r="1281" spans="2:3">
      <c r="B1281" s="391" t="str">
        <f t="shared" si="38"/>
        <v/>
      </c>
      <c r="C1281" s="389" t="str">
        <f t="shared" si="39"/>
        <v>janeiro</v>
      </c>
    </row>
    <row r="1282" spans="2:3">
      <c r="B1282" s="391" t="str">
        <f t="shared" si="38"/>
        <v/>
      </c>
      <c r="C1282" s="389" t="str">
        <f t="shared" si="39"/>
        <v>janeiro</v>
      </c>
    </row>
    <row r="1283" spans="2:3">
      <c r="B1283" s="391" t="str">
        <f t="shared" ref="B1283:B1346" si="40">IF(LEFT(A1283,1)="E",A1283,LEFT(A1283,13))</f>
        <v/>
      </c>
      <c r="C1283" s="389" t="str">
        <f t="shared" ref="C1283:C1346" si="41">TEXT(E1283,"mmmm")</f>
        <v>janeiro</v>
      </c>
    </row>
    <row r="1284" spans="2:3">
      <c r="B1284" s="391" t="str">
        <f t="shared" si="40"/>
        <v/>
      </c>
      <c r="C1284" s="389" t="str">
        <f t="shared" si="41"/>
        <v>janeiro</v>
      </c>
    </row>
    <row r="1285" spans="2:3">
      <c r="B1285" s="391" t="str">
        <f t="shared" si="40"/>
        <v/>
      </c>
      <c r="C1285" s="389" t="str">
        <f t="shared" si="41"/>
        <v>janeiro</v>
      </c>
    </row>
    <row r="1286" spans="2:3">
      <c r="B1286" s="391" t="str">
        <f t="shared" si="40"/>
        <v/>
      </c>
      <c r="C1286" s="389" t="str">
        <f t="shared" si="41"/>
        <v>janeiro</v>
      </c>
    </row>
    <row r="1287" spans="2:3">
      <c r="B1287" s="391" t="str">
        <f t="shared" si="40"/>
        <v/>
      </c>
      <c r="C1287" s="389" t="str">
        <f t="shared" si="41"/>
        <v>janeiro</v>
      </c>
    </row>
    <row r="1288" spans="2:3">
      <c r="B1288" s="391" t="str">
        <f t="shared" si="40"/>
        <v/>
      </c>
      <c r="C1288" s="389" t="str">
        <f t="shared" si="41"/>
        <v>janeiro</v>
      </c>
    </row>
    <row r="1289" spans="2:3">
      <c r="B1289" s="391" t="str">
        <f t="shared" si="40"/>
        <v/>
      </c>
      <c r="C1289" s="389" t="str">
        <f t="shared" si="41"/>
        <v>janeiro</v>
      </c>
    </row>
    <row r="1290" spans="2:3">
      <c r="B1290" s="391" t="str">
        <f t="shared" si="40"/>
        <v/>
      </c>
      <c r="C1290" s="389" t="str">
        <f t="shared" si="41"/>
        <v>janeiro</v>
      </c>
    </row>
    <row r="1291" spans="2:3">
      <c r="B1291" s="391" t="str">
        <f t="shared" si="40"/>
        <v/>
      </c>
      <c r="C1291" s="389" t="str">
        <f t="shared" si="41"/>
        <v>janeiro</v>
      </c>
    </row>
    <row r="1292" spans="2:3">
      <c r="B1292" s="391" t="str">
        <f t="shared" si="40"/>
        <v/>
      </c>
      <c r="C1292" s="389" t="str">
        <f t="shared" si="41"/>
        <v>janeiro</v>
      </c>
    </row>
    <row r="1293" spans="2:3">
      <c r="B1293" s="391" t="str">
        <f t="shared" si="40"/>
        <v/>
      </c>
      <c r="C1293" s="389" t="str">
        <f t="shared" si="41"/>
        <v>janeiro</v>
      </c>
    </row>
    <row r="1294" spans="2:3">
      <c r="B1294" s="391" t="str">
        <f t="shared" si="40"/>
        <v/>
      </c>
      <c r="C1294" s="389" t="str">
        <f t="shared" si="41"/>
        <v>janeiro</v>
      </c>
    </row>
    <row r="1295" spans="2:3">
      <c r="B1295" s="391" t="str">
        <f t="shared" si="40"/>
        <v/>
      </c>
      <c r="C1295" s="389" t="str">
        <f t="shared" si="41"/>
        <v>janeiro</v>
      </c>
    </row>
    <row r="1296" spans="2:3">
      <c r="B1296" s="391" t="str">
        <f t="shared" si="40"/>
        <v/>
      </c>
      <c r="C1296" s="389" t="str">
        <f t="shared" si="41"/>
        <v>janeiro</v>
      </c>
    </row>
    <row r="1297" spans="2:3">
      <c r="B1297" s="391" t="str">
        <f t="shared" si="40"/>
        <v/>
      </c>
      <c r="C1297" s="389" t="str">
        <f t="shared" si="41"/>
        <v>janeiro</v>
      </c>
    </row>
    <row r="1298" spans="2:3">
      <c r="B1298" s="391" t="str">
        <f t="shared" si="40"/>
        <v/>
      </c>
      <c r="C1298" s="389" t="str">
        <f t="shared" si="41"/>
        <v>janeiro</v>
      </c>
    </row>
    <row r="1299" spans="2:3">
      <c r="B1299" s="391" t="str">
        <f t="shared" si="40"/>
        <v/>
      </c>
      <c r="C1299" s="389" t="str">
        <f t="shared" si="41"/>
        <v>janeiro</v>
      </c>
    </row>
    <row r="1300" spans="2:3">
      <c r="B1300" s="391" t="str">
        <f t="shared" si="40"/>
        <v/>
      </c>
      <c r="C1300" s="389" t="str">
        <f t="shared" si="41"/>
        <v>janeiro</v>
      </c>
    </row>
    <row r="1301" spans="2:3">
      <c r="B1301" s="391" t="str">
        <f t="shared" si="40"/>
        <v/>
      </c>
      <c r="C1301" s="389" t="str">
        <f t="shared" si="41"/>
        <v>janeiro</v>
      </c>
    </row>
    <row r="1302" spans="2:3">
      <c r="B1302" s="391" t="str">
        <f t="shared" si="40"/>
        <v/>
      </c>
      <c r="C1302" s="389" t="str">
        <f t="shared" si="41"/>
        <v>janeiro</v>
      </c>
    </row>
    <row r="1303" spans="2:3">
      <c r="B1303" s="391" t="str">
        <f t="shared" si="40"/>
        <v/>
      </c>
      <c r="C1303" s="389" t="str">
        <f t="shared" si="41"/>
        <v>janeiro</v>
      </c>
    </row>
    <row r="1304" spans="2:3">
      <c r="B1304" s="391" t="str">
        <f t="shared" si="40"/>
        <v/>
      </c>
      <c r="C1304" s="389" t="str">
        <f t="shared" si="41"/>
        <v>janeiro</v>
      </c>
    </row>
    <row r="1305" spans="2:3">
      <c r="B1305" s="391" t="str">
        <f t="shared" si="40"/>
        <v/>
      </c>
      <c r="C1305" s="389" t="str">
        <f t="shared" si="41"/>
        <v>janeiro</v>
      </c>
    </row>
    <row r="1306" spans="2:3">
      <c r="B1306" s="391" t="str">
        <f t="shared" si="40"/>
        <v/>
      </c>
      <c r="C1306" s="389" t="str">
        <f t="shared" si="41"/>
        <v>janeiro</v>
      </c>
    </row>
    <row r="1307" spans="2:3">
      <c r="B1307" s="391" t="str">
        <f t="shared" si="40"/>
        <v/>
      </c>
      <c r="C1307" s="389" t="str">
        <f t="shared" si="41"/>
        <v>janeiro</v>
      </c>
    </row>
    <row r="1308" spans="2:3">
      <c r="B1308" s="391" t="str">
        <f t="shared" si="40"/>
        <v/>
      </c>
      <c r="C1308" s="389" t="str">
        <f t="shared" si="41"/>
        <v>janeiro</v>
      </c>
    </row>
    <row r="1309" spans="2:3">
      <c r="B1309" s="391" t="str">
        <f t="shared" si="40"/>
        <v/>
      </c>
      <c r="C1309" s="389" t="str">
        <f t="shared" si="41"/>
        <v>janeiro</v>
      </c>
    </row>
    <row r="1310" spans="2:3">
      <c r="B1310" s="391" t="str">
        <f t="shared" si="40"/>
        <v/>
      </c>
      <c r="C1310" s="389" t="str">
        <f t="shared" si="41"/>
        <v>janeiro</v>
      </c>
    </row>
    <row r="1311" spans="2:3">
      <c r="B1311" s="391" t="str">
        <f t="shared" si="40"/>
        <v/>
      </c>
      <c r="C1311" s="389" t="str">
        <f t="shared" si="41"/>
        <v>janeiro</v>
      </c>
    </row>
    <row r="1312" spans="2:3">
      <c r="B1312" s="391" t="str">
        <f t="shared" si="40"/>
        <v/>
      </c>
      <c r="C1312" s="389" t="str">
        <f t="shared" si="41"/>
        <v>janeiro</v>
      </c>
    </row>
    <row r="1313" spans="2:3">
      <c r="B1313" s="391" t="str">
        <f t="shared" si="40"/>
        <v/>
      </c>
      <c r="C1313" s="389" t="str">
        <f t="shared" si="41"/>
        <v>janeiro</v>
      </c>
    </row>
    <row r="1314" spans="2:3">
      <c r="B1314" s="391" t="str">
        <f t="shared" si="40"/>
        <v/>
      </c>
      <c r="C1314" s="389" t="str">
        <f t="shared" si="41"/>
        <v>janeiro</v>
      </c>
    </row>
    <row r="1315" spans="2:3">
      <c r="B1315" s="391" t="str">
        <f t="shared" si="40"/>
        <v/>
      </c>
      <c r="C1315" s="389" t="str">
        <f t="shared" si="41"/>
        <v>janeiro</v>
      </c>
    </row>
    <row r="1316" spans="2:3">
      <c r="B1316" s="391" t="str">
        <f t="shared" si="40"/>
        <v/>
      </c>
      <c r="C1316" s="389" t="str">
        <f t="shared" si="41"/>
        <v>janeiro</v>
      </c>
    </row>
    <row r="1317" spans="2:3">
      <c r="B1317" s="391" t="str">
        <f t="shared" si="40"/>
        <v/>
      </c>
      <c r="C1317" s="389" t="str">
        <f t="shared" si="41"/>
        <v>janeiro</v>
      </c>
    </row>
    <row r="1318" spans="2:3">
      <c r="B1318" s="391" t="str">
        <f t="shared" si="40"/>
        <v/>
      </c>
      <c r="C1318" s="389" t="str">
        <f t="shared" si="41"/>
        <v>janeiro</v>
      </c>
    </row>
    <row r="1319" spans="2:3">
      <c r="B1319" s="391" t="str">
        <f t="shared" si="40"/>
        <v/>
      </c>
      <c r="C1319" s="389" t="str">
        <f t="shared" si="41"/>
        <v>janeiro</v>
      </c>
    </row>
    <row r="1320" spans="2:3">
      <c r="B1320" s="391" t="str">
        <f t="shared" si="40"/>
        <v/>
      </c>
      <c r="C1320" s="389" t="str">
        <f t="shared" si="41"/>
        <v>janeiro</v>
      </c>
    </row>
    <row r="1321" spans="2:3">
      <c r="B1321" s="391" t="str">
        <f t="shared" si="40"/>
        <v/>
      </c>
      <c r="C1321" s="389" t="str">
        <f t="shared" si="41"/>
        <v>janeiro</v>
      </c>
    </row>
    <row r="1322" spans="2:3">
      <c r="B1322" s="391" t="str">
        <f t="shared" si="40"/>
        <v/>
      </c>
      <c r="C1322" s="389" t="str">
        <f t="shared" si="41"/>
        <v>janeiro</v>
      </c>
    </row>
    <row r="1323" spans="2:3">
      <c r="B1323" s="391" t="str">
        <f t="shared" si="40"/>
        <v/>
      </c>
      <c r="C1323" s="389" t="str">
        <f t="shared" si="41"/>
        <v>janeiro</v>
      </c>
    </row>
    <row r="1324" spans="2:3">
      <c r="B1324" s="391" t="str">
        <f t="shared" si="40"/>
        <v/>
      </c>
      <c r="C1324" s="389" t="str">
        <f t="shared" si="41"/>
        <v>janeiro</v>
      </c>
    </row>
    <row r="1325" spans="2:3">
      <c r="B1325" s="391" t="str">
        <f t="shared" si="40"/>
        <v/>
      </c>
      <c r="C1325" s="389" t="str">
        <f t="shared" si="41"/>
        <v>janeiro</v>
      </c>
    </row>
    <row r="1326" spans="2:3">
      <c r="B1326" s="391" t="str">
        <f t="shared" si="40"/>
        <v/>
      </c>
      <c r="C1326" s="389" t="str">
        <f t="shared" si="41"/>
        <v>janeiro</v>
      </c>
    </row>
    <row r="1327" spans="2:3">
      <c r="B1327" s="391" t="str">
        <f t="shared" si="40"/>
        <v/>
      </c>
      <c r="C1327" s="389" t="str">
        <f t="shared" si="41"/>
        <v>janeiro</v>
      </c>
    </row>
    <row r="1328" spans="2:3">
      <c r="B1328" s="391" t="str">
        <f t="shared" si="40"/>
        <v/>
      </c>
      <c r="C1328" s="389" t="str">
        <f t="shared" si="41"/>
        <v>janeiro</v>
      </c>
    </row>
    <row r="1329" spans="2:3">
      <c r="B1329" s="391" t="str">
        <f t="shared" si="40"/>
        <v/>
      </c>
      <c r="C1329" s="389" t="str">
        <f t="shared" si="41"/>
        <v>janeiro</v>
      </c>
    </row>
    <row r="1330" spans="2:3">
      <c r="B1330" s="391" t="str">
        <f t="shared" si="40"/>
        <v/>
      </c>
      <c r="C1330" s="389" t="str">
        <f t="shared" si="41"/>
        <v>janeiro</v>
      </c>
    </row>
    <row r="1331" spans="2:3">
      <c r="B1331" s="391" t="str">
        <f t="shared" si="40"/>
        <v/>
      </c>
      <c r="C1331" s="389" t="str">
        <f t="shared" si="41"/>
        <v>janeiro</v>
      </c>
    </row>
    <row r="1332" spans="2:3">
      <c r="B1332" s="391" t="str">
        <f t="shared" si="40"/>
        <v/>
      </c>
      <c r="C1332" s="389" t="str">
        <f t="shared" si="41"/>
        <v>janeiro</v>
      </c>
    </row>
    <row r="1333" spans="2:3">
      <c r="B1333" s="391" t="str">
        <f t="shared" si="40"/>
        <v/>
      </c>
      <c r="C1333" s="389" t="str">
        <f t="shared" si="41"/>
        <v>janeiro</v>
      </c>
    </row>
    <row r="1334" spans="2:3">
      <c r="B1334" s="391" t="str">
        <f t="shared" si="40"/>
        <v/>
      </c>
      <c r="C1334" s="389" t="str">
        <f t="shared" si="41"/>
        <v>janeiro</v>
      </c>
    </row>
    <row r="1335" spans="2:3">
      <c r="B1335" s="391" t="str">
        <f t="shared" si="40"/>
        <v/>
      </c>
      <c r="C1335" s="389" t="str">
        <f t="shared" si="41"/>
        <v>janeiro</v>
      </c>
    </row>
    <row r="1336" spans="2:3">
      <c r="B1336" s="391" t="str">
        <f t="shared" si="40"/>
        <v/>
      </c>
      <c r="C1336" s="389" t="str">
        <f t="shared" si="41"/>
        <v>janeiro</v>
      </c>
    </row>
    <row r="1337" spans="2:3">
      <c r="B1337" s="391" t="str">
        <f t="shared" si="40"/>
        <v/>
      </c>
      <c r="C1337" s="389" t="str">
        <f t="shared" si="41"/>
        <v>janeiro</v>
      </c>
    </row>
    <row r="1338" spans="2:3">
      <c r="B1338" s="391" t="str">
        <f t="shared" si="40"/>
        <v/>
      </c>
      <c r="C1338" s="389" t="str">
        <f t="shared" si="41"/>
        <v>janeiro</v>
      </c>
    </row>
    <row r="1339" spans="2:3">
      <c r="B1339" s="391" t="str">
        <f t="shared" si="40"/>
        <v/>
      </c>
      <c r="C1339" s="389" t="str">
        <f t="shared" si="41"/>
        <v>janeiro</v>
      </c>
    </row>
    <row r="1340" spans="2:3">
      <c r="B1340" s="391" t="str">
        <f t="shared" si="40"/>
        <v/>
      </c>
      <c r="C1340" s="389" t="str">
        <f t="shared" si="41"/>
        <v>janeiro</v>
      </c>
    </row>
    <row r="1341" spans="2:3">
      <c r="B1341" s="391" t="str">
        <f t="shared" si="40"/>
        <v/>
      </c>
      <c r="C1341" s="389" t="str">
        <f t="shared" si="41"/>
        <v>janeiro</v>
      </c>
    </row>
    <row r="1342" spans="2:3">
      <c r="B1342" s="391" t="str">
        <f t="shared" si="40"/>
        <v/>
      </c>
      <c r="C1342" s="389" t="str">
        <f t="shared" si="41"/>
        <v>janeiro</v>
      </c>
    </row>
    <row r="1343" spans="2:3">
      <c r="B1343" s="391" t="str">
        <f t="shared" si="40"/>
        <v/>
      </c>
      <c r="C1343" s="389" t="str">
        <f t="shared" si="41"/>
        <v>janeiro</v>
      </c>
    </row>
    <row r="1344" spans="2:3">
      <c r="B1344" s="391" t="str">
        <f t="shared" si="40"/>
        <v/>
      </c>
      <c r="C1344" s="389" t="str">
        <f t="shared" si="41"/>
        <v>janeiro</v>
      </c>
    </row>
    <row r="1345" spans="2:3">
      <c r="B1345" s="391" t="str">
        <f t="shared" si="40"/>
        <v/>
      </c>
      <c r="C1345" s="389" t="str">
        <f t="shared" si="41"/>
        <v>janeiro</v>
      </c>
    </row>
    <row r="1346" spans="2:3">
      <c r="B1346" s="391" t="str">
        <f t="shared" si="40"/>
        <v/>
      </c>
      <c r="C1346" s="389" t="str">
        <f t="shared" si="41"/>
        <v>janeiro</v>
      </c>
    </row>
    <row r="1347" spans="2:3">
      <c r="B1347" s="391" t="str">
        <f t="shared" ref="B1347:B1404" si="42">IF(LEFT(A1347,1)="E",A1347,LEFT(A1347,13))</f>
        <v/>
      </c>
      <c r="C1347" s="389" t="str">
        <f t="shared" ref="C1347:C1404" si="43">TEXT(E1347,"mmmm")</f>
        <v>janeiro</v>
      </c>
    </row>
    <row r="1348" spans="2:3">
      <c r="B1348" s="391" t="str">
        <f t="shared" si="42"/>
        <v/>
      </c>
      <c r="C1348" s="389" t="str">
        <f t="shared" si="43"/>
        <v>janeiro</v>
      </c>
    </row>
    <row r="1349" spans="2:3">
      <c r="B1349" s="391" t="str">
        <f t="shared" si="42"/>
        <v/>
      </c>
      <c r="C1349" s="389" t="str">
        <f t="shared" si="43"/>
        <v>janeiro</v>
      </c>
    </row>
    <row r="1350" spans="2:3">
      <c r="B1350" s="391" t="str">
        <f t="shared" si="42"/>
        <v/>
      </c>
      <c r="C1350" s="389" t="str">
        <f t="shared" si="43"/>
        <v>janeiro</v>
      </c>
    </row>
    <row r="1351" spans="2:3">
      <c r="B1351" s="391" t="str">
        <f t="shared" si="42"/>
        <v/>
      </c>
      <c r="C1351" s="389" t="str">
        <f t="shared" si="43"/>
        <v>janeiro</v>
      </c>
    </row>
    <row r="1352" spans="2:3">
      <c r="B1352" s="391" t="str">
        <f t="shared" si="42"/>
        <v/>
      </c>
      <c r="C1352" s="389" t="str">
        <f t="shared" si="43"/>
        <v>janeiro</v>
      </c>
    </row>
    <row r="1353" spans="2:3">
      <c r="B1353" s="391" t="str">
        <f t="shared" si="42"/>
        <v/>
      </c>
      <c r="C1353" s="389" t="str">
        <f t="shared" si="43"/>
        <v>janeiro</v>
      </c>
    </row>
    <row r="1354" spans="2:3">
      <c r="B1354" s="391" t="str">
        <f t="shared" si="42"/>
        <v/>
      </c>
      <c r="C1354" s="389" t="str">
        <f t="shared" si="43"/>
        <v>janeiro</v>
      </c>
    </row>
    <row r="1355" spans="2:3">
      <c r="B1355" s="391" t="str">
        <f t="shared" si="42"/>
        <v/>
      </c>
      <c r="C1355" s="389" t="str">
        <f t="shared" si="43"/>
        <v>janeiro</v>
      </c>
    </row>
    <row r="1356" spans="2:3">
      <c r="B1356" s="391" t="str">
        <f t="shared" si="42"/>
        <v/>
      </c>
      <c r="C1356" s="389" t="str">
        <f t="shared" si="43"/>
        <v>janeiro</v>
      </c>
    </row>
    <row r="1357" spans="2:3">
      <c r="B1357" s="391" t="str">
        <f t="shared" si="42"/>
        <v/>
      </c>
      <c r="C1357" s="389" t="str">
        <f t="shared" si="43"/>
        <v>janeiro</v>
      </c>
    </row>
    <row r="1358" spans="2:3">
      <c r="B1358" s="391" t="str">
        <f t="shared" si="42"/>
        <v/>
      </c>
      <c r="C1358" s="389" t="str">
        <f t="shared" si="43"/>
        <v>janeiro</v>
      </c>
    </row>
    <row r="1359" spans="2:3">
      <c r="B1359" s="391" t="str">
        <f t="shared" si="42"/>
        <v/>
      </c>
      <c r="C1359" s="389" t="str">
        <f t="shared" si="43"/>
        <v>janeiro</v>
      </c>
    </row>
    <row r="1360" spans="2:3">
      <c r="B1360" s="391" t="str">
        <f t="shared" si="42"/>
        <v/>
      </c>
      <c r="C1360" s="389" t="str">
        <f t="shared" si="43"/>
        <v>janeiro</v>
      </c>
    </row>
    <row r="1361" spans="2:3">
      <c r="B1361" s="391" t="str">
        <f t="shared" si="42"/>
        <v/>
      </c>
      <c r="C1361" s="389" t="str">
        <f t="shared" si="43"/>
        <v>janeiro</v>
      </c>
    </row>
    <row r="1362" spans="2:3">
      <c r="B1362" s="391" t="str">
        <f t="shared" si="42"/>
        <v/>
      </c>
      <c r="C1362" s="389" t="str">
        <f t="shared" si="43"/>
        <v>janeiro</v>
      </c>
    </row>
    <row r="1363" spans="2:3">
      <c r="B1363" s="391" t="str">
        <f t="shared" si="42"/>
        <v/>
      </c>
      <c r="C1363" s="389" t="str">
        <f t="shared" si="43"/>
        <v>janeiro</v>
      </c>
    </row>
    <row r="1364" spans="2:3">
      <c r="B1364" s="391" t="str">
        <f t="shared" si="42"/>
        <v/>
      </c>
      <c r="C1364" s="389" t="str">
        <f t="shared" si="43"/>
        <v>janeiro</v>
      </c>
    </row>
    <row r="1365" spans="2:3">
      <c r="B1365" s="391" t="str">
        <f t="shared" si="42"/>
        <v/>
      </c>
      <c r="C1365" s="389" t="str">
        <f t="shared" si="43"/>
        <v>janeiro</v>
      </c>
    </row>
    <row r="1366" spans="2:3">
      <c r="B1366" s="391" t="str">
        <f t="shared" si="42"/>
        <v/>
      </c>
      <c r="C1366" s="389" t="str">
        <f t="shared" si="43"/>
        <v>janeiro</v>
      </c>
    </row>
    <row r="1367" spans="2:3">
      <c r="B1367" s="391" t="str">
        <f t="shared" si="42"/>
        <v/>
      </c>
      <c r="C1367" s="389" t="str">
        <f t="shared" si="43"/>
        <v>janeiro</v>
      </c>
    </row>
    <row r="1368" spans="2:3">
      <c r="B1368" s="391" t="str">
        <f t="shared" si="42"/>
        <v/>
      </c>
      <c r="C1368" s="389" t="str">
        <f t="shared" si="43"/>
        <v>janeiro</v>
      </c>
    </row>
    <row r="1369" spans="2:3">
      <c r="B1369" s="391" t="str">
        <f t="shared" si="42"/>
        <v/>
      </c>
      <c r="C1369" s="389" t="str">
        <f t="shared" si="43"/>
        <v>janeiro</v>
      </c>
    </row>
    <row r="1370" spans="2:3">
      <c r="B1370" s="391" t="str">
        <f t="shared" si="42"/>
        <v/>
      </c>
      <c r="C1370" s="389" t="str">
        <f t="shared" si="43"/>
        <v>janeiro</v>
      </c>
    </row>
    <row r="1371" spans="2:3">
      <c r="B1371" s="391" t="str">
        <f t="shared" si="42"/>
        <v/>
      </c>
      <c r="C1371" s="389" t="str">
        <f t="shared" si="43"/>
        <v>janeiro</v>
      </c>
    </row>
    <row r="1372" spans="2:3">
      <c r="B1372" s="391" t="str">
        <f t="shared" si="42"/>
        <v/>
      </c>
      <c r="C1372" s="389" t="str">
        <f t="shared" si="43"/>
        <v>janeiro</v>
      </c>
    </row>
    <row r="1373" spans="2:3">
      <c r="B1373" s="391" t="str">
        <f t="shared" si="42"/>
        <v/>
      </c>
      <c r="C1373" s="389" t="str">
        <f t="shared" si="43"/>
        <v>janeiro</v>
      </c>
    </row>
    <row r="1374" spans="2:3">
      <c r="B1374" s="391" t="str">
        <f t="shared" si="42"/>
        <v/>
      </c>
      <c r="C1374" s="389" t="str">
        <f t="shared" si="43"/>
        <v>janeiro</v>
      </c>
    </row>
    <row r="1375" spans="2:3">
      <c r="B1375" s="391" t="str">
        <f t="shared" si="42"/>
        <v/>
      </c>
      <c r="C1375" s="389" t="str">
        <f t="shared" si="43"/>
        <v>janeiro</v>
      </c>
    </row>
    <row r="1376" spans="2:3">
      <c r="B1376" s="391" t="str">
        <f t="shared" si="42"/>
        <v/>
      </c>
      <c r="C1376" s="389" t="str">
        <f t="shared" si="43"/>
        <v>janeiro</v>
      </c>
    </row>
    <row r="1377" spans="2:3">
      <c r="B1377" s="391" t="str">
        <f t="shared" si="42"/>
        <v/>
      </c>
      <c r="C1377" s="389" t="str">
        <f t="shared" si="43"/>
        <v>janeiro</v>
      </c>
    </row>
    <row r="1378" spans="2:3">
      <c r="B1378" s="391" t="str">
        <f t="shared" si="42"/>
        <v/>
      </c>
      <c r="C1378" s="389" t="str">
        <f t="shared" si="43"/>
        <v>janeiro</v>
      </c>
    </row>
    <row r="1379" spans="2:3">
      <c r="B1379" s="391" t="str">
        <f t="shared" si="42"/>
        <v/>
      </c>
      <c r="C1379" s="389" t="str">
        <f t="shared" si="43"/>
        <v>janeiro</v>
      </c>
    </row>
    <row r="1380" spans="2:3">
      <c r="B1380" s="391" t="str">
        <f t="shared" si="42"/>
        <v/>
      </c>
      <c r="C1380" s="389" t="str">
        <f t="shared" si="43"/>
        <v>janeiro</v>
      </c>
    </row>
    <row r="1381" spans="2:3">
      <c r="B1381" s="391" t="str">
        <f t="shared" si="42"/>
        <v/>
      </c>
      <c r="C1381" s="389" t="str">
        <f t="shared" si="43"/>
        <v>janeiro</v>
      </c>
    </row>
    <row r="1382" spans="2:3">
      <c r="B1382" s="391" t="str">
        <f t="shared" si="42"/>
        <v/>
      </c>
      <c r="C1382" s="389" t="str">
        <f t="shared" si="43"/>
        <v>janeiro</v>
      </c>
    </row>
    <row r="1383" spans="2:3">
      <c r="B1383" s="391" t="str">
        <f t="shared" si="42"/>
        <v/>
      </c>
      <c r="C1383" s="389" t="str">
        <f t="shared" si="43"/>
        <v>janeiro</v>
      </c>
    </row>
    <row r="1384" spans="2:3">
      <c r="B1384" s="391" t="str">
        <f t="shared" si="42"/>
        <v/>
      </c>
      <c r="C1384" s="389" t="str">
        <f t="shared" si="43"/>
        <v>janeiro</v>
      </c>
    </row>
    <row r="1385" spans="2:3">
      <c r="B1385" s="391" t="str">
        <f t="shared" si="42"/>
        <v/>
      </c>
      <c r="C1385" s="389" t="str">
        <f t="shared" si="43"/>
        <v>janeiro</v>
      </c>
    </row>
    <row r="1386" spans="2:3">
      <c r="B1386" s="391" t="str">
        <f t="shared" si="42"/>
        <v/>
      </c>
      <c r="C1386" s="389" t="str">
        <f t="shared" si="43"/>
        <v>janeiro</v>
      </c>
    </row>
    <row r="1387" spans="2:3">
      <c r="B1387" s="391" t="str">
        <f t="shared" si="42"/>
        <v/>
      </c>
      <c r="C1387" s="389" t="str">
        <f t="shared" si="43"/>
        <v>janeiro</v>
      </c>
    </row>
    <row r="1388" spans="2:3">
      <c r="B1388" s="391" t="str">
        <f t="shared" si="42"/>
        <v/>
      </c>
      <c r="C1388" s="389" t="str">
        <f t="shared" si="43"/>
        <v>janeiro</v>
      </c>
    </row>
    <row r="1389" spans="2:3">
      <c r="B1389" s="391" t="str">
        <f t="shared" si="42"/>
        <v/>
      </c>
      <c r="C1389" s="389" t="str">
        <f t="shared" si="43"/>
        <v>janeiro</v>
      </c>
    </row>
    <row r="1390" spans="2:3">
      <c r="B1390" s="391" t="str">
        <f t="shared" si="42"/>
        <v/>
      </c>
      <c r="C1390" s="389" t="str">
        <f t="shared" si="43"/>
        <v>janeiro</v>
      </c>
    </row>
    <row r="1391" spans="2:3">
      <c r="B1391" s="391" t="str">
        <f t="shared" si="42"/>
        <v/>
      </c>
      <c r="C1391" s="389" t="str">
        <f t="shared" si="43"/>
        <v>janeiro</v>
      </c>
    </row>
    <row r="1392" spans="2:3">
      <c r="B1392" s="391" t="str">
        <f t="shared" si="42"/>
        <v/>
      </c>
      <c r="C1392" s="389" t="str">
        <f t="shared" si="43"/>
        <v>janeiro</v>
      </c>
    </row>
    <row r="1393" spans="2:3">
      <c r="B1393" s="391" t="str">
        <f t="shared" si="42"/>
        <v/>
      </c>
      <c r="C1393" s="389" t="str">
        <f t="shared" si="43"/>
        <v>janeiro</v>
      </c>
    </row>
    <row r="1394" spans="2:3">
      <c r="B1394" s="391" t="str">
        <f t="shared" si="42"/>
        <v/>
      </c>
      <c r="C1394" s="389" t="str">
        <f t="shared" si="43"/>
        <v>janeiro</v>
      </c>
    </row>
    <row r="1395" spans="2:3">
      <c r="B1395" s="391" t="str">
        <f t="shared" si="42"/>
        <v/>
      </c>
      <c r="C1395" s="389" t="str">
        <f t="shared" si="43"/>
        <v>janeiro</v>
      </c>
    </row>
    <row r="1396" spans="2:3">
      <c r="B1396" s="391" t="str">
        <f t="shared" si="42"/>
        <v/>
      </c>
      <c r="C1396" s="389" t="str">
        <f t="shared" si="43"/>
        <v>janeiro</v>
      </c>
    </row>
    <row r="1397" spans="2:3">
      <c r="B1397" s="391" t="str">
        <f t="shared" si="42"/>
        <v/>
      </c>
      <c r="C1397" s="389" t="str">
        <f t="shared" si="43"/>
        <v>janeiro</v>
      </c>
    </row>
    <row r="1398" spans="2:3">
      <c r="B1398" s="391" t="str">
        <f t="shared" si="42"/>
        <v/>
      </c>
      <c r="C1398" s="389" t="str">
        <f t="shared" si="43"/>
        <v>janeiro</v>
      </c>
    </row>
    <row r="1399" spans="2:3">
      <c r="B1399" s="391" t="str">
        <f t="shared" si="42"/>
        <v/>
      </c>
      <c r="C1399" s="389" t="str">
        <f t="shared" si="43"/>
        <v>janeiro</v>
      </c>
    </row>
    <row r="1400" spans="2:3">
      <c r="B1400" s="391" t="str">
        <f t="shared" si="42"/>
        <v/>
      </c>
      <c r="C1400" s="389" t="str">
        <f t="shared" si="43"/>
        <v>janeiro</v>
      </c>
    </row>
    <row r="1401" spans="2:3">
      <c r="B1401" s="391" t="str">
        <f t="shared" si="42"/>
        <v/>
      </c>
      <c r="C1401" s="389" t="str">
        <f t="shared" si="43"/>
        <v>janeiro</v>
      </c>
    </row>
    <row r="1402" spans="2:3">
      <c r="B1402" s="391" t="str">
        <f t="shared" si="42"/>
        <v/>
      </c>
      <c r="C1402" s="389" t="str">
        <f t="shared" si="43"/>
        <v>janeiro</v>
      </c>
    </row>
    <row r="1403" spans="2:3">
      <c r="B1403" s="391" t="str">
        <f t="shared" si="42"/>
        <v/>
      </c>
      <c r="C1403" s="389" t="str">
        <f t="shared" si="43"/>
        <v>janeiro</v>
      </c>
    </row>
    <row r="1404" spans="2:3">
      <c r="B1404" s="391" t="str">
        <f t="shared" si="42"/>
        <v/>
      </c>
      <c r="C1404" s="389" t="str">
        <f t="shared" si="43"/>
        <v>janeiro</v>
      </c>
    </row>
  </sheetData>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979B5-2958-4BB8-9562-A4D97027462C}">
  <sheetPr codeName="Planilha24">
    <tabColor rgb="FF0070C0"/>
  </sheetPr>
  <dimension ref="A1:S1490"/>
  <sheetViews>
    <sheetView workbookViewId="0">
      <selection activeCell="B2" sqref="B2:B1500"/>
    </sheetView>
  </sheetViews>
  <sheetFormatPr defaultColWidth="9.1796875" defaultRowHeight="14.5"/>
  <cols>
    <col min="1" max="2" width="15" style="389" bestFit="1" customWidth="1"/>
    <col min="3" max="3" width="13" style="389" bestFit="1" customWidth="1"/>
    <col min="4" max="4" width="8" style="389" bestFit="1" customWidth="1"/>
    <col min="5" max="5" width="14" style="389" bestFit="1" customWidth="1"/>
    <col min="6" max="6" width="21" style="389" bestFit="1" customWidth="1"/>
    <col min="7" max="7" width="14" style="389" bestFit="1" customWidth="1"/>
    <col min="8" max="8" width="17" style="389" bestFit="1" customWidth="1"/>
    <col min="9" max="9" width="16" style="389" bestFit="1" customWidth="1"/>
    <col min="10" max="10" width="17" style="389" bestFit="1" customWidth="1"/>
    <col min="11" max="11" width="12" style="389" bestFit="1" customWidth="1"/>
    <col min="12" max="12" width="20" style="389" bestFit="1" customWidth="1"/>
    <col min="13" max="13" width="11" style="389" bestFit="1" customWidth="1"/>
    <col min="14" max="14" width="52" style="389" bestFit="1" customWidth="1"/>
    <col min="15" max="15" width="42" style="389" bestFit="1" customWidth="1"/>
    <col min="16" max="16" width="21" style="389" bestFit="1" customWidth="1"/>
    <col min="17" max="17" width="37" style="389" bestFit="1" customWidth="1"/>
    <col min="18" max="18" width="11" style="389" bestFit="1" customWidth="1"/>
    <col min="19" max="19" width="40" style="389" bestFit="1" customWidth="1"/>
    <col min="20" max="16384" width="9.1796875" style="389"/>
  </cols>
  <sheetData>
    <row r="1" spans="1:19" ht="29">
      <c r="A1" s="387" t="s">
        <v>3340</v>
      </c>
      <c r="B1" s="387" t="s">
        <v>3226</v>
      </c>
      <c r="C1" s="387" t="s">
        <v>2958</v>
      </c>
      <c r="D1" s="387" t="s">
        <v>2959</v>
      </c>
      <c r="E1" s="387" t="s">
        <v>2956</v>
      </c>
      <c r="F1" s="387" t="s">
        <v>2960</v>
      </c>
      <c r="G1" s="387" t="s">
        <v>2961</v>
      </c>
      <c r="H1" s="387" t="s">
        <v>2962</v>
      </c>
      <c r="I1" s="387" t="s">
        <v>3217</v>
      </c>
      <c r="J1" s="387" t="s">
        <v>2964</v>
      </c>
      <c r="K1" s="388" t="s">
        <v>2965</v>
      </c>
      <c r="L1" s="387" t="s">
        <v>2966</v>
      </c>
      <c r="M1" s="388" t="s">
        <v>2967</v>
      </c>
      <c r="N1" s="387" t="s">
        <v>2968</v>
      </c>
      <c r="O1" s="387" t="s">
        <v>2969</v>
      </c>
      <c r="P1" s="387" t="s">
        <v>2970</v>
      </c>
      <c r="Q1" s="387" t="s">
        <v>2971</v>
      </c>
      <c r="R1" s="387" t="s">
        <v>2915</v>
      </c>
      <c r="S1" s="387" t="s">
        <v>3218</v>
      </c>
    </row>
    <row r="2" spans="1:19">
      <c r="A2" s="389" t="s">
        <v>1951</v>
      </c>
      <c r="B2" s="391" t="str">
        <f>TEXT(E2,"mmmm")</f>
        <v>janeiro</v>
      </c>
      <c r="C2" s="389" t="s">
        <v>7263</v>
      </c>
      <c r="D2" s="389" t="s">
        <v>2921</v>
      </c>
      <c r="E2" s="391">
        <v>45681</v>
      </c>
      <c r="F2" s="389" t="s">
        <v>6878</v>
      </c>
      <c r="G2" s="389" t="s">
        <v>2916</v>
      </c>
      <c r="H2" s="389" t="s">
        <v>7667</v>
      </c>
      <c r="I2" s="398">
        <v>32075</v>
      </c>
      <c r="J2" s="390">
        <v>5193.8999999999996</v>
      </c>
      <c r="K2" s="389" t="s">
        <v>2917</v>
      </c>
      <c r="L2" s="390">
        <v>32075</v>
      </c>
      <c r="M2" s="389" t="s">
        <v>2918</v>
      </c>
      <c r="N2" s="389" t="s">
        <v>2940</v>
      </c>
      <c r="O2" s="389" t="s">
        <v>2940</v>
      </c>
      <c r="P2" s="389" t="s">
        <v>2924</v>
      </c>
      <c r="Q2" s="389" t="s">
        <v>3219</v>
      </c>
      <c r="R2" s="389" t="s">
        <v>2208</v>
      </c>
      <c r="S2" s="389" t="s">
        <v>2208</v>
      </c>
    </row>
    <row r="3" spans="1:19">
      <c r="A3" s="389" t="s">
        <v>1951</v>
      </c>
      <c r="B3" s="391" t="str">
        <f t="shared" ref="B3:B66" si="0">TEXT(E3,"mmmm")</f>
        <v>janeiro</v>
      </c>
      <c r="C3" s="389" t="s">
        <v>7263</v>
      </c>
      <c r="D3" s="389" t="s">
        <v>2921</v>
      </c>
      <c r="E3" s="391">
        <v>45681</v>
      </c>
      <c r="F3" s="389" t="s">
        <v>6878</v>
      </c>
      <c r="G3" s="389" t="s">
        <v>2916</v>
      </c>
      <c r="H3" s="389" t="s">
        <v>7668</v>
      </c>
      <c r="I3" s="398">
        <v>20790</v>
      </c>
      <c r="J3" s="390">
        <v>3366.52</v>
      </c>
      <c r="K3" s="389" t="s">
        <v>2917</v>
      </c>
      <c r="L3" s="390">
        <v>20790</v>
      </c>
      <c r="M3" s="389" t="s">
        <v>2918</v>
      </c>
      <c r="N3" s="389" t="s">
        <v>2940</v>
      </c>
      <c r="O3" s="389" t="s">
        <v>2940</v>
      </c>
      <c r="P3" s="389" t="s">
        <v>2924</v>
      </c>
      <c r="Q3" s="389" t="s">
        <v>3219</v>
      </c>
      <c r="R3" s="389" t="s">
        <v>2208</v>
      </c>
      <c r="S3" s="389" t="s">
        <v>2208</v>
      </c>
    </row>
    <row r="4" spans="1:19">
      <c r="A4" s="389" t="s">
        <v>1951</v>
      </c>
      <c r="B4" s="391" t="str">
        <f t="shared" si="0"/>
        <v>janeiro</v>
      </c>
      <c r="C4" s="389" t="s">
        <v>7263</v>
      </c>
      <c r="D4" s="389" t="s">
        <v>2921</v>
      </c>
      <c r="E4" s="391">
        <v>45684</v>
      </c>
      <c r="F4" s="389" t="s">
        <v>6878</v>
      </c>
      <c r="G4" s="389" t="s">
        <v>2916</v>
      </c>
      <c r="H4" s="389" t="s">
        <v>7669</v>
      </c>
      <c r="I4" s="398">
        <v>0</v>
      </c>
      <c r="J4" s="390">
        <v>-311.39999999999998</v>
      </c>
      <c r="K4" s="389" t="s">
        <v>2917</v>
      </c>
      <c r="L4" s="390">
        <v>-1923.08</v>
      </c>
      <c r="M4" s="389" t="s">
        <v>2918</v>
      </c>
      <c r="N4" s="389" t="s">
        <v>7670</v>
      </c>
      <c r="O4" s="389" t="s">
        <v>2940</v>
      </c>
      <c r="P4" s="389" t="s">
        <v>2924</v>
      </c>
      <c r="Q4" s="389" t="s">
        <v>3219</v>
      </c>
      <c r="R4" s="389" t="s">
        <v>2208</v>
      </c>
      <c r="S4" s="389" t="s">
        <v>2208</v>
      </c>
    </row>
    <row r="5" spans="1:19">
      <c r="A5" s="389" t="s">
        <v>1951</v>
      </c>
      <c r="B5" s="391" t="str">
        <f t="shared" si="0"/>
        <v>janeiro</v>
      </c>
      <c r="C5" s="389" t="s">
        <v>7263</v>
      </c>
      <c r="D5" s="389" t="s">
        <v>2921</v>
      </c>
      <c r="E5" s="391">
        <v>45686</v>
      </c>
      <c r="F5" s="389" t="s">
        <v>6878</v>
      </c>
      <c r="G5" s="389" t="s">
        <v>2916</v>
      </c>
      <c r="H5" s="389" t="s">
        <v>7671</v>
      </c>
      <c r="I5" s="398">
        <v>0</v>
      </c>
      <c r="J5" s="390">
        <v>-480.43</v>
      </c>
      <c r="K5" s="389" t="s">
        <v>2917</v>
      </c>
      <c r="L5" s="390">
        <v>-2966.94</v>
      </c>
      <c r="M5" s="389" t="s">
        <v>2918</v>
      </c>
      <c r="N5" s="389" t="s">
        <v>7672</v>
      </c>
      <c r="O5" s="389" t="s">
        <v>2940</v>
      </c>
      <c r="P5" s="389" t="s">
        <v>2924</v>
      </c>
      <c r="Q5" s="389" t="s">
        <v>3219</v>
      </c>
      <c r="R5" s="389" t="s">
        <v>2208</v>
      </c>
      <c r="S5" s="389" t="s">
        <v>2208</v>
      </c>
    </row>
    <row r="6" spans="1:19">
      <c r="A6" s="389" t="s">
        <v>1951</v>
      </c>
      <c r="B6" s="391" t="str">
        <f t="shared" si="0"/>
        <v>janeiro</v>
      </c>
      <c r="C6" s="389" t="s">
        <v>7263</v>
      </c>
      <c r="D6" s="389" t="s">
        <v>2921</v>
      </c>
      <c r="E6" s="391">
        <v>45688</v>
      </c>
      <c r="F6" s="389" t="s">
        <v>2208</v>
      </c>
      <c r="G6" s="389" t="s">
        <v>2916</v>
      </c>
      <c r="H6" s="389" t="s">
        <v>7673</v>
      </c>
      <c r="I6" s="393">
        <v>0</v>
      </c>
      <c r="J6" s="390">
        <v>-0.02</v>
      </c>
      <c r="K6" s="389" t="s">
        <v>2917</v>
      </c>
      <c r="L6" s="390">
        <v>0</v>
      </c>
      <c r="M6" s="389" t="s">
        <v>2918</v>
      </c>
      <c r="N6" s="389" t="s">
        <v>2919</v>
      </c>
      <c r="O6" s="389" t="s">
        <v>2208</v>
      </c>
      <c r="P6" s="389" t="s">
        <v>2916</v>
      </c>
      <c r="Q6" s="389" t="s">
        <v>3220</v>
      </c>
      <c r="R6" s="389" t="s">
        <v>2208</v>
      </c>
      <c r="S6" s="389" t="s">
        <v>2208</v>
      </c>
    </row>
    <row r="7" spans="1:19">
      <c r="A7" s="389" t="s">
        <v>2639</v>
      </c>
      <c r="B7" s="391" t="str">
        <f t="shared" si="0"/>
        <v>março</v>
      </c>
      <c r="C7" s="389" t="s">
        <v>7263</v>
      </c>
      <c r="D7" s="389" t="s">
        <v>9127</v>
      </c>
      <c r="E7" s="391">
        <v>45741</v>
      </c>
      <c r="F7" s="389" t="s">
        <v>11168</v>
      </c>
      <c r="G7" s="389" t="s">
        <v>2916</v>
      </c>
      <c r="H7" s="389" t="s">
        <v>11169</v>
      </c>
      <c r="I7" s="393">
        <v>65006.23</v>
      </c>
      <c r="J7" s="390">
        <v>11141.42</v>
      </c>
      <c r="K7" s="389" t="s">
        <v>2917</v>
      </c>
      <c r="L7" s="390">
        <v>65006.23</v>
      </c>
      <c r="M7" s="389" t="s">
        <v>2918</v>
      </c>
      <c r="N7" s="389" t="s">
        <v>2939</v>
      </c>
      <c r="O7" s="389" t="s">
        <v>2939</v>
      </c>
      <c r="P7" s="389" t="s">
        <v>2924</v>
      </c>
      <c r="Q7" s="389" t="s">
        <v>3219</v>
      </c>
      <c r="R7" s="389" t="s">
        <v>2208</v>
      </c>
      <c r="S7" s="389" t="s">
        <v>2208</v>
      </c>
    </row>
    <row r="8" spans="1:19">
      <c r="A8" s="389" t="s">
        <v>2639</v>
      </c>
      <c r="B8" s="391" t="str">
        <f t="shared" si="0"/>
        <v>março</v>
      </c>
      <c r="C8" s="389" t="s">
        <v>7263</v>
      </c>
      <c r="D8" s="389" t="s">
        <v>9127</v>
      </c>
      <c r="E8" s="391">
        <v>45743</v>
      </c>
      <c r="F8" s="389" t="s">
        <v>11168</v>
      </c>
      <c r="G8" s="389" t="s">
        <v>2916</v>
      </c>
      <c r="H8" s="389" t="s">
        <v>11437</v>
      </c>
      <c r="I8" s="398">
        <v>0</v>
      </c>
      <c r="J8" s="390">
        <v>-1030.58</v>
      </c>
      <c r="K8" s="389" t="s">
        <v>2917</v>
      </c>
      <c r="L8" s="390">
        <v>-6013.07</v>
      </c>
      <c r="M8" s="389" t="s">
        <v>2918</v>
      </c>
      <c r="N8" s="389" t="s">
        <v>11438</v>
      </c>
      <c r="O8" s="389" t="s">
        <v>2939</v>
      </c>
      <c r="P8" s="389" t="s">
        <v>2924</v>
      </c>
      <c r="Q8" s="389" t="s">
        <v>3219</v>
      </c>
      <c r="R8" s="389" t="s">
        <v>2208</v>
      </c>
      <c r="S8" s="389" t="s">
        <v>2208</v>
      </c>
    </row>
    <row r="9" spans="1:19">
      <c r="A9" s="389" t="s">
        <v>2639</v>
      </c>
      <c r="B9" s="391" t="str">
        <f t="shared" si="0"/>
        <v>março</v>
      </c>
      <c r="C9" s="389" t="s">
        <v>7263</v>
      </c>
      <c r="D9" s="389" t="s">
        <v>9127</v>
      </c>
      <c r="E9" s="391">
        <v>45747</v>
      </c>
      <c r="F9" s="389" t="s">
        <v>2208</v>
      </c>
      <c r="G9" s="389" t="s">
        <v>2916</v>
      </c>
      <c r="H9" s="389" t="s">
        <v>11439</v>
      </c>
      <c r="I9" s="393">
        <v>0</v>
      </c>
      <c r="J9" s="390">
        <v>-0.03</v>
      </c>
      <c r="K9" s="389" t="s">
        <v>2917</v>
      </c>
      <c r="L9" s="390">
        <v>0</v>
      </c>
      <c r="M9" s="389" t="s">
        <v>2918</v>
      </c>
      <c r="N9" s="389" t="s">
        <v>2919</v>
      </c>
      <c r="O9" s="389" t="s">
        <v>2208</v>
      </c>
      <c r="P9" s="389" t="s">
        <v>2916</v>
      </c>
      <c r="Q9" s="389" t="s">
        <v>3220</v>
      </c>
      <c r="R9" s="389" t="s">
        <v>2208</v>
      </c>
      <c r="S9" s="389" t="s">
        <v>2208</v>
      </c>
    </row>
    <row r="10" spans="1:19">
      <c r="A10" s="389" t="s">
        <v>2639</v>
      </c>
      <c r="B10" s="391" t="str">
        <f t="shared" si="0"/>
        <v>junho</v>
      </c>
      <c r="C10" s="389" t="s">
        <v>7263</v>
      </c>
      <c r="D10" s="389" t="s">
        <v>17898</v>
      </c>
      <c r="E10" s="391">
        <v>45826</v>
      </c>
      <c r="F10" s="389" t="s">
        <v>11168</v>
      </c>
      <c r="G10" s="389" t="s">
        <v>2916</v>
      </c>
      <c r="H10" s="389" t="s">
        <v>18663</v>
      </c>
      <c r="I10" s="393">
        <v>15751.77</v>
      </c>
      <c r="J10" s="390">
        <v>2775.46</v>
      </c>
      <c r="K10" s="389" t="s">
        <v>2917</v>
      </c>
      <c r="L10" s="390">
        <v>15751.77</v>
      </c>
      <c r="M10" s="389" t="s">
        <v>2918</v>
      </c>
      <c r="N10" s="389" t="s">
        <v>2939</v>
      </c>
      <c r="O10" s="389" t="s">
        <v>2939</v>
      </c>
      <c r="P10" s="389" t="s">
        <v>2924</v>
      </c>
      <c r="Q10" s="389" t="s">
        <v>3219</v>
      </c>
      <c r="R10" s="389" t="s">
        <v>2208</v>
      </c>
      <c r="S10" s="389" t="s">
        <v>2208</v>
      </c>
    </row>
    <row r="11" spans="1:19">
      <c r="A11" s="389" t="s">
        <v>2639</v>
      </c>
      <c r="B11" s="391" t="str">
        <f t="shared" si="0"/>
        <v>junho</v>
      </c>
      <c r="C11" s="389" t="s">
        <v>7263</v>
      </c>
      <c r="D11" s="389" t="s">
        <v>17898</v>
      </c>
      <c r="E11" s="391">
        <v>45831</v>
      </c>
      <c r="F11" s="389" t="s">
        <v>11168</v>
      </c>
      <c r="G11" s="389" t="s">
        <v>2916</v>
      </c>
      <c r="H11" s="389" t="s">
        <v>18908</v>
      </c>
      <c r="I11" s="398">
        <v>0</v>
      </c>
      <c r="J11" s="390">
        <v>-256.73</v>
      </c>
      <c r="K11" s="389" t="s">
        <v>2917</v>
      </c>
      <c r="L11" s="390">
        <v>-1457.03</v>
      </c>
      <c r="M11" s="389" t="s">
        <v>2918</v>
      </c>
      <c r="N11" s="389" t="s">
        <v>18909</v>
      </c>
      <c r="O11" s="389" t="s">
        <v>2939</v>
      </c>
      <c r="P11" s="389" t="s">
        <v>2924</v>
      </c>
      <c r="Q11" s="389" t="s">
        <v>3219</v>
      </c>
      <c r="R11" s="389" t="s">
        <v>2208</v>
      </c>
      <c r="S11" s="389" t="s">
        <v>2208</v>
      </c>
    </row>
    <row r="12" spans="1:19">
      <c r="A12" s="389" t="s">
        <v>2641</v>
      </c>
      <c r="B12" s="391" t="str">
        <f t="shared" si="0"/>
        <v>janeiro</v>
      </c>
      <c r="C12" s="389" t="s">
        <v>7263</v>
      </c>
      <c r="D12" s="389" t="s">
        <v>2921</v>
      </c>
      <c r="E12" s="391">
        <v>45681</v>
      </c>
      <c r="F12" s="389" t="s">
        <v>7149</v>
      </c>
      <c r="G12" s="389" t="s">
        <v>2916</v>
      </c>
      <c r="H12" s="389" t="s">
        <v>7753</v>
      </c>
      <c r="I12" s="398">
        <v>134441</v>
      </c>
      <c r="J12" s="390">
        <v>21770.03</v>
      </c>
      <c r="K12" s="389" t="s">
        <v>2917</v>
      </c>
      <c r="L12" s="390">
        <v>134441</v>
      </c>
      <c r="M12" s="389" t="s">
        <v>2918</v>
      </c>
      <c r="N12" s="389" t="s">
        <v>2923</v>
      </c>
      <c r="O12" s="389" t="s">
        <v>2923</v>
      </c>
      <c r="P12" s="389" t="s">
        <v>2924</v>
      </c>
      <c r="Q12" s="389" t="s">
        <v>3219</v>
      </c>
      <c r="R12" s="389" t="s">
        <v>2208</v>
      </c>
      <c r="S12" s="389" t="s">
        <v>2208</v>
      </c>
    </row>
    <row r="13" spans="1:19">
      <c r="A13" s="389" t="s">
        <v>2641</v>
      </c>
      <c r="B13" s="391" t="str">
        <f t="shared" si="0"/>
        <v>janeiro</v>
      </c>
      <c r="C13" s="389" t="s">
        <v>7263</v>
      </c>
      <c r="D13" s="389" t="s">
        <v>2921</v>
      </c>
      <c r="E13" s="391">
        <v>45684</v>
      </c>
      <c r="F13" s="389" t="s">
        <v>7149</v>
      </c>
      <c r="G13" s="389" t="s">
        <v>2916</v>
      </c>
      <c r="H13" s="389" t="s">
        <v>7754</v>
      </c>
      <c r="I13" s="398">
        <v>0</v>
      </c>
      <c r="J13" s="390">
        <v>-2013.73</v>
      </c>
      <c r="K13" s="389" t="s">
        <v>2917</v>
      </c>
      <c r="L13" s="390">
        <v>-12435.8</v>
      </c>
      <c r="M13" s="389" t="s">
        <v>2918</v>
      </c>
      <c r="N13" s="389" t="s">
        <v>7755</v>
      </c>
      <c r="O13" s="389" t="s">
        <v>2923</v>
      </c>
      <c r="P13" s="389" t="s">
        <v>2924</v>
      </c>
      <c r="Q13" s="389" t="s">
        <v>3219</v>
      </c>
      <c r="R13" s="389" t="s">
        <v>2208</v>
      </c>
      <c r="S13" s="389" t="s">
        <v>2208</v>
      </c>
    </row>
    <row r="14" spans="1:19">
      <c r="A14" s="389" t="s">
        <v>2641</v>
      </c>
      <c r="B14" s="391" t="str">
        <f t="shared" si="0"/>
        <v>janeiro</v>
      </c>
      <c r="C14" s="389" t="s">
        <v>7263</v>
      </c>
      <c r="D14" s="389" t="s">
        <v>2921</v>
      </c>
      <c r="E14" s="391">
        <v>45688</v>
      </c>
      <c r="F14" s="389" t="s">
        <v>2208</v>
      </c>
      <c r="G14" s="389" t="s">
        <v>2916</v>
      </c>
      <c r="H14" s="389" t="s">
        <v>7756</v>
      </c>
      <c r="I14" s="393">
        <v>0</v>
      </c>
      <c r="J14" s="390">
        <v>-0.03</v>
      </c>
      <c r="K14" s="389" t="s">
        <v>2917</v>
      </c>
      <c r="L14" s="390">
        <v>0</v>
      </c>
      <c r="M14" s="389" t="s">
        <v>2918</v>
      </c>
      <c r="N14" s="389" t="s">
        <v>2919</v>
      </c>
      <c r="O14" s="389" t="s">
        <v>2208</v>
      </c>
      <c r="P14" s="389" t="s">
        <v>2916</v>
      </c>
      <c r="Q14" s="389" t="s">
        <v>3220</v>
      </c>
      <c r="R14" s="389" t="s">
        <v>2208</v>
      </c>
      <c r="S14" s="389" t="s">
        <v>2208</v>
      </c>
    </row>
    <row r="15" spans="1:19">
      <c r="A15" s="389" t="s">
        <v>2641</v>
      </c>
      <c r="B15" s="391" t="str">
        <f t="shared" si="0"/>
        <v>abril</v>
      </c>
      <c r="C15" s="389" t="s">
        <v>7263</v>
      </c>
      <c r="D15" s="389" t="s">
        <v>11332</v>
      </c>
      <c r="E15" s="391">
        <v>45771</v>
      </c>
      <c r="F15" s="389" t="s">
        <v>7149</v>
      </c>
      <c r="G15" s="389" t="s">
        <v>2916</v>
      </c>
      <c r="H15" s="389" t="s">
        <v>15982</v>
      </c>
      <c r="I15" s="398">
        <v>28659</v>
      </c>
      <c r="J15" s="390">
        <v>4976.6400000000003</v>
      </c>
      <c r="K15" s="389" t="s">
        <v>2917</v>
      </c>
      <c r="L15" s="390">
        <v>28659</v>
      </c>
      <c r="M15" s="389" t="s">
        <v>2918</v>
      </c>
      <c r="N15" s="389" t="s">
        <v>2923</v>
      </c>
      <c r="O15" s="389" t="s">
        <v>2923</v>
      </c>
      <c r="P15" s="389" t="s">
        <v>2924</v>
      </c>
      <c r="Q15" s="389" t="s">
        <v>3219</v>
      </c>
      <c r="R15" s="389" t="s">
        <v>2208</v>
      </c>
      <c r="S15" s="389" t="s">
        <v>2208</v>
      </c>
    </row>
    <row r="16" spans="1:19">
      <c r="A16" s="389" t="s">
        <v>2641</v>
      </c>
      <c r="B16" s="391" t="str">
        <f t="shared" si="0"/>
        <v>abril</v>
      </c>
      <c r="C16" s="389" t="s">
        <v>7263</v>
      </c>
      <c r="D16" s="389" t="s">
        <v>11332</v>
      </c>
      <c r="E16" s="391">
        <v>45772</v>
      </c>
      <c r="F16" s="389" t="s">
        <v>7149</v>
      </c>
      <c r="G16" s="389" t="s">
        <v>2916</v>
      </c>
      <c r="H16" s="389" t="s">
        <v>16277</v>
      </c>
      <c r="I16" s="398">
        <v>0</v>
      </c>
      <c r="J16" s="390">
        <v>-460.34</v>
      </c>
      <c r="K16" s="389" t="s">
        <v>2917</v>
      </c>
      <c r="L16" s="390">
        <v>-2650.95</v>
      </c>
      <c r="M16" s="389" t="s">
        <v>2918</v>
      </c>
      <c r="N16" s="389" t="s">
        <v>16278</v>
      </c>
      <c r="O16" s="389" t="s">
        <v>2923</v>
      </c>
      <c r="P16" s="389" t="s">
        <v>2924</v>
      </c>
      <c r="Q16" s="389" t="s">
        <v>3219</v>
      </c>
      <c r="R16" s="389" t="s">
        <v>2208</v>
      </c>
      <c r="S16" s="389" t="s">
        <v>2208</v>
      </c>
    </row>
    <row r="17" spans="1:19">
      <c r="A17" s="389" t="s">
        <v>2641</v>
      </c>
      <c r="B17" s="391" t="str">
        <f t="shared" si="0"/>
        <v>abril</v>
      </c>
      <c r="C17" s="389" t="s">
        <v>7263</v>
      </c>
      <c r="D17" s="389" t="s">
        <v>11332</v>
      </c>
      <c r="E17" s="391">
        <v>45777</v>
      </c>
      <c r="F17" s="389" t="s">
        <v>2208</v>
      </c>
      <c r="G17" s="389" t="s">
        <v>2916</v>
      </c>
      <c r="H17" s="389" t="s">
        <v>16480</v>
      </c>
      <c r="I17" s="393">
        <v>0</v>
      </c>
      <c r="J17" s="390">
        <v>-0.01</v>
      </c>
      <c r="K17" s="389" t="s">
        <v>2917</v>
      </c>
      <c r="L17" s="390">
        <v>0</v>
      </c>
      <c r="M17" s="389" t="s">
        <v>2918</v>
      </c>
      <c r="N17" s="389" t="s">
        <v>2919</v>
      </c>
      <c r="O17" s="389" t="s">
        <v>2208</v>
      </c>
      <c r="P17" s="389" t="s">
        <v>2916</v>
      </c>
      <c r="Q17" s="389" t="s">
        <v>3220</v>
      </c>
      <c r="R17" s="389" t="s">
        <v>2208</v>
      </c>
      <c r="S17" s="389" t="s">
        <v>2208</v>
      </c>
    </row>
    <row r="18" spans="1:19">
      <c r="A18" s="389" t="s">
        <v>2767</v>
      </c>
      <c r="B18" s="391" t="str">
        <f t="shared" si="0"/>
        <v>janeiro</v>
      </c>
      <c r="C18" s="389" t="s">
        <v>7263</v>
      </c>
      <c r="D18" s="389" t="s">
        <v>2921</v>
      </c>
      <c r="E18" s="391">
        <v>45684</v>
      </c>
      <c r="F18" s="389" t="s">
        <v>7757</v>
      </c>
      <c r="G18" s="389" t="s">
        <v>2916</v>
      </c>
      <c r="H18" s="389" t="s">
        <v>7758</v>
      </c>
      <c r="I18" s="398">
        <v>1</v>
      </c>
      <c r="J18" s="390">
        <v>39859.22</v>
      </c>
      <c r="K18" s="389" t="s">
        <v>2917</v>
      </c>
      <c r="L18" s="390">
        <v>246150.96</v>
      </c>
      <c r="M18" s="389" t="s">
        <v>2918</v>
      </c>
      <c r="N18" s="389" t="s">
        <v>7759</v>
      </c>
      <c r="O18" s="389" t="s">
        <v>7760</v>
      </c>
      <c r="P18" s="389" t="s">
        <v>2944</v>
      </c>
      <c r="Q18" s="389" t="s">
        <v>3223</v>
      </c>
      <c r="R18" s="389" t="s">
        <v>7761</v>
      </c>
      <c r="S18" s="389" t="s">
        <v>7760</v>
      </c>
    </row>
    <row r="19" spans="1:19">
      <c r="A19" s="389" t="s">
        <v>2767</v>
      </c>
      <c r="B19" s="391" t="str">
        <f t="shared" si="0"/>
        <v>janeiro</v>
      </c>
      <c r="C19" s="389" t="s">
        <v>7263</v>
      </c>
      <c r="D19" s="389" t="s">
        <v>2921</v>
      </c>
      <c r="E19" s="391">
        <v>45684</v>
      </c>
      <c r="F19" s="389" t="s">
        <v>7757</v>
      </c>
      <c r="G19" s="389" t="s">
        <v>2916</v>
      </c>
      <c r="H19" s="389" t="s">
        <v>7758</v>
      </c>
      <c r="I19" s="398">
        <v>2</v>
      </c>
      <c r="J19" s="390">
        <v>3788.64</v>
      </c>
      <c r="K19" s="389" t="s">
        <v>2917</v>
      </c>
      <c r="L19" s="390">
        <v>23396.799999999999</v>
      </c>
      <c r="M19" s="389" t="s">
        <v>2918</v>
      </c>
      <c r="N19" s="389" t="s">
        <v>7759</v>
      </c>
      <c r="O19" s="389" t="s">
        <v>7762</v>
      </c>
      <c r="P19" s="389" t="s">
        <v>2944</v>
      </c>
      <c r="Q19" s="389" t="s">
        <v>3223</v>
      </c>
      <c r="R19" s="389" t="s">
        <v>7763</v>
      </c>
      <c r="S19" s="389" t="s">
        <v>7762</v>
      </c>
    </row>
    <row r="20" spans="1:19">
      <c r="A20" s="389" t="s">
        <v>2767</v>
      </c>
      <c r="B20" s="391" t="str">
        <f t="shared" si="0"/>
        <v>janeiro</v>
      </c>
      <c r="C20" s="389" t="s">
        <v>7263</v>
      </c>
      <c r="D20" s="389" t="s">
        <v>2921</v>
      </c>
      <c r="E20" s="391">
        <v>45684</v>
      </c>
      <c r="F20" s="389" t="s">
        <v>7757</v>
      </c>
      <c r="G20" s="389" t="s">
        <v>2916</v>
      </c>
      <c r="H20" s="389" t="s">
        <v>7758</v>
      </c>
      <c r="I20" s="398">
        <v>1</v>
      </c>
      <c r="J20" s="390">
        <v>12315.23</v>
      </c>
      <c r="K20" s="389" t="s">
        <v>2917</v>
      </c>
      <c r="L20" s="390">
        <v>76052.83</v>
      </c>
      <c r="M20" s="389" t="s">
        <v>2918</v>
      </c>
      <c r="N20" s="389" t="s">
        <v>7759</v>
      </c>
      <c r="O20" s="389" t="s">
        <v>7764</v>
      </c>
      <c r="P20" s="389" t="s">
        <v>2944</v>
      </c>
      <c r="Q20" s="389" t="s">
        <v>3223</v>
      </c>
      <c r="R20" s="389" t="s">
        <v>7765</v>
      </c>
      <c r="S20" s="389" t="s">
        <v>7764</v>
      </c>
    </row>
    <row r="21" spans="1:19">
      <c r="A21" s="389" t="s">
        <v>2767</v>
      </c>
      <c r="B21" s="391" t="str">
        <f t="shared" si="0"/>
        <v>janeiro</v>
      </c>
      <c r="C21" s="389" t="s">
        <v>7263</v>
      </c>
      <c r="D21" s="389" t="s">
        <v>2921</v>
      </c>
      <c r="E21" s="391">
        <v>45684</v>
      </c>
      <c r="F21" s="389" t="s">
        <v>7757</v>
      </c>
      <c r="G21" s="389" t="s">
        <v>2916</v>
      </c>
      <c r="H21" s="389" t="s">
        <v>7758</v>
      </c>
      <c r="I21" s="398">
        <v>1</v>
      </c>
      <c r="J21" s="390">
        <v>5923.27</v>
      </c>
      <c r="K21" s="389" t="s">
        <v>2917</v>
      </c>
      <c r="L21" s="390">
        <v>36579.18</v>
      </c>
      <c r="M21" s="389" t="s">
        <v>2918</v>
      </c>
      <c r="N21" s="389" t="s">
        <v>7759</v>
      </c>
      <c r="O21" s="389" t="s">
        <v>7766</v>
      </c>
      <c r="P21" s="389" t="s">
        <v>2944</v>
      </c>
      <c r="Q21" s="389" t="s">
        <v>3223</v>
      </c>
      <c r="R21" s="389" t="s">
        <v>7767</v>
      </c>
      <c r="S21" s="389" t="s">
        <v>7766</v>
      </c>
    </row>
    <row r="22" spans="1:19">
      <c r="A22" s="389" t="s">
        <v>2767</v>
      </c>
      <c r="B22" s="391" t="str">
        <f t="shared" si="0"/>
        <v>janeiro</v>
      </c>
      <c r="C22" s="389" t="s">
        <v>7263</v>
      </c>
      <c r="D22" s="389" t="s">
        <v>2921</v>
      </c>
      <c r="E22" s="391">
        <v>45684</v>
      </c>
      <c r="F22" s="389" t="s">
        <v>7757</v>
      </c>
      <c r="G22" s="389" t="s">
        <v>2916</v>
      </c>
      <c r="H22" s="389" t="s">
        <v>7758</v>
      </c>
      <c r="I22" s="398">
        <v>1</v>
      </c>
      <c r="J22" s="390">
        <v>6710.99</v>
      </c>
      <c r="K22" s="389" t="s">
        <v>2917</v>
      </c>
      <c r="L22" s="390">
        <v>41443.75</v>
      </c>
      <c r="M22" s="389" t="s">
        <v>2918</v>
      </c>
      <c r="N22" s="389" t="s">
        <v>7759</v>
      </c>
      <c r="O22" s="389" t="s">
        <v>7768</v>
      </c>
      <c r="P22" s="389" t="s">
        <v>2944</v>
      </c>
      <c r="Q22" s="389" t="s">
        <v>3223</v>
      </c>
      <c r="R22" s="389" t="s">
        <v>7769</v>
      </c>
      <c r="S22" s="389" t="s">
        <v>7768</v>
      </c>
    </row>
    <row r="23" spans="1:19">
      <c r="A23" s="389" t="s">
        <v>2767</v>
      </c>
      <c r="B23" s="391" t="str">
        <f t="shared" si="0"/>
        <v>janeiro</v>
      </c>
      <c r="C23" s="389" t="s">
        <v>7263</v>
      </c>
      <c r="D23" s="389" t="s">
        <v>2921</v>
      </c>
      <c r="E23" s="391">
        <v>45684</v>
      </c>
      <c r="F23" s="389" t="s">
        <v>7757</v>
      </c>
      <c r="G23" s="389" t="s">
        <v>2916</v>
      </c>
      <c r="H23" s="389" t="s">
        <v>7758</v>
      </c>
      <c r="I23" s="398">
        <v>1</v>
      </c>
      <c r="J23" s="390">
        <v>11350.63</v>
      </c>
      <c r="K23" s="389" t="s">
        <v>2917</v>
      </c>
      <c r="L23" s="390">
        <v>70095.88</v>
      </c>
      <c r="M23" s="389" t="s">
        <v>2918</v>
      </c>
      <c r="N23" s="389" t="s">
        <v>7759</v>
      </c>
      <c r="O23" s="389" t="s">
        <v>7770</v>
      </c>
      <c r="P23" s="389" t="s">
        <v>2944</v>
      </c>
      <c r="Q23" s="389" t="s">
        <v>3223</v>
      </c>
      <c r="R23" s="389" t="s">
        <v>7771</v>
      </c>
      <c r="S23" s="389" t="s">
        <v>7770</v>
      </c>
    </row>
    <row r="24" spans="1:19">
      <c r="A24" s="389" t="s">
        <v>2767</v>
      </c>
      <c r="B24" s="391" t="str">
        <f t="shared" si="0"/>
        <v>janeiro</v>
      </c>
      <c r="C24" s="389" t="s">
        <v>7263</v>
      </c>
      <c r="D24" s="389" t="s">
        <v>2921</v>
      </c>
      <c r="E24" s="391">
        <v>45686</v>
      </c>
      <c r="F24" s="389" t="s">
        <v>2208</v>
      </c>
      <c r="G24" s="389" t="s">
        <v>2916</v>
      </c>
      <c r="H24" s="389" t="s">
        <v>7485</v>
      </c>
      <c r="I24" s="393">
        <v>0</v>
      </c>
      <c r="J24" s="390">
        <v>10.28</v>
      </c>
      <c r="K24" s="389" t="s">
        <v>2917</v>
      </c>
      <c r="L24" s="390">
        <v>63.51</v>
      </c>
      <c r="M24" s="389" t="s">
        <v>2918</v>
      </c>
      <c r="N24" s="389" t="s">
        <v>3313</v>
      </c>
      <c r="O24" s="389" t="s">
        <v>2208</v>
      </c>
      <c r="P24" s="389" t="s">
        <v>2929</v>
      </c>
      <c r="Q24" s="389" t="s">
        <v>3228</v>
      </c>
      <c r="R24" s="389" t="s">
        <v>2208</v>
      </c>
      <c r="S24" s="389" t="s">
        <v>2208</v>
      </c>
    </row>
    <row r="25" spans="1:19">
      <c r="A25" s="389" t="s">
        <v>2767</v>
      </c>
      <c r="B25" s="391" t="str">
        <f t="shared" si="0"/>
        <v>janeiro</v>
      </c>
      <c r="C25" s="389" t="s">
        <v>7263</v>
      </c>
      <c r="D25" s="389" t="s">
        <v>2921</v>
      </c>
      <c r="E25" s="391">
        <v>45688</v>
      </c>
      <c r="F25" s="389" t="s">
        <v>2208</v>
      </c>
      <c r="G25" s="389" t="s">
        <v>2916</v>
      </c>
      <c r="H25" s="389" t="s">
        <v>7475</v>
      </c>
      <c r="I25" s="393">
        <v>0</v>
      </c>
      <c r="J25" s="390">
        <v>168.14</v>
      </c>
      <c r="K25" s="389" t="s">
        <v>2917</v>
      </c>
      <c r="L25" s="390">
        <v>1038.32</v>
      </c>
      <c r="M25" s="389" t="s">
        <v>2918</v>
      </c>
      <c r="N25" s="389" t="s">
        <v>7476</v>
      </c>
      <c r="O25" s="389" t="s">
        <v>2208</v>
      </c>
      <c r="P25" s="389" t="s">
        <v>2926</v>
      </c>
      <c r="Q25" s="389" t="s">
        <v>3312</v>
      </c>
      <c r="R25" s="389" t="s">
        <v>2208</v>
      </c>
      <c r="S25" s="389" t="s">
        <v>2208</v>
      </c>
    </row>
    <row r="26" spans="1:19">
      <c r="A26" s="389" t="s">
        <v>2767</v>
      </c>
      <c r="B26" s="391" t="str">
        <f t="shared" si="0"/>
        <v>janeiro</v>
      </c>
      <c r="C26" s="389" t="s">
        <v>7263</v>
      </c>
      <c r="D26" s="389" t="s">
        <v>2921</v>
      </c>
      <c r="E26" s="391">
        <v>45688</v>
      </c>
      <c r="F26" s="389" t="s">
        <v>2208</v>
      </c>
      <c r="G26" s="389" t="s">
        <v>2916</v>
      </c>
      <c r="H26" s="389" t="s">
        <v>7477</v>
      </c>
      <c r="I26" s="393">
        <v>0</v>
      </c>
      <c r="J26" s="390">
        <v>-168.14</v>
      </c>
      <c r="K26" s="389" t="s">
        <v>2917</v>
      </c>
      <c r="L26" s="390">
        <v>-1038.32</v>
      </c>
      <c r="M26" s="389" t="s">
        <v>2918</v>
      </c>
      <c r="N26" s="389" t="s">
        <v>7476</v>
      </c>
      <c r="O26" s="389" t="s">
        <v>2208</v>
      </c>
      <c r="P26" s="389" t="s">
        <v>2926</v>
      </c>
      <c r="Q26" s="389" t="s">
        <v>3312</v>
      </c>
      <c r="R26" s="389" t="s">
        <v>2208</v>
      </c>
      <c r="S26" s="389" t="s">
        <v>2208</v>
      </c>
    </row>
    <row r="27" spans="1:19">
      <c r="A27" s="389" t="s">
        <v>2767</v>
      </c>
      <c r="B27" s="391" t="str">
        <f t="shared" si="0"/>
        <v>janeiro</v>
      </c>
      <c r="C27" s="389" t="s">
        <v>7263</v>
      </c>
      <c r="D27" s="389" t="s">
        <v>2921</v>
      </c>
      <c r="E27" s="391">
        <v>45688</v>
      </c>
      <c r="F27" s="389" t="s">
        <v>2208</v>
      </c>
      <c r="G27" s="389" t="s">
        <v>2916</v>
      </c>
      <c r="H27" s="389" t="s">
        <v>7478</v>
      </c>
      <c r="I27" s="393">
        <v>0</v>
      </c>
      <c r="J27" s="390">
        <v>168.14</v>
      </c>
      <c r="K27" s="389" t="s">
        <v>2917</v>
      </c>
      <c r="L27" s="390">
        <v>1038.32</v>
      </c>
      <c r="M27" s="389" t="s">
        <v>2918</v>
      </c>
      <c r="N27" s="389" t="s">
        <v>7476</v>
      </c>
      <c r="O27" s="389" t="s">
        <v>2208</v>
      </c>
      <c r="P27" s="389" t="s">
        <v>2926</v>
      </c>
      <c r="Q27" s="389" t="s">
        <v>3312</v>
      </c>
      <c r="R27" s="389" t="s">
        <v>2208</v>
      </c>
      <c r="S27" s="389" t="s">
        <v>2208</v>
      </c>
    </row>
    <row r="28" spans="1:19">
      <c r="A28" s="389" t="s">
        <v>2767</v>
      </c>
      <c r="B28" s="391" t="str">
        <f t="shared" si="0"/>
        <v>janeiro</v>
      </c>
      <c r="C28" s="389" t="s">
        <v>7263</v>
      </c>
      <c r="D28" s="389" t="s">
        <v>2921</v>
      </c>
      <c r="E28" s="391">
        <v>45688</v>
      </c>
      <c r="F28" s="389" t="s">
        <v>2208</v>
      </c>
      <c r="G28" s="389" t="s">
        <v>2916</v>
      </c>
      <c r="H28" s="389" t="s">
        <v>7772</v>
      </c>
      <c r="I28" s="393">
        <v>0</v>
      </c>
      <c r="J28" s="390">
        <v>-0.04</v>
      </c>
      <c r="K28" s="389" t="s">
        <v>2917</v>
      </c>
      <c r="L28" s="390">
        <v>0</v>
      </c>
      <c r="M28" s="389" t="s">
        <v>2918</v>
      </c>
      <c r="N28" s="389" t="s">
        <v>2919</v>
      </c>
      <c r="O28" s="389" t="s">
        <v>2208</v>
      </c>
      <c r="P28" s="389" t="s">
        <v>2916</v>
      </c>
      <c r="Q28" s="389" t="s">
        <v>3220</v>
      </c>
      <c r="R28" s="389" t="s">
        <v>2208</v>
      </c>
      <c r="S28" s="389" t="s">
        <v>2208</v>
      </c>
    </row>
    <row r="29" spans="1:19">
      <c r="A29" s="389" t="s">
        <v>2767</v>
      </c>
      <c r="B29" s="391" t="str">
        <f t="shared" si="0"/>
        <v>fevereiro</v>
      </c>
      <c r="C29" s="389" t="s">
        <v>7263</v>
      </c>
      <c r="D29" s="389" t="s">
        <v>2925</v>
      </c>
      <c r="E29" s="391">
        <v>45698</v>
      </c>
      <c r="F29" s="389" t="s">
        <v>7757</v>
      </c>
      <c r="G29" s="389" t="s">
        <v>2916</v>
      </c>
      <c r="H29" s="389" t="s">
        <v>8730</v>
      </c>
      <c r="I29" s="398">
        <v>0</v>
      </c>
      <c r="J29" s="390">
        <v>89.06</v>
      </c>
      <c r="K29" s="389" t="s">
        <v>2917</v>
      </c>
      <c r="L29" s="390">
        <v>517.91999999999996</v>
      </c>
      <c r="M29" s="389" t="s">
        <v>2918</v>
      </c>
      <c r="N29" s="389" t="s">
        <v>8731</v>
      </c>
      <c r="O29" s="389" t="s">
        <v>7760</v>
      </c>
      <c r="P29" s="389" t="s">
        <v>2934</v>
      </c>
      <c r="Q29" s="389" t="s">
        <v>2935</v>
      </c>
      <c r="R29" s="389" t="s">
        <v>7761</v>
      </c>
      <c r="S29" s="389" t="s">
        <v>7760</v>
      </c>
    </row>
    <row r="30" spans="1:19">
      <c r="A30" s="389" t="s">
        <v>2767</v>
      </c>
      <c r="B30" s="391" t="str">
        <f t="shared" si="0"/>
        <v>fevereiro</v>
      </c>
      <c r="C30" s="389" t="s">
        <v>7263</v>
      </c>
      <c r="D30" s="389" t="s">
        <v>2925</v>
      </c>
      <c r="E30" s="391">
        <v>45698</v>
      </c>
      <c r="F30" s="389" t="s">
        <v>7757</v>
      </c>
      <c r="G30" s="389" t="s">
        <v>2916</v>
      </c>
      <c r="H30" s="389" t="s">
        <v>8730</v>
      </c>
      <c r="I30" s="398">
        <v>0</v>
      </c>
      <c r="J30" s="390">
        <v>8.4700000000000006</v>
      </c>
      <c r="K30" s="389" t="s">
        <v>2917</v>
      </c>
      <c r="L30" s="390">
        <v>49.23</v>
      </c>
      <c r="M30" s="389" t="s">
        <v>2918</v>
      </c>
      <c r="N30" s="389" t="s">
        <v>8731</v>
      </c>
      <c r="O30" s="389" t="s">
        <v>7762</v>
      </c>
      <c r="P30" s="389" t="s">
        <v>2934</v>
      </c>
      <c r="Q30" s="389" t="s">
        <v>2935</v>
      </c>
      <c r="R30" s="389" t="s">
        <v>7763</v>
      </c>
      <c r="S30" s="389" t="s">
        <v>7762</v>
      </c>
    </row>
    <row r="31" spans="1:19">
      <c r="A31" s="389" t="s">
        <v>2767</v>
      </c>
      <c r="B31" s="391" t="str">
        <f t="shared" si="0"/>
        <v>fevereiro</v>
      </c>
      <c r="C31" s="389" t="s">
        <v>7263</v>
      </c>
      <c r="D31" s="389" t="s">
        <v>2925</v>
      </c>
      <c r="E31" s="391">
        <v>45698</v>
      </c>
      <c r="F31" s="389" t="s">
        <v>7757</v>
      </c>
      <c r="G31" s="389" t="s">
        <v>2916</v>
      </c>
      <c r="H31" s="389" t="s">
        <v>8730</v>
      </c>
      <c r="I31" s="398">
        <v>0</v>
      </c>
      <c r="J31" s="390">
        <v>27.52</v>
      </c>
      <c r="K31" s="389" t="s">
        <v>2917</v>
      </c>
      <c r="L31" s="390">
        <v>160.02000000000001</v>
      </c>
      <c r="M31" s="389" t="s">
        <v>2918</v>
      </c>
      <c r="N31" s="389" t="s">
        <v>8731</v>
      </c>
      <c r="O31" s="389" t="s">
        <v>7764</v>
      </c>
      <c r="P31" s="389" t="s">
        <v>2934</v>
      </c>
      <c r="Q31" s="389" t="s">
        <v>2935</v>
      </c>
      <c r="R31" s="389" t="s">
        <v>7765</v>
      </c>
      <c r="S31" s="389" t="s">
        <v>7764</v>
      </c>
    </row>
    <row r="32" spans="1:19">
      <c r="A32" s="389" t="s">
        <v>2767</v>
      </c>
      <c r="B32" s="391" t="str">
        <f t="shared" si="0"/>
        <v>fevereiro</v>
      </c>
      <c r="C32" s="389" t="s">
        <v>7263</v>
      </c>
      <c r="D32" s="389" t="s">
        <v>2925</v>
      </c>
      <c r="E32" s="391">
        <v>45698</v>
      </c>
      <c r="F32" s="389" t="s">
        <v>7757</v>
      </c>
      <c r="G32" s="389" t="s">
        <v>2916</v>
      </c>
      <c r="H32" s="389" t="s">
        <v>8730</v>
      </c>
      <c r="I32" s="398">
        <v>0</v>
      </c>
      <c r="J32" s="390">
        <v>13.23</v>
      </c>
      <c r="K32" s="389" t="s">
        <v>2917</v>
      </c>
      <c r="L32" s="390">
        <v>76.959999999999994</v>
      </c>
      <c r="M32" s="389" t="s">
        <v>2918</v>
      </c>
      <c r="N32" s="389" t="s">
        <v>8731</v>
      </c>
      <c r="O32" s="389" t="s">
        <v>7766</v>
      </c>
      <c r="P32" s="389" t="s">
        <v>2934</v>
      </c>
      <c r="Q32" s="389" t="s">
        <v>2935</v>
      </c>
      <c r="R32" s="389" t="s">
        <v>7767</v>
      </c>
      <c r="S32" s="389" t="s">
        <v>7766</v>
      </c>
    </row>
    <row r="33" spans="1:19">
      <c r="A33" s="389" t="s">
        <v>2767</v>
      </c>
      <c r="B33" s="391" t="str">
        <f t="shared" si="0"/>
        <v>fevereiro</v>
      </c>
      <c r="C33" s="389" t="s">
        <v>7263</v>
      </c>
      <c r="D33" s="389" t="s">
        <v>2925</v>
      </c>
      <c r="E33" s="391">
        <v>45698</v>
      </c>
      <c r="F33" s="389" t="s">
        <v>7757</v>
      </c>
      <c r="G33" s="389" t="s">
        <v>2916</v>
      </c>
      <c r="H33" s="389" t="s">
        <v>8730</v>
      </c>
      <c r="I33" s="398">
        <v>0</v>
      </c>
      <c r="J33" s="390">
        <v>14.99</v>
      </c>
      <c r="K33" s="389" t="s">
        <v>2917</v>
      </c>
      <c r="L33" s="390">
        <v>87.2</v>
      </c>
      <c r="M33" s="389" t="s">
        <v>2918</v>
      </c>
      <c r="N33" s="389" t="s">
        <v>8731</v>
      </c>
      <c r="O33" s="389" t="s">
        <v>7768</v>
      </c>
      <c r="P33" s="389" t="s">
        <v>2934</v>
      </c>
      <c r="Q33" s="389" t="s">
        <v>2935</v>
      </c>
      <c r="R33" s="389" t="s">
        <v>7769</v>
      </c>
      <c r="S33" s="389" t="s">
        <v>7768</v>
      </c>
    </row>
    <row r="34" spans="1:19">
      <c r="A34" s="389" t="s">
        <v>2767</v>
      </c>
      <c r="B34" s="391" t="str">
        <f t="shared" si="0"/>
        <v>fevereiro</v>
      </c>
      <c r="C34" s="389" t="s">
        <v>7263</v>
      </c>
      <c r="D34" s="389" t="s">
        <v>2925</v>
      </c>
      <c r="E34" s="391">
        <v>45698</v>
      </c>
      <c r="F34" s="389" t="s">
        <v>7757</v>
      </c>
      <c r="G34" s="389" t="s">
        <v>2916</v>
      </c>
      <c r="H34" s="389" t="s">
        <v>8730</v>
      </c>
      <c r="I34" s="398">
        <v>0</v>
      </c>
      <c r="J34" s="390">
        <v>25.36</v>
      </c>
      <c r="K34" s="389" t="s">
        <v>2917</v>
      </c>
      <c r="L34" s="390">
        <v>147.49</v>
      </c>
      <c r="M34" s="389" t="s">
        <v>2918</v>
      </c>
      <c r="N34" s="389" t="s">
        <v>8731</v>
      </c>
      <c r="O34" s="389" t="s">
        <v>7770</v>
      </c>
      <c r="P34" s="389" t="s">
        <v>2934</v>
      </c>
      <c r="Q34" s="389" t="s">
        <v>2935</v>
      </c>
      <c r="R34" s="389" t="s">
        <v>7771</v>
      </c>
      <c r="S34" s="389" t="s">
        <v>7770</v>
      </c>
    </row>
    <row r="35" spans="1:19">
      <c r="A35" s="389" t="s">
        <v>2767</v>
      </c>
      <c r="B35" s="391" t="str">
        <f t="shared" si="0"/>
        <v>fevereiro</v>
      </c>
      <c r="C35" s="389" t="s">
        <v>7263</v>
      </c>
      <c r="D35" s="389" t="s">
        <v>2925</v>
      </c>
      <c r="E35" s="391">
        <v>45701</v>
      </c>
      <c r="F35" s="389" t="s">
        <v>2208</v>
      </c>
      <c r="G35" s="389" t="s">
        <v>2916</v>
      </c>
      <c r="H35" s="389" t="s">
        <v>8551</v>
      </c>
      <c r="I35" s="393">
        <v>0</v>
      </c>
      <c r="J35" s="390">
        <v>-10.28</v>
      </c>
      <c r="K35" s="389" t="s">
        <v>2917</v>
      </c>
      <c r="L35" s="390">
        <v>-63.51</v>
      </c>
      <c r="M35" s="389" t="s">
        <v>2918</v>
      </c>
      <c r="N35" s="389" t="s">
        <v>3313</v>
      </c>
      <c r="O35" s="389" t="s">
        <v>2208</v>
      </c>
      <c r="P35" s="389" t="s">
        <v>2929</v>
      </c>
      <c r="Q35" s="389" t="s">
        <v>3228</v>
      </c>
      <c r="R35" s="389" t="s">
        <v>2208</v>
      </c>
      <c r="S35" s="389" t="s">
        <v>2208</v>
      </c>
    </row>
    <row r="36" spans="1:19">
      <c r="A36" s="389" t="s">
        <v>2767</v>
      </c>
      <c r="B36" s="391" t="str">
        <f t="shared" si="0"/>
        <v>fevereiro</v>
      </c>
      <c r="C36" s="389" t="s">
        <v>7263</v>
      </c>
      <c r="D36" s="389" t="s">
        <v>2925</v>
      </c>
      <c r="E36" s="391">
        <v>45709</v>
      </c>
      <c r="F36" s="389" t="s">
        <v>2208</v>
      </c>
      <c r="G36" s="389" t="s">
        <v>2916</v>
      </c>
      <c r="H36" s="389" t="s">
        <v>8888</v>
      </c>
      <c r="I36" s="393">
        <v>0</v>
      </c>
      <c r="J36" s="390">
        <v>-178.54</v>
      </c>
      <c r="K36" s="389" t="s">
        <v>2917</v>
      </c>
      <c r="L36" s="390">
        <v>-1038.32</v>
      </c>
      <c r="M36" s="389" t="s">
        <v>2918</v>
      </c>
      <c r="N36" s="389" t="s">
        <v>7476</v>
      </c>
      <c r="O36" s="389" t="s">
        <v>2208</v>
      </c>
      <c r="P36" s="389" t="s">
        <v>2926</v>
      </c>
      <c r="Q36" s="389" t="s">
        <v>3312</v>
      </c>
      <c r="R36" s="389" t="s">
        <v>2208</v>
      </c>
      <c r="S36" s="389" t="s">
        <v>2208</v>
      </c>
    </row>
    <row r="37" spans="1:19">
      <c r="A37" s="389" t="s">
        <v>2767</v>
      </c>
      <c r="B37" s="391" t="str">
        <f t="shared" si="0"/>
        <v>fevereiro</v>
      </c>
      <c r="C37" s="389" t="s">
        <v>7263</v>
      </c>
      <c r="D37" s="389" t="s">
        <v>2925</v>
      </c>
      <c r="E37" s="391">
        <v>45712</v>
      </c>
      <c r="F37" s="389" t="s">
        <v>2208</v>
      </c>
      <c r="G37" s="389" t="s">
        <v>2916</v>
      </c>
      <c r="H37" s="389" t="s">
        <v>8907</v>
      </c>
      <c r="I37" s="393">
        <v>0</v>
      </c>
      <c r="J37" s="390">
        <v>381.04</v>
      </c>
      <c r="K37" s="389" t="s">
        <v>2917</v>
      </c>
      <c r="L37" s="390">
        <v>2215.9699999999998</v>
      </c>
      <c r="M37" s="389" t="s">
        <v>2918</v>
      </c>
      <c r="N37" s="389" t="s">
        <v>8908</v>
      </c>
      <c r="O37" s="389" t="s">
        <v>2208</v>
      </c>
      <c r="P37" s="389" t="s">
        <v>2944</v>
      </c>
      <c r="Q37" s="389" t="s">
        <v>3223</v>
      </c>
      <c r="R37" s="389" t="s">
        <v>7761</v>
      </c>
      <c r="S37" s="389" t="s">
        <v>7760</v>
      </c>
    </row>
    <row r="38" spans="1:19">
      <c r="A38" s="389" t="s">
        <v>2767</v>
      </c>
      <c r="B38" s="391" t="str">
        <f t="shared" si="0"/>
        <v>fevereiro</v>
      </c>
      <c r="C38" s="389" t="s">
        <v>7263</v>
      </c>
      <c r="D38" s="389" t="s">
        <v>2925</v>
      </c>
      <c r="E38" s="391">
        <v>45712</v>
      </c>
      <c r="F38" s="389" t="s">
        <v>2208</v>
      </c>
      <c r="G38" s="389" t="s">
        <v>2916</v>
      </c>
      <c r="H38" s="389" t="s">
        <v>8907</v>
      </c>
      <c r="I38" s="393">
        <v>0</v>
      </c>
      <c r="J38" s="390">
        <v>47.78</v>
      </c>
      <c r="K38" s="389" t="s">
        <v>2917</v>
      </c>
      <c r="L38" s="390">
        <v>277.87</v>
      </c>
      <c r="M38" s="389" t="s">
        <v>2918</v>
      </c>
      <c r="N38" s="389" t="s">
        <v>8908</v>
      </c>
      <c r="O38" s="389" t="s">
        <v>2208</v>
      </c>
      <c r="P38" s="389" t="s">
        <v>2944</v>
      </c>
      <c r="Q38" s="389" t="s">
        <v>3223</v>
      </c>
      <c r="R38" s="389" t="s">
        <v>7763</v>
      </c>
      <c r="S38" s="389" t="s">
        <v>7762</v>
      </c>
    </row>
    <row r="39" spans="1:19">
      <c r="A39" s="389" t="s">
        <v>2767</v>
      </c>
      <c r="B39" s="391" t="str">
        <f t="shared" si="0"/>
        <v>fevereiro</v>
      </c>
      <c r="C39" s="389" t="s">
        <v>7263</v>
      </c>
      <c r="D39" s="389" t="s">
        <v>2925</v>
      </c>
      <c r="E39" s="391">
        <v>45712</v>
      </c>
      <c r="F39" s="389" t="s">
        <v>2208</v>
      </c>
      <c r="G39" s="389" t="s">
        <v>2916</v>
      </c>
      <c r="H39" s="389" t="s">
        <v>8907</v>
      </c>
      <c r="I39" s="393">
        <v>0</v>
      </c>
      <c r="J39" s="390">
        <v>122.74</v>
      </c>
      <c r="K39" s="389" t="s">
        <v>2917</v>
      </c>
      <c r="L39" s="390">
        <v>713.79</v>
      </c>
      <c r="M39" s="389" t="s">
        <v>2918</v>
      </c>
      <c r="N39" s="389" t="s">
        <v>8908</v>
      </c>
      <c r="O39" s="389" t="s">
        <v>2208</v>
      </c>
      <c r="P39" s="389" t="s">
        <v>2944</v>
      </c>
      <c r="Q39" s="389" t="s">
        <v>3223</v>
      </c>
      <c r="R39" s="389" t="s">
        <v>7765</v>
      </c>
      <c r="S39" s="389" t="s">
        <v>7764</v>
      </c>
    </row>
    <row r="40" spans="1:19">
      <c r="A40" s="389" t="s">
        <v>2767</v>
      </c>
      <c r="B40" s="391" t="str">
        <f t="shared" si="0"/>
        <v>fevereiro</v>
      </c>
      <c r="C40" s="389" t="s">
        <v>7263</v>
      </c>
      <c r="D40" s="389" t="s">
        <v>2925</v>
      </c>
      <c r="E40" s="391">
        <v>45712</v>
      </c>
      <c r="F40" s="389" t="s">
        <v>2208</v>
      </c>
      <c r="G40" s="389" t="s">
        <v>2916</v>
      </c>
      <c r="H40" s="389" t="s">
        <v>8907</v>
      </c>
      <c r="I40" s="393">
        <v>0</v>
      </c>
      <c r="J40" s="390">
        <v>37.57</v>
      </c>
      <c r="K40" s="389" t="s">
        <v>2917</v>
      </c>
      <c r="L40" s="390">
        <v>218.5</v>
      </c>
      <c r="M40" s="389" t="s">
        <v>2918</v>
      </c>
      <c r="N40" s="389" t="s">
        <v>8908</v>
      </c>
      <c r="O40" s="389" t="s">
        <v>2208</v>
      </c>
      <c r="P40" s="389" t="s">
        <v>2944</v>
      </c>
      <c r="Q40" s="389" t="s">
        <v>3223</v>
      </c>
      <c r="R40" s="389" t="s">
        <v>7767</v>
      </c>
      <c r="S40" s="389" t="s">
        <v>7766</v>
      </c>
    </row>
    <row r="41" spans="1:19">
      <c r="A41" s="389" t="s">
        <v>2767</v>
      </c>
      <c r="B41" s="391" t="str">
        <f t="shared" si="0"/>
        <v>fevereiro</v>
      </c>
      <c r="C41" s="389" t="s">
        <v>7263</v>
      </c>
      <c r="D41" s="389" t="s">
        <v>2925</v>
      </c>
      <c r="E41" s="391">
        <v>45712</v>
      </c>
      <c r="F41" s="389" t="s">
        <v>2208</v>
      </c>
      <c r="G41" s="389" t="s">
        <v>2916</v>
      </c>
      <c r="H41" s="389" t="s">
        <v>8907</v>
      </c>
      <c r="I41" s="393">
        <v>0</v>
      </c>
      <c r="J41" s="390">
        <v>83.23</v>
      </c>
      <c r="K41" s="389" t="s">
        <v>2917</v>
      </c>
      <c r="L41" s="390">
        <v>484.02</v>
      </c>
      <c r="M41" s="389" t="s">
        <v>2918</v>
      </c>
      <c r="N41" s="389" t="s">
        <v>8908</v>
      </c>
      <c r="O41" s="389" t="s">
        <v>2208</v>
      </c>
      <c r="P41" s="389" t="s">
        <v>2944</v>
      </c>
      <c r="Q41" s="389" t="s">
        <v>3223</v>
      </c>
      <c r="R41" s="389" t="s">
        <v>7769</v>
      </c>
      <c r="S41" s="389" t="s">
        <v>7768</v>
      </c>
    </row>
    <row r="42" spans="1:19">
      <c r="A42" s="389" t="s">
        <v>2767</v>
      </c>
      <c r="B42" s="391" t="str">
        <f t="shared" si="0"/>
        <v>fevereiro</v>
      </c>
      <c r="C42" s="389" t="s">
        <v>7263</v>
      </c>
      <c r="D42" s="389" t="s">
        <v>2925</v>
      </c>
      <c r="E42" s="391">
        <v>45712</v>
      </c>
      <c r="F42" s="389" t="s">
        <v>2208</v>
      </c>
      <c r="G42" s="389" t="s">
        <v>2916</v>
      </c>
      <c r="H42" s="389" t="s">
        <v>8907</v>
      </c>
      <c r="I42" s="393">
        <v>0</v>
      </c>
      <c r="J42" s="390">
        <v>125.93</v>
      </c>
      <c r="K42" s="389" t="s">
        <v>2917</v>
      </c>
      <c r="L42" s="390">
        <v>732.36</v>
      </c>
      <c r="M42" s="389" t="s">
        <v>2918</v>
      </c>
      <c r="N42" s="389" t="s">
        <v>8908</v>
      </c>
      <c r="O42" s="389" t="s">
        <v>2208</v>
      </c>
      <c r="P42" s="389" t="s">
        <v>2944</v>
      </c>
      <c r="Q42" s="389" t="s">
        <v>3223</v>
      </c>
      <c r="R42" s="389" t="s">
        <v>7771</v>
      </c>
      <c r="S42" s="389" t="s">
        <v>7770</v>
      </c>
    </row>
    <row r="43" spans="1:19">
      <c r="A43" s="389" t="s">
        <v>2767</v>
      </c>
      <c r="B43" s="391" t="str">
        <f t="shared" si="0"/>
        <v>fevereiro</v>
      </c>
      <c r="C43" s="389" t="s">
        <v>7263</v>
      </c>
      <c r="D43" s="389" t="s">
        <v>2925</v>
      </c>
      <c r="E43" s="391">
        <v>45714</v>
      </c>
      <c r="F43" s="389" t="s">
        <v>2208</v>
      </c>
      <c r="G43" s="389" t="s">
        <v>2916</v>
      </c>
      <c r="H43" s="389" t="s">
        <v>9039</v>
      </c>
      <c r="I43" s="393">
        <v>0</v>
      </c>
      <c r="J43" s="390">
        <v>907.6</v>
      </c>
      <c r="K43" s="389" t="s">
        <v>2917</v>
      </c>
      <c r="L43" s="390">
        <v>5278.26</v>
      </c>
      <c r="M43" s="389" t="s">
        <v>2918</v>
      </c>
      <c r="N43" s="389" t="s">
        <v>9040</v>
      </c>
      <c r="O43" s="389" t="s">
        <v>2208</v>
      </c>
      <c r="P43" s="389" t="s">
        <v>7561</v>
      </c>
      <c r="Q43" s="389" t="s">
        <v>7562</v>
      </c>
      <c r="R43" s="389" t="s">
        <v>2208</v>
      </c>
      <c r="S43" s="389" t="s">
        <v>2208</v>
      </c>
    </row>
    <row r="44" spans="1:19">
      <c r="A44" s="389" t="s">
        <v>2767</v>
      </c>
      <c r="B44" s="391" t="str">
        <f t="shared" si="0"/>
        <v>fevereiro</v>
      </c>
      <c r="C44" s="389" t="s">
        <v>7263</v>
      </c>
      <c r="D44" s="389" t="s">
        <v>2925</v>
      </c>
      <c r="E44" s="391">
        <v>45716</v>
      </c>
      <c r="F44" s="389" t="s">
        <v>2208</v>
      </c>
      <c r="G44" s="389" t="s">
        <v>2916</v>
      </c>
      <c r="H44" s="389" t="s">
        <v>9177</v>
      </c>
      <c r="I44" s="393">
        <v>0</v>
      </c>
      <c r="J44" s="390">
        <v>-0.09</v>
      </c>
      <c r="K44" s="389" t="s">
        <v>2917</v>
      </c>
      <c r="L44" s="390">
        <v>0</v>
      </c>
      <c r="M44" s="389" t="s">
        <v>2918</v>
      </c>
      <c r="N44" s="389" t="s">
        <v>2919</v>
      </c>
      <c r="O44" s="389" t="s">
        <v>2208</v>
      </c>
      <c r="P44" s="389" t="s">
        <v>2916</v>
      </c>
      <c r="Q44" s="389" t="s">
        <v>3220</v>
      </c>
      <c r="R44" s="389" t="s">
        <v>2208</v>
      </c>
      <c r="S44" s="389" t="s">
        <v>2208</v>
      </c>
    </row>
    <row r="45" spans="1:19">
      <c r="A45" s="389" t="s">
        <v>2770</v>
      </c>
      <c r="B45" s="391" t="str">
        <f t="shared" si="0"/>
        <v>janeiro</v>
      </c>
      <c r="C45" s="389" t="s">
        <v>7263</v>
      </c>
      <c r="D45" s="389" t="s">
        <v>2921</v>
      </c>
      <c r="E45" s="391">
        <v>45677</v>
      </c>
      <c r="F45" s="389" t="s">
        <v>7375</v>
      </c>
      <c r="G45" s="389" t="s">
        <v>2916</v>
      </c>
      <c r="H45" s="389" t="s">
        <v>7376</v>
      </c>
      <c r="I45" s="393">
        <v>54750.75</v>
      </c>
      <c r="J45" s="390">
        <v>8865.7900000000009</v>
      </c>
      <c r="K45" s="389" t="s">
        <v>2917</v>
      </c>
      <c r="L45" s="390">
        <v>54750.75</v>
      </c>
      <c r="M45" s="389" t="s">
        <v>2918</v>
      </c>
      <c r="N45" s="389" t="s">
        <v>2923</v>
      </c>
      <c r="O45" s="389" t="s">
        <v>2923</v>
      </c>
      <c r="P45" s="389" t="s">
        <v>2924</v>
      </c>
      <c r="Q45" s="389" t="s">
        <v>3219</v>
      </c>
      <c r="R45" s="389" t="s">
        <v>2208</v>
      </c>
      <c r="S45" s="389" t="s">
        <v>2208</v>
      </c>
    </row>
    <row r="46" spans="1:19">
      <c r="A46" s="389" t="s">
        <v>2770</v>
      </c>
      <c r="B46" s="391" t="str">
        <f t="shared" si="0"/>
        <v>janeiro</v>
      </c>
      <c r="C46" s="389" t="s">
        <v>7263</v>
      </c>
      <c r="D46" s="389" t="s">
        <v>2921</v>
      </c>
      <c r="E46" s="391">
        <v>45686</v>
      </c>
      <c r="F46" s="389" t="s">
        <v>7375</v>
      </c>
      <c r="G46" s="389" t="s">
        <v>2916</v>
      </c>
      <c r="H46" s="389" t="s">
        <v>7773</v>
      </c>
      <c r="I46" s="398">
        <v>0</v>
      </c>
      <c r="J46" s="390">
        <v>-820.09</v>
      </c>
      <c r="K46" s="389" t="s">
        <v>2917</v>
      </c>
      <c r="L46" s="390">
        <v>-5064.45</v>
      </c>
      <c r="M46" s="389" t="s">
        <v>2918</v>
      </c>
      <c r="N46" s="389" t="s">
        <v>7774</v>
      </c>
      <c r="O46" s="389" t="s">
        <v>2923</v>
      </c>
      <c r="P46" s="389" t="s">
        <v>2924</v>
      </c>
      <c r="Q46" s="389" t="s">
        <v>3219</v>
      </c>
      <c r="R46" s="389" t="s">
        <v>2208</v>
      </c>
      <c r="S46" s="389" t="s">
        <v>2208</v>
      </c>
    </row>
    <row r="47" spans="1:19">
      <c r="A47" s="389" t="s">
        <v>2770</v>
      </c>
      <c r="B47" s="391" t="str">
        <f t="shared" si="0"/>
        <v>janeiro</v>
      </c>
      <c r="C47" s="389" t="s">
        <v>7263</v>
      </c>
      <c r="D47" s="389" t="s">
        <v>2921</v>
      </c>
      <c r="E47" s="391">
        <v>45688</v>
      </c>
      <c r="F47" s="389" t="s">
        <v>2208</v>
      </c>
      <c r="G47" s="389" t="s">
        <v>2916</v>
      </c>
      <c r="H47" s="389" t="s">
        <v>7775</v>
      </c>
      <c r="I47" s="393">
        <v>0</v>
      </c>
      <c r="J47" s="390">
        <v>-0.05</v>
      </c>
      <c r="K47" s="389" t="s">
        <v>2917</v>
      </c>
      <c r="L47" s="390">
        <v>0</v>
      </c>
      <c r="M47" s="389" t="s">
        <v>2918</v>
      </c>
      <c r="N47" s="389" t="s">
        <v>2919</v>
      </c>
      <c r="O47" s="389" t="s">
        <v>2208</v>
      </c>
      <c r="P47" s="389" t="s">
        <v>2916</v>
      </c>
      <c r="Q47" s="389" t="s">
        <v>3220</v>
      </c>
      <c r="R47" s="389" t="s">
        <v>2208</v>
      </c>
      <c r="S47" s="389" t="s">
        <v>2208</v>
      </c>
    </row>
    <row r="48" spans="1:19">
      <c r="A48" s="389" t="s">
        <v>2770</v>
      </c>
      <c r="B48" s="391" t="str">
        <f t="shared" si="0"/>
        <v>março</v>
      </c>
      <c r="C48" s="389" t="s">
        <v>7263</v>
      </c>
      <c r="D48" s="389" t="s">
        <v>9127</v>
      </c>
      <c r="E48" s="391">
        <v>45737</v>
      </c>
      <c r="F48" s="389" t="s">
        <v>11170</v>
      </c>
      <c r="G48" s="389" t="s">
        <v>2916</v>
      </c>
      <c r="H48" s="389" t="s">
        <v>11171</v>
      </c>
      <c r="I48" s="398">
        <v>1</v>
      </c>
      <c r="J48" s="390">
        <v>534.74</v>
      </c>
      <c r="K48" s="389" t="s">
        <v>2917</v>
      </c>
      <c r="L48" s="390">
        <v>3120</v>
      </c>
      <c r="M48" s="389" t="s">
        <v>2918</v>
      </c>
      <c r="N48" s="389" t="s">
        <v>2941</v>
      </c>
      <c r="O48" s="389" t="s">
        <v>2941</v>
      </c>
      <c r="P48" s="389" t="s">
        <v>2924</v>
      </c>
      <c r="Q48" s="389" t="s">
        <v>3219</v>
      </c>
      <c r="R48" s="389" t="s">
        <v>2208</v>
      </c>
      <c r="S48" s="389" t="s">
        <v>2208</v>
      </c>
    </row>
    <row r="49" spans="1:19">
      <c r="A49" s="389" t="s">
        <v>2770</v>
      </c>
      <c r="B49" s="391" t="str">
        <f t="shared" si="0"/>
        <v>março</v>
      </c>
      <c r="C49" s="389" t="s">
        <v>7263</v>
      </c>
      <c r="D49" s="389" t="s">
        <v>9127</v>
      </c>
      <c r="E49" s="391">
        <v>45742</v>
      </c>
      <c r="F49" s="389" t="s">
        <v>11170</v>
      </c>
      <c r="G49" s="389" t="s">
        <v>2916</v>
      </c>
      <c r="H49" s="389" t="s">
        <v>11306</v>
      </c>
      <c r="I49" s="398">
        <v>0</v>
      </c>
      <c r="J49" s="390">
        <v>-49.47</v>
      </c>
      <c r="K49" s="389" t="s">
        <v>2917</v>
      </c>
      <c r="L49" s="390">
        <v>-288.60000000000002</v>
      </c>
      <c r="M49" s="389" t="s">
        <v>2918</v>
      </c>
      <c r="N49" s="389" t="s">
        <v>11307</v>
      </c>
      <c r="O49" s="389" t="s">
        <v>2941</v>
      </c>
      <c r="P49" s="389" t="s">
        <v>2924</v>
      </c>
      <c r="Q49" s="389" t="s">
        <v>3219</v>
      </c>
      <c r="R49" s="389" t="s">
        <v>2208</v>
      </c>
      <c r="S49" s="389" t="s">
        <v>2208</v>
      </c>
    </row>
    <row r="50" spans="1:19">
      <c r="A50" s="389" t="s">
        <v>2770</v>
      </c>
      <c r="B50" s="391" t="str">
        <f t="shared" si="0"/>
        <v>março</v>
      </c>
      <c r="C50" s="389" t="s">
        <v>7263</v>
      </c>
      <c r="D50" s="389" t="s">
        <v>9127</v>
      </c>
      <c r="E50" s="391">
        <v>45747</v>
      </c>
      <c r="F50" s="389" t="s">
        <v>2208</v>
      </c>
      <c r="G50" s="389" t="s">
        <v>2916</v>
      </c>
      <c r="H50" s="389" t="s">
        <v>11440</v>
      </c>
      <c r="I50" s="393">
        <v>0</v>
      </c>
      <c r="J50" s="390">
        <v>-0.06</v>
      </c>
      <c r="K50" s="389" t="s">
        <v>2917</v>
      </c>
      <c r="L50" s="390">
        <v>0</v>
      </c>
      <c r="M50" s="389" t="s">
        <v>2918</v>
      </c>
      <c r="N50" s="389" t="s">
        <v>2919</v>
      </c>
      <c r="O50" s="389" t="s">
        <v>2208</v>
      </c>
      <c r="P50" s="389" t="s">
        <v>2916</v>
      </c>
      <c r="Q50" s="389" t="s">
        <v>3220</v>
      </c>
      <c r="R50" s="389" t="s">
        <v>2208</v>
      </c>
      <c r="S50" s="389" t="s">
        <v>2208</v>
      </c>
    </row>
    <row r="51" spans="1:19">
      <c r="A51" s="389" t="s">
        <v>2770</v>
      </c>
      <c r="B51" s="391" t="str">
        <f t="shared" si="0"/>
        <v>abril</v>
      </c>
      <c r="C51" s="389" t="s">
        <v>7263</v>
      </c>
      <c r="D51" s="389" t="s">
        <v>11332</v>
      </c>
      <c r="E51" s="391">
        <v>45770</v>
      </c>
      <c r="F51" s="389" t="s">
        <v>7375</v>
      </c>
      <c r="G51" s="389" t="s">
        <v>2916</v>
      </c>
      <c r="H51" s="389" t="s">
        <v>15938</v>
      </c>
      <c r="I51" s="393">
        <v>4439.25</v>
      </c>
      <c r="J51" s="390">
        <v>770.88</v>
      </c>
      <c r="K51" s="389" t="s">
        <v>2917</v>
      </c>
      <c r="L51" s="390">
        <v>4439.25</v>
      </c>
      <c r="M51" s="389" t="s">
        <v>2918</v>
      </c>
      <c r="N51" s="389" t="s">
        <v>2923</v>
      </c>
      <c r="O51" s="389" t="s">
        <v>2923</v>
      </c>
      <c r="P51" s="389" t="s">
        <v>2924</v>
      </c>
      <c r="Q51" s="389" t="s">
        <v>3219</v>
      </c>
      <c r="R51" s="389" t="s">
        <v>2208</v>
      </c>
      <c r="S51" s="389" t="s">
        <v>2208</v>
      </c>
    </row>
    <row r="52" spans="1:19">
      <c r="A52" s="389" t="s">
        <v>2770</v>
      </c>
      <c r="B52" s="391" t="str">
        <f t="shared" si="0"/>
        <v>abril</v>
      </c>
      <c r="C52" s="389" t="s">
        <v>7263</v>
      </c>
      <c r="D52" s="389" t="s">
        <v>11332</v>
      </c>
      <c r="E52" s="391">
        <v>45775</v>
      </c>
      <c r="F52" s="389" t="s">
        <v>7375</v>
      </c>
      <c r="G52" s="389" t="s">
        <v>2916</v>
      </c>
      <c r="H52" s="389" t="s">
        <v>16279</v>
      </c>
      <c r="I52" s="398">
        <v>0</v>
      </c>
      <c r="J52" s="390">
        <v>-71.31</v>
      </c>
      <c r="K52" s="389" t="s">
        <v>2917</v>
      </c>
      <c r="L52" s="390">
        <v>-410.63</v>
      </c>
      <c r="M52" s="389" t="s">
        <v>2918</v>
      </c>
      <c r="N52" s="389" t="s">
        <v>16280</v>
      </c>
      <c r="O52" s="389" t="s">
        <v>2923</v>
      </c>
      <c r="P52" s="389" t="s">
        <v>2924</v>
      </c>
      <c r="Q52" s="389" t="s">
        <v>3219</v>
      </c>
      <c r="R52" s="389" t="s">
        <v>2208</v>
      </c>
      <c r="S52" s="389" t="s">
        <v>2208</v>
      </c>
    </row>
    <row r="53" spans="1:19">
      <c r="A53" s="389" t="s">
        <v>2770</v>
      </c>
      <c r="B53" s="391" t="str">
        <f t="shared" si="0"/>
        <v>abril</v>
      </c>
      <c r="C53" s="389" t="s">
        <v>7263</v>
      </c>
      <c r="D53" s="389" t="s">
        <v>11332</v>
      </c>
      <c r="E53" s="391">
        <v>45777</v>
      </c>
      <c r="F53" s="389" t="s">
        <v>2208</v>
      </c>
      <c r="G53" s="389" t="s">
        <v>2916</v>
      </c>
      <c r="H53" s="389" t="s">
        <v>16481</v>
      </c>
      <c r="I53" s="393">
        <v>0</v>
      </c>
      <c r="J53" s="390">
        <v>7.0000000000000007E-2</v>
      </c>
      <c r="K53" s="389" t="s">
        <v>2917</v>
      </c>
      <c r="L53" s="390">
        <v>0</v>
      </c>
      <c r="M53" s="389" t="s">
        <v>2918</v>
      </c>
      <c r="N53" s="389" t="s">
        <v>2919</v>
      </c>
      <c r="O53" s="389" t="s">
        <v>2208</v>
      </c>
      <c r="P53" s="389" t="s">
        <v>2916</v>
      </c>
      <c r="Q53" s="389" t="s">
        <v>3220</v>
      </c>
      <c r="R53" s="389" t="s">
        <v>2208</v>
      </c>
      <c r="S53" s="389" t="s">
        <v>2208</v>
      </c>
    </row>
    <row r="54" spans="1:19">
      <c r="A54" s="389" t="s">
        <v>2887</v>
      </c>
      <c r="B54" s="391" t="str">
        <f t="shared" si="0"/>
        <v>fevereiro</v>
      </c>
      <c r="C54" s="389" t="s">
        <v>7263</v>
      </c>
      <c r="D54" s="389" t="s">
        <v>2925</v>
      </c>
      <c r="E54" s="391">
        <v>45712</v>
      </c>
      <c r="F54" s="389" t="s">
        <v>8909</v>
      </c>
      <c r="G54" s="389" t="s">
        <v>2916</v>
      </c>
      <c r="H54" s="389" t="s">
        <v>8910</v>
      </c>
      <c r="I54" s="398">
        <v>37538</v>
      </c>
      <c r="J54" s="390">
        <v>6454.66</v>
      </c>
      <c r="K54" s="389" t="s">
        <v>2917</v>
      </c>
      <c r="L54" s="390">
        <v>37538</v>
      </c>
      <c r="M54" s="389" t="s">
        <v>2918</v>
      </c>
      <c r="N54" s="389" t="s">
        <v>2940</v>
      </c>
      <c r="O54" s="389" t="s">
        <v>2940</v>
      </c>
      <c r="P54" s="389" t="s">
        <v>2924</v>
      </c>
      <c r="Q54" s="389" t="s">
        <v>3219</v>
      </c>
      <c r="R54" s="389" t="s">
        <v>2208</v>
      </c>
      <c r="S54" s="389" t="s">
        <v>2208</v>
      </c>
    </row>
    <row r="55" spans="1:19">
      <c r="A55" s="389" t="s">
        <v>2887</v>
      </c>
      <c r="B55" s="391" t="str">
        <f t="shared" si="0"/>
        <v>março</v>
      </c>
      <c r="C55" s="389" t="s">
        <v>7263</v>
      </c>
      <c r="D55" s="389" t="s">
        <v>9127</v>
      </c>
      <c r="E55" s="391">
        <v>45733</v>
      </c>
      <c r="F55" s="389" t="s">
        <v>8909</v>
      </c>
      <c r="G55" s="389" t="s">
        <v>2916</v>
      </c>
      <c r="H55" s="389" t="s">
        <v>10923</v>
      </c>
      <c r="I55" s="398">
        <v>0</v>
      </c>
      <c r="J55" s="390">
        <v>-21.02</v>
      </c>
      <c r="K55" s="389" t="s">
        <v>2917</v>
      </c>
      <c r="L55" s="390">
        <v>0</v>
      </c>
      <c r="M55" s="389" t="s">
        <v>2918</v>
      </c>
      <c r="N55" s="389" t="s">
        <v>10924</v>
      </c>
      <c r="O55" s="389" t="s">
        <v>2940</v>
      </c>
      <c r="P55" s="389" t="s">
        <v>2924</v>
      </c>
      <c r="Q55" s="389" t="s">
        <v>3219</v>
      </c>
      <c r="R55" s="389" t="s">
        <v>2208</v>
      </c>
      <c r="S55" s="389" t="s">
        <v>2208</v>
      </c>
    </row>
    <row r="56" spans="1:19">
      <c r="A56" s="389" t="s">
        <v>2887</v>
      </c>
      <c r="B56" s="391" t="str">
        <f t="shared" si="0"/>
        <v>março</v>
      </c>
      <c r="C56" s="389" t="s">
        <v>7263</v>
      </c>
      <c r="D56" s="389" t="s">
        <v>9127</v>
      </c>
      <c r="E56" s="391">
        <v>45740</v>
      </c>
      <c r="F56" s="389" t="s">
        <v>8909</v>
      </c>
      <c r="G56" s="389" t="s">
        <v>2916</v>
      </c>
      <c r="H56" s="389" t="s">
        <v>11172</v>
      </c>
      <c r="I56" s="398">
        <v>5362</v>
      </c>
      <c r="J56" s="390">
        <v>918.99</v>
      </c>
      <c r="K56" s="389" t="s">
        <v>2917</v>
      </c>
      <c r="L56" s="390">
        <v>5362</v>
      </c>
      <c r="M56" s="389" t="s">
        <v>2918</v>
      </c>
      <c r="N56" s="389" t="s">
        <v>2940</v>
      </c>
      <c r="O56" s="389" t="s">
        <v>2940</v>
      </c>
      <c r="P56" s="389" t="s">
        <v>2924</v>
      </c>
      <c r="Q56" s="389" t="s">
        <v>3219</v>
      </c>
      <c r="R56" s="389" t="s">
        <v>2208</v>
      </c>
      <c r="S56" s="389" t="s">
        <v>2208</v>
      </c>
    </row>
    <row r="57" spans="1:19">
      <c r="A57" s="389" t="s">
        <v>2887</v>
      </c>
      <c r="B57" s="391" t="str">
        <f t="shared" si="0"/>
        <v>março</v>
      </c>
      <c r="C57" s="389" t="s">
        <v>7263</v>
      </c>
      <c r="D57" s="389" t="s">
        <v>9127</v>
      </c>
      <c r="E57" s="391">
        <v>45747</v>
      </c>
      <c r="F57" s="389" t="s">
        <v>2208</v>
      </c>
      <c r="G57" s="389" t="s">
        <v>2916</v>
      </c>
      <c r="H57" s="389" t="s">
        <v>11441</v>
      </c>
      <c r="I57" s="393">
        <v>0</v>
      </c>
      <c r="J57" s="390">
        <v>21.02</v>
      </c>
      <c r="K57" s="389" t="s">
        <v>2917</v>
      </c>
      <c r="L57" s="390">
        <v>0</v>
      </c>
      <c r="M57" s="389" t="s">
        <v>2918</v>
      </c>
      <c r="N57" s="389" t="s">
        <v>2919</v>
      </c>
      <c r="O57" s="389" t="s">
        <v>2208</v>
      </c>
      <c r="P57" s="389" t="s">
        <v>2916</v>
      </c>
      <c r="Q57" s="389" t="s">
        <v>3220</v>
      </c>
      <c r="R57" s="389" t="s">
        <v>2208</v>
      </c>
      <c r="S57" s="389" t="s">
        <v>2208</v>
      </c>
    </row>
    <row r="58" spans="1:19">
      <c r="A58" s="389" t="s">
        <v>2887</v>
      </c>
      <c r="B58" s="391" t="str">
        <f t="shared" si="0"/>
        <v>maio</v>
      </c>
      <c r="C58" s="389" t="s">
        <v>7263</v>
      </c>
      <c r="D58" s="389" t="s">
        <v>16361</v>
      </c>
      <c r="E58" s="391">
        <v>45806</v>
      </c>
      <c r="F58" s="389" t="s">
        <v>2208</v>
      </c>
      <c r="G58" s="389" t="s">
        <v>2916</v>
      </c>
      <c r="H58" s="389" t="s">
        <v>17828</v>
      </c>
      <c r="I58" s="393">
        <v>0</v>
      </c>
      <c r="J58" s="390">
        <v>-15.7</v>
      </c>
      <c r="K58" s="389" t="s">
        <v>2917</v>
      </c>
      <c r="L58" s="390">
        <v>-88.47</v>
      </c>
      <c r="M58" s="389" t="s">
        <v>2918</v>
      </c>
      <c r="N58" s="389" t="s">
        <v>17829</v>
      </c>
      <c r="O58" s="389" t="s">
        <v>2208</v>
      </c>
      <c r="P58" s="389" t="s">
        <v>2947</v>
      </c>
      <c r="Q58" s="389" t="s">
        <v>3221</v>
      </c>
      <c r="R58" s="389" t="s">
        <v>2208</v>
      </c>
      <c r="S58" s="389" t="s">
        <v>2208</v>
      </c>
    </row>
    <row r="59" spans="1:19">
      <c r="A59" s="389" t="s">
        <v>2887</v>
      </c>
      <c r="B59" s="391" t="str">
        <f t="shared" si="0"/>
        <v>maio</v>
      </c>
      <c r="C59" s="389" t="s">
        <v>7263</v>
      </c>
      <c r="D59" s="389" t="s">
        <v>16361</v>
      </c>
      <c r="E59" s="391">
        <v>45806</v>
      </c>
      <c r="F59" s="389" t="s">
        <v>2208</v>
      </c>
      <c r="G59" s="389" t="s">
        <v>2916</v>
      </c>
      <c r="H59" s="389" t="s">
        <v>17828</v>
      </c>
      <c r="I59" s="393">
        <v>0</v>
      </c>
      <c r="J59" s="390">
        <v>-72.33</v>
      </c>
      <c r="K59" s="389" t="s">
        <v>2917</v>
      </c>
      <c r="L59" s="390">
        <v>-407.51</v>
      </c>
      <c r="M59" s="389" t="s">
        <v>2918</v>
      </c>
      <c r="N59" s="389" t="s">
        <v>17829</v>
      </c>
      <c r="O59" s="389" t="s">
        <v>2208</v>
      </c>
      <c r="P59" s="389" t="s">
        <v>2947</v>
      </c>
      <c r="Q59" s="389" t="s">
        <v>3221</v>
      </c>
      <c r="R59" s="389" t="s">
        <v>2208</v>
      </c>
      <c r="S59" s="389" t="s">
        <v>2208</v>
      </c>
    </row>
    <row r="60" spans="1:19">
      <c r="A60" s="389" t="s">
        <v>2887</v>
      </c>
      <c r="B60" s="391" t="str">
        <f t="shared" si="0"/>
        <v>maio</v>
      </c>
      <c r="C60" s="389" t="s">
        <v>7263</v>
      </c>
      <c r="D60" s="389" t="s">
        <v>16361</v>
      </c>
      <c r="E60" s="391">
        <v>45808</v>
      </c>
      <c r="F60" s="389" t="s">
        <v>2208</v>
      </c>
      <c r="G60" s="389" t="s">
        <v>2916</v>
      </c>
      <c r="H60" s="389" t="s">
        <v>17885</v>
      </c>
      <c r="I60" s="393">
        <v>0</v>
      </c>
      <c r="J60" s="390">
        <v>-0.01</v>
      </c>
      <c r="K60" s="389" t="s">
        <v>2917</v>
      </c>
      <c r="L60" s="390">
        <v>0</v>
      </c>
      <c r="M60" s="389" t="s">
        <v>2918</v>
      </c>
      <c r="N60" s="389" t="s">
        <v>2919</v>
      </c>
      <c r="O60" s="389" t="s">
        <v>2208</v>
      </c>
      <c r="P60" s="389" t="s">
        <v>2916</v>
      </c>
      <c r="Q60" s="389" t="s">
        <v>3220</v>
      </c>
      <c r="R60" s="389" t="s">
        <v>2208</v>
      </c>
      <c r="S60" s="389" t="s">
        <v>2208</v>
      </c>
    </row>
    <row r="61" spans="1:19">
      <c r="A61" s="389" t="s">
        <v>2887</v>
      </c>
      <c r="B61" s="391" t="str">
        <f t="shared" si="0"/>
        <v>junho</v>
      </c>
      <c r="C61" s="389" t="s">
        <v>7263</v>
      </c>
      <c r="D61" s="389" t="s">
        <v>17898</v>
      </c>
      <c r="E61" s="391">
        <v>45812</v>
      </c>
      <c r="F61" s="389" t="s">
        <v>2208</v>
      </c>
      <c r="G61" s="389" t="s">
        <v>2916</v>
      </c>
      <c r="H61" s="389" t="s">
        <v>18419</v>
      </c>
      <c r="I61" s="393">
        <v>0</v>
      </c>
      <c r="J61" s="390">
        <v>88.04</v>
      </c>
      <c r="K61" s="389" t="s">
        <v>2917</v>
      </c>
      <c r="L61" s="390">
        <v>0</v>
      </c>
      <c r="M61" s="389" t="s">
        <v>2918</v>
      </c>
      <c r="N61" s="389" t="s">
        <v>2946</v>
      </c>
      <c r="O61" s="389" t="s">
        <v>2208</v>
      </c>
      <c r="P61" s="389" t="s">
        <v>2928</v>
      </c>
      <c r="Q61" s="389" t="s">
        <v>3227</v>
      </c>
      <c r="R61" s="389" t="s">
        <v>2208</v>
      </c>
      <c r="S61" s="389" t="s">
        <v>2208</v>
      </c>
    </row>
    <row r="62" spans="1:19">
      <c r="A62" s="389" t="s">
        <v>2887</v>
      </c>
      <c r="B62" s="391" t="str">
        <f t="shared" si="0"/>
        <v>junho</v>
      </c>
      <c r="C62" s="389" t="s">
        <v>7263</v>
      </c>
      <c r="D62" s="389" t="s">
        <v>17898</v>
      </c>
      <c r="E62" s="391">
        <v>45812</v>
      </c>
      <c r="F62" s="389" t="s">
        <v>2208</v>
      </c>
      <c r="G62" s="389" t="s">
        <v>2916</v>
      </c>
      <c r="H62" s="389" t="s">
        <v>18420</v>
      </c>
      <c r="I62" s="393">
        <v>0</v>
      </c>
      <c r="J62" s="390">
        <v>495.98</v>
      </c>
      <c r="K62" s="389" t="s">
        <v>2917</v>
      </c>
      <c r="L62" s="390">
        <v>0</v>
      </c>
      <c r="M62" s="389" t="s">
        <v>2918</v>
      </c>
      <c r="N62" s="389" t="s">
        <v>2946</v>
      </c>
      <c r="O62" s="389" t="s">
        <v>2208</v>
      </c>
      <c r="P62" s="389" t="s">
        <v>2928</v>
      </c>
      <c r="Q62" s="389" t="s">
        <v>3227</v>
      </c>
      <c r="R62" s="389" t="s">
        <v>2208</v>
      </c>
      <c r="S62" s="389" t="s">
        <v>2208</v>
      </c>
    </row>
    <row r="63" spans="1:19">
      <c r="A63" s="389" t="s">
        <v>2887</v>
      </c>
      <c r="B63" s="391" t="str">
        <f t="shared" si="0"/>
        <v>junho</v>
      </c>
      <c r="C63" s="389" t="s">
        <v>7263</v>
      </c>
      <c r="D63" s="389" t="s">
        <v>17898</v>
      </c>
      <c r="E63" s="391">
        <v>45814</v>
      </c>
      <c r="F63" s="389" t="s">
        <v>2208</v>
      </c>
      <c r="G63" s="389" t="s">
        <v>2916</v>
      </c>
      <c r="H63" s="389" t="s">
        <v>18664</v>
      </c>
      <c r="I63" s="393">
        <v>0</v>
      </c>
      <c r="J63" s="390">
        <v>-495.98</v>
      </c>
      <c r="K63" s="389" t="s">
        <v>2917</v>
      </c>
      <c r="L63" s="390">
        <v>0</v>
      </c>
      <c r="M63" s="389" t="s">
        <v>2918</v>
      </c>
      <c r="N63" s="389" t="s">
        <v>2946</v>
      </c>
      <c r="O63" s="389" t="s">
        <v>2208</v>
      </c>
      <c r="P63" s="389" t="s">
        <v>2928</v>
      </c>
      <c r="Q63" s="389" t="s">
        <v>3227</v>
      </c>
      <c r="R63" s="389" t="s">
        <v>2208</v>
      </c>
      <c r="S63" s="389" t="s">
        <v>2208</v>
      </c>
    </row>
    <row r="64" spans="1:19">
      <c r="A64" s="389" t="s">
        <v>2887</v>
      </c>
      <c r="B64" s="391" t="str">
        <f t="shared" si="0"/>
        <v>junho</v>
      </c>
      <c r="C64" s="389" t="s">
        <v>7263</v>
      </c>
      <c r="D64" s="389" t="s">
        <v>17898</v>
      </c>
      <c r="E64" s="391">
        <v>45814</v>
      </c>
      <c r="F64" s="389" t="s">
        <v>2208</v>
      </c>
      <c r="G64" s="389" t="s">
        <v>2916</v>
      </c>
      <c r="H64" s="389" t="s">
        <v>18665</v>
      </c>
      <c r="I64" s="393">
        <v>0</v>
      </c>
      <c r="J64" s="390">
        <v>-88.04</v>
      </c>
      <c r="K64" s="389" t="s">
        <v>2917</v>
      </c>
      <c r="L64" s="390">
        <v>0</v>
      </c>
      <c r="M64" s="389" t="s">
        <v>2918</v>
      </c>
      <c r="N64" s="389" t="s">
        <v>2946</v>
      </c>
      <c r="O64" s="389" t="s">
        <v>2208</v>
      </c>
      <c r="P64" s="389" t="s">
        <v>2928</v>
      </c>
      <c r="Q64" s="389" t="s">
        <v>3227</v>
      </c>
      <c r="R64" s="389" t="s">
        <v>2208</v>
      </c>
      <c r="S64" s="389" t="s">
        <v>2208</v>
      </c>
    </row>
    <row r="65" spans="1:19">
      <c r="A65" s="389" t="s">
        <v>2887</v>
      </c>
      <c r="B65" s="391" t="str">
        <f t="shared" si="0"/>
        <v>junho</v>
      </c>
      <c r="C65" s="389" t="s">
        <v>7263</v>
      </c>
      <c r="D65" s="389" t="s">
        <v>17898</v>
      </c>
      <c r="E65" s="391">
        <v>45817</v>
      </c>
      <c r="F65" s="389" t="s">
        <v>2208</v>
      </c>
      <c r="G65" s="389" t="s">
        <v>2916</v>
      </c>
      <c r="H65" s="389" t="s">
        <v>18666</v>
      </c>
      <c r="I65" s="393">
        <v>0</v>
      </c>
      <c r="J65" s="390">
        <v>88.04</v>
      </c>
      <c r="K65" s="389" t="s">
        <v>2917</v>
      </c>
      <c r="L65" s="390">
        <v>0</v>
      </c>
      <c r="M65" s="389" t="s">
        <v>2918</v>
      </c>
      <c r="N65" s="389" t="s">
        <v>2946</v>
      </c>
      <c r="O65" s="389" t="s">
        <v>2208</v>
      </c>
      <c r="P65" s="389" t="s">
        <v>2928</v>
      </c>
      <c r="Q65" s="389" t="s">
        <v>3227</v>
      </c>
      <c r="R65" s="389" t="s">
        <v>2208</v>
      </c>
      <c r="S65" s="389" t="s">
        <v>2208</v>
      </c>
    </row>
    <row r="66" spans="1:19">
      <c r="A66" s="389" t="s">
        <v>2887</v>
      </c>
      <c r="B66" s="391" t="str">
        <f t="shared" si="0"/>
        <v>junho</v>
      </c>
      <c r="C66" s="389" t="s">
        <v>7263</v>
      </c>
      <c r="D66" s="389" t="s">
        <v>17898</v>
      </c>
      <c r="E66" s="391">
        <v>45817</v>
      </c>
      <c r="F66" s="389" t="s">
        <v>2208</v>
      </c>
      <c r="G66" s="389" t="s">
        <v>2916</v>
      </c>
      <c r="H66" s="389" t="s">
        <v>18667</v>
      </c>
      <c r="I66" s="393">
        <v>0</v>
      </c>
      <c r="J66" s="390">
        <v>0</v>
      </c>
      <c r="K66" s="389" t="s">
        <v>2917</v>
      </c>
      <c r="L66" s="390">
        <v>495.98</v>
      </c>
      <c r="M66" s="389" t="s">
        <v>2918</v>
      </c>
      <c r="N66" s="389" t="s">
        <v>2946</v>
      </c>
      <c r="O66" s="389" t="s">
        <v>2208</v>
      </c>
      <c r="P66" s="389" t="s">
        <v>2928</v>
      </c>
      <c r="Q66" s="389" t="s">
        <v>3227</v>
      </c>
      <c r="R66" s="389" t="s">
        <v>2208</v>
      </c>
      <c r="S66" s="389" t="s">
        <v>2208</v>
      </c>
    </row>
    <row r="67" spans="1:19">
      <c r="A67" s="389" t="s">
        <v>6868</v>
      </c>
      <c r="B67" s="391" t="str">
        <f t="shared" ref="B67:B130" si="1">TEXT(E67,"mmmm")</f>
        <v>maio</v>
      </c>
      <c r="C67" s="389" t="s">
        <v>7263</v>
      </c>
      <c r="D67" s="389" t="s">
        <v>16361</v>
      </c>
      <c r="E67" s="391">
        <v>45779</v>
      </c>
      <c r="F67" s="389" t="s">
        <v>16482</v>
      </c>
      <c r="G67" s="389" t="s">
        <v>2916</v>
      </c>
      <c r="H67" s="389" t="s">
        <v>16483</v>
      </c>
      <c r="I67" s="398">
        <v>24</v>
      </c>
      <c r="J67" s="390">
        <v>33213.43</v>
      </c>
      <c r="K67" s="389" t="s">
        <v>2917</v>
      </c>
      <c r="L67" s="390">
        <v>187117.91</v>
      </c>
      <c r="M67" s="389" t="s">
        <v>2918</v>
      </c>
      <c r="N67" s="389" t="s">
        <v>16484</v>
      </c>
      <c r="O67" s="389" t="s">
        <v>16485</v>
      </c>
      <c r="P67" s="389" t="s">
        <v>2924</v>
      </c>
      <c r="Q67" s="389" t="s">
        <v>3219</v>
      </c>
      <c r="R67" s="389" t="s">
        <v>16486</v>
      </c>
      <c r="S67" s="389" t="s">
        <v>16487</v>
      </c>
    </row>
    <row r="68" spans="1:19">
      <c r="A68" s="389" t="s">
        <v>6868</v>
      </c>
      <c r="B68" s="391" t="str">
        <f t="shared" si="1"/>
        <v>maio</v>
      </c>
      <c r="C68" s="389" t="s">
        <v>7263</v>
      </c>
      <c r="D68" s="389" t="s">
        <v>16361</v>
      </c>
      <c r="E68" s="391">
        <v>45779</v>
      </c>
      <c r="F68" s="389" t="s">
        <v>16482</v>
      </c>
      <c r="G68" s="389" t="s">
        <v>2916</v>
      </c>
      <c r="H68" s="389" t="s">
        <v>16488</v>
      </c>
      <c r="I68" s="398">
        <v>0</v>
      </c>
      <c r="J68" s="390">
        <v>-2703.57</v>
      </c>
      <c r="K68" s="389" t="s">
        <v>2917</v>
      </c>
      <c r="L68" s="390">
        <v>-15231.39</v>
      </c>
      <c r="M68" s="389" t="s">
        <v>2918</v>
      </c>
      <c r="N68" s="389" t="s">
        <v>16489</v>
      </c>
      <c r="O68" s="389" t="s">
        <v>16485</v>
      </c>
      <c r="P68" s="389" t="s">
        <v>2924</v>
      </c>
      <c r="Q68" s="389" t="s">
        <v>3219</v>
      </c>
      <c r="R68" s="389" t="s">
        <v>16486</v>
      </c>
      <c r="S68" s="389" t="s">
        <v>16487</v>
      </c>
    </row>
    <row r="69" spans="1:19">
      <c r="A69" s="389" t="s">
        <v>6868</v>
      </c>
      <c r="B69" s="391" t="str">
        <f t="shared" si="1"/>
        <v>maio</v>
      </c>
      <c r="C69" s="389" t="s">
        <v>7263</v>
      </c>
      <c r="D69" s="389" t="s">
        <v>16361</v>
      </c>
      <c r="E69" s="391">
        <v>45779</v>
      </c>
      <c r="F69" s="389" t="s">
        <v>16482</v>
      </c>
      <c r="G69" s="389" t="s">
        <v>2916</v>
      </c>
      <c r="H69" s="389" t="s">
        <v>16490</v>
      </c>
      <c r="I69" s="398">
        <v>16</v>
      </c>
      <c r="J69" s="390">
        <v>22142.29</v>
      </c>
      <c r="K69" s="389" t="s">
        <v>2917</v>
      </c>
      <c r="L69" s="390">
        <v>124745.27</v>
      </c>
      <c r="M69" s="389" t="s">
        <v>2918</v>
      </c>
      <c r="N69" s="389" t="s">
        <v>16491</v>
      </c>
      <c r="O69" s="389" t="s">
        <v>16485</v>
      </c>
      <c r="P69" s="389" t="s">
        <v>2924</v>
      </c>
      <c r="Q69" s="389" t="s">
        <v>3219</v>
      </c>
      <c r="R69" s="389" t="s">
        <v>16486</v>
      </c>
      <c r="S69" s="389" t="s">
        <v>16487</v>
      </c>
    </row>
    <row r="70" spans="1:19">
      <c r="A70" s="389" t="s">
        <v>6868</v>
      </c>
      <c r="B70" s="391" t="str">
        <f t="shared" si="1"/>
        <v>maio</v>
      </c>
      <c r="C70" s="389" t="s">
        <v>7263</v>
      </c>
      <c r="D70" s="389" t="s">
        <v>16361</v>
      </c>
      <c r="E70" s="391">
        <v>45779</v>
      </c>
      <c r="F70" s="389" t="s">
        <v>16482</v>
      </c>
      <c r="G70" s="389" t="s">
        <v>2916</v>
      </c>
      <c r="H70" s="389" t="s">
        <v>16492</v>
      </c>
      <c r="I70" s="398">
        <v>0</v>
      </c>
      <c r="J70" s="390">
        <v>-1802.38</v>
      </c>
      <c r="K70" s="389" t="s">
        <v>2917</v>
      </c>
      <c r="L70" s="390">
        <v>-10154.25</v>
      </c>
      <c r="M70" s="389" t="s">
        <v>2918</v>
      </c>
      <c r="N70" s="389" t="s">
        <v>16493</v>
      </c>
      <c r="O70" s="389" t="s">
        <v>16485</v>
      </c>
      <c r="P70" s="389" t="s">
        <v>2924</v>
      </c>
      <c r="Q70" s="389" t="s">
        <v>3219</v>
      </c>
      <c r="R70" s="389" t="s">
        <v>16486</v>
      </c>
      <c r="S70" s="389" t="s">
        <v>16487</v>
      </c>
    </row>
    <row r="71" spans="1:19">
      <c r="A71" s="389" t="s">
        <v>6868</v>
      </c>
      <c r="B71" s="391" t="str">
        <f t="shared" si="1"/>
        <v>maio</v>
      </c>
      <c r="C71" s="389" t="s">
        <v>7263</v>
      </c>
      <c r="D71" s="389" t="s">
        <v>16361</v>
      </c>
      <c r="E71" s="391">
        <v>45799</v>
      </c>
      <c r="F71" s="389" t="s">
        <v>16482</v>
      </c>
      <c r="G71" s="389" t="s">
        <v>2916</v>
      </c>
      <c r="H71" s="389" t="s">
        <v>17408</v>
      </c>
      <c r="I71" s="398">
        <v>23</v>
      </c>
      <c r="J71" s="390">
        <v>31829.54</v>
      </c>
      <c r="K71" s="389" t="s">
        <v>2917</v>
      </c>
      <c r="L71" s="390">
        <v>179321.33</v>
      </c>
      <c r="M71" s="389" t="s">
        <v>2918</v>
      </c>
      <c r="N71" s="389" t="s">
        <v>17409</v>
      </c>
      <c r="O71" s="389" t="s">
        <v>16485</v>
      </c>
      <c r="P71" s="389" t="s">
        <v>2924</v>
      </c>
      <c r="Q71" s="389" t="s">
        <v>3219</v>
      </c>
      <c r="R71" s="389" t="s">
        <v>16486</v>
      </c>
      <c r="S71" s="389" t="s">
        <v>16487</v>
      </c>
    </row>
    <row r="72" spans="1:19">
      <c r="A72" s="389" t="s">
        <v>6868</v>
      </c>
      <c r="B72" s="391" t="str">
        <f t="shared" si="1"/>
        <v>maio</v>
      </c>
      <c r="C72" s="389" t="s">
        <v>7263</v>
      </c>
      <c r="D72" s="389" t="s">
        <v>16361</v>
      </c>
      <c r="E72" s="391">
        <v>45799</v>
      </c>
      <c r="F72" s="389" t="s">
        <v>16482</v>
      </c>
      <c r="G72" s="389" t="s">
        <v>2916</v>
      </c>
      <c r="H72" s="389" t="s">
        <v>17410</v>
      </c>
      <c r="I72" s="398">
        <v>0</v>
      </c>
      <c r="J72" s="390">
        <v>-2590.9299999999998</v>
      </c>
      <c r="K72" s="389" t="s">
        <v>2917</v>
      </c>
      <c r="L72" s="390">
        <v>-14596.75</v>
      </c>
      <c r="M72" s="389" t="s">
        <v>2918</v>
      </c>
      <c r="N72" s="389" t="s">
        <v>17411</v>
      </c>
      <c r="O72" s="389" t="s">
        <v>16485</v>
      </c>
      <c r="P72" s="389" t="s">
        <v>2924</v>
      </c>
      <c r="Q72" s="389" t="s">
        <v>3219</v>
      </c>
      <c r="R72" s="389" t="s">
        <v>16486</v>
      </c>
      <c r="S72" s="389" t="s">
        <v>16487</v>
      </c>
    </row>
    <row r="73" spans="1:19">
      <c r="A73" s="389" t="s">
        <v>6868</v>
      </c>
      <c r="B73" s="391" t="str">
        <f t="shared" si="1"/>
        <v>maio</v>
      </c>
      <c r="C73" s="389" t="s">
        <v>7263</v>
      </c>
      <c r="D73" s="389" t="s">
        <v>16361</v>
      </c>
      <c r="E73" s="391">
        <v>45779</v>
      </c>
      <c r="F73" s="389" t="s">
        <v>16482</v>
      </c>
      <c r="G73" s="389" t="s">
        <v>2916</v>
      </c>
      <c r="H73" s="389" t="s">
        <v>17544</v>
      </c>
      <c r="I73" s="398">
        <v>0</v>
      </c>
      <c r="J73" s="390">
        <v>1802.38</v>
      </c>
      <c r="K73" s="389" t="s">
        <v>2917</v>
      </c>
      <c r="L73" s="390">
        <v>10154.25</v>
      </c>
      <c r="M73" s="389" t="s">
        <v>2918</v>
      </c>
      <c r="N73" s="389" t="s">
        <v>17545</v>
      </c>
      <c r="O73" s="389" t="s">
        <v>16485</v>
      </c>
      <c r="P73" s="389" t="s">
        <v>2924</v>
      </c>
      <c r="Q73" s="389" t="s">
        <v>3219</v>
      </c>
      <c r="R73" s="389" t="s">
        <v>16486</v>
      </c>
      <c r="S73" s="389" t="s">
        <v>16487</v>
      </c>
    </row>
    <row r="74" spans="1:19">
      <c r="A74" s="389" t="s">
        <v>6868</v>
      </c>
      <c r="B74" s="391" t="str">
        <f t="shared" si="1"/>
        <v>maio</v>
      </c>
      <c r="C74" s="389" t="s">
        <v>7263</v>
      </c>
      <c r="D74" s="389" t="s">
        <v>16361</v>
      </c>
      <c r="E74" s="391">
        <v>45779</v>
      </c>
      <c r="F74" s="389" t="s">
        <v>16482</v>
      </c>
      <c r="G74" s="389" t="s">
        <v>2916</v>
      </c>
      <c r="H74" s="389" t="s">
        <v>17546</v>
      </c>
      <c r="I74" s="398">
        <v>0</v>
      </c>
      <c r="J74" s="390">
        <v>2703.57</v>
      </c>
      <c r="K74" s="389" t="s">
        <v>2917</v>
      </c>
      <c r="L74" s="390">
        <v>15231.39</v>
      </c>
      <c r="M74" s="389" t="s">
        <v>2918</v>
      </c>
      <c r="N74" s="389" t="s">
        <v>17547</v>
      </c>
      <c r="O74" s="389" t="s">
        <v>16485</v>
      </c>
      <c r="P74" s="389" t="s">
        <v>2924</v>
      </c>
      <c r="Q74" s="389" t="s">
        <v>3219</v>
      </c>
      <c r="R74" s="389" t="s">
        <v>16486</v>
      </c>
      <c r="S74" s="389" t="s">
        <v>16487</v>
      </c>
    </row>
    <row r="75" spans="1:19">
      <c r="A75" s="389" t="s">
        <v>6868</v>
      </c>
      <c r="B75" s="391" t="str">
        <f t="shared" si="1"/>
        <v>maio</v>
      </c>
      <c r="C75" s="389" t="s">
        <v>7263</v>
      </c>
      <c r="D75" s="389" t="s">
        <v>16361</v>
      </c>
      <c r="E75" s="391">
        <v>45799</v>
      </c>
      <c r="F75" s="389" t="s">
        <v>16482</v>
      </c>
      <c r="G75" s="389" t="s">
        <v>2916</v>
      </c>
      <c r="H75" s="389" t="s">
        <v>17548</v>
      </c>
      <c r="I75" s="398">
        <v>0</v>
      </c>
      <c r="J75" s="390">
        <v>2590.9299999999998</v>
      </c>
      <c r="K75" s="389" t="s">
        <v>2917</v>
      </c>
      <c r="L75" s="390">
        <v>14596.75</v>
      </c>
      <c r="M75" s="389" t="s">
        <v>2918</v>
      </c>
      <c r="N75" s="389" t="s">
        <v>17549</v>
      </c>
      <c r="O75" s="389" t="s">
        <v>16485</v>
      </c>
      <c r="P75" s="389" t="s">
        <v>2924</v>
      </c>
      <c r="Q75" s="389" t="s">
        <v>3219</v>
      </c>
      <c r="R75" s="389" t="s">
        <v>16486</v>
      </c>
      <c r="S75" s="389" t="s">
        <v>16487</v>
      </c>
    </row>
    <row r="76" spans="1:19">
      <c r="A76" s="389" t="s">
        <v>6868</v>
      </c>
      <c r="B76" s="391" t="str">
        <f t="shared" si="1"/>
        <v>maio</v>
      </c>
      <c r="C76" s="389" t="s">
        <v>7263</v>
      </c>
      <c r="D76" s="389" t="s">
        <v>16361</v>
      </c>
      <c r="E76" s="391">
        <v>45800</v>
      </c>
      <c r="F76" s="389" t="s">
        <v>16482</v>
      </c>
      <c r="G76" s="389" t="s">
        <v>2916</v>
      </c>
      <c r="H76" s="389" t="s">
        <v>17550</v>
      </c>
      <c r="I76" s="398">
        <v>0</v>
      </c>
      <c r="J76" s="390">
        <v>-6410.47</v>
      </c>
      <c r="K76" s="389" t="s">
        <v>2917</v>
      </c>
      <c r="L76" s="390">
        <v>-36115.32</v>
      </c>
      <c r="M76" s="389" t="s">
        <v>2918</v>
      </c>
      <c r="N76" s="389" t="s">
        <v>17549</v>
      </c>
      <c r="O76" s="389" t="s">
        <v>16485</v>
      </c>
      <c r="P76" s="389" t="s">
        <v>2924</v>
      </c>
      <c r="Q76" s="389" t="s">
        <v>3219</v>
      </c>
      <c r="R76" s="389" t="s">
        <v>16486</v>
      </c>
      <c r="S76" s="389" t="s">
        <v>16487</v>
      </c>
    </row>
    <row r="77" spans="1:19">
      <c r="A77" s="389" t="s">
        <v>6868</v>
      </c>
      <c r="B77" s="391" t="str">
        <f t="shared" si="1"/>
        <v>maio</v>
      </c>
      <c r="C77" s="389" t="s">
        <v>7263</v>
      </c>
      <c r="D77" s="389" t="s">
        <v>16361</v>
      </c>
      <c r="E77" s="391">
        <v>45800</v>
      </c>
      <c r="F77" s="389" t="s">
        <v>16482</v>
      </c>
      <c r="G77" s="389" t="s">
        <v>2916</v>
      </c>
      <c r="H77" s="389" t="s">
        <v>17551</v>
      </c>
      <c r="I77" s="398">
        <v>0</v>
      </c>
      <c r="J77" s="390">
        <v>-6689.19</v>
      </c>
      <c r="K77" s="389" t="s">
        <v>2917</v>
      </c>
      <c r="L77" s="390">
        <v>-37685.550000000003</v>
      </c>
      <c r="M77" s="389" t="s">
        <v>2918</v>
      </c>
      <c r="N77" s="389" t="s">
        <v>17547</v>
      </c>
      <c r="O77" s="389" t="s">
        <v>16485</v>
      </c>
      <c r="P77" s="389" t="s">
        <v>2924</v>
      </c>
      <c r="Q77" s="389" t="s">
        <v>3219</v>
      </c>
      <c r="R77" s="389" t="s">
        <v>16486</v>
      </c>
      <c r="S77" s="389" t="s">
        <v>16487</v>
      </c>
    </row>
    <row r="78" spans="1:19">
      <c r="A78" s="389" t="s">
        <v>6868</v>
      </c>
      <c r="B78" s="391" t="str">
        <f t="shared" si="1"/>
        <v>maio</v>
      </c>
      <c r="C78" s="389" t="s">
        <v>7263</v>
      </c>
      <c r="D78" s="389" t="s">
        <v>16361</v>
      </c>
      <c r="E78" s="391">
        <v>45800</v>
      </c>
      <c r="F78" s="389" t="s">
        <v>16482</v>
      </c>
      <c r="G78" s="389" t="s">
        <v>2916</v>
      </c>
      <c r="H78" s="389" t="s">
        <v>17552</v>
      </c>
      <c r="I78" s="398">
        <v>0</v>
      </c>
      <c r="J78" s="390">
        <v>-4459.46</v>
      </c>
      <c r="K78" s="389" t="s">
        <v>2917</v>
      </c>
      <c r="L78" s="390">
        <v>-25123.69</v>
      </c>
      <c r="M78" s="389" t="s">
        <v>2918</v>
      </c>
      <c r="N78" s="389" t="s">
        <v>17545</v>
      </c>
      <c r="O78" s="389" t="s">
        <v>16485</v>
      </c>
      <c r="P78" s="389" t="s">
        <v>2924</v>
      </c>
      <c r="Q78" s="389" t="s">
        <v>3219</v>
      </c>
      <c r="R78" s="389" t="s">
        <v>16486</v>
      </c>
      <c r="S78" s="389" t="s">
        <v>16487</v>
      </c>
    </row>
    <row r="79" spans="1:19">
      <c r="A79" s="389" t="s">
        <v>6868</v>
      </c>
      <c r="B79" s="391" t="str">
        <f t="shared" si="1"/>
        <v>maio</v>
      </c>
      <c r="C79" s="389" t="s">
        <v>7263</v>
      </c>
      <c r="D79" s="389" t="s">
        <v>16361</v>
      </c>
      <c r="E79" s="391">
        <v>45808</v>
      </c>
      <c r="F79" s="389" t="s">
        <v>2208</v>
      </c>
      <c r="G79" s="389" t="s">
        <v>2916</v>
      </c>
      <c r="H79" s="389" t="s">
        <v>17886</v>
      </c>
      <c r="I79" s="393">
        <v>0</v>
      </c>
      <c r="J79" s="390">
        <v>0.01</v>
      </c>
      <c r="K79" s="389" t="s">
        <v>2917</v>
      </c>
      <c r="L79" s="390">
        <v>0</v>
      </c>
      <c r="M79" s="389" t="s">
        <v>2918</v>
      </c>
      <c r="N79" s="389" t="s">
        <v>2919</v>
      </c>
      <c r="O79" s="389" t="s">
        <v>2208</v>
      </c>
      <c r="P79" s="389" t="s">
        <v>2916</v>
      </c>
      <c r="Q79" s="389" t="s">
        <v>3220</v>
      </c>
      <c r="R79" s="389" t="s">
        <v>2208</v>
      </c>
      <c r="S79" s="389" t="s">
        <v>2208</v>
      </c>
    </row>
    <row r="80" spans="1:19">
      <c r="A80" s="389" t="s">
        <v>6868</v>
      </c>
      <c r="B80" s="391" t="str">
        <f t="shared" si="1"/>
        <v>junho</v>
      </c>
      <c r="C80" s="389" t="s">
        <v>7263</v>
      </c>
      <c r="D80" s="389" t="s">
        <v>17898</v>
      </c>
      <c r="E80" s="391">
        <v>45814</v>
      </c>
      <c r="F80" s="389" t="s">
        <v>16482</v>
      </c>
      <c r="G80" s="389" t="s">
        <v>2916</v>
      </c>
      <c r="H80" s="389" t="s">
        <v>18489</v>
      </c>
      <c r="I80" s="398">
        <v>3</v>
      </c>
      <c r="J80" s="390">
        <v>4121.2700000000004</v>
      </c>
      <c r="K80" s="389" t="s">
        <v>2917</v>
      </c>
      <c r="L80" s="390">
        <v>23389.74</v>
      </c>
      <c r="M80" s="389" t="s">
        <v>2918</v>
      </c>
      <c r="N80" s="389" t="s">
        <v>18490</v>
      </c>
      <c r="O80" s="389" t="s">
        <v>16485</v>
      </c>
      <c r="P80" s="389" t="s">
        <v>2924</v>
      </c>
      <c r="Q80" s="389" t="s">
        <v>3219</v>
      </c>
      <c r="R80" s="389" t="s">
        <v>16486</v>
      </c>
      <c r="S80" s="389" t="s">
        <v>16487</v>
      </c>
    </row>
    <row r="81" spans="1:19">
      <c r="A81" s="389" t="s">
        <v>6868</v>
      </c>
      <c r="B81" s="391" t="str">
        <f t="shared" si="1"/>
        <v>junho</v>
      </c>
      <c r="C81" s="389" t="s">
        <v>7263</v>
      </c>
      <c r="D81" s="389" t="s">
        <v>17898</v>
      </c>
      <c r="E81" s="391">
        <v>45814</v>
      </c>
      <c r="F81" s="389" t="s">
        <v>16482</v>
      </c>
      <c r="G81" s="389" t="s">
        <v>2916</v>
      </c>
      <c r="H81" s="389" t="s">
        <v>18491</v>
      </c>
      <c r="I81" s="398">
        <v>0</v>
      </c>
      <c r="J81" s="390">
        <v>-335.47</v>
      </c>
      <c r="K81" s="389" t="s">
        <v>2917</v>
      </c>
      <c r="L81" s="390">
        <v>-1903.93</v>
      </c>
      <c r="M81" s="389" t="s">
        <v>2918</v>
      </c>
      <c r="N81" s="389" t="s">
        <v>18492</v>
      </c>
      <c r="O81" s="389" t="s">
        <v>16485</v>
      </c>
      <c r="P81" s="389" t="s">
        <v>2924</v>
      </c>
      <c r="Q81" s="389" t="s">
        <v>3219</v>
      </c>
      <c r="R81" s="389" t="s">
        <v>16486</v>
      </c>
      <c r="S81" s="389" t="s">
        <v>16487</v>
      </c>
    </row>
    <row r="82" spans="1:19">
      <c r="A82" s="389" t="s">
        <v>6868</v>
      </c>
      <c r="B82" s="391" t="str">
        <f t="shared" si="1"/>
        <v>junho</v>
      </c>
      <c r="C82" s="389" t="s">
        <v>7263</v>
      </c>
      <c r="D82" s="389" t="s">
        <v>17898</v>
      </c>
      <c r="E82" s="391">
        <v>45814</v>
      </c>
      <c r="F82" s="389" t="s">
        <v>16482</v>
      </c>
      <c r="G82" s="389" t="s">
        <v>2916</v>
      </c>
      <c r="H82" s="389" t="s">
        <v>18668</v>
      </c>
      <c r="I82" s="398">
        <v>0</v>
      </c>
      <c r="J82" s="390">
        <v>335.47</v>
      </c>
      <c r="K82" s="389" t="s">
        <v>2917</v>
      </c>
      <c r="L82" s="390">
        <v>1903.93</v>
      </c>
      <c r="M82" s="389" t="s">
        <v>2918</v>
      </c>
      <c r="N82" s="389" t="s">
        <v>18669</v>
      </c>
      <c r="O82" s="389" t="s">
        <v>16485</v>
      </c>
      <c r="P82" s="389" t="s">
        <v>2924</v>
      </c>
      <c r="Q82" s="389" t="s">
        <v>3219</v>
      </c>
      <c r="R82" s="389" t="s">
        <v>16486</v>
      </c>
      <c r="S82" s="389" t="s">
        <v>16487</v>
      </c>
    </row>
    <row r="83" spans="1:19">
      <c r="A83" s="389" t="s">
        <v>6868</v>
      </c>
      <c r="B83" s="391" t="str">
        <f t="shared" si="1"/>
        <v>junho</v>
      </c>
      <c r="C83" s="389" t="s">
        <v>7263</v>
      </c>
      <c r="D83" s="389" t="s">
        <v>17898</v>
      </c>
      <c r="E83" s="391">
        <v>45826</v>
      </c>
      <c r="F83" s="389" t="s">
        <v>16482</v>
      </c>
      <c r="G83" s="389" t="s">
        <v>2916</v>
      </c>
      <c r="H83" s="389" t="s">
        <v>18670</v>
      </c>
      <c r="I83" s="398">
        <v>0</v>
      </c>
      <c r="J83" s="390">
        <v>-830.02</v>
      </c>
      <c r="K83" s="389" t="s">
        <v>2917</v>
      </c>
      <c r="L83" s="390">
        <v>-4710.7</v>
      </c>
      <c r="M83" s="389" t="s">
        <v>2918</v>
      </c>
      <c r="N83" s="389" t="s">
        <v>18669</v>
      </c>
      <c r="O83" s="389" t="s">
        <v>16485</v>
      </c>
      <c r="P83" s="389" t="s">
        <v>2924</v>
      </c>
      <c r="Q83" s="389" t="s">
        <v>3219</v>
      </c>
      <c r="R83" s="389" t="s">
        <v>16486</v>
      </c>
      <c r="S83" s="389" t="s">
        <v>16487</v>
      </c>
    </row>
    <row r="84" spans="1:19">
      <c r="A84" s="389" t="s">
        <v>6868</v>
      </c>
      <c r="B84" s="391" t="str">
        <f t="shared" si="1"/>
        <v>junho</v>
      </c>
      <c r="C84" s="389" t="s">
        <v>7263</v>
      </c>
      <c r="D84" s="389" t="s">
        <v>17898</v>
      </c>
      <c r="E84" s="391">
        <v>45838</v>
      </c>
      <c r="F84" s="389" t="s">
        <v>2208</v>
      </c>
      <c r="G84" s="389" t="s">
        <v>2916</v>
      </c>
      <c r="H84" s="389" t="s">
        <v>19281</v>
      </c>
      <c r="I84" s="393">
        <v>0</v>
      </c>
      <c r="J84" s="390">
        <v>-0.01</v>
      </c>
      <c r="K84" s="389" t="s">
        <v>2917</v>
      </c>
      <c r="L84" s="390">
        <v>0</v>
      </c>
      <c r="M84" s="389" t="s">
        <v>2918</v>
      </c>
      <c r="N84" s="389" t="s">
        <v>2919</v>
      </c>
      <c r="O84" s="389" t="s">
        <v>2208</v>
      </c>
      <c r="P84" s="389" t="s">
        <v>2916</v>
      </c>
      <c r="Q84" s="389" t="s">
        <v>3220</v>
      </c>
      <c r="R84" s="389" t="s">
        <v>2208</v>
      </c>
      <c r="S84" s="389" t="s">
        <v>2208</v>
      </c>
    </row>
    <row r="85" spans="1:19">
      <c r="A85" s="389" t="s">
        <v>6951</v>
      </c>
      <c r="B85" s="391" t="str">
        <f t="shared" si="1"/>
        <v>fevereiro</v>
      </c>
      <c r="C85" s="389" t="s">
        <v>7263</v>
      </c>
      <c r="D85" s="389" t="s">
        <v>2925</v>
      </c>
      <c r="E85" s="391">
        <v>45708</v>
      </c>
      <c r="F85" s="389" t="s">
        <v>8732</v>
      </c>
      <c r="G85" s="389" t="s">
        <v>2916</v>
      </c>
      <c r="H85" s="389" t="s">
        <v>8733</v>
      </c>
      <c r="I85" s="398">
        <v>10300</v>
      </c>
      <c r="J85" s="390">
        <v>1771.09</v>
      </c>
      <c r="K85" s="389" t="s">
        <v>2917</v>
      </c>
      <c r="L85" s="390">
        <v>10300</v>
      </c>
      <c r="M85" s="389" t="s">
        <v>2918</v>
      </c>
      <c r="N85" s="389" t="s">
        <v>2923</v>
      </c>
      <c r="O85" s="389" t="s">
        <v>2923</v>
      </c>
      <c r="P85" s="389" t="s">
        <v>2924</v>
      </c>
      <c r="Q85" s="389" t="s">
        <v>3219</v>
      </c>
      <c r="R85" s="389" t="s">
        <v>2208</v>
      </c>
      <c r="S85" s="389" t="s">
        <v>2208</v>
      </c>
    </row>
    <row r="86" spans="1:19">
      <c r="A86" s="389" t="s">
        <v>6951</v>
      </c>
      <c r="B86" s="391" t="str">
        <f t="shared" si="1"/>
        <v>fevereiro</v>
      </c>
      <c r="C86" s="389" t="s">
        <v>7263</v>
      </c>
      <c r="D86" s="389" t="s">
        <v>2925</v>
      </c>
      <c r="E86" s="391">
        <v>45716</v>
      </c>
      <c r="F86" s="389" t="s">
        <v>2208</v>
      </c>
      <c r="G86" s="389" t="s">
        <v>2916</v>
      </c>
      <c r="H86" s="389" t="s">
        <v>9178</v>
      </c>
      <c r="I86" s="393">
        <v>0</v>
      </c>
      <c r="J86" s="390">
        <v>-0.01</v>
      </c>
      <c r="K86" s="389" t="s">
        <v>2917</v>
      </c>
      <c r="L86" s="390">
        <v>0</v>
      </c>
      <c r="M86" s="389" t="s">
        <v>2918</v>
      </c>
      <c r="N86" s="389" t="s">
        <v>2919</v>
      </c>
      <c r="O86" s="389" t="s">
        <v>2208</v>
      </c>
      <c r="P86" s="389" t="s">
        <v>2916</v>
      </c>
      <c r="Q86" s="389" t="s">
        <v>3220</v>
      </c>
      <c r="R86" s="389" t="s">
        <v>2208</v>
      </c>
      <c r="S86" s="389" t="s">
        <v>2208</v>
      </c>
    </row>
    <row r="87" spans="1:19">
      <c r="A87" s="389" t="s">
        <v>6951</v>
      </c>
      <c r="B87" s="391" t="str">
        <f t="shared" si="1"/>
        <v>março</v>
      </c>
      <c r="C87" s="389" t="s">
        <v>7263</v>
      </c>
      <c r="D87" s="389" t="s">
        <v>9127</v>
      </c>
      <c r="E87" s="391">
        <v>45733</v>
      </c>
      <c r="F87" s="389" t="s">
        <v>8732</v>
      </c>
      <c r="G87" s="389" t="s">
        <v>2916</v>
      </c>
      <c r="H87" s="389" t="s">
        <v>10925</v>
      </c>
      <c r="I87" s="398">
        <v>0</v>
      </c>
      <c r="J87" s="390">
        <v>-169.06</v>
      </c>
      <c r="K87" s="389" t="s">
        <v>2917</v>
      </c>
      <c r="L87" s="390">
        <v>-952.75</v>
      </c>
      <c r="M87" s="389" t="s">
        <v>2918</v>
      </c>
      <c r="N87" s="389" t="s">
        <v>10926</v>
      </c>
      <c r="O87" s="389" t="s">
        <v>2923</v>
      </c>
      <c r="P87" s="389" t="s">
        <v>2924</v>
      </c>
      <c r="Q87" s="389" t="s">
        <v>3219</v>
      </c>
      <c r="R87" s="389" t="s">
        <v>2208</v>
      </c>
      <c r="S87" s="389" t="s">
        <v>2208</v>
      </c>
    </row>
    <row r="88" spans="1:19">
      <c r="A88" s="389" t="s">
        <v>6951</v>
      </c>
      <c r="B88" s="391" t="str">
        <f t="shared" si="1"/>
        <v>março</v>
      </c>
      <c r="C88" s="389" t="s">
        <v>7263</v>
      </c>
      <c r="D88" s="389" t="s">
        <v>9127</v>
      </c>
      <c r="E88" s="391">
        <v>45740</v>
      </c>
      <c r="F88" s="389" t="s">
        <v>11173</v>
      </c>
      <c r="G88" s="389" t="s">
        <v>2916</v>
      </c>
      <c r="H88" s="389" t="s">
        <v>11174</v>
      </c>
      <c r="I88" s="398">
        <v>1</v>
      </c>
      <c r="J88" s="390">
        <v>2096.36</v>
      </c>
      <c r="K88" s="389" t="s">
        <v>2917</v>
      </c>
      <c r="L88" s="390">
        <v>12231.5</v>
      </c>
      <c r="M88" s="389" t="s">
        <v>2918</v>
      </c>
      <c r="N88" s="389" t="s">
        <v>11175</v>
      </c>
      <c r="O88" s="389" t="s">
        <v>12077</v>
      </c>
      <c r="P88" s="389" t="s">
        <v>2924</v>
      </c>
      <c r="Q88" s="389" t="s">
        <v>3219</v>
      </c>
      <c r="R88" s="389" t="s">
        <v>2208</v>
      </c>
      <c r="S88" s="389" t="s">
        <v>2208</v>
      </c>
    </row>
    <row r="89" spans="1:19">
      <c r="A89" s="389" t="s">
        <v>6951</v>
      </c>
      <c r="B89" s="391" t="str">
        <f t="shared" si="1"/>
        <v>março</v>
      </c>
      <c r="C89" s="389" t="s">
        <v>7263</v>
      </c>
      <c r="D89" s="389" t="s">
        <v>9127</v>
      </c>
      <c r="E89" s="391">
        <v>45740</v>
      </c>
      <c r="F89" s="389" t="s">
        <v>11173</v>
      </c>
      <c r="G89" s="389" t="s">
        <v>2916</v>
      </c>
      <c r="H89" s="389" t="s">
        <v>11176</v>
      </c>
      <c r="I89" s="398">
        <v>1</v>
      </c>
      <c r="J89" s="390">
        <v>8129.97</v>
      </c>
      <c r="K89" s="389" t="s">
        <v>2917</v>
      </c>
      <c r="L89" s="390">
        <v>47435.47</v>
      </c>
      <c r="M89" s="389" t="s">
        <v>2918</v>
      </c>
      <c r="N89" s="389" t="s">
        <v>11175</v>
      </c>
      <c r="O89" s="389" t="s">
        <v>12077</v>
      </c>
      <c r="P89" s="389" t="s">
        <v>2924</v>
      </c>
      <c r="Q89" s="389" t="s">
        <v>3219</v>
      </c>
      <c r="R89" s="389" t="s">
        <v>2208</v>
      </c>
      <c r="S89" s="389" t="s">
        <v>2208</v>
      </c>
    </row>
    <row r="90" spans="1:19">
      <c r="A90" s="389" t="s">
        <v>6951</v>
      </c>
      <c r="B90" s="391" t="str">
        <f t="shared" si="1"/>
        <v>março</v>
      </c>
      <c r="C90" s="389" t="s">
        <v>7263</v>
      </c>
      <c r="D90" s="389" t="s">
        <v>9127</v>
      </c>
      <c r="E90" s="391">
        <v>45741</v>
      </c>
      <c r="F90" s="389" t="s">
        <v>11177</v>
      </c>
      <c r="G90" s="389" t="s">
        <v>2916</v>
      </c>
      <c r="H90" s="389" t="s">
        <v>11178</v>
      </c>
      <c r="I90" s="398">
        <v>35910</v>
      </c>
      <c r="J90" s="390">
        <v>6154.61</v>
      </c>
      <c r="K90" s="389" t="s">
        <v>2917</v>
      </c>
      <c r="L90" s="390">
        <v>35910</v>
      </c>
      <c r="M90" s="389" t="s">
        <v>2918</v>
      </c>
      <c r="N90" s="389" t="s">
        <v>11179</v>
      </c>
      <c r="O90" s="389" t="s">
        <v>11179</v>
      </c>
      <c r="P90" s="389" t="s">
        <v>2924</v>
      </c>
      <c r="Q90" s="389" t="s">
        <v>3219</v>
      </c>
      <c r="R90" s="389" t="s">
        <v>2208</v>
      </c>
      <c r="S90" s="389" t="s">
        <v>2208</v>
      </c>
    </row>
    <row r="91" spans="1:19">
      <c r="A91" s="389" t="s">
        <v>6951</v>
      </c>
      <c r="B91" s="391" t="str">
        <f t="shared" si="1"/>
        <v>março</v>
      </c>
      <c r="C91" s="389" t="s">
        <v>7263</v>
      </c>
      <c r="D91" s="389" t="s">
        <v>9127</v>
      </c>
      <c r="E91" s="391">
        <v>45740</v>
      </c>
      <c r="F91" s="389" t="s">
        <v>11173</v>
      </c>
      <c r="G91" s="389" t="s">
        <v>2916</v>
      </c>
      <c r="H91" s="389" t="s">
        <v>11442</v>
      </c>
      <c r="I91" s="398">
        <v>-1</v>
      </c>
      <c r="J91" s="390">
        <v>-2096.36</v>
      </c>
      <c r="K91" s="389" t="s">
        <v>2917</v>
      </c>
      <c r="L91" s="390">
        <v>-12231.5</v>
      </c>
      <c r="M91" s="389" t="s">
        <v>2918</v>
      </c>
      <c r="N91" s="389" t="s">
        <v>11175</v>
      </c>
      <c r="O91" s="389" t="s">
        <v>12077</v>
      </c>
      <c r="P91" s="389" t="s">
        <v>2924</v>
      </c>
      <c r="Q91" s="389" t="s">
        <v>3219</v>
      </c>
      <c r="R91" s="389" t="s">
        <v>2208</v>
      </c>
      <c r="S91" s="389" t="s">
        <v>2208</v>
      </c>
    </row>
    <row r="92" spans="1:19">
      <c r="A92" s="389" t="s">
        <v>6951</v>
      </c>
      <c r="B92" s="391" t="str">
        <f t="shared" si="1"/>
        <v>março</v>
      </c>
      <c r="C92" s="389" t="s">
        <v>7263</v>
      </c>
      <c r="D92" s="389" t="s">
        <v>9127</v>
      </c>
      <c r="E92" s="391">
        <v>45740</v>
      </c>
      <c r="F92" s="389" t="s">
        <v>11173</v>
      </c>
      <c r="G92" s="389" t="s">
        <v>2916</v>
      </c>
      <c r="H92" s="389" t="s">
        <v>11443</v>
      </c>
      <c r="I92" s="398">
        <v>-1</v>
      </c>
      <c r="J92" s="390">
        <v>-8129.97</v>
      </c>
      <c r="K92" s="389" t="s">
        <v>2917</v>
      </c>
      <c r="L92" s="390">
        <v>-47435.47</v>
      </c>
      <c r="M92" s="389" t="s">
        <v>2918</v>
      </c>
      <c r="N92" s="389" t="s">
        <v>11175</v>
      </c>
      <c r="O92" s="389" t="s">
        <v>12077</v>
      </c>
      <c r="P92" s="389" t="s">
        <v>2924</v>
      </c>
      <c r="Q92" s="389" t="s">
        <v>3219</v>
      </c>
      <c r="R92" s="389" t="s">
        <v>2208</v>
      </c>
      <c r="S92" s="389" t="s">
        <v>2208</v>
      </c>
    </row>
    <row r="93" spans="1:19">
      <c r="A93" s="389" t="s">
        <v>6951</v>
      </c>
      <c r="B93" s="391" t="str">
        <f t="shared" si="1"/>
        <v>março</v>
      </c>
      <c r="C93" s="389" t="s">
        <v>7263</v>
      </c>
      <c r="D93" s="389" t="s">
        <v>9127</v>
      </c>
      <c r="E93" s="391">
        <v>45743</v>
      </c>
      <c r="F93" s="389" t="s">
        <v>11177</v>
      </c>
      <c r="G93" s="389" t="s">
        <v>2916</v>
      </c>
      <c r="H93" s="389" t="s">
        <v>11444</v>
      </c>
      <c r="I93" s="398">
        <v>0</v>
      </c>
      <c r="J93" s="390">
        <v>-569.29999999999995</v>
      </c>
      <c r="K93" s="389" t="s">
        <v>2917</v>
      </c>
      <c r="L93" s="390">
        <v>-3321.68</v>
      </c>
      <c r="M93" s="389" t="s">
        <v>2918</v>
      </c>
      <c r="N93" s="389" t="s">
        <v>11445</v>
      </c>
      <c r="O93" s="389" t="s">
        <v>11179</v>
      </c>
      <c r="P93" s="389" t="s">
        <v>2924</v>
      </c>
      <c r="Q93" s="389" t="s">
        <v>3219</v>
      </c>
      <c r="R93" s="389" t="s">
        <v>2208</v>
      </c>
      <c r="S93" s="389" t="s">
        <v>2208</v>
      </c>
    </row>
    <row r="94" spans="1:19">
      <c r="A94" s="389" t="s">
        <v>6951</v>
      </c>
      <c r="B94" s="391" t="str">
        <f t="shared" si="1"/>
        <v>março</v>
      </c>
      <c r="C94" s="389" t="s">
        <v>7263</v>
      </c>
      <c r="D94" s="389" t="s">
        <v>9127</v>
      </c>
      <c r="E94" s="391">
        <v>45747</v>
      </c>
      <c r="F94" s="389" t="s">
        <v>2208</v>
      </c>
      <c r="G94" s="389" t="s">
        <v>2916</v>
      </c>
      <c r="H94" s="389" t="s">
        <v>11446</v>
      </c>
      <c r="I94" s="393">
        <v>0</v>
      </c>
      <c r="J94" s="390">
        <v>5.84</v>
      </c>
      <c r="K94" s="389" t="s">
        <v>2917</v>
      </c>
      <c r="L94" s="390">
        <v>0</v>
      </c>
      <c r="M94" s="389" t="s">
        <v>2918</v>
      </c>
      <c r="N94" s="389" t="s">
        <v>2919</v>
      </c>
      <c r="O94" s="389" t="s">
        <v>2208</v>
      </c>
      <c r="P94" s="389" t="s">
        <v>2916</v>
      </c>
      <c r="Q94" s="389" t="s">
        <v>3220</v>
      </c>
      <c r="R94" s="389" t="s">
        <v>2208</v>
      </c>
      <c r="S94" s="389" t="s">
        <v>2208</v>
      </c>
    </row>
    <row r="95" spans="1:19">
      <c r="A95" s="389" t="s">
        <v>6951</v>
      </c>
      <c r="B95" s="391" t="str">
        <f t="shared" si="1"/>
        <v>abril</v>
      </c>
      <c r="C95" s="389" t="s">
        <v>7263</v>
      </c>
      <c r="D95" s="389" t="s">
        <v>11332</v>
      </c>
      <c r="E95" s="391">
        <v>45755</v>
      </c>
      <c r="F95" s="389" t="s">
        <v>11173</v>
      </c>
      <c r="G95" s="389" t="s">
        <v>2916</v>
      </c>
      <c r="H95" s="389" t="s">
        <v>12465</v>
      </c>
      <c r="I95" s="398">
        <v>1</v>
      </c>
      <c r="J95" s="390">
        <v>2124</v>
      </c>
      <c r="K95" s="389" t="s">
        <v>2917</v>
      </c>
      <c r="L95" s="390">
        <v>12231.5</v>
      </c>
      <c r="M95" s="389" t="s">
        <v>2918</v>
      </c>
      <c r="N95" s="389" t="s">
        <v>12077</v>
      </c>
      <c r="O95" s="389" t="s">
        <v>12077</v>
      </c>
      <c r="P95" s="389" t="s">
        <v>2924</v>
      </c>
      <c r="Q95" s="389" t="s">
        <v>3219</v>
      </c>
      <c r="R95" s="389" t="s">
        <v>2208</v>
      </c>
      <c r="S95" s="389" t="s">
        <v>2208</v>
      </c>
    </row>
    <row r="96" spans="1:19">
      <c r="A96" s="389" t="s">
        <v>6951</v>
      </c>
      <c r="B96" s="391" t="str">
        <f t="shared" si="1"/>
        <v>abril</v>
      </c>
      <c r="C96" s="389" t="s">
        <v>7263</v>
      </c>
      <c r="D96" s="389" t="s">
        <v>11332</v>
      </c>
      <c r="E96" s="391">
        <v>45755</v>
      </c>
      <c r="F96" s="389" t="s">
        <v>11173</v>
      </c>
      <c r="G96" s="389" t="s">
        <v>2916</v>
      </c>
      <c r="H96" s="389" t="s">
        <v>12466</v>
      </c>
      <c r="I96" s="398">
        <v>1</v>
      </c>
      <c r="J96" s="390">
        <v>8237.17</v>
      </c>
      <c r="K96" s="389" t="s">
        <v>2917</v>
      </c>
      <c r="L96" s="390">
        <v>47435.47</v>
      </c>
      <c r="M96" s="389" t="s">
        <v>2918</v>
      </c>
      <c r="N96" s="389" t="s">
        <v>12077</v>
      </c>
      <c r="O96" s="389" t="s">
        <v>12077</v>
      </c>
      <c r="P96" s="389" t="s">
        <v>2924</v>
      </c>
      <c r="Q96" s="389" t="s">
        <v>3219</v>
      </c>
      <c r="R96" s="389" t="s">
        <v>2208</v>
      </c>
      <c r="S96" s="389" t="s">
        <v>2208</v>
      </c>
    </row>
    <row r="97" spans="1:19">
      <c r="A97" s="389" t="s">
        <v>6951</v>
      </c>
      <c r="B97" s="391" t="str">
        <f t="shared" si="1"/>
        <v>abril</v>
      </c>
      <c r="C97" s="389" t="s">
        <v>7263</v>
      </c>
      <c r="D97" s="389" t="s">
        <v>11332</v>
      </c>
      <c r="E97" s="391">
        <v>45756</v>
      </c>
      <c r="F97" s="389" t="s">
        <v>11173</v>
      </c>
      <c r="G97" s="389" t="s">
        <v>2916</v>
      </c>
      <c r="H97" s="389" t="s">
        <v>12467</v>
      </c>
      <c r="I97" s="398">
        <v>0</v>
      </c>
      <c r="J97" s="390">
        <v>-761.94</v>
      </c>
      <c r="K97" s="389" t="s">
        <v>2917</v>
      </c>
      <c r="L97" s="390">
        <v>-4387.79</v>
      </c>
      <c r="M97" s="389" t="s">
        <v>2918</v>
      </c>
      <c r="N97" s="389" t="s">
        <v>12468</v>
      </c>
      <c r="O97" s="389" t="s">
        <v>12077</v>
      </c>
      <c r="P97" s="389" t="s">
        <v>2924</v>
      </c>
      <c r="Q97" s="389" t="s">
        <v>3219</v>
      </c>
      <c r="R97" s="389" t="s">
        <v>2208</v>
      </c>
      <c r="S97" s="389" t="s">
        <v>2208</v>
      </c>
    </row>
    <row r="98" spans="1:19">
      <c r="A98" s="389" t="s">
        <v>6951</v>
      </c>
      <c r="B98" s="391" t="str">
        <f t="shared" si="1"/>
        <v>abril</v>
      </c>
      <c r="C98" s="389" t="s">
        <v>7263</v>
      </c>
      <c r="D98" s="389" t="s">
        <v>11332</v>
      </c>
      <c r="E98" s="391">
        <v>45756</v>
      </c>
      <c r="F98" s="389" t="s">
        <v>11173</v>
      </c>
      <c r="G98" s="389" t="s">
        <v>2916</v>
      </c>
      <c r="H98" s="389" t="s">
        <v>12469</v>
      </c>
      <c r="I98" s="398">
        <v>0</v>
      </c>
      <c r="J98" s="390">
        <v>-196.47</v>
      </c>
      <c r="K98" s="389" t="s">
        <v>2917</v>
      </c>
      <c r="L98" s="390">
        <v>-1131.4100000000001</v>
      </c>
      <c r="M98" s="389" t="s">
        <v>2918</v>
      </c>
      <c r="N98" s="389" t="s">
        <v>12470</v>
      </c>
      <c r="O98" s="389" t="s">
        <v>12077</v>
      </c>
      <c r="P98" s="389" t="s">
        <v>2924</v>
      </c>
      <c r="Q98" s="389" t="s">
        <v>3219</v>
      </c>
      <c r="R98" s="389" t="s">
        <v>2208</v>
      </c>
      <c r="S98" s="389" t="s">
        <v>2208</v>
      </c>
    </row>
    <row r="99" spans="1:19">
      <c r="A99" s="389" t="s">
        <v>6951</v>
      </c>
      <c r="B99" s="391" t="str">
        <f t="shared" si="1"/>
        <v>abril</v>
      </c>
      <c r="C99" s="389" t="s">
        <v>7263</v>
      </c>
      <c r="D99" s="389" t="s">
        <v>11332</v>
      </c>
      <c r="E99" s="391">
        <v>45777</v>
      </c>
      <c r="F99" s="389" t="s">
        <v>2208</v>
      </c>
      <c r="G99" s="389" t="s">
        <v>2916</v>
      </c>
      <c r="H99" s="389" t="s">
        <v>16494</v>
      </c>
      <c r="I99" s="393">
        <v>0</v>
      </c>
      <c r="J99" s="390">
        <v>0.04</v>
      </c>
      <c r="K99" s="389" t="s">
        <v>2917</v>
      </c>
      <c r="L99" s="390">
        <v>0</v>
      </c>
      <c r="M99" s="389" t="s">
        <v>2918</v>
      </c>
      <c r="N99" s="389" t="s">
        <v>2919</v>
      </c>
      <c r="O99" s="389" t="s">
        <v>2208</v>
      </c>
      <c r="P99" s="389" t="s">
        <v>2916</v>
      </c>
      <c r="Q99" s="389" t="s">
        <v>3220</v>
      </c>
      <c r="R99" s="389" t="s">
        <v>2208</v>
      </c>
      <c r="S99" s="389" t="s">
        <v>2208</v>
      </c>
    </row>
    <row r="100" spans="1:19">
      <c r="A100" s="389" t="s">
        <v>6951</v>
      </c>
      <c r="B100" s="391" t="str">
        <f t="shared" si="1"/>
        <v>maio</v>
      </c>
      <c r="C100" s="389" t="s">
        <v>7263</v>
      </c>
      <c r="D100" s="389" t="s">
        <v>16361</v>
      </c>
      <c r="E100" s="391">
        <v>45798</v>
      </c>
      <c r="F100" s="389" t="s">
        <v>11177</v>
      </c>
      <c r="G100" s="389" t="s">
        <v>2916</v>
      </c>
      <c r="H100" s="389" t="s">
        <v>17315</v>
      </c>
      <c r="I100" s="398">
        <v>35910</v>
      </c>
      <c r="J100" s="390">
        <v>6374.03</v>
      </c>
      <c r="K100" s="389" t="s">
        <v>2917</v>
      </c>
      <c r="L100" s="390">
        <v>35910</v>
      </c>
      <c r="M100" s="389" t="s">
        <v>2918</v>
      </c>
      <c r="N100" s="389" t="s">
        <v>11179</v>
      </c>
      <c r="O100" s="389" t="s">
        <v>11179</v>
      </c>
      <c r="P100" s="389" t="s">
        <v>2924</v>
      </c>
      <c r="Q100" s="389" t="s">
        <v>3219</v>
      </c>
      <c r="R100" s="389" t="s">
        <v>2208</v>
      </c>
      <c r="S100" s="389" t="s">
        <v>2208</v>
      </c>
    </row>
    <row r="101" spans="1:19">
      <c r="A101" s="389" t="s">
        <v>6951</v>
      </c>
      <c r="B101" s="391" t="str">
        <f t="shared" si="1"/>
        <v>maio</v>
      </c>
      <c r="C101" s="389" t="s">
        <v>7263</v>
      </c>
      <c r="D101" s="389" t="s">
        <v>16361</v>
      </c>
      <c r="E101" s="391">
        <v>45803</v>
      </c>
      <c r="F101" s="389" t="s">
        <v>11177</v>
      </c>
      <c r="G101" s="389" t="s">
        <v>2916</v>
      </c>
      <c r="H101" s="389" t="s">
        <v>17626</v>
      </c>
      <c r="I101" s="398">
        <v>0</v>
      </c>
      <c r="J101" s="390">
        <v>-589.6</v>
      </c>
      <c r="K101" s="389" t="s">
        <v>2917</v>
      </c>
      <c r="L101" s="390">
        <v>-3321.68</v>
      </c>
      <c r="M101" s="389" t="s">
        <v>2918</v>
      </c>
      <c r="N101" s="389" t="s">
        <v>17627</v>
      </c>
      <c r="O101" s="389" t="s">
        <v>11179</v>
      </c>
      <c r="P101" s="389" t="s">
        <v>2924</v>
      </c>
      <c r="Q101" s="389" t="s">
        <v>3219</v>
      </c>
      <c r="R101" s="389" t="s">
        <v>2208</v>
      </c>
      <c r="S101" s="389" t="s">
        <v>2208</v>
      </c>
    </row>
    <row r="102" spans="1:19">
      <c r="A102" s="389" t="s">
        <v>6951</v>
      </c>
      <c r="B102" s="391" t="str">
        <f t="shared" si="1"/>
        <v>maio</v>
      </c>
      <c r="C102" s="389" t="s">
        <v>7263</v>
      </c>
      <c r="D102" s="389" t="s">
        <v>16361</v>
      </c>
      <c r="E102" s="391">
        <v>45808</v>
      </c>
      <c r="F102" s="389" t="s">
        <v>2208</v>
      </c>
      <c r="G102" s="389" t="s">
        <v>2916</v>
      </c>
      <c r="H102" s="389" t="s">
        <v>17887</v>
      </c>
      <c r="I102" s="393">
        <v>0</v>
      </c>
      <c r="J102" s="390">
        <v>-0.06</v>
      </c>
      <c r="K102" s="389" t="s">
        <v>2917</v>
      </c>
      <c r="L102" s="390">
        <v>0</v>
      </c>
      <c r="M102" s="389" t="s">
        <v>2918</v>
      </c>
      <c r="N102" s="389" t="s">
        <v>2919</v>
      </c>
      <c r="O102" s="389" t="s">
        <v>2208</v>
      </c>
      <c r="P102" s="389" t="s">
        <v>2916</v>
      </c>
      <c r="Q102" s="389" t="s">
        <v>3220</v>
      </c>
      <c r="R102" s="389" t="s">
        <v>2208</v>
      </c>
      <c r="S102" s="389" t="s">
        <v>2208</v>
      </c>
    </row>
    <row r="103" spans="1:19">
      <c r="A103" s="389" t="s">
        <v>6951</v>
      </c>
      <c r="B103" s="391" t="str">
        <f t="shared" si="1"/>
        <v>junho</v>
      </c>
      <c r="C103" s="389" t="s">
        <v>7263</v>
      </c>
      <c r="D103" s="389" t="s">
        <v>17898</v>
      </c>
      <c r="E103" s="391">
        <v>45832</v>
      </c>
      <c r="F103" s="389" t="s">
        <v>11177</v>
      </c>
      <c r="G103" s="389" t="s">
        <v>2916</v>
      </c>
      <c r="H103" s="389" t="s">
        <v>18985</v>
      </c>
      <c r="I103" s="398">
        <v>35910</v>
      </c>
      <c r="J103" s="390">
        <v>6327.34</v>
      </c>
      <c r="K103" s="389" t="s">
        <v>2917</v>
      </c>
      <c r="L103" s="390">
        <v>35910</v>
      </c>
      <c r="M103" s="389" t="s">
        <v>2918</v>
      </c>
      <c r="N103" s="389" t="s">
        <v>11179</v>
      </c>
      <c r="O103" s="389" t="s">
        <v>11179</v>
      </c>
      <c r="P103" s="389" t="s">
        <v>2924</v>
      </c>
      <c r="Q103" s="389" t="s">
        <v>3219</v>
      </c>
      <c r="R103" s="389" t="s">
        <v>2208</v>
      </c>
      <c r="S103" s="389" t="s">
        <v>2208</v>
      </c>
    </row>
    <row r="104" spans="1:19">
      <c r="A104" s="389" t="s">
        <v>6951</v>
      </c>
      <c r="B104" s="391" t="str">
        <f t="shared" si="1"/>
        <v>junho</v>
      </c>
      <c r="C104" s="389" t="s">
        <v>7263</v>
      </c>
      <c r="D104" s="389" t="s">
        <v>17898</v>
      </c>
      <c r="E104" s="391">
        <v>45833</v>
      </c>
      <c r="F104" s="389" t="s">
        <v>11177</v>
      </c>
      <c r="G104" s="389" t="s">
        <v>2916</v>
      </c>
      <c r="H104" s="389" t="s">
        <v>19055</v>
      </c>
      <c r="I104" s="398">
        <v>0</v>
      </c>
      <c r="J104" s="390">
        <v>-585.28</v>
      </c>
      <c r="K104" s="389" t="s">
        <v>2917</v>
      </c>
      <c r="L104" s="390">
        <v>-3321.68</v>
      </c>
      <c r="M104" s="389" t="s">
        <v>2918</v>
      </c>
      <c r="N104" s="389" t="s">
        <v>19056</v>
      </c>
      <c r="O104" s="389" t="s">
        <v>11179</v>
      </c>
      <c r="P104" s="389" t="s">
        <v>2924</v>
      </c>
      <c r="Q104" s="389" t="s">
        <v>3219</v>
      </c>
      <c r="R104" s="389" t="s">
        <v>2208</v>
      </c>
      <c r="S104" s="389" t="s">
        <v>2208</v>
      </c>
    </row>
    <row r="105" spans="1:19">
      <c r="A105" s="389" t="s">
        <v>6951</v>
      </c>
      <c r="B105" s="391" t="str">
        <f t="shared" si="1"/>
        <v>junho</v>
      </c>
      <c r="C105" s="389" t="s">
        <v>7263</v>
      </c>
      <c r="D105" s="389" t="s">
        <v>17898</v>
      </c>
      <c r="E105" s="391">
        <v>45838</v>
      </c>
      <c r="F105" s="389" t="s">
        <v>2208</v>
      </c>
      <c r="G105" s="389" t="s">
        <v>2916</v>
      </c>
      <c r="H105" s="389" t="s">
        <v>19282</v>
      </c>
      <c r="I105" s="393">
        <v>0</v>
      </c>
      <c r="J105" s="390">
        <v>-0.05</v>
      </c>
      <c r="K105" s="389" t="s">
        <v>2917</v>
      </c>
      <c r="L105" s="390">
        <v>0</v>
      </c>
      <c r="M105" s="389" t="s">
        <v>2918</v>
      </c>
      <c r="N105" s="389" t="s">
        <v>2919</v>
      </c>
      <c r="O105" s="389" t="s">
        <v>2208</v>
      </c>
      <c r="P105" s="389" t="s">
        <v>2916</v>
      </c>
      <c r="Q105" s="389" t="s">
        <v>3220</v>
      </c>
      <c r="R105" s="389" t="s">
        <v>2208</v>
      </c>
      <c r="S105" s="389" t="s">
        <v>2208</v>
      </c>
    </row>
    <row r="106" spans="1:19">
      <c r="A106" s="389" t="s">
        <v>8937</v>
      </c>
      <c r="B106" s="391" t="str">
        <f t="shared" si="1"/>
        <v>junho</v>
      </c>
      <c r="C106" s="389" t="s">
        <v>7263</v>
      </c>
      <c r="D106" s="389" t="s">
        <v>17898</v>
      </c>
      <c r="E106" s="391">
        <v>45834</v>
      </c>
      <c r="F106" s="389" t="s">
        <v>19180</v>
      </c>
      <c r="G106" s="389" t="s">
        <v>2916</v>
      </c>
      <c r="H106" s="389" t="s">
        <v>19181</v>
      </c>
      <c r="I106" s="398">
        <v>1</v>
      </c>
      <c r="J106" s="390">
        <v>59576.58</v>
      </c>
      <c r="K106" s="389" t="s">
        <v>2917</v>
      </c>
      <c r="L106" s="390">
        <v>338119.08</v>
      </c>
      <c r="M106" s="389" t="s">
        <v>2918</v>
      </c>
      <c r="N106" s="389" t="s">
        <v>19182</v>
      </c>
      <c r="O106" s="389" t="s">
        <v>19183</v>
      </c>
      <c r="P106" s="389" t="s">
        <v>2944</v>
      </c>
      <c r="Q106" s="389" t="s">
        <v>3223</v>
      </c>
      <c r="R106" s="389" t="s">
        <v>19184</v>
      </c>
      <c r="S106" s="389" t="s">
        <v>19183</v>
      </c>
    </row>
    <row r="107" spans="1:19">
      <c r="A107" s="389" t="s">
        <v>8937</v>
      </c>
      <c r="B107" s="391" t="str">
        <f t="shared" si="1"/>
        <v>junho</v>
      </c>
      <c r="C107" s="389" t="s">
        <v>7263</v>
      </c>
      <c r="D107" s="389" t="s">
        <v>17898</v>
      </c>
      <c r="E107" s="391">
        <v>45838</v>
      </c>
      <c r="F107" s="389" t="s">
        <v>2208</v>
      </c>
      <c r="G107" s="389" t="s">
        <v>2916</v>
      </c>
      <c r="H107" s="389" t="s">
        <v>19288</v>
      </c>
      <c r="I107" s="393">
        <v>0</v>
      </c>
      <c r="J107" s="390">
        <v>-0.01</v>
      </c>
      <c r="K107" s="389" t="s">
        <v>2917</v>
      </c>
      <c r="L107" s="390">
        <v>0</v>
      </c>
      <c r="M107" s="389" t="s">
        <v>2918</v>
      </c>
      <c r="N107" s="389" t="s">
        <v>2919</v>
      </c>
      <c r="O107" s="389" t="s">
        <v>2208</v>
      </c>
      <c r="P107" s="389" t="s">
        <v>2916</v>
      </c>
      <c r="Q107" s="389" t="s">
        <v>3220</v>
      </c>
      <c r="R107" s="389" t="s">
        <v>2208</v>
      </c>
      <c r="S107" s="389" t="s">
        <v>2208</v>
      </c>
    </row>
    <row r="108" spans="1:19">
      <c r="A108" s="389" t="s">
        <v>8939</v>
      </c>
      <c r="B108" s="391" t="str">
        <f t="shared" si="1"/>
        <v>junho</v>
      </c>
      <c r="C108" s="389" t="s">
        <v>7263</v>
      </c>
      <c r="D108" s="389" t="s">
        <v>17898</v>
      </c>
      <c r="E108" s="391">
        <v>45832</v>
      </c>
      <c r="F108" s="389" t="s">
        <v>19022</v>
      </c>
      <c r="G108" s="389" t="s">
        <v>2916</v>
      </c>
      <c r="H108" s="389" t="s">
        <v>19023</v>
      </c>
      <c r="I108" s="398">
        <v>3</v>
      </c>
      <c r="J108" s="390">
        <v>1417.6</v>
      </c>
      <c r="K108" s="389" t="s">
        <v>2917</v>
      </c>
      <c r="L108" s="390">
        <v>8045.4</v>
      </c>
      <c r="M108" s="389" t="s">
        <v>2918</v>
      </c>
      <c r="N108" s="389" t="s">
        <v>19024</v>
      </c>
      <c r="O108" s="389" t="s">
        <v>19025</v>
      </c>
      <c r="P108" s="389" t="s">
        <v>2924</v>
      </c>
      <c r="Q108" s="389" t="s">
        <v>3219</v>
      </c>
      <c r="R108" s="389" t="s">
        <v>19026</v>
      </c>
      <c r="S108" s="389" t="s">
        <v>19027</v>
      </c>
    </row>
    <row r="109" spans="1:19">
      <c r="A109" s="389" t="s">
        <v>8939</v>
      </c>
      <c r="B109" s="391" t="str">
        <f t="shared" si="1"/>
        <v>junho</v>
      </c>
      <c r="C109" s="389" t="s">
        <v>7263</v>
      </c>
      <c r="D109" s="389" t="s">
        <v>17898</v>
      </c>
      <c r="E109" s="391">
        <v>45832</v>
      </c>
      <c r="F109" s="389" t="s">
        <v>19022</v>
      </c>
      <c r="G109" s="389" t="s">
        <v>2916</v>
      </c>
      <c r="H109" s="389" t="s">
        <v>19023</v>
      </c>
      <c r="I109" s="398">
        <v>16</v>
      </c>
      <c r="J109" s="390">
        <v>22476.92</v>
      </c>
      <c r="K109" s="389" t="s">
        <v>2917</v>
      </c>
      <c r="L109" s="390">
        <v>127564.8</v>
      </c>
      <c r="M109" s="389" t="s">
        <v>2918</v>
      </c>
      <c r="N109" s="389" t="s">
        <v>19024</v>
      </c>
      <c r="O109" s="389" t="s">
        <v>19028</v>
      </c>
      <c r="P109" s="389" t="s">
        <v>2924</v>
      </c>
      <c r="Q109" s="389" t="s">
        <v>3219</v>
      </c>
      <c r="R109" s="389" t="s">
        <v>19029</v>
      </c>
      <c r="S109" s="389" t="s">
        <v>19030</v>
      </c>
    </row>
    <row r="110" spans="1:19">
      <c r="A110" s="389" t="s">
        <v>8939</v>
      </c>
      <c r="B110" s="391" t="str">
        <f t="shared" si="1"/>
        <v>junho</v>
      </c>
      <c r="C110" s="389" t="s">
        <v>7263</v>
      </c>
      <c r="D110" s="389" t="s">
        <v>17898</v>
      </c>
      <c r="E110" s="391">
        <v>45832</v>
      </c>
      <c r="F110" s="389" t="s">
        <v>19022</v>
      </c>
      <c r="G110" s="389" t="s">
        <v>2916</v>
      </c>
      <c r="H110" s="389" t="s">
        <v>19031</v>
      </c>
      <c r="I110" s="398">
        <v>0</v>
      </c>
      <c r="J110" s="390">
        <v>-115.39</v>
      </c>
      <c r="K110" s="389" t="s">
        <v>2917</v>
      </c>
      <c r="L110" s="390">
        <v>-654.9</v>
      </c>
      <c r="M110" s="389" t="s">
        <v>2918</v>
      </c>
      <c r="N110" s="389" t="s">
        <v>19032</v>
      </c>
      <c r="O110" s="389" t="s">
        <v>19025</v>
      </c>
      <c r="P110" s="389" t="s">
        <v>2924</v>
      </c>
      <c r="Q110" s="389" t="s">
        <v>3219</v>
      </c>
      <c r="R110" s="389" t="s">
        <v>19026</v>
      </c>
      <c r="S110" s="389" t="s">
        <v>19027</v>
      </c>
    </row>
    <row r="111" spans="1:19">
      <c r="A111" s="389" t="s">
        <v>8939</v>
      </c>
      <c r="B111" s="391" t="str">
        <f t="shared" si="1"/>
        <v>junho</v>
      </c>
      <c r="C111" s="389" t="s">
        <v>7263</v>
      </c>
      <c r="D111" s="389" t="s">
        <v>17898</v>
      </c>
      <c r="E111" s="391">
        <v>45832</v>
      </c>
      <c r="F111" s="389" t="s">
        <v>19022</v>
      </c>
      <c r="G111" s="389" t="s">
        <v>2916</v>
      </c>
      <c r="H111" s="389" t="s">
        <v>19031</v>
      </c>
      <c r="I111" s="398">
        <v>0</v>
      </c>
      <c r="J111" s="390">
        <v>-1829.62</v>
      </c>
      <c r="K111" s="389" t="s">
        <v>2917</v>
      </c>
      <c r="L111" s="390">
        <v>-10383.77</v>
      </c>
      <c r="M111" s="389" t="s">
        <v>2918</v>
      </c>
      <c r="N111" s="389" t="s">
        <v>19032</v>
      </c>
      <c r="O111" s="389" t="s">
        <v>19028</v>
      </c>
      <c r="P111" s="389" t="s">
        <v>2924</v>
      </c>
      <c r="Q111" s="389" t="s">
        <v>3219</v>
      </c>
      <c r="R111" s="389" t="s">
        <v>19029</v>
      </c>
      <c r="S111" s="389" t="s">
        <v>19030</v>
      </c>
    </row>
    <row r="112" spans="1:19">
      <c r="A112" s="389" t="s">
        <v>8939</v>
      </c>
      <c r="B112" s="391" t="str">
        <f t="shared" si="1"/>
        <v>junho</v>
      </c>
      <c r="C112" s="389" t="s">
        <v>7263</v>
      </c>
      <c r="D112" s="389" t="s">
        <v>17898</v>
      </c>
      <c r="E112" s="391">
        <v>45832</v>
      </c>
      <c r="F112" s="389" t="s">
        <v>19022</v>
      </c>
      <c r="G112" s="389" t="s">
        <v>2916</v>
      </c>
      <c r="H112" s="389" t="s">
        <v>19185</v>
      </c>
      <c r="I112" s="398">
        <v>0</v>
      </c>
      <c r="J112" s="390">
        <v>115.39</v>
      </c>
      <c r="K112" s="389" t="s">
        <v>2917</v>
      </c>
      <c r="L112" s="390">
        <v>654.9</v>
      </c>
      <c r="M112" s="389" t="s">
        <v>2918</v>
      </c>
      <c r="N112" s="389" t="s">
        <v>19186</v>
      </c>
      <c r="O112" s="389" t="s">
        <v>19025</v>
      </c>
      <c r="P112" s="389" t="s">
        <v>2924</v>
      </c>
      <c r="Q112" s="389" t="s">
        <v>3219</v>
      </c>
      <c r="R112" s="389" t="s">
        <v>19026</v>
      </c>
      <c r="S112" s="389" t="s">
        <v>19027</v>
      </c>
    </row>
    <row r="113" spans="1:19">
      <c r="A113" s="389" t="s">
        <v>8939</v>
      </c>
      <c r="B113" s="391" t="str">
        <f t="shared" si="1"/>
        <v>junho</v>
      </c>
      <c r="C113" s="389" t="s">
        <v>7263</v>
      </c>
      <c r="D113" s="389" t="s">
        <v>17898</v>
      </c>
      <c r="E113" s="391">
        <v>45832</v>
      </c>
      <c r="F113" s="389" t="s">
        <v>19022</v>
      </c>
      <c r="G113" s="389" t="s">
        <v>2916</v>
      </c>
      <c r="H113" s="389" t="s">
        <v>19185</v>
      </c>
      <c r="I113" s="398">
        <v>0</v>
      </c>
      <c r="J113" s="390">
        <v>1829.62</v>
      </c>
      <c r="K113" s="389" t="s">
        <v>2917</v>
      </c>
      <c r="L113" s="390">
        <v>10383.77</v>
      </c>
      <c r="M113" s="389" t="s">
        <v>2918</v>
      </c>
      <c r="N113" s="389" t="s">
        <v>19186</v>
      </c>
      <c r="O113" s="389" t="s">
        <v>19028</v>
      </c>
      <c r="P113" s="389" t="s">
        <v>2924</v>
      </c>
      <c r="Q113" s="389" t="s">
        <v>3219</v>
      </c>
      <c r="R113" s="389" t="s">
        <v>19029</v>
      </c>
      <c r="S113" s="389" t="s">
        <v>19030</v>
      </c>
    </row>
    <row r="114" spans="1:19">
      <c r="A114" s="389" t="s">
        <v>8939</v>
      </c>
      <c r="B114" s="391" t="str">
        <f t="shared" si="1"/>
        <v>junho</v>
      </c>
      <c r="C114" s="389" t="s">
        <v>7263</v>
      </c>
      <c r="D114" s="389" t="s">
        <v>17898</v>
      </c>
      <c r="E114" s="391">
        <v>45834</v>
      </c>
      <c r="F114" s="389" t="s">
        <v>19022</v>
      </c>
      <c r="G114" s="389" t="s">
        <v>2916</v>
      </c>
      <c r="H114" s="389" t="s">
        <v>19187</v>
      </c>
      <c r="I114" s="398">
        <v>0</v>
      </c>
      <c r="J114" s="390">
        <v>-285.51</v>
      </c>
      <c r="K114" s="389" t="s">
        <v>2917</v>
      </c>
      <c r="L114" s="390">
        <v>-1620.35</v>
      </c>
      <c r="M114" s="389" t="s">
        <v>2918</v>
      </c>
      <c r="N114" s="389" t="s">
        <v>19186</v>
      </c>
      <c r="O114" s="389" t="s">
        <v>19025</v>
      </c>
      <c r="P114" s="389" t="s">
        <v>2924</v>
      </c>
      <c r="Q114" s="389" t="s">
        <v>3219</v>
      </c>
      <c r="R114" s="389" t="s">
        <v>19026</v>
      </c>
      <c r="S114" s="389" t="s">
        <v>19027</v>
      </c>
    </row>
    <row r="115" spans="1:19">
      <c r="A115" s="389" t="s">
        <v>8939</v>
      </c>
      <c r="B115" s="391" t="str">
        <f t="shared" si="1"/>
        <v>junho</v>
      </c>
      <c r="C115" s="389" t="s">
        <v>7263</v>
      </c>
      <c r="D115" s="389" t="s">
        <v>17898</v>
      </c>
      <c r="E115" s="391">
        <v>45834</v>
      </c>
      <c r="F115" s="389" t="s">
        <v>19022</v>
      </c>
      <c r="G115" s="389" t="s">
        <v>2916</v>
      </c>
      <c r="H115" s="389" t="s">
        <v>19187</v>
      </c>
      <c r="I115" s="398">
        <v>0</v>
      </c>
      <c r="J115" s="390">
        <v>-4526.8500000000004</v>
      </c>
      <c r="K115" s="389" t="s">
        <v>2917</v>
      </c>
      <c r="L115" s="390">
        <v>-25691.55</v>
      </c>
      <c r="M115" s="389" t="s">
        <v>2918</v>
      </c>
      <c r="N115" s="389" t="s">
        <v>19186</v>
      </c>
      <c r="O115" s="389" t="s">
        <v>19028</v>
      </c>
      <c r="P115" s="389" t="s">
        <v>2924</v>
      </c>
      <c r="Q115" s="389" t="s">
        <v>3219</v>
      </c>
      <c r="R115" s="389" t="s">
        <v>19029</v>
      </c>
      <c r="S115" s="389" t="s">
        <v>19030</v>
      </c>
    </row>
    <row r="116" spans="1:19">
      <c r="A116" s="389" t="s">
        <v>8939</v>
      </c>
      <c r="B116" s="391" t="str">
        <f t="shared" si="1"/>
        <v>junho</v>
      </c>
      <c r="C116" s="389" t="s">
        <v>7263</v>
      </c>
      <c r="D116" s="389" t="s">
        <v>17898</v>
      </c>
      <c r="E116" s="391">
        <v>45838</v>
      </c>
      <c r="F116" s="389" t="s">
        <v>2208</v>
      </c>
      <c r="G116" s="389" t="s">
        <v>2916</v>
      </c>
      <c r="H116" s="389" t="s">
        <v>19289</v>
      </c>
      <c r="I116" s="393">
        <v>0</v>
      </c>
      <c r="J116" s="390">
        <v>-0.05</v>
      </c>
      <c r="K116" s="389" t="s">
        <v>2917</v>
      </c>
      <c r="L116" s="390">
        <v>0</v>
      </c>
      <c r="M116" s="389" t="s">
        <v>2918</v>
      </c>
      <c r="N116" s="389" t="s">
        <v>2919</v>
      </c>
      <c r="O116" s="389" t="s">
        <v>2208</v>
      </c>
      <c r="P116" s="389" t="s">
        <v>2916</v>
      </c>
      <c r="Q116" s="389" t="s">
        <v>3220</v>
      </c>
      <c r="R116" s="389" t="s">
        <v>2208</v>
      </c>
      <c r="S116" s="389" t="s">
        <v>2208</v>
      </c>
    </row>
    <row r="117" spans="1:19">
      <c r="A117" s="389" t="s">
        <v>8940</v>
      </c>
      <c r="B117" s="391" t="str">
        <f t="shared" si="1"/>
        <v>maio</v>
      </c>
      <c r="C117" s="389" t="s">
        <v>7263</v>
      </c>
      <c r="D117" s="389" t="s">
        <v>16361</v>
      </c>
      <c r="E117" s="391">
        <v>45800</v>
      </c>
      <c r="F117" s="389" t="s">
        <v>17555</v>
      </c>
      <c r="G117" s="389" t="s">
        <v>2916</v>
      </c>
      <c r="H117" s="389" t="s">
        <v>17556</v>
      </c>
      <c r="I117" s="398">
        <v>4</v>
      </c>
      <c r="J117" s="390">
        <v>249.48</v>
      </c>
      <c r="K117" s="389" t="s">
        <v>2917</v>
      </c>
      <c r="L117" s="390">
        <v>1405.53</v>
      </c>
      <c r="M117" s="389" t="s">
        <v>2918</v>
      </c>
      <c r="N117" s="389" t="s">
        <v>17557</v>
      </c>
      <c r="O117" s="389" t="s">
        <v>10731</v>
      </c>
      <c r="P117" s="389" t="s">
        <v>2924</v>
      </c>
      <c r="Q117" s="389" t="s">
        <v>3219</v>
      </c>
      <c r="R117" s="389" t="s">
        <v>10732</v>
      </c>
      <c r="S117" s="389" t="s">
        <v>10733</v>
      </c>
    </row>
    <row r="118" spans="1:19">
      <c r="A118" s="389" t="s">
        <v>8940</v>
      </c>
      <c r="B118" s="391" t="str">
        <f t="shared" si="1"/>
        <v>maio</v>
      </c>
      <c r="C118" s="389" t="s">
        <v>7263</v>
      </c>
      <c r="D118" s="389" t="s">
        <v>16361</v>
      </c>
      <c r="E118" s="391">
        <v>45800</v>
      </c>
      <c r="F118" s="389" t="s">
        <v>17555</v>
      </c>
      <c r="G118" s="389" t="s">
        <v>2916</v>
      </c>
      <c r="H118" s="389" t="s">
        <v>17558</v>
      </c>
      <c r="I118" s="398">
        <v>0</v>
      </c>
      <c r="J118" s="390">
        <v>-29.45</v>
      </c>
      <c r="K118" s="389" t="s">
        <v>2917</v>
      </c>
      <c r="L118" s="390">
        <v>-165.93</v>
      </c>
      <c r="M118" s="389" t="s">
        <v>2918</v>
      </c>
      <c r="N118" s="389" t="s">
        <v>17559</v>
      </c>
      <c r="O118" s="389" t="s">
        <v>10731</v>
      </c>
      <c r="P118" s="389" t="s">
        <v>2924</v>
      </c>
      <c r="Q118" s="389" t="s">
        <v>3219</v>
      </c>
      <c r="R118" s="389" t="s">
        <v>10732</v>
      </c>
      <c r="S118" s="389" t="s">
        <v>10733</v>
      </c>
    </row>
    <row r="119" spans="1:19">
      <c r="A119" s="389" t="s">
        <v>8940</v>
      </c>
      <c r="B119" s="391" t="str">
        <f t="shared" si="1"/>
        <v>maio</v>
      </c>
      <c r="C119" s="389" t="s">
        <v>7263</v>
      </c>
      <c r="D119" s="389" t="s">
        <v>16361</v>
      </c>
      <c r="E119" s="391">
        <v>45800</v>
      </c>
      <c r="F119" s="389" t="s">
        <v>17555</v>
      </c>
      <c r="G119" s="389" t="s">
        <v>2916</v>
      </c>
      <c r="H119" s="389" t="s">
        <v>17560</v>
      </c>
      <c r="I119" s="398">
        <v>1</v>
      </c>
      <c r="J119" s="390">
        <v>167.25</v>
      </c>
      <c r="K119" s="389" t="s">
        <v>2917</v>
      </c>
      <c r="L119" s="390">
        <v>942.24</v>
      </c>
      <c r="M119" s="389" t="s">
        <v>2918</v>
      </c>
      <c r="N119" s="389" t="s">
        <v>17561</v>
      </c>
      <c r="O119" s="389" t="s">
        <v>11073</v>
      </c>
      <c r="P119" s="389" t="s">
        <v>2924</v>
      </c>
      <c r="Q119" s="389" t="s">
        <v>3219</v>
      </c>
      <c r="R119" s="389" t="s">
        <v>11074</v>
      </c>
      <c r="S119" s="389" t="s">
        <v>11075</v>
      </c>
    </row>
    <row r="120" spans="1:19">
      <c r="A120" s="389" t="s">
        <v>8940</v>
      </c>
      <c r="B120" s="391" t="str">
        <f t="shared" si="1"/>
        <v>maio</v>
      </c>
      <c r="C120" s="389" t="s">
        <v>7263</v>
      </c>
      <c r="D120" s="389" t="s">
        <v>16361</v>
      </c>
      <c r="E120" s="391">
        <v>45800</v>
      </c>
      <c r="F120" s="389" t="s">
        <v>17555</v>
      </c>
      <c r="G120" s="389" t="s">
        <v>2916</v>
      </c>
      <c r="H120" s="389" t="s">
        <v>17562</v>
      </c>
      <c r="I120" s="398">
        <v>0</v>
      </c>
      <c r="J120" s="390">
        <v>-19.75</v>
      </c>
      <c r="K120" s="389" t="s">
        <v>2917</v>
      </c>
      <c r="L120" s="390">
        <v>-111.25</v>
      </c>
      <c r="M120" s="389" t="s">
        <v>2918</v>
      </c>
      <c r="N120" s="389" t="s">
        <v>17563</v>
      </c>
      <c r="O120" s="389" t="s">
        <v>11073</v>
      </c>
      <c r="P120" s="389" t="s">
        <v>2924</v>
      </c>
      <c r="Q120" s="389" t="s">
        <v>3219</v>
      </c>
      <c r="R120" s="389" t="s">
        <v>11074</v>
      </c>
      <c r="S120" s="389" t="s">
        <v>11075</v>
      </c>
    </row>
    <row r="121" spans="1:19">
      <c r="A121" s="389" t="s">
        <v>8940</v>
      </c>
      <c r="B121" s="391" t="str">
        <f t="shared" si="1"/>
        <v>maio</v>
      </c>
      <c r="C121" s="389" t="s">
        <v>7263</v>
      </c>
      <c r="D121" s="389" t="s">
        <v>16361</v>
      </c>
      <c r="E121" s="391">
        <v>45805</v>
      </c>
      <c r="F121" s="389" t="s">
        <v>2208</v>
      </c>
      <c r="G121" s="389" t="s">
        <v>2916</v>
      </c>
      <c r="H121" s="389" t="s">
        <v>17823</v>
      </c>
      <c r="I121" s="393">
        <v>0</v>
      </c>
      <c r="J121" s="390">
        <v>-34.729999999999997</v>
      </c>
      <c r="K121" s="389" t="s">
        <v>2917</v>
      </c>
      <c r="L121" s="390">
        <v>-195.65</v>
      </c>
      <c r="M121" s="389" t="s">
        <v>2918</v>
      </c>
      <c r="N121" s="389" t="s">
        <v>17824</v>
      </c>
      <c r="O121" s="389" t="s">
        <v>2208</v>
      </c>
      <c r="P121" s="389" t="s">
        <v>2933</v>
      </c>
      <c r="Q121" s="389" t="s">
        <v>3314</v>
      </c>
      <c r="R121" s="389" t="s">
        <v>2208</v>
      </c>
      <c r="S121" s="389" t="s">
        <v>2208</v>
      </c>
    </row>
    <row r="122" spans="1:19">
      <c r="A122" s="389" t="s">
        <v>8940</v>
      </c>
      <c r="B122" s="391" t="str">
        <f t="shared" si="1"/>
        <v>maio</v>
      </c>
      <c r="C122" s="389" t="s">
        <v>7263</v>
      </c>
      <c r="D122" s="389" t="s">
        <v>16361</v>
      </c>
      <c r="E122" s="391">
        <v>45808</v>
      </c>
      <c r="F122" s="389" t="s">
        <v>2208</v>
      </c>
      <c r="G122" s="389" t="s">
        <v>2916</v>
      </c>
      <c r="H122" s="389" t="s">
        <v>17896</v>
      </c>
      <c r="I122" s="393">
        <v>0</v>
      </c>
      <c r="J122" s="390">
        <v>0.01</v>
      </c>
      <c r="K122" s="389" t="s">
        <v>2917</v>
      </c>
      <c r="L122" s="390">
        <v>0</v>
      </c>
      <c r="M122" s="389" t="s">
        <v>2918</v>
      </c>
      <c r="N122" s="389" t="s">
        <v>2919</v>
      </c>
      <c r="O122" s="389" t="s">
        <v>2208</v>
      </c>
      <c r="P122" s="389" t="s">
        <v>2916</v>
      </c>
      <c r="Q122" s="389" t="s">
        <v>3220</v>
      </c>
      <c r="R122" s="389" t="s">
        <v>2208</v>
      </c>
      <c r="S122" s="389" t="s">
        <v>2208</v>
      </c>
    </row>
    <row r="123" spans="1:19">
      <c r="A123" s="394" t="s">
        <v>2208</v>
      </c>
      <c r="B123" s="391" t="str">
        <f t="shared" si="1"/>
        <v>janeiro</v>
      </c>
      <c r="C123" s="394" t="s">
        <v>2208</v>
      </c>
      <c r="D123" s="394" t="s">
        <v>2208</v>
      </c>
      <c r="E123" s="395"/>
      <c r="F123" s="394" t="s">
        <v>2208</v>
      </c>
      <c r="G123" s="394" t="s">
        <v>2208</v>
      </c>
      <c r="H123" s="394" t="s">
        <v>2208</v>
      </c>
      <c r="I123" s="396"/>
      <c r="J123" s="397">
        <v>323128.02</v>
      </c>
      <c r="K123" s="394" t="s">
        <v>2917</v>
      </c>
      <c r="L123" s="397">
        <v>1893892.73</v>
      </c>
      <c r="M123" s="394" t="s">
        <v>2918</v>
      </c>
      <c r="N123" s="394" t="s">
        <v>2208</v>
      </c>
      <c r="O123" s="394" t="s">
        <v>2208</v>
      </c>
      <c r="P123" s="394" t="s">
        <v>2208</v>
      </c>
      <c r="Q123" s="394" t="s">
        <v>2208</v>
      </c>
      <c r="R123" s="394" t="s">
        <v>2208</v>
      </c>
      <c r="S123" s="394" t="s">
        <v>2208</v>
      </c>
    </row>
    <row r="124" spans="1:19">
      <c r="B124" s="391" t="str">
        <f t="shared" si="1"/>
        <v>janeiro</v>
      </c>
    </row>
    <row r="125" spans="1:19">
      <c r="B125" s="391" t="str">
        <f t="shared" si="1"/>
        <v>janeiro</v>
      </c>
    </row>
    <row r="126" spans="1:19">
      <c r="B126" s="391" t="str">
        <f t="shared" si="1"/>
        <v>janeiro</v>
      </c>
    </row>
    <row r="127" spans="1:19">
      <c r="B127" s="391" t="str">
        <f t="shared" si="1"/>
        <v>janeiro</v>
      </c>
    </row>
    <row r="128" spans="1:19">
      <c r="B128" s="391" t="str">
        <f t="shared" si="1"/>
        <v>janeiro</v>
      </c>
    </row>
    <row r="129" spans="2:2">
      <c r="B129" s="391" t="str">
        <f t="shared" si="1"/>
        <v>janeiro</v>
      </c>
    </row>
    <row r="130" spans="2:2">
      <c r="B130" s="391" t="str">
        <f t="shared" si="1"/>
        <v>janeiro</v>
      </c>
    </row>
    <row r="131" spans="2:2">
      <c r="B131" s="391" t="str">
        <f t="shared" ref="B131:B194" si="2">TEXT(E131,"mmmm")</f>
        <v>janeiro</v>
      </c>
    </row>
    <row r="132" spans="2:2">
      <c r="B132" s="391" t="str">
        <f t="shared" si="2"/>
        <v>janeiro</v>
      </c>
    </row>
    <row r="133" spans="2:2">
      <c r="B133" s="391" t="str">
        <f t="shared" si="2"/>
        <v>janeiro</v>
      </c>
    </row>
    <row r="134" spans="2:2">
      <c r="B134" s="391" t="str">
        <f t="shared" si="2"/>
        <v>janeiro</v>
      </c>
    </row>
    <row r="135" spans="2:2">
      <c r="B135" s="391" t="str">
        <f t="shared" si="2"/>
        <v>janeiro</v>
      </c>
    </row>
    <row r="136" spans="2:2">
      <c r="B136" s="391" t="str">
        <f t="shared" si="2"/>
        <v>janeiro</v>
      </c>
    </row>
    <row r="137" spans="2:2">
      <c r="B137" s="391" t="str">
        <f t="shared" si="2"/>
        <v>janeiro</v>
      </c>
    </row>
    <row r="138" spans="2:2">
      <c r="B138" s="391" t="str">
        <f t="shared" si="2"/>
        <v>janeiro</v>
      </c>
    </row>
    <row r="139" spans="2:2">
      <c r="B139" s="391" t="str">
        <f t="shared" si="2"/>
        <v>janeiro</v>
      </c>
    </row>
    <row r="140" spans="2:2">
      <c r="B140" s="391" t="str">
        <f t="shared" si="2"/>
        <v>janeiro</v>
      </c>
    </row>
    <row r="141" spans="2:2">
      <c r="B141" s="391" t="str">
        <f t="shared" si="2"/>
        <v>janeiro</v>
      </c>
    </row>
    <row r="142" spans="2:2">
      <c r="B142" s="391" t="str">
        <f t="shared" si="2"/>
        <v>janeiro</v>
      </c>
    </row>
    <row r="143" spans="2:2">
      <c r="B143" s="391" t="str">
        <f t="shared" si="2"/>
        <v>janeiro</v>
      </c>
    </row>
    <row r="144" spans="2:2">
      <c r="B144" s="391" t="str">
        <f t="shared" si="2"/>
        <v>janeiro</v>
      </c>
    </row>
    <row r="145" spans="2:2">
      <c r="B145" s="391" t="str">
        <f t="shared" si="2"/>
        <v>janeiro</v>
      </c>
    </row>
    <row r="146" spans="2:2">
      <c r="B146" s="391" t="str">
        <f t="shared" si="2"/>
        <v>janeiro</v>
      </c>
    </row>
    <row r="147" spans="2:2">
      <c r="B147" s="391" t="str">
        <f t="shared" si="2"/>
        <v>janeiro</v>
      </c>
    </row>
    <row r="148" spans="2:2">
      <c r="B148" s="391" t="str">
        <f t="shared" si="2"/>
        <v>janeiro</v>
      </c>
    </row>
    <row r="149" spans="2:2">
      <c r="B149" s="391" t="str">
        <f t="shared" si="2"/>
        <v>janeiro</v>
      </c>
    </row>
    <row r="150" spans="2:2">
      <c r="B150" s="391" t="str">
        <f t="shared" si="2"/>
        <v>janeiro</v>
      </c>
    </row>
    <row r="151" spans="2:2">
      <c r="B151" s="391" t="str">
        <f t="shared" si="2"/>
        <v>janeiro</v>
      </c>
    </row>
    <row r="152" spans="2:2">
      <c r="B152" s="391" t="str">
        <f t="shared" si="2"/>
        <v>janeiro</v>
      </c>
    </row>
    <row r="153" spans="2:2">
      <c r="B153" s="391" t="str">
        <f t="shared" si="2"/>
        <v>janeiro</v>
      </c>
    </row>
    <row r="154" spans="2:2">
      <c r="B154" s="391" t="str">
        <f t="shared" si="2"/>
        <v>janeiro</v>
      </c>
    </row>
    <row r="155" spans="2:2">
      <c r="B155" s="391" t="str">
        <f t="shared" si="2"/>
        <v>janeiro</v>
      </c>
    </row>
    <row r="156" spans="2:2">
      <c r="B156" s="391" t="str">
        <f t="shared" si="2"/>
        <v>janeiro</v>
      </c>
    </row>
    <row r="157" spans="2:2">
      <c r="B157" s="391" t="str">
        <f t="shared" si="2"/>
        <v>janeiro</v>
      </c>
    </row>
    <row r="158" spans="2:2">
      <c r="B158" s="391" t="str">
        <f t="shared" si="2"/>
        <v>janeiro</v>
      </c>
    </row>
    <row r="159" spans="2:2">
      <c r="B159" s="391" t="str">
        <f t="shared" si="2"/>
        <v>janeiro</v>
      </c>
    </row>
    <row r="160" spans="2:2">
      <c r="B160" s="391" t="str">
        <f t="shared" si="2"/>
        <v>janeiro</v>
      </c>
    </row>
    <row r="161" spans="2:2">
      <c r="B161" s="391" t="str">
        <f t="shared" si="2"/>
        <v>janeiro</v>
      </c>
    </row>
    <row r="162" spans="2:2">
      <c r="B162" s="391" t="str">
        <f t="shared" si="2"/>
        <v>janeiro</v>
      </c>
    </row>
    <row r="163" spans="2:2">
      <c r="B163" s="391" t="str">
        <f t="shared" si="2"/>
        <v>janeiro</v>
      </c>
    </row>
    <row r="164" spans="2:2">
      <c r="B164" s="391" t="str">
        <f t="shared" si="2"/>
        <v>janeiro</v>
      </c>
    </row>
    <row r="165" spans="2:2">
      <c r="B165" s="391" t="str">
        <f t="shared" si="2"/>
        <v>janeiro</v>
      </c>
    </row>
    <row r="166" spans="2:2">
      <c r="B166" s="391" t="str">
        <f t="shared" si="2"/>
        <v>janeiro</v>
      </c>
    </row>
    <row r="167" spans="2:2">
      <c r="B167" s="391" t="str">
        <f t="shared" si="2"/>
        <v>janeiro</v>
      </c>
    </row>
    <row r="168" spans="2:2">
      <c r="B168" s="391" t="str">
        <f t="shared" si="2"/>
        <v>janeiro</v>
      </c>
    </row>
    <row r="169" spans="2:2">
      <c r="B169" s="391" t="str">
        <f t="shared" si="2"/>
        <v>janeiro</v>
      </c>
    </row>
    <row r="170" spans="2:2">
      <c r="B170" s="391" t="str">
        <f t="shared" si="2"/>
        <v>janeiro</v>
      </c>
    </row>
    <row r="171" spans="2:2">
      <c r="B171" s="391" t="str">
        <f t="shared" si="2"/>
        <v>janeiro</v>
      </c>
    </row>
    <row r="172" spans="2:2">
      <c r="B172" s="391" t="str">
        <f t="shared" si="2"/>
        <v>janeiro</v>
      </c>
    </row>
    <row r="173" spans="2:2">
      <c r="B173" s="391" t="str">
        <f t="shared" si="2"/>
        <v>janeiro</v>
      </c>
    </row>
    <row r="174" spans="2:2">
      <c r="B174" s="391" t="str">
        <f t="shared" si="2"/>
        <v>janeiro</v>
      </c>
    </row>
    <row r="175" spans="2:2">
      <c r="B175" s="391" t="str">
        <f t="shared" si="2"/>
        <v>janeiro</v>
      </c>
    </row>
    <row r="176" spans="2:2">
      <c r="B176" s="391" t="str">
        <f t="shared" si="2"/>
        <v>janeiro</v>
      </c>
    </row>
    <row r="177" spans="2:2">
      <c r="B177" s="391" t="str">
        <f t="shared" si="2"/>
        <v>janeiro</v>
      </c>
    </row>
    <row r="178" spans="2:2">
      <c r="B178" s="391" t="str">
        <f t="shared" si="2"/>
        <v>janeiro</v>
      </c>
    </row>
    <row r="179" spans="2:2">
      <c r="B179" s="391" t="str">
        <f t="shared" si="2"/>
        <v>janeiro</v>
      </c>
    </row>
    <row r="180" spans="2:2">
      <c r="B180" s="391" t="str">
        <f t="shared" si="2"/>
        <v>janeiro</v>
      </c>
    </row>
    <row r="181" spans="2:2">
      <c r="B181" s="391" t="str">
        <f t="shared" si="2"/>
        <v>janeiro</v>
      </c>
    </row>
    <row r="182" spans="2:2">
      <c r="B182" s="391" t="str">
        <f t="shared" si="2"/>
        <v>janeiro</v>
      </c>
    </row>
    <row r="183" spans="2:2">
      <c r="B183" s="391" t="str">
        <f t="shared" si="2"/>
        <v>janeiro</v>
      </c>
    </row>
    <row r="184" spans="2:2">
      <c r="B184" s="391" t="str">
        <f t="shared" si="2"/>
        <v>janeiro</v>
      </c>
    </row>
    <row r="185" spans="2:2">
      <c r="B185" s="391" t="str">
        <f t="shared" si="2"/>
        <v>janeiro</v>
      </c>
    </row>
    <row r="186" spans="2:2">
      <c r="B186" s="391" t="str">
        <f t="shared" si="2"/>
        <v>janeiro</v>
      </c>
    </row>
    <row r="187" spans="2:2">
      <c r="B187" s="391" t="str">
        <f t="shared" si="2"/>
        <v>janeiro</v>
      </c>
    </row>
    <row r="188" spans="2:2">
      <c r="B188" s="391" t="str">
        <f t="shared" si="2"/>
        <v>janeiro</v>
      </c>
    </row>
    <row r="189" spans="2:2">
      <c r="B189" s="391" t="str">
        <f t="shared" si="2"/>
        <v>janeiro</v>
      </c>
    </row>
    <row r="190" spans="2:2">
      <c r="B190" s="391" t="str">
        <f t="shared" si="2"/>
        <v>janeiro</v>
      </c>
    </row>
    <row r="191" spans="2:2">
      <c r="B191" s="391" t="str">
        <f t="shared" si="2"/>
        <v>janeiro</v>
      </c>
    </row>
    <row r="192" spans="2:2">
      <c r="B192" s="391" t="str">
        <f t="shared" si="2"/>
        <v>janeiro</v>
      </c>
    </row>
    <row r="193" spans="2:2">
      <c r="B193" s="391" t="str">
        <f t="shared" si="2"/>
        <v>janeiro</v>
      </c>
    </row>
    <row r="194" spans="2:2">
      <c r="B194" s="391" t="str">
        <f t="shared" si="2"/>
        <v>janeiro</v>
      </c>
    </row>
    <row r="195" spans="2:2">
      <c r="B195" s="391" t="str">
        <f t="shared" ref="B195:B258" si="3">TEXT(E195,"mmmm")</f>
        <v>janeiro</v>
      </c>
    </row>
    <row r="196" spans="2:2">
      <c r="B196" s="391" t="str">
        <f t="shared" si="3"/>
        <v>janeiro</v>
      </c>
    </row>
    <row r="197" spans="2:2">
      <c r="B197" s="391" t="str">
        <f t="shared" si="3"/>
        <v>janeiro</v>
      </c>
    </row>
    <row r="198" spans="2:2">
      <c r="B198" s="391" t="str">
        <f t="shared" si="3"/>
        <v>janeiro</v>
      </c>
    </row>
    <row r="199" spans="2:2">
      <c r="B199" s="391" t="str">
        <f t="shared" si="3"/>
        <v>janeiro</v>
      </c>
    </row>
    <row r="200" spans="2:2">
      <c r="B200" s="391" t="str">
        <f t="shared" si="3"/>
        <v>janeiro</v>
      </c>
    </row>
    <row r="201" spans="2:2">
      <c r="B201" s="391" t="str">
        <f t="shared" si="3"/>
        <v>janeiro</v>
      </c>
    </row>
    <row r="202" spans="2:2">
      <c r="B202" s="391" t="str">
        <f t="shared" si="3"/>
        <v>janeiro</v>
      </c>
    </row>
    <row r="203" spans="2:2">
      <c r="B203" s="391" t="str">
        <f t="shared" si="3"/>
        <v>janeiro</v>
      </c>
    </row>
    <row r="204" spans="2:2">
      <c r="B204" s="391" t="str">
        <f t="shared" si="3"/>
        <v>janeiro</v>
      </c>
    </row>
    <row r="205" spans="2:2">
      <c r="B205" s="391" t="str">
        <f t="shared" si="3"/>
        <v>janeiro</v>
      </c>
    </row>
    <row r="206" spans="2:2">
      <c r="B206" s="391" t="str">
        <f t="shared" si="3"/>
        <v>janeiro</v>
      </c>
    </row>
    <row r="207" spans="2:2">
      <c r="B207" s="391" t="str">
        <f t="shared" si="3"/>
        <v>janeiro</v>
      </c>
    </row>
    <row r="208" spans="2:2">
      <c r="B208" s="391" t="str">
        <f t="shared" si="3"/>
        <v>janeiro</v>
      </c>
    </row>
    <row r="209" spans="2:2">
      <c r="B209" s="391" t="str">
        <f t="shared" si="3"/>
        <v>janeiro</v>
      </c>
    </row>
    <row r="210" spans="2:2">
      <c r="B210" s="391" t="str">
        <f t="shared" si="3"/>
        <v>janeiro</v>
      </c>
    </row>
    <row r="211" spans="2:2">
      <c r="B211" s="391" t="str">
        <f t="shared" si="3"/>
        <v>janeiro</v>
      </c>
    </row>
    <row r="212" spans="2:2">
      <c r="B212" s="391" t="str">
        <f t="shared" si="3"/>
        <v>janeiro</v>
      </c>
    </row>
    <row r="213" spans="2:2">
      <c r="B213" s="391" t="str">
        <f t="shared" si="3"/>
        <v>janeiro</v>
      </c>
    </row>
    <row r="214" spans="2:2">
      <c r="B214" s="391" t="str">
        <f t="shared" si="3"/>
        <v>janeiro</v>
      </c>
    </row>
    <row r="215" spans="2:2">
      <c r="B215" s="391" t="str">
        <f t="shared" si="3"/>
        <v>janeiro</v>
      </c>
    </row>
    <row r="216" spans="2:2">
      <c r="B216" s="391" t="str">
        <f t="shared" si="3"/>
        <v>janeiro</v>
      </c>
    </row>
    <row r="217" spans="2:2">
      <c r="B217" s="391" t="str">
        <f t="shared" si="3"/>
        <v>janeiro</v>
      </c>
    </row>
    <row r="218" spans="2:2">
      <c r="B218" s="391" t="str">
        <f t="shared" si="3"/>
        <v>janeiro</v>
      </c>
    </row>
    <row r="219" spans="2:2">
      <c r="B219" s="391" t="str">
        <f t="shared" si="3"/>
        <v>janeiro</v>
      </c>
    </row>
    <row r="220" spans="2:2">
      <c r="B220" s="391" t="str">
        <f t="shared" si="3"/>
        <v>janeiro</v>
      </c>
    </row>
    <row r="221" spans="2:2">
      <c r="B221" s="391" t="str">
        <f t="shared" si="3"/>
        <v>janeiro</v>
      </c>
    </row>
    <row r="222" spans="2:2">
      <c r="B222" s="391" t="str">
        <f t="shared" si="3"/>
        <v>janeiro</v>
      </c>
    </row>
    <row r="223" spans="2:2">
      <c r="B223" s="391" t="str">
        <f t="shared" si="3"/>
        <v>janeiro</v>
      </c>
    </row>
    <row r="224" spans="2:2">
      <c r="B224" s="391" t="str">
        <f t="shared" si="3"/>
        <v>janeiro</v>
      </c>
    </row>
    <row r="225" spans="2:2">
      <c r="B225" s="391" t="str">
        <f t="shared" si="3"/>
        <v>janeiro</v>
      </c>
    </row>
    <row r="226" spans="2:2">
      <c r="B226" s="391" t="str">
        <f t="shared" si="3"/>
        <v>janeiro</v>
      </c>
    </row>
    <row r="227" spans="2:2">
      <c r="B227" s="391" t="str">
        <f t="shared" si="3"/>
        <v>janeiro</v>
      </c>
    </row>
    <row r="228" spans="2:2">
      <c r="B228" s="391" t="str">
        <f t="shared" si="3"/>
        <v>janeiro</v>
      </c>
    </row>
    <row r="229" spans="2:2">
      <c r="B229" s="391" t="str">
        <f t="shared" si="3"/>
        <v>janeiro</v>
      </c>
    </row>
    <row r="230" spans="2:2">
      <c r="B230" s="391" t="str">
        <f t="shared" si="3"/>
        <v>janeiro</v>
      </c>
    </row>
    <row r="231" spans="2:2">
      <c r="B231" s="391" t="str">
        <f t="shared" si="3"/>
        <v>janeiro</v>
      </c>
    </row>
    <row r="232" spans="2:2">
      <c r="B232" s="391" t="str">
        <f t="shared" si="3"/>
        <v>janeiro</v>
      </c>
    </row>
    <row r="233" spans="2:2">
      <c r="B233" s="391" t="str">
        <f t="shared" si="3"/>
        <v>janeiro</v>
      </c>
    </row>
    <row r="234" spans="2:2">
      <c r="B234" s="391" t="str">
        <f t="shared" si="3"/>
        <v>janeiro</v>
      </c>
    </row>
    <row r="235" spans="2:2">
      <c r="B235" s="391" t="str">
        <f t="shared" si="3"/>
        <v>janeiro</v>
      </c>
    </row>
    <row r="236" spans="2:2">
      <c r="B236" s="391" t="str">
        <f t="shared" si="3"/>
        <v>janeiro</v>
      </c>
    </row>
    <row r="237" spans="2:2">
      <c r="B237" s="391" t="str">
        <f t="shared" si="3"/>
        <v>janeiro</v>
      </c>
    </row>
    <row r="238" spans="2:2">
      <c r="B238" s="391" t="str">
        <f t="shared" si="3"/>
        <v>janeiro</v>
      </c>
    </row>
    <row r="239" spans="2:2">
      <c r="B239" s="391" t="str">
        <f t="shared" si="3"/>
        <v>janeiro</v>
      </c>
    </row>
    <row r="240" spans="2:2">
      <c r="B240" s="391" t="str">
        <f t="shared" si="3"/>
        <v>janeiro</v>
      </c>
    </row>
    <row r="241" spans="2:2">
      <c r="B241" s="391" t="str">
        <f t="shared" si="3"/>
        <v>janeiro</v>
      </c>
    </row>
    <row r="242" spans="2:2">
      <c r="B242" s="391" t="str">
        <f t="shared" si="3"/>
        <v>janeiro</v>
      </c>
    </row>
    <row r="243" spans="2:2">
      <c r="B243" s="391" t="str">
        <f t="shared" si="3"/>
        <v>janeiro</v>
      </c>
    </row>
    <row r="244" spans="2:2">
      <c r="B244" s="391" t="str">
        <f t="shared" si="3"/>
        <v>janeiro</v>
      </c>
    </row>
    <row r="245" spans="2:2">
      <c r="B245" s="391" t="str">
        <f t="shared" si="3"/>
        <v>janeiro</v>
      </c>
    </row>
    <row r="246" spans="2:2">
      <c r="B246" s="391" t="str">
        <f t="shared" si="3"/>
        <v>janeiro</v>
      </c>
    </row>
    <row r="247" spans="2:2">
      <c r="B247" s="391" t="str">
        <f t="shared" si="3"/>
        <v>janeiro</v>
      </c>
    </row>
    <row r="248" spans="2:2">
      <c r="B248" s="391" t="str">
        <f t="shared" si="3"/>
        <v>janeiro</v>
      </c>
    </row>
    <row r="249" spans="2:2">
      <c r="B249" s="391" t="str">
        <f t="shared" si="3"/>
        <v>janeiro</v>
      </c>
    </row>
    <row r="250" spans="2:2">
      <c r="B250" s="391" t="str">
        <f t="shared" si="3"/>
        <v>janeiro</v>
      </c>
    </row>
    <row r="251" spans="2:2">
      <c r="B251" s="391" t="str">
        <f t="shared" si="3"/>
        <v>janeiro</v>
      </c>
    </row>
    <row r="252" spans="2:2">
      <c r="B252" s="391" t="str">
        <f t="shared" si="3"/>
        <v>janeiro</v>
      </c>
    </row>
    <row r="253" spans="2:2">
      <c r="B253" s="391" t="str">
        <f t="shared" si="3"/>
        <v>janeiro</v>
      </c>
    </row>
    <row r="254" spans="2:2">
      <c r="B254" s="391" t="str">
        <f t="shared" si="3"/>
        <v>janeiro</v>
      </c>
    </row>
    <row r="255" spans="2:2">
      <c r="B255" s="391" t="str">
        <f t="shared" si="3"/>
        <v>janeiro</v>
      </c>
    </row>
    <row r="256" spans="2:2">
      <c r="B256" s="391" t="str">
        <f t="shared" si="3"/>
        <v>janeiro</v>
      </c>
    </row>
    <row r="257" spans="2:2">
      <c r="B257" s="391" t="str">
        <f t="shared" si="3"/>
        <v>janeiro</v>
      </c>
    </row>
    <row r="258" spans="2:2">
      <c r="B258" s="391" t="str">
        <f t="shared" si="3"/>
        <v>janeiro</v>
      </c>
    </row>
    <row r="259" spans="2:2">
      <c r="B259" s="391" t="str">
        <f t="shared" ref="B259:B322" si="4">TEXT(E259,"mmmm")</f>
        <v>janeiro</v>
      </c>
    </row>
    <row r="260" spans="2:2">
      <c r="B260" s="391" t="str">
        <f t="shared" si="4"/>
        <v>janeiro</v>
      </c>
    </row>
    <row r="261" spans="2:2">
      <c r="B261" s="391" t="str">
        <f t="shared" si="4"/>
        <v>janeiro</v>
      </c>
    </row>
    <row r="262" spans="2:2">
      <c r="B262" s="391" t="str">
        <f t="shared" si="4"/>
        <v>janeiro</v>
      </c>
    </row>
    <row r="263" spans="2:2">
      <c r="B263" s="391" t="str">
        <f t="shared" si="4"/>
        <v>janeiro</v>
      </c>
    </row>
    <row r="264" spans="2:2">
      <c r="B264" s="391" t="str">
        <f t="shared" si="4"/>
        <v>janeiro</v>
      </c>
    </row>
    <row r="265" spans="2:2">
      <c r="B265" s="391" t="str">
        <f t="shared" si="4"/>
        <v>janeiro</v>
      </c>
    </row>
    <row r="266" spans="2:2">
      <c r="B266" s="391" t="str">
        <f t="shared" si="4"/>
        <v>janeiro</v>
      </c>
    </row>
    <row r="267" spans="2:2">
      <c r="B267" s="391" t="str">
        <f t="shared" si="4"/>
        <v>janeiro</v>
      </c>
    </row>
    <row r="268" spans="2:2">
      <c r="B268" s="391" t="str">
        <f t="shared" si="4"/>
        <v>janeiro</v>
      </c>
    </row>
    <row r="269" spans="2:2">
      <c r="B269" s="391" t="str">
        <f t="shared" si="4"/>
        <v>janeiro</v>
      </c>
    </row>
    <row r="270" spans="2:2">
      <c r="B270" s="391" t="str">
        <f t="shared" si="4"/>
        <v>janeiro</v>
      </c>
    </row>
    <row r="271" spans="2:2">
      <c r="B271" s="391" t="str">
        <f t="shared" si="4"/>
        <v>janeiro</v>
      </c>
    </row>
    <row r="272" spans="2:2">
      <c r="B272" s="391" t="str">
        <f t="shared" si="4"/>
        <v>janeiro</v>
      </c>
    </row>
    <row r="273" spans="2:2">
      <c r="B273" s="391" t="str">
        <f t="shared" si="4"/>
        <v>janeiro</v>
      </c>
    </row>
    <row r="274" spans="2:2">
      <c r="B274" s="391" t="str">
        <f t="shared" si="4"/>
        <v>janeiro</v>
      </c>
    </row>
    <row r="275" spans="2:2">
      <c r="B275" s="391" t="str">
        <f t="shared" si="4"/>
        <v>janeiro</v>
      </c>
    </row>
    <row r="276" spans="2:2">
      <c r="B276" s="391" t="str">
        <f t="shared" si="4"/>
        <v>janeiro</v>
      </c>
    </row>
    <row r="277" spans="2:2">
      <c r="B277" s="391" t="str">
        <f t="shared" si="4"/>
        <v>janeiro</v>
      </c>
    </row>
    <row r="278" spans="2:2">
      <c r="B278" s="391" t="str">
        <f t="shared" si="4"/>
        <v>janeiro</v>
      </c>
    </row>
    <row r="279" spans="2:2">
      <c r="B279" s="391" t="str">
        <f t="shared" si="4"/>
        <v>janeiro</v>
      </c>
    </row>
    <row r="280" spans="2:2">
      <c r="B280" s="391" t="str">
        <f t="shared" si="4"/>
        <v>janeiro</v>
      </c>
    </row>
    <row r="281" spans="2:2">
      <c r="B281" s="391" t="str">
        <f t="shared" si="4"/>
        <v>janeiro</v>
      </c>
    </row>
    <row r="282" spans="2:2">
      <c r="B282" s="391" t="str">
        <f t="shared" si="4"/>
        <v>janeiro</v>
      </c>
    </row>
    <row r="283" spans="2:2">
      <c r="B283" s="391" t="str">
        <f t="shared" si="4"/>
        <v>janeiro</v>
      </c>
    </row>
    <row r="284" spans="2:2">
      <c r="B284" s="391" t="str">
        <f t="shared" si="4"/>
        <v>janeiro</v>
      </c>
    </row>
    <row r="285" spans="2:2">
      <c r="B285" s="391" t="str">
        <f t="shared" si="4"/>
        <v>janeiro</v>
      </c>
    </row>
    <row r="286" spans="2:2">
      <c r="B286" s="391" t="str">
        <f t="shared" si="4"/>
        <v>janeiro</v>
      </c>
    </row>
    <row r="287" spans="2:2">
      <c r="B287" s="391" t="str">
        <f t="shared" si="4"/>
        <v>janeiro</v>
      </c>
    </row>
    <row r="288" spans="2:2">
      <c r="B288" s="391" t="str">
        <f t="shared" si="4"/>
        <v>janeiro</v>
      </c>
    </row>
    <row r="289" spans="2:2">
      <c r="B289" s="391" t="str">
        <f t="shared" si="4"/>
        <v>janeiro</v>
      </c>
    </row>
    <row r="290" spans="2:2">
      <c r="B290" s="391" t="str">
        <f t="shared" si="4"/>
        <v>janeiro</v>
      </c>
    </row>
    <row r="291" spans="2:2">
      <c r="B291" s="391" t="str">
        <f t="shared" si="4"/>
        <v>janeiro</v>
      </c>
    </row>
    <row r="292" spans="2:2">
      <c r="B292" s="391" t="str">
        <f t="shared" si="4"/>
        <v>janeiro</v>
      </c>
    </row>
    <row r="293" spans="2:2">
      <c r="B293" s="391" t="str">
        <f t="shared" si="4"/>
        <v>janeiro</v>
      </c>
    </row>
    <row r="294" spans="2:2">
      <c r="B294" s="391" t="str">
        <f t="shared" si="4"/>
        <v>janeiro</v>
      </c>
    </row>
    <row r="295" spans="2:2">
      <c r="B295" s="391" t="str">
        <f t="shared" si="4"/>
        <v>janeiro</v>
      </c>
    </row>
    <row r="296" spans="2:2">
      <c r="B296" s="391" t="str">
        <f t="shared" si="4"/>
        <v>janeiro</v>
      </c>
    </row>
    <row r="297" spans="2:2">
      <c r="B297" s="391" t="str">
        <f t="shared" si="4"/>
        <v>janeiro</v>
      </c>
    </row>
    <row r="298" spans="2:2">
      <c r="B298" s="391" t="str">
        <f t="shared" si="4"/>
        <v>janeiro</v>
      </c>
    </row>
    <row r="299" spans="2:2">
      <c r="B299" s="391" t="str">
        <f t="shared" si="4"/>
        <v>janeiro</v>
      </c>
    </row>
    <row r="300" spans="2:2">
      <c r="B300" s="391" t="str">
        <f t="shared" si="4"/>
        <v>janeiro</v>
      </c>
    </row>
    <row r="301" spans="2:2">
      <c r="B301" s="391" t="str">
        <f t="shared" si="4"/>
        <v>janeiro</v>
      </c>
    </row>
    <row r="302" spans="2:2">
      <c r="B302" s="391" t="str">
        <f t="shared" si="4"/>
        <v>janeiro</v>
      </c>
    </row>
    <row r="303" spans="2:2">
      <c r="B303" s="391" t="str">
        <f t="shared" si="4"/>
        <v>janeiro</v>
      </c>
    </row>
    <row r="304" spans="2:2">
      <c r="B304" s="391" t="str">
        <f t="shared" si="4"/>
        <v>janeiro</v>
      </c>
    </row>
    <row r="305" spans="2:2">
      <c r="B305" s="391" t="str">
        <f t="shared" si="4"/>
        <v>janeiro</v>
      </c>
    </row>
    <row r="306" spans="2:2">
      <c r="B306" s="391" t="str">
        <f t="shared" si="4"/>
        <v>janeiro</v>
      </c>
    </row>
    <row r="307" spans="2:2">
      <c r="B307" s="391" t="str">
        <f t="shared" si="4"/>
        <v>janeiro</v>
      </c>
    </row>
    <row r="308" spans="2:2">
      <c r="B308" s="391" t="str">
        <f t="shared" si="4"/>
        <v>janeiro</v>
      </c>
    </row>
    <row r="309" spans="2:2">
      <c r="B309" s="391" t="str">
        <f t="shared" si="4"/>
        <v>janeiro</v>
      </c>
    </row>
    <row r="310" spans="2:2">
      <c r="B310" s="391" t="str">
        <f t="shared" si="4"/>
        <v>janeiro</v>
      </c>
    </row>
    <row r="311" spans="2:2">
      <c r="B311" s="391" t="str">
        <f t="shared" si="4"/>
        <v>janeiro</v>
      </c>
    </row>
    <row r="312" spans="2:2">
      <c r="B312" s="391" t="str">
        <f t="shared" si="4"/>
        <v>janeiro</v>
      </c>
    </row>
    <row r="313" spans="2:2">
      <c r="B313" s="391" t="str">
        <f t="shared" si="4"/>
        <v>janeiro</v>
      </c>
    </row>
    <row r="314" spans="2:2">
      <c r="B314" s="391" t="str">
        <f t="shared" si="4"/>
        <v>janeiro</v>
      </c>
    </row>
    <row r="315" spans="2:2">
      <c r="B315" s="391" t="str">
        <f t="shared" si="4"/>
        <v>janeiro</v>
      </c>
    </row>
    <row r="316" spans="2:2">
      <c r="B316" s="391" t="str">
        <f t="shared" si="4"/>
        <v>janeiro</v>
      </c>
    </row>
    <row r="317" spans="2:2">
      <c r="B317" s="391" t="str">
        <f t="shared" si="4"/>
        <v>janeiro</v>
      </c>
    </row>
    <row r="318" spans="2:2">
      <c r="B318" s="391" t="str">
        <f t="shared" si="4"/>
        <v>janeiro</v>
      </c>
    </row>
    <row r="319" spans="2:2">
      <c r="B319" s="391" t="str">
        <f t="shared" si="4"/>
        <v>janeiro</v>
      </c>
    </row>
    <row r="320" spans="2:2">
      <c r="B320" s="391" t="str">
        <f t="shared" si="4"/>
        <v>janeiro</v>
      </c>
    </row>
    <row r="321" spans="2:2">
      <c r="B321" s="391" t="str">
        <f t="shared" si="4"/>
        <v>janeiro</v>
      </c>
    </row>
    <row r="322" spans="2:2">
      <c r="B322" s="391" t="str">
        <f t="shared" si="4"/>
        <v>janeiro</v>
      </c>
    </row>
    <row r="323" spans="2:2">
      <c r="B323" s="391" t="str">
        <f t="shared" ref="B323:B386" si="5">TEXT(E323,"mmmm")</f>
        <v>janeiro</v>
      </c>
    </row>
    <row r="324" spans="2:2">
      <c r="B324" s="391" t="str">
        <f t="shared" si="5"/>
        <v>janeiro</v>
      </c>
    </row>
    <row r="325" spans="2:2">
      <c r="B325" s="391" t="str">
        <f t="shared" si="5"/>
        <v>janeiro</v>
      </c>
    </row>
    <row r="326" spans="2:2">
      <c r="B326" s="391" t="str">
        <f t="shared" si="5"/>
        <v>janeiro</v>
      </c>
    </row>
    <row r="327" spans="2:2">
      <c r="B327" s="391" t="str">
        <f t="shared" si="5"/>
        <v>janeiro</v>
      </c>
    </row>
    <row r="328" spans="2:2">
      <c r="B328" s="391" t="str">
        <f t="shared" si="5"/>
        <v>janeiro</v>
      </c>
    </row>
    <row r="329" spans="2:2">
      <c r="B329" s="391" t="str">
        <f t="shared" si="5"/>
        <v>janeiro</v>
      </c>
    </row>
    <row r="330" spans="2:2">
      <c r="B330" s="391" t="str">
        <f t="shared" si="5"/>
        <v>janeiro</v>
      </c>
    </row>
    <row r="331" spans="2:2">
      <c r="B331" s="391" t="str">
        <f t="shared" si="5"/>
        <v>janeiro</v>
      </c>
    </row>
    <row r="332" spans="2:2">
      <c r="B332" s="391" t="str">
        <f t="shared" si="5"/>
        <v>janeiro</v>
      </c>
    </row>
    <row r="333" spans="2:2">
      <c r="B333" s="391" t="str">
        <f t="shared" si="5"/>
        <v>janeiro</v>
      </c>
    </row>
    <row r="334" spans="2:2">
      <c r="B334" s="391" t="str">
        <f t="shared" si="5"/>
        <v>janeiro</v>
      </c>
    </row>
    <row r="335" spans="2:2">
      <c r="B335" s="391" t="str">
        <f t="shared" si="5"/>
        <v>janeiro</v>
      </c>
    </row>
    <row r="336" spans="2:2">
      <c r="B336" s="391" t="str">
        <f t="shared" si="5"/>
        <v>janeiro</v>
      </c>
    </row>
    <row r="337" spans="2:2">
      <c r="B337" s="391" t="str">
        <f t="shared" si="5"/>
        <v>janeiro</v>
      </c>
    </row>
    <row r="338" spans="2:2">
      <c r="B338" s="391" t="str">
        <f t="shared" si="5"/>
        <v>janeiro</v>
      </c>
    </row>
    <row r="339" spans="2:2">
      <c r="B339" s="391" t="str">
        <f t="shared" si="5"/>
        <v>janeiro</v>
      </c>
    </row>
    <row r="340" spans="2:2">
      <c r="B340" s="391" t="str">
        <f t="shared" si="5"/>
        <v>janeiro</v>
      </c>
    </row>
    <row r="341" spans="2:2">
      <c r="B341" s="391" t="str">
        <f t="shared" si="5"/>
        <v>janeiro</v>
      </c>
    </row>
    <row r="342" spans="2:2">
      <c r="B342" s="391" t="str">
        <f t="shared" si="5"/>
        <v>janeiro</v>
      </c>
    </row>
    <row r="343" spans="2:2">
      <c r="B343" s="391" t="str">
        <f t="shared" si="5"/>
        <v>janeiro</v>
      </c>
    </row>
    <row r="344" spans="2:2">
      <c r="B344" s="391" t="str">
        <f t="shared" si="5"/>
        <v>janeiro</v>
      </c>
    </row>
    <row r="345" spans="2:2">
      <c r="B345" s="391" t="str">
        <f t="shared" si="5"/>
        <v>janeiro</v>
      </c>
    </row>
    <row r="346" spans="2:2">
      <c r="B346" s="391" t="str">
        <f t="shared" si="5"/>
        <v>janeiro</v>
      </c>
    </row>
    <row r="347" spans="2:2">
      <c r="B347" s="391" t="str">
        <f t="shared" si="5"/>
        <v>janeiro</v>
      </c>
    </row>
    <row r="348" spans="2:2">
      <c r="B348" s="391" t="str">
        <f t="shared" si="5"/>
        <v>janeiro</v>
      </c>
    </row>
    <row r="349" spans="2:2">
      <c r="B349" s="391" t="str">
        <f t="shared" si="5"/>
        <v>janeiro</v>
      </c>
    </row>
    <row r="350" spans="2:2">
      <c r="B350" s="391" t="str">
        <f t="shared" si="5"/>
        <v>janeiro</v>
      </c>
    </row>
    <row r="351" spans="2:2">
      <c r="B351" s="391" t="str">
        <f t="shared" si="5"/>
        <v>janeiro</v>
      </c>
    </row>
    <row r="352" spans="2:2">
      <c r="B352" s="391" t="str">
        <f t="shared" si="5"/>
        <v>janeiro</v>
      </c>
    </row>
    <row r="353" spans="2:2">
      <c r="B353" s="391" t="str">
        <f t="shared" si="5"/>
        <v>janeiro</v>
      </c>
    </row>
    <row r="354" spans="2:2">
      <c r="B354" s="391" t="str">
        <f t="shared" si="5"/>
        <v>janeiro</v>
      </c>
    </row>
    <row r="355" spans="2:2">
      <c r="B355" s="391" t="str">
        <f t="shared" si="5"/>
        <v>janeiro</v>
      </c>
    </row>
    <row r="356" spans="2:2">
      <c r="B356" s="391" t="str">
        <f t="shared" si="5"/>
        <v>janeiro</v>
      </c>
    </row>
    <row r="357" spans="2:2">
      <c r="B357" s="391" t="str">
        <f t="shared" si="5"/>
        <v>janeiro</v>
      </c>
    </row>
    <row r="358" spans="2:2">
      <c r="B358" s="391" t="str">
        <f t="shared" si="5"/>
        <v>janeiro</v>
      </c>
    </row>
    <row r="359" spans="2:2">
      <c r="B359" s="391" t="str">
        <f t="shared" si="5"/>
        <v>janeiro</v>
      </c>
    </row>
    <row r="360" spans="2:2">
      <c r="B360" s="391" t="str">
        <f t="shared" si="5"/>
        <v>janeiro</v>
      </c>
    </row>
    <row r="361" spans="2:2">
      <c r="B361" s="391" t="str">
        <f t="shared" si="5"/>
        <v>janeiro</v>
      </c>
    </row>
    <row r="362" spans="2:2">
      <c r="B362" s="391" t="str">
        <f t="shared" si="5"/>
        <v>janeiro</v>
      </c>
    </row>
    <row r="363" spans="2:2">
      <c r="B363" s="391" t="str">
        <f t="shared" si="5"/>
        <v>janeiro</v>
      </c>
    </row>
    <row r="364" spans="2:2">
      <c r="B364" s="391" t="str">
        <f t="shared" si="5"/>
        <v>janeiro</v>
      </c>
    </row>
    <row r="365" spans="2:2">
      <c r="B365" s="391" t="str">
        <f t="shared" si="5"/>
        <v>janeiro</v>
      </c>
    </row>
    <row r="366" spans="2:2">
      <c r="B366" s="391" t="str">
        <f t="shared" si="5"/>
        <v>janeiro</v>
      </c>
    </row>
    <row r="367" spans="2:2">
      <c r="B367" s="391" t="str">
        <f t="shared" si="5"/>
        <v>janeiro</v>
      </c>
    </row>
    <row r="368" spans="2:2">
      <c r="B368" s="391" t="str">
        <f t="shared" si="5"/>
        <v>janeiro</v>
      </c>
    </row>
    <row r="369" spans="2:2">
      <c r="B369" s="391" t="str">
        <f t="shared" si="5"/>
        <v>janeiro</v>
      </c>
    </row>
    <row r="370" spans="2:2">
      <c r="B370" s="391" t="str">
        <f t="shared" si="5"/>
        <v>janeiro</v>
      </c>
    </row>
    <row r="371" spans="2:2">
      <c r="B371" s="391" t="str">
        <f t="shared" si="5"/>
        <v>janeiro</v>
      </c>
    </row>
    <row r="372" spans="2:2">
      <c r="B372" s="391" t="str">
        <f t="shared" si="5"/>
        <v>janeiro</v>
      </c>
    </row>
    <row r="373" spans="2:2">
      <c r="B373" s="391" t="str">
        <f t="shared" si="5"/>
        <v>janeiro</v>
      </c>
    </row>
    <row r="374" spans="2:2">
      <c r="B374" s="391" t="str">
        <f t="shared" si="5"/>
        <v>janeiro</v>
      </c>
    </row>
    <row r="375" spans="2:2">
      <c r="B375" s="391" t="str">
        <f t="shared" si="5"/>
        <v>janeiro</v>
      </c>
    </row>
    <row r="376" spans="2:2">
      <c r="B376" s="391" t="str">
        <f t="shared" si="5"/>
        <v>janeiro</v>
      </c>
    </row>
    <row r="377" spans="2:2">
      <c r="B377" s="391" t="str">
        <f t="shared" si="5"/>
        <v>janeiro</v>
      </c>
    </row>
    <row r="378" spans="2:2">
      <c r="B378" s="391" t="str">
        <f t="shared" si="5"/>
        <v>janeiro</v>
      </c>
    </row>
    <row r="379" spans="2:2">
      <c r="B379" s="391" t="str">
        <f t="shared" si="5"/>
        <v>janeiro</v>
      </c>
    </row>
    <row r="380" spans="2:2">
      <c r="B380" s="391" t="str">
        <f t="shared" si="5"/>
        <v>janeiro</v>
      </c>
    </row>
    <row r="381" spans="2:2">
      <c r="B381" s="391" t="str">
        <f t="shared" si="5"/>
        <v>janeiro</v>
      </c>
    </row>
    <row r="382" spans="2:2">
      <c r="B382" s="391" t="str">
        <f t="shared" si="5"/>
        <v>janeiro</v>
      </c>
    </row>
    <row r="383" spans="2:2">
      <c r="B383" s="391" t="str">
        <f t="shared" si="5"/>
        <v>janeiro</v>
      </c>
    </row>
    <row r="384" spans="2:2">
      <c r="B384" s="391" t="str">
        <f t="shared" si="5"/>
        <v>janeiro</v>
      </c>
    </row>
    <row r="385" spans="2:2">
      <c r="B385" s="391" t="str">
        <f t="shared" si="5"/>
        <v>janeiro</v>
      </c>
    </row>
    <row r="386" spans="2:2">
      <c r="B386" s="391" t="str">
        <f t="shared" si="5"/>
        <v>janeiro</v>
      </c>
    </row>
    <row r="387" spans="2:2">
      <c r="B387" s="391" t="str">
        <f t="shared" ref="B387:B450" si="6">TEXT(E387,"mmmm")</f>
        <v>janeiro</v>
      </c>
    </row>
    <row r="388" spans="2:2">
      <c r="B388" s="391" t="str">
        <f t="shared" si="6"/>
        <v>janeiro</v>
      </c>
    </row>
    <row r="389" spans="2:2">
      <c r="B389" s="391" t="str">
        <f t="shared" si="6"/>
        <v>janeiro</v>
      </c>
    </row>
    <row r="390" spans="2:2">
      <c r="B390" s="391" t="str">
        <f t="shared" si="6"/>
        <v>janeiro</v>
      </c>
    </row>
    <row r="391" spans="2:2">
      <c r="B391" s="391" t="str">
        <f t="shared" si="6"/>
        <v>janeiro</v>
      </c>
    </row>
    <row r="392" spans="2:2">
      <c r="B392" s="391" t="str">
        <f t="shared" si="6"/>
        <v>janeiro</v>
      </c>
    </row>
    <row r="393" spans="2:2">
      <c r="B393" s="391" t="str">
        <f t="shared" si="6"/>
        <v>janeiro</v>
      </c>
    </row>
    <row r="394" spans="2:2">
      <c r="B394" s="391" t="str">
        <f t="shared" si="6"/>
        <v>janeiro</v>
      </c>
    </row>
    <row r="395" spans="2:2">
      <c r="B395" s="391" t="str">
        <f t="shared" si="6"/>
        <v>janeiro</v>
      </c>
    </row>
    <row r="396" spans="2:2">
      <c r="B396" s="391" t="str">
        <f t="shared" si="6"/>
        <v>janeiro</v>
      </c>
    </row>
    <row r="397" spans="2:2">
      <c r="B397" s="391" t="str">
        <f t="shared" si="6"/>
        <v>janeiro</v>
      </c>
    </row>
    <row r="398" spans="2:2">
      <c r="B398" s="391" t="str">
        <f t="shared" si="6"/>
        <v>janeiro</v>
      </c>
    </row>
    <row r="399" spans="2:2">
      <c r="B399" s="391" t="str">
        <f t="shared" si="6"/>
        <v>janeiro</v>
      </c>
    </row>
    <row r="400" spans="2:2">
      <c r="B400" s="391" t="str">
        <f t="shared" si="6"/>
        <v>janeiro</v>
      </c>
    </row>
    <row r="401" spans="2:2">
      <c r="B401" s="391" t="str">
        <f t="shared" si="6"/>
        <v>janeiro</v>
      </c>
    </row>
    <row r="402" spans="2:2">
      <c r="B402" s="391" t="str">
        <f t="shared" si="6"/>
        <v>janeiro</v>
      </c>
    </row>
    <row r="403" spans="2:2">
      <c r="B403" s="391" t="str">
        <f t="shared" si="6"/>
        <v>janeiro</v>
      </c>
    </row>
    <row r="404" spans="2:2">
      <c r="B404" s="391" t="str">
        <f t="shared" si="6"/>
        <v>janeiro</v>
      </c>
    </row>
    <row r="405" spans="2:2">
      <c r="B405" s="391" t="str">
        <f t="shared" si="6"/>
        <v>janeiro</v>
      </c>
    </row>
    <row r="406" spans="2:2">
      <c r="B406" s="391" t="str">
        <f t="shared" si="6"/>
        <v>janeiro</v>
      </c>
    </row>
    <row r="407" spans="2:2">
      <c r="B407" s="391" t="str">
        <f t="shared" si="6"/>
        <v>janeiro</v>
      </c>
    </row>
    <row r="408" spans="2:2">
      <c r="B408" s="391" t="str">
        <f t="shared" si="6"/>
        <v>janeiro</v>
      </c>
    </row>
    <row r="409" spans="2:2">
      <c r="B409" s="391" t="str">
        <f t="shared" si="6"/>
        <v>janeiro</v>
      </c>
    </row>
    <row r="410" spans="2:2">
      <c r="B410" s="391" t="str">
        <f t="shared" si="6"/>
        <v>janeiro</v>
      </c>
    </row>
    <row r="411" spans="2:2">
      <c r="B411" s="391" t="str">
        <f t="shared" si="6"/>
        <v>janeiro</v>
      </c>
    </row>
    <row r="412" spans="2:2">
      <c r="B412" s="391" t="str">
        <f t="shared" si="6"/>
        <v>janeiro</v>
      </c>
    </row>
    <row r="413" spans="2:2">
      <c r="B413" s="391" t="str">
        <f t="shared" si="6"/>
        <v>janeiro</v>
      </c>
    </row>
    <row r="414" spans="2:2">
      <c r="B414" s="391" t="str">
        <f t="shared" si="6"/>
        <v>janeiro</v>
      </c>
    </row>
    <row r="415" spans="2:2">
      <c r="B415" s="391" t="str">
        <f t="shared" si="6"/>
        <v>janeiro</v>
      </c>
    </row>
    <row r="416" spans="2:2">
      <c r="B416" s="391" t="str">
        <f t="shared" si="6"/>
        <v>janeiro</v>
      </c>
    </row>
    <row r="417" spans="2:2">
      <c r="B417" s="391" t="str">
        <f t="shared" si="6"/>
        <v>janeiro</v>
      </c>
    </row>
    <row r="418" spans="2:2">
      <c r="B418" s="391" t="str">
        <f t="shared" si="6"/>
        <v>janeiro</v>
      </c>
    </row>
    <row r="419" spans="2:2">
      <c r="B419" s="391" t="str">
        <f t="shared" si="6"/>
        <v>janeiro</v>
      </c>
    </row>
    <row r="420" spans="2:2">
      <c r="B420" s="391" t="str">
        <f t="shared" si="6"/>
        <v>janeiro</v>
      </c>
    </row>
    <row r="421" spans="2:2">
      <c r="B421" s="391" t="str">
        <f t="shared" si="6"/>
        <v>janeiro</v>
      </c>
    </row>
    <row r="422" spans="2:2">
      <c r="B422" s="391" t="str">
        <f t="shared" si="6"/>
        <v>janeiro</v>
      </c>
    </row>
    <row r="423" spans="2:2">
      <c r="B423" s="391" t="str">
        <f t="shared" si="6"/>
        <v>janeiro</v>
      </c>
    </row>
    <row r="424" spans="2:2">
      <c r="B424" s="391" t="str">
        <f t="shared" si="6"/>
        <v>janeiro</v>
      </c>
    </row>
    <row r="425" spans="2:2">
      <c r="B425" s="391" t="str">
        <f t="shared" si="6"/>
        <v>janeiro</v>
      </c>
    </row>
    <row r="426" spans="2:2">
      <c r="B426" s="391" t="str">
        <f t="shared" si="6"/>
        <v>janeiro</v>
      </c>
    </row>
    <row r="427" spans="2:2">
      <c r="B427" s="391" t="str">
        <f t="shared" si="6"/>
        <v>janeiro</v>
      </c>
    </row>
    <row r="428" spans="2:2">
      <c r="B428" s="391" t="str">
        <f t="shared" si="6"/>
        <v>janeiro</v>
      </c>
    </row>
    <row r="429" spans="2:2">
      <c r="B429" s="391" t="str">
        <f t="shared" si="6"/>
        <v>janeiro</v>
      </c>
    </row>
    <row r="430" spans="2:2">
      <c r="B430" s="391" t="str">
        <f t="shared" si="6"/>
        <v>janeiro</v>
      </c>
    </row>
    <row r="431" spans="2:2">
      <c r="B431" s="391" t="str">
        <f t="shared" si="6"/>
        <v>janeiro</v>
      </c>
    </row>
    <row r="432" spans="2:2">
      <c r="B432" s="391" t="str">
        <f t="shared" si="6"/>
        <v>janeiro</v>
      </c>
    </row>
    <row r="433" spans="2:2">
      <c r="B433" s="391" t="str">
        <f t="shared" si="6"/>
        <v>janeiro</v>
      </c>
    </row>
    <row r="434" spans="2:2">
      <c r="B434" s="391" t="str">
        <f t="shared" si="6"/>
        <v>janeiro</v>
      </c>
    </row>
    <row r="435" spans="2:2">
      <c r="B435" s="391" t="str">
        <f t="shared" si="6"/>
        <v>janeiro</v>
      </c>
    </row>
    <row r="436" spans="2:2">
      <c r="B436" s="391" t="str">
        <f t="shared" si="6"/>
        <v>janeiro</v>
      </c>
    </row>
    <row r="437" spans="2:2">
      <c r="B437" s="391" t="str">
        <f t="shared" si="6"/>
        <v>janeiro</v>
      </c>
    </row>
    <row r="438" spans="2:2">
      <c r="B438" s="391" t="str">
        <f t="shared" si="6"/>
        <v>janeiro</v>
      </c>
    </row>
    <row r="439" spans="2:2">
      <c r="B439" s="391" t="str">
        <f t="shared" si="6"/>
        <v>janeiro</v>
      </c>
    </row>
    <row r="440" spans="2:2">
      <c r="B440" s="391" t="str">
        <f t="shared" si="6"/>
        <v>janeiro</v>
      </c>
    </row>
    <row r="441" spans="2:2">
      <c r="B441" s="391" t="str">
        <f t="shared" si="6"/>
        <v>janeiro</v>
      </c>
    </row>
    <row r="442" spans="2:2">
      <c r="B442" s="391" t="str">
        <f t="shared" si="6"/>
        <v>janeiro</v>
      </c>
    </row>
    <row r="443" spans="2:2">
      <c r="B443" s="391" t="str">
        <f t="shared" si="6"/>
        <v>janeiro</v>
      </c>
    </row>
    <row r="444" spans="2:2">
      <c r="B444" s="391" t="str">
        <f t="shared" si="6"/>
        <v>janeiro</v>
      </c>
    </row>
    <row r="445" spans="2:2">
      <c r="B445" s="391" t="str">
        <f t="shared" si="6"/>
        <v>janeiro</v>
      </c>
    </row>
    <row r="446" spans="2:2">
      <c r="B446" s="391" t="str">
        <f t="shared" si="6"/>
        <v>janeiro</v>
      </c>
    </row>
    <row r="447" spans="2:2">
      <c r="B447" s="391" t="str">
        <f t="shared" si="6"/>
        <v>janeiro</v>
      </c>
    </row>
    <row r="448" spans="2:2">
      <c r="B448" s="391" t="str">
        <f t="shared" si="6"/>
        <v>janeiro</v>
      </c>
    </row>
    <row r="449" spans="2:2">
      <c r="B449" s="391" t="str">
        <f t="shared" si="6"/>
        <v>janeiro</v>
      </c>
    </row>
    <row r="450" spans="2:2">
      <c r="B450" s="391" t="str">
        <f t="shared" si="6"/>
        <v>janeiro</v>
      </c>
    </row>
    <row r="451" spans="2:2">
      <c r="B451" s="391" t="str">
        <f t="shared" ref="B451:B514" si="7">TEXT(E451,"mmmm")</f>
        <v>janeiro</v>
      </c>
    </row>
    <row r="452" spans="2:2">
      <c r="B452" s="391" t="str">
        <f t="shared" si="7"/>
        <v>janeiro</v>
      </c>
    </row>
    <row r="453" spans="2:2">
      <c r="B453" s="391" t="str">
        <f t="shared" si="7"/>
        <v>janeiro</v>
      </c>
    </row>
    <row r="454" spans="2:2">
      <c r="B454" s="391" t="str">
        <f t="shared" si="7"/>
        <v>janeiro</v>
      </c>
    </row>
    <row r="455" spans="2:2">
      <c r="B455" s="391" t="str">
        <f t="shared" si="7"/>
        <v>janeiro</v>
      </c>
    </row>
    <row r="456" spans="2:2">
      <c r="B456" s="391" t="str">
        <f t="shared" si="7"/>
        <v>janeiro</v>
      </c>
    </row>
    <row r="457" spans="2:2">
      <c r="B457" s="391" t="str">
        <f t="shared" si="7"/>
        <v>janeiro</v>
      </c>
    </row>
    <row r="458" spans="2:2">
      <c r="B458" s="391" t="str">
        <f t="shared" si="7"/>
        <v>janeiro</v>
      </c>
    </row>
    <row r="459" spans="2:2">
      <c r="B459" s="391" t="str">
        <f t="shared" si="7"/>
        <v>janeiro</v>
      </c>
    </row>
    <row r="460" spans="2:2">
      <c r="B460" s="391" t="str">
        <f t="shared" si="7"/>
        <v>janeiro</v>
      </c>
    </row>
    <row r="461" spans="2:2">
      <c r="B461" s="391" t="str">
        <f t="shared" si="7"/>
        <v>janeiro</v>
      </c>
    </row>
    <row r="462" spans="2:2">
      <c r="B462" s="391" t="str">
        <f t="shared" si="7"/>
        <v>janeiro</v>
      </c>
    </row>
    <row r="463" spans="2:2">
      <c r="B463" s="391" t="str">
        <f t="shared" si="7"/>
        <v>janeiro</v>
      </c>
    </row>
    <row r="464" spans="2:2">
      <c r="B464" s="391" t="str">
        <f t="shared" si="7"/>
        <v>janeiro</v>
      </c>
    </row>
    <row r="465" spans="2:2">
      <c r="B465" s="391" t="str">
        <f t="shared" si="7"/>
        <v>janeiro</v>
      </c>
    </row>
    <row r="466" spans="2:2">
      <c r="B466" s="391" t="str">
        <f t="shared" si="7"/>
        <v>janeiro</v>
      </c>
    </row>
    <row r="467" spans="2:2">
      <c r="B467" s="391" t="str">
        <f t="shared" si="7"/>
        <v>janeiro</v>
      </c>
    </row>
    <row r="468" spans="2:2">
      <c r="B468" s="391" t="str">
        <f t="shared" si="7"/>
        <v>janeiro</v>
      </c>
    </row>
    <row r="469" spans="2:2">
      <c r="B469" s="391" t="str">
        <f t="shared" si="7"/>
        <v>janeiro</v>
      </c>
    </row>
    <row r="470" spans="2:2">
      <c r="B470" s="391" t="str">
        <f t="shared" si="7"/>
        <v>janeiro</v>
      </c>
    </row>
    <row r="471" spans="2:2">
      <c r="B471" s="391" t="str">
        <f t="shared" si="7"/>
        <v>janeiro</v>
      </c>
    </row>
    <row r="472" spans="2:2">
      <c r="B472" s="391" t="str">
        <f t="shared" si="7"/>
        <v>janeiro</v>
      </c>
    </row>
    <row r="473" spans="2:2">
      <c r="B473" s="391" t="str">
        <f t="shared" si="7"/>
        <v>janeiro</v>
      </c>
    </row>
    <row r="474" spans="2:2">
      <c r="B474" s="391" t="str">
        <f t="shared" si="7"/>
        <v>janeiro</v>
      </c>
    </row>
    <row r="475" spans="2:2">
      <c r="B475" s="391" t="str">
        <f t="shared" si="7"/>
        <v>janeiro</v>
      </c>
    </row>
    <row r="476" spans="2:2">
      <c r="B476" s="391" t="str">
        <f t="shared" si="7"/>
        <v>janeiro</v>
      </c>
    </row>
    <row r="477" spans="2:2">
      <c r="B477" s="391" t="str">
        <f t="shared" si="7"/>
        <v>janeiro</v>
      </c>
    </row>
    <row r="478" spans="2:2">
      <c r="B478" s="391" t="str">
        <f t="shared" si="7"/>
        <v>janeiro</v>
      </c>
    </row>
    <row r="479" spans="2:2">
      <c r="B479" s="391" t="str">
        <f t="shared" si="7"/>
        <v>janeiro</v>
      </c>
    </row>
    <row r="480" spans="2:2">
      <c r="B480" s="391" t="str">
        <f t="shared" si="7"/>
        <v>janeiro</v>
      </c>
    </row>
    <row r="481" spans="2:2">
      <c r="B481" s="391" t="str">
        <f t="shared" si="7"/>
        <v>janeiro</v>
      </c>
    </row>
    <row r="482" spans="2:2">
      <c r="B482" s="391" t="str">
        <f t="shared" si="7"/>
        <v>janeiro</v>
      </c>
    </row>
    <row r="483" spans="2:2">
      <c r="B483" s="391" t="str">
        <f t="shared" si="7"/>
        <v>janeiro</v>
      </c>
    </row>
    <row r="484" spans="2:2">
      <c r="B484" s="391" t="str">
        <f t="shared" si="7"/>
        <v>janeiro</v>
      </c>
    </row>
    <row r="485" spans="2:2">
      <c r="B485" s="391" t="str">
        <f t="shared" si="7"/>
        <v>janeiro</v>
      </c>
    </row>
    <row r="486" spans="2:2">
      <c r="B486" s="391" t="str">
        <f t="shared" si="7"/>
        <v>janeiro</v>
      </c>
    </row>
    <row r="487" spans="2:2">
      <c r="B487" s="391" t="str">
        <f t="shared" si="7"/>
        <v>janeiro</v>
      </c>
    </row>
    <row r="488" spans="2:2">
      <c r="B488" s="391" t="str">
        <f t="shared" si="7"/>
        <v>janeiro</v>
      </c>
    </row>
    <row r="489" spans="2:2">
      <c r="B489" s="391" t="str">
        <f t="shared" si="7"/>
        <v>janeiro</v>
      </c>
    </row>
    <row r="490" spans="2:2">
      <c r="B490" s="391" t="str">
        <f t="shared" si="7"/>
        <v>janeiro</v>
      </c>
    </row>
    <row r="491" spans="2:2">
      <c r="B491" s="391" t="str">
        <f t="shared" si="7"/>
        <v>janeiro</v>
      </c>
    </row>
    <row r="492" spans="2:2">
      <c r="B492" s="391" t="str">
        <f t="shared" si="7"/>
        <v>janeiro</v>
      </c>
    </row>
    <row r="493" spans="2:2">
      <c r="B493" s="391" t="str">
        <f t="shared" si="7"/>
        <v>janeiro</v>
      </c>
    </row>
    <row r="494" spans="2:2">
      <c r="B494" s="391" t="str">
        <f t="shared" si="7"/>
        <v>janeiro</v>
      </c>
    </row>
    <row r="495" spans="2:2">
      <c r="B495" s="391" t="str">
        <f t="shared" si="7"/>
        <v>janeiro</v>
      </c>
    </row>
    <row r="496" spans="2:2">
      <c r="B496" s="391" t="str">
        <f t="shared" si="7"/>
        <v>janeiro</v>
      </c>
    </row>
    <row r="497" spans="2:2">
      <c r="B497" s="391" t="str">
        <f t="shared" si="7"/>
        <v>janeiro</v>
      </c>
    </row>
    <row r="498" spans="2:2">
      <c r="B498" s="391" t="str">
        <f t="shared" si="7"/>
        <v>janeiro</v>
      </c>
    </row>
    <row r="499" spans="2:2">
      <c r="B499" s="391" t="str">
        <f t="shared" si="7"/>
        <v>janeiro</v>
      </c>
    </row>
    <row r="500" spans="2:2">
      <c r="B500" s="391" t="str">
        <f t="shared" si="7"/>
        <v>janeiro</v>
      </c>
    </row>
    <row r="501" spans="2:2">
      <c r="B501" s="391" t="str">
        <f t="shared" si="7"/>
        <v>janeiro</v>
      </c>
    </row>
    <row r="502" spans="2:2">
      <c r="B502" s="391" t="str">
        <f t="shared" si="7"/>
        <v>janeiro</v>
      </c>
    </row>
    <row r="503" spans="2:2">
      <c r="B503" s="391" t="str">
        <f t="shared" si="7"/>
        <v>janeiro</v>
      </c>
    </row>
    <row r="504" spans="2:2">
      <c r="B504" s="391" t="str">
        <f t="shared" si="7"/>
        <v>janeiro</v>
      </c>
    </row>
    <row r="505" spans="2:2">
      <c r="B505" s="391" t="str">
        <f t="shared" si="7"/>
        <v>janeiro</v>
      </c>
    </row>
    <row r="506" spans="2:2">
      <c r="B506" s="391" t="str">
        <f t="shared" si="7"/>
        <v>janeiro</v>
      </c>
    </row>
    <row r="507" spans="2:2">
      <c r="B507" s="391" t="str">
        <f t="shared" si="7"/>
        <v>janeiro</v>
      </c>
    </row>
    <row r="508" spans="2:2">
      <c r="B508" s="391" t="str">
        <f t="shared" si="7"/>
        <v>janeiro</v>
      </c>
    </row>
    <row r="509" spans="2:2">
      <c r="B509" s="391" t="str">
        <f t="shared" si="7"/>
        <v>janeiro</v>
      </c>
    </row>
    <row r="510" spans="2:2">
      <c r="B510" s="391" t="str">
        <f t="shared" si="7"/>
        <v>janeiro</v>
      </c>
    </row>
    <row r="511" spans="2:2">
      <c r="B511" s="391" t="str">
        <f t="shared" si="7"/>
        <v>janeiro</v>
      </c>
    </row>
    <row r="512" spans="2:2">
      <c r="B512" s="391" t="str">
        <f t="shared" si="7"/>
        <v>janeiro</v>
      </c>
    </row>
    <row r="513" spans="2:2">
      <c r="B513" s="391" t="str">
        <f t="shared" si="7"/>
        <v>janeiro</v>
      </c>
    </row>
    <row r="514" spans="2:2">
      <c r="B514" s="391" t="str">
        <f t="shared" si="7"/>
        <v>janeiro</v>
      </c>
    </row>
    <row r="515" spans="2:2">
      <c r="B515" s="391" t="str">
        <f t="shared" ref="B515:B578" si="8">TEXT(E515,"mmmm")</f>
        <v>janeiro</v>
      </c>
    </row>
    <row r="516" spans="2:2">
      <c r="B516" s="391" t="str">
        <f t="shared" si="8"/>
        <v>janeiro</v>
      </c>
    </row>
    <row r="517" spans="2:2">
      <c r="B517" s="391" t="str">
        <f t="shared" si="8"/>
        <v>janeiro</v>
      </c>
    </row>
    <row r="518" spans="2:2">
      <c r="B518" s="391" t="str">
        <f t="shared" si="8"/>
        <v>janeiro</v>
      </c>
    </row>
    <row r="519" spans="2:2">
      <c r="B519" s="391" t="str">
        <f t="shared" si="8"/>
        <v>janeiro</v>
      </c>
    </row>
    <row r="520" spans="2:2">
      <c r="B520" s="391" t="str">
        <f t="shared" si="8"/>
        <v>janeiro</v>
      </c>
    </row>
    <row r="521" spans="2:2">
      <c r="B521" s="391" t="str">
        <f t="shared" si="8"/>
        <v>janeiro</v>
      </c>
    </row>
    <row r="522" spans="2:2">
      <c r="B522" s="391" t="str">
        <f t="shared" si="8"/>
        <v>janeiro</v>
      </c>
    </row>
    <row r="523" spans="2:2">
      <c r="B523" s="391" t="str">
        <f t="shared" si="8"/>
        <v>janeiro</v>
      </c>
    </row>
    <row r="524" spans="2:2">
      <c r="B524" s="391" t="str">
        <f t="shared" si="8"/>
        <v>janeiro</v>
      </c>
    </row>
    <row r="525" spans="2:2">
      <c r="B525" s="391" t="str">
        <f t="shared" si="8"/>
        <v>janeiro</v>
      </c>
    </row>
    <row r="526" spans="2:2">
      <c r="B526" s="391" t="str">
        <f t="shared" si="8"/>
        <v>janeiro</v>
      </c>
    </row>
    <row r="527" spans="2:2">
      <c r="B527" s="391" t="str">
        <f t="shared" si="8"/>
        <v>janeiro</v>
      </c>
    </row>
    <row r="528" spans="2:2">
      <c r="B528" s="391" t="str">
        <f t="shared" si="8"/>
        <v>janeiro</v>
      </c>
    </row>
    <row r="529" spans="2:2">
      <c r="B529" s="391" t="str">
        <f t="shared" si="8"/>
        <v>janeiro</v>
      </c>
    </row>
    <row r="530" spans="2:2">
      <c r="B530" s="391" t="str">
        <f t="shared" si="8"/>
        <v>janeiro</v>
      </c>
    </row>
    <row r="531" spans="2:2">
      <c r="B531" s="391" t="str">
        <f t="shared" si="8"/>
        <v>janeiro</v>
      </c>
    </row>
    <row r="532" spans="2:2">
      <c r="B532" s="391" t="str">
        <f t="shared" si="8"/>
        <v>janeiro</v>
      </c>
    </row>
    <row r="533" spans="2:2">
      <c r="B533" s="391" t="str">
        <f t="shared" si="8"/>
        <v>janeiro</v>
      </c>
    </row>
    <row r="534" spans="2:2">
      <c r="B534" s="391" t="str">
        <f t="shared" si="8"/>
        <v>janeiro</v>
      </c>
    </row>
    <row r="535" spans="2:2">
      <c r="B535" s="391" t="str">
        <f t="shared" si="8"/>
        <v>janeiro</v>
      </c>
    </row>
    <row r="536" spans="2:2">
      <c r="B536" s="391" t="str">
        <f t="shared" si="8"/>
        <v>janeiro</v>
      </c>
    </row>
    <row r="537" spans="2:2">
      <c r="B537" s="391" t="str">
        <f t="shared" si="8"/>
        <v>janeiro</v>
      </c>
    </row>
    <row r="538" spans="2:2">
      <c r="B538" s="391" t="str">
        <f t="shared" si="8"/>
        <v>janeiro</v>
      </c>
    </row>
    <row r="539" spans="2:2">
      <c r="B539" s="391" t="str">
        <f t="shared" si="8"/>
        <v>janeiro</v>
      </c>
    </row>
    <row r="540" spans="2:2">
      <c r="B540" s="391" t="str">
        <f t="shared" si="8"/>
        <v>janeiro</v>
      </c>
    </row>
    <row r="541" spans="2:2">
      <c r="B541" s="391" t="str">
        <f t="shared" si="8"/>
        <v>janeiro</v>
      </c>
    </row>
    <row r="542" spans="2:2">
      <c r="B542" s="391" t="str">
        <f t="shared" si="8"/>
        <v>janeiro</v>
      </c>
    </row>
    <row r="543" spans="2:2">
      <c r="B543" s="391" t="str">
        <f t="shared" si="8"/>
        <v>janeiro</v>
      </c>
    </row>
    <row r="544" spans="2:2">
      <c r="B544" s="391" t="str">
        <f t="shared" si="8"/>
        <v>janeiro</v>
      </c>
    </row>
    <row r="545" spans="2:2">
      <c r="B545" s="391" t="str">
        <f t="shared" si="8"/>
        <v>janeiro</v>
      </c>
    </row>
    <row r="546" spans="2:2">
      <c r="B546" s="391" t="str">
        <f t="shared" si="8"/>
        <v>janeiro</v>
      </c>
    </row>
    <row r="547" spans="2:2">
      <c r="B547" s="391" t="str">
        <f t="shared" si="8"/>
        <v>janeiro</v>
      </c>
    </row>
    <row r="548" spans="2:2">
      <c r="B548" s="391" t="str">
        <f t="shared" si="8"/>
        <v>janeiro</v>
      </c>
    </row>
    <row r="549" spans="2:2">
      <c r="B549" s="391" t="str">
        <f t="shared" si="8"/>
        <v>janeiro</v>
      </c>
    </row>
    <row r="550" spans="2:2">
      <c r="B550" s="391" t="str">
        <f t="shared" si="8"/>
        <v>janeiro</v>
      </c>
    </row>
    <row r="551" spans="2:2">
      <c r="B551" s="391" t="str">
        <f t="shared" si="8"/>
        <v>janeiro</v>
      </c>
    </row>
    <row r="552" spans="2:2">
      <c r="B552" s="391" t="str">
        <f t="shared" si="8"/>
        <v>janeiro</v>
      </c>
    </row>
    <row r="553" spans="2:2">
      <c r="B553" s="391" t="str">
        <f t="shared" si="8"/>
        <v>janeiro</v>
      </c>
    </row>
    <row r="554" spans="2:2">
      <c r="B554" s="391" t="str">
        <f t="shared" si="8"/>
        <v>janeiro</v>
      </c>
    </row>
    <row r="555" spans="2:2">
      <c r="B555" s="391" t="str">
        <f t="shared" si="8"/>
        <v>janeiro</v>
      </c>
    </row>
    <row r="556" spans="2:2">
      <c r="B556" s="391" t="str">
        <f t="shared" si="8"/>
        <v>janeiro</v>
      </c>
    </row>
    <row r="557" spans="2:2">
      <c r="B557" s="391" t="str">
        <f t="shared" si="8"/>
        <v>janeiro</v>
      </c>
    </row>
    <row r="558" spans="2:2">
      <c r="B558" s="391" t="str">
        <f t="shared" si="8"/>
        <v>janeiro</v>
      </c>
    </row>
    <row r="559" spans="2:2">
      <c r="B559" s="391" t="str">
        <f t="shared" si="8"/>
        <v>janeiro</v>
      </c>
    </row>
    <row r="560" spans="2:2">
      <c r="B560" s="391" t="str">
        <f t="shared" si="8"/>
        <v>janeiro</v>
      </c>
    </row>
    <row r="561" spans="2:2">
      <c r="B561" s="391" t="str">
        <f t="shared" si="8"/>
        <v>janeiro</v>
      </c>
    </row>
    <row r="562" spans="2:2">
      <c r="B562" s="391" t="str">
        <f t="shared" si="8"/>
        <v>janeiro</v>
      </c>
    </row>
    <row r="563" spans="2:2">
      <c r="B563" s="391" t="str">
        <f t="shared" si="8"/>
        <v>janeiro</v>
      </c>
    </row>
    <row r="564" spans="2:2">
      <c r="B564" s="391" t="str">
        <f t="shared" si="8"/>
        <v>janeiro</v>
      </c>
    </row>
    <row r="565" spans="2:2">
      <c r="B565" s="391" t="str">
        <f t="shared" si="8"/>
        <v>janeiro</v>
      </c>
    </row>
    <row r="566" spans="2:2">
      <c r="B566" s="391" t="str">
        <f t="shared" si="8"/>
        <v>janeiro</v>
      </c>
    </row>
    <row r="567" spans="2:2">
      <c r="B567" s="391" t="str">
        <f t="shared" si="8"/>
        <v>janeiro</v>
      </c>
    </row>
    <row r="568" spans="2:2">
      <c r="B568" s="391" t="str">
        <f t="shared" si="8"/>
        <v>janeiro</v>
      </c>
    </row>
    <row r="569" spans="2:2">
      <c r="B569" s="391" t="str">
        <f t="shared" si="8"/>
        <v>janeiro</v>
      </c>
    </row>
    <row r="570" spans="2:2">
      <c r="B570" s="391" t="str">
        <f t="shared" si="8"/>
        <v>janeiro</v>
      </c>
    </row>
    <row r="571" spans="2:2">
      <c r="B571" s="391" t="str">
        <f t="shared" si="8"/>
        <v>janeiro</v>
      </c>
    </row>
    <row r="572" spans="2:2">
      <c r="B572" s="391" t="str">
        <f t="shared" si="8"/>
        <v>janeiro</v>
      </c>
    </row>
    <row r="573" spans="2:2">
      <c r="B573" s="391" t="str">
        <f t="shared" si="8"/>
        <v>janeiro</v>
      </c>
    </row>
    <row r="574" spans="2:2">
      <c r="B574" s="391" t="str">
        <f t="shared" si="8"/>
        <v>janeiro</v>
      </c>
    </row>
    <row r="575" spans="2:2">
      <c r="B575" s="391" t="str">
        <f t="shared" si="8"/>
        <v>janeiro</v>
      </c>
    </row>
    <row r="576" spans="2:2">
      <c r="B576" s="391" t="str">
        <f t="shared" si="8"/>
        <v>janeiro</v>
      </c>
    </row>
    <row r="577" spans="2:2">
      <c r="B577" s="391" t="str">
        <f t="shared" si="8"/>
        <v>janeiro</v>
      </c>
    </row>
    <row r="578" spans="2:2">
      <c r="B578" s="391" t="str">
        <f t="shared" si="8"/>
        <v>janeiro</v>
      </c>
    </row>
    <row r="579" spans="2:2">
      <c r="B579" s="391" t="str">
        <f t="shared" ref="B579:B642" si="9">TEXT(E579,"mmmm")</f>
        <v>janeiro</v>
      </c>
    </row>
    <row r="580" spans="2:2">
      <c r="B580" s="391" t="str">
        <f t="shared" si="9"/>
        <v>janeiro</v>
      </c>
    </row>
    <row r="581" spans="2:2">
      <c r="B581" s="391" t="str">
        <f t="shared" si="9"/>
        <v>janeiro</v>
      </c>
    </row>
    <row r="582" spans="2:2">
      <c r="B582" s="391" t="str">
        <f t="shared" si="9"/>
        <v>janeiro</v>
      </c>
    </row>
    <row r="583" spans="2:2">
      <c r="B583" s="391" t="str">
        <f t="shared" si="9"/>
        <v>janeiro</v>
      </c>
    </row>
    <row r="584" spans="2:2">
      <c r="B584" s="391" t="str">
        <f t="shared" si="9"/>
        <v>janeiro</v>
      </c>
    </row>
    <row r="585" spans="2:2">
      <c r="B585" s="391" t="str">
        <f t="shared" si="9"/>
        <v>janeiro</v>
      </c>
    </row>
    <row r="586" spans="2:2">
      <c r="B586" s="391" t="str">
        <f t="shared" si="9"/>
        <v>janeiro</v>
      </c>
    </row>
    <row r="587" spans="2:2">
      <c r="B587" s="391" t="str">
        <f t="shared" si="9"/>
        <v>janeiro</v>
      </c>
    </row>
    <row r="588" spans="2:2">
      <c r="B588" s="391" t="str">
        <f t="shared" si="9"/>
        <v>janeiro</v>
      </c>
    </row>
    <row r="589" spans="2:2">
      <c r="B589" s="391" t="str">
        <f t="shared" si="9"/>
        <v>janeiro</v>
      </c>
    </row>
    <row r="590" spans="2:2">
      <c r="B590" s="391" t="str">
        <f t="shared" si="9"/>
        <v>janeiro</v>
      </c>
    </row>
    <row r="591" spans="2:2">
      <c r="B591" s="391" t="str">
        <f t="shared" si="9"/>
        <v>janeiro</v>
      </c>
    </row>
    <row r="592" spans="2:2">
      <c r="B592" s="391" t="str">
        <f t="shared" si="9"/>
        <v>janeiro</v>
      </c>
    </row>
    <row r="593" spans="2:2">
      <c r="B593" s="391" t="str">
        <f t="shared" si="9"/>
        <v>janeiro</v>
      </c>
    </row>
    <row r="594" spans="2:2">
      <c r="B594" s="391" t="str">
        <f t="shared" si="9"/>
        <v>janeiro</v>
      </c>
    </row>
    <row r="595" spans="2:2">
      <c r="B595" s="391" t="str">
        <f t="shared" si="9"/>
        <v>janeiro</v>
      </c>
    </row>
    <row r="596" spans="2:2">
      <c r="B596" s="391" t="str">
        <f t="shared" si="9"/>
        <v>janeiro</v>
      </c>
    </row>
    <row r="597" spans="2:2">
      <c r="B597" s="391" t="str">
        <f t="shared" si="9"/>
        <v>janeiro</v>
      </c>
    </row>
    <row r="598" spans="2:2">
      <c r="B598" s="391" t="str">
        <f t="shared" si="9"/>
        <v>janeiro</v>
      </c>
    </row>
    <row r="599" spans="2:2">
      <c r="B599" s="391" t="str">
        <f t="shared" si="9"/>
        <v>janeiro</v>
      </c>
    </row>
    <row r="600" spans="2:2">
      <c r="B600" s="391" t="str">
        <f t="shared" si="9"/>
        <v>janeiro</v>
      </c>
    </row>
    <row r="601" spans="2:2">
      <c r="B601" s="391" t="str">
        <f t="shared" si="9"/>
        <v>janeiro</v>
      </c>
    </row>
    <row r="602" spans="2:2">
      <c r="B602" s="391" t="str">
        <f t="shared" si="9"/>
        <v>janeiro</v>
      </c>
    </row>
    <row r="603" spans="2:2">
      <c r="B603" s="391" t="str">
        <f t="shared" si="9"/>
        <v>janeiro</v>
      </c>
    </row>
    <row r="604" spans="2:2">
      <c r="B604" s="391" t="str">
        <f t="shared" si="9"/>
        <v>janeiro</v>
      </c>
    </row>
    <row r="605" spans="2:2">
      <c r="B605" s="391" t="str">
        <f t="shared" si="9"/>
        <v>janeiro</v>
      </c>
    </row>
    <row r="606" spans="2:2">
      <c r="B606" s="391" t="str">
        <f t="shared" si="9"/>
        <v>janeiro</v>
      </c>
    </row>
    <row r="607" spans="2:2">
      <c r="B607" s="391" t="str">
        <f t="shared" si="9"/>
        <v>janeiro</v>
      </c>
    </row>
    <row r="608" spans="2:2">
      <c r="B608" s="391" t="str">
        <f t="shared" si="9"/>
        <v>janeiro</v>
      </c>
    </row>
    <row r="609" spans="2:2">
      <c r="B609" s="391" t="str">
        <f t="shared" si="9"/>
        <v>janeiro</v>
      </c>
    </row>
    <row r="610" spans="2:2">
      <c r="B610" s="391" t="str">
        <f t="shared" si="9"/>
        <v>janeiro</v>
      </c>
    </row>
    <row r="611" spans="2:2">
      <c r="B611" s="391" t="str">
        <f t="shared" si="9"/>
        <v>janeiro</v>
      </c>
    </row>
    <row r="612" spans="2:2">
      <c r="B612" s="391" t="str">
        <f t="shared" si="9"/>
        <v>janeiro</v>
      </c>
    </row>
    <row r="613" spans="2:2">
      <c r="B613" s="391" t="str">
        <f t="shared" si="9"/>
        <v>janeiro</v>
      </c>
    </row>
    <row r="614" spans="2:2">
      <c r="B614" s="391" t="str">
        <f t="shared" si="9"/>
        <v>janeiro</v>
      </c>
    </row>
    <row r="615" spans="2:2">
      <c r="B615" s="391" t="str">
        <f t="shared" si="9"/>
        <v>janeiro</v>
      </c>
    </row>
    <row r="616" spans="2:2">
      <c r="B616" s="391" t="str">
        <f t="shared" si="9"/>
        <v>janeiro</v>
      </c>
    </row>
    <row r="617" spans="2:2">
      <c r="B617" s="391" t="str">
        <f t="shared" si="9"/>
        <v>janeiro</v>
      </c>
    </row>
    <row r="618" spans="2:2">
      <c r="B618" s="391" t="str">
        <f t="shared" si="9"/>
        <v>janeiro</v>
      </c>
    </row>
    <row r="619" spans="2:2">
      <c r="B619" s="391" t="str">
        <f t="shared" si="9"/>
        <v>janeiro</v>
      </c>
    </row>
    <row r="620" spans="2:2">
      <c r="B620" s="391" t="str">
        <f t="shared" si="9"/>
        <v>janeiro</v>
      </c>
    </row>
    <row r="621" spans="2:2">
      <c r="B621" s="391" t="str">
        <f t="shared" si="9"/>
        <v>janeiro</v>
      </c>
    </row>
    <row r="622" spans="2:2">
      <c r="B622" s="391" t="str">
        <f t="shared" si="9"/>
        <v>janeiro</v>
      </c>
    </row>
    <row r="623" spans="2:2">
      <c r="B623" s="391" t="str">
        <f t="shared" si="9"/>
        <v>janeiro</v>
      </c>
    </row>
    <row r="624" spans="2:2">
      <c r="B624" s="391" t="str">
        <f t="shared" si="9"/>
        <v>janeiro</v>
      </c>
    </row>
    <row r="625" spans="2:2">
      <c r="B625" s="391" t="str">
        <f t="shared" si="9"/>
        <v>janeiro</v>
      </c>
    </row>
    <row r="626" spans="2:2">
      <c r="B626" s="391" t="str">
        <f t="shared" si="9"/>
        <v>janeiro</v>
      </c>
    </row>
    <row r="627" spans="2:2">
      <c r="B627" s="391" t="str">
        <f t="shared" si="9"/>
        <v>janeiro</v>
      </c>
    </row>
    <row r="628" spans="2:2">
      <c r="B628" s="391" t="str">
        <f t="shared" si="9"/>
        <v>janeiro</v>
      </c>
    </row>
    <row r="629" spans="2:2">
      <c r="B629" s="391" t="str">
        <f t="shared" si="9"/>
        <v>janeiro</v>
      </c>
    </row>
    <row r="630" spans="2:2">
      <c r="B630" s="391" t="str">
        <f t="shared" si="9"/>
        <v>janeiro</v>
      </c>
    </row>
    <row r="631" spans="2:2">
      <c r="B631" s="391" t="str">
        <f t="shared" si="9"/>
        <v>janeiro</v>
      </c>
    </row>
    <row r="632" spans="2:2">
      <c r="B632" s="391" t="str">
        <f t="shared" si="9"/>
        <v>janeiro</v>
      </c>
    </row>
    <row r="633" spans="2:2">
      <c r="B633" s="391" t="str">
        <f t="shared" si="9"/>
        <v>janeiro</v>
      </c>
    </row>
    <row r="634" spans="2:2">
      <c r="B634" s="391" t="str">
        <f t="shared" si="9"/>
        <v>janeiro</v>
      </c>
    </row>
    <row r="635" spans="2:2">
      <c r="B635" s="391" t="str">
        <f t="shared" si="9"/>
        <v>janeiro</v>
      </c>
    </row>
    <row r="636" spans="2:2">
      <c r="B636" s="391" t="str">
        <f t="shared" si="9"/>
        <v>janeiro</v>
      </c>
    </row>
    <row r="637" spans="2:2">
      <c r="B637" s="391" t="str">
        <f t="shared" si="9"/>
        <v>janeiro</v>
      </c>
    </row>
    <row r="638" spans="2:2">
      <c r="B638" s="391" t="str">
        <f t="shared" si="9"/>
        <v>janeiro</v>
      </c>
    </row>
    <row r="639" spans="2:2">
      <c r="B639" s="391" t="str">
        <f t="shared" si="9"/>
        <v>janeiro</v>
      </c>
    </row>
    <row r="640" spans="2:2">
      <c r="B640" s="391" t="str">
        <f t="shared" si="9"/>
        <v>janeiro</v>
      </c>
    </row>
    <row r="641" spans="2:2">
      <c r="B641" s="391" t="str">
        <f t="shared" si="9"/>
        <v>janeiro</v>
      </c>
    </row>
    <row r="642" spans="2:2">
      <c r="B642" s="391" t="str">
        <f t="shared" si="9"/>
        <v>janeiro</v>
      </c>
    </row>
    <row r="643" spans="2:2">
      <c r="B643" s="391" t="str">
        <f t="shared" ref="B643:B706" si="10">TEXT(E643,"mmmm")</f>
        <v>janeiro</v>
      </c>
    </row>
    <row r="644" spans="2:2">
      <c r="B644" s="391" t="str">
        <f t="shared" si="10"/>
        <v>janeiro</v>
      </c>
    </row>
    <row r="645" spans="2:2">
      <c r="B645" s="391" t="str">
        <f t="shared" si="10"/>
        <v>janeiro</v>
      </c>
    </row>
    <row r="646" spans="2:2">
      <c r="B646" s="391" t="str">
        <f t="shared" si="10"/>
        <v>janeiro</v>
      </c>
    </row>
    <row r="647" spans="2:2">
      <c r="B647" s="391" t="str">
        <f t="shared" si="10"/>
        <v>janeiro</v>
      </c>
    </row>
    <row r="648" spans="2:2">
      <c r="B648" s="391" t="str">
        <f t="shared" si="10"/>
        <v>janeiro</v>
      </c>
    </row>
    <row r="649" spans="2:2">
      <c r="B649" s="391" t="str">
        <f t="shared" si="10"/>
        <v>janeiro</v>
      </c>
    </row>
    <row r="650" spans="2:2">
      <c r="B650" s="391" t="str">
        <f t="shared" si="10"/>
        <v>janeiro</v>
      </c>
    </row>
    <row r="651" spans="2:2">
      <c r="B651" s="391" t="str">
        <f t="shared" si="10"/>
        <v>janeiro</v>
      </c>
    </row>
    <row r="652" spans="2:2">
      <c r="B652" s="391" t="str">
        <f t="shared" si="10"/>
        <v>janeiro</v>
      </c>
    </row>
    <row r="653" spans="2:2">
      <c r="B653" s="391" t="str">
        <f t="shared" si="10"/>
        <v>janeiro</v>
      </c>
    </row>
    <row r="654" spans="2:2">
      <c r="B654" s="391" t="str">
        <f t="shared" si="10"/>
        <v>janeiro</v>
      </c>
    </row>
    <row r="655" spans="2:2">
      <c r="B655" s="391" t="str">
        <f t="shared" si="10"/>
        <v>janeiro</v>
      </c>
    </row>
    <row r="656" spans="2:2">
      <c r="B656" s="391" t="str">
        <f t="shared" si="10"/>
        <v>janeiro</v>
      </c>
    </row>
    <row r="657" spans="2:2">
      <c r="B657" s="391" t="str">
        <f t="shared" si="10"/>
        <v>janeiro</v>
      </c>
    </row>
    <row r="658" spans="2:2">
      <c r="B658" s="391" t="str">
        <f t="shared" si="10"/>
        <v>janeiro</v>
      </c>
    </row>
    <row r="659" spans="2:2">
      <c r="B659" s="391" t="str">
        <f t="shared" si="10"/>
        <v>janeiro</v>
      </c>
    </row>
    <row r="660" spans="2:2">
      <c r="B660" s="391" t="str">
        <f t="shared" si="10"/>
        <v>janeiro</v>
      </c>
    </row>
    <row r="661" spans="2:2">
      <c r="B661" s="391" t="str">
        <f t="shared" si="10"/>
        <v>janeiro</v>
      </c>
    </row>
    <row r="662" spans="2:2">
      <c r="B662" s="391" t="str">
        <f t="shared" si="10"/>
        <v>janeiro</v>
      </c>
    </row>
    <row r="663" spans="2:2">
      <c r="B663" s="391" t="str">
        <f t="shared" si="10"/>
        <v>janeiro</v>
      </c>
    </row>
    <row r="664" spans="2:2">
      <c r="B664" s="391" t="str">
        <f t="shared" si="10"/>
        <v>janeiro</v>
      </c>
    </row>
    <row r="665" spans="2:2">
      <c r="B665" s="391" t="str">
        <f t="shared" si="10"/>
        <v>janeiro</v>
      </c>
    </row>
    <row r="666" spans="2:2">
      <c r="B666" s="391" t="str">
        <f t="shared" si="10"/>
        <v>janeiro</v>
      </c>
    </row>
    <row r="667" spans="2:2">
      <c r="B667" s="391" t="str">
        <f t="shared" si="10"/>
        <v>janeiro</v>
      </c>
    </row>
    <row r="668" spans="2:2">
      <c r="B668" s="391" t="str">
        <f t="shared" si="10"/>
        <v>janeiro</v>
      </c>
    </row>
    <row r="669" spans="2:2">
      <c r="B669" s="391" t="str">
        <f t="shared" si="10"/>
        <v>janeiro</v>
      </c>
    </row>
    <row r="670" spans="2:2">
      <c r="B670" s="391" t="str">
        <f t="shared" si="10"/>
        <v>janeiro</v>
      </c>
    </row>
    <row r="671" spans="2:2">
      <c r="B671" s="391" t="str">
        <f t="shared" si="10"/>
        <v>janeiro</v>
      </c>
    </row>
    <row r="672" spans="2:2">
      <c r="B672" s="391" t="str">
        <f t="shared" si="10"/>
        <v>janeiro</v>
      </c>
    </row>
    <row r="673" spans="2:2">
      <c r="B673" s="391" t="str">
        <f t="shared" si="10"/>
        <v>janeiro</v>
      </c>
    </row>
    <row r="674" spans="2:2">
      <c r="B674" s="391" t="str">
        <f t="shared" si="10"/>
        <v>janeiro</v>
      </c>
    </row>
    <row r="675" spans="2:2">
      <c r="B675" s="391" t="str">
        <f t="shared" si="10"/>
        <v>janeiro</v>
      </c>
    </row>
    <row r="676" spans="2:2">
      <c r="B676" s="391" t="str">
        <f t="shared" si="10"/>
        <v>janeiro</v>
      </c>
    </row>
    <row r="677" spans="2:2">
      <c r="B677" s="391" t="str">
        <f t="shared" si="10"/>
        <v>janeiro</v>
      </c>
    </row>
    <row r="678" spans="2:2">
      <c r="B678" s="391" t="str">
        <f t="shared" si="10"/>
        <v>janeiro</v>
      </c>
    </row>
    <row r="679" spans="2:2">
      <c r="B679" s="391" t="str">
        <f t="shared" si="10"/>
        <v>janeiro</v>
      </c>
    </row>
    <row r="680" spans="2:2">
      <c r="B680" s="391" t="str">
        <f t="shared" si="10"/>
        <v>janeiro</v>
      </c>
    </row>
    <row r="681" spans="2:2">
      <c r="B681" s="391" t="str">
        <f t="shared" si="10"/>
        <v>janeiro</v>
      </c>
    </row>
    <row r="682" spans="2:2">
      <c r="B682" s="391" t="str">
        <f t="shared" si="10"/>
        <v>janeiro</v>
      </c>
    </row>
    <row r="683" spans="2:2">
      <c r="B683" s="391" t="str">
        <f t="shared" si="10"/>
        <v>janeiro</v>
      </c>
    </row>
    <row r="684" spans="2:2">
      <c r="B684" s="391" t="str">
        <f t="shared" si="10"/>
        <v>janeiro</v>
      </c>
    </row>
    <row r="685" spans="2:2">
      <c r="B685" s="391" t="str">
        <f t="shared" si="10"/>
        <v>janeiro</v>
      </c>
    </row>
    <row r="686" spans="2:2">
      <c r="B686" s="391" t="str">
        <f t="shared" si="10"/>
        <v>janeiro</v>
      </c>
    </row>
    <row r="687" spans="2:2">
      <c r="B687" s="391" t="str">
        <f t="shared" si="10"/>
        <v>janeiro</v>
      </c>
    </row>
    <row r="688" spans="2:2">
      <c r="B688" s="391" t="str">
        <f t="shared" si="10"/>
        <v>janeiro</v>
      </c>
    </row>
    <row r="689" spans="2:2">
      <c r="B689" s="391" t="str">
        <f t="shared" si="10"/>
        <v>janeiro</v>
      </c>
    </row>
    <row r="690" spans="2:2">
      <c r="B690" s="391" t="str">
        <f t="shared" si="10"/>
        <v>janeiro</v>
      </c>
    </row>
    <row r="691" spans="2:2">
      <c r="B691" s="391" t="str">
        <f t="shared" si="10"/>
        <v>janeiro</v>
      </c>
    </row>
    <row r="692" spans="2:2">
      <c r="B692" s="391" t="str">
        <f t="shared" si="10"/>
        <v>janeiro</v>
      </c>
    </row>
    <row r="693" spans="2:2">
      <c r="B693" s="391" t="str">
        <f t="shared" si="10"/>
        <v>janeiro</v>
      </c>
    </row>
    <row r="694" spans="2:2">
      <c r="B694" s="391" t="str">
        <f t="shared" si="10"/>
        <v>janeiro</v>
      </c>
    </row>
    <row r="695" spans="2:2">
      <c r="B695" s="391" t="str">
        <f t="shared" si="10"/>
        <v>janeiro</v>
      </c>
    </row>
    <row r="696" spans="2:2">
      <c r="B696" s="391" t="str">
        <f t="shared" si="10"/>
        <v>janeiro</v>
      </c>
    </row>
    <row r="697" spans="2:2">
      <c r="B697" s="391" t="str">
        <f t="shared" si="10"/>
        <v>janeiro</v>
      </c>
    </row>
    <row r="698" spans="2:2">
      <c r="B698" s="391" t="str">
        <f t="shared" si="10"/>
        <v>janeiro</v>
      </c>
    </row>
    <row r="699" spans="2:2">
      <c r="B699" s="391" t="str">
        <f t="shared" si="10"/>
        <v>janeiro</v>
      </c>
    </row>
    <row r="700" spans="2:2">
      <c r="B700" s="391" t="str">
        <f t="shared" si="10"/>
        <v>janeiro</v>
      </c>
    </row>
    <row r="701" spans="2:2">
      <c r="B701" s="391" t="str">
        <f t="shared" si="10"/>
        <v>janeiro</v>
      </c>
    </row>
    <row r="702" spans="2:2">
      <c r="B702" s="391" t="str">
        <f t="shared" si="10"/>
        <v>janeiro</v>
      </c>
    </row>
    <row r="703" spans="2:2">
      <c r="B703" s="391" t="str">
        <f t="shared" si="10"/>
        <v>janeiro</v>
      </c>
    </row>
    <row r="704" spans="2:2">
      <c r="B704" s="391" t="str">
        <f t="shared" si="10"/>
        <v>janeiro</v>
      </c>
    </row>
    <row r="705" spans="2:2">
      <c r="B705" s="391" t="str">
        <f t="shared" si="10"/>
        <v>janeiro</v>
      </c>
    </row>
    <row r="706" spans="2:2">
      <c r="B706" s="391" t="str">
        <f t="shared" si="10"/>
        <v>janeiro</v>
      </c>
    </row>
    <row r="707" spans="2:2">
      <c r="B707" s="391" t="str">
        <f t="shared" ref="B707:B770" si="11">TEXT(E707,"mmmm")</f>
        <v>janeiro</v>
      </c>
    </row>
    <row r="708" spans="2:2">
      <c r="B708" s="391" t="str">
        <f t="shared" si="11"/>
        <v>janeiro</v>
      </c>
    </row>
    <row r="709" spans="2:2">
      <c r="B709" s="391" t="str">
        <f t="shared" si="11"/>
        <v>janeiro</v>
      </c>
    </row>
    <row r="710" spans="2:2">
      <c r="B710" s="391" t="str">
        <f t="shared" si="11"/>
        <v>janeiro</v>
      </c>
    </row>
    <row r="711" spans="2:2">
      <c r="B711" s="391" t="str">
        <f t="shared" si="11"/>
        <v>janeiro</v>
      </c>
    </row>
    <row r="712" spans="2:2">
      <c r="B712" s="391" t="str">
        <f t="shared" si="11"/>
        <v>janeiro</v>
      </c>
    </row>
    <row r="713" spans="2:2">
      <c r="B713" s="391" t="str">
        <f t="shared" si="11"/>
        <v>janeiro</v>
      </c>
    </row>
    <row r="714" spans="2:2">
      <c r="B714" s="391" t="str">
        <f t="shared" si="11"/>
        <v>janeiro</v>
      </c>
    </row>
    <row r="715" spans="2:2">
      <c r="B715" s="391" t="str">
        <f t="shared" si="11"/>
        <v>janeiro</v>
      </c>
    </row>
    <row r="716" spans="2:2">
      <c r="B716" s="391" t="str">
        <f t="shared" si="11"/>
        <v>janeiro</v>
      </c>
    </row>
    <row r="717" spans="2:2">
      <c r="B717" s="391" t="str">
        <f t="shared" si="11"/>
        <v>janeiro</v>
      </c>
    </row>
    <row r="718" spans="2:2">
      <c r="B718" s="391" t="str">
        <f t="shared" si="11"/>
        <v>janeiro</v>
      </c>
    </row>
    <row r="719" spans="2:2">
      <c r="B719" s="391" t="str">
        <f t="shared" si="11"/>
        <v>janeiro</v>
      </c>
    </row>
    <row r="720" spans="2:2">
      <c r="B720" s="391" t="str">
        <f t="shared" si="11"/>
        <v>janeiro</v>
      </c>
    </row>
    <row r="721" spans="2:2">
      <c r="B721" s="391" t="str">
        <f t="shared" si="11"/>
        <v>janeiro</v>
      </c>
    </row>
    <row r="722" spans="2:2">
      <c r="B722" s="391" t="str">
        <f t="shared" si="11"/>
        <v>janeiro</v>
      </c>
    </row>
    <row r="723" spans="2:2">
      <c r="B723" s="391" t="str">
        <f t="shared" si="11"/>
        <v>janeiro</v>
      </c>
    </row>
    <row r="724" spans="2:2">
      <c r="B724" s="391" t="str">
        <f t="shared" si="11"/>
        <v>janeiro</v>
      </c>
    </row>
    <row r="725" spans="2:2">
      <c r="B725" s="391" t="str">
        <f t="shared" si="11"/>
        <v>janeiro</v>
      </c>
    </row>
    <row r="726" spans="2:2">
      <c r="B726" s="391" t="str">
        <f t="shared" si="11"/>
        <v>janeiro</v>
      </c>
    </row>
    <row r="727" spans="2:2">
      <c r="B727" s="391" t="str">
        <f t="shared" si="11"/>
        <v>janeiro</v>
      </c>
    </row>
    <row r="728" spans="2:2">
      <c r="B728" s="391" t="str">
        <f t="shared" si="11"/>
        <v>janeiro</v>
      </c>
    </row>
    <row r="729" spans="2:2">
      <c r="B729" s="391" t="str">
        <f t="shared" si="11"/>
        <v>janeiro</v>
      </c>
    </row>
    <row r="730" spans="2:2">
      <c r="B730" s="391" t="str">
        <f t="shared" si="11"/>
        <v>janeiro</v>
      </c>
    </row>
    <row r="731" spans="2:2">
      <c r="B731" s="391" t="str">
        <f t="shared" si="11"/>
        <v>janeiro</v>
      </c>
    </row>
    <row r="732" spans="2:2">
      <c r="B732" s="391" t="str">
        <f t="shared" si="11"/>
        <v>janeiro</v>
      </c>
    </row>
    <row r="733" spans="2:2">
      <c r="B733" s="391" t="str">
        <f t="shared" si="11"/>
        <v>janeiro</v>
      </c>
    </row>
    <row r="734" spans="2:2">
      <c r="B734" s="391" t="str">
        <f t="shared" si="11"/>
        <v>janeiro</v>
      </c>
    </row>
    <row r="735" spans="2:2">
      <c r="B735" s="391" t="str">
        <f t="shared" si="11"/>
        <v>janeiro</v>
      </c>
    </row>
    <row r="736" spans="2:2">
      <c r="B736" s="391" t="str">
        <f t="shared" si="11"/>
        <v>janeiro</v>
      </c>
    </row>
    <row r="737" spans="2:2">
      <c r="B737" s="391" t="str">
        <f t="shared" si="11"/>
        <v>janeiro</v>
      </c>
    </row>
    <row r="738" spans="2:2">
      <c r="B738" s="391" t="str">
        <f t="shared" si="11"/>
        <v>janeiro</v>
      </c>
    </row>
    <row r="739" spans="2:2">
      <c r="B739" s="391" t="str">
        <f t="shared" si="11"/>
        <v>janeiro</v>
      </c>
    </row>
    <row r="740" spans="2:2">
      <c r="B740" s="391" t="str">
        <f t="shared" si="11"/>
        <v>janeiro</v>
      </c>
    </row>
    <row r="741" spans="2:2">
      <c r="B741" s="391" t="str">
        <f t="shared" si="11"/>
        <v>janeiro</v>
      </c>
    </row>
    <row r="742" spans="2:2">
      <c r="B742" s="391" t="str">
        <f t="shared" si="11"/>
        <v>janeiro</v>
      </c>
    </row>
    <row r="743" spans="2:2">
      <c r="B743" s="391" t="str">
        <f t="shared" si="11"/>
        <v>janeiro</v>
      </c>
    </row>
    <row r="744" spans="2:2">
      <c r="B744" s="391" t="str">
        <f t="shared" si="11"/>
        <v>janeiro</v>
      </c>
    </row>
    <row r="745" spans="2:2">
      <c r="B745" s="391" t="str">
        <f t="shared" si="11"/>
        <v>janeiro</v>
      </c>
    </row>
    <row r="746" spans="2:2">
      <c r="B746" s="391" t="str">
        <f t="shared" si="11"/>
        <v>janeiro</v>
      </c>
    </row>
    <row r="747" spans="2:2">
      <c r="B747" s="391" t="str">
        <f t="shared" si="11"/>
        <v>janeiro</v>
      </c>
    </row>
    <row r="748" spans="2:2">
      <c r="B748" s="391" t="str">
        <f t="shared" si="11"/>
        <v>janeiro</v>
      </c>
    </row>
    <row r="749" spans="2:2">
      <c r="B749" s="391" t="str">
        <f t="shared" si="11"/>
        <v>janeiro</v>
      </c>
    </row>
    <row r="750" spans="2:2">
      <c r="B750" s="391" t="str">
        <f t="shared" si="11"/>
        <v>janeiro</v>
      </c>
    </row>
    <row r="751" spans="2:2">
      <c r="B751" s="391" t="str">
        <f t="shared" si="11"/>
        <v>janeiro</v>
      </c>
    </row>
    <row r="752" spans="2:2">
      <c r="B752" s="391" t="str">
        <f t="shared" si="11"/>
        <v>janeiro</v>
      </c>
    </row>
    <row r="753" spans="2:2">
      <c r="B753" s="391" t="str">
        <f t="shared" si="11"/>
        <v>janeiro</v>
      </c>
    </row>
    <row r="754" spans="2:2">
      <c r="B754" s="391" t="str">
        <f t="shared" si="11"/>
        <v>janeiro</v>
      </c>
    </row>
    <row r="755" spans="2:2">
      <c r="B755" s="391" t="str">
        <f t="shared" si="11"/>
        <v>janeiro</v>
      </c>
    </row>
    <row r="756" spans="2:2">
      <c r="B756" s="391" t="str">
        <f t="shared" si="11"/>
        <v>janeiro</v>
      </c>
    </row>
    <row r="757" spans="2:2">
      <c r="B757" s="391" t="str">
        <f t="shared" si="11"/>
        <v>janeiro</v>
      </c>
    </row>
    <row r="758" spans="2:2">
      <c r="B758" s="391" t="str">
        <f t="shared" si="11"/>
        <v>janeiro</v>
      </c>
    </row>
    <row r="759" spans="2:2">
      <c r="B759" s="391" t="str">
        <f t="shared" si="11"/>
        <v>janeiro</v>
      </c>
    </row>
    <row r="760" spans="2:2">
      <c r="B760" s="391" t="str">
        <f t="shared" si="11"/>
        <v>janeiro</v>
      </c>
    </row>
    <row r="761" spans="2:2">
      <c r="B761" s="391" t="str">
        <f t="shared" si="11"/>
        <v>janeiro</v>
      </c>
    </row>
    <row r="762" spans="2:2">
      <c r="B762" s="391" t="str">
        <f t="shared" si="11"/>
        <v>janeiro</v>
      </c>
    </row>
    <row r="763" spans="2:2">
      <c r="B763" s="391" t="str">
        <f t="shared" si="11"/>
        <v>janeiro</v>
      </c>
    </row>
    <row r="764" spans="2:2">
      <c r="B764" s="391" t="str">
        <f t="shared" si="11"/>
        <v>janeiro</v>
      </c>
    </row>
    <row r="765" spans="2:2">
      <c r="B765" s="391" t="str">
        <f t="shared" si="11"/>
        <v>janeiro</v>
      </c>
    </row>
    <row r="766" spans="2:2">
      <c r="B766" s="391" t="str">
        <f t="shared" si="11"/>
        <v>janeiro</v>
      </c>
    </row>
    <row r="767" spans="2:2">
      <c r="B767" s="391" t="str">
        <f t="shared" si="11"/>
        <v>janeiro</v>
      </c>
    </row>
    <row r="768" spans="2:2">
      <c r="B768" s="391" t="str">
        <f t="shared" si="11"/>
        <v>janeiro</v>
      </c>
    </row>
    <row r="769" spans="2:2">
      <c r="B769" s="391" t="str">
        <f t="shared" si="11"/>
        <v>janeiro</v>
      </c>
    </row>
    <row r="770" spans="2:2">
      <c r="B770" s="391" t="str">
        <f t="shared" si="11"/>
        <v>janeiro</v>
      </c>
    </row>
    <row r="771" spans="2:2">
      <c r="B771" s="391" t="str">
        <f t="shared" ref="B771:B834" si="12">TEXT(E771,"mmmm")</f>
        <v>janeiro</v>
      </c>
    </row>
    <row r="772" spans="2:2">
      <c r="B772" s="391" t="str">
        <f t="shared" si="12"/>
        <v>janeiro</v>
      </c>
    </row>
    <row r="773" spans="2:2">
      <c r="B773" s="391" t="str">
        <f t="shared" si="12"/>
        <v>janeiro</v>
      </c>
    </row>
    <row r="774" spans="2:2">
      <c r="B774" s="391" t="str">
        <f t="shared" si="12"/>
        <v>janeiro</v>
      </c>
    </row>
    <row r="775" spans="2:2">
      <c r="B775" s="391" t="str">
        <f t="shared" si="12"/>
        <v>janeiro</v>
      </c>
    </row>
    <row r="776" spans="2:2">
      <c r="B776" s="391" t="str">
        <f t="shared" si="12"/>
        <v>janeiro</v>
      </c>
    </row>
    <row r="777" spans="2:2">
      <c r="B777" s="391" t="str">
        <f t="shared" si="12"/>
        <v>janeiro</v>
      </c>
    </row>
    <row r="778" spans="2:2">
      <c r="B778" s="391" t="str">
        <f t="shared" si="12"/>
        <v>janeiro</v>
      </c>
    </row>
    <row r="779" spans="2:2">
      <c r="B779" s="391" t="str">
        <f t="shared" si="12"/>
        <v>janeiro</v>
      </c>
    </row>
    <row r="780" spans="2:2">
      <c r="B780" s="391" t="str">
        <f t="shared" si="12"/>
        <v>janeiro</v>
      </c>
    </row>
    <row r="781" spans="2:2">
      <c r="B781" s="391" t="str">
        <f t="shared" si="12"/>
        <v>janeiro</v>
      </c>
    </row>
    <row r="782" spans="2:2">
      <c r="B782" s="391" t="str">
        <f t="shared" si="12"/>
        <v>janeiro</v>
      </c>
    </row>
    <row r="783" spans="2:2">
      <c r="B783" s="391" t="str">
        <f t="shared" si="12"/>
        <v>janeiro</v>
      </c>
    </row>
    <row r="784" spans="2:2">
      <c r="B784" s="391" t="str">
        <f t="shared" si="12"/>
        <v>janeiro</v>
      </c>
    </row>
    <row r="785" spans="2:2">
      <c r="B785" s="391" t="str">
        <f t="shared" si="12"/>
        <v>janeiro</v>
      </c>
    </row>
    <row r="786" spans="2:2">
      <c r="B786" s="391" t="str">
        <f t="shared" si="12"/>
        <v>janeiro</v>
      </c>
    </row>
    <row r="787" spans="2:2">
      <c r="B787" s="391" t="str">
        <f t="shared" si="12"/>
        <v>janeiro</v>
      </c>
    </row>
    <row r="788" spans="2:2">
      <c r="B788" s="391" t="str">
        <f t="shared" si="12"/>
        <v>janeiro</v>
      </c>
    </row>
    <row r="789" spans="2:2">
      <c r="B789" s="391" t="str">
        <f t="shared" si="12"/>
        <v>janeiro</v>
      </c>
    </row>
    <row r="790" spans="2:2">
      <c r="B790" s="391" t="str">
        <f t="shared" si="12"/>
        <v>janeiro</v>
      </c>
    </row>
    <row r="791" spans="2:2">
      <c r="B791" s="391" t="str">
        <f t="shared" si="12"/>
        <v>janeiro</v>
      </c>
    </row>
    <row r="792" spans="2:2">
      <c r="B792" s="391" t="str">
        <f t="shared" si="12"/>
        <v>janeiro</v>
      </c>
    </row>
    <row r="793" spans="2:2">
      <c r="B793" s="391" t="str">
        <f t="shared" si="12"/>
        <v>janeiro</v>
      </c>
    </row>
    <row r="794" spans="2:2">
      <c r="B794" s="391" t="str">
        <f t="shared" si="12"/>
        <v>janeiro</v>
      </c>
    </row>
    <row r="795" spans="2:2">
      <c r="B795" s="391" t="str">
        <f t="shared" si="12"/>
        <v>janeiro</v>
      </c>
    </row>
    <row r="796" spans="2:2">
      <c r="B796" s="391" t="str">
        <f t="shared" si="12"/>
        <v>janeiro</v>
      </c>
    </row>
    <row r="797" spans="2:2">
      <c r="B797" s="391" t="str">
        <f t="shared" si="12"/>
        <v>janeiro</v>
      </c>
    </row>
    <row r="798" spans="2:2">
      <c r="B798" s="391" t="str">
        <f t="shared" si="12"/>
        <v>janeiro</v>
      </c>
    </row>
    <row r="799" spans="2:2">
      <c r="B799" s="391" t="str">
        <f t="shared" si="12"/>
        <v>janeiro</v>
      </c>
    </row>
    <row r="800" spans="2:2">
      <c r="B800" s="391" t="str">
        <f t="shared" si="12"/>
        <v>janeiro</v>
      </c>
    </row>
    <row r="801" spans="2:2">
      <c r="B801" s="391" t="str">
        <f t="shared" si="12"/>
        <v>janeiro</v>
      </c>
    </row>
    <row r="802" spans="2:2">
      <c r="B802" s="391" t="str">
        <f t="shared" si="12"/>
        <v>janeiro</v>
      </c>
    </row>
    <row r="803" spans="2:2">
      <c r="B803" s="391" t="str">
        <f t="shared" si="12"/>
        <v>janeiro</v>
      </c>
    </row>
    <row r="804" spans="2:2">
      <c r="B804" s="391" t="str">
        <f t="shared" si="12"/>
        <v>janeiro</v>
      </c>
    </row>
    <row r="805" spans="2:2">
      <c r="B805" s="391" t="str">
        <f t="shared" si="12"/>
        <v>janeiro</v>
      </c>
    </row>
    <row r="806" spans="2:2">
      <c r="B806" s="391" t="str">
        <f t="shared" si="12"/>
        <v>janeiro</v>
      </c>
    </row>
    <row r="807" spans="2:2">
      <c r="B807" s="391" t="str">
        <f t="shared" si="12"/>
        <v>janeiro</v>
      </c>
    </row>
    <row r="808" spans="2:2">
      <c r="B808" s="391" t="str">
        <f t="shared" si="12"/>
        <v>janeiro</v>
      </c>
    </row>
    <row r="809" spans="2:2">
      <c r="B809" s="391" t="str">
        <f t="shared" si="12"/>
        <v>janeiro</v>
      </c>
    </row>
    <row r="810" spans="2:2">
      <c r="B810" s="391" t="str">
        <f t="shared" si="12"/>
        <v>janeiro</v>
      </c>
    </row>
    <row r="811" spans="2:2">
      <c r="B811" s="391" t="str">
        <f t="shared" si="12"/>
        <v>janeiro</v>
      </c>
    </row>
    <row r="812" spans="2:2">
      <c r="B812" s="391" t="str">
        <f t="shared" si="12"/>
        <v>janeiro</v>
      </c>
    </row>
    <row r="813" spans="2:2">
      <c r="B813" s="391" t="str">
        <f t="shared" si="12"/>
        <v>janeiro</v>
      </c>
    </row>
    <row r="814" spans="2:2">
      <c r="B814" s="391" t="str">
        <f t="shared" si="12"/>
        <v>janeiro</v>
      </c>
    </row>
    <row r="815" spans="2:2">
      <c r="B815" s="391" t="str">
        <f t="shared" si="12"/>
        <v>janeiro</v>
      </c>
    </row>
    <row r="816" spans="2:2">
      <c r="B816" s="391" t="str">
        <f t="shared" si="12"/>
        <v>janeiro</v>
      </c>
    </row>
    <row r="817" spans="2:2">
      <c r="B817" s="391" t="str">
        <f t="shared" si="12"/>
        <v>janeiro</v>
      </c>
    </row>
    <row r="818" spans="2:2">
      <c r="B818" s="391" t="str">
        <f t="shared" si="12"/>
        <v>janeiro</v>
      </c>
    </row>
    <row r="819" spans="2:2">
      <c r="B819" s="391" t="str">
        <f t="shared" si="12"/>
        <v>janeiro</v>
      </c>
    </row>
    <row r="820" spans="2:2">
      <c r="B820" s="391" t="str">
        <f t="shared" si="12"/>
        <v>janeiro</v>
      </c>
    </row>
    <row r="821" spans="2:2">
      <c r="B821" s="391" t="str">
        <f t="shared" si="12"/>
        <v>janeiro</v>
      </c>
    </row>
    <row r="822" spans="2:2">
      <c r="B822" s="391" t="str">
        <f t="shared" si="12"/>
        <v>janeiro</v>
      </c>
    </row>
    <row r="823" spans="2:2">
      <c r="B823" s="391" t="str">
        <f t="shared" si="12"/>
        <v>janeiro</v>
      </c>
    </row>
    <row r="824" spans="2:2">
      <c r="B824" s="391" t="str">
        <f t="shared" si="12"/>
        <v>janeiro</v>
      </c>
    </row>
    <row r="825" spans="2:2">
      <c r="B825" s="391" t="str">
        <f t="shared" si="12"/>
        <v>janeiro</v>
      </c>
    </row>
    <row r="826" spans="2:2">
      <c r="B826" s="391" t="str">
        <f t="shared" si="12"/>
        <v>janeiro</v>
      </c>
    </row>
    <row r="827" spans="2:2">
      <c r="B827" s="391" t="str">
        <f t="shared" si="12"/>
        <v>janeiro</v>
      </c>
    </row>
    <row r="828" spans="2:2">
      <c r="B828" s="391" t="str">
        <f t="shared" si="12"/>
        <v>janeiro</v>
      </c>
    </row>
    <row r="829" spans="2:2">
      <c r="B829" s="391" t="str">
        <f t="shared" si="12"/>
        <v>janeiro</v>
      </c>
    </row>
    <row r="830" spans="2:2">
      <c r="B830" s="391" t="str">
        <f t="shared" si="12"/>
        <v>janeiro</v>
      </c>
    </row>
    <row r="831" spans="2:2">
      <c r="B831" s="391" t="str">
        <f t="shared" si="12"/>
        <v>janeiro</v>
      </c>
    </row>
    <row r="832" spans="2:2">
      <c r="B832" s="391" t="str">
        <f t="shared" si="12"/>
        <v>janeiro</v>
      </c>
    </row>
    <row r="833" spans="2:2">
      <c r="B833" s="391" t="str">
        <f t="shared" si="12"/>
        <v>janeiro</v>
      </c>
    </row>
    <row r="834" spans="2:2">
      <c r="B834" s="391" t="str">
        <f t="shared" si="12"/>
        <v>janeiro</v>
      </c>
    </row>
    <row r="835" spans="2:2">
      <c r="B835" s="391" t="str">
        <f t="shared" ref="B835:B898" si="13">TEXT(E835,"mmmm")</f>
        <v>janeiro</v>
      </c>
    </row>
    <row r="836" spans="2:2">
      <c r="B836" s="391" t="str">
        <f t="shared" si="13"/>
        <v>janeiro</v>
      </c>
    </row>
    <row r="837" spans="2:2">
      <c r="B837" s="391" t="str">
        <f t="shared" si="13"/>
        <v>janeiro</v>
      </c>
    </row>
    <row r="838" spans="2:2">
      <c r="B838" s="391" t="str">
        <f t="shared" si="13"/>
        <v>janeiro</v>
      </c>
    </row>
    <row r="839" spans="2:2">
      <c r="B839" s="391" t="str">
        <f t="shared" si="13"/>
        <v>janeiro</v>
      </c>
    </row>
    <row r="840" spans="2:2">
      <c r="B840" s="391" t="str">
        <f t="shared" si="13"/>
        <v>janeiro</v>
      </c>
    </row>
    <row r="841" spans="2:2">
      <c r="B841" s="391" t="str">
        <f t="shared" si="13"/>
        <v>janeiro</v>
      </c>
    </row>
    <row r="842" spans="2:2">
      <c r="B842" s="391" t="str">
        <f t="shared" si="13"/>
        <v>janeiro</v>
      </c>
    </row>
    <row r="843" spans="2:2">
      <c r="B843" s="391" t="str">
        <f t="shared" si="13"/>
        <v>janeiro</v>
      </c>
    </row>
    <row r="844" spans="2:2">
      <c r="B844" s="391" t="str">
        <f t="shared" si="13"/>
        <v>janeiro</v>
      </c>
    </row>
    <row r="845" spans="2:2">
      <c r="B845" s="391" t="str">
        <f t="shared" si="13"/>
        <v>janeiro</v>
      </c>
    </row>
    <row r="846" spans="2:2">
      <c r="B846" s="391" t="str">
        <f t="shared" si="13"/>
        <v>janeiro</v>
      </c>
    </row>
    <row r="847" spans="2:2">
      <c r="B847" s="391" t="str">
        <f t="shared" si="13"/>
        <v>janeiro</v>
      </c>
    </row>
    <row r="848" spans="2:2">
      <c r="B848" s="391" t="str">
        <f t="shared" si="13"/>
        <v>janeiro</v>
      </c>
    </row>
    <row r="849" spans="2:2">
      <c r="B849" s="391" t="str">
        <f t="shared" si="13"/>
        <v>janeiro</v>
      </c>
    </row>
    <row r="850" spans="2:2">
      <c r="B850" s="391" t="str">
        <f t="shared" si="13"/>
        <v>janeiro</v>
      </c>
    </row>
    <row r="851" spans="2:2">
      <c r="B851" s="391" t="str">
        <f t="shared" si="13"/>
        <v>janeiro</v>
      </c>
    </row>
    <row r="852" spans="2:2">
      <c r="B852" s="391" t="str">
        <f t="shared" si="13"/>
        <v>janeiro</v>
      </c>
    </row>
    <row r="853" spans="2:2">
      <c r="B853" s="391" t="str">
        <f t="shared" si="13"/>
        <v>janeiro</v>
      </c>
    </row>
    <row r="854" spans="2:2">
      <c r="B854" s="391" t="str">
        <f t="shared" si="13"/>
        <v>janeiro</v>
      </c>
    </row>
    <row r="855" spans="2:2">
      <c r="B855" s="391" t="str">
        <f t="shared" si="13"/>
        <v>janeiro</v>
      </c>
    </row>
    <row r="856" spans="2:2">
      <c r="B856" s="391" t="str">
        <f t="shared" si="13"/>
        <v>janeiro</v>
      </c>
    </row>
    <row r="857" spans="2:2">
      <c r="B857" s="391" t="str">
        <f t="shared" si="13"/>
        <v>janeiro</v>
      </c>
    </row>
    <row r="858" spans="2:2">
      <c r="B858" s="391" t="str">
        <f t="shared" si="13"/>
        <v>janeiro</v>
      </c>
    </row>
    <row r="859" spans="2:2">
      <c r="B859" s="391" t="str">
        <f t="shared" si="13"/>
        <v>janeiro</v>
      </c>
    </row>
    <row r="860" spans="2:2">
      <c r="B860" s="391" t="str">
        <f t="shared" si="13"/>
        <v>janeiro</v>
      </c>
    </row>
    <row r="861" spans="2:2">
      <c r="B861" s="391" t="str">
        <f t="shared" si="13"/>
        <v>janeiro</v>
      </c>
    </row>
    <row r="862" spans="2:2">
      <c r="B862" s="391" t="str">
        <f t="shared" si="13"/>
        <v>janeiro</v>
      </c>
    </row>
    <row r="863" spans="2:2">
      <c r="B863" s="391" t="str">
        <f t="shared" si="13"/>
        <v>janeiro</v>
      </c>
    </row>
    <row r="864" spans="2:2">
      <c r="B864" s="391" t="str">
        <f t="shared" si="13"/>
        <v>janeiro</v>
      </c>
    </row>
    <row r="865" spans="2:2">
      <c r="B865" s="391" t="str">
        <f t="shared" si="13"/>
        <v>janeiro</v>
      </c>
    </row>
    <row r="866" spans="2:2">
      <c r="B866" s="391" t="str">
        <f t="shared" si="13"/>
        <v>janeiro</v>
      </c>
    </row>
    <row r="867" spans="2:2">
      <c r="B867" s="391" t="str">
        <f t="shared" si="13"/>
        <v>janeiro</v>
      </c>
    </row>
    <row r="868" spans="2:2">
      <c r="B868" s="391" t="str">
        <f t="shared" si="13"/>
        <v>janeiro</v>
      </c>
    </row>
    <row r="869" spans="2:2">
      <c r="B869" s="391" t="str">
        <f t="shared" si="13"/>
        <v>janeiro</v>
      </c>
    </row>
    <row r="870" spans="2:2">
      <c r="B870" s="391" t="str">
        <f t="shared" si="13"/>
        <v>janeiro</v>
      </c>
    </row>
    <row r="871" spans="2:2">
      <c r="B871" s="391" t="str">
        <f t="shared" si="13"/>
        <v>janeiro</v>
      </c>
    </row>
    <row r="872" spans="2:2">
      <c r="B872" s="391" t="str">
        <f t="shared" si="13"/>
        <v>janeiro</v>
      </c>
    </row>
    <row r="873" spans="2:2">
      <c r="B873" s="391" t="str">
        <f t="shared" si="13"/>
        <v>janeiro</v>
      </c>
    </row>
    <row r="874" spans="2:2">
      <c r="B874" s="391" t="str">
        <f t="shared" si="13"/>
        <v>janeiro</v>
      </c>
    </row>
    <row r="875" spans="2:2">
      <c r="B875" s="391" t="str">
        <f t="shared" si="13"/>
        <v>janeiro</v>
      </c>
    </row>
    <row r="876" spans="2:2">
      <c r="B876" s="391" t="str">
        <f t="shared" si="13"/>
        <v>janeiro</v>
      </c>
    </row>
    <row r="877" spans="2:2">
      <c r="B877" s="391" t="str">
        <f t="shared" si="13"/>
        <v>janeiro</v>
      </c>
    </row>
    <row r="878" spans="2:2">
      <c r="B878" s="391" t="str">
        <f t="shared" si="13"/>
        <v>janeiro</v>
      </c>
    </row>
    <row r="879" spans="2:2">
      <c r="B879" s="391" t="str">
        <f t="shared" si="13"/>
        <v>janeiro</v>
      </c>
    </row>
    <row r="880" spans="2:2">
      <c r="B880" s="391" t="str">
        <f t="shared" si="13"/>
        <v>janeiro</v>
      </c>
    </row>
    <row r="881" spans="2:2">
      <c r="B881" s="391" t="str">
        <f t="shared" si="13"/>
        <v>janeiro</v>
      </c>
    </row>
    <row r="882" spans="2:2">
      <c r="B882" s="391" t="str">
        <f t="shared" si="13"/>
        <v>janeiro</v>
      </c>
    </row>
    <row r="883" spans="2:2">
      <c r="B883" s="391" t="str">
        <f t="shared" si="13"/>
        <v>janeiro</v>
      </c>
    </row>
    <row r="884" spans="2:2">
      <c r="B884" s="391" t="str">
        <f t="shared" si="13"/>
        <v>janeiro</v>
      </c>
    </row>
    <row r="885" spans="2:2">
      <c r="B885" s="391" t="str">
        <f t="shared" si="13"/>
        <v>janeiro</v>
      </c>
    </row>
    <row r="886" spans="2:2">
      <c r="B886" s="391" t="str">
        <f t="shared" si="13"/>
        <v>janeiro</v>
      </c>
    </row>
    <row r="887" spans="2:2">
      <c r="B887" s="391" t="str">
        <f t="shared" si="13"/>
        <v>janeiro</v>
      </c>
    </row>
    <row r="888" spans="2:2">
      <c r="B888" s="391" t="str">
        <f t="shared" si="13"/>
        <v>janeiro</v>
      </c>
    </row>
    <row r="889" spans="2:2">
      <c r="B889" s="391" t="str">
        <f t="shared" si="13"/>
        <v>janeiro</v>
      </c>
    </row>
    <row r="890" spans="2:2">
      <c r="B890" s="391" t="str">
        <f t="shared" si="13"/>
        <v>janeiro</v>
      </c>
    </row>
    <row r="891" spans="2:2">
      <c r="B891" s="391" t="str">
        <f t="shared" si="13"/>
        <v>janeiro</v>
      </c>
    </row>
    <row r="892" spans="2:2">
      <c r="B892" s="391" t="str">
        <f t="shared" si="13"/>
        <v>janeiro</v>
      </c>
    </row>
    <row r="893" spans="2:2">
      <c r="B893" s="391" t="str">
        <f t="shared" si="13"/>
        <v>janeiro</v>
      </c>
    </row>
    <row r="894" spans="2:2">
      <c r="B894" s="391" t="str">
        <f t="shared" si="13"/>
        <v>janeiro</v>
      </c>
    </row>
    <row r="895" spans="2:2">
      <c r="B895" s="391" t="str">
        <f t="shared" si="13"/>
        <v>janeiro</v>
      </c>
    </row>
    <row r="896" spans="2:2">
      <c r="B896" s="391" t="str">
        <f t="shared" si="13"/>
        <v>janeiro</v>
      </c>
    </row>
    <row r="897" spans="2:2">
      <c r="B897" s="391" t="str">
        <f t="shared" si="13"/>
        <v>janeiro</v>
      </c>
    </row>
    <row r="898" spans="2:2">
      <c r="B898" s="391" t="str">
        <f t="shared" si="13"/>
        <v>janeiro</v>
      </c>
    </row>
    <row r="899" spans="2:2">
      <c r="B899" s="391" t="str">
        <f t="shared" ref="B899:B962" si="14">TEXT(E899,"mmmm")</f>
        <v>janeiro</v>
      </c>
    </row>
    <row r="900" spans="2:2">
      <c r="B900" s="391" t="str">
        <f t="shared" si="14"/>
        <v>janeiro</v>
      </c>
    </row>
    <row r="901" spans="2:2">
      <c r="B901" s="391" t="str">
        <f t="shared" si="14"/>
        <v>janeiro</v>
      </c>
    </row>
    <row r="902" spans="2:2">
      <c r="B902" s="391" t="str">
        <f t="shared" si="14"/>
        <v>janeiro</v>
      </c>
    </row>
    <row r="903" spans="2:2">
      <c r="B903" s="391" t="str">
        <f t="shared" si="14"/>
        <v>janeiro</v>
      </c>
    </row>
    <row r="904" spans="2:2">
      <c r="B904" s="391" t="str">
        <f t="shared" si="14"/>
        <v>janeiro</v>
      </c>
    </row>
    <row r="905" spans="2:2">
      <c r="B905" s="391" t="str">
        <f t="shared" si="14"/>
        <v>janeiro</v>
      </c>
    </row>
    <row r="906" spans="2:2">
      <c r="B906" s="391" t="str">
        <f t="shared" si="14"/>
        <v>janeiro</v>
      </c>
    </row>
    <row r="907" spans="2:2">
      <c r="B907" s="391" t="str">
        <f t="shared" si="14"/>
        <v>janeiro</v>
      </c>
    </row>
    <row r="908" spans="2:2">
      <c r="B908" s="391" t="str">
        <f t="shared" si="14"/>
        <v>janeiro</v>
      </c>
    </row>
    <row r="909" spans="2:2">
      <c r="B909" s="391" t="str">
        <f t="shared" si="14"/>
        <v>janeiro</v>
      </c>
    </row>
    <row r="910" spans="2:2">
      <c r="B910" s="391" t="str">
        <f t="shared" si="14"/>
        <v>janeiro</v>
      </c>
    </row>
    <row r="911" spans="2:2">
      <c r="B911" s="391" t="str">
        <f t="shared" si="14"/>
        <v>janeiro</v>
      </c>
    </row>
    <row r="912" spans="2:2">
      <c r="B912" s="391" t="str">
        <f t="shared" si="14"/>
        <v>janeiro</v>
      </c>
    </row>
    <row r="913" spans="2:2">
      <c r="B913" s="391" t="str">
        <f t="shared" si="14"/>
        <v>janeiro</v>
      </c>
    </row>
    <row r="914" spans="2:2">
      <c r="B914" s="391" t="str">
        <f t="shared" si="14"/>
        <v>janeiro</v>
      </c>
    </row>
    <row r="915" spans="2:2">
      <c r="B915" s="391" t="str">
        <f t="shared" si="14"/>
        <v>janeiro</v>
      </c>
    </row>
    <row r="916" spans="2:2">
      <c r="B916" s="391" t="str">
        <f t="shared" si="14"/>
        <v>janeiro</v>
      </c>
    </row>
    <row r="917" spans="2:2">
      <c r="B917" s="391" t="str">
        <f t="shared" si="14"/>
        <v>janeiro</v>
      </c>
    </row>
    <row r="918" spans="2:2">
      <c r="B918" s="391" t="str">
        <f t="shared" si="14"/>
        <v>janeiro</v>
      </c>
    </row>
    <row r="919" spans="2:2">
      <c r="B919" s="391" t="str">
        <f t="shared" si="14"/>
        <v>janeiro</v>
      </c>
    </row>
    <row r="920" spans="2:2">
      <c r="B920" s="391" t="str">
        <f t="shared" si="14"/>
        <v>janeiro</v>
      </c>
    </row>
    <row r="921" spans="2:2">
      <c r="B921" s="391" t="str">
        <f t="shared" si="14"/>
        <v>janeiro</v>
      </c>
    </row>
    <row r="922" spans="2:2">
      <c r="B922" s="391" t="str">
        <f t="shared" si="14"/>
        <v>janeiro</v>
      </c>
    </row>
    <row r="923" spans="2:2">
      <c r="B923" s="391" t="str">
        <f t="shared" si="14"/>
        <v>janeiro</v>
      </c>
    </row>
    <row r="924" spans="2:2">
      <c r="B924" s="391" t="str">
        <f t="shared" si="14"/>
        <v>janeiro</v>
      </c>
    </row>
    <row r="925" spans="2:2">
      <c r="B925" s="391" t="str">
        <f t="shared" si="14"/>
        <v>janeiro</v>
      </c>
    </row>
    <row r="926" spans="2:2">
      <c r="B926" s="391" t="str">
        <f t="shared" si="14"/>
        <v>janeiro</v>
      </c>
    </row>
    <row r="927" spans="2:2">
      <c r="B927" s="391" t="str">
        <f t="shared" si="14"/>
        <v>janeiro</v>
      </c>
    </row>
    <row r="928" spans="2:2">
      <c r="B928" s="391" t="str">
        <f t="shared" si="14"/>
        <v>janeiro</v>
      </c>
    </row>
    <row r="929" spans="2:2">
      <c r="B929" s="391" t="str">
        <f t="shared" si="14"/>
        <v>janeiro</v>
      </c>
    </row>
    <row r="930" spans="2:2">
      <c r="B930" s="391" t="str">
        <f t="shared" si="14"/>
        <v>janeiro</v>
      </c>
    </row>
    <row r="931" spans="2:2">
      <c r="B931" s="391" t="str">
        <f t="shared" si="14"/>
        <v>janeiro</v>
      </c>
    </row>
    <row r="932" spans="2:2">
      <c r="B932" s="391" t="str">
        <f t="shared" si="14"/>
        <v>janeiro</v>
      </c>
    </row>
    <row r="933" spans="2:2">
      <c r="B933" s="391" t="str">
        <f t="shared" si="14"/>
        <v>janeiro</v>
      </c>
    </row>
    <row r="934" spans="2:2">
      <c r="B934" s="391" t="str">
        <f t="shared" si="14"/>
        <v>janeiro</v>
      </c>
    </row>
    <row r="935" spans="2:2">
      <c r="B935" s="391" t="str">
        <f t="shared" si="14"/>
        <v>janeiro</v>
      </c>
    </row>
    <row r="936" spans="2:2">
      <c r="B936" s="391" t="str">
        <f t="shared" si="14"/>
        <v>janeiro</v>
      </c>
    </row>
    <row r="937" spans="2:2">
      <c r="B937" s="391" t="str">
        <f t="shared" si="14"/>
        <v>janeiro</v>
      </c>
    </row>
    <row r="938" spans="2:2">
      <c r="B938" s="391" t="str">
        <f t="shared" si="14"/>
        <v>janeiro</v>
      </c>
    </row>
    <row r="939" spans="2:2">
      <c r="B939" s="391" t="str">
        <f t="shared" si="14"/>
        <v>janeiro</v>
      </c>
    </row>
    <row r="940" spans="2:2">
      <c r="B940" s="391" t="str">
        <f t="shared" si="14"/>
        <v>janeiro</v>
      </c>
    </row>
    <row r="941" spans="2:2">
      <c r="B941" s="391" t="str">
        <f t="shared" si="14"/>
        <v>janeiro</v>
      </c>
    </row>
    <row r="942" spans="2:2">
      <c r="B942" s="391" t="str">
        <f t="shared" si="14"/>
        <v>janeiro</v>
      </c>
    </row>
    <row r="943" spans="2:2">
      <c r="B943" s="391" t="str">
        <f t="shared" si="14"/>
        <v>janeiro</v>
      </c>
    </row>
    <row r="944" spans="2:2">
      <c r="B944" s="391" t="str">
        <f t="shared" si="14"/>
        <v>janeiro</v>
      </c>
    </row>
    <row r="945" spans="2:2">
      <c r="B945" s="391" t="str">
        <f t="shared" si="14"/>
        <v>janeiro</v>
      </c>
    </row>
    <row r="946" spans="2:2">
      <c r="B946" s="391" t="str">
        <f t="shared" si="14"/>
        <v>janeiro</v>
      </c>
    </row>
    <row r="947" spans="2:2">
      <c r="B947" s="391" t="str">
        <f t="shared" si="14"/>
        <v>janeiro</v>
      </c>
    </row>
    <row r="948" spans="2:2">
      <c r="B948" s="391" t="str">
        <f t="shared" si="14"/>
        <v>janeiro</v>
      </c>
    </row>
    <row r="949" spans="2:2">
      <c r="B949" s="391" t="str">
        <f t="shared" si="14"/>
        <v>janeiro</v>
      </c>
    </row>
    <row r="950" spans="2:2">
      <c r="B950" s="391" t="str">
        <f t="shared" si="14"/>
        <v>janeiro</v>
      </c>
    </row>
    <row r="951" spans="2:2">
      <c r="B951" s="391" t="str">
        <f t="shared" si="14"/>
        <v>janeiro</v>
      </c>
    </row>
    <row r="952" spans="2:2">
      <c r="B952" s="391" t="str">
        <f t="shared" si="14"/>
        <v>janeiro</v>
      </c>
    </row>
    <row r="953" spans="2:2">
      <c r="B953" s="391" t="str">
        <f t="shared" si="14"/>
        <v>janeiro</v>
      </c>
    </row>
    <row r="954" spans="2:2">
      <c r="B954" s="391" t="str">
        <f t="shared" si="14"/>
        <v>janeiro</v>
      </c>
    </row>
    <row r="955" spans="2:2">
      <c r="B955" s="391" t="str">
        <f t="shared" si="14"/>
        <v>janeiro</v>
      </c>
    </row>
    <row r="956" spans="2:2">
      <c r="B956" s="391" t="str">
        <f t="shared" si="14"/>
        <v>janeiro</v>
      </c>
    </row>
    <row r="957" spans="2:2">
      <c r="B957" s="391" t="str">
        <f t="shared" si="14"/>
        <v>janeiro</v>
      </c>
    </row>
    <row r="958" spans="2:2">
      <c r="B958" s="391" t="str">
        <f t="shared" si="14"/>
        <v>janeiro</v>
      </c>
    </row>
    <row r="959" spans="2:2">
      <c r="B959" s="391" t="str">
        <f t="shared" si="14"/>
        <v>janeiro</v>
      </c>
    </row>
    <row r="960" spans="2:2">
      <c r="B960" s="391" t="str">
        <f t="shared" si="14"/>
        <v>janeiro</v>
      </c>
    </row>
    <row r="961" spans="2:2">
      <c r="B961" s="391" t="str">
        <f t="shared" si="14"/>
        <v>janeiro</v>
      </c>
    </row>
    <row r="962" spans="2:2">
      <c r="B962" s="391" t="str">
        <f t="shared" si="14"/>
        <v>janeiro</v>
      </c>
    </row>
    <row r="963" spans="2:2">
      <c r="B963" s="391" t="str">
        <f t="shared" ref="B963:B1026" si="15">TEXT(E963,"mmmm")</f>
        <v>janeiro</v>
      </c>
    </row>
    <row r="964" spans="2:2">
      <c r="B964" s="391" t="str">
        <f t="shared" si="15"/>
        <v>janeiro</v>
      </c>
    </row>
    <row r="965" spans="2:2">
      <c r="B965" s="391" t="str">
        <f t="shared" si="15"/>
        <v>janeiro</v>
      </c>
    </row>
    <row r="966" spans="2:2">
      <c r="B966" s="391" t="str">
        <f t="shared" si="15"/>
        <v>janeiro</v>
      </c>
    </row>
    <row r="967" spans="2:2">
      <c r="B967" s="391" t="str">
        <f t="shared" si="15"/>
        <v>janeiro</v>
      </c>
    </row>
    <row r="968" spans="2:2">
      <c r="B968" s="391" t="str">
        <f t="shared" si="15"/>
        <v>janeiro</v>
      </c>
    </row>
    <row r="969" spans="2:2">
      <c r="B969" s="391" t="str">
        <f t="shared" si="15"/>
        <v>janeiro</v>
      </c>
    </row>
    <row r="970" spans="2:2">
      <c r="B970" s="391" t="str">
        <f t="shared" si="15"/>
        <v>janeiro</v>
      </c>
    </row>
    <row r="971" spans="2:2">
      <c r="B971" s="391" t="str">
        <f t="shared" si="15"/>
        <v>janeiro</v>
      </c>
    </row>
    <row r="972" spans="2:2">
      <c r="B972" s="391" t="str">
        <f t="shared" si="15"/>
        <v>janeiro</v>
      </c>
    </row>
    <row r="973" spans="2:2">
      <c r="B973" s="391" t="str">
        <f t="shared" si="15"/>
        <v>janeiro</v>
      </c>
    </row>
    <row r="974" spans="2:2">
      <c r="B974" s="391" t="str">
        <f t="shared" si="15"/>
        <v>janeiro</v>
      </c>
    </row>
    <row r="975" spans="2:2">
      <c r="B975" s="391" t="str">
        <f t="shared" si="15"/>
        <v>janeiro</v>
      </c>
    </row>
    <row r="976" spans="2:2">
      <c r="B976" s="391" t="str">
        <f t="shared" si="15"/>
        <v>janeiro</v>
      </c>
    </row>
    <row r="977" spans="2:2">
      <c r="B977" s="391" t="str">
        <f t="shared" si="15"/>
        <v>janeiro</v>
      </c>
    </row>
    <row r="978" spans="2:2">
      <c r="B978" s="391" t="str">
        <f t="shared" si="15"/>
        <v>janeiro</v>
      </c>
    </row>
    <row r="979" spans="2:2">
      <c r="B979" s="391" t="str">
        <f t="shared" si="15"/>
        <v>janeiro</v>
      </c>
    </row>
    <row r="980" spans="2:2">
      <c r="B980" s="391" t="str">
        <f t="shared" si="15"/>
        <v>janeiro</v>
      </c>
    </row>
    <row r="981" spans="2:2">
      <c r="B981" s="391" t="str">
        <f t="shared" si="15"/>
        <v>janeiro</v>
      </c>
    </row>
    <row r="982" spans="2:2">
      <c r="B982" s="391" t="str">
        <f t="shared" si="15"/>
        <v>janeiro</v>
      </c>
    </row>
    <row r="983" spans="2:2">
      <c r="B983" s="391" t="str">
        <f t="shared" si="15"/>
        <v>janeiro</v>
      </c>
    </row>
    <row r="984" spans="2:2">
      <c r="B984" s="391" t="str">
        <f t="shared" si="15"/>
        <v>janeiro</v>
      </c>
    </row>
    <row r="985" spans="2:2">
      <c r="B985" s="391" t="str">
        <f t="shared" si="15"/>
        <v>janeiro</v>
      </c>
    </row>
    <row r="986" spans="2:2">
      <c r="B986" s="391" t="str">
        <f t="shared" si="15"/>
        <v>janeiro</v>
      </c>
    </row>
    <row r="987" spans="2:2">
      <c r="B987" s="391" t="str">
        <f t="shared" si="15"/>
        <v>janeiro</v>
      </c>
    </row>
    <row r="988" spans="2:2">
      <c r="B988" s="391" t="str">
        <f t="shared" si="15"/>
        <v>janeiro</v>
      </c>
    </row>
    <row r="989" spans="2:2">
      <c r="B989" s="391" t="str">
        <f t="shared" si="15"/>
        <v>janeiro</v>
      </c>
    </row>
    <row r="990" spans="2:2">
      <c r="B990" s="391" t="str">
        <f t="shared" si="15"/>
        <v>janeiro</v>
      </c>
    </row>
    <row r="991" spans="2:2">
      <c r="B991" s="391" t="str">
        <f t="shared" si="15"/>
        <v>janeiro</v>
      </c>
    </row>
    <row r="992" spans="2:2">
      <c r="B992" s="391" t="str">
        <f t="shared" si="15"/>
        <v>janeiro</v>
      </c>
    </row>
    <row r="993" spans="2:2">
      <c r="B993" s="391" t="str">
        <f t="shared" si="15"/>
        <v>janeiro</v>
      </c>
    </row>
    <row r="994" spans="2:2">
      <c r="B994" s="391" t="str">
        <f t="shared" si="15"/>
        <v>janeiro</v>
      </c>
    </row>
    <row r="995" spans="2:2">
      <c r="B995" s="391" t="str">
        <f t="shared" si="15"/>
        <v>janeiro</v>
      </c>
    </row>
    <row r="996" spans="2:2">
      <c r="B996" s="391" t="str">
        <f t="shared" si="15"/>
        <v>janeiro</v>
      </c>
    </row>
    <row r="997" spans="2:2">
      <c r="B997" s="391" t="str">
        <f t="shared" si="15"/>
        <v>janeiro</v>
      </c>
    </row>
    <row r="998" spans="2:2">
      <c r="B998" s="391" t="str">
        <f t="shared" si="15"/>
        <v>janeiro</v>
      </c>
    </row>
    <row r="999" spans="2:2">
      <c r="B999" s="391" t="str">
        <f t="shared" si="15"/>
        <v>janeiro</v>
      </c>
    </row>
    <row r="1000" spans="2:2">
      <c r="B1000" s="391" t="str">
        <f t="shared" si="15"/>
        <v>janeiro</v>
      </c>
    </row>
    <row r="1001" spans="2:2">
      <c r="B1001" s="391" t="str">
        <f t="shared" si="15"/>
        <v>janeiro</v>
      </c>
    </row>
    <row r="1002" spans="2:2">
      <c r="B1002" s="391" t="str">
        <f t="shared" si="15"/>
        <v>janeiro</v>
      </c>
    </row>
    <row r="1003" spans="2:2">
      <c r="B1003" s="391" t="str">
        <f t="shared" si="15"/>
        <v>janeiro</v>
      </c>
    </row>
    <row r="1004" spans="2:2">
      <c r="B1004" s="391" t="str">
        <f t="shared" si="15"/>
        <v>janeiro</v>
      </c>
    </row>
    <row r="1005" spans="2:2">
      <c r="B1005" s="391" t="str">
        <f t="shared" si="15"/>
        <v>janeiro</v>
      </c>
    </row>
    <row r="1006" spans="2:2">
      <c r="B1006" s="391" t="str">
        <f t="shared" si="15"/>
        <v>janeiro</v>
      </c>
    </row>
    <row r="1007" spans="2:2">
      <c r="B1007" s="391" t="str">
        <f t="shared" si="15"/>
        <v>janeiro</v>
      </c>
    </row>
    <row r="1008" spans="2:2">
      <c r="B1008" s="391" t="str">
        <f t="shared" si="15"/>
        <v>janeiro</v>
      </c>
    </row>
    <row r="1009" spans="2:2">
      <c r="B1009" s="391" t="str">
        <f t="shared" si="15"/>
        <v>janeiro</v>
      </c>
    </row>
    <row r="1010" spans="2:2">
      <c r="B1010" s="391" t="str">
        <f t="shared" si="15"/>
        <v>janeiro</v>
      </c>
    </row>
    <row r="1011" spans="2:2">
      <c r="B1011" s="391" t="str">
        <f t="shared" si="15"/>
        <v>janeiro</v>
      </c>
    </row>
    <row r="1012" spans="2:2">
      <c r="B1012" s="391" t="str">
        <f t="shared" si="15"/>
        <v>janeiro</v>
      </c>
    </row>
    <row r="1013" spans="2:2">
      <c r="B1013" s="391" t="str">
        <f t="shared" si="15"/>
        <v>janeiro</v>
      </c>
    </row>
    <row r="1014" spans="2:2">
      <c r="B1014" s="391" t="str">
        <f t="shared" si="15"/>
        <v>janeiro</v>
      </c>
    </row>
    <row r="1015" spans="2:2">
      <c r="B1015" s="391" t="str">
        <f t="shared" si="15"/>
        <v>janeiro</v>
      </c>
    </row>
    <row r="1016" spans="2:2">
      <c r="B1016" s="391" t="str">
        <f t="shared" si="15"/>
        <v>janeiro</v>
      </c>
    </row>
    <row r="1017" spans="2:2">
      <c r="B1017" s="391" t="str">
        <f t="shared" si="15"/>
        <v>janeiro</v>
      </c>
    </row>
    <row r="1018" spans="2:2">
      <c r="B1018" s="391" t="str">
        <f t="shared" si="15"/>
        <v>janeiro</v>
      </c>
    </row>
    <row r="1019" spans="2:2">
      <c r="B1019" s="391" t="str">
        <f t="shared" si="15"/>
        <v>janeiro</v>
      </c>
    </row>
    <row r="1020" spans="2:2">
      <c r="B1020" s="391" t="str">
        <f t="shared" si="15"/>
        <v>janeiro</v>
      </c>
    </row>
    <row r="1021" spans="2:2">
      <c r="B1021" s="391" t="str">
        <f t="shared" si="15"/>
        <v>janeiro</v>
      </c>
    </row>
    <row r="1022" spans="2:2">
      <c r="B1022" s="391" t="str">
        <f t="shared" si="15"/>
        <v>janeiro</v>
      </c>
    </row>
    <row r="1023" spans="2:2">
      <c r="B1023" s="391" t="str">
        <f t="shared" si="15"/>
        <v>janeiro</v>
      </c>
    </row>
    <row r="1024" spans="2:2">
      <c r="B1024" s="391" t="str">
        <f t="shared" si="15"/>
        <v>janeiro</v>
      </c>
    </row>
    <row r="1025" spans="2:2">
      <c r="B1025" s="391" t="str">
        <f t="shared" si="15"/>
        <v>janeiro</v>
      </c>
    </row>
    <row r="1026" spans="2:2">
      <c r="B1026" s="391" t="str">
        <f t="shared" si="15"/>
        <v>janeiro</v>
      </c>
    </row>
    <row r="1027" spans="2:2">
      <c r="B1027" s="391" t="str">
        <f t="shared" ref="B1027:B1090" si="16">TEXT(E1027,"mmmm")</f>
        <v>janeiro</v>
      </c>
    </row>
    <row r="1028" spans="2:2">
      <c r="B1028" s="391" t="str">
        <f t="shared" si="16"/>
        <v>janeiro</v>
      </c>
    </row>
    <row r="1029" spans="2:2">
      <c r="B1029" s="391" t="str">
        <f t="shared" si="16"/>
        <v>janeiro</v>
      </c>
    </row>
    <row r="1030" spans="2:2">
      <c r="B1030" s="391" t="str">
        <f t="shared" si="16"/>
        <v>janeiro</v>
      </c>
    </row>
    <row r="1031" spans="2:2">
      <c r="B1031" s="391" t="str">
        <f t="shared" si="16"/>
        <v>janeiro</v>
      </c>
    </row>
    <row r="1032" spans="2:2">
      <c r="B1032" s="391" t="str">
        <f t="shared" si="16"/>
        <v>janeiro</v>
      </c>
    </row>
    <row r="1033" spans="2:2">
      <c r="B1033" s="391" t="str">
        <f t="shared" si="16"/>
        <v>janeiro</v>
      </c>
    </row>
    <row r="1034" spans="2:2">
      <c r="B1034" s="391" t="str">
        <f t="shared" si="16"/>
        <v>janeiro</v>
      </c>
    </row>
    <row r="1035" spans="2:2">
      <c r="B1035" s="391" t="str">
        <f t="shared" si="16"/>
        <v>janeiro</v>
      </c>
    </row>
    <row r="1036" spans="2:2">
      <c r="B1036" s="391" t="str">
        <f t="shared" si="16"/>
        <v>janeiro</v>
      </c>
    </row>
    <row r="1037" spans="2:2">
      <c r="B1037" s="391" t="str">
        <f t="shared" si="16"/>
        <v>janeiro</v>
      </c>
    </row>
    <row r="1038" spans="2:2">
      <c r="B1038" s="391" t="str">
        <f t="shared" si="16"/>
        <v>janeiro</v>
      </c>
    </row>
    <row r="1039" spans="2:2">
      <c r="B1039" s="391" t="str">
        <f t="shared" si="16"/>
        <v>janeiro</v>
      </c>
    </row>
    <row r="1040" spans="2:2">
      <c r="B1040" s="391" t="str">
        <f t="shared" si="16"/>
        <v>janeiro</v>
      </c>
    </row>
    <row r="1041" spans="2:2">
      <c r="B1041" s="391" t="str">
        <f t="shared" si="16"/>
        <v>janeiro</v>
      </c>
    </row>
    <row r="1042" spans="2:2">
      <c r="B1042" s="391" t="str">
        <f t="shared" si="16"/>
        <v>janeiro</v>
      </c>
    </row>
    <row r="1043" spans="2:2">
      <c r="B1043" s="391" t="str">
        <f t="shared" si="16"/>
        <v>janeiro</v>
      </c>
    </row>
    <row r="1044" spans="2:2">
      <c r="B1044" s="391" t="str">
        <f t="shared" si="16"/>
        <v>janeiro</v>
      </c>
    </row>
    <row r="1045" spans="2:2">
      <c r="B1045" s="391" t="str">
        <f t="shared" si="16"/>
        <v>janeiro</v>
      </c>
    </row>
    <row r="1046" spans="2:2">
      <c r="B1046" s="391" t="str">
        <f t="shared" si="16"/>
        <v>janeiro</v>
      </c>
    </row>
    <row r="1047" spans="2:2">
      <c r="B1047" s="391" t="str">
        <f t="shared" si="16"/>
        <v>janeiro</v>
      </c>
    </row>
    <row r="1048" spans="2:2">
      <c r="B1048" s="391" t="str">
        <f t="shared" si="16"/>
        <v>janeiro</v>
      </c>
    </row>
    <row r="1049" spans="2:2">
      <c r="B1049" s="391" t="str">
        <f t="shared" si="16"/>
        <v>janeiro</v>
      </c>
    </row>
    <row r="1050" spans="2:2">
      <c r="B1050" s="391" t="str">
        <f t="shared" si="16"/>
        <v>janeiro</v>
      </c>
    </row>
    <row r="1051" spans="2:2">
      <c r="B1051" s="391" t="str">
        <f t="shared" si="16"/>
        <v>janeiro</v>
      </c>
    </row>
    <row r="1052" spans="2:2">
      <c r="B1052" s="391" t="str">
        <f t="shared" si="16"/>
        <v>janeiro</v>
      </c>
    </row>
    <row r="1053" spans="2:2">
      <c r="B1053" s="391" t="str">
        <f t="shared" si="16"/>
        <v>janeiro</v>
      </c>
    </row>
    <row r="1054" spans="2:2">
      <c r="B1054" s="391" t="str">
        <f t="shared" si="16"/>
        <v>janeiro</v>
      </c>
    </row>
    <row r="1055" spans="2:2">
      <c r="B1055" s="391" t="str">
        <f t="shared" si="16"/>
        <v>janeiro</v>
      </c>
    </row>
    <row r="1056" spans="2:2">
      <c r="B1056" s="391" t="str">
        <f t="shared" si="16"/>
        <v>janeiro</v>
      </c>
    </row>
    <row r="1057" spans="2:2">
      <c r="B1057" s="391" t="str">
        <f t="shared" si="16"/>
        <v>janeiro</v>
      </c>
    </row>
    <row r="1058" spans="2:2">
      <c r="B1058" s="391" t="str">
        <f t="shared" si="16"/>
        <v>janeiro</v>
      </c>
    </row>
    <row r="1059" spans="2:2">
      <c r="B1059" s="391" t="str">
        <f t="shared" si="16"/>
        <v>janeiro</v>
      </c>
    </row>
    <row r="1060" spans="2:2">
      <c r="B1060" s="391" t="str">
        <f t="shared" si="16"/>
        <v>janeiro</v>
      </c>
    </row>
    <row r="1061" spans="2:2">
      <c r="B1061" s="391" t="str">
        <f t="shared" si="16"/>
        <v>janeiro</v>
      </c>
    </row>
    <row r="1062" spans="2:2">
      <c r="B1062" s="391" t="str">
        <f t="shared" si="16"/>
        <v>janeiro</v>
      </c>
    </row>
    <row r="1063" spans="2:2">
      <c r="B1063" s="391" t="str">
        <f t="shared" si="16"/>
        <v>janeiro</v>
      </c>
    </row>
    <row r="1064" spans="2:2">
      <c r="B1064" s="391" t="str">
        <f t="shared" si="16"/>
        <v>janeiro</v>
      </c>
    </row>
    <row r="1065" spans="2:2">
      <c r="B1065" s="391" t="str">
        <f t="shared" si="16"/>
        <v>janeiro</v>
      </c>
    </row>
    <row r="1066" spans="2:2">
      <c r="B1066" s="391" t="str">
        <f t="shared" si="16"/>
        <v>janeiro</v>
      </c>
    </row>
    <row r="1067" spans="2:2">
      <c r="B1067" s="391" t="str">
        <f t="shared" si="16"/>
        <v>janeiro</v>
      </c>
    </row>
    <row r="1068" spans="2:2">
      <c r="B1068" s="391" t="str">
        <f t="shared" si="16"/>
        <v>janeiro</v>
      </c>
    </row>
    <row r="1069" spans="2:2">
      <c r="B1069" s="391" t="str">
        <f t="shared" si="16"/>
        <v>janeiro</v>
      </c>
    </row>
    <row r="1070" spans="2:2">
      <c r="B1070" s="391" t="str">
        <f t="shared" si="16"/>
        <v>janeiro</v>
      </c>
    </row>
    <row r="1071" spans="2:2">
      <c r="B1071" s="391" t="str">
        <f t="shared" si="16"/>
        <v>janeiro</v>
      </c>
    </row>
    <row r="1072" spans="2:2">
      <c r="B1072" s="391" t="str">
        <f t="shared" si="16"/>
        <v>janeiro</v>
      </c>
    </row>
    <row r="1073" spans="2:2">
      <c r="B1073" s="391" t="str">
        <f t="shared" si="16"/>
        <v>janeiro</v>
      </c>
    </row>
    <row r="1074" spans="2:2">
      <c r="B1074" s="391" t="str">
        <f t="shared" si="16"/>
        <v>janeiro</v>
      </c>
    </row>
    <row r="1075" spans="2:2">
      <c r="B1075" s="391" t="str">
        <f t="shared" si="16"/>
        <v>janeiro</v>
      </c>
    </row>
    <row r="1076" spans="2:2">
      <c r="B1076" s="391" t="str">
        <f t="shared" si="16"/>
        <v>janeiro</v>
      </c>
    </row>
    <row r="1077" spans="2:2">
      <c r="B1077" s="391" t="str">
        <f t="shared" si="16"/>
        <v>janeiro</v>
      </c>
    </row>
    <row r="1078" spans="2:2">
      <c r="B1078" s="391" t="str">
        <f t="shared" si="16"/>
        <v>janeiro</v>
      </c>
    </row>
    <row r="1079" spans="2:2">
      <c r="B1079" s="391" t="str">
        <f t="shared" si="16"/>
        <v>janeiro</v>
      </c>
    </row>
    <row r="1080" spans="2:2">
      <c r="B1080" s="391" t="str">
        <f t="shared" si="16"/>
        <v>janeiro</v>
      </c>
    </row>
    <row r="1081" spans="2:2">
      <c r="B1081" s="391" t="str">
        <f t="shared" si="16"/>
        <v>janeiro</v>
      </c>
    </row>
    <row r="1082" spans="2:2">
      <c r="B1082" s="391" t="str">
        <f t="shared" si="16"/>
        <v>janeiro</v>
      </c>
    </row>
    <row r="1083" spans="2:2">
      <c r="B1083" s="391" t="str">
        <f t="shared" si="16"/>
        <v>janeiro</v>
      </c>
    </row>
    <row r="1084" spans="2:2">
      <c r="B1084" s="391" t="str">
        <f t="shared" si="16"/>
        <v>janeiro</v>
      </c>
    </row>
    <row r="1085" spans="2:2">
      <c r="B1085" s="391" t="str">
        <f t="shared" si="16"/>
        <v>janeiro</v>
      </c>
    </row>
    <row r="1086" spans="2:2">
      <c r="B1086" s="391" t="str">
        <f t="shared" si="16"/>
        <v>janeiro</v>
      </c>
    </row>
    <row r="1087" spans="2:2">
      <c r="B1087" s="391" t="str">
        <f t="shared" si="16"/>
        <v>janeiro</v>
      </c>
    </row>
    <row r="1088" spans="2:2">
      <c r="B1088" s="391" t="str">
        <f t="shared" si="16"/>
        <v>janeiro</v>
      </c>
    </row>
    <row r="1089" spans="2:2">
      <c r="B1089" s="391" t="str">
        <f t="shared" si="16"/>
        <v>janeiro</v>
      </c>
    </row>
    <row r="1090" spans="2:2">
      <c r="B1090" s="391" t="str">
        <f t="shared" si="16"/>
        <v>janeiro</v>
      </c>
    </row>
    <row r="1091" spans="2:2">
      <c r="B1091" s="391" t="str">
        <f t="shared" ref="B1091:B1154" si="17">TEXT(E1091,"mmmm")</f>
        <v>janeiro</v>
      </c>
    </row>
    <row r="1092" spans="2:2">
      <c r="B1092" s="391" t="str">
        <f t="shared" si="17"/>
        <v>janeiro</v>
      </c>
    </row>
    <row r="1093" spans="2:2">
      <c r="B1093" s="391" t="str">
        <f t="shared" si="17"/>
        <v>janeiro</v>
      </c>
    </row>
    <row r="1094" spans="2:2">
      <c r="B1094" s="391" t="str">
        <f t="shared" si="17"/>
        <v>janeiro</v>
      </c>
    </row>
    <row r="1095" spans="2:2">
      <c r="B1095" s="391" t="str">
        <f t="shared" si="17"/>
        <v>janeiro</v>
      </c>
    </row>
    <row r="1096" spans="2:2">
      <c r="B1096" s="391" t="str">
        <f t="shared" si="17"/>
        <v>janeiro</v>
      </c>
    </row>
    <row r="1097" spans="2:2">
      <c r="B1097" s="391" t="str">
        <f t="shared" si="17"/>
        <v>janeiro</v>
      </c>
    </row>
    <row r="1098" spans="2:2">
      <c r="B1098" s="391" t="str">
        <f t="shared" si="17"/>
        <v>janeiro</v>
      </c>
    </row>
    <row r="1099" spans="2:2">
      <c r="B1099" s="391" t="str">
        <f t="shared" si="17"/>
        <v>janeiro</v>
      </c>
    </row>
    <row r="1100" spans="2:2">
      <c r="B1100" s="391" t="str">
        <f t="shared" si="17"/>
        <v>janeiro</v>
      </c>
    </row>
    <row r="1101" spans="2:2">
      <c r="B1101" s="391" t="str">
        <f t="shared" si="17"/>
        <v>janeiro</v>
      </c>
    </row>
    <row r="1102" spans="2:2">
      <c r="B1102" s="391" t="str">
        <f t="shared" si="17"/>
        <v>janeiro</v>
      </c>
    </row>
    <row r="1103" spans="2:2">
      <c r="B1103" s="391" t="str">
        <f t="shared" si="17"/>
        <v>janeiro</v>
      </c>
    </row>
    <row r="1104" spans="2:2">
      <c r="B1104" s="391" t="str">
        <f t="shared" si="17"/>
        <v>janeiro</v>
      </c>
    </row>
    <row r="1105" spans="2:2">
      <c r="B1105" s="391" t="str">
        <f t="shared" si="17"/>
        <v>janeiro</v>
      </c>
    </row>
    <row r="1106" spans="2:2">
      <c r="B1106" s="391" t="str">
        <f t="shared" si="17"/>
        <v>janeiro</v>
      </c>
    </row>
    <row r="1107" spans="2:2">
      <c r="B1107" s="391" t="str">
        <f t="shared" si="17"/>
        <v>janeiro</v>
      </c>
    </row>
    <row r="1108" spans="2:2">
      <c r="B1108" s="391" t="str">
        <f t="shared" si="17"/>
        <v>janeiro</v>
      </c>
    </row>
    <row r="1109" spans="2:2">
      <c r="B1109" s="391" t="str">
        <f t="shared" si="17"/>
        <v>janeiro</v>
      </c>
    </row>
    <row r="1110" spans="2:2">
      <c r="B1110" s="391" t="str">
        <f t="shared" si="17"/>
        <v>janeiro</v>
      </c>
    </row>
    <row r="1111" spans="2:2">
      <c r="B1111" s="391" t="str">
        <f t="shared" si="17"/>
        <v>janeiro</v>
      </c>
    </row>
    <row r="1112" spans="2:2">
      <c r="B1112" s="391" t="str">
        <f t="shared" si="17"/>
        <v>janeiro</v>
      </c>
    </row>
    <row r="1113" spans="2:2">
      <c r="B1113" s="391" t="str">
        <f t="shared" si="17"/>
        <v>janeiro</v>
      </c>
    </row>
    <row r="1114" spans="2:2">
      <c r="B1114" s="391" t="str">
        <f t="shared" si="17"/>
        <v>janeiro</v>
      </c>
    </row>
    <row r="1115" spans="2:2">
      <c r="B1115" s="391" t="str">
        <f t="shared" si="17"/>
        <v>janeiro</v>
      </c>
    </row>
    <row r="1116" spans="2:2">
      <c r="B1116" s="391" t="str">
        <f t="shared" si="17"/>
        <v>janeiro</v>
      </c>
    </row>
    <row r="1117" spans="2:2">
      <c r="B1117" s="391" t="str">
        <f t="shared" si="17"/>
        <v>janeiro</v>
      </c>
    </row>
    <row r="1118" spans="2:2">
      <c r="B1118" s="391" t="str">
        <f t="shared" si="17"/>
        <v>janeiro</v>
      </c>
    </row>
    <row r="1119" spans="2:2">
      <c r="B1119" s="391" t="str">
        <f t="shared" si="17"/>
        <v>janeiro</v>
      </c>
    </row>
    <row r="1120" spans="2:2">
      <c r="B1120" s="391" t="str">
        <f t="shared" si="17"/>
        <v>janeiro</v>
      </c>
    </row>
    <row r="1121" spans="2:2">
      <c r="B1121" s="391" t="str">
        <f t="shared" si="17"/>
        <v>janeiro</v>
      </c>
    </row>
    <row r="1122" spans="2:2">
      <c r="B1122" s="391" t="str">
        <f t="shared" si="17"/>
        <v>janeiro</v>
      </c>
    </row>
    <row r="1123" spans="2:2">
      <c r="B1123" s="391" t="str">
        <f t="shared" si="17"/>
        <v>janeiro</v>
      </c>
    </row>
    <row r="1124" spans="2:2">
      <c r="B1124" s="391" t="str">
        <f t="shared" si="17"/>
        <v>janeiro</v>
      </c>
    </row>
    <row r="1125" spans="2:2">
      <c r="B1125" s="391" t="str">
        <f t="shared" si="17"/>
        <v>janeiro</v>
      </c>
    </row>
    <row r="1126" spans="2:2">
      <c r="B1126" s="391" t="str">
        <f t="shared" si="17"/>
        <v>janeiro</v>
      </c>
    </row>
    <row r="1127" spans="2:2">
      <c r="B1127" s="391" t="str">
        <f t="shared" si="17"/>
        <v>janeiro</v>
      </c>
    </row>
    <row r="1128" spans="2:2">
      <c r="B1128" s="391" t="str">
        <f t="shared" si="17"/>
        <v>janeiro</v>
      </c>
    </row>
    <row r="1129" spans="2:2">
      <c r="B1129" s="391" t="str">
        <f t="shared" si="17"/>
        <v>janeiro</v>
      </c>
    </row>
    <row r="1130" spans="2:2">
      <c r="B1130" s="391" t="str">
        <f t="shared" si="17"/>
        <v>janeiro</v>
      </c>
    </row>
    <row r="1131" spans="2:2">
      <c r="B1131" s="391" t="str">
        <f t="shared" si="17"/>
        <v>janeiro</v>
      </c>
    </row>
    <row r="1132" spans="2:2">
      <c r="B1132" s="391" t="str">
        <f t="shared" si="17"/>
        <v>janeiro</v>
      </c>
    </row>
    <row r="1133" spans="2:2">
      <c r="B1133" s="391" t="str">
        <f t="shared" si="17"/>
        <v>janeiro</v>
      </c>
    </row>
    <row r="1134" spans="2:2">
      <c r="B1134" s="391" t="str">
        <f t="shared" si="17"/>
        <v>janeiro</v>
      </c>
    </row>
    <row r="1135" spans="2:2">
      <c r="B1135" s="391" t="str">
        <f t="shared" si="17"/>
        <v>janeiro</v>
      </c>
    </row>
    <row r="1136" spans="2:2">
      <c r="B1136" s="391" t="str">
        <f t="shared" si="17"/>
        <v>janeiro</v>
      </c>
    </row>
    <row r="1137" spans="2:2">
      <c r="B1137" s="391" t="str">
        <f t="shared" si="17"/>
        <v>janeiro</v>
      </c>
    </row>
    <row r="1138" spans="2:2">
      <c r="B1138" s="391" t="str">
        <f t="shared" si="17"/>
        <v>janeiro</v>
      </c>
    </row>
    <row r="1139" spans="2:2">
      <c r="B1139" s="391" t="str">
        <f t="shared" si="17"/>
        <v>janeiro</v>
      </c>
    </row>
    <row r="1140" spans="2:2">
      <c r="B1140" s="391" t="str">
        <f t="shared" si="17"/>
        <v>janeiro</v>
      </c>
    </row>
    <row r="1141" spans="2:2">
      <c r="B1141" s="391" t="str">
        <f t="shared" si="17"/>
        <v>janeiro</v>
      </c>
    </row>
    <row r="1142" spans="2:2">
      <c r="B1142" s="391" t="str">
        <f t="shared" si="17"/>
        <v>janeiro</v>
      </c>
    </row>
    <row r="1143" spans="2:2">
      <c r="B1143" s="391" t="str">
        <f t="shared" si="17"/>
        <v>janeiro</v>
      </c>
    </row>
    <row r="1144" spans="2:2">
      <c r="B1144" s="391" t="str">
        <f t="shared" si="17"/>
        <v>janeiro</v>
      </c>
    </row>
    <row r="1145" spans="2:2">
      <c r="B1145" s="391" t="str">
        <f t="shared" si="17"/>
        <v>janeiro</v>
      </c>
    </row>
    <row r="1146" spans="2:2">
      <c r="B1146" s="391" t="str">
        <f t="shared" si="17"/>
        <v>janeiro</v>
      </c>
    </row>
    <row r="1147" spans="2:2">
      <c r="B1147" s="391" t="str">
        <f t="shared" si="17"/>
        <v>janeiro</v>
      </c>
    </row>
    <row r="1148" spans="2:2">
      <c r="B1148" s="391" t="str">
        <f t="shared" si="17"/>
        <v>janeiro</v>
      </c>
    </row>
    <row r="1149" spans="2:2">
      <c r="B1149" s="391" t="str">
        <f t="shared" si="17"/>
        <v>janeiro</v>
      </c>
    </row>
    <row r="1150" spans="2:2">
      <c r="B1150" s="391" t="str">
        <f t="shared" si="17"/>
        <v>janeiro</v>
      </c>
    </row>
    <row r="1151" spans="2:2">
      <c r="B1151" s="391" t="str">
        <f t="shared" si="17"/>
        <v>janeiro</v>
      </c>
    </row>
    <row r="1152" spans="2:2">
      <c r="B1152" s="391" t="str">
        <f t="shared" si="17"/>
        <v>janeiro</v>
      </c>
    </row>
    <row r="1153" spans="2:2">
      <c r="B1153" s="391" t="str">
        <f t="shared" si="17"/>
        <v>janeiro</v>
      </c>
    </row>
    <row r="1154" spans="2:2">
      <c r="B1154" s="391" t="str">
        <f t="shared" si="17"/>
        <v>janeiro</v>
      </c>
    </row>
    <row r="1155" spans="2:2">
      <c r="B1155" s="391" t="str">
        <f t="shared" ref="B1155:B1218" si="18">TEXT(E1155,"mmmm")</f>
        <v>janeiro</v>
      </c>
    </row>
    <row r="1156" spans="2:2">
      <c r="B1156" s="391" t="str">
        <f t="shared" si="18"/>
        <v>janeiro</v>
      </c>
    </row>
    <row r="1157" spans="2:2">
      <c r="B1157" s="391" t="str">
        <f t="shared" si="18"/>
        <v>janeiro</v>
      </c>
    </row>
    <row r="1158" spans="2:2">
      <c r="B1158" s="391" t="str">
        <f t="shared" si="18"/>
        <v>janeiro</v>
      </c>
    </row>
    <row r="1159" spans="2:2">
      <c r="B1159" s="391" t="str">
        <f t="shared" si="18"/>
        <v>janeiro</v>
      </c>
    </row>
    <row r="1160" spans="2:2">
      <c r="B1160" s="391" t="str">
        <f t="shared" si="18"/>
        <v>janeiro</v>
      </c>
    </row>
    <row r="1161" spans="2:2">
      <c r="B1161" s="391" t="str">
        <f t="shared" si="18"/>
        <v>janeiro</v>
      </c>
    </row>
    <row r="1162" spans="2:2">
      <c r="B1162" s="391" t="str">
        <f t="shared" si="18"/>
        <v>janeiro</v>
      </c>
    </row>
    <row r="1163" spans="2:2">
      <c r="B1163" s="391" t="str">
        <f t="shared" si="18"/>
        <v>janeiro</v>
      </c>
    </row>
    <row r="1164" spans="2:2">
      <c r="B1164" s="391" t="str">
        <f t="shared" si="18"/>
        <v>janeiro</v>
      </c>
    </row>
    <row r="1165" spans="2:2">
      <c r="B1165" s="391" t="str">
        <f t="shared" si="18"/>
        <v>janeiro</v>
      </c>
    </row>
    <row r="1166" spans="2:2">
      <c r="B1166" s="391" t="str">
        <f t="shared" si="18"/>
        <v>janeiro</v>
      </c>
    </row>
    <row r="1167" spans="2:2">
      <c r="B1167" s="391" t="str">
        <f t="shared" si="18"/>
        <v>janeiro</v>
      </c>
    </row>
    <row r="1168" spans="2:2">
      <c r="B1168" s="391" t="str">
        <f t="shared" si="18"/>
        <v>janeiro</v>
      </c>
    </row>
    <row r="1169" spans="2:2">
      <c r="B1169" s="391" t="str">
        <f t="shared" si="18"/>
        <v>janeiro</v>
      </c>
    </row>
    <row r="1170" spans="2:2">
      <c r="B1170" s="391" t="str">
        <f t="shared" si="18"/>
        <v>janeiro</v>
      </c>
    </row>
    <row r="1171" spans="2:2">
      <c r="B1171" s="391" t="str">
        <f t="shared" si="18"/>
        <v>janeiro</v>
      </c>
    </row>
    <row r="1172" spans="2:2">
      <c r="B1172" s="391" t="str">
        <f t="shared" si="18"/>
        <v>janeiro</v>
      </c>
    </row>
    <row r="1173" spans="2:2">
      <c r="B1173" s="391" t="str">
        <f t="shared" si="18"/>
        <v>janeiro</v>
      </c>
    </row>
    <row r="1174" spans="2:2">
      <c r="B1174" s="391" t="str">
        <f t="shared" si="18"/>
        <v>janeiro</v>
      </c>
    </row>
    <row r="1175" spans="2:2">
      <c r="B1175" s="391" t="str">
        <f t="shared" si="18"/>
        <v>janeiro</v>
      </c>
    </row>
    <row r="1176" spans="2:2">
      <c r="B1176" s="391" t="str">
        <f t="shared" si="18"/>
        <v>janeiro</v>
      </c>
    </row>
    <row r="1177" spans="2:2">
      <c r="B1177" s="391" t="str">
        <f t="shared" si="18"/>
        <v>janeiro</v>
      </c>
    </row>
    <row r="1178" spans="2:2">
      <c r="B1178" s="391" t="str">
        <f t="shared" si="18"/>
        <v>janeiro</v>
      </c>
    </row>
    <row r="1179" spans="2:2">
      <c r="B1179" s="391" t="str">
        <f t="shared" si="18"/>
        <v>janeiro</v>
      </c>
    </row>
    <row r="1180" spans="2:2">
      <c r="B1180" s="391" t="str">
        <f t="shared" si="18"/>
        <v>janeiro</v>
      </c>
    </row>
    <row r="1181" spans="2:2">
      <c r="B1181" s="391" t="str">
        <f t="shared" si="18"/>
        <v>janeiro</v>
      </c>
    </row>
    <row r="1182" spans="2:2">
      <c r="B1182" s="391" t="str">
        <f t="shared" si="18"/>
        <v>janeiro</v>
      </c>
    </row>
    <row r="1183" spans="2:2">
      <c r="B1183" s="391" t="str">
        <f t="shared" si="18"/>
        <v>janeiro</v>
      </c>
    </row>
    <row r="1184" spans="2:2">
      <c r="B1184" s="391" t="str">
        <f t="shared" si="18"/>
        <v>janeiro</v>
      </c>
    </row>
    <row r="1185" spans="2:2">
      <c r="B1185" s="391" t="str">
        <f t="shared" si="18"/>
        <v>janeiro</v>
      </c>
    </row>
    <row r="1186" spans="2:2">
      <c r="B1186" s="391" t="str">
        <f t="shared" si="18"/>
        <v>janeiro</v>
      </c>
    </row>
    <row r="1187" spans="2:2">
      <c r="B1187" s="391" t="str">
        <f t="shared" si="18"/>
        <v>janeiro</v>
      </c>
    </row>
    <row r="1188" spans="2:2">
      <c r="B1188" s="391" t="str">
        <f t="shared" si="18"/>
        <v>janeiro</v>
      </c>
    </row>
    <row r="1189" spans="2:2">
      <c r="B1189" s="391" t="str">
        <f t="shared" si="18"/>
        <v>janeiro</v>
      </c>
    </row>
    <row r="1190" spans="2:2">
      <c r="B1190" s="391" t="str">
        <f t="shared" si="18"/>
        <v>janeiro</v>
      </c>
    </row>
    <row r="1191" spans="2:2">
      <c r="B1191" s="391" t="str">
        <f t="shared" si="18"/>
        <v>janeiro</v>
      </c>
    </row>
    <row r="1192" spans="2:2">
      <c r="B1192" s="391" t="str">
        <f t="shared" si="18"/>
        <v>janeiro</v>
      </c>
    </row>
    <row r="1193" spans="2:2">
      <c r="B1193" s="391" t="str">
        <f t="shared" si="18"/>
        <v>janeiro</v>
      </c>
    </row>
    <row r="1194" spans="2:2">
      <c r="B1194" s="391" t="str">
        <f t="shared" si="18"/>
        <v>janeiro</v>
      </c>
    </row>
    <row r="1195" spans="2:2">
      <c r="B1195" s="391" t="str">
        <f t="shared" si="18"/>
        <v>janeiro</v>
      </c>
    </row>
    <row r="1196" spans="2:2">
      <c r="B1196" s="391" t="str">
        <f t="shared" si="18"/>
        <v>janeiro</v>
      </c>
    </row>
    <row r="1197" spans="2:2">
      <c r="B1197" s="391" t="str">
        <f t="shared" si="18"/>
        <v>janeiro</v>
      </c>
    </row>
    <row r="1198" spans="2:2">
      <c r="B1198" s="391" t="str">
        <f t="shared" si="18"/>
        <v>janeiro</v>
      </c>
    </row>
    <row r="1199" spans="2:2">
      <c r="B1199" s="391" t="str">
        <f t="shared" si="18"/>
        <v>janeiro</v>
      </c>
    </row>
    <row r="1200" spans="2:2">
      <c r="B1200" s="391" t="str">
        <f t="shared" si="18"/>
        <v>janeiro</v>
      </c>
    </row>
    <row r="1201" spans="2:2">
      <c r="B1201" s="391" t="str">
        <f t="shared" si="18"/>
        <v>janeiro</v>
      </c>
    </row>
    <row r="1202" spans="2:2">
      <c r="B1202" s="391" t="str">
        <f t="shared" si="18"/>
        <v>janeiro</v>
      </c>
    </row>
    <row r="1203" spans="2:2">
      <c r="B1203" s="391" t="str">
        <f t="shared" si="18"/>
        <v>janeiro</v>
      </c>
    </row>
    <row r="1204" spans="2:2">
      <c r="B1204" s="391" t="str">
        <f t="shared" si="18"/>
        <v>janeiro</v>
      </c>
    </row>
    <row r="1205" spans="2:2">
      <c r="B1205" s="391" t="str">
        <f t="shared" si="18"/>
        <v>janeiro</v>
      </c>
    </row>
    <row r="1206" spans="2:2">
      <c r="B1206" s="391" t="str">
        <f t="shared" si="18"/>
        <v>janeiro</v>
      </c>
    </row>
    <row r="1207" spans="2:2">
      <c r="B1207" s="391" t="str">
        <f t="shared" si="18"/>
        <v>janeiro</v>
      </c>
    </row>
    <row r="1208" spans="2:2">
      <c r="B1208" s="391" t="str">
        <f t="shared" si="18"/>
        <v>janeiro</v>
      </c>
    </row>
    <row r="1209" spans="2:2">
      <c r="B1209" s="391" t="str">
        <f t="shared" si="18"/>
        <v>janeiro</v>
      </c>
    </row>
    <row r="1210" spans="2:2">
      <c r="B1210" s="391" t="str">
        <f t="shared" si="18"/>
        <v>janeiro</v>
      </c>
    </row>
    <row r="1211" spans="2:2">
      <c r="B1211" s="391" t="str">
        <f t="shared" si="18"/>
        <v>janeiro</v>
      </c>
    </row>
    <row r="1212" spans="2:2">
      <c r="B1212" s="391" t="str">
        <f t="shared" si="18"/>
        <v>janeiro</v>
      </c>
    </row>
    <row r="1213" spans="2:2">
      <c r="B1213" s="391" t="str">
        <f t="shared" si="18"/>
        <v>janeiro</v>
      </c>
    </row>
    <row r="1214" spans="2:2">
      <c r="B1214" s="391" t="str">
        <f t="shared" si="18"/>
        <v>janeiro</v>
      </c>
    </row>
    <row r="1215" spans="2:2">
      <c r="B1215" s="391" t="str">
        <f t="shared" si="18"/>
        <v>janeiro</v>
      </c>
    </row>
    <row r="1216" spans="2:2">
      <c r="B1216" s="391" t="str">
        <f t="shared" si="18"/>
        <v>janeiro</v>
      </c>
    </row>
    <row r="1217" spans="2:2">
      <c r="B1217" s="391" t="str">
        <f t="shared" si="18"/>
        <v>janeiro</v>
      </c>
    </row>
    <row r="1218" spans="2:2">
      <c r="B1218" s="391" t="str">
        <f t="shared" si="18"/>
        <v>janeiro</v>
      </c>
    </row>
    <row r="1219" spans="2:2">
      <c r="B1219" s="391" t="str">
        <f t="shared" ref="B1219:B1282" si="19">TEXT(E1219,"mmmm")</f>
        <v>janeiro</v>
      </c>
    </row>
    <row r="1220" spans="2:2">
      <c r="B1220" s="391" t="str">
        <f t="shared" si="19"/>
        <v>janeiro</v>
      </c>
    </row>
    <row r="1221" spans="2:2">
      <c r="B1221" s="391" t="str">
        <f t="shared" si="19"/>
        <v>janeiro</v>
      </c>
    </row>
    <row r="1222" spans="2:2">
      <c r="B1222" s="391" t="str">
        <f t="shared" si="19"/>
        <v>janeiro</v>
      </c>
    </row>
    <row r="1223" spans="2:2">
      <c r="B1223" s="391" t="str">
        <f t="shared" si="19"/>
        <v>janeiro</v>
      </c>
    </row>
    <row r="1224" spans="2:2">
      <c r="B1224" s="391" t="str">
        <f t="shared" si="19"/>
        <v>janeiro</v>
      </c>
    </row>
    <row r="1225" spans="2:2">
      <c r="B1225" s="391" t="str">
        <f t="shared" si="19"/>
        <v>janeiro</v>
      </c>
    </row>
    <row r="1226" spans="2:2">
      <c r="B1226" s="391" t="str">
        <f t="shared" si="19"/>
        <v>janeiro</v>
      </c>
    </row>
    <row r="1227" spans="2:2">
      <c r="B1227" s="391" t="str">
        <f t="shared" si="19"/>
        <v>janeiro</v>
      </c>
    </row>
    <row r="1228" spans="2:2">
      <c r="B1228" s="391" t="str">
        <f t="shared" si="19"/>
        <v>janeiro</v>
      </c>
    </row>
    <row r="1229" spans="2:2">
      <c r="B1229" s="391" t="str">
        <f t="shared" si="19"/>
        <v>janeiro</v>
      </c>
    </row>
    <row r="1230" spans="2:2">
      <c r="B1230" s="391" t="str">
        <f t="shared" si="19"/>
        <v>janeiro</v>
      </c>
    </row>
    <row r="1231" spans="2:2">
      <c r="B1231" s="391" t="str">
        <f t="shared" si="19"/>
        <v>janeiro</v>
      </c>
    </row>
    <row r="1232" spans="2:2">
      <c r="B1232" s="391" t="str">
        <f t="shared" si="19"/>
        <v>janeiro</v>
      </c>
    </row>
    <row r="1233" spans="2:2">
      <c r="B1233" s="391" t="str">
        <f t="shared" si="19"/>
        <v>janeiro</v>
      </c>
    </row>
    <row r="1234" spans="2:2">
      <c r="B1234" s="391" t="str">
        <f t="shared" si="19"/>
        <v>janeiro</v>
      </c>
    </row>
    <row r="1235" spans="2:2">
      <c r="B1235" s="391" t="str">
        <f t="shared" si="19"/>
        <v>janeiro</v>
      </c>
    </row>
    <row r="1236" spans="2:2">
      <c r="B1236" s="391" t="str">
        <f t="shared" si="19"/>
        <v>janeiro</v>
      </c>
    </row>
    <row r="1237" spans="2:2">
      <c r="B1237" s="391" t="str">
        <f t="shared" si="19"/>
        <v>janeiro</v>
      </c>
    </row>
    <row r="1238" spans="2:2">
      <c r="B1238" s="391" t="str">
        <f t="shared" si="19"/>
        <v>janeiro</v>
      </c>
    </row>
    <row r="1239" spans="2:2">
      <c r="B1239" s="391" t="str">
        <f t="shared" si="19"/>
        <v>janeiro</v>
      </c>
    </row>
    <row r="1240" spans="2:2">
      <c r="B1240" s="391" t="str">
        <f t="shared" si="19"/>
        <v>janeiro</v>
      </c>
    </row>
    <row r="1241" spans="2:2">
      <c r="B1241" s="391" t="str">
        <f t="shared" si="19"/>
        <v>janeiro</v>
      </c>
    </row>
    <row r="1242" spans="2:2">
      <c r="B1242" s="391" t="str">
        <f t="shared" si="19"/>
        <v>janeiro</v>
      </c>
    </row>
    <row r="1243" spans="2:2">
      <c r="B1243" s="391" t="str">
        <f t="shared" si="19"/>
        <v>janeiro</v>
      </c>
    </row>
    <row r="1244" spans="2:2">
      <c r="B1244" s="391" t="str">
        <f t="shared" si="19"/>
        <v>janeiro</v>
      </c>
    </row>
    <row r="1245" spans="2:2">
      <c r="B1245" s="391" t="str">
        <f t="shared" si="19"/>
        <v>janeiro</v>
      </c>
    </row>
    <row r="1246" spans="2:2">
      <c r="B1246" s="391" t="str">
        <f t="shared" si="19"/>
        <v>janeiro</v>
      </c>
    </row>
    <row r="1247" spans="2:2">
      <c r="B1247" s="391" t="str">
        <f t="shared" si="19"/>
        <v>janeiro</v>
      </c>
    </row>
    <row r="1248" spans="2:2">
      <c r="B1248" s="391" t="str">
        <f t="shared" si="19"/>
        <v>janeiro</v>
      </c>
    </row>
    <row r="1249" spans="2:2">
      <c r="B1249" s="391" t="str">
        <f t="shared" si="19"/>
        <v>janeiro</v>
      </c>
    </row>
    <row r="1250" spans="2:2">
      <c r="B1250" s="391" t="str">
        <f t="shared" si="19"/>
        <v>janeiro</v>
      </c>
    </row>
    <row r="1251" spans="2:2">
      <c r="B1251" s="391" t="str">
        <f t="shared" si="19"/>
        <v>janeiro</v>
      </c>
    </row>
    <row r="1252" spans="2:2">
      <c r="B1252" s="391" t="str">
        <f t="shared" si="19"/>
        <v>janeiro</v>
      </c>
    </row>
    <row r="1253" spans="2:2">
      <c r="B1253" s="391" t="str">
        <f t="shared" si="19"/>
        <v>janeiro</v>
      </c>
    </row>
    <row r="1254" spans="2:2">
      <c r="B1254" s="391" t="str">
        <f t="shared" si="19"/>
        <v>janeiro</v>
      </c>
    </row>
    <row r="1255" spans="2:2">
      <c r="B1255" s="391" t="str">
        <f t="shared" si="19"/>
        <v>janeiro</v>
      </c>
    </row>
    <row r="1256" spans="2:2">
      <c r="B1256" s="391" t="str">
        <f t="shared" si="19"/>
        <v>janeiro</v>
      </c>
    </row>
    <row r="1257" spans="2:2">
      <c r="B1257" s="391" t="str">
        <f t="shared" si="19"/>
        <v>janeiro</v>
      </c>
    </row>
    <row r="1258" spans="2:2">
      <c r="B1258" s="391" t="str">
        <f t="shared" si="19"/>
        <v>janeiro</v>
      </c>
    </row>
    <row r="1259" spans="2:2">
      <c r="B1259" s="391" t="str">
        <f t="shared" si="19"/>
        <v>janeiro</v>
      </c>
    </row>
    <row r="1260" spans="2:2">
      <c r="B1260" s="391" t="str">
        <f t="shared" si="19"/>
        <v>janeiro</v>
      </c>
    </row>
    <row r="1261" spans="2:2">
      <c r="B1261" s="391" t="str">
        <f t="shared" si="19"/>
        <v>janeiro</v>
      </c>
    </row>
    <row r="1262" spans="2:2">
      <c r="B1262" s="391" t="str">
        <f t="shared" si="19"/>
        <v>janeiro</v>
      </c>
    </row>
    <row r="1263" spans="2:2">
      <c r="B1263" s="391" t="str">
        <f t="shared" si="19"/>
        <v>janeiro</v>
      </c>
    </row>
    <row r="1264" spans="2:2">
      <c r="B1264" s="391" t="str">
        <f t="shared" si="19"/>
        <v>janeiro</v>
      </c>
    </row>
    <row r="1265" spans="2:2">
      <c r="B1265" s="391" t="str">
        <f t="shared" si="19"/>
        <v>janeiro</v>
      </c>
    </row>
    <row r="1266" spans="2:2">
      <c r="B1266" s="391" t="str">
        <f t="shared" si="19"/>
        <v>janeiro</v>
      </c>
    </row>
    <row r="1267" spans="2:2">
      <c r="B1267" s="391" t="str">
        <f t="shared" si="19"/>
        <v>janeiro</v>
      </c>
    </row>
    <row r="1268" spans="2:2">
      <c r="B1268" s="391" t="str">
        <f t="shared" si="19"/>
        <v>janeiro</v>
      </c>
    </row>
    <row r="1269" spans="2:2">
      <c r="B1269" s="391" t="str">
        <f t="shared" si="19"/>
        <v>janeiro</v>
      </c>
    </row>
    <row r="1270" spans="2:2">
      <c r="B1270" s="391" t="str">
        <f t="shared" si="19"/>
        <v>janeiro</v>
      </c>
    </row>
    <row r="1271" spans="2:2">
      <c r="B1271" s="391" t="str">
        <f t="shared" si="19"/>
        <v>janeiro</v>
      </c>
    </row>
    <row r="1272" spans="2:2">
      <c r="B1272" s="391" t="str">
        <f t="shared" si="19"/>
        <v>janeiro</v>
      </c>
    </row>
    <row r="1273" spans="2:2">
      <c r="B1273" s="391" t="str">
        <f t="shared" si="19"/>
        <v>janeiro</v>
      </c>
    </row>
    <row r="1274" spans="2:2">
      <c r="B1274" s="391" t="str">
        <f t="shared" si="19"/>
        <v>janeiro</v>
      </c>
    </row>
    <row r="1275" spans="2:2">
      <c r="B1275" s="391" t="str">
        <f t="shared" si="19"/>
        <v>janeiro</v>
      </c>
    </row>
    <row r="1276" spans="2:2">
      <c r="B1276" s="391" t="str">
        <f t="shared" si="19"/>
        <v>janeiro</v>
      </c>
    </row>
    <row r="1277" spans="2:2">
      <c r="B1277" s="391" t="str">
        <f t="shared" si="19"/>
        <v>janeiro</v>
      </c>
    </row>
    <row r="1278" spans="2:2">
      <c r="B1278" s="391" t="str">
        <f t="shared" si="19"/>
        <v>janeiro</v>
      </c>
    </row>
    <row r="1279" spans="2:2">
      <c r="B1279" s="391" t="str">
        <f t="shared" si="19"/>
        <v>janeiro</v>
      </c>
    </row>
    <row r="1280" spans="2:2">
      <c r="B1280" s="391" t="str">
        <f t="shared" si="19"/>
        <v>janeiro</v>
      </c>
    </row>
    <row r="1281" spans="2:2">
      <c r="B1281" s="391" t="str">
        <f t="shared" si="19"/>
        <v>janeiro</v>
      </c>
    </row>
    <row r="1282" spans="2:2">
      <c r="B1282" s="391" t="str">
        <f t="shared" si="19"/>
        <v>janeiro</v>
      </c>
    </row>
    <row r="1283" spans="2:2">
      <c r="B1283" s="391" t="str">
        <f t="shared" ref="B1283:B1346" si="20">TEXT(E1283,"mmmm")</f>
        <v>janeiro</v>
      </c>
    </row>
    <row r="1284" spans="2:2">
      <c r="B1284" s="391" t="str">
        <f t="shared" si="20"/>
        <v>janeiro</v>
      </c>
    </row>
    <row r="1285" spans="2:2">
      <c r="B1285" s="391" t="str">
        <f t="shared" si="20"/>
        <v>janeiro</v>
      </c>
    </row>
    <row r="1286" spans="2:2">
      <c r="B1286" s="391" t="str">
        <f t="shared" si="20"/>
        <v>janeiro</v>
      </c>
    </row>
    <row r="1287" spans="2:2">
      <c r="B1287" s="391" t="str">
        <f t="shared" si="20"/>
        <v>janeiro</v>
      </c>
    </row>
    <row r="1288" spans="2:2">
      <c r="B1288" s="391" t="str">
        <f t="shared" si="20"/>
        <v>janeiro</v>
      </c>
    </row>
    <row r="1289" spans="2:2">
      <c r="B1289" s="391" t="str">
        <f t="shared" si="20"/>
        <v>janeiro</v>
      </c>
    </row>
    <row r="1290" spans="2:2">
      <c r="B1290" s="391" t="str">
        <f t="shared" si="20"/>
        <v>janeiro</v>
      </c>
    </row>
    <row r="1291" spans="2:2">
      <c r="B1291" s="391" t="str">
        <f t="shared" si="20"/>
        <v>janeiro</v>
      </c>
    </row>
    <row r="1292" spans="2:2">
      <c r="B1292" s="391" t="str">
        <f t="shared" si="20"/>
        <v>janeiro</v>
      </c>
    </row>
    <row r="1293" spans="2:2">
      <c r="B1293" s="391" t="str">
        <f t="shared" si="20"/>
        <v>janeiro</v>
      </c>
    </row>
    <row r="1294" spans="2:2">
      <c r="B1294" s="391" t="str">
        <f t="shared" si="20"/>
        <v>janeiro</v>
      </c>
    </row>
    <row r="1295" spans="2:2">
      <c r="B1295" s="391" t="str">
        <f t="shared" si="20"/>
        <v>janeiro</v>
      </c>
    </row>
    <row r="1296" spans="2:2">
      <c r="B1296" s="391" t="str">
        <f t="shared" si="20"/>
        <v>janeiro</v>
      </c>
    </row>
    <row r="1297" spans="2:2">
      <c r="B1297" s="391" t="str">
        <f t="shared" si="20"/>
        <v>janeiro</v>
      </c>
    </row>
    <row r="1298" spans="2:2">
      <c r="B1298" s="391" t="str">
        <f t="shared" si="20"/>
        <v>janeiro</v>
      </c>
    </row>
    <row r="1299" spans="2:2">
      <c r="B1299" s="391" t="str">
        <f t="shared" si="20"/>
        <v>janeiro</v>
      </c>
    </row>
    <row r="1300" spans="2:2">
      <c r="B1300" s="391" t="str">
        <f t="shared" si="20"/>
        <v>janeiro</v>
      </c>
    </row>
    <row r="1301" spans="2:2">
      <c r="B1301" s="391" t="str">
        <f t="shared" si="20"/>
        <v>janeiro</v>
      </c>
    </row>
    <row r="1302" spans="2:2">
      <c r="B1302" s="391" t="str">
        <f t="shared" si="20"/>
        <v>janeiro</v>
      </c>
    </row>
    <row r="1303" spans="2:2">
      <c r="B1303" s="391" t="str">
        <f t="shared" si="20"/>
        <v>janeiro</v>
      </c>
    </row>
    <row r="1304" spans="2:2">
      <c r="B1304" s="391" t="str">
        <f t="shared" si="20"/>
        <v>janeiro</v>
      </c>
    </row>
    <row r="1305" spans="2:2">
      <c r="B1305" s="391" t="str">
        <f t="shared" si="20"/>
        <v>janeiro</v>
      </c>
    </row>
    <row r="1306" spans="2:2">
      <c r="B1306" s="391" t="str">
        <f t="shared" si="20"/>
        <v>janeiro</v>
      </c>
    </row>
    <row r="1307" spans="2:2">
      <c r="B1307" s="391" t="str">
        <f t="shared" si="20"/>
        <v>janeiro</v>
      </c>
    </row>
    <row r="1308" spans="2:2">
      <c r="B1308" s="391" t="str">
        <f t="shared" si="20"/>
        <v>janeiro</v>
      </c>
    </row>
    <row r="1309" spans="2:2">
      <c r="B1309" s="391" t="str">
        <f t="shared" si="20"/>
        <v>janeiro</v>
      </c>
    </row>
    <row r="1310" spans="2:2">
      <c r="B1310" s="391" t="str">
        <f t="shared" si="20"/>
        <v>janeiro</v>
      </c>
    </row>
    <row r="1311" spans="2:2">
      <c r="B1311" s="391" t="str">
        <f t="shared" si="20"/>
        <v>janeiro</v>
      </c>
    </row>
    <row r="1312" spans="2:2">
      <c r="B1312" s="391" t="str">
        <f t="shared" si="20"/>
        <v>janeiro</v>
      </c>
    </row>
    <row r="1313" spans="2:2">
      <c r="B1313" s="391" t="str">
        <f t="shared" si="20"/>
        <v>janeiro</v>
      </c>
    </row>
    <row r="1314" spans="2:2">
      <c r="B1314" s="391" t="str">
        <f t="shared" si="20"/>
        <v>janeiro</v>
      </c>
    </row>
    <row r="1315" spans="2:2">
      <c r="B1315" s="391" t="str">
        <f t="shared" si="20"/>
        <v>janeiro</v>
      </c>
    </row>
    <row r="1316" spans="2:2">
      <c r="B1316" s="391" t="str">
        <f t="shared" si="20"/>
        <v>janeiro</v>
      </c>
    </row>
    <row r="1317" spans="2:2">
      <c r="B1317" s="391" t="str">
        <f t="shared" si="20"/>
        <v>janeiro</v>
      </c>
    </row>
    <row r="1318" spans="2:2">
      <c r="B1318" s="391" t="str">
        <f t="shared" si="20"/>
        <v>janeiro</v>
      </c>
    </row>
    <row r="1319" spans="2:2">
      <c r="B1319" s="391" t="str">
        <f t="shared" si="20"/>
        <v>janeiro</v>
      </c>
    </row>
    <row r="1320" spans="2:2">
      <c r="B1320" s="391" t="str">
        <f t="shared" si="20"/>
        <v>janeiro</v>
      </c>
    </row>
    <row r="1321" spans="2:2">
      <c r="B1321" s="391" t="str">
        <f t="shared" si="20"/>
        <v>janeiro</v>
      </c>
    </row>
    <row r="1322" spans="2:2">
      <c r="B1322" s="391" t="str">
        <f t="shared" si="20"/>
        <v>janeiro</v>
      </c>
    </row>
    <row r="1323" spans="2:2">
      <c r="B1323" s="391" t="str">
        <f t="shared" si="20"/>
        <v>janeiro</v>
      </c>
    </row>
    <row r="1324" spans="2:2">
      <c r="B1324" s="391" t="str">
        <f t="shared" si="20"/>
        <v>janeiro</v>
      </c>
    </row>
    <row r="1325" spans="2:2">
      <c r="B1325" s="391" t="str">
        <f t="shared" si="20"/>
        <v>janeiro</v>
      </c>
    </row>
    <row r="1326" spans="2:2">
      <c r="B1326" s="391" t="str">
        <f t="shared" si="20"/>
        <v>janeiro</v>
      </c>
    </row>
    <row r="1327" spans="2:2">
      <c r="B1327" s="391" t="str">
        <f t="shared" si="20"/>
        <v>janeiro</v>
      </c>
    </row>
    <row r="1328" spans="2:2">
      <c r="B1328" s="391" t="str">
        <f t="shared" si="20"/>
        <v>janeiro</v>
      </c>
    </row>
    <row r="1329" spans="2:2">
      <c r="B1329" s="391" t="str">
        <f t="shared" si="20"/>
        <v>janeiro</v>
      </c>
    </row>
    <row r="1330" spans="2:2">
      <c r="B1330" s="391" t="str">
        <f t="shared" si="20"/>
        <v>janeiro</v>
      </c>
    </row>
    <row r="1331" spans="2:2">
      <c r="B1331" s="391" t="str">
        <f t="shared" si="20"/>
        <v>janeiro</v>
      </c>
    </row>
    <row r="1332" spans="2:2">
      <c r="B1332" s="391" t="str">
        <f t="shared" si="20"/>
        <v>janeiro</v>
      </c>
    </row>
    <row r="1333" spans="2:2">
      <c r="B1333" s="391" t="str">
        <f t="shared" si="20"/>
        <v>janeiro</v>
      </c>
    </row>
    <row r="1334" spans="2:2">
      <c r="B1334" s="391" t="str">
        <f t="shared" si="20"/>
        <v>janeiro</v>
      </c>
    </row>
    <row r="1335" spans="2:2">
      <c r="B1335" s="391" t="str">
        <f t="shared" si="20"/>
        <v>janeiro</v>
      </c>
    </row>
    <row r="1336" spans="2:2">
      <c r="B1336" s="391" t="str">
        <f t="shared" si="20"/>
        <v>janeiro</v>
      </c>
    </row>
    <row r="1337" spans="2:2">
      <c r="B1337" s="391" t="str">
        <f t="shared" si="20"/>
        <v>janeiro</v>
      </c>
    </row>
    <row r="1338" spans="2:2">
      <c r="B1338" s="391" t="str">
        <f t="shared" si="20"/>
        <v>janeiro</v>
      </c>
    </row>
    <row r="1339" spans="2:2">
      <c r="B1339" s="391" t="str">
        <f t="shared" si="20"/>
        <v>janeiro</v>
      </c>
    </row>
    <row r="1340" spans="2:2">
      <c r="B1340" s="391" t="str">
        <f t="shared" si="20"/>
        <v>janeiro</v>
      </c>
    </row>
    <row r="1341" spans="2:2">
      <c r="B1341" s="391" t="str">
        <f t="shared" si="20"/>
        <v>janeiro</v>
      </c>
    </row>
    <row r="1342" spans="2:2">
      <c r="B1342" s="391" t="str">
        <f t="shared" si="20"/>
        <v>janeiro</v>
      </c>
    </row>
    <row r="1343" spans="2:2">
      <c r="B1343" s="391" t="str">
        <f t="shared" si="20"/>
        <v>janeiro</v>
      </c>
    </row>
    <row r="1344" spans="2:2">
      <c r="B1344" s="391" t="str">
        <f t="shared" si="20"/>
        <v>janeiro</v>
      </c>
    </row>
    <row r="1345" spans="2:2">
      <c r="B1345" s="391" t="str">
        <f t="shared" si="20"/>
        <v>janeiro</v>
      </c>
    </row>
    <row r="1346" spans="2:2">
      <c r="B1346" s="391" t="str">
        <f t="shared" si="20"/>
        <v>janeiro</v>
      </c>
    </row>
    <row r="1347" spans="2:2">
      <c r="B1347" s="391" t="str">
        <f t="shared" ref="B1347:B1410" si="21">TEXT(E1347,"mmmm")</f>
        <v>janeiro</v>
      </c>
    </row>
    <row r="1348" spans="2:2">
      <c r="B1348" s="391" t="str">
        <f t="shared" si="21"/>
        <v>janeiro</v>
      </c>
    </row>
    <row r="1349" spans="2:2">
      <c r="B1349" s="391" t="str">
        <f t="shared" si="21"/>
        <v>janeiro</v>
      </c>
    </row>
    <row r="1350" spans="2:2">
      <c r="B1350" s="391" t="str">
        <f t="shared" si="21"/>
        <v>janeiro</v>
      </c>
    </row>
    <row r="1351" spans="2:2">
      <c r="B1351" s="391" t="str">
        <f t="shared" si="21"/>
        <v>janeiro</v>
      </c>
    </row>
    <row r="1352" spans="2:2">
      <c r="B1352" s="391" t="str">
        <f t="shared" si="21"/>
        <v>janeiro</v>
      </c>
    </row>
    <row r="1353" spans="2:2">
      <c r="B1353" s="391" t="str">
        <f t="shared" si="21"/>
        <v>janeiro</v>
      </c>
    </row>
    <row r="1354" spans="2:2">
      <c r="B1354" s="391" t="str">
        <f t="shared" si="21"/>
        <v>janeiro</v>
      </c>
    </row>
    <row r="1355" spans="2:2">
      <c r="B1355" s="391" t="str">
        <f t="shared" si="21"/>
        <v>janeiro</v>
      </c>
    </row>
    <row r="1356" spans="2:2">
      <c r="B1356" s="391" t="str">
        <f t="shared" si="21"/>
        <v>janeiro</v>
      </c>
    </row>
    <row r="1357" spans="2:2">
      <c r="B1357" s="391" t="str">
        <f t="shared" si="21"/>
        <v>janeiro</v>
      </c>
    </row>
    <row r="1358" spans="2:2">
      <c r="B1358" s="391" t="str">
        <f t="shared" si="21"/>
        <v>janeiro</v>
      </c>
    </row>
    <row r="1359" spans="2:2">
      <c r="B1359" s="391" t="str">
        <f t="shared" si="21"/>
        <v>janeiro</v>
      </c>
    </row>
    <row r="1360" spans="2:2">
      <c r="B1360" s="391" t="str">
        <f t="shared" si="21"/>
        <v>janeiro</v>
      </c>
    </row>
    <row r="1361" spans="2:2">
      <c r="B1361" s="391" t="str">
        <f t="shared" si="21"/>
        <v>janeiro</v>
      </c>
    </row>
    <row r="1362" spans="2:2">
      <c r="B1362" s="391" t="str">
        <f t="shared" si="21"/>
        <v>janeiro</v>
      </c>
    </row>
    <row r="1363" spans="2:2">
      <c r="B1363" s="391" t="str">
        <f t="shared" si="21"/>
        <v>janeiro</v>
      </c>
    </row>
    <row r="1364" spans="2:2">
      <c r="B1364" s="391" t="str">
        <f t="shared" si="21"/>
        <v>janeiro</v>
      </c>
    </row>
    <row r="1365" spans="2:2">
      <c r="B1365" s="391" t="str">
        <f t="shared" si="21"/>
        <v>janeiro</v>
      </c>
    </row>
    <row r="1366" spans="2:2">
      <c r="B1366" s="391" t="str">
        <f t="shared" si="21"/>
        <v>janeiro</v>
      </c>
    </row>
    <row r="1367" spans="2:2">
      <c r="B1367" s="391" t="str">
        <f t="shared" si="21"/>
        <v>janeiro</v>
      </c>
    </row>
    <row r="1368" spans="2:2">
      <c r="B1368" s="391" t="str">
        <f t="shared" si="21"/>
        <v>janeiro</v>
      </c>
    </row>
    <row r="1369" spans="2:2">
      <c r="B1369" s="391" t="str">
        <f t="shared" si="21"/>
        <v>janeiro</v>
      </c>
    </row>
    <row r="1370" spans="2:2">
      <c r="B1370" s="391" t="str">
        <f t="shared" si="21"/>
        <v>janeiro</v>
      </c>
    </row>
    <row r="1371" spans="2:2">
      <c r="B1371" s="391" t="str">
        <f t="shared" si="21"/>
        <v>janeiro</v>
      </c>
    </row>
    <row r="1372" spans="2:2">
      <c r="B1372" s="391" t="str">
        <f t="shared" si="21"/>
        <v>janeiro</v>
      </c>
    </row>
    <row r="1373" spans="2:2">
      <c r="B1373" s="391" t="str">
        <f t="shared" si="21"/>
        <v>janeiro</v>
      </c>
    </row>
    <row r="1374" spans="2:2">
      <c r="B1374" s="391" t="str">
        <f t="shared" si="21"/>
        <v>janeiro</v>
      </c>
    </row>
    <row r="1375" spans="2:2">
      <c r="B1375" s="391" t="str">
        <f t="shared" si="21"/>
        <v>janeiro</v>
      </c>
    </row>
    <row r="1376" spans="2:2">
      <c r="B1376" s="391" t="str">
        <f t="shared" si="21"/>
        <v>janeiro</v>
      </c>
    </row>
    <row r="1377" spans="2:2">
      <c r="B1377" s="391" t="str">
        <f t="shared" si="21"/>
        <v>janeiro</v>
      </c>
    </row>
    <row r="1378" spans="2:2">
      <c r="B1378" s="391" t="str">
        <f t="shared" si="21"/>
        <v>janeiro</v>
      </c>
    </row>
    <row r="1379" spans="2:2">
      <c r="B1379" s="391" t="str">
        <f t="shared" si="21"/>
        <v>janeiro</v>
      </c>
    </row>
    <row r="1380" spans="2:2">
      <c r="B1380" s="391" t="str">
        <f t="shared" si="21"/>
        <v>janeiro</v>
      </c>
    </row>
    <row r="1381" spans="2:2">
      <c r="B1381" s="391" t="str">
        <f t="shared" si="21"/>
        <v>janeiro</v>
      </c>
    </row>
    <row r="1382" spans="2:2">
      <c r="B1382" s="391" t="str">
        <f t="shared" si="21"/>
        <v>janeiro</v>
      </c>
    </row>
    <row r="1383" spans="2:2">
      <c r="B1383" s="391" t="str">
        <f t="shared" si="21"/>
        <v>janeiro</v>
      </c>
    </row>
    <row r="1384" spans="2:2">
      <c r="B1384" s="391" t="str">
        <f t="shared" si="21"/>
        <v>janeiro</v>
      </c>
    </row>
    <row r="1385" spans="2:2">
      <c r="B1385" s="391" t="str">
        <f t="shared" si="21"/>
        <v>janeiro</v>
      </c>
    </row>
    <row r="1386" spans="2:2">
      <c r="B1386" s="391" t="str">
        <f t="shared" si="21"/>
        <v>janeiro</v>
      </c>
    </row>
    <row r="1387" spans="2:2">
      <c r="B1387" s="391" t="str">
        <f t="shared" si="21"/>
        <v>janeiro</v>
      </c>
    </row>
    <row r="1388" spans="2:2">
      <c r="B1388" s="391" t="str">
        <f t="shared" si="21"/>
        <v>janeiro</v>
      </c>
    </row>
    <row r="1389" spans="2:2">
      <c r="B1389" s="391" t="str">
        <f t="shared" si="21"/>
        <v>janeiro</v>
      </c>
    </row>
    <row r="1390" spans="2:2">
      <c r="B1390" s="391" t="str">
        <f t="shared" si="21"/>
        <v>janeiro</v>
      </c>
    </row>
    <row r="1391" spans="2:2">
      <c r="B1391" s="391" t="str">
        <f t="shared" si="21"/>
        <v>janeiro</v>
      </c>
    </row>
    <row r="1392" spans="2:2">
      <c r="B1392" s="391" t="str">
        <f t="shared" si="21"/>
        <v>janeiro</v>
      </c>
    </row>
    <row r="1393" spans="2:2">
      <c r="B1393" s="391" t="str">
        <f t="shared" si="21"/>
        <v>janeiro</v>
      </c>
    </row>
    <row r="1394" spans="2:2">
      <c r="B1394" s="391" t="str">
        <f t="shared" si="21"/>
        <v>janeiro</v>
      </c>
    </row>
    <row r="1395" spans="2:2">
      <c r="B1395" s="391" t="str">
        <f t="shared" si="21"/>
        <v>janeiro</v>
      </c>
    </row>
    <row r="1396" spans="2:2">
      <c r="B1396" s="391" t="str">
        <f t="shared" si="21"/>
        <v>janeiro</v>
      </c>
    </row>
    <row r="1397" spans="2:2">
      <c r="B1397" s="391" t="str">
        <f t="shared" si="21"/>
        <v>janeiro</v>
      </c>
    </row>
    <row r="1398" spans="2:2">
      <c r="B1398" s="391" t="str">
        <f t="shared" si="21"/>
        <v>janeiro</v>
      </c>
    </row>
    <row r="1399" spans="2:2">
      <c r="B1399" s="391" t="str">
        <f t="shared" si="21"/>
        <v>janeiro</v>
      </c>
    </row>
    <row r="1400" spans="2:2">
      <c r="B1400" s="391" t="str">
        <f t="shared" si="21"/>
        <v>janeiro</v>
      </c>
    </row>
    <row r="1401" spans="2:2">
      <c r="B1401" s="391" t="str">
        <f t="shared" si="21"/>
        <v>janeiro</v>
      </c>
    </row>
    <row r="1402" spans="2:2">
      <c r="B1402" s="391" t="str">
        <f t="shared" si="21"/>
        <v>janeiro</v>
      </c>
    </row>
    <row r="1403" spans="2:2">
      <c r="B1403" s="391" t="str">
        <f t="shared" si="21"/>
        <v>janeiro</v>
      </c>
    </row>
    <row r="1404" spans="2:2">
      <c r="B1404" s="391" t="str">
        <f t="shared" si="21"/>
        <v>janeiro</v>
      </c>
    </row>
    <row r="1405" spans="2:2">
      <c r="B1405" s="391" t="str">
        <f t="shared" si="21"/>
        <v>janeiro</v>
      </c>
    </row>
    <row r="1406" spans="2:2">
      <c r="B1406" s="391" t="str">
        <f t="shared" si="21"/>
        <v>janeiro</v>
      </c>
    </row>
    <row r="1407" spans="2:2">
      <c r="B1407" s="391" t="str">
        <f t="shared" si="21"/>
        <v>janeiro</v>
      </c>
    </row>
    <row r="1408" spans="2:2">
      <c r="B1408" s="391" t="str">
        <f t="shared" si="21"/>
        <v>janeiro</v>
      </c>
    </row>
    <row r="1409" spans="2:2">
      <c r="B1409" s="391" t="str">
        <f t="shared" si="21"/>
        <v>janeiro</v>
      </c>
    </row>
    <row r="1410" spans="2:2">
      <c r="B1410" s="391" t="str">
        <f t="shared" si="21"/>
        <v>janeiro</v>
      </c>
    </row>
    <row r="1411" spans="2:2">
      <c r="B1411" s="391" t="str">
        <f t="shared" ref="B1411:B1474" si="22">TEXT(E1411,"mmmm")</f>
        <v>janeiro</v>
      </c>
    </row>
    <row r="1412" spans="2:2">
      <c r="B1412" s="391" t="str">
        <f t="shared" si="22"/>
        <v>janeiro</v>
      </c>
    </row>
    <row r="1413" spans="2:2">
      <c r="B1413" s="391" t="str">
        <f t="shared" si="22"/>
        <v>janeiro</v>
      </c>
    </row>
    <row r="1414" spans="2:2">
      <c r="B1414" s="391" t="str">
        <f t="shared" si="22"/>
        <v>janeiro</v>
      </c>
    </row>
    <row r="1415" spans="2:2">
      <c r="B1415" s="391" t="str">
        <f t="shared" si="22"/>
        <v>janeiro</v>
      </c>
    </row>
    <row r="1416" spans="2:2">
      <c r="B1416" s="391" t="str">
        <f t="shared" si="22"/>
        <v>janeiro</v>
      </c>
    </row>
    <row r="1417" spans="2:2">
      <c r="B1417" s="391" t="str">
        <f t="shared" si="22"/>
        <v>janeiro</v>
      </c>
    </row>
    <row r="1418" spans="2:2">
      <c r="B1418" s="391" t="str">
        <f t="shared" si="22"/>
        <v>janeiro</v>
      </c>
    </row>
    <row r="1419" spans="2:2">
      <c r="B1419" s="391" t="str">
        <f t="shared" si="22"/>
        <v>janeiro</v>
      </c>
    </row>
    <row r="1420" spans="2:2">
      <c r="B1420" s="391" t="str">
        <f t="shared" si="22"/>
        <v>janeiro</v>
      </c>
    </row>
    <row r="1421" spans="2:2">
      <c r="B1421" s="391" t="str">
        <f t="shared" si="22"/>
        <v>janeiro</v>
      </c>
    </row>
    <row r="1422" spans="2:2">
      <c r="B1422" s="391" t="str">
        <f t="shared" si="22"/>
        <v>janeiro</v>
      </c>
    </row>
    <row r="1423" spans="2:2">
      <c r="B1423" s="391" t="str">
        <f t="shared" si="22"/>
        <v>janeiro</v>
      </c>
    </row>
    <row r="1424" spans="2:2">
      <c r="B1424" s="391" t="str">
        <f t="shared" si="22"/>
        <v>janeiro</v>
      </c>
    </row>
    <row r="1425" spans="2:2">
      <c r="B1425" s="391" t="str">
        <f t="shared" si="22"/>
        <v>janeiro</v>
      </c>
    </row>
    <row r="1426" spans="2:2">
      <c r="B1426" s="391" t="str">
        <f t="shared" si="22"/>
        <v>janeiro</v>
      </c>
    </row>
    <row r="1427" spans="2:2">
      <c r="B1427" s="391" t="str">
        <f t="shared" si="22"/>
        <v>janeiro</v>
      </c>
    </row>
    <row r="1428" spans="2:2">
      <c r="B1428" s="391" t="str">
        <f t="shared" si="22"/>
        <v>janeiro</v>
      </c>
    </row>
    <row r="1429" spans="2:2">
      <c r="B1429" s="391" t="str">
        <f t="shared" si="22"/>
        <v>janeiro</v>
      </c>
    </row>
    <row r="1430" spans="2:2">
      <c r="B1430" s="391" t="str">
        <f t="shared" si="22"/>
        <v>janeiro</v>
      </c>
    </row>
    <row r="1431" spans="2:2">
      <c r="B1431" s="391" t="str">
        <f t="shared" si="22"/>
        <v>janeiro</v>
      </c>
    </row>
    <row r="1432" spans="2:2">
      <c r="B1432" s="391" t="str">
        <f t="shared" si="22"/>
        <v>janeiro</v>
      </c>
    </row>
    <row r="1433" spans="2:2">
      <c r="B1433" s="391" t="str">
        <f t="shared" si="22"/>
        <v>janeiro</v>
      </c>
    </row>
    <row r="1434" spans="2:2">
      <c r="B1434" s="391" t="str">
        <f t="shared" si="22"/>
        <v>janeiro</v>
      </c>
    </row>
    <row r="1435" spans="2:2">
      <c r="B1435" s="391" t="str">
        <f t="shared" si="22"/>
        <v>janeiro</v>
      </c>
    </row>
    <row r="1436" spans="2:2">
      <c r="B1436" s="391" t="str">
        <f t="shared" si="22"/>
        <v>janeiro</v>
      </c>
    </row>
    <row r="1437" spans="2:2">
      <c r="B1437" s="391" t="str">
        <f t="shared" si="22"/>
        <v>janeiro</v>
      </c>
    </row>
    <row r="1438" spans="2:2">
      <c r="B1438" s="391" t="str">
        <f t="shared" si="22"/>
        <v>janeiro</v>
      </c>
    </row>
    <row r="1439" spans="2:2">
      <c r="B1439" s="391" t="str">
        <f t="shared" si="22"/>
        <v>janeiro</v>
      </c>
    </row>
    <row r="1440" spans="2:2">
      <c r="B1440" s="391" t="str">
        <f t="shared" si="22"/>
        <v>janeiro</v>
      </c>
    </row>
    <row r="1441" spans="2:2">
      <c r="B1441" s="391" t="str">
        <f t="shared" si="22"/>
        <v>janeiro</v>
      </c>
    </row>
    <row r="1442" spans="2:2">
      <c r="B1442" s="391" t="str">
        <f t="shared" si="22"/>
        <v>janeiro</v>
      </c>
    </row>
    <row r="1443" spans="2:2">
      <c r="B1443" s="391" t="str">
        <f t="shared" si="22"/>
        <v>janeiro</v>
      </c>
    </row>
    <row r="1444" spans="2:2">
      <c r="B1444" s="391" t="str">
        <f t="shared" si="22"/>
        <v>janeiro</v>
      </c>
    </row>
    <row r="1445" spans="2:2">
      <c r="B1445" s="391" t="str">
        <f t="shared" si="22"/>
        <v>janeiro</v>
      </c>
    </row>
    <row r="1446" spans="2:2">
      <c r="B1446" s="391" t="str">
        <f t="shared" si="22"/>
        <v>janeiro</v>
      </c>
    </row>
    <row r="1447" spans="2:2">
      <c r="B1447" s="391" t="str">
        <f t="shared" si="22"/>
        <v>janeiro</v>
      </c>
    </row>
    <row r="1448" spans="2:2">
      <c r="B1448" s="391" t="str">
        <f t="shared" si="22"/>
        <v>janeiro</v>
      </c>
    </row>
    <row r="1449" spans="2:2">
      <c r="B1449" s="391" t="str">
        <f t="shared" si="22"/>
        <v>janeiro</v>
      </c>
    </row>
    <row r="1450" spans="2:2">
      <c r="B1450" s="391" t="str">
        <f t="shared" si="22"/>
        <v>janeiro</v>
      </c>
    </row>
    <row r="1451" spans="2:2">
      <c r="B1451" s="391" t="str">
        <f t="shared" si="22"/>
        <v>janeiro</v>
      </c>
    </row>
    <row r="1452" spans="2:2">
      <c r="B1452" s="391" t="str">
        <f t="shared" si="22"/>
        <v>janeiro</v>
      </c>
    </row>
    <row r="1453" spans="2:2">
      <c r="B1453" s="391" t="str">
        <f t="shared" si="22"/>
        <v>janeiro</v>
      </c>
    </row>
    <row r="1454" spans="2:2">
      <c r="B1454" s="391" t="str">
        <f t="shared" si="22"/>
        <v>janeiro</v>
      </c>
    </row>
    <row r="1455" spans="2:2">
      <c r="B1455" s="391" t="str">
        <f t="shared" si="22"/>
        <v>janeiro</v>
      </c>
    </row>
    <row r="1456" spans="2:2">
      <c r="B1456" s="391" t="str">
        <f t="shared" si="22"/>
        <v>janeiro</v>
      </c>
    </row>
    <row r="1457" spans="2:2">
      <c r="B1457" s="391" t="str">
        <f t="shared" si="22"/>
        <v>janeiro</v>
      </c>
    </row>
    <row r="1458" spans="2:2">
      <c r="B1458" s="391" t="str">
        <f t="shared" si="22"/>
        <v>janeiro</v>
      </c>
    </row>
    <row r="1459" spans="2:2">
      <c r="B1459" s="391" t="str">
        <f t="shared" si="22"/>
        <v>janeiro</v>
      </c>
    </row>
    <row r="1460" spans="2:2">
      <c r="B1460" s="391" t="str">
        <f t="shared" si="22"/>
        <v>janeiro</v>
      </c>
    </row>
    <row r="1461" spans="2:2">
      <c r="B1461" s="391" t="str">
        <f t="shared" si="22"/>
        <v>janeiro</v>
      </c>
    </row>
    <row r="1462" spans="2:2">
      <c r="B1462" s="391" t="str">
        <f t="shared" si="22"/>
        <v>janeiro</v>
      </c>
    </row>
    <row r="1463" spans="2:2">
      <c r="B1463" s="391" t="str">
        <f t="shared" si="22"/>
        <v>janeiro</v>
      </c>
    </row>
    <row r="1464" spans="2:2">
      <c r="B1464" s="391" t="str">
        <f t="shared" si="22"/>
        <v>janeiro</v>
      </c>
    </row>
    <row r="1465" spans="2:2">
      <c r="B1465" s="391" t="str">
        <f t="shared" si="22"/>
        <v>janeiro</v>
      </c>
    </row>
    <row r="1466" spans="2:2">
      <c r="B1466" s="391" t="str">
        <f t="shared" si="22"/>
        <v>janeiro</v>
      </c>
    </row>
    <row r="1467" spans="2:2">
      <c r="B1467" s="391" t="str">
        <f t="shared" si="22"/>
        <v>janeiro</v>
      </c>
    </row>
    <row r="1468" spans="2:2">
      <c r="B1468" s="391" t="str">
        <f t="shared" si="22"/>
        <v>janeiro</v>
      </c>
    </row>
    <row r="1469" spans="2:2">
      <c r="B1469" s="391" t="str">
        <f t="shared" si="22"/>
        <v>janeiro</v>
      </c>
    </row>
    <row r="1470" spans="2:2">
      <c r="B1470" s="391" t="str">
        <f t="shared" si="22"/>
        <v>janeiro</v>
      </c>
    </row>
    <row r="1471" spans="2:2">
      <c r="B1471" s="391" t="str">
        <f t="shared" si="22"/>
        <v>janeiro</v>
      </c>
    </row>
    <row r="1472" spans="2:2">
      <c r="B1472" s="391" t="str">
        <f t="shared" si="22"/>
        <v>janeiro</v>
      </c>
    </row>
    <row r="1473" spans="2:2">
      <c r="B1473" s="391" t="str">
        <f t="shared" si="22"/>
        <v>janeiro</v>
      </c>
    </row>
    <row r="1474" spans="2:2">
      <c r="B1474" s="391" t="str">
        <f t="shared" si="22"/>
        <v>janeiro</v>
      </c>
    </row>
    <row r="1475" spans="2:2">
      <c r="B1475" s="391" t="str">
        <f t="shared" ref="B1475:B1490" si="23">TEXT(E1475,"mmmm")</f>
        <v>janeiro</v>
      </c>
    </row>
    <row r="1476" spans="2:2">
      <c r="B1476" s="391" t="str">
        <f t="shared" si="23"/>
        <v>janeiro</v>
      </c>
    </row>
    <row r="1477" spans="2:2">
      <c r="B1477" s="391" t="str">
        <f t="shared" si="23"/>
        <v>janeiro</v>
      </c>
    </row>
    <row r="1478" spans="2:2">
      <c r="B1478" s="391" t="str">
        <f t="shared" si="23"/>
        <v>janeiro</v>
      </c>
    </row>
    <row r="1479" spans="2:2">
      <c r="B1479" s="391" t="str">
        <f t="shared" si="23"/>
        <v>janeiro</v>
      </c>
    </row>
    <row r="1480" spans="2:2">
      <c r="B1480" s="391" t="str">
        <f t="shared" si="23"/>
        <v>janeiro</v>
      </c>
    </row>
    <row r="1481" spans="2:2">
      <c r="B1481" s="391" t="str">
        <f t="shared" si="23"/>
        <v>janeiro</v>
      </c>
    </row>
    <row r="1482" spans="2:2">
      <c r="B1482" s="391" t="str">
        <f t="shared" si="23"/>
        <v>janeiro</v>
      </c>
    </row>
    <row r="1483" spans="2:2">
      <c r="B1483" s="391" t="str">
        <f t="shared" si="23"/>
        <v>janeiro</v>
      </c>
    </row>
    <row r="1484" spans="2:2">
      <c r="B1484" s="391" t="str">
        <f t="shared" si="23"/>
        <v>janeiro</v>
      </c>
    </row>
    <row r="1485" spans="2:2">
      <c r="B1485" s="391" t="str">
        <f t="shared" si="23"/>
        <v>janeiro</v>
      </c>
    </row>
    <row r="1486" spans="2:2">
      <c r="B1486" s="391" t="str">
        <f t="shared" si="23"/>
        <v>janeiro</v>
      </c>
    </row>
    <row r="1487" spans="2:2">
      <c r="B1487" s="391" t="str">
        <f t="shared" si="23"/>
        <v>janeiro</v>
      </c>
    </row>
    <row r="1488" spans="2:2">
      <c r="B1488" s="391" t="str">
        <f t="shared" si="23"/>
        <v>janeiro</v>
      </c>
    </row>
    <row r="1489" spans="2:2">
      <c r="B1489" s="391" t="str">
        <f t="shared" si="23"/>
        <v>janeiro</v>
      </c>
    </row>
    <row r="1490" spans="2:2">
      <c r="B1490" s="391" t="str">
        <f t="shared" si="23"/>
        <v>janeiro</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929A-D48A-442D-8734-35FADFCC19AC}">
  <sheetPr codeName="Planilha22"/>
  <dimension ref="B2:R380"/>
  <sheetViews>
    <sheetView zoomScale="70" zoomScaleNormal="70" workbookViewId="0">
      <selection sqref="A1:XFD1048576"/>
    </sheetView>
  </sheetViews>
  <sheetFormatPr defaultRowHeight="14.5"/>
  <sheetData>
    <row r="2" spans="2:18">
      <c r="B2" t="s">
        <v>3941</v>
      </c>
      <c r="Q2" t="s">
        <v>19454</v>
      </c>
    </row>
    <row r="4" spans="2:18">
      <c r="B4" t="s">
        <v>3942</v>
      </c>
    </row>
    <row r="5" spans="2:18">
      <c r="C5" t="s">
        <v>3943</v>
      </c>
      <c r="F5" t="s">
        <v>3944</v>
      </c>
    </row>
    <row r="6" spans="2:18">
      <c r="B6" t="s">
        <v>3945</v>
      </c>
    </row>
    <row r="7" spans="2:18">
      <c r="B7" t="s">
        <v>3946</v>
      </c>
      <c r="G7" t="s">
        <v>3947</v>
      </c>
    </row>
    <row r="8" spans="2:18">
      <c r="B8" t="s">
        <v>3948</v>
      </c>
      <c r="G8" t="s">
        <v>3947</v>
      </c>
    </row>
    <row r="9" spans="2:18">
      <c r="B9" t="s">
        <v>3949</v>
      </c>
    </row>
    <row r="12" spans="2:18">
      <c r="K12" t="s">
        <v>3950</v>
      </c>
    </row>
    <row r="13" spans="2:18">
      <c r="J13" t="s">
        <v>3951</v>
      </c>
    </row>
    <row r="14" spans="2:18">
      <c r="D14" t="s">
        <v>3952</v>
      </c>
      <c r="K14" t="s">
        <v>3953</v>
      </c>
      <c r="L14" t="s">
        <v>3954</v>
      </c>
      <c r="M14" t="s">
        <v>3955</v>
      </c>
      <c r="N14" t="s">
        <v>3956</v>
      </c>
      <c r="O14" t="s">
        <v>3957</v>
      </c>
      <c r="P14" t="s">
        <v>3958</v>
      </c>
      <c r="R14" t="s">
        <v>3959</v>
      </c>
    </row>
    <row r="15" spans="2:18">
      <c r="D15" t="s">
        <v>3960</v>
      </c>
      <c r="K15" t="s">
        <v>3961</v>
      </c>
      <c r="L15" t="s">
        <v>3961</v>
      </c>
      <c r="M15" t="s">
        <v>3961</v>
      </c>
      <c r="N15" t="s">
        <v>3961</v>
      </c>
      <c r="O15" t="s">
        <v>3961</v>
      </c>
      <c r="P15" t="s">
        <v>3961</v>
      </c>
      <c r="R15" t="s">
        <v>3961</v>
      </c>
    </row>
    <row r="17" spans="4:18">
      <c r="D17" t="s">
        <v>587</v>
      </c>
      <c r="H17" t="s">
        <v>9655</v>
      </c>
      <c r="K17" t="s">
        <v>9656</v>
      </c>
      <c r="L17" t="s">
        <v>9657</v>
      </c>
      <c r="M17" t="s">
        <v>9658</v>
      </c>
      <c r="N17" t="s">
        <v>3963</v>
      </c>
      <c r="O17" t="s">
        <v>3963</v>
      </c>
      <c r="P17" t="s">
        <v>9659</v>
      </c>
      <c r="R17" t="s">
        <v>9660</v>
      </c>
    </row>
    <row r="18" spans="4:18">
      <c r="D18" t="s">
        <v>1004</v>
      </c>
      <c r="H18" t="s">
        <v>9661</v>
      </c>
      <c r="K18" t="s">
        <v>9662</v>
      </c>
      <c r="L18" t="s">
        <v>9663</v>
      </c>
      <c r="M18" t="s">
        <v>3963</v>
      </c>
      <c r="N18" t="s">
        <v>3963</v>
      </c>
      <c r="O18" t="s">
        <v>3963</v>
      </c>
      <c r="P18" t="s">
        <v>9663</v>
      </c>
      <c r="R18" t="s">
        <v>9664</v>
      </c>
    </row>
    <row r="19" spans="4:18">
      <c r="D19" t="s">
        <v>1021</v>
      </c>
      <c r="H19" t="s">
        <v>9665</v>
      </c>
      <c r="K19" t="s">
        <v>9666</v>
      </c>
      <c r="L19" t="s">
        <v>9667</v>
      </c>
      <c r="M19" t="s">
        <v>3963</v>
      </c>
      <c r="N19" t="s">
        <v>3963</v>
      </c>
      <c r="O19" t="s">
        <v>3963</v>
      </c>
      <c r="P19" t="s">
        <v>9667</v>
      </c>
      <c r="R19" t="s">
        <v>9668</v>
      </c>
    </row>
    <row r="20" spans="4:18">
      <c r="D20" t="s">
        <v>1022</v>
      </c>
      <c r="H20" t="s">
        <v>9669</v>
      </c>
      <c r="K20" t="s">
        <v>9670</v>
      </c>
      <c r="L20" t="s">
        <v>3963</v>
      </c>
      <c r="M20" t="s">
        <v>3963</v>
      </c>
      <c r="N20" t="s">
        <v>3963</v>
      </c>
      <c r="O20" t="s">
        <v>3963</v>
      </c>
      <c r="P20" t="s">
        <v>3963</v>
      </c>
      <c r="R20" t="s">
        <v>9670</v>
      </c>
    </row>
    <row r="21" spans="4:18">
      <c r="D21" t="s">
        <v>1063</v>
      </c>
      <c r="H21" t="s">
        <v>9671</v>
      </c>
      <c r="K21" t="s">
        <v>9672</v>
      </c>
      <c r="L21" t="s">
        <v>9673</v>
      </c>
      <c r="M21" t="s">
        <v>3963</v>
      </c>
      <c r="N21" t="s">
        <v>3963</v>
      </c>
      <c r="O21" t="s">
        <v>3963</v>
      </c>
      <c r="P21" t="s">
        <v>9673</v>
      </c>
      <c r="R21" t="s">
        <v>9674</v>
      </c>
    </row>
    <row r="22" spans="4:18">
      <c r="D22" t="s">
        <v>1104</v>
      </c>
      <c r="H22" t="s">
        <v>9675</v>
      </c>
      <c r="K22" t="s">
        <v>9676</v>
      </c>
      <c r="L22" t="s">
        <v>9677</v>
      </c>
      <c r="M22" t="s">
        <v>3963</v>
      </c>
      <c r="N22" t="s">
        <v>3963</v>
      </c>
      <c r="O22" t="s">
        <v>3963</v>
      </c>
      <c r="P22" t="s">
        <v>9677</v>
      </c>
      <c r="R22" t="s">
        <v>9678</v>
      </c>
    </row>
    <row r="23" spans="4:18">
      <c r="D23" t="s">
        <v>1107</v>
      </c>
      <c r="H23" t="s">
        <v>9679</v>
      </c>
      <c r="K23" t="s">
        <v>9680</v>
      </c>
      <c r="L23" t="s">
        <v>3963</v>
      </c>
      <c r="M23" t="s">
        <v>3963</v>
      </c>
      <c r="N23" t="s">
        <v>3963</v>
      </c>
      <c r="O23" t="s">
        <v>3963</v>
      </c>
      <c r="P23" t="s">
        <v>3963</v>
      </c>
      <c r="R23" t="s">
        <v>9680</v>
      </c>
    </row>
    <row r="24" spans="4:18">
      <c r="D24" t="s">
        <v>1117</v>
      </c>
      <c r="H24" t="s">
        <v>9681</v>
      </c>
      <c r="K24" t="s">
        <v>9682</v>
      </c>
      <c r="L24" t="s">
        <v>9683</v>
      </c>
      <c r="M24" t="s">
        <v>9684</v>
      </c>
      <c r="N24" t="s">
        <v>3963</v>
      </c>
      <c r="O24" t="s">
        <v>3963</v>
      </c>
      <c r="P24" t="s">
        <v>9685</v>
      </c>
      <c r="R24" t="s">
        <v>9686</v>
      </c>
    </row>
    <row r="25" spans="4:18">
      <c r="D25" t="s">
        <v>1141</v>
      </c>
      <c r="H25" t="s">
        <v>9687</v>
      </c>
      <c r="K25" t="s">
        <v>9688</v>
      </c>
      <c r="L25" t="s">
        <v>9689</v>
      </c>
      <c r="M25" t="s">
        <v>3963</v>
      </c>
      <c r="N25" t="s">
        <v>3963</v>
      </c>
      <c r="O25" t="s">
        <v>3963</v>
      </c>
      <c r="P25" t="s">
        <v>9689</v>
      </c>
      <c r="R25" t="s">
        <v>9690</v>
      </c>
    </row>
    <row r="26" spans="4:18">
      <c r="D26" t="s">
        <v>1148</v>
      </c>
      <c r="H26" t="s">
        <v>9691</v>
      </c>
      <c r="K26" t="s">
        <v>9692</v>
      </c>
      <c r="L26" t="s">
        <v>9693</v>
      </c>
      <c r="M26" t="s">
        <v>3963</v>
      </c>
      <c r="N26" t="s">
        <v>3963</v>
      </c>
      <c r="O26" t="s">
        <v>3963</v>
      </c>
      <c r="P26" t="s">
        <v>9693</v>
      </c>
      <c r="R26" t="s">
        <v>9694</v>
      </c>
    </row>
    <row r="27" spans="4:18">
      <c r="D27" t="s">
        <v>1179</v>
      </c>
      <c r="H27" t="s">
        <v>9695</v>
      </c>
      <c r="K27" t="s">
        <v>9696</v>
      </c>
      <c r="L27" t="s">
        <v>16128</v>
      </c>
      <c r="M27" t="s">
        <v>16129</v>
      </c>
      <c r="N27" t="s">
        <v>3963</v>
      </c>
      <c r="O27" t="s">
        <v>3963</v>
      </c>
      <c r="P27" t="s">
        <v>16130</v>
      </c>
      <c r="R27" t="s">
        <v>16131</v>
      </c>
    </row>
    <row r="28" spans="4:18">
      <c r="D28" t="s">
        <v>1297</v>
      </c>
      <c r="H28" t="s">
        <v>9697</v>
      </c>
      <c r="K28" t="s">
        <v>9698</v>
      </c>
      <c r="L28" t="s">
        <v>9699</v>
      </c>
      <c r="M28" t="s">
        <v>3963</v>
      </c>
      <c r="N28" t="s">
        <v>3963</v>
      </c>
      <c r="O28" t="s">
        <v>3963</v>
      </c>
      <c r="P28" t="s">
        <v>9699</v>
      </c>
      <c r="R28" t="s">
        <v>9700</v>
      </c>
    </row>
    <row r="29" spans="4:18">
      <c r="D29" t="s">
        <v>1341</v>
      </c>
      <c r="H29" t="s">
        <v>9701</v>
      </c>
      <c r="K29" t="s">
        <v>9702</v>
      </c>
      <c r="L29" t="s">
        <v>9703</v>
      </c>
      <c r="M29" t="s">
        <v>3963</v>
      </c>
      <c r="N29" t="s">
        <v>3963</v>
      </c>
      <c r="O29" t="s">
        <v>3963</v>
      </c>
      <c r="P29" t="s">
        <v>9703</v>
      </c>
      <c r="R29" t="s">
        <v>9704</v>
      </c>
    </row>
    <row r="30" spans="4:18">
      <c r="D30" t="s">
        <v>1330</v>
      </c>
      <c r="H30" t="s">
        <v>9705</v>
      </c>
      <c r="K30" t="s">
        <v>9706</v>
      </c>
      <c r="L30" t="s">
        <v>9707</v>
      </c>
      <c r="M30" t="s">
        <v>3963</v>
      </c>
      <c r="N30" t="s">
        <v>3963</v>
      </c>
      <c r="O30" t="s">
        <v>3963</v>
      </c>
      <c r="P30" t="s">
        <v>9707</v>
      </c>
      <c r="R30" t="s">
        <v>9708</v>
      </c>
    </row>
    <row r="31" spans="4:18">
      <c r="D31" t="s">
        <v>1366</v>
      </c>
      <c r="H31" t="s">
        <v>9709</v>
      </c>
      <c r="K31" t="s">
        <v>9710</v>
      </c>
      <c r="L31" t="s">
        <v>9711</v>
      </c>
      <c r="M31" t="s">
        <v>3963</v>
      </c>
      <c r="N31" t="s">
        <v>3963</v>
      </c>
      <c r="O31" t="s">
        <v>3963</v>
      </c>
      <c r="P31" t="s">
        <v>9711</v>
      </c>
      <c r="R31" t="s">
        <v>9712</v>
      </c>
    </row>
    <row r="32" spans="4:18">
      <c r="D32" t="s">
        <v>1367</v>
      </c>
      <c r="H32" t="s">
        <v>9713</v>
      </c>
      <c r="K32" t="s">
        <v>9714</v>
      </c>
      <c r="L32" t="s">
        <v>9715</v>
      </c>
      <c r="M32" t="s">
        <v>3963</v>
      </c>
      <c r="N32" t="s">
        <v>3963</v>
      </c>
      <c r="O32" t="s">
        <v>3963</v>
      </c>
      <c r="P32" t="s">
        <v>9715</v>
      </c>
      <c r="R32" t="s">
        <v>9716</v>
      </c>
    </row>
    <row r="33" spans="4:18">
      <c r="D33" t="s">
        <v>1370</v>
      </c>
      <c r="H33" t="s">
        <v>9717</v>
      </c>
      <c r="K33" t="s">
        <v>9718</v>
      </c>
      <c r="L33" t="s">
        <v>9719</v>
      </c>
      <c r="M33" t="s">
        <v>3963</v>
      </c>
      <c r="N33" t="s">
        <v>3963</v>
      </c>
      <c r="O33" t="s">
        <v>3963</v>
      </c>
      <c r="P33" t="s">
        <v>9719</v>
      </c>
      <c r="R33" t="s">
        <v>9720</v>
      </c>
    </row>
    <row r="34" spans="4:18">
      <c r="D34" t="s">
        <v>1548</v>
      </c>
      <c r="H34" t="s">
        <v>9721</v>
      </c>
      <c r="K34" t="s">
        <v>9722</v>
      </c>
      <c r="L34" t="s">
        <v>9723</v>
      </c>
      <c r="M34" t="s">
        <v>3963</v>
      </c>
      <c r="N34" t="s">
        <v>3963</v>
      </c>
      <c r="O34" t="s">
        <v>3963</v>
      </c>
      <c r="P34" t="s">
        <v>9723</v>
      </c>
      <c r="R34" t="s">
        <v>9724</v>
      </c>
    </row>
    <row r="35" spans="4:18">
      <c r="D35" t="s">
        <v>1549</v>
      </c>
      <c r="H35" t="s">
        <v>9725</v>
      </c>
      <c r="K35" t="s">
        <v>9726</v>
      </c>
      <c r="L35" t="s">
        <v>3963</v>
      </c>
      <c r="M35" t="s">
        <v>3963</v>
      </c>
      <c r="N35" t="s">
        <v>3963</v>
      </c>
      <c r="O35" t="s">
        <v>3963</v>
      </c>
      <c r="P35" t="s">
        <v>3963</v>
      </c>
      <c r="R35" t="s">
        <v>9726</v>
      </c>
    </row>
    <row r="36" spans="4:18">
      <c r="D36" t="s">
        <v>1540</v>
      </c>
      <c r="H36" t="s">
        <v>9727</v>
      </c>
      <c r="K36" t="s">
        <v>9728</v>
      </c>
      <c r="L36" t="s">
        <v>9729</v>
      </c>
      <c r="M36" t="s">
        <v>3963</v>
      </c>
      <c r="N36" t="s">
        <v>3963</v>
      </c>
      <c r="O36" t="s">
        <v>3963</v>
      </c>
      <c r="P36" t="s">
        <v>9729</v>
      </c>
      <c r="R36" t="s">
        <v>9730</v>
      </c>
    </row>
    <row r="37" spans="4:18">
      <c r="D37" t="s">
        <v>1542</v>
      </c>
      <c r="H37" t="s">
        <v>9731</v>
      </c>
      <c r="K37" t="s">
        <v>9732</v>
      </c>
      <c r="L37" t="s">
        <v>9733</v>
      </c>
      <c r="M37" t="s">
        <v>3963</v>
      </c>
      <c r="N37" t="s">
        <v>3963</v>
      </c>
      <c r="O37" t="s">
        <v>3963</v>
      </c>
      <c r="P37" t="s">
        <v>9733</v>
      </c>
      <c r="R37" t="s">
        <v>9734</v>
      </c>
    </row>
    <row r="38" spans="4:18">
      <c r="D38" t="s">
        <v>1544</v>
      </c>
      <c r="H38" t="s">
        <v>9735</v>
      </c>
      <c r="K38" t="s">
        <v>9736</v>
      </c>
      <c r="L38" t="s">
        <v>3963</v>
      </c>
      <c r="M38" t="s">
        <v>3963</v>
      </c>
      <c r="N38" t="s">
        <v>3963</v>
      </c>
      <c r="O38" t="s">
        <v>3963</v>
      </c>
      <c r="P38" t="s">
        <v>3963</v>
      </c>
      <c r="R38" t="s">
        <v>9736</v>
      </c>
    </row>
    <row r="39" spans="4:18">
      <c r="D39" t="s">
        <v>1546</v>
      </c>
      <c r="H39" t="s">
        <v>9737</v>
      </c>
      <c r="K39" t="s">
        <v>9738</v>
      </c>
      <c r="L39" t="s">
        <v>9739</v>
      </c>
      <c r="M39" t="s">
        <v>3963</v>
      </c>
      <c r="N39" t="s">
        <v>3963</v>
      </c>
      <c r="O39" t="s">
        <v>3963</v>
      </c>
      <c r="P39" t="s">
        <v>9739</v>
      </c>
      <c r="R39" t="s">
        <v>9740</v>
      </c>
    </row>
    <row r="40" spans="4:18">
      <c r="D40" t="s">
        <v>1586</v>
      </c>
      <c r="H40" t="s">
        <v>9741</v>
      </c>
      <c r="K40" t="s">
        <v>9742</v>
      </c>
      <c r="L40" t="s">
        <v>3963</v>
      </c>
      <c r="M40" t="s">
        <v>3963</v>
      </c>
      <c r="N40" t="s">
        <v>3963</v>
      </c>
      <c r="O40" t="s">
        <v>3963</v>
      </c>
      <c r="P40" t="s">
        <v>3963</v>
      </c>
      <c r="R40" t="s">
        <v>9742</v>
      </c>
    </row>
    <row r="41" spans="4:18">
      <c r="D41" t="s">
        <v>1587</v>
      </c>
      <c r="H41" t="s">
        <v>9743</v>
      </c>
      <c r="K41" t="s">
        <v>9744</v>
      </c>
      <c r="L41" t="s">
        <v>9745</v>
      </c>
      <c r="M41" t="s">
        <v>3963</v>
      </c>
      <c r="N41" t="s">
        <v>3963</v>
      </c>
      <c r="O41" t="s">
        <v>3963</v>
      </c>
      <c r="P41" t="s">
        <v>9745</v>
      </c>
      <c r="R41" t="s">
        <v>9746</v>
      </c>
    </row>
    <row r="42" spans="4:18">
      <c r="D42" t="s">
        <v>1588</v>
      </c>
      <c r="H42" t="s">
        <v>9747</v>
      </c>
      <c r="K42" t="s">
        <v>9748</v>
      </c>
      <c r="L42" t="s">
        <v>9749</v>
      </c>
      <c r="M42" t="s">
        <v>3963</v>
      </c>
      <c r="N42" t="s">
        <v>3963</v>
      </c>
      <c r="O42" t="s">
        <v>3963</v>
      </c>
      <c r="P42" t="s">
        <v>9749</v>
      </c>
      <c r="R42" t="s">
        <v>9750</v>
      </c>
    </row>
    <row r="43" spans="4:18">
      <c r="D43" t="s">
        <v>1627</v>
      </c>
      <c r="H43" t="s">
        <v>9751</v>
      </c>
      <c r="K43" t="s">
        <v>9752</v>
      </c>
      <c r="L43" t="s">
        <v>3963</v>
      </c>
      <c r="M43" t="s">
        <v>3963</v>
      </c>
      <c r="N43" t="s">
        <v>3963</v>
      </c>
      <c r="O43" t="s">
        <v>3963</v>
      </c>
      <c r="P43" t="s">
        <v>3963</v>
      </c>
      <c r="R43" t="s">
        <v>9752</v>
      </c>
    </row>
    <row r="44" spans="4:18">
      <c r="D44" t="s">
        <v>1642</v>
      </c>
      <c r="H44" t="s">
        <v>9753</v>
      </c>
      <c r="K44" t="s">
        <v>9754</v>
      </c>
      <c r="L44" t="s">
        <v>11235</v>
      </c>
      <c r="M44" t="s">
        <v>3963</v>
      </c>
      <c r="N44" t="s">
        <v>3963</v>
      </c>
      <c r="O44" t="s">
        <v>3963</v>
      </c>
      <c r="P44" t="s">
        <v>11235</v>
      </c>
      <c r="R44" t="s">
        <v>11236</v>
      </c>
    </row>
    <row r="45" spans="4:18">
      <c r="D45" t="s">
        <v>1647</v>
      </c>
      <c r="H45" t="s">
        <v>9755</v>
      </c>
      <c r="K45" t="s">
        <v>9756</v>
      </c>
      <c r="L45" t="s">
        <v>9757</v>
      </c>
      <c r="M45" t="s">
        <v>3963</v>
      </c>
      <c r="N45" t="s">
        <v>3963</v>
      </c>
      <c r="O45" t="s">
        <v>3963</v>
      </c>
      <c r="P45" t="s">
        <v>9757</v>
      </c>
      <c r="R45" t="s">
        <v>9758</v>
      </c>
    </row>
    <row r="46" spans="4:18">
      <c r="D46" t="s">
        <v>1667</v>
      </c>
      <c r="H46" t="s">
        <v>9759</v>
      </c>
      <c r="K46" t="s">
        <v>9760</v>
      </c>
      <c r="L46" t="s">
        <v>9761</v>
      </c>
      <c r="M46" t="s">
        <v>3963</v>
      </c>
      <c r="N46" t="s">
        <v>3963</v>
      </c>
      <c r="O46" t="s">
        <v>3963</v>
      </c>
      <c r="P46" t="s">
        <v>9761</v>
      </c>
      <c r="R46" t="s">
        <v>9762</v>
      </c>
    </row>
    <row r="47" spans="4:18">
      <c r="D47" t="s">
        <v>1673</v>
      </c>
      <c r="H47" t="s">
        <v>9763</v>
      </c>
      <c r="K47" t="s">
        <v>9764</v>
      </c>
      <c r="L47" t="s">
        <v>9765</v>
      </c>
      <c r="M47" t="s">
        <v>3963</v>
      </c>
      <c r="N47" t="s">
        <v>3963</v>
      </c>
      <c r="O47" t="s">
        <v>3963</v>
      </c>
      <c r="P47" t="s">
        <v>9765</v>
      </c>
      <c r="R47" t="s">
        <v>9766</v>
      </c>
    </row>
    <row r="48" spans="4:18">
      <c r="D48" t="s">
        <v>1690</v>
      </c>
      <c r="H48" t="s">
        <v>9767</v>
      </c>
      <c r="K48" t="s">
        <v>9768</v>
      </c>
      <c r="L48" t="s">
        <v>9769</v>
      </c>
      <c r="M48" t="s">
        <v>3963</v>
      </c>
      <c r="N48" t="s">
        <v>3963</v>
      </c>
      <c r="O48" t="s">
        <v>3963</v>
      </c>
      <c r="P48" t="s">
        <v>9769</v>
      </c>
      <c r="R48" t="s">
        <v>9770</v>
      </c>
    </row>
    <row r="49" spans="4:18">
      <c r="D49" t="s">
        <v>1698</v>
      </c>
      <c r="H49" t="s">
        <v>9771</v>
      </c>
      <c r="K49" t="s">
        <v>9772</v>
      </c>
      <c r="L49" t="s">
        <v>9773</v>
      </c>
      <c r="M49" t="s">
        <v>9774</v>
      </c>
      <c r="N49" t="s">
        <v>3963</v>
      </c>
      <c r="O49" t="s">
        <v>3963</v>
      </c>
      <c r="P49" t="s">
        <v>9775</v>
      </c>
      <c r="R49" t="s">
        <v>9776</v>
      </c>
    </row>
    <row r="50" spans="4:18">
      <c r="D50" t="s">
        <v>1716</v>
      </c>
      <c r="H50" t="s">
        <v>9777</v>
      </c>
      <c r="K50" t="s">
        <v>9778</v>
      </c>
      <c r="L50" t="s">
        <v>9779</v>
      </c>
      <c r="M50" t="s">
        <v>3963</v>
      </c>
      <c r="N50" t="s">
        <v>3963</v>
      </c>
      <c r="O50" t="s">
        <v>3963</v>
      </c>
      <c r="P50" t="s">
        <v>9779</v>
      </c>
      <c r="R50" t="s">
        <v>9780</v>
      </c>
    </row>
    <row r="51" spans="4:18">
      <c r="D51" t="s">
        <v>1717</v>
      </c>
      <c r="H51" t="s">
        <v>9681</v>
      </c>
      <c r="K51" t="s">
        <v>9781</v>
      </c>
      <c r="L51" t="s">
        <v>9782</v>
      </c>
      <c r="M51" t="s">
        <v>3963</v>
      </c>
      <c r="N51" t="s">
        <v>3963</v>
      </c>
      <c r="O51" t="s">
        <v>3963</v>
      </c>
      <c r="P51" t="s">
        <v>9782</v>
      </c>
      <c r="R51" t="s">
        <v>9783</v>
      </c>
    </row>
    <row r="52" spans="4:18">
      <c r="D52" t="s">
        <v>1719</v>
      </c>
      <c r="H52" t="s">
        <v>9784</v>
      </c>
      <c r="K52" t="s">
        <v>9785</v>
      </c>
      <c r="L52" t="s">
        <v>9786</v>
      </c>
      <c r="M52" t="s">
        <v>3963</v>
      </c>
      <c r="N52" t="s">
        <v>3963</v>
      </c>
      <c r="O52" t="s">
        <v>3963</v>
      </c>
      <c r="P52" t="s">
        <v>9786</v>
      </c>
      <c r="R52" t="s">
        <v>9787</v>
      </c>
    </row>
    <row r="53" spans="4:18">
      <c r="D53" t="s">
        <v>1735</v>
      </c>
      <c r="H53" t="s">
        <v>1736</v>
      </c>
      <c r="K53" t="s">
        <v>9788</v>
      </c>
      <c r="L53" t="s">
        <v>9789</v>
      </c>
      <c r="M53" t="s">
        <v>3963</v>
      </c>
      <c r="N53" t="s">
        <v>3963</v>
      </c>
      <c r="O53" t="s">
        <v>3963</v>
      </c>
      <c r="P53" t="s">
        <v>9789</v>
      </c>
      <c r="R53" t="s">
        <v>9790</v>
      </c>
    </row>
    <row r="54" spans="4:18">
      <c r="D54" t="s">
        <v>1773</v>
      </c>
      <c r="H54" t="s">
        <v>9791</v>
      </c>
      <c r="K54" t="s">
        <v>9792</v>
      </c>
      <c r="L54" t="s">
        <v>9793</v>
      </c>
      <c r="M54" t="s">
        <v>3963</v>
      </c>
      <c r="N54" t="s">
        <v>3963</v>
      </c>
      <c r="O54" t="s">
        <v>3963</v>
      </c>
      <c r="P54" t="s">
        <v>9793</v>
      </c>
      <c r="R54" t="s">
        <v>9794</v>
      </c>
    </row>
    <row r="55" spans="4:18">
      <c r="D55" t="s">
        <v>1761</v>
      </c>
      <c r="H55" t="s">
        <v>9701</v>
      </c>
      <c r="K55" t="s">
        <v>9795</v>
      </c>
      <c r="L55" t="s">
        <v>9796</v>
      </c>
      <c r="M55" t="s">
        <v>3963</v>
      </c>
      <c r="N55" t="s">
        <v>3963</v>
      </c>
      <c r="O55" t="s">
        <v>3963</v>
      </c>
      <c r="P55" t="s">
        <v>9796</v>
      </c>
      <c r="R55" t="s">
        <v>9797</v>
      </c>
    </row>
    <row r="56" spans="4:18">
      <c r="D56" t="s">
        <v>1765</v>
      </c>
      <c r="H56" t="s">
        <v>9798</v>
      </c>
      <c r="K56" t="s">
        <v>9799</v>
      </c>
      <c r="L56" t="s">
        <v>9800</v>
      </c>
      <c r="M56" t="s">
        <v>3963</v>
      </c>
      <c r="N56" t="s">
        <v>3963</v>
      </c>
      <c r="O56" t="s">
        <v>3963</v>
      </c>
      <c r="P56" t="s">
        <v>9800</v>
      </c>
      <c r="R56" t="s">
        <v>9801</v>
      </c>
    </row>
    <row r="57" spans="4:18">
      <c r="D57" t="s">
        <v>1766</v>
      </c>
      <c r="H57" t="s">
        <v>9802</v>
      </c>
      <c r="K57" t="s">
        <v>9803</v>
      </c>
      <c r="L57" t="s">
        <v>9804</v>
      </c>
      <c r="M57" t="s">
        <v>3963</v>
      </c>
      <c r="N57" t="s">
        <v>3963</v>
      </c>
      <c r="O57" t="s">
        <v>3963</v>
      </c>
      <c r="P57" t="s">
        <v>9804</v>
      </c>
      <c r="R57" t="s">
        <v>9805</v>
      </c>
    </row>
    <row r="58" spans="4:18">
      <c r="D58" t="s">
        <v>1767</v>
      </c>
      <c r="H58" t="s">
        <v>9806</v>
      </c>
      <c r="K58" t="s">
        <v>9807</v>
      </c>
      <c r="L58" t="s">
        <v>9808</v>
      </c>
      <c r="M58" t="s">
        <v>3963</v>
      </c>
      <c r="N58" t="s">
        <v>3963</v>
      </c>
      <c r="O58" t="s">
        <v>3963</v>
      </c>
      <c r="P58" t="s">
        <v>9808</v>
      </c>
      <c r="R58" t="s">
        <v>9809</v>
      </c>
    </row>
    <row r="59" spans="4:18">
      <c r="D59" t="s">
        <v>1768</v>
      </c>
      <c r="H59" t="s">
        <v>9810</v>
      </c>
      <c r="K59" t="s">
        <v>9811</v>
      </c>
      <c r="L59" t="s">
        <v>9812</v>
      </c>
      <c r="M59" t="s">
        <v>3963</v>
      </c>
      <c r="N59" t="s">
        <v>3963</v>
      </c>
      <c r="O59" t="s">
        <v>3963</v>
      </c>
      <c r="P59" t="s">
        <v>9812</v>
      </c>
      <c r="R59" t="s">
        <v>9813</v>
      </c>
    </row>
    <row r="60" spans="4:18">
      <c r="D60" t="s">
        <v>1794</v>
      </c>
      <c r="H60" t="s">
        <v>9814</v>
      </c>
      <c r="K60" t="s">
        <v>9815</v>
      </c>
      <c r="L60" t="s">
        <v>9816</v>
      </c>
      <c r="M60" t="s">
        <v>3963</v>
      </c>
      <c r="N60" t="s">
        <v>3963</v>
      </c>
      <c r="O60" t="s">
        <v>3963</v>
      </c>
      <c r="P60" t="s">
        <v>9816</v>
      </c>
      <c r="R60" t="s">
        <v>9817</v>
      </c>
    </row>
    <row r="61" spans="4:18">
      <c r="D61" t="s">
        <v>1800</v>
      </c>
      <c r="H61" t="s">
        <v>9818</v>
      </c>
      <c r="K61" t="s">
        <v>9819</v>
      </c>
      <c r="L61" t="s">
        <v>9820</v>
      </c>
      <c r="M61" t="s">
        <v>3963</v>
      </c>
      <c r="N61" t="s">
        <v>3963</v>
      </c>
      <c r="O61" t="s">
        <v>3963</v>
      </c>
      <c r="P61" t="s">
        <v>9820</v>
      </c>
      <c r="R61" t="s">
        <v>11062</v>
      </c>
    </row>
    <row r="62" spans="4:18">
      <c r="D62" t="s">
        <v>1815</v>
      </c>
      <c r="H62" t="s">
        <v>9821</v>
      </c>
      <c r="K62" t="s">
        <v>9822</v>
      </c>
      <c r="L62" t="s">
        <v>9823</v>
      </c>
      <c r="M62" t="s">
        <v>3963</v>
      </c>
      <c r="N62" t="s">
        <v>3963</v>
      </c>
      <c r="O62" t="s">
        <v>3963</v>
      </c>
      <c r="P62" t="s">
        <v>9823</v>
      </c>
      <c r="R62" t="s">
        <v>9824</v>
      </c>
    </row>
    <row r="63" spans="4:18">
      <c r="D63" t="s">
        <v>1822</v>
      </c>
      <c r="H63" t="s">
        <v>9825</v>
      </c>
      <c r="K63" t="s">
        <v>9826</v>
      </c>
      <c r="L63" t="s">
        <v>9827</v>
      </c>
      <c r="M63" t="s">
        <v>3963</v>
      </c>
      <c r="N63" t="s">
        <v>3963</v>
      </c>
      <c r="O63" t="s">
        <v>3963</v>
      </c>
      <c r="P63" t="s">
        <v>9827</v>
      </c>
      <c r="R63" t="s">
        <v>9828</v>
      </c>
    </row>
    <row r="64" spans="4:18">
      <c r="D64" t="s">
        <v>1823</v>
      </c>
      <c r="H64" t="s">
        <v>9829</v>
      </c>
      <c r="K64" t="s">
        <v>9768</v>
      </c>
      <c r="L64" t="s">
        <v>9830</v>
      </c>
      <c r="M64" t="s">
        <v>3963</v>
      </c>
      <c r="N64" t="s">
        <v>3963</v>
      </c>
      <c r="O64" t="s">
        <v>3963</v>
      </c>
      <c r="P64" t="s">
        <v>9830</v>
      </c>
      <c r="R64" t="s">
        <v>11063</v>
      </c>
    </row>
    <row r="65" spans="4:18">
      <c r="D65" t="s">
        <v>1838</v>
      </c>
      <c r="H65" t="s">
        <v>9831</v>
      </c>
      <c r="K65" t="s">
        <v>9832</v>
      </c>
      <c r="L65" t="s">
        <v>9833</v>
      </c>
      <c r="M65" t="s">
        <v>3963</v>
      </c>
      <c r="N65" t="s">
        <v>3963</v>
      </c>
      <c r="O65" t="s">
        <v>3963</v>
      </c>
      <c r="P65" t="s">
        <v>9833</v>
      </c>
      <c r="R65" t="s">
        <v>11064</v>
      </c>
    </row>
    <row r="66" spans="4:18">
      <c r="D66" t="s">
        <v>1839</v>
      </c>
      <c r="H66" t="s">
        <v>9834</v>
      </c>
      <c r="K66" t="s">
        <v>9835</v>
      </c>
      <c r="L66" t="s">
        <v>9836</v>
      </c>
      <c r="M66" t="s">
        <v>3963</v>
      </c>
      <c r="N66" t="s">
        <v>3963</v>
      </c>
      <c r="O66" t="s">
        <v>3963</v>
      </c>
      <c r="P66" t="s">
        <v>9836</v>
      </c>
      <c r="R66" t="s">
        <v>9837</v>
      </c>
    </row>
    <row r="67" spans="4:18">
      <c r="D67" t="s">
        <v>1840</v>
      </c>
      <c r="H67" t="s">
        <v>9838</v>
      </c>
      <c r="K67" t="s">
        <v>9839</v>
      </c>
      <c r="L67" t="s">
        <v>9840</v>
      </c>
      <c r="M67" t="s">
        <v>3963</v>
      </c>
      <c r="N67" t="s">
        <v>3963</v>
      </c>
      <c r="O67" t="s">
        <v>3963</v>
      </c>
      <c r="P67" t="s">
        <v>9840</v>
      </c>
      <c r="R67" t="s">
        <v>9841</v>
      </c>
    </row>
    <row r="68" spans="4:18">
      <c r="D68" t="s">
        <v>1841</v>
      </c>
      <c r="H68" t="s">
        <v>9842</v>
      </c>
      <c r="K68" t="s">
        <v>9843</v>
      </c>
      <c r="L68" t="s">
        <v>3963</v>
      </c>
      <c r="M68" t="s">
        <v>3963</v>
      </c>
      <c r="N68" t="s">
        <v>3963</v>
      </c>
      <c r="O68" t="s">
        <v>3963</v>
      </c>
      <c r="P68" t="s">
        <v>3963</v>
      </c>
      <c r="R68" t="s">
        <v>9843</v>
      </c>
    </row>
    <row r="69" spans="4:18">
      <c r="D69" t="s">
        <v>1847</v>
      </c>
      <c r="H69" t="s">
        <v>9844</v>
      </c>
      <c r="K69" t="s">
        <v>9845</v>
      </c>
      <c r="L69" t="s">
        <v>9846</v>
      </c>
      <c r="M69" t="s">
        <v>3963</v>
      </c>
      <c r="N69" t="s">
        <v>3963</v>
      </c>
      <c r="O69" t="s">
        <v>3963</v>
      </c>
      <c r="P69" t="s">
        <v>9846</v>
      </c>
      <c r="R69" t="s">
        <v>9847</v>
      </c>
    </row>
    <row r="70" spans="4:18">
      <c r="D70" t="s">
        <v>1968</v>
      </c>
      <c r="H70" t="s">
        <v>9848</v>
      </c>
      <c r="K70" t="s">
        <v>9849</v>
      </c>
      <c r="L70" t="s">
        <v>9850</v>
      </c>
      <c r="M70" t="s">
        <v>3963</v>
      </c>
      <c r="N70" t="s">
        <v>3963</v>
      </c>
      <c r="O70" t="s">
        <v>3963</v>
      </c>
      <c r="P70" t="s">
        <v>9850</v>
      </c>
      <c r="R70" t="s">
        <v>9851</v>
      </c>
    </row>
    <row r="71" spans="4:18">
      <c r="D71" t="s">
        <v>1987</v>
      </c>
      <c r="H71" t="s">
        <v>9852</v>
      </c>
      <c r="K71" t="s">
        <v>9853</v>
      </c>
      <c r="L71" t="s">
        <v>9854</v>
      </c>
      <c r="M71" t="s">
        <v>3963</v>
      </c>
      <c r="N71" t="s">
        <v>3963</v>
      </c>
      <c r="O71" t="s">
        <v>3963</v>
      </c>
      <c r="P71" t="s">
        <v>9854</v>
      </c>
      <c r="R71" t="s">
        <v>9855</v>
      </c>
    </row>
    <row r="72" spans="4:18">
      <c r="D72" t="s">
        <v>1988</v>
      </c>
      <c r="H72" t="s">
        <v>9856</v>
      </c>
      <c r="K72" t="s">
        <v>9857</v>
      </c>
      <c r="L72" t="s">
        <v>9858</v>
      </c>
      <c r="M72" t="s">
        <v>3963</v>
      </c>
      <c r="N72" t="s">
        <v>3963</v>
      </c>
      <c r="O72" t="s">
        <v>3963</v>
      </c>
      <c r="P72" t="s">
        <v>9858</v>
      </c>
      <c r="R72" t="s">
        <v>10811</v>
      </c>
    </row>
    <row r="73" spans="4:18">
      <c r="D73" t="s">
        <v>2021</v>
      </c>
      <c r="H73" t="s">
        <v>9859</v>
      </c>
      <c r="K73" t="s">
        <v>9860</v>
      </c>
      <c r="L73" t="s">
        <v>3963</v>
      </c>
      <c r="M73" t="s">
        <v>3963</v>
      </c>
      <c r="N73" t="s">
        <v>3963</v>
      </c>
      <c r="O73" t="s">
        <v>3963</v>
      </c>
      <c r="P73" t="s">
        <v>3963</v>
      </c>
      <c r="R73" t="s">
        <v>9860</v>
      </c>
    </row>
    <row r="74" spans="4:18">
      <c r="D74" t="s">
        <v>2022</v>
      </c>
      <c r="H74" t="s">
        <v>9861</v>
      </c>
      <c r="K74" t="s">
        <v>9862</v>
      </c>
      <c r="L74" t="s">
        <v>3963</v>
      </c>
      <c r="M74" t="s">
        <v>3963</v>
      </c>
      <c r="N74" t="s">
        <v>3963</v>
      </c>
      <c r="O74" t="s">
        <v>3963</v>
      </c>
      <c r="P74" t="s">
        <v>3963</v>
      </c>
      <c r="R74" t="s">
        <v>9862</v>
      </c>
    </row>
    <row r="75" spans="4:18">
      <c r="D75" t="s">
        <v>2024</v>
      </c>
      <c r="H75" t="s">
        <v>9863</v>
      </c>
      <c r="K75" t="s">
        <v>9864</v>
      </c>
      <c r="L75" t="s">
        <v>9865</v>
      </c>
      <c r="M75" t="s">
        <v>3963</v>
      </c>
      <c r="N75" t="s">
        <v>3963</v>
      </c>
      <c r="O75" t="s">
        <v>3963</v>
      </c>
      <c r="P75" t="s">
        <v>9865</v>
      </c>
      <c r="R75" t="s">
        <v>9866</v>
      </c>
    </row>
    <row r="76" spans="4:18">
      <c r="D76" t="s">
        <v>2039</v>
      </c>
      <c r="H76" t="s">
        <v>9867</v>
      </c>
      <c r="K76" t="s">
        <v>9868</v>
      </c>
      <c r="L76" t="s">
        <v>9869</v>
      </c>
      <c r="M76" t="s">
        <v>3963</v>
      </c>
      <c r="N76" t="s">
        <v>3963</v>
      </c>
      <c r="O76" t="s">
        <v>3963</v>
      </c>
      <c r="P76" t="s">
        <v>9869</v>
      </c>
      <c r="R76" t="s">
        <v>9870</v>
      </c>
    </row>
    <row r="77" spans="4:18">
      <c r="D77" t="s">
        <v>2054</v>
      </c>
      <c r="H77" t="s">
        <v>9871</v>
      </c>
      <c r="K77" t="s">
        <v>9872</v>
      </c>
      <c r="L77" t="s">
        <v>9873</v>
      </c>
      <c r="M77" t="s">
        <v>9874</v>
      </c>
      <c r="N77" t="s">
        <v>3963</v>
      </c>
      <c r="O77" t="s">
        <v>3963</v>
      </c>
      <c r="P77" t="s">
        <v>9875</v>
      </c>
      <c r="R77" t="s">
        <v>9876</v>
      </c>
    </row>
    <row r="78" spans="4:18">
      <c r="D78" t="s">
        <v>2066</v>
      </c>
      <c r="H78" t="s">
        <v>9877</v>
      </c>
      <c r="K78" t="s">
        <v>9878</v>
      </c>
      <c r="L78" t="s">
        <v>3963</v>
      </c>
      <c r="M78" t="s">
        <v>3963</v>
      </c>
      <c r="N78" t="s">
        <v>3963</v>
      </c>
      <c r="O78" t="s">
        <v>3963</v>
      </c>
      <c r="P78" t="s">
        <v>3963</v>
      </c>
      <c r="R78" t="s">
        <v>9878</v>
      </c>
    </row>
    <row r="79" spans="4:18">
      <c r="D79" t="s">
        <v>2084</v>
      </c>
      <c r="H79" t="s">
        <v>9879</v>
      </c>
      <c r="K79" t="s">
        <v>9862</v>
      </c>
      <c r="L79" t="s">
        <v>9880</v>
      </c>
      <c r="M79" t="s">
        <v>3963</v>
      </c>
      <c r="N79" t="s">
        <v>3963</v>
      </c>
      <c r="O79" t="s">
        <v>3963</v>
      </c>
      <c r="P79" t="s">
        <v>9880</v>
      </c>
      <c r="R79" t="s">
        <v>9881</v>
      </c>
    </row>
    <row r="80" spans="4:18">
      <c r="D80" t="s">
        <v>2096</v>
      </c>
      <c r="H80" t="s">
        <v>9882</v>
      </c>
      <c r="K80" t="s">
        <v>9883</v>
      </c>
      <c r="L80" t="s">
        <v>16339</v>
      </c>
      <c r="M80" t="s">
        <v>3963</v>
      </c>
      <c r="N80" t="s">
        <v>3963</v>
      </c>
      <c r="O80" t="s">
        <v>3963</v>
      </c>
      <c r="P80" t="s">
        <v>16339</v>
      </c>
      <c r="R80" t="s">
        <v>16340</v>
      </c>
    </row>
    <row r="81" spans="4:18">
      <c r="D81" t="s">
        <v>2122</v>
      </c>
      <c r="H81" t="s">
        <v>9884</v>
      </c>
      <c r="K81" t="s">
        <v>9885</v>
      </c>
      <c r="L81" t="s">
        <v>9886</v>
      </c>
      <c r="M81" t="s">
        <v>3963</v>
      </c>
      <c r="N81" t="s">
        <v>3963</v>
      </c>
      <c r="O81" t="s">
        <v>3963</v>
      </c>
      <c r="P81" t="s">
        <v>9886</v>
      </c>
      <c r="R81" t="s">
        <v>9887</v>
      </c>
    </row>
    <row r="82" spans="4:18">
      <c r="D82" t="s">
        <v>2131</v>
      </c>
      <c r="H82" t="s">
        <v>9888</v>
      </c>
      <c r="K82" t="s">
        <v>9889</v>
      </c>
      <c r="L82" t="s">
        <v>3963</v>
      </c>
      <c r="M82" t="s">
        <v>3963</v>
      </c>
      <c r="N82" t="s">
        <v>3963</v>
      </c>
      <c r="O82" t="s">
        <v>3963</v>
      </c>
      <c r="P82" t="s">
        <v>3963</v>
      </c>
      <c r="R82" t="s">
        <v>9889</v>
      </c>
    </row>
    <row r="83" spans="4:18">
      <c r="D83" t="s">
        <v>2133</v>
      </c>
      <c r="H83" t="s">
        <v>9890</v>
      </c>
      <c r="K83" t="s">
        <v>9891</v>
      </c>
      <c r="L83" t="s">
        <v>3963</v>
      </c>
      <c r="M83" t="s">
        <v>3963</v>
      </c>
      <c r="N83" t="s">
        <v>3963</v>
      </c>
      <c r="O83" t="s">
        <v>3963</v>
      </c>
      <c r="P83" t="s">
        <v>3963</v>
      </c>
      <c r="R83" t="s">
        <v>9891</v>
      </c>
    </row>
    <row r="84" spans="4:18">
      <c r="D84" t="s">
        <v>2157</v>
      </c>
      <c r="H84" t="s">
        <v>9892</v>
      </c>
      <c r="K84" t="s">
        <v>9893</v>
      </c>
      <c r="L84" t="s">
        <v>9894</v>
      </c>
      <c r="M84" t="s">
        <v>3963</v>
      </c>
      <c r="N84" t="s">
        <v>3963</v>
      </c>
      <c r="O84" t="s">
        <v>3963</v>
      </c>
      <c r="P84" t="s">
        <v>9894</v>
      </c>
      <c r="R84" t="s">
        <v>9895</v>
      </c>
    </row>
    <row r="85" spans="4:18">
      <c r="D85" t="s">
        <v>2162</v>
      </c>
      <c r="H85" t="s">
        <v>9896</v>
      </c>
      <c r="K85" t="s">
        <v>9832</v>
      </c>
      <c r="L85" t="s">
        <v>9897</v>
      </c>
      <c r="M85" t="s">
        <v>3963</v>
      </c>
      <c r="N85" t="s">
        <v>3963</v>
      </c>
      <c r="O85" t="s">
        <v>3963</v>
      </c>
      <c r="P85" t="s">
        <v>9897</v>
      </c>
      <c r="R85" t="s">
        <v>9898</v>
      </c>
    </row>
    <row r="86" spans="4:18">
      <c r="D86" t="s">
        <v>2164</v>
      </c>
      <c r="H86" t="s">
        <v>9713</v>
      </c>
      <c r="K86" t="s">
        <v>9891</v>
      </c>
      <c r="L86" t="s">
        <v>9899</v>
      </c>
      <c r="M86" t="s">
        <v>3963</v>
      </c>
      <c r="N86" t="s">
        <v>3963</v>
      </c>
      <c r="O86" t="s">
        <v>3963</v>
      </c>
      <c r="P86" t="s">
        <v>9899</v>
      </c>
      <c r="R86" t="s">
        <v>9900</v>
      </c>
    </row>
    <row r="87" spans="4:18">
      <c r="D87" t="s">
        <v>2433</v>
      </c>
      <c r="H87" t="s">
        <v>9901</v>
      </c>
      <c r="K87" t="s">
        <v>9862</v>
      </c>
      <c r="L87" t="s">
        <v>9902</v>
      </c>
      <c r="M87" t="s">
        <v>3963</v>
      </c>
      <c r="N87" t="s">
        <v>3963</v>
      </c>
      <c r="O87" t="s">
        <v>3963</v>
      </c>
      <c r="P87" t="s">
        <v>9902</v>
      </c>
      <c r="R87" t="s">
        <v>9903</v>
      </c>
    </row>
    <row r="88" spans="4:18">
      <c r="D88" t="s">
        <v>2486</v>
      </c>
      <c r="H88" t="s">
        <v>9904</v>
      </c>
      <c r="K88" t="s">
        <v>9905</v>
      </c>
      <c r="L88" t="s">
        <v>9906</v>
      </c>
      <c r="M88" t="s">
        <v>3963</v>
      </c>
      <c r="N88" t="s">
        <v>3963</v>
      </c>
      <c r="O88" t="s">
        <v>3963</v>
      </c>
      <c r="P88" t="s">
        <v>9906</v>
      </c>
      <c r="R88" t="s">
        <v>9907</v>
      </c>
    </row>
    <row r="89" spans="4:18">
      <c r="D89" t="s">
        <v>2628</v>
      </c>
      <c r="H89" t="s">
        <v>9908</v>
      </c>
      <c r="K89" t="s">
        <v>9909</v>
      </c>
      <c r="L89" t="s">
        <v>9910</v>
      </c>
      <c r="M89" t="s">
        <v>3963</v>
      </c>
      <c r="N89" t="s">
        <v>3963</v>
      </c>
      <c r="O89" t="s">
        <v>3963</v>
      </c>
      <c r="P89" t="s">
        <v>9910</v>
      </c>
      <c r="R89" t="s">
        <v>9911</v>
      </c>
    </row>
    <row r="90" spans="4:18">
      <c r="D90" t="s">
        <v>2629</v>
      </c>
      <c r="H90" t="s">
        <v>9908</v>
      </c>
      <c r="K90" t="s">
        <v>9912</v>
      </c>
      <c r="L90" t="s">
        <v>9913</v>
      </c>
      <c r="M90" t="s">
        <v>3963</v>
      </c>
      <c r="N90" t="s">
        <v>3963</v>
      </c>
      <c r="O90" t="s">
        <v>3963</v>
      </c>
      <c r="P90" t="s">
        <v>9913</v>
      </c>
      <c r="R90" t="s">
        <v>9914</v>
      </c>
    </row>
    <row r="91" spans="4:18">
      <c r="D91" t="s">
        <v>2883</v>
      </c>
      <c r="H91" t="s">
        <v>9915</v>
      </c>
      <c r="K91" t="s">
        <v>9916</v>
      </c>
      <c r="L91" t="s">
        <v>9917</v>
      </c>
      <c r="M91" t="s">
        <v>3963</v>
      </c>
      <c r="N91" t="s">
        <v>3963</v>
      </c>
      <c r="O91" t="s">
        <v>3963</v>
      </c>
      <c r="P91" t="s">
        <v>9917</v>
      </c>
      <c r="R91" t="s">
        <v>9918</v>
      </c>
    </row>
    <row r="92" spans="4:18">
      <c r="D92" t="s">
        <v>2891</v>
      </c>
      <c r="H92" t="s">
        <v>9919</v>
      </c>
      <c r="K92" t="s">
        <v>9920</v>
      </c>
      <c r="L92" t="s">
        <v>3963</v>
      </c>
      <c r="M92" t="s">
        <v>3963</v>
      </c>
      <c r="N92" t="s">
        <v>3963</v>
      </c>
      <c r="O92" t="s">
        <v>3963</v>
      </c>
      <c r="P92" t="s">
        <v>3963</v>
      </c>
      <c r="R92" t="s">
        <v>9920</v>
      </c>
    </row>
    <row r="93" spans="4:18">
      <c r="D93" t="s">
        <v>3807</v>
      </c>
      <c r="H93" t="s">
        <v>9921</v>
      </c>
      <c r="K93" t="s">
        <v>9922</v>
      </c>
      <c r="L93" t="s">
        <v>3963</v>
      </c>
      <c r="M93" t="s">
        <v>3963</v>
      </c>
      <c r="N93" t="s">
        <v>6958</v>
      </c>
      <c r="O93" t="s">
        <v>3963</v>
      </c>
      <c r="P93" t="s">
        <v>6958</v>
      </c>
      <c r="R93" t="s">
        <v>9923</v>
      </c>
    </row>
    <row r="94" spans="4:18">
      <c r="D94" t="s">
        <v>3808</v>
      </c>
      <c r="H94" t="s">
        <v>9665</v>
      </c>
      <c r="K94" t="s">
        <v>9924</v>
      </c>
      <c r="L94" t="s">
        <v>19118</v>
      </c>
      <c r="M94" t="s">
        <v>19119</v>
      </c>
      <c r="N94" t="s">
        <v>3963</v>
      </c>
      <c r="O94" t="s">
        <v>3963</v>
      </c>
      <c r="P94" t="s">
        <v>19120</v>
      </c>
      <c r="R94" t="s">
        <v>19121</v>
      </c>
    </row>
    <row r="95" spans="4:18">
      <c r="D95" t="s">
        <v>7023</v>
      </c>
      <c r="H95" t="s">
        <v>9925</v>
      </c>
      <c r="K95" t="s">
        <v>9926</v>
      </c>
      <c r="L95" t="s">
        <v>9927</v>
      </c>
      <c r="M95" t="s">
        <v>9928</v>
      </c>
      <c r="N95" t="s">
        <v>3963</v>
      </c>
      <c r="O95" t="s">
        <v>3963</v>
      </c>
      <c r="P95" t="s">
        <v>9929</v>
      </c>
      <c r="R95" t="s">
        <v>9930</v>
      </c>
    </row>
    <row r="96" spans="4:18">
      <c r="D96" t="s">
        <v>7024</v>
      </c>
      <c r="H96" t="s">
        <v>9931</v>
      </c>
      <c r="K96" t="s">
        <v>9932</v>
      </c>
      <c r="L96" t="s">
        <v>16132</v>
      </c>
      <c r="M96" t="s">
        <v>16133</v>
      </c>
      <c r="N96" t="s">
        <v>4001</v>
      </c>
      <c r="O96" t="s">
        <v>3963</v>
      </c>
      <c r="P96" t="s">
        <v>19455</v>
      </c>
      <c r="R96" t="s">
        <v>19456</v>
      </c>
    </row>
    <row r="97" spans="4:18">
      <c r="D97" t="s">
        <v>7068</v>
      </c>
      <c r="H97" t="s">
        <v>9925</v>
      </c>
      <c r="K97" t="s">
        <v>9933</v>
      </c>
      <c r="L97" t="s">
        <v>9934</v>
      </c>
      <c r="M97" t="s">
        <v>3963</v>
      </c>
      <c r="N97" t="s">
        <v>3963</v>
      </c>
      <c r="O97" t="s">
        <v>3963</v>
      </c>
      <c r="P97" t="s">
        <v>9934</v>
      </c>
      <c r="R97" t="s">
        <v>9935</v>
      </c>
    </row>
    <row r="98" spans="4:18">
      <c r="D98" t="s">
        <v>7237</v>
      </c>
      <c r="H98" t="s">
        <v>9936</v>
      </c>
      <c r="K98" t="s">
        <v>9937</v>
      </c>
      <c r="L98" t="s">
        <v>3963</v>
      </c>
      <c r="M98" t="s">
        <v>3963</v>
      </c>
      <c r="N98" t="s">
        <v>3963</v>
      </c>
      <c r="O98" t="s">
        <v>3963</v>
      </c>
      <c r="P98" t="s">
        <v>3963</v>
      </c>
      <c r="R98" t="s">
        <v>9937</v>
      </c>
    </row>
    <row r="99" spans="4:18">
      <c r="D99" t="s">
        <v>7468</v>
      </c>
      <c r="H99" t="s">
        <v>9938</v>
      </c>
      <c r="K99" t="s">
        <v>9939</v>
      </c>
      <c r="L99" t="s">
        <v>18825</v>
      </c>
      <c r="M99" t="s">
        <v>18826</v>
      </c>
      <c r="N99" t="s">
        <v>3963</v>
      </c>
      <c r="O99" t="s">
        <v>3963</v>
      </c>
      <c r="P99" t="s">
        <v>18827</v>
      </c>
      <c r="R99" t="s">
        <v>18828</v>
      </c>
    </row>
    <row r="100" spans="4:18">
      <c r="D100" t="s">
        <v>8480</v>
      </c>
      <c r="H100" t="s">
        <v>9925</v>
      </c>
      <c r="K100" t="s">
        <v>9940</v>
      </c>
      <c r="L100" t="s">
        <v>11911</v>
      </c>
      <c r="M100" t="s">
        <v>11912</v>
      </c>
      <c r="N100" t="s">
        <v>3963</v>
      </c>
      <c r="O100" t="s">
        <v>3963</v>
      </c>
      <c r="P100" t="s">
        <v>11913</v>
      </c>
      <c r="R100" t="s">
        <v>11914</v>
      </c>
    </row>
    <row r="101" spans="4:18">
      <c r="D101" t="s">
        <v>10865</v>
      </c>
      <c r="H101" t="s">
        <v>11065</v>
      </c>
      <c r="K101" t="s">
        <v>11066</v>
      </c>
      <c r="L101" t="s">
        <v>3963</v>
      </c>
      <c r="M101" t="s">
        <v>3963</v>
      </c>
      <c r="N101" t="s">
        <v>16134</v>
      </c>
      <c r="O101" t="s">
        <v>3963</v>
      </c>
      <c r="P101" t="s">
        <v>16134</v>
      </c>
      <c r="R101" t="s">
        <v>16135</v>
      </c>
    </row>
    <row r="102" spans="4:18">
      <c r="D102" t="s">
        <v>10952</v>
      </c>
      <c r="H102" t="s">
        <v>9848</v>
      </c>
      <c r="K102" t="s">
        <v>11067</v>
      </c>
      <c r="L102" t="s">
        <v>19457</v>
      </c>
      <c r="M102" t="s">
        <v>19458</v>
      </c>
      <c r="N102" t="s">
        <v>3963</v>
      </c>
      <c r="O102" t="s">
        <v>3963</v>
      </c>
      <c r="P102" t="s">
        <v>19459</v>
      </c>
      <c r="R102" t="s">
        <v>19460</v>
      </c>
    </row>
    <row r="103" spans="4:18">
      <c r="D103" t="s">
        <v>17816</v>
      </c>
      <c r="H103" t="s">
        <v>18421</v>
      </c>
      <c r="K103" t="s">
        <v>18422</v>
      </c>
      <c r="L103" t="s">
        <v>3963</v>
      </c>
      <c r="M103" t="s">
        <v>18829</v>
      </c>
      <c r="N103" t="s">
        <v>3963</v>
      </c>
      <c r="O103" t="s">
        <v>3963</v>
      </c>
      <c r="P103" t="s">
        <v>18829</v>
      </c>
      <c r="R103" t="s">
        <v>18830</v>
      </c>
    </row>
    <row r="104" spans="4:18">
      <c r="D104" t="s">
        <v>18531</v>
      </c>
      <c r="H104" t="s">
        <v>18831</v>
      </c>
      <c r="K104" t="s">
        <v>18832</v>
      </c>
      <c r="L104" t="s">
        <v>3963</v>
      </c>
      <c r="M104" t="s">
        <v>3963</v>
      </c>
      <c r="N104" t="s">
        <v>3963</v>
      </c>
      <c r="O104" t="s">
        <v>3963</v>
      </c>
      <c r="P104" t="s">
        <v>3963</v>
      </c>
      <c r="R104" t="s">
        <v>18832</v>
      </c>
    </row>
    <row r="105" spans="4:18">
      <c r="D105" t="s">
        <v>588</v>
      </c>
      <c r="H105" t="s">
        <v>9941</v>
      </c>
      <c r="K105" t="s">
        <v>9942</v>
      </c>
      <c r="L105" t="s">
        <v>9943</v>
      </c>
      <c r="M105" t="s">
        <v>3963</v>
      </c>
      <c r="N105" t="s">
        <v>3963</v>
      </c>
      <c r="O105" t="s">
        <v>3963</v>
      </c>
      <c r="P105" t="s">
        <v>9943</v>
      </c>
      <c r="R105" t="s">
        <v>17245</v>
      </c>
    </row>
    <row r="106" spans="4:18">
      <c r="E106" t="s">
        <v>9944</v>
      </c>
      <c r="I106" t="s">
        <v>9945</v>
      </c>
      <c r="K106" t="s">
        <v>5700</v>
      </c>
      <c r="L106" t="s">
        <v>9946</v>
      </c>
      <c r="M106" t="s">
        <v>3963</v>
      </c>
      <c r="N106" t="s">
        <v>3963</v>
      </c>
      <c r="O106" t="s">
        <v>3963</v>
      </c>
      <c r="P106" t="s">
        <v>9946</v>
      </c>
      <c r="R106" t="s">
        <v>9947</v>
      </c>
    </row>
    <row r="107" spans="4:18">
      <c r="E107" t="s">
        <v>9948</v>
      </c>
      <c r="I107" t="s">
        <v>9949</v>
      </c>
      <c r="K107" t="s">
        <v>5377</v>
      </c>
      <c r="L107" t="s">
        <v>3963</v>
      </c>
      <c r="M107" t="s">
        <v>3963</v>
      </c>
      <c r="N107" t="s">
        <v>3963</v>
      </c>
      <c r="O107" t="s">
        <v>3963</v>
      </c>
      <c r="P107" t="s">
        <v>3963</v>
      </c>
      <c r="R107" t="s">
        <v>5377</v>
      </c>
    </row>
    <row r="108" spans="4:18">
      <c r="D108" t="s">
        <v>607</v>
      </c>
      <c r="H108" t="s">
        <v>9950</v>
      </c>
      <c r="K108" t="s">
        <v>9951</v>
      </c>
      <c r="L108" t="s">
        <v>9952</v>
      </c>
      <c r="M108" t="s">
        <v>3963</v>
      </c>
      <c r="N108" t="s">
        <v>3963</v>
      </c>
      <c r="O108" t="s">
        <v>3963</v>
      </c>
      <c r="P108" t="s">
        <v>9952</v>
      </c>
      <c r="R108" t="s">
        <v>9953</v>
      </c>
    </row>
    <row r="109" spans="4:18">
      <c r="E109" t="s">
        <v>9954</v>
      </c>
      <c r="I109" t="s">
        <v>9955</v>
      </c>
      <c r="K109" t="s">
        <v>9951</v>
      </c>
      <c r="L109" t="s">
        <v>9952</v>
      </c>
      <c r="M109" t="s">
        <v>3963</v>
      </c>
      <c r="N109" t="s">
        <v>3963</v>
      </c>
      <c r="O109" t="s">
        <v>3963</v>
      </c>
      <c r="P109" t="s">
        <v>9952</v>
      </c>
      <c r="R109" t="s">
        <v>9953</v>
      </c>
    </row>
    <row r="110" spans="4:18">
      <c r="D110" t="s">
        <v>594</v>
      </c>
      <c r="H110" t="s">
        <v>5041</v>
      </c>
      <c r="K110" t="s">
        <v>4172</v>
      </c>
      <c r="L110" t="s">
        <v>3963</v>
      </c>
      <c r="M110" t="s">
        <v>3963</v>
      </c>
      <c r="N110" t="s">
        <v>3963</v>
      </c>
      <c r="O110" t="s">
        <v>3963</v>
      </c>
      <c r="P110" t="s">
        <v>3963</v>
      </c>
      <c r="R110" t="s">
        <v>4172</v>
      </c>
    </row>
    <row r="111" spans="4:18">
      <c r="E111" t="s">
        <v>9956</v>
      </c>
      <c r="I111" t="s">
        <v>9957</v>
      </c>
      <c r="K111" t="s">
        <v>4172</v>
      </c>
      <c r="L111" t="s">
        <v>3963</v>
      </c>
      <c r="M111" t="s">
        <v>3963</v>
      </c>
      <c r="N111" t="s">
        <v>3963</v>
      </c>
      <c r="O111" t="s">
        <v>3963</v>
      </c>
      <c r="P111" t="s">
        <v>3963</v>
      </c>
      <c r="R111" t="s">
        <v>4172</v>
      </c>
    </row>
    <row r="112" spans="4:18">
      <c r="D112" t="s">
        <v>595</v>
      </c>
      <c r="H112" t="s">
        <v>9958</v>
      </c>
      <c r="K112" t="s">
        <v>4661</v>
      </c>
      <c r="L112" t="s">
        <v>9959</v>
      </c>
      <c r="M112" t="s">
        <v>3963</v>
      </c>
      <c r="N112" t="s">
        <v>3963</v>
      </c>
      <c r="O112" t="s">
        <v>3963</v>
      </c>
      <c r="P112" t="s">
        <v>9959</v>
      </c>
      <c r="R112" t="s">
        <v>9960</v>
      </c>
    </row>
    <row r="113" spans="4:18">
      <c r="E113" t="s">
        <v>9961</v>
      </c>
      <c r="I113" t="s">
        <v>9962</v>
      </c>
      <c r="K113" t="s">
        <v>4661</v>
      </c>
      <c r="L113" t="s">
        <v>9959</v>
      </c>
      <c r="M113" t="s">
        <v>3963</v>
      </c>
      <c r="N113" t="s">
        <v>3963</v>
      </c>
      <c r="O113" t="s">
        <v>3963</v>
      </c>
      <c r="P113" t="s">
        <v>9959</v>
      </c>
      <c r="R113" t="s">
        <v>9960</v>
      </c>
    </row>
    <row r="114" spans="4:18">
      <c r="D114" t="s">
        <v>672</v>
      </c>
      <c r="H114" t="s">
        <v>9963</v>
      </c>
      <c r="K114" t="s">
        <v>4162</v>
      </c>
      <c r="L114" t="s">
        <v>3963</v>
      </c>
      <c r="M114" t="s">
        <v>3963</v>
      </c>
      <c r="N114" t="s">
        <v>3963</v>
      </c>
      <c r="O114" t="s">
        <v>3963</v>
      </c>
      <c r="P114" t="s">
        <v>3963</v>
      </c>
      <c r="R114" t="s">
        <v>4162</v>
      </c>
    </row>
    <row r="115" spans="4:18">
      <c r="E115" t="s">
        <v>9964</v>
      </c>
      <c r="I115" t="s">
        <v>9965</v>
      </c>
      <c r="K115" t="s">
        <v>4162</v>
      </c>
      <c r="L115" t="s">
        <v>3963</v>
      </c>
      <c r="M115" t="s">
        <v>3963</v>
      </c>
      <c r="N115" t="s">
        <v>3963</v>
      </c>
      <c r="O115" t="s">
        <v>3963</v>
      </c>
      <c r="P115" t="s">
        <v>3963</v>
      </c>
      <c r="R115" t="s">
        <v>4162</v>
      </c>
    </row>
    <row r="116" spans="4:18">
      <c r="D116" t="s">
        <v>660</v>
      </c>
      <c r="H116" t="s">
        <v>9966</v>
      </c>
      <c r="K116" t="s">
        <v>9967</v>
      </c>
      <c r="L116" t="s">
        <v>9968</v>
      </c>
      <c r="M116" t="s">
        <v>3963</v>
      </c>
      <c r="N116" t="s">
        <v>3963</v>
      </c>
      <c r="O116" t="s">
        <v>3963</v>
      </c>
      <c r="P116" t="s">
        <v>9968</v>
      </c>
      <c r="R116" t="s">
        <v>9969</v>
      </c>
    </row>
    <row r="117" spans="4:18">
      <c r="D117" t="s">
        <v>1537</v>
      </c>
      <c r="H117" t="s">
        <v>9970</v>
      </c>
      <c r="K117" t="s">
        <v>3994</v>
      </c>
      <c r="L117" t="s">
        <v>9971</v>
      </c>
      <c r="M117" t="s">
        <v>3963</v>
      </c>
      <c r="N117" t="s">
        <v>3963</v>
      </c>
      <c r="O117" t="s">
        <v>3963</v>
      </c>
      <c r="P117" t="s">
        <v>9971</v>
      </c>
      <c r="R117" t="s">
        <v>9972</v>
      </c>
    </row>
    <row r="118" spans="4:18">
      <c r="D118" t="s">
        <v>706</v>
      </c>
      <c r="H118" t="s">
        <v>5146</v>
      </c>
      <c r="K118" t="s">
        <v>9973</v>
      </c>
      <c r="L118" t="s">
        <v>9974</v>
      </c>
      <c r="M118" t="s">
        <v>3963</v>
      </c>
      <c r="N118" t="s">
        <v>3963</v>
      </c>
      <c r="O118" t="s">
        <v>3963</v>
      </c>
      <c r="P118" t="s">
        <v>9974</v>
      </c>
      <c r="R118" t="s">
        <v>9975</v>
      </c>
    </row>
    <row r="119" spans="4:18">
      <c r="E119" t="s">
        <v>9976</v>
      </c>
      <c r="I119" t="s">
        <v>9977</v>
      </c>
      <c r="K119" t="s">
        <v>9973</v>
      </c>
      <c r="L119" t="s">
        <v>9974</v>
      </c>
      <c r="M119" t="s">
        <v>3963</v>
      </c>
      <c r="N119" t="s">
        <v>3963</v>
      </c>
      <c r="O119" t="s">
        <v>3963</v>
      </c>
      <c r="P119" t="s">
        <v>9974</v>
      </c>
      <c r="R119" t="s">
        <v>9975</v>
      </c>
    </row>
    <row r="120" spans="4:18">
      <c r="D120" t="s">
        <v>656</v>
      </c>
      <c r="H120" t="s">
        <v>5155</v>
      </c>
      <c r="K120" t="s">
        <v>9978</v>
      </c>
      <c r="L120" t="s">
        <v>18423</v>
      </c>
      <c r="M120" t="s">
        <v>3963</v>
      </c>
      <c r="N120" t="s">
        <v>3963</v>
      </c>
      <c r="O120" t="s">
        <v>3963</v>
      </c>
      <c r="P120" t="s">
        <v>18423</v>
      </c>
      <c r="R120" t="s">
        <v>18424</v>
      </c>
    </row>
    <row r="121" spans="4:18">
      <c r="E121" t="s">
        <v>9979</v>
      </c>
      <c r="I121" t="s">
        <v>9980</v>
      </c>
      <c r="K121" t="s">
        <v>9978</v>
      </c>
      <c r="L121" t="s">
        <v>18423</v>
      </c>
      <c r="M121" t="s">
        <v>3963</v>
      </c>
      <c r="N121" t="s">
        <v>3963</v>
      </c>
      <c r="O121" t="s">
        <v>3963</v>
      </c>
      <c r="P121" t="s">
        <v>18423</v>
      </c>
      <c r="R121" t="s">
        <v>18424</v>
      </c>
    </row>
    <row r="122" spans="4:18">
      <c r="D122" t="s">
        <v>675</v>
      </c>
      <c r="H122" t="s">
        <v>9981</v>
      </c>
      <c r="K122" t="s">
        <v>9982</v>
      </c>
      <c r="L122" t="s">
        <v>9983</v>
      </c>
      <c r="M122" t="s">
        <v>3963</v>
      </c>
      <c r="N122" t="s">
        <v>3963</v>
      </c>
      <c r="O122" t="s">
        <v>3963</v>
      </c>
      <c r="P122" t="s">
        <v>9983</v>
      </c>
      <c r="R122" t="s">
        <v>9984</v>
      </c>
    </row>
    <row r="123" spans="4:18">
      <c r="E123" t="s">
        <v>9985</v>
      </c>
      <c r="I123" t="s">
        <v>9986</v>
      </c>
      <c r="K123" t="s">
        <v>9987</v>
      </c>
      <c r="L123" t="s">
        <v>9988</v>
      </c>
      <c r="M123" t="s">
        <v>3963</v>
      </c>
      <c r="N123" t="s">
        <v>3963</v>
      </c>
      <c r="O123" t="s">
        <v>3963</v>
      </c>
      <c r="P123" t="s">
        <v>9988</v>
      </c>
      <c r="R123" t="s">
        <v>9984</v>
      </c>
    </row>
    <row r="124" spans="4:18">
      <c r="E124" t="s">
        <v>9989</v>
      </c>
      <c r="I124" t="s">
        <v>9990</v>
      </c>
      <c r="K124" t="s">
        <v>9991</v>
      </c>
      <c r="L124" t="s">
        <v>9991</v>
      </c>
      <c r="M124" t="s">
        <v>3963</v>
      </c>
      <c r="N124" t="s">
        <v>3963</v>
      </c>
      <c r="O124" t="s">
        <v>3963</v>
      </c>
      <c r="P124" t="s">
        <v>9991</v>
      </c>
      <c r="R124" t="s">
        <v>3963</v>
      </c>
    </row>
    <row r="125" spans="4:18">
      <c r="D125" t="s">
        <v>710</v>
      </c>
      <c r="H125" t="s">
        <v>3333</v>
      </c>
      <c r="K125" t="s">
        <v>9992</v>
      </c>
      <c r="L125" t="s">
        <v>17691</v>
      </c>
      <c r="M125" t="s">
        <v>18833</v>
      </c>
      <c r="N125" t="s">
        <v>3963</v>
      </c>
      <c r="O125" t="s">
        <v>3963</v>
      </c>
      <c r="P125" t="s">
        <v>18834</v>
      </c>
      <c r="R125" t="s">
        <v>18835</v>
      </c>
    </row>
    <row r="126" spans="4:18">
      <c r="E126" t="s">
        <v>6854</v>
      </c>
      <c r="I126" t="s">
        <v>9993</v>
      </c>
      <c r="K126" t="s">
        <v>9994</v>
      </c>
      <c r="L126" t="s">
        <v>17692</v>
      </c>
      <c r="M126" t="s">
        <v>17693</v>
      </c>
      <c r="N126" t="s">
        <v>3963</v>
      </c>
      <c r="O126" t="s">
        <v>3963</v>
      </c>
      <c r="P126" t="s">
        <v>17694</v>
      </c>
      <c r="R126" t="s">
        <v>17695</v>
      </c>
    </row>
    <row r="127" spans="4:18">
      <c r="E127" t="s">
        <v>6855</v>
      </c>
      <c r="I127" t="s">
        <v>9995</v>
      </c>
      <c r="K127" t="s">
        <v>9996</v>
      </c>
      <c r="L127" t="s">
        <v>9997</v>
      </c>
      <c r="M127" t="s">
        <v>18836</v>
      </c>
      <c r="N127" t="s">
        <v>3963</v>
      </c>
      <c r="O127" t="s">
        <v>3963</v>
      </c>
      <c r="P127" t="s">
        <v>18837</v>
      </c>
      <c r="R127" t="s">
        <v>18838</v>
      </c>
    </row>
    <row r="128" spans="4:18">
      <c r="E128" t="s">
        <v>9998</v>
      </c>
      <c r="I128" t="s">
        <v>9999</v>
      </c>
      <c r="K128" t="s">
        <v>10000</v>
      </c>
      <c r="L128" t="s">
        <v>10001</v>
      </c>
      <c r="M128" t="s">
        <v>3963</v>
      </c>
      <c r="N128" t="s">
        <v>3963</v>
      </c>
      <c r="O128" t="s">
        <v>3963</v>
      </c>
      <c r="P128" t="s">
        <v>10001</v>
      </c>
      <c r="R128" t="s">
        <v>10002</v>
      </c>
    </row>
    <row r="129" spans="4:18">
      <c r="E129" t="s">
        <v>10003</v>
      </c>
      <c r="I129" t="s">
        <v>10004</v>
      </c>
      <c r="K129" t="s">
        <v>3994</v>
      </c>
      <c r="L129" t="s">
        <v>10005</v>
      </c>
      <c r="M129" t="s">
        <v>3963</v>
      </c>
      <c r="N129" t="s">
        <v>3963</v>
      </c>
      <c r="O129" t="s">
        <v>3963</v>
      </c>
      <c r="P129" t="s">
        <v>10005</v>
      </c>
      <c r="R129" t="s">
        <v>10006</v>
      </c>
    </row>
    <row r="130" spans="4:18">
      <c r="E130" t="s">
        <v>10007</v>
      </c>
      <c r="I130" t="s">
        <v>10008</v>
      </c>
      <c r="K130" t="s">
        <v>10009</v>
      </c>
      <c r="L130" t="s">
        <v>10010</v>
      </c>
      <c r="M130" t="s">
        <v>3963</v>
      </c>
      <c r="N130" t="s">
        <v>3963</v>
      </c>
      <c r="O130" t="s">
        <v>3963</v>
      </c>
      <c r="P130" t="s">
        <v>10010</v>
      </c>
      <c r="R130" t="s">
        <v>10011</v>
      </c>
    </row>
    <row r="131" spans="4:18">
      <c r="E131" t="s">
        <v>10012</v>
      </c>
      <c r="I131" t="s">
        <v>10013</v>
      </c>
      <c r="K131" t="s">
        <v>10014</v>
      </c>
      <c r="L131" t="s">
        <v>10015</v>
      </c>
      <c r="M131" t="s">
        <v>3963</v>
      </c>
      <c r="N131" t="s">
        <v>3963</v>
      </c>
      <c r="O131" t="s">
        <v>3963</v>
      </c>
      <c r="P131" t="s">
        <v>10015</v>
      </c>
      <c r="R131" t="s">
        <v>10016</v>
      </c>
    </row>
    <row r="132" spans="4:18">
      <c r="D132" t="s">
        <v>1052</v>
      </c>
      <c r="H132" t="s">
        <v>10017</v>
      </c>
      <c r="K132" t="s">
        <v>3994</v>
      </c>
      <c r="L132" t="s">
        <v>10018</v>
      </c>
      <c r="M132" t="s">
        <v>3963</v>
      </c>
      <c r="N132" t="s">
        <v>3963</v>
      </c>
      <c r="O132" t="s">
        <v>3963</v>
      </c>
      <c r="P132" t="s">
        <v>10018</v>
      </c>
      <c r="R132" t="s">
        <v>10019</v>
      </c>
    </row>
    <row r="133" spans="4:18">
      <c r="D133" t="s">
        <v>1692</v>
      </c>
      <c r="H133" t="s">
        <v>10020</v>
      </c>
      <c r="K133" t="s">
        <v>5947</v>
      </c>
      <c r="L133" t="s">
        <v>10021</v>
      </c>
      <c r="M133" t="s">
        <v>3963</v>
      </c>
      <c r="N133" t="s">
        <v>3963</v>
      </c>
      <c r="O133" t="s">
        <v>3963</v>
      </c>
      <c r="P133" t="s">
        <v>10021</v>
      </c>
      <c r="R133" t="s">
        <v>10022</v>
      </c>
    </row>
    <row r="134" spans="4:18">
      <c r="E134" t="s">
        <v>10023</v>
      </c>
      <c r="I134" t="s">
        <v>10024</v>
      </c>
      <c r="K134" t="s">
        <v>5947</v>
      </c>
      <c r="L134" t="s">
        <v>10021</v>
      </c>
      <c r="M134" t="s">
        <v>3963</v>
      </c>
      <c r="N134" t="s">
        <v>3963</v>
      </c>
      <c r="O134" t="s">
        <v>3963</v>
      </c>
      <c r="P134" t="s">
        <v>10021</v>
      </c>
      <c r="R134" t="s">
        <v>10022</v>
      </c>
    </row>
    <row r="135" spans="4:18">
      <c r="D135" t="s">
        <v>812</v>
      </c>
      <c r="H135" t="s">
        <v>10025</v>
      </c>
      <c r="K135" t="s">
        <v>10026</v>
      </c>
      <c r="L135" t="s">
        <v>10027</v>
      </c>
      <c r="M135" t="s">
        <v>3963</v>
      </c>
      <c r="N135" t="s">
        <v>3963</v>
      </c>
      <c r="O135" t="s">
        <v>3963</v>
      </c>
      <c r="P135" t="s">
        <v>10027</v>
      </c>
      <c r="R135" t="s">
        <v>10028</v>
      </c>
    </row>
    <row r="136" spans="4:18">
      <c r="E136" t="s">
        <v>10029</v>
      </c>
      <c r="I136" t="s">
        <v>10030</v>
      </c>
      <c r="K136" t="s">
        <v>10026</v>
      </c>
      <c r="L136" t="s">
        <v>10027</v>
      </c>
      <c r="M136" t="s">
        <v>3963</v>
      </c>
      <c r="N136" t="s">
        <v>3963</v>
      </c>
      <c r="O136" t="s">
        <v>3963</v>
      </c>
      <c r="P136" t="s">
        <v>10027</v>
      </c>
      <c r="R136" t="s">
        <v>10028</v>
      </c>
    </row>
    <row r="137" spans="4:18">
      <c r="D137" t="s">
        <v>854</v>
      </c>
      <c r="H137" t="s">
        <v>10031</v>
      </c>
      <c r="K137" t="s">
        <v>10032</v>
      </c>
      <c r="L137" t="s">
        <v>10033</v>
      </c>
      <c r="M137" t="s">
        <v>3963</v>
      </c>
      <c r="N137" t="s">
        <v>3963</v>
      </c>
      <c r="O137" t="s">
        <v>3963</v>
      </c>
      <c r="P137" t="s">
        <v>10033</v>
      </c>
      <c r="R137" t="s">
        <v>10034</v>
      </c>
    </row>
    <row r="138" spans="4:18">
      <c r="E138" t="s">
        <v>10035</v>
      </c>
      <c r="I138" t="s">
        <v>10036</v>
      </c>
      <c r="K138" t="s">
        <v>10037</v>
      </c>
      <c r="L138" t="s">
        <v>10038</v>
      </c>
      <c r="M138" t="s">
        <v>3963</v>
      </c>
      <c r="N138" t="s">
        <v>3963</v>
      </c>
      <c r="O138" t="s">
        <v>3963</v>
      </c>
      <c r="P138" t="s">
        <v>10038</v>
      </c>
      <c r="R138" t="s">
        <v>10039</v>
      </c>
    </row>
    <row r="139" spans="4:18">
      <c r="E139" t="s">
        <v>10040</v>
      </c>
      <c r="I139" t="s">
        <v>10041</v>
      </c>
      <c r="K139" t="s">
        <v>10042</v>
      </c>
      <c r="L139" t="s">
        <v>10043</v>
      </c>
      <c r="M139" t="s">
        <v>3963</v>
      </c>
      <c r="N139" t="s">
        <v>3963</v>
      </c>
      <c r="O139" t="s">
        <v>3963</v>
      </c>
      <c r="P139" t="s">
        <v>10043</v>
      </c>
      <c r="R139" t="s">
        <v>10044</v>
      </c>
    </row>
    <row r="140" spans="4:18">
      <c r="E140" t="s">
        <v>10045</v>
      </c>
      <c r="I140" t="s">
        <v>10046</v>
      </c>
      <c r="K140" t="s">
        <v>10047</v>
      </c>
      <c r="L140" t="s">
        <v>3963</v>
      </c>
      <c r="M140" t="s">
        <v>3963</v>
      </c>
      <c r="N140" t="s">
        <v>3963</v>
      </c>
      <c r="O140" t="s">
        <v>3963</v>
      </c>
      <c r="P140" t="s">
        <v>3963</v>
      </c>
      <c r="R140" t="s">
        <v>10047</v>
      </c>
    </row>
    <row r="141" spans="4:18">
      <c r="D141" t="s">
        <v>723</v>
      </c>
      <c r="H141" t="s">
        <v>10048</v>
      </c>
      <c r="K141" t="s">
        <v>10049</v>
      </c>
      <c r="L141" t="s">
        <v>10050</v>
      </c>
      <c r="M141" t="s">
        <v>3963</v>
      </c>
      <c r="N141" t="s">
        <v>3963</v>
      </c>
      <c r="O141" t="s">
        <v>3963</v>
      </c>
      <c r="P141" t="s">
        <v>10050</v>
      </c>
      <c r="R141" t="s">
        <v>10051</v>
      </c>
    </row>
    <row r="142" spans="4:18">
      <c r="E142" t="s">
        <v>10052</v>
      </c>
      <c r="I142" t="s">
        <v>10053</v>
      </c>
      <c r="K142" t="s">
        <v>10054</v>
      </c>
      <c r="L142" t="s">
        <v>10055</v>
      </c>
      <c r="M142" t="s">
        <v>3963</v>
      </c>
      <c r="N142" t="s">
        <v>3963</v>
      </c>
      <c r="O142" t="s">
        <v>3963</v>
      </c>
      <c r="P142" t="s">
        <v>10055</v>
      </c>
      <c r="R142" t="s">
        <v>10056</v>
      </c>
    </row>
    <row r="143" spans="4:18">
      <c r="E143" t="s">
        <v>10057</v>
      </c>
      <c r="I143" t="s">
        <v>10058</v>
      </c>
      <c r="K143" t="s">
        <v>10059</v>
      </c>
      <c r="L143" t="s">
        <v>10060</v>
      </c>
      <c r="M143" t="s">
        <v>3963</v>
      </c>
      <c r="N143" t="s">
        <v>3963</v>
      </c>
      <c r="O143" t="s">
        <v>3963</v>
      </c>
      <c r="P143" t="s">
        <v>10060</v>
      </c>
      <c r="R143" t="s">
        <v>10061</v>
      </c>
    </row>
    <row r="144" spans="4:18">
      <c r="E144" t="s">
        <v>10062</v>
      </c>
      <c r="I144" t="s">
        <v>10063</v>
      </c>
      <c r="K144" t="s">
        <v>10064</v>
      </c>
      <c r="L144" t="s">
        <v>10065</v>
      </c>
      <c r="M144" t="s">
        <v>3963</v>
      </c>
      <c r="N144" t="s">
        <v>3963</v>
      </c>
      <c r="O144" t="s">
        <v>3963</v>
      </c>
      <c r="P144" t="s">
        <v>10065</v>
      </c>
      <c r="R144" t="s">
        <v>10066</v>
      </c>
    </row>
    <row r="145" spans="4:18">
      <c r="E145" t="s">
        <v>10067</v>
      </c>
      <c r="I145" t="s">
        <v>10068</v>
      </c>
      <c r="K145" t="s">
        <v>10069</v>
      </c>
      <c r="L145" t="s">
        <v>10070</v>
      </c>
      <c r="M145" t="s">
        <v>3963</v>
      </c>
      <c r="N145" t="s">
        <v>3963</v>
      </c>
      <c r="O145" t="s">
        <v>3963</v>
      </c>
      <c r="P145" t="s">
        <v>10070</v>
      </c>
      <c r="R145" t="s">
        <v>10071</v>
      </c>
    </row>
    <row r="146" spans="4:18">
      <c r="E146" t="s">
        <v>10072</v>
      </c>
      <c r="I146" t="s">
        <v>10073</v>
      </c>
      <c r="K146" t="s">
        <v>10074</v>
      </c>
      <c r="L146" t="s">
        <v>10075</v>
      </c>
      <c r="M146" t="s">
        <v>3963</v>
      </c>
      <c r="N146" t="s">
        <v>3963</v>
      </c>
      <c r="O146" t="s">
        <v>3963</v>
      </c>
      <c r="P146" t="s">
        <v>10075</v>
      </c>
      <c r="R146" t="s">
        <v>10076</v>
      </c>
    </row>
    <row r="147" spans="4:18">
      <c r="E147" t="s">
        <v>10077</v>
      </c>
      <c r="I147" t="s">
        <v>10078</v>
      </c>
      <c r="K147" t="s">
        <v>10079</v>
      </c>
      <c r="L147" t="s">
        <v>3963</v>
      </c>
      <c r="M147" t="s">
        <v>3963</v>
      </c>
      <c r="N147" t="s">
        <v>3963</v>
      </c>
      <c r="O147" t="s">
        <v>3963</v>
      </c>
      <c r="P147" t="s">
        <v>3963</v>
      </c>
      <c r="R147" t="s">
        <v>10079</v>
      </c>
    </row>
    <row r="148" spans="4:18">
      <c r="D148" t="s">
        <v>757</v>
      </c>
      <c r="H148" t="s">
        <v>10080</v>
      </c>
      <c r="K148" t="s">
        <v>6166</v>
      </c>
      <c r="L148" t="s">
        <v>3963</v>
      </c>
      <c r="M148" t="s">
        <v>3963</v>
      </c>
      <c r="N148" t="s">
        <v>3963</v>
      </c>
      <c r="O148" t="s">
        <v>3963</v>
      </c>
      <c r="P148" t="s">
        <v>3963</v>
      </c>
      <c r="R148" t="s">
        <v>6166</v>
      </c>
    </row>
    <row r="149" spans="4:18">
      <c r="E149" t="s">
        <v>10081</v>
      </c>
      <c r="I149" t="s">
        <v>10082</v>
      </c>
      <c r="K149" t="s">
        <v>6166</v>
      </c>
      <c r="L149" t="s">
        <v>3963</v>
      </c>
      <c r="M149" t="s">
        <v>3963</v>
      </c>
      <c r="N149" t="s">
        <v>3963</v>
      </c>
      <c r="O149" t="s">
        <v>3963</v>
      </c>
      <c r="P149" t="s">
        <v>3963</v>
      </c>
      <c r="R149" t="s">
        <v>6166</v>
      </c>
    </row>
    <row r="150" spans="4:18">
      <c r="D150" t="s">
        <v>800</v>
      </c>
      <c r="H150" t="s">
        <v>10083</v>
      </c>
      <c r="K150" t="s">
        <v>4162</v>
      </c>
      <c r="L150" t="s">
        <v>10084</v>
      </c>
      <c r="M150" t="s">
        <v>3963</v>
      </c>
      <c r="N150" t="s">
        <v>3963</v>
      </c>
      <c r="O150" t="s">
        <v>3963</v>
      </c>
      <c r="P150" t="s">
        <v>10084</v>
      </c>
      <c r="R150" t="s">
        <v>10085</v>
      </c>
    </row>
    <row r="151" spans="4:18">
      <c r="E151" t="s">
        <v>10086</v>
      </c>
      <c r="I151" t="s">
        <v>10087</v>
      </c>
      <c r="K151" t="s">
        <v>4162</v>
      </c>
      <c r="L151" t="s">
        <v>10084</v>
      </c>
      <c r="M151" t="s">
        <v>3963</v>
      </c>
      <c r="N151" t="s">
        <v>3963</v>
      </c>
      <c r="O151" t="s">
        <v>3963</v>
      </c>
      <c r="P151" t="s">
        <v>10084</v>
      </c>
      <c r="R151" t="s">
        <v>10085</v>
      </c>
    </row>
    <row r="152" spans="4:18">
      <c r="D152" t="s">
        <v>745</v>
      </c>
      <c r="H152" t="s">
        <v>10088</v>
      </c>
      <c r="K152" t="s">
        <v>10089</v>
      </c>
      <c r="L152" t="s">
        <v>10090</v>
      </c>
      <c r="M152" t="s">
        <v>10091</v>
      </c>
      <c r="N152" t="s">
        <v>3963</v>
      </c>
      <c r="O152" t="s">
        <v>3963</v>
      </c>
      <c r="P152" t="s">
        <v>10092</v>
      </c>
      <c r="R152" t="s">
        <v>10093</v>
      </c>
    </row>
    <row r="153" spans="4:18">
      <c r="E153" t="s">
        <v>10094</v>
      </c>
      <c r="I153" t="s">
        <v>10095</v>
      </c>
      <c r="K153" t="s">
        <v>10096</v>
      </c>
      <c r="L153" t="s">
        <v>10097</v>
      </c>
      <c r="M153" t="s">
        <v>10091</v>
      </c>
      <c r="N153" t="s">
        <v>3963</v>
      </c>
      <c r="O153" t="s">
        <v>3963</v>
      </c>
      <c r="P153" t="s">
        <v>10098</v>
      </c>
      <c r="R153" t="s">
        <v>10099</v>
      </c>
    </row>
    <row r="154" spans="4:18">
      <c r="E154" t="s">
        <v>10100</v>
      </c>
      <c r="I154" t="s">
        <v>10101</v>
      </c>
      <c r="K154" t="s">
        <v>4182</v>
      </c>
      <c r="L154" t="s">
        <v>10102</v>
      </c>
      <c r="M154" t="s">
        <v>3963</v>
      </c>
      <c r="N154" t="s">
        <v>3963</v>
      </c>
      <c r="O154" t="s">
        <v>3963</v>
      </c>
      <c r="P154" t="s">
        <v>10102</v>
      </c>
      <c r="R154" t="s">
        <v>10103</v>
      </c>
    </row>
    <row r="155" spans="4:18">
      <c r="D155" t="s">
        <v>798</v>
      </c>
      <c r="H155" t="s">
        <v>10104</v>
      </c>
      <c r="K155" t="s">
        <v>10105</v>
      </c>
      <c r="L155" t="s">
        <v>10106</v>
      </c>
      <c r="M155" t="s">
        <v>3963</v>
      </c>
      <c r="N155" t="s">
        <v>3963</v>
      </c>
      <c r="O155" t="s">
        <v>3963</v>
      </c>
      <c r="P155" t="s">
        <v>10106</v>
      </c>
      <c r="R155" t="s">
        <v>10107</v>
      </c>
    </row>
    <row r="156" spans="4:18">
      <c r="E156" t="s">
        <v>10108</v>
      </c>
      <c r="I156" t="s">
        <v>10109</v>
      </c>
      <c r="K156" t="s">
        <v>10105</v>
      </c>
      <c r="L156" t="s">
        <v>10106</v>
      </c>
      <c r="M156" t="s">
        <v>3963</v>
      </c>
      <c r="N156" t="s">
        <v>3963</v>
      </c>
      <c r="O156" t="s">
        <v>3963</v>
      </c>
      <c r="P156" t="s">
        <v>10106</v>
      </c>
      <c r="R156" t="s">
        <v>10107</v>
      </c>
    </row>
    <row r="157" spans="4:18">
      <c r="D157" t="s">
        <v>845</v>
      </c>
      <c r="H157" t="s">
        <v>10110</v>
      </c>
      <c r="K157" t="s">
        <v>10111</v>
      </c>
      <c r="L157" t="s">
        <v>3963</v>
      </c>
      <c r="M157" t="s">
        <v>3963</v>
      </c>
      <c r="N157" t="s">
        <v>3963</v>
      </c>
      <c r="O157" t="s">
        <v>3963</v>
      </c>
      <c r="P157" t="s">
        <v>3963</v>
      </c>
      <c r="R157" t="s">
        <v>10111</v>
      </c>
    </row>
    <row r="158" spans="4:18">
      <c r="E158" t="s">
        <v>10112</v>
      </c>
      <c r="I158" t="s">
        <v>10113</v>
      </c>
      <c r="K158" t="s">
        <v>10114</v>
      </c>
      <c r="L158" t="s">
        <v>3963</v>
      </c>
      <c r="M158" t="s">
        <v>3963</v>
      </c>
      <c r="N158" t="s">
        <v>3963</v>
      </c>
      <c r="O158" t="s">
        <v>3963</v>
      </c>
      <c r="P158" t="s">
        <v>3963</v>
      </c>
      <c r="R158" t="s">
        <v>10114</v>
      </c>
    </row>
    <row r="159" spans="4:18">
      <c r="E159" t="s">
        <v>10115</v>
      </c>
      <c r="I159" t="s">
        <v>10116</v>
      </c>
      <c r="K159" t="s">
        <v>10117</v>
      </c>
      <c r="L159" t="s">
        <v>3963</v>
      </c>
      <c r="M159" t="s">
        <v>3963</v>
      </c>
      <c r="N159" t="s">
        <v>3963</v>
      </c>
      <c r="O159" t="s">
        <v>3963</v>
      </c>
      <c r="P159" t="s">
        <v>3963</v>
      </c>
      <c r="R159" t="s">
        <v>10117</v>
      </c>
    </row>
    <row r="160" spans="4:18">
      <c r="D160" t="s">
        <v>855</v>
      </c>
      <c r="H160" t="s">
        <v>10118</v>
      </c>
      <c r="K160" t="s">
        <v>4699</v>
      </c>
      <c r="L160" t="s">
        <v>3963</v>
      </c>
      <c r="M160" t="s">
        <v>3963</v>
      </c>
      <c r="N160" t="s">
        <v>3963</v>
      </c>
      <c r="O160" t="s">
        <v>3963</v>
      </c>
      <c r="P160" t="s">
        <v>3963</v>
      </c>
      <c r="R160" t="s">
        <v>4699</v>
      </c>
    </row>
    <row r="161" spans="4:18">
      <c r="E161" t="s">
        <v>10119</v>
      </c>
      <c r="I161" t="s">
        <v>10120</v>
      </c>
      <c r="K161" t="s">
        <v>4699</v>
      </c>
      <c r="L161" t="s">
        <v>3963</v>
      </c>
      <c r="M161" t="s">
        <v>3963</v>
      </c>
      <c r="N161" t="s">
        <v>3963</v>
      </c>
      <c r="O161" t="s">
        <v>3963</v>
      </c>
      <c r="P161" t="s">
        <v>3963</v>
      </c>
      <c r="R161" t="s">
        <v>4699</v>
      </c>
    </row>
    <row r="162" spans="4:18">
      <c r="D162" t="s">
        <v>852</v>
      </c>
      <c r="H162" t="s">
        <v>10121</v>
      </c>
      <c r="K162" t="s">
        <v>10122</v>
      </c>
      <c r="L162" t="s">
        <v>10123</v>
      </c>
      <c r="M162" t="s">
        <v>3963</v>
      </c>
      <c r="N162" t="s">
        <v>3963</v>
      </c>
      <c r="O162" t="s">
        <v>3963</v>
      </c>
      <c r="P162" t="s">
        <v>10123</v>
      </c>
      <c r="R162" t="s">
        <v>10124</v>
      </c>
    </row>
    <row r="163" spans="4:18">
      <c r="E163" t="s">
        <v>10125</v>
      </c>
      <c r="I163" t="s">
        <v>10126</v>
      </c>
      <c r="K163" t="s">
        <v>4765</v>
      </c>
      <c r="L163" t="s">
        <v>10127</v>
      </c>
      <c r="M163" t="s">
        <v>3963</v>
      </c>
      <c r="N163" t="s">
        <v>3963</v>
      </c>
      <c r="O163" t="s">
        <v>3963</v>
      </c>
      <c r="P163" t="s">
        <v>10127</v>
      </c>
      <c r="R163" t="s">
        <v>10128</v>
      </c>
    </row>
    <row r="164" spans="4:18">
      <c r="E164" t="s">
        <v>10129</v>
      </c>
      <c r="I164" t="s">
        <v>10130</v>
      </c>
      <c r="K164" t="s">
        <v>4699</v>
      </c>
      <c r="L164" t="s">
        <v>10131</v>
      </c>
      <c r="M164" t="s">
        <v>3963</v>
      </c>
      <c r="N164" t="s">
        <v>3963</v>
      </c>
      <c r="O164" t="s">
        <v>3963</v>
      </c>
      <c r="P164" t="s">
        <v>10131</v>
      </c>
      <c r="R164" t="s">
        <v>10132</v>
      </c>
    </row>
    <row r="165" spans="4:18">
      <c r="E165" t="s">
        <v>10133</v>
      </c>
      <c r="I165" t="s">
        <v>10134</v>
      </c>
      <c r="K165" t="s">
        <v>4244</v>
      </c>
      <c r="L165" t="s">
        <v>10135</v>
      </c>
      <c r="M165" t="s">
        <v>3963</v>
      </c>
      <c r="N165" t="s">
        <v>3963</v>
      </c>
      <c r="O165" t="s">
        <v>3963</v>
      </c>
      <c r="P165" t="s">
        <v>10135</v>
      </c>
      <c r="R165" t="s">
        <v>10136</v>
      </c>
    </row>
    <row r="166" spans="4:18">
      <c r="E166" t="s">
        <v>10137</v>
      </c>
      <c r="I166" t="s">
        <v>10138</v>
      </c>
      <c r="K166" t="s">
        <v>4091</v>
      </c>
      <c r="L166" t="s">
        <v>10139</v>
      </c>
      <c r="M166" t="s">
        <v>3963</v>
      </c>
      <c r="N166" t="s">
        <v>3963</v>
      </c>
      <c r="O166" t="s">
        <v>3963</v>
      </c>
      <c r="P166" t="s">
        <v>10139</v>
      </c>
      <c r="R166" t="s">
        <v>10140</v>
      </c>
    </row>
    <row r="167" spans="4:18">
      <c r="E167" t="s">
        <v>10141</v>
      </c>
      <c r="I167" t="s">
        <v>10142</v>
      </c>
      <c r="K167" t="s">
        <v>10143</v>
      </c>
      <c r="L167" t="s">
        <v>10144</v>
      </c>
      <c r="M167" t="s">
        <v>3963</v>
      </c>
      <c r="N167" t="s">
        <v>3963</v>
      </c>
      <c r="O167" t="s">
        <v>3963</v>
      </c>
      <c r="P167" t="s">
        <v>10144</v>
      </c>
      <c r="R167" t="s">
        <v>10145</v>
      </c>
    </row>
    <row r="168" spans="4:18">
      <c r="D168" t="s">
        <v>1075</v>
      </c>
      <c r="H168" t="s">
        <v>10146</v>
      </c>
      <c r="K168" t="s">
        <v>10147</v>
      </c>
      <c r="L168" t="s">
        <v>18425</v>
      </c>
      <c r="M168" t="s">
        <v>18839</v>
      </c>
      <c r="N168" t="s">
        <v>3963</v>
      </c>
      <c r="O168" t="s">
        <v>3963</v>
      </c>
      <c r="P168" t="s">
        <v>18840</v>
      </c>
      <c r="R168" t="s">
        <v>18841</v>
      </c>
    </row>
    <row r="169" spans="4:18">
      <c r="E169" t="s">
        <v>10148</v>
      </c>
      <c r="I169" t="s">
        <v>10149</v>
      </c>
      <c r="K169" t="s">
        <v>4088</v>
      </c>
      <c r="L169" t="s">
        <v>18425</v>
      </c>
      <c r="M169" t="s">
        <v>18839</v>
      </c>
      <c r="N169" t="s">
        <v>3963</v>
      </c>
      <c r="O169" t="s">
        <v>3963</v>
      </c>
      <c r="P169" t="s">
        <v>18840</v>
      </c>
      <c r="R169" t="s">
        <v>18842</v>
      </c>
    </row>
    <row r="170" spans="4:18">
      <c r="E170" t="s">
        <v>10150</v>
      </c>
      <c r="I170" t="s">
        <v>10101</v>
      </c>
      <c r="K170" t="s">
        <v>4182</v>
      </c>
      <c r="L170" t="s">
        <v>3963</v>
      </c>
      <c r="M170" t="s">
        <v>3963</v>
      </c>
      <c r="N170" t="s">
        <v>3963</v>
      </c>
      <c r="O170" t="s">
        <v>3963</v>
      </c>
      <c r="P170" t="s">
        <v>3963</v>
      </c>
      <c r="R170" t="s">
        <v>4182</v>
      </c>
    </row>
    <row r="171" spans="4:18">
      <c r="E171" t="s">
        <v>10151</v>
      </c>
      <c r="I171" t="s">
        <v>10152</v>
      </c>
      <c r="K171" t="s">
        <v>10153</v>
      </c>
      <c r="L171" t="s">
        <v>3963</v>
      </c>
      <c r="M171" t="s">
        <v>3963</v>
      </c>
      <c r="N171" t="s">
        <v>3963</v>
      </c>
      <c r="O171" t="s">
        <v>3963</v>
      </c>
      <c r="P171" t="s">
        <v>3963</v>
      </c>
      <c r="R171" t="s">
        <v>10153</v>
      </c>
    </row>
    <row r="172" spans="4:18">
      <c r="D172" t="s">
        <v>1041</v>
      </c>
      <c r="H172" t="s">
        <v>10154</v>
      </c>
      <c r="K172" t="s">
        <v>4177</v>
      </c>
      <c r="L172" t="s">
        <v>10155</v>
      </c>
      <c r="M172" t="s">
        <v>3963</v>
      </c>
      <c r="N172" t="s">
        <v>3963</v>
      </c>
      <c r="O172" t="s">
        <v>3963</v>
      </c>
      <c r="P172" t="s">
        <v>10155</v>
      </c>
      <c r="R172" t="s">
        <v>10156</v>
      </c>
    </row>
    <row r="173" spans="4:18">
      <c r="E173" t="s">
        <v>10157</v>
      </c>
      <c r="I173" t="s">
        <v>10158</v>
      </c>
      <c r="K173" t="s">
        <v>3963</v>
      </c>
      <c r="L173" t="s">
        <v>3963</v>
      </c>
      <c r="M173" t="s">
        <v>3963</v>
      </c>
      <c r="N173" t="s">
        <v>3963</v>
      </c>
      <c r="O173" t="s">
        <v>3963</v>
      </c>
      <c r="P173" t="s">
        <v>3963</v>
      </c>
      <c r="R173" t="s">
        <v>3963</v>
      </c>
    </row>
    <row r="174" spans="4:18">
      <c r="E174" t="s">
        <v>10159</v>
      </c>
      <c r="I174" t="s">
        <v>10160</v>
      </c>
      <c r="K174" t="s">
        <v>4177</v>
      </c>
      <c r="L174" t="s">
        <v>10155</v>
      </c>
      <c r="M174" t="s">
        <v>3963</v>
      </c>
      <c r="N174" t="s">
        <v>3963</v>
      </c>
      <c r="O174" t="s">
        <v>3963</v>
      </c>
      <c r="P174" t="s">
        <v>10155</v>
      </c>
      <c r="R174" t="s">
        <v>10156</v>
      </c>
    </row>
    <row r="175" spans="4:18">
      <c r="D175" t="s">
        <v>1127</v>
      </c>
      <c r="H175" t="s">
        <v>10161</v>
      </c>
      <c r="K175" t="s">
        <v>10162</v>
      </c>
      <c r="L175" t="s">
        <v>10163</v>
      </c>
      <c r="M175" t="s">
        <v>3963</v>
      </c>
      <c r="N175" t="s">
        <v>3963</v>
      </c>
      <c r="O175" t="s">
        <v>3963</v>
      </c>
      <c r="P175" t="s">
        <v>10163</v>
      </c>
      <c r="R175" t="s">
        <v>10164</v>
      </c>
    </row>
    <row r="176" spans="4:18">
      <c r="E176" t="s">
        <v>10165</v>
      </c>
      <c r="I176" t="s">
        <v>10166</v>
      </c>
      <c r="K176" t="s">
        <v>10167</v>
      </c>
      <c r="L176" t="s">
        <v>10163</v>
      </c>
      <c r="M176" t="s">
        <v>3963</v>
      </c>
      <c r="N176" t="s">
        <v>3963</v>
      </c>
      <c r="O176" t="s">
        <v>3963</v>
      </c>
      <c r="P176" t="s">
        <v>10163</v>
      </c>
      <c r="R176" t="s">
        <v>10168</v>
      </c>
    </row>
    <row r="177" spans="4:18">
      <c r="E177" t="s">
        <v>10169</v>
      </c>
      <c r="I177" t="s">
        <v>10170</v>
      </c>
      <c r="K177" t="s">
        <v>4031</v>
      </c>
      <c r="L177" t="s">
        <v>3963</v>
      </c>
      <c r="M177" t="s">
        <v>3963</v>
      </c>
      <c r="N177" t="s">
        <v>3963</v>
      </c>
      <c r="O177" t="s">
        <v>3963</v>
      </c>
      <c r="P177" t="s">
        <v>3963</v>
      </c>
      <c r="R177" t="s">
        <v>4031</v>
      </c>
    </row>
    <row r="178" spans="4:18">
      <c r="D178" t="s">
        <v>1015</v>
      </c>
      <c r="H178" t="s">
        <v>10171</v>
      </c>
      <c r="K178" t="s">
        <v>10172</v>
      </c>
      <c r="L178" t="s">
        <v>10173</v>
      </c>
      <c r="M178" t="s">
        <v>3963</v>
      </c>
      <c r="N178" t="s">
        <v>3963</v>
      </c>
      <c r="O178" t="s">
        <v>3963</v>
      </c>
      <c r="P178" t="s">
        <v>10173</v>
      </c>
      <c r="R178" t="s">
        <v>10174</v>
      </c>
    </row>
    <row r="179" spans="4:18">
      <c r="E179" t="s">
        <v>10175</v>
      </c>
      <c r="I179" t="s">
        <v>10176</v>
      </c>
      <c r="K179" t="s">
        <v>10172</v>
      </c>
      <c r="L179" t="s">
        <v>10173</v>
      </c>
      <c r="M179" t="s">
        <v>3963</v>
      </c>
      <c r="N179" t="s">
        <v>3963</v>
      </c>
      <c r="O179" t="s">
        <v>3963</v>
      </c>
      <c r="P179" t="s">
        <v>10173</v>
      </c>
      <c r="R179" t="s">
        <v>10174</v>
      </c>
    </row>
    <row r="180" spans="4:18">
      <c r="D180" t="s">
        <v>1038</v>
      </c>
      <c r="H180" t="s">
        <v>10177</v>
      </c>
      <c r="K180" t="s">
        <v>4021</v>
      </c>
      <c r="L180" t="s">
        <v>3963</v>
      </c>
      <c r="M180" t="s">
        <v>3963</v>
      </c>
      <c r="N180" t="s">
        <v>3963</v>
      </c>
      <c r="O180" t="s">
        <v>3963</v>
      </c>
      <c r="P180" t="s">
        <v>3963</v>
      </c>
      <c r="R180" t="s">
        <v>4021</v>
      </c>
    </row>
    <row r="181" spans="4:18">
      <c r="E181" t="s">
        <v>10178</v>
      </c>
      <c r="I181" t="s">
        <v>10179</v>
      </c>
      <c r="K181" t="s">
        <v>4021</v>
      </c>
      <c r="L181" t="s">
        <v>3963</v>
      </c>
      <c r="M181" t="s">
        <v>3963</v>
      </c>
      <c r="N181" t="s">
        <v>3963</v>
      </c>
      <c r="O181" t="s">
        <v>3963</v>
      </c>
      <c r="P181" t="s">
        <v>3963</v>
      </c>
      <c r="R181" t="s">
        <v>4021</v>
      </c>
    </row>
    <row r="182" spans="4:18">
      <c r="D182" t="s">
        <v>1317</v>
      </c>
      <c r="H182" t="s">
        <v>9966</v>
      </c>
      <c r="K182" t="s">
        <v>10180</v>
      </c>
      <c r="L182" t="s">
        <v>10181</v>
      </c>
      <c r="M182" t="s">
        <v>3963</v>
      </c>
      <c r="N182" t="s">
        <v>3963</v>
      </c>
      <c r="O182" t="s">
        <v>3963</v>
      </c>
      <c r="P182" t="s">
        <v>10181</v>
      </c>
      <c r="R182" t="s">
        <v>10182</v>
      </c>
    </row>
    <row r="183" spans="4:18">
      <c r="D183" t="s">
        <v>1082</v>
      </c>
      <c r="H183" t="s">
        <v>10183</v>
      </c>
      <c r="K183" t="s">
        <v>5297</v>
      </c>
      <c r="L183" t="s">
        <v>10184</v>
      </c>
      <c r="M183" t="s">
        <v>3963</v>
      </c>
      <c r="N183" t="s">
        <v>3963</v>
      </c>
      <c r="O183" t="s">
        <v>3963</v>
      </c>
      <c r="P183" t="s">
        <v>10184</v>
      </c>
      <c r="R183" t="s">
        <v>10185</v>
      </c>
    </row>
    <row r="184" spans="4:18">
      <c r="E184" t="s">
        <v>10186</v>
      </c>
      <c r="I184" t="s">
        <v>10187</v>
      </c>
      <c r="K184" t="s">
        <v>5297</v>
      </c>
      <c r="L184" t="s">
        <v>10184</v>
      </c>
      <c r="M184" t="s">
        <v>3963</v>
      </c>
      <c r="N184" t="s">
        <v>3963</v>
      </c>
      <c r="O184" t="s">
        <v>3963</v>
      </c>
      <c r="P184" t="s">
        <v>10184</v>
      </c>
      <c r="R184" t="s">
        <v>10185</v>
      </c>
    </row>
    <row r="185" spans="4:18">
      <c r="D185" t="s">
        <v>1061</v>
      </c>
      <c r="H185" t="s">
        <v>10188</v>
      </c>
      <c r="K185" t="s">
        <v>10189</v>
      </c>
      <c r="L185" t="s">
        <v>10190</v>
      </c>
      <c r="M185" t="s">
        <v>3963</v>
      </c>
      <c r="N185" t="s">
        <v>3963</v>
      </c>
      <c r="O185" t="s">
        <v>3963</v>
      </c>
      <c r="P185" t="s">
        <v>10190</v>
      </c>
      <c r="R185" t="s">
        <v>10191</v>
      </c>
    </row>
    <row r="186" spans="4:18">
      <c r="E186" t="s">
        <v>10192</v>
      </c>
      <c r="I186" t="s">
        <v>10193</v>
      </c>
      <c r="K186" t="s">
        <v>10194</v>
      </c>
      <c r="L186" t="s">
        <v>3963</v>
      </c>
      <c r="M186" t="s">
        <v>3963</v>
      </c>
      <c r="N186" t="s">
        <v>3963</v>
      </c>
      <c r="O186" t="s">
        <v>3963</v>
      </c>
      <c r="P186" t="s">
        <v>3963</v>
      </c>
      <c r="R186" t="s">
        <v>10194</v>
      </c>
    </row>
    <row r="187" spans="4:18">
      <c r="E187" t="s">
        <v>10195</v>
      </c>
      <c r="I187" t="s">
        <v>10196</v>
      </c>
      <c r="K187" t="s">
        <v>10197</v>
      </c>
      <c r="L187" t="s">
        <v>10190</v>
      </c>
      <c r="M187" t="s">
        <v>3963</v>
      </c>
      <c r="N187" t="s">
        <v>3963</v>
      </c>
      <c r="O187" t="s">
        <v>3963</v>
      </c>
      <c r="P187" t="s">
        <v>10190</v>
      </c>
      <c r="R187" t="s">
        <v>10198</v>
      </c>
    </row>
    <row r="188" spans="4:18">
      <c r="E188" t="s">
        <v>10199</v>
      </c>
      <c r="I188" t="s">
        <v>10200</v>
      </c>
      <c r="K188" t="s">
        <v>10201</v>
      </c>
      <c r="L188" t="s">
        <v>3963</v>
      </c>
      <c r="M188" t="s">
        <v>3963</v>
      </c>
      <c r="N188" t="s">
        <v>3963</v>
      </c>
      <c r="O188" t="s">
        <v>3963</v>
      </c>
      <c r="P188" t="s">
        <v>3963</v>
      </c>
      <c r="R188" t="s">
        <v>10201</v>
      </c>
    </row>
    <row r="189" spans="4:18">
      <c r="D189" t="s">
        <v>1103</v>
      </c>
      <c r="H189" t="s">
        <v>10202</v>
      </c>
      <c r="K189" t="s">
        <v>10203</v>
      </c>
      <c r="L189" t="s">
        <v>10204</v>
      </c>
      <c r="M189" t="s">
        <v>3963</v>
      </c>
      <c r="N189" t="s">
        <v>3963</v>
      </c>
      <c r="O189" t="s">
        <v>3963</v>
      </c>
      <c r="P189" t="s">
        <v>10204</v>
      </c>
      <c r="R189" t="s">
        <v>10205</v>
      </c>
    </row>
    <row r="190" spans="4:18">
      <c r="E190" t="s">
        <v>10206</v>
      </c>
      <c r="I190" t="s">
        <v>10187</v>
      </c>
      <c r="K190" t="s">
        <v>10207</v>
      </c>
      <c r="L190" t="s">
        <v>10208</v>
      </c>
      <c r="M190" t="s">
        <v>3963</v>
      </c>
      <c r="N190" t="s">
        <v>3963</v>
      </c>
      <c r="O190" t="s">
        <v>3963</v>
      </c>
      <c r="P190" t="s">
        <v>10208</v>
      </c>
      <c r="R190" t="s">
        <v>10209</v>
      </c>
    </row>
    <row r="191" spans="4:18">
      <c r="E191" t="s">
        <v>10210</v>
      </c>
      <c r="I191" t="s">
        <v>10211</v>
      </c>
      <c r="K191" t="s">
        <v>10212</v>
      </c>
      <c r="L191" t="s">
        <v>10213</v>
      </c>
      <c r="M191" t="s">
        <v>3963</v>
      </c>
      <c r="N191" t="s">
        <v>3963</v>
      </c>
      <c r="O191" t="s">
        <v>3963</v>
      </c>
      <c r="P191" t="s">
        <v>10213</v>
      </c>
      <c r="R191" t="s">
        <v>10214</v>
      </c>
    </row>
    <row r="192" spans="4:18">
      <c r="D192" t="s">
        <v>1058</v>
      </c>
      <c r="H192" t="s">
        <v>10215</v>
      </c>
      <c r="K192" t="s">
        <v>4162</v>
      </c>
      <c r="L192" t="s">
        <v>10216</v>
      </c>
      <c r="M192" t="s">
        <v>3963</v>
      </c>
      <c r="N192" t="s">
        <v>3963</v>
      </c>
      <c r="O192" t="s">
        <v>3963</v>
      </c>
      <c r="P192" t="s">
        <v>10216</v>
      </c>
      <c r="R192" t="s">
        <v>10217</v>
      </c>
    </row>
    <row r="193" spans="4:18">
      <c r="E193" t="s">
        <v>10218</v>
      </c>
      <c r="I193" t="s">
        <v>10219</v>
      </c>
      <c r="K193" t="s">
        <v>4162</v>
      </c>
      <c r="L193" t="s">
        <v>10216</v>
      </c>
      <c r="M193" t="s">
        <v>3963</v>
      </c>
      <c r="N193" t="s">
        <v>3963</v>
      </c>
      <c r="O193" t="s">
        <v>3963</v>
      </c>
      <c r="P193" t="s">
        <v>10216</v>
      </c>
      <c r="R193" t="s">
        <v>10217</v>
      </c>
    </row>
    <row r="194" spans="4:18">
      <c r="D194" t="s">
        <v>1060</v>
      </c>
      <c r="H194" t="s">
        <v>10220</v>
      </c>
      <c r="K194" t="s">
        <v>10221</v>
      </c>
      <c r="L194" t="s">
        <v>10222</v>
      </c>
      <c r="M194" t="s">
        <v>3963</v>
      </c>
      <c r="N194" t="s">
        <v>3963</v>
      </c>
      <c r="O194" t="s">
        <v>3963</v>
      </c>
      <c r="P194" t="s">
        <v>10222</v>
      </c>
      <c r="R194" t="s">
        <v>10223</v>
      </c>
    </row>
    <row r="195" spans="4:18">
      <c r="E195" t="s">
        <v>10224</v>
      </c>
      <c r="I195" t="s">
        <v>10187</v>
      </c>
      <c r="K195" t="s">
        <v>10221</v>
      </c>
      <c r="L195" t="s">
        <v>10222</v>
      </c>
      <c r="M195" t="s">
        <v>3963</v>
      </c>
      <c r="N195" t="s">
        <v>3963</v>
      </c>
      <c r="O195" t="s">
        <v>3963</v>
      </c>
      <c r="P195" t="s">
        <v>10222</v>
      </c>
      <c r="R195" t="s">
        <v>10223</v>
      </c>
    </row>
    <row r="196" spans="4:18">
      <c r="D196" t="s">
        <v>1078</v>
      </c>
      <c r="H196" t="s">
        <v>10225</v>
      </c>
      <c r="K196" t="s">
        <v>10226</v>
      </c>
      <c r="L196" t="s">
        <v>10227</v>
      </c>
      <c r="M196" t="s">
        <v>3963</v>
      </c>
      <c r="N196" t="s">
        <v>3963</v>
      </c>
      <c r="O196" t="s">
        <v>3963</v>
      </c>
      <c r="P196" t="s">
        <v>10227</v>
      </c>
      <c r="R196" t="s">
        <v>10228</v>
      </c>
    </row>
    <row r="197" spans="4:18">
      <c r="E197" t="s">
        <v>10229</v>
      </c>
      <c r="I197" t="s">
        <v>10230</v>
      </c>
      <c r="K197" t="s">
        <v>10226</v>
      </c>
      <c r="L197" t="s">
        <v>10227</v>
      </c>
      <c r="M197" t="s">
        <v>3963</v>
      </c>
      <c r="N197" t="s">
        <v>3963</v>
      </c>
      <c r="O197" t="s">
        <v>3963</v>
      </c>
      <c r="P197" t="s">
        <v>10227</v>
      </c>
      <c r="R197" t="s">
        <v>10228</v>
      </c>
    </row>
    <row r="198" spans="4:18">
      <c r="D198" t="s">
        <v>1059</v>
      </c>
      <c r="H198" t="s">
        <v>10231</v>
      </c>
      <c r="K198" t="s">
        <v>3983</v>
      </c>
      <c r="L198" t="s">
        <v>3963</v>
      </c>
      <c r="M198" t="s">
        <v>3963</v>
      </c>
      <c r="N198" t="s">
        <v>3963</v>
      </c>
      <c r="O198" t="s">
        <v>3963</v>
      </c>
      <c r="P198" t="s">
        <v>3963</v>
      </c>
      <c r="R198" t="s">
        <v>3983</v>
      </c>
    </row>
    <row r="199" spans="4:18">
      <c r="E199" t="s">
        <v>10232</v>
      </c>
      <c r="I199" t="s">
        <v>10187</v>
      </c>
      <c r="K199" t="s">
        <v>3983</v>
      </c>
      <c r="L199" t="s">
        <v>3963</v>
      </c>
      <c r="M199" t="s">
        <v>3963</v>
      </c>
      <c r="N199" t="s">
        <v>3963</v>
      </c>
      <c r="O199" t="s">
        <v>3963</v>
      </c>
      <c r="P199" t="s">
        <v>3963</v>
      </c>
      <c r="R199" t="s">
        <v>3983</v>
      </c>
    </row>
    <row r="200" spans="4:18">
      <c r="D200" t="s">
        <v>1187</v>
      </c>
      <c r="H200" t="s">
        <v>10233</v>
      </c>
      <c r="K200" t="s">
        <v>9951</v>
      </c>
      <c r="L200" t="s">
        <v>10234</v>
      </c>
      <c r="M200" t="s">
        <v>3963</v>
      </c>
      <c r="N200" t="s">
        <v>3963</v>
      </c>
      <c r="O200" t="s">
        <v>3963</v>
      </c>
      <c r="P200" t="s">
        <v>10234</v>
      </c>
      <c r="R200" t="s">
        <v>10235</v>
      </c>
    </row>
    <row r="201" spans="4:18">
      <c r="E201" t="s">
        <v>10236</v>
      </c>
      <c r="I201" t="s">
        <v>10237</v>
      </c>
      <c r="K201" t="s">
        <v>10238</v>
      </c>
      <c r="L201" t="s">
        <v>10239</v>
      </c>
      <c r="M201" t="s">
        <v>3963</v>
      </c>
      <c r="N201" t="s">
        <v>3963</v>
      </c>
      <c r="O201" t="s">
        <v>3963</v>
      </c>
      <c r="P201" t="s">
        <v>10239</v>
      </c>
      <c r="R201" t="s">
        <v>10240</v>
      </c>
    </row>
    <row r="202" spans="4:18">
      <c r="E202" t="s">
        <v>10241</v>
      </c>
      <c r="I202" t="s">
        <v>10242</v>
      </c>
      <c r="K202" t="s">
        <v>3994</v>
      </c>
      <c r="L202" t="s">
        <v>10243</v>
      </c>
      <c r="M202" t="s">
        <v>3963</v>
      </c>
      <c r="N202" t="s">
        <v>3963</v>
      </c>
      <c r="O202" t="s">
        <v>3963</v>
      </c>
      <c r="P202" t="s">
        <v>10243</v>
      </c>
      <c r="R202" t="s">
        <v>10244</v>
      </c>
    </row>
    <row r="203" spans="4:18">
      <c r="E203" t="s">
        <v>10245</v>
      </c>
      <c r="I203" t="s">
        <v>10246</v>
      </c>
      <c r="K203" t="s">
        <v>4928</v>
      </c>
      <c r="L203" t="s">
        <v>10247</v>
      </c>
      <c r="M203" t="s">
        <v>3963</v>
      </c>
      <c r="N203" t="s">
        <v>3963</v>
      </c>
      <c r="O203" t="s">
        <v>3963</v>
      </c>
      <c r="P203" t="s">
        <v>10247</v>
      </c>
      <c r="R203" t="s">
        <v>10248</v>
      </c>
    </row>
    <row r="204" spans="4:18">
      <c r="E204" t="s">
        <v>10249</v>
      </c>
      <c r="I204" t="s">
        <v>10250</v>
      </c>
      <c r="K204" t="s">
        <v>10251</v>
      </c>
      <c r="L204" t="s">
        <v>3963</v>
      </c>
      <c r="M204" t="s">
        <v>3963</v>
      </c>
      <c r="N204" t="s">
        <v>3963</v>
      </c>
      <c r="O204" t="s">
        <v>3963</v>
      </c>
      <c r="P204" t="s">
        <v>3963</v>
      </c>
      <c r="R204" t="s">
        <v>10251</v>
      </c>
    </row>
    <row r="205" spans="4:18">
      <c r="D205" t="s">
        <v>1173</v>
      </c>
      <c r="H205" t="s">
        <v>3334</v>
      </c>
      <c r="K205" t="s">
        <v>10252</v>
      </c>
      <c r="L205" t="s">
        <v>10253</v>
      </c>
      <c r="M205" t="s">
        <v>3963</v>
      </c>
      <c r="N205" t="s">
        <v>3963</v>
      </c>
      <c r="O205" t="s">
        <v>3963</v>
      </c>
      <c r="P205" t="s">
        <v>10253</v>
      </c>
      <c r="R205" t="s">
        <v>10254</v>
      </c>
    </row>
    <row r="206" spans="4:18">
      <c r="E206" t="s">
        <v>10255</v>
      </c>
      <c r="I206" t="s">
        <v>10256</v>
      </c>
      <c r="K206" t="s">
        <v>10252</v>
      </c>
      <c r="L206" t="s">
        <v>10253</v>
      </c>
      <c r="M206" t="s">
        <v>3963</v>
      </c>
      <c r="N206" t="s">
        <v>3963</v>
      </c>
      <c r="O206" t="s">
        <v>3963</v>
      </c>
      <c r="P206" t="s">
        <v>10253</v>
      </c>
      <c r="R206" t="s">
        <v>10254</v>
      </c>
    </row>
    <row r="207" spans="4:18">
      <c r="D207" t="s">
        <v>1284</v>
      </c>
      <c r="H207" t="s">
        <v>10257</v>
      </c>
      <c r="K207" t="s">
        <v>4086</v>
      </c>
      <c r="L207" t="s">
        <v>3963</v>
      </c>
      <c r="M207" t="s">
        <v>3963</v>
      </c>
      <c r="N207" t="s">
        <v>3963</v>
      </c>
      <c r="O207" t="s">
        <v>3963</v>
      </c>
      <c r="P207" t="s">
        <v>3963</v>
      </c>
      <c r="R207" t="s">
        <v>4086</v>
      </c>
    </row>
    <row r="208" spans="4:18">
      <c r="E208" t="s">
        <v>10258</v>
      </c>
      <c r="I208" t="s">
        <v>10259</v>
      </c>
      <c r="K208" t="s">
        <v>4086</v>
      </c>
      <c r="L208" t="s">
        <v>3963</v>
      </c>
      <c r="M208" t="s">
        <v>3963</v>
      </c>
      <c r="N208" t="s">
        <v>3963</v>
      </c>
      <c r="O208" t="s">
        <v>3963</v>
      </c>
      <c r="P208" t="s">
        <v>3963</v>
      </c>
      <c r="R208" t="s">
        <v>4086</v>
      </c>
    </row>
    <row r="209" spans="4:18">
      <c r="D209" t="s">
        <v>1322</v>
      </c>
      <c r="H209" t="s">
        <v>10260</v>
      </c>
      <c r="K209" t="s">
        <v>10261</v>
      </c>
      <c r="L209" t="s">
        <v>10262</v>
      </c>
      <c r="M209" t="s">
        <v>3963</v>
      </c>
      <c r="N209" t="s">
        <v>3963</v>
      </c>
      <c r="O209" t="s">
        <v>3963</v>
      </c>
      <c r="P209" t="s">
        <v>10262</v>
      </c>
      <c r="R209" t="s">
        <v>10263</v>
      </c>
    </row>
    <row r="210" spans="4:18">
      <c r="E210" t="s">
        <v>10264</v>
      </c>
      <c r="I210" t="s">
        <v>10265</v>
      </c>
      <c r="K210" t="s">
        <v>6864</v>
      </c>
      <c r="L210" t="s">
        <v>10262</v>
      </c>
      <c r="M210" t="s">
        <v>3963</v>
      </c>
      <c r="N210" t="s">
        <v>3963</v>
      </c>
      <c r="O210" t="s">
        <v>3963</v>
      </c>
      <c r="P210" t="s">
        <v>10262</v>
      </c>
      <c r="R210" t="s">
        <v>10266</v>
      </c>
    </row>
    <row r="211" spans="4:18">
      <c r="E211" t="s">
        <v>10267</v>
      </c>
      <c r="I211" t="s">
        <v>10268</v>
      </c>
      <c r="K211" t="s">
        <v>3963</v>
      </c>
      <c r="L211" t="s">
        <v>3963</v>
      </c>
      <c r="M211" t="s">
        <v>3963</v>
      </c>
      <c r="N211" t="s">
        <v>3963</v>
      </c>
      <c r="O211" t="s">
        <v>3963</v>
      </c>
      <c r="P211" t="s">
        <v>3963</v>
      </c>
      <c r="R211" t="s">
        <v>3963</v>
      </c>
    </row>
    <row r="212" spans="4:18">
      <c r="E212" t="s">
        <v>10269</v>
      </c>
      <c r="I212" t="s">
        <v>10270</v>
      </c>
      <c r="K212" t="s">
        <v>3963</v>
      </c>
      <c r="L212" t="s">
        <v>3963</v>
      </c>
      <c r="M212" t="s">
        <v>3963</v>
      </c>
      <c r="N212" t="s">
        <v>3963</v>
      </c>
      <c r="O212" t="s">
        <v>3963</v>
      </c>
      <c r="P212" t="s">
        <v>3963</v>
      </c>
      <c r="R212" t="s">
        <v>3963</v>
      </c>
    </row>
    <row r="213" spans="4:18">
      <c r="E213" t="s">
        <v>10271</v>
      </c>
      <c r="I213" t="s">
        <v>10272</v>
      </c>
      <c r="K213" t="s">
        <v>10273</v>
      </c>
      <c r="L213" t="s">
        <v>3963</v>
      </c>
      <c r="M213" t="s">
        <v>3963</v>
      </c>
      <c r="N213" t="s">
        <v>3963</v>
      </c>
      <c r="O213" t="s">
        <v>3963</v>
      </c>
      <c r="P213" t="s">
        <v>3963</v>
      </c>
      <c r="R213" t="s">
        <v>10273</v>
      </c>
    </row>
    <row r="214" spans="4:18">
      <c r="D214" t="s">
        <v>1353</v>
      </c>
      <c r="H214" t="s">
        <v>10274</v>
      </c>
      <c r="K214" t="s">
        <v>4150</v>
      </c>
      <c r="L214" t="s">
        <v>3963</v>
      </c>
      <c r="M214" t="s">
        <v>3963</v>
      </c>
      <c r="N214" t="s">
        <v>3963</v>
      </c>
      <c r="O214" t="s">
        <v>3963</v>
      </c>
      <c r="P214" t="s">
        <v>3963</v>
      </c>
      <c r="R214" t="s">
        <v>4150</v>
      </c>
    </row>
    <row r="215" spans="4:18">
      <c r="E215" t="s">
        <v>10275</v>
      </c>
      <c r="I215" t="s">
        <v>10276</v>
      </c>
      <c r="K215" t="s">
        <v>4150</v>
      </c>
      <c r="L215" t="s">
        <v>3963</v>
      </c>
      <c r="M215" t="s">
        <v>3963</v>
      </c>
      <c r="N215" t="s">
        <v>3963</v>
      </c>
      <c r="O215" t="s">
        <v>3963</v>
      </c>
      <c r="P215" t="s">
        <v>3963</v>
      </c>
      <c r="R215" t="s">
        <v>4150</v>
      </c>
    </row>
    <row r="216" spans="4:18">
      <c r="D216" t="s">
        <v>1354</v>
      </c>
      <c r="H216" t="s">
        <v>10277</v>
      </c>
      <c r="K216" t="s">
        <v>10278</v>
      </c>
      <c r="L216" t="s">
        <v>10279</v>
      </c>
      <c r="M216" t="s">
        <v>3963</v>
      </c>
      <c r="N216" t="s">
        <v>3963</v>
      </c>
      <c r="O216" t="s">
        <v>3963</v>
      </c>
      <c r="P216" t="s">
        <v>10279</v>
      </c>
      <c r="R216" t="s">
        <v>10280</v>
      </c>
    </row>
    <row r="217" spans="4:18">
      <c r="E217" t="s">
        <v>10281</v>
      </c>
      <c r="I217" t="s">
        <v>10282</v>
      </c>
      <c r="K217" t="s">
        <v>10278</v>
      </c>
      <c r="L217" t="s">
        <v>10279</v>
      </c>
      <c r="M217" t="s">
        <v>3963</v>
      </c>
      <c r="N217" t="s">
        <v>3963</v>
      </c>
      <c r="O217" t="s">
        <v>3963</v>
      </c>
      <c r="P217" t="s">
        <v>10279</v>
      </c>
      <c r="R217" t="s">
        <v>10280</v>
      </c>
    </row>
    <row r="218" spans="4:18">
      <c r="D218" t="s">
        <v>1697</v>
      </c>
      <c r="H218" t="s">
        <v>10283</v>
      </c>
      <c r="K218" t="s">
        <v>4134</v>
      </c>
      <c r="L218" t="s">
        <v>10284</v>
      </c>
      <c r="M218" t="s">
        <v>3963</v>
      </c>
      <c r="N218" t="s">
        <v>3963</v>
      </c>
      <c r="O218" t="s">
        <v>3963</v>
      </c>
      <c r="P218" t="s">
        <v>10284</v>
      </c>
      <c r="R218" t="s">
        <v>10285</v>
      </c>
    </row>
    <row r="219" spans="4:18">
      <c r="E219" t="s">
        <v>10286</v>
      </c>
      <c r="I219" t="s">
        <v>10287</v>
      </c>
      <c r="K219" t="s">
        <v>4134</v>
      </c>
      <c r="L219" t="s">
        <v>10284</v>
      </c>
      <c r="M219" t="s">
        <v>3963</v>
      </c>
      <c r="N219" t="s">
        <v>3963</v>
      </c>
      <c r="O219" t="s">
        <v>3963</v>
      </c>
      <c r="P219" t="s">
        <v>10284</v>
      </c>
      <c r="R219" t="s">
        <v>10285</v>
      </c>
    </row>
    <row r="220" spans="4:18">
      <c r="D220" t="s">
        <v>1509</v>
      </c>
      <c r="H220" t="s">
        <v>10288</v>
      </c>
      <c r="K220" t="s">
        <v>6270</v>
      </c>
      <c r="L220" t="s">
        <v>10289</v>
      </c>
      <c r="M220" t="s">
        <v>3963</v>
      </c>
      <c r="N220" t="s">
        <v>3963</v>
      </c>
      <c r="O220" t="s">
        <v>3963</v>
      </c>
      <c r="P220" t="s">
        <v>10289</v>
      </c>
      <c r="R220" t="s">
        <v>10290</v>
      </c>
    </row>
    <row r="221" spans="4:18">
      <c r="E221" t="s">
        <v>10291</v>
      </c>
      <c r="I221" t="s">
        <v>10292</v>
      </c>
      <c r="K221" t="s">
        <v>6270</v>
      </c>
      <c r="L221" t="s">
        <v>10289</v>
      </c>
      <c r="M221" t="s">
        <v>3963</v>
      </c>
      <c r="N221" t="s">
        <v>3963</v>
      </c>
      <c r="O221" t="s">
        <v>3963</v>
      </c>
      <c r="P221" t="s">
        <v>10289</v>
      </c>
      <c r="R221" t="s">
        <v>10290</v>
      </c>
    </row>
    <row r="222" spans="4:18">
      <c r="D222" t="s">
        <v>1617</v>
      </c>
      <c r="H222" t="s">
        <v>3335</v>
      </c>
      <c r="K222" t="s">
        <v>10293</v>
      </c>
      <c r="L222" t="s">
        <v>3963</v>
      </c>
      <c r="M222" t="s">
        <v>18426</v>
      </c>
      <c r="N222" t="s">
        <v>3963</v>
      </c>
      <c r="O222" t="s">
        <v>3963</v>
      </c>
      <c r="P222" t="s">
        <v>18426</v>
      </c>
      <c r="R222" t="s">
        <v>18427</v>
      </c>
    </row>
    <row r="223" spans="4:18">
      <c r="E223" t="s">
        <v>10294</v>
      </c>
      <c r="I223" t="s">
        <v>10295</v>
      </c>
      <c r="K223" t="s">
        <v>4177</v>
      </c>
      <c r="L223" t="s">
        <v>3963</v>
      </c>
      <c r="M223" t="s">
        <v>3963</v>
      </c>
      <c r="N223" t="s">
        <v>3963</v>
      </c>
      <c r="O223" t="s">
        <v>3963</v>
      </c>
      <c r="P223" t="s">
        <v>3963</v>
      </c>
      <c r="R223" t="s">
        <v>4177</v>
      </c>
    </row>
    <row r="224" spans="4:18">
      <c r="E224" t="s">
        <v>10296</v>
      </c>
      <c r="I224" t="s">
        <v>10297</v>
      </c>
      <c r="K224" t="s">
        <v>4091</v>
      </c>
      <c r="L224" t="s">
        <v>3963</v>
      </c>
      <c r="M224" t="s">
        <v>18426</v>
      </c>
      <c r="N224" t="s">
        <v>3963</v>
      </c>
      <c r="O224" t="s">
        <v>3963</v>
      </c>
      <c r="P224" t="s">
        <v>18426</v>
      </c>
      <c r="R224" t="s">
        <v>18428</v>
      </c>
    </row>
    <row r="225" spans="4:18">
      <c r="D225" t="s">
        <v>1584</v>
      </c>
      <c r="H225" t="s">
        <v>10298</v>
      </c>
      <c r="K225" t="s">
        <v>4067</v>
      </c>
      <c r="L225" t="s">
        <v>3963</v>
      </c>
      <c r="M225" t="s">
        <v>3963</v>
      </c>
      <c r="N225" t="s">
        <v>3963</v>
      </c>
      <c r="O225" t="s">
        <v>3963</v>
      </c>
      <c r="P225" t="s">
        <v>3963</v>
      </c>
      <c r="R225" t="s">
        <v>4067</v>
      </c>
    </row>
    <row r="226" spans="4:18">
      <c r="E226" t="s">
        <v>10299</v>
      </c>
      <c r="I226" t="s">
        <v>10300</v>
      </c>
      <c r="K226" t="s">
        <v>4067</v>
      </c>
      <c r="L226" t="s">
        <v>3963</v>
      </c>
      <c r="M226" t="s">
        <v>3963</v>
      </c>
      <c r="N226" t="s">
        <v>3963</v>
      </c>
      <c r="O226" t="s">
        <v>3963</v>
      </c>
      <c r="P226" t="s">
        <v>3963</v>
      </c>
      <c r="R226" t="s">
        <v>4067</v>
      </c>
    </row>
    <row r="227" spans="4:18">
      <c r="D227" t="s">
        <v>1594</v>
      </c>
      <c r="H227" t="s">
        <v>10301</v>
      </c>
      <c r="K227" t="s">
        <v>4177</v>
      </c>
      <c r="L227" t="s">
        <v>3963</v>
      </c>
      <c r="M227" t="s">
        <v>3963</v>
      </c>
      <c r="N227" t="s">
        <v>3963</v>
      </c>
      <c r="O227" t="s">
        <v>3963</v>
      </c>
      <c r="P227" t="s">
        <v>3963</v>
      </c>
      <c r="R227" t="s">
        <v>4177</v>
      </c>
    </row>
    <row r="228" spans="4:18">
      <c r="E228" t="s">
        <v>10302</v>
      </c>
      <c r="I228" t="s">
        <v>10187</v>
      </c>
      <c r="K228" t="s">
        <v>4177</v>
      </c>
      <c r="L228" t="s">
        <v>3963</v>
      </c>
      <c r="M228" t="s">
        <v>3963</v>
      </c>
      <c r="N228" t="s">
        <v>3963</v>
      </c>
      <c r="O228" t="s">
        <v>3963</v>
      </c>
      <c r="P228" t="s">
        <v>3963</v>
      </c>
      <c r="R228" t="s">
        <v>4177</v>
      </c>
    </row>
    <row r="229" spans="4:18">
      <c r="D229" t="s">
        <v>1593</v>
      </c>
      <c r="H229" t="s">
        <v>10303</v>
      </c>
      <c r="K229" t="s">
        <v>4995</v>
      </c>
      <c r="L229" t="s">
        <v>3963</v>
      </c>
      <c r="M229" t="s">
        <v>3963</v>
      </c>
      <c r="N229" t="s">
        <v>3963</v>
      </c>
      <c r="O229" t="s">
        <v>3963</v>
      </c>
      <c r="P229" t="s">
        <v>3963</v>
      </c>
      <c r="R229" t="s">
        <v>4995</v>
      </c>
    </row>
    <row r="230" spans="4:18">
      <c r="E230" t="s">
        <v>10304</v>
      </c>
      <c r="I230" t="s">
        <v>10305</v>
      </c>
      <c r="K230" t="s">
        <v>4830</v>
      </c>
      <c r="L230" t="s">
        <v>3963</v>
      </c>
      <c r="M230" t="s">
        <v>3963</v>
      </c>
      <c r="N230" t="s">
        <v>3963</v>
      </c>
      <c r="O230" t="s">
        <v>3963</v>
      </c>
      <c r="P230" t="s">
        <v>3963</v>
      </c>
      <c r="R230" t="s">
        <v>4830</v>
      </c>
    </row>
    <row r="231" spans="4:18">
      <c r="E231" t="s">
        <v>10306</v>
      </c>
      <c r="I231" t="s">
        <v>10307</v>
      </c>
      <c r="K231" t="s">
        <v>10308</v>
      </c>
      <c r="L231" t="s">
        <v>3963</v>
      </c>
      <c r="M231" t="s">
        <v>3963</v>
      </c>
      <c r="N231" t="s">
        <v>3963</v>
      </c>
      <c r="O231" t="s">
        <v>3963</v>
      </c>
      <c r="P231" t="s">
        <v>3963</v>
      </c>
      <c r="R231" t="s">
        <v>10308</v>
      </c>
    </row>
    <row r="232" spans="4:18">
      <c r="D232" t="s">
        <v>1672</v>
      </c>
      <c r="H232" t="s">
        <v>10309</v>
      </c>
      <c r="K232" t="s">
        <v>4677</v>
      </c>
      <c r="L232" t="s">
        <v>17696</v>
      </c>
      <c r="M232" t="s">
        <v>3963</v>
      </c>
      <c r="N232" t="s">
        <v>3963</v>
      </c>
      <c r="O232" t="s">
        <v>3963</v>
      </c>
      <c r="P232" t="s">
        <v>17696</v>
      </c>
      <c r="R232" t="s">
        <v>17697</v>
      </c>
    </row>
    <row r="233" spans="4:18">
      <c r="E233" t="s">
        <v>10310</v>
      </c>
      <c r="I233" t="s">
        <v>10219</v>
      </c>
      <c r="K233" t="s">
        <v>10311</v>
      </c>
      <c r="L233" t="s">
        <v>3963</v>
      </c>
      <c r="M233" t="s">
        <v>3963</v>
      </c>
      <c r="N233" t="s">
        <v>3963</v>
      </c>
      <c r="O233" t="s">
        <v>3963</v>
      </c>
      <c r="P233" t="s">
        <v>3963</v>
      </c>
      <c r="R233" t="s">
        <v>10311</v>
      </c>
    </row>
    <row r="234" spans="4:18">
      <c r="E234" t="s">
        <v>6865</v>
      </c>
      <c r="I234" t="s">
        <v>10312</v>
      </c>
      <c r="K234" t="s">
        <v>4048</v>
      </c>
      <c r="L234" t="s">
        <v>17696</v>
      </c>
      <c r="M234" t="s">
        <v>3963</v>
      </c>
      <c r="N234" t="s">
        <v>3963</v>
      </c>
      <c r="O234" t="s">
        <v>3963</v>
      </c>
      <c r="P234" t="s">
        <v>17696</v>
      </c>
      <c r="R234" t="s">
        <v>17698</v>
      </c>
    </row>
    <row r="235" spans="4:18">
      <c r="D235" t="s">
        <v>1615</v>
      </c>
      <c r="H235" t="s">
        <v>10313</v>
      </c>
      <c r="K235" t="s">
        <v>4091</v>
      </c>
      <c r="L235" t="s">
        <v>3963</v>
      </c>
      <c r="M235" t="s">
        <v>3963</v>
      </c>
      <c r="N235" t="s">
        <v>3963</v>
      </c>
      <c r="O235" t="s">
        <v>3963</v>
      </c>
      <c r="P235" t="s">
        <v>3963</v>
      </c>
      <c r="R235" t="s">
        <v>4091</v>
      </c>
    </row>
    <row r="236" spans="4:18">
      <c r="E236" t="s">
        <v>10314</v>
      </c>
      <c r="I236" t="s">
        <v>10315</v>
      </c>
      <c r="K236" t="s">
        <v>4091</v>
      </c>
      <c r="L236" t="s">
        <v>3963</v>
      </c>
      <c r="M236" t="s">
        <v>3963</v>
      </c>
      <c r="N236" t="s">
        <v>3963</v>
      </c>
      <c r="O236" t="s">
        <v>3963</v>
      </c>
      <c r="P236" t="s">
        <v>3963</v>
      </c>
      <c r="R236" t="s">
        <v>4091</v>
      </c>
    </row>
    <row r="237" spans="4:18">
      <c r="D237" t="s">
        <v>1624</v>
      </c>
      <c r="H237" t="s">
        <v>10316</v>
      </c>
      <c r="K237" t="s">
        <v>10317</v>
      </c>
      <c r="L237" t="s">
        <v>10318</v>
      </c>
      <c r="M237" t="s">
        <v>3963</v>
      </c>
      <c r="N237" t="s">
        <v>3963</v>
      </c>
      <c r="O237" t="s">
        <v>3963</v>
      </c>
      <c r="P237" t="s">
        <v>10318</v>
      </c>
      <c r="R237" t="s">
        <v>10319</v>
      </c>
    </row>
    <row r="238" spans="4:18">
      <c r="E238" t="s">
        <v>10320</v>
      </c>
      <c r="I238" t="s">
        <v>10321</v>
      </c>
      <c r="K238" t="s">
        <v>10322</v>
      </c>
      <c r="L238" t="s">
        <v>10323</v>
      </c>
      <c r="M238" t="s">
        <v>3963</v>
      </c>
      <c r="N238" t="s">
        <v>3963</v>
      </c>
      <c r="O238" t="s">
        <v>3963</v>
      </c>
      <c r="P238" t="s">
        <v>10323</v>
      </c>
      <c r="R238" t="s">
        <v>10324</v>
      </c>
    </row>
    <row r="239" spans="4:18">
      <c r="E239" t="s">
        <v>10325</v>
      </c>
      <c r="I239" t="s">
        <v>10326</v>
      </c>
      <c r="K239" t="s">
        <v>10327</v>
      </c>
      <c r="L239" t="s">
        <v>10328</v>
      </c>
      <c r="M239" t="s">
        <v>3963</v>
      </c>
      <c r="N239" t="s">
        <v>3963</v>
      </c>
      <c r="O239" t="s">
        <v>3963</v>
      </c>
      <c r="P239" t="s">
        <v>10328</v>
      </c>
      <c r="R239" t="s">
        <v>10329</v>
      </c>
    </row>
    <row r="240" spans="4:18">
      <c r="E240" t="s">
        <v>10330</v>
      </c>
      <c r="I240" t="s">
        <v>10331</v>
      </c>
      <c r="K240" t="s">
        <v>10332</v>
      </c>
      <c r="L240" t="s">
        <v>10333</v>
      </c>
      <c r="M240" t="s">
        <v>3963</v>
      </c>
      <c r="N240" t="s">
        <v>3963</v>
      </c>
      <c r="O240" t="s">
        <v>3963</v>
      </c>
      <c r="P240" t="s">
        <v>10333</v>
      </c>
      <c r="R240" t="s">
        <v>10334</v>
      </c>
    </row>
    <row r="241" spans="4:18">
      <c r="E241" t="s">
        <v>10335</v>
      </c>
      <c r="I241" t="s">
        <v>10336</v>
      </c>
      <c r="K241" t="s">
        <v>4201</v>
      </c>
      <c r="L241" t="s">
        <v>10337</v>
      </c>
      <c r="M241" t="s">
        <v>3963</v>
      </c>
      <c r="N241" t="s">
        <v>3963</v>
      </c>
      <c r="O241" t="s">
        <v>3963</v>
      </c>
      <c r="P241" t="s">
        <v>10337</v>
      </c>
      <c r="R241" t="s">
        <v>10338</v>
      </c>
    </row>
    <row r="242" spans="4:18">
      <c r="D242" t="s">
        <v>1742</v>
      </c>
      <c r="H242" t="s">
        <v>10339</v>
      </c>
      <c r="K242" t="s">
        <v>10340</v>
      </c>
      <c r="L242" t="s">
        <v>3963</v>
      </c>
      <c r="M242" t="s">
        <v>3963</v>
      </c>
      <c r="N242" t="s">
        <v>3963</v>
      </c>
      <c r="O242" t="s">
        <v>3963</v>
      </c>
      <c r="P242" t="s">
        <v>3963</v>
      </c>
      <c r="R242" t="s">
        <v>10340</v>
      </c>
    </row>
    <row r="243" spans="4:18">
      <c r="E243" t="s">
        <v>10341</v>
      </c>
      <c r="I243" t="s">
        <v>10219</v>
      </c>
      <c r="K243" t="s">
        <v>6166</v>
      </c>
      <c r="L243" t="s">
        <v>3963</v>
      </c>
      <c r="M243" t="s">
        <v>3963</v>
      </c>
      <c r="N243" t="s">
        <v>3963</v>
      </c>
      <c r="O243" t="s">
        <v>3963</v>
      </c>
      <c r="P243" t="s">
        <v>3963</v>
      </c>
      <c r="R243" t="s">
        <v>6166</v>
      </c>
    </row>
    <row r="244" spans="4:18">
      <c r="E244" t="s">
        <v>10342</v>
      </c>
      <c r="I244" t="s">
        <v>10343</v>
      </c>
      <c r="K244" t="s">
        <v>10344</v>
      </c>
      <c r="L244" t="s">
        <v>3963</v>
      </c>
      <c r="M244" t="s">
        <v>3963</v>
      </c>
      <c r="N244" t="s">
        <v>3963</v>
      </c>
      <c r="O244" t="s">
        <v>3963</v>
      </c>
      <c r="P244" t="s">
        <v>3963</v>
      </c>
      <c r="R244" t="s">
        <v>10344</v>
      </c>
    </row>
    <row r="245" spans="4:18">
      <c r="D245" t="s">
        <v>1695</v>
      </c>
      <c r="H245" t="s">
        <v>10345</v>
      </c>
      <c r="K245" t="s">
        <v>4134</v>
      </c>
      <c r="L245" t="s">
        <v>10346</v>
      </c>
      <c r="M245" t="s">
        <v>3963</v>
      </c>
      <c r="N245" t="s">
        <v>3963</v>
      </c>
      <c r="O245" t="s">
        <v>3963</v>
      </c>
      <c r="P245" t="s">
        <v>10346</v>
      </c>
      <c r="R245" t="s">
        <v>10347</v>
      </c>
    </row>
    <row r="246" spans="4:18">
      <c r="E246" t="s">
        <v>10348</v>
      </c>
      <c r="I246" t="s">
        <v>10349</v>
      </c>
      <c r="K246" t="s">
        <v>4699</v>
      </c>
      <c r="L246" t="s">
        <v>10350</v>
      </c>
      <c r="M246" t="s">
        <v>3963</v>
      </c>
      <c r="N246" t="s">
        <v>3963</v>
      </c>
      <c r="O246" t="s">
        <v>3963</v>
      </c>
      <c r="P246" t="s">
        <v>10350</v>
      </c>
      <c r="R246" t="s">
        <v>10351</v>
      </c>
    </row>
    <row r="247" spans="4:18">
      <c r="E247" t="s">
        <v>10352</v>
      </c>
      <c r="I247" t="s">
        <v>10353</v>
      </c>
      <c r="K247" t="s">
        <v>4182</v>
      </c>
      <c r="L247" t="s">
        <v>10354</v>
      </c>
      <c r="M247" t="s">
        <v>3963</v>
      </c>
      <c r="N247" t="s">
        <v>3963</v>
      </c>
      <c r="O247" t="s">
        <v>3963</v>
      </c>
      <c r="P247" t="s">
        <v>10354</v>
      </c>
      <c r="R247" t="s">
        <v>10355</v>
      </c>
    </row>
    <row r="248" spans="4:18">
      <c r="D248" t="s">
        <v>1712</v>
      </c>
      <c r="H248" t="s">
        <v>10356</v>
      </c>
      <c r="K248" t="s">
        <v>10357</v>
      </c>
      <c r="L248" t="s">
        <v>10358</v>
      </c>
      <c r="M248" t="s">
        <v>3963</v>
      </c>
      <c r="N248" t="s">
        <v>3963</v>
      </c>
      <c r="O248" t="s">
        <v>3963</v>
      </c>
      <c r="P248" t="s">
        <v>10358</v>
      </c>
      <c r="R248" t="s">
        <v>10359</v>
      </c>
    </row>
    <row r="249" spans="4:18">
      <c r="E249" t="s">
        <v>10360</v>
      </c>
      <c r="I249" t="s">
        <v>10166</v>
      </c>
      <c r="K249" t="s">
        <v>10357</v>
      </c>
      <c r="L249" t="s">
        <v>10358</v>
      </c>
      <c r="M249" t="s">
        <v>3963</v>
      </c>
      <c r="N249" t="s">
        <v>3963</v>
      </c>
      <c r="O249" t="s">
        <v>3963</v>
      </c>
      <c r="P249" t="s">
        <v>10358</v>
      </c>
      <c r="R249" t="s">
        <v>10359</v>
      </c>
    </row>
    <row r="250" spans="4:18">
      <c r="E250" t="s">
        <v>10361</v>
      </c>
      <c r="I250" t="s">
        <v>10362</v>
      </c>
      <c r="K250" t="s">
        <v>3963</v>
      </c>
      <c r="L250" t="s">
        <v>3963</v>
      </c>
      <c r="M250" t="s">
        <v>3963</v>
      </c>
      <c r="N250" t="s">
        <v>3963</v>
      </c>
      <c r="O250" t="s">
        <v>3963</v>
      </c>
      <c r="P250" t="s">
        <v>3963</v>
      </c>
      <c r="R250" t="s">
        <v>3963</v>
      </c>
    </row>
    <row r="251" spans="4:18">
      <c r="D251" t="s">
        <v>2762</v>
      </c>
      <c r="H251" t="s">
        <v>10363</v>
      </c>
      <c r="K251" t="s">
        <v>10364</v>
      </c>
      <c r="L251" t="s">
        <v>3963</v>
      </c>
      <c r="M251" t="s">
        <v>3963</v>
      </c>
      <c r="N251" t="s">
        <v>3963</v>
      </c>
      <c r="O251" t="s">
        <v>3963</v>
      </c>
      <c r="P251" t="s">
        <v>3963</v>
      </c>
      <c r="R251" t="s">
        <v>10364</v>
      </c>
    </row>
    <row r="252" spans="4:18">
      <c r="E252" t="s">
        <v>10365</v>
      </c>
      <c r="I252" t="s">
        <v>10366</v>
      </c>
      <c r="K252" t="s">
        <v>10367</v>
      </c>
      <c r="L252" t="s">
        <v>3963</v>
      </c>
      <c r="M252" t="s">
        <v>3963</v>
      </c>
      <c r="N252" t="s">
        <v>3963</v>
      </c>
      <c r="O252" t="s">
        <v>3963</v>
      </c>
      <c r="P252" t="s">
        <v>3963</v>
      </c>
      <c r="R252" t="s">
        <v>10367</v>
      </c>
    </row>
    <row r="253" spans="4:18">
      <c r="E253" t="s">
        <v>10368</v>
      </c>
      <c r="I253" t="s">
        <v>10369</v>
      </c>
      <c r="K253" t="s">
        <v>10370</v>
      </c>
      <c r="L253" t="s">
        <v>3963</v>
      </c>
      <c r="M253" t="s">
        <v>3963</v>
      </c>
      <c r="N253" t="s">
        <v>3963</v>
      </c>
      <c r="O253" t="s">
        <v>3963</v>
      </c>
      <c r="P253" t="s">
        <v>3963</v>
      </c>
      <c r="R253" t="s">
        <v>10370</v>
      </c>
    </row>
    <row r="254" spans="4:18">
      <c r="D254" t="s">
        <v>1796</v>
      </c>
      <c r="H254" t="s">
        <v>10371</v>
      </c>
      <c r="K254" t="s">
        <v>10372</v>
      </c>
      <c r="L254" t="s">
        <v>3963</v>
      </c>
      <c r="M254" t="s">
        <v>3963</v>
      </c>
      <c r="N254" t="s">
        <v>3963</v>
      </c>
      <c r="O254" t="s">
        <v>3963</v>
      </c>
      <c r="P254" t="s">
        <v>3963</v>
      </c>
      <c r="R254" t="s">
        <v>10372</v>
      </c>
    </row>
    <row r="255" spans="4:18">
      <c r="E255" t="s">
        <v>10373</v>
      </c>
      <c r="I255" t="s">
        <v>10374</v>
      </c>
      <c r="K255" t="s">
        <v>10375</v>
      </c>
      <c r="L255" t="s">
        <v>3963</v>
      </c>
      <c r="M255" t="s">
        <v>3963</v>
      </c>
      <c r="N255" t="s">
        <v>3963</v>
      </c>
      <c r="O255" t="s">
        <v>3963</v>
      </c>
      <c r="P255" t="s">
        <v>3963</v>
      </c>
      <c r="R255" t="s">
        <v>10375</v>
      </c>
    </row>
    <row r="256" spans="4:18">
      <c r="E256" t="s">
        <v>10376</v>
      </c>
      <c r="I256" t="s">
        <v>10312</v>
      </c>
      <c r="K256" t="s">
        <v>10377</v>
      </c>
      <c r="L256" t="s">
        <v>3963</v>
      </c>
      <c r="M256" t="s">
        <v>3963</v>
      </c>
      <c r="N256" t="s">
        <v>3963</v>
      </c>
      <c r="O256" t="s">
        <v>3963</v>
      </c>
      <c r="P256" t="s">
        <v>3963</v>
      </c>
      <c r="R256" t="s">
        <v>10377</v>
      </c>
    </row>
    <row r="257" spans="4:18">
      <c r="E257" t="s">
        <v>10378</v>
      </c>
      <c r="I257" t="s">
        <v>10379</v>
      </c>
      <c r="K257" t="s">
        <v>4702</v>
      </c>
      <c r="L257" t="s">
        <v>3963</v>
      </c>
      <c r="M257" t="s">
        <v>3963</v>
      </c>
      <c r="N257" t="s">
        <v>3963</v>
      </c>
      <c r="O257" t="s">
        <v>3963</v>
      </c>
      <c r="P257" t="s">
        <v>3963</v>
      </c>
      <c r="R257" t="s">
        <v>4702</v>
      </c>
    </row>
    <row r="258" spans="4:18">
      <c r="D258" t="s">
        <v>1992</v>
      </c>
      <c r="H258" t="s">
        <v>10380</v>
      </c>
      <c r="K258" t="s">
        <v>4038</v>
      </c>
      <c r="L258" t="s">
        <v>10381</v>
      </c>
      <c r="M258" t="s">
        <v>3963</v>
      </c>
      <c r="N258" t="s">
        <v>3963</v>
      </c>
      <c r="O258" t="s">
        <v>3963</v>
      </c>
      <c r="P258" t="s">
        <v>10381</v>
      </c>
      <c r="R258" t="s">
        <v>10382</v>
      </c>
    </row>
    <row r="259" spans="4:18">
      <c r="D259" t="s">
        <v>1830</v>
      </c>
      <c r="H259" t="s">
        <v>10383</v>
      </c>
      <c r="K259" t="s">
        <v>10384</v>
      </c>
      <c r="L259" t="s">
        <v>3963</v>
      </c>
      <c r="M259" t="s">
        <v>3963</v>
      </c>
      <c r="N259" t="s">
        <v>3963</v>
      </c>
      <c r="O259" t="s">
        <v>3963</v>
      </c>
      <c r="P259" t="s">
        <v>3963</v>
      </c>
      <c r="R259" t="s">
        <v>10384</v>
      </c>
    </row>
    <row r="260" spans="4:18">
      <c r="E260" t="s">
        <v>10385</v>
      </c>
      <c r="I260" t="s">
        <v>10386</v>
      </c>
      <c r="K260" t="s">
        <v>10384</v>
      </c>
      <c r="L260" t="s">
        <v>3963</v>
      </c>
      <c r="M260" t="s">
        <v>3963</v>
      </c>
      <c r="N260" t="s">
        <v>3963</v>
      </c>
      <c r="O260" t="s">
        <v>3963</v>
      </c>
      <c r="P260" t="s">
        <v>3963</v>
      </c>
      <c r="R260" t="s">
        <v>10384</v>
      </c>
    </row>
    <row r="261" spans="4:18">
      <c r="D261" t="s">
        <v>1797</v>
      </c>
      <c r="H261" t="s">
        <v>10387</v>
      </c>
      <c r="K261" t="s">
        <v>10388</v>
      </c>
      <c r="L261" t="s">
        <v>19461</v>
      </c>
      <c r="M261" t="s">
        <v>19462</v>
      </c>
      <c r="N261" t="s">
        <v>3963</v>
      </c>
      <c r="O261" t="s">
        <v>3963</v>
      </c>
      <c r="P261" t="s">
        <v>19463</v>
      </c>
      <c r="R261" t="s">
        <v>19464</v>
      </c>
    </row>
    <row r="262" spans="4:18">
      <c r="E262" t="s">
        <v>10389</v>
      </c>
      <c r="I262" t="s">
        <v>10004</v>
      </c>
      <c r="K262" t="s">
        <v>10390</v>
      </c>
      <c r="L262" t="s">
        <v>3963</v>
      </c>
      <c r="M262" t="s">
        <v>3963</v>
      </c>
      <c r="N262" t="s">
        <v>3963</v>
      </c>
      <c r="O262" t="s">
        <v>3963</v>
      </c>
      <c r="P262" t="s">
        <v>3963</v>
      </c>
      <c r="R262" t="s">
        <v>10390</v>
      </c>
    </row>
    <row r="263" spans="4:18">
      <c r="E263" t="s">
        <v>10391</v>
      </c>
      <c r="I263" t="s">
        <v>10392</v>
      </c>
      <c r="K263" t="s">
        <v>4172</v>
      </c>
      <c r="L263" t="s">
        <v>10393</v>
      </c>
      <c r="M263" t="s">
        <v>3963</v>
      </c>
      <c r="N263" t="s">
        <v>3963</v>
      </c>
      <c r="O263" t="s">
        <v>3963</v>
      </c>
      <c r="P263" t="s">
        <v>10393</v>
      </c>
      <c r="R263" t="s">
        <v>10394</v>
      </c>
    </row>
    <row r="264" spans="4:18">
      <c r="E264" t="s">
        <v>10395</v>
      </c>
      <c r="I264" t="s">
        <v>10396</v>
      </c>
      <c r="K264" t="s">
        <v>4869</v>
      </c>
      <c r="L264" t="s">
        <v>17246</v>
      </c>
      <c r="M264" t="s">
        <v>17247</v>
      </c>
      <c r="N264" t="s">
        <v>3963</v>
      </c>
      <c r="O264" t="s">
        <v>3963</v>
      </c>
      <c r="P264" t="s">
        <v>17248</v>
      </c>
      <c r="R264" t="s">
        <v>17249</v>
      </c>
    </row>
    <row r="265" spans="4:18">
      <c r="E265" t="s">
        <v>10397</v>
      </c>
      <c r="I265" t="s">
        <v>9999</v>
      </c>
      <c r="K265" t="s">
        <v>4172</v>
      </c>
      <c r="L265" t="s">
        <v>3963</v>
      </c>
      <c r="M265" t="s">
        <v>3963</v>
      </c>
      <c r="N265" t="s">
        <v>3963</v>
      </c>
      <c r="O265" t="s">
        <v>3963</v>
      </c>
      <c r="P265" t="s">
        <v>3963</v>
      </c>
      <c r="R265" t="s">
        <v>4172</v>
      </c>
    </row>
    <row r="266" spans="4:18">
      <c r="E266" t="s">
        <v>10398</v>
      </c>
      <c r="I266" t="s">
        <v>10399</v>
      </c>
      <c r="K266" t="s">
        <v>4132</v>
      </c>
      <c r="L266" t="s">
        <v>10400</v>
      </c>
      <c r="M266" t="s">
        <v>3963</v>
      </c>
      <c r="N266" t="s">
        <v>3963</v>
      </c>
      <c r="O266" t="s">
        <v>3963</v>
      </c>
      <c r="P266" t="s">
        <v>10400</v>
      </c>
      <c r="R266" t="s">
        <v>10401</v>
      </c>
    </row>
    <row r="267" spans="4:18">
      <c r="E267" t="s">
        <v>8793</v>
      </c>
      <c r="I267" t="s">
        <v>10402</v>
      </c>
      <c r="K267" t="s">
        <v>3963</v>
      </c>
      <c r="L267" t="s">
        <v>10403</v>
      </c>
      <c r="M267" t="s">
        <v>3963</v>
      </c>
      <c r="N267" t="s">
        <v>3963</v>
      </c>
      <c r="O267" t="s">
        <v>3963</v>
      </c>
      <c r="P267" t="s">
        <v>10403</v>
      </c>
      <c r="R267" t="s">
        <v>10404</v>
      </c>
    </row>
    <row r="268" spans="4:18">
      <c r="E268" t="s">
        <v>6858</v>
      </c>
      <c r="I268" t="s">
        <v>10405</v>
      </c>
      <c r="K268" t="s">
        <v>3963</v>
      </c>
      <c r="L268" t="s">
        <v>19465</v>
      </c>
      <c r="M268" t="s">
        <v>19466</v>
      </c>
      <c r="N268" t="s">
        <v>3963</v>
      </c>
      <c r="O268" t="s">
        <v>3963</v>
      </c>
      <c r="P268" t="s">
        <v>19467</v>
      </c>
      <c r="R268" t="s">
        <v>19468</v>
      </c>
    </row>
    <row r="269" spans="4:18">
      <c r="E269" t="s">
        <v>10406</v>
      </c>
      <c r="I269" t="s">
        <v>10407</v>
      </c>
      <c r="K269" t="s">
        <v>3963</v>
      </c>
      <c r="L269" t="s">
        <v>10408</v>
      </c>
      <c r="M269" t="s">
        <v>3963</v>
      </c>
      <c r="N269" t="s">
        <v>3963</v>
      </c>
      <c r="O269" t="s">
        <v>3963</v>
      </c>
      <c r="P269" t="s">
        <v>10408</v>
      </c>
      <c r="R269" t="s">
        <v>10409</v>
      </c>
    </row>
    <row r="270" spans="4:18">
      <c r="D270" t="s">
        <v>1941</v>
      </c>
      <c r="H270" t="s">
        <v>10410</v>
      </c>
      <c r="K270" t="s">
        <v>10411</v>
      </c>
      <c r="L270" t="s">
        <v>10412</v>
      </c>
      <c r="M270" t="s">
        <v>3963</v>
      </c>
      <c r="N270" t="s">
        <v>3963</v>
      </c>
      <c r="O270" t="s">
        <v>3963</v>
      </c>
      <c r="P270" t="s">
        <v>10412</v>
      </c>
      <c r="R270" t="s">
        <v>17250</v>
      </c>
    </row>
    <row r="271" spans="4:18">
      <c r="E271" t="s">
        <v>10413</v>
      </c>
      <c r="I271" t="s">
        <v>10414</v>
      </c>
      <c r="K271" t="s">
        <v>10411</v>
      </c>
      <c r="L271" t="s">
        <v>10412</v>
      </c>
      <c r="M271" t="s">
        <v>3963</v>
      </c>
      <c r="N271" t="s">
        <v>3963</v>
      </c>
      <c r="O271" t="s">
        <v>3963</v>
      </c>
      <c r="P271" t="s">
        <v>10412</v>
      </c>
      <c r="R271" t="s">
        <v>17250</v>
      </c>
    </row>
    <row r="272" spans="4:18">
      <c r="D272" t="s">
        <v>2160</v>
      </c>
      <c r="H272" t="s">
        <v>10415</v>
      </c>
      <c r="K272" t="s">
        <v>4307</v>
      </c>
      <c r="L272" t="s">
        <v>10416</v>
      </c>
      <c r="M272" t="s">
        <v>3963</v>
      </c>
      <c r="N272" t="s">
        <v>3963</v>
      </c>
      <c r="O272" t="s">
        <v>3963</v>
      </c>
      <c r="P272" t="s">
        <v>10416</v>
      </c>
      <c r="R272" t="s">
        <v>10417</v>
      </c>
    </row>
    <row r="273" spans="4:18">
      <c r="E273" t="s">
        <v>10418</v>
      </c>
      <c r="I273" t="s">
        <v>10419</v>
      </c>
      <c r="K273" t="s">
        <v>4928</v>
      </c>
      <c r="L273" t="s">
        <v>10420</v>
      </c>
      <c r="M273" t="s">
        <v>3963</v>
      </c>
      <c r="N273" t="s">
        <v>3963</v>
      </c>
      <c r="O273" t="s">
        <v>3963</v>
      </c>
      <c r="P273" t="s">
        <v>10420</v>
      </c>
      <c r="R273" t="s">
        <v>10421</v>
      </c>
    </row>
    <row r="274" spans="4:18">
      <c r="E274" t="s">
        <v>10422</v>
      </c>
      <c r="I274" t="s">
        <v>10423</v>
      </c>
      <c r="K274" t="s">
        <v>4150</v>
      </c>
      <c r="L274" t="s">
        <v>10424</v>
      </c>
      <c r="M274" t="s">
        <v>3963</v>
      </c>
      <c r="N274" t="s">
        <v>3963</v>
      </c>
      <c r="O274" t="s">
        <v>3963</v>
      </c>
      <c r="P274" t="s">
        <v>10424</v>
      </c>
      <c r="R274" t="s">
        <v>10425</v>
      </c>
    </row>
    <row r="275" spans="4:18">
      <c r="D275" t="s">
        <v>1942</v>
      </c>
      <c r="H275" t="s">
        <v>10426</v>
      </c>
      <c r="K275" t="s">
        <v>4661</v>
      </c>
      <c r="L275" t="s">
        <v>3963</v>
      </c>
      <c r="M275" t="s">
        <v>3963</v>
      </c>
      <c r="N275" t="s">
        <v>3963</v>
      </c>
      <c r="O275" t="s">
        <v>3963</v>
      </c>
      <c r="P275" t="s">
        <v>3963</v>
      </c>
      <c r="R275" t="s">
        <v>4661</v>
      </c>
    </row>
    <row r="276" spans="4:18">
      <c r="E276" t="s">
        <v>10427</v>
      </c>
      <c r="I276" t="s">
        <v>10428</v>
      </c>
      <c r="K276" t="s">
        <v>4661</v>
      </c>
      <c r="L276" t="s">
        <v>3963</v>
      </c>
      <c r="M276" t="s">
        <v>3963</v>
      </c>
      <c r="N276" t="s">
        <v>3963</v>
      </c>
      <c r="O276" t="s">
        <v>3963</v>
      </c>
      <c r="P276" t="s">
        <v>3963</v>
      </c>
      <c r="R276" t="s">
        <v>4661</v>
      </c>
    </row>
    <row r="277" spans="4:18">
      <c r="D277" t="s">
        <v>1943</v>
      </c>
      <c r="H277" t="s">
        <v>10429</v>
      </c>
      <c r="K277" t="s">
        <v>10430</v>
      </c>
      <c r="L277" t="s">
        <v>3963</v>
      </c>
      <c r="M277" t="s">
        <v>3963</v>
      </c>
      <c r="N277" t="s">
        <v>3963</v>
      </c>
      <c r="O277" t="s">
        <v>3963</v>
      </c>
      <c r="P277" t="s">
        <v>3963</v>
      </c>
      <c r="R277" t="s">
        <v>10430</v>
      </c>
    </row>
    <row r="278" spans="4:18">
      <c r="E278" t="s">
        <v>10431</v>
      </c>
      <c r="I278" t="s">
        <v>10432</v>
      </c>
      <c r="K278" t="s">
        <v>10430</v>
      </c>
      <c r="L278" t="s">
        <v>3963</v>
      </c>
      <c r="M278" t="s">
        <v>3963</v>
      </c>
      <c r="N278" t="s">
        <v>3963</v>
      </c>
      <c r="O278" t="s">
        <v>3963</v>
      </c>
      <c r="P278" t="s">
        <v>3963</v>
      </c>
      <c r="R278" t="s">
        <v>10430</v>
      </c>
    </row>
    <row r="279" spans="4:18">
      <c r="D279" t="s">
        <v>1944</v>
      </c>
      <c r="H279" t="s">
        <v>10433</v>
      </c>
      <c r="K279" t="s">
        <v>4182</v>
      </c>
      <c r="L279" t="s">
        <v>10434</v>
      </c>
      <c r="M279" t="s">
        <v>3963</v>
      </c>
      <c r="N279" t="s">
        <v>3963</v>
      </c>
      <c r="O279" t="s">
        <v>3963</v>
      </c>
      <c r="P279" t="s">
        <v>10434</v>
      </c>
      <c r="R279" t="s">
        <v>10435</v>
      </c>
    </row>
    <row r="280" spans="4:18">
      <c r="E280" t="s">
        <v>10436</v>
      </c>
      <c r="I280" t="s">
        <v>10437</v>
      </c>
      <c r="K280" t="s">
        <v>4182</v>
      </c>
      <c r="L280" t="s">
        <v>10434</v>
      </c>
      <c r="M280" t="s">
        <v>3963</v>
      </c>
      <c r="N280" t="s">
        <v>3963</v>
      </c>
      <c r="O280" t="s">
        <v>3963</v>
      </c>
      <c r="P280" t="s">
        <v>10434</v>
      </c>
      <c r="R280" t="s">
        <v>10435</v>
      </c>
    </row>
    <row r="281" spans="4:18">
      <c r="D281" t="s">
        <v>1945</v>
      </c>
      <c r="H281" t="s">
        <v>10438</v>
      </c>
      <c r="K281" t="s">
        <v>10439</v>
      </c>
      <c r="L281" t="s">
        <v>15943</v>
      </c>
      <c r="M281" t="s">
        <v>16136</v>
      </c>
      <c r="N281" t="s">
        <v>3963</v>
      </c>
      <c r="O281" t="s">
        <v>3963</v>
      </c>
      <c r="P281" t="s">
        <v>16137</v>
      </c>
      <c r="R281" t="s">
        <v>16138</v>
      </c>
    </row>
    <row r="282" spans="4:18">
      <c r="E282" t="s">
        <v>10440</v>
      </c>
      <c r="I282" t="s">
        <v>10312</v>
      </c>
      <c r="K282" t="s">
        <v>10441</v>
      </c>
      <c r="L282" t="s">
        <v>3963</v>
      </c>
      <c r="M282" t="s">
        <v>3963</v>
      </c>
      <c r="N282" t="s">
        <v>3963</v>
      </c>
      <c r="O282" t="s">
        <v>3963</v>
      </c>
      <c r="P282" t="s">
        <v>3963</v>
      </c>
      <c r="R282" t="s">
        <v>10441</v>
      </c>
    </row>
    <row r="283" spans="4:18">
      <c r="E283" t="s">
        <v>10442</v>
      </c>
      <c r="I283" t="s">
        <v>10443</v>
      </c>
      <c r="K283" t="s">
        <v>4384</v>
      </c>
      <c r="L283" t="s">
        <v>3963</v>
      </c>
      <c r="M283" t="s">
        <v>3963</v>
      </c>
      <c r="N283" t="s">
        <v>3963</v>
      </c>
      <c r="O283" t="s">
        <v>3963</v>
      </c>
      <c r="P283" t="s">
        <v>3963</v>
      </c>
      <c r="R283" t="s">
        <v>4384</v>
      </c>
    </row>
    <row r="284" spans="4:18">
      <c r="E284" t="s">
        <v>10444</v>
      </c>
      <c r="I284" t="s">
        <v>10445</v>
      </c>
      <c r="K284" t="s">
        <v>10037</v>
      </c>
      <c r="L284" t="s">
        <v>15943</v>
      </c>
      <c r="M284" t="s">
        <v>16136</v>
      </c>
      <c r="N284" t="s">
        <v>3963</v>
      </c>
      <c r="O284" t="s">
        <v>3963</v>
      </c>
      <c r="P284" t="s">
        <v>16137</v>
      </c>
      <c r="R284" t="s">
        <v>16139</v>
      </c>
    </row>
    <row r="285" spans="4:18">
      <c r="E285" t="s">
        <v>10446</v>
      </c>
      <c r="I285" t="s">
        <v>10447</v>
      </c>
      <c r="K285" t="s">
        <v>10448</v>
      </c>
      <c r="L285" t="s">
        <v>3963</v>
      </c>
      <c r="M285" t="s">
        <v>3963</v>
      </c>
      <c r="N285" t="s">
        <v>3963</v>
      </c>
      <c r="O285" t="s">
        <v>3963</v>
      </c>
      <c r="P285" t="s">
        <v>3963</v>
      </c>
      <c r="R285" t="s">
        <v>10448</v>
      </c>
    </row>
    <row r="286" spans="4:18">
      <c r="D286" t="s">
        <v>1991</v>
      </c>
      <c r="H286" t="s">
        <v>10449</v>
      </c>
      <c r="K286" t="s">
        <v>10450</v>
      </c>
      <c r="L286" t="s">
        <v>19469</v>
      </c>
      <c r="M286" t="s">
        <v>19470</v>
      </c>
      <c r="N286" t="s">
        <v>18843</v>
      </c>
      <c r="O286" t="s">
        <v>3963</v>
      </c>
      <c r="P286" t="s">
        <v>19471</v>
      </c>
      <c r="R286" t="s">
        <v>19472</v>
      </c>
    </row>
    <row r="287" spans="4:18">
      <c r="E287" t="s">
        <v>10451</v>
      </c>
      <c r="I287" t="s">
        <v>10452</v>
      </c>
      <c r="K287" t="s">
        <v>10453</v>
      </c>
      <c r="L287" t="s">
        <v>3963</v>
      </c>
      <c r="M287" t="s">
        <v>3963</v>
      </c>
      <c r="N287" t="s">
        <v>3963</v>
      </c>
      <c r="O287" t="s">
        <v>3963</v>
      </c>
      <c r="P287" t="s">
        <v>3963</v>
      </c>
      <c r="R287" t="s">
        <v>10453</v>
      </c>
    </row>
    <row r="288" spans="4:18">
      <c r="E288" t="s">
        <v>10454</v>
      </c>
      <c r="I288" t="s">
        <v>10455</v>
      </c>
      <c r="K288" t="s">
        <v>4038</v>
      </c>
      <c r="L288" t="s">
        <v>3963</v>
      </c>
      <c r="M288" t="s">
        <v>3963</v>
      </c>
      <c r="N288" t="s">
        <v>3963</v>
      </c>
      <c r="O288" t="s">
        <v>3963</v>
      </c>
      <c r="P288" t="s">
        <v>3963</v>
      </c>
      <c r="R288" t="s">
        <v>4038</v>
      </c>
    </row>
    <row r="289" spans="4:18">
      <c r="E289" t="s">
        <v>10456</v>
      </c>
      <c r="I289" t="s">
        <v>10396</v>
      </c>
      <c r="K289" t="s">
        <v>10457</v>
      </c>
      <c r="L289" t="s">
        <v>11915</v>
      </c>
      <c r="M289" t="s">
        <v>3963</v>
      </c>
      <c r="N289" t="s">
        <v>18429</v>
      </c>
      <c r="O289" t="s">
        <v>3963</v>
      </c>
      <c r="P289" t="s">
        <v>18430</v>
      </c>
      <c r="R289" t="s">
        <v>18431</v>
      </c>
    </row>
    <row r="290" spans="4:18">
      <c r="E290" t="s">
        <v>8925</v>
      </c>
      <c r="I290" t="s">
        <v>5208</v>
      </c>
      <c r="K290" t="s">
        <v>10458</v>
      </c>
      <c r="L290" t="s">
        <v>19122</v>
      </c>
      <c r="M290" t="s">
        <v>19123</v>
      </c>
      <c r="N290" t="s">
        <v>18844</v>
      </c>
      <c r="O290" t="s">
        <v>3963</v>
      </c>
      <c r="P290" t="s">
        <v>19124</v>
      </c>
      <c r="R290" t="s">
        <v>19125</v>
      </c>
    </row>
    <row r="291" spans="4:18">
      <c r="E291" t="s">
        <v>10459</v>
      </c>
      <c r="I291" t="s">
        <v>9999</v>
      </c>
      <c r="K291" t="s">
        <v>10460</v>
      </c>
      <c r="L291" t="s">
        <v>19473</v>
      </c>
      <c r="M291" t="s">
        <v>19474</v>
      </c>
      <c r="N291" t="s">
        <v>3963</v>
      </c>
      <c r="O291" t="s">
        <v>3963</v>
      </c>
      <c r="P291" t="s">
        <v>19475</v>
      </c>
      <c r="R291" t="s">
        <v>19476</v>
      </c>
    </row>
    <row r="292" spans="4:18">
      <c r="D292" t="s">
        <v>1990</v>
      </c>
      <c r="H292" t="s">
        <v>10461</v>
      </c>
      <c r="K292" t="s">
        <v>10462</v>
      </c>
      <c r="L292" t="s">
        <v>3963</v>
      </c>
      <c r="M292" t="s">
        <v>3963</v>
      </c>
      <c r="N292" t="s">
        <v>3963</v>
      </c>
      <c r="O292" t="s">
        <v>3963</v>
      </c>
      <c r="P292" t="s">
        <v>3963</v>
      </c>
      <c r="R292" t="s">
        <v>10462</v>
      </c>
    </row>
    <row r="293" spans="4:18">
      <c r="E293" t="s">
        <v>10463</v>
      </c>
      <c r="I293" t="s">
        <v>10414</v>
      </c>
      <c r="K293" t="s">
        <v>5297</v>
      </c>
      <c r="L293" t="s">
        <v>3963</v>
      </c>
      <c r="M293" t="s">
        <v>3963</v>
      </c>
      <c r="N293" t="s">
        <v>3963</v>
      </c>
      <c r="O293" t="s">
        <v>3963</v>
      </c>
      <c r="P293" t="s">
        <v>3963</v>
      </c>
      <c r="R293" t="s">
        <v>5297</v>
      </c>
    </row>
    <row r="294" spans="4:18">
      <c r="E294" t="s">
        <v>10464</v>
      </c>
      <c r="I294" t="s">
        <v>10465</v>
      </c>
      <c r="K294" t="s">
        <v>5321</v>
      </c>
      <c r="L294" t="s">
        <v>3963</v>
      </c>
      <c r="M294" t="s">
        <v>3963</v>
      </c>
      <c r="N294" t="s">
        <v>3963</v>
      </c>
      <c r="O294" t="s">
        <v>3963</v>
      </c>
      <c r="P294" t="s">
        <v>3963</v>
      </c>
      <c r="R294" t="s">
        <v>5321</v>
      </c>
    </row>
    <row r="295" spans="4:18">
      <c r="E295" t="s">
        <v>10466</v>
      </c>
      <c r="I295" t="s">
        <v>10362</v>
      </c>
      <c r="K295" t="s">
        <v>10467</v>
      </c>
      <c r="L295" t="s">
        <v>3963</v>
      </c>
      <c r="M295" t="s">
        <v>3963</v>
      </c>
      <c r="N295" t="s">
        <v>3963</v>
      </c>
      <c r="O295" t="s">
        <v>3963</v>
      </c>
      <c r="P295" t="s">
        <v>3963</v>
      </c>
      <c r="R295" t="s">
        <v>10467</v>
      </c>
    </row>
    <row r="296" spans="4:18">
      <c r="D296" t="s">
        <v>1989</v>
      </c>
      <c r="H296" t="s">
        <v>10468</v>
      </c>
      <c r="K296" t="s">
        <v>10469</v>
      </c>
      <c r="L296" t="s">
        <v>17251</v>
      </c>
      <c r="M296" t="s">
        <v>3963</v>
      </c>
      <c r="N296" t="s">
        <v>3963</v>
      </c>
      <c r="O296" t="s">
        <v>3963</v>
      </c>
      <c r="P296" t="s">
        <v>17251</v>
      </c>
      <c r="R296" t="s">
        <v>17252</v>
      </c>
    </row>
    <row r="297" spans="4:18">
      <c r="E297" t="s">
        <v>10471</v>
      </c>
      <c r="I297" t="s">
        <v>10472</v>
      </c>
      <c r="K297" t="s">
        <v>10473</v>
      </c>
      <c r="L297" t="s">
        <v>17253</v>
      </c>
      <c r="M297" t="s">
        <v>3963</v>
      </c>
      <c r="N297" t="s">
        <v>3963</v>
      </c>
      <c r="O297" t="s">
        <v>3963</v>
      </c>
      <c r="P297" t="s">
        <v>17253</v>
      </c>
      <c r="R297" t="s">
        <v>17254</v>
      </c>
    </row>
    <row r="298" spans="4:18">
      <c r="E298" t="s">
        <v>10474</v>
      </c>
      <c r="I298" t="s">
        <v>10475</v>
      </c>
      <c r="K298" t="s">
        <v>4021</v>
      </c>
      <c r="L298" t="s">
        <v>3963</v>
      </c>
      <c r="M298" t="s">
        <v>3963</v>
      </c>
      <c r="N298" t="s">
        <v>3963</v>
      </c>
      <c r="O298" t="s">
        <v>3963</v>
      </c>
      <c r="P298" t="s">
        <v>3963</v>
      </c>
      <c r="R298" t="s">
        <v>4021</v>
      </c>
    </row>
    <row r="299" spans="4:18">
      <c r="E299" t="s">
        <v>10476</v>
      </c>
      <c r="I299" t="s">
        <v>10353</v>
      </c>
      <c r="K299" t="s">
        <v>10477</v>
      </c>
      <c r="L299" t="s">
        <v>10470</v>
      </c>
      <c r="M299" t="s">
        <v>3963</v>
      </c>
      <c r="N299" t="s">
        <v>3963</v>
      </c>
      <c r="O299" t="s">
        <v>3963</v>
      </c>
      <c r="P299" t="s">
        <v>10470</v>
      </c>
      <c r="R299" t="s">
        <v>10478</v>
      </c>
    </row>
    <row r="300" spans="4:18">
      <c r="D300" t="s">
        <v>2056</v>
      </c>
      <c r="H300" t="s">
        <v>10326</v>
      </c>
      <c r="K300" t="s">
        <v>3963</v>
      </c>
      <c r="L300" t="s">
        <v>3963</v>
      </c>
      <c r="M300" t="s">
        <v>3963</v>
      </c>
      <c r="N300" t="s">
        <v>3963</v>
      </c>
      <c r="O300" t="s">
        <v>3963</v>
      </c>
      <c r="P300" t="s">
        <v>3963</v>
      </c>
      <c r="R300" t="s">
        <v>3963</v>
      </c>
    </row>
    <row r="301" spans="4:18">
      <c r="E301" t="s">
        <v>10479</v>
      </c>
      <c r="I301" t="s">
        <v>10432</v>
      </c>
      <c r="K301" t="s">
        <v>3963</v>
      </c>
      <c r="L301" t="s">
        <v>3963</v>
      </c>
      <c r="M301" t="s">
        <v>3963</v>
      </c>
      <c r="N301" t="s">
        <v>3963</v>
      </c>
      <c r="O301" t="s">
        <v>3963</v>
      </c>
      <c r="P301" t="s">
        <v>3963</v>
      </c>
      <c r="R301" t="s">
        <v>3963</v>
      </c>
    </row>
    <row r="302" spans="4:18">
      <c r="E302" t="s">
        <v>10480</v>
      </c>
      <c r="I302" t="s">
        <v>10481</v>
      </c>
      <c r="K302" t="s">
        <v>3963</v>
      </c>
      <c r="L302" t="s">
        <v>3963</v>
      </c>
      <c r="M302" t="s">
        <v>3963</v>
      </c>
      <c r="N302" t="s">
        <v>3963</v>
      </c>
      <c r="O302" t="s">
        <v>3963</v>
      </c>
      <c r="P302" t="s">
        <v>3963</v>
      </c>
      <c r="R302" t="s">
        <v>3963</v>
      </c>
    </row>
    <row r="303" spans="4:18">
      <c r="E303" t="s">
        <v>10482</v>
      </c>
      <c r="I303" t="s">
        <v>10483</v>
      </c>
      <c r="K303" t="s">
        <v>3963</v>
      </c>
      <c r="L303" t="s">
        <v>3963</v>
      </c>
      <c r="M303" t="s">
        <v>3963</v>
      </c>
      <c r="N303" t="s">
        <v>3963</v>
      </c>
      <c r="O303" t="s">
        <v>3963</v>
      </c>
      <c r="P303" t="s">
        <v>3963</v>
      </c>
      <c r="R303" t="s">
        <v>3963</v>
      </c>
    </row>
    <row r="304" spans="4:18">
      <c r="E304" t="s">
        <v>10484</v>
      </c>
      <c r="I304" t="s">
        <v>10485</v>
      </c>
      <c r="K304" t="s">
        <v>3963</v>
      </c>
      <c r="L304" t="s">
        <v>3963</v>
      </c>
      <c r="M304" t="s">
        <v>3963</v>
      </c>
      <c r="N304" t="s">
        <v>3963</v>
      </c>
      <c r="O304" t="s">
        <v>3963</v>
      </c>
      <c r="P304" t="s">
        <v>3963</v>
      </c>
      <c r="R304" t="s">
        <v>3963</v>
      </c>
    </row>
    <row r="305" spans="4:18">
      <c r="E305" t="s">
        <v>10486</v>
      </c>
      <c r="I305" t="s">
        <v>10487</v>
      </c>
      <c r="K305" t="s">
        <v>3963</v>
      </c>
      <c r="L305" t="s">
        <v>3963</v>
      </c>
      <c r="M305" t="s">
        <v>3963</v>
      </c>
      <c r="N305" t="s">
        <v>3963</v>
      </c>
      <c r="O305" t="s">
        <v>3963</v>
      </c>
      <c r="P305" t="s">
        <v>3963</v>
      </c>
      <c r="R305" t="s">
        <v>3963</v>
      </c>
    </row>
    <row r="306" spans="4:18">
      <c r="E306" t="s">
        <v>10488</v>
      </c>
      <c r="I306" t="s">
        <v>10362</v>
      </c>
      <c r="K306" t="s">
        <v>3963</v>
      </c>
      <c r="L306" t="s">
        <v>3963</v>
      </c>
      <c r="M306" t="s">
        <v>3963</v>
      </c>
      <c r="N306" t="s">
        <v>3963</v>
      </c>
      <c r="O306" t="s">
        <v>3963</v>
      </c>
      <c r="P306" t="s">
        <v>3963</v>
      </c>
      <c r="R306" t="s">
        <v>3963</v>
      </c>
    </row>
    <row r="307" spans="4:18">
      <c r="D307" t="s">
        <v>2057</v>
      </c>
      <c r="H307" t="s">
        <v>10489</v>
      </c>
      <c r="K307" t="s">
        <v>3963</v>
      </c>
      <c r="L307" t="s">
        <v>3963</v>
      </c>
      <c r="M307" t="s">
        <v>3963</v>
      </c>
      <c r="N307" t="s">
        <v>3963</v>
      </c>
      <c r="O307" t="s">
        <v>3963</v>
      </c>
      <c r="P307" t="s">
        <v>3963</v>
      </c>
      <c r="R307" t="s">
        <v>3963</v>
      </c>
    </row>
    <row r="308" spans="4:18">
      <c r="E308" t="s">
        <v>10490</v>
      </c>
      <c r="I308" t="s">
        <v>10432</v>
      </c>
      <c r="K308" t="s">
        <v>3963</v>
      </c>
      <c r="L308" t="s">
        <v>3963</v>
      </c>
      <c r="M308" t="s">
        <v>3963</v>
      </c>
      <c r="N308" t="s">
        <v>3963</v>
      </c>
      <c r="O308" t="s">
        <v>3963</v>
      </c>
      <c r="P308" t="s">
        <v>3963</v>
      </c>
      <c r="R308" t="s">
        <v>3963</v>
      </c>
    </row>
    <row r="309" spans="4:18">
      <c r="E309" t="s">
        <v>10491</v>
      </c>
      <c r="I309" t="s">
        <v>10465</v>
      </c>
      <c r="K309" t="s">
        <v>3963</v>
      </c>
      <c r="L309" t="s">
        <v>3963</v>
      </c>
      <c r="M309" t="s">
        <v>3963</v>
      </c>
      <c r="N309" t="s">
        <v>3963</v>
      </c>
      <c r="O309" t="s">
        <v>3963</v>
      </c>
      <c r="P309" t="s">
        <v>3963</v>
      </c>
      <c r="R309" t="s">
        <v>3963</v>
      </c>
    </row>
    <row r="310" spans="4:18">
      <c r="D310" t="s">
        <v>2058</v>
      </c>
      <c r="H310" t="s">
        <v>10492</v>
      </c>
      <c r="K310" t="s">
        <v>10493</v>
      </c>
      <c r="L310" t="s">
        <v>3963</v>
      </c>
      <c r="M310" t="s">
        <v>3963</v>
      </c>
      <c r="N310" t="s">
        <v>3963</v>
      </c>
      <c r="O310" t="s">
        <v>3963</v>
      </c>
      <c r="P310" t="s">
        <v>3963</v>
      </c>
      <c r="R310" t="s">
        <v>10493</v>
      </c>
    </row>
    <row r="311" spans="4:18">
      <c r="E311" t="s">
        <v>10494</v>
      </c>
      <c r="I311" t="s">
        <v>10432</v>
      </c>
      <c r="K311" t="s">
        <v>10493</v>
      </c>
      <c r="L311" t="s">
        <v>3963</v>
      </c>
      <c r="M311" t="s">
        <v>3963</v>
      </c>
      <c r="N311" t="s">
        <v>3963</v>
      </c>
      <c r="O311" t="s">
        <v>3963</v>
      </c>
      <c r="P311" t="s">
        <v>3963</v>
      </c>
      <c r="R311" t="s">
        <v>10493</v>
      </c>
    </row>
    <row r="312" spans="4:18">
      <c r="E312" t="s">
        <v>10495</v>
      </c>
      <c r="I312" t="s">
        <v>10362</v>
      </c>
      <c r="K312" t="s">
        <v>3963</v>
      </c>
      <c r="L312" t="s">
        <v>3963</v>
      </c>
      <c r="M312" t="s">
        <v>3963</v>
      </c>
      <c r="N312" t="s">
        <v>3963</v>
      </c>
      <c r="O312" t="s">
        <v>3963</v>
      </c>
      <c r="P312" t="s">
        <v>3963</v>
      </c>
      <c r="R312" t="s">
        <v>3963</v>
      </c>
    </row>
    <row r="313" spans="4:18">
      <c r="D313" t="s">
        <v>2059</v>
      </c>
      <c r="H313" t="s">
        <v>10496</v>
      </c>
      <c r="K313" t="s">
        <v>4067</v>
      </c>
      <c r="L313" t="s">
        <v>3963</v>
      </c>
      <c r="M313" t="s">
        <v>3963</v>
      </c>
      <c r="N313" t="s">
        <v>3963</v>
      </c>
      <c r="O313" t="s">
        <v>3963</v>
      </c>
      <c r="P313" t="s">
        <v>3963</v>
      </c>
      <c r="R313" t="s">
        <v>4067</v>
      </c>
    </row>
    <row r="314" spans="4:18">
      <c r="E314" t="s">
        <v>10497</v>
      </c>
      <c r="I314" t="s">
        <v>10282</v>
      </c>
      <c r="K314" t="s">
        <v>4067</v>
      </c>
      <c r="L314" t="s">
        <v>3963</v>
      </c>
      <c r="M314" t="s">
        <v>3963</v>
      </c>
      <c r="N314" t="s">
        <v>3963</v>
      </c>
      <c r="O314" t="s">
        <v>3963</v>
      </c>
      <c r="P314" t="s">
        <v>3963</v>
      </c>
      <c r="R314" t="s">
        <v>4067</v>
      </c>
    </row>
    <row r="315" spans="4:18">
      <c r="D315" t="s">
        <v>2068</v>
      </c>
      <c r="H315" t="s">
        <v>10498</v>
      </c>
      <c r="K315" t="s">
        <v>10499</v>
      </c>
      <c r="L315" t="s">
        <v>3963</v>
      </c>
      <c r="M315" t="s">
        <v>3963</v>
      </c>
      <c r="N315" t="s">
        <v>3963</v>
      </c>
      <c r="O315" t="s">
        <v>3963</v>
      </c>
      <c r="P315" t="s">
        <v>3963</v>
      </c>
      <c r="R315" t="s">
        <v>10499</v>
      </c>
    </row>
    <row r="316" spans="4:18">
      <c r="E316" t="s">
        <v>10500</v>
      </c>
      <c r="I316" t="s">
        <v>10219</v>
      </c>
      <c r="K316" t="s">
        <v>10501</v>
      </c>
      <c r="L316" t="s">
        <v>3963</v>
      </c>
      <c r="M316" t="s">
        <v>3963</v>
      </c>
      <c r="N316" t="s">
        <v>3963</v>
      </c>
      <c r="O316" t="s">
        <v>3963</v>
      </c>
      <c r="P316" t="s">
        <v>3963</v>
      </c>
      <c r="R316" t="s">
        <v>10501</v>
      </c>
    </row>
    <row r="317" spans="4:18">
      <c r="E317" t="s">
        <v>10502</v>
      </c>
      <c r="I317" t="s">
        <v>10312</v>
      </c>
      <c r="K317" t="s">
        <v>10503</v>
      </c>
      <c r="L317" t="s">
        <v>3963</v>
      </c>
      <c r="M317" t="s">
        <v>3963</v>
      </c>
      <c r="N317" t="s">
        <v>3963</v>
      </c>
      <c r="O317" t="s">
        <v>3963</v>
      </c>
      <c r="P317" t="s">
        <v>3963</v>
      </c>
      <c r="R317" t="s">
        <v>10503</v>
      </c>
    </row>
    <row r="318" spans="4:18">
      <c r="D318" t="s">
        <v>2120</v>
      </c>
      <c r="H318" t="s">
        <v>10504</v>
      </c>
      <c r="K318" t="s">
        <v>10505</v>
      </c>
      <c r="L318" t="s">
        <v>3963</v>
      </c>
      <c r="M318" t="s">
        <v>3963</v>
      </c>
      <c r="N318" t="s">
        <v>3963</v>
      </c>
      <c r="O318" t="s">
        <v>3963</v>
      </c>
      <c r="P318" t="s">
        <v>3963</v>
      </c>
      <c r="R318" t="s">
        <v>10505</v>
      </c>
    </row>
    <row r="319" spans="4:18">
      <c r="E319" t="s">
        <v>10506</v>
      </c>
      <c r="I319" t="s">
        <v>10287</v>
      </c>
      <c r="K319" t="s">
        <v>10505</v>
      </c>
      <c r="L319" t="s">
        <v>3963</v>
      </c>
      <c r="M319" t="s">
        <v>3963</v>
      </c>
      <c r="N319" t="s">
        <v>3963</v>
      </c>
      <c r="O319" t="s">
        <v>3963</v>
      </c>
      <c r="P319" t="s">
        <v>3963</v>
      </c>
      <c r="R319" t="s">
        <v>10505</v>
      </c>
    </row>
    <row r="320" spans="4:18">
      <c r="D320" t="s">
        <v>2121</v>
      </c>
      <c r="H320" t="s">
        <v>10507</v>
      </c>
      <c r="K320" t="s">
        <v>10505</v>
      </c>
      <c r="L320" t="s">
        <v>3963</v>
      </c>
      <c r="M320" t="s">
        <v>3963</v>
      </c>
      <c r="N320" t="s">
        <v>3963</v>
      </c>
      <c r="O320" t="s">
        <v>3963</v>
      </c>
      <c r="P320" t="s">
        <v>3963</v>
      </c>
      <c r="R320" t="s">
        <v>10505</v>
      </c>
    </row>
    <row r="321" spans="4:18">
      <c r="E321" t="s">
        <v>10508</v>
      </c>
      <c r="I321" t="s">
        <v>10287</v>
      </c>
      <c r="K321" t="s">
        <v>10505</v>
      </c>
      <c r="L321" t="s">
        <v>3963</v>
      </c>
      <c r="M321" t="s">
        <v>3963</v>
      </c>
      <c r="N321" t="s">
        <v>3963</v>
      </c>
      <c r="O321" t="s">
        <v>3963</v>
      </c>
      <c r="P321" t="s">
        <v>3963</v>
      </c>
      <c r="R321" t="s">
        <v>10505</v>
      </c>
    </row>
    <row r="322" spans="4:18">
      <c r="D322" t="s">
        <v>2166</v>
      </c>
      <c r="H322" t="s">
        <v>10509</v>
      </c>
      <c r="K322" t="s">
        <v>10510</v>
      </c>
      <c r="L322" t="s">
        <v>10511</v>
      </c>
      <c r="M322" t="s">
        <v>3963</v>
      </c>
      <c r="N322" t="s">
        <v>3963</v>
      </c>
      <c r="O322" t="s">
        <v>3963</v>
      </c>
      <c r="P322" t="s">
        <v>10511</v>
      </c>
      <c r="R322" t="s">
        <v>10512</v>
      </c>
    </row>
    <row r="323" spans="4:18">
      <c r="E323" t="s">
        <v>10513</v>
      </c>
      <c r="I323" t="s">
        <v>10514</v>
      </c>
      <c r="K323" t="s">
        <v>3963</v>
      </c>
      <c r="L323" t="s">
        <v>3963</v>
      </c>
      <c r="M323" t="s">
        <v>3963</v>
      </c>
      <c r="N323" t="s">
        <v>3963</v>
      </c>
      <c r="O323" t="s">
        <v>3963</v>
      </c>
      <c r="P323" t="s">
        <v>3963</v>
      </c>
      <c r="R323" t="s">
        <v>3963</v>
      </c>
    </row>
    <row r="324" spans="4:18">
      <c r="E324" t="s">
        <v>6866</v>
      </c>
      <c r="I324" t="s">
        <v>10515</v>
      </c>
      <c r="K324" t="s">
        <v>10516</v>
      </c>
      <c r="L324" t="s">
        <v>10517</v>
      </c>
      <c r="M324" t="s">
        <v>3963</v>
      </c>
      <c r="N324" t="s">
        <v>3963</v>
      </c>
      <c r="O324" t="s">
        <v>3963</v>
      </c>
      <c r="P324" t="s">
        <v>10517</v>
      </c>
      <c r="R324" t="s">
        <v>10518</v>
      </c>
    </row>
    <row r="325" spans="4:18">
      <c r="E325" t="s">
        <v>10519</v>
      </c>
      <c r="I325" t="s">
        <v>10445</v>
      </c>
      <c r="K325" t="s">
        <v>10520</v>
      </c>
      <c r="L325" t="s">
        <v>10521</v>
      </c>
      <c r="M325" t="s">
        <v>3963</v>
      </c>
      <c r="N325" t="s">
        <v>3963</v>
      </c>
      <c r="O325" t="s">
        <v>3963</v>
      </c>
      <c r="P325" t="s">
        <v>10521</v>
      </c>
      <c r="R325" t="s">
        <v>10522</v>
      </c>
    </row>
    <row r="326" spans="4:18">
      <c r="E326" t="s">
        <v>10523</v>
      </c>
      <c r="I326" t="s">
        <v>10524</v>
      </c>
      <c r="K326" t="s">
        <v>3963</v>
      </c>
      <c r="L326" t="s">
        <v>3963</v>
      </c>
      <c r="M326" t="s">
        <v>3963</v>
      </c>
      <c r="N326" t="s">
        <v>3963</v>
      </c>
      <c r="O326" t="s">
        <v>3963</v>
      </c>
      <c r="P326" t="s">
        <v>3963</v>
      </c>
      <c r="R326" t="s">
        <v>3963</v>
      </c>
    </row>
    <row r="327" spans="4:18">
      <c r="D327" t="s">
        <v>2167</v>
      </c>
      <c r="H327" t="s">
        <v>10525</v>
      </c>
      <c r="K327" t="s">
        <v>4201</v>
      </c>
      <c r="L327" t="s">
        <v>10526</v>
      </c>
      <c r="M327" t="s">
        <v>10527</v>
      </c>
      <c r="N327" t="s">
        <v>3963</v>
      </c>
      <c r="O327" t="s">
        <v>3963</v>
      </c>
      <c r="P327" t="s">
        <v>10528</v>
      </c>
      <c r="R327" t="s">
        <v>16341</v>
      </c>
    </row>
    <row r="328" spans="4:18">
      <c r="E328" t="s">
        <v>10529</v>
      </c>
      <c r="I328" t="s">
        <v>16342</v>
      </c>
      <c r="K328" t="s">
        <v>4201</v>
      </c>
      <c r="L328" t="s">
        <v>10526</v>
      </c>
      <c r="M328" t="s">
        <v>10527</v>
      </c>
      <c r="N328" t="s">
        <v>3963</v>
      </c>
      <c r="O328" t="s">
        <v>3963</v>
      </c>
      <c r="P328" t="s">
        <v>10528</v>
      </c>
      <c r="R328" t="s">
        <v>16341</v>
      </c>
    </row>
    <row r="329" spans="4:18">
      <c r="D329" t="s">
        <v>2168</v>
      </c>
      <c r="H329" t="s">
        <v>10530</v>
      </c>
      <c r="K329" t="s">
        <v>4038</v>
      </c>
      <c r="L329" t="s">
        <v>18432</v>
      </c>
      <c r="M329" t="s">
        <v>3963</v>
      </c>
      <c r="N329" t="s">
        <v>18938</v>
      </c>
      <c r="O329" t="s">
        <v>3963</v>
      </c>
      <c r="P329" t="s">
        <v>18939</v>
      </c>
      <c r="R329" t="s">
        <v>18940</v>
      </c>
    </row>
    <row r="330" spans="4:18">
      <c r="E330" t="s">
        <v>6860</v>
      </c>
      <c r="I330" t="s">
        <v>10531</v>
      </c>
      <c r="K330" t="s">
        <v>4038</v>
      </c>
      <c r="L330" t="s">
        <v>18432</v>
      </c>
      <c r="M330" t="s">
        <v>3963</v>
      </c>
      <c r="N330" t="s">
        <v>18938</v>
      </c>
      <c r="O330" t="s">
        <v>3963</v>
      </c>
      <c r="P330" t="s">
        <v>18939</v>
      </c>
      <c r="R330" t="s">
        <v>18940</v>
      </c>
    </row>
    <row r="331" spans="4:18">
      <c r="D331" t="s">
        <v>2425</v>
      </c>
      <c r="H331" t="s">
        <v>10532</v>
      </c>
      <c r="K331" t="s">
        <v>10533</v>
      </c>
      <c r="L331" t="s">
        <v>3963</v>
      </c>
      <c r="M331" t="s">
        <v>10534</v>
      </c>
      <c r="N331" t="s">
        <v>3963</v>
      </c>
      <c r="O331" t="s">
        <v>3963</v>
      </c>
      <c r="P331" t="s">
        <v>10534</v>
      </c>
      <c r="R331" t="s">
        <v>10535</v>
      </c>
    </row>
    <row r="332" spans="4:18">
      <c r="E332" t="s">
        <v>10536</v>
      </c>
      <c r="I332" t="s">
        <v>10537</v>
      </c>
      <c r="K332" t="s">
        <v>10533</v>
      </c>
      <c r="L332" t="s">
        <v>3963</v>
      </c>
      <c r="M332" t="s">
        <v>10534</v>
      </c>
      <c r="N332" t="s">
        <v>3963</v>
      </c>
      <c r="O332" t="s">
        <v>3963</v>
      </c>
      <c r="P332" t="s">
        <v>10534</v>
      </c>
      <c r="R332" t="s">
        <v>10535</v>
      </c>
    </row>
    <row r="333" spans="4:18">
      <c r="D333" t="s">
        <v>2601</v>
      </c>
      <c r="H333" t="s">
        <v>10538</v>
      </c>
      <c r="K333" t="s">
        <v>4699</v>
      </c>
      <c r="L333" t="s">
        <v>10539</v>
      </c>
      <c r="M333" t="s">
        <v>3963</v>
      </c>
      <c r="N333" t="s">
        <v>3963</v>
      </c>
      <c r="O333" t="s">
        <v>3963</v>
      </c>
      <c r="P333" t="s">
        <v>10539</v>
      </c>
      <c r="R333" t="s">
        <v>10540</v>
      </c>
    </row>
    <row r="334" spans="4:18">
      <c r="D334" t="s">
        <v>2716</v>
      </c>
      <c r="H334" t="s">
        <v>10538</v>
      </c>
      <c r="K334" t="s">
        <v>4172</v>
      </c>
      <c r="L334" t="s">
        <v>10541</v>
      </c>
      <c r="M334" t="s">
        <v>3963</v>
      </c>
      <c r="N334" t="s">
        <v>3963</v>
      </c>
      <c r="O334" t="s">
        <v>3963</v>
      </c>
      <c r="P334" t="s">
        <v>10541</v>
      </c>
      <c r="R334" t="s">
        <v>11237</v>
      </c>
    </row>
    <row r="335" spans="4:18">
      <c r="D335" t="s">
        <v>2482</v>
      </c>
      <c r="H335" t="s">
        <v>10542</v>
      </c>
      <c r="K335" t="s">
        <v>5871</v>
      </c>
      <c r="L335" t="s">
        <v>10543</v>
      </c>
      <c r="M335" t="s">
        <v>3963</v>
      </c>
      <c r="N335" t="s">
        <v>3963</v>
      </c>
      <c r="O335" t="s">
        <v>3963</v>
      </c>
      <c r="P335" t="s">
        <v>10543</v>
      </c>
      <c r="R335" t="s">
        <v>10544</v>
      </c>
    </row>
    <row r="336" spans="4:18">
      <c r="E336" t="s">
        <v>10545</v>
      </c>
      <c r="I336" t="s">
        <v>10546</v>
      </c>
      <c r="K336" t="s">
        <v>4165</v>
      </c>
      <c r="L336" t="s">
        <v>10543</v>
      </c>
      <c r="M336" t="s">
        <v>3963</v>
      </c>
      <c r="N336" t="s">
        <v>3963</v>
      </c>
      <c r="O336" t="s">
        <v>3963</v>
      </c>
      <c r="P336" t="s">
        <v>10543</v>
      </c>
      <c r="R336" t="s">
        <v>10547</v>
      </c>
    </row>
    <row r="337" spans="4:18">
      <c r="E337" t="s">
        <v>10548</v>
      </c>
      <c r="I337" t="s">
        <v>10549</v>
      </c>
      <c r="K337" t="s">
        <v>3963</v>
      </c>
      <c r="L337" t="s">
        <v>3963</v>
      </c>
      <c r="M337" t="s">
        <v>3963</v>
      </c>
      <c r="N337" t="s">
        <v>3963</v>
      </c>
      <c r="O337" t="s">
        <v>3963</v>
      </c>
      <c r="P337" t="s">
        <v>3963</v>
      </c>
      <c r="R337" t="s">
        <v>3963</v>
      </c>
    </row>
    <row r="338" spans="4:18">
      <c r="E338" t="s">
        <v>10550</v>
      </c>
      <c r="I338" t="s">
        <v>10551</v>
      </c>
      <c r="K338" t="s">
        <v>4573</v>
      </c>
      <c r="L338" t="s">
        <v>3963</v>
      </c>
      <c r="M338" t="s">
        <v>3963</v>
      </c>
      <c r="N338" t="s">
        <v>3963</v>
      </c>
      <c r="O338" t="s">
        <v>3963</v>
      </c>
      <c r="P338" t="s">
        <v>3963</v>
      </c>
      <c r="R338" t="s">
        <v>4573</v>
      </c>
    </row>
    <row r="339" spans="4:18">
      <c r="D339" t="s">
        <v>2481</v>
      </c>
      <c r="H339" t="s">
        <v>10552</v>
      </c>
      <c r="K339" t="s">
        <v>10553</v>
      </c>
      <c r="L339" t="s">
        <v>10554</v>
      </c>
      <c r="M339" t="s">
        <v>3963</v>
      </c>
      <c r="N339" t="s">
        <v>3963</v>
      </c>
      <c r="O339" t="s">
        <v>3963</v>
      </c>
      <c r="P339" t="s">
        <v>10554</v>
      </c>
      <c r="R339" t="s">
        <v>10555</v>
      </c>
    </row>
    <row r="340" spans="4:18">
      <c r="E340" t="s">
        <v>10556</v>
      </c>
      <c r="I340" t="s">
        <v>10557</v>
      </c>
      <c r="K340" t="s">
        <v>10553</v>
      </c>
      <c r="L340" t="s">
        <v>10554</v>
      </c>
      <c r="M340" t="s">
        <v>3963</v>
      </c>
      <c r="N340" t="s">
        <v>3963</v>
      </c>
      <c r="O340" t="s">
        <v>3963</v>
      </c>
      <c r="P340" t="s">
        <v>10554</v>
      </c>
      <c r="R340" t="s">
        <v>10555</v>
      </c>
    </row>
    <row r="341" spans="4:18">
      <c r="D341" t="s">
        <v>2495</v>
      </c>
      <c r="H341" t="s">
        <v>10558</v>
      </c>
      <c r="K341" t="s">
        <v>3963</v>
      </c>
      <c r="L341" t="s">
        <v>3963</v>
      </c>
      <c r="M341" t="s">
        <v>3963</v>
      </c>
      <c r="N341" t="s">
        <v>3963</v>
      </c>
      <c r="O341" t="s">
        <v>3963</v>
      </c>
      <c r="P341" t="s">
        <v>3963</v>
      </c>
      <c r="R341" t="s">
        <v>3963</v>
      </c>
    </row>
    <row r="342" spans="4:18">
      <c r="E342" t="s">
        <v>10559</v>
      </c>
      <c r="I342" t="s">
        <v>10560</v>
      </c>
      <c r="K342" t="s">
        <v>3963</v>
      </c>
      <c r="L342" t="s">
        <v>3963</v>
      </c>
      <c r="M342" t="s">
        <v>3963</v>
      </c>
      <c r="N342" t="s">
        <v>3963</v>
      </c>
      <c r="O342" t="s">
        <v>3963</v>
      </c>
      <c r="P342" t="s">
        <v>3963</v>
      </c>
      <c r="R342" t="s">
        <v>3963</v>
      </c>
    </row>
    <row r="343" spans="4:18">
      <c r="E343" t="s">
        <v>10561</v>
      </c>
      <c r="I343" t="s">
        <v>10562</v>
      </c>
      <c r="K343" t="s">
        <v>3963</v>
      </c>
      <c r="L343" t="s">
        <v>3963</v>
      </c>
      <c r="M343" t="s">
        <v>3963</v>
      </c>
      <c r="N343" t="s">
        <v>3963</v>
      </c>
      <c r="O343" t="s">
        <v>3963</v>
      </c>
      <c r="P343" t="s">
        <v>3963</v>
      </c>
      <c r="R343" t="s">
        <v>3963</v>
      </c>
    </row>
    <row r="344" spans="4:18">
      <c r="E344" t="s">
        <v>10563</v>
      </c>
      <c r="I344" t="s">
        <v>10187</v>
      </c>
      <c r="K344" t="s">
        <v>3963</v>
      </c>
      <c r="L344" t="s">
        <v>3963</v>
      </c>
      <c r="M344" t="s">
        <v>3963</v>
      </c>
      <c r="N344" t="s">
        <v>3963</v>
      </c>
      <c r="O344" t="s">
        <v>3963</v>
      </c>
      <c r="P344" t="s">
        <v>3963</v>
      </c>
      <c r="R344" t="s">
        <v>3963</v>
      </c>
    </row>
    <row r="345" spans="4:18">
      <c r="D345" t="s">
        <v>2642</v>
      </c>
      <c r="H345" t="s">
        <v>10564</v>
      </c>
      <c r="K345" t="s">
        <v>10565</v>
      </c>
      <c r="L345" t="s">
        <v>3963</v>
      </c>
      <c r="M345" t="s">
        <v>3963</v>
      </c>
      <c r="N345" t="s">
        <v>3963</v>
      </c>
      <c r="O345" t="s">
        <v>3963</v>
      </c>
      <c r="P345" t="s">
        <v>3963</v>
      </c>
      <c r="R345" t="s">
        <v>10565</v>
      </c>
    </row>
    <row r="346" spans="4:18">
      <c r="E346" t="s">
        <v>10566</v>
      </c>
      <c r="I346" t="s">
        <v>10567</v>
      </c>
      <c r="K346" t="s">
        <v>10565</v>
      </c>
      <c r="L346" t="s">
        <v>3963</v>
      </c>
      <c r="M346" t="s">
        <v>3963</v>
      </c>
      <c r="N346" t="s">
        <v>3963</v>
      </c>
      <c r="O346" t="s">
        <v>3963</v>
      </c>
      <c r="P346" t="s">
        <v>3963</v>
      </c>
      <c r="R346" t="s">
        <v>10565</v>
      </c>
    </row>
    <row r="347" spans="4:18">
      <c r="D347" t="s">
        <v>2723</v>
      </c>
      <c r="H347" t="s">
        <v>10031</v>
      </c>
      <c r="K347" t="s">
        <v>10568</v>
      </c>
      <c r="L347" t="s">
        <v>3963</v>
      </c>
      <c r="M347" t="s">
        <v>3963</v>
      </c>
      <c r="N347" t="s">
        <v>3963</v>
      </c>
      <c r="O347" t="s">
        <v>3963</v>
      </c>
      <c r="P347" t="s">
        <v>3963</v>
      </c>
      <c r="R347" t="s">
        <v>10568</v>
      </c>
    </row>
    <row r="348" spans="4:18">
      <c r="E348" t="s">
        <v>10569</v>
      </c>
      <c r="I348" t="s">
        <v>10287</v>
      </c>
      <c r="K348" t="s">
        <v>10568</v>
      </c>
      <c r="L348" t="s">
        <v>3963</v>
      </c>
      <c r="M348" t="s">
        <v>3963</v>
      </c>
      <c r="N348" t="s">
        <v>3963</v>
      </c>
      <c r="O348" t="s">
        <v>3963</v>
      </c>
      <c r="P348" t="s">
        <v>3963</v>
      </c>
      <c r="R348" t="s">
        <v>10568</v>
      </c>
    </row>
    <row r="349" spans="4:18">
      <c r="D349" t="s">
        <v>7180</v>
      </c>
      <c r="H349" t="s">
        <v>10570</v>
      </c>
      <c r="K349" t="s">
        <v>6956</v>
      </c>
      <c r="L349" t="s">
        <v>16343</v>
      </c>
      <c r="M349" t="s">
        <v>16140</v>
      </c>
      <c r="N349" t="s">
        <v>3963</v>
      </c>
      <c r="O349" t="s">
        <v>3963</v>
      </c>
      <c r="P349" t="s">
        <v>16344</v>
      </c>
      <c r="R349" t="s">
        <v>16345</v>
      </c>
    </row>
    <row r="350" spans="4:18">
      <c r="E350" t="s">
        <v>7183</v>
      </c>
      <c r="I350" t="s">
        <v>10571</v>
      </c>
      <c r="K350" t="s">
        <v>6956</v>
      </c>
      <c r="L350" t="s">
        <v>16343</v>
      </c>
      <c r="M350" t="s">
        <v>16140</v>
      </c>
      <c r="N350" t="s">
        <v>3963</v>
      </c>
      <c r="O350" t="s">
        <v>3963</v>
      </c>
      <c r="P350" t="s">
        <v>16344</v>
      </c>
      <c r="R350" t="s">
        <v>16345</v>
      </c>
    </row>
    <row r="351" spans="4:18">
      <c r="D351" t="s">
        <v>2791</v>
      </c>
      <c r="H351" t="s">
        <v>6687</v>
      </c>
      <c r="K351" t="s">
        <v>10572</v>
      </c>
      <c r="L351" t="s">
        <v>3963</v>
      </c>
      <c r="M351" t="s">
        <v>3963</v>
      </c>
      <c r="N351" t="s">
        <v>3963</v>
      </c>
      <c r="O351" t="s">
        <v>3963</v>
      </c>
      <c r="P351" t="s">
        <v>3963</v>
      </c>
      <c r="R351" t="s">
        <v>10572</v>
      </c>
    </row>
    <row r="352" spans="4:18">
      <c r="E352" t="s">
        <v>10573</v>
      </c>
      <c r="I352" t="s">
        <v>10256</v>
      </c>
      <c r="K352" t="s">
        <v>10572</v>
      </c>
      <c r="L352" t="s">
        <v>3963</v>
      </c>
      <c r="M352" t="s">
        <v>3963</v>
      </c>
      <c r="N352" t="s">
        <v>3963</v>
      </c>
      <c r="O352" t="s">
        <v>3963</v>
      </c>
      <c r="P352" t="s">
        <v>3963</v>
      </c>
      <c r="R352" t="s">
        <v>10572</v>
      </c>
    </row>
    <row r="353" spans="4:18">
      <c r="D353" t="s">
        <v>3235</v>
      </c>
      <c r="H353" t="s">
        <v>10574</v>
      </c>
      <c r="K353" t="s">
        <v>6867</v>
      </c>
      <c r="L353" t="s">
        <v>19477</v>
      </c>
      <c r="M353" t="s">
        <v>18845</v>
      </c>
      <c r="N353" t="s">
        <v>3963</v>
      </c>
      <c r="O353" t="s">
        <v>3963</v>
      </c>
      <c r="P353" t="s">
        <v>19478</v>
      </c>
      <c r="R353" t="s">
        <v>19479</v>
      </c>
    </row>
    <row r="354" spans="4:18">
      <c r="E354" t="s">
        <v>6862</v>
      </c>
      <c r="I354" t="s">
        <v>10574</v>
      </c>
      <c r="K354" t="s">
        <v>6867</v>
      </c>
      <c r="L354" t="s">
        <v>19477</v>
      </c>
      <c r="M354" t="s">
        <v>18845</v>
      </c>
      <c r="N354" t="s">
        <v>3963</v>
      </c>
      <c r="O354" t="s">
        <v>3963</v>
      </c>
      <c r="P354" t="s">
        <v>19478</v>
      </c>
      <c r="R354" t="s">
        <v>19479</v>
      </c>
    </row>
    <row r="355" spans="4:18">
      <c r="D355" t="s">
        <v>3791</v>
      </c>
      <c r="H355" t="s">
        <v>10575</v>
      </c>
      <c r="K355" t="s">
        <v>6955</v>
      </c>
      <c r="L355" t="s">
        <v>18433</v>
      </c>
      <c r="M355" t="s">
        <v>17255</v>
      </c>
      <c r="N355" t="s">
        <v>17256</v>
      </c>
      <c r="O355" t="s">
        <v>3963</v>
      </c>
      <c r="P355" t="s">
        <v>18434</v>
      </c>
      <c r="R355" t="s">
        <v>18435</v>
      </c>
    </row>
    <row r="356" spans="4:18">
      <c r="E356" t="s">
        <v>10576</v>
      </c>
      <c r="I356" t="s">
        <v>10577</v>
      </c>
      <c r="K356" t="s">
        <v>3963</v>
      </c>
      <c r="L356" t="s">
        <v>3963</v>
      </c>
      <c r="M356" t="s">
        <v>3963</v>
      </c>
      <c r="N356" t="s">
        <v>3963</v>
      </c>
      <c r="O356" t="s">
        <v>3963</v>
      </c>
      <c r="P356" t="s">
        <v>3963</v>
      </c>
      <c r="R356" t="s">
        <v>3963</v>
      </c>
    </row>
    <row r="357" spans="4:18">
      <c r="E357" t="s">
        <v>10578</v>
      </c>
      <c r="I357" t="s">
        <v>10579</v>
      </c>
      <c r="K357" t="s">
        <v>6957</v>
      </c>
      <c r="L357" t="s">
        <v>3963</v>
      </c>
      <c r="M357" t="s">
        <v>3963</v>
      </c>
      <c r="N357" t="s">
        <v>3963</v>
      </c>
      <c r="O357" t="s">
        <v>3963</v>
      </c>
      <c r="P357" t="s">
        <v>3963</v>
      </c>
      <c r="R357" t="s">
        <v>6957</v>
      </c>
    </row>
    <row r="358" spans="4:18">
      <c r="E358" t="s">
        <v>10580</v>
      </c>
      <c r="I358" t="s">
        <v>10581</v>
      </c>
      <c r="K358" t="s">
        <v>4038</v>
      </c>
      <c r="L358" t="s">
        <v>3963</v>
      </c>
      <c r="M358" t="s">
        <v>3963</v>
      </c>
      <c r="N358" t="s">
        <v>3963</v>
      </c>
      <c r="O358" t="s">
        <v>3963</v>
      </c>
      <c r="P358" t="s">
        <v>3963</v>
      </c>
      <c r="R358" t="s">
        <v>4038</v>
      </c>
    </row>
    <row r="359" spans="4:18">
      <c r="E359" t="s">
        <v>10582</v>
      </c>
      <c r="I359" t="s">
        <v>10583</v>
      </c>
      <c r="K359" t="s">
        <v>4038</v>
      </c>
      <c r="L359" t="s">
        <v>3963</v>
      </c>
      <c r="M359" t="s">
        <v>3963</v>
      </c>
      <c r="N359" t="s">
        <v>3963</v>
      </c>
      <c r="O359" t="s">
        <v>3963</v>
      </c>
      <c r="P359" t="s">
        <v>3963</v>
      </c>
      <c r="R359" t="s">
        <v>4038</v>
      </c>
    </row>
    <row r="360" spans="4:18">
      <c r="E360" t="s">
        <v>10584</v>
      </c>
      <c r="I360" t="s">
        <v>10585</v>
      </c>
      <c r="K360" t="s">
        <v>4038</v>
      </c>
      <c r="L360" t="s">
        <v>18433</v>
      </c>
      <c r="M360" t="s">
        <v>17255</v>
      </c>
      <c r="N360" t="s">
        <v>17256</v>
      </c>
      <c r="O360" t="s">
        <v>3963</v>
      </c>
      <c r="P360" t="s">
        <v>18434</v>
      </c>
      <c r="R360" t="s">
        <v>18436</v>
      </c>
    </row>
    <row r="361" spans="4:18">
      <c r="E361" t="s">
        <v>10586</v>
      </c>
      <c r="I361" t="s">
        <v>10587</v>
      </c>
      <c r="K361" t="s">
        <v>4038</v>
      </c>
      <c r="L361" t="s">
        <v>3963</v>
      </c>
      <c r="M361" t="s">
        <v>3963</v>
      </c>
      <c r="N361" t="s">
        <v>3963</v>
      </c>
      <c r="O361" t="s">
        <v>3963</v>
      </c>
      <c r="P361" t="s">
        <v>3963</v>
      </c>
      <c r="R361" t="s">
        <v>4038</v>
      </c>
    </row>
    <row r="362" spans="4:18">
      <c r="D362" t="s">
        <v>3792</v>
      </c>
      <c r="H362" t="s">
        <v>10588</v>
      </c>
      <c r="K362" t="s">
        <v>4162</v>
      </c>
      <c r="L362" t="s">
        <v>3963</v>
      </c>
      <c r="M362" t="s">
        <v>3963</v>
      </c>
      <c r="N362" t="s">
        <v>3963</v>
      </c>
      <c r="O362" t="s">
        <v>3963</v>
      </c>
      <c r="P362" t="s">
        <v>3963</v>
      </c>
      <c r="R362" t="s">
        <v>4162</v>
      </c>
    </row>
    <row r="363" spans="4:18">
      <c r="E363" t="s">
        <v>10589</v>
      </c>
      <c r="I363" t="s">
        <v>10590</v>
      </c>
      <c r="K363" t="s">
        <v>4162</v>
      </c>
      <c r="L363" t="s">
        <v>3963</v>
      </c>
      <c r="M363" t="s">
        <v>3963</v>
      </c>
      <c r="N363" t="s">
        <v>3963</v>
      </c>
      <c r="O363" t="s">
        <v>3963</v>
      </c>
      <c r="P363" t="s">
        <v>3963</v>
      </c>
      <c r="R363" t="s">
        <v>4162</v>
      </c>
    </row>
    <row r="364" spans="4:18">
      <c r="D364" t="s">
        <v>2913</v>
      </c>
      <c r="H364" t="s">
        <v>10591</v>
      </c>
      <c r="K364" t="s">
        <v>4661</v>
      </c>
      <c r="L364" t="s">
        <v>10592</v>
      </c>
      <c r="M364" t="s">
        <v>3963</v>
      </c>
      <c r="N364" t="s">
        <v>3963</v>
      </c>
      <c r="O364" t="s">
        <v>3963</v>
      </c>
      <c r="P364" t="s">
        <v>10592</v>
      </c>
      <c r="R364" t="s">
        <v>10593</v>
      </c>
    </row>
    <row r="365" spans="4:18">
      <c r="D365" t="s">
        <v>6812</v>
      </c>
      <c r="H365" t="s">
        <v>10594</v>
      </c>
      <c r="K365" t="s">
        <v>10595</v>
      </c>
      <c r="L365" t="s">
        <v>19480</v>
      </c>
      <c r="M365" t="s">
        <v>3963</v>
      </c>
      <c r="N365" t="s">
        <v>3963</v>
      </c>
      <c r="O365" t="s">
        <v>3963</v>
      </c>
      <c r="P365" t="s">
        <v>19480</v>
      </c>
      <c r="R365" t="s">
        <v>19481</v>
      </c>
    </row>
    <row r="366" spans="4:18">
      <c r="E366" t="s">
        <v>8839</v>
      </c>
      <c r="I366" t="s">
        <v>10596</v>
      </c>
      <c r="K366" t="s">
        <v>10595</v>
      </c>
      <c r="L366" t="s">
        <v>19480</v>
      </c>
      <c r="M366" t="s">
        <v>3963</v>
      </c>
      <c r="N366" t="s">
        <v>3963</v>
      </c>
      <c r="O366" t="s">
        <v>3963</v>
      </c>
      <c r="P366" t="s">
        <v>19480</v>
      </c>
      <c r="R366" t="s">
        <v>19481</v>
      </c>
    </row>
    <row r="367" spans="4:18">
      <c r="D367" t="s">
        <v>6789</v>
      </c>
      <c r="H367" t="s">
        <v>10597</v>
      </c>
      <c r="K367" t="s">
        <v>4091</v>
      </c>
      <c r="L367" t="s">
        <v>18437</v>
      </c>
      <c r="M367" t="s">
        <v>3963</v>
      </c>
      <c r="N367" t="s">
        <v>3963</v>
      </c>
      <c r="O367" t="s">
        <v>3963</v>
      </c>
      <c r="P367" t="s">
        <v>18437</v>
      </c>
      <c r="R367" t="s">
        <v>18438</v>
      </c>
    </row>
    <row r="368" spans="4:18">
      <c r="E368" t="s">
        <v>10598</v>
      </c>
      <c r="I368" t="s">
        <v>10282</v>
      </c>
      <c r="K368" t="s">
        <v>4091</v>
      </c>
      <c r="L368" t="s">
        <v>18437</v>
      </c>
      <c r="M368" t="s">
        <v>3963</v>
      </c>
      <c r="N368" t="s">
        <v>3963</v>
      </c>
      <c r="O368" t="s">
        <v>3963</v>
      </c>
      <c r="P368" t="s">
        <v>18437</v>
      </c>
      <c r="R368" t="s">
        <v>18438</v>
      </c>
    </row>
    <row r="369" spans="4:18">
      <c r="D369" t="s">
        <v>6943</v>
      </c>
      <c r="H369" t="s">
        <v>10599</v>
      </c>
      <c r="K369" t="s">
        <v>4177</v>
      </c>
      <c r="L369" t="s">
        <v>3963</v>
      </c>
      <c r="M369" t="s">
        <v>3963</v>
      </c>
      <c r="N369" t="s">
        <v>3963</v>
      </c>
      <c r="O369" t="s">
        <v>3963</v>
      </c>
      <c r="P369" t="s">
        <v>3963</v>
      </c>
      <c r="R369" t="s">
        <v>4177</v>
      </c>
    </row>
    <row r="370" spans="4:18">
      <c r="E370" t="s">
        <v>10600</v>
      </c>
      <c r="I370" t="s">
        <v>10599</v>
      </c>
      <c r="K370" t="s">
        <v>4177</v>
      </c>
      <c r="L370" t="s">
        <v>3963</v>
      </c>
      <c r="M370" t="s">
        <v>3963</v>
      </c>
      <c r="N370" t="s">
        <v>3963</v>
      </c>
      <c r="O370" t="s">
        <v>3963</v>
      </c>
      <c r="P370" t="s">
        <v>3963</v>
      </c>
      <c r="R370" t="s">
        <v>4177</v>
      </c>
    </row>
    <row r="371" spans="4:18">
      <c r="D371" t="s">
        <v>8972</v>
      </c>
      <c r="H371" t="s">
        <v>10601</v>
      </c>
      <c r="K371" t="s">
        <v>4038</v>
      </c>
      <c r="L371" t="s">
        <v>3963</v>
      </c>
      <c r="M371" t="s">
        <v>3963</v>
      </c>
      <c r="N371" t="s">
        <v>3963</v>
      </c>
      <c r="O371" t="s">
        <v>3963</v>
      </c>
      <c r="P371" t="s">
        <v>3963</v>
      </c>
      <c r="R371" t="s">
        <v>4038</v>
      </c>
    </row>
    <row r="372" spans="4:18">
      <c r="E372" t="s">
        <v>10602</v>
      </c>
      <c r="I372" t="s">
        <v>10603</v>
      </c>
      <c r="K372" t="s">
        <v>4038</v>
      </c>
      <c r="L372" t="s">
        <v>3963</v>
      </c>
      <c r="M372" t="s">
        <v>3963</v>
      </c>
      <c r="N372" t="s">
        <v>3963</v>
      </c>
      <c r="O372" t="s">
        <v>3963</v>
      </c>
      <c r="P372" t="s">
        <v>3963</v>
      </c>
      <c r="R372" t="s">
        <v>4038</v>
      </c>
    </row>
    <row r="373" spans="4:18">
      <c r="D373" t="s">
        <v>7466</v>
      </c>
      <c r="H373" t="s">
        <v>16141</v>
      </c>
      <c r="K373" t="s">
        <v>4995</v>
      </c>
      <c r="L373" t="s">
        <v>3963</v>
      </c>
      <c r="M373" t="s">
        <v>3963</v>
      </c>
      <c r="N373" t="s">
        <v>3963</v>
      </c>
      <c r="O373" t="s">
        <v>3963</v>
      </c>
      <c r="P373" t="s">
        <v>3963</v>
      </c>
      <c r="R373" t="s">
        <v>4995</v>
      </c>
    </row>
    <row r="374" spans="4:18">
      <c r="E374" t="s">
        <v>16142</v>
      </c>
      <c r="I374" t="s">
        <v>16143</v>
      </c>
      <c r="K374" t="s">
        <v>4995</v>
      </c>
      <c r="L374" t="s">
        <v>3963</v>
      </c>
      <c r="M374" t="s">
        <v>3963</v>
      </c>
      <c r="N374" t="s">
        <v>3963</v>
      </c>
      <c r="O374" t="s">
        <v>3963</v>
      </c>
      <c r="P374" t="s">
        <v>3963</v>
      </c>
      <c r="R374" t="s">
        <v>4995</v>
      </c>
    </row>
    <row r="375" spans="4:18">
      <c r="D375" t="s">
        <v>8974</v>
      </c>
      <c r="H375" t="s">
        <v>7812</v>
      </c>
      <c r="K375" t="s">
        <v>18941</v>
      </c>
      <c r="L375" t="s">
        <v>3963</v>
      </c>
      <c r="M375" t="s">
        <v>3963</v>
      </c>
      <c r="N375" t="s">
        <v>18942</v>
      </c>
      <c r="O375" t="s">
        <v>3963</v>
      </c>
      <c r="P375" t="s">
        <v>18942</v>
      </c>
      <c r="R375" t="s">
        <v>18943</v>
      </c>
    </row>
    <row r="376" spans="4:18">
      <c r="E376" t="s">
        <v>18944</v>
      </c>
      <c r="I376" t="s">
        <v>10437</v>
      </c>
      <c r="K376" t="s">
        <v>18941</v>
      </c>
      <c r="L376" t="s">
        <v>3963</v>
      </c>
      <c r="M376" t="s">
        <v>3963</v>
      </c>
      <c r="N376" t="s">
        <v>18942</v>
      </c>
      <c r="O376" t="s">
        <v>3963</v>
      </c>
      <c r="P376" t="s">
        <v>18942</v>
      </c>
      <c r="R376" t="s">
        <v>18943</v>
      </c>
    </row>
    <row r="377" spans="4:18">
      <c r="D377" t="s">
        <v>17001</v>
      </c>
      <c r="H377" t="s">
        <v>18945</v>
      </c>
      <c r="K377" t="s">
        <v>4150</v>
      </c>
      <c r="L377" t="s">
        <v>3963</v>
      </c>
      <c r="M377" t="s">
        <v>3963</v>
      </c>
      <c r="N377" t="s">
        <v>3963</v>
      </c>
      <c r="O377" t="s">
        <v>3963</v>
      </c>
      <c r="P377" t="s">
        <v>3963</v>
      </c>
      <c r="R377" t="s">
        <v>4150</v>
      </c>
    </row>
    <row r="378" spans="4:18">
      <c r="E378" t="s">
        <v>18946</v>
      </c>
      <c r="I378" t="s">
        <v>18947</v>
      </c>
      <c r="K378" t="s">
        <v>4661</v>
      </c>
      <c r="L378" t="s">
        <v>3963</v>
      </c>
      <c r="M378" t="s">
        <v>3963</v>
      </c>
      <c r="N378" t="s">
        <v>3963</v>
      </c>
      <c r="O378" t="s">
        <v>3963</v>
      </c>
      <c r="P378" t="s">
        <v>3963</v>
      </c>
      <c r="R378" t="s">
        <v>4661</v>
      </c>
    </row>
    <row r="379" spans="4:18">
      <c r="E379" t="s">
        <v>18948</v>
      </c>
      <c r="I379" t="s">
        <v>18949</v>
      </c>
      <c r="K379" t="s">
        <v>4067</v>
      </c>
      <c r="L379" t="s">
        <v>3963</v>
      </c>
      <c r="M379" t="s">
        <v>3963</v>
      </c>
      <c r="N379" t="s">
        <v>3963</v>
      </c>
      <c r="O379" t="s">
        <v>3963</v>
      </c>
      <c r="P379" t="s">
        <v>3963</v>
      </c>
      <c r="R379" t="s">
        <v>4067</v>
      </c>
    </row>
    <row r="380" spans="4:18">
      <c r="D380" t="s">
        <v>6759</v>
      </c>
      <c r="K380" t="s">
        <v>18950</v>
      </c>
      <c r="L380" t="s">
        <v>19482</v>
      </c>
      <c r="M380" t="s">
        <v>19483</v>
      </c>
      <c r="N380" t="s">
        <v>19484</v>
      </c>
      <c r="O380" t="s">
        <v>3963</v>
      </c>
      <c r="P380" t="s">
        <v>19485</v>
      </c>
      <c r="R380" t="s">
        <v>19486</v>
      </c>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0B3C0-1037-4071-8B36-5A0CA18B91A2}">
  <sheetPr codeName="Planilha29"/>
  <dimension ref="B2:V54"/>
  <sheetViews>
    <sheetView zoomScale="70" zoomScaleNormal="70" workbookViewId="0">
      <selection sqref="A1:XFD1048576"/>
    </sheetView>
  </sheetViews>
  <sheetFormatPr defaultRowHeight="14.5"/>
  <sheetData>
    <row r="2" spans="2:22">
      <c r="B2" t="s">
        <v>3941</v>
      </c>
      <c r="T2" t="s">
        <v>19487</v>
      </c>
    </row>
    <row r="4" spans="2:22">
      <c r="B4" t="s">
        <v>3942</v>
      </c>
    </row>
    <row r="5" spans="2:22">
      <c r="C5" t="s">
        <v>3943</v>
      </c>
      <c r="E5" t="s">
        <v>3944</v>
      </c>
    </row>
    <row r="6" spans="2:22">
      <c r="B6" t="s">
        <v>3945</v>
      </c>
    </row>
    <row r="7" spans="2:22">
      <c r="B7" t="s">
        <v>3946</v>
      </c>
      <c r="F7" t="s">
        <v>3947</v>
      </c>
    </row>
    <row r="8" spans="2:22">
      <c r="B8" t="s">
        <v>3948</v>
      </c>
      <c r="F8" t="s">
        <v>3947</v>
      </c>
    </row>
    <row r="9" spans="2:22">
      <c r="B9" t="s">
        <v>3949</v>
      </c>
    </row>
    <row r="12" spans="2:22">
      <c r="I12" t="s">
        <v>16950</v>
      </c>
      <c r="P12" t="s">
        <v>16951</v>
      </c>
    </row>
    <row r="13" spans="2:22">
      <c r="H13" t="s">
        <v>10604</v>
      </c>
    </row>
    <row r="14" spans="2:22">
      <c r="D14" t="s">
        <v>3952</v>
      </c>
      <c r="I14" t="s">
        <v>10605</v>
      </c>
      <c r="J14" t="s">
        <v>10606</v>
      </c>
      <c r="K14" t="s">
        <v>10607</v>
      </c>
      <c r="L14" t="s">
        <v>10812</v>
      </c>
      <c r="M14" t="s">
        <v>10608</v>
      </c>
      <c r="N14" t="s">
        <v>10609</v>
      </c>
      <c r="O14" t="s">
        <v>10610</v>
      </c>
      <c r="P14" t="s">
        <v>10605</v>
      </c>
      <c r="Q14" t="s">
        <v>10606</v>
      </c>
      <c r="R14" t="s">
        <v>10813</v>
      </c>
      <c r="S14" t="s">
        <v>16952</v>
      </c>
      <c r="T14" t="s">
        <v>10608</v>
      </c>
      <c r="U14" t="s">
        <v>10609</v>
      </c>
      <c r="V14" t="s">
        <v>10610</v>
      </c>
    </row>
    <row r="15" spans="2:22">
      <c r="D15" t="s">
        <v>3960</v>
      </c>
      <c r="I15" t="s">
        <v>10611</v>
      </c>
      <c r="J15" t="s">
        <v>10611</v>
      </c>
      <c r="K15" t="s">
        <v>10611</v>
      </c>
      <c r="L15" t="s">
        <v>10611</v>
      </c>
      <c r="M15" t="s">
        <v>10612</v>
      </c>
      <c r="N15" t="s">
        <v>10611</v>
      </c>
      <c r="O15" t="s">
        <v>10611</v>
      </c>
      <c r="P15" t="s">
        <v>10611</v>
      </c>
      <c r="Q15" t="s">
        <v>10611</v>
      </c>
      <c r="R15" t="s">
        <v>10612</v>
      </c>
      <c r="S15" t="s">
        <v>10612</v>
      </c>
      <c r="T15" t="s">
        <v>10612</v>
      </c>
      <c r="U15" t="s">
        <v>10611</v>
      </c>
      <c r="V15" t="s">
        <v>10611</v>
      </c>
    </row>
    <row r="17" spans="4:22">
      <c r="D17" t="s">
        <v>1949</v>
      </c>
      <c r="G17" t="s">
        <v>6148</v>
      </c>
      <c r="I17" t="s">
        <v>10613</v>
      </c>
      <c r="J17" t="s">
        <v>10614</v>
      </c>
      <c r="K17" t="s">
        <v>10618</v>
      </c>
      <c r="L17" t="s">
        <v>10618</v>
      </c>
      <c r="M17" t="s">
        <v>10616</v>
      </c>
      <c r="N17" t="s">
        <v>10614</v>
      </c>
      <c r="O17" t="s">
        <v>10617</v>
      </c>
      <c r="P17" t="s">
        <v>10613</v>
      </c>
      <c r="Q17" t="s">
        <v>10614</v>
      </c>
      <c r="R17" t="s">
        <v>10814</v>
      </c>
      <c r="S17" t="s">
        <v>10616</v>
      </c>
      <c r="T17" t="s">
        <v>10616</v>
      </c>
      <c r="U17" t="s">
        <v>10614</v>
      </c>
      <c r="V17" t="s">
        <v>10617</v>
      </c>
    </row>
    <row r="18" spans="4:22">
      <c r="D18" t="s">
        <v>1950</v>
      </c>
      <c r="G18" t="s">
        <v>6149</v>
      </c>
      <c r="I18" t="s">
        <v>10619</v>
      </c>
      <c r="J18" t="s">
        <v>10620</v>
      </c>
      <c r="K18" t="s">
        <v>10618</v>
      </c>
      <c r="L18" t="s">
        <v>10618</v>
      </c>
      <c r="M18" t="s">
        <v>10616</v>
      </c>
      <c r="N18" t="s">
        <v>10620</v>
      </c>
      <c r="O18" t="s">
        <v>10621</v>
      </c>
      <c r="P18" t="s">
        <v>10619</v>
      </c>
      <c r="Q18" t="s">
        <v>10620</v>
      </c>
      <c r="R18" t="s">
        <v>10814</v>
      </c>
      <c r="S18" t="s">
        <v>10616</v>
      </c>
      <c r="T18" t="s">
        <v>10616</v>
      </c>
      <c r="U18" t="s">
        <v>10620</v>
      </c>
      <c r="V18" t="s">
        <v>10621</v>
      </c>
    </row>
    <row r="19" spans="4:22">
      <c r="D19" t="s">
        <v>1951</v>
      </c>
      <c r="G19" t="s">
        <v>6150</v>
      </c>
      <c r="I19" t="s">
        <v>10613</v>
      </c>
      <c r="J19" t="s">
        <v>10622</v>
      </c>
      <c r="K19" t="s">
        <v>18846</v>
      </c>
      <c r="L19" t="s">
        <v>10618</v>
      </c>
      <c r="M19" t="s">
        <v>10616</v>
      </c>
      <c r="N19" t="s">
        <v>18847</v>
      </c>
      <c r="O19" t="s">
        <v>18848</v>
      </c>
      <c r="P19" t="s">
        <v>10613</v>
      </c>
      <c r="Q19" t="s">
        <v>10623</v>
      </c>
      <c r="R19" t="s">
        <v>10815</v>
      </c>
      <c r="S19" t="s">
        <v>10616</v>
      </c>
      <c r="T19" t="s">
        <v>10616</v>
      </c>
      <c r="U19" t="s">
        <v>10624</v>
      </c>
      <c r="V19" t="s">
        <v>10625</v>
      </c>
    </row>
    <row r="20" spans="4:22">
      <c r="D20" t="s">
        <v>1953</v>
      </c>
      <c r="G20" t="s">
        <v>6151</v>
      </c>
      <c r="I20" t="s">
        <v>10626</v>
      </c>
      <c r="J20" t="s">
        <v>10627</v>
      </c>
      <c r="K20" t="s">
        <v>10618</v>
      </c>
      <c r="L20" t="s">
        <v>10618</v>
      </c>
      <c r="M20" t="s">
        <v>10616</v>
      </c>
      <c r="N20" t="s">
        <v>10627</v>
      </c>
      <c r="O20" t="s">
        <v>10628</v>
      </c>
      <c r="P20" t="s">
        <v>10626</v>
      </c>
      <c r="Q20" t="s">
        <v>10627</v>
      </c>
      <c r="R20" t="s">
        <v>10814</v>
      </c>
      <c r="S20" t="s">
        <v>10616</v>
      </c>
      <c r="T20" t="s">
        <v>10616</v>
      </c>
      <c r="U20" t="s">
        <v>10627</v>
      </c>
      <c r="V20" t="s">
        <v>10628</v>
      </c>
    </row>
    <row r="21" spans="4:22">
      <c r="D21" t="s">
        <v>1954</v>
      </c>
      <c r="G21" t="s">
        <v>6152</v>
      </c>
      <c r="I21" t="s">
        <v>10629</v>
      </c>
      <c r="J21" t="s">
        <v>10630</v>
      </c>
      <c r="K21" t="s">
        <v>10618</v>
      </c>
      <c r="L21" t="s">
        <v>10618</v>
      </c>
      <c r="M21" t="s">
        <v>10616</v>
      </c>
      <c r="N21" t="s">
        <v>10630</v>
      </c>
      <c r="O21" t="s">
        <v>10631</v>
      </c>
      <c r="P21" t="s">
        <v>10629</v>
      </c>
      <c r="Q21" t="s">
        <v>10630</v>
      </c>
      <c r="R21" t="s">
        <v>10814</v>
      </c>
      <c r="S21" t="s">
        <v>10616</v>
      </c>
      <c r="T21" t="s">
        <v>10616</v>
      </c>
      <c r="U21" t="s">
        <v>10630</v>
      </c>
      <c r="V21" t="s">
        <v>10631</v>
      </c>
    </row>
    <row r="22" spans="4:22">
      <c r="D22" t="s">
        <v>2042</v>
      </c>
      <c r="G22" t="s">
        <v>6154</v>
      </c>
      <c r="I22" t="s">
        <v>10632</v>
      </c>
      <c r="J22" t="s">
        <v>10633</v>
      </c>
      <c r="K22" t="s">
        <v>10618</v>
      </c>
      <c r="L22" t="s">
        <v>10618</v>
      </c>
      <c r="M22" t="s">
        <v>10616</v>
      </c>
      <c r="N22" t="s">
        <v>10633</v>
      </c>
      <c r="O22" t="s">
        <v>10634</v>
      </c>
      <c r="P22" t="s">
        <v>10632</v>
      </c>
      <c r="Q22" t="s">
        <v>10633</v>
      </c>
      <c r="R22" t="s">
        <v>10814</v>
      </c>
      <c r="S22" t="s">
        <v>10616</v>
      </c>
      <c r="T22" t="s">
        <v>10616</v>
      </c>
      <c r="U22" t="s">
        <v>10633</v>
      </c>
      <c r="V22" t="s">
        <v>10634</v>
      </c>
    </row>
    <row r="23" spans="4:22">
      <c r="D23" t="s">
        <v>2043</v>
      </c>
      <c r="G23" t="s">
        <v>6155</v>
      </c>
      <c r="I23" t="s">
        <v>10635</v>
      </c>
      <c r="J23" t="s">
        <v>10636</v>
      </c>
      <c r="K23" t="s">
        <v>10618</v>
      </c>
      <c r="L23" t="s">
        <v>10618</v>
      </c>
      <c r="M23" t="s">
        <v>10616</v>
      </c>
      <c r="N23" t="s">
        <v>10636</v>
      </c>
      <c r="O23" t="s">
        <v>10637</v>
      </c>
      <c r="P23" t="s">
        <v>10635</v>
      </c>
      <c r="Q23" t="s">
        <v>10636</v>
      </c>
      <c r="R23" t="s">
        <v>10814</v>
      </c>
      <c r="S23" t="s">
        <v>10616</v>
      </c>
      <c r="T23" t="s">
        <v>10616</v>
      </c>
      <c r="U23" t="s">
        <v>10636</v>
      </c>
      <c r="V23" t="s">
        <v>10637</v>
      </c>
    </row>
    <row r="24" spans="4:22">
      <c r="D24" t="s">
        <v>2044</v>
      </c>
      <c r="G24" t="s">
        <v>6156</v>
      </c>
      <c r="I24" t="s">
        <v>10638</v>
      </c>
      <c r="J24" t="s">
        <v>10639</v>
      </c>
      <c r="K24" t="s">
        <v>10618</v>
      </c>
      <c r="L24" t="s">
        <v>10618</v>
      </c>
      <c r="M24" t="s">
        <v>10616</v>
      </c>
      <c r="N24" t="s">
        <v>10639</v>
      </c>
      <c r="O24" t="s">
        <v>10640</v>
      </c>
      <c r="P24" t="s">
        <v>10638</v>
      </c>
      <c r="Q24" t="s">
        <v>10639</v>
      </c>
      <c r="R24" t="s">
        <v>10814</v>
      </c>
      <c r="S24" t="s">
        <v>10616</v>
      </c>
      <c r="T24" t="s">
        <v>10616</v>
      </c>
      <c r="U24" t="s">
        <v>10639</v>
      </c>
      <c r="V24" t="s">
        <v>10640</v>
      </c>
    </row>
    <row r="25" spans="4:22">
      <c r="D25" t="s">
        <v>2045</v>
      </c>
      <c r="G25" t="s">
        <v>6157</v>
      </c>
      <c r="I25" t="s">
        <v>10641</v>
      </c>
      <c r="J25" t="s">
        <v>10642</v>
      </c>
      <c r="K25" t="s">
        <v>10618</v>
      </c>
      <c r="L25" t="s">
        <v>10618</v>
      </c>
      <c r="M25" t="s">
        <v>10616</v>
      </c>
      <c r="N25" t="s">
        <v>10642</v>
      </c>
      <c r="O25" t="s">
        <v>18951</v>
      </c>
      <c r="P25" t="s">
        <v>10641</v>
      </c>
      <c r="Q25" t="s">
        <v>10642</v>
      </c>
      <c r="R25" t="s">
        <v>10814</v>
      </c>
      <c r="S25" t="s">
        <v>10616</v>
      </c>
      <c r="T25" t="s">
        <v>10616</v>
      </c>
      <c r="U25" t="s">
        <v>10642</v>
      </c>
      <c r="V25" t="s">
        <v>18951</v>
      </c>
    </row>
    <row r="26" spans="4:22">
      <c r="D26" t="s">
        <v>2062</v>
      </c>
      <c r="G26" t="s">
        <v>6158</v>
      </c>
      <c r="I26" t="s">
        <v>10643</v>
      </c>
      <c r="J26" t="s">
        <v>10644</v>
      </c>
      <c r="K26" t="s">
        <v>10618</v>
      </c>
      <c r="L26" t="s">
        <v>10618</v>
      </c>
      <c r="M26" t="s">
        <v>10616</v>
      </c>
      <c r="N26" t="s">
        <v>10644</v>
      </c>
      <c r="O26" t="s">
        <v>10645</v>
      </c>
      <c r="P26" t="s">
        <v>10643</v>
      </c>
      <c r="Q26" t="s">
        <v>10644</v>
      </c>
      <c r="R26" t="s">
        <v>10814</v>
      </c>
      <c r="S26" t="s">
        <v>10616</v>
      </c>
      <c r="T26" t="s">
        <v>10616</v>
      </c>
      <c r="U26" t="s">
        <v>10644</v>
      </c>
      <c r="V26" t="s">
        <v>10645</v>
      </c>
    </row>
    <row r="27" spans="4:22">
      <c r="D27" t="s">
        <v>2085</v>
      </c>
      <c r="G27" t="s">
        <v>6159</v>
      </c>
      <c r="I27" t="s">
        <v>10646</v>
      </c>
      <c r="J27" t="s">
        <v>10647</v>
      </c>
      <c r="K27" t="s">
        <v>10618</v>
      </c>
      <c r="L27" t="s">
        <v>10618</v>
      </c>
      <c r="M27" t="s">
        <v>10616</v>
      </c>
      <c r="N27" t="s">
        <v>10647</v>
      </c>
      <c r="O27" t="s">
        <v>10648</v>
      </c>
      <c r="P27" t="s">
        <v>10646</v>
      </c>
      <c r="Q27" t="s">
        <v>10647</v>
      </c>
      <c r="R27" t="s">
        <v>10814</v>
      </c>
      <c r="S27" t="s">
        <v>10616</v>
      </c>
      <c r="T27" t="s">
        <v>10616</v>
      </c>
      <c r="U27" t="s">
        <v>10647</v>
      </c>
      <c r="V27" t="s">
        <v>10648</v>
      </c>
    </row>
    <row r="28" spans="4:22">
      <c r="D28" t="s">
        <v>2095</v>
      </c>
      <c r="G28" t="s">
        <v>6160</v>
      </c>
      <c r="I28" t="s">
        <v>10649</v>
      </c>
      <c r="J28" t="s">
        <v>10650</v>
      </c>
      <c r="K28" t="s">
        <v>10618</v>
      </c>
      <c r="L28" t="s">
        <v>10618</v>
      </c>
      <c r="M28" t="s">
        <v>10616</v>
      </c>
      <c r="N28" t="s">
        <v>10650</v>
      </c>
      <c r="O28" t="s">
        <v>10651</v>
      </c>
      <c r="P28" t="s">
        <v>10649</v>
      </c>
      <c r="Q28" t="s">
        <v>10650</v>
      </c>
      <c r="R28" t="s">
        <v>10814</v>
      </c>
      <c r="S28" t="s">
        <v>10616</v>
      </c>
      <c r="T28" t="s">
        <v>10616</v>
      </c>
      <c r="U28" t="s">
        <v>10650</v>
      </c>
      <c r="V28" t="s">
        <v>10651</v>
      </c>
    </row>
    <row r="29" spans="4:22">
      <c r="D29" t="s">
        <v>2170</v>
      </c>
      <c r="G29" t="s">
        <v>2174</v>
      </c>
      <c r="I29" t="s">
        <v>10652</v>
      </c>
      <c r="J29" t="s">
        <v>10653</v>
      </c>
      <c r="K29" t="s">
        <v>10618</v>
      </c>
      <c r="L29" t="s">
        <v>10618</v>
      </c>
      <c r="M29" t="s">
        <v>10616</v>
      </c>
      <c r="N29" t="s">
        <v>10653</v>
      </c>
      <c r="O29" t="s">
        <v>10654</v>
      </c>
      <c r="P29" t="s">
        <v>10652</v>
      </c>
      <c r="Q29" t="s">
        <v>10653</v>
      </c>
      <c r="R29" t="s">
        <v>10814</v>
      </c>
      <c r="S29" t="s">
        <v>10616</v>
      </c>
      <c r="T29" t="s">
        <v>10616</v>
      </c>
      <c r="U29" t="s">
        <v>10653</v>
      </c>
      <c r="V29" t="s">
        <v>10654</v>
      </c>
    </row>
    <row r="30" spans="4:22">
      <c r="D30" t="s">
        <v>2171</v>
      </c>
      <c r="G30" t="s">
        <v>6366</v>
      </c>
      <c r="I30" t="s">
        <v>10655</v>
      </c>
      <c r="J30" t="s">
        <v>10656</v>
      </c>
      <c r="K30" t="s">
        <v>10618</v>
      </c>
      <c r="L30" t="s">
        <v>10618</v>
      </c>
      <c r="M30" t="s">
        <v>10616</v>
      </c>
      <c r="N30" t="s">
        <v>10656</v>
      </c>
      <c r="O30" t="s">
        <v>10657</v>
      </c>
      <c r="P30" t="s">
        <v>10655</v>
      </c>
      <c r="Q30" t="s">
        <v>10656</v>
      </c>
      <c r="R30" t="s">
        <v>10814</v>
      </c>
      <c r="S30" t="s">
        <v>10616</v>
      </c>
      <c r="T30" t="s">
        <v>10616</v>
      </c>
      <c r="U30" t="s">
        <v>10656</v>
      </c>
      <c r="V30" t="s">
        <v>10657</v>
      </c>
    </row>
    <row r="31" spans="4:22">
      <c r="D31" t="s">
        <v>2172</v>
      </c>
      <c r="G31" t="s">
        <v>6367</v>
      </c>
      <c r="I31" t="s">
        <v>10658</v>
      </c>
      <c r="J31" t="s">
        <v>10659</v>
      </c>
      <c r="K31" t="s">
        <v>10618</v>
      </c>
      <c r="L31" t="s">
        <v>10618</v>
      </c>
      <c r="M31" t="s">
        <v>10616</v>
      </c>
      <c r="N31" t="s">
        <v>10659</v>
      </c>
      <c r="O31" t="s">
        <v>10660</v>
      </c>
      <c r="P31" t="s">
        <v>10658</v>
      </c>
      <c r="Q31" t="s">
        <v>10659</v>
      </c>
      <c r="R31" t="s">
        <v>10814</v>
      </c>
      <c r="S31" t="s">
        <v>10616</v>
      </c>
      <c r="T31" t="s">
        <v>10616</v>
      </c>
      <c r="U31" t="s">
        <v>10659</v>
      </c>
      <c r="V31" t="s">
        <v>10660</v>
      </c>
    </row>
    <row r="32" spans="4:22">
      <c r="D32" t="s">
        <v>2173</v>
      </c>
      <c r="G32" t="s">
        <v>6368</v>
      </c>
      <c r="I32" t="s">
        <v>10661</v>
      </c>
      <c r="J32" t="s">
        <v>10662</v>
      </c>
      <c r="K32" t="s">
        <v>10618</v>
      </c>
      <c r="L32" t="s">
        <v>10618</v>
      </c>
      <c r="M32" t="s">
        <v>10616</v>
      </c>
      <c r="N32" t="s">
        <v>10662</v>
      </c>
      <c r="O32" t="s">
        <v>10663</v>
      </c>
      <c r="P32" t="s">
        <v>10661</v>
      </c>
      <c r="Q32" t="s">
        <v>10662</v>
      </c>
      <c r="R32" t="s">
        <v>10814</v>
      </c>
      <c r="S32" t="s">
        <v>10616</v>
      </c>
      <c r="T32" t="s">
        <v>10616</v>
      </c>
      <c r="U32" t="s">
        <v>10662</v>
      </c>
      <c r="V32" t="s">
        <v>10663</v>
      </c>
    </row>
    <row r="33" spans="4:22">
      <c r="D33" t="s">
        <v>2184</v>
      </c>
      <c r="G33" t="s">
        <v>6369</v>
      </c>
      <c r="I33" t="s">
        <v>10664</v>
      </c>
      <c r="J33" t="s">
        <v>10665</v>
      </c>
      <c r="K33" t="s">
        <v>10618</v>
      </c>
      <c r="L33" t="s">
        <v>10618</v>
      </c>
      <c r="M33" t="s">
        <v>10616</v>
      </c>
      <c r="N33" t="s">
        <v>10665</v>
      </c>
      <c r="O33" t="s">
        <v>10666</v>
      </c>
      <c r="P33" t="s">
        <v>10664</v>
      </c>
      <c r="Q33" t="s">
        <v>10665</v>
      </c>
      <c r="R33" t="s">
        <v>10814</v>
      </c>
      <c r="S33" t="s">
        <v>10616</v>
      </c>
      <c r="T33" t="s">
        <v>10616</v>
      </c>
      <c r="U33" t="s">
        <v>10665</v>
      </c>
      <c r="V33" t="s">
        <v>10666</v>
      </c>
    </row>
    <row r="34" spans="4:22">
      <c r="D34" t="s">
        <v>2202</v>
      </c>
      <c r="G34" t="s">
        <v>6370</v>
      </c>
      <c r="I34" t="s">
        <v>10667</v>
      </c>
      <c r="J34" t="s">
        <v>10668</v>
      </c>
      <c r="K34" t="s">
        <v>10618</v>
      </c>
      <c r="L34" t="s">
        <v>10618</v>
      </c>
      <c r="M34" t="s">
        <v>10616</v>
      </c>
      <c r="N34" t="s">
        <v>10668</v>
      </c>
      <c r="O34" t="s">
        <v>10669</v>
      </c>
      <c r="P34" t="s">
        <v>10667</v>
      </c>
      <c r="Q34" t="s">
        <v>10668</v>
      </c>
      <c r="R34" t="s">
        <v>10814</v>
      </c>
      <c r="S34" t="s">
        <v>10616</v>
      </c>
      <c r="T34" t="s">
        <v>10616</v>
      </c>
      <c r="U34" t="s">
        <v>10668</v>
      </c>
      <c r="V34" t="s">
        <v>10669</v>
      </c>
    </row>
    <row r="35" spans="4:22">
      <c r="D35" t="s">
        <v>2423</v>
      </c>
      <c r="G35" t="s">
        <v>6371</v>
      </c>
      <c r="I35" t="s">
        <v>10670</v>
      </c>
      <c r="J35" t="s">
        <v>10671</v>
      </c>
      <c r="K35" t="s">
        <v>10618</v>
      </c>
      <c r="L35" t="s">
        <v>10618</v>
      </c>
      <c r="M35" t="s">
        <v>10616</v>
      </c>
      <c r="N35" t="s">
        <v>10671</v>
      </c>
      <c r="O35" t="s">
        <v>10672</v>
      </c>
      <c r="P35" t="s">
        <v>10670</v>
      </c>
      <c r="Q35" t="s">
        <v>10671</v>
      </c>
      <c r="R35" t="s">
        <v>10814</v>
      </c>
      <c r="S35" t="s">
        <v>10616</v>
      </c>
      <c r="T35" t="s">
        <v>10616</v>
      </c>
      <c r="U35" t="s">
        <v>10671</v>
      </c>
      <c r="V35" t="s">
        <v>10672</v>
      </c>
    </row>
    <row r="36" spans="4:22">
      <c r="D36" t="s">
        <v>2430</v>
      </c>
      <c r="G36" t="s">
        <v>2431</v>
      </c>
      <c r="I36" t="s">
        <v>10673</v>
      </c>
      <c r="J36" t="s">
        <v>10674</v>
      </c>
      <c r="K36" t="s">
        <v>10618</v>
      </c>
      <c r="L36" t="s">
        <v>10618</v>
      </c>
      <c r="M36" t="s">
        <v>10616</v>
      </c>
      <c r="N36" t="s">
        <v>10674</v>
      </c>
      <c r="O36" t="s">
        <v>10675</v>
      </c>
      <c r="P36" t="s">
        <v>10673</v>
      </c>
      <c r="Q36" t="s">
        <v>10674</v>
      </c>
      <c r="R36" t="s">
        <v>10814</v>
      </c>
      <c r="S36" t="s">
        <v>10616</v>
      </c>
      <c r="T36" t="s">
        <v>10616</v>
      </c>
      <c r="U36" t="s">
        <v>10674</v>
      </c>
      <c r="V36" t="s">
        <v>10675</v>
      </c>
    </row>
    <row r="37" spans="4:22">
      <c r="D37" t="s">
        <v>2639</v>
      </c>
      <c r="G37" t="s">
        <v>6559</v>
      </c>
      <c r="I37" t="s">
        <v>10676</v>
      </c>
      <c r="J37" t="s">
        <v>18952</v>
      </c>
      <c r="K37" t="s">
        <v>18849</v>
      </c>
      <c r="L37" t="s">
        <v>10618</v>
      </c>
      <c r="M37" t="s">
        <v>10616</v>
      </c>
      <c r="N37" t="s">
        <v>18953</v>
      </c>
      <c r="O37" t="s">
        <v>18954</v>
      </c>
      <c r="P37" t="s">
        <v>10676</v>
      </c>
      <c r="Q37" t="s">
        <v>10677</v>
      </c>
      <c r="R37" t="s">
        <v>10814</v>
      </c>
      <c r="S37" t="s">
        <v>10616</v>
      </c>
      <c r="T37" t="s">
        <v>10616</v>
      </c>
      <c r="U37" t="s">
        <v>10677</v>
      </c>
      <c r="V37" t="s">
        <v>18850</v>
      </c>
    </row>
    <row r="38" spans="4:22">
      <c r="D38" t="s">
        <v>2640</v>
      </c>
      <c r="G38" t="s">
        <v>6560</v>
      </c>
      <c r="I38" t="s">
        <v>10678</v>
      </c>
      <c r="J38" t="s">
        <v>10679</v>
      </c>
      <c r="K38" t="s">
        <v>10618</v>
      </c>
      <c r="L38" t="s">
        <v>10618</v>
      </c>
      <c r="M38" t="s">
        <v>10616</v>
      </c>
      <c r="N38" t="s">
        <v>10679</v>
      </c>
      <c r="O38" t="s">
        <v>10680</v>
      </c>
      <c r="P38" t="s">
        <v>10678</v>
      </c>
      <c r="Q38" t="s">
        <v>10679</v>
      </c>
      <c r="R38" t="s">
        <v>10814</v>
      </c>
      <c r="S38" t="s">
        <v>10616</v>
      </c>
      <c r="T38" t="s">
        <v>10616</v>
      </c>
      <c r="U38" t="s">
        <v>10679</v>
      </c>
      <c r="V38" t="s">
        <v>10680</v>
      </c>
    </row>
    <row r="39" spans="4:22">
      <c r="D39" t="s">
        <v>2641</v>
      </c>
      <c r="G39" t="s">
        <v>6561</v>
      </c>
      <c r="I39" t="s">
        <v>10681</v>
      </c>
      <c r="J39" t="s">
        <v>16953</v>
      </c>
      <c r="K39" t="s">
        <v>10618</v>
      </c>
      <c r="L39" t="s">
        <v>10618</v>
      </c>
      <c r="M39" t="s">
        <v>10616</v>
      </c>
      <c r="N39" t="s">
        <v>16953</v>
      </c>
      <c r="O39" t="s">
        <v>17257</v>
      </c>
      <c r="P39" t="s">
        <v>10681</v>
      </c>
      <c r="Q39" t="s">
        <v>10682</v>
      </c>
      <c r="R39" t="s">
        <v>10814</v>
      </c>
      <c r="S39" t="s">
        <v>10616</v>
      </c>
      <c r="T39" t="s">
        <v>10616</v>
      </c>
      <c r="U39" t="s">
        <v>10682</v>
      </c>
      <c r="V39" t="s">
        <v>17258</v>
      </c>
    </row>
    <row r="40" spans="4:22">
      <c r="D40" t="s">
        <v>2767</v>
      </c>
      <c r="G40" t="s">
        <v>6562</v>
      </c>
      <c r="I40" t="s">
        <v>10683</v>
      </c>
      <c r="J40" t="s">
        <v>10684</v>
      </c>
      <c r="K40" t="s">
        <v>10618</v>
      </c>
      <c r="L40" t="s">
        <v>10618</v>
      </c>
      <c r="M40" t="s">
        <v>10616</v>
      </c>
      <c r="N40" t="s">
        <v>10684</v>
      </c>
      <c r="O40" t="s">
        <v>10685</v>
      </c>
      <c r="P40" t="s">
        <v>10683</v>
      </c>
      <c r="Q40" t="s">
        <v>10615</v>
      </c>
      <c r="R40" t="s">
        <v>10814</v>
      </c>
      <c r="S40" t="s">
        <v>10616</v>
      </c>
      <c r="T40" t="s">
        <v>10616</v>
      </c>
      <c r="U40" t="s">
        <v>10615</v>
      </c>
      <c r="V40" t="s">
        <v>10686</v>
      </c>
    </row>
    <row r="41" spans="4:22">
      <c r="D41" t="s">
        <v>2770</v>
      </c>
      <c r="G41" t="s">
        <v>6563</v>
      </c>
      <c r="I41" t="s">
        <v>10687</v>
      </c>
      <c r="J41" t="s">
        <v>16954</v>
      </c>
      <c r="K41" t="s">
        <v>10618</v>
      </c>
      <c r="L41" t="s">
        <v>10618</v>
      </c>
      <c r="M41" t="s">
        <v>10616</v>
      </c>
      <c r="N41" t="s">
        <v>16954</v>
      </c>
      <c r="O41" t="s">
        <v>16955</v>
      </c>
      <c r="P41" t="s">
        <v>10687</v>
      </c>
      <c r="Q41" t="s">
        <v>10688</v>
      </c>
      <c r="R41" t="s">
        <v>10814</v>
      </c>
      <c r="S41" t="s">
        <v>10616</v>
      </c>
      <c r="T41" t="s">
        <v>10616</v>
      </c>
      <c r="U41" t="s">
        <v>10688</v>
      </c>
      <c r="V41" t="s">
        <v>16144</v>
      </c>
    </row>
    <row r="42" spans="4:22">
      <c r="D42" t="s">
        <v>2881</v>
      </c>
      <c r="G42" t="s">
        <v>6565</v>
      </c>
      <c r="I42" t="s">
        <v>10689</v>
      </c>
      <c r="J42" t="s">
        <v>10690</v>
      </c>
      <c r="K42" t="s">
        <v>10618</v>
      </c>
      <c r="L42" t="s">
        <v>10618</v>
      </c>
      <c r="M42" t="s">
        <v>10616</v>
      </c>
      <c r="N42" t="s">
        <v>10690</v>
      </c>
      <c r="O42" t="s">
        <v>10691</v>
      </c>
      <c r="P42" t="s">
        <v>10689</v>
      </c>
      <c r="Q42" t="s">
        <v>10690</v>
      </c>
      <c r="R42" t="s">
        <v>10814</v>
      </c>
      <c r="S42" t="s">
        <v>10616</v>
      </c>
      <c r="T42" t="s">
        <v>10616</v>
      </c>
      <c r="U42" t="s">
        <v>10690</v>
      </c>
      <c r="V42" t="s">
        <v>10691</v>
      </c>
    </row>
    <row r="43" spans="4:22">
      <c r="D43" t="s">
        <v>2887</v>
      </c>
      <c r="G43" t="s">
        <v>6566</v>
      </c>
      <c r="I43" t="s">
        <v>10692</v>
      </c>
      <c r="J43" t="s">
        <v>18851</v>
      </c>
      <c r="K43" t="s">
        <v>10618</v>
      </c>
      <c r="L43" t="s">
        <v>10618</v>
      </c>
      <c r="M43" t="s">
        <v>10616</v>
      </c>
      <c r="N43" t="s">
        <v>18851</v>
      </c>
      <c r="O43" t="s">
        <v>18852</v>
      </c>
      <c r="P43" t="s">
        <v>10692</v>
      </c>
      <c r="Q43" t="s">
        <v>10693</v>
      </c>
      <c r="R43" t="s">
        <v>10814</v>
      </c>
      <c r="S43" t="s">
        <v>10616</v>
      </c>
      <c r="T43" t="s">
        <v>10616</v>
      </c>
      <c r="U43" t="s">
        <v>10693</v>
      </c>
      <c r="V43" t="s">
        <v>11238</v>
      </c>
    </row>
    <row r="44" spans="4:22">
      <c r="D44" t="s">
        <v>6798</v>
      </c>
      <c r="G44" t="s">
        <v>6805</v>
      </c>
      <c r="I44" t="s">
        <v>10613</v>
      </c>
      <c r="J44" t="s">
        <v>10694</v>
      </c>
      <c r="K44" t="s">
        <v>10618</v>
      </c>
      <c r="L44" t="s">
        <v>10618</v>
      </c>
      <c r="M44" t="s">
        <v>10616</v>
      </c>
      <c r="N44" t="s">
        <v>10694</v>
      </c>
      <c r="O44" t="s">
        <v>10695</v>
      </c>
      <c r="P44" t="s">
        <v>10613</v>
      </c>
      <c r="Q44" t="s">
        <v>10694</v>
      </c>
      <c r="R44" t="s">
        <v>10814</v>
      </c>
      <c r="S44" t="s">
        <v>10616</v>
      </c>
      <c r="T44" t="s">
        <v>10616</v>
      </c>
      <c r="U44" t="s">
        <v>10694</v>
      </c>
      <c r="V44" t="s">
        <v>10695</v>
      </c>
    </row>
    <row r="45" spans="4:22">
      <c r="D45" t="s">
        <v>6868</v>
      </c>
      <c r="G45" t="s">
        <v>6873</v>
      </c>
      <c r="I45" t="s">
        <v>10613</v>
      </c>
      <c r="J45" t="s">
        <v>19488</v>
      </c>
      <c r="K45" t="s">
        <v>10618</v>
      </c>
      <c r="L45" t="s">
        <v>10618</v>
      </c>
      <c r="M45" t="s">
        <v>10616</v>
      </c>
      <c r="N45" t="s">
        <v>19488</v>
      </c>
      <c r="O45" t="s">
        <v>19489</v>
      </c>
      <c r="P45" t="s">
        <v>10613</v>
      </c>
      <c r="Q45" t="s">
        <v>10615</v>
      </c>
      <c r="R45" t="s">
        <v>10814</v>
      </c>
      <c r="S45" t="s">
        <v>10616</v>
      </c>
      <c r="T45" t="s">
        <v>10616</v>
      </c>
      <c r="U45" t="s">
        <v>10615</v>
      </c>
      <c r="V45" t="s">
        <v>10696</v>
      </c>
    </row>
    <row r="46" spans="4:22">
      <c r="D46" t="s">
        <v>6951</v>
      </c>
      <c r="G46" t="s">
        <v>8741</v>
      </c>
      <c r="I46" t="s">
        <v>10697</v>
      </c>
      <c r="J46" t="s">
        <v>19490</v>
      </c>
      <c r="K46" t="s">
        <v>19126</v>
      </c>
      <c r="L46" t="s">
        <v>10618</v>
      </c>
      <c r="M46" t="s">
        <v>10616</v>
      </c>
      <c r="N46" t="s">
        <v>19491</v>
      </c>
      <c r="O46" t="s">
        <v>19492</v>
      </c>
      <c r="P46" t="s">
        <v>10697</v>
      </c>
      <c r="Q46" t="s">
        <v>10615</v>
      </c>
      <c r="R46" t="s">
        <v>19127</v>
      </c>
      <c r="S46" t="s">
        <v>10616</v>
      </c>
      <c r="T46" t="s">
        <v>10616</v>
      </c>
      <c r="U46" t="s">
        <v>19128</v>
      </c>
      <c r="V46" t="s">
        <v>19129</v>
      </c>
    </row>
    <row r="47" spans="4:22">
      <c r="D47" t="s">
        <v>8935</v>
      </c>
      <c r="G47" t="s">
        <v>6959</v>
      </c>
      <c r="I47" t="s">
        <v>10816</v>
      </c>
      <c r="J47" t="s">
        <v>10615</v>
      </c>
      <c r="K47" t="s">
        <v>10618</v>
      </c>
      <c r="L47" t="s">
        <v>10618</v>
      </c>
      <c r="M47" t="s">
        <v>10616</v>
      </c>
      <c r="N47" t="s">
        <v>10615</v>
      </c>
      <c r="O47" t="s">
        <v>10817</v>
      </c>
      <c r="P47" t="s">
        <v>10615</v>
      </c>
      <c r="Q47" t="s">
        <v>10615</v>
      </c>
      <c r="R47" t="s">
        <v>10814</v>
      </c>
      <c r="S47" t="s">
        <v>10616</v>
      </c>
      <c r="T47" t="s">
        <v>10616</v>
      </c>
      <c r="U47" t="s">
        <v>10615</v>
      </c>
      <c r="V47" t="s">
        <v>10618</v>
      </c>
    </row>
    <row r="48" spans="4:22">
      <c r="D48" t="s">
        <v>8936</v>
      </c>
      <c r="G48" t="s">
        <v>10802</v>
      </c>
      <c r="I48" t="s">
        <v>10818</v>
      </c>
      <c r="J48" t="s">
        <v>10615</v>
      </c>
      <c r="K48" t="s">
        <v>16956</v>
      </c>
      <c r="L48" t="s">
        <v>10618</v>
      </c>
      <c r="M48" t="s">
        <v>10616</v>
      </c>
      <c r="N48" t="s">
        <v>16957</v>
      </c>
      <c r="O48" t="s">
        <v>16958</v>
      </c>
      <c r="P48" t="s">
        <v>10615</v>
      </c>
      <c r="Q48" t="s">
        <v>10615</v>
      </c>
      <c r="R48" t="s">
        <v>16959</v>
      </c>
      <c r="S48" t="s">
        <v>10616</v>
      </c>
      <c r="T48" t="s">
        <v>10616</v>
      </c>
      <c r="U48" t="s">
        <v>16960</v>
      </c>
      <c r="V48" t="s">
        <v>16961</v>
      </c>
    </row>
    <row r="49" spans="4:22">
      <c r="D49" t="s">
        <v>8937</v>
      </c>
      <c r="G49" t="s">
        <v>11266</v>
      </c>
      <c r="I49" t="s">
        <v>19493</v>
      </c>
      <c r="J49" t="s">
        <v>19494</v>
      </c>
      <c r="K49" t="s">
        <v>10618</v>
      </c>
      <c r="L49" t="s">
        <v>10618</v>
      </c>
      <c r="M49" t="s">
        <v>10616</v>
      </c>
      <c r="N49" t="s">
        <v>19494</v>
      </c>
      <c r="O49" t="s">
        <v>19495</v>
      </c>
      <c r="P49" t="s">
        <v>10615</v>
      </c>
      <c r="Q49" t="s">
        <v>10615</v>
      </c>
      <c r="R49" t="s">
        <v>10814</v>
      </c>
      <c r="S49" t="s">
        <v>10616</v>
      </c>
      <c r="T49" t="s">
        <v>10616</v>
      </c>
      <c r="U49" t="s">
        <v>10615</v>
      </c>
      <c r="V49" t="s">
        <v>10618</v>
      </c>
    </row>
    <row r="50" spans="4:22">
      <c r="D50" t="s">
        <v>8938</v>
      </c>
      <c r="G50" t="s">
        <v>12078</v>
      </c>
      <c r="I50" t="s">
        <v>16145</v>
      </c>
      <c r="J50" t="s">
        <v>10615</v>
      </c>
      <c r="K50" t="s">
        <v>16146</v>
      </c>
      <c r="L50" t="s">
        <v>10618</v>
      </c>
      <c r="M50" t="s">
        <v>10616</v>
      </c>
      <c r="N50" t="s">
        <v>16147</v>
      </c>
      <c r="O50" t="s">
        <v>16148</v>
      </c>
      <c r="P50" t="s">
        <v>10615</v>
      </c>
      <c r="Q50" t="s">
        <v>10615</v>
      </c>
      <c r="R50" t="s">
        <v>10814</v>
      </c>
      <c r="S50" t="s">
        <v>10616</v>
      </c>
      <c r="T50" t="s">
        <v>10616</v>
      </c>
      <c r="U50" t="s">
        <v>10615</v>
      </c>
      <c r="V50" t="s">
        <v>10618</v>
      </c>
    </row>
    <row r="51" spans="4:22">
      <c r="D51" t="s">
        <v>8939</v>
      </c>
      <c r="G51" t="s">
        <v>15802</v>
      </c>
      <c r="I51" t="s">
        <v>16149</v>
      </c>
      <c r="J51" t="s">
        <v>19496</v>
      </c>
      <c r="K51" t="s">
        <v>19130</v>
      </c>
      <c r="L51" t="s">
        <v>10618</v>
      </c>
      <c r="M51" t="s">
        <v>10616</v>
      </c>
      <c r="N51" t="s">
        <v>19497</v>
      </c>
      <c r="O51" t="s">
        <v>19498</v>
      </c>
      <c r="P51" t="s">
        <v>10615</v>
      </c>
      <c r="Q51" t="s">
        <v>10615</v>
      </c>
      <c r="R51" t="s">
        <v>10814</v>
      </c>
      <c r="S51" t="s">
        <v>10616</v>
      </c>
      <c r="T51" t="s">
        <v>10616</v>
      </c>
      <c r="U51" t="s">
        <v>10615</v>
      </c>
      <c r="V51" t="s">
        <v>10618</v>
      </c>
    </row>
    <row r="52" spans="4:22">
      <c r="D52" t="s">
        <v>8940</v>
      </c>
      <c r="G52" t="s">
        <v>16988</v>
      </c>
      <c r="I52" t="s">
        <v>17259</v>
      </c>
      <c r="J52" t="s">
        <v>18439</v>
      </c>
      <c r="K52" t="s">
        <v>19499</v>
      </c>
      <c r="L52" t="s">
        <v>19131</v>
      </c>
      <c r="M52" t="s">
        <v>10616</v>
      </c>
      <c r="N52" t="s">
        <v>19500</v>
      </c>
      <c r="O52" t="s">
        <v>19501</v>
      </c>
      <c r="P52" t="s">
        <v>10615</v>
      </c>
      <c r="Q52" t="s">
        <v>10615</v>
      </c>
      <c r="R52" t="s">
        <v>10814</v>
      </c>
      <c r="S52" t="s">
        <v>10616</v>
      </c>
      <c r="T52" t="s">
        <v>10616</v>
      </c>
      <c r="U52" t="s">
        <v>10615</v>
      </c>
      <c r="V52" t="s">
        <v>10618</v>
      </c>
    </row>
    <row r="53" spans="4:22">
      <c r="D53" t="s">
        <v>8941</v>
      </c>
      <c r="G53" t="s">
        <v>17171</v>
      </c>
      <c r="I53" t="s">
        <v>10681</v>
      </c>
      <c r="J53" t="s">
        <v>10615</v>
      </c>
      <c r="K53" t="s">
        <v>18853</v>
      </c>
      <c r="L53" t="s">
        <v>10618</v>
      </c>
      <c r="M53" t="s">
        <v>10616</v>
      </c>
      <c r="N53" t="s">
        <v>18854</v>
      </c>
      <c r="O53" t="s">
        <v>18855</v>
      </c>
      <c r="P53" t="s">
        <v>10615</v>
      </c>
      <c r="Q53" t="s">
        <v>10615</v>
      </c>
      <c r="R53" t="s">
        <v>10814</v>
      </c>
      <c r="S53" t="s">
        <v>10616</v>
      </c>
      <c r="T53" t="s">
        <v>10616</v>
      </c>
      <c r="U53" t="s">
        <v>10615</v>
      </c>
      <c r="V53" t="s">
        <v>10618</v>
      </c>
    </row>
    <row r="54" spans="4:22">
      <c r="D54" t="s">
        <v>6759</v>
      </c>
      <c r="I54" t="s">
        <v>19502</v>
      </c>
      <c r="J54" t="s">
        <v>19503</v>
      </c>
      <c r="K54" t="s">
        <v>19504</v>
      </c>
      <c r="L54" t="s">
        <v>19131</v>
      </c>
      <c r="M54" t="s">
        <v>10616</v>
      </c>
      <c r="N54" t="s">
        <v>19505</v>
      </c>
      <c r="O54" t="s">
        <v>19506</v>
      </c>
      <c r="P54" t="s">
        <v>10698</v>
      </c>
      <c r="Q54" t="s">
        <v>10699</v>
      </c>
      <c r="R54" t="s">
        <v>19132</v>
      </c>
      <c r="S54" t="s">
        <v>10616</v>
      </c>
      <c r="T54" t="s">
        <v>10616</v>
      </c>
      <c r="U54" t="s">
        <v>19133</v>
      </c>
      <c r="V54" t="s">
        <v>19134</v>
      </c>
    </row>
  </sheetData>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76923-B025-45F1-B567-E19C0869AB93}">
  <sheetPr codeName="Planilha5"/>
  <dimension ref="A1:G525"/>
  <sheetViews>
    <sheetView workbookViewId="0">
      <selection sqref="A1:I1048576"/>
    </sheetView>
  </sheetViews>
  <sheetFormatPr defaultColWidth="9.1796875" defaultRowHeight="14.5"/>
  <cols>
    <col min="1" max="1" width="20" style="389" bestFit="1" customWidth="1"/>
    <col min="2" max="2" width="23" style="389" bestFit="1" customWidth="1"/>
    <col min="3" max="3" width="46" style="389" bestFit="1" customWidth="1"/>
    <col min="4" max="4" width="42" style="389" bestFit="1" customWidth="1"/>
    <col min="5" max="6" width="7" style="389" bestFit="1" customWidth="1"/>
    <col min="7" max="7" width="6" style="389" bestFit="1" customWidth="1"/>
    <col min="8" max="16384" width="9.1796875" style="389"/>
  </cols>
  <sheetData>
    <row r="1" spans="1:7" ht="43.5">
      <c r="A1" s="387" t="s">
        <v>3071</v>
      </c>
      <c r="B1" s="387" t="s">
        <v>3341</v>
      </c>
      <c r="C1" s="387" t="s">
        <v>3349</v>
      </c>
      <c r="D1" s="387" t="s">
        <v>2968</v>
      </c>
      <c r="E1" s="387" t="s">
        <v>3350</v>
      </c>
      <c r="F1" s="387" t="s">
        <v>3351</v>
      </c>
      <c r="G1" s="388" t="s">
        <v>3352</v>
      </c>
    </row>
    <row r="2" spans="1:7">
      <c r="A2" s="389" t="s">
        <v>12</v>
      </c>
      <c r="B2" s="389" t="s">
        <v>12</v>
      </c>
      <c r="C2" s="389" t="s">
        <v>8538</v>
      </c>
      <c r="D2" s="389" t="s">
        <v>3356</v>
      </c>
      <c r="E2" s="389" t="s">
        <v>2921</v>
      </c>
      <c r="F2" s="389" t="s">
        <v>3354</v>
      </c>
      <c r="G2" s="389" t="s">
        <v>3355</v>
      </c>
    </row>
    <row r="3" spans="1:7">
      <c r="A3" s="389" t="s">
        <v>12</v>
      </c>
      <c r="B3" s="389" t="s">
        <v>3357</v>
      </c>
      <c r="C3" s="389" t="s">
        <v>3358</v>
      </c>
      <c r="D3" s="389" t="s">
        <v>3359</v>
      </c>
      <c r="E3" s="389" t="s">
        <v>2921</v>
      </c>
      <c r="F3" s="389" t="s">
        <v>3354</v>
      </c>
      <c r="G3" s="389" t="s">
        <v>3355</v>
      </c>
    </row>
    <row r="4" spans="1:7">
      <c r="A4" s="389" t="s">
        <v>12</v>
      </c>
      <c r="B4" s="389" t="s">
        <v>3360</v>
      </c>
      <c r="C4" s="389" t="s">
        <v>3361</v>
      </c>
      <c r="D4" s="389" t="s">
        <v>3362</v>
      </c>
      <c r="E4" s="389" t="s">
        <v>2921</v>
      </c>
      <c r="F4" s="389" t="s">
        <v>3354</v>
      </c>
      <c r="G4" s="389" t="s">
        <v>3355</v>
      </c>
    </row>
    <row r="5" spans="1:7">
      <c r="A5" s="389" t="s">
        <v>14</v>
      </c>
      <c r="B5" s="389" t="s">
        <v>14</v>
      </c>
      <c r="C5" s="389" t="s">
        <v>3387</v>
      </c>
      <c r="D5" s="389" t="s">
        <v>3363</v>
      </c>
      <c r="E5" s="389" t="s">
        <v>2921</v>
      </c>
      <c r="F5" s="389" t="s">
        <v>3354</v>
      </c>
      <c r="G5" s="389" t="s">
        <v>3355</v>
      </c>
    </row>
    <row r="6" spans="1:7">
      <c r="A6" s="389" t="s">
        <v>14</v>
      </c>
      <c r="B6" s="389" t="s">
        <v>3364</v>
      </c>
      <c r="C6" s="389" t="s">
        <v>3361</v>
      </c>
      <c r="D6" s="389" t="s">
        <v>3365</v>
      </c>
      <c r="E6" s="389" t="s">
        <v>2921</v>
      </c>
      <c r="F6" s="389" t="s">
        <v>3354</v>
      </c>
      <c r="G6" s="389" t="s">
        <v>3355</v>
      </c>
    </row>
    <row r="7" spans="1:7">
      <c r="A7" s="389" t="s">
        <v>15</v>
      </c>
      <c r="B7" s="389" t="s">
        <v>15</v>
      </c>
      <c r="C7" s="389" t="s">
        <v>3419</v>
      </c>
      <c r="D7" s="389" t="s">
        <v>16</v>
      </c>
      <c r="E7" s="389" t="s">
        <v>2921</v>
      </c>
      <c r="F7" s="389" t="s">
        <v>3354</v>
      </c>
      <c r="G7" s="389" t="s">
        <v>3355</v>
      </c>
    </row>
    <row r="8" spans="1:7">
      <c r="A8" s="389" t="s">
        <v>17</v>
      </c>
      <c r="B8" s="389" t="s">
        <v>17</v>
      </c>
      <c r="C8" s="389" t="s">
        <v>3419</v>
      </c>
      <c r="D8" s="389" t="s">
        <v>18</v>
      </c>
      <c r="E8" s="389" t="s">
        <v>2921</v>
      </c>
      <c r="F8" s="389" t="s">
        <v>3354</v>
      </c>
      <c r="G8" s="389" t="s">
        <v>3355</v>
      </c>
    </row>
    <row r="9" spans="1:7">
      <c r="A9" s="389" t="s">
        <v>17</v>
      </c>
      <c r="B9" s="389" t="s">
        <v>3366</v>
      </c>
      <c r="C9" s="389" t="s">
        <v>3358</v>
      </c>
      <c r="D9" s="389" t="s">
        <v>3367</v>
      </c>
      <c r="E9" s="389" t="s">
        <v>2921</v>
      </c>
      <c r="F9" s="389" t="s">
        <v>3354</v>
      </c>
      <c r="G9" s="389" t="s">
        <v>3355</v>
      </c>
    </row>
    <row r="10" spans="1:7">
      <c r="A10" s="389" t="s">
        <v>19</v>
      </c>
      <c r="B10" s="389" t="s">
        <v>19</v>
      </c>
      <c r="C10" s="389" t="s">
        <v>3387</v>
      </c>
      <c r="D10" s="389" t="s">
        <v>20</v>
      </c>
      <c r="E10" s="389" t="s">
        <v>2921</v>
      </c>
      <c r="F10" s="389" t="s">
        <v>3354</v>
      </c>
      <c r="G10" s="389" t="s">
        <v>3355</v>
      </c>
    </row>
    <row r="11" spans="1:7">
      <c r="A11" s="389" t="s">
        <v>19</v>
      </c>
      <c r="B11" s="389" t="s">
        <v>3368</v>
      </c>
      <c r="C11" s="389" t="s">
        <v>3361</v>
      </c>
      <c r="D11" s="389" t="s">
        <v>3367</v>
      </c>
      <c r="E11" s="389" t="s">
        <v>2921</v>
      </c>
      <c r="F11" s="389" t="s">
        <v>3354</v>
      </c>
      <c r="G11" s="389" t="s">
        <v>3355</v>
      </c>
    </row>
    <row r="12" spans="1:7">
      <c r="A12" s="389" t="s">
        <v>21</v>
      </c>
      <c r="B12" s="389" t="s">
        <v>21</v>
      </c>
      <c r="C12" s="389" t="s">
        <v>3419</v>
      </c>
      <c r="D12" s="389" t="s">
        <v>3369</v>
      </c>
      <c r="E12" s="389" t="s">
        <v>2921</v>
      </c>
      <c r="F12" s="389" t="s">
        <v>3354</v>
      </c>
      <c r="G12" s="389" t="s">
        <v>3355</v>
      </c>
    </row>
    <row r="13" spans="1:7">
      <c r="A13" s="389" t="s">
        <v>23</v>
      </c>
      <c r="B13" s="389" t="s">
        <v>23</v>
      </c>
      <c r="C13" s="389" t="s">
        <v>3419</v>
      </c>
      <c r="D13" s="389" t="s">
        <v>3370</v>
      </c>
      <c r="E13" s="389" t="s">
        <v>2921</v>
      </c>
      <c r="F13" s="389" t="s">
        <v>3354</v>
      </c>
      <c r="G13" s="389" t="s">
        <v>3355</v>
      </c>
    </row>
    <row r="14" spans="1:7">
      <c r="A14" s="389" t="s">
        <v>23</v>
      </c>
      <c r="B14" s="389" t="s">
        <v>3371</v>
      </c>
      <c r="C14" s="389" t="s">
        <v>3358</v>
      </c>
      <c r="D14" s="389" t="s">
        <v>3372</v>
      </c>
      <c r="E14" s="389" t="s">
        <v>2921</v>
      </c>
      <c r="F14" s="389" t="s">
        <v>3354</v>
      </c>
      <c r="G14" s="389" t="s">
        <v>3355</v>
      </c>
    </row>
    <row r="15" spans="1:7">
      <c r="A15" s="389" t="s">
        <v>25</v>
      </c>
      <c r="B15" s="389" t="s">
        <v>25</v>
      </c>
      <c r="C15" s="389" t="s">
        <v>3419</v>
      </c>
      <c r="D15" s="389" t="s">
        <v>3373</v>
      </c>
      <c r="E15" s="389" t="s">
        <v>2921</v>
      </c>
      <c r="F15" s="389" t="s">
        <v>3354</v>
      </c>
      <c r="G15" s="389" t="s">
        <v>3355</v>
      </c>
    </row>
    <row r="16" spans="1:7">
      <c r="A16" s="389" t="s">
        <v>25</v>
      </c>
      <c r="B16" s="389" t="s">
        <v>3374</v>
      </c>
      <c r="C16" s="389" t="s">
        <v>3358</v>
      </c>
      <c r="D16" s="389" t="s">
        <v>3375</v>
      </c>
      <c r="E16" s="389" t="s">
        <v>2921</v>
      </c>
      <c r="F16" s="389" t="s">
        <v>3354</v>
      </c>
      <c r="G16" s="389" t="s">
        <v>3355</v>
      </c>
    </row>
    <row r="17" spans="1:7">
      <c r="A17" s="389" t="s">
        <v>25</v>
      </c>
      <c r="B17" s="389" t="s">
        <v>3376</v>
      </c>
      <c r="C17" s="389" t="s">
        <v>3358</v>
      </c>
      <c r="D17" s="389" t="s">
        <v>3377</v>
      </c>
      <c r="E17" s="389" t="s">
        <v>2921</v>
      </c>
      <c r="F17" s="389" t="s">
        <v>3354</v>
      </c>
      <c r="G17" s="389" t="s">
        <v>3355</v>
      </c>
    </row>
    <row r="18" spans="1:7">
      <c r="A18" s="389" t="s">
        <v>27</v>
      </c>
      <c r="B18" s="389" t="s">
        <v>27</v>
      </c>
      <c r="C18" s="389" t="s">
        <v>3387</v>
      </c>
      <c r="D18" s="389" t="s">
        <v>28</v>
      </c>
      <c r="E18" s="389" t="s">
        <v>2921</v>
      </c>
      <c r="F18" s="389" t="s">
        <v>3354</v>
      </c>
      <c r="G18" s="389" t="s">
        <v>3355</v>
      </c>
    </row>
    <row r="19" spans="1:7">
      <c r="A19" s="389" t="s">
        <v>27</v>
      </c>
      <c r="B19" s="389" t="s">
        <v>3378</v>
      </c>
      <c r="C19" s="389" t="s">
        <v>3358</v>
      </c>
      <c r="D19" s="389" t="s">
        <v>3379</v>
      </c>
      <c r="E19" s="389" t="s">
        <v>2921</v>
      </c>
      <c r="F19" s="389" t="s">
        <v>3354</v>
      </c>
      <c r="G19" s="389" t="s">
        <v>3355</v>
      </c>
    </row>
    <row r="20" spans="1:7">
      <c r="A20" s="389" t="s">
        <v>27</v>
      </c>
      <c r="B20" s="389" t="s">
        <v>3380</v>
      </c>
      <c r="C20" s="389" t="s">
        <v>3361</v>
      </c>
      <c r="D20" s="389" t="s">
        <v>3381</v>
      </c>
      <c r="E20" s="389" t="s">
        <v>2921</v>
      </c>
      <c r="F20" s="389" t="s">
        <v>3354</v>
      </c>
      <c r="G20" s="389" t="s">
        <v>3355</v>
      </c>
    </row>
    <row r="21" spans="1:7">
      <c r="A21" s="389" t="s">
        <v>27</v>
      </c>
      <c r="B21" s="389" t="s">
        <v>3382</v>
      </c>
      <c r="C21" s="389" t="s">
        <v>3361</v>
      </c>
      <c r="D21" s="389" t="s">
        <v>3383</v>
      </c>
      <c r="E21" s="389" t="s">
        <v>2921</v>
      </c>
      <c r="F21" s="389" t="s">
        <v>3354</v>
      </c>
      <c r="G21" s="389" t="s">
        <v>3355</v>
      </c>
    </row>
    <row r="22" spans="1:7">
      <c r="A22" s="389" t="s">
        <v>29</v>
      </c>
      <c r="B22" s="389" t="s">
        <v>29</v>
      </c>
      <c r="C22" s="389" t="s">
        <v>3387</v>
      </c>
      <c r="D22" s="389" t="s">
        <v>3384</v>
      </c>
      <c r="E22" s="389" t="s">
        <v>2921</v>
      </c>
      <c r="F22" s="389" t="s">
        <v>3354</v>
      </c>
      <c r="G22" s="389" t="s">
        <v>3355</v>
      </c>
    </row>
    <row r="23" spans="1:7">
      <c r="A23" s="389" t="s">
        <v>29</v>
      </c>
      <c r="B23" s="389" t="s">
        <v>3385</v>
      </c>
      <c r="C23" s="389" t="s">
        <v>3361</v>
      </c>
      <c r="D23" s="389" t="s">
        <v>3386</v>
      </c>
      <c r="E23" s="389" t="s">
        <v>2921</v>
      </c>
      <c r="F23" s="389" t="s">
        <v>3354</v>
      </c>
      <c r="G23" s="389" t="s">
        <v>3355</v>
      </c>
    </row>
    <row r="24" spans="1:7">
      <c r="A24" s="389" t="s">
        <v>31</v>
      </c>
      <c r="B24" s="389" t="s">
        <v>31</v>
      </c>
      <c r="C24" s="389" t="s">
        <v>3387</v>
      </c>
      <c r="D24" s="389" t="s">
        <v>3388</v>
      </c>
      <c r="E24" s="389" t="s">
        <v>2921</v>
      </c>
      <c r="F24" s="389" t="s">
        <v>3389</v>
      </c>
      <c r="G24" s="389" t="s">
        <v>3355</v>
      </c>
    </row>
    <row r="25" spans="1:7">
      <c r="A25" s="389" t="s">
        <v>31</v>
      </c>
      <c r="B25" s="389" t="s">
        <v>3390</v>
      </c>
      <c r="C25" s="389" t="s">
        <v>3358</v>
      </c>
      <c r="D25" s="389" t="s">
        <v>3386</v>
      </c>
      <c r="E25" s="389" t="s">
        <v>2921</v>
      </c>
      <c r="F25" s="389" t="s">
        <v>3389</v>
      </c>
      <c r="G25" s="389" t="s">
        <v>3355</v>
      </c>
    </row>
    <row r="26" spans="1:7">
      <c r="A26" s="389" t="s">
        <v>33</v>
      </c>
      <c r="B26" s="389" t="s">
        <v>33</v>
      </c>
      <c r="C26" s="389" t="s">
        <v>3419</v>
      </c>
      <c r="D26" s="389" t="s">
        <v>3391</v>
      </c>
      <c r="E26" s="389" t="s">
        <v>2921</v>
      </c>
      <c r="F26" s="389" t="s">
        <v>3354</v>
      </c>
      <c r="G26" s="389" t="s">
        <v>3355</v>
      </c>
    </row>
    <row r="27" spans="1:7">
      <c r="A27" s="389" t="s">
        <v>33</v>
      </c>
      <c r="B27" s="389" t="s">
        <v>3392</v>
      </c>
      <c r="C27" s="389" t="s">
        <v>3358</v>
      </c>
      <c r="D27" s="389" t="s">
        <v>3393</v>
      </c>
      <c r="E27" s="389" t="s">
        <v>2921</v>
      </c>
      <c r="F27" s="389" t="s">
        <v>3354</v>
      </c>
      <c r="G27" s="389" t="s">
        <v>3355</v>
      </c>
    </row>
    <row r="28" spans="1:7">
      <c r="A28" s="389" t="s">
        <v>33</v>
      </c>
      <c r="B28" s="389" t="s">
        <v>3394</v>
      </c>
      <c r="C28" s="389" t="s">
        <v>3361</v>
      </c>
      <c r="D28" s="389" t="s">
        <v>3383</v>
      </c>
      <c r="E28" s="389" t="s">
        <v>2921</v>
      </c>
      <c r="F28" s="389" t="s">
        <v>3354</v>
      </c>
      <c r="G28" s="389" t="s">
        <v>3355</v>
      </c>
    </row>
    <row r="29" spans="1:7">
      <c r="A29" s="389" t="s">
        <v>35</v>
      </c>
      <c r="B29" s="389" t="s">
        <v>35</v>
      </c>
      <c r="C29" s="389" t="s">
        <v>3419</v>
      </c>
      <c r="D29" s="389" t="s">
        <v>3395</v>
      </c>
      <c r="E29" s="389" t="s">
        <v>2921</v>
      </c>
      <c r="F29" s="389" t="s">
        <v>3354</v>
      </c>
      <c r="G29" s="389" t="s">
        <v>3355</v>
      </c>
    </row>
    <row r="30" spans="1:7">
      <c r="A30" s="389" t="s">
        <v>35</v>
      </c>
      <c r="B30" s="389" t="s">
        <v>3396</v>
      </c>
      <c r="C30" s="389" t="s">
        <v>3361</v>
      </c>
      <c r="D30" s="389" t="s">
        <v>3397</v>
      </c>
      <c r="E30" s="389" t="s">
        <v>2921</v>
      </c>
      <c r="F30" s="389" t="s">
        <v>3354</v>
      </c>
      <c r="G30" s="389" t="s">
        <v>3355</v>
      </c>
    </row>
    <row r="31" spans="1:7">
      <c r="A31" s="389" t="s">
        <v>37</v>
      </c>
      <c r="B31" s="389" t="s">
        <v>37</v>
      </c>
      <c r="C31" s="389" t="s">
        <v>3387</v>
      </c>
      <c r="D31" s="389" t="s">
        <v>38</v>
      </c>
      <c r="E31" s="389" t="s">
        <v>2921</v>
      </c>
      <c r="F31" s="389" t="s">
        <v>3354</v>
      </c>
      <c r="G31" s="389" t="s">
        <v>3355</v>
      </c>
    </row>
    <row r="32" spans="1:7">
      <c r="A32" s="389" t="s">
        <v>37</v>
      </c>
      <c r="B32" s="389" t="s">
        <v>3398</v>
      </c>
      <c r="C32" s="389" t="s">
        <v>3361</v>
      </c>
      <c r="D32" s="389" t="s">
        <v>3399</v>
      </c>
      <c r="E32" s="389" t="s">
        <v>2921</v>
      </c>
      <c r="F32" s="389" t="s">
        <v>3354</v>
      </c>
      <c r="G32" s="389" t="s">
        <v>3355</v>
      </c>
    </row>
    <row r="33" spans="1:7">
      <c r="A33" s="389" t="s">
        <v>39</v>
      </c>
      <c r="B33" s="389" t="s">
        <v>39</v>
      </c>
      <c r="C33" s="389" t="s">
        <v>3419</v>
      </c>
      <c r="D33" s="389" t="s">
        <v>3400</v>
      </c>
      <c r="E33" s="389" t="s">
        <v>2921</v>
      </c>
      <c r="F33" s="389" t="s">
        <v>3354</v>
      </c>
      <c r="G33" s="389" t="s">
        <v>3355</v>
      </c>
    </row>
    <row r="34" spans="1:7">
      <c r="A34" s="389" t="s">
        <v>41</v>
      </c>
      <c r="B34" s="389" t="s">
        <v>41</v>
      </c>
      <c r="C34" s="389" t="s">
        <v>3419</v>
      </c>
      <c r="D34" s="389" t="s">
        <v>3401</v>
      </c>
      <c r="E34" s="389" t="s">
        <v>2921</v>
      </c>
      <c r="F34" s="389" t="s">
        <v>3354</v>
      </c>
      <c r="G34" s="389" t="s">
        <v>3355</v>
      </c>
    </row>
    <row r="35" spans="1:7">
      <c r="A35" s="389" t="s">
        <v>43</v>
      </c>
      <c r="B35" s="389" t="s">
        <v>43</v>
      </c>
      <c r="C35" s="389" t="s">
        <v>3419</v>
      </c>
      <c r="D35" s="389" t="s">
        <v>44</v>
      </c>
      <c r="E35" s="389" t="s">
        <v>2921</v>
      </c>
      <c r="F35" s="389" t="s">
        <v>3402</v>
      </c>
      <c r="G35" s="389" t="s">
        <v>3355</v>
      </c>
    </row>
    <row r="36" spans="1:7">
      <c r="A36" s="389" t="s">
        <v>45</v>
      </c>
      <c r="B36" s="389" t="s">
        <v>45</v>
      </c>
      <c r="C36" s="389" t="s">
        <v>3419</v>
      </c>
      <c r="D36" s="389" t="s">
        <v>3403</v>
      </c>
      <c r="E36" s="389" t="s">
        <v>2921</v>
      </c>
      <c r="F36" s="389" t="s">
        <v>3354</v>
      </c>
      <c r="G36" s="389" t="s">
        <v>3355</v>
      </c>
    </row>
    <row r="37" spans="1:7">
      <c r="A37" s="389" t="s">
        <v>45</v>
      </c>
      <c r="B37" s="389" t="s">
        <v>3404</v>
      </c>
      <c r="C37" s="389" t="s">
        <v>3361</v>
      </c>
      <c r="D37" s="389" t="s">
        <v>3405</v>
      </c>
      <c r="E37" s="389" t="s">
        <v>2921</v>
      </c>
      <c r="F37" s="389" t="s">
        <v>3354</v>
      </c>
      <c r="G37" s="389" t="s">
        <v>3355</v>
      </c>
    </row>
    <row r="38" spans="1:7">
      <c r="A38" s="389" t="s">
        <v>45</v>
      </c>
      <c r="B38" s="389" t="s">
        <v>3406</v>
      </c>
      <c r="C38" s="389" t="s">
        <v>3361</v>
      </c>
      <c r="D38" s="389" t="s">
        <v>3407</v>
      </c>
      <c r="E38" s="389" t="s">
        <v>2921</v>
      </c>
      <c r="F38" s="389" t="s">
        <v>3354</v>
      </c>
      <c r="G38" s="389" t="s">
        <v>3355</v>
      </c>
    </row>
    <row r="39" spans="1:7">
      <c r="A39" s="389" t="s">
        <v>47</v>
      </c>
      <c r="B39" s="389" t="s">
        <v>47</v>
      </c>
      <c r="C39" s="389" t="s">
        <v>3419</v>
      </c>
      <c r="D39" s="389" t="s">
        <v>48</v>
      </c>
      <c r="E39" s="389" t="s">
        <v>2921</v>
      </c>
      <c r="F39" s="389" t="s">
        <v>3408</v>
      </c>
      <c r="G39" s="389" t="s">
        <v>3355</v>
      </c>
    </row>
    <row r="40" spans="1:7">
      <c r="A40" s="389" t="s">
        <v>47</v>
      </c>
      <c r="B40" s="389" t="s">
        <v>3409</v>
      </c>
      <c r="C40" s="389" t="s">
        <v>3361</v>
      </c>
      <c r="D40" s="389" t="s">
        <v>3410</v>
      </c>
      <c r="E40" s="389" t="s">
        <v>2921</v>
      </c>
      <c r="F40" s="389" t="s">
        <v>3408</v>
      </c>
      <c r="G40" s="389" t="s">
        <v>3355</v>
      </c>
    </row>
    <row r="41" spans="1:7">
      <c r="A41" s="389" t="s">
        <v>49</v>
      </c>
      <c r="B41" s="389" t="s">
        <v>49</v>
      </c>
      <c r="C41" s="389" t="s">
        <v>3419</v>
      </c>
      <c r="D41" s="389" t="s">
        <v>50</v>
      </c>
      <c r="E41" s="389" t="s">
        <v>2921</v>
      </c>
      <c r="F41" s="389" t="s">
        <v>3354</v>
      </c>
      <c r="G41" s="389" t="s">
        <v>3355</v>
      </c>
    </row>
    <row r="42" spans="1:7">
      <c r="A42" s="389" t="s">
        <v>49</v>
      </c>
      <c r="B42" s="389" t="s">
        <v>3411</v>
      </c>
      <c r="C42" s="389" t="s">
        <v>3361</v>
      </c>
      <c r="D42" s="389" t="s">
        <v>3397</v>
      </c>
      <c r="E42" s="389" t="s">
        <v>2921</v>
      </c>
      <c r="F42" s="389" t="s">
        <v>3354</v>
      </c>
      <c r="G42" s="389" t="s">
        <v>3355</v>
      </c>
    </row>
    <row r="43" spans="1:7">
      <c r="A43" s="389" t="s">
        <v>51</v>
      </c>
      <c r="B43" s="389" t="s">
        <v>51</v>
      </c>
      <c r="C43" s="389" t="s">
        <v>3419</v>
      </c>
      <c r="D43" s="389" t="s">
        <v>3412</v>
      </c>
      <c r="E43" s="389" t="s">
        <v>2921</v>
      </c>
      <c r="F43" s="389" t="s">
        <v>3354</v>
      </c>
      <c r="G43" s="389" t="s">
        <v>3355</v>
      </c>
    </row>
    <row r="44" spans="1:7">
      <c r="A44" s="389" t="s">
        <v>51</v>
      </c>
      <c r="B44" s="389" t="s">
        <v>3413</v>
      </c>
      <c r="C44" s="389" t="s">
        <v>3361</v>
      </c>
      <c r="D44" s="389" t="s">
        <v>3414</v>
      </c>
      <c r="E44" s="389" t="s">
        <v>2921</v>
      </c>
      <c r="F44" s="389" t="s">
        <v>3354</v>
      </c>
      <c r="G44" s="389" t="s">
        <v>3355</v>
      </c>
    </row>
    <row r="45" spans="1:7">
      <c r="A45" s="389" t="s">
        <v>53</v>
      </c>
      <c r="B45" s="389" t="s">
        <v>53</v>
      </c>
      <c r="C45" s="389" t="s">
        <v>8539</v>
      </c>
      <c r="D45" s="389" t="s">
        <v>3415</v>
      </c>
      <c r="E45" s="389" t="s">
        <v>2921</v>
      </c>
      <c r="F45" s="389" t="s">
        <v>3354</v>
      </c>
      <c r="G45" s="389" t="s">
        <v>3355</v>
      </c>
    </row>
    <row r="46" spans="1:7">
      <c r="A46" s="389" t="s">
        <v>53</v>
      </c>
      <c r="B46" s="389" t="s">
        <v>3416</v>
      </c>
      <c r="C46" s="389" t="s">
        <v>3361</v>
      </c>
      <c r="D46" s="389" t="s">
        <v>3414</v>
      </c>
      <c r="E46" s="389" t="s">
        <v>2921</v>
      </c>
      <c r="F46" s="389" t="s">
        <v>3354</v>
      </c>
      <c r="G46" s="389" t="s">
        <v>3355</v>
      </c>
    </row>
    <row r="47" spans="1:7">
      <c r="A47" s="389" t="s">
        <v>53</v>
      </c>
      <c r="B47" s="389" t="s">
        <v>3417</v>
      </c>
      <c r="C47" s="389" t="s">
        <v>3361</v>
      </c>
      <c r="D47" s="389" t="s">
        <v>3418</v>
      </c>
      <c r="E47" s="389" t="s">
        <v>2921</v>
      </c>
      <c r="F47" s="389" t="s">
        <v>3354</v>
      </c>
      <c r="G47" s="389" t="s">
        <v>3355</v>
      </c>
    </row>
    <row r="48" spans="1:7">
      <c r="A48" s="389" t="s">
        <v>57</v>
      </c>
      <c r="B48" s="389" t="s">
        <v>57</v>
      </c>
      <c r="C48" s="389" t="s">
        <v>3419</v>
      </c>
      <c r="D48" s="389" t="s">
        <v>58</v>
      </c>
      <c r="E48" s="389" t="s">
        <v>2921</v>
      </c>
      <c r="F48" s="389" t="s">
        <v>3354</v>
      </c>
      <c r="G48" s="389" t="s">
        <v>3355</v>
      </c>
    </row>
    <row r="49" spans="1:7">
      <c r="A49" s="389" t="s">
        <v>57</v>
      </c>
      <c r="B49" s="389" t="s">
        <v>3420</v>
      </c>
      <c r="C49" s="389" t="s">
        <v>3361</v>
      </c>
      <c r="D49" s="389" t="s">
        <v>3421</v>
      </c>
      <c r="E49" s="389" t="s">
        <v>2921</v>
      </c>
      <c r="F49" s="389" t="s">
        <v>3354</v>
      </c>
      <c r="G49" s="389" t="s">
        <v>3355</v>
      </c>
    </row>
    <row r="50" spans="1:7">
      <c r="A50" s="389" t="s">
        <v>59</v>
      </c>
      <c r="B50" s="389" t="s">
        <v>59</v>
      </c>
      <c r="C50" s="389" t="s">
        <v>3419</v>
      </c>
      <c r="D50" s="389" t="s">
        <v>60</v>
      </c>
      <c r="E50" s="389" t="s">
        <v>2921</v>
      </c>
      <c r="F50" s="389" t="s">
        <v>3354</v>
      </c>
      <c r="G50" s="389" t="s">
        <v>3355</v>
      </c>
    </row>
    <row r="51" spans="1:7">
      <c r="A51" s="389" t="s">
        <v>59</v>
      </c>
      <c r="B51" s="389" t="s">
        <v>3422</v>
      </c>
      <c r="C51" s="389" t="s">
        <v>3361</v>
      </c>
      <c r="D51" s="389" t="s">
        <v>3423</v>
      </c>
      <c r="E51" s="389" t="s">
        <v>2921</v>
      </c>
      <c r="F51" s="389" t="s">
        <v>3354</v>
      </c>
      <c r="G51" s="389" t="s">
        <v>3355</v>
      </c>
    </row>
    <row r="52" spans="1:7">
      <c r="A52" s="389" t="s">
        <v>61</v>
      </c>
      <c r="B52" s="389" t="s">
        <v>61</v>
      </c>
      <c r="C52" s="389" t="s">
        <v>3419</v>
      </c>
      <c r="D52" s="389" t="s">
        <v>62</v>
      </c>
      <c r="E52" s="389" t="s">
        <v>2921</v>
      </c>
      <c r="F52" s="389" t="s">
        <v>3354</v>
      </c>
      <c r="G52" s="389" t="s">
        <v>3355</v>
      </c>
    </row>
    <row r="53" spans="1:7">
      <c r="A53" s="389" t="s">
        <v>61</v>
      </c>
      <c r="B53" s="389" t="s">
        <v>3424</v>
      </c>
      <c r="C53" s="389" t="s">
        <v>3361</v>
      </c>
      <c r="D53" s="389" t="s">
        <v>3423</v>
      </c>
      <c r="E53" s="389" t="s">
        <v>2921</v>
      </c>
      <c r="F53" s="389" t="s">
        <v>3354</v>
      </c>
      <c r="G53" s="389" t="s">
        <v>3355</v>
      </c>
    </row>
    <row r="54" spans="1:7">
      <c r="A54" s="389" t="s">
        <v>108</v>
      </c>
      <c r="B54" s="389" t="s">
        <v>108</v>
      </c>
      <c r="C54" s="389" t="s">
        <v>3419</v>
      </c>
      <c r="D54" s="389" t="s">
        <v>109</v>
      </c>
      <c r="E54" s="389" t="s">
        <v>2921</v>
      </c>
      <c r="F54" s="389" t="s">
        <v>3354</v>
      </c>
      <c r="G54" s="389" t="s">
        <v>3355</v>
      </c>
    </row>
    <row r="55" spans="1:7">
      <c r="A55" s="389" t="s">
        <v>108</v>
      </c>
      <c r="B55" s="389" t="s">
        <v>3425</v>
      </c>
      <c r="C55" s="389" t="s">
        <v>3361</v>
      </c>
      <c r="D55" s="389" t="s">
        <v>3426</v>
      </c>
      <c r="E55" s="389" t="s">
        <v>2921</v>
      </c>
      <c r="F55" s="389" t="s">
        <v>3354</v>
      </c>
      <c r="G55" s="389" t="s">
        <v>3355</v>
      </c>
    </row>
    <row r="56" spans="1:7">
      <c r="A56" s="389" t="s">
        <v>73</v>
      </c>
      <c r="B56" s="389" t="s">
        <v>73</v>
      </c>
      <c r="C56" s="389" t="s">
        <v>3419</v>
      </c>
      <c r="D56" s="389" t="s">
        <v>3427</v>
      </c>
      <c r="E56" s="389" t="s">
        <v>2921</v>
      </c>
      <c r="F56" s="389" t="s">
        <v>3354</v>
      </c>
      <c r="G56" s="389" t="s">
        <v>3355</v>
      </c>
    </row>
    <row r="57" spans="1:7">
      <c r="A57" s="389" t="s">
        <v>69</v>
      </c>
      <c r="B57" s="389" t="s">
        <v>69</v>
      </c>
      <c r="C57" s="389" t="s">
        <v>3419</v>
      </c>
      <c r="D57" s="389" t="s">
        <v>3428</v>
      </c>
      <c r="E57" s="389" t="s">
        <v>2921</v>
      </c>
      <c r="F57" s="389" t="s">
        <v>3354</v>
      </c>
      <c r="G57" s="389" t="s">
        <v>3355</v>
      </c>
    </row>
    <row r="58" spans="1:7">
      <c r="A58" s="389" t="s">
        <v>69</v>
      </c>
      <c r="B58" s="389" t="s">
        <v>3429</v>
      </c>
      <c r="C58" s="389" t="s">
        <v>3361</v>
      </c>
      <c r="D58" s="389" t="s">
        <v>3430</v>
      </c>
      <c r="E58" s="389" t="s">
        <v>2921</v>
      </c>
      <c r="F58" s="389" t="s">
        <v>3354</v>
      </c>
      <c r="G58" s="389" t="s">
        <v>3355</v>
      </c>
    </row>
    <row r="59" spans="1:7">
      <c r="A59" s="389" t="s">
        <v>75</v>
      </c>
      <c r="B59" s="389" t="s">
        <v>75</v>
      </c>
      <c r="C59" s="389" t="s">
        <v>3419</v>
      </c>
      <c r="D59" s="389" t="s">
        <v>1415</v>
      </c>
      <c r="E59" s="389" t="s">
        <v>2921</v>
      </c>
      <c r="F59" s="389" t="s">
        <v>3354</v>
      </c>
      <c r="G59" s="389" t="s">
        <v>3355</v>
      </c>
    </row>
    <row r="60" spans="1:7">
      <c r="A60" s="389" t="s">
        <v>75</v>
      </c>
      <c r="B60" s="389" t="s">
        <v>3431</v>
      </c>
      <c r="C60" s="389" t="s">
        <v>3358</v>
      </c>
      <c r="D60" s="389" t="s">
        <v>3423</v>
      </c>
      <c r="E60" s="389" t="s">
        <v>2921</v>
      </c>
      <c r="F60" s="389" t="s">
        <v>3354</v>
      </c>
      <c r="G60" s="389" t="s">
        <v>3355</v>
      </c>
    </row>
    <row r="61" spans="1:7">
      <c r="A61" s="389" t="s">
        <v>75</v>
      </c>
      <c r="B61" s="389" t="s">
        <v>3432</v>
      </c>
      <c r="C61" s="389" t="s">
        <v>3361</v>
      </c>
      <c r="D61" s="389" t="s">
        <v>3433</v>
      </c>
      <c r="E61" s="389" t="s">
        <v>2921</v>
      </c>
      <c r="F61" s="389" t="s">
        <v>3354</v>
      </c>
      <c r="G61" s="389" t="s">
        <v>3355</v>
      </c>
    </row>
    <row r="62" spans="1:7">
      <c r="A62" s="389" t="s">
        <v>81</v>
      </c>
      <c r="B62" s="389" t="s">
        <v>81</v>
      </c>
      <c r="C62" s="389" t="s">
        <v>3419</v>
      </c>
      <c r="D62" s="389" t="s">
        <v>3434</v>
      </c>
      <c r="E62" s="389" t="s">
        <v>2921</v>
      </c>
      <c r="F62" s="389" t="s">
        <v>3354</v>
      </c>
      <c r="G62" s="389" t="s">
        <v>3355</v>
      </c>
    </row>
    <row r="63" spans="1:7">
      <c r="A63" s="389" t="s">
        <v>81</v>
      </c>
      <c r="B63" s="389" t="s">
        <v>3435</v>
      </c>
      <c r="C63" s="389" t="s">
        <v>3361</v>
      </c>
      <c r="D63" s="389" t="s">
        <v>3430</v>
      </c>
      <c r="E63" s="389" t="s">
        <v>2921</v>
      </c>
      <c r="F63" s="389" t="s">
        <v>3354</v>
      </c>
      <c r="G63" s="389" t="s">
        <v>3355</v>
      </c>
    </row>
    <row r="64" spans="1:7">
      <c r="A64" s="389" t="s">
        <v>65</v>
      </c>
      <c r="B64" s="389" t="s">
        <v>65</v>
      </c>
      <c r="C64" s="389" t="s">
        <v>3387</v>
      </c>
      <c r="D64" s="389" t="s">
        <v>3436</v>
      </c>
      <c r="E64" s="389" t="s">
        <v>2921</v>
      </c>
      <c r="F64" s="389" t="s">
        <v>3354</v>
      </c>
      <c r="G64" s="389" t="s">
        <v>3355</v>
      </c>
    </row>
    <row r="65" spans="1:7">
      <c r="A65" s="389" t="s">
        <v>65</v>
      </c>
      <c r="B65" s="389" t="s">
        <v>3437</v>
      </c>
      <c r="C65" s="389" t="s">
        <v>3358</v>
      </c>
      <c r="D65" s="389" t="s">
        <v>3423</v>
      </c>
      <c r="E65" s="389" t="s">
        <v>2921</v>
      </c>
      <c r="F65" s="389" t="s">
        <v>3354</v>
      </c>
      <c r="G65" s="389" t="s">
        <v>3355</v>
      </c>
    </row>
    <row r="66" spans="1:7">
      <c r="A66" s="389" t="s">
        <v>65</v>
      </c>
      <c r="B66" s="389" t="s">
        <v>3438</v>
      </c>
      <c r="C66" s="389" t="s">
        <v>3361</v>
      </c>
      <c r="D66" s="389" t="s">
        <v>3433</v>
      </c>
      <c r="E66" s="389" t="s">
        <v>2921</v>
      </c>
      <c r="F66" s="389" t="s">
        <v>3354</v>
      </c>
      <c r="G66" s="389" t="s">
        <v>3355</v>
      </c>
    </row>
    <row r="67" spans="1:7">
      <c r="A67" s="389" t="s">
        <v>102</v>
      </c>
      <c r="B67" s="389" t="s">
        <v>102</v>
      </c>
      <c r="C67" s="389" t="s">
        <v>3419</v>
      </c>
      <c r="D67" s="389" t="s">
        <v>3439</v>
      </c>
      <c r="E67" s="389" t="s">
        <v>2921</v>
      </c>
      <c r="F67" s="389" t="s">
        <v>3354</v>
      </c>
      <c r="G67" s="389" t="s">
        <v>3355</v>
      </c>
    </row>
    <row r="68" spans="1:7">
      <c r="A68" s="389" t="s">
        <v>63</v>
      </c>
      <c r="B68" s="389" t="s">
        <v>63</v>
      </c>
      <c r="C68" s="389" t="s">
        <v>8539</v>
      </c>
      <c r="D68" s="389" t="s">
        <v>64</v>
      </c>
      <c r="E68" s="389" t="s">
        <v>2921</v>
      </c>
      <c r="F68" s="389" t="s">
        <v>3354</v>
      </c>
      <c r="G68" s="389" t="s">
        <v>3355</v>
      </c>
    </row>
    <row r="69" spans="1:7">
      <c r="A69" s="389" t="s">
        <v>63</v>
      </c>
      <c r="B69" s="389" t="s">
        <v>3440</v>
      </c>
      <c r="C69" s="389" t="s">
        <v>3361</v>
      </c>
      <c r="D69" s="389" t="s">
        <v>3441</v>
      </c>
      <c r="E69" s="389" t="s">
        <v>2921</v>
      </c>
      <c r="F69" s="389" t="s">
        <v>3354</v>
      </c>
      <c r="G69" s="389" t="s">
        <v>3355</v>
      </c>
    </row>
    <row r="70" spans="1:7">
      <c r="A70" s="389" t="s">
        <v>106</v>
      </c>
      <c r="B70" s="389" t="s">
        <v>106</v>
      </c>
      <c r="C70" s="389" t="s">
        <v>3419</v>
      </c>
      <c r="D70" s="389" t="s">
        <v>3442</v>
      </c>
      <c r="E70" s="389" t="s">
        <v>2921</v>
      </c>
      <c r="F70" s="389" t="s">
        <v>3443</v>
      </c>
      <c r="G70" s="389" t="s">
        <v>3355</v>
      </c>
    </row>
    <row r="71" spans="1:7">
      <c r="A71" s="389" t="s">
        <v>106</v>
      </c>
      <c r="B71" s="389" t="s">
        <v>3444</v>
      </c>
      <c r="C71" s="389" t="s">
        <v>3361</v>
      </c>
      <c r="D71" s="389" t="s">
        <v>3421</v>
      </c>
      <c r="E71" s="389" t="s">
        <v>2921</v>
      </c>
      <c r="F71" s="389" t="s">
        <v>3445</v>
      </c>
      <c r="G71" s="389" t="s">
        <v>3355</v>
      </c>
    </row>
    <row r="72" spans="1:7">
      <c r="A72" s="389" t="s">
        <v>104</v>
      </c>
      <c r="B72" s="389" t="s">
        <v>104</v>
      </c>
      <c r="C72" s="389" t="s">
        <v>3419</v>
      </c>
      <c r="D72" s="389" t="s">
        <v>105</v>
      </c>
      <c r="E72" s="389" t="s">
        <v>2921</v>
      </c>
      <c r="F72" s="389" t="s">
        <v>3354</v>
      </c>
      <c r="G72" s="389" t="s">
        <v>3355</v>
      </c>
    </row>
    <row r="73" spans="1:7">
      <c r="A73" s="389" t="s">
        <v>95</v>
      </c>
      <c r="B73" s="389" t="s">
        <v>95</v>
      </c>
      <c r="C73" s="389" t="s">
        <v>3419</v>
      </c>
      <c r="D73" s="389" t="s">
        <v>3446</v>
      </c>
      <c r="E73" s="389" t="s">
        <v>2921</v>
      </c>
      <c r="F73" s="389" t="s">
        <v>3354</v>
      </c>
      <c r="G73" s="389" t="s">
        <v>3355</v>
      </c>
    </row>
    <row r="74" spans="1:7">
      <c r="A74" s="389" t="s">
        <v>95</v>
      </c>
      <c r="B74" s="389" t="s">
        <v>3447</v>
      </c>
      <c r="C74" s="389" t="s">
        <v>3361</v>
      </c>
      <c r="D74" s="389" t="s">
        <v>3448</v>
      </c>
      <c r="E74" s="389" t="s">
        <v>2921</v>
      </c>
      <c r="F74" s="389" t="s">
        <v>3354</v>
      </c>
      <c r="G74" s="389" t="s">
        <v>3355</v>
      </c>
    </row>
    <row r="75" spans="1:7">
      <c r="A75" s="389" t="s">
        <v>79</v>
      </c>
      <c r="B75" s="389" t="s">
        <v>79</v>
      </c>
      <c r="C75" s="389" t="s">
        <v>3419</v>
      </c>
      <c r="D75" s="389" t="s">
        <v>3449</v>
      </c>
      <c r="E75" s="389" t="s">
        <v>2921</v>
      </c>
      <c r="F75" s="389" t="s">
        <v>3354</v>
      </c>
      <c r="G75" s="389" t="s">
        <v>3355</v>
      </c>
    </row>
    <row r="76" spans="1:7">
      <c r="A76" s="389" t="s">
        <v>79</v>
      </c>
      <c r="B76" s="389" t="s">
        <v>3450</v>
      </c>
      <c r="C76" s="389" t="s">
        <v>3361</v>
      </c>
      <c r="D76" s="389" t="s">
        <v>3451</v>
      </c>
      <c r="E76" s="389" t="s">
        <v>2921</v>
      </c>
      <c r="F76" s="389" t="s">
        <v>3354</v>
      </c>
      <c r="G76" s="389" t="s">
        <v>3355</v>
      </c>
    </row>
    <row r="77" spans="1:7">
      <c r="A77" s="389" t="s">
        <v>112</v>
      </c>
      <c r="B77" s="389" t="s">
        <v>112</v>
      </c>
      <c r="C77" s="389" t="s">
        <v>3387</v>
      </c>
      <c r="D77" s="389" t="s">
        <v>3452</v>
      </c>
      <c r="E77" s="389" t="s">
        <v>2921</v>
      </c>
      <c r="F77" s="389" t="s">
        <v>3354</v>
      </c>
      <c r="G77" s="389" t="s">
        <v>3355</v>
      </c>
    </row>
    <row r="78" spans="1:7">
      <c r="A78" s="389" t="s">
        <v>112</v>
      </c>
      <c r="B78" s="389" t="s">
        <v>3453</v>
      </c>
      <c r="C78" s="389" t="s">
        <v>3361</v>
      </c>
      <c r="D78" s="389" t="s">
        <v>3454</v>
      </c>
      <c r="E78" s="389" t="s">
        <v>2921</v>
      </c>
      <c r="F78" s="389" t="s">
        <v>3354</v>
      </c>
      <c r="G78" s="389" t="s">
        <v>3355</v>
      </c>
    </row>
    <row r="79" spans="1:7">
      <c r="A79" s="389" t="s">
        <v>97</v>
      </c>
      <c r="B79" s="389" t="s">
        <v>97</v>
      </c>
      <c r="C79" s="389" t="s">
        <v>3419</v>
      </c>
      <c r="D79" s="389" t="s">
        <v>3455</v>
      </c>
      <c r="E79" s="389" t="s">
        <v>2921</v>
      </c>
      <c r="F79" s="389" t="s">
        <v>3389</v>
      </c>
      <c r="G79" s="389" t="s">
        <v>3355</v>
      </c>
    </row>
    <row r="80" spans="1:7">
      <c r="A80" s="389" t="s">
        <v>67</v>
      </c>
      <c r="B80" s="389" t="s">
        <v>67</v>
      </c>
      <c r="C80" s="389" t="s">
        <v>3419</v>
      </c>
      <c r="D80" s="389" t="s">
        <v>3456</v>
      </c>
      <c r="E80" s="389" t="s">
        <v>2921</v>
      </c>
      <c r="F80" s="389" t="s">
        <v>3354</v>
      </c>
      <c r="G80" s="389" t="s">
        <v>3355</v>
      </c>
    </row>
    <row r="81" spans="1:7">
      <c r="A81" s="389" t="s">
        <v>67</v>
      </c>
      <c r="B81" s="389" t="s">
        <v>3457</v>
      </c>
      <c r="C81" s="389" t="s">
        <v>3361</v>
      </c>
      <c r="D81" s="389" t="s">
        <v>3458</v>
      </c>
      <c r="E81" s="389" t="s">
        <v>2921</v>
      </c>
      <c r="F81" s="389" t="s">
        <v>3354</v>
      </c>
      <c r="G81" s="389" t="s">
        <v>3355</v>
      </c>
    </row>
    <row r="82" spans="1:7">
      <c r="A82" s="389" t="s">
        <v>93</v>
      </c>
      <c r="B82" s="389" t="s">
        <v>93</v>
      </c>
      <c r="C82" s="389" t="s">
        <v>3419</v>
      </c>
      <c r="D82" s="389" t="s">
        <v>3459</v>
      </c>
      <c r="E82" s="389" t="s">
        <v>2921</v>
      </c>
      <c r="F82" s="389" t="s">
        <v>3354</v>
      </c>
      <c r="G82" s="389" t="s">
        <v>3355</v>
      </c>
    </row>
    <row r="83" spans="1:7">
      <c r="A83" s="389" t="s">
        <v>93</v>
      </c>
      <c r="B83" s="389" t="s">
        <v>3460</v>
      </c>
      <c r="C83" s="389" t="s">
        <v>3361</v>
      </c>
      <c r="D83" s="389" t="s">
        <v>3397</v>
      </c>
      <c r="E83" s="389" t="s">
        <v>2921</v>
      </c>
      <c r="F83" s="389" t="s">
        <v>3354</v>
      </c>
      <c r="G83" s="389" t="s">
        <v>3355</v>
      </c>
    </row>
    <row r="84" spans="1:7">
      <c r="A84" s="389" t="s">
        <v>93</v>
      </c>
      <c r="B84" s="389" t="s">
        <v>3461</v>
      </c>
      <c r="C84" s="389" t="s">
        <v>3361</v>
      </c>
      <c r="D84" s="389" t="s">
        <v>3433</v>
      </c>
      <c r="E84" s="389" t="s">
        <v>2921</v>
      </c>
      <c r="F84" s="389" t="s">
        <v>3354</v>
      </c>
      <c r="G84" s="389" t="s">
        <v>3355</v>
      </c>
    </row>
    <row r="85" spans="1:7">
      <c r="A85" s="389" t="s">
        <v>100</v>
      </c>
      <c r="B85" s="389" t="s">
        <v>100</v>
      </c>
      <c r="C85" s="389" t="s">
        <v>3419</v>
      </c>
      <c r="D85" s="389" t="s">
        <v>3462</v>
      </c>
      <c r="E85" s="389" t="s">
        <v>2921</v>
      </c>
      <c r="F85" s="389" t="s">
        <v>3354</v>
      </c>
      <c r="G85" s="389" t="s">
        <v>3355</v>
      </c>
    </row>
    <row r="86" spans="1:7">
      <c r="A86" s="389" t="s">
        <v>114</v>
      </c>
      <c r="B86" s="389" t="s">
        <v>114</v>
      </c>
      <c r="C86" s="389" t="s">
        <v>3387</v>
      </c>
      <c r="D86" s="389" t="s">
        <v>3463</v>
      </c>
      <c r="E86" s="389" t="s">
        <v>2921</v>
      </c>
      <c r="F86" s="389" t="s">
        <v>3354</v>
      </c>
      <c r="G86" s="389" t="s">
        <v>3355</v>
      </c>
    </row>
    <row r="87" spans="1:7">
      <c r="A87" s="389" t="s">
        <v>114</v>
      </c>
      <c r="B87" s="389" t="s">
        <v>3464</v>
      </c>
      <c r="C87" s="389" t="s">
        <v>3361</v>
      </c>
      <c r="D87" s="389" t="s">
        <v>3465</v>
      </c>
      <c r="E87" s="389" t="s">
        <v>2921</v>
      </c>
      <c r="F87" s="389" t="s">
        <v>3354</v>
      </c>
      <c r="G87" s="389" t="s">
        <v>3355</v>
      </c>
    </row>
    <row r="88" spans="1:7">
      <c r="A88" s="389" t="s">
        <v>115</v>
      </c>
      <c r="B88" s="389" t="s">
        <v>115</v>
      </c>
      <c r="C88" s="389" t="s">
        <v>3419</v>
      </c>
      <c r="D88" s="389" t="s">
        <v>3466</v>
      </c>
      <c r="E88" s="389" t="s">
        <v>2921</v>
      </c>
      <c r="F88" s="389" t="s">
        <v>3354</v>
      </c>
      <c r="G88" s="389" t="s">
        <v>3355</v>
      </c>
    </row>
    <row r="89" spans="1:7">
      <c r="A89" s="389" t="s">
        <v>115</v>
      </c>
      <c r="B89" s="389" t="s">
        <v>3467</v>
      </c>
      <c r="C89" s="389" t="s">
        <v>3361</v>
      </c>
      <c r="D89" s="389" t="s">
        <v>3448</v>
      </c>
      <c r="E89" s="389" t="s">
        <v>2921</v>
      </c>
      <c r="F89" s="389" t="s">
        <v>3354</v>
      </c>
      <c r="G89" s="389" t="s">
        <v>3355</v>
      </c>
    </row>
    <row r="90" spans="1:7">
      <c r="A90" s="389" t="s">
        <v>115</v>
      </c>
      <c r="B90" s="389" t="s">
        <v>3468</v>
      </c>
      <c r="C90" s="389" t="s">
        <v>3361</v>
      </c>
      <c r="D90" s="389" t="s">
        <v>3433</v>
      </c>
      <c r="E90" s="389" t="s">
        <v>2921</v>
      </c>
      <c r="F90" s="389" t="s">
        <v>3354</v>
      </c>
      <c r="G90" s="389" t="s">
        <v>3355</v>
      </c>
    </row>
    <row r="91" spans="1:7">
      <c r="A91" s="389" t="s">
        <v>115</v>
      </c>
      <c r="B91" s="389" t="s">
        <v>3469</v>
      </c>
      <c r="C91" s="389" t="s">
        <v>3361</v>
      </c>
      <c r="D91" s="389" t="s">
        <v>3470</v>
      </c>
      <c r="E91" s="389" t="s">
        <v>2921</v>
      </c>
      <c r="F91" s="389" t="s">
        <v>3354</v>
      </c>
      <c r="G91" s="389" t="s">
        <v>3355</v>
      </c>
    </row>
    <row r="92" spans="1:7">
      <c r="A92" s="389" t="s">
        <v>115</v>
      </c>
      <c r="B92" s="389" t="s">
        <v>3471</v>
      </c>
      <c r="C92" s="389" t="s">
        <v>3361</v>
      </c>
      <c r="D92" s="389" t="s">
        <v>3472</v>
      </c>
      <c r="E92" s="389" t="s">
        <v>2921</v>
      </c>
      <c r="F92" s="389" t="s">
        <v>3354</v>
      </c>
      <c r="G92" s="389" t="s">
        <v>3355</v>
      </c>
    </row>
    <row r="93" spans="1:7">
      <c r="A93" s="389" t="s">
        <v>71</v>
      </c>
      <c r="B93" s="389" t="s">
        <v>71</v>
      </c>
      <c r="C93" s="389" t="s">
        <v>3387</v>
      </c>
      <c r="D93" s="389" t="s">
        <v>3473</v>
      </c>
      <c r="E93" s="389" t="s">
        <v>2921</v>
      </c>
      <c r="F93" s="389" t="s">
        <v>3354</v>
      </c>
      <c r="G93" s="389" t="s">
        <v>3355</v>
      </c>
    </row>
    <row r="94" spans="1:7">
      <c r="A94" s="389" t="s">
        <v>71</v>
      </c>
      <c r="B94" s="389" t="s">
        <v>3474</v>
      </c>
      <c r="C94" s="389" t="s">
        <v>3361</v>
      </c>
      <c r="D94" s="389" t="s">
        <v>3475</v>
      </c>
      <c r="E94" s="389" t="s">
        <v>2921</v>
      </c>
      <c r="F94" s="389" t="s">
        <v>3354</v>
      </c>
      <c r="G94" s="389" t="s">
        <v>3355</v>
      </c>
    </row>
    <row r="95" spans="1:7">
      <c r="A95" s="389" t="s">
        <v>117</v>
      </c>
      <c r="B95" s="389" t="s">
        <v>117</v>
      </c>
      <c r="C95" s="389" t="s">
        <v>3419</v>
      </c>
      <c r="D95" s="389" t="s">
        <v>118</v>
      </c>
      <c r="E95" s="389" t="s">
        <v>2921</v>
      </c>
      <c r="F95" s="389" t="s">
        <v>3354</v>
      </c>
      <c r="G95" s="389" t="s">
        <v>3355</v>
      </c>
    </row>
    <row r="96" spans="1:7">
      <c r="A96" s="389" t="s">
        <v>117</v>
      </c>
      <c r="B96" s="389" t="s">
        <v>3476</v>
      </c>
      <c r="C96" s="389" t="s">
        <v>3358</v>
      </c>
      <c r="D96" s="389" t="s">
        <v>3475</v>
      </c>
      <c r="E96" s="389" t="s">
        <v>2921</v>
      </c>
      <c r="F96" s="389" t="s">
        <v>3354</v>
      </c>
      <c r="G96" s="389" t="s">
        <v>3355</v>
      </c>
    </row>
    <row r="97" spans="1:7">
      <c r="A97" s="389" t="s">
        <v>89</v>
      </c>
      <c r="B97" s="389" t="s">
        <v>89</v>
      </c>
      <c r="C97" s="389" t="s">
        <v>3387</v>
      </c>
      <c r="D97" s="389" t="s">
        <v>3477</v>
      </c>
      <c r="E97" s="389" t="s">
        <v>2921</v>
      </c>
      <c r="F97" s="389" t="s">
        <v>3402</v>
      </c>
      <c r="G97" s="389" t="s">
        <v>3355</v>
      </c>
    </row>
    <row r="98" spans="1:7">
      <c r="A98" s="389" t="s">
        <v>89</v>
      </c>
      <c r="B98" s="389" t="s">
        <v>3478</v>
      </c>
      <c r="C98" s="389" t="s">
        <v>3361</v>
      </c>
      <c r="D98" s="389" t="s">
        <v>3475</v>
      </c>
      <c r="E98" s="389" t="s">
        <v>2921</v>
      </c>
      <c r="F98" s="389" t="s">
        <v>3402</v>
      </c>
      <c r="G98" s="389" t="s">
        <v>3355</v>
      </c>
    </row>
    <row r="99" spans="1:7">
      <c r="A99" s="389" t="s">
        <v>89</v>
      </c>
      <c r="B99" s="389" t="s">
        <v>3479</v>
      </c>
      <c r="C99" s="389" t="s">
        <v>3361</v>
      </c>
      <c r="D99" s="389" t="s">
        <v>3421</v>
      </c>
      <c r="E99" s="389" t="s">
        <v>2921</v>
      </c>
      <c r="F99" s="389" t="s">
        <v>3402</v>
      </c>
      <c r="G99" s="389" t="s">
        <v>3355</v>
      </c>
    </row>
    <row r="100" spans="1:7">
      <c r="A100" s="389" t="s">
        <v>89</v>
      </c>
      <c r="B100" s="389" t="s">
        <v>3480</v>
      </c>
      <c r="C100" s="389" t="s">
        <v>3361</v>
      </c>
      <c r="D100" s="389" t="s">
        <v>3433</v>
      </c>
      <c r="E100" s="389" t="s">
        <v>2921</v>
      </c>
      <c r="F100" s="389" t="s">
        <v>3402</v>
      </c>
      <c r="G100" s="389" t="s">
        <v>3355</v>
      </c>
    </row>
    <row r="101" spans="1:7">
      <c r="A101" s="389" t="s">
        <v>119</v>
      </c>
      <c r="B101" s="389" t="s">
        <v>119</v>
      </c>
      <c r="C101" s="389" t="s">
        <v>8540</v>
      </c>
      <c r="D101" s="389" t="s">
        <v>3481</v>
      </c>
      <c r="E101" s="389" t="s">
        <v>2921</v>
      </c>
      <c r="F101" s="389" t="s">
        <v>3354</v>
      </c>
      <c r="G101" s="389" t="s">
        <v>3355</v>
      </c>
    </row>
    <row r="102" spans="1:7">
      <c r="A102" s="389" t="s">
        <v>119</v>
      </c>
      <c r="B102" s="389" t="s">
        <v>3482</v>
      </c>
      <c r="C102" s="389" t="s">
        <v>3361</v>
      </c>
      <c r="D102" s="389" t="s">
        <v>3372</v>
      </c>
      <c r="E102" s="389" t="s">
        <v>2921</v>
      </c>
      <c r="F102" s="389" t="s">
        <v>3354</v>
      </c>
      <c r="G102" s="389" t="s">
        <v>3355</v>
      </c>
    </row>
    <row r="103" spans="1:7">
      <c r="A103" s="389" t="s">
        <v>121</v>
      </c>
      <c r="B103" s="389" t="s">
        <v>121</v>
      </c>
      <c r="C103" s="389" t="s">
        <v>3387</v>
      </c>
      <c r="D103" s="389" t="s">
        <v>122</v>
      </c>
      <c r="E103" s="389" t="s">
        <v>2921</v>
      </c>
      <c r="F103" s="389" t="s">
        <v>3354</v>
      </c>
      <c r="G103" s="389" t="s">
        <v>3355</v>
      </c>
    </row>
    <row r="104" spans="1:7">
      <c r="A104" s="389" t="s">
        <v>121</v>
      </c>
      <c r="B104" s="389" t="s">
        <v>3483</v>
      </c>
      <c r="C104" s="389" t="s">
        <v>3361</v>
      </c>
      <c r="D104" s="389" t="s">
        <v>3372</v>
      </c>
      <c r="E104" s="389" t="s">
        <v>2921</v>
      </c>
      <c r="F104" s="389" t="s">
        <v>3354</v>
      </c>
      <c r="G104" s="389" t="s">
        <v>3355</v>
      </c>
    </row>
    <row r="105" spans="1:7">
      <c r="A105" s="389" t="s">
        <v>125</v>
      </c>
      <c r="B105" s="389" t="s">
        <v>125</v>
      </c>
      <c r="C105" s="389" t="s">
        <v>3387</v>
      </c>
      <c r="D105" s="389" t="s">
        <v>3484</v>
      </c>
      <c r="E105" s="389" t="s">
        <v>2921</v>
      </c>
      <c r="F105" s="389" t="s">
        <v>3354</v>
      </c>
      <c r="G105" s="389" t="s">
        <v>3355</v>
      </c>
    </row>
    <row r="106" spans="1:7">
      <c r="A106" s="389" t="s">
        <v>127</v>
      </c>
      <c r="B106" s="389" t="s">
        <v>127</v>
      </c>
      <c r="C106" s="389" t="s">
        <v>3387</v>
      </c>
      <c r="D106" s="389" t="s">
        <v>3485</v>
      </c>
      <c r="E106" s="389" t="s">
        <v>2921</v>
      </c>
      <c r="F106" s="389" t="s">
        <v>3354</v>
      </c>
      <c r="G106" s="389" t="s">
        <v>3355</v>
      </c>
    </row>
    <row r="107" spans="1:7">
      <c r="A107" s="389" t="s">
        <v>127</v>
      </c>
      <c r="B107" s="389" t="s">
        <v>3486</v>
      </c>
      <c r="C107" s="389" t="s">
        <v>3361</v>
      </c>
      <c r="D107" s="389" t="s">
        <v>3397</v>
      </c>
      <c r="E107" s="389" t="s">
        <v>2921</v>
      </c>
      <c r="F107" s="389" t="s">
        <v>3354</v>
      </c>
      <c r="G107" s="389" t="s">
        <v>3355</v>
      </c>
    </row>
    <row r="108" spans="1:7">
      <c r="A108" s="389" t="s">
        <v>91</v>
      </c>
      <c r="B108" s="389" t="s">
        <v>91</v>
      </c>
      <c r="C108" s="389" t="s">
        <v>3419</v>
      </c>
      <c r="D108" s="389" t="s">
        <v>2952</v>
      </c>
      <c r="E108" s="389" t="s">
        <v>2921</v>
      </c>
      <c r="F108" s="389" t="s">
        <v>3354</v>
      </c>
      <c r="G108" s="389" t="s">
        <v>3355</v>
      </c>
    </row>
    <row r="109" spans="1:7">
      <c r="A109" s="389" t="s">
        <v>87</v>
      </c>
      <c r="B109" s="389" t="s">
        <v>87</v>
      </c>
      <c r="C109" s="389" t="s">
        <v>3419</v>
      </c>
      <c r="D109" s="389" t="s">
        <v>3487</v>
      </c>
      <c r="E109" s="389" t="s">
        <v>2921</v>
      </c>
      <c r="F109" s="389" t="s">
        <v>3402</v>
      </c>
      <c r="G109" s="389" t="s">
        <v>3355</v>
      </c>
    </row>
    <row r="110" spans="1:7">
      <c r="A110" s="389" t="s">
        <v>123</v>
      </c>
      <c r="B110" s="389" t="s">
        <v>123</v>
      </c>
      <c r="C110" s="389" t="s">
        <v>3419</v>
      </c>
      <c r="D110" s="389" t="s">
        <v>221</v>
      </c>
      <c r="E110" s="389" t="s">
        <v>2921</v>
      </c>
      <c r="F110" s="389" t="s">
        <v>3354</v>
      </c>
      <c r="G110" s="389" t="s">
        <v>3355</v>
      </c>
    </row>
    <row r="111" spans="1:7">
      <c r="A111" s="389" t="s">
        <v>123</v>
      </c>
      <c r="B111" s="389" t="s">
        <v>3488</v>
      </c>
      <c r="C111" s="389" t="s">
        <v>3361</v>
      </c>
      <c r="D111" s="389" t="s">
        <v>3397</v>
      </c>
      <c r="E111" s="389" t="s">
        <v>2921</v>
      </c>
      <c r="F111" s="389" t="s">
        <v>3354</v>
      </c>
      <c r="G111" s="389" t="s">
        <v>3355</v>
      </c>
    </row>
    <row r="112" spans="1:7">
      <c r="A112" s="389" t="s">
        <v>85</v>
      </c>
      <c r="B112" s="389" t="s">
        <v>85</v>
      </c>
      <c r="C112" s="389" t="s">
        <v>3419</v>
      </c>
      <c r="D112" s="389" t="s">
        <v>86</v>
      </c>
      <c r="E112" s="389" t="s">
        <v>2921</v>
      </c>
      <c r="F112" s="389" t="s">
        <v>3489</v>
      </c>
      <c r="G112" s="389" t="s">
        <v>3355</v>
      </c>
    </row>
    <row r="113" spans="1:7">
      <c r="A113" s="389" t="s">
        <v>129</v>
      </c>
      <c r="B113" s="389" t="s">
        <v>129</v>
      </c>
      <c r="C113" s="389" t="s">
        <v>8540</v>
      </c>
      <c r="D113" s="389" t="s">
        <v>3490</v>
      </c>
      <c r="E113" s="389" t="s">
        <v>2921</v>
      </c>
      <c r="F113" s="389" t="s">
        <v>3354</v>
      </c>
      <c r="G113" s="389" t="s">
        <v>3355</v>
      </c>
    </row>
    <row r="114" spans="1:7">
      <c r="A114" s="389" t="s">
        <v>129</v>
      </c>
      <c r="B114" s="389" t="s">
        <v>3491</v>
      </c>
      <c r="C114" s="389" t="s">
        <v>3361</v>
      </c>
      <c r="D114" s="389" t="s">
        <v>3397</v>
      </c>
      <c r="E114" s="389" t="s">
        <v>2921</v>
      </c>
      <c r="F114" s="389" t="s">
        <v>3354</v>
      </c>
      <c r="G114" s="389" t="s">
        <v>3355</v>
      </c>
    </row>
    <row r="115" spans="1:7">
      <c r="A115" s="389" t="s">
        <v>131</v>
      </c>
      <c r="B115" s="389" t="s">
        <v>131</v>
      </c>
      <c r="C115" s="389" t="s">
        <v>3419</v>
      </c>
      <c r="D115" s="389" t="s">
        <v>132</v>
      </c>
      <c r="E115" s="389" t="s">
        <v>2921</v>
      </c>
      <c r="F115" s="389" t="s">
        <v>3354</v>
      </c>
      <c r="G115" s="389" t="s">
        <v>3355</v>
      </c>
    </row>
    <row r="116" spans="1:7">
      <c r="A116" s="389" t="s">
        <v>131</v>
      </c>
      <c r="B116" s="389" t="s">
        <v>3492</v>
      </c>
      <c r="C116" s="389" t="s">
        <v>3361</v>
      </c>
      <c r="D116" s="389" t="s">
        <v>3397</v>
      </c>
      <c r="E116" s="389" t="s">
        <v>2921</v>
      </c>
      <c r="F116" s="389" t="s">
        <v>3354</v>
      </c>
      <c r="G116" s="389" t="s">
        <v>3355</v>
      </c>
    </row>
    <row r="117" spans="1:7">
      <c r="A117" s="389" t="s">
        <v>133</v>
      </c>
      <c r="B117" s="389" t="s">
        <v>133</v>
      </c>
      <c r="C117" s="389" t="s">
        <v>3387</v>
      </c>
      <c r="D117" s="389" t="s">
        <v>3493</v>
      </c>
      <c r="E117" s="389" t="s">
        <v>2921</v>
      </c>
      <c r="F117" s="389" t="s">
        <v>3354</v>
      </c>
      <c r="G117" s="389" t="s">
        <v>3355</v>
      </c>
    </row>
    <row r="118" spans="1:7">
      <c r="A118" s="389" t="s">
        <v>133</v>
      </c>
      <c r="B118" s="389" t="s">
        <v>3494</v>
      </c>
      <c r="C118" s="389" t="s">
        <v>3361</v>
      </c>
      <c r="D118" s="389" t="s">
        <v>3397</v>
      </c>
      <c r="E118" s="389" t="s">
        <v>2921</v>
      </c>
      <c r="F118" s="389" t="s">
        <v>3354</v>
      </c>
      <c r="G118" s="389" t="s">
        <v>3355</v>
      </c>
    </row>
    <row r="119" spans="1:7">
      <c r="A119" s="389" t="s">
        <v>135</v>
      </c>
      <c r="B119" s="389" t="s">
        <v>135</v>
      </c>
      <c r="C119" s="389" t="s">
        <v>3419</v>
      </c>
      <c r="D119" s="389" t="s">
        <v>136</v>
      </c>
      <c r="E119" s="389" t="s">
        <v>2921</v>
      </c>
      <c r="F119" s="389" t="s">
        <v>3354</v>
      </c>
      <c r="G119" s="389" t="s">
        <v>3355</v>
      </c>
    </row>
    <row r="120" spans="1:7">
      <c r="A120" s="389" t="s">
        <v>135</v>
      </c>
      <c r="B120" s="389" t="s">
        <v>3495</v>
      </c>
      <c r="C120" s="389" t="s">
        <v>3361</v>
      </c>
      <c r="D120" s="389" t="s">
        <v>3397</v>
      </c>
      <c r="E120" s="389" t="s">
        <v>2921</v>
      </c>
      <c r="F120" s="389" t="s">
        <v>3354</v>
      </c>
      <c r="G120" s="389" t="s">
        <v>3355</v>
      </c>
    </row>
    <row r="121" spans="1:7">
      <c r="A121" s="389" t="s">
        <v>137</v>
      </c>
      <c r="B121" s="389" t="s">
        <v>137</v>
      </c>
      <c r="C121" s="389" t="s">
        <v>3419</v>
      </c>
      <c r="D121" s="389" t="s">
        <v>3496</v>
      </c>
      <c r="E121" s="389" t="s">
        <v>2921</v>
      </c>
      <c r="F121" s="389" t="s">
        <v>3354</v>
      </c>
      <c r="G121" s="389" t="s">
        <v>3355</v>
      </c>
    </row>
    <row r="122" spans="1:7">
      <c r="A122" s="389" t="s">
        <v>83</v>
      </c>
      <c r="B122" s="389" t="s">
        <v>83</v>
      </c>
      <c r="C122" s="389" t="s">
        <v>3419</v>
      </c>
      <c r="D122" s="389" t="s">
        <v>3497</v>
      </c>
      <c r="E122" s="389" t="s">
        <v>2921</v>
      </c>
      <c r="F122" s="389" t="s">
        <v>3354</v>
      </c>
      <c r="G122" s="389" t="s">
        <v>3355</v>
      </c>
    </row>
    <row r="123" spans="1:7">
      <c r="A123" s="389" t="s">
        <v>83</v>
      </c>
      <c r="B123" s="389" t="s">
        <v>3498</v>
      </c>
      <c r="C123" s="389" t="s">
        <v>3361</v>
      </c>
      <c r="D123" s="389" t="s">
        <v>3499</v>
      </c>
      <c r="E123" s="389" t="s">
        <v>2921</v>
      </c>
      <c r="F123" s="389" t="s">
        <v>3354</v>
      </c>
      <c r="G123" s="389" t="s">
        <v>3355</v>
      </c>
    </row>
    <row r="124" spans="1:7">
      <c r="A124" s="389" t="s">
        <v>141</v>
      </c>
      <c r="B124" s="389" t="s">
        <v>141</v>
      </c>
      <c r="C124" s="389" t="s">
        <v>3419</v>
      </c>
      <c r="D124" s="389" t="s">
        <v>142</v>
      </c>
      <c r="E124" s="389" t="s">
        <v>2921</v>
      </c>
      <c r="F124" s="389" t="s">
        <v>3500</v>
      </c>
      <c r="G124" s="389" t="s">
        <v>3355</v>
      </c>
    </row>
    <row r="125" spans="1:7">
      <c r="A125" s="389" t="s">
        <v>139</v>
      </c>
      <c r="B125" s="389" t="s">
        <v>139</v>
      </c>
      <c r="C125" s="389" t="s">
        <v>3419</v>
      </c>
      <c r="D125" s="389" t="s">
        <v>140</v>
      </c>
      <c r="E125" s="389" t="s">
        <v>2921</v>
      </c>
      <c r="F125" s="389" t="s">
        <v>3354</v>
      </c>
      <c r="G125" s="389" t="s">
        <v>3355</v>
      </c>
    </row>
    <row r="126" spans="1:7">
      <c r="A126" s="389" t="s">
        <v>146</v>
      </c>
      <c r="B126" s="389" t="s">
        <v>146</v>
      </c>
      <c r="C126" s="389" t="s">
        <v>3419</v>
      </c>
      <c r="D126" s="389" t="s">
        <v>3501</v>
      </c>
      <c r="E126" s="389" t="s">
        <v>2921</v>
      </c>
      <c r="F126" s="389" t="s">
        <v>3354</v>
      </c>
      <c r="G126" s="389" t="s">
        <v>3355</v>
      </c>
    </row>
    <row r="127" spans="1:7">
      <c r="A127" s="389" t="s">
        <v>77</v>
      </c>
      <c r="B127" s="389" t="s">
        <v>77</v>
      </c>
      <c r="C127" s="389" t="s">
        <v>3502</v>
      </c>
      <c r="D127" s="389" t="s">
        <v>3503</v>
      </c>
      <c r="E127" s="389" t="s">
        <v>2921</v>
      </c>
      <c r="F127" s="389" t="s">
        <v>3354</v>
      </c>
      <c r="G127" s="389" t="s">
        <v>3355</v>
      </c>
    </row>
    <row r="128" spans="1:7">
      <c r="A128" s="389" t="s">
        <v>77</v>
      </c>
      <c r="B128" s="389" t="s">
        <v>588</v>
      </c>
      <c r="C128" s="389" t="s">
        <v>3353</v>
      </c>
      <c r="D128" s="389" t="s">
        <v>3397</v>
      </c>
      <c r="E128" s="389" t="s">
        <v>2921</v>
      </c>
      <c r="F128" s="389" t="s">
        <v>3354</v>
      </c>
      <c r="G128" s="389" t="s">
        <v>3355</v>
      </c>
    </row>
    <row r="129" spans="1:7">
      <c r="A129" s="389" t="s">
        <v>149</v>
      </c>
      <c r="B129" s="389" t="s">
        <v>149</v>
      </c>
      <c r="C129" s="389" t="s">
        <v>3387</v>
      </c>
      <c r="D129" s="389" t="s">
        <v>3504</v>
      </c>
      <c r="E129" s="389" t="s">
        <v>2921</v>
      </c>
      <c r="F129" s="389" t="s">
        <v>3354</v>
      </c>
      <c r="G129" s="389" t="s">
        <v>3355</v>
      </c>
    </row>
    <row r="130" spans="1:7">
      <c r="A130" s="389" t="s">
        <v>147</v>
      </c>
      <c r="B130" s="389" t="s">
        <v>147</v>
      </c>
      <c r="C130" s="389" t="s">
        <v>3419</v>
      </c>
      <c r="D130" s="389" t="s">
        <v>3505</v>
      </c>
      <c r="E130" s="389" t="s">
        <v>2921</v>
      </c>
      <c r="F130" s="389" t="s">
        <v>3389</v>
      </c>
      <c r="G130" s="389" t="s">
        <v>3355</v>
      </c>
    </row>
    <row r="131" spans="1:7">
      <c r="A131" s="389" t="s">
        <v>155</v>
      </c>
      <c r="B131" s="389" t="s">
        <v>155</v>
      </c>
      <c r="C131" s="389" t="s">
        <v>3419</v>
      </c>
      <c r="D131" s="389" t="s">
        <v>3506</v>
      </c>
      <c r="E131" s="389" t="s">
        <v>2921</v>
      </c>
      <c r="F131" s="389" t="s">
        <v>3354</v>
      </c>
      <c r="G131" s="389" t="s">
        <v>3355</v>
      </c>
    </row>
    <row r="132" spans="1:7">
      <c r="A132" s="389" t="s">
        <v>155</v>
      </c>
      <c r="B132" s="389" t="s">
        <v>3507</v>
      </c>
      <c r="C132" s="389" t="s">
        <v>3508</v>
      </c>
      <c r="D132" s="389" t="s">
        <v>3509</v>
      </c>
      <c r="E132" s="389" t="s">
        <v>2921</v>
      </c>
      <c r="F132" s="389" t="s">
        <v>3354</v>
      </c>
      <c r="G132" s="389" t="s">
        <v>3355</v>
      </c>
    </row>
    <row r="133" spans="1:7">
      <c r="A133" s="389" t="s">
        <v>157</v>
      </c>
      <c r="B133" s="389" t="s">
        <v>157</v>
      </c>
      <c r="C133" s="389" t="s">
        <v>3419</v>
      </c>
      <c r="D133" s="389" t="s">
        <v>3510</v>
      </c>
      <c r="E133" s="389" t="s">
        <v>2921</v>
      </c>
      <c r="F133" s="389" t="s">
        <v>3354</v>
      </c>
      <c r="G133" s="389" t="s">
        <v>3355</v>
      </c>
    </row>
    <row r="134" spans="1:7">
      <c r="A134" s="389" t="s">
        <v>163</v>
      </c>
      <c r="B134" s="389" t="s">
        <v>163</v>
      </c>
      <c r="C134" s="389" t="s">
        <v>3387</v>
      </c>
      <c r="D134" s="389" t="s">
        <v>3511</v>
      </c>
      <c r="E134" s="389" t="s">
        <v>2921</v>
      </c>
      <c r="F134" s="389" t="s">
        <v>3354</v>
      </c>
      <c r="G134" s="389" t="s">
        <v>3355</v>
      </c>
    </row>
    <row r="135" spans="1:7">
      <c r="A135" s="389" t="s">
        <v>163</v>
      </c>
      <c r="B135" s="389" t="s">
        <v>3512</v>
      </c>
      <c r="C135" s="389" t="s">
        <v>3361</v>
      </c>
      <c r="D135" s="389" t="s">
        <v>3509</v>
      </c>
      <c r="E135" s="389" t="s">
        <v>2921</v>
      </c>
      <c r="F135" s="389" t="s">
        <v>3354</v>
      </c>
      <c r="G135" s="389" t="s">
        <v>3355</v>
      </c>
    </row>
    <row r="136" spans="1:7">
      <c r="A136" s="389" t="s">
        <v>153</v>
      </c>
      <c r="B136" s="389" t="s">
        <v>153</v>
      </c>
      <c r="C136" s="389" t="s">
        <v>3513</v>
      </c>
      <c r="D136" s="389" t="s">
        <v>3514</v>
      </c>
      <c r="E136" s="389" t="s">
        <v>2921</v>
      </c>
      <c r="F136" s="389" t="s">
        <v>3445</v>
      </c>
      <c r="G136" s="389" t="s">
        <v>3355</v>
      </c>
    </row>
    <row r="137" spans="1:7">
      <c r="A137" s="389" t="s">
        <v>167</v>
      </c>
      <c r="B137" s="389" t="s">
        <v>167</v>
      </c>
      <c r="C137" s="389" t="s">
        <v>3419</v>
      </c>
      <c r="D137" s="389" t="s">
        <v>3515</v>
      </c>
      <c r="E137" s="389" t="s">
        <v>2921</v>
      </c>
      <c r="F137" s="389" t="s">
        <v>3354</v>
      </c>
      <c r="G137" s="389" t="s">
        <v>3355</v>
      </c>
    </row>
    <row r="138" spans="1:7">
      <c r="A138" s="389" t="s">
        <v>167</v>
      </c>
      <c r="B138" s="389" t="s">
        <v>3516</v>
      </c>
      <c r="C138" s="389" t="s">
        <v>3361</v>
      </c>
      <c r="D138" s="389" t="s">
        <v>3397</v>
      </c>
      <c r="E138" s="389" t="s">
        <v>2921</v>
      </c>
      <c r="F138" s="389" t="s">
        <v>3354</v>
      </c>
      <c r="G138" s="389" t="s">
        <v>3355</v>
      </c>
    </row>
    <row r="139" spans="1:7">
      <c r="A139" s="389" t="s">
        <v>151</v>
      </c>
      <c r="B139" s="389" t="s">
        <v>151</v>
      </c>
      <c r="C139" s="389" t="s">
        <v>8541</v>
      </c>
      <c r="D139" s="389" t="s">
        <v>3517</v>
      </c>
      <c r="E139" s="389" t="s">
        <v>2921</v>
      </c>
      <c r="F139" s="389" t="s">
        <v>3354</v>
      </c>
      <c r="G139" s="389" t="s">
        <v>3355</v>
      </c>
    </row>
    <row r="140" spans="1:7">
      <c r="A140" s="389" t="s">
        <v>165</v>
      </c>
      <c r="B140" s="389" t="s">
        <v>165</v>
      </c>
      <c r="C140" s="389" t="s">
        <v>3419</v>
      </c>
      <c r="D140" s="389" t="s">
        <v>3518</v>
      </c>
      <c r="E140" s="389" t="s">
        <v>2921</v>
      </c>
      <c r="F140" s="389" t="s">
        <v>3354</v>
      </c>
      <c r="G140" s="389" t="s">
        <v>3355</v>
      </c>
    </row>
    <row r="141" spans="1:7">
      <c r="A141" s="389" t="s">
        <v>165</v>
      </c>
      <c r="B141" s="389" t="s">
        <v>3519</v>
      </c>
      <c r="C141" s="389" t="s">
        <v>3361</v>
      </c>
      <c r="D141" s="389" t="s">
        <v>3520</v>
      </c>
      <c r="E141" s="389" t="s">
        <v>2921</v>
      </c>
      <c r="F141" s="389" t="s">
        <v>3354</v>
      </c>
      <c r="G141" s="389" t="s">
        <v>3355</v>
      </c>
    </row>
    <row r="142" spans="1:7">
      <c r="A142" s="389" t="s">
        <v>169</v>
      </c>
      <c r="B142" s="389" t="s">
        <v>169</v>
      </c>
      <c r="C142" s="389" t="s">
        <v>3419</v>
      </c>
      <c r="D142" s="389" t="s">
        <v>170</v>
      </c>
      <c r="E142" s="389" t="s">
        <v>2921</v>
      </c>
      <c r="F142" s="389" t="s">
        <v>3354</v>
      </c>
      <c r="G142" s="389" t="s">
        <v>3355</v>
      </c>
    </row>
    <row r="143" spans="1:7">
      <c r="A143" s="389" t="s">
        <v>173</v>
      </c>
      <c r="B143" s="389" t="s">
        <v>173</v>
      </c>
      <c r="C143" s="389" t="s">
        <v>3419</v>
      </c>
      <c r="D143" s="389" t="s">
        <v>174</v>
      </c>
      <c r="E143" s="389" t="s">
        <v>2921</v>
      </c>
      <c r="F143" s="389" t="s">
        <v>3354</v>
      </c>
      <c r="G143" s="389" t="s">
        <v>3355</v>
      </c>
    </row>
    <row r="144" spans="1:7">
      <c r="A144" s="389" t="s">
        <v>173</v>
      </c>
      <c r="B144" s="389" t="s">
        <v>3521</v>
      </c>
      <c r="C144" s="389" t="s">
        <v>3361</v>
      </c>
      <c r="D144" s="389" t="s">
        <v>3365</v>
      </c>
      <c r="E144" s="389" t="s">
        <v>2921</v>
      </c>
      <c r="F144" s="389" t="s">
        <v>3354</v>
      </c>
      <c r="G144" s="389" t="s">
        <v>3355</v>
      </c>
    </row>
    <row r="145" spans="1:7">
      <c r="A145" s="389" t="s">
        <v>171</v>
      </c>
      <c r="B145" s="389" t="s">
        <v>171</v>
      </c>
      <c r="C145" s="389" t="s">
        <v>3419</v>
      </c>
      <c r="D145" s="389" t="s">
        <v>172</v>
      </c>
      <c r="E145" s="389" t="s">
        <v>2921</v>
      </c>
      <c r="F145" s="389" t="s">
        <v>3354</v>
      </c>
      <c r="G145" s="389" t="s">
        <v>3355</v>
      </c>
    </row>
    <row r="146" spans="1:7">
      <c r="A146" s="389" t="s">
        <v>171</v>
      </c>
      <c r="B146" s="389" t="s">
        <v>3522</v>
      </c>
      <c r="C146" s="389" t="s">
        <v>3361</v>
      </c>
      <c r="D146" s="389" t="s">
        <v>3454</v>
      </c>
      <c r="E146" s="389" t="s">
        <v>2921</v>
      </c>
      <c r="F146" s="389" t="s">
        <v>3354</v>
      </c>
      <c r="G146" s="389" t="s">
        <v>3355</v>
      </c>
    </row>
    <row r="147" spans="1:7">
      <c r="A147" s="389" t="s">
        <v>175</v>
      </c>
      <c r="B147" s="389" t="s">
        <v>175</v>
      </c>
      <c r="C147" s="389" t="s">
        <v>3419</v>
      </c>
      <c r="D147" s="389" t="s">
        <v>3523</v>
      </c>
      <c r="E147" s="389" t="s">
        <v>2921</v>
      </c>
      <c r="F147" s="389" t="s">
        <v>3354</v>
      </c>
      <c r="G147" s="389" t="s">
        <v>3355</v>
      </c>
    </row>
    <row r="148" spans="1:7">
      <c r="A148" s="389" t="s">
        <v>175</v>
      </c>
      <c r="B148" s="389" t="s">
        <v>3524</v>
      </c>
      <c r="C148" s="389" t="s">
        <v>3361</v>
      </c>
      <c r="D148" s="389" t="s">
        <v>3525</v>
      </c>
      <c r="E148" s="389" t="s">
        <v>2921</v>
      </c>
      <c r="F148" s="389" t="s">
        <v>3354</v>
      </c>
      <c r="G148" s="389" t="s">
        <v>3355</v>
      </c>
    </row>
    <row r="149" spans="1:7">
      <c r="A149" s="389" t="s">
        <v>208</v>
      </c>
      <c r="B149" s="389" t="s">
        <v>208</v>
      </c>
      <c r="C149" s="389" t="s">
        <v>3419</v>
      </c>
      <c r="D149" s="389" t="s">
        <v>3526</v>
      </c>
      <c r="E149" s="389" t="s">
        <v>2921</v>
      </c>
      <c r="F149" s="389" t="s">
        <v>3354</v>
      </c>
      <c r="G149" s="389" t="s">
        <v>3355</v>
      </c>
    </row>
    <row r="150" spans="1:7">
      <c r="A150" s="389" t="s">
        <v>208</v>
      </c>
      <c r="B150" s="389" t="s">
        <v>3527</v>
      </c>
      <c r="C150" s="389" t="s">
        <v>3508</v>
      </c>
      <c r="D150" s="389" t="s">
        <v>3528</v>
      </c>
      <c r="E150" s="389" t="s">
        <v>2921</v>
      </c>
      <c r="F150" s="389" t="s">
        <v>3354</v>
      </c>
      <c r="G150" s="389" t="s">
        <v>3355</v>
      </c>
    </row>
    <row r="151" spans="1:7">
      <c r="A151" s="389" t="s">
        <v>205</v>
      </c>
      <c r="B151" s="389" t="s">
        <v>205</v>
      </c>
      <c r="C151" s="389" t="s">
        <v>8542</v>
      </c>
      <c r="D151" s="389" t="s">
        <v>3529</v>
      </c>
      <c r="E151" s="389" t="s">
        <v>2921</v>
      </c>
      <c r="F151" s="389" t="s">
        <v>3354</v>
      </c>
      <c r="G151" s="389" t="s">
        <v>3355</v>
      </c>
    </row>
    <row r="152" spans="1:7">
      <c r="A152" s="389" t="s">
        <v>205</v>
      </c>
      <c r="B152" s="389" t="s">
        <v>3530</v>
      </c>
      <c r="C152" s="389" t="s">
        <v>3361</v>
      </c>
      <c r="D152" s="389" t="s">
        <v>3531</v>
      </c>
      <c r="E152" s="389" t="s">
        <v>2921</v>
      </c>
      <c r="F152" s="389" t="s">
        <v>3354</v>
      </c>
      <c r="G152" s="389" t="s">
        <v>3355</v>
      </c>
    </row>
    <row r="153" spans="1:7">
      <c r="A153" s="389" t="s">
        <v>206</v>
      </c>
      <c r="B153" s="389" t="s">
        <v>206</v>
      </c>
      <c r="C153" s="389" t="s">
        <v>3419</v>
      </c>
      <c r="D153" s="389" t="s">
        <v>3532</v>
      </c>
      <c r="E153" s="389" t="s">
        <v>2921</v>
      </c>
      <c r="F153" s="389" t="s">
        <v>3354</v>
      </c>
      <c r="G153" s="389" t="s">
        <v>3355</v>
      </c>
    </row>
    <row r="154" spans="1:7">
      <c r="A154" s="389" t="s">
        <v>201</v>
      </c>
      <c r="B154" s="389" t="s">
        <v>201</v>
      </c>
      <c r="C154" s="389" t="s">
        <v>3419</v>
      </c>
      <c r="D154" s="389" t="s">
        <v>3533</v>
      </c>
      <c r="E154" s="389" t="s">
        <v>2921</v>
      </c>
      <c r="F154" s="389" t="s">
        <v>3354</v>
      </c>
      <c r="G154" s="389" t="s">
        <v>3355</v>
      </c>
    </row>
    <row r="155" spans="1:7">
      <c r="A155" s="389" t="s">
        <v>199</v>
      </c>
      <c r="B155" s="389" t="s">
        <v>199</v>
      </c>
      <c r="C155" s="389" t="s">
        <v>3419</v>
      </c>
      <c r="D155" s="389" t="s">
        <v>3534</v>
      </c>
      <c r="E155" s="389" t="s">
        <v>2921</v>
      </c>
      <c r="F155" s="389" t="s">
        <v>3354</v>
      </c>
      <c r="G155" s="389" t="s">
        <v>3355</v>
      </c>
    </row>
    <row r="156" spans="1:7">
      <c r="A156" s="389" t="s">
        <v>203</v>
      </c>
      <c r="B156" s="389" t="s">
        <v>203</v>
      </c>
      <c r="C156" s="389" t="s">
        <v>3419</v>
      </c>
      <c r="D156" s="389" t="s">
        <v>3535</v>
      </c>
      <c r="E156" s="389" t="s">
        <v>2921</v>
      </c>
      <c r="F156" s="389" t="s">
        <v>3354</v>
      </c>
      <c r="G156" s="389" t="s">
        <v>3355</v>
      </c>
    </row>
    <row r="157" spans="1:7">
      <c r="A157" s="389" t="s">
        <v>210</v>
      </c>
      <c r="B157" s="389" t="s">
        <v>210</v>
      </c>
      <c r="C157" s="389" t="s">
        <v>3419</v>
      </c>
      <c r="D157" s="389" t="s">
        <v>211</v>
      </c>
      <c r="E157" s="389" t="s">
        <v>2921</v>
      </c>
      <c r="F157" s="389" t="s">
        <v>3354</v>
      </c>
      <c r="G157" s="389" t="s">
        <v>3355</v>
      </c>
    </row>
    <row r="158" spans="1:7">
      <c r="A158" s="389" t="s">
        <v>215</v>
      </c>
      <c r="B158" s="389" t="s">
        <v>215</v>
      </c>
      <c r="C158" s="389" t="s">
        <v>3419</v>
      </c>
      <c r="D158" s="389" t="s">
        <v>3536</v>
      </c>
      <c r="E158" s="389" t="s">
        <v>2921</v>
      </c>
      <c r="F158" s="389" t="s">
        <v>3354</v>
      </c>
      <c r="G158" s="389" t="s">
        <v>3355</v>
      </c>
    </row>
    <row r="159" spans="1:7">
      <c r="A159" s="389" t="s">
        <v>212</v>
      </c>
      <c r="B159" s="389" t="s">
        <v>212</v>
      </c>
      <c r="C159" s="389" t="s">
        <v>3419</v>
      </c>
      <c r="D159" s="389" t="s">
        <v>3537</v>
      </c>
      <c r="E159" s="389" t="s">
        <v>2921</v>
      </c>
      <c r="F159" s="389" t="s">
        <v>3354</v>
      </c>
      <c r="G159" s="389" t="s">
        <v>3355</v>
      </c>
    </row>
    <row r="160" spans="1:7">
      <c r="A160" s="389" t="s">
        <v>212</v>
      </c>
      <c r="B160" s="389" t="s">
        <v>3538</v>
      </c>
      <c r="C160" s="389" t="s">
        <v>3361</v>
      </c>
      <c r="D160" s="389" t="s">
        <v>3539</v>
      </c>
      <c r="E160" s="389" t="s">
        <v>2921</v>
      </c>
      <c r="F160" s="389" t="s">
        <v>3354</v>
      </c>
      <c r="G160" s="389" t="s">
        <v>3355</v>
      </c>
    </row>
    <row r="161" spans="1:7">
      <c r="A161" s="389" t="s">
        <v>227</v>
      </c>
      <c r="B161" s="389" t="s">
        <v>227</v>
      </c>
      <c r="C161" s="389" t="s">
        <v>3419</v>
      </c>
      <c r="D161" s="389" t="s">
        <v>3540</v>
      </c>
      <c r="E161" s="389" t="s">
        <v>2921</v>
      </c>
      <c r="F161" s="389" t="s">
        <v>3354</v>
      </c>
      <c r="G161" s="389" t="s">
        <v>3355</v>
      </c>
    </row>
    <row r="162" spans="1:7">
      <c r="A162" s="389" t="s">
        <v>233</v>
      </c>
      <c r="B162" s="389" t="s">
        <v>233</v>
      </c>
      <c r="C162" s="389" t="s">
        <v>3419</v>
      </c>
      <c r="D162" s="389" t="s">
        <v>3541</v>
      </c>
      <c r="E162" s="389" t="s">
        <v>2921</v>
      </c>
      <c r="F162" s="389" t="s">
        <v>3354</v>
      </c>
      <c r="G162" s="389" t="s">
        <v>3355</v>
      </c>
    </row>
    <row r="163" spans="1:7">
      <c r="A163" s="389" t="s">
        <v>235</v>
      </c>
      <c r="B163" s="389" t="s">
        <v>235</v>
      </c>
      <c r="C163" s="389" t="s">
        <v>3419</v>
      </c>
      <c r="D163" s="389" t="s">
        <v>3542</v>
      </c>
      <c r="E163" s="389" t="s">
        <v>2921</v>
      </c>
      <c r="F163" s="389" t="s">
        <v>3354</v>
      </c>
      <c r="G163" s="389" t="s">
        <v>3355</v>
      </c>
    </row>
    <row r="164" spans="1:7">
      <c r="A164" s="389" t="s">
        <v>235</v>
      </c>
      <c r="B164" s="389" t="s">
        <v>3543</v>
      </c>
      <c r="C164" s="389" t="s">
        <v>3361</v>
      </c>
      <c r="D164" s="389" t="s">
        <v>3544</v>
      </c>
      <c r="E164" s="389" t="s">
        <v>2921</v>
      </c>
      <c r="F164" s="389" t="s">
        <v>3354</v>
      </c>
      <c r="G164" s="389" t="s">
        <v>3355</v>
      </c>
    </row>
    <row r="165" spans="1:7">
      <c r="A165" s="389" t="s">
        <v>236</v>
      </c>
      <c r="B165" s="389" t="s">
        <v>236</v>
      </c>
      <c r="C165" s="389" t="s">
        <v>3419</v>
      </c>
      <c r="D165" s="389" t="s">
        <v>3545</v>
      </c>
      <c r="E165" s="389" t="s">
        <v>2921</v>
      </c>
      <c r="F165" s="389" t="s">
        <v>3354</v>
      </c>
      <c r="G165" s="389" t="s">
        <v>3355</v>
      </c>
    </row>
    <row r="166" spans="1:7">
      <c r="A166" s="389" t="s">
        <v>237</v>
      </c>
      <c r="B166" s="389" t="s">
        <v>237</v>
      </c>
      <c r="C166" s="389" t="s">
        <v>3419</v>
      </c>
      <c r="D166" s="389" t="s">
        <v>2953</v>
      </c>
      <c r="E166" s="389" t="s">
        <v>2921</v>
      </c>
      <c r="F166" s="389" t="s">
        <v>3354</v>
      </c>
      <c r="G166" s="389" t="s">
        <v>3355</v>
      </c>
    </row>
    <row r="167" spans="1:7">
      <c r="A167" s="389" t="s">
        <v>237</v>
      </c>
      <c r="B167" s="389" t="s">
        <v>3546</v>
      </c>
      <c r="C167" s="389" t="s">
        <v>3547</v>
      </c>
      <c r="D167" s="389" t="s">
        <v>3548</v>
      </c>
      <c r="E167" s="389" t="s">
        <v>2921</v>
      </c>
      <c r="F167" s="389" t="s">
        <v>3354</v>
      </c>
      <c r="G167" s="389" t="s">
        <v>3355</v>
      </c>
    </row>
    <row r="168" spans="1:7">
      <c r="A168" s="389" t="s">
        <v>240</v>
      </c>
      <c r="B168" s="389" t="s">
        <v>240</v>
      </c>
      <c r="C168" s="389" t="s">
        <v>3419</v>
      </c>
      <c r="D168" s="389" t="s">
        <v>3549</v>
      </c>
      <c r="E168" s="389" t="s">
        <v>2921</v>
      </c>
      <c r="F168" s="389" t="s">
        <v>3354</v>
      </c>
      <c r="G168" s="389" t="s">
        <v>3355</v>
      </c>
    </row>
    <row r="169" spans="1:7">
      <c r="A169" s="389" t="s">
        <v>249</v>
      </c>
      <c r="B169" s="389" t="s">
        <v>249</v>
      </c>
      <c r="C169" s="389" t="s">
        <v>3419</v>
      </c>
      <c r="D169" s="389" t="s">
        <v>3550</v>
      </c>
      <c r="E169" s="389" t="s">
        <v>2921</v>
      </c>
      <c r="F169" s="389" t="s">
        <v>3354</v>
      </c>
      <c r="G169" s="389" t="s">
        <v>3355</v>
      </c>
    </row>
    <row r="170" spans="1:7">
      <c r="A170" s="389" t="s">
        <v>252</v>
      </c>
      <c r="B170" s="389" t="s">
        <v>252</v>
      </c>
      <c r="C170" s="389" t="s">
        <v>3419</v>
      </c>
      <c r="D170" s="389" t="s">
        <v>3551</v>
      </c>
      <c r="E170" s="389" t="s">
        <v>2921</v>
      </c>
      <c r="F170" s="389" t="s">
        <v>3354</v>
      </c>
      <c r="G170" s="389" t="s">
        <v>3355</v>
      </c>
    </row>
    <row r="171" spans="1:7">
      <c r="A171" s="389" t="s">
        <v>252</v>
      </c>
      <c r="B171" s="389" t="s">
        <v>3552</v>
      </c>
      <c r="C171" s="389" t="s">
        <v>3358</v>
      </c>
      <c r="D171" s="389" t="s">
        <v>3553</v>
      </c>
      <c r="E171" s="389" t="s">
        <v>2921</v>
      </c>
      <c r="F171" s="389" t="s">
        <v>3354</v>
      </c>
      <c r="G171" s="389" t="s">
        <v>3355</v>
      </c>
    </row>
    <row r="172" spans="1:7">
      <c r="A172" s="389" t="s">
        <v>252</v>
      </c>
      <c r="B172" s="389" t="s">
        <v>3554</v>
      </c>
      <c r="C172" s="389" t="s">
        <v>3361</v>
      </c>
      <c r="D172" s="389" t="s">
        <v>3555</v>
      </c>
      <c r="E172" s="389" t="s">
        <v>2921</v>
      </c>
      <c r="F172" s="389" t="s">
        <v>3354</v>
      </c>
      <c r="G172" s="389" t="s">
        <v>3355</v>
      </c>
    </row>
    <row r="173" spans="1:7">
      <c r="A173" s="389" t="s">
        <v>255</v>
      </c>
      <c r="B173" s="389" t="s">
        <v>255</v>
      </c>
      <c r="C173" s="389" t="s">
        <v>3419</v>
      </c>
      <c r="D173" s="389" t="s">
        <v>3556</v>
      </c>
      <c r="E173" s="389" t="s">
        <v>2921</v>
      </c>
      <c r="F173" s="389" t="s">
        <v>3354</v>
      </c>
      <c r="G173" s="389" t="s">
        <v>3355</v>
      </c>
    </row>
    <row r="174" spans="1:7">
      <c r="A174" s="389" t="s">
        <v>256</v>
      </c>
      <c r="B174" s="389" t="s">
        <v>256</v>
      </c>
      <c r="C174" s="389" t="s">
        <v>3419</v>
      </c>
      <c r="D174" s="389" t="s">
        <v>3557</v>
      </c>
      <c r="E174" s="389" t="s">
        <v>2921</v>
      </c>
      <c r="F174" s="389" t="s">
        <v>3354</v>
      </c>
      <c r="G174" s="389" t="s">
        <v>3355</v>
      </c>
    </row>
    <row r="175" spans="1:7">
      <c r="A175" s="389" t="s">
        <v>258</v>
      </c>
      <c r="B175" s="389" t="s">
        <v>258</v>
      </c>
      <c r="C175" s="389" t="s">
        <v>3419</v>
      </c>
      <c r="D175" s="389" t="s">
        <v>3558</v>
      </c>
      <c r="E175" s="389" t="s">
        <v>2921</v>
      </c>
      <c r="F175" s="389" t="s">
        <v>3354</v>
      </c>
      <c r="G175" s="389" t="s">
        <v>3355</v>
      </c>
    </row>
    <row r="176" spans="1:7">
      <c r="A176" s="389" t="s">
        <v>258</v>
      </c>
      <c r="B176" s="389" t="s">
        <v>3559</v>
      </c>
      <c r="C176" s="389" t="s">
        <v>3361</v>
      </c>
      <c r="D176" s="389" t="s">
        <v>3560</v>
      </c>
      <c r="E176" s="389" t="s">
        <v>2921</v>
      </c>
      <c r="F176" s="389" t="s">
        <v>3354</v>
      </c>
      <c r="G176" s="389" t="s">
        <v>3355</v>
      </c>
    </row>
    <row r="177" spans="1:7">
      <c r="A177" s="389" t="s">
        <v>261</v>
      </c>
      <c r="B177" s="389" t="s">
        <v>261</v>
      </c>
      <c r="C177" s="389" t="s">
        <v>3419</v>
      </c>
      <c r="D177" s="389" t="s">
        <v>3561</v>
      </c>
      <c r="E177" s="389" t="s">
        <v>2921</v>
      </c>
      <c r="F177" s="389" t="s">
        <v>3354</v>
      </c>
      <c r="G177" s="389" t="s">
        <v>3355</v>
      </c>
    </row>
    <row r="178" spans="1:7">
      <c r="A178" s="389" t="s">
        <v>261</v>
      </c>
      <c r="B178" s="389" t="s">
        <v>3562</v>
      </c>
      <c r="C178" s="389" t="s">
        <v>3361</v>
      </c>
      <c r="D178" s="389" t="s">
        <v>3563</v>
      </c>
      <c r="E178" s="389" t="s">
        <v>2921</v>
      </c>
      <c r="F178" s="389" t="s">
        <v>3354</v>
      </c>
      <c r="G178" s="389" t="s">
        <v>3355</v>
      </c>
    </row>
    <row r="179" spans="1:7">
      <c r="A179" s="389" t="s">
        <v>263</v>
      </c>
      <c r="B179" s="389" t="s">
        <v>263</v>
      </c>
      <c r="C179" s="389" t="s">
        <v>19135</v>
      </c>
      <c r="D179" s="389" t="s">
        <v>3564</v>
      </c>
      <c r="E179" s="389" t="s">
        <v>2921</v>
      </c>
      <c r="F179" s="389" t="s">
        <v>3354</v>
      </c>
      <c r="G179" s="389" t="s">
        <v>3355</v>
      </c>
    </row>
    <row r="180" spans="1:7">
      <c r="A180" s="389" t="s">
        <v>269</v>
      </c>
      <c r="B180" s="389" t="s">
        <v>269</v>
      </c>
      <c r="C180" s="389" t="s">
        <v>3419</v>
      </c>
      <c r="D180" s="389" t="s">
        <v>3565</v>
      </c>
      <c r="E180" s="389" t="s">
        <v>2921</v>
      </c>
      <c r="F180" s="389" t="s">
        <v>3354</v>
      </c>
      <c r="G180" s="389" t="s">
        <v>3355</v>
      </c>
    </row>
    <row r="181" spans="1:7">
      <c r="A181" s="389" t="s">
        <v>274</v>
      </c>
      <c r="B181" s="389" t="s">
        <v>274</v>
      </c>
      <c r="C181" s="389" t="s">
        <v>3419</v>
      </c>
      <c r="D181" s="389" t="s">
        <v>3566</v>
      </c>
      <c r="E181" s="389" t="s">
        <v>2921</v>
      </c>
      <c r="F181" s="389" t="s">
        <v>3354</v>
      </c>
      <c r="G181" s="389" t="s">
        <v>3355</v>
      </c>
    </row>
    <row r="182" spans="1:7">
      <c r="A182" s="389" t="s">
        <v>262</v>
      </c>
      <c r="B182" s="389" t="s">
        <v>262</v>
      </c>
      <c r="C182" s="389" t="s">
        <v>3419</v>
      </c>
      <c r="D182" s="389" t="s">
        <v>3567</v>
      </c>
      <c r="E182" s="389" t="s">
        <v>2921</v>
      </c>
      <c r="F182" s="389" t="s">
        <v>3354</v>
      </c>
      <c r="G182" s="389" t="s">
        <v>3355</v>
      </c>
    </row>
    <row r="183" spans="1:7">
      <c r="A183" s="389" t="s">
        <v>262</v>
      </c>
      <c r="B183" s="389" t="s">
        <v>3568</v>
      </c>
      <c r="C183" s="389" t="s">
        <v>3361</v>
      </c>
      <c r="D183" s="389" t="s">
        <v>3569</v>
      </c>
      <c r="E183" s="389" t="s">
        <v>2921</v>
      </c>
      <c r="F183" s="389" t="s">
        <v>3354</v>
      </c>
      <c r="G183" s="389" t="s">
        <v>3355</v>
      </c>
    </row>
    <row r="184" spans="1:7">
      <c r="A184" s="389" t="s">
        <v>291</v>
      </c>
      <c r="B184" s="389" t="s">
        <v>291</v>
      </c>
      <c r="C184" s="389" t="s">
        <v>3419</v>
      </c>
      <c r="D184" s="389" t="s">
        <v>3570</v>
      </c>
      <c r="E184" s="389" t="s">
        <v>2921</v>
      </c>
      <c r="F184" s="389" t="s">
        <v>3354</v>
      </c>
      <c r="G184" s="389" t="s">
        <v>3355</v>
      </c>
    </row>
    <row r="185" spans="1:7">
      <c r="A185" s="389" t="s">
        <v>291</v>
      </c>
      <c r="B185" s="389" t="s">
        <v>3571</v>
      </c>
      <c r="C185" s="389" t="s">
        <v>3361</v>
      </c>
      <c r="D185" s="389" t="s">
        <v>3572</v>
      </c>
      <c r="E185" s="389" t="s">
        <v>2921</v>
      </c>
      <c r="F185" s="389" t="s">
        <v>3354</v>
      </c>
      <c r="G185" s="389" t="s">
        <v>3355</v>
      </c>
    </row>
    <row r="186" spans="1:7">
      <c r="A186" s="389" t="s">
        <v>292</v>
      </c>
      <c r="B186" s="389" t="s">
        <v>292</v>
      </c>
      <c r="C186" s="389" t="s">
        <v>7465</v>
      </c>
      <c r="D186" s="389" t="s">
        <v>3573</v>
      </c>
      <c r="E186" s="389" t="s">
        <v>2921</v>
      </c>
      <c r="F186" s="389" t="s">
        <v>3354</v>
      </c>
      <c r="G186" s="389" t="s">
        <v>3355</v>
      </c>
    </row>
    <row r="187" spans="1:7">
      <c r="A187" s="389" t="s">
        <v>292</v>
      </c>
      <c r="B187" s="389" t="s">
        <v>3574</v>
      </c>
      <c r="C187" s="389" t="s">
        <v>3353</v>
      </c>
      <c r="D187" s="389" t="s">
        <v>3575</v>
      </c>
      <c r="E187" s="389" t="s">
        <v>2921</v>
      </c>
      <c r="F187" s="389" t="s">
        <v>3354</v>
      </c>
      <c r="G187" s="389" t="s">
        <v>3355</v>
      </c>
    </row>
    <row r="188" spans="1:7">
      <c r="A188" s="389" t="s">
        <v>293</v>
      </c>
      <c r="B188" s="389" t="s">
        <v>293</v>
      </c>
      <c r="C188" s="389" t="s">
        <v>3502</v>
      </c>
      <c r="D188" s="389" t="s">
        <v>3576</v>
      </c>
      <c r="E188" s="389" t="s">
        <v>2921</v>
      </c>
      <c r="F188" s="389" t="s">
        <v>3354</v>
      </c>
      <c r="G188" s="389" t="s">
        <v>3355</v>
      </c>
    </row>
    <row r="189" spans="1:7">
      <c r="A189" s="389" t="s">
        <v>293</v>
      </c>
      <c r="B189" s="389" t="s">
        <v>3577</v>
      </c>
      <c r="C189" s="389" t="s">
        <v>6842</v>
      </c>
      <c r="D189" s="389" t="s">
        <v>3576</v>
      </c>
      <c r="E189" s="389" t="s">
        <v>2921</v>
      </c>
      <c r="F189" s="389" t="s">
        <v>3354</v>
      </c>
      <c r="G189" s="389" t="s">
        <v>3355</v>
      </c>
    </row>
    <row r="190" spans="1:7">
      <c r="A190" s="389" t="s">
        <v>309</v>
      </c>
      <c r="B190" s="389" t="s">
        <v>309</v>
      </c>
      <c r="C190" s="389" t="s">
        <v>8543</v>
      </c>
      <c r="D190" s="389" t="s">
        <v>2954</v>
      </c>
      <c r="E190" s="389" t="s">
        <v>2921</v>
      </c>
      <c r="F190" s="389" t="s">
        <v>3354</v>
      </c>
      <c r="G190" s="389" t="s">
        <v>3355</v>
      </c>
    </row>
    <row r="191" spans="1:7">
      <c r="A191" s="389" t="s">
        <v>309</v>
      </c>
      <c r="B191" s="389" t="s">
        <v>3578</v>
      </c>
      <c r="C191" s="389" t="s">
        <v>3361</v>
      </c>
      <c r="D191" s="389" t="s">
        <v>3579</v>
      </c>
      <c r="E191" s="389" t="s">
        <v>2921</v>
      </c>
      <c r="F191" s="389" t="s">
        <v>3354</v>
      </c>
      <c r="G191" s="389" t="s">
        <v>3355</v>
      </c>
    </row>
    <row r="192" spans="1:7">
      <c r="A192" s="389" t="s">
        <v>311</v>
      </c>
      <c r="B192" s="389" t="s">
        <v>311</v>
      </c>
      <c r="C192" s="389" t="s">
        <v>3419</v>
      </c>
      <c r="D192" s="389" t="s">
        <v>3580</v>
      </c>
      <c r="E192" s="389" t="s">
        <v>2921</v>
      </c>
      <c r="F192" s="389" t="s">
        <v>3354</v>
      </c>
      <c r="G192" s="389" t="s">
        <v>3355</v>
      </c>
    </row>
    <row r="193" spans="1:7">
      <c r="A193" s="389" t="s">
        <v>315</v>
      </c>
      <c r="B193" s="389" t="s">
        <v>315</v>
      </c>
      <c r="C193" s="389" t="s">
        <v>3419</v>
      </c>
      <c r="D193" s="389" t="s">
        <v>314</v>
      </c>
      <c r="E193" s="389" t="s">
        <v>2921</v>
      </c>
      <c r="F193" s="389" t="s">
        <v>3354</v>
      </c>
      <c r="G193" s="389" t="s">
        <v>3355</v>
      </c>
    </row>
    <row r="194" spans="1:7">
      <c r="A194" s="389" t="s">
        <v>319</v>
      </c>
      <c r="B194" s="389" t="s">
        <v>319</v>
      </c>
      <c r="C194" s="389" t="s">
        <v>3419</v>
      </c>
      <c r="D194" s="389" t="s">
        <v>3581</v>
      </c>
      <c r="E194" s="389" t="s">
        <v>2921</v>
      </c>
      <c r="F194" s="389" t="s">
        <v>3354</v>
      </c>
      <c r="G194" s="389" t="s">
        <v>3355</v>
      </c>
    </row>
    <row r="195" spans="1:7">
      <c r="A195" s="389" t="s">
        <v>317</v>
      </c>
      <c r="B195" s="389" t="s">
        <v>317</v>
      </c>
      <c r="C195" s="389" t="s">
        <v>3419</v>
      </c>
      <c r="D195" s="389" t="s">
        <v>313</v>
      </c>
      <c r="E195" s="389" t="s">
        <v>2921</v>
      </c>
      <c r="F195" s="389" t="s">
        <v>3354</v>
      </c>
      <c r="G195" s="389" t="s">
        <v>3355</v>
      </c>
    </row>
    <row r="196" spans="1:7">
      <c r="A196" s="389" t="s">
        <v>333</v>
      </c>
      <c r="B196" s="389" t="s">
        <v>333</v>
      </c>
      <c r="C196" s="389" t="s">
        <v>3419</v>
      </c>
      <c r="D196" s="389" t="s">
        <v>608</v>
      </c>
      <c r="E196" s="389" t="s">
        <v>2921</v>
      </c>
      <c r="F196" s="389" t="s">
        <v>3354</v>
      </c>
      <c r="G196" s="389" t="s">
        <v>3355</v>
      </c>
    </row>
    <row r="197" spans="1:7">
      <c r="A197" s="389" t="s">
        <v>333</v>
      </c>
      <c r="B197" s="389" t="s">
        <v>607</v>
      </c>
      <c r="C197" s="389" t="s">
        <v>3361</v>
      </c>
      <c r="D197" s="389" t="s">
        <v>3582</v>
      </c>
      <c r="E197" s="389" t="s">
        <v>2921</v>
      </c>
      <c r="F197" s="389" t="s">
        <v>3354</v>
      </c>
      <c r="G197" s="389" t="s">
        <v>3355</v>
      </c>
    </row>
    <row r="198" spans="1:7">
      <c r="A198" s="389" t="s">
        <v>340</v>
      </c>
      <c r="B198" s="389" t="s">
        <v>340</v>
      </c>
      <c r="C198" s="389" t="s">
        <v>3419</v>
      </c>
      <c r="D198" s="389" t="s">
        <v>3583</v>
      </c>
      <c r="E198" s="389" t="s">
        <v>2921</v>
      </c>
      <c r="F198" s="389" t="s">
        <v>3354</v>
      </c>
      <c r="G198" s="389" t="s">
        <v>3355</v>
      </c>
    </row>
    <row r="199" spans="1:7">
      <c r="A199" s="389" t="s">
        <v>341</v>
      </c>
      <c r="B199" s="389" t="s">
        <v>341</v>
      </c>
      <c r="C199" s="389" t="s">
        <v>3419</v>
      </c>
      <c r="D199" s="389" t="s">
        <v>3584</v>
      </c>
      <c r="E199" s="389" t="s">
        <v>2921</v>
      </c>
      <c r="F199" s="389" t="s">
        <v>3354</v>
      </c>
      <c r="G199" s="389" t="s">
        <v>3355</v>
      </c>
    </row>
    <row r="200" spans="1:7">
      <c r="A200" s="389" t="s">
        <v>341</v>
      </c>
      <c r="B200" s="389" t="s">
        <v>3585</v>
      </c>
      <c r="C200" s="389" t="s">
        <v>3361</v>
      </c>
      <c r="D200" s="389" t="s">
        <v>3586</v>
      </c>
      <c r="E200" s="389" t="s">
        <v>2921</v>
      </c>
      <c r="F200" s="389" t="s">
        <v>3354</v>
      </c>
      <c r="G200" s="389" t="s">
        <v>3355</v>
      </c>
    </row>
    <row r="201" spans="1:7">
      <c r="A201" s="389" t="s">
        <v>453</v>
      </c>
      <c r="B201" s="389" t="s">
        <v>453</v>
      </c>
      <c r="C201" s="389" t="s">
        <v>3419</v>
      </c>
      <c r="D201" s="389" t="s">
        <v>3587</v>
      </c>
      <c r="E201" s="389" t="s">
        <v>2921</v>
      </c>
      <c r="F201" s="389" t="s">
        <v>3354</v>
      </c>
      <c r="G201" s="389" t="s">
        <v>3355</v>
      </c>
    </row>
    <row r="202" spans="1:7">
      <c r="A202" s="389" t="s">
        <v>531</v>
      </c>
      <c r="B202" s="389" t="s">
        <v>531</v>
      </c>
      <c r="C202" s="389" t="s">
        <v>3419</v>
      </c>
      <c r="D202" s="389" t="s">
        <v>3588</v>
      </c>
      <c r="E202" s="389" t="s">
        <v>2921</v>
      </c>
      <c r="F202" s="389" t="s">
        <v>3354</v>
      </c>
      <c r="G202" s="389" t="s">
        <v>3355</v>
      </c>
    </row>
    <row r="203" spans="1:7">
      <c r="A203" s="389" t="s">
        <v>533</v>
      </c>
      <c r="B203" s="389" t="s">
        <v>533</v>
      </c>
      <c r="C203" s="389" t="s">
        <v>3419</v>
      </c>
      <c r="D203" s="389" t="s">
        <v>3589</v>
      </c>
      <c r="E203" s="389" t="s">
        <v>2921</v>
      </c>
      <c r="F203" s="389" t="s">
        <v>3354</v>
      </c>
      <c r="G203" s="389" t="s">
        <v>3355</v>
      </c>
    </row>
    <row r="204" spans="1:7">
      <c r="A204" s="389" t="s">
        <v>536</v>
      </c>
      <c r="B204" s="389" t="s">
        <v>536</v>
      </c>
      <c r="C204" s="389" t="s">
        <v>3419</v>
      </c>
      <c r="D204" s="389" t="s">
        <v>3590</v>
      </c>
      <c r="E204" s="389" t="s">
        <v>2921</v>
      </c>
      <c r="F204" s="389" t="s">
        <v>3354</v>
      </c>
      <c r="G204" s="389" t="s">
        <v>3355</v>
      </c>
    </row>
    <row r="205" spans="1:7">
      <c r="A205" s="389" t="s">
        <v>543</v>
      </c>
      <c r="B205" s="389" t="s">
        <v>543</v>
      </c>
      <c r="C205" s="389" t="s">
        <v>3419</v>
      </c>
      <c r="D205" s="389" t="s">
        <v>3591</v>
      </c>
      <c r="E205" s="389" t="s">
        <v>2921</v>
      </c>
      <c r="F205" s="389" t="s">
        <v>3354</v>
      </c>
      <c r="G205" s="389" t="s">
        <v>3355</v>
      </c>
    </row>
    <row r="206" spans="1:7">
      <c r="A206" s="389" t="s">
        <v>543</v>
      </c>
      <c r="B206" s="389" t="s">
        <v>594</v>
      </c>
      <c r="C206" s="389" t="s">
        <v>3361</v>
      </c>
      <c r="D206" s="389" t="s">
        <v>3591</v>
      </c>
      <c r="E206" s="389" t="s">
        <v>2921</v>
      </c>
      <c r="F206" s="389" t="s">
        <v>3354</v>
      </c>
      <c r="G206" s="389" t="s">
        <v>3355</v>
      </c>
    </row>
    <row r="207" spans="1:7">
      <c r="A207" s="389" t="s">
        <v>542</v>
      </c>
      <c r="B207" s="389" t="s">
        <v>542</v>
      </c>
      <c r="C207" s="389" t="s">
        <v>3419</v>
      </c>
      <c r="D207" s="389" t="s">
        <v>3592</v>
      </c>
      <c r="E207" s="389" t="s">
        <v>2921</v>
      </c>
      <c r="F207" s="389" t="s">
        <v>3354</v>
      </c>
      <c r="G207" s="389" t="s">
        <v>3355</v>
      </c>
    </row>
    <row r="208" spans="1:7">
      <c r="A208" s="389" t="s">
        <v>541</v>
      </c>
      <c r="B208" s="389" t="s">
        <v>541</v>
      </c>
      <c r="C208" s="389" t="s">
        <v>3419</v>
      </c>
      <c r="D208" s="389" t="s">
        <v>3593</v>
      </c>
      <c r="E208" s="389" t="s">
        <v>2921</v>
      </c>
      <c r="F208" s="389" t="s">
        <v>3354</v>
      </c>
      <c r="G208" s="389" t="s">
        <v>3355</v>
      </c>
    </row>
    <row r="209" spans="1:7">
      <c r="A209" s="389" t="s">
        <v>556</v>
      </c>
      <c r="B209" s="389" t="s">
        <v>556</v>
      </c>
      <c r="C209" s="389" t="s">
        <v>3419</v>
      </c>
      <c r="D209" s="389" t="s">
        <v>3594</v>
      </c>
      <c r="E209" s="389" t="s">
        <v>2921</v>
      </c>
      <c r="F209" s="389" t="s">
        <v>3354</v>
      </c>
      <c r="G209" s="389" t="s">
        <v>3355</v>
      </c>
    </row>
    <row r="210" spans="1:7">
      <c r="A210" s="389" t="s">
        <v>555</v>
      </c>
      <c r="B210" s="389" t="s">
        <v>555</v>
      </c>
      <c r="C210" s="389" t="s">
        <v>3419</v>
      </c>
      <c r="D210" s="389" t="s">
        <v>3595</v>
      </c>
      <c r="E210" s="389" t="s">
        <v>2921</v>
      </c>
      <c r="F210" s="389" t="s">
        <v>3354</v>
      </c>
      <c r="G210" s="389" t="s">
        <v>3355</v>
      </c>
    </row>
    <row r="211" spans="1:7">
      <c r="A211" s="389" t="s">
        <v>554</v>
      </c>
      <c r="B211" s="389" t="s">
        <v>554</v>
      </c>
      <c r="C211" s="389" t="s">
        <v>3419</v>
      </c>
      <c r="D211" s="389" t="s">
        <v>3596</v>
      </c>
      <c r="E211" s="389" t="s">
        <v>2921</v>
      </c>
      <c r="F211" s="389" t="s">
        <v>3354</v>
      </c>
      <c r="G211" s="389" t="s">
        <v>3355</v>
      </c>
    </row>
    <row r="212" spans="1:7">
      <c r="A212" s="389" t="s">
        <v>553</v>
      </c>
      <c r="B212" s="389" t="s">
        <v>553</v>
      </c>
      <c r="C212" s="389" t="s">
        <v>3419</v>
      </c>
      <c r="D212" s="389" t="s">
        <v>3597</v>
      </c>
      <c r="E212" s="389" t="s">
        <v>2921</v>
      </c>
      <c r="F212" s="389" t="s">
        <v>3354</v>
      </c>
      <c r="G212" s="389" t="s">
        <v>3355</v>
      </c>
    </row>
    <row r="213" spans="1:7">
      <c r="A213" s="389" t="s">
        <v>551</v>
      </c>
      <c r="B213" s="389" t="s">
        <v>551</v>
      </c>
      <c r="C213" s="389" t="s">
        <v>19135</v>
      </c>
      <c r="D213" s="389" t="s">
        <v>3598</v>
      </c>
      <c r="E213" s="389" t="s">
        <v>2921</v>
      </c>
      <c r="F213" s="389" t="s">
        <v>3354</v>
      </c>
      <c r="G213" s="389" t="s">
        <v>3355</v>
      </c>
    </row>
    <row r="214" spans="1:7">
      <c r="A214" s="389" t="s">
        <v>551</v>
      </c>
      <c r="B214" s="389" t="s">
        <v>595</v>
      </c>
      <c r="C214" s="389" t="s">
        <v>19136</v>
      </c>
      <c r="D214" s="389" t="s">
        <v>3599</v>
      </c>
      <c r="E214" s="389" t="s">
        <v>2921</v>
      </c>
      <c r="F214" s="389" t="s">
        <v>3354</v>
      </c>
      <c r="G214" s="389" t="s">
        <v>3355</v>
      </c>
    </row>
    <row r="215" spans="1:7">
      <c r="A215" s="389" t="s">
        <v>549</v>
      </c>
      <c r="B215" s="389" t="s">
        <v>549</v>
      </c>
      <c r="C215" s="389" t="s">
        <v>3419</v>
      </c>
      <c r="D215" s="389" t="s">
        <v>3600</v>
      </c>
      <c r="E215" s="389" t="s">
        <v>2921</v>
      </c>
      <c r="F215" s="389" t="s">
        <v>3354</v>
      </c>
      <c r="G215" s="389" t="s">
        <v>3355</v>
      </c>
    </row>
    <row r="216" spans="1:7">
      <c r="A216" s="389" t="s">
        <v>549</v>
      </c>
      <c r="B216" s="389" t="s">
        <v>672</v>
      </c>
      <c r="C216" s="389" t="s">
        <v>3361</v>
      </c>
      <c r="D216" s="389" t="s">
        <v>3601</v>
      </c>
      <c r="E216" s="389" t="s">
        <v>2921</v>
      </c>
      <c r="F216" s="389" t="s">
        <v>3354</v>
      </c>
      <c r="G216" s="389" t="s">
        <v>3355</v>
      </c>
    </row>
    <row r="217" spans="1:7">
      <c r="A217" s="389" t="s">
        <v>560</v>
      </c>
      <c r="B217" s="389" t="s">
        <v>560</v>
      </c>
      <c r="C217" s="389" t="s">
        <v>3419</v>
      </c>
      <c r="D217" s="389" t="s">
        <v>3602</v>
      </c>
      <c r="E217" s="389" t="s">
        <v>2921</v>
      </c>
      <c r="F217" s="389" t="s">
        <v>3354</v>
      </c>
      <c r="G217" s="389" t="s">
        <v>3355</v>
      </c>
    </row>
    <row r="218" spans="1:7">
      <c r="A218" s="389" t="s">
        <v>558</v>
      </c>
      <c r="B218" s="389" t="s">
        <v>558</v>
      </c>
      <c r="C218" s="389" t="s">
        <v>3419</v>
      </c>
      <c r="D218" s="389" t="s">
        <v>3603</v>
      </c>
      <c r="E218" s="389" t="s">
        <v>2921</v>
      </c>
      <c r="F218" s="389" t="s">
        <v>3354</v>
      </c>
      <c r="G218" s="389" t="s">
        <v>3355</v>
      </c>
    </row>
    <row r="219" spans="1:7">
      <c r="A219" s="389" t="s">
        <v>562</v>
      </c>
      <c r="B219" s="389" t="s">
        <v>562</v>
      </c>
      <c r="C219" s="389" t="s">
        <v>3419</v>
      </c>
      <c r="D219" s="389" t="s">
        <v>3604</v>
      </c>
      <c r="E219" s="389" t="s">
        <v>2921</v>
      </c>
      <c r="F219" s="389" t="s">
        <v>3354</v>
      </c>
      <c r="G219" s="389" t="s">
        <v>3355</v>
      </c>
    </row>
    <row r="220" spans="1:7">
      <c r="A220" s="389" t="s">
        <v>590</v>
      </c>
      <c r="B220" s="389" t="s">
        <v>590</v>
      </c>
      <c r="C220" s="389" t="s">
        <v>8538</v>
      </c>
      <c r="D220" s="389" t="s">
        <v>3605</v>
      </c>
      <c r="E220" s="389" t="s">
        <v>2921</v>
      </c>
      <c r="F220" s="389" t="s">
        <v>3354</v>
      </c>
      <c r="G220" s="389" t="s">
        <v>3355</v>
      </c>
    </row>
    <row r="221" spans="1:7">
      <c r="A221" s="389" t="s">
        <v>717</v>
      </c>
      <c r="B221" s="389" t="s">
        <v>717</v>
      </c>
      <c r="C221" s="389" t="s">
        <v>3419</v>
      </c>
      <c r="D221" s="389" t="s">
        <v>3606</v>
      </c>
      <c r="E221" s="389" t="s">
        <v>2921</v>
      </c>
      <c r="F221" s="389" t="s">
        <v>3354</v>
      </c>
      <c r="G221" s="389" t="s">
        <v>3355</v>
      </c>
    </row>
    <row r="222" spans="1:7">
      <c r="A222" s="389" t="s">
        <v>717</v>
      </c>
      <c r="B222" s="389" t="s">
        <v>3607</v>
      </c>
      <c r="C222" s="389" t="s">
        <v>3361</v>
      </c>
      <c r="D222" s="389" t="s">
        <v>3608</v>
      </c>
      <c r="E222" s="389" t="s">
        <v>2921</v>
      </c>
      <c r="F222" s="389" t="s">
        <v>3354</v>
      </c>
      <c r="G222" s="389" t="s">
        <v>3355</v>
      </c>
    </row>
    <row r="223" spans="1:7">
      <c r="A223" s="389" t="s">
        <v>651</v>
      </c>
      <c r="B223" s="389" t="s">
        <v>651</v>
      </c>
      <c r="C223" s="389" t="s">
        <v>3419</v>
      </c>
      <c r="D223" s="389" t="s">
        <v>3609</v>
      </c>
      <c r="E223" s="389" t="s">
        <v>2921</v>
      </c>
      <c r="F223" s="389" t="s">
        <v>3354</v>
      </c>
      <c r="G223" s="389" t="s">
        <v>3355</v>
      </c>
    </row>
    <row r="224" spans="1:7">
      <c r="A224" s="389" t="s">
        <v>651</v>
      </c>
      <c r="B224" s="389" t="s">
        <v>706</v>
      </c>
      <c r="C224" s="389" t="s">
        <v>3361</v>
      </c>
      <c r="D224" s="389" t="s">
        <v>3609</v>
      </c>
      <c r="E224" s="389" t="s">
        <v>2921</v>
      </c>
      <c r="F224" s="389" t="s">
        <v>3354</v>
      </c>
      <c r="G224" s="389" t="s">
        <v>3355</v>
      </c>
    </row>
    <row r="225" spans="1:7">
      <c r="A225" s="389" t="s">
        <v>655</v>
      </c>
      <c r="B225" s="389" t="s">
        <v>655</v>
      </c>
      <c r="C225" s="389" t="s">
        <v>3502</v>
      </c>
      <c r="D225" s="389" t="s">
        <v>3610</v>
      </c>
      <c r="E225" s="389" t="s">
        <v>2921</v>
      </c>
      <c r="F225" s="389" t="s">
        <v>3354</v>
      </c>
      <c r="G225" s="389" t="s">
        <v>3355</v>
      </c>
    </row>
    <row r="226" spans="1:7">
      <c r="A226" s="389" t="s">
        <v>655</v>
      </c>
      <c r="B226" s="389" t="s">
        <v>656</v>
      </c>
      <c r="C226" s="389" t="s">
        <v>3353</v>
      </c>
      <c r="D226" s="389" t="s">
        <v>3610</v>
      </c>
      <c r="E226" s="389" t="s">
        <v>2921</v>
      </c>
      <c r="F226" s="389" t="s">
        <v>3354</v>
      </c>
      <c r="G226" s="389" t="s">
        <v>3355</v>
      </c>
    </row>
    <row r="227" spans="1:7">
      <c r="A227" s="389" t="s">
        <v>707</v>
      </c>
      <c r="B227" s="389" t="s">
        <v>707</v>
      </c>
      <c r="C227" s="389" t="s">
        <v>3419</v>
      </c>
      <c r="D227" s="389" t="s">
        <v>3611</v>
      </c>
      <c r="E227" s="389" t="s">
        <v>2921</v>
      </c>
      <c r="F227" s="389" t="s">
        <v>3354</v>
      </c>
      <c r="G227" s="389" t="s">
        <v>3355</v>
      </c>
    </row>
    <row r="228" spans="1:7">
      <c r="A228" s="389" t="s">
        <v>658</v>
      </c>
      <c r="B228" s="389" t="s">
        <v>658</v>
      </c>
      <c r="C228" s="389" t="s">
        <v>3419</v>
      </c>
      <c r="D228" s="389" t="s">
        <v>659</v>
      </c>
      <c r="E228" s="389" t="s">
        <v>2921</v>
      </c>
      <c r="F228" s="389" t="s">
        <v>3354</v>
      </c>
      <c r="G228" s="389" t="s">
        <v>3355</v>
      </c>
    </row>
    <row r="229" spans="1:7">
      <c r="A229" s="389" t="s">
        <v>658</v>
      </c>
      <c r="B229" s="389" t="s">
        <v>3612</v>
      </c>
      <c r="C229" s="389" t="s">
        <v>3361</v>
      </c>
      <c r="D229" s="389" t="s">
        <v>3613</v>
      </c>
      <c r="E229" s="389" t="s">
        <v>2921</v>
      </c>
      <c r="F229" s="389" t="s">
        <v>3354</v>
      </c>
      <c r="G229" s="389" t="s">
        <v>3355</v>
      </c>
    </row>
    <row r="230" spans="1:7">
      <c r="A230" s="389" t="s">
        <v>702</v>
      </c>
      <c r="B230" s="389" t="s">
        <v>702</v>
      </c>
      <c r="C230" s="389" t="s">
        <v>3614</v>
      </c>
      <c r="D230" s="389" t="s">
        <v>674</v>
      </c>
      <c r="E230" s="389" t="s">
        <v>2921</v>
      </c>
      <c r="F230" s="389" t="s">
        <v>3354</v>
      </c>
      <c r="G230" s="389" t="s">
        <v>3355</v>
      </c>
    </row>
    <row r="231" spans="1:7">
      <c r="A231" s="389" t="s">
        <v>702</v>
      </c>
      <c r="B231" s="389" t="s">
        <v>710</v>
      </c>
      <c r="C231" s="389" t="s">
        <v>3353</v>
      </c>
      <c r="D231" s="389" t="s">
        <v>3333</v>
      </c>
      <c r="E231" s="389" t="s">
        <v>2921</v>
      </c>
      <c r="F231" s="389" t="s">
        <v>3354</v>
      </c>
      <c r="G231" s="389" t="s">
        <v>3355</v>
      </c>
    </row>
    <row r="232" spans="1:7">
      <c r="A232" s="389" t="s">
        <v>741</v>
      </c>
      <c r="B232" s="389" t="s">
        <v>741</v>
      </c>
      <c r="C232" s="389" t="s">
        <v>3419</v>
      </c>
      <c r="D232" s="389" t="s">
        <v>734</v>
      </c>
      <c r="E232" s="389" t="s">
        <v>2921</v>
      </c>
      <c r="F232" s="389" t="s">
        <v>3354</v>
      </c>
      <c r="G232" s="389" t="s">
        <v>3355</v>
      </c>
    </row>
    <row r="233" spans="1:7">
      <c r="A233" s="389" t="s">
        <v>740</v>
      </c>
      <c r="B233" s="389" t="s">
        <v>740</v>
      </c>
      <c r="C233" s="389" t="s">
        <v>3419</v>
      </c>
      <c r="D233" s="389" t="s">
        <v>3615</v>
      </c>
      <c r="E233" s="389" t="s">
        <v>2921</v>
      </c>
      <c r="F233" s="389" t="s">
        <v>3354</v>
      </c>
      <c r="G233" s="389" t="s">
        <v>3355</v>
      </c>
    </row>
    <row r="234" spans="1:7">
      <c r="A234" s="389" t="s">
        <v>739</v>
      </c>
      <c r="B234" s="389" t="s">
        <v>739</v>
      </c>
      <c r="C234" s="389" t="s">
        <v>3419</v>
      </c>
      <c r="D234" s="389" t="s">
        <v>735</v>
      </c>
      <c r="E234" s="389" t="s">
        <v>2921</v>
      </c>
      <c r="F234" s="389" t="s">
        <v>3354</v>
      </c>
      <c r="G234" s="389" t="s">
        <v>3355</v>
      </c>
    </row>
    <row r="235" spans="1:7">
      <c r="A235" s="389" t="s">
        <v>748</v>
      </c>
      <c r="B235" s="389" t="s">
        <v>748</v>
      </c>
      <c r="C235" s="389" t="s">
        <v>3419</v>
      </c>
      <c r="D235" s="389" t="s">
        <v>730</v>
      </c>
      <c r="E235" s="389" t="s">
        <v>2921</v>
      </c>
      <c r="F235" s="389" t="s">
        <v>3354</v>
      </c>
      <c r="G235" s="389" t="s">
        <v>3355</v>
      </c>
    </row>
    <row r="236" spans="1:7">
      <c r="A236" s="389" t="s">
        <v>748</v>
      </c>
      <c r="B236" s="389" t="s">
        <v>1692</v>
      </c>
      <c r="C236" s="389" t="s">
        <v>3361</v>
      </c>
      <c r="D236" s="389" t="s">
        <v>3616</v>
      </c>
      <c r="E236" s="389" t="s">
        <v>2921</v>
      </c>
      <c r="F236" s="389" t="s">
        <v>3354</v>
      </c>
      <c r="G236" s="389" t="s">
        <v>3355</v>
      </c>
    </row>
    <row r="237" spans="1:7">
      <c r="A237" s="389" t="s">
        <v>750</v>
      </c>
      <c r="B237" s="389" t="s">
        <v>750</v>
      </c>
      <c r="C237" s="389" t="s">
        <v>3419</v>
      </c>
      <c r="D237" s="389" t="s">
        <v>3617</v>
      </c>
      <c r="E237" s="389" t="s">
        <v>2921</v>
      </c>
      <c r="F237" s="389" t="s">
        <v>3354</v>
      </c>
      <c r="G237" s="389" t="s">
        <v>3355</v>
      </c>
    </row>
    <row r="238" spans="1:7">
      <c r="A238" s="389" t="s">
        <v>747</v>
      </c>
      <c r="B238" s="389" t="s">
        <v>747</v>
      </c>
      <c r="C238" s="389" t="s">
        <v>3502</v>
      </c>
      <c r="D238" s="389" t="s">
        <v>728</v>
      </c>
      <c r="E238" s="389" t="s">
        <v>2921</v>
      </c>
      <c r="F238" s="389" t="s">
        <v>3354</v>
      </c>
      <c r="G238" s="389" t="s">
        <v>3355</v>
      </c>
    </row>
    <row r="239" spans="1:7">
      <c r="A239" s="389" t="s">
        <v>747</v>
      </c>
      <c r="B239" s="389" t="s">
        <v>812</v>
      </c>
      <c r="C239" s="389" t="s">
        <v>3353</v>
      </c>
      <c r="D239" s="389" t="s">
        <v>3618</v>
      </c>
      <c r="E239" s="389" t="s">
        <v>2921</v>
      </c>
      <c r="F239" s="389" t="s">
        <v>3354</v>
      </c>
      <c r="G239" s="389" t="s">
        <v>3355</v>
      </c>
    </row>
    <row r="240" spans="1:7">
      <c r="A240" s="389" t="s">
        <v>755</v>
      </c>
      <c r="B240" s="389" t="s">
        <v>755</v>
      </c>
      <c r="C240" s="389" t="s">
        <v>19135</v>
      </c>
      <c r="D240" s="389" t="s">
        <v>838</v>
      </c>
      <c r="E240" s="389" t="s">
        <v>2921</v>
      </c>
      <c r="F240" s="389" t="s">
        <v>3354</v>
      </c>
      <c r="G240" s="389" t="s">
        <v>3355</v>
      </c>
    </row>
    <row r="241" spans="1:7">
      <c r="A241" s="389" t="s">
        <v>755</v>
      </c>
      <c r="B241" s="389" t="s">
        <v>854</v>
      </c>
      <c r="C241" s="389" t="s">
        <v>19136</v>
      </c>
      <c r="D241" s="389" t="s">
        <v>3619</v>
      </c>
      <c r="E241" s="389" t="s">
        <v>2921</v>
      </c>
      <c r="F241" s="389" t="s">
        <v>3354</v>
      </c>
      <c r="G241" s="389" t="s">
        <v>3355</v>
      </c>
    </row>
    <row r="242" spans="1:7">
      <c r="A242" s="389" t="s">
        <v>720</v>
      </c>
      <c r="B242" s="389" t="s">
        <v>720</v>
      </c>
      <c r="C242" s="389" t="s">
        <v>3419</v>
      </c>
      <c r="D242" s="389" t="s">
        <v>722</v>
      </c>
      <c r="E242" s="389" t="s">
        <v>2921</v>
      </c>
      <c r="F242" s="389" t="s">
        <v>3620</v>
      </c>
      <c r="G242" s="389" t="s">
        <v>3355</v>
      </c>
    </row>
    <row r="243" spans="1:7">
      <c r="A243" s="389" t="s">
        <v>720</v>
      </c>
      <c r="B243" s="389" t="s">
        <v>723</v>
      </c>
      <c r="C243" s="389" t="s">
        <v>3361</v>
      </c>
      <c r="D243" s="389" t="s">
        <v>3621</v>
      </c>
      <c r="E243" s="389" t="s">
        <v>2921</v>
      </c>
      <c r="F243" s="389" t="s">
        <v>3620</v>
      </c>
      <c r="G243" s="389" t="s">
        <v>3355</v>
      </c>
    </row>
    <row r="244" spans="1:7">
      <c r="A244" s="389" t="s">
        <v>749</v>
      </c>
      <c r="B244" s="389" t="s">
        <v>749</v>
      </c>
      <c r="C244" s="389" t="s">
        <v>3419</v>
      </c>
      <c r="D244" s="389" t="s">
        <v>731</v>
      </c>
      <c r="E244" s="389" t="s">
        <v>2921</v>
      </c>
      <c r="F244" s="389" t="s">
        <v>3354</v>
      </c>
      <c r="G244" s="389" t="s">
        <v>3355</v>
      </c>
    </row>
    <row r="245" spans="1:7">
      <c r="A245" s="389" t="s">
        <v>749</v>
      </c>
      <c r="B245" s="389" t="s">
        <v>757</v>
      </c>
      <c r="C245" s="389" t="s">
        <v>3361</v>
      </c>
      <c r="D245" s="389" t="s">
        <v>3622</v>
      </c>
      <c r="E245" s="389" t="s">
        <v>2921</v>
      </c>
      <c r="F245" s="389" t="s">
        <v>3354</v>
      </c>
      <c r="G245" s="389" t="s">
        <v>3355</v>
      </c>
    </row>
    <row r="246" spans="1:7">
      <c r="A246" s="389" t="s">
        <v>752</v>
      </c>
      <c r="B246" s="389" t="s">
        <v>752</v>
      </c>
      <c r="C246" s="389" t="s">
        <v>3502</v>
      </c>
      <c r="D246" s="389" t="s">
        <v>3623</v>
      </c>
      <c r="E246" s="389" t="s">
        <v>2921</v>
      </c>
      <c r="F246" s="389" t="s">
        <v>3354</v>
      </c>
      <c r="G246" s="389" t="s">
        <v>3355</v>
      </c>
    </row>
    <row r="247" spans="1:7">
      <c r="A247" s="389" t="s">
        <v>752</v>
      </c>
      <c r="B247" s="389" t="s">
        <v>800</v>
      </c>
      <c r="C247" s="389" t="s">
        <v>3353</v>
      </c>
      <c r="D247" s="389" t="s">
        <v>3624</v>
      </c>
      <c r="E247" s="389" t="s">
        <v>2921</v>
      </c>
      <c r="F247" s="389" t="s">
        <v>3354</v>
      </c>
      <c r="G247" s="389" t="s">
        <v>3355</v>
      </c>
    </row>
    <row r="248" spans="1:7">
      <c r="A248" s="389" t="s">
        <v>751</v>
      </c>
      <c r="B248" s="389" t="s">
        <v>751</v>
      </c>
      <c r="C248" s="389" t="s">
        <v>3419</v>
      </c>
      <c r="D248" s="389" t="s">
        <v>742</v>
      </c>
      <c r="E248" s="389" t="s">
        <v>2921</v>
      </c>
      <c r="F248" s="389" t="s">
        <v>3389</v>
      </c>
      <c r="G248" s="389" t="s">
        <v>3355</v>
      </c>
    </row>
    <row r="249" spans="1:7">
      <c r="A249" s="389" t="s">
        <v>753</v>
      </c>
      <c r="B249" s="389" t="s">
        <v>753</v>
      </c>
      <c r="C249" s="389" t="s">
        <v>3502</v>
      </c>
      <c r="D249" s="389" t="s">
        <v>744</v>
      </c>
      <c r="E249" s="389" t="s">
        <v>2921</v>
      </c>
      <c r="F249" s="389" t="s">
        <v>3354</v>
      </c>
      <c r="G249" s="389" t="s">
        <v>3355</v>
      </c>
    </row>
    <row r="250" spans="1:7">
      <c r="A250" s="389" t="s">
        <v>753</v>
      </c>
      <c r="B250" s="389" t="s">
        <v>745</v>
      </c>
      <c r="C250" s="389" t="s">
        <v>6842</v>
      </c>
      <c r="D250" s="389" t="s">
        <v>3625</v>
      </c>
      <c r="E250" s="389" t="s">
        <v>2921</v>
      </c>
      <c r="F250" s="389" t="s">
        <v>3354</v>
      </c>
      <c r="G250" s="389" t="s">
        <v>3355</v>
      </c>
    </row>
    <row r="251" spans="1:7">
      <c r="A251" s="389" t="s">
        <v>753</v>
      </c>
      <c r="B251" s="389" t="s">
        <v>3626</v>
      </c>
      <c r="C251" s="389" t="s">
        <v>7005</v>
      </c>
      <c r="D251" s="389" t="s">
        <v>3627</v>
      </c>
      <c r="E251" s="389" t="s">
        <v>2921</v>
      </c>
      <c r="F251" s="389" t="s">
        <v>3354</v>
      </c>
      <c r="G251" s="389" t="s">
        <v>3355</v>
      </c>
    </row>
    <row r="252" spans="1:7">
      <c r="A252" s="389" t="s">
        <v>754</v>
      </c>
      <c r="B252" s="389" t="s">
        <v>754</v>
      </c>
      <c r="C252" s="389" t="s">
        <v>3419</v>
      </c>
      <c r="D252" s="389" t="s">
        <v>799</v>
      </c>
      <c r="E252" s="389" t="s">
        <v>2921</v>
      </c>
      <c r="F252" s="389" t="s">
        <v>3354</v>
      </c>
      <c r="G252" s="389" t="s">
        <v>3355</v>
      </c>
    </row>
    <row r="253" spans="1:7">
      <c r="A253" s="389" t="s">
        <v>754</v>
      </c>
      <c r="B253" s="389" t="s">
        <v>798</v>
      </c>
      <c r="C253" s="389" t="s">
        <v>3361</v>
      </c>
      <c r="D253" s="389" t="s">
        <v>3628</v>
      </c>
      <c r="E253" s="389" t="s">
        <v>2921</v>
      </c>
      <c r="F253" s="389" t="s">
        <v>3354</v>
      </c>
      <c r="G253" s="389" t="s">
        <v>3355</v>
      </c>
    </row>
    <row r="254" spans="1:7">
      <c r="A254" s="389" t="s">
        <v>779</v>
      </c>
      <c r="B254" s="389" t="s">
        <v>779</v>
      </c>
      <c r="C254" s="389" t="s">
        <v>7465</v>
      </c>
      <c r="D254" s="389" t="s">
        <v>3629</v>
      </c>
      <c r="E254" s="389" t="s">
        <v>2921</v>
      </c>
      <c r="F254" s="389" t="s">
        <v>3354</v>
      </c>
      <c r="G254" s="389" t="s">
        <v>3355</v>
      </c>
    </row>
    <row r="255" spans="1:7">
      <c r="A255" s="389" t="s">
        <v>779</v>
      </c>
      <c r="B255" s="389" t="s">
        <v>845</v>
      </c>
      <c r="C255" s="389" t="s">
        <v>3353</v>
      </c>
      <c r="D255" s="389" t="s">
        <v>3630</v>
      </c>
      <c r="E255" s="389" t="s">
        <v>2921</v>
      </c>
      <c r="F255" s="389" t="s">
        <v>3354</v>
      </c>
      <c r="G255" s="389" t="s">
        <v>3355</v>
      </c>
    </row>
    <row r="256" spans="1:7">
      <c r="A256" s="389" t="s">
        <v>805</v>
      </c>
      <c r="B256" s="389" t="s">
        <v>805</v>
      </c>
      <c r="C256" s="389" t="s">
        <v>8538</v>
      </c>
      <c r="D256" s="389" t="s">
        <v>806</v>
      </c>
      <c r="E256" s="389" t="s">
        <v>2921</v>
      </c>
      <c r="F256" s="389" t="s">
        <v>3631</v>
      </c>
      <c r="G256" s="389" t="s">
        <v>3355</v>
      </c>
    </row>
    <row r="257" spans="1:7">
      <c r="A257" s="389" t="s">
        <v>807</v>
      </c>
      <c r="B257" s="389" t="s">
        <v>807</v>
      </c>
      <c r="C257" s="389" t="s">
        <v>3645</v>
      </c>
      <c r="D257" s="389" t="s">
        <v>851</v>
      </c>
      <c r="E257" s="389" t="s">
        <v>2921</v>
      </c>
      <c r="F257" s="389" t="s">
        <v>3354</v>
      </c>
      <c r="G257" s="389" t="s">
        <v>3355</v>
      </c>
    </row>
    <row r="258" spans="1:7">
      <c r="A258" s="389" t="s">
        <v>807</v>
      </c>
      <c r="B258" s="389" t="s">
        <v>855</v>
      </c>
      <c r="C258" s="389" t="s">
        <v>6842</v>
      </c>
      <c r="D258" s="389" t="s">
        <v>3632</v>
      </c>
      <c r="E258" s="389" t="s">
        <v>2921</v>
      </c>
      <c r="F258" s="389" t="s">
        <v>3354</v>
      </c>
      <c r="G258" s="389" t="s">
        <v>3355</v>
      </c>
    </row>
    <row r="259" spans="1:7">
      <c r="A259" s="389" t="s">
        <v>837</v>
      </c>
      <c r="B259" s="389" t="s">
        <v>837</v>
      </c>
      <c r="C259" s="389" t="s">
        <v>3419</v>
      </c>
      <c r="D259" s="389" t="s">
        <v>3633</v>
      </c>
      <c r="E259" s="389" t="s">
        <v>2921</v>
      </c>
      <c r="F259" s="389" t="s">
        <v>3389</v>
      </c>
      <c r="G259" s="389" t="s">
        <v>3355</v>
      </c>
    </row>
    <row r="260" spans="1:7">
      <c r="A260" s="389" t="s">
        <v>837</v>
      </c>
      <c r="B260" s="389" t="s">
        <v>852</v>
      </c>
      <c r="C260" s="389" t="s">
        <v>3361</v>
      </c>
      <c r="D260" s="389" t="s">
        <v>3634</v>
      </c>
      <c r="E260" s="389" t="s">
        <v>2921</v>
      </c>
      <c r="F260" s="389" t="s">
        <v>3389</v>
      </c>
      <c r="G260" s="389" t="s">
        <v>3355</v>
      </c>
    </row>
    <row r="261" spans="1:7">
      <c r="A261" s="389" t="s">
        <v>837</v>
      </c>
      <c r="B261" s="389" t="s">
        <v>3635</v>
      </c>
      <c r="C261" s="389" t="s">
        <v>7256</v>
      </c>
      <c r="D261" s="389" t="s">
        <v>3636</v>
      </c>
      <c r="E261" s="389" t="s">
        <v>2921</v>
      </c>
      <c r="F261" s="389" t="s">
        <v>3389</v>
      </c>
      <c r="G261" s="389" t="s">
        <v>3355</v>
      </c>
    </row>
    <row r="262" spans="1:7">
      <c r="A262" s="389" t="s">
        <v>841</v>
      </c>
      <c r="B262" s="389" t="s">
        <v>841</v>
      </c>
      <c r="C262" s="389" t="s">
        <v>3419</v>
      </c>
      <c r="D262" s="389" t="s">
        <v>840</v>
      </c>
      <c r="E262" s="389" t="s">
        <v>2921</v>
      </c>
      <c r="F262" s="389" t="s">
        <v>3354</v>
      </c>
      <c r="G262" s="389" t="s">
        <v>3355</v>
      </c>
    </row>
    <row r="263" spans="1:7">
      <c r="A263" s="389" t="s">
        <v>843</v>
      </c>
      <c r="B263" s="389" t="s">
        <v>843</v>
      </c>
      <c r="C263" s="389" t="s">
        <v>3419</v>
      </c>
      <c r="D263" s="389" t="s">
        <v>842</v>
      </c>
      <c r="E263" s="389" t="s">
        <v>2921</v>
      </c>
      <c r="F263" s="389" t="s">
        <v>3354</v>
      </c>
      <c r="G263" s="389" t="s">
        <v>3355</v>
      </c>
    </row>
    <row r="264" spans="1:7">
      <c r="A264" s="389" t="s">
        <v>844</v>
      </c>
      <c r="B264" s="389" t="s">
        <v>844</v>
      </c>
      <c r="C264" s="389" t="s">
        <v>3502</v>
      </c>
      <c r="D264" s="389" t="s">
        <v>1076</v>
      </c>
      <c r="E264" s="389" t="s">
        <v>2921</v>
      </c>
      <c r="F264" s="389" t="s">
        <v>3354</v>
      </c>
      <c r="G264" s="389" t="s">
        <v>3355</v>
      </c>
    </row>
    <row r="265" spans="1:7">
      <c r="A265" s="389" t="s">
        <v>844</v>
      </c>
      <c r="B265" s="389" t="s">
        <v>1075</v>
      </c>
      <c r="C265" s="389" t="s">
        <v>3353</v>
      </c>
      <c r="D265" s="389" t="s">
        <v>3637</v>
      </c>
      <c r="E265" s="389" t="s">
        <v>2921</v>
      </c>
      <c r="F265" s="389" t="s">
        <v>3354</v>
      </c>
      <c r="G265" s="389" t="s">
        <v>3355</v>
      </c>
    </row>
    <row r="266" spans="1:7">
      <c r="A266" s="389" t="s">
        <v>848</v>
      </c>
      <c r="B266" s="389" t="s">
        <v>848</v>
      </c>
      <c r="C266" s="389" t="s">
        <v>3419</v>
      </c>
      <c r="D266" s="389" t="s">
        <v>849</v>
      </c>
      <c r="E266" s="389" t="s">
        <v>2921</v>
      </c>
      <c r="F266" s="389" t="s">
        <v>3389</v>
      </c>
      <c r="G266" s="389" t="s">
        <v>3355</v>
      </c>
    </row>
    <row r="267" spans="1:7">
      <c r="A267" s="389" t="s">
        <v>857</v>
      </c>
      <c r="B267" s="389" t="s">
        <v>857</v>
      </c>
      <c r="C267" s="389" t="s">
        <v>3502</v>
      </c>
      <c r="D267" s="389" t="s">
        <v>999</v>
      </c>
      <c r="E267" s="389" t="s">
        <v>2921</v>
      </c>
      <c r="F267" s="389" t="s">
        <v>3354</v>
      </c>
      <c r="G267" s="389" t="s">
        <v>3355</v>
      </c>
    </row>
    <row r="268" spans="1:7">
      <c r="A268" s="389" t="s">
        <v>857</v>
      </c>
      <c r="B268" s="389" t="s">
        <v>1041</v>
      </c>
      <c r="C268" s="389" t="s">
        <v>6842</v>
      </c>
      <c r="D268" s="389" t="s">
        <v>3638</v>
      </c>
      <c r="E268" s="389" t="s">
        <v>2921</v>
      </c>
      <c r="F268" s="389" t="s">
        <v>3354</v>
      </c>
      <c r="G268" s="389" t="s">
        <v>3355</v>
      </c>
    </row>
    <row r="269" spans="1:7">
      <c r="A269" s="389" t="s">
        <v>859</v>
      </c>
      <c r="B269" s="389" t="s">
        <v>859</v>
      </c>
      <c r="C269" s="389" t="s">
        <v>3419</v>
      </c>
      <c r="D269" s="389" t="s">
        <v>858</v>
      </c>
      <c r="E269" s="389" t="s">
        <v>2921</v>
      </c>
      <c r="F269" s="389" t="s">
        <v>3389</v>
      </c>
      <c r="G269" s="389" t="s">
        <v>3355</v>
      </c>
    </row>
    <row r="270" spans="1:7">
      <c r="A270" s="389" t="s">
        <v>942</v>
      </c>
      <c r="B270" s="389" t="s">
        <v>942</v>
      </c>
      <c r="C270" s="389" t="s">
        <v>3419</v>
      </c>
      <c r="D270" s="389" t="s">
        <v>3639</v>
      </c>
      <c r="E270" s="389" t="s">
        <v>2921</v>
      </c>
      <c r="F270" s="389" t="s">
        <v>3389</v>
      </c>
      <c r="G270" s="389" t="s">
        <v>3355</v>
      </c>
    </row>
    <row r="271" spans="1:7">
      <c r="A271" s="389" t="s">
        <v>944</v>
      </c>
      <c r="B271" s="389" t="s">
        <v>944</v>
      </c>
      <c r="C271" s="389" t="s">
        <v>3419</v>
      </c>
      <c r="D271" s="389" t="s">
        <v>943</v>
      </c>
      <c r="E271" s="389" t="s">
        <v>2921</v>
      </c>
      <c r="F271" s="389" t="s">
        <v>3389</v>
      </c>
      <c r="G271" s="389" t="s">
        <v>3355</v>
      </c>
    </row>
    <row r="272" spans="1:7">
      <c r="A272" s="389" t="s">
        <v>945</v>
      </c>
      <c r="B272" s="389" t="s">
        <v>945</v>
      </c>
      <c r="C272" s="389" t="s">
        <v>3419</v>
      </c>
      <c r="D272" s="389" t="s">
        <v>3640</v>
      </c>
      <c r="E272" s="389" t="s">
        <v>2921</v>
      </c>
      <c r="F272" s="389" t="s">
        <v>3354</v>
      </c>
      <c r="G272" s="389" t="s">
        <v>3355</v>
      </c>
    </row>
    <row r="273" spans="1:7">
      <c r="A273" s="389" t="s">
        <v>945</v>
      </c>
      <c r="B273" s="389" t="s">
        <v>1127</v>
      </c>
      <c r="C273" s="389" t="s">
        <v>3361</v>
      </c>
      <c r="D273" s="389" t="s">
        <v>3641</v>
      </c>
      <c r="E273" s="389" t="s">
        <v>2921</v>
      </c>
      <c r="F273" s="389" t="s">
        <v>3354</v>
      </c>
      <c r="G273" s="389" t="s">
        <v>3355</v>
      </c>
    </row>
    <row r="274" spans="1:7">
      <c r="A274" s="389" t="s">
        <v>989</v>
      </c>
      <c r="B274" s="389" t="s">
        <v>989</v>
      </c>
      <c r="C274" s="389" t="s">
        <v>3419</v>
      </c>
      <c r="D274" s="389" t="s">
        <v>947</v>
      </c>
      <c r="E274" s="389" t="s">
        <v>2921</v>
      </c>
      <c r="F274" s="389" t="s">
        <v>3354</v>
      </c>
      <c r="G274" s="389" t="s">
        <v>3355</v>
      </c>
    </row>
    <row r="275" spans="1:7">
      <c r="A275" s="389" t="s">
        <v>989</v>
      </c>
      <c r="B275" s="389" t="s">
        <v>1015</v>
      </c>
      <c r="C275" s="389" t="s">
        <v>3361</v>
      </c>
      <c r="D275" s="389" t="s">
        <v>3642</v>
      </c>
      <c r="E275" s="389" t="s">
        <v>2921</v>
      </c>
      <c r="F275" s="389" t="s">
        <v>3354</v>
      </c>
      <c r="G275" s="389" t="s">
        <v>3355</v>
      </c>
    </row>
    <row r="276" spans="1:7">
      <c r="A276" s="389" t="s">
        <v>990</v>
      </c>
      <c r="B276" s="389" t="s">
        <v>990</v>
      </c>
      <c r="C276" s="389" t="s">
        <v>3645</v>
      </c>
      <c r="D276" s="389" t="s">
        <v>3643</v>
      </c>
      <c r="E276" s="389" t="s">
        <v>2921</v>
      </c>
      <c r="F276" s="389" t="s">
        <v>3354</v>
      </c>
      <c r="G276" s="389" t="s">
        <v>3355</v>
      </c>
    </row>
    <row r="277" spans="1:7">
      <c r="A277" s="389" t="s">
        <v>991</v>
      </c>
      <c r="B277" s="389" t="s">
        <v>991</v>
      </c>
      <c r="C277" s="389" t="s">
        <v>3419</v>
      </c>
      <c r="D277" s="389" t="s">
        <v>3644</v>
      </c>
      <c r="E277" s="389" t="s">
        <v>2921</v>
      </c>
      <c r="F277" s="389" t="s">
        <v>3489</v>
      </c>
      <c r="G277" s="389" t="s">
        <v>3355</v>
      </c>
    </row>
    <row r="278" spans="1:7">
      <c r="A278" s="389" t="s">
        <v>988</v>
      </c>
      <c r="B278" s="389" t="s">
        <v>988</v>
      </c>
      <c r="C278" s="389" t="s">
        <v>3419</v>
      </c>
      <c r="D278" s="389" t="s">
        <v>998</v>
      </c>
      <c r="E278" s="389" t="s">
        <v>2921</v>
      </c>
      <c r="F278" s="389" t="s">
        <v>3354</v>
      </c>
      <c r="G278" s="389" t="s">
        <v>3355</v>
      </c>
    </row>
    <row r="279" spans="1:7">
      <c r="A279" s="389" t="s">
        <v>996</v>
      </c>
      <c r="B279" s="389" t="s">
        <v>996</v>
      </c>
      <c r="C279" s="389" t="s">
        <v>8543</v>
      </c>
      <c r="D279" s="389" t="s">
        <v>993</v>
      </c>
      <c r="E279" s="389" t="s">
        <v>2921</v>
      </c>
      <c r="F279" s="389" t="s">
        <v>3354</v>
      </c>
      <c r="G279" s="389" t="s">
        <v>3355</v>
      </c>
    </row>
    <row r="280" spans="1:7">
      <c r="A280" s="389" t="s">
        <v>997</v>
      </c>
      <c r="B280" s="389" t="s">
        <v>997</v>
      </c>
      <c r="C280" s="389" t="s">
        <v>3419</v>
      </c>
      <c r="D280" s="389" t="s">
        <v>992</v>
      </c>
      <c r="E280" s="389" t="s">
        <v>2921</v>
      </c>
      <c r="F280" s="389" t="s">
        <v>3354</v>
      </c>
      <c r="G280" s="389" t="s">
        <v>3355</v>
      </c>
    </row>
    <row r="281" spans="1:7">
      <c r="A281" s="389" t="s">
        <v>994</v>
      </c>
      <c r="B281" s="389" t="s">
        <v>994</v>
      </c>
      <c r="C281" s="389" t="s">
        <v>3502</v>
      </c>
      <c r="D281" s="389" t="s">
        <v>3646</v>
      </c>
      <c r="E281" s="389" t="s">
        <v>2921</v>
      </c>
      <c r="F281" s="389" t="s">
        <v>3354</v>
      </c>
      <c r="G281" s="389" t="s">
        <v>3355</v>
      </c>
    </row>
    <row r="282" spans="1:7">
      <c r="A282" s="389" t="s">
        <v>994</v>
      </c>
      <c r="B282" s="389" t="s">
        <v>1038</v>
      </c>
      <c r="C282" s="389" t="s">
        <v>6842</v>
      </c>
      <c r="D282" s="389" t="s">
        <v>3647</v>
      </c>
      <c r="E282" s="389" t="s">
        <v>2921</v>
      </c>
      <c r="F282" s="389" t="s">
        <v>3354</v>
      </c>
      <c r="G282" s="389" t="s">
        <v>3355</v>
      </c>
    </row>
    <row r="283" spans="1:7">
      <c r="A283" s="389" t="s">
        <v>1001</v>
      </c>
      <c r="B283" s="389" t="s">
        <v>1001</v>
      </c>
      <c r="C283" s="389" t="s">
        <v>3419</v>
      </c>
      <c r="D283" s="389" t="s">
        <v>1000</v>
      </c>
      <c r="E283" s="389" t="s">
        <v>2921</v>
      </c>
      <c r="F283" s="389" t="s">
        <v>3354</v>
      </c>
      <c r="G283" s="389" t="s">
        <v>3355</v>
      </c>
    </row>
    <row r="284" spans="1:7">
      <c r="A284" s="389" t="s">
        <v>1012</v>
      </c>
      <c r="B284" s="389" t="s">
        <v>1012</v>
      </c>
      <c r="C284" s="389" t="s">
        <v>19135</v>
      </c>
      <c r="D284" s="389" t="s">
        <v>3648</v>
      </c>
      <c r="E284" s="389" t="s">
        <v>2921</v>
      </c>
      <c r="F284" s="389" t="s">
        <v>3354</v>
      </c>
      <c r="G284" s="389" t="s">
        <v>3355</v>
      </c>
    </row>
    <row r="285" spans="1:7">
      <c r="A285" s="389" t="s">
        <v>1012</v>
      </c>
      <c r="B285" s="389" t="s">
        <v>1082</v>
      </c>
      <c r="C285" s="389" t="s">
        <v>19136</v>
      </c>
      <c r="D285" s="389" t="s">
        <v>3649</v>
      </c>
      <c r="E285" s="389" t="s">
        <v>2921</v>
      </c>
      <c r="F285" s="389" t="s">
        <v>3354</v>
      </c>
      <c r="G285" s="389" t="s">
        <v>3355</v>
      </c>
    </row>
    <row r="286" spans="1:7">
      <c r="A286" s="389" t="s">
        <v>1009</v>
      </c>
      <c r="B286" s="389" t="s">
        <v>1009</v>
      </c>
      <c r="C286" s="389" t="s">
        <v>3419</v>
      </c>
      <c r="D286" s="389" t="s">
        <v>1032</v>
      </c>
      <c r="E286" s="389" t="s">
        <v>2921</v>
      </c>
      <c r="F286" s="389" t="s">
        <v>3354</v>
      </c>
      <c r="G286" s="389" t="s">
        <v>3355</v>
      </c>
    </row>
    <row r="287" spans="1:7">
      <c r="A287" s="389" t="s">
        <v>1011</v>
      </c>
      <c r="B287" s="389" t="s">
        <v>1011</v>
      </c>
      <c r="C287" s="389" t="s">
        <v>3419</v>
      </c>
      <c r="D287" s="389" t="s">
        <v>1028</v>
      </c>
      <c r="E287" s="389" t="s">
        <v>2921</v>
      </c>
      <c r="F287" s="389" t="s">
        <v>3354</v>
      </c>
      <c r="G287" s="389" t="s">
        <v>3355</v>
      </c>
    </row>
    <row r="288" spans="1:7">
      <c r="A288" s="389" t="s">
        <v>1011</v>
      </c>
      <c r="B288" s="389" t="s">
        <v>1061</v>
      </c>
      <c r="C288" s="389" t="s">
        <v>3361</v>
      </c>
      <c r="D288" s="389" t="s">
        <v>3650</v>
      </c>
      <c r="E288" s="389" t="s">
        <v>2921</v>
      </c>
      <c r="F288" s="389" t="s">
        <v>3354</v>
      </c>
      <c r="G288" s="389" t="s">
        <v>3355</v>
      </c>
    </row>
    <row r="289" spans="1:7">
      <c r="A289" s="389" t="s">
        <v>1010</v>
      </c>
      <c r="B289" s="389" t="s">
        <v>1010</v>
      </c>
      <c r="C289" s="389" t="s">
        <v>3419</v>
      </c>
      <c r="D289" s="389" t="s">
        <v>1035</v>
      </c>
      <c r="E289" s="389" t="s">
        <v>2921</v>
      </c>
      <c r="F289" s="389" t="s">
        <v>3354</v>
      </c>
      <c r="G289" s="389" t="s">
        <v>3355</v>
      </c>
    </row>
    <row r="290" spans="1:7">
      <c r="A290" s="389" t="s">
        <v>1010</v>
      </c>
      <c r="B290" s="389" t="s">
        <v>1103</v>
      </c>
      <c r="C290" s="389" t="s">
        <v>3361</v>
      </c>
      <c r="D290" s="389" t="s">
        <v>3651</v>
      </c>
      <c r="E290" s="389" t="s">
        <v>2921</v>
      </c>
      <c r="F290" s="389" t="s">
        <v>3354</v>
      </c>
      <c r="G290" s="389" t="s">
        <v>3355</v>
      </c>
    </row>
    <row r="291" spans="1:7">
      <c r="A291" s="389" t="s">
        <v>1007</v>
      </c>
      <c r="B291" s="389" t="s">
        <v>1007</v>
      </c>
      <c r="C291" s="389" t="s">
        <v>3419</v>
      </c>
      <c r="D291" s="389" t="s">
        <v>1036</v>
      </c>
      <c r="E291" s="389" t="s">
        <v>2921</v>
      </c>
      <c r="F291" s="389" t="s">
        <v>3443</v>
      </c>
      <c r="G291" s="389" t="s">
        <v>3355</v>
      </c>
    </row>
    <row r="292" spans="1:7">
      <c r="A292" s="389" t="s">
        <v>1007</v>
      </c>
      <c r="B292" s="389" t="s">
        <v>1058</v>
      </c>
      <c r="C292" s="389" t="s">
        <v>3361</v>
      </c>
      <c r="D292" s="389" t="s">
        <v>3652</v>
      </c>
      <c r="E292" s="389" t="s">
        <v>2921</v>
      </c>
      <c r="F292" s="389" t="s">
        <v>3443</v>
      </c>
      <c r="G292" s="389" t="s">
        <v>3355</v>
      </c>
    </row>
    <row r="293" spans="1:7">
      <c r="A293" s="389" t="s">
        <v>1006</v>
      </c>
      <c r="B293" s="389" t="s">
        <v>1006</v>
      </c>
      <c r="C293" s="389" t="s">
        <v>3419</v>
      </c>
      <c r="D293" s="389" t="s">
        <v>1031</v>
      </c>
      <c r="E293" s="389" t="s">
        <v>2921</v>
      </c>
      <c r="F293" s="389" t="s">
        <v>3354</v>
      </c>
      <c r="G293" s="389" t="s">
        <v>3355</v>
      </c>
    </row>
    <row r="294" spans="1:7">
      <c r="A294" s="389" t="s">
        <v>1013</v>
      </c>
      <c r="B294" s="389" t="s">
        <v>1013</v>
      </c>
      <c r="C294" s="389" t="s">
        <v>3419</v>
      </c>
      <c r="D294" s="389" t="s">
        <v>1029</v>
      </c>
      <c r="E294" s="389" t="s">
        <v>2921</v>
      </c>
      <c r="F294" s="389" t="s">
        <v>3354</v>
      </c>
      <c r="G294" s="389" t="s">
        <v>3355</v>
      </c>
    </row>
    <row r="295" spans="1:7">
      <c r="A295" s="389" t="s">
        <v>1013</v>
      </c>
      <c r="B295" s="389" t="s">
        <v>1060</v>
      </c>
      <c r="C295" s="389" t="s">
        <v>3361</v>
      </c>
      <c r="D295" s="389" t="s">
        <v>3653</v>
      </c>
      <c r="E295" s="389" t="s">
        <v>2921</v>
      </c>
      <c r="F295" s="389" t="s">
        <v>3354</v>
      </c>
      <c r="G295" s="389" t="s">
        <v>3355</v>
      </c>
    </row>
    <row r="296" spans="1:7">
      <c r="A296" s="389" t="s">
        <v>1027</v>
      </c>
      <c r="B296" s="389" t="s">
        <v>1027</v>
      </c>
      <c r="C296" s="389" t="s">
        <v>3419</v>
      </c>
      <c r="D296" s="389" t="s">
        <v>1030</v>
      </c>
      <c r="E296" s="389" t="s">
        <v>2921</v>
      </c>
      <c r="F296" s="389" t="s">
        <v>3354</v>
      </c>
      <c r="G296" s="389" t="s">
        <v>3355</v>
      </c>
    </row>
    <row r="297" spans="1:7">
      <c r="A297" s="389" t="s">
        <v>1027</v>
      </c>
      <c r="B297" s="389" t="s">
        <v>1078</v>
      </c>
      <c r="C297" s="389" t="s">
        <v>3361</v>
      </c>
      <c r="D297" s="389" t="s">
        <v>3654</v>
      </c>
      <c r="E297" s="389" t="s">
        <v>2921</v>
      </c>
      <c r="F297" s="389" t="s">
        <v>3354</v>
      </c>
      <c r="G297" s="389" t="s">
        <v>3355</v>
      </c>
    </row>
    <row r="298" spans="1:7">
      <c r="A298" s="389" t="s">
        <v>1024</v>
      </c>
      <c r="B298" s="389" t="s">
        <v>1024</v>
      </c>
      <c r="C298" s="389" t="s">
        <v>3502</v>
      </c>
      <c r="D298" s="389" t="s">
        <v>3655</v>
      </c>
      <c r="E298" s="389" t="s">
        <v>2921</v>
      </c>
      <c r="F298" s="389" t="s">
        <v>3354</v>
      </c>
      <c r="G298" s="389" t="s">
        <v>3355</v>
      </c>
    </row>
    <row r="299" spans="1:7">
      <c r="A299" s="389" t="s">
        <v>1025</v>
      </c>
      <c r="B299" s="389" t="s">
        <v>1025</v>
      </c>
      <c r="C299" s="389" t="s">
        <v>3502</v>
      </c>
      <c r="D299" s="389" t="s">
        <v>3656</v>
      </c>
      <c r="E299" s="389" t="s">
        <v>2921</v>
      </c>
      <c r="F299" s="389" t="s">
        <v>3354</v>
      </c>
      <c r="G299" s="389" t="s">
        <v>3355</v>
      </c>
    </row>
    <row r="300" spans="1:7">
      <c r="A300" s="389" t="s">
        <v>1025</v>
      </c>
      <c r="B300" s="389" t="s">
        <v>1059</v>
      </c>
      <c r="C300" s="389" t="s">
        <v>3353</v>
      </c>
      <c r="D300" s="389" t="s">
        <v>3657</v>
      </c>
      <c r="E300" s="389" t="s">
        <v>2921</v>
      </c>
      <c r="F300" s="389" t="s">
        <v>3354</v>
      </c>
      <c r="G300" s="389" t="s">
        <v>3355</v>
      </c>
    </row>
    <row r="301" spans="1:7">
      <c r="A301" s="389" t="s">
        <v>1026</v>
      </c>
      <c r="B301" s="389" t="s">
        <v>1026</v>
      </c>
      <c r="C301" s="389" t="s">
        <v>3502</v>
      </c>
      <c r="D301" s="389" t="s">
        <v>3658</v>
      </c>
      <c r="E301" s="389" t="s">
        <v>2921</v>
      </c>
      <c r="F301" s="389" t="s">
        <v>3354</v>
      </c>
      <c r="G301" s="389" t="s">
        <v>3355</v>
      </c>
    </row>
    <row r="302" spans="1:7">
      <c r="A302" s="389" t="s">
        <v>1014</v>
      </c>
      <c r="B302" s="389" t="s">
        <v>1014</v>
      </c>
      <c r="C302" s="389" t="s">
        <v>3502</v>
      </c>
      <c r="D302" s="389" t="s">
        <v>1033</v>
      </c>
      <c r="E302" s="389" t="s">
        <v>2921</v>
      </c>
      <c r="F302" s="389" t="s">
        <v>3354</v>
      </c>
      <c r="G302" s="389" t="s">
        <v>3355</v>
      </c>
    </row>
    <row r="303" spans="1:7">
      <c r="A303" s="389" t="s">
        <v>1101</v>
      </c>
      <c r="B303" s="389" t="s">
        <v>1101</v>
      </c>
      <c r="C303" s="389" t="s">
        <v>3419</v>
      </c>
      <c r="D303" s="389" t="s">
        <v>1530</v>
      </c>
      <c r="E303" s="389" t="s">
        <v>2921</v>
      </c>
      <c r="F303" s="389" t="s">
        <v>3354</v>
      </c>
      <c r="G303" s="389" t="s">
        <v>3355</v>
      </c>
    </row>
    <row r="304" spans="1:7">
      <c r="A304" s="389" t="s">
        <v>1116</v>
      </c>
      <c r="B304" s="389" t="s">
        <v>1116</v>
      </c>
      <c r="C304" s="389" t="s">
        <v>3502</v>
      </c>
      <c r="D304" s="389" t="s">
        <v>3598</v>
      </c>
      <c r="E304" s="389" t="s">
        <v>2921</v>
      </c>
      <c r="F304" s="389" t="s">
        <v>3354</v>
      </c>
      <c r="G304" s="389" t="s">
        <v>3355</v>
      </c>
    </row>
    <row r="305" spans="1:7">
      <c r="A305" s="389" t="s">
        <v>1146</v>
      </c>
      <c r="B305" s="389" t="s">
        <v>1146</v>
      </c>
      <c r="C305" s="389" t="s">
        <v>3419</v>
      </c>
      <c r="D305" s="389" t="s">
        <v>1143</v>
      </c>
      <c r="E305" s="389" t="s">
        <v>2921</v>
      </c>
      <c r="F305" s="389" t="s">
        <v>3354</v>
      </c>
      <c r="G305" s="389" t="s">
        <v>3355</v>
      </c>
    </row>
    <row r="306" spans="1:7">
      <c r="A306" s="389" t="s">
        <v>1146</v>
      </c>
      <c r="B306" s="389" t="s">
        <v>1173</v>
      </c>
      <c r="C306" s="389" t="s">
        <v>3361</v>
      </c>
      <c r="D306" s="389" t="s">
        <v>3334</v>
      </c>
      <c r="E306" s="389" t="s">
        <v>2921</v>
      </c>
      <c r="F306" s="389" t="s">
        <v>3354</v>
      </c>
      <c r="G306" s="389" t="s">
        <v>3355</v>
      </c>
    </row>
    <row r="307" spans="1:7">
      <c r="A307" s="389" t="s">
        <v>1159</v>
      </c>
      <c r="B307" s="389" t="s">
        <v>1159</v>
      </c>
      <c r="C307" s="389" t="s">
        <v>19135</v>
      </c>
      <c r="D307" s="389" t="s">
        <v>3659</v>
      </c>
      <c r="E307" s="389" t="s">
        <v>2921</v>
      </c>
      <c r="F307" s="389" t="s">
        <v>3354</v>
      </c>
      <c r="G307" s="389" t="s">
        <v>3355</v>
      </c>
    </row>
    <row r="308" spans="1:7">
      <c r="A308" s="389" t="s">
        <v>1152</v>
      </c>
      <c r="B308" s="389" t="s">
        <v>1152</v>
      </c>
      <c r="C308" s="389" t="s">
        <v>3502</v>
      </c>
      <c r="D308" s="389" t="s">
        <v>3660</v>
      </c>
      <c r="E308" s="389" t="s">
        <v>2921</v>
      </c>
      <c r="F308" s="389" t="s">
        <v>3354</v>
      </c>
      <c r="G308" s="389" t="s">
        <v>3355</v>
      </c>
    </row>
    <row r="309" spans="1:7">
      <c r="A309" s="389" t="s">
        <v>1152</v>
      </c>
      <c r="B309" s="389" t="s">
        <v>1284</v>
      </c>
      <c r="C309" s="389" t="s">
        <v>3353</v>
      </c>
      <c r="D309" s="389" t="s">
        <v>3661</v>
      </c>
      <c r="E309" s="389" t="s">
        <v>2921</v>
      </c>
      <c r="F309" s="389" t="s">
        <v>3354</v>
      </c>
      <c r="G309" s="389" t="s">
        <v>3355</v>
      </c>
    </row>
    <row r="310" spans="1:7">
      <c r="A310" s="389" t="s">
        <v>1155</v>
      </c>
      <c r="B310" s="389" t="s">
        <v>1155</v>
      </c>
      <c r="C310" s="389" t="s">
        <v>17719</v>
      </c>
      <c r="D310" s="389" t="s">
        <v>3662</v>
      </c>
      <c r="E310" s="389" t="s">
        <v>2921</v>
      </c>
      <c r="F310" s="389" t="s">
        <v>3354</v>
      </c>
      <c r="G310" s="389" t="s">
        <v>3355</v>
      </c>
    </row>
    <row r="311" spans="1:7">
      <c r="A311" s="389" t="s">
        <v>1155</v>
      </c>
      <c r="B311" s="389" t="s">
        <v>1322</v>
      </c>
      <c r="C311" s="389" t="s">
        <v>3353</v>
      </c>
      <c r="D311" s="389" t="s">
        <v>3663</v>
      </c>
      <c r="E311" s="389" t="s">
        <v>2921</v>
      </c>
      <c r="F311" s="389" t="s">
        <v>3354</v>
      </c>
      <c r="G311" s="389" t="s">
        <v>3355</v>
      </c>
    </row>
    <row r="312" spans="1:7">
      <c r="A312" s="389" t="s">
        <v>1155</v>
      </c>
      <c r="B312" s="389" t="s">
        <v>3664</v>
      </c>
      <c r="C312" s="389" t="s">
        <v>7256</v>
      </c>
      <c r="D312" s="389" t="s">
        <v>3665</v>
      </c>
      <c r="E312" s="389" t="s">
        <v>2921</v>
      </c>
      <c r="F312" s="389" t="s">
        <v>3354</v>
      </c>
      <c r="G312" s="389" t="s">
        <v>3355</v>
      </c>
    </row>
    <row r="313" spans="1:7">
      <c r="A313" s="389" t="s">
        <v>1156</v>
      </c>
      <c r="B313" s="389" t="s">
        <v>1156</v>
      </c>
      <c r="C313" s="389" t="s">
        <v>3419</v>
      </c>
      <c r="D313" s="389" t="s">
        <v>3666</v>
      </c>
      <c r="E313" s="389" t="s">
        <v>2921</v>
      </c>
      <c r="F313" s="389" t="s">
        <v>3354</v>
      </c>
      <c r="G313" s="389" t="s">
        <v>3355</v>
      </c>
    </row>
    <row r="314" spans="1:7">
      <c r="A314" s="389" t="s">
        <v>1351</v>
      </c>
      <c r="B314" s="389" t="s">
        <v>1351</v>
      </c>
      <c r="C314" s="389" t="s">
        <v>3645</v>
      </c>
      <c r="D314" s="389" t="s">
        <v>3667</v>
      </c>
      <c r="E314" s="389" t="s">
        <v>2921</v>
      </c>
      <c r="F314" s="389" t="s">
        <v>3354</v>
      </c>
      <c r="G314" s="389" t="s">
        <v>3355</v>
      </c>
    </row>
    <row r="315" spans="1:7">
      <c r="A315" s="389" t="s">
        <v>1351</v>
      </c>
      <c r="B315" s="389" t="s">
        <v>1353</v>
      </c>
      <c r="C315" s="389" t="s">
        <v>6842</v>
      </c>
      <c r="D315" s="389" t="s">
        <v>3668</v>
      </c>
      <c r="E315" s="389" t="s">
        <v>2921</v>
      </c>
      <c r="F315" s="389" t="s">
        <v>3354</v>
      </c>
      <c r="G315" s="389" t="s">
        <v>3355</v>
      </c>
    </row>
    <row r="316" spans="1:7">
      <c r="A316" s="389" t="s">
        <v>1282</v>
      </c>
      <c r="B316" s="389" t="s">
        <v>1282</v>
      </c>
      <c r="C316" s="389" t="s">
        <v>3419</v>
      </c>
      <c r="D316" s="389" t="s">
        <v>1283</v>
      </c>
      <c r="E316" s="389" t="s">
        <v>2921</v>
      </c>
      <c r="F316" s="389" t="s">
        <v>3354</v>
      </c>
      <c r="G316" s="389" t="s">
        <v>3355</v>
      </c>
    </row>
    <row r="317" spans="1:7">
      <c r="A317" s="389" t="s">
        <v>1282</v>
      </c>
      <c r="B317" s="389" t="s">
        <v>3669</v>
      </c>
      <c r="C317" s="389" t="s">
        <v>3361</v>
      </c>
      <c r="D317" s="389" t="s">
        <v>3670</v>
      </c>
      <c r="E317" s="389" t="s">
        <v>2921</v>
      </c>
      <c r="F317" s="389" t="s">
        <v>3354</v>
      </c>
      <c r="G317" s="389" t="s">
        <v>3355</v>
      </c>
    </row>
    <row r="318" spans="1:7">
      <c r="A318" s="389" t="s">
        <v>1337</v>
      </c>
      <c r="B318" s="389" t="s">
        <v>1337</v>
      </c>
      <c r="C318" s="389" t="s">
        <v>3419</v>
      </c>
      <c r="D318" s="389" t="s">
        <v>3671</v>
      </c>
      <c r="E318" s="389" t="s">
        <v>2921</v>
      </c>
      <c r="F318" s="389" t="s">
        <v>3354</v>
      </c>
      <c r="G318" s="389" t="s">
        <v>3355</v>
      </c>
    </row>
    <row r="319" spans="1:7">
      <c r="A319" s="389" t="s">
        <v>1315</v>
      </c>
      <c r="B319" s="389" t="s">
        <v>1315</v>
      </c>
      <c r="C319" s="389" t="s">
        <v>3502</v>
      </c>
      <c r="D319" s="389" t="s">
        <v>1263</v>
      </c>
      <c r="E319" s="389" t="s">
        <v>2921</v>
      </c>
      <c r="F319" s="389" t="s">
        <v>3354</v>
      </c>
      <c r="G319" s="389" t="s">
        <v>3355</v>
      </c>
    </row>
    <row r="320" spans="1:7">
      <c r="A320" s="389" t="s">
        <v>1315</v>
      </c>
      <c r="B320" s="389" t="s">
        <v>1354</v>
      </c>
      <c r="C320" s="389" t="s">
        <v>3353</v>
      </c>
      <c r="D320" s="389" t="s">
        <v>3672</v>
      </c>
      <c r="E320" s="389" t="s">
        <v>2921</v>
      </c>
      <c r="F320" s="389" t="s">
        <v>3354</v>
      </c>
      <c r="G320" s="389" t="s">
        <v>3355</v>
      </c>
    </row>
    <row r="321" spans="1:7">
      <c r="A321" s="389" t="s">
        <v>1361</v>
      </c>
      <c r="B321" s="389" t="s">
        <v>1361</v>
      </c>
      <c r="C321" s="389" t="s">
        <v>10805</v>
      </c>
      <c r="D321" s="389" t="s">
        <v>1448</v>
      </c>
      <c r="E321" s="389" t="s">
        <v>2921</v>
      </c>
      <c r="F321" s="389" t="s">
        <v>3354</v>
      </c>
      <c r="G321" s="389" t="s">
        <v>3355</v>
      </c>
    </row>
    <row r="322" spans="1:7">
      <c r="A322" s="389" t="s">
        <v>1361</v>
      </c>
      <c r="B322" s="389" t="s">
        <v>1697</v>
      </c>
      <c r="C322" s="389" t="s">
        <v>3547</v>
      </c>
      <c r="D322" s="389" t="s">
        <v>3673</v>
      </c>
      <c r="E322" s="389" t="s">
        <v>2921</v>
      </c>
      <c r="F322" s="389" t="s">
        <v>3354</v>
      </c>
      <c r="G322" s="389" t="s">
        <v>3355</v>
      </c>
    </row>
    <row r="323" spans="1:7">
      <c r="A323" s="389" t="s">
        <v>1399</v>
      </c>
      <c r="B323" s="389" t="s">
        <v>1399</v>
      </c>
      <c r="C323" s="389" t="s">
        <v>8540</v>
      </c>
      <c r="D323" s="389" t="s">
        <v>1487</v>
      </c>
      <c r="E323" s="389" t="s">
        <v>2921</v>
      </c>
      <c r="F323" s="389" t="s">
        <v>3354</v>
      </c>
      <c r="G323" s="389" t="s">
        <v>3355</v>
      </c>
    </row>
    <row r="324" spans="1:7">
      <c r="A324" s="389" t="s">
        <v>1399</v>
      </c>
      <c r="B324" s="389" t="s">
        <v>1509</v>
      </c>
      <c r="C324" s="389" t="s">
        <v>3361</v>
      </c>
      <c r="D324" s="389" t="s">
        <v>3674</v>
      </c>
      <c r="E324" s="389" t="s">
        <v>2921</v>
      </c>
      <c r="F324" s="389" t="s">
        <v>3354</v>
      </c>
      <c r="G324" s="389" t="s">
        <v>3355</v>
      </c>
    </row>
    <row r="325" spans="1:7">
      <c r="A325" s="389" t="s">
        <v>1355</v>
      </c>
      <c r="B325" s="389" t="s">
        <v>1355</v>
      </c>
      <c r="C325" s="389" t="s">
        <v>3419</v>
      </c>
      <c r="D325" s="389" t="s">
        <v>3675</v>
      </c>
      <c r="E325" s="389" t="s">
        <v>2921</v>
      </c>
      <c r="F325" s="389" t="s">
        <v>3354</v>
      </c>
      <c r="G325" s="389" t="s">
        <v>3355</v>
      </c>
    </row>
    <row r="326" spans="1:7">
      <c r="A326" s="389" t="s">
        <v>1356</v>
      </c>
      <c r="B326" s="389" t="s">
        <v>1356</v>
      </c>
      <c r="C326" s="389" t="s">
        <v>3419</v>
      </c>
      <c r="D326" s="389" t="s">
        <v>1450</v>
      </c>
      <c r="E326" s="389" t="s">
        <v>2921</v>
      </c>
      <c r="F326" s="389" t="s">
        <v>3354</v>
      </c>
      <c r="G326" s="389" t="s">
        <v>3355</v>
      </c>
    </row>
    <row r="327" spans="1:7">
      <c r="A327" s="389" t="s">
        <v>1359</v>
      </c>
      <c r="B327" s="389" t="s">
        <v>1359</v>
      </c>
      <c r="C327" s="389" t="s">
        <v>19135</v>
      </c>
      <c r="D327" s="389" t="s">
        <v>3676</v>
      </c>
      <c r="E327" s="389" t="s">
        <v>2921</v>
      </c>
      <c r="F327" s="389" t="s">
        <v>3354</v>
      </c>
      <c r="G327" s="389" t="s">
        <v>3355</v>
      </c>
    </row>
    <row r="328" spans="1:7">
      <c r="A328" s="389" t="s">
        <v>1360</v>
      </c>
      <c r="B328" s="389" t="s">
        <v>1360</v>
      </c>
      <c r="C328" s="389" t="s">
        <v>19135</v>
      </c>
      <c r="D328" s="389" t="s">
        <v>1452</v>
      </c>
      <c r="E328" s="389" t="s">
        <v>2921</v>
      </c>
      <c r="F328" s="389" t="s">
        <v>3354</v>
      </c>
      <c r="G328" s="389" t="s">
        <v>3355</v>
      </c>
    </row>
    <row r="329" spans="1:7">
      <c r="A329" s="389" t="s">
        <v>1565</v>
      </c>
      <c r="B329" s="389" t="s">
        <v>1565</v>
      </c>
      <c r="C329" s="389" t="s">
        <v>19137</v>
      </c>
      <c r="D329" s="389" t="s">
        <v>1100</v>
      </c>
      <c r="E329" s="389" t="s">
        <v>2921</v>
      </c>
      <c r="F329" s="389" t="s">
        <v>3354</v>
      </c>
      <c r="G329" s="389" t="s">
        <v>3355</v>
      </c>
    </row>
    <row r="330" spans="1:7">
      <c r="A330" s="389" t="s">
        <v>1565</v>
      </c>
      <c r="B330" s="389" t="s">
        <v>1617</v>
      </c>
      <c r="C330" s="389" t="s">
        <v>19136</v>
      </c>
      <c r="D330" s="389" t="s">
        <v>3335</v>
      </c>
      <c r="E330" s="389" t="s">
        <v>2921</v>
      </c>
      <c r="F330" s="389" t="s">
        <v>3354</v>
      </c>
      <c r="G330" s="389" t="s">
        <v>3355</v>
      </c>
    </row>
    <row r="331" spans="1:7">
      <c r="A331" s="389" t="s">
        <v>1569</v>
      </c>
      <c r="B331" s="389" t="s">
        <v>1569</v>
      </c>
      <c r="C331" s="389" t="s">
        <v>3419</v>
      </c>
      <c r="D331" s="389" t="s">
        <v>1585</v>
      </c>
      <c r="E331" s="389" t="s">
        <v>2921</v>
      </c>
      <c r="F331" s="389" t="s">
        <v>3354</v>
      </c>
      <c r="G331" s="389" t="s">
        <v>3355</v>
      </c>
    </row>
    <row r="332" spans="1:7">
      <c r="A332" s="389" t="s">
        <v>1569</v>
      </c>
      <c r="B332" s="389" t="s">
        <v>1584</v>
      </c>
      <c r="C332" s="389" t="s">
        <v>3361</v>
      </c>
      <c r="D332" s="389" t="s">
        <v>3677</v>
      </c>
      <c r="E332" s="389" t="s">
        <v>2921</v>
      </c>
      <c r="F332" s="389" t="s">
        <v>3354</v>
      </c>
      <c r="G332" s="389" t="s">
        <v>3355</v>
      </c>
    </row>
    <row r="333" spans="1:7">
      <c r="A333" s="389" t="s">
        <v>1567</v>
      </c>
      <c r="B333" s="389" t="s">
        <v>1567</v>
      </c>
      <c r="C333" s="389" t="s">
        <v>3419</v>
      </c>
      <c r="D333" s="389" t="s">
        <v>3678</v>
      </c>
      <c r="E333" s="389" t="s">
        <v>2921</v>
      </c>
      <c r="F333" s="389" t="s">
        <v>3389</v>
      </c>
      <c r="G333" s="389" t="s">
        <v>3355</v>
      </c>
    </row>
    <row r="334" spans="1:7">
      <c r="A334" s="389" t="s">
        <v>1510</v>
      </c>
      <c r="B334" s="389" t="s">
        <v>1510</v>
      </c>
      <c r="C334" s="389" t="s">
        <v>3419</v>
      </c>
      <c r="D334" s="389" t="s">
        <v>3679</v>
      </c>
      <c r="E334" s="389" t="s">
        <v>2921</v>
      </c>
      <c r="F334" s="389" t="s">
        <v>3354</v>
      </c>
      <c r="G334" s="389" t="s">
        <v>3355</v>
      </c>
    </row>
    <row r="335" spans="1:7">
      <c r="A335" s="389" t="s">
        <v>1539</v>
      </c>
      <c r="B335" s="389" t="s">
        <v>1539</v>
      </c>
      <c r="C335" s="389" t="s">
        <v>3419</v>
      </c>
      <c r="D335" s="389" t="s">
        <v>1454</v>
      </c>
      <c r="E335" s="389" t="s">
        <v>2921</v>
      </c>
      <c r="F335" s="389" t="s">
        <v>3354</v>
      </c>
      <c r="G335" s="389" t="s">
        <v>3355</v>
      </c>
    </row>
    <row r="336" spans="1:7">
      <c r="A336" s="389" t="s">
        <v>1566</v>
      </c>
      <c r="B336" s="389" t="s">
        <v>1566</v>
      </c>
      <c r="C336" s="389" t="s">
        <v>3502</v>
      </c>
      <c r="D336" s="389" t="s">
        <v>1581</v>
      </c>
      <c r="E336" s="389" t="s">
        <v>2921</v>
      </c>
      <c r="F336" s="389" t="s">
        <v>3354</v>
      </c>
      <c r="G336" s="389" t="s">
        <v>3355</v>
      </c>
    </row>
    <row r="337" spans="1:7">
      <c r="A337" s="389" t="s">
        <v>1566</v>
      </c>
      <c r="B337" s="389" t="s">
        <v>1594</v>
      </c>
      <c r="C337" s="389" t="s">
        <v>3353</v>
      </c>
      <c r="D337" s="389" t="s">
        <v>3680</v>
      </c>
      <c r="E337" s="389" t="s">
        <v>2921</v>
      </c>
      <c r="F337" s="389" t="s">
        <v>3354</v>
      </c>
      <c r="G337" s="389" t="s">
        <v>3355</v>
      </c>
    </row>
    <row r="338" spans="1:7">
      <c r="A338" s="389" t="s">
        <v>1564</v>
      </c>
      <c r="B338" s="389" t="s">
        <v>1564</v>
      </c>
      <c r="C338" s="389" t="s">
        <v>3419</v>
      </c>
      <c r="D338" s="389" t="s">
        <v>3681</v>
      </c>
      <c r="E338" s="389" t="s">
        <v>2921</v>
      </c>
      <c r="F338" s="389" t="s">
        <v>3354</v>
      </c>
      <c r="G338" s="389" t="s">
        <v>3355</v>
      </c>
    </row>
    <row r="339" spans="1:7">
      <c r="A339" s="389" t="s">
        <v>1552</v>
      </c>
      <c r="B339" s="389" t="s">
        <v>1552</v>
      </c>
      <c r="C339" s="389" t="s">
        <v>3419</v>
      </c>
      <c r="D339" s="389" t="s">
        <v>3682</v>
      </c>
      <c r="E339" s="389" t="s">
        <v>2921</v>
      </c>
      <c r="F339" s="389" t="s">
        <v>3354</v>
      </c>
      <c r="G339" s="389" t="s">
        <v>3355</v>
      </c>
    </row>
    <row r="340" spans="1:7">
      <c r="A340" s="389" t="s">
        <v>1552</v>
      </c>
      <c r="B340" s="389" t="s">
        <v>1593</v>
      </c>
      <c r="C340" s="389" t="s">
        <v>3361</v>
      </c>
      <c r="D340" s="389" t="s">
        <v>3683</v>
      </c>
      <c r="E340" s="389" t="s">
        <v>2921</v>
      </c>
      <c r="F340" s="389" t="s">
        <v>3354</v>
      </c>
      <c r="G340" s="389" t="s">
        <v>3355</v>
      </c>
    </row>
    <row r="341" spans="1:7">
      <c r="A341" s="389" t="s">
        <v>1568</v>
      </c>
      <c r="B341" s="389" t="s">
        <v>1568</v>
      </c>
      <c r="C341" s="389" t="s">
        <v>3419</v>
      </c>
      <c r="D341" s="389" t="s">
        <v>3684</v>
      </c>
      <c r="E341" s="389" t="s">
        <v>2921</v>
      </c>
      <c r="F341" s="389" t="s">
        <v>3389</v>
      </c>
      <c r="G341" s="389" t="s">
        <v>3355</v>
      </c>
    </row>
    <row r="342" spans="1:7">
      <c r="A342" s="389" t="s">
        <v>1595</v>
      </c>
      <c r="B342" s="389" t="s">
        <v>1595</v>
      </c>
      <c r="C342" s="389" t="s">
        <v>3751</v>
      </c>
      <c r="D342" s="389" t="s">
        <v>3685</v>
      </c>
      <c r="E342" s="389" t="s">
        <v>2921</v>
      </c>
      <c r="F342" s="389" t="s">
        <v>3354</v>
      </c>
      <c r="G342" s="389" t="s">
        <v>3355</v>
      </c>
    </row>
    <row r="343" spans="1:7">
      <c r="A343" s="389" t="s">
        <v>1580</v>
      </c>
      <c r="B343" s="389" t="s">
        <v>1580</v>
      </c>
      <c r="C343" s="389" t="s">
        <v>3419</v>
      </c>
      <c r="D343" s="389" t="s">
        <v>3686</v>
      </c>
      <c r="E343" s="389" t="s">
        <v>2921</v>
      </c>
      <c r="F343" s="389" t="s">
        <v>3354</v>
      </c>
      <c r="G343" s="389" t="s">
        <v>3355</v>
      </c>
    </row>
    <row r="344" spans="1:7">
      <c r="A344" s="389" t="s">
        <v>1579</v>
      </c>
      <c r="B344" s="389" t="s">
        <v>1579</v>
      </c>
      <c r="C344" s="389" t="s">
        <v>3419</v>
      </c>
      <c r="D344" s="389" t="s">
        <v>3687</v>
      </c>
      <c r="E344" s="389" t="s">
        <v>2921</v>
      </c>
      <c r="F344" s="389" t="s">
        <v>3389</v>
      </c>
      <c r="G344" s="389" t="s">
        <v>3355</v>
      </c>
    </row>
    <row r="345" spans="1:7">
      <c r="A345" s="389" t="s">
        <v>1578</v>
      </c>
      <c r="B345" s="389" t="s">
        <v>1578</v>
      </c>
      <c r="C345" s="389" t="s">
        <v>3419</v>
      </c>
      <c r="D345" s="389" t="s">
        <v>1577</v>
      </c>
      <c r="E345" s="389" t="s">
        <v>2921</v>
      </c>
      <c r="F345" s="389" t="s">
        <v>3354</v>
      </c>
      <c r="G345" s="389" t="s">
        <v>3355</v>
      </c>
    </row>
    <row r="346" spans="1:7">
      <c r="A346" s="389" t="s">
        <v>1604</v>
      </c>
      <c r="B346" s="389" t="s">
        <v>1604</v>
      </c>
      <c r="C346" s="389" t="s">
        <v>3502</v>
      </c>
      <c r="D346" s="389" t="s">
        <v>3688</v>
      </c>
      <c r="E346" s="389" t="s">
        <v>2921</v>
      </c>
      <c r="F346" s="389" t="s">
        <v>3354</v>
      </c>
      <c r="G346" s="389" t="s">
        <v>3355</v>
      </c>
    </row>
    <row r="347" spans="1:7">
      <c r="A347" s="389" t="s">
        <v>1604</v>
      </c>
      <c r="B347" s="389" t="s">
        <v>1672</v>
      </c>
      <c r="C347" s="389" t="s">
        <v>3353</v>
      </c>
      <c r="D347" s="389" t="s">
        <v>3689</v>
      </c>
      <c r="E347" s="389" t="s">
        <v>2921</v>
      </c>
      <c r="F347" s="389" t="s">
        <v>3354</v>
      </c>
      <c r="G347" s="389" t="s">
        <v>3355</v>
      </c>
    </row>
    <row r="348" spans="1:7">
      <c r="A348" s="389" t="s">
        <v>1596</v>
      </c>
      <c r="B348" s="389" t="s">
        <v>1596</v>
      </c>
      <c r="C348" s="389" t="s">
        <v>3419</v>
      </c>
      <c r="D348" s="389" t="s">
        <v>3690</v>
      </c>
      <c r="E348" s="389" t="s">
        <v>2921</v>
      </c>
      <c r="F348" s="389" t="s">
        <v>3354</v>
      </c>
      <c r="G348" s="389" t="s">
        <v>3355</v>
      </c>
    </row>
    <row r="349" spans="1:7">
      <c r="A349" s="389" t="s">
        <v>1596</v>
      </c>
      <c r="B349" s="389" t="s">
        <v>1615</v>
      </c>
      <c r="C349" s="389" t="s">
        <v>3361</v>
      </c>
      <c r="D349" s="389" t="s">
        <v>3691</v>
      </c>
      <c r="E349" s="389" t="s">
        <v>2921</v>
      </c>
      <c r="F349" s="389" t="s">
        <v>3354</v>
      </c>
      <c r="G349" s="389" t="s">
        <v>3355</v>
      </c>
    </row>
    <row r="350" spans="1:7">
      <c r="A350" s="389" t="s">
        <v>1608</v>
      </c>
      <c r="B350" s="389" t="s">
        <v>1608</v>
      </c>
      <c r="C350" s="389" t="s">
        <v>3502</v>
      </c>
      <c r="D350" s="389" t="s">
        <v>1609</v>
      </c>
      <c r="E350" s="389" t="s">
        <v>2921</v>
      </c>
      <c r="F350" s="389" t="s">
        <v>3354</v>
      </c>
      <c r="G350" s="389" t="s">
        <v>3355</v>
      </c>
    </row>
    <row r="351" spans="1:7">
      <c r="A351" s="389" t="s">
        <v>1608</v>
      </c>
      <c r="B351" s="389" t="s">
        <v>3692</v>
      </c>
      <c r="C351" s="389" t="s">
        <v>7256</v>
      </c>
      <c r="D351" s="389" t="s">
        <v>3693</v>
      </c>
      <c r="E351" s="389" t="s">
        <v>2921</v>
      </c>
      <c r="F351" s="389" t="s">
        <v>3354</v>
      </c>
      <c r="G351" s="389" t="s">
        <v>3355</v>
      </c>
    </row>
    <row r="352" spans="1:7">
      <c r="A352" s="389" t="s">
        <v>1608</v>
      </c>
      <c r="B352" s="389" t="s">
        <v>1624</v>
      </c>
      <c r="C352" s="389" t="s">
        <v>3353</v>
      </c>
      <c r="D352" s="389" t="s">
        <v>3694</v>
      </c>
      <c r="E352" s="389" t="s">
        <v>2921</v>
      </c>
      <c r="F352" s="389" t="s">
        <v>3354</v>
      </c>
      <c r="G352" s="389" t="s">
        <v>3355</v>
      </c>
    </row>
    <row r="353" spans="1:7">
      <c r="A353" s="389" t="s">
        <v>1597</v>
      </c>
      <c r="B353" s="389" t="s">
        <v>1597</v>
      </c>
      <c r="C353" s="389" t="s">
        <v>3419</v>
      </c>
      <c r="D353" s="389" t="s">
        <v>3695</v>
      </c>
      <c r="E353" s="389" t="s">
        <v>2921</v>
      </c>
      <c r="F353" s="389" t="s">
        <v>3489</v>
      </c>
      <c r="G353" s="389" t="s">
        <v>3355</v>
      </c>
    </row>
    <row r="354" spans="1:7">
      <c r="A354" s="389" t="s">
        <v>1610</v>
      </c>
      <c r="B354" s="389" t="s">
        <v>1610</v>
      </c>
      <c r="C354" s="389" t="s">
        <v>3419</v>
      </c>
      <c r="D354" s="389" t="s">
        <v>3696</v>
      </c>
      <c r="E354" s="389" t="s">
        <v>2921</v>
      </c>
      <c r="F354" s="389" t="s">
        <v>3354</v>
      </c>
      <c r="G354" s="389" t="s">
        <v>3355</v>
      </c>
    </row>
    <row r="355" spans="1:7">
      <c r="A355" s="389" t="s">
        <v>2298</v>
      </c>
      <c r="B355" s="389" t="s">
        <v>2298</v>
      </c>
      <c r="C355" s="389" t="s">
        <v>3502</v>
      </c>
      <c r="D355" s="389" t="s">
        <v>1741</v>
      </c>
      <c r="E355" s="389" t="s">
        <v>2921</v>
      </c>
      <c r="F355" s="389" t="s">
        <v>3354</v>
      </c>
      <c r="G355" s="389" t="s">
        <v>3355</v>
      </c>
    </row>
    <row r="356" spans="1:7">
      <c r="A356" s="389" t="s">
        <v>2298</v>
      </c>
      <c r="B356" s="389" t="s">
        <v>1742</v>
      </c>
      <c r="C356" s="389" t="s">
        <v>3353</v>
      </c>
      <c r="D356" s="389" t="s">
        <v>3697</v>
      </c>
      <c r="E356" s="389" t="s">
        <v>2921</v>
      </c>
      <c r="F356" s="389" t="s">
        <v>3354</v>
      </c>
      <c r="G356" s="389" t="s">
        <v>3355</v>
      </c>
    </row>
    <row r="357" spans="1:7">
      <c r="A357" s="389" t="s">
        <v>1625</v>
      </c>
      <c r="B357" s="389" t="s">
        <v>1625</v>
      </c>
      <c r="C357" s="389" t="s">
        <v>3419</v>
      </c>
      <c r="D357" s="389" t="s">
        <v>3698</v>
      </c>
      <c r="E357" s="389" t="s">
        <v>2921</v>
      </c>
      <c r="F357" s="389" t="s">
        <v>3699</v>
      </c>
      <c r="G357" s="389" t="s">
        <v>3355</v>
      </c>
    </row>
    <row r="358" spans="1:7">
      <c r="A358" s="389" t="s">
        <v>1626</v>
      </c>
      <c r="B358" s="389" t="s">
        <v>1626</v>
      </c>
      <c r="C358" s="389" t="s">
        <v>3502</v>
      </c>
      <c r="D358" s="389" t="s">
        <v>3700</v>
      </c>
      <c r="E358" s="389" t="s">
        <v>2921</v>
      </c>
      <c r="F358" s="389" t="s">
        <v>3354</v>
      </c>
      <c r="G358" s="389" t="s">
        <v>3355</v>
      </c>
    </row>
    <row r="359" spans="1:7">
      <c r="A359" s="389" t="s">
        <v>1633</v>
      </c>
      <c r="B359" s="389" t="s">
        <v>1633</v>
      </c>
      <c r="C359" s="389" t="s">
        <v>3419</v>
      </c>
      <c r="D359" s="389" t="s">
        <v>3701</v>
      </c>
      <c r="E359" s="389" t="s">
        <v>2921</v>
      </c>
      <c r="F359" s="389" t="s">
        <v>3389</v>
      </c>
      <c r="G359" s="389" t="s">
        <v>3355</v>
      </c>
    </row>
    <row r="360" spans="1:7">
      <c r="A360" s="389" t="s">
        <v>1631</v>
      </c>
      <c r="B360" s="389" t="s">
        <v>1631</v>
      </c>
      <c r="C360" s="389" t="s">
        <v>3419</v>
      </c>
      <c r="D360" s="389" t="s">
        <v>3702</v>
      </c>
      <c r="E360" s="389" t="s">
        <v>2921</v>
      </c>
      <c r="F360" s="389" t="s">
        <v>3354</v>
      </c>
      <c r="G360" s="389" t="s">
        <v>3355</v>
      </c>
    </row>
    <row r="361" spans="1:7">
      <c r="A361" s="389" t="s">
        <v>1632</v>
      </c>
      <c r="B361" s="389" t="s">
        <v>1632</v>
      </c>
      <c r="C361" s="389" t="s">
        <v>3419</v>
      </c>
      <c r="D361" s="389" t="s">
        <v>1630</v>
      </c>
      <c r="E361" s="389" t="s">
        <v>2921</v>
      </c>
      <c r="F361" s="389" t="s">
        <v>3354</v>
      </c>
      <c r="G361" s="389" t="s">
        <v>3355</v>
      </c>
    </row>
    <row r="362" spans="1:7">
      <c r="A362" s="389" t="s">
        <v>1644</v>
      </c>
      <c r="B362" s="389" t="s">
        <v>1644</v>
      </c>
      <c r="C362" s="389" t="s">
        <v>3419</v>
      </c>
      <c r="D362" s="389" t="s">
        <v>3703</v>
      </c>
      <c r="E362" s="389" t="s">
        <v>2921</v>
      </c>
      <c r="F362" s="389" t="s">
        <v>3354</v>
      </c>
      <c r="G362" s="389" t="s">
        <v>3355</v>
      </c>
    </row>
    <row r="363" spans="1:7">
      <c r="A363" s="389" t="s">
        <v>1649</v>
      </c>
      <c r="B363" s="389" t="s">
        <v>1649</v>
      </c>
      <c r="C363" s="389" t="s">
        <v>3419</v>
      </c>
      <c r="D363" s="389" t="s">
        <v>1650</v>
      </c>
      <c r="E363" s="389" t="s">
        <v>2921</v>
      </c>
      <c r="F363" s="389" t="s">
        <v>3354</v>
      </c>
      <c r="G363" s="389" t="s">
        <v>3355</v>
      </c>
    </row>
    <row r="364" spans="1:7">
      <c r="A364" s="389" t="s">
        <v>2308</v>
      </c>
      <c r="B364" s="389" t="s">
        <v>2308</v>
      </c>
      <c r="C364" s="389" t="s">
        <v>3419</v>
      </c>
      <c r="D364" s="389" t="s">
        <v>2310</v>
      </c>
      <c r="E364" s="389" t="s">
        <v>2921</v>
      </c>
      <c r="F364" s="389" t="s">
        <v>3354</v>
      </c>
      <c r="G364" s="389" t="s">
        <v>3355</v>
      </c>
    </row>
    <row r="365" spans="1:7">
      <c r="A365" s="389" t="s">
        <v>2311</v>
      </c>
      <c r="B365" s="389" t="s">
        <v>2311</v>
      </c>
      <c r="C365" s="389" t="s">
        <v>3419</v>
      </c>
      <c r="D365" s="389" t="s">
        <v>3704</v>
      </c>
      <c r="E365" s="389" t="s">
        <v>2921</v>
      </c>
      <c r="F365" s="389" t="s">
        <v>3354</v>
      </c>
      <c r="G365" s="389" t="s">
        <v>3355</v>
      </c>
    </row>
    <row r="366" spans="1:7">
      <c r="A366" s="389" t="s">
        <v>2314</v>
      </c>
      <c r="B366" s="389" t="s">
        <v>2314</v>
      </c>
      <c r="C366" s="389" t="s">
        <v>3419</v>
      </c>
      <c r="D366" s="389" t="s">
        <v>3705</v>
      </c>
      <c r="E366" s="389" t="s">
        <v>2921</v>
      </c>
      <c r="F366" s="389" t="s">
        <v>3354</v>
      </c>
      <c r="G366" s="389" t="s">
        <v>3355</v>
      </c>
    </row>
    <row r="367" spans="1:7">
      <c r="A367" s="389" t="s">
        <v>2317</v>
      </c>
      <c r="B367" s="389" t="s">
        <v>2317</v>
      </c>
      <c r="C367" s="389" t="s">
        <v>3419</v>
      </c>
      <c r="D367" s="389" t="s">
        <v>1694</v>
      </c>
      <c r="E367" s="389" t="s">
        <v>2921</v>
      </c>
      <c r="F367" s="389" t="s">
        <v>3389</v>
      </c>
      <c r="G367" s="389" t="s">
        <v>3355</v>
      </c>
    </row>
    <row r="368" spans="1:7">
      <c r="A368" s="389" t="s">
        <v>2317</v>
      </c>
      <c r="B368" s="389" t="s">
        <v>1695</v>
      </c>
      <c r="C368" s="389" t="s">
        <v>3361</v>
      </c>
      <c r="D368" s="389" t="s">
        <v>3706</v>
      </c>
      <c r="E368" s="389" t="s">
        <v>2921</v>
      </c>
      <c r="F368" s="389" t="s">
        <v>3389</v>
      </c>
      <c r="G368" s="389" t="s">
        <v>3355</v>
      </c>
    </row>
    <row r="369" spans="1:7">
      <c r="A369" s="389" t="s">
        <v>2318</v>
      </c>
      <c r="B369" s="389" t="s">
        <v>2318</v>
      </c>
      <c r="C369" s="389" t="s">
        <v>3419</v>
      </c>
      <c r="D369" s="389" t="s">
        <v>1696</v>
      </c>
      <c r="E369" s="389" t="s">
        <v>2921</v>
      </c>
      <c r="F369" s="389" t="s">
        <v>3354</v>
      </c>
      <c r="G369" s="389" t="s">
        <v>3355</v>
      </c>
    </row>
    <row r="370" spans="1:7">
      <c r="A370" s="389" t="s">
        <v>2318</v>
      </c>
      <c r="B370" s="389" t="s">
        <v>1712</v>
      </c>
      <c r="C370" s="389" t="s">
        <v>3361</v>
      </c>
      <c r="D370" s="389" t="s">
        <v>3707</v>
      </c>
      <c r="E370" s="389" t="s">
        <v>2921</v>
      </c>
      <c r="F370" s="389" t="s">
        <v>3354</v>
      </c>
      <c r="G370" s="389" t="s">
        <v>3355</v>
      </c>
    </row>
    <row r="371" spans="1:7">
      <c r="A371" s="389" t="s">
        <v>2319</v>
      </c>
      <c r="B371" s="389" t="s">
        <v>2319</v>
      </c>
      <c r="C371" s="389" t="s">
        <v>3419</v>
      </c>
      <c r="D371" s="389" t="s">
        <v>3708</v>
      </c>
      <c r="E371" s="389" t="s">
        <v>2921</v>
      </c>
      <c r="F371" s="389" t="s">
        <v>3354</v>
      </c>
      <c r="G371" s="389" t="s">
        <v>3355</v>
      </c>
    </row>
    <row r="372" spans="1:7">
      <c r="A372" s="389" t="s">
        <v>2319</v>
      </c>
      <c r="B372" s="389" t="s">
        <v>3709</v>
      </c>
      <c r="C372" s="389" t="s">
        <v>3361</v>
      </c>
      <c r="D372" s="389" t="s">
        <v>3710</v>
      </c>
      <c r="E372" s="389" t="s">
        <v>2921</v>
      </c>
      <c r="F372" s="389" t="s">
        <v>3354</v>
      </c>
      <c r="G372" s="389" t="s">
        <v>3355</v>
      </c>
    </row>
    <row r="373" spans="1:7">
      <c r="A373" s="389" t="s">
        <v>2321</v>
      </c>
      <c r="B373" s="389" t="s">
        <v>2321</v>
      </c>
      <c r="C373" s="389" t="s">
        <v>3419</v>
      </c>
      <c r="D373" s="389" t="s">
        <v>2323</v>
      </c>
      <c r="E373" s="389" t="s">
        <v>2921</v>
      </c>
      <c r="F373" s="389" t="s">
        <v>3354</v>
      </c>
      <c r="G373" s="389" t="s">
        <v>3355</v>
      </c>
    </row>
    <row r="374" spans="1:7">
      <c r="A374" s="389" t="s">
        <v>2321</v>
      </c>
      <c r="B374" s="389" t="s">
        <v>3711</v>
      </c>
      <c r="C374" s="389" t="s">
        <v>3361</v>
      </c>
      <c r="D374" s="389" t="s">
        <v>3712</v>
      </c>
      <c r="E374" s="389" t="s">
        <v>2921</v>
      </c>
      <c r="F374" s="389" t="s">
        <v>3354</v>
      </c>
      <c r="G374" s="389" t="s">
        <v>3355</v>
      </c>
    </row>
    <row r="375" spans="1:7">
      <c r="A375" s="389" t="s">
        <v>2324</v>
      </c>
      <c r="B375" s="389" t="s">
        <v>2324</v>
      </c>
      <c r="C375" s="389" t="s">
        <v>3419</v>
      </c>
      <c r="D375" s="389" t="s">
        <v>2326</v>
      </c>
      <c r="E375" s="389" t="s">
        <v>2921</v>
      </c>
      <c r="F375" s="389" t="s">
        <v>3354</v>
      </c>
      <c r="G375" s="389" t="s">
        <v>3355</v>
      </c>
    </row>
    <row r="376" spans="1:7">
      <c r="A376" s="389" t="s">
        <v>2327</v>
      </c>
      <c r="B376" s="389" t="s">
        <v>2327</v>
      </c>
      <c r="C376" s="389" t="s">
        <v>3419</v>
      </c>
      <c r="D376" s="389" t="s">
        <v>2329</v>
      </c>
      <c r="E376" s="389" t="s">
        <v>2921</v>
      </c>
      <c r="F376" s="389" t="s">
        <v>3354</v>
      </c>
      <c r="G376" s="389" t="s">
        <v>3355</v>
      </c>
    </row>
    <row r="377" spans="1:7">
      <c r="A377" s="389" t="s">
        <v>2327</v>
      </c>
      <c r="B377" s="389" t="s">
        <v>2762</v>
      </c>
      <c r="C377" s="389" t="s">
        <v>3361</v>
      </c>
      <c r="D377" s="389" t="s">
        <v>3713</v>
      </c>
      <c r="E377" s="389" t="s">
        <v>2921</v>
      </c>
      <c r="F377" s="389" t="s">
        <v>3354</v>
      </c>
      <c r="G377" s="389" t="s">
        <v>3355</v>
      </c>
    </row>
    <row r="378" spans="1:7">
      <c r="A378" s="389" t="s">
        <v>2330</v>
      </c>
      <c r="B378" s="389" t="s">
        <v>2330</v>
      </c>
      <c r="C378" s="389" t="s">
        <v>17719</v>
      </c>
      <c r="D378" s="389" t="s">
        <v>1744</v>
      </c>
      <c r="E378" s="389" t="s">
        <v>2921</v>
      </c>
      <c r="F378" s="389" t="s">
        <v>3354</v>
      </c>
      <c r="G378" s="389" t="s">
        <v>3355</v>
      </c>
    </row>
    <row r="379" spans="1:7">
      <c r="A379" s="389" t="s">
        <v>2330</v>
      </c>
      <c r="B379" s="389" t="s">
        <v>1796</v>
      </c>
      <c r="C379" s="389" t="s">
        <v>6842</v>
      </c>
      <c r="D379" s="389" t="s">
        <v>3714</v>
      </c>
      <c r="E379" s="389" t="s">
        <v>2921</v>
      </c>
      <c r="F379" s="389" t="s">
        <v>3354</v>
      </c>
      <c r="G379" s="389" t="s">
        <v>3355</v>
      </c>
    </row>
    <row r="380" spans="1:7">
      <c r="A380" s="389" t="s">
        <v>2331</v>
      </c>
      <c r="B380" s="389" t="s">
        <v>2331</v>
      </c>
      <c r="C380" s="389" t="s">
        <v>3419</v>
      </c>
      <c r="D380" s="389" t="s">
        <v>3715</v>
      </c>
      <c r="E380" s="389" t="s">
        <v>2921</v>
      </c>
      <c r="F380" s="389" t="s">
        <v>3354</v>
      </c>
      <c r="G380" s="389" t="s">
        <v>3355</v>
      </c>
    </row>
    <row r="381" spans="1:7">
      <c r="A381" s="389" t="s">
        <v>2331</v>
      </c>
      <c r="B381" s="389" t="s">
        <v>1830</v>
      </c>
      <c r="C381" s="389" t="s">
        <v>3361</v>
      </c>
      <c r="D381" s="389" t="s">
        <v>3716</v>
      </c>
      <c r="E381" s="389" t="s">
        <v>2921</v>
      </c>
      <c r="F381" s="389" t="s">
        <v>3354</v>
      </c>
      <c r="G381" s="389" t="s">
        <v>3355</v>
      </c>
    </row>
    <row r="382" spans="1:7">
      <c r="A382" s="389" t="s">
        <v>2332</v>
      </c>
      <c r="B382" s="389" t="s">
        <v>2332</v>
      </c>
      <c r="C382" s="389" t="s">
        <v>3419</v>
      </c>
      <c r="D382" s="389" t="s">
        <v>3717</v>
      </c>
      <c r="E382" s="389" t="s">
        <v>2921</v>
      </c>
      <c r="F382" s="389" t="s">
        <v>3354</v>
      </c>
      <c r="G382" s="389" t="s">
        <v>3355</v>
      </c>
    </row>
    <row r="383" spans="1:7">
      <c r="A383" s="389" t="s">
        <v>2239</v>
      </c>
      <c r="B383" s="389" t="s">
        <v>2239</v>
      </c>
      <c r="C383" s="389" t="s">
        <v>19135</v>
      </c>
      <c r="D383" s="389" t="s">
        <v>3718</v>
      </c>
      <c r="E383" s="389" t="s">
        <v>2921</v>
      </c>
      <c r="F383" s="389" t="s">
        <v>3354</v>
      </c>
      <c r="G383" s="389" t="s">
        <v>3355</v>
      </c>
    </row>
    <row r="384" spans="1:7">
      <c r="A384" s="389" t="s">
        <v>2239</v>
      </c>
      <c r="B384" s="389" t="s">
        <v>1797</v>
      </c>
      <c r="C384" s="389" t="s">
        <v>19136</v>
      </c>
      <c r="D384" s="389" t="s">
        <v>3719</v>
      </c>
      <c r="E384" s="389" t="s">
        <v>2921</v>
      </c>
      <c r="F384" s="389" t="s">
        <v>3354</v>
      </c>
      <c r="G384" s="389" t="s">
        <v>3355</v>
      </c>
    </row>
    <row r="385" spans="1:7">
      <c r="A385" s="389" t="s">
        <v>2239</v>
      </c>
      <c r="B385" s="389" t="s">
        <v>3720</v>
      </c>
      <c r="C385" s="389" t="s">
        <v>19138</v>
      </c>
      <c r="D385" s="389" t="s">
        <v>3721</v>
      </c>
      <c r="E385" s="389" t="s">
        <v>2921</v>
      </c>
      <c r="F385" s="389" t="s">
        <v>3354</v>
      </c>
      <c r="G385" s="389" t="s">
        <v>3355</v>
      </c>
    </row>
    <row r="386" spans="1:7">
      <c r="A386" s="389" t="s">
        <v>2239</v>
      </c>
      <c r="B386" s="389" t="s">
        <v>3722</v>
      </c>
      <c r="C386" s="389" t="s">
        <v>19136</v>
      </c>
      <c r="D386" s="389" t="s">
        <v>3723</v>
      </c>
      <c r="E386" s="389" t="s">
        <v>2921</v>
      </c>
      <c r="F386" s="389" t="s">
        <v>3354</v>
      </c>
      <c r="G386" s="389" t="s">
        <v>3355</v>
      </c>
    </row>
    <row r="387" spans="1:7">
      <c r="A387" s="389" t="s">
        <v>2334</v>
      </c>
      <c r="B387" s="389" t="s">
        <v>2334</v>
      </c>
      <c r="C387" s="389" t="s">
        <v>3419</v>
      </c>
      <c r="D387" s="389" t="s">
        <v>2335</v>
      </c>
      <c r="E387" s="389" t="s">
        <v>2921</v>
      </c>
      <c r="F387" s="389" t="s">
        <v>3389</v>
      </c>
      <c r="G387" s="389" t="s">
        <v>3355</v>
      </c>
    </row>
    <row r="388" spans="1:7">
      <c r="A388" s="389" t="s">
        <v>2336</v>
      </c>
      <c r="B388" s="389" t="s">
        <v>2336</v>
      </c>
      <c r="C388" s="389" t="s">
        <v>7029</v>
      </c>
      <c r="D388" s="389" t="s">
        <v>3724</v>
      </c>
      <c r="E388" s="389" t="s">
        <v>2921</v>
      </c>
      <c r="F388" s="389" t="s">
        <v>3354</v>
      </c>
      <c r="G388" s="389" t="s">
        <v>3355</v>
      </c>
    </row>
    <row r="389" spans="1:7">
      <c r="A389" s="389" t="s">
        <v>2336</v>
      </c>
      <c r="B389" s="389" t="s">
        <v>1941</v>
      </c>
      <c r="C389" s="389" t="s">
        <v>3353</v>
      </c>
      <c r="D389" s="389" t="s">
        <v>3725</v>
      </c>
      <c r="E389" s="389" t="s">
        <v>2921</v>
      </c>
      <c r="F389" s="389" t="s">
        <v>3354</v>
      </c>
      <c r="G389" s="389" t="s">
        <v>3355</v>
      </c>
    </row>
    <row r="390" spans="1:7">
      <c r="A390" s="389" t="s">
        <v>2338</v>
      </c>
      <c r="B390" s="389" t="s">
        <v>2338</v>
      </c>
      <c r="C390" s="389" t="s">
        <v>3756</v>
      </c>
      <c r="D390" s="389" t="s">
        <v>3726</v>
      </c>
      <c r="E390" s="389" t="s">
        <v>2921</v>
      </c>
      <c r="F390" s="389" t="s">
        <v>3354</v>
      </c>
      <c r="G390" s="389" t="s">
        <v>3355</v>
      </c>
    </row>
    <row r="391" spans="1:7">
      <c r="A391" s="389" t="s">
        <v>2339</v>
      </c>
      <c r="B391" s="389" t="s">
        <v>2339</v>
      </c>
      <c r="C391" s="389" t="s">
        <v>7029</v>
      </c>
      <c r="D391" s="389" t="s">
        <v>2340</v>
      </c>
      <c r="E391" s="389" t="s">
        <v>2921</v>
      </c>
      <c r="F391" s="389" t="s">
        <v>3354</v>
      </c>
      <c r="G391" s="389" t="s">
        <v>3355</v>
      </c>
    </row>
    <row r="392" spans="1:7">
      <c r="A392" s="389" t="s">
        <v>2341</v>
      </c>
      <c r="B392" s="389" t="s">
        <v>2341</v>
      </c>
      <c r="C392" s="389" t="s">
        <v>7029</v>
      </c>
      <c r="D392" s="389" t="s">
        <v>3727</v>
      </c>
      <c r="E392" s="389" t="s">
        <v>2921</v>
      </c>
      <c r="F392" s="389" t="s">
        <v>3354</v>
      </c>
      <c r="G392" s="389" t="s">
        <v>3355</v>
      </c>
    </row>
    <row r="393" spans="1:7">
      <c r="A393" s="389" t="s">
        <v>2342</v>
      </c>
      <c r="B393" s="389" t="s">
        <v>2342</v>
      </c>
      <c r="C393" s="389" t="s">
        <v>3502</v>
      </c>
      <c r="D393" s="389" t="s">
        <v>3728</v>
      </c>
      <c r="E393" s="389" t="s">
        <v>2921</v>
      </c>
      <c r="F393" s="389" t="s">
        <v>3354</v>
      </c>
      <c r="G393" s="389" t="s">
        <v>3355</v>
      </c>
    </row>
    <row r="394" spans="1:7">
      <c r="A394" s="389" t="s">
        <v>2342</v>
      </c>
      <c r="B394" s="389" t="s">
        <v>1942</v>
      </c>
      <c r="C394" s="389" t="s">
        <v>3353</v>
      </c>
      <c r="D394" s="389" t="s">
        <v>3729</v>
      </c>
      <c r="E394" s="389" t="s">
        <v>2921</v>
      </c>
      <c r="F394" s="389" t="s">
        <v>3354</v>
      </c>
      <c r="G394" s="389" t="s">
        <v>3355</v>
      </c>
    </row>
    <row r="395" spans="1:7">
      <c r="A395" s="389" t="s">
        <v>2343</v>
      </c>
      <c r="B395" s="389" t="s">
        <v>2343</v>
      </c>
      <c r="C395" s="389" t="s">
        <v>3645</v>
      </c>
      <c r="D395" s="389" t="s">
        <v>3730</v>
      </c>
      <c r="E395" s="389" t="s">
        <v>2921</v>
      </c>
      <c r="F395" s="389" t="s">
        <v>3354</v>
      </c>
      <c r="G395" s="389" t="s">
        <v>3355</v>
      </c>
    </row>
    <row r="396" spans="1:7">
      <c r="A396" s="389" t="s">
        <v>2343</v>
      </c>
      <c r="B396" s="389" t="s">
        <v>1943</v>
      </c>
      <c r="C396" s="389" t="s">
        <v>6842</v>
      </c>
      <c r="D396" s="389" t="s">
        <v>3731</v>
      </c>
      <c r="E396" s="389" t="s">
        <v>2921</v>
      </c>
      <c r="F396" s="389" t="s">
        <v>3354</v>
      </c>
      <c r="G396" s="389" t="s">
        <v>3355</v>
      </c>
    </row>
    <row r="397" spans="1:7">
      <c r="A397" s="389" t="s">
        <v>2344</v>
      </c>
      <c r="B397" s="389" t="s">
        <v>2344</v>
      </c>
      <c r="C397" s="389" t="s">
        <v>3502</v>
      </c>
      <c r="D397" s="389" t="s">
        <v>1940</v>
      </c>
      <c r="E397" s="389" t="s">
        <v>2921</v>
      </c>
      <c r="F397" s="389" t="s">
        <v>3354</v>
      </c>
      <c r="G397" s="389" t="s">
        <v>3355</v>
      </c>
    </row>
    <row r="398" spans="1:7">
      <c r="A398" s="389" t="s">
        <v>2344</v>
      </c>
      <c r="B398" s="389" t="s">
        <v>1944</v>
      </c>
      <c r="C398" s="389" t="s">
        <v>3353</v>
      </c>
      <c r="D398" s="389" t="s">
        <v>3732</v>
      </c>
      <c r="E398" s="389" t="s">
        <v>2921</v>
      </c>
      <c r="F398" s="389" t="s">
        <v>3354</v>
      </c>
      <c r="G398" s="389" t="s">
        <v>3355</v>
      </c>
    </row>
    <row r="399" spans="1:7">
      <c r="A399" s="389" t="s">
        <v>2345</v>
      </c>
      <c r="B399" s="389" t="s">
        <v>2345</v>
      </c>
      <c r="C399" s="389" t="s">
        <v>7029</v>
      </c>
      <c r="D399" s="389" t="s">
        <v>3733</v>
      </c>
      <c r="E399" s="389" t="s">
        <v>2921</v>
      </c>
      <c r="F399" s="389" t="s">
        <v>3354</v>
      </c>
      <c r="G399" s="389" t="s">
        <v>3355</v>
      </c>
    </row>
    <row r="400" spans="1:7">
      <c r="A400" s="389" t="s">
        <v>2345</v>
      </c>
      <c r="B400" s="389" t="s">
        <v>1945</v>
      </c>
      <c r="C400" s="389" t="s">
        <v>3353</v>
      </c>
      <c r="D400" s="389" t="s">
        <v>3734</v>
      </c>
      <c r="E400" s="389" t="s">
        <v>2921</v>
      </c>
      <c r="F400" s="389" t="s">
        <v>3354</v>
      </c>
      <c r="G400" s="389" t="s">
        <v>3355</v>
      </c>
    </row>
    <row r="401" spans="1:7">
      <c r="A401" s="389" t="s">
        <v>2346</v>
      </c>
      <c r="B401" s="389" t="s">
        <v>2346</v>
      </c>
      <c r="C401" s="389" t="s">
        <v>3419</v>
      </c>
      <c r="D401" s="389" t="s">
        <v>3735</v>
      </c>
      <c r="E401" s="389" t="s">
        <v>2921</v>
      </c>
      <c r="F401" s="389" t="s">
        <v>3354</v>
      </c>
      <c r="G401" s="389" t="s">
        <v>3355</v>
      </c>
    </row>
    <row r="402" spans="1:7">
      <c r="A402" s="389" t="s">
        <v>2348</v>
      </c>
      <c r="B402" s="389" t="s">
        <v>2348</v>
      </c>
      <c r="C402" s="389" t="s">
        <v>3502</v>
      </c>
      <c r="D402" s="389" t="s">
        <v>3736</v>
      </c>
      <c r="E402" s="389" t="s">
        <v>2921</v>
      </c>
      <c r="F402" s="389" t="s">
        <v>3354</v>
      </c>
      <c r="G402" s="389" t="s">
        <v>3355</v>
      </c>
    </row>
    <row r="403" spans="1:7">
      <c r="A403" s="389" t="s">
        <v>2348</v>
      </c>
      <c r="B403" s="389" t="s">
        <v>1991</v>
      </c>
      <c r="C403" s="389" t="s">
        <v>3353</v>
      </c>
      <c r="D403" s="389" t="s">
        <v>3737</v>
      </c>
      <c r="E403" s="389" t="s">
        <v>2921</v>
      </c>
      <c r="F403" s="389" t="s">
        <v>3354</v>
      </c>
      <c r="G403" s="389" t="s">
        <v>3355</v>
      </c>
    </row>
    <row r="404" spans="1:7">
      <c r="A404" s="389" t="s">
        <v>2349</v>
      </c>
      <c r="B404" s="389" t="s">
        <v>2349</v>
      </c>
      <c r="C404" s="389" t="s">
        <v>3502</v>
      </c>
      <c r="D404" s="389" t="s">
        <v>3738</v>
      </c>
      <c r="E404" s="389" t="s">
        <v>2921</v>
      </c>
      <c r="F404" s="389" t="s">
        <v>3354</v>
      </c>
      <c r="G404" s="389" t="s">
        <v>3355</v>
      </c>
    </row>
    <row r="405" spans="1:7">
      <c r="A405" s="389" t="s">
        <v>2351</v>
      </c>
      <c r="B405" s="389" t="s">
        <v>2351</v>
      </c>
      <c r="C405" s="389" t="s">
        <v>7029</v>
      </c>
      <c r="D405" s="389" t="s">
        <v>3739</v>
      </c>
      <c r="E405" s="389" t="s">
        <v>2921</v>
      </c>
      <c r="F405" s="389" t="s">
        <v>3354</v>
      </c>
      <c r="G405" s="389" t="s">
        <v>3355</v>
      </c>
    </row>
    <row r="406" spans="1:7">
      <c r="A406" s="389" t="s">
        <v>2353</v>
      </c>
      <c r="B406" s="389" t="s">
        <v>2353</v>
      </c>
      <c r="C406" s="389" t="s">
        <v>3387</v>
      </c>
      <c r="D406" s="389" t="s">
        <v>3740</v>
      </c>
      <c r="E406" s="389" t="s">
        <v>2921</v>
      </c>
      <c r="F406" s="389" t="s">
        <v>3354</v>
      </c>
      <c r="G406" s="389" t="s">
        <v>3355</v>
      </c>
    </row>
    <row r="407" spans="1:7">
      <c r="A407" s="389" t="s">
        <v>2355</v>
      </c>
      <c r="B407" s="389" t="s">
        <v>2355</v>
      </c>
      <c r="C407" s="389" t="s">
        <v>3419</v>
      </c>
      <c r="D407" s="389" t="s">
        <v>2356</v>
      </c>
      <c r="E407" s="389" t="s">
        <v>2921</v>
      </c>
      <c r="F407" s="389" t="s">
        <v>3389</v>
      </c>
      <c r="G407" s="389" t="s">
        <v>3355</v>
      </c>
    </row>
    <row r="408" spans="1:7">
      <c r="A408" s="389" t="s">
        <v>2357</v>
      </c>
      <c r="B408" s="389" t="s">
        <v>2357</v>
      </c>
      <c r="C408" s="389" t="s">
        <v>7029</v>
      </c>
      <c r="D408" s="389" t="s">
        <v>1829</v>
      </c>
      <c r="E408" s="389" t="s">
        <v>2921</v>
      </c>
      <c r="F408" s="389" t="s">
        <v>3354</v>
      </c>
      <c r="G408" s="389" t="s">
        <v>3355</v>
      </c>
    </row>
    <row r="409" spans="1:7">
      <c r="A409" s="389" t="s">
        <v>2357</v>
      </c>
      <c r="B409" s="389" t="s">
        <v>1990</v>
      </c>
      <c r="C409" s="389" t="s">
        <v>3353</v>
      </c>
      <c r="D409" s="389" t="s">
        <v>3741</v>
      </c>
      <c r="E409" s="389" t="s">
        <v>2921</v>
      </c>
      <c r="F409" s="389" t="s">
        <v>3354</v>
      </c>
      <c r="G409" s="389" t="s">
        <v>3355</v>
      </c>
    </row>
    <row r="410" spans="1:7">
      <c r="A410" s="389" t="s">
        <v>2359</v>
      </c>
      <c r="B410" s="389" t="s">
        <v>2359</v>
      </c>
      <c r="C410" s="389" t="s">
        <v>3419</v>
      </c>
      <c r="D410" s="389" t="s">
        <v>2360</v>
      </c>
      <c r="E410" s="389" t="s">
        <v>2921</v>
      </c>
      <c r="F410" s="389" t="s">
        <v>3389</v>
      </c>
      <c r="G410" s="389" t="s">
        <v>3355</v>
      </c>
    </row>
    <row r="411" spans="1:7">
      <c r="A411" s="389" t="s">
        <v>2361</v>
      </c>
      <c r="B411" s="389" t="s">
        <v>2361</v>
      </c>
      <c r="C411" s="389" t="s">
        <v>3419</v>
      </c>
      <c r="D411" s="389" t="s">
        <v>3742</v>
      </c>
      <c r="E411" s="389" t="s">
        <v>2921</v>
      </c>
      <c r="F411" s="389" t="s">
        <v>3354</v>
      </c>
      <c r="G411" s="389" t="s">
        <v>3355</v>
      </c>
    </row>
    <row r="412" spans="1:7">
      <c r="A412" s="389" t="s">
        <v>2363</v>
      </c>
      <c r="B412" s="389" t="s">
        <v>2363</v>
      </c>
      <c r="C412" s="389" t="s">
        <v>3419</v>
      </c>
      <c r="D412" s="389" t="s">
        <v>3743</v>
      </c>
      <c r="E412" s="389" t="s">
        <v>2921</v>
      </c>
      <c r="F412" s="389" t="s">
        <v>3699</v>
      </c>
      <c r="G412" s="389" t="s">
        <v>3355</v>
      </c>
    </row>
    <row r="413" spans="1:7">
      <c r="A413" s="389" t="s">
        <v>2366</v>
      </c>
      <c r="B413" s="389" t="s">
        <v>2366</v>
      </c>
      <c r="C413" s="389" t="s">
        <v>7029</v>
      </c>
      <c r="D413" s="389" t="s">
        <v>3744</v>
      </c>
      <c r="E413" s="389" t="s">
        <v>2921</v>
      </c>
      <c r="F413" s="389" t="s">
        <v>3389</v>
      </c>
      <c r="G413" s="389" t="s">
        <v>3355</v>
      </c>
    </row>
    <row r="414" spans="1:7">
      <c r="A414" s="389" t="s">
        <v>2366</v>
      </c>
      <c r="B414" s="389" t="s">
        <v>1989</v>
      </c>
      <c r="C414" s="389" t="s">
        <v>3353</v>
      </c>
      <c r="D414" s="389" t="s">
        <v>3745</v>
      </c>
      <c r="E414" s="389" t="s">
        <v>2921</v>
      </c>
      <c r="F414" s="389" t="s">
        <v>3389</v>
      </c>
      <c r="G414" s="389" t="s">
        <v>3355</v>
      </c>
    </row>
    <row r="415" spans="1:7">
      <c r="A415" s="389" t="s">
        <v>2367</v>
      </c>
      <c r="B415" s="389" t="s">
        <v>2367</v>
      </c>
      <c r="C415" s="389" t="s">
        <v>3746</v>
      </c>
      <c r="D415" s="389" t="s">
        <v>3747</v>
      </c>
      <c r="E415" s="389" t="s">
        <v>2921</v>
      </c>
      <c r="F415" s="389" t="s">
        <v>3354</v>
      </c>
      <c r="G415" s="389" t="s">
        <v>3355</v>
      </c>
    </row>
    <row r="416" spans="1:7">
      <c r="A416" s="389" t="s">
        <v>2367</v>
      </c>
      <c r="B416" s="389" t="s">
        <v>2056</v>
      </c>
      <c r="C416" s="389" t="s">
        <v>3748</v>
      </c>
      <c r="D416" s="389" t="s">
        <v>3749</v>
      </c>
      <c r="E416" s="389" t="s">
        <v>2921</v>
      </c>
      <c r="F416" s="389" t="s">
        <v>3354</v>
      </c>
      <c r="G416" s="389" t="s">
        <v>3355</v>
      </c>
    </row>
    <row r="417" spans="1:7">
      <c r="A417" s="389" t="s">
        <v>2368</v>
      </c>
      <c r="B417" s="389" t="s">
        <v>2368</v>
      </c>
      <c r="C417" s="389" t="s">
        <v>3419</v>
      </c>
      <c r="D417" s="389" t="s">
        <v>3750</v>
      </c>
      <c r="E417" s="389" t="s">
        <v>2921</v>
      </c>
      <c r="F417" s="389" t="s">
        <v>3445</v>
      </c>
      <c r="G417" s="389" t="s">
        <v>3355</v>
      </c>
    </row>
    <row r="418" spans="1:7">
      <c r="A418" s="389" t="s">
        <v>2370</v>
      </c>
      <c r="B418" s="389" t="s">
        <v>2370</v>
      </c>
      <c r="C418" s="389" t="s">
        <v>3751</v>
      </c>
      <c r="D418" s="389" t="s">
        <v>3752</v>
      </c>
      <c r="E418" s="389" t="s">
        <v>2921</v>
      </c>
      <c r="F418" s="389" t="s">
        <v>3408</v>
      </c>
      <c r="G418" s="389" t="s">
        <v>3355</v>
      </c>
    </row>
    <row r="419" spans="1:7">
      <c r="A419" s="389" t="s">
        <v>2370</v>
      </c>
      <c r="B419" s="389" t="s">
        <v>2057</v>
      </c>
      <c r="C419" s="389" t="s">
        <v>3748</v>
      </c>
      <c r="D419" s="389" t="s">
        <v>3753</v>
      </c>
      <c r="E419" s="389" t="s">
        <v>2921</v>
      </c>
      <c r="F419" s="389" t="s">
        <v>3408</v>
      </c>
      <c r="G419" s="389" t="s">
        <v>3355</v>
      </c>
    </row>
    <row r="420" spans="1:7">
      <c r="A420" s="389" t="s">
        <v>2371</v>
      </c>
      <c r="B420" s="389" t="s">
        <v>2371</v>
      </c>
      <c r="C420" s="389" t="s">
        <v>7029</v>
      </c>
      <c r="D420" s="389" t="s">
        <v>3754</v>
      </c>
      <c r="E420" s="389" t="s">
        <v>2921</v>
      </c>
      <c r="F420" s="389" t="s">
        <v>3445</v>
      </c>
      <c r="G420" s="389" t="s">
        <v>3355</v>
      </c>
    </row>
    <row r="421" spans="1:7">
      <c r="A421" s="389" t="s">
        <v>2371</v>
      </c>
      <c r="B421" s="389" t="s">
        <v>2058</v>
      </c>
      <c r="C421" s="389" t="s">
        <v>3353</v>
      </c>
      <c r="D421" s="389" t="s">
        <v>3755</v>
      </c>
      <c r="E421" s="389" t="s">
        <v>2921</v>
      </c>
      <c r="F421" s="389" t="s">
        <v>3445</v>
      </c>
      <c r="G421" s="389" t="s">
        <v>3355</v>
      </c>
    </row>
    <row r="422" spans="1:7">
      <c r="A422" s="389" t="s">
        <v>2373</v>
      </c>
      <c r="B422" s="389" t="s">
        <v>2373</v>
      </c>
      <c r="C422" s="389" t="s">
        <v>3419</v>
      </c>
      <c r="D422" s="389" t="s">
        <v>3757</v>
      </c>
      <c r="E422" s="389" t="s">
        <v>2921</v>
      </c>
      <c r="F422" s="389" t="s">
        <v>3354</v>
      </c>
      <c r="G422" s="389" t="s">
        <v>3355</v>
      </c>
    </row>
    <row r="423" spans="1:7">
      <c r="A423" s="389" t="s">
        <v>2374</v>
      </c>
      <c r="B423" s="389" t="s">
        <v>2374</v>
      </c>
      <c r="C423" s="389" t="s">
        <v>3419</v>
      </c>
      <c r="D423" s="389" t="s">
        <v>3758</v>
      </c>
      <c r="E423" s="389" t="s">
        <v>2921</v>
      </c>
      <c r="F423" s="389" t="s">
        <v>3354</v>
      </c>
      <c r="G423" s="389" t="s">
        <v>3355</v>
      </c>
    </row>
    <row r="424" spans="1:7">
      <c r="A424" s="389" t="s">
        <v>2376</v>
      </c>
      <c r="B424" s="389" t="s">
        <v>2376</v>
      </c>
      <c r="C424" s="389" t="s">
        <v>3756</v>
      </c>
      <c r="D424" s="389" t="s">
        <v>2377</v>
      </c>
      <c r="E424" s="389" t="s">
        <v>2921</v>
      </c>
      <c r="F424" s="389" t="s">
        <v>3354</v>
      </c>
      <c r="G424" s="389" t="s">
        <v>3355</v>
      </c>
    </row>
    <row r="425" spans="1:7">
      <c r="A425" s="389" t="s">
        <v>2376</v>
      </c>
      <c r="B425" s="389" t="s">
        <v>2059</v>
      </c>
      <c r="C425" s="389" t="s">
        <v>6842</v>
      </c>
      <c r="D425" s="389" t="s">
        <v>3759</v>
      </c>
      <c r="E425" s="389" t="s">
        <v>2921</v>
      </c>
      <c r="F425" s="389" t="s">
        <v>3354</v>
      </c>
      <c r="G425" s="389" t="s">
        <v>3355</v>
      </c>
    </row>
    <row r="426" spans="1:7">
      <c r="A426" s="389" t="s">
        <v>2378</v>
      </c>
      <c r="B426" s="389" t="s">
        <v>2378</v>
      </c>
      <c r="C426" s="389" t="s">
        <v>3419</v>
      </c>
      <c r="D426" s="389" t="s">
        <v>2379</v>
      </c>
      <c r="E426" s="389" t="s">
        <v>2921</v>
      </c>
      <c r="F426" s="389" t="s">
        <v>3354</v>
      </c>
      <c r="G426" s="389" t="s">
        <v>3355</v>
      </c>
    </row>
    <row r="427" spans="1:7">
      <c r="A427" s="389" t="s">
        <v>2380</v>
      </c>
      <c r="B427" s="389" t="s">
        <v>2380</v>
      </c>
      <c r="C427" s="389" t="s">
        <v>3419</v>
      </c>
      <c r="D427" s="389" t="s">
        <v>3760</v>
      </c>
      <c r="E427" s="389" t="s">
        <v>2921</v>
      </c>
      <c r="F427" s="389" t="s">
        <v>3354</v>
      </c>
      <c r="G427" s="389" t="s">
        <v>3355</v>
      </c>
    </row>
    <row r="428" spans="1:7">
      <c r="A428" s="389" t="s">
        <v>2380</v>
      </c>
      <c r="B428" s="389" t="s">
        <v>2068</v>
      </c>
      <c r="C428" s="389" t="s">
        <v>3361</v>
      </c>
      <c r="D428" s="389" t="s">
        <v>3761</v>
      </c>
      <c r="E428" s="389" t="s">
        <v>2921</v>
      </c>
      <c r="F428" s="389" t="s">
        <v>3354</v>
      </c>
      <c r="G428" s="389" t="s">
        <v>3355</v>
      </c>
    </row>
    <row r="429" spans="1:7">
      <c r="A429" s="389" t="s">
        <v>2382</v>
      </c>
      <c r="B429" s="389" t="s">
        <v>2382</v>
      </c>
      <c r="C429" s="389" t="s">
        <v>7029</v>
      </c>
      <c r="D429" s="389" t="s">
        <v>2383</v>
      </c>
      <c r="E429" s="389" t="s">
        <v>2921</v>
      </c>
      <c r="F429" s="389" t="s">
        <v>3354</v>
      </c>
      <c r="G429" s="389" t="s">
        <v>3355</v>
      </c>
    </row>
    <row r="430" spans="1:7">
      <c r="A430" s="389" t="s">
        <v>2384</v>
      </c>
      <c r="B430" s="389" t="s">
        <v>2384</v>
      </c>
      <c r="C430" s="389" t="s">
        <v>7029</v>
      </c>
      <c r="D430" s="389" t="s">
        <v>2385</v>
      </c>
      <c r="E430" s="389" t="s">
        <v>2921</v>
      </c>
      <c r="F430" s="389" t="s">
        <v>3354</v>
      </c>
      <c r="G430" s="389" t="s">
        <v>3355</v>
      </c>
    </row>
    <row r="431" spans="1:7">
      <c r="A431" s="389" t="s">
        <v>2386</v>
      </c>
      <c r="B431" s="389" t="s">
        <v>2386</v>
      </c>
      <c r="C431" s="389" t="s">
        <v>7029</v>
      </c>
      <c r="D431" s="389" t="s">
        <v>2387</v>
      </c>
      <c r="E431" s="389" t="s">
        <v>2921</v>
      </c>
      <c r="F431" s="389" t="s">
        <v>3354</v>
      </c>
      <c r="G431" s="389" t="s">
        <v>3355</v>
      </c>
    </row>
    <row r="432" spans="1:7">
      <c r="A432" s="389" t="s">
        <v>2388</v>
      </c>
      <c r="B432" s="389" t="s">
        <v>2388</v>
      </c>
      <c r="C432" s="389" t="s">
        <v>7029</v>
      </c>
      <c r="D432" s="389" t="s">
        <v>2389</v>
      </c>
      <c r="E432" s="389" t="s">
        <v>2921</v>
      </c>
      <c r="F432" s="389" t="s">
        <v>3354</v>
      </c>
      <c r="G432" s="389" t="s">
        <v>3355</v>
      </c>
    </row>
    <row r="433" spans="1:7">
      <c r="A433" s="389" t="s">
        <v>2390</v>
      </c>
      <c r="B433" s="389" t="s">
        <v>2390</v>
      </c>
      <c r="C433" s="389" t="s">
        <v>7029</v>
      </c>
      <c r="D433" s="389" t="s">
        <v>2391</v>
      </c>
      <c r="E433" s="389" t="s">
        <v>2921</v>
      </c>
      <c r="F433" s="389" t="s">
        <v>3354</v>
      </c>
      <c r="G433" s="389" t="s">
        <v>3355</v>
      </c>
    </row>
    <row r="434" spans="1:7">
      <c r="A434" s="389" t="s">
        <v>2392</v>
      </c>
      <c r="B434" s="389" t="s">
        <v>2392</v>
      </c>
      <c r="C434" s="389" t="s">
        <v>3756</v>
      </c>
      <c r="D434" s="389" t="s">
        <v>3762</v>
      </c>
      <c r="E434" s="389" t="s">
        <v>2921</v>
      </c>
      <c r="F434" s="389" t="s">
        <v>3354</v>
      </c>
      <c r="G434" s="389" t="s">
        <v>3355</v>
      </c>
    </row>
    <row r="435" spans="1:7">
      <c r="A435" s="389" t="s">
        <v>2392</v>
      </c>
      <c r="B435" s="389" t="s">
        <v>2120</v>
      </c>
      <c r="C435" s="389" t="s">
        <v>6842</v>
      </c>
      <c r="D435" s="389" t="s">
        <v>3763</v>
      </c>
      <c r="E435" s="389" t="s">
        <v>2921</v>
      </c>
      <c r="F435" s="389" t="s">
        <v>3354</v>
      </c>
      <c r="G435" s="389" t="s">
        <v>3355</v>
      </c>
    </row>
    <row r="436" spans="1:7">
      <c r="A436" s="389" t="s">
        <v>2394</v>
      </c>
      <c r="B436" s="389" t="s">
        <v>2394</v>
      </c>
      <c r="C436" s="389" t="s">
        <v>3756</v>
      </c>
      <c r="D436" s="389" t="s">
        <v>3764</v>
      </c>
      <c r="E436" s="389" t="s">
        <v>2921</v>
      </c>
      <c r="F436" s="389" t="s">
        <v>3354</v>
      </c>
      <c r="G436" s="389" t="s">
        <v>3355</v>
      </c>
    </row>
    <row r="437" spans="1:7">
      <c r="A437" s="389" t="s">
        <v>2394</v>
      </c>
      <c r="B437" s="389" t="s">
        <v>2121</v>
      </c>
      <c r="C437" s="389" t="s">
        <v>6842</v>
      </c>
      <c r="D437" s="389" t="s">
        <v>3765</v>
      </c>
      <c r="E437" s="389" t="s">
        <v>2921</v>
      </c>
      <c r="F437" s="389" t="s">
        <v>3354</v>
      </c>
      <c r="G437" s="389" t="s">
        <v>3355</v>
      </c>
    </row>
    <row r="438" spans="1:7">
      <c r="A438" s="389" t="s">
        <v>2396</v>
      </c>
      <c r="B438" s="389" t="s">
        <v>2396</v>
      </c>
      <c r="C438" s="389" t="s">
        <v>3419</v>
      </c>
      <c r="D438" s="389" t="s">
        <v>3766</v>
      </c>
      <c r="E438" s="389" t="s">
        <v>2921</v>
      </c>
      <c r="F438" s="389" t="s">
        <v>3354</v>
      </c>
      <c r="G438" s="389" t="s">
        <v>3355</v>
      </c>
    </row>
    <row r="439" spans="1:7">
      <c r="A439" s="389" t="s">
        <v>2398</v>
      </c>
      <c r="B439" s="389" t="s">
        <v>2398</v>
      </c>
      <c r="C439" s="389" t="s">
        <v>3419</v>
      </c>
      <c r="D439" s="389" t="s">
        <v>2399</v>
      </c>
      <c r="E439" s="389" t="s">
        <v>2921</v>
      </c>
      <c r="F439" s="389" t="s">
        <v>3354</v>
      </c>
      <c r="G439" s="389" t="s">
        <v>3355</v>
      </c>
    </row>
    <row r="440" spans="1:7">
      <c r="A440" s="389" t="s">
        <v>2400</v>
      </c>
      <c r="B440" s="389" t="s">
        <v>2400</v>
      </c>
      <c r="C440" s="389" t="s">
        <v>3419</v>
      </c>
      <c r="D440" s="389" t="s">
        <v>2401</v>
      </c>
      <c r="E440" s="389" t="s">
        <v>2921</v>
      </c>
      <c r="F440" s="389" t="s">
        <v>3354</v>
      </c>
      <c r="G440" s="389" t="s">
        <v>3355</v>
      </c>
    </row>
    <row r="441" spans="1:7">
      <c r="A441" s="389" t="s">
        <v>2402</v>
      </c>
      <c r="B441" s="389" t="s">
        <v>2402</v>
      </c>
      <c r="C441" s="389" t="s">
        <v>3756</v>
      </c>
      <c r="D441" s="389" t="s">
        <v>3767</v>
      </c>
      <c r="E441" s="389" t="s">
        <v>2921</v>
      </c>
      <c r="F441" s="389" t="s">
        <v>3354</v>
      </c>
      <c r="G441" s="389" t="s">
        <v>3355</v>
      </c>
    </row>
    <row r="442" spans="1:7">
      <c r="A442" s="389" t="s">
        <v>2402</v>
      </c>
      <c r="B442" s="389" t="s">
        <v>2166</v>
      </c>
      <c r="C442" s="389" t="s">
        <v>6842</v>
      </c>
      <c r="D442" s="389" t="s">
        <v>3768</v>
      </c>
      <c r="E442" s="389" t="s">
        <v>2921</v>
      </c>
      <c r="F442" s="389" t="s">
        <v>3354</v>
      </c>
      <c r="G442" s="389" t="s">
        <v>3355</v>
      </c>
    </row>
    <row r="443" spans="1:7">
      <c r="A443" s="389" t="s">
        <v>2403</v>
      </c>
      <c r="B443" s="389" t="s">
        <v>2403</v>
      </c>
      <c r="C443" s="389" t="s">
        <v>3756</v>
      </c>
      <c r="D443" s="389" t="s">
        <v>2159</v>
      </c>
      <c r="E443" s="389" t="s">
        <v>2921</v>
      </c>
      <c r="F443" s="389" t="s">
        <v>3354</v>
      </c>
      <c r="G443" s="389" t="s">
        <v>3355</v>
      </c>
    </row>
    <row r="444" spans="1:7">
      <c r="A444" s="389" t="s">
        <v>2403</v>
      </c>
      <c r="B444" s="389" t="s">
        <v>2167</v>
      </c>
      <c r="C444" s="389" t="s">
        <v>6842</v>
      </c>
      <c r="D444" s="389" t="s">
        <v>3769</v>
      </c>
      <c r="E444" s="389" t="s">
        <v>2921</v>
      </c>
      <c r="F444" s="389" t="s">
        <v>3354</v>
      </c>
      <c r="G444" s="389" t="s">
        <v>3355</v>
      </c>
    </row>
    <row r="445" spans="1:7">
      <c r="A445" s="389" t="s">
        <v>2404</v>
      </c>
      <c r="B445" s="389" t="s">
        <v>2404</v>
      </c>
      <c r="C445" s="389" t="s">
        <v>7029</v>
      </c>
      <c r="D445" s="389" t="s">
        <v>2405</v>
      </c>
      <c r="E445" s="389" t="s">
        <v>2921</v>
      </c>
      <c r="F445" s="389" t="s">
        <v>3354</v>
      </c>
      <c r="G445" s="389" t="s">
        <v>3355</v>
      </c>
    </row>
    <row r="446" spans="1:7">
      <c r="A446" s="389" t="s">
        <v>2406</v>
      </c>
      <c r="B446" s="389" t="s">
        <v>2406</v>
      </c>
      <c r="C446" s="389" t="s">
        <v>7029</v>
      </c>
      <c r="D446" s="389" t="s">
        <v>2407</v>
      </c>
      <c r="E446" s="389" t="s">
        <v>2921</v>
      </c>
      <c r="F446" s="389" t="s">
        <v>3354</v>
      </c>
      <c r="G446" s="389" t="s">
        <v>3355</v>
      </c>
    </row>
    <row r="447" spans="1:7">
      <c r="A447" s="389" t="s">
        <v>2408</v>
      </c>
      <c r="B447" s="389" t="s">
        <v>2408</v>
      </c>
      <c r="C447" s="389" t="s">
        <v>3756</v>
      </c>
      <c r="D447" s="389" t="s">
        <v>2409</v>
      </c>
      <c r="E447" s="389" t="s">
        <v>2921</v>
      </c>
      <c r="F447" s="389" t="s">
        <v>3354</v>
      </c>
      <c r="G447" s="389" t="s">
        <v>3355</v>
      </c>
    </row>
    <row r="448" spans="1:7">
      <c r="A448" s="389" t="s">
        <v>2410</v>
      </c>
      <c r="B448" s="389" t="s">
        <v>2410</v>
      </c>
      <c r="C448" s="389" t="s">
        <v>3419</v>
      </c>
      <c r="D448" s="389" t="s">
        <v>2411</v>
      </c>
      <c r="E448" s="389" t="s">
        <v>2921</v>
      </c>
      <c r="F448" s="389" t="s">
        <v>3354</v>
      </c>
      <c r="G448" s="389" t="s">
        <v>3355</v>
      </c>
    </row>
    <row r="449" spans="1:7">
      <c r="A449" s="389" t="s">
        <v>2412</v>
      </c>
      <c r="B449" s="389" t="s">
        <v>2412</v>
      </c>
      <c r="C449" s="389" t="s">
        <v>7029</v>
      </c>
      <c r="D449" s="389" t="s">
        <v>3770</v>
      </c>
      <c r="E449" s="389" t="s">
        <v>2921</v>
      </c>
      <c r="F449" s="389" t="s">
        <v>3354</v>
      </c>
      <c r="G449" s="389" t="s">
        <v>3355</v>
      </c>
    </row>
    <row r="450" spans="1:7">
      <c r="A450" s="389" t="s">
        <v>2412</v>
      </c>
      <c r="B450" s="389" t="s">
        <v>2168</v>
      </c>
      <c r="C450" s="389" t="s">
        <v>3353</v>
      </c>
      <c r="D450" s="389" t="s">
        <v>3771</v>
      </c>
      <c r="E450" s="389" t="s">
        <v>2921</v>
      </c>
      <c r="F450" s="389" t="s">
        <v>3354</v>
      </c>
      <c r="G450" s="389" t="s">
        <v>3355</v>
      </c>
    </row>
    <row r="451" spans="1:7">
      <c r="A451" s="389" t="s">
        <v>2413</v>
      </c>
      <c r="B451" s="389" t="s">
        <v>2413</v>
      </c>
      <c r="C451" s="389" t="s">
        <v>19135</v>
      </c>
      <c r="D451" s="389" t="s">
        <v>3772</v>
      </c>
      <c r="E451" s="389" t="s">
        <v>2921</v>
      </c>
      <c r="F451" s="389" t="s">
        <v>3354</v>
      </c>
      <c r="G451" s="389" t="s">
        <v>3355</v>
      </c>
    </row>
    <row r="452" spans="1:7">
      <c r="A452" s="389" t="s">
        <v>2414</v>
      </c>
      <c r="B452" s="389" t="s">
        <v>2414</v>
      </c>
      <c r="C452" s="389" t="s">
        <v>7029</v>
      </c>
      <c r="D452" s="389" t="s">
        <v>3773</v>
      </c>
      <c r="E452" s="389" t="s">
        <v>2921</v>
      </c>
      <c r="F452" s="389" t="s">
        <v>3354</v>
      </c>
      <c r="G452" s="389" t="s">
        <v>3355</v>
      </c>
    </row>
    <row r="453" spans="1:7">
      <c r="A453" s="389" t="s">
        <v>2414</v>
      </c>
      <c r="B453" s="389" t="s">
        <v>2425</v>
      </c>
      <c r="C453" s="389" t="s">
        <v>3353</v>
      </c>
      <c r="D453" s="389" t="s">
        <v>3774</v>
      </c>
      <c r="E453" s="389" t="s">
        <v>2921</v>
      </c>
      <c r="F453" s="389" t="s">
        <v>3354</v>
      </c>
      <c r="G453" s="389" t="s">
        <v>3355</v>
      </c>
    </row>
    <row r="454" spans="1:7">
      <c r="A454" s="389" t="s">
        <v>2435</v>
      </c>
      <c r="B454" s="389" t="s">
        <v>2435</v>
      </c>
      <c r="C454" s="389" t="s">
        <v>7029</v>
      </c>
      <c r="D454" s="389" t="s">
        <v>3775</v>
      </c>
      <c r="E454" s="389" t="s">
        <v>2921</v>
      </c>
      <c r="F454" s="389" t="s">
        <v>3443</v>
      </c>
      <c r="G454" s="389" t="s">
        <v>3355</v>
      </c>
    </row>
    <row r="455" spans="1:7">
      <c r="A455" s="389" t="s">
        <v>2435</v>
      </c>
      <c r="B455" s="389" t="s">
        <v>2482</v>
      </c>
      <c r="C455" s="389" t="s">
        <v>3353</v>
      </c>
      <c r="D455" s="389" t="s">
        <v>3776</v>
      </c>
      <c r="E455" s="389" t="s">
        <v>2921</v>
      </c>
      <c r="F455" s="389" t="s">
        <v>3443</v>
      </c>
      <c r="G455" s="389" t="s">
        <v>3355</v>
      </c>
    </row>
    <row r="456" spans="1:7">
      <c r="A456" s="389" t="s">
        <v>2436</v>
      </c>
      <c r="B456" s="389" t="s">
        <v>2436</v>
      </c>
      <c r="C456" s="389" t="s">
        <v>7029</v>
      </c>
      <c r="D456" s="389" t="s">
        <v>2483</v>
      </c>
      <c r="E456" s="389" t="s">
        <v>2921</v>
      </c>
      <c r="F456" s="389" t="s">
        <v>3354</v>
      </c>
      <c r="G456" s="389" t="s">
        <v>3355</v>
      </c>
    </row>
    <row r="457" spans="1:7">
      <c r="A457" s="389" t="s">
        <v>2436</v>
      </c>
      <c r="B457" s="389" t="s">
        <v>2481</v>
      </c>
      <c r="C457" s="389" t="s">
        <v>3353</v>
      </c>
      <c r="D457" s="389" t="s">
        <v>3777</v>
      </c>
      <c r="E457" s="389" t="s">
        <v>2921</v>
      </c>
      <c r="F457" s="389" t="s">
        <v>3354</v>
      </c>
      <c r="G457" s="389" t="s">
        <v>3355</v>
      </c>
    </row>
    <row r="458" spans="1:7">
      <c r="A458" s="389" t="s">
        <v>2487</v>
      </c>
      <c r="B458" s="389" t="s">
        <v>2487</v>
      </c>
      <c r="C458" s="389" t="s">
        <v>3746</v>
      </c>
      <c r="D458" s="389" t="s">
        <v>2372</v>
      </c>
      <c r="E458" s="389" t="s">
        <v>2921</v>
      </c>
      <c r="F458" s="389" t="s">
        <v>3354</v>
      </c>
      <c r="G458" s="389" t="s">
        <v>3355</v>
      </c>
    </row>
    <row r="459" spans="1:7">
      <c r="A459" s="389" t="s">
        <v>2487</v>
      </c>
      <c r="B459" s="389" t="s">
        <v>2495</v>
      </c>
      <c r="C459" s="389" t="s">
        <v>3748</v>
      </c>
      <c r="D459" s="389" t="s">
        <v>3778</v>
      </c>
      <c r="E459" s="389" t="s">
        <v>2921</v>
      </c>
      <c r="F459" s="389" t="s">
        <v>3354</v>
      </c>
      <c r="G459" s="389" t="s">
        <v>3355</v>
      </c>
    </row>
    <row r="460" spans="1:7">
      <c r="A460" s="389" t="s">
        <v>2557</v>
      </c>
      <c r="B460" s="389" t="s">
        <v>2557</v>
      </c>
      <c r="C460" s="389" t="s">
        <v>7029</v>
      </c>
      <c r="D460" s="389" t="s">
        <v>2564</v>
      </c>
      <c r="E460" s="389" t="s">
        <v>2921</v>
      </c>
      <c r="F460" s="389" t="s">
        <v>3354</v>
      </c>
      <c r="G460" s="389" t="s">
        <v>3355</v>
      </c>
    </row>
    <row r="461" spans="1:7">
      <c r="A461" s="389" t="s">
        <v>2570</v>
      </c>
      <c r="B461" s="389" t="s">
        <v>2570</v>
      </c>
      <c r="C461" s="389" t="s">
        <v>7029</v>
      </c>
      <c r="D461" s="389" t="s">
        <v>2480</v>
      </c>
      <c r="E461" s="389" t="s">
        <v>2921</v>
      </c>
      <c r="F461" s="389" t="s">
        <v>3354</v>
      </c>
      <c r="G461" s="389" t="s">
        <v>3355</v>
      </c>
    </row>
    <row r="462" spans="1:7">
      <c r="A462" s="389" t="s">
        <v>2570</v>
      </c>
      <c r="B462" s="389" t="s">
        <v>2642</v>
      </c>
      <c r="C462" s="389" t="s">
        <v>3353</v>
      </c>
      <c r="D462" s="389" t="s">
        <v>3779</v>
      </c>
      <c r="E462" s="389" t="s">
        <v>2921</v>
      </c>
      <c r="F462" s="389" t="s">
        <v>3354</v>
      </c>
      <c r="G462" s="389" t="s">
        <v>3355</v>
      </c>
    </row>
    <row r="463" spans="1:7">
      <c r="A463" s="389" t="s">
        <v>2604</v>
      </c>
      <c r="B463" s="389" t="s">
        <v>2604</v>
      </c>
      <c r="C463" s="389" t="s">
        <v>7029</v>
      </c>
      <c r="D463" s="389" t="s">
        <v>2415</v>
      </c>
      <c r="E463" s="389" t="s">
        <v>2921</v>
      </c>
      <c r="F463" s="389" t="s">
        <v>3354</v>
      </c>
      <c r="G463" s="389" t="s">
        <v>3355</v>
      </c>
    </row>
    <row r="464" spans="1:7">
      <c r="A464" s="389" t="s">
        <v>2619</v>
      </c>
      <c r="B464" s="389" t="s">
        <v>2619</v>
      </c>
      <c r="C464" s="389" t="s">
        <v>7029</v>
      </c>
      <c r="D464" s="389" t="s">
        <v>2620</v>
      </c>
      <c r="E464" s="389" t="s">
        <v>2921</v>
      </c>
      <c r="F464" s="389" t="s">
        <v>3354</v>
      </c>
      <c r="G464" s="389" t="s">
        <v>3355</v>
      </c>
    </row>
    <row r="465" spans="1:7">
      <c r="A465" s="389" t="s">
        <v>2616</v>
      </c>
      <c r="B465" s="389" t="s">
        <v>2616</v>
      </c>
      <c r="C465" s="389" t="s">
        <v>7029</v>
      </c>
      <c r="D465" s="389" t="s">
        <v>2509</v>
      </c>
      <c r="E465" s="389" t="s">
        <v>2921</v>
      </c>
      <c r="F465" s="389" t="s">
        <v>3389</v>
      </c>
      <c r="G465" s="389" t="s">
        <v>3355</v>
      </c>
    </row>
    <row r="466" spans="1:7">
      <c r="A466" s="389" t="s">
        <v>2617</v>
      </c>
      <c r="B466" s="389" t="s">
        <v>2617</v>
      </c>
      <c r="C466" s="389" t="s">
        <v>8544</v>
      </c>
      <c r="D466" s="389" t="s">
        <v>3780</v>
      </c>
      <c r="E466" s="389" t="s">
        <v>2921</v>
      </c>
      <c r="F466" s="389" t="s">
        <v>3389</v>
      </c>
      <c r="G466" s="389" t="s">
        <v>3355</v>
      </c>
    </row>
    <row r="467" spans="1:7">
      <c r="A467" s="389" t="s">
        <v>2626</v>
      </c>
      <c r="B467" s="389" t="s">
        <v>2626</v>
      </c>
      <c r="C467" s="389" t="s">
        <v>7029</v>
      </c>
      <c r="D467" s="389" t="s">
        <v>2955</v>
      </c>
      <c r="E467" s="389" t="s">
        <v>2921</v>
      </c>
      <c r="F467" s="389" t="s">
        <v>3389</v>
      </c>
      <c r="G467" s="389" t="s">
        <v>3355</v>
      </c>
    </row>
    <row r="468" spans="1:7">
      <c r="A468" s="389" t="s">
        <v>2637</v>
      </c>
      <c r="B468" s="389" t="s">
        <v>2637</v>
      </c>
      <c r="C468" s="389" t="s">
        <v>3756</v>
      </c>
      <c r="D468" s="389" t="s">
        <v>3781</v>
      </c>
      <c r="E468" s="389" t="s">
        <v>2921</v>
      </c>
      <c r="F468" s="389" t="s">
        <v>3354</v>
      </c>
      <c r="G468" s="389" t="s">
        <v>3355</v>
      </c>
    </row>
    <row r="469" spans="1:7">
      <c r="A469" s="389" t="s">
        <v>2653</v>
      </c>
      <c r="B469" s="389" t="s">
        <v>2653</v>
      </c>
      <c r="C469" s="389" t="s">
        <v>3756</v>
      </c>
      <c r="D469" s="389" t="s">
        <v>3782</v>
      </c>
      <c r="E469" s="389" t="s">
        <v>2921</v>
      </c>
      <c r="F469" s="389" t="s">
        <v>3354</v>
      </c>
      <c r="G469" s="389" t="s">
        <v>3355</v>
      </c>
    </row>
    <row r="470" spans="1:7">
      <c r="A470" s="389" t="s">
        <v>2653</v>
      </c>
      <c r="B470" s="389" t="s">
        <v>2723</v>
      </c>
      <c r="C470" s="389" t="s">
        <v>6842</v>
      </c>
      <c r="D470" s="389" t="s">
        <v>3619</v>
      </c>
      <c r="E470" s="389" t="s">
        <v>2921</v>
      </c>
      <c r="F470" s="389" t="s">
        <v>3354</v>
      </c>
      <c r="G470" s="389" t="s">
        <v>3355</v>
      </c>
    </row>
    <row r="471" spans="1:7">
      <c r="A471" s="389" t="s">
        <v>2692</v>
      </c>
      <c r="B471" s="389" t="s">
        <v>2692</v>
      </c>
      <c r="C471" s="389" t="s">
        <v>7029</v>
      </c>
      <c r="D471" s="389" t="s">
        <v>3783</v>
      </c>
      <c r="E471" s="389" t="s">
        <v>2921</v>
      </c>
      <c r="F471" s="389" t="s">
        <v>3354</v>
      </c>
      <c r="G471" s="389" t="s">
        <v>3355</v>
      </c>
    </row>
    <row r="472" spans="1:7">
      <c r="A472" s="389" t="s">
        <v>2654</v>
      </c>
      <c r="B472" s="389" t="s">
        <v>2654</v>
      </c>
      <c r="C472" s="389" t="s">
        <v>3419</v>
      </c>
      <c r="D472" s="389" t="s">
        <v>2556</v>
      </c>
      <c r="E472" s="389" t="s">
        <v>2921</v>
      </c>
      <c r="F472" s="389" t="s">
        <v>3354</v>
      </c>
      <c r="G472" s="389" t="s">
        <v>3355</v>
      </c>
    </row>
    <row r="473" spans="1:7">
      <c r="A473" s="389" t="s">
        <v>2690</v>
      </c>
      <c r="B473" s="389" t="s">
        <v>2690</v>
      </c>
      <c r="C473" s="389" t="s">
        <v>3746</v>
      </c>
      <c r="D473" s="389" t="s">
        <v>2691</v>
      </c>
      <c r="E473" s="389" t="s">
        <v>2921</v>
      </c>
      <c r="F473" s="389" t="s">
        <v>3408</v>
      </c>
      <c r="G473" s="389" t="s">
        <v>3355</v>
      </c>
    </row>
    <row r="474" spans="1:7">
      <c r="A474" s="389" t="s">
        <v>2690</v>
      </c>
      <c r="B474" s="389" t="s">
        <v>3784</v>
      </c>
      <c r="C474" s="389" t="s">
        <v>3748</v>
      </c>
      <c r="D474" s="389" t="s">
        <v>3785</v>
      </c>
      <c r="E474" s="389" t="s">
        <v>2921</v>
      </c>
      <c r="F474" s="389" t="s">
        <v>3408</v>
      </c>
      <c r="G474" s="389" t="s">
        <v>3355</v>
      </c>
    </row>
    <row r="475" spans="1:7">
      <c r="A475" s="389" t="s">
        <v>2685</v>
      </c>
      <c r="B475" s="389" t="s">
        <v>2685</v>
      </c>
      <c r="C475" s="389" t="s">
        <v>3746</v>
      </c>
      <c r="D475" s="389" t="s">
        <v>2688</v>
      </c>
      <c r="E475" s="389" t="s">
        <v>2921</v>
      </c>
      <c r="F475" s="389" t="s">
        <v>3354</v>
      </c>
      <c r="G475" s="389" t="s">
        <v>3355</v>
      </c>
    </row>
    <row r="476" spans="1:7">
      <c r="A476" s="389" t="s">
        <v>2686</v>
      </c>
      <c r="B476" s="389" t="s">
        <v>2686</v>
      </c>
      <c r="C476" s="389" t="s">
        <v>7029</v>
      </c>
      <c r="D476" s="389" t="s">
        <v>3786</v>
      </c>
      <c r="E476" s="389" t="s">
        <v>2921</v>
      </c>
      <c r="F476" s="389" t="s">
        <v>3354</v>
      </c>
      <c r="G476" s="389" t="s">
        <v>3355</v>
      </c>
    </row>
    <row r="477" spans="1:7">
      <c r="A477" s="389" t="s">
        <v>2687</v>
      </c>
      <c r="B477" s="389" t="s">
        <v>2687</v>
      </c>
      <c r="C477" s="389" t="s">
        <v>7029</v>
      </c>
      <c r="D477" s="389" t="s">
        <v>3787</v>
      </c>
      <c r="E477" s="389" t="s">
        <v>2921</v>
      </c>
      <c r="F477" s="389" t="s">
        <v>3354</v>
      </c>
      <c r="G477" s="389" t="s">
        <v>3355</v>
      </c>
    </row>
    <row r="478" spans="1:7">
      <c r="A478" s="389" t="s">
        <v>2693</v>
      </c>
      <c r="B478" s="389" t="s">
        <v>2693</v>
      </c>
      <c r="C478" s="389" t="s">
        <v>7029</v>
      </c>
      <c r="D478" s="389" t="s">
        <v>3788</v>
      </c>
      <c r="E478" s="389" t="s">
        <v>2921</v>
      </c>
      <c r="F478" s="389" t="s">
        <v>3354</v>
      </c>
      <c r="G478" s="389" t="s">
        <v>3355</v>
      </c>
    </row>
    <row r="479" spans="1:7">
      <c r="A479" s="389" t="s">
        <v>2772</v>
      </c>
      <c r="B479" s="389" t="s">
        <v>2772</v>
      </c>
      <c r="C479" s="389" t="s">
        <v>15864</v>
      </c>
      <c r="D479" s="389" t="s">
        <v>2773</v>
      </c>
      <c r="E479" s="389" t="s">
        <v>2921</v>
      </c>
      <c r="F479" s="389" t="s">
        <v>3354</v>
      </c>
      <c r="G479" s="389" t="s">
        <v>3355</v>
      </c>
    </row>
    <row r="480" spans="1:7">
      <c r="A480" s="389" t="s">
        <v>2772</v>
      </c>
      <c r="B480" s="389" t="s">
        <v>2791</v>
      </c>
      <c r="C480" s="389" t="s">
        <v>6842</v>
      </c>
      <c r="D480" s="389" t="s">
        <v>2773</v>
      </c>
      <c r="E480" s="389" t="s">
        <v>2921</v>
      </c>
      <c r="F480" s="389" t="s">
        <v>3354</v>
      </c>
      <c r="G480" s="389" t="s">
        <v>3355</v>
      </c>
    </row>
    <row r="481" spans="1:7">
      <c r="A481" s="389" t="s">
        <v>2774</v>
      </c>
      <c r="B481" s="389" t="s">
        <v>2774</v>
      </c>
      <c r="C481" s="389" t="s">
        <v>3751</v>
      </c>
      <c r="D481" s="389" t="s">
        <v>3789</v>
      </c>
      <c r="E481" s="389" t="s">
        <v>2921</v>
      </c>
      <c r="F481" s="389" t="s">
        <v>3445</v>
      </c>
      <c r="G481" s="389" t="s">
        <v>3355</v>
      </c>
    </row>
    <row r="482" spans="1:7">
      <c r="A482" s="389" t="s">
        <v>2792</v>
      </c>
      <c r="B482" s="389" t="s">
        <v>2792</v>
      </c>
      <c r="C482" s="389" t="s">
        <v>7029</v>
      </c>
      <c r="D482" s="389" t="s">
        <v>3790</v>
      </c>
      <c r="E482" s="389" t="s">
        <v>2921</v>
      </c>
      <c r="F482" s="389" t="s">
        <v>3354</v>
      </c>
      <c r="G482" s="389" t="s">
        <v>3355</v>
      </c>
    </row>
    <row r="483" spans="1:7">
      <c r="A483" s="389" t="s">
        <v>2792</v>
      </c>
      <c r="B483" s="389" t="s">
        <v>3791</v>
      </c>
      <c r="C483" s="389" t="s">
        <v>3353</v>
      </c>
      <c r="D483" s="389" t="s">
        <v>6872</v>
      </c>
      <c r="E483" s="389" t="s">
        <v>2921</v>
      </c>
      <c r="F483" s="389" t="s">
        <v>3354</v>
      </c>
      <c r="G483" s="389" t="s">
        <v>3355</v>
      </c>
    </row>
    <row r="484" spans="1:7">
      <c r="A484" s="389" t="s">
        <v>2792</v>
      </c>
      <c r="B484" s="389" t="s">
        <v>7064</v>
      </c>
      <c r="C484" s="389" t="s">
        <v>3353</v>
      </c>
      <c r="D484" s="389" t="s">
        <v>7065</v>
      </c>
      <c r="E484" s="389" t="s">
        <v>2921</v>
      </c>
      <c r="F484" s="389" t="s">
        <v>3354</v>
      </c>
      <c r="G484" s="389" t="s">
        <v>3355</v>
      </c>
    </row>
    <row r="485" spans="1:7">
      <c r="A485" s="389" t="s">
        <v>3211</v>
      </c>
      <c r="B485" s="389" t="s">
        <v>3211</v>
      </c>
      <c r="C485" s="389" t="s">
        <v>7029</v>
      </c>
      <c r="D485" s="389" t="s">
        <v>3213</v>
      </c>
      <c r="E485" s="389" t="s">
        <v>2921</v>
      </c>
      <c r="F485" s="389" t="s">
        <v>3354</v>
      </c>
      <c r="G485" s="389" t="s">
        <v>3355</v>
      </c>
    </row>
    <row r="486" spans="1:7">
      <c r="A486" s="389" t="s">
        <v>3212</v>
      </c>
      <c r="B486" s="389" t="s">
        <v>3212</v>
      </c>
      <c r="C486" s="389" t="s">
        <v>7029</v>
      </c>
      <c r="D486" s="389" t="s">
        <v>3214</v>
      </c>
      <c r="E486" s="389" t="s">
        <v>2921</v>
      </c>
      <c r="F486" s="389" t="s">
        <v>3354</v>
      </c>
      <c r="G486" s="389" t="s">
        <v>3355</v>
      </c>
    </row>
    <row r="487" spans="1:7">
      <c r="A487" s="389" t="s">
        <v>3212</v>
      </c>
      <c r="B487" s="389" t="s">
        <v>3792</v>
      </c>
      <c r="C487" s="389" t="s">
        <v>3353</v>
      </c>
      <c r="D487" s="389" t="s">
        <v>3793</v>
      </c>
      <c r="E487" s="389" t="s">
        <v>2921</v>
      </c>
      <c r="F487" s="389" t="s">
        <v>3354</v>
      </c>
      <c r="G487" s="389" t="s">
        <v>3355</v>
      </c>
    </row>
    <row r="488" spans="1:7">
      <c r="A488" s="389" t="s">
        <v>3232</v>
      </c>
      <c r="B488" s="389" t="s">
        <v>3232</v>
      </c>
      <c r="C488" s="389" t="s">
        <v>3746</v>
      </c>
      <c r="D488" s="389" t="s">
        <v>3234</v>
      </c>
      <c r="E488" s="389" t="s">
        <v>2921</v>
      </c>
      <c r="F488" s="389" t="s">
        <v>3389</v>
      </c>
      <c r="G488" s="389" t="s">
        <v>3355</v>
      </c>
    </row>
    <row r="489" spans="1:7">
      <c r="A489" s="389" t="s">
        <v>3233</v>
      </c>
      <c r="B489" s="389" t="s">
        <v>3233</v>
      </c>
      <c r="C489" s="389" t="s">
        <v>3746</v>
      </c>
      <c r="D489" s="389" t="s">
        <v>3234</v>
      </c>
      <c r="E489" s="389" t="s">
        <v>2921</v>
      </c>
      <c r="F489" s="389" t="s">
        <v>3389</v>
      </c>
      <c r="G489" s="389" t="s">
        <v>3355</v>
      </c>
    </row>
    <row r="490" spans="1:7">
      <c r="A490" s="389" t="s">
        <v>3927</v>
      </c>
      <c r="B490" s="389" t="s">
        <v>3927</v>
      </c>
      <c r="C490" s="389" t="s">
        <v>7029</v>
      </c>
      <c r="D490" s="389" t="s">
        <v>6787</v>
      </c>
      <c r="E490" s="389" t="s">
        <v>2921</v>
      </c>
      <c r="F490" s="389" t="s">
        <v>3443</v>
      </c>
      <c r="G490" s="389" t="s">
        <v>3355</v>
      </c>
    </row>
    <row r="491" spans="1:7">
      <c r="A491" s="389" t="s">
        <v>3922</v>
      </c>
      <c r="B491" s="389" t="s">
        <v>3922</v>
      </c>
      <c r="C491" s="389" t="s">
        <v>7029</v>
      </c>
      <c r="D491" s="389" t="s">
        <v>6788</v>
      </c>
      <c r="E491" s="389" t="s">
        <v>2921</v>
      </c>
      <c r="F491" s="389" t="s">
        <v>3354</v>
      </c>
      <c r="G491" s="389" t="s">
        <v>3355</v>
      </c>
    </row>
    <row r="492" spans="1:7">
      <c r="A492" s="389" t="s">
        <v>3925</v>
      </c>
      <c r="B492" s="389" t="s">
        <v>3925</v>
      </c>
      <c r="C492" s="389" t="s">
        <v>7029</v>
      </c>
      <c r="D492" s="389" t="s">
        <v>3924</v>
      </c>
      <c r="E492" s="389" t="s">
        <v>2921</v>
      </c>
      <c r="F492" s="389" t="s">
        <v>3354</v>
      </c>
      <c r="G492" s="389" t="s">
        <v>3355</v>
      </c>
    </row>
    <row r="493" spans="1:7">
      <c r="A493" s="389" t="s">
        <v>7437</v>
      </c>
      <c r="B493" s="389" t="s">
        <v>7437</v>
      </c>
      <c r="C493" s="389" t="s">
        <v>7465</v>
      </c>
      <c r="D493" s="389" t="s">
        <v>7438</v>
      </c>
      <c r="E493" s="389" t="s">
        <v>2921</v>
      </c>
      <c r="F493" s="389" t="s">
        <v>3389</v>
      </c>
      <c r="G493" s="389" t="s">
        <v>3355</v>
      </c>
    </row>
    <row r="494" spans="1:7">
      <c r="A494" s="389" t="s">
        <v>8422</v>
      </c>
      <c r="B494" s="389" t="s">
        <v>8422</v>
      </c>
      <c r="C494" s="389" t="s">
        <v>7029</v>
      </c>
      <c r="D494" s="389" t="s">
        <v>8423</v>
      </c>
      <c r="E494" s="389" t="s">
        <v>2921</v>
      </c>
      <c r="F494" s="389" t="s">
        <v>3354</v>
      </c>
      <c r="G494" s="389" t="s">
        <v>3355</v>
      </c>
    </row>
    <row r="495" spans="1:7">
      <c r="A495" s="389" t="s">
        <v>6777</v>
      </c>
      <c r="B495" s="389" t="s">
        <v>6777</v>
      </c>
      <c r="C495" s="389" t="s">
        <v>7029</v>
      </c>
      <c r="D495" s="389" t="s">
        <v>3929</v>
      </c>
      <c r="E495" s="389" t="s">
        <v>2921</v>
      </c>
      <c r="F495" s="389" t="s">
        <v>3408</v>
      </c>
      <c r="G495" s="389" t="s">
        <v>3355</v>
      </c>
    </row>
    <row r="496" spans="1:7">
      <c r="A496" s="389" t="s">
        <v>6777</v>
      </c>
      <c r="B496" s="389" t="s">
        <v>6789</v>
      </c>
      <c r="C496" s="389" t="s">
        <v>3353</v>
      </c>
      <c r="D496" s="389" t="s">
        <v>6790</v>
      </c>
      <c r="E496" s="389" t="s">
        <v>2921</v>
      </c>
      <c r="F496" s="389" t="s">
        <v>3408</v>
      </c>
      <c r="G496" s="389" t="s">
        <v>3355</v>
      </c>
    </row>
    <row r="497" spans="1:7">
      <c r="A497" s="389" t="s">
        <v>7433</v>
      </c>
      <c r="B497" s="389" t="s">
        <v>7433</v>
      </c>
      <c r="C497" s="389" t="s">
        <v>7029</v>
      </c>
      <c r="D497" s="389" t="s">
        <v>7456</v>
      </c>
      <c r="E497" s="389" t="s">
        <v>2921</v>
      </c>
      <c r="F497" s="389" t="s">
        <v>3443</v>
      </c>
      <c r="G497" s="389" t="s">
        <v>3355</v>
      </c>
    </row>
    <row r="498" spans="1:7">
      <c r="A498" s="389" t="s">
        <v>6883</v>
      </c>
      <c r="B498" s="389" t="s">
        <v>6883</v>
      </c>
      <c r="C498" s="389" t="s">
        <v>7029</v>
      </c>
      <c r="D498" s="389" t="s">
        <v>6942</v>
      </c>
      <c r="E498" s="389" t="s">
        <v>2921</v>
      </c>
      <c r="F498" s="389" t="s">
        <v>3354</v>
      </c>
      <c r="G498" s="389" t="s">
        <v>3355</v>
      </c>
    </row>
    <row r="499" spans="1:7">
      <c r="A499" s="389" t="s">
        <v>6883</v>
      </c>
      <c r="B499" s="389" t="s">
        <v>6943</v>
      </c>
      <c r="C499" s="389" t="s">
        <v>3353</v>
      </c>
      <c r="D499" s="389" t="s">
        <v>6944</v>
      </c>
      <c r="E499" s="389" t="s">
        <v>2921</v>
      </c>
      <c r="F499" s="389" t="s">
        <v>3354</v>
      </c>
      <c r="G499" s="389" t="s">
        <v>3355</v>
      </c>
    </row>
    <row r="500" spans="1:7">
      <c r="A500" s="389" t="s">
        <v>7434</v>
      </c>
      <c r="B500" s="389" t="s">
        <v>7434</v>
      </c>
      <c r="C500" s="389" t="s">
        <v>7029</v>
      </c>
      <c r="D500" s="389" t="s">
        <v>7436</v>
      </c>
      <c r="E500" s="389" t="s">
        <v>2921</v>
      </c>
      <c r="F500" s="389" t="s">
        <v>3443</v>
      </c>
      <c r="G500" s="389" t="s">
        <v>3355</v>
      </c>
    </row>
    <row r="501" spans="1:7">
      <c r="A501" s="389" t="s">
        <v>7444</v>
      </c>
      <c r="B501" s="389" t="s">
        <v>7444</v>
      </c>
      <c r="C501" s="389" t="s">
        <v>3502</v>
      </c>
      <c r="D501" s="389" t="s">
        <v>7463</v>
      </c>
      <c r="E501" s="389" t="s">
        <v>2921</v>
      </c>
      <c r="F501" s="389" t="s">
        <v>3354</v>
      </c>
      <c r="G501" s="389" t="s">
        <v>3355</v>
      </c>
    </row>
    <row r="502" spans="1:7">
      <c r="A502" s="389" t="s">
        <v>7444</v>
      </c>
      <c r="B502" s="389" t="s">
        <v>8972</v>
      </c>
      <c r="C502" s="389" t="s">
        <v>3353</v>
      </c>
      <c r="D502" s="389" t="s">
        <v>8973</v>
      </c>
      <c r="E502" s="389" t="s">
        <v>2921</v>
      </c>
      <c r="F502" s="389" t="s">
        <v>3354</v>
      </c>
      <c r="G502" s="389" t="s">
        <v>3355</v>
      </c>
    </row>
    <row r="503" spans="1:7">
      <c r="A503" s="389" t="s">
        <v>7464</v>
      </c>
      <c r="B503" s="389" t="s">
        <v>7464</v>
      </c>
      <c r="C503" s="389" t="s">
        <v>7029</v>
      </c>
      <c r="D503" s="389" t="s">
        <v>7445</v>
      </c>
      <c r="E503" s="389" t="s">
        <v>2921</v>
      </c>
      <c r="F503" s="389" t="s">
        <v>3354</v>
      </c>
      <c r="G503" s="389" t="s">
        <v>3355</v>
      </c>
    </row>
    <row r="504" spans="1:7">
      <c r="A504" s="389" t="s">
        <v>7464</v>
      </c>
      <c r="B504" s="389" t="s">
        <v>7466</v>
      </c>
      <c r="C504" s="389" t="s">
        <v>3353</v>
      </c>
      <c r="D504" s="389" t="s">
        <v>7467</v>
      </c>
      <c r="E504" s="389" t="s">
        <v>2921</v>
      </c>
      <c r="F504" s="389" t="s">
        <v>3354</v>
      </c>
      <c r="G504" s="389" t="s">
        <v>3355</v>
      </c>
    </row>
    <row r="505" spans="1:7">
      <c r="A505" s="389" t="s">
        <v>7453</v>
      </c>
      <c r="B505" s="389" t="s">
        <v>7453</v>
      </c>
      <c r="C505" s="389" t="s">
        <v>7455</v>
      </c>
      <c r="D505" s="389" t="s">
        <v>7454</v>
      </c>
      <c r="E505" s="389" t="s">
        <v>2921</v>
      </c>
      <c r="F505" s="389" t="s">
        <v>3389</v>
      </c>
      <c r="G505" s="389" t="s">
        <v>3355</v>
      </c>
    </row>
    <row r="506" spans="1:7">
      <c r="A506" s="389" t="s">
        <v>8419</v>
      </c>
      <c r="B506" s="389" t="s">
        <v>8419</v>
      </c>
      <c r="C506" s="389" t="s">
        <v>7455</v>
      </c>
      <c r="D506" s="389" t="s">
        <v>8418</v>
      </c>
      <c r="E506" s="389" t="s">
        <v>2921</v>
      </c>
      <c r="F506" s="389" t="s">
        <v>3354</v>
      </c>
      <c r="G506" s="389" t="s">
        <v>3355</v>
      </c>
    </row>
    <row r="507" spans="1:7">
      <c r="A507" s="389" t="s">
        <v>8884</v>
      </c>
      <c r="B507" s="389" t="s">
        <v>8884</v>
      </c>
      <c r="C507" s="389" t="s">
        <v>7029</v>
      </c>
      <c r="D507" s="389" t="s">
        <v>8882</v>
      </c>
      <c r="E507" s="389" t="s">
        <v>2921</v>
      </c>
      <c r="F507" s="389" t="s">
        <v>3354</v>
      </c>
      <c r="G507" s="389" t="s">
        <v>3355</v>
      </c>
    </row>
    <row r="508" spans="1:7">
      <c r="A508" s="389" t="s">
        <v>8883</v>
      </c>
      <c r="B508" s="389" t="s">
        <v>8883</v>
      </c>
      <c r="C508" s="389" t="s">
        <v>7455</v>
      </c>
      <c r="D508" s="389" t="s">
        <v>8881</v>
      </c>
      <c r="E508" s="389" t="s">
        <v>2921</v>
      </c>
      <c r="F508" s="389" t="s">
        <v>3354</v>
      </c>
      <c r="G508" s="389" t="s">
        <v>3355</v>
      </c>
    </row>
    <row r="509" spans="1:7">
      <c r="A509" s="389" t="s">
        <v>8885</v>
      </c>
      <c r="B509" s="389" t="s">
        <v>8885</v>
      </c>
      <c r="C509" s="389" t="s">
        <v>7455</v>
      </c>
      <c r="D509" s="389" t="s">
        <v>7430</v>
      </c>
      <c r="E509" s="389" t="s">
        <v>2921</v>
      </c>
      <c r="F509" s="389" t="s">
        <v>3354</v>
      </c>
      <c r="G509" s="389" t="s">
        <v>3355</v>
      </c>
    </row>
    <row r="510" spans="1:7">
      <c r="A510" s="389" t="s">
        <v>9602</v>
      </c>
      <c r="B510" s="389" t="s">
        <v>9602</v>
      </c>
      <c r="C510" s="389" t="s">
        <v>7029</v>
      </c>
      <c r="D510" s="389" t="s">
        <v>9078</v>
      </c>
      <c r="E510" s="389" t="s">
        <v>2921</v>
      </c>
      <c r="F510" s="389" t="s">
        <v>3445</v>
      </c>
      <c r="G510" s="389" t="s">
        <v>3355</v>
      </c>
    </row>
    <row r="511" spans="1:7">
      <c r="A511" s="389" t="s">
        <v>8955</v>
      </c>
      <c r="B511" s="389" t="s">
        <v>8955</v>
      </c>
      <c r="C511" s="389" t="s">
        <v>7457</v>
      </c>
      <c r="D511" s="389" t="s">
        <v>10806</v>
      </c>
      <c r="E511" s="389" t="s">
        <v>2921</v>
      </c>
      <c r="F511" s="389" t="s">
        <v>3389</v>
      </c>
      <c r="G511" s="389" t="s">
        <v>3355</v>
      </c>
    </row>
    <row r="512" spans="1:7">
      <c r="A512" s="389" t="s">
        <v>8933</v>
      </c>
      <c r="B512" s="389" t="s">
        <v>8933</v>
      </c>
      <c r="C512" s="389" t="s">
        <v>7029</v>
      </c>
      <c r="D512" s="389" t="s">
        <v>7461</v>
      </c>
      <c r="E512" s="389" t="s">
        <v>2921</v>
      </c>
      <c r="F512" s="389" t="s">
        <v>3354</v>
      </c>
      <c r="G512" s="389" t="s">
        <v>3355</v>
      </c>
    </row>
    <row r="513" spans="1:7">
      <c r="A513" s="389" t="s">
        <v>8933</v>
      </c>
      <c r="B513" s="389" t="s">
        <v>8974</v>
      </c>
      <c r="C513" s="389" t="s">
        <v>3353</v>
      </c>
      <c r="D513" s="389" t="s">
        <v>7462</v>
      </c>
      <c r="E513" s="389" t="s">
        <v>2921</v>
      </c>
      <c r="F513" s="389" t="s">
        <v>3354</v>
      </c>
      <c r="G513" s="389" t="s">
        <v>3355</v>
      </c>
    </row>
    <row r="514" spans="1:7">
      <c r="A514" s="389" t="s">
        <v>8975</v>
      </c>
      <c r="B514" s="389" t="s">
        <v>8975</v>
      </c>
      <c r="C514" s="389" t="s">
        <v>7455</v>
      </c>
      <c r="D514" s="389" t="s">
        <v>7458</v>
      </c>
      <c r="E514" s="389" t="s">
        <v>2921</v>
      </c>
      <c r="F514" s="389" t="s">
        <v>3354</v>
      </c>
      <c r="G514" s="389" t="s">
        <v>3355</v>
      </c>
    </row>
    <row r="515" spans="1:7">
      <c r="A515" s="389" t="s">
        <v>8975</v>
      </c>
      <c r="B515" s="389" t="s">
        <v>10807</v>
      </c>
      <c r="C515" s="389" t="s">
        <v>7459</v>
      </c>
      <c r="D515" s="389" t="s">
        <v>7460</v>
      </c>
      <c r="E515" s="389" t="s">
        <v>2921</v>
      </c>
      <c r="F515" s="389" t="s">
        <v>3354</v>
      </c>
      <c r="G515" s="389" t="s">
        <v>3355</v>
      </c>
    </row>
    <row r="516" spans="1:7">
      <c r="A516" s="389" t="s">
        <v>10700</v>
      </c>
      <c r="B516" s="389" t="s">
        <v>10700</v>
      </c>
      <c r="C516" s="389" t="s">
        <v>7455</v>
      </c>
      <c r="D516" s="389" t="s">
        <v>10808</v>
      </c>
      <c r="E516" s="389" t="s">
        <v>2921</v>
      </c>
      <c r="F516" s="389" t="s">
        <v>3354</v>
      </c>
      <c r="G516" s="389" t="s">
        <v>3355</v>
      </c>
    </row>
    <row r="517" spans="1:7">
      <c r="A517" s="389" t="s">
        <v>10700</v>
      </c>
      <c r="B517" s="389" t="s">
        <v>10809</v>
      </c>
      <c r="C517" s="389" t="s">
        <v>7459</v>
      </c>
      <c r="D517" s="389" t="s">
        <v>10810</v>
      </c>
      <c r="E517" s="389" t="s">
        <v>2921</v>
      </c>
      <c r="F517" s="389" t="s">
        <v>3354</v>
      </c>
      <c r="G517" s="389" t="s">
        <v>3355</v>
      </c>
    </row>
    <row r="518" spans="1:7">
      <c r="A518" s="389" t="s">
        <v>17720</v>
      </c>
      <c r="B518" s="389" t="s">
        <v>17720</v>
      </c>
      <c r="C518" s="389" t="s">
        <v>7455</v>
      </c>
      <c r="D518" s="389" t="s">
        <v>17721</v>
      </c>
      <c r="E518" s="389" t="s">
        <v>2921</v>
      </c>
      <c r="F518" s="389" t="s">
        <v>3354</v>
      </c>
      <c r="G518" s="389" t="s">
        <v>3355</v>
      </c>
    </row>
    <row r="519" spans="1:7">
      <c r="A519" s="389" t="s">
        <v>17720</v>
      </c>
      <c r="B519" s="389" t="s">
        <v>18856</v>
      </c>
      <c r="C519" s="389" t="s">
        <v>7459</v>
      </c>
      <c r="D519" s="389" t="s">
        <v>18857</v>
      </c>
      <c r="E519" s="389" t="s">
        <v>2921</v>
      </c>
      <c r="F519" s="389" t="s">
        <v>3354</v>
      </c>
      <c r="G519" s="389" t="s">
        <v>3355</v>
      </c>
    </row>
    <row r="520" spans="1:7">
      <c r="A520" s="389" t="s">
        <v>12251</v>
      </c>
      <c r="B520" s="389" t="s">
        <v>12251</v>
      </c>
      <c r="C520" s="389" t="s">
        <v>7455</v>
      </c>
      <c r="D520" s="389" t="s">
        <v>7439</v>
      </c>
      <c r="E520" s="389" t="s">
        <v>2921</v>
      </c>
      <c r="F520" s="389" t="s">
        <v>3389</v>
      </c>
      <c r="G520" s="389" t="s">
        <v>3355</v>
      </c>
    </row>
    <row r="521" spans="1:7">
      <c r="A521" s="389" t="s">
        <v>16992</v>
      </c>
      <c r="B521" s="389" t="s">
        <v>16992</v>
      </c>
      <c r="C521" s="389" t="s">
        <v>7029</v>
      </c>
      <c r="D521" s="389" t="s">
        <v>17000</v>
      </c>
      <c r="E521" s="389" t="s">
        <v>2921</v>
      </c>
      <c r="F521" s="389" t="s">
        <v>3389</v>
      </c>
      <c r="G521" s="389" t="s">
        <v>3355</v>
      </c>
    </row>
    <row r="522" spans="1:7">
      <c r="A522" s="389" t="s">
        <v>16992</v>
      </c>
      <c r="B522" s="389" t="s">
        <v>17001</v>
      </c>
      <c r="C522" s="389" t="s">
        <v>3353</v>
      </c>
      <c r="D522" s="389" t="s">
        <v>17002</v>
      </c>
      <c r="E522" s="389" t="s">
        <v>2921</v>
      </c>
      <c r="F522" s="389" t="s">
        <v>3389</v>
      </c>
      <c r="G522" s="389" t="s">
        <v>3355</v>
      </c>
    </row>
    <row r="523" spans="1:7">
      <c r="A523" s="389" t="s">
        <v>18528</v>
      </c>
      <c r="B523" s="389" t="s">
        <v>18528</v>
      </c>
      <c r="C523" s="389" t="s">
        <v>7455</v>
      </c>
      <c r="D523" s="389" t="s">
        <v>18527</v>
      </c>
      <c r="E523" s="389" t="s">
        <v>2921</v>
      </c>
      <c r="F523" s="389" t="s">
        <v>3443</v>
      </c>
      <c r="G523" s="389" t="s">
        <v>3355</v>
      </c>
    </row>
    <row r="524" spans="1:7">
      <c r="A524" s="389" t="s">
        <v>18525</v>
      </c>
      <c r="B524" s="389" t="s">
        <v>18525</v>
      </c>
      <c r="C524" s="389" t="s">
        <v>7457</v>
      </c>
      <c r="D524" s="389" t="s">
        <v>18524</v>
      </c>
      <c r="E524" s="389" t="s">
        <v>2921</v>
      </c>
      <c r="F524" s="389" t="s">
        <v>3389</v>
      </c>
      <c r="G524" s="389" t="s">
        <v>3355</v>
      </c>
    </row>
    <row r="525" spans="1:7">
      <c r="A525" s="389" t="s">
        <v>18525</v>
      </c>
      <c r="B525" s="389" t="s">
        <v>18858</v>
      </c>
      <c r="C525" s="389" t="s">
        <v>7459</v>
      </c>
      <c r="D525" s="389" t="s">
        <v>18859</v>
      </c>
      <c r="E525" s="389" t="s">
        <v>2921</v>
      </c>
      <c r="F525" s="389" t="s">
        <v>3389</v>
      </c>
      <c r="G525" s="389" t="s">
        <v>3355</v>
      </c>
    </row>
  </sheetData>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510D-6D6F-47F3-827D-1563153DA0F9}">
  <sheetPr codeName="Planilha32"/>
  <dimension ref="A1:R68"/>
  <sheetViews>
    <sheetView workbookViewId="0">
      <selection sqref="A1:Z1048576"/>
    </sheetView>
  </sheetViews>
  <sheetFormatPr defaultColWidth="9.1796875" defaultRowHeight="14.5"/>
  <cols>
    <col min="1" max="1" width="20" style="389" bestFit="1" customWidth="1"/>
    <col min="2" max="2" width="15" style="389" bestFit="1" customWidth="1"/>
    <col min="3" max="3" width="36" style="389" bestFit="1" customWidth="1"/>
    <col min="4" max="4" width="42" style="389" bestFit="1" customWidth="1"/>
    <col min="5" max="6" width="7" style="389" bestFit="1" customWidth="1"/>
    <col min="7" max="7" width="15" style="389" bestFit="1" customWidth="1"/>
    <col min="8" max="8" width="12" style="389" bestFit="1" customWidth="1"/>
    <col min="9" max="9" width="14" style="389" bestFit="1" customWidth="1"/>
    <col min="10" max="10" width="15" style="389" bestFit="1" customWidth="1"/>
    <col min="11" max="11" width="6" style="389" bestFit="1" customWidth="1"/>
    <col min="12" max="12" width="18" style="389" bestFit="1" customWidth="1"/>
    <col min="13" max="13" width="22" style="389" bestFit="1" customWidth="1"/>
    <col min="14" max="14" width="10" style="389" bestFit="1" customWidth="1"/>
    <col min="15" max="15" width="17" style="389" bestFit="1" customWidth="1"/>
    <col min="16" max="16" width="12" style="389" bestFit="1" customWidth="1"/>
    <col min="17" max="17" width="11" style="389" bestFit="1" customWidth="1"/>
    <col min="18" max="18" width="26" style="389" bestFit="1" customWidth="1"/>
    <col min="19" max="16384" width="9.1796875" style="389"/>
  </cols>
  <sheetData>
    <row r="1" spans="1:18" ht="43.5">
      <c r="A1" s="387" t="s">
        <v>3071</v>
      </c>
      <c r="B1" s="387" t="s">
        <v>3341</v>
      </c>
      <c r="C1" s="387" t="s">
        <v>3349</v>
      </c>
      <c r="D1" s="387" t="s">
        <v>2968</v>
      </c>
      <c r="E1" s="387" t="s">
        <v>3350</v>
      </c>
      <c r="F1" s="387" t="s">
        <v>3351</v>
      </c>
      <c r="G1" s="387" t="s">
        <v>3817</v>
      </c>
      <c r="H1" s="387" t="s">
        <v>3818</v>
      </c>
      <c r="I1" s="387" t="s">
        <v>3819</v>
      </c>
      <c r="J1" s="387" t="s">
        <v>3820</v>
      </c>
      <c r="K1" s="388" t="s">
        <v>3352</v>
      </c>
      <c r="L1" s="387" t="s">
        <v>3821</v>
      </c>
      <c r="M1" s="387" t="s">
        <v>3822</v>
      </c>
      <c r="N1" s="387" t="s">
        <v>3823</v>
      </c>
      <c r="O1" s="387" t="s">
        <v>3824</v>
      </c>
      <c r="P1" s="388" t="s">
        <v>3825</v>
      </c>
      <c r="Q1" s="387" t="s">
        <v>3826</v>
      </c>
      <c r="R1" s="387" t="s">
        <v>3827</v>
      </c>
    </row>
    <row r="2" spans="1:18">
      <c r="A2" s="389" t="s">
        <v>679</v>
      </c>
      <c r="B2" s="389" t="s">
        <v>679</v>
      </c>
      <c r="C2" s="389" t="s">
        <v>3828</v>
      </c>
      <c r="D2" s="389" t="s">
        <v>3829</v>
      </c>
      <c r="E2" s="389" t="s">
        <v>2921</v>
      </c>
      <c r="F2" s="389" t="s">
        <v>3830</v>
      </c>
      <c r="G2" s="389" t="s">
        <v>3831</v>
      </c>
      <c r="H2" s="389" t="s">
        <v>3832</v>
      </c>
      <c r="I2" s="389" t="s">
        <v>3833</v>
      </c>
      <c r="J2" s="389" t="s">
        <v>2208</v>
      </c>
      <c r="K2" s="389" t="s">
        <v>3834</v>
      </c>
      <c r="L2" s="389" t="s">
        <v>2208</v>
      </c>
      <c r="M2" s="389" t="s">
        <v>3835</v>
      </c>
      <c r="N2" s="389" t="s">
        <v>2917</v>
      </c>
      <c r="O2" s="389" t="s">
        <v>3836</v>
      </c>
      <c r="P2" s="389" t="s">
        <v>3837</v>
      </c>
      <c r="Q2" s="389" t="s">
        <v>3838</v>
      </c>
      <c r="R2" s="389" t="s">
        <v>3839</v>
      </c>
    </row>
    <row r="3" spans="1:18">
      <c r="A3" s="389" t="s">
        <v>680</v>
      </c>
      <c r="B3" s="389" t="s">
        <v>680</v>
      </c>
      <c r="C3" s="389" t="s">
        <v>3840</v>
      </c>
      <c r="D3" s="389" t="s">
        <v>3841</v>
      </c>
      <c r="E3" s="389" t="s">
        <v>2921</v>
      </c>
      <c r="F3" s="389" t="s">
        <v>3830</v>
      </c>
      <c r="G3" s="389" t="s">
        <v>3831</v>
      </c>
      <c r="H3" s="389" t="s">
        <v>3842</v>
      </c>
      <c r="I3" s="389" t="s">
        <v>3833</v>
      </c>
      <c r="J3" s="389" t="s">
        <v>2208</v>
      </c>
      <c r="K3" s="389" t="s">
        <v>3834</v>
      </c>
      <c r="L3" s="389" t="s">
        <v>2208</v>
      </c>
      <c r="M3" s="389" t="s">
        <v>3835</v>
      </c>
      <c r="N3" s="389" t="s">
        <v>2917</v>
      </c>
      <c r="O3" s="389" t="s">
        <v>3843</v>
      </c>
      <c r="P3" s="389" t="s">
        <v>3837</v>
      </c>
      <c r="Q3" s="389" t="s">
        <v>3838</v>
      </c>
      <c r="R3" s="389" t="s">
        <v>3839</v>
      </c>
    </row>
    <row r="4" spans="1:18">
      <c r="A4" s="389" t="s">
        <v>681</v>
      </c>
      <c r="B4" s="389" t="s">
        <v>681</v>
      </c>
      <c r="C4" s="389" t="s">
        <v>3840</v>
      </c>
      <c r="D4" s="389" t="s">
        <v>3844</v>
      </c>
      <c r="E4" s="389" t="s">
        <v>2921</v>
      </c>
      <c r="F4" s="389" t="s">
        <v>3830</v>
      </c>
      <c r="G4" s="389" t="s">
        <v>3831</v>
      </c>
      <c r="H4" s="389" t="s">
        <v>3832</v>
      </c>
      <c r="I4" s="389" t="s">
        <v>3833</v>
      </c>
      <c r="J4" s="389" t="s">
        <v>2208</v>
      </c>
      <c r="K4" s="389" t="s">
        <v>3834</v>
      </c>
      <c r="L4" s="389" t="s">
        <v>2208</v>
      </c>
      <c r="M4" s="389" t="s">
        <v>3835</v>
      </c>
      <c r="N4" s="389" t="s">
        <v>2917</v>
      </c>
      <c r="O4" s="389" t="s">
        <v>3845</v>
      </c>
      <c r="P4" s="389" t="s">
        <v>3837</v>
      </c>
      <c r="Q4" s="389" t="s">
        <v>3838</v>
      </c>
      <c r="R4" s="389" t="s">
        <v>3839</v>
      </c>
    </row>
    <row r="5" spans="1:18">
      <c r="A5" s="389" t="s">
        <v>682</v>
      </c>
      <c r="B5" s="389" t="s">
        <v>682</v>
      </c>
      <c r="C5" s="389" t="s">
        <v>3840</v>
      </c>
      <c r="D5" s="389" t="s">
        <v>3846</v>
      </c>
      <c r="E5" s="389" t="s">
        <v>2921</v>
      </c>
      <c r="F5" s="389" t="s">
        <v>3830</v>
      </c>
      <c r="G5" s="389" t="s">
        <v>3831</v>
      </c>
      <c r="H5" s="389" t="s">
        <v>3832</v>
      </c>
      <c r="I5" s="389" t="s">
        <v>3833</v>
      </c>
      <c r="J5" s="389" t="s">
        <v>2208</v>
      </c>
      <c r="K5" s="389" t="s">
        <v>3834</v>
      </c>
      <c r="L5" s="389" t="s">
        <v>2208</v>
      </c>
      <c r="M5" s="389" t="s">
        <v>3835</v>
      </c>
      <c r="N5" s="389" t="s">
        <v>2917</v>
      </c>
      <c r="O5" s="389" t="s">
        <v>3847</v>
      </c>
      <c r="P5" s="389" t="s">
        <v>3837</v>
      </c>
      <c r="Q5" s="389" t="s">
        <v>3838</v>
      </c>
      <c r="R5" s="389" t="s">
        <v>3839</v>
      </c>
    </row>
    <row r="6" spans="1:18">
      <c r="A6" s="389" t="s">
        <v>688</v>
      </c>
      <c r="B6" s="389" t="s">
        <v>688</v>
      </c>
      <c r="C6" s="389" t="s">
        <v>3840</v>
      </c>
      <c r="D6" s="389" t="s">
        <v>3848</v>
      </c>
      <c r="E6" s="389" t="s">
        <v>2921</v>
      </c>
      <c r="F6" s="389" t="s">
        <v>3830</v>
      </c>
      <c r="G6" s="389" t="s">
        <v>3831</v>
      </c>
      <c r="H6" s="389" t="s">
        <v>3849</v>
      </c>
      <c r="I6" s="389" t="s">
        <v>3833</v>
      </c>
      <c r="J6" s="389" t="s">
        <v>2208</v>
      </c>
      <c r="K6" s="389" t="s">
        <v>3834</v>
      </c>
      <c r="L6" s="389" t="s">
        <v>2208</v>
      </c>
      <c r="M6" s="389" t="s">
        <v>3835</v>
      </c>
      <c r="N6" s="389" t="s">
        <v>2917</v>
      </c>
      <c r="O6" s="389" t="s">
        <v>33</v>
      </c>
      <c r="P6" s="389" t="s">
        <v>3837</v>
      </c>
      <c r="Q6" s="389" t="s">
        <v>3838</v>
      </c>
      <c r="R6" s="389" t="s">
        <v>3839</v>
      </c>
    </row>
    <row r="7" spans="1:18">
      <c r="A7" s="389" t="s">
        <v>676</v>
      </c>
      <c r="B7" s="389" t="s">
        <v>676</v>
      </c>
      <c r="C7" s="389" t="s">
        <v>3828</v>
      </c>
      <c r="D7" s="389" t="s">
        <v>3850</v>
      </c>
      <c r="E7" s="389" t="s">
        <v>2921</v>
      </c>
      <c r="F7" s="389" t="s">
        <v>3830</v>
      </c>
      <c r="G7" s="389" t="s">
        <v>3831</v>
      </c>
      <c r="H7" s="389" t="s">
        <v>3851</v>
      </c>
      <c r="I7" s="389" t="s">
        <v>3833</v>
      </c>
      <c r="J7" s="389" t="s">
        <v>2208</v>
      </c>
      <c r="K7" s="389" t="s">
        <v>3834</v>
      </c>
      <c r="L7" s="389" t="s">
        <v>2208</v>
      </c>
      <c r="M7" s="389" t="s">
        <v>3835</v>
      </c>
      <c r="N7" s="389" t="s">
        <v>2917</v>
      </c>
      <c r="O7" s="389" t="s">
        <v>53</v>
      </c>
      <c r="P7" s="389" t="s">
        <v>3837</v>
      </c>
      <c r="Q7" s="389" t="s">
        <v>3838</v>
      </c>
      <c r="R7" s="389" t="s">
        <v>3839</v>
      </c>
    </row>
    <row r="8" spans="1:18">
      <c r="A8" s="389" t="s">
        <v>677</v>
      </c>
      <c r="B8" s="389" t="s">
        <v>677</v>
      </c>
      <c r="C8" s="389" t="s">
        <v>3840</v>
      </c>
      <c r="D8" s="389" t="s">
        <v>3852</v>
      </c>
      <c r="E8" s="389" t="s">
        <v>2921</v>
      </c>
      <c r="F8" s="389" t="s">
        <v>3830</v>
      </c>
      <c r="G8" s="389" t="s">
        <v>3831</v>
      </c>
      <c r="H8" s="389" t="s">
        <v>3853</v>
      </c>
      <c r="I8" s="389" t="s">
        <v>3833</v>
      </c>
      <c r="J8" s="389" t="s">
        <v>2208</v>
      </c>
      <c r="K8" s="389" t="s">
        <v>3834</v>
      </c>
      <c r="L8" s="389" t="s">
        <v>2208</v>
      </c>
      <c r="M8" s="389" t="s">
        <v>3835</v>
      </c>
      <c r="N8" s="389" t="s">
        <v>2917</v>
      </c>
      <c r="O8" s="389" t="s">
        <v>63</v>
      </c>
      <c r="P8" s="389" t="s">
        <v>3837</v>
      </c>
      <c r="Q8" s="389" t="s">
        <v>3838</v>
      </c>
      <c r="R8" s="389" t="s">
        <v>3854</v>
      </c>
    </row>
    <row r="9" spans="1:18">
      <c r="A9" s="389" t="s">
        <v>677</v>
      </c>
      <c r="B9" s="389" t="s">
        <v>3855</v>
      </c>
      <c r="C9" s="389" t="s">
        <v>3840</v>
      </c>
      <c r="D9" s="389" t="s">
        <v>3856</v>
      </c>
      <c r="E9" s="389" t="s">
        <v>2921</v>
      </c>
      <c r="F9" s="389" t="s">
        <v>3830</v>
      </c>
      <c r="G9" s="389" t="s">
        <v>3831</v>
      </c>
      <c r="H9" s="389" t="s">
        <v>3853</v>
      </c>
      <c r="I9" s="389" t="s">
        <v>3833</v>
      </c>
      <c r="J9" s="389" t="s">
        <v>2208</v>
      </c>
      <c r="K9" s="389" t="s">
        <v>3834</v>
      </c>
      <c r="L9" s="389" t="s">
        <v>2208</v>
      </c>
      <c r="M9" s="389" t="s">
        <v>3835</v>
      </c>
      <c r="N9" s="389" t="s">
        <v>2917</v>
      </c>
      <c r="O9" s="389" t="s">
        <v>63</v>
      </c>
      <c r="P9" s="389" t="s">
        <v>3837</v>
      </c>
      <c r="Q9" s="389" t="s">
        <v>3857</v>
      </c>
      <c r="R9" s="389" t="s">
        <v>3854</v>
      </c>
    </row>
    <row r="10" spans="1:18">
      <c r="A10" s="389" t="s">
        <v>683</v>
      </c>
      <c r="B10" s="389" t="s">
        <v>683</v>
      </c>
      <c r="C10" s="389" t="s">
        <v>3840</v>
      </c>
      <c r="D10" s="389" t="s">
        <v>3858</v>
      </c>
      <c r="E10" s="389" t="s">
        <v>2921</v>
      </c>
      <c r="F10" s="389" t="s">
        <v>3830</v>
      </c>
      <c r="G10" s="389" t="s">
        <v>3831</v>
      </c>
      <c r="H10" s="389" t="s">
        <v>3849</v>
      </c>
      <c r="I10" s="389" t="s">
        <v>3833</v>
      </c>
      <c r="J10" s="389" t="s">
        <v>2208</v>
      </c>
      <c r="K10" s="389" t="s">
        <v>3834</v>
      </c>
      <c r="L10" s="389" t="s">
        <v>2208</v>
      </c>
      <c r="M10" s="389" t="s">
        <v>3835</v>
      </c>
      <c r="N10" s="389" t="s">
        <v>2917</v>
      </c>
      <c r="O10" s="389" t="s">
        <v>75</v>
      </c>
      <c r="P10" s="389" t="s">
        <v>3837</v>
      </c>
      <c r="Q10" s="389" t="s">
        <v>3838</v>
      </c>
      <c r="R10" s="389" t="s">
        <v>3839</v>
      </c>
    </row>
    <row r="11" spans="1:18">
      <c r="A11" s="389" t="s">
        <v>689</v>
      </c>
      <c r="B11" s="389" t="s">
        <v>689</v>
      </c>
      <c r="C11" s="389" t="s">
        <v>3840</v>
      </c>
      <c r="D11" s="389" t="s">
        <v>3859</v>
      </c>
      <c r="E11" s="389" t="s">
        <v>2921</v>
      </c>
      <c r="F11" s="389" t="s">
        <v>3830</v>
      </c>
      <c r="G11" s="389" t="s">
        <v>3831</v>
      </c>
      <c r="H11" s="389" t="s">
        <v>3851</v>
      </c>
      <c r="I11" s="389" t="s">
        <v>3833</v>
      </c>
      <c r="J11" s="389" t="s">
        <v>2208</v>
      </c>
      <c r="K11" s="389" t="s">
        <v>3834</v>
      </c>
      <c r="L11" s="389" t="s">
        <v>2208</v>
      </c>
      <c r="M11" s="389" t="s">
        <v>3835</v>
      </c>
      <c r="N11" s="389" t="s">
        <v>2917</v>
      </c>
      <c r="O11" s="389" t="s">
        <v>106</v>
      </c>
      <c r="P11" s="389" t="s">
        <v>3837</v>
      </c>
      <c r="Q11" s="389" t="s">
        <v>3838</v>
      </c>
      <c r="R11" s="389" t="s">
        <v>3839</v>
      </c>
    </row>
    <row r="12" spans="1:18">
      <c r="A12" s="389" t="s">
        <v>678</v>
      </c>
      <c r="B12" s="389" t="s">
        <v>678</v>
      </c>
      <c r="C12" s="389" t="s">
        <v>3840</v>
      </c>
      <c r="D12" s="389" t="s">
        <v>3860</v>
      </c>
      <c r="E12" s="389" t="s">
        <v>2921</v>
      </c>
      <c r="F12" s="389" t="s">
        <v>3830</v>
      </c>
      <c r="G12" s="389" t="s">
        <v>3831</v>
      </c>
      <c r="H12" s="389" t="s">
        <v>3851</v>
      </c>
      <c r="I12" s="389" t="s">
        <v>3833</v>
      </c>
      <c r="J12" s="389" t="s">
        <v>2208</v>
      </c>
      <c r="K12" s="389" t="s">
        <v>3834</v>
      </c>
      <c r="L12" s="389" t="s">
        <v>2208</v>
      </c>
      <c r="M12" s="389" t="s">
        <v>3835</v>
      </c>
      <c r="N12" s="389" t="s">
        <v>2917</v>
      </c>
      <c r="O12" s="389" t="s">
        <v>67</v>
      </c>
      <c r="P12" s="389" t="s">
        <v>3837</v>
      </c>
      <c r="Q12" s="389" t="s">
        <v>3838</v>
      </c>
      <c r="R12" s="389" t="s">
        <v>3839</v>
      </c>
    </row>
    <row r="13" spans="1:18">
      <c r="A13" s="389" t="s">
        <v>695</v>
      </c>
      <c r="B13" s="389" t="s">
        <v>695</v>
      </c>
      <c r="C13" s="389" t="s">
        <v>3840</v>
      </c>
      <c r="D13" s="389" t="s">
        <v>3861</v>
      </c>
      <c r="E13" s="389" t="s">
        <v>2921</v>
      </c>
      <c r="F13" s="389" t="s">
        <v>3830</v>
      </c>
      <c r="G13" s="389" t="s">
        <v>3831</v>
      </c>
      <c r="H13" s="389" t="s">
        <v>3851</v>
      </c>
      <c r="I13" s="389" t="s">
        <v>3833</v>
      </c>
      <c r="J13" s="389" t="s">
        <v>2208</v>
      </c>
      <c r="K13" s="389" t="s">
        <v>3834</v>
      </c>
      <c r="L13" s="389" t="s">
        <v>2208</v>
      </c>
      <c r="M13" s="389" t="s">
        <v>3835</v>
      </c>
      <c r="N13" s="389" t="s">
        <v>2917</v>
      </c>
      <c r="O13" s="389" t="s">
        <v>106</v>
      </c>
      <c r="P13" s="389" t="s">
        <v>3837</v>
      </c>
      <c r="Q13" s="389" t="s">
        <v>3838</v>
      </c>
      <c r="R13" s="389" t="s">
        <v>3839</v>
      </c>
    </row>
    <row r="14" spans="1:18">
      <c r="A14" s="389" t="s">
        <v>684</v>
      </c>
      <c r="B14" s="389" t="s">
        <v>684</v>
      </c>
      <c r="C14" s="389" t="s">
        <v>3840</v>
      </c>
      <c r="D14" s="389" t="s">
        <v>3862</v>
      </c>
      <c r="E14" s="389" t="s">
        <v>2921</v>
      </c>
      <c r="F14" s="389" t="s">
        <v>3830</v>
      </c>
      <c r="G14" s="389" t="s">
        <v>3831</v>
      </c>
      <c r="H14" s="389" t="s">
        <v>3849</v>
      </c>
      <c r="I14" s="389" t="s">
        <v>3833</v>
      </c>
      <c r="J14" s="389" t="s">
        <v>2208</v>
      </c>
      <c r="K14" s="389" t="s">
        <v>3834</v>
      </c>
      <c r="L14" s="389" t="s">
        <v>2208</v>
      </c>
      <c r="M14" s="389" t="s">
        <v>3835</v>
      </c>
      <c r="N14" s="389" t="s">
        <v>2917</v>
      </c>
      <c r="O14" s="389" t="s">
        <v>57</v>
      </c>
      <c r="P14" s="389" t="s">
        <v>3837</v>
      </c>
      <c r="Q14" s="389" t="s">
        <v>3838</v>
      </c>
      <c r="R14" s="389" t="s">
        <v>3839</v>
      </c>
    </row>
    <row r="15" spans="1:18">
      <c r="A15" s="389" t="s">
        <v>685</v>
      </c>
      <c r="B15" s="389" t="s">
        <v>685</v>
      </c>
      <c r="C15" s="389" t="s">
        <v>3840</v>
      </c>
      <c r="D15" s="389" t="s">
        <v>3863</v>
      </c>
      <c r="E15" s="389" t="s">
        <v>2921</v>
      </c>
      <c r="F15" s="389" t="s">
        <v>3830</v>
      </c>
      <c r="G15" s="389" t="s">
        <v>3831</v>
      </c>
      <c r="H15" s="389" t="s">
        <v>3851</v>
      </c>
      <c r="I15" s="389" t="s">
        <v>3833</v>
      </c>
      <c r="J15" s="389" t="s">
        <v>2208</v>
      </c>
      <c r="K15" s="389" t="s">
        <v>3834</v>
      </c>
      <c r="L15" s="389" t="s">
        <v>2208</v>
      </c>
      <c r="M15" s="389" t="s">
        <v>3835</v>
      </c>
      <c r="N15" s="389" t="s">
        <v>2917</v>
      </c>
      <c r="O15" s="389" t="s">
        <v>75</v>
      </c>
      <c r="P15" s="389" t="s">
        <v>3837</v>
      </c>
      <c r="Q15" s="389" t="s">
        <v>3838</v>
      </c>
      <c r="R15" s="389" t="s">
        <v>3839</v>
      </c>
    </row>
    <row r="16" spans="1:18">
      <c r="A16" s="389" t="s">
        <v>686</v>
      </c>
      <c r="B16" s="389" t="s">
        <v>686</v>
      </c>
      <c r="C16" s="389" t="s">
        <v>3840</v>
      </c>
      <c r="D16" s="389" t="s">
        <v>3864</v>
      </c>
      <c r="E16" s="389" t="s">
        <v>2921</v>
      </c>
      <c r="F16" s="389" t="s">
        <v>3830</v>
      </c>
      <c r="G16" s="389" t="s">
        <v>3831</v>
      </c>
      <c r="H16" s="389" t="s">
        <v>3851</v>
      </c>
      <c r="I16" s="389" t="s">
        <v>3833</v>
      </c>
      <c r="J16" s="389" t="s">
        <v>2208</v>
      </c>
      <c r="K16" s="389" t="s">
        <v>3834</v>
      </c>
      <c r="L16" s="389" t="s">
        <v>2208</v>
      </c>
      <c r="M16" s="389" t="s">
        <v>3835</v>
      </c>
      <c r="N16" s="389" t="s">
        <v>2917</v>
      </c>
      <c r="O16" s="389" t="s">
        <v>165</v>
      </c>
      <c r="P16" s="389" t="s">
        <v>3837</v>
      </c>
      <c r="Q16" s="389" t="s">
        <v>3838</v>
      </c>
      <c r="R16" s="389" t="s">
        <v>3839</v>
      </c>
    </row>
    <row r="17" spans="1:18">
      <c r="A17" s="389" t="s">
        <v>693</v>
      </c>
      <c r="B17" s="389" t="s">
        <v>693</v>
      </c>
      <c r="C17" s="389" t="s">
        <v>3840</v>
      </c>
      <c r="D17" s="389" t="s">
        <v>1423</v>
      </c>
      <c r="E17" s="389" t="s">
        <v>2921</v>
      </c>
      <c r="F17" s="389" t="s">
        <v>3830</v>
      </c>
      <c r="G17" s="389" t="s">
        <v>3831</v>
      </c>
      <c r="H17" s="389" t="s">
        <v>3853</v>
      </c>
      <c r="I17" s="389" t="s">
        <v>3833</v>
      </c>
      <c r="J17" s="389" t="s">
        <v>2208</v>
      </c>
      <c r="K17" s="389" t="s">
        <v>3834</v>
      </c>
      <c r="L17" s="389" t="s">
        <v>2208</v>
      </c>
      <c r="M17" s="389" t="s">
        <v>3865</v>
      </c>
      <c r="N17" s="389" t="s">
        <v>2917</v>
      </c>
      <c r="O17" s="389" t="s">
        <v>237</v>
      </c>
      <c r="P17" s="389" t="s">
        <v>3866</v>
      </c>
      <c r="Q17" s="389" t="s">
        <v>3838</v>
      </c>
      <c r="R17" s="389" t="s">
        <v>3839</v>
      </c>
    </row>
    <row r="18" spans="1:18">
      <c r="A18" s="389" t="s">
        <v>693</v>
      </c>
      <c r="B18" s="389" t="s">
        <v>3867</v>
      </c>
      <c r="C18" s="389" t="s">
        <v>3840</v>
      </c>
      <c r="D18" s="389" t="s">
        <v>3868</v>
      </c>
      <c r="E18" s="389" t="s">
        <v>2921</v>
      </c>
      <c r="F18" s="389" t="s">
        <v>3830</v>
      </c>
      <c r="G18" s="389" t="s">
        <v>3831</v>
      </c>
      <c r="H18" s="389" t="s">
        <v>3853</v>
      </c>
      <c r="I18" s="389" t="s">
        <v>3833</v>
      </c>
      <c r="J18" s="389" t="s">
        <v>2208</v>
      </c>
      <c r="K18" s="389" t="s">
        <v>3834</v>
      </c>
      <c r="L18" s="389" t="s">
        <v>2208</v>
      </c>
      <c r="M18" s="389" t="s">
        <v>3865</v>
      </c>
      <c r="N18" s="389" t="s">
        <v>2917</v>
      </c>
      <c r="O18" s="389" t="s">
        <v>2208</v>
      </c>
      <c r="P18" s="389" t="s">
        <v>3866</v>
      </c>
      <c r="Q18" s="389" t="s">
        <v>3857</v>
      </c>
      <c r="R18" s="389" t="s">
        <v>3839</v>
      </c>
    </row>
    <row r="19" spans="1:18">
      <c r="A19" s="389" t="s">
        <v>687</v>
      </c>
      <c r="B19" s="389" t="s">
        <v>687</v>
      </c>
      <c r="C19" s="389" t="s">
        <v>3840</v>
      </c>
      <c r="D19" s="389" t="s">
        <v>3869</v>
      </c>
      <c r="E19" s="389" t="s">
        <v>2921</v>
      </c>
      <c r="F19" s="389" t="s">
        <v>3830</v>
      </c>
      <c r="G19" s="389" t="s">
        <v>3831</v>
      </c>
      <c r="H19" s="389" t="s">
        <v>3851</v>
      </c>
      <c r="I19" s="389" t="s">
        <v>3833</v>
      </c>
      <c r="J19" s="389" t="s">
        <v>2208</v>
      </c>
      <c r="K19" s="389" t="s">
        <v>3834</v>
      </c>
      <c r="L19" s="389" t="s">
        <v>2208</v>
      </c>
      <c r="M19" s="389" t="s">
        <v>3835</v>
      </c>
      <c r="N19" s="389" t="s">
        <v>2917</v>
      </c>
      <c r="O19" s="389" t="s">
        <v>227</v>
      </c>
      <c r="P19" s="389" t="s">
        <v>3837</v>
      </c>
      <c r="Q19" s="389" t="s">
        <v>3838</v>
      </c>
      <c r="R19" s="389" t="s">
        <v>3839</v>
      </c>
    </row>
    <row r="20" spans="1:18">
      <c r="A20" s="389" t="s">
        <v>690</v>
      </c>
      <c r="B20" s="389" t="s">
        <v>690</v>
      </c>
      <c r="C20" s="389" t="s">
        <v>3840</v>
      </c>
      <c r="D20" s="389" t="s">
        <v>3870</v>
      </c>
      <c r="E20" s="389" t="s">
        <v>2921</v>
      </c>
      <c r="F20" s="389" t="s">
        <v>3830</v>
      </c>
      <c r="G20" s="389" t="s">
        <v>3831</v>
      </c>
      <c r="H20" s="389" t="s">
        <v>3851</v>
      </c>
      <c r="I20" s="389" t="s">
        <v>3833</v>
      </c>
      <c r="J20" s="389" t="s">
        <v>2208</v>
      </c>
      <c r="K20" s="389" t="s">
        <v>3834</v>
      </c>
      <c r="L20" s="389" t="s">
        <v>2208</v>
      </c>
      <c r="M20" s="389" t="s">
        <v>3835</v>
      </c>
      <c r="N20" s="389" t="s">
        <v>2917</v>
      </c>
      <c r="O20" s="389" t="s">
        <v>258</v>
      </c>
      <c r="P20" s="389" t="s">
        <v>3837</v>
      </c>
      <c r="Q20" s="389" t="s">
        <v>3838</v>
      </c>
      <c r="R20" s="389" t="s">
        <v>3839</v>
      </c>
    </row>
    <row r="21" spans="1:18">
      <c r="A21" s="389" t="s">
        <v>691</v>
      </c>
      <c r="B21" s="389" t="s">
        <v>691</v>
      </c>
      <c r="C21" s="389" t="s">
        <v>3840</v>
      </c>
      <c r="D21" s="389" t="s">
        <v>3871</v>
      </c>
      <c r="E21" s="389" t="s">
        <v>2921</v>
      </c>
      <c r="F21" s="389" t="s">
        <v>3830</v>
      </c>
      <c r="G21" s="389" t="s">
        <v>3831</v>
      </c>
      <c r="H21" s="389" t="s">
        <v>3851</v>
      </c>
      <c r="I21" s="389" t="s">
        <v>3833</v>
      </c>
      <c r="J21" s="389" t="s">
        <v>2208</v>
      </c>
      <c r="K21" s="389" t="s">
        <v>3834</v>
      </c>
      <c r="L21" s="389" t="s">
        <v>2208</v>
      </c>
      <c r="M21" s="389" t="s">
        <v>3835</v>
      </c>
      <c r="N21" s="389" t="s">
        <v>2917</v>
      </c>
      <c r="O21" s="389" t="s">
        <v>256</v>
      </c>
      <c r="P21" s="389" t="s">
        <v>3837</v>
      </c>
      <c r="Q21" s="389" t="s">
        <v>3838</v>
      </c>
      <c r="R21" s="389" t="s">
        <v>3839</v>
      </c>
    </row>
    <row r="22" spans="1:18">
      <c r="A22" s="389" t="s">
        <v>692</v>
      </c>
      <c r="B22" s="389" t="s">
        <v>692</v>
      </c>
      <c r="C22" s="389" t="s">
        <v>3840</v>
      </c>
      <c r="D22" s="389" t="s">
        <v>3872</v>
      </c>
      <c r="E22" s="389" t="s">
        <v>2921</v>
      </c>
      <c r="F22" s="389" t="s">
        <v>3830</v>
      </c>
      <c r="G22" s="389" t="s">
        <v>3831</v>
      </c>
      <c r="H22" s="389" t="s">
        <v>3851</v>
      </c>
      <c r="I22" s="389" t="s">
        <v>3833</v>
      </c>
      <c r="J22" s="389" t="s">
        <v>2208</v>
      </c>
      <c r="K22" s="389" t="s">
        <v>3834</v>
      </c>
      <c r="L22" s="389" t="s">
        <v>2208</v>
      </c>
      <c r="M22" s="389" t="s">
        <v>3873</v>
      </c>
      <c r="N22" s="389" t="s">
        <v>2917</v>
      </c>
      <c r="O22" s="389" t="s">
        <v>309</v>
      </c>
      <c r="P22" s="389" t="s">
        <v>3874</v>
      </c>
      <c r="Q22" s="389" t="s">
        <v>3838</v>
      </c>
      <c r="R22" s="389" t="s">
        <v>3839</v>
      </c>
    </row>
    <row r="23" spans="1:18">
      <c r="A23" s="389" t="s">
        <v>696</v>
      </c>
      <c r="B23" s="389" t="s">
        <v>696</v>
      </c>
      <c r="C23" s="389" t="s">
        <v>3828</v>
      </c>
      <c r="D23" s="389" t="s">
        <v>3875</v>
      </c>
      <c r="E23" s="389" t="s">
        <v>2921</v>
      </c>
      <c r="F23" s="389" t="s">
        <v>3830</v>
      </c>
      <c r="G23" s="389" t="s">
        <v>3831</v>
      </c>
      <c r="H23" s="389" t="s">
        <v>3851</v>
      </c>
      <c r="I23" s="389" t="s">
        <v>3833</v>
      </c>
      <c r="J23" s="389" t="s">
        <v>2208</v>
      </c>
      <c r="K23" s="389" t="s">
        <v>3834</v>
      </c>
      <c r="L23" s="389" t="s">
        <v>2208</v>
      </c>
      <c r="M23" s="389" t="s">
        <v>3835</v>
      </c>
      <c r="N23" s="389" t="s">
        <v>2917</v>
      </c>
      <c r="O23" s="389" t="s">
        <v>531</v>
      </c>
      <c r="P23" s="389" t="s">
        <v>3837</v>
      </c>
      <c r="Q23" s="389" t="s">
        <v>3838</v>
      </c>
      <c r="R23" s="389" t="s">
        <v>3876</v>
      </c>
    </row>
    <row r="24" spans="1:18">
      <c r="A24" s="389" t="s">
        <v>697</v>
      </c>
      <c r="B24" s="389" t="s">
        <v>697</v>
      </c>
      <c r="C24" s="389" t="s">
        <v>3828</v>
      </c>
      <c r="D24" s="389" t="s">
        <v>3877</v>
      </c>
      <c r="E24" s="389" t="s">
        <v>2921</v>
      </c>
      <c r="F24" s="389" t="s">
        <v>3830</v>
      </c>
      <c r="G24" s="389" t="s">
        <v>3831</v>
      </c>
      <c r="H24" s="389" t="s">
        <v>3851</v>
      </c>
      <c r="I24" s="389" t="s">
        <v>3833</v>
      </c>
      <c r="J24" s="389" t="s">
        <v>2208</v>
      </c>
      <c r="K24" s="389" t="s">
        <v>3834</v>
      </c>
      <c r="L24" s="389" t="s">
        <v>2208</v>
      </c>
      <c r="M24" s="389" t="s">
        <v>3835</v>
      </c>
      <c r="N24" s="389" t="s">
        <v>2917</v>
      </c>
      <c r="O24" s="389" t="s">
        <v>536</v>
      </c>
      <c r="P24" s="389" t="s">
        <v>3837</v>
      </c>
      <c r="Q24" s="389" t="s">
        <v>3838</v>
      </c>
      <c r="R24" s="389" t="s">
        <v>3876</v>
      </c>
    </row>
    <row r="25" spans="1:18">
      <c r="A25" s="389" t="s">
        <v>711</v>
      </c>
      <c r="B25" s="389" t="s">
        <v>711</v>
      </c>
      <c r="C25" s="389" t="s">
        <v>3840</v>
      </c>
      <c r="D25" s="389" t="s">
        <v>3878</v>
      </c>
      <c r="E25" s="389" t="s">
        <v>2921</v>
      </c>
      <c r="F25" s="389" t="s">
        <v>3830</v>
      </c>
      <c r="G25" s="389" t="s">
        <v>3831</v>
      </c>
      <c r="H25" s="389" t="s">
        <v>3849</v>
      </c>
      <c r="I25" s="389" t="s">
        <v>3833</v>
      </c>
      <c r="J25" s="389" t="s">
        <v>2208</v>
      </c>
      <c r="K25" s="389" t="s">
        <v>3834</v>
      </c>
      <c r="L25" s="389" t="s">
        <v>2208</v>
      </c>
      <c r="M25" s="389" t="s">
        <v>3835</v>
      </c>
      <c r="N25" s="389" t="s">
        <v>2917</v>
      </c>
      <c r="O25" s="389" t="s">
        <v>252</v>
      </c>
      <c r="P25" s="389" t="s">
        <v>3837</v>
      </c>
      <c r="Q25" s="389" t="s">
        <v>3838</v>
      </c>
      <c r="R25" s="389" t="s">
        <v>3839</v>
      </c>
    </row>
    <row r="26" spans="1:18">
      <c r="A26" s="389" t="s">
        <v>698</v>
      </c>
      <c r="B26" s="389" t="s">
        <v>698</v>
      </c>
      <c r="C26" s="389" t="s">
        <v>3879</v>
      </c>
      <c r="D26" s="389" t="s">
        <v>3880</v>
      </c>
      <c r="E26" s="389" t="s">
        <v>2921</v>
      </c>
      <c r="F26" s="389" t="s">
        <v>3830</v>
      </c>
      <c r="G26" s="389" t="s">
        <v>3831</v>
      </c>
      <c r="H26" s="389" t="s">
        <v>3851</v>
      </c>
      <c r="I26" s="389" t="s">
        <v>3833</v>
      </c>
      <c r="J26" s="389" t="s">
        <v>2208</v>
      </c>
      <c r="K26" s="389" t="s">
        <v>3834</v>
      </c>
      <c r="L26" s="389" t="s">
        <v>2208</v>
      </c>
      <c r="M26" s="389" t="s">
        <v>3835</v>
      </c>
      <c r="N26" s="389" t="s">
        <v>2917</v>
      </c>
      <c r="O26" s="389" t="s">
        <v>293</v>
      </c>
      <c r="P26" s="389" t="s">
        <v>3837</v>
      </c>
      <c r="Q26" s="389" t="s">
        <v>3838</v>
      </c>
      <c r="R26" s="389" t="s">
        <v>3876</v>
      </c>
    </row>
    <row r="27" spans="1:18">
      <c r="A27" s="389" t="s">
        <v>709</v>
      </c>
      <c r="B27" s="389" t="s">
        <v>709</v>
      </c>
      <c r="C27" s="389" t="s">
        <v>7232</v>
      </c>
      <c r="D27" s="389" t="s">
        <v>493</v>
      </c>
      <c r="E27" s="389" t="s">
        <v>2921</v>
      </c>
      <c r="F27" s="389" t="s">
        <v>3830</v>
      </c>
      <c r="G27" s="389" t="s">
        <v>3831</v>
      </c>
      <c r="H27" s="389" t="s">
        <v>3853</v>
      </c>
      <c r="I27" s="389" t="s">
        <v>3833</v>
      </c>
      <c r="J27" s="389" t="s">
        <v>2208</v>
      </c>
      <c r="K27" s="389" t="s">
        <v>3834</v>
      </c>
      <c r="L27" s="389" t="s">
        <v>2208</v>
      </c>
      <c r="M27" s="389" t="s">
        <v>3835</v>
      </c>
      <c r="N27" s="389" t="s">
        <v>2917</v>
      </c>
      <c r="O27" s="389" t="s">
        <v>3882</v>
      </c>
      <c r="P27" s="389" t="s">
        <v>3837</v>
      </c>
      <c r="Q27" s="389" t="s">
        <v>3838</v>
      </c>
      <c r="R27" s="389" t="s">
        <v>3854</v>
      </c>
    </row>
    <row r="28" spans="1:18">
      <c r="A28" s="389" t="s">
        <v>709</v>
      </c>
      <c r="B28" s="389" t="s">
        <v>3883</v>
      </c>
      <c r="C28" s="389" t="s">
        <v>3881</v>
      </c>
      <c r="D28" s="389" t="s">
        <v>3884</v>
      </c>
      <c r="E28" s="389" t="s">
        <v>2921</v>
      </c>
      <c r="F28" s="389" t="s">
        <v>3830</v>
      </c>
      <c r="G28" s="389" t="s">
        <v>3831</v>
      </c>
      <c r="H28" s="389" t="s">
        <v>3853</v>
      </c>
      <c r="I28" s="389" t="s">
        <v>3833</v>
      </c>
      <c r="J28" s="389" t="s">
        <v>2208</v>
      </c>
      <c r="K28" s="389" t="s">
        <v>3834</v>
      </c>
      <c r="L28" s="389" t="s">
        <v>2208</v>
      </c>
      <c r="M28" s="389" t="s">
        <v>3835</v>
      </c>
      <c r="N28" s="389" t="s">
        <v>2917</v>
      </c>
      <c r="O28" s="389" t="s">
        <v>2208</v>
      </c>
      <c r="P28" s="389" t="s">
        <v>3837</v>
      </c>
      <c r="Q28" s="389" t="s">
        <v>3857</v>
      </c>
      <c r="R28" s="389" t="s">
        <v>3854</v>
      </c>
    </row>
    <row r="29" spans="1:18">
      <c r="A29" s="389" t="s">
        <v>1002</v>
      </c>
      <c r="B29" s="389" t="s">
        <v>1002</v>
      </c>
      <c r="C29" s="389" t="s">
        <v>3840</v>
      </c>
      <c r="D29" s="389" t="s">
        <v>3885</v>
      </c>
      <c r="E29" s="389" t="s">
        <v>2921</v>
      </c>
      <c r="F29" s="389" t="s">
        <v>3830</v>
      </c>
      <c r="G29" s="389" t="s">
        <v>3831</v>
      </c>
      <c r="H29" s="389" t="s">
        <v>3849</v>
      </c>
      <c r="I29" s="389" t="s">
        <v>3833</v>
      </c>
      <c r="J29" s="389" t="s">
        <v>2208</v>
      </c>
      <c r="K29" s="389" t="s">
        <v>3834</v>
      </c>
      <c r="L29" s="389" t="s">
        <v>2208</v>
      </c>
      <c r="M29" s="389" t="s">
        <v>3835</v>
      </c>
      <c r="N29" s="389" t="s">
        <v>2917</v>
      </c>
      <c r="O29" s="389" t="s">
        <v>333</v>
      </c>
      <c r="P29" s="389" t="s">
        <v>3837</v>
      </c>
      <c r="Q29" s="389" t="s">
        <v>3838</v>
      </c>
      <c r="R29" s="389" t="s">
        <v>3839</v>
      </c>
    </row>
    <row r="30" spans="1:18">
      <c r="A30" s="389" t="s">
        <v>810</v>
      </c>
      <c r="B30" s="389" t="s">
        <v>810</v>
      </c>
      <c r="C30" s="389" t="s">
        <v>3879</v>
      </c>
      <c r="D30" s="389" t="s">
        <v>3886</v>
      </c>
      <c r="E30" s="389" t="s">
        <v>2921</v>
      </c>
      <c r="F30" s="389" t="s">
        <v>3830</v>
      </c>
      <c r="G30" s="389" t="s">
        <v>3831</v>
      </c>
      <c r="H30" s="389" t="s">
        <v>3851</v>
      </c>
      <c r="I30" s="389" t="s">
        <v>3833</v>
      </c>
      <c r="J30" s="389" t="s">
        <v>2208</v>
      </c>
      <c r="K30" s="389" t="s">
        <v>3834</v>
      </c>
      <c r="L30" s="389" t="s">
        <v>2208</v>
      </c>
      <c r="M30" s="389" t="s">
        <v>3835</v>
      </c>
      <c r="N30" s="389" t="s">
        <v>2917</v>
      </c>
      <c r="O30" s="389" t="s">
        <v>263</v>
      </c>
      <c r="P30" s="389" t="s">
        <v>3837</v>
      </c>
      <c r="Q30" s="389" t="s">
        <v>3838</v>
      </c>
      <c r="R30" s="389" t="s">
        <v>3876</v>
      </c>
    </row>
    <row r="31" spans="1:18">
      <c r="A31" s="389" t="s">
        <v>847</v>
      </c>
      <c r="B31" s="389" t="s">
        <v>847</v>
      </c>
      <c r="C31" s="389" t="s">
        <v>3840</v>
      </c>
      <c r="D31" s="389" t="s">
        <v>3888</v>
      </c>
      <c r="E31" s="389" t="s">
        <v>2921</v>
      </c>
      <c r="F31" s="389" t="s">
        <v>3830</v>
      </c>
      <c r="G31" s="389" t="s">
        <v>3831</v>
      </c>
      <c r="H31" s="389" t="s">
        <v>3851</v>
      </c>
      <c r="I31" s="389" t="s">
        <v>3833</v>
      </c>
      <c r="J31" s="389" t="s">
        <v>2208</v>
      </c>
      <c r="K31" s="389" t="s">
        <v>3834</v>
      </c>
      <c r="L31" s="389" t="s">
        <v>2208</v>
      </c>
      <c r="M31" s="389" t="s">
        <v>3835</v>
      </c>
      <c r="N31" s="389" t="s">
        <v>2917</v>
      </c>
      <c r="O31" s="389" t="s">
        <v>655</v>
      </c>
      <c r="P31" s="389" t="s">
        <v>3837</v>
      </c>
      <c r="Q31" s="389" t="s">
        <v>3838</v>
      </c>
      <c r="R31" s="389" t="s">
        <v>3876</v>
      </c>
    </row>
    <row r="32" spans="1:18">
      <c r="A32" s="389" t="s">
        <v>811</v>
      </c>
      <c r="B32" s="389" t="s">
        <v>811</v>
      </c>
      <c r="C32" s="389" t="s">
        <v>3840</v>
      </c>
      <c r="D32" s="389" t="s">
        <v>3889</v>
      </c>
      <c r="E32" s="389" t="s">
        <v>2921</v>
      </c>
      <c r="F32" s="389" t="s">
        <v>3830</v>
      </c>
      <c r="G32" s="389" t="s">
        <v>3831</v>
      </c>
      <c r="H32" s="389" t="s">
        <v>3851</v>
      </c>
      <c r="I32" s="389" t="s">
        <v>3833</v>
      </c>
      <c r="J32" s="389" t="s">
        <v>2208</v>
      </c>
      <c r="K32" s="389" t="s">
        <v>3834</v>
      </c>
      <c r="L32" s="389" t="s">
        <v>2208</v>
      </c>
      <c r="M32" s="389" t="s">
        <v>3835</v>
      </c>
      <c r="N32" s="389" t="s">
        <v>2917</v>
      </c>
      <c r="O32" s="389" t="s">
        <v>749</v>
      </c>
      <c r="P32" s="389" t="s">
        <v>3837</v>
      </c>
      <c r="Q32" s="389" t="s">
        <v>3838</v>
      </c>
      <c r="R32" s="389" t="s">
        <v>3876</v>
      </c>
    </row>
    <row r="33" spans="1:18">
      <c r="A33" s="389" t="s">
        <v>1113</v>
      </c>
      <c r="B33" s="389" t="s">
        <v>1113</v>
      </c>
      <c r="C33" s="389" t="s">
        <v>3881</v>
      </c>
      <c r="D33" s="389" t="s">
        <v>3890</v>
      </c>
      <c r="E33" s="389" t="s">
        <v>2921</v>
      </c>
      <c r="F33" s="389" t="s">
        <v>3830</v>
      </c>
      <c r="G33" s="389" t="s">
        <v>3831</v>
      </c>
      <c r="H33" s="389" t="s">
        <v>3851</v>
      </c>
      <c r="I33" s="389" t="s">
        <v>3833</v>
      </c>
      <c r="J33" s="389" t="s">
        <v>2208</v>
      </c>
      <c r="K33" s="389" t="s">
        <v>3834</v>
      </c>
      <c r="L33" s="389" t="s">
        <v>2208</v>
      </c>
      <c r="M33" s="389" t="s">
        <v>3835</v>
      </c>
      <c r="N33" s="389" t="s">
        <v>2917</v>
      </c>
      <c r="O33" s="389" t="s">
        <v>753</v>
      </c>
      <c r="P33" s="389" t="s">
        <v>3837</v>
      </c>
      <c r="Q33" s="389" t="s">
        <v>3838</v>
      </c>
      <c r="R33" s="389" t="s">
        <v>3876</v>
      </c>
    </row>
    <row r="34" spans="1:18">
      <c r="A34" s="389" t="s">
        <v>1113</v>
      </c>
      <c r="B34" s="389" t="s">
        <v>3891</v>
      </c>
      <c r="C34" s="389" t="s">
        <v>3892</v>
      </c>
      <c r="D34" s="389" t="s">
        <v>3893</v>
      </c>
      <c r="E34" s="389" t="s">
        <v>2921</v>
      </c>
      <c r="F34" s="389" t="s">
        <v>3830</v>
      </c>
      <c r="G34" s="389" t="s">
        <v>3831</v>
      </c>
      <c r="H34" s="389" t="s">
        <v>3853</v>
      </c>
      <c r="I34" s="389" t="s">
        <v>3833</v>
      </c>
      <c r="J34" s="389" t="s">
        <v>2208</v>
      </c>
      <c r="K34" s="389" t="s">
        <v>3834</v>
      </c>
      <c r="L34" s="389" t="s">
        <v>2208</v>
      </c>
      <c r="M34" s="389" t="s">
        <v>3835</v>
      </c>
      <c r="N34" s="389" t="s">
        <v>2917</v>
      </c>
      <c r="O34" s="389" t="s">
        <v>753</v>
      </c>
      <c r="P34" s="389" t="s">
        <v>3837</v>
      </c>
      <c r="Q34" s="389" t="s">
        <v>3857</v>
      </c>
      <c r="R34" s="389" t="s">
        <v>3876</v>
      </c>
    </row>
    <row r="35" spans="1:18">
      <c r="A35" s="389" t="s">
        <v>1019</v>
      </c>
      <c r="B35" s="389" t="s">
        <v>1019</v>
      </c>
      <c r="C35" s="389" t="s">
        <v>3881</v>
      </c>
      <c r="D35" s="389" t="s">
        <v>3894</v>
      </c>
      <c r="E35" s="389" t="s">
        <v>2921</v>
      </c>
      <c r="F35" s="389" t="s">
        <v>3830</v>
      </c>
      <c r="G35" s="389" t="s">
        <v>3831</v>
      </c>
      <c r="H35" s="389" t="s">
        <v>3851</v>
      </c>
      <c r="I35" s="389" t="s">
        <v>3833</v>
      </c>
      <c r="J35" s="389" t="s">
        <v>2208</v>
      </c>
      <c r="K35" s="389" t="s">
        <v>3834</v>
      </c>
      <c r="L35" s="389" t="s">
        <v>2208</v>
      </c>
      <c r="M35" s="389" t="s">
        <v>3835</v>
      </c>
      <c r="N35" s="389" t="s">
        <v>2917</v>
      </c>
      <c r="O35" s="389" t="s">
        <v>807</v>
      </c>
      <c r="P35" s="389" t="s">
        <v>3837</v>
      </c>
      <c r="Q35" s="389" t="s">
        <v>3838</v>
      </c>
      <c r="R35" s="389" t="s">
        <v>3876</v>
      </c>
    </row>
    <row r="36" spans="1:18">
      <c r="A36" s="389" t="s">
        <v>1095</v>
      </c>
      <c r="B36" s="389" t="s">
        <v>1095</v>
      </c>
      <c r="C36" s="389" t="s">
        <v>3881</v>
      </c>
      <c r="D36" s="389" t="s">
        <v>3895</v>
      </c>
      <c r="E36" s="389" t="s">
        <v>2921</v>
      </c>
      <c r="F36" s="389" t="s">
        <v>3830</v>
      </c>
      <c r="G36" s="389" t="s">
        <v>3831</v>
      </c>
      <c r="H36" s="389" t="s">
        <v>3851</v>
      </c>
      <c r="I36" s="389" t="s">
        <v>3833</v>
      </c>
      <c r="J36" s="389" t="s">
        <v>2208</v>
      </c>
      <c r="K36" s="389" t="s">
        <v>3834</v>
      </c>
      <c r="L36" s="389" t="s">
        <v>2208</v>
      </c>
      <c r="M36" s="389" t="s">
        <v>3835</v>
      </c>
      <c r="N36" s="389" t="s">
        <v>2917</v>
      </c>
      <c r="O36" s="389" t="s">
        <v>844</v>
      </c>
      <c r="P36" s="389" t="s">
        <v>3837</v>
      </c>
      <c r="Q36" s="389" t="s">
        <v>3838</v>
      </c>
      <c r="R36" s="389" t="s">
        <v>3876</v>
      </c>
    </row>
    <row r="37" spans="1:18">
      <c r="A37" s="389" t="s">
        <v>1095</v>
      </c>
      <c r="B37" s="389" t="s">
        <v>3896</v>
      </c>
      <c r="C37" s="389" t="s">
        <v>3897</v>
      </c>
      <c r="D37" s="389" t="s">
        <v>3898</v>
      </c>
      <c r="E37" s="389" t="s">
        <v>2921</v>
      </c>
      <c r="F37" s="389" t="s">
        <v>3830</v>
      </c>
      <c r="G37" s="389" t="s">
        <v>3831</v>
      </c>
      <c r="H37" s="389" t="s">
        <v>3851</v>
      </c>
      <c r="I37" s="389" t="s">
        <v>3833</v>
      </c>
      <c r="J37" s="389" t="s">
        <v>2208</v>
      </c>
      <c r="K37" s="389" t="s">
        <v>3834</v>
      </c>
      <c r="L37" s="389" t="s">
        <v>2208</v>
      </c>
      <c r="M37" s="389" t="s">
        <v>3835</v>
      </c>
      <c r="N37" s="389" t="s">
        <v>2917</v>
      </c>
      <c r="O37" s="389" t="s">
        <v>844</v>
      </c>
      <c r="P37" s="389" t="s">
        <v>3837</v>
      </c>
      <c r="Q37" s="389" t="s">
        <v>3857</v>
      </c>
      <c r="R37" s="389" t="s">
        <v>3876</v>
      </c>
    </row>
    <row r="38" spans="1:18">
      <c r="A38" s="389" t="s">
        <v>1114</v>
      </c>
      <c r="B38" s="389" t="s">
        <v>1114</v>
      </c>
      <c r="C38" s="389" t="s">
        <v>3840</v>
      </c>
      <c r="D38" s="389" t="s">
        <v>3899</v>
      </c>
      <c r="E38" s="389" t="s">
        <v>2921</v>
      </c>
      <c r="F38" s="389" t="s">
        <v>3830</v>
      </c>
      <c r="G38" s="389" t="s">
        <v>3831</v>
      </c>
      <c r="H38" s="389" t="s">
        <v>3851</v>
      </c>
      <c r="I38" s="389" t="s">
        <v>3833</v>
      </c>
      <c r="J38" s="389" t="s">
        <v>2208</v>
      </c>
      <c r="K38" s="389" t="s">
        <v>3834</v>
      </c>
      <c r="L38" s="389" t="s">
        <v>2208</v>
      </c>
      <c r="M38" s="389" t="s">
        <v>3835</v>
      </c>
      <c r="N38" s="389" t="s">
        <v>2917</v>
      </c>
      <c r="O38" s="389" t="s">
        <v>1090</v>
      </c>
      <c r="P38" s="389" t="s">
        <v>3837</v>
      </c>
      <c r="Q38" s="389" t="s">
        <v>3838</v>
      </c>
      <c r="R38" s="389" t="s">
        <v>3876</v>
      </c>
    </row>
    <row r="39" spans="1:18">
      <c r="A39" s="389" t="s">
        <v>1504</v>
      </c>
      <c r="B39" s="389" t="s">
        <v>1504</v>
      </c>
      <c r="C39" s="389" t="s">
        <v>3881</v>
      </c>
      <c r="D39" s="389" t="s">
        <v>3900</v>
      </c>
      <c r="E39" s="389" t="s">
        <v>2921</v>
      </c>
      <c r="F39" s="389" t="s">
        <v>3830</v>
      </c>
      <c r="G39" s="389" t="s">
        <v>3831</v>
      </c>
      <c r="H39" s="389" t="s">
        <v>3851</v>
      </c>
      <c r="I39" s="389" t="s">
        <v>3833</v>
      </c>
      <c r="J39" s="389" t="s">
        <v>2208</v>
      </c>
      <c r="K39" s="389" t="s">
        <v>3834</v>
      </c>
      <c r="L39" s="389" t="s">
        <v>2208</v>
      </c>
      <c r="M39" s="389" t="s">
        <v>3835</v>
      </c>
      <c r="N39" s="389" t="s">
        <v>2917</v>
      </c>
      <c r="O39" s="389" t="s">
        <v>857</v>
      </c>
      <c r="P39" s="389" t="s">
        <v>3837</v>
      </c>
      <c r="Q39" s="389" t="s">
        <v>3838</v>
      </c>
      <c r="R39" s="389" t="s">
        <v>3876</v>
      </c>
    </row>
    <row r="40" spans="1:18">
      <c r="A40" s="389" t="s">
        <v>1314</v>
      </c>
      <c r="B40" s="389" t="s">
        <v>1314</v>
      </c>
      <c r="C40" s="389" t="s">
        <v>3881</v>
      </c>
      <c r="D40" s="389" t="s">
        <v>3901</v>
      </c>
      <c r="E40" s="389" t="s">
        <v>2921</v>
      </c>
      <c r="F40" s="389" t="s">
        <v>3830</v>
      </c>
      <c r="G40" s="389" t="s">
        <v>3831</v>
      </c>
      <c r="H40" s="389" t="s">
        <v>3851</v>
      </c>
      <c r="I40" s="389" t="s">
        <v>3833</v>
      </c>
      <c r="J40" s="389" t="s">
        <v>2208</v>
      </c>
      <c r="K40" s="389" t="s">
        <v>3834</v>
      </c>
      <c r="L40" s="389" t="s">
        <v>2208</v>
      </c>
      <c r="M40" s="389" t="s">
        <v>3835</v>
      </c>
      <c r="N40" s="389" t="s">
        <v>2917</v>
      </c>
      <c r="O40" s="389" t="s">
        <v>1152</v>
      </c>
      <c r="P40" s="389" t="s">
        <v>3837</v>
      </c>
      <c r="Q40" s="389" t="s">
        <v>3838</v>
      </c>
      <c r="R40" s="389" t="s">
        <v>3876</v>
      </c>
    </row>
    <row r="41" spans="1:18">
      <c r="A41" s="389" t="s">
        <v>1506</v>
      </c>
      <c r="B41" s="389" t="s">
        <v>1506</v>
      </c>
      <c r="C41" s="389" t="s">
        <v>3840</v>
      </c>
      <c r="D41" s="389" t="s">
        <v>3902</v>
      </c>
      <c r="E41" s="389" t="s">
        <v>2921</v>
      </c>
      <c r="F41" s="389" t="s">
        <v>3830</v>
      </c>
      <c r="G41" s="389" t="s">
        <v>3831</v>
      </c>
      <c r="H41" s="389" t="s">
        <v>3851</v>
      </c>
      <c r="I41" s="389" t="s">
        <v>3833</v>
      </c>
      <c r="J41" s="389" t="s">
        <v>2208</v>
      </c>
      <c r="K41" s="389" t="s">
        <v>3834</v>
      </c>
      <c r="L41" s="389" t="s">
        <v>2208</v>
      </c>
      <c r="M41" s="389" t="s">
        <v>3835</v>
      </c>
      <c r="N41" s="389" t="s">
        <v>2917</v>
      </c>
      <c r="O41" s="389" t="s">
        <v>3903</v>
      </c>
      <c r="P41" s="389" t="s">
        <v>3837</v>
      </c>
      <c r="Q41" s="389" t="s">
        <v>3838</v>
      </c>
      <c r="R41" s="389" t="s">
        <v>3876</v>
      </c>
    </row>
    <row r="42" spans="1:18">
      <c r="A42" s="389" t="s">
        <v>1502</v>
      </c>
      <c r="B42" s="389" t="s">
        <v>1502</v>
      </c>
      <c r="C42" s="389" t="s">
        <v>3879</v>
      </c>
      <c r="D42" s="389" t="s">
        <v>3904</v>
      </c>
      <c r="E42" s="389" t="s">
        <v>2921</v>
      </c>
      <c r="F42" s="389" t="s">
        <v>3830</v>
      </c>
      <c r="G42" s="389" t="s">
        <v>3831</v>
      </c>
      <c r="H42" s="389" t="s">
        <v>3851</v>
      </c>
      <c r="I42" s="389" t="s">
        <v>3833</v>
      </c>
      <c r="J42" s="389" t="s">
        <v>2208</v>
      </c>
      <c r="K42" s="389" t="s">
        <v>3834</v>
      </c>
      <c r="L42" s="389" t="s">
        <v>2208</v>
      </c>
      <c r="M42" s="389" t="s">
        <v>3835</v>
      </c>
      <c r="N42" s="389" t="s">
        <v>2917</v>
      </c>
      <c r="O42" s="389" t="s">
        <v>1351</v>
      </c>
      <c r="P42" s="389" t="s">
        <v>3837</v>
      </c>
      <c r="Q42" s="389" t="s">
        <v>3838</v>
      </c>
      <c r="R42" s="389" t="s">
        <v>3876</v>
      </c>
    </row>
    <row r="43" spans="1:18">
      <c r="A43" s="389" t="s">
        <v>2416</v>
      </c>
      <c r="B43" s="389" t="s">
        <v>2416</v>
      </c>
      <c r="C43" s="389" t="s">
        <v>3840</v>
      </c>
      <c r="D43" s="389" t="s">
        <v>3905</v>
      </c>
      <c r="E43" s="389" t="s">
        <v>2921</v>
      </c>
      <c r="F43" s="389" t="s">
        <v>3830</v>
      </c>
      <c r="G43" s="389" t="s">
        <v>3831</v>
      </c>
      <c r="H43" s="389" t="s">
        <v>3851</v>
      </c>
      <c r="I43" s="389" t="s">
        <v>3833</v>
      </c>
      <c r="J43" s="389" t="s">
        <v>2208</v>
      </c>
      <c r="K43" s="389" t="s">
        <v>3834</v>
      </c>
      <c r="L43" s="389" t="s">
        <v>2208</v>
      </c>
      <c r="M43" s="389" t="s">
        <v>3835</v>
      </c>
      <c r="N43" s="389" t="s">
        <v>2917</v>
      </c>
      <c r="O43" s="389" t="s">
        <v>1608</v>
      </c>
      <c r="P43" s="389" t="s">
        <v>3837</v>
      </c>
      <c r="Q43" s="389" t="s">
        <v>3838</v>
      </c>
      <c r="R43" s="389" t="s">
        <v>3876</v>
      </c>
    </row>
    <row r="44" spans="1:18">
      <c r="A44" s="389" t="s">
        <v>2422</v>
      </c>
      <c r="B44" s="389" t="s">
        <v>2422</v>
      </c>
      <c r="C44" s="389" t="s">
        <v>3879</v>
      </c>
      <c r="D44" s="389" t="s">
        <v>3906</v>
      </c>
      <c r="E44" s="389" t="s">
        <v>2921</v>
      </c>
      <c r="F44" s="389" t="s">
        <v>3830</v>
      </c>
      <c r="G44" s="389" t="s">
        <v>3831</v>
      </c>
      <c r="H44" s="389" t="s">
        <v>3851</v>
      </c>
      <c r="I44" s="389" t="s">
        <v>3833</v>
      </c>
      <c r="J44" s="389" t="s">
        <v>2208</v>
      </c>
      <c r="K44" s="389" t="s">
        <v>3834</v>
      </c>
      <c r="L44" s="389" t="s">
        <v>2208</v>
      </c>
      <c r="M44" s="389" t="s">
        <v>3835</v>
      </c>
      <c r="N44" s="389" t="s">
        <v>2917</v>
      </c>
      <c r="O44" s="389" t="s">
        <v>1565</v>
      </c>
      <c r="P44" s="389" t="s">
        <v>3837</v>
      </c>
      <c r="Q44" s="389" t="s">
        <v>3838</v>
      </c>
      <c r="R44" s="389" t="s">
        <v>3876</v>
      </c>
    </row>
    <row r="45" spans="1:18">
      <c r="A45" s="389" t="s">
        <v>2420</v>
      </c>
      <c r="B45" s="389" t="s">
        <v>2420</v>
      </c>
      <c r="C45" s="389" t="s">
        <v>3840</v>
      </c>
      <c r="D45" s="389" t="s">
        <v>3907</v>
      </c>
      <c r="E45" s="389" t="s">
        <v>2921</v>
      </c>
      <c r="F45" s="389" t="s">
        <v>3830</v>
      </c>
      <c r="G45" s="389" t="s">
        <v>3831</v>
      </c>
      <c r="H45" s="389" t="s">
        <v>3851</v>
      </c>
      <c r="I45" s="389" t="s">
        <v>3833</v>
      </c>
      <c r="J45" s="389" t="s">
        <v>2208</v>
      </c>
      <c r="K45" s="389" t="s">
        <v>3834</v>
      </c>
      <c r="L45" s="389" t="s">
        <v>2208</v>
      </c>
      <c r="M45" s="389" t="s">
        <v>3835</v>
      </c>
      <c r="N45" s="389" t="s">
        <v>2917</v>
      </c>
      <c r="O45" s="389" t="s">
        <v>2317</v>
      </c>
      <c r="P45" s="389" t="s">
        <v>3837</v>
      </c>
      <c r="Q45" s="389" t="s">
        <v>3838</v>
      </c>
      <c r="R45" s="389" t="s">
        <v>3876</v>
      </c>
    </row>
    <row r="46" spans="1:18">
      <c r="A46" s="389" t="s">
        <v>2419</v>
      </c>
      <c r="B46" s="389" t="s">
        <v>2419</v>
      </c>
      <c r="C46" s="389" t="s">
        <v>3828</v>
      </c>
      <c r="D46" s="389" t="s">
        <v>3908</v>
      </c>
      <c r="E46" s="389" t="s">
        <v>2921</v>
      </c>
      <c r="F46" s="389" t="s">
        <v>3830</v>
      </c>
      <c r="G46" s="389" t="s">
        <v>3831</v>
      </c>
      <c r="H46" s="389" t="s">
        <v>3851</v>
      </c>
      <c r="I46" s="389" t="s">
        <v>3833</v>
      </c>
      <c r="J46" s="389" t="s">
        <v>2208</v>
      </c>
      <c r="K46" s="389" t="s">
        <v>3834</v>
      </c>
      <c r="L46" s="389" t="s">
        <v>2208</v>
      </c>
      <c r="M46" s="389" t="s">
        <v>3835</v>
      </c>
      <c r="N46" s="389" t="s">
        <v>2917</v>
      </c>
      <c r="O46" s="389" t="s">
        <v>2314</v>
      </c>
      <c r="P46" s="389" t="s">
        <v>3837</v>
      </c>
      <c r="Q46" s="389" t="s">
        <v>3838</v>
      </c>
      <c r="R46" s="389" t="s">
        <v>3876</v>
      </c>
    </row>
    <row r="47" spans="1:18">
      <c r="A47" s="389" t="s">
        <v>2421</v>
      </c>
      <c r="B47" s="389" t="s">
        <v>2421</v>
      </c>
      <c r="C47" s="389" t="s">
        <v>3887</v>
      </c>
      <c r="D47" s="389" t="s">
        <v>3909</v>
      </c>
      <c r="E47" s="389" t="s">
        <v>2921</v>
      </c>
      <c r="F47" s="389" t="s">
        <v>3830</v>
      </c>
      <c r="G47" s="389" t="s">
        <v>3831</v>
      </c>
      <c r="H47" s="389" t="s">
        <v>3849</v>
      </c>
      <c r="I47" s="389" t="s">
        <v>3833</v>
      </c>
      <c r="J47" s="389" t="s">
        <v>2208</v>
      </c>
      <c r="K47" s="389" t="s">
        <v>3834</v>
      </c>
      <c r="L47" s="389" t="s">
        <v>2208</v>
      </c>
      <c r="M47" s="389" t="s">
        <v>3835</v>
      </c>
      <c r="N47" s="389" t="s">
        <v>2917</v>
      </c>
      <c r="O47" s="389" t="s">
        <v>1155</v>
      </c>
      <c r="P47" s="389" t="s">
        <v>3837</v>
      </c>
      <c r="Q47" s="389" t="s">
        <v>3838</v>
      </c>
      <c r="R47" s="389" t="s">
        <v>3876</v>
      </c>
    </row>
    <row r="48" spans="1:18">
      <c r="A48" s="389" t="s">
        <v>2237</v>
      </c>
      <c r="B48" s="389" t="s">
        <v>2237</v>
      </c>
      <c r="C48" s="389" t="s">
        <v>3879</v>
      </c>
      <c r="D48" s="389" t="s">
        <v>3910</v>
      </c>
      <c r="E48" s="389" t="s">
        <v>2921</v>
      </c>
      <c r="F48" s="389" t="s">
        <v>3830</v>
      </c>
      <c r="G48" s="389" t="s">
        <v>3831</v>
      </c>
      <c r="H48" s="389" t="s">
        <v>3853</v>
      </c>
      <c r="I48" s="389" t="s">
        <v>3833</v>
      </c>
      <c r="J48" s="389" t="s">
        <v>2208</v>
      </c>
      <c r="K48" s="389" t="s">
        <v>3834</v>
      </c>
      <c r="L48" s="389" t="s">
        <v>2208</v>
      </c>
      <c r="M48" s="389" t="s">
        <v>3835</v>
      </c>
      <c r="N48" s="389" t="s">
        <v>2917</v>
      </c>
      <c r="O48" s="389" t="s">
        <v>2239</v>
      </c>
      <c r="P48" s="389" t="s">
        <v>3837</v>
      </c>
      <c r="Q48" s="389" t="s">
        <v>3838</v>
      </c>
      <c r="R48" s="389" t="s">
        <v>3911</v>
      </c>
    </row>
    <row r="49" spans="1:18">
      <c r="A49" s="389" t="s">
        <v>2237</v>
      </c>
      <c r="B49" s="389" t="s">
        <v>3912</v>
      </c>
      <c r="C49" s="389" t="s">
        <v>3881</v>
      </c>
      <c r="D49" s="389" t="s">
        <v>3884</v>
      </c>
      <c r="E49" s="389" t="s">
        <v>2921</v>
      </c>
      <c r="F49" s="389" t="s">
        <v>3830</v>
      </c>
      <c r="G49" s="389" t="s">
        <v>3831</v>
      </c>
      <c r="H49" s="389" t="s">
        <v>3853</v>
      </c>
      <c r="I49" s="389" t="s">
        <v>3833</v>
      </c>
      <c r="J49" s="389" t="s">
        <v>2208</v>
      </c>
      <c r="K49" s="389" t="s">
        <v>3834</v>
      </c>
      <c r="L49" s="389" t="s">
        <v>2208</v>
      </c>
      <c r="M49" s="389" t="s">
        <v>3835</v>
      </c>
      <c r="N49" s="389" t="s">
        <v>2917</v>
      </c>
      <c r="O49" s="389" t="s">
        <v>2208</v>
      </c>
      <c r="P49" s="389" t="s">
        <v>3837</v>
      </c>
      <c r="Q49" s="389" t="s">
        <v>3857</v>
      </c>
      <c r="R49" s="389" t="s">
        <v>3911</v>
      </c>
    </row>
    <row r="50" spans="1:18">
      <c r="A50" s="389" t="s">
        <v>2254</v>
      </c>
      <c r="B50" s="389" t="s">
        <v>2254</v>
      </c>
      <c r="C50" s="389" t="s">
        <v>3881</v>
      </c>
      <c r="D50" s="389" t="s">
        <v>493</v>
      </c>
      <c r="E50" s="389" t="s">
        <v>2921</v>
      </c>
      <c r="F50" s="389" t="s">
        <v>3830</v>
      </c>
      <c r="G50" s="389" t="s">
        <v>3831</v>
      </c>
      <c r="H50" s="389" t="s">
        <v>3853</v>
      </c>
      <c r="I50" s="389" t="s">
        <v>3833</v>
      </c>
      <c r="J50" s="389" t="s">
        <v>2208</v>
      </c>
      <c r="K50" s="389" t="s">
        <v>3834</v>
      </c>
      <c r="L50" s="389" t="s">
        <v>2208</v>
      </c>
      <c r="M50" s="389" t="s">
        <v>3865</v>
      </c>
      <c r="N50" s="389" t="s">
        <v>2917</v>
      </c>
      <c r="O50" s="389" t="s">
        <v>1626</v>
      </c>
      <c r="P50" s="389" t="s">
        <v>3866</v>
      </c>
      <c r="Q50" s="389" t="s">
        <v>3838</v>
      </c>
      <c r="R50" s="389" t="s">
        <v>3913</v>
      </c>
    </row>
    <row r="51" spans="1:18">
      <c r="A51" s="389" t="s">
        <v>2256</v>
      </c>
      <c r="B51" s="389" t="s">
        <v>2256</v>
      </c>
      <c r="C51" s="389" t="s">
        <v>3881</v>
      </c>
      <c r="D51" s="389" t="s">
        <v>493</v>
      </c>
      <c r="E51" s="389" t="s">
        <v>2921</v>
      </c>
      <c r="F51" s="389" t="s">
        <v>3830</v>
      </c>
      <c r="G51" s="389" t="s">
        <v>3831</v>
      </c>
      <c r="H51" s="389" t="s">
        <v>3853</v>
      </c>
      <c r="I51" s="389" t="s">
        <v>3833</v>
      </c>
      <c r="J51" s="389" t="s">
        <v>2208</v>
      </c>
      <c r="K51" s="389" t="s">
        <v>3834</v>
      </c>
      <c r="L51" s="389" t="s">
        <v>2208</v>
      </c>
      <c r="M51" s="389" t="s">
        <v>3914</v>
      </c>
      <c r="N51" s="389" t="s">
        <v>2917</v>
      </c>
      <c r="O51" s="389" t="s">
        <v>6883</v>
      </c>
      <c r="P51" s="389" t="s">
        <v>3915</v>
      </c>
      <c r="Q51" s="389" t="s">
        <v>3838</v>
      </c>
      <c r="R51" s="389" t="s">
        <v>3916</v>
      </c>
    </row>
    <row r="52" spans="1:18">
      <c r="A52" s="389" t="s">
        <v>2418</v>
      </c>
      <c r="B52" s="389" t="s">
        <v>2418</v>
      </c>
      <c r="C52" s="389" t="s">
        <v>3881</v>
      </c>
      <c r="D52" s="389" t="s">
        <v>3917</v>
      </c>
      <c r="E52" s="389" t="s">
        <v>2921</v>
      </c>
      <c r="F52" s="389" t="s">
        <v>3830</v>
      </c>
      <c r="G52" s="389" t="s">
        <v>3831</v>
      </c>
      <c r="H52" s="389" t="s">
        <v>3853</v>
      </c>
      <c r="I52" s="389" t="s">
        <v>3833</v>
      </c>
      <c r="J52" s="389" t="s">
        <v>2208</v>
      </c>
      <c r="K52" s="389" t="s">
        <v>3834</v>
      </c>
      <c r="L52" s="389" t="s">
        <v>2208</v>
      </c>
      <c r="M52" s="389" t="s">
        <v>3835</v>
      </c>
      <c r="N52" s="389" t="s">
        <v>2917</v>
      </c>
      <c r="O52" s="389" t="s">
        <v>2348</v>
      </c>
      <c r="P52" s="389" t="s">
        <v>3837</v>
      </c>
      <c r="Q52" s="389" t="s">
        <v>3838</v>
      </c>
      <c r="R52" s="389" t="s">
        <v>3911</v>
      </c>
    </row>
    <row r="53" spans="1:18">
      <c r="A53" s="389" t="s">
        <v>2418</v>
      </c>
      <c r="B53" s="389" t="s">
        <v>3918</v>
      </c>
      <c r="C53" s="389" t="s">
        <v>3881</v>
      </c>
      <c r="D53" s="389" t="s">
        <v>3884</v>
      </c>
      <c r="E53" s="389" t="s">
        <v>2921</v>
      </c>
      <c r="F53" s="389" t="s">
        <v>3830</v>
      </c>
      <c r="G53" s="389" t="s">
        <v>3831</v>
      </c>
      <c r="H53" s="389" t="s">
        <v>3853</v>
      </c>
      <c r="I53" s="389" t="s">
        <v>3833</v>
      </c>
      <c r="J53" s="389" t="s">
        <v>2208</v>
      </c>
      <c r="K53" s="389" t="s">
        <v>3834</v>
      </c>
      <c r="L53" s="389" t="s">
        <v>2208</v>
      </c>
      <c r="M53" s="389" t="s">
        <v>3835</v>
      </c>
      <c r="N53" s="389" t="s">
        <v>2917</v>
      </c>
      <c r="O53" s="389" t="s">
        <v>2208</v>
      </c>
      <c r="P53" s="389" t="s">
        <v>3837</v>
      </c>
      <c r="Q53" s="389" t="s">
        <v>3857</v>
      </c>
      <c r="R53" s="389" t="s">
        <v>3911</v>
      </c>
    </row>
    <row r="54" spans="1:18">
      <c r="A54" s="389" t="s">
        <v>2417</v>
      </c>
      <c r="B54" s="389" t="s">
        <v>2417</v>
      </c>
      <c r="C54" s="389" t="s">
        <v>3879</v>
      </c>
      <c r="D54" s="389" t="s">
        <v>493</v>
      </c>
      <c r="E54" s="389" t="s">
        <v>2921</v>
      </c>
      <c r="F54" s="389" t="s">
        <v>3830</v>
      </c>
      <c r="G54" s="389" t="s">
        <v>3831</v>
      </c>
      <c r="H54" s="389" t="s">
        <v>3853</v>
      </c>
      <c r="I54" s="389" t="s">
        <v>3833</v>
      </c>
      <c r="J54" s="389" t="s">
        <v>2208</v>
      </c>
      <c r="K54" s="389" t="s">
        <v>3834</v>
      </c>
      <c r="L54" s="389" t="s">
        <v>2208</v>
      </c>
      <c r="M54" s="389" t="s">
        <v>3835</v>
      </c>
      <c r="N54" s="389" t="s">
        <v>2917</v>
      </c>
      <c r="O54" s="389" t="s">
        <v>2361</v>
      </c>
      <c r="P54" s="389" t="s">
        <v>3837</v>
      </c>
      <c r="Q54" s="389" t="s">
        <v>3838</v>
      </c>
      <c r="R54" s="389" t="s">
        <v>3876</v>
      </c>
    </row>
    <row r="55" spans="1:18">
      <c r="A55" s="389" t="s">
        <v>2494</v>
      </c>
      <c r="B55" s="389" t="s">
        <v>2494</v>
      </c>
      <c r="C55" s="389" t="s">
        <v>3879</v>
      </c>
      <c r="D55" s="389" t="s">
        <v>3919</v>
      </c>
      <c r="E55" s="389" t="s">
        <v>2921</v>
      </c>
      <c r="F55" s="389" t="s">
        <v>3830</v>
      </c>
      <c r="G55" s="389" t="s">
        <v>3831</v>
      </c>
      <c r="H55" s="389" t="s">
        <v>3842</v>
      </c>
      <c r="I55" s="389" t="s">
        <v>3833</v>
      </c>
      <c r="J55" s="389" t="s">
        <v>2208</v>
      </c>
      <c r="K55" s="389" t="s">
        <v>3834</v>
      </c>
      <c r="L55" s="389" t="s">
        <v>2208</v>
      </c>
      <c r="M55" s="389" t="s">
        <v>3835</v>
      </c>
      <c r="N55" s="389" t="s">
        <v>2917</v>
      </c>
      <c r="O55" s="389" t="s">
        <v>2042</v>
      </c>
      <c r="P55" s="389" t="s">
        <v>3837</v>
      </c>
      <c r="Q55" s="389" t="s">
        <v>3838</v>
      </c>
      <c r="R55" s="389" t="s">
        <v>3854</v>
      </c>
    </row>
    <row r="56" spans="1:18">
      <c r="A56" s="389" t="s">
        <v>2501</v>
      </c>
      <c r="B56" s="389" t="s">
        <v>2501</v>
      </c>
      <c r="C56" s="389" t="s">
        <v>3881</v>
      </c>
      <c r="D56" s="389" t="s">
        <v>493</v>
      </c>
      <c r="E56" s="389" t="s">
        <v>2921</v>
      </c>
      <c r="F56" s="389" t="s">
        <v>3830</v>
      </c>
      <c r="G56" s="389" t="s">
        <v>3831</v>
      </c>
      <c r="H56" s="389" t="s">
        <v>3853</v>
      </c>
      <c r="I56" s="389" t="s">
        <v>3833</v>
      </c>
      <c r="J56" s="389" t="s">
        <v>2208</v>
      </c>
      <c r="K56" s="389" t="s">
        <v>3834</v>
      </c>
      <c r="L56" s="389" t="s">
        <v>2208</v>
      </c>
      <c r="M56" s="389" t="s">
        <v>3835</v>
      </c>
      <c r="N56" s="389" t="s">
        <v>2917</v>
      </c>
      <c r="O56" s="389" t="s">
        <v>2436</v>
      </c>
      <c r="P56" s="389" t="s">
        <v>3837</v>
      </c>
      <c r="Q56" s="389" t="s">
        <v>3838</v>
      </c>
      <c r="R56" s="389" t="s">
        <v>3876</v>
      </c>
    </row>
    <row r="57" spans="1:18">
      <c r="A57" s="389" t="s">
        <v>2501</v>
      </c>
      <c r="B57" s="389" t="s">
        <v>3920</v>
      </c>
      <c r="C57" s="389" t="s">
        <v>3881</v>
      </c>
      <c r="D57" s="389" t="s">
        <v>3884</v>
      </c>
      <c r="E57" s="389" t="s">
        <v>2921</v>
      </c>
      <c r="F57" s="389" t="s">
        <v>3830</v>
      </c>
      <c r="G57" s="389" t="s">
        <v>3831</v>
      </c>
      <c r="H57" s="389" t="s">
        <v>3853</v>
      </c>
      <c r="I57" s="389" t="s">
        <v>3833</v>
      </c>
      <c r="J57" s="389" t="s">
        <v>2208</v>
      </c>
      <c r="K57" s="389" t="s">
        <v>3834</v>
      </c>
      <c r="L57" s="389" t="s">
        <v>2208</v>
      </c>
      <c r="M57" s="389" t="s">
        <v>3835</v>
      </c>
      <c r="N57" s="389" t="s">
        <v>2917</v>
      </c>
      <c r="O57" s="389" t="s">
        <v>2436</v>
      </c>
      <c r="P57" s="389" t="s">
        <v>3837</v>
      </c>
      <c r="Q57" s="389" t="s">
        <v>3857</v>
      </c>
      <c r="R57" s="389" t="s">
        <v>3876</v>
      </c>
    </row>
    <row r="58" spans="1:18">
      <c r="A58" s="389" t="s">
        <v>2600</v>
      </c>
      <c r="B58" s="389" t="s">
        <v>2600</v>
      </c>
      <c r="C58" s="389" t="s">
        <v>3881</v>
      </c>
      <c r="D58" s="389" t="s">
        <v>493</v>
      </c>
      <c r="E58" s="389" t="s">
        <v>2921</v>
      </c>
      <c r="F58" s="389" t="s">
        <v>3830</v>
      </c>
      <c r="G58" s="389" t="s">
        <v>3831</v>
      </c>
      <c r="H58" s="389" t="s">
        <v>3853</v>
      </c>
      <c r="I58" s="389" t="s">
        <v>3833</v>
      </c>
      <c r="J58" s="389" t="s">
        <v>2208</v>
      </c>
      <c r="K58" s="389" t="s">
        <v>3834</v>
      </c>
      <c r="L58" s="389" t="s">
        <v>2208</v>
      </c>
      <c r="M58" s="389" t="s">
        <v>3873</v>
      </c>
      <c r="N58" s="389" t="s">
        <v>2917</v>
      </c>
      <c r="O58" s="389" t="s">
        <v>2413</v>
      </c>
      <c r="P58" s="389" t="s">
        <v>3874</v>
      </c>
      <c r="Q58" s="389" t="s">
        <v>3838</v>
      </c>
      <c r="R58" s="389" t="s">
        <v>3876</v>
      </c>
    </row>
    <row r="59" spans="1:18">
      <c r="A59" s="389" t="s">
        <v>2681</v>
      </c>
      <c r="B59" s="389" t="s">
        <v>2681</v>
      </c>
      <c r="C59" s="389" t="s">
        <v>3881</v>
      </c>
      <c r="D59" s="389" t="s">
        <v>493</v>
      </c>
      <c r="E59" s="389" t="s">
        <v>2921</v>
      </c>
      <c r="F59" s="389" t="s">
        <v>3830</v>
      </c>
      <c r="G59" s="389" t="s">
        <v>3831</v>
      </c>
      <c r="H59" s="389" t="s">
        <v>3853</v>
      </c>
      <c r="I59" s="389" t="s">
        <v>3833</v>
      </c>
      <c r="J59" s="389" t="s">
        <v>2208</v>
      </c>
      <c r="K59" s="389" t="s">
        <v>3834</v>
      </c>
      <c r="L59" s="389" t="s">
        <v>2208</v>
      </c>
      <c r="M59" s="389" t="s">
        <v>3835</v>
      </c>
      <c r="N59" s="389" t="s">
        <v>2917</v>
      </c>
      <c r="O59" s="389" t="s">
        <v>2619</v>
      </c>
      <c r="P59" s="389" t="s">
        <v>3837</v>
      </c>
      <c r="Q59" s="389" t="s">
        <v>3838</v>
      </c>
      <c r="R59" s="389" t="s">
        <v>2208</v>
      </c>
    </row>
    <row r="60" spans="1:18">
      <c r="A60" s="389" t="s">
        <v>2724</v>
      </c>
      <c r="B60" s="389" t="s">
        <v>2724</v>
      </c>
      <c r="C60" s="389" t="s">
        <v>3881</v>
      </c>
      <c r="D60" s="389" t="s">
        <v>493</v>
      </c>
      <c r="E60" s="389" t="s">
        <v>2921</v>
      </c>
      <c r="F60" s="389" t="s">
        <v>3830</v>
      </c>
      <c r="G60" s="389" t="s">
        <v>3831</v>
      </c>
      <c r="H60" s="389" t="s">
        <v>3853</v>
      </c>
      <c r="I60" s="389" t="s">
        <v>3833</v>
      </c>
      <c r="J60" s="389" t="s">
        <v>2208</v>
      </c>
      <c r="K60" s="389" t="s">
        <v>3834</v>
      </c>
      <c r="L60" s="389" t="s">
        <v>2208</v>
      </c>
      <c r="M60" s="389" t="s">
        <v>3835</v>
      </c>
      <c r="N60" s="389" t="s">
        <v>2917</v>
      </c>
      <c r="O60" s="389" t="s">
        <v>3921</v>
      </c>
      <c r="P60" s="389" t="s">
        <v>3837</v>
      </c>
      <c r="Q60" s="389" t="s">
        <v>3838</v>
      </c>
      <c r="R60" s="389" t="s">
        <v>3876</v>
      </c>
    </row>
    <row r="61" spans="1:18">
      <c r="A61" s="389" t="s">
        <v>2725</v>
      </c>
      <c r="B61" s="389" t="s">
        <v>2725</v>
      </c>
      <c r="C61" s="389" t="s">
        <v>3881</v>
      </c>
      <c r="D61" s="389" t="s">
        <v>493</v>
      </c>
      <c r="E61" s="389" t="s">
        <v>2921</v>
      </c>
      <c r="F61" s="389" t="s">
        <v>3830</v>
      </c>
      <c r="G61" s="389" t="s">
        <v>3831</v>
      </c>
      <c r="H61" s="389" t="s">
        <v>3853</v>
      </c>
      <c r="I61" s="389" t="s">
        <v>3833</v>
      </c>
      <c r="J61" s="389" t="s">
        <v>2208</v>
      </c>
      <c r="K61" s="389" t="s">
        <v>3834</v>
      </c>
      <c r="L61" s="389" t="s">
        <v>2208</v>
      </c>
      <c r="M61" s="389" t="s">
        <v>3835</v>
      </c>
      <c r="N61" s="389" t="s">
        <v>2917</v>
      </c>
      <c r="O61" s="389" t="s">
        <v>2693</v>
      </c>
      <c r="P61" s="389" t="s">
        <v>3837</v>
      </c>
      <c r="Q61" s="389" t="s">
        <v>3838</v>
      </c>
      <c r="R61" s="389" t="s">
        <v>3876</v>
      </c>
    </row>
    <row r="62" spans="1:18">
      <c r="A62" s="389" t="s">
        <v>2886</v>
      </c>
      <c r="B62" s="389" t="s">
        <v>2886</v>
      </c>
      <c r="C62" s="389" t="s">
        <v>3879</v>
      </c>
      <c r="D62" s="389" t="s">
        <v>493</v>
      </c>
      <c r="E62" s="389" t="s">
        <v>2921</v>
      </c>
      <c r="F62" s="389" t="s">
        <v>3830</v>
      </c>
      <c r="G62" s="389" t="s">
        <v>3831</v>
      </c>
      <c r="H62" s="389" t="s">
        <v>3853</v>
      </c>
      <c r="I62" s="389" t="s">
        <v>3833</v>
      </c>
      <c r="J62" s="389" t="s">
        <v>2208</v>
      </c>
      <c r="K62" s="389" t="s">
        <v>3834</v>
      </c>
      <c r="L62" s="389" t="s">
        <v>2208</v>
      </c>
      <c r="M62" s="389" t="s">
        <v>3873</v>
      </c>
      <c r="N62" s="389" t="s">
        <v>2917</v>
      </c>
      <c r="O62" s="389" t="s">
        <v>2349</v>
      </c>
      <c r="P62" s="389" t="s">
        <v>3874</v>
      </c>
      <c r="Q62" s="389" t="s">
        <v>3838</v>
      </c>
      <c r="R62" s="389" t="s">
        <v>3876</v>
      </c>
    </row>
    <row r="63" spans="1:18">
      <c r="A63" s="389" t="s">
        <v>6817</v>
      </c>
      <c r="B63" s="389" t="s">
        <v>6817</v>
      </c>
      <c r="C63" s="389" t="s">
        <v>6840</v>
      </c>
      <c r="D63" s="389" t="s">
        <v>493</v>
      </c>
      <c r="E63" s="389" t="s">
        <v>2921</v>
      </c>
      <c r="F63" s="389" t="s">
        <v>3830</v>
      </c>
      <c r="G63" s="389" t="s">
        <v>3831</v>
      </c>
      <c r="H63" s="389" t="s">
        <v>3853</v>
      </c>
      <c r="I63" s="389" t="s">
        <v>3833</v>
      </c>
      <c r="J63" s="389" t="s">
        <v>2208</v>
      </c>
      <c r="K63" s="389" t="s">
        <v>3834</v>
      </c>
      <c r="L63" s="389" t="s">
        <v>2208</v>
      </c>
      <c r="M63" s="389" t="s">
        <v>3865</v>
      </c>
      <c r="N63" s="389" t="s">
        <v>2917</v>
      </c>
      <c r="O63" s="389" t="s">
        <v>2336</v>
      </c>
      <c r="P63" s="389" t="s">
        <v>3866</v>
      </c>
      <c r="Q63" s="389" t="s">
        <v>3838</v>
      </c>
      <c r="R63" s="389" t="s">
        <v>3876</v>
      </c>
    </row>
    <row r="64" spans="1:18">
      <c r="A64" s="389" t="s">
        <v>6815</v>
      </c>
      <c r="B64" s="389" t="s">
        <v>6815</v>
      </c>
      <c r="C64" s="389" t="s">
        <v>3881</v>
      </c>
      <c r="D64" s="389" t="s">
        <v>493</v>
      </c>
      <c r="E64" s="389" t="s">
        <v>2921</v>
      </c>
      <c r="F64" s="389" t="s">
        <v>3830</v>
      </c>
      <c r="G64" s="389" t="s">
        <v>3831</v>
      </c>
      <c r="H64" s="389" t="s">
        <v>3853</v>
      </c>
      <c r="I64" s="389" t="s">
        <v>3833</v>
      </c>
      <c r="J64" s="389" t="s">
        <v>2208</v>
      </c>
      <c r="K64" s="389" t="s">
        <v>3834</v>
      </c>
      <c r="L64" s="389" t="s">
        <v>2208</v>
      </c>
      <c r="M64" s="389" t="s">
        <v>3865</v>
      </c>
      <c r="N64" s="389" t="s">
        <v>2917</v>
      </c>
      <c r="O64" s="389" t="s">
        <v>6841</v>
      </c>
      <c r="P64" s="389" t="s">
        <v>3866</v>
      </c>
      <c r="Q64" s="389" t="s">
        <v>3838</v>
      </c>
      <c r="R64" s="389" t="s">
        <v>3913</v>
      </c>
    </row>
    <row r="65" spans="1:18">
      <c r="A65" s="389" t="s">
        <v>6816</v>
      </c>
      <c r="B65" s="389" t="s">
        <v>6816</v>
      </c>
      <c r="C65" s="389" t="s">
        <v>3881</v>
      </c>
      <c r="D65" s="389" t="s">
        <v>493</v>
      </c>
      <c r="E65" s="389" t="s">
        <v>2921</v>
      </c>
      <c r="F65" s="389" t="s">
        <v>3830</v>
      </c>
      <c r="G65" s="389" t="s">
        <v>3831</v>
      </c>
      <c r="H65" s="389" t="s">
        <v>3853</v>
      </c>
      <c r="I65" s="389" t="s">
        <v>3833</v>
      </c>
      <c r="J65" s="389" t="s">
        <v>2208</v>
      </c>
      <c r="K65" s="389" t="s">
        <v>3834</v>
      </c>
      <c r="L65" s="389" t="s">
        <v>2208</v>
      </c>
      <c r="M65" s="389" t="s">
        <v>3865</v>
      </c>
      <c r="N65" s="389" t="s">
        <v>2917</v>
      </c>
      <c r="O65" s="389" t="s">
        <v>3212</v>
      </c>
      <c r="P65" s="389" t="s">
        <v>3866</v>
      </c>
      <c r="Q65" s="389" t="s">
        <v>3838</v>
      </c>
      <c r="R65" s="389" t="s">
        <v>3913</v>
      </c>
    </row>
    <row r="66" spans="1:18">
      <c r="A66" s="389" t="s">
        <v>7006</v>
      </c>
      <c r="B66" s="389" t="s">
        <v>7006</v>
      </c>
      <c r="C66" s="389" t="s">
        <v>3881</v>
      </c>
      <c r="D66" s="389" t="s">
        <v>493</v>
      </c>
      <c r="E66" s="389" t="s">
        <v>2921</v>
      </c>
      <c r="F66" s="389" t="s">
        <v>3830</v>
      </c>
      <c r="G66" s="389" t="s">
        <v>3831</v>
      </c>
      <c r="H66" s="389" t="s">
        <v>3853</v>
      </c>
      <c r="I66" s="389" t="s">
        <v>3833</v>
      </c>
      <c r="J66" s="389" t="s">
        <v>2208</v>
      </c>
      <c r="K66" s="389" t="s">
        <v>3834</v>
      </c>
      <c r="L66" s="389" t="s">
        <v>2208</v>
      </c>
      <c r="M66" s="389" t="s">
        <v>3865</v>
      </c>
      <c r="N66" s="389" t="s">
        <v>2917</v>
      </c>
      <c r="O66" s="389" t="s">
        <v>1951</v>
      </c>
      <c r="P66" s="389" t="s">
        <v>3866</v>
      </c>
      <c r="Q66" s="389" t="s">
        <v>3838</v>
      </c>
      <c r="R66" s="389" t="s">
        <v>3913</v>
      </c>
    </row>
    <row r="67" spans="1:18">
      <c r="A67" s="389" t="s">
        <v>7030</v>
      </c>
      <c r="B67" s="389" t="s">
        <v>7030</v>
      </c>
      <c r="C67" s="389" t="s">
        <v>3881</v>
      </c>
      <c r="D67" s="389" t="s">
        <v>493</v>
      </c>
      <c r="E67" s="389" t="s">
        <v>2921</v>
      </c>
      <c r="F67" s="389" t="s">
        <v>3830</v>
      </c>
      <c r="G67" s="389" t="s">
        <v>3831</v>
      </c>
      <c r="H67" s="389" t="s">
        <v>3853</v>
      </c>
      <c r="I67" s="389" t="s">
        <v>3833</v>
      </c>
      <c r="J67" s="389" t="s">
        <v>2208</v>
      </c>
      <c r="K67" s="389" t="s">
        <v>3834</v>
      </c>
      <c r="L67" s="389" t="s">
        <v>2208</v>
      </c>
      <c r="M67" s="389" t="s">
        <v>3865</v>
      </c>
      <c r="N67" s="389" t="s">
        <v>2917</v>
      </c>
      <c r="O67" s="389" t="s">
        <v>7066</v>
      </c>
      <c r="P67" s="389" t="s">
        <v>3866</v>
      </c>
      <c r="Q67" s="389" t="s">
        <v>3838</v>
      </c>
      <c r="R67" s="389" t="s">
        <v>3913</v>
      </c>
    </row>
    <row r="68" spans="1:18">
      <c r="A68" s="389" t="s">
        <v>7030</v>
      </c>
      <c r="B68" s="389" t="s">
        <v>7067</v>
      </c>
      <c r="C68" s="389" t="s">
        <v>3881</v>
      </c>
      <c r="D68" s="389" t="s">
        <v>3884</v>
      </c>
      <c r="E68" s="389" t="s">
        <v>2921</v>
      </c>
      <c r="F68" s="389" t="s">
        <v>3830</v>
      </c>
      <c r="G68" s="389" t="s">
        <v>3831</v>
      </c>
      <c r="H68" s="389" t="s">
        <v>3853</v>
      </c>
      <c r="I68" s="389" t="s">
        <v>3833</v>
      </c>
      <c r="J68" s="389" t="s">
        <v>2208</v>
      </c>
      <c r="K68" s="389" t="s">
        <v>3834</v>
      </c>
      <c r="L68" s="389" t="s">
        <v>2208</v>
      </c>
      <c r="M68" s="389" t="s">
        <v>3865</v>
      </c>
      <c r="N68" s="389" t="s">
        <v>2917</v>
      </c>
      <c r="O68" s="389" t="s">
        <v>2208</v>
      </c>
      <c r="P68" s="389" t="s">
        <v>3866</v>
      </c>
      <c r="Q68" s="389" t="s">
        <v>3857</v>
      </c>
      <c r="R68" s="389" t="s">
        <v>3913</v>
      </c>
    </row>
  </sheetData>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0F6E6-2150-4D72-8552-376117F4F5DA}">
  <sheetPr codeName="Planilha1"/>
  <dimension ref="A1:G43"/>
  <sheetViews>
    <sheetView topLeftCell="A25" workbookViewId="0">
      <selection activeCell="B39" sqref="B39"/>
    </sheetView>
  </sheetViews>
  <sheetFormatPr defaultColWidth="9.1796875" defaultRowHeight="14.5"/>
  <cols>
    <col min="1" max="1" width="20" style="389" bestFit="1" customWidth="1"/>
    <col min="2" max="2" width="15" style="389" bestFit="1" customWidth="1"/>
    <col min="3" max="3" width="41" style="389" bestFit="1" customWidth="1"/>
    <col min="4" max="4" width="42" style="389" bestFit="1" customWidth="1"/>
    <col min="5" max="6" width="7" style="389" bestFit="1" customWidth="1"/>
    <col min="7" max="7" width="6" style="389" bestFit="1" customWidth="1"/>
    <col min="8" max="16384" width="9.1796875" style="389"/>
  </cols>
  <sheetData>
    <row r="1" spans="1:7" ht="43.5">
      <c r="A1" s="387" t="s">
        <v>3071</v>
      </c>
      <c r="B1" s="387" t="s">
        <v>3341</v>
      </c>
      <c r="C1" s="387" t="s">
        <v>3349</v>
      </c>
      <c r="D1" s="387" t="s">
        <v>2968</v>
      </c>
      <c r="E1" s="387" t="s">
        <v>3350</v>
      </c>
      <c r="F1" s="387" t="s">
        <v>3351</v>
      </c>
      <c r="G1" s="388" t="s">
        <v>3352</v>
      </c>
    </row>
    <row r="2" spans="1:7">
      <c r="A2" s="389" t="s">
        <v>2339</v>
      </c>
      <c r="B2" s="389" t="s">
        <v>2339</v>
      </c>
      <c r="C2" s="389" t="s">
        <v>7029</v>
      </c>
      <c r="D2" s="389" t="s">
        <v>2340</v>
      </c>
      <c r="E2" s="389" t="s">
        <v>2921</v>
      </c>
      <c r="F2" s="389" t="s">
        <v>3354</v>
      </c>
      <c r="G2" s="389" t="s">
        <v>3355</v>
      </c>
    </row>
    <row r="3" spans="1:7">
      <c r="A3" s="389" t="s">
        <v>2339</v>
      </c>
      <c r="B3" s="389" t="s">
        <v>1949</v>
      </c>
      <c r="C3" s="389" t="s">
        <v>10880</v>
      </c>
      <c r="D3" s="389" t="s">
        <v>10870</v>
      </c>
      <c r="E3" s="389" t="s">
        <v>2925</v>
      </c>
      <c r="F3" s="389" t="s">
        <v>3354</v>
      </c>
      <c r="G3" s="389" t="s">
        <v>3355</v>
      </c>
    </row>
    <row r="4" spans="1:7">
      <c r="A4" s="389" t="s">
        <v>2339</v>
      </c>
      <c r="B4" s="389" t="s">
        <v>1950</v>
      </c>
      <c r="C4" s="389" t="s">
        <v>10880</v>
      </c>
      <c r="D4" s="389" t="s">
        <v>10871</v>
      </c>
      <c r="E4" s="389" t="s">
        <v>2925</v>
      </c>
      <c r="F4" s="389" t="s">
        <v>3354</v>
      </c>
      <c r="G4" s="389" t="s">
        <v>3355</v>
      </c>
    </row>
    <row r="5" spans="1:7">
      <c r="A5" s="389" t="s">
        <v>2339</v>
      </c>
      <c r="B5" s="389" t="s">
        <v>1951</v>
      </c>
      <c r="C5" s="389" t="s">
        <v>10872</v>
      </c>
      <c r="D5" s="389" t="s">
        <v>10873</v>
      </c>
      <c r="E5" s="389" t="s">
        <v>2925</v>
      </c>
      <c r="F5" s="389" t="s">
        <v>3354</v>
      </c>
      <c r="G5" s="389" t="s">
        <v>3355</v>
      </c>
    </row>
    <row r="6" spans="1:7">
      <c r="A6" s="389" t="s">
        <v>2339</v>
      </c>
      <c r="B6" s="389" t="s">
        <v>1953</v>
      </c>
      <c r="C6" s="389" t="s">
        <v>10881</v>
      </c>
      <c r="D6" s="389" t="s">
        <v>10874</v>
      </c>
      <c r="E6" s="389" t="s">
        <v>2925</v>
      </c>
      <c r="F6" s="389" t="s">
        <v>3354</v>
      </c>
      <c r="G6" s="389" t="s">
        <v>3355</v>
      </c>
    </row>
    <row r="7" spans="1:7">
      <c r="A7" s="389" t="s">
        <v>2339</v>
      </c>
      <c r="B7" s="389" t="s">
        <v>1954</v>
      </c>
      <c r="C7" s="389" t="s">
        <v>10881</v>
      </c>
      <c r="D7" s="389" t="s">
        <v>10875</v>
      </c>
      <c r="E7" s="389" t="s">
        <v>2925</v>
      </c>
      <c r="F7" s="389" t="s">
        <v>3354</v>
      </c>
      <c r="G7" s="389" t="s">
        <v>3355</v>
      </c>
    </row>
    <row r="8" spans="1:7">
      <c r="A8" s="389" t="s">
        <v>2339</v>
      </c>
      <c r="B8" s="389" t="s">
        <v>2042</v>
      </c>
      <c r="C8" s="389" t="s">
        <v>10880</v>
      </c>
      <c r="D8" s="389" t="s">
        <v>10876</v>
      </c>
      <c r="E8" s="389" t="s">
        <v>2925</v>
      </c>
      <c r="F8" s="389" t="s">
        <v>3354</v>
      </c>
      <c r="G8" s="389" t="s">
        <v>3355</v>
      </c>
    </row>
    <row r="9" spans="1:7">
      <c r="A9" s="389" t="s">
        <v>2339</v>
      </c>
      <c r="B9" s="389" t="s">
        <v>2043</v>
      </c>
      <c r="C9" s="389" t="s">
        <v>10880</v>
      </c>
      <c r="D9" s="389" t="s">
        <v>6155</v>
      </c>
      <c r="E9" s="389" t="s">
        <v>2925</v>
      </c>
      <c r="F9" s="389" t="s">
        <v>3354</v>
      </c>
      <c r="G9" s="389" t="s">
        <v>3355</v>
      </c>
    </row>
    <row r="10" spans="1:7">
      <c r="A10" s="389" t="s">
        <v>2339</v>
      </c>
      <c r="B10" s="389" t="s">
        <v>2044</v>
      </c>
      <c r="C10" s="389" t="s">
        <v>10880</v>
      </c>
      <c r="D10" s="389" t="s">
        <v>10877</v>
      </c>
      <c r="E10" s="389" t="s">
        <v>2925</v>
      </c>
      <c r="F10" s="389" t="s">
        <v>3354</v>
      </c>
      <c r="G10" s="389" t="s">
        <v>3355</v>
      </c>
    </row>
    <row r="11" spans="1:7">
      <c r="A11" s="389" t="s">
        <v>2339</v>
      </c>
      <c r="B11" s="389" t="s">
        <v>2045</v>
      </c>
      <c r="C11" s="389" t="s">
        <v>10880</v>
      </c>
      <c r="D11" s="389" t="s">
        <v>6157</v>
      </c>
      <c r="E11" s="389" t="s">
        <v>2925</v>
      </c>
      <c r="F11" s="389" t="s">
        <v>3354</v>
      </c>
      <c r="G11" s="389" t="s">
        <v>3355</v>
      </c>
    </row>
    <row r="12" spans="1:7">
      <c r="A12" s="389" t="s">
        <v>2339</v>
      </c>
      <c r="B12" s="389" t="s">
        <v>2062</v>
      </c>
      <c r="C12" s="389" t="s">
        <v>10881</v>
      </c>
      <c r="D12" s="389" t="s">
        <v>10878</v>
      </c>
      <c r="E12" s="389" t="s">
        <v>2925</v>
      </c>
      <c r="F12" s="389" t="s">
        <v>3354</v>
      </c>
      <c r="G12" s="389" t="s">
        <v>3355</v>
      </c>
    </row>
    <row r="13" spans="1:7">
      <c r="A13" s="389" t="s">
        <v>2339</v>
      </c>
      <c r="B13" s="389" t="s">
        <v>2085</v>
      </c>
      <c r="C13" s="389" t="s">
        <v>10881</v>
      </c>
      <c r="D13" s="389" t="s">
        <v>2087</v>
      </c>
      <c r="E13" s="389" t="s">
        <v>2925</v>
      </c>
      <c r="F13" s="389" t="s">
        <v>3354</v>
      </c>
      <c r="G13" s="389" t="s">
        <v>3355</v>
      </c>
    </row>
    <row r="14" spans="1:7">
      <c r="A14" s="389" t="s">
        <v>2339</v>
      </c>
      <c r="B14" s="389" t="s">
        <v>2095</v>
      </c>
      <c r="C14" s="389" t="s">
        <v>10881</v>
      </c>
      <c r="D14" s="389" t="s">
        <v>10879</v>
      </c>
      <c r="E14" s="389" t="s">
        <v>2925</v>
      </c>
      <c r="F14" s="389" t="s">
        <v>3354</v>
      </c>
      <c r="G14" s="389" t="s">
        <v>3355</v>
      </c>
    </row>
    <row r="15" spans="1:7">
      <c r="A15" s="389" t="s">
        <v>2378</v>
      </c>
      <c r="B15" s="389" t="s">
        <v>2378</v>
      </c>
      <c r="C15" s="389" t="s">
        <v>3419</v>
      </c>
      <c r="D15" s="389" t="s">
        <v>2379</v>
      </c>
      <c r="E15" s="389" t="s">
        <v>2921</v>
      </c>
      <c r="F15" s="389" t="s">
        <v>3354</v>
      </c>
      <c r="G15" s="389" t="s">
        <v>3355</v>
      </c>
    </row>
    <row r="16" spans="1:7">
      <c r="A16" s="389" t="s">
        <v>2378</v>
      </c>
      <c r="B16" s="389" t="s">
        <v>2170</v>
      </c>
      <c r="C16" s="389" t="s">
        <v>10880</v>
      </c>
      <c r="D16" s="389" t="s">
        <v>2174</v>
      </c>
      <c r="E16" s="389" t="s">
        <v>2925</v>
      </c>
      <c r="F16" s="389" t="s">
        <v>3354</v>
      </c>
      <c r="G16" s="389" t="s">
        <v>3355</v>
      </c>
    </row>
    <row r="17" spans="1:7">
      <c r="A17" s="389" t="s">
        <v>2378</v>
      </c>
      <c r="B17" s="389" t="s">
        <v>2171</v>
      </c>
      <c r="C17" s="389" t="s">
        <v>10880</v>
      </c>
      <c r="D17" s="389" t="s">
        <v>2175</v>
      </c>
      <c r="E17" s="389" t="s">
        <v>2925</v>
      </c>
      <c r="F17" s="389" t="s">
        <v>3354</v>
      </c>
      <c r="G17" s="389" t="s">
        <v>3355</v>
      </c>
    </row>
    <row r="18" spans="1:7">
      <c r="A18" s="389" t="s">
        <v>2378</v>
      </c>
      <c r="B18" s="389" t="s">
        <v>2172</v>
      </c>
      <c r="C18" s="389" t="s">
        <v>10880</v>
      </c>
      <c r="D18" s="389" t="s">
        <v>2176</v>
      </c>
      <c r="E18" s="389" t="s">
        <v>2925</v>
      </c>
      <c r="F18" s="389" t="s">
        <v>3354</v>
      </c>
      <c r="G18" s="389" t="s">
        <v>3355</v>
      </c>
    </row>
    <row r="19" spans="1:7">
      <c r="A19" s="389" t="s">
        <v>2378</v>
      </c>
      <c r="B19" s="389" t="s">
        <v>2173</v>
      </c>
      <c r="C19" s="389" t="s">
        <v>10881</v>
      </c>
      <c r="D19" s="389" t="s">
        <v>2177</v>
      </c>
      <c r="E19" s="389" t="s">
        <v>2925</v>
      </c>
      <c r="F19" s="389" t="s">
        <v>3354</v>
      </c>
      <c r="G19" s="389" t="s">
        <v>3355</v>
      </c>
    </row>
    <row r="20" spans="1:7">
      <c r="A20" s="389" t="s">
        <v>2378</v>
      </c>
      <c r="B20" s="389" t="s">
        <v>2184</v>
      </c>
      <c r="C20" s="389" t="s">
        <v>10880</v>
      </c>
      <c r="D20" s="389" t="s">
        <v>2185</v>
      </c>
      <c r="E20" s="389" t="s">
        <v>2925</v>
      </c>
      <c r="F20" s="389" t="s">
        <v>3354</v>
      </c>
      <c r="G20" s="389" t="s">
        <v>3355</v>
      </c>
    </row>
    <row r="21" spans="1:7">
      <c r="A21" s="389" t="s">
        <v>2378</v>
      </c>
      <c r="B21" s="389" t="s">
        <v>2202</v>
      </c>
      <c r="C21" s="389" t="s">
        <v>10880</v>
      </c>
      <c r="D21" s="389" t="s">
        <v>2204</v>
      </c>
      <c r="E21" s="389" t="s">
        <v>2925</v>
      </c>
      <c r="F21" s="389" t="s">
        <v>3354</v>
      </c>
      <c r="G21" s="389" t="s">
        <v>3355</v>
      </c>
    </row>
    <row r="22" spans="1:7">
      <c r="A22" s="389" t="s">
        <v>2378</v>
      </c>
      <c r="B22" s="389" t="s">
        <v>2423</v>
      </c>
      <c r="C22" s="389" t="s">
        <v>10880</v>
      </c>
      <c r="D22" s="389" t="s">
        <v>2424</v>
      </c>
      <c r="E22" s="389" t="s">
        <v>2925</v>
      </c>
      <c r="F22" s="389" t="s">
        <v>3354</v>
      </c>
      <c r="G22" s="389" t="s">
        <v>3355</v>
      </c>
    </row>
    <row r="23" spans="1:7">
      <c r="A23" s="389" t="s">
        <v>2378</v>
      </c>
      <c r="B23" s="389" t="s">
        <v>2430</v>
      </c>
      <c r="C23" s="389" t="s">
        <v>10880</v>
      </c>
      <c r="D23" s="389" t="s">
        <v>2431</v>
      </c>
      <c r="E23" s="389" t="s">
        <v>2925</v>
      </c>
      <c r="F23" s="389" t="s">
        <v>3354</v>
      </c>
      <c r="G23" s="389" t="s">
        <v>3355</v>
      </c>
    </row>
    <row r="24" spans="1:7">
      <c r="A24" s="389" t="s">
        <v>2557</v>
      </c>
      <c r="B24" s="389" t="s">
        <v>2557</v>
      </c>
      <c r="C24" s="389" t="s">
        <v>7029</v>
      </c>
      <c r="D24" s="389" t="s">
        <v>2564</v>
      </c>
      <c r="E24" s="389" t="s">
        <v>2921</v>
      </c>
      <c r="F24" s="389" t="s">
        <v>3354</v>
      </c>
      <c r="G24" s="389" t="s">
        <v>3355</v>
      </c>
    </row>
    <row r="25" spans="1:7">
      <c r="A25" s="389" t="s">
        <v>2557</v>
      </c>
      <c r="B25" s="389" t="s">
        <v>2639</v>
      </c>
      <c r="C25" s="389" t="s">
        <v>18955</v>
      </c>
      <c r="D25" s="389" t="s">
        <v>10882</v>
      </c>
      <c r="E25" s="389" t="s">
        <v>2925</v>
      </c>
      <c r="F25" s="389" t="s">
        <v>3354</v>
      </c>
      <c r="G25" s="389" t="s">
        <v>3355</v>
      </c>
    </row>
    <row r="26" spans="1:7">
      <c r="A26" s="389" t="s">
        <v>2557</v>
      </c>
      <c r="B26" s="389" t="s">
        <v>2640</v>
      </c>
      <c r="C26" s="389" t="s">
        <v>10880</v>
      </c>
      <c r="D26" s="389" t="s">
        <v>10883</v>
      </c>
      <c r="E26" s="389" t="s">
        <v>2925</v>
      </c>
      <c r="F26" s="389" t="s">
        <v>3354</v>
      </c>
      <c r="G26" s="389" t="s">
        <v>3355</v>
      </c>
    </row>
    <row r="27" spans="1:7">
      <c r="A27" s="389" t="s">
        <v>2557</v>
      </c>
      <c r="B27" s="389" t="s">
        <v>2641</v>
      </c>
      <c r="C27" s="389" t="s">
        <v>10880</v>
      </c>
      <c r="D27" s="389" t="s">
        <v>10884</v>
      </c>
      <c r="E27" s="389" t="s">
        <v>2925</v>
      </c>
      <c r="F27" s="389" t="s">
        <v>3354</v>
      </c>
      <c r="G27" s="389" t="s">
        <v>3355</v>
      </c>
    </row>
    <row r="28" spans="1:7">
      <c r="A28" s="389" t="s">
        <v>2557</v>
      </c>
      <c r="B28" s="389" t="s">
        <v>2767</v>
      </c>
      <c r="C28" s="389" t="s">
        <v>10880</v>
      </c>
      <c r="D28" s="389" t="s">
        <v>10885</v>
      </c>
      <c r="E28" s="389" t="s">
        <v>2925</v>
      </c>
      <c r="F28" s="389" t="s">
        <v>3354</v>
      </c>
      <c r="G28" s="389" t="s">
        <v>3355</v>
      </c>
    </row>
    <row r="29" spans="1:7">
      <c r="A29" s="389" t="s">
        <v>2557</v>
      </c>
      <c r="B29" s="389" t="s">
        <v>2770</v>
      </c>
      <c r="C29" s="389" t="s">
        <v>10880</v>
      </c>
      <c r="D29" s="389" t="s">
        <v>10886</v>
      </c>
      <c r="E29" s="389" t="s">
        <v>2925</v>
      </c>
      <c r="F29" s="389" t="s">
        <v>3354</v>
      </c>
      <c r="G29" s="389" t="s">
        <v>3355</v>
      </c>
    </row>
    <row r="30" spans="1:7">
      <c r="A30" s="389" t="s">
        <v>2557</v>
      </c>
      <c r="B30" s="389" t="s">
        <v>2881</v>
      </c>
      <c r="C30" s="389" t="s">
        <v>10880</v>
      </c>
      <c r="D30" s="389" t="s">
        <v>10887</v>
      </c>
      <c r="E30" s="389" t="s">
        <v>2925</v>
      </c>
      <c r="F30" s="389" t="s">
        <v>3354</v>
      </c>
      <c r="G30" s="389" t="s">
        <v>3355</v>
      </c>
    </row>
    <row r="31" spans="1:7">
      <c r="A31" s="389" t="s">
        <v>2557</v>
      </c>
      <c r="B31" s="389" t="s">
        <v>2887</v>
      </c>
      <c r="C31" s="389" t="s">
        <v>10880</v>
      </c>
      <c r="D31" s="389" t="s">
        <v>10888</v>
      </c>
      <c r="E31" s="389" t="s">
        <v>2925</v>
      </c>
      <c r="F31" s="389" t="s">
        <v>3354</v>
      </c>
      <c r="G31" s="389" t="s">
        <v>3355</v>
      </c>
    </row>
    <row r="32" spans="1:7">
      <c r="A32" s="389" t="s">
        <v>2557</v>
      </c>
      <c r="B32" s="389" t="s">
        <v>6798</v>
      </c>
      <c r="C32" s="389" t="s">
        <v>10881</v>
      </c>
      <c r="D32" s="389" t="s">
        <v>10889</v>
      </c>
      <c r="E32" s="389" t="s">
        <v>2925</v>
      </c>
      <c r="F32" s="389" t="s">
        <v>3354</v>
      </c>
      <c r="G32" s="389" t="s">
        <v>3355</v>
      </c>
    </row>
    <row r="33" spans="1:7">
      <c r="A33" s="389" t="s">
        <v>2557</v>
      </c>
      <c r="B33" s="389" t="s">
        <v>6868</v>
      </c>
      <c r="C33" s="389" t="s">
        <v>10869</v>
      </c>
      <c r="D33" s="389" t="s">
        <v>10890</v>
      </c>
      <c r="E33" s="389" t="s">
        <v>2925</v>
      </c>
      <c r="F33" s="389" t="s">
        <v>3354</v>
      </c>
      <c r="G33" s="389" t="s">
        <v>3355</v>
      </c>
    </row>
    <row r="34" spans="1:7">
      <c r="A34" s="389" t="s">
        <v>2557</v>
      </c>
      <c r="B34" s="389" t="s">
        <v>6951</v>
      </c>
      <c r="C34" s="389" t="s">
        <v>10869</v>
      </c>
      <c r="D34" s="389" t="s">
        <v>10891</v>
      </c>
      <c r="E34" s="389" t="s">
        <v>2925</v>
      </c>
      <c r="F34" s="389" t="s">
        <v>3354</v>
      </c>
      <c r="G34" s="389" t="s">
        <v>3355</v>
      </c>
    </row>
    <row r="35" spans="1:7">
      <c r="A35" s="389" t="s">
        <v>7444</v>
      </c>
      <c r="B35" s="389" t="s">
        <v>7444</v>
      </c>
      <c r="C35" s="389" t="s">
        <v>3502</v>
      </c>
      <c r="D35" s="389" t="s">
        <v>7463</v>
      </c>
      <c r="E35" s="389" t="s">
        <v>2921</v>
      </c>
      <c r="F35" s="389" t="s">
        <v>3354</v>
      </c>
      <c r="G35" s="389" t="s">
        <v>3355</v>
      </c>
    </row>
    <row r="36" spans="1:7">
      <c r="A36" s="389" t="s">
        <v>7444</v>
      </c>
      <c r="B36" s="389" t="s">
        <v>8935</v>
      </c>
      <c r="C36" s="389" t="s">
        <v>7256</v>
      </c>
      <c r="D36" s="389" t="s">
        <v>10892</v>
      </c>
      <c r="E36" s="389" t="s">
        <v>2925</v>
      </c>
      <c r="F36" s="389" t="s">
        <v>3354</v>
      </c>
      <c r="G36" s="389" t="s">
        <v>3355</v>
      </c>
    </row>
    <row r="37" spans="1:7">
      <c r="A37" s="389" t="s">
        <v>7444</v>
      </c>
      <c r="B37" s="389" t="s">
        <v>8936</v>
      </c>
      <c r="C37" s="389" t="s">
        <v>7256</v>
      </c>
      <c r="D37" s="389" t="s">
        <v>10893</v>
      </c>
      <c r="E37" s="389" t="s">
        <v>2925</v>
      </c>
      <c r="F37" s="389" t="s">
        <v>3354</v>
      </c>
      <c r="G37" s="389" t="s">
        <v>3355</v>
      </c>
    </row>
    <row r="38" spans="1:7">
      <c r="A38" s="389" t="s">
        <v>7444</v>
      </c>
      <c r="B38" s="389" t="s">
        <v>8937</v>
      </c>
      <c r="C38" s="389" t="s">
        <v>10869</v>
      </c>
      <c r="D38" s="389" t="s">
        <v>18957</v>
      </c>
      <c r="E38" s="389" t="s">
        <v>2925</v>
      </c>
      <c r="F38" s="389" t="s">
        <v>3354</v>
      </c>
      <c r="G38" s="389" t="s">
        <v>3355</v>
      </c>
    </row>
    <row r="39" spans="1:7">
      <c r="A39" s="389" t="s">
        <v>7444</v>
      </c>
      <c r="B39" s="389" t="s">
        <v>8938</v>
      </c>
      <c r="C39" s="389" t="s">
        <v>7256</v>
      </c>
      <c r="D39" s="389" t="s">
        <v>18958</v>
      </c>
      <c r="E39" s="389" t="s">
        <v>2925</v>
      </c>
      <c r="F39" s="389" t="s">
        <v>3354</v>
      </c>
      <c r="G39" s="389" t="s">
        <v>3355</v>
      </c>
    </row>
    <row r="40" spans="1:7">
      <c r="A40" s="389" t="s">
        <v>7444</v>
      </c>
      <c r="B40" s="389" t="s">
        <v>8939</v>
      </c>
      <c r="C40" s="389" t="s">
        <v>18955</v>
      </c>
      <c r="D40" s="389" t="s">
        <v>18959</v>
      </c>
      <c r="E40" s="389" t="s">
        <v>2925</v>
      </c>
      <c r="F40" s="389" t="s">
        <v>3354</v>
      </c>
      <c r="G40" s="389" t="s">
        <v>3355</v>
      </c>
    </row>
    <row r="41" spans="1:7">
      <c r="A41" s="389" t="s">
        <v>7444</v>
      </c>
      <c r="B41" s="389" t="s">
        <v>8940</v>
      </c>
      <c r="C41" s="389" t="s">
        <v>18955</v>
      </c>
      <c r="D41" s="389" t="s">
        <v>18960</v>
      </c>
      <c r="E41" s="389" t="s">
        <v>2925</v>
      </c>
      <c r="F41" s="389" t="s">
        <v>3354</v>
      </c>
      <c r="G41" s="389" t="s">
        <v>3355</v>
      </c>
    </row>
    <row r="42" spans="1:7">
      <c r="A42" s="389" t="s">
        <v>7444</v>
      </c>
      <c r="B42" s="389" t="s">
        <v>8941</v>
      </c>
      <c r="C42" s="389" t="s">
        <v>18956</v>
      </c>
      <c r="D42" s="389" t="s">
        <v>18961</v>
      </c>
      <c r="E42" s="389" t="s">
        <v>2925</v>
      </c>
      <c r="F42" s="389" t="s">
        <v>3354</v>
      </c>
      <c r="G42" s="389" t="s">
        <v>3355</v>
      </c>
    </row>
    <row r="43" spans="1:7">
      <c r="A43" s="389" t="s">
        <v>7444</v>
      </c>
      <c r="B43" s="389" t="s">
        <v>10774</v>
      </c>
      <c r="C43" s="389" t="s">
        <v>18962</v>
      </c>
      <c r="D43" s="389" t="s">
        <v>18963</v>
      </c>
      <c r="E43" s="389" t="s">
        <v>2925</v>
      </c>
      <c r="F43" s="389" t="s">
        <v>3354</v>
      </c>
      <c r="G43" s="389" t="s">
        <v>3355</v>
      </c>
    </row>
  </sheetData>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E66F2-7951-4433-A646-5DFD2D41681E}">
  <sheetPr codeName="Planilha2">
    <tabColor rgb="FF00B050"/>
    <outlinePr summaryBelow="0"/>
    <pageSetUpPr fitToPage="1"/>
  </sheetPr>
  <dimension ref="A1:FK411"/>
  <sheetViews>
    <sheetView showGridLines="0" tabSelected="1" zoomScale="70" zoomScaleNormal="70" zoomScaleSheetLayoutView="50" workbookViewId="0">
      <pane xSplit="53" ySplit="4" topLeftCell="EO5" activePane="bottomRight" state="frozen"/>
      <selection pane="topRight" activeCell="AZ1" sqref="AZ1"/>
      <selection pane="bottomLeft" activeCell="A5" sqref="A5"/>
      <selection pane="bottomRight" activeCell="EU395" sqref="EU395"/>
    </sheetView>
  </sheetViews>
  <sheetFormatPr defaultColWidth="9.453125" defaultRowHeight="13"/>
  <cols>
    <col min="1" max="1" width="13" style="31" customWidth="1"/>
    <col min="2" max="2" width="14" style="31" customWidth="1"/>
    <col min="3" max="3" width="11" style="31" hidden="1" customWidth="1"/>
    <col min="4" max="4" width="9.54296875" style="31" hidden="1" customWidth="1"/>
    <col min="5" max="5" width="15.453125" style="31" hidden="1" customWidth="1"/>
    <col min="6" max="6" width="13.1796875" style="31" hidden="1" customWidth="1"/>
    <col min="7" max="7" width="17.453125" style="31" hidden="1" customWidth="1"/>
    <col min="8" max="8" width="10.1796875" style="31" hidden="1" customWidth="1"/>
    <col min="9" max="9" width="8.81640625" style="31" hidden="1" customWidth="1"/>
    <col min="10" max="10" width="12.7265625" style="31" hidden="1" customWidth="1"/>
    <col min="11" max="11" width="12.453125" style="31" hidden="1" customWidth="1"/>
    <col min="12" max="12" width="12.81640625" style="31" hidden="1" customWidth="1"/>
    <col min="13" max="13" width="12.453125" style="31" hidden="1" customWidth="1"/>
    <col min="14" max="15" width="12.81640625" style="31" hidden="1" customWidth="1"/>
    <col min="16" max="16" width="21.453125" style="31" hidden="1" customWidth="1"/>
    <col min="17" max="17" width="17.7265625" style="31" hidden="1" customWidth="1"/>
    <col min="18" max="18" width="15.453125" style="31" hidden="1" customWidth="1"/>
    <col min="19" max="19" width="14.7265625" style="31" hidden="1" customWidth="1"/>
    <col min="20" max="20" width="15.453125" style="31" hidden="1" customWidth="1"/>
    <col min="21" max="21" width="15.26953125" style="31" hidden="1" customWidth="1"/>
    <col min="22" max="22" width="13.81640625" style="31" hidden="1" customWidth="1"/>
    <col min="23" max="23" width="16" style="31" hidden="1" customWidth="1"/>
    <col min="24" max="24" width="19.26953125" style="31" hidden="1" customWidth="1"/>
    <col min="25" max="25" width="17" style="31" hidden="1" customWidth="1"/>
    <col min="26" max="27" width="19" style="31" hidden="1" customWidth="1"/>
    <col min="28" max="28" width="12.81640625" style="31" hidden="1" customWidth="1"/>
    <col min="29" max="29" width="12.26953125" style="31" customWidth="1"/>
    <col min="30" max="30" width="13.7265625" style="31" hidden="1" customWidth="1"/>
    <col min="31" max="31" width="12.81640625" style="31" hidden="1" customWidth="1"/>
    <col min="32" max="32" width="15" style="31" customWidth="1"/>
    <col min="33" max="33" width="13.453125" style="31" customWidth="1"/>
    <col min="34" max="34" width="49" style="31" customWidth="1"/>
    <col min="35" max="35" width="12.26953125" style="31" hidden="1" customWidth="1"/>
    <col min="36" max="37" width="13.7265625" style="31" hidden="1" customWidth="1"/>
    <col min="38" max="38" width="14.1796875" style="31" hidden="1" customWidth="1"/>
    <col min="39" max="39" width="13.81640625" style="31" customWidth="1"/>
    <col min="40" max="40" width="41.26953125" style="31" customWidth="1"/>
    <col min="41" max="41" width="11.1796875" style="31" hidden="1" customWidth="1"/>
    <col min="42" max="42" width="16.1796875" style="31" hidden="1" customWidth="1"/>
    <col min="43" max="44" width="11.54296875" style="31" hidden="1" customWidth="1"/>
    <col min="45" max="45" width="13.453125" style="33" hidden="1" customWidth="1"/>
    <col min="46" max="53" width="13.453125" style="31" hidden="1" customWidth="1"/>
    <col min="54" max="66" width="12.54296875" style="31" hidden="1" customWidth="1"/>
    <col min="67" max="67" width="15.453125" style="31" customWidth="1"/>
    <col min="68" max="70" width="10.26953125" style="31" hidden="1" customWidth="1"/>
    <col min="71" max="71" width="10.26953125" style="31" customWidth="1"/>
    <col min="72" max="74" width="11.7265625" style="31" hidden="1" customWidth="1"/>
    <col min="75" max="75" width="11.7265625" style="31" customWidth="1"/>
    <col min="76" max="77" width="11.7265625" style="31" hidden="1" customWidth="1"/>
    <col min="78" max="78" width="9.54296875" style="31" hidden="1" customWidth="1"/>
    <col min="79" max="79" width="11.7265625" style="31" customWidth="1"/>
    <col min="80" max="82" width="11.7265625" style="31" hidden="1" customWidth="1"/>
    <col min="83" max="83" width="11.7265625" style="31" customWidth="1"/>
    <col min="84" max="86" width="11.7265625" style="31" hidden="1" customWidth="1"/>
    <col min="87" max="88" width="11.7265625" style="31" customWidth="1"/>
    <col min="89" max="89" width="11.7265625" style="31" hidden="1" customWidth="1"/>
    <col min="90" max="91" width="11.7265625" style="31" customWidth="1"/>
    <col min="92" max="94" width="11.7265625" style="31" hidden="1" customWidth="1"/>
    <col min="95" max="95" width="11.7265625" style="31" customWidth="1"/>
    <col min="96" max="98" width="11.7265625" style="31" hidden="1" customWidth="1"/>
    <col min="99" max="99" width="11.7265625" style="31" customWidth="1"/>
    <col min="100" max="102" width="11.7265625" style="31" hidden="1" customWidth="1"/>
    <col min="103" max="103" width="11.1796875" style="31" customWidth="1"/>
    <col min="104" max="105" width="11.7265625" style="31" hidden="1" customWidth="1"/>
    <col min="106" max="106" width="14.26953125" style="31" hidden="1" customWidth="1"/>
    <col min="107" max="107" width="11.7265625" style="31" customWidth="1"/>
    <col min="108" max="110" width="11.7265625" style="31" hidden="1" customWidth="1"/>
    <col min="111" max="111" width="13.1796875" style="31" customWidth="1"/>
    <col min="112" max="114" width="11.7265625" style="31" hidden="1" customWidth="1"/>
    <col min="115" max="115" width="12.1796875" style="31" customWidth="1"/>
    <col min="116" max="117" width="11.7265625" style="31" hidden="1" customWidth="1"/>
    <col min="118" max="118" width="11.7265625" style="31" customWidth="1"/>
    <col min="119" max="130" width="11.7265625" style="31" hidden="1" customWidth="1"/>
    <col min="131" max="131" width="11.54296875" style="31" customWidth="1"/>
    <col min="132" max="132" width="11.81640625" style="31" customWidth="1"/>
    <col min="133" max="136" width="11" style="31" customWidth="1"/>
    <col min="137" max="137" width="11" style="31" hidden="1" customWidth="1"/>
    <col min="138" max="138" width="12" style="31" hidden="1" customWidth="1"/>
    <col min="139" max="141" width="11" style="31" hidden="1" customWidth="1"/>
    <col min="142" max="142" width="14.1796875" style="31" customWidth="1"/>
    <col min="143" max="158" width="11" style="31" customWidth="1"/>
    <col min="159" max="160" width="13.54296875" style="124" customWidth="1"/>
    <col min="161" max="161" width="15" style="124" customWidth="1"/>
    <col min="162" max="162" width="13" style="31" customWidth="1"/>
    <col min="163" max="163" width="12.453125" style="31" customWidth="1"/>
    <col min="164" max="164" width="15.26953125" style="31" customWidth="1"/>
    <col min="165" max="165" width="17.54296875" style="31" customWidth="1"/>
    <col min="166" max="166" width="16.54296875" style="31" customWidth="1"/>
    <col min="167" max="167" width="15.26953125" style="31" customWidth="1"/>
    <col min="168" max="16384" width="9.453125" style="31"/>
  </cols>
  <sheetData>
    <row r="1" spans="1:167" s="17" customFormat="1" ht="30.65" customHeight="1">
      <c r="A1" s="62"/>
      <c r="C1" s="62"/>
      <c r="D1" s="62"/>
      <c r="H1" s="62"/>
      <c r="I1" s="62"/>
      <c r="J1" s="62"/>
      <c r="K1" s="62"/>
      <c r="L1" s="62"/>
      <c r="M1" s="62"/>
      <c r="N1" s="411"/>
      <c r="O1" s="62"/>
      <c r="P1" s="362">
        <f t="shared" ref="P1:AB1" si="0">COUNTIF(P5:P409,"SIM")</f>
        <v>35</v>
      </c>
      <c r="Q1" s="362">
        <f t="shared" si="0"/>
        <v>35</v>
      </c>
      <c r="R1" s="362">
        <f t="shared" si="0"/>
        <v>35</v>
      </c>
      <c r="S1" s="362">
        <f t="shared" si="0"/>
        <v>36</v>
      </c>
      <c r="T1" s="362">
        <f t="shared" si="0"/>
        <v>38</v>
      </c>
      <c r="U1" s="362">
        <f t="shared" si="0"/>
        <v>38</v>
      </c>
      <c r="V1" s="362">
        <f t="shared" si="0"/>
        <v>39</v>
      </c>
      <c r="W1" s="362">
        <f t="shared" si="0"/>
        <v>42</v>
      </c>
      <c r="X1" s="362">
        <f t="shared" si="0"/>
        <v>44</v>
      </c>
      <c r="Y1" s="362">
        <f t="shared" si="0"/>
        <v>48</v>
      </c>
      <c r="Z1" s="362">
        <f t="shared" si="0"/>
        <v>50</v>
      </c>
      <c r="AA1" s="362">
        <f t="shared" si="0"/>
        <v>50</v>
      </c>
      <c r="AB1" s="362">
        <f t="shared" si="0"/>
        <v>0</v>
      </c>
      <c r="AH1" s="313"/>
      <c r="AN1" s="359"/>
      <c r="AO1" s="444"/>
      <c r="AP1" s="459">
        <f>SUBTOTAL(9,AP5:AP1406)</f>
        <v>0</v>
      </c>
      <c r="AQ1" s="463"/>
      <c r="AR1" s="463"/>
      <c r="AS1" s="376">
        <f t="shared" ref="AS1:BA1" si="1">SUBTOTAL(9,AS5:AS1406)</f>
        <v>18899.165331153374</v>
      </c>
      <c r="AT1" s="454">
        <f t="shared" si="1"/>
        <v>15994.726823606949</v>
      </c>
      <c r="AU1" s="454">
        <f t="shared" si="1"/>
        <v>21237.769267133357</v>
      </c>
      <c r="AV1" s="454">
        <f t="shared" si="1"/>
        <v>35255.676739999995</v>
      </c>
      <c r="AW1" s="454">
        <f t="shared" si="1"/>
        <v>15685.175930000003</v>
      </c>
      <c r="AX1" s="454">
        <f t="shared" si="1"/>
        <v>29214.392139999996</v>
      </c>
      <c r="AY1" s="454">
        <f t="shared" si="1"/>
        <v>42846.267376300959</v>
      </c>
      <c r="AZ1" s="454">
        <f t="shared" si="1"/>
        <v>0</v>
      </c>
      <c r="BA1" s="454">
        <f t="shared" si="1"/>
        <v>0</v>
      </c>
      <c r="BB1" s="515">
        <f t="shared" ref="BB1:CS1" si="2">SUBTOTAL(9,BB5:BB2041)</f>
        <v>43653.047339572848</v>
      </c>
      <c r="BC1" s="515">
        <f t="shared" si="2"/>
        <v>8411.7662027742954</v>
      </c>
      <c r="BD1" s="515">
        <f t="shared" si="2"/>
        <v>2991.4064361637315</v>
      </c>
      <c r="BE1" s="515">
        <f t="shared" si="2"/>
        <v>5898.0974364778685</v>
      </c>
      <c r="BF1" s="515">
        <f t="shared" si="2"/>
        <v>5945.0728935060733</v>
      </c>
      <c r="BG1" s="515">
        <f t="shared" si="2"/>
        <v>3910.2851833889868</v>
      </c>
      <c r="BH1" s="515">
        <f t="shared" si="2"/>
        <v>1751.7726686507935</v>
      </c>
      <c r="BI1" s="515">
        <f t="shared" si="2"/>
        <v>1754.7270019841269</v>
      </c>
      <c r="BJ1" s="515">
        <f t="shared" si="2"/>
        <v>8485.7173373412661</v>
      </c>
      <c r="BK1" s="515">
        <f t="shared" si="2"/>
        <v>1885.8382977380954</v>
      </c>
      <c r="BL1" s="515">
        <f t="shared" si="2"/>
        <v>517.94306384920674</v>
      </c>
      <c r="BM1" s="515">
        <f t="shared" si="2"/>
        <v>2153.956408849207</v>
      </c>
      <c r="BN1" s="515">
        <f t="shared" si="2"/>
        <v>-53.535591150793607</v>
      </c>
      <c r="BO1" s="327">
        <f t="shared" si="2"/>
        <v>43255.267376300959</v>
      </c>
      <c r="BP1" s="330">
        <f t="shared" si="2"/>
        <v>8411.7662027742954</v>
      </c>
      <c r="BQ1" s="329">
        <f t="shared" si="2"/>
        <v>-4542.0286499999993</v>
      </c>
      <c r="BR1" s="366">
        <f t="shared" si="2"/>
        <v>-380.17889000000002</v>
      </c>
      <c r="BS1" s="366">
        <f t="shared" si="2"/>
        <v>-4542.0286499999993</v>
      </c>
      <c r="BT1" s="402">
        <f t="shared" si="2"/>
        <v>10784.073635501338</v>
      </c>
      <c r="BU1" s="402">
        <f t="shared" si="2"/>
        <v>5408.3934200000003</v>
      </c>
      <c r="BV1" s="402">
        <f t="shared" si="2"/>
        <v>1023.2858699999997</v>
      </c>
      <c r="BW1" s="402">
        <f t="shared" si="2"/>
        <v>5408.3934200000003</v>
      </c>
      <c r="BX1" s="402">
        <f t="shared" si="2"/>
        <v>6577.7033824</v>
      </c>
      <c r="BY1" s="402">
        <f t="shared" si="2"/>
        <v>3577.4485299999992</v>
      </c>
      <c r="BZ1" s="402">
        <f t="shared" si="2"/>
        <v>1033.7045500000004</v>
      </c>
      <c r="CA1" s="402">
        <f t="shared" si="2"/>
        <v>3577.4485299999997</v>
      </c>
      <c r="CB1" s="402">
        <f t="shared" si="2"/>
        <v>8127.774061510926</v>
      </c>
      <c r="CC1" s="402">
        <f t="shared" si="2"/>
        <v>4872.363330000001</v>
      </c>
      <c r="CD1" s="402">
        <f t="shared" si="2"/>
        <v>3810.6657100000007</v>
      </c>
      <c r="CE1" s="402">
        <f t="shared" si="2"/>
        <v>7513.0206100000005</v>
      </c>
      <c r="CF1" s="402">
        <f t="shared" si="2"/>
        <v>-450.23219683836601</v>
      </c>
      <c r="CG1" s="402">
        <f t="shared" si="2"/>
        <v>1920.0173000000002</v>
      </c>
      <c r="CH1" s="402">
        <f t="shared" si="2"/>
        <v>1916.0233700000001</v>
      </c>
      <c r="CI1" s="402">
        <f t="shared" si="2"/>
        <v>1920.0173000000002</v>
      </c>
      <c r="CJ1" s="402">
        <f t="shared" si="2"/>
        <v>1821.0379816459447</v>
      </c>
      <c r="CK1" s="402">
        <f t="shared" si="2"/>
        <v>1317.8204399999997</v>
      </c>
      <c r="CL1" s="402">
        <f t="shared" si="2"/>
        <v>125.64643000000001</v>
      </c>
      <c r="CM1" s="402">
        <f t="shared" si="2"/>
        <v>1341.2260499999993</v>
      </c>
      <c r="CN1" s="402">
        <f t="shared" si="2"/>
        <v>0</v>
      </c>
      <c r="CO1" s="402">
        <f t="shared" si="2"/>
        <v>0</v>
      </c>
      <c r="CP1" s="402">
        <f t="shared" si="2"/>
        <v>121.18765</v>
      </c>
      <c r="CQ1" s="402">
        <f t="shared" si="2"/>
        <v>918.34709074600346</v>
      </c>
      <c r="CR1" s="402">
        <f t="shared" si="2"/>
        <v>0</v>
      </c>
      <c r="CS1" s="402">
        <f t="shared" si="2"/>
        <v>0</v>
      </c>
      <c r="CT1" s="402">
        <f t="shared" ref="CT1:DY1" si="3">SUBTOTAL(9,CT5:CT2041)</f>
        <v>0</v>
      </c>
      <c r="CU1" s="402">
        <f t="shared" si="3"/>
        <v>2192.9239407933687</v>
      </c>
      <c r="CV1" s="402">
        <f t="shared" si="3"/>
        <v>0</v>
      </c>
      <c r="CW1" s="402">
        <f t="shared" si="3"/>
        <v>0</v>
      </c>
      <c r="CX1" s="402">
        <f t="shared" si="3"/>
        <v>0</v>
      </c>
      <c r="CY1" s="402">
        <f t="shared" si="3"/>
        <v>6377.3884878626404</v>
      </c>
      <c r="CZ1" s="402">
        <f t="shared" si="3"/>
        <v>0</v>
      </c>
      <c r="DA1" s="402">
        <f t="shared" si="3"/>
        <v>0</v>
      </c>
      <c r="DB1" s="402">
        <f t="shared" si="3"/>
        <v>0</v>
      </c>
      <c r="DC1" s="402">
        <f t="shared" si="3"/>
        <v>6867.5399487196191</v>
      </c>
      <c r="DD1" s="402">
        <f t="shared" si="3"/>
        <v>0</v>
      </c>
      <c r="DE1" s="402">
        <f t="shared" si="3"/>
        <v>0</v>
      </c>
      <c r="DF1" s="402">
        <f t="shared" si="3"/>
        <v>0</v>
      </c>
      <c r="DG1" s="402">
        <f t="shared" si="3"/>
        <v>7071.0270256882386</v>
      </c>
      <c r="DH1" s="402">
        <f t="shared" si="3"/>
        <v>0</v>
      </c>
      <c r="DI1" s="402">
        <f t="shared" si="3"/>
        <v>0</v>
      </c>
      <c r="DJ1" s="402">
        <f t="shared" si="3"/>
        <v>0</v>
      </c>
      <c r="DK1" s="402">
        <f t="shared" si="3"/>
        <v>4609.9636224910801</v>
      </c>
      <c r="DL1" s="448">
        <f t="shared" si="3"/>
        <v>23599.796000000002</v>
      </c>
      <c r="DM1" s="448">
        <f t="shared" si="3"/>
        <v>0</v>
      </c>
      <c r="DN1" s="449">
        <f t="shared" si="3"/>
        <v>23599.796000000002</v>
      </c>
      <c r="DO1" s="449">
        <f t="shared" si="3"/>
        <v>0</v>
      </c>
      <c r="DP1" s="449">
        <f t="shared" si="3"/>
        <v>0</v>
      </c>
      <c r="DQ1" s="449">
        <f t="shared" si="3"/>
        <v>0</v>
      </c>
      <c r="DR1" s="449">
        <f t="shared" si="3"/>
        <v>0</v>
      </c>
      <c r="DS1" s="449">
        <f t="shared" si="3"/>
        <v>0</v>
      </c>
      <c r="DT1" s="449">
        <f t="shared" si="3"/>
        <v>0</v>
      </c>
      <c r="DU1" s="449">
        <f t="shared" si="3"/>
        <v>0</v>
      </c>
      <c r="DV1" s="449">
        <f t="shared" si="3"/>
        <v>0</v>
      </c>
      <c r="DW1" s="449">
        <f t="shared" si="3"/>
        <v>0</v>
      </c>
      <c r="DX1" s="449">
        <f t="shared" si="3"/>
        <v>0</v>
      </c>
      <c r="DY1" s="405">
        <f t="shared" si="3"/>
        <v>0</v>
      </c>
      <c r="DZ1" s="490">
        <f t="shared" ref="DZ1:FK1" si="4">SUBTOTAL(9,DZ5:DZ2041)</f>
        <v>23599.796000000002</v>
      </c>
      <c r="EA1" s="402">
        <f t="shared" si="4"/>
        <v>-479.81193164594464</v>
      </c>
      <c r="EB1" s="402" t="e">
        <f t="shared" si="4"/>
        <v>#VALUE!</v>
      </c>
      <c r="EC1" s="402">
        <f t="shared" si="4"/>
        <v>4443.8133000000007</v>
      </c>
      <c r="ED1" s="402">
        <f t="shared" si="4"/>
        <v>10774.26396</v>
      </c>
      <c r="EE1" s="402">
        <f t="shared" si="4"/>
        <v>9488.6595194020101</v>
      </c>
      <c r="EF1" s="402">
        <f t="shared" si="4"/>
        <v>18548.530596898934</v>
      </c>
      <c r="EG1" s="402">
        <f t="shared" si="4"/>
        <v>-397.77996327190749</v>
      </c>
      <c r="EH1" s="444">
        <f t="shared" si="4"/>
        <v>-450.23219683836601</v>
      </c>
      <c r="EI1" s="444">
        <f t="shared" si="4"/>
        <v>1916.0233700000001</v>
      </c>
      <c r="EJ1" s="402">
        <f t="shared" si="4"/>
        <v>14002.49764</v>
      </c>
      <c r="EK1" s="402">
        <f t="shared" si="4"/>
        <v>29252.76973630095</v>
      </c>
      <c r="EL1" s="527">
        <f>SUBTOTAL(9,EL5:EL2041)</f>
        <v>43236.171581665061</v>
      </c>
      <c r="EM1" s="527">
        <f t="shared" si="4"/>
        <v>-4542.0286499999993</v>
      </c>
      <c r="EN1" s="527">
        <f t="shared" si="4"/>
        <v>5408.3934200000003</v>
      </c>
      <c r="EO1" s="527">
        <f t="shared" si="4"/>
        <v>3577.4485299999997</v>
      </c>
      <c r="EP1" s="527">
        <f>SUBTOTAL(9,EP5:EP2041)</f>
        <v>7513.0206100000005</v>
      </c>
      <c r="EQ1" s="527">
        <f t="shared" si="4"/>
        <v>1920.0173000000002</v>
      </c>
      <c r="ER1" s="527">
        <f t="shared" si="4"/>
        <v>1821.0379816459447</v>
      </c>
      <c r="ES1" s="527">
        <f t="shared" si="4"/>
        <v>1856.2657608111306</v>
      </c>
      <c r="ET1" s="527">
        <f t="shared" si="4"/>
        <v>3729.8668619597393</v>
      </c>
      <c r="EU1" s="527">
        <f t="shared" si="4"/>
        <v>5412.4864994079344</v>
      </c>
      <c r="EV1" s="527">
        <f t="shared" si="4"/>
        <v>5749.4859770499916</v>
      </c>
      <c r="EW1" s="527">
        <f t="shared" si="4"/>
        <v>6538.3004333436556</v>
      </c>
      <c r="EX1" s="527">
        <f t="shared" si="4"/>
        <v>4251.8768574466758</v>
      </c>
      <c r="EY1" s="553">
        <f t="shared" si="4"/>
        <v>4443.8133000000007</v>
      </c>
      <c r="EZ1" s="553">
        <f t="shared" si="4"/>
        <v>11254.075891645945</v>
      </c>
      <c r="FA1" s="553">
        <f t="shared" si="4"/>
        <v>10998.619122178803</v>
      </c>
      <c r="FB1" s="553">
        <f t="shared" si="4"/>
        <v>16539.663267840322</v>
      </c>
      <c r="FC1" s="402">
        <f t="shared" si="4"/>
        <v>303192.05819000024</v>
      </c>
      <c r="FD1" s="402">
        <f t="shared" si="4"/>
        <v>176300.89884999979</v>
      </c>
      <c r="FE1" s="402">
        <f t="shared" si="4"/>
        <v>17879.478649999997</v>
      </c>
      <c r="FF1" s="402">
        <f t="shared" si="4"/>
        <v>5888.7031400000005</v>
      </c>
      <c r="FG1" s="402">
        <f t="shared" si="4"/>
        <v>210992.98025999992</v>
      </c>
      <c r="FH1" s="402">
        <f t="shared" si="4"/>
        <v>92199.077930000072</v>
      </c>
      <c r="FI1" s="538">
        <f>SUBTOTAL(9,FI5:FI2041)</f>
        <v>479.81193164594481</v>
      </c>
      <c r="FJ1" s="538">
        <f t="shared" ref="FJ1" si="5">SUBTOTAL(9,FJ5:FJ2041)</f>
        <v>1509.9596027767916</v>
      </c>
      <c r="FK1" s="537">
        <f t="shared" si="4"/>
        <v>-2008.8673290586148</v>
      </c>
    </row>
    <row r="2" spans="1:167" s="23" customFormat="1" ht="28.5" customHeight="1" thickBot="1">
      <c r="A2" s="489" t="s">
        <v>7257</v>
      </c>
      <c r="B2" s="417"/>
      <c r="C2" s="417"/>
      <c r="D2" s="417"/>
      <c r="E2" s="417"/>
      <c r="F2" s="439"/>
      <c r="G2" s="417"/>
      <c r="H2" s="417"/>
      <c r="I2" s="417"/>
      <c r="J2" s="417"/>
      <c r="K2" s="417"/>
      <c r="L2" s="417"/>
      <c r="M2" s="417"/>
      <c r="N2" s="417"/>
      <c r="O2" s="417"/>
      <c r="P2" s="455">
        <v>45688</v>
      </c>
      <c r="Q2" s="455">
        <v>45716</v>
      </c>
      <c r="R2" s="455">
        <v>45747</v>
      </c>
      <c r="S2" s="455">
        <v>45777</v>
      </c>
      <c r="T2" s="455">
        <v>45808</v>
      </c>
      <c r="U2" s="455">
        <v>45838</v>
      </c>
      <c r="V2" s="455">
        <v>45869</v>
      </c>
      <c r="W2" s="455">
        <v>45900</v>
      </c>
      <c r="X2" s="455">
        <v>45930</v>
      </c>
      <c r="Y2" s="455">
        <v>45961</v>
      </c>
      <c r="Z2" s="455">
        <v>45991</v>
      </c>
      <c r="AA2" s="455">
        <v>46022</v>
      </c>
      <c r="AB2" s="417"/>
      <c r="AC2" s="417"/>
      <c r="AD2" s="417"/>
      <c r="AE2" s="417"/>
      <c r="AF2" s="417"/>
      <c r="AG2" s="417"/>
      <c r="AH2" s="417"/>
      <c r="AI2" s="386"/>
      <c r="AJ2" s="27"/>
      <c r="AK2" s="27"/>
      <c r="AL2" s="314"/>
      <c r="AM2" s="314"/>
      <c r="AN2" s="184"/>
      <c r="AO2" s="184"/>
      <c r="AP2" s="184"/>
      <c r="AQ2" s="184"/>
      <c r="AR2" s="184"/>
      <c r="AS2" s="29"/>
      <c r="AT2" s="29"/>
      <c r="AU2" s="29"/>
      <c r="AV2" s="29"/>
      <c r="AW2" s="29"/>
      <c r="AX2" s="415">
        <f>SUBTOTAL(9,AX6:AX1407)</f>
        <v>27630.169720000005</v>
      </c>
      <c r="AY2" s="29"/>
      <c r="AZ2" s="29"/>
      <c r="BA2" s="29"/>
      <c r="BB2" s="515">
        <f>SUM(BC1:BF1)</f>
        <v>23246.342968921967</v>
      </c>
      <c r="BC2" s="415"/>
      <c r="BD2" s="415"/>
      <c r="BE2" s="415"/>
      <c r="BF2" s="415"/>
      <c r="BG2" s="415"/>
      <c r="BH2" s="415"/>
      <c r="BI2" s="415"/>
      <c r="BJ2" s="415"/>
      <c r="BK2" s="415"/>
      <c r="BL2" s="415"/>
      <c r="BM2" s="415"/>
      <c r="BN2" s="415"/>
      <c r="BO2" s="462"/>
      <c r="BP2" s="416"/>
      <c r="BQ2" s="416"/>
      <c r="BR2" s="416"/>
      <c r="BS2" s="416"/>
      <c r="BT2" s="416"/>
      <c r="BU2" s="416"/>
      <c r="BV2" s="416"/>
      <c r="BW2" s="416"/>
      <c r="BX2" s="416"/>
      <c r="BY2" s="416"/>
      <c r="BZ2" s="416"/>
      <c r="CA2" s="416"/>
      <c r="CB2" s="416"/>
      <c r="CC2" s="416"/>
      <c r="CD2" s="416"/>
      <c r="CE2" s="526"/>
      <c r="CF2" s="416"/>
      <c r="CG2" s="416"/>
      <c r="CH2" s="416"/>
      <c r="CI2" s="526"/>
      <c r="CJ2" s="416"/>
      <c r="CK2" s="416"/>
      <c r="CL2" s="416">
        <f>CL1-CJ1</f>
        <v>-1695.3915516459447</v>
      </c>
      <c r="CM2" s="535"/>
      <c r="CN2" s="416"/>
      <c r="CO2" s="416"/>
      <c r="CP2" s="416"/>
      <c r="CQ2" s="526"/>
      <c r="CR2" s="416"/>
      <c r="CS2" s="416"/>
      <c r="CT2" s="416"/>
      <c r="CU2" s="526"/>
      <c r="CV2" s="416"/>
      <c r="CW2" s="416"/>
      <c r="CX2" s="416"/>
      <c r="CY2" s="416"/>
      <c r="CZ2" s="416"/>
      <c r="DA2" s="416"/>
      <c r="DB2" s="416"/>
      <c r="DC2" s="416"/>
      <c r="DD2" s="416"/>
      <c r="DE2" s="416"/>
      <c r="DF2" s="416"/>
      <c r="DG2" s="416"/>
      <c r="DH2" s="416"/>
      <c r="DI2" s="416"/>
      <c r="DJ2" s="416"/>
      <c r="DK2" s="526"/>
      <c r="DL2" s="448"/>
      <c r="DM2" s="448"/>
      <c r="DN2" s="448"/>
      <c r="DO2" s="448"/>
      <c r="DP2" s="448"/>
      <c r="DQ2" s="448"/>
      <c r="DR2" s="448"/>
      <c r="DS2" s="448"/>
      <c r="DT2" s="448"/>
      <c r="DU2" s="448"/>
      <c r="DV2" s="448"/>
      <c r="DW2" s="448"/>
      <c r="DX2" s="448"/>
      <c r="DY2" s="405"/>
      <c r="DZ2" s="407"/>
      <c r="EB2" s="51"/>
      <c r="EI2" s="51"/>
      <c r="EK2" s="401"/>
      <c r="EL2" s="401"/>
      <c r="EM2" s="553">
        <f>EL1-BO1</f>
        <v>-19.095794635897619</v>
      </c>
      <c r="EN2" s="401"/>
      <c r="EO2" s="401"/>
      <c r="EP2" s="401"/>
      <c r="EQ2" s="401"/>
      <c r="ER2" s="401"/>
      <c r="ES2" s="401"/>
      <c r="ET2" s="401"/>
      <c r="EU2" s="401"/>
      <c r="EV2" s="401"/>
      <c r="EW2" s="401"/>
      <c r="EX2" s="401"/>
      <c r="EY2" s="401"/>
      <c r="EZ2" s="401"/>
      <c r="FA2" s="401"/>
      <c r="FB2" s="401"/>
      <c r="FC2" s="385">
        <v>298585.2347400001</v>
      </c>
      <c r="FD2" s="385">
        <v>168204.76237999997</v>
      </c>
      <c r="FE2" s="385">
        <v>40430.033070000005</v>
      </c>
      <c r="FF2" s="385">
        <v>4206.3539999999994</v>
      </c>
      <c r="FG2" s="399">
        <v>203073.91143000004</v>
      </c>
      <c r="FH2" s="385">
        <v>95511.323310000007</v>
      </c>
      <c r="FI2" s="23" t="s">
        <v>20134</v>
      </c>
      <c r="FJ2" s="23" t="s">
        <v>20135</v>
      </c>
      <c r="FK2" s="23" t="s">
        <v>20136</v>
      </c>
    </row>
    <row r="3" spans="1:167" s="23" customFormat="1" ht="32.5" customHeight="1" thickBot="1">
      <c r="A3" s="36"/>
      <c r="B3" s="28"/>
      <c r="C3" s="36"/>
      <c r="D3" s="36"/>
      <c r="E3" s="36"/>
      <c r="F3" s="36"/>
      <c r="G3" s="36"/>
      <c r="H3" s="36"/>
      <c r="I3" s="36"/>
      <c r="J3" s="36"/>
      <c r="K3" s="36"/>
      <c r="L3" s="36"/>
      <c r="M3" s="36"/>
      <c r="N3" s="541" t="s">
        <v>17004</v>
      </c>
      <c r="O3" s="541" t="s">
        <v>17005</v>
      </c>
      <c r="P3" s="606" t="s">
        <v>7127</v>
      </c>
      <c r="Q3" s="607"/>
      <c r="R3" s="607"/>
      <c r="S3" s="607"/>
      <c r="T3" s="607"/>
      <c r="U3" s="607"/>
      <c r="V3" s="607"/>
      <c r="W3" s="607"/>
      <c r="X3" s="607"/>
      <c r="Y3" s="607"/>
      <c r="Z3" s="607"/>
      <c r="AA3" s="607"/>
      <c r="AB3" s="36"/>
      <c r="AC3" s="36"/>
      <c r="AD3" s="36"/>
      <c r="AE3" s="36"/>
      <c r="AF3" s="36"/>
      <c r="AG3" s="36"/>
      <c r="AH3" s="525"/>
      <c r="AI3" s="27"/>
      <c r="AJ3" s="27"/>
      <c r="AK3" s="27"/>
      <c r="AL3" s="28"/>
      <c r="AM3" s="28"/>
      <c r="AN3" s="28"/>
      <c r="AO3" s="28"/>
      <c r="AP3" s="28"/>
      <c r="AQ3" s="28"/>
      <c r="AR3" s="28"/>
      <c r="AS3" s="53"/>
      <c r="AT3" s="29"/>
      <c r="AU3" s="29"/>
      <c r="AV3" s="29"/>
      <c r="AW3" s="29"/>
      <c r="AX3" s="29"/>
      <c r="AY3" s="29"/>
      <c r="AZ3" s="29"/>
      <c r="BA3" s="29"/>
      <c r="BB3" s="515">
        <f>BO1-BB1</f>
        <v>-397.77996327188885</v>
      </c>
      <c r="BC3" s="515"/>
      <c r="BD3" s="515"/>
      <c r="BE3" s="515">
        <f>BW7+BS7</f>
        <v>-1060.4606899999994</v>
      </c>
      <c r="BF3" s="515"/>
      <c r="BG3" s="515"/>
      <c r="BH3" s="515"/>
      <c r="BI3" s="515"/>
      <c r="BJ3" s="515"/>
      <c r="BK3" s="515"/>
      <c r="BL3" s="515"/>
      <c r="BM3" s="515"/>
      <c r="BN3" s="515"/>
      <c r="BO3" s="608" t="s">
        <v>6983</v>
      </c>
      <c r="BP3" s="609"/>
      <c r="BQ3" s="609"/>
      <c r="BR3" s="609"/>
      <c r="BS3" s="609"/>
      <c r="BT3" s="609"/>
      <c r="BU3" s="609"/>
      <c r="BV3" s="609"/>
      <c r="BW3" s="609"/>
      <c r="BX3" s="609"/>
      <c r="BY3" s="609"/>
      <c r="BZ3" s="609"/>
      <c r="CA3" s="609"/>
      <c r="CB3" s="609"/>
      <c r="CC3" s="609"/>
      <c r="CD3" s="609"/>
      <c r="CE3" s="609"/>
      <c r="CF3" s="609"/>
      <c r="CG3" s="609"/>
      <c r="CH3" s="609"/>
      <c r="CI3" s="609"/>
      <c r="CJ3" s="609"/>
      <c r="CK3" s="609"/>
      <c r="CL3" s="609"/>
      <c r="CM3" s="609"/>
      <c r="CN3" s="609"/>
      <c r="CO3" s="609"/>
      <c r="CP3" s="609"/>
      <c r="CQ3" s="609"/>
      <c r="CR3" s="609"/>
      <c r="CS3" s="609"/>
      <c r="CT3" s="609"/>
      <c r="CU3" s="609"/>
      <c r="CV3" s="609"/>
      <c r="CW3" s="609"/>
      <c r="CX3" s="609"/>
      <c r="CY3" s="609"/>
      <c r="CZ3" s="609"/>
      <c r="DA3" s="609"/>
      <c r="DB3" s="609"/>
      <c r="DC3" s="609"/>
      <c r="DD3" s="609"/>
      <c r="DE3" s="609"/>
      <c r="DF3" s="609"/>
      <c r="DG3" s="609"/>
      <c r="DH3" s="609"/>
      <c r="DI3" s="609"/>
      <c r="DJ3" s="609"/>
      <c r="DK3" s="610"/>
      <c r="DL3" s="611" t="s">
        <v>7013</v>
      </c>
      <c r="DM3" s="612"/>
      <c r="DN3" s="612"/>
      <c r="DO3" s="612"/>
      <c r="DP3" s="612"/>
      <c r="DQ3" s="612"/>
      <c r="DR3" s="612"/>
      <c r="DS3" s="612"/>
      <c r="DT3" s="612"/>
      <c r="DU3" s="612"/>
      <c r="DV3" s="612"/>
      <c r="DW3" s="612"/>
      <c r="DX3" s="613"/>
      <c r="DY3" s="449"/>
      <c r="DZ3" s="407"/>
      <c r="EA3" s="377"/>
      <c r="EB3" s="377"/>
      <c r="EC3" s="525" t="s">
        <v>12112</v>
      </c>
      <c r="ED3" s="312"/>
      <c r="EE3" s="312"/>
      <c r="EF3" s="312"/>
      <c r="EG3" s="345"/>
      <c r="EH3" s="444"/>
      <c r="EI3" s="444"/>
      <c r="EJ3" s="363"/>
      <c r="EK3" s="363" t="s">
        <v>2904</v>
      </c>
      <c r="EL3" s="527" t="s">
        <v>18522</v>
      </c>
      <c r="EM3" s="527"/>
      <c r="EN3" s="527"/>
      <c r="EO3" s="527"/>
      <c r="EP3" s="527"/>
      <c r="EQ3" s="527"/>
      <c r="ER3" s="527"/>
      <c r="ES3" s="527"/>
      <c r="ET3" s="527"/>
      <c r="EU3" s="527"/>
      <c r="EV3" s="527"/>
      <c r="EW3" s="527"/>
      <c r="EX3" s="527"/>
      <c r="EY3" s="553"/>
      <c r="EZ3" s="553"/>
      <c r="FA3" s="553"/>
      <c r="FB3" s="553"/>
      <c r="FC3" s="377">
        <f>FC1-FC2</f>
        <v>4606.8234500001417</v>
      </c>
      <c r="FD3" s="400">
        <f t="shared" ref="FD3:FH3" si="6">FD1-FD2</f>
        <v>8096.136469999823</v>
      </c>
      <c r="FE3" s="400">
        <f t="shared" si="6"/>
        <v>-22550.554420000008</v>
      </c>
      <c r="FF3" s="400">
        <f t="shared" si="6"/>
        <v>1682.3491400000012</v>
      </c>
      <c r="FG3" s="400">
        <f t="shared" si="6"/>
        <v>7919.0688299998874</v>
      </c>
      <c r="FH3" s="400">
        <f t="shared" si="6"/>
        <v>-3312.2453799999348</v>
      </c>
      <c r="FI3" s="23" t="s">
        <v>16994</v>
      </c>
      <c r="FJ3" s="23" t="s">
        <v>16995</v>
      </c>
      <c r="FK3" s="537" t="s">
        <v>16999</v>
      </c>
    </row>
    <row r="4" spans="1:167" s="30" customFormat="1" ht="71.150000000000006" customHeight="1" thickTop="1" thickBot="1">
      <c r="A4" s="436" t="s">
        <v>3331</v>
      </c>
      <c r="B4" s="436" t="s">
        <v>6850</v>
      </c>
      <c r="C4" s="437" t="s">
        <v>2898</v>
      </c>
      <c r="D4" s="437" t="s">
        <v>7014</v>
      </c>
      <c r="E4" s="436" t="s">
        <v>7074</v>
      </c>
      <c r="F4" s="436" t="s">
        <v>6849</v>
      </c>
      <c r="G4" s="436" t="s">
        <v>2749</v>
      </c>
      <c r="H4" s="437" t="s">
        <v>7075</v>
      </c>
      <c r="I4" s="437" t="s">
        <v>7076</v>
      </c>
      <c r="J4" s="437" t="s">
        <v>7077</v>
      </c>
      <c r="K4" s="437" t="s">
        <v>7078</v>
      </c>
      <c r="L4" s="437" t="s">
        <v>7079</v>
      </c>
      <c r="M4" s="437" t="s">
        <v>7080</v>
      </c>
      <c r="N4" s="437" t="s">
        <v>17003</v>
      </c>
      <c r="O4" s="542" t="s">
        <v>7452</v>
      </c>
      <c r="P4" s="438" t="s">
        <v>8506</v>
      </c>
      <c r="Q4" s="438" t="s">
        <v>8507</v>
      </c>
      <c r="R4" s="438" t="s">
        <v>8508</v>
      </c>
      <c r="S4" s="438" t="s">
        <v>8509</v>
      </c>
      <c r="T4" s="438" t="s">
        <v>8510</v>
      </c>
      <c r="U4" s="438" t="s">
        <v>8511</v>
      </c>
      <c r="V4" s="438" t="s">
        <v>8512</v>
      </c>
      <c r="W4" s="438" t="s">
        <v>8513</v>
      </c>
      <c r="X4" s="438" t="s">
        <v>8514</v>
      </c>
      <c r="Y4" s="438" t="s">
        <v>8515</v>
      </c>
      <c r="Z4" s="438" t="s">
        <v>8516</v>
      </c>
      <c r="AA4" s="438" t="s">
        <v>8517</v>
      </c>
      <c r="AB4" s="436" t="s">
        <v>7015</v>
      </c>
      <c r="AC4" s="436" t="s">
        <v>2748</v>
      </c>
      <c r="AD4" s="436" t="s">
        <v>7016</v>
      </c>
      <c r="AE4" s="436" t="s">
        <v>949</v>
      </c>
      <c r="AF4" s="436" t="s">
        <v>6984</v>
      </c>
      <c r="AG4" s="436" t="s">
        <v>2750</v>
      </c>
      <c r="AH4" s="436" t="s">
        <v>2205</v>
      </c>
      <c r="AI4" s="436" t="s">
        <v>190</v>
      </c>
      <c r="AJ4" s="436" t="s">
        <v>6989</v>
      </c>
      <c r="AK4" s="436" t="s">
        <v>6990</v>
      </c>
      <c r="AL4" s="436" t="s">
        <v>6992</v>
      </c>
      <c r="AM4" s="436" t="s">
        <v>6991</v>
      </c>
      <c r="AN4" s="436" t="s">
        <v>452</v>
      </c>
      <c r="AO4" s="436" t="s">
        <v>7002</v>
      </c>
      <c r="AP4" s="436" t="s">
        <v>7003</v>
      </c>
      <c r="AQ4" s="436" t="s">
        <v>7448</v>
      </c>
      <c r="AR4" s="436" t="s">
        <v>7449</v>
      </c>
      <c r="AS4" s="1" t="s">
        <v>1084</v>
      </c>
      <c r="AT4" s="1" t="s">
        <v>216</v>
      </c>
      <c r="AU4" s="1" t="s">
        <v>334</v>
      </c>
      <c r="AV4" s="1" t="s">
        <v>1534</v>
      </c>
      <c r="AW4" s="1" t="s">
        <v>1827</v>
      </c>
      <c r="AX4" s="1" t="s">
        <v>2721</v>
      </c>
      <c r="AY4" s="1" t="s">
        <v>6979</v>
      </c>
      <c r="AZ4" s="1" t="s">
        <v>6980</v>
      </c>
      <c r="BA4" s="1" t="s">
        <v>7082</v>
      </c>
      <c r="BB4" s="520" t="s">
        <v>7081</v>
      </c>
      <c r="BC4" s="520" t="s">
        <v>11920</v>
      </c>
      <c r="BD4" s="520" t="s">
        <v>11922</v>
      </c>
      <c r="BE4" s="520" t="s">
        <v>11921</v>
      </c>
      <c r="BF4" s="520" t="s">
        <v>11923</v>
      </c>
      <c r="BG4" s="520" t="s">
        <v>11924</v>
      </c>
      <c r="BH4" s="520" t="s">
        <v>11925</v>
      </c>
      <c r="BI4" s="520" t="s">
        <v>11926</v>
      </c>
      <c r="BJ4" s="520" t="s">
        <v>11927</v>
      </c>
      <c r="BK4" s="520" t="s">
        <v>11928</v>
      </c>
      <c r="BL4" s="520" t="s">
        <v>11929</v>
      </c>
      <c r="BM4" s="520" t="s">
        <v>11930</v>
      </c>
      <c r="BN4" s="520" t="s">
        <v>11931</v>
      </c>
      <c r="BO4" s="420" t="s">
        <v>6996</v>
      </c>
      <c r="BP4" s="424" t="s">
        <v>7083</v>
      </c>
      <c r="BQ4" s="425" t="s">
        <v>7084</v>
      </c>
      <c r="BR4" s="426" t="s">
        <v>2740</v>
      </c>
      <c r="BS4" s="431" t="s">
        <v>7116</v>
      </c>
      <c r="BT4" s="424" t="s">
        <v>7093</v>
      </c>
      <c r="BU4" s="425" t="s">
        <v>7094</v>
      </c>
      <c r="BV4" s="426" t="s">
        <v>7095</v>
      </c>
      <c r="BW4" s="431" t="s">
        <v>7117</v>
      </c>
      <c r="BX4" s="424" t="s">
        <v>7085</v>
      </c>
      <c r="BY4" s="425" t="s">
        <v>7086</v>
      </c>
      <c r="BZ4" s="426" t="s">
        <v>2618</v>
      </c>
      <c r="CA4" s="431" t="s">
        <v>7118</v>
      </c>
      <c r="CB4" s="424" t="s">
        <v>7096</v>
      </c>
      <c r="CC4" s="425" t="s">
        <v>7097</v>
      </c>
      <c r="CD4" s="426" t="s">
        <v>7098</v>
      </c>
      <c r="CE4" s="431" t="s">
        <v>7119</v>
      </c>
      <c r="CF4" s="424" t="s">
        <v>7099</v>
      </c>
      <c r="CG4" s="425" t="s">
        <v>7100</v>
      </c>
      <c r="CH4" s="426" t="s">
        <v>7101</v>
      </c>
      <c r="CI4" s="431" t="s">
        <v>7114</v>
      </c>
      <c r="CJ4" s="424" t="s">
        <v>7087</v>
      </c>
      <c r="CK4" s="425" t="s">
        <v>7088</v>
      </c>
      <c r="CL4" s="426" t="s">
        <v>2755</v>
      </c>
      <c r="CM4" s="431" t="s">
        <v>7120</v>
      </c>
      <c r="CN4" s="424" t="s">
        <v>7089</v>
      </c>
      <c r="CO4" s="425" t="s">
        <v>7090</v>
      </c>
      <c r="CP4" s="426" t="s">
        <v>2728</v>
      </c>
      <c r="CQ4" s="431" t="s">
        <v>7121</v>
      </c>
      <c r="CR4" s="424" t="s">
        <v>7102</v>
      </c>
      <c r="CS4" s="425" t="s">
        <v>7103</v>
      </c>
      <c r="CT4" s="426" t="s">
        <v>7104</v>
      </c>
      <c r="CU4" s="431" t="s">
        <v>7122</v>
      </c>
      <c r="CV4" s="424" t="s">
        <v>7105</v>
      </c>
      <c r="CW4" s="425" t="s">
        <v>7106</v>
      </c>
      <c r="CX4" s="426" t="s">
        <v>7107</v>
      </c>
      <c r="CY4" s="431" t="s">
        <v>7123</v>
      </c>
      <c r="CZ4" s="424" t="s">
        <v>7108</v>
      </c>
      <c r="DA4" s="425" t="s">
        <v>7109</v>
      </c>
      <c r="DB4" s="426" t="s">
        <v>7110</v>
      </c>
      <c r="DC4" s="431" t="s">
        <v>7124</v>
      </c>
      <c r="DD4" s="424" t="s">
        <v>7091</v>
      </c>
      <c r="DE4" s="425" t="s">
        <v>7092</v>
      </c>
      <c r="DF4" s="426" t="s">
        <v>2732</v>
      </c>
      <c r="DG4" s="431" t="s">
        <v>7125</v>
      </c>
      <c r="DH4" s="424" t="s">
        <v>7111</v>
      </c>
      <c r="DI4" s="425" t="s">
        <v>7112</v>
      </c>
      <c r="DJ4" s="426" t="s">
        <v>7113</v>
      </c>
      <c r="DK4" s="431" t="s">
        <v>7126</v>
      </c>
      <c r="DL4" s="451" t="s">
        <v>7010</v>
      </c>
      <c r="DM4" s="432" t="s">
        <v>8494</v>
      </c>
      <c r="DN4" s="432" t="s">
        <v>8495</v>
      </c>
      <c r="DO4" s="432" t="s">
        <v>8496</v>
      </c>
      <c r="DP4" s="432" t="s">
        <v>8497</v>
      </c>
      <c r="DQ4" s="432" t="s">
        <v>8498</v>
      </c>
      <c r="DR4" s="432" t="s">
        <v>8499</v>
      </c>
      <c r="DS4" s="432" t="s">
        <v>8500</v>
      </c>
      <c r="DT4" s="432" t="s">
        <v>8501</v>
      </c>
      <c r="DU4" s="432" t="s">
        <v>8502</v>
      </c>
      <c r="DV4" s="432" t="s">
        <v>8503</v>
      </c>
      <c r="DW4" s="432" t="s">
        <v>8504</v>
      </c>
      <c r="DX4" s="432" t="s">
        <v>8505</v>
      </c>
      <c r="DY4" s="430" t="s">
        <v>7012</v>
      </c>
      <c r="DZ4" s="432" t="s">
        <v>7017</v>
      </c>
      <c r="EA4" s="14" t="s">
        <v>7115</v>
      </c>
      <c r="EB4" s="40" t="s">
        <v>6993</v>
      </c>
      <c r="EC4" s="433" t="s">
        <v>644</v>
      </c>
      <c r="ED4" s="433" t="s">
        <v>645</v>
      </c>
      <c r="EE4" s="433" t="s">
        <v>646</v>
      </c>
      <c r="EF4" s="433" t="s">
        <v>647</v>
      </c>
      <c r="EG4" s="434" t="s">
        <v>7018</v>
      </c>
      <c r="EH4" s="14" t="s">
        <v>7000</v>
      </c>
      <c r="EI4" s="446" t="s">
        <v>7001</v>
      </c>
      <c r="EJ4" s="431" t="s">
        <v>6981</v>
      </c>
      <c r="EK4" s="435" t="s">
        <v>6982</v>
      </c>
      <c r="EL4" s="528" t="s">
        <v>12242</v>
      </c>
      <c r="EM4" s="528" t="s">
        <v>7116</v>
      </c>
      <c r="EN4" s="528" t="s">
        <v>7117</v>
      </c>
      <c r="EO4" s="528" t="s">
        <v>7118</v>
      </c>
      <c r="EP4" s="528" t="s">
        <v>7119</v>
      </c>
      <c r="EQ4" s="528" t="s">
        <v>7114</v>
      </c>
      <c r="ER4" s="528" t="s">
        <v>11925</v>
      </c>
      <c r="ES4" s="528" t="s">
        <v>11926</v>
      </c>
      <c r="ET4" s="528" t="s">
        <v>11927</v>
      </c>
      <c r="EU4" s="528" t="s">
        <v>11928</v>
      </c>
      <c r="EV4" s="528" t="s">
        <v>11929</v>
      </c>
      <c r="EW4" s="528" t="s">
        <v>11930</v>
      </c>
      <c r="EX4" s="528" t="s">
        <v>11931</v>
      </c>
      <c r="EY4" s="433" t="s">
        <v>644</v>
      </c>
      <c r="EZ4" s="433" t="s">
        <v>645</v>
      </c>
      <c r="FA4" s="433" t="s">
        <v>646</v>
      </c>
      <c r="FB4" s="433" t="s">
        <v>647</v>
      </c>
      <c r="FC4" s="220" t="s">
        <v>648</v>
      </c>
      <c r="FD4" s="220" t="s">
        <v>649</v>
      </c>
      <c r="FE4" s="220" t="s">
        <v>603</v>
      </c>
      <c r="FF4" s="220" t="s">
        <v>604</v>
      </c>
      <c r="FG4" s="220" t="s">
        <v>653</v>
      </c>
      <c r="FH4" s="220" t="s">
        <v>654</v>
      </c>
      <c r="FI4" s="443" t="s">
        <v>6994</v>
      </c>
      <c r="FJ4" s="443" t="s">
        <v>7031</v>
      </c>
      <c r="FK4" s="539" t="s">
        <v>16993</v>
      </c>
    </row>
    <row r="5" spans="1:167" s="23" customFormat="1" ht="24" customHeight="1">
      <c r="A5" s="347" t="s">
        <v>2348</v>
      </c>
      <c r="B5" s="404" t="s">
        <v>2418</v>
      </c>
      <c r="C5" s="404"/>
      <c r="D5" s="403" t="s">
        <v>3348</v>
      </c>
      <c r="E5" s="378">
        <v>6858654</v>
      </c>
      <c r="F5" s="5"/>
      <c r="G5" s="310" t="s">
        <v>9</v>
      </c>
      <c r="H5" s="338" t="s">
        <v>6</v>
      </c>
      <c r="I5" s="338"/>
      <c r="J5" s="338">
        <v>2023</v>
      </c>
      <c r="K5" s="351">
        <v>45030</v>
      </c>
      <c r="L5" s="317"/>
      <c r="M5" s="409"/>
      <c r="N5" s="317">
        <f t="shared" ref="N5:N21" si="7">IF(K5+912=912,"",K5+912)</f>
        <v>45942</v>
      </c>
      <c r="O5" s="317">
        <f t="shared" ref="O5:O21" si="8">IF(K5+1277=1277,"",K5+1277)</f>
        <v>46307</v>
      </c>
      <c r="P5" s="418" t="str">
        <f t="shared" ref="P5:AA14" si="9">IF($N5="","N/A",IF($O5="","N/A",IF(P$2&lt;=$N5,"NÃO",IF($AJ5="REL ","SIM",IF(P$2&lt;$O5,"NÃO",IF($AJ5&lt;&gt;"CLSD","SIM","CRTD"))))))</f>
        <v>NÃO</v>
      </c>
      <c r="Q5" s="418" t="str">
        <f t="shared" si="9"/>
        <v>NÃO</v>
      </c>
      <c r="R5" s="418" t="str">
        <f t="shared" si="9"/>
        <v>NÃO</v>
      </c>
      <c r="S5" s="418" t="str">
        <f t="shared" si="9"/>
        <v>NÃO</v>
      </c>
      <c r="T5" s="418" t="str">
        <f t="shared" si="9"/>
        <v>NÃO</v>
      </c>
      <c r="U5" s="418" t="str">
        <f t="shared" si="9"/>
        <v>NÃO</v>
      </c>
      <c r="V5" s="418" t="str">
        <f t="shared" si="9"/>
        <v>NÃO</v>
      </c>
      <c r="W5" s="418" t="str">
        <f t="shared" si="9"/>
        <v>NÃO</v>
      </c>
      <c r="X5" s="418" t="str">
        <f t="shared" si="9"/>
        <v>NÃO</v>
      </c>
      <c r="Y5" s="418" t="str">
        <f t="shared" si="9"/>
        <v>SIM</v>
      </c>
      <c r="Z5" s="418" t="str">
        <f t="shared" si="9"/>
        <v>SIM</v>
      </c>
      <c r="AA5" s="418" t="str">
        <f t="shared" si="9"/>
        <v>SIM</v>
      </c>
      <c r="AB5" s="317"/>
      <c r="AC5" s="208" t="s">
        <v>3932</v>
      </c>
      <c r="AD5" s="310" t="s">
        <v>5</v>
      </c>
      <c r="AE5" s="310" t="s">
        <v>961</v>
      </c>
      <c r="AF5" s="310" t="s">
        <v>6985</v>
      </c>
      <c r="AG5" s="458" t="s">
        <v>2238</v>
      </c>
      <c r="AH5" s="310" t="s">
        <v>2843</v>
      </c>
      <c r="AI5" s="533" t="s">
        <v>183</v>
      </c>
      <c r="AJ5" s="6" t="s">
        <v>6786</v>
      </c>
      <c r="AK5" s="6" t="str">
        <f t="shared" ref="AK5:AK68" si="10">IF(AJ5&lt;&gt;AM5,"DIFERENTE","IGUAL")</f>
        <v>IGUAL</v>
      </c>
      <c r="AL5" s="151" t="str">
        <f>IFERROR(IF(LEFT(A5,3)="LCP",VLOOKUP(A5,STATUS_SAP_LCP!B:C,2,FALSE),VLOOKUP(A5,STATUS_SAP_ICP!B:C,2,FALSE)),"NO BUDGET")</f>
        <v>REL  BUDG AUC  AVAC  //  APPR BREL INPL</v>
      </c>
      <c r="AM5" s="6" t="str">
        <f t="shared" ref="AM5:AM36" si="11">IF(LEFT(AL5,4)="PREL","REL ",IF(LEFT(AL5,9)="NO BUDGET","NO BUDGET",LEFT(AL5,4)))</f>
        <v xml:space="preserve">REL </v>
      </c>
      <c r="AN5" s="282" t="s">
        <v>19036</v>
      </c>
      <c r="AO5" s="557"/>
      <c r="AP5" s="499" t="s">
        <v>5299</v>
      </c>
      <c r="AQ5" s="465">
        <v>46022</v>
      </c>
      <c r="AR5" s="460"/>
      <c r="AS5" s="318"/>
      <c r="AT5" s="223"/>
      <c r="AU5" s="318"/>
      <c r="AV5" s="223">
        <v>0</v>
      </c>
      <c r="AW5" s="318">
        <v>29.228110000000001</v>
      </c>
      <c r="AX5" s="223">
        <v>1584.2224200000001</v>
      </c>
      <c r="AY5" s="318">
        <f t="shared" ref="AY5:AY21" si="12">BO5</f>
        <v>8977.8106371580816</v>
      </c>
      <c r="AZ5" s="223"/>
      <c r="BA5" s="318"/>
      <c r="BB5" s="519">
        <f t="shared" ref="BB5:BB26" si="13">SUM(BC5:BN5)</f>
        <v>11939.305349930151</v>
      </c>
      <c r="BC5" s="518">
        <v>3100.009360968741</v>
      </c>
      <c r="BD5" s="518">
        <v>2019.8320499915094</v>
      </c>
      <c r="BE5" s="518">
        <v>1512.4710486389806</v>
      </c>
      <c r="BF5" s="518">
        <v>3972.8632515451068</v>
      </c>
      <c r="BG5" s="518">
        <v>850.23653878581229</v>
      </c>
      <c r="BH5" s="518">
        <v>477.49770000000001</v>
      </c>
      <c r="BI5" s="518">
        <v>3.1977000000000002</v>
      </c>
      <c r="BJ5" s="518">
        <v>3.1977000000000002</v>
      </c>
      <c r="BK5" s="518">
        <v>0</v>
      </c>
      <c r="BL5" s="518">
        <v>0</v>
      </c>
      <c r="BM5" s="518">
        <v>0</v>
      </c>
      <c r="BN5" s="518">
        <v>0</v>
      </c>
      <c r="BO5" s="367">
        <f t="shared" ref="BO5:BO68" si="14">SUM(BS5,BW5,CA5,CE5,CI5,CM5,CQ5,CU5,CY5,DC5,DG5,DK5)</f>
        <v>8977.8106371580816</v>
      </c>
      <c r="BP5" s="421">
        <v>3100.009360968741</v>
      </c>
      <c r="BQ5" s="422">
        <v>201.00484</v>
      </c>
      <c r="BR5" s="423">
        <f>IFERROR(IF(LEFT($A5,3)="Lcp",SUMIFS('BASE-LCP'!$K:$K,'BASE-LCP'!$A:$A,Capex!$A312,'BASE-LCP'!$B:$B,"janeiro")/1000,IF(LEFT($A5,3)="icp",SUMIFS('BASE-ICP'!$K:$K,'BASE-ICP'!$A:$A,Capex!$A312,'BASE-ICP'!$B:$B,"janeiro")/1000,"")),"")</f>
        <v>0</v>
      </c>
      <c r="BS5" s="427">
        <v>201.00484000000003</v>
      </c>
      <c r="BT5" s="421">
        <v>3423.3197338791197</v>
      </c>
      <c r="BU5" s="422">
        <v>197.46634</v>
      </c>
      <c r="BV5" s="423">
        <f>IFERROR(IF(LEFT($A5,3)="Lcp",SUMIFS('BASE-LCP'!$K:$K,'BASE-LCP'!$A:$A,Capex!$A312,'BASE-LCP'!$B:$B,"fevereiro")/1000,IF(LEFT($A5,3)="icp",SUMIFS('BASE-ICP'!$K:$K,'BASE-ICP'!$A:$A,Capex!$A312,'BASE-ICP'!$B:$B,"fevereiro")/1000,"")),"")</f>
        <v>0</v>
      </c>
      <c r="BW5" s="427">
        <v>197.46634000000003</v>
      </c>
      <c r="BX5" s="421">
        <v>1000</v>
      </c>
      <c r="BY5" s="422">
        <v>492.55446999999998</v>
      </c>
      <c r="BZ5" s="423">
        <f>IFERROR(IF(LEFT($A5,3)="Lcp",SUMIFS('BASE-LCP'!$K:$K,'BASE-LCP'!$A:$A,Capex!$A312,'BASE-LCP'!$B:$B,"março")/1000,IF(LEFT($A5,3)="icp",SUMIFS('BASE-ICP'!$K:$K,'BASE-ICP'!$A:$A,Capex!$A312,'BASE-ICP'!$B:$B,"março")/1000,"")),"")</f>
        <v>0</v>
      </c>
      <c r="CA5" s="427">
        <v>492.55446999999981</v>
      </c>
      <c r="CB5" s="421">
        <v>684.68610448618074</v>
      </c>
      <c r="CC5" s="422">
        <v>800.42526000000009</v>
      </c>
      <c r="CD5" s="423">
        <f>IFERROR(IF(LEFT($A5,3)="Lcp",SUMIFS('BASE-LCP'!$K:$K,'BASE-LCP'!$A:$A,Capex!$A312,'BASE-LCP'!$B:$B,"abril")/1000,IF(LEFT($A5,3)="icp",SUMIFS('BASE-ICP'!$K:$K,'BASE-ICP'!$A:$A,Capex!$A312,'BASE-ICP'!$B:$B,"abril")/1000,"")),"")</f>
        <v>0</v>
      </c>
      <c r="CE5" s="427">
        <v>800.42526000000009</v>
      </c>
      <c r="CF5" s="421">
        <v>273.453108348135</v>
      </c>
      <c r="CG5" s="422">
        <v>377.81638000000004</v>
      </c>
      <c r="CH5" s="423">
        <v>377.81637999999992</v>
      </c>
      <c r="CI5" s="427">
        <v>377.81637999999992</v>
      </c>
      <c r="CJ5" s="421">
        <v>319.71580817051512</v>
      </c>
      <c r="CK5" s="422">
        <v>362.14015000000001</v>
      </c>
      <c r="CL5" s="423">
        <f>IFERROR(IF(LEFT($A5,3)="Lcp",SUMIFS('BASE-LCP'!$K:$K,'BASE-LCP'!$A:$A,Capex!$A312,'BASE-LCP'!$B:$B,"junho")/1000,IF(LEFT($A5,3)="icp",SUMIFS('BASE-ICP'!$K:$K,'BASE-ICP'!$A:$A,Capex!$A312,'BASE-ICP'!$B:$B,"junho")/1000,"")),"")</f>
        <v>0</v>
      </c>
      <c r="CM5" s="427">
        <v>362.14015000000001</v>
      </c>
      <c r="CN5" s="421"/>
      <c r="CO5" s="422"/>
      <c r="CP5" s="423">
        <f>IFERROR(IF(LEFT($A5,3)="Lcp",SUMIFS('BASE-LCP'!$K:$K,'BASE-LCP'!$A:$A,Capex!$A312,'BASE-LCP'!$B:$B,"julho")/1000,IF(LEFT($A5,3)="icp",SUMIFS('BASE-ICP'!$K:$K,'BASE-ICP'!$A:$A,Capex!$A312,'BASE-ICP'!$B:$B,"julho")/1000,"")),"")</f>
        <v>0</v>
      </c>
      <c r="CQ5" s="427">
        <f>(1984000/5.63)/1000+5</f>
        <v>357.39786856127887</v>
      </c>
      <c r="CR5" s="421"/>
      <c r="CS5" s="422"/>
      <c r="CT5" s="423">
        <f>IFERROR(IF(LEFT($A5,3)="Lcp",SUMIFS('BASE-LCP'!$K:$K,'BASE-LCP'!$A:$A,Capex!$A312,'BASE-LCP'!$B:$B,"agosto")/1000,IF(LEFT($A5,3)="icp",SUMIFS('BASE-ICP'!$K:$K,'BASE-ICP'!$A:$A,Capex!$A312,'BASE-ICP'!$B:$B,"agosto")/1000,"")),"")</f>
        <v>0</v>
      </c>
      <c r="CU5" s="427">
        <f>(2543000/5.63)/1000-200</f>
        <v>251.68738898756664</v>
      </c>
      <c r="CV5" s="421"/>
      <c r="CW5" s="422"/>
      <c r="CX5" s="423">
        <f>IFERROR(IF(LEFT($A5,3)="Lcp",SUMIFS('BASE-LCP'!$K:$K,'BASE-LCP'!$A:$A,Capex!$A312,'BASE-LCP'!$B:$B,"setembro")/1000,IF(LEFT($A5,3)="icp",SUMIFS('BASE-ICP'!$K:$K,'BASE-ICP'!$A:$A,Capex!$A312,'BASE-ICP'!$B:$B,"setembro")/1000,"")),"")</f>
        <v>0</v>
      </c>
      <c r="CY5" s="427">
        <f>(5500000/5.63)/1000-200</f>
        <v>776.90941385435178</v>
      </c>
      <c r="CZ5" s="421"/>
      <c r="DA5" s="422"/>
      <c r="DB5" s="423">
        <f>IFERROR(IF(LEFT($A5,3)="Lcp",SUMIFS('BASE-LCP'!$K:$K,'BASE-LCP'!$A:$A,Capex!$A312,'BASE-LCP'!$B:$B,"outubro")/1000,IF(LEFT($A5,3)="icp",SUMIFS('BASE-ICP'!$K:$K,'BASE-ICP'!$A:$A,Capex!$A312,'BASE-ICP'!$B:$B,"outubro")/1000,"")),"")</f>
        <v>0</v>
      </c>
      <c r="DC5" s="427">
        <f>(10685000/5.63)/1000-130</f>
        <v>1767.8685612788634</v>
      </c>
      <c r="DD5" s="421"/>
      <c r="DE5" s="422"/>
      <c r="DF5" s="423">
        <f>IFERROR(IF(LEFT($A5,3)="Lcp",SUMIFS('BASE-LCP'!$K:$K,'BASE-LCP'!$A:$A,Capex!$A312,'BASE-LCP'!$B:$B,"novembro")/1000,IF(LEFT($A5,3)="icp",SUMIFS('BASE-ICP'!$K:$K,'BASE-ICP'!$A:$A,Capex!$A312,'BASE-ICP'!$B:$B,"novembro")/1000,"")),"")</f>
        <v>0</v>
      </c>
      <c r="DG5" s="427">
        <f>(11600000/5.63)/1000</f>
        <v>2060.390763765542</v>
      </c>
      <c r="DH5" s="421"/>
      <c r="DI5" s="422"/>
      <c r="DJ5" s="423">
        <f>IFERROR(IF(LEFT($A5,3)="Lcp",SUMIFS('BASE-LCP'!$K:$K,'BASE-LCP'!$A:$A,Capex!$A312,'BASE-LCP'!$B:$B,"dezembro")/1000,IF(LEFT($A5,3)="icp",SUMIFS('BASE-ICP'!$K:$K,'BASE-ICP'!$A:$A,Capex!$A312,'BASE-ICP'!$B:$B,"dezembro")/1000,"")),"")</f>
        <v>0</v>
      </c>
      <c r="DK5" s="427">
        <f>(7500000/5.63)/1000</f>
        <v>1332.1492007104796</v>
      </c>
      <c r="DL5" s="452">
        <f t="shared" ref="DL5:DL68" si="15">SUM(DM5:DX5)</f>
        <v>0</v>
      </c>
      <c r="DM5" s="374"/>
      <c r="DN5" s="374"/>
      <c r="DO5" s="374"/>
      <c r="DP5" s="374"/>
      <c r="DQ5" s="374"/>
      <c r="DR5" s="374"/>
      <c r="DS5" s="374"/>
      <c r="DT5" s="374"/>
      <c r="DU5" s="374"/>
      <c r="DV5" s="374"/>
      <c r="DW5" s="374"/>
      <c r="DX5" s="374"/>
      <c r="DY5" s="450"/>
      <c r="DZ5" s="374">
        <f t="shared" ref="DZ5:DZ68" si="16">SUM(DL5,DY5)</f>
        <v>0</v>
      </c>
      <c r="EA5" s="216">
        <f t="shared" ref="EA5:EA68" si="17">CM5-CJ5</f>
        <v>42.424341829484888</v>
      </c>
      <c r="EB5" s="320">
        <f t="shared" ref="EB5:EB68" si="18">CL5-CM5</f>
        <v>-362.14015000000001</v>
      </c>
      <c r="EC5" s="241">
        <f t="shared" ref="EC5:EC68" si="19">SUM(BS5,BW5,CA5)</f>
        <v>891.02564999999981</v>
      </c>
      <c r="ED5" s="241">
        <f t="shared" ref="ED5:ED68" si="20">SUM(CE5,CI5,CM5)</f>
        <v>1540.3817899999999</v>
      </c>
      <c r="EE5" s="241">
        <f t="shared" ref="EE5:EE68" si="21">SUM(CQ5,CU5,CY5)</f>
        <v>1385.9946714031971</v>
      </c>
      <c r="EF5" s="241">
        <f t="shared" ref="EF5:EF68" si="22">SUM(DC5,DG5,DK5)</f>
        <v>5160.408525754885</v>
      </c>
      <c r="EG5" s="346">
        <f t="shared" ref="EG5:EG68" si="23">BO5-BB5</f>
        <v>-2961.4947127720698</v>
      </c>
      <c r="EH5" s="445">
        <f t="shared" ref="EH5:EH68" si="24">CF5</f>
        <v>273.453108348135</v>
      </c>
      <c r="EI5" s="447">
        <f t="shared" ref="EI5:EI68" si="25">CH5</f>
        <v>377.81637999999992</v>
      </c>
      <c r="EJ5" s="364">
        <f t="shared" ref="EJ5:EJ68" si="26">SUM(BS5,BW5,CA5,CE5,CI5,CL5)</f>
        <v>2069.2672899999998</v>
      </c>
      <c r="EK5" s="365">
        <f t="shared" ref="EK5:EK68" si="27">BO5-EJ5</f>
        <v>6908.5433471580818</v>
      </c>
      <c r="EL5" s="529">
        <f t="shared" ref="EL5:EL68" si="28">SUM(EM5:EX5)</f>
        <v>8978.3965972824153</v>
      </c>
      <c r="EM5" s="530">
        <v>201.00484000000003</v>
      </c>
      <c r="EN5" s="530">
        <v>197.46634000000003</v>
      </c>
      <c r="EO5" s="530">
        <v>492.55446999999981</v>
      </c>
      <c r="EP5" s="530">
        <v>800.42526000000009</v>
      </c>
      <c r="EQ5" s="530">
        <v>377.81637999999992</v>
      </c>
      <c r="ER5" s="530">
        <v>319.71580817051512</v>
      </c>
      <c r="ES5" s="530">
        <v>494.48117229129662</v>
      </c>
      <c r="ET5" s="530">
        <v>1211.449023090586</v>
      </c>
      <c r="EU5" s="530">
        <v>854.21101243339263</v>
      </c>
      <c r="EV5" s="530">
        <v>1007.444404973357</v>
      </c>
      <c r="EW5" s="530">
        <v>2033.6380106571937</v>
      </c>
      <c r="EX5" s="530">
        <v>988.18987566607461</v>
      </c>
      <c r="EY5" s="530">
        <f t="shared" ref="EY5:EY68" si="29">SUM(EM5:EO5)</f>
        <v>891.02564999999981</v>
      </c>
      <c r="EZ5" s="530">
        <f t="shared" ref="EZ5:EZ68" si="30">SUM(EP5:ER5)</f>
        <v>1497.9574481705151</v>
      </c>
      <c r="FA5" s="530">
        <f t="shared" ref="FA5:FA68" si="31">SUM(ES5:EU5)</f>
        <v>2560.1412078152753</v>
      </c>
      <c r="FB5" s="530">
        <f t="shared" ref="FB5:FB68" si="32">SUM(EV5:EX5)</f>
        <v>4029.2722912966256</v>
      </c>
      <c r="FC5" s="384">
        <f>IFERROR(VLOOKUP(Capex!A312,BASE_558!D:R,8,FALSE)/1000,"")</f>
        <v>213.4</v>
      </c>
      <c r="FD5" s="328">
        <f>IFERROR(VLOOKUP(Capex!A312,BASE_558!D:R,9,)/1000,"")</f>
        <v>78.554419999999993</v>
      </c>
      <c r="FE5" s="328">
        <f>IFERROR(IF(LEFT(A5,3)="LCP",(VLOOKUP(Capex!A312,BASE_558!D:R,10,)/1000),SUMIFS('BASE ICP_PO_SC'!F:F,'BASE ICP_PO_SC'!A:A,Capex!A312,'BASE ICP_PO_SC'!E:E,"&lt;&gt;")/1000),"")</f>
        <v>0</v>
      </c>
      <c r="FF5" s="328">
        <f>IFERROR(IF(LEFT(A5,3)="LCP",(VLOOKUP(Capex!A312,BASE_558!D:R,11,)/1000),SUMIFS('BASE ICP_PO_SC'!F:F,'BASE ICP_PO_SC'!A:A,Capex!A312,'BASE ICP_PO_SC'!E:E,"")/1000),"")</f>
        <v>0</v>
      </c>
      <c r="FG5" s="328">
        <f>IFERROR(VLOOKUP(A5,BASE_558!D:R,13,FALSE)/1000,"")</f>
        <v>12620.148039999998</v>
      </c>
      <c r="FH5" s="328">
        <f>IFERROR(VLOOKUP(A5,BASE_558!D:R,15,FALSE)/1000,"")</f>
        <v>18479.85196</v>
      </c>
      <c r="FI5" s="547">
        <f t="shared" ref="FI5:FI68" si="33">EZ5-ED5</f>
        <v>-42.424341829484774</v>
      </c>
      <c r="FJ5" s="570">
        <f t="shared" ref="FJ5:FJ68" si="34">FA5-EE5</f>
        <v>1174.1465364120781</v>
      </c>
      <c r="FK5" s="570">
        <f t="shared" ref="FK5:FK68" si="35">FB5-EF5</f>
        <v>-1131.1362344582594</v>
      </c>
    </row>
    <row r="6" spans="1:167" s="23" customFormat="1" ht="24" customHeight="1">
      <c r="A6" s="453" t="s">
        <v>7030</v>
      </c>
      <c r="B6" s="404" t="s">
        <v>2792</v>
      </c>
      <c r="C6" s="404" t="s">
        <v>602</v>
      </c>
      <c r="D6" s="338"/>
      <c r="E6" s="378"/>
      <c r="F6" s="5"/>
      <c r="G6" s="310" t="s">
        <v>9</v>
      </c>
      <c r="H6" s="338"/>
      <c r="I6" s="338"/>
      <c r="J6" s="338">
        <v>2024</v>
      </c>
      <c r="K6" s="351">
        <v>45588</v>
      </c>
      <c r="L6" s="324"/>
      <c r="M6" s="409"/>
      <c r="N6" s="317">
        <f t="shared" si="7"/>
        <v>46500</v>
      </c>
      <c r="O6" s="317">
        <f t="shared" si="8"/>
        <v>46865</v>
      </c>
      <c r="P6" s="418" t="str">
        <f t="shared" si="9"/>
        <v>NÃO</v>
      </c>
      <c r="Q6" s="418" t="str">
        <f t="shared" si="9"/>
        <v>NÃO</v>
      </c>
      <c r="R6" s="418" t="str">
        <f t="shared" si="9"/>
        <v>NÃO</v>
      </c>
      <c r="S6" s="418" t="str">
        <f t="shared" si="9"/>
        <v>NÃO</v>
      </c>
      <c r="T6" s="418" t="str">
        <f t="shared" si="9"/>
        <v>NÃO</v>
      </c>
      <c r="U6" s="418" t="str">
        <f t="shared" si="9"/>
        <v>NÃO</v>
      </c>
      <c r="V6" s="418" t="str">
        <f t="shared" si="9"/>
        <v>NÃO</v>
      </c>
      <c r="W6" s="418" t="str">
        <f t="shared" si="9"/>
        <v>NÃO</v>
      </c>
      <c r="X6" s="418" t="str">
        <f t="shared" si="9"/>
        <v>NÃO</v>
      </c>
      <c r="Y6" s="418" t="str">
        <f t="shared" si="9"/>
        <v>NÃO</v>
      </c>
      <c r="Z6" s="418" t="str">
        <f t="shared" si="9"/>
        <v>NÃO</v>
      </c>
      <c r="AA6" s="418" t="str">
        <f t="shared" si="9"/>
        <v>NÃO</v>
      </c>
      <c r="AB6" s="317"/>
      <c r="AC6" s="208" t="s">
        <v>3932</v>
      </c>
      <c r="AD6" s="310" t="s">
        <v>224</v>
      </c>
      <c r="AE6" s="309" t="s">
        <v>957</v>
      </c>
      <c r="AF6" s="310" t="s">
        <v>6988</v>
      </c>
      <c r="AG6" s="458" t="s">
        <v>2238</v>
      </c>
      <c r="AH6" s="514" t="s">
        <v>7020</v>
      </c>
      <c r="AI6" s="533" t="s">
        <v>853</v>
      </c>
      <c r="AJ6" s="6" t="s">
        <v>6786</v>
      </c>
      <c r="AK6" s="6" t="str">
        <f t="shared" si="10"/>
        <v>IGUAL</v>
      </c>
      <c r="AL6" s="151" t="str">
        <f>IFERROR(IF(LEFT(A6,3)="LCP",VLOOKUP(A6,STATUS_SAP_LCP!B:C,2,FALSE),VLOOKUP(A6,STATUS_SAP_ICP!B:C,2,FALSE)),"NO BUDGET")</f>
        <v>REL  BUDG AVAC  //  BREL WPLI</v>
      </c>
      <c r="AM6" s="6" t="str">
        <f t="shared" si="11"/>
        <v xml:space="preserve">REL </v>
      </c>
      <c r="AN6" s="282"/>
      <c r="AO6" s="557"/>
      <c r="AP6" s="499" t="s">
        <v>9616</v>
      </c>
      <c r="AQ6" s="465">
        <v>46357</v>
      </c>
      <c r="AR6" s="460"/>
      <c r="AS6" s="56"/>
      <c r="AT6" s="185"/>
      <c r="AU6" s="318"/>
      <c r="AV6" s="223"/>
      <c r="AW6" s="318"/>
      <c r="AX6" s="223">
        <v>279.86920000000003</v>
      </c>
      <c r="AY6" s="318">
        <f t="shared" si="12"/>
        <v>6417.6306400000003</v>
      </c>
      <c r="AZ6" s="223"/>
      <c r="BA6" s="318"/>
      <c r="BB6" s="519">
        <f t="shared" si="13"/>
        <v>12153.318511111107</v>
      </c>
      <c r="BC6" s="518">
        <v>536.88777222222222</v>
      </c>
      <c r="BD6" s="518">
        <v>69.88777222222221</v>
      </c>
      <c r="BE6" s="518">
        <v>546.15477222222216</v>
      </c>
      <c r="BF6" s="518">
        <v>211.88777222222222</v>
      </c>
      <c r="BG6" s="518">
        <v>331.63077222222216</v>
      </c>
      <c r="BH6" s="518">
        <v>153.8877722222222</v>
      </c>
      <c r="BI6" s="518">
        <v>146.1987722222222</v>
      </c>
      <c r="BJ6" s="518">
        <v>6780.4181722222193</v>
      </c>
      <c r="BK6" s="518">
        <v>501.89248333333342</v>
      </c>
      <c r="BL6" s="518">
        <v>1238.1654833333334</v>
      </c>
      <c r="BM6" s="518">
        <v>1610.3994833333334</v>
      </c>
      <c r="BN6" s="518">
        <v>25.907483333333332</v>
      </c>
      <c r="BO6" s="367">
        <f t="shared" si="14"/>
        <v>6417.6306400000003</v>
      </c>
      <c r="BP6" s="421">
        <v>536.88777222222222</v>
      </c>
      <c r="BQ6" s="422">
        <v>316.1997600000002</v>
      </c>
      <c r="BR6" s="423">
        <f>IFERROR(IF(LEFT($A6,3)="Lcp",SUMIFS('BASE-LCP'!$K:$K,'BASE-LCP'!$A:$A,Capex!$A62,'BASE-LCP'!$B:$B,"janeiro")/1000,IF(LEFT($A6,3)="icp",SUMIFS('BASE-ICP'!$K:$K,'BASE-ICP'!$A:$A,Capex!$A62,'BASE-ICP'!$B:$B,"janeiro")/1000,"")),"")</f>
        <v>0</v>
      </c>
      <c r="BS6" s="427">
        <v>316.1997600000002</v>
      </c>
      <c r="BT6" s="372">
        <v>59.587772222222199</v>
      </c>
      <c r="BU6" s="422">
        <v>250.53762999999987</v>
      </c>
      <c r="BV6" s="423">
        <f>IFERROR(IF(LEFT($A6,3)="Lcp",SUMIFS('BASE-LCP'!$K:$K,'BASE-LCP'!$A:$A,Capex!$A62,'BASE-LCP'!$B:$B,"fevereiro")/1000,IF(LEFT($A6,3)="icp",SUMIFS('BASE-ICP'!$K:$K,'BASE-ICP'!$A:$A,Capex!$A62,'BASE-ICP'!$B:$B,"fevereiro")/1000,"")),"")</f>
        <v>0</v>
      </c>
      <c r="BW6" s="427">
        <v>250.53762999999987</v>
      </c>
      <c r="BX6" s="372">
        <v>374.50000000000006</v>
      </c>
      <c r="BY6" s="422">
        <v>370.02865000000003</v>
      </c>
      <c r="BZ6" s="423">
        <f>IFERROR(IF(LEFT($A6,3)="Lcp",SUMIFS('BASE-LCP'!$K:$K,'BASE-LCP'!$A:$A,Capex!$A62,'BASE-LCP'!$B:$B,"março")/1000,IF(LEFT($A6,3)="icp",SUMIFS('BASE-ICP'!$K:$K,'BASE-ICP'!$A:$A,Capex!$A62,'BASE-ICP'!$B:$B,"março")/1000,"")),"")</f>
        <v>0</v>
      </c>
      <c r="CA6" s="427">
        <v>370.02865000000003</v>
      </c>
      <c r="CB6" s="372">
        <v>51.621883333333329</v>
      </c>
      <c r="CC6" s="422"/>
      <c r="CD6" s="423">
        <f>IFERROR(IF(LEFT($A6,3)="Lcp",SUMIFS('BASE-LCP'!$K:$K,'BASE-LCP'!$A:$A,Capex!$A62,'BASE-LCP'!$B:$B,"abril")/1000,IF(LEFT($A6,3)="icp",SUMIFS('BASE-ICP'!$K:$K,'BASE-ICP'!$A:$A,Capex!$A62,'BASE-ICP'!$B:$B,"abril")/1000,"")),"")</f>
        <v>0</v>
      </c>
      <c r="CE6" s="427">
        <v>248.23718</v>
      </c>
      <c r="CF6" s="372">
        <v>135.79300000000001</v>
      </c>
      <c r="CG6" s="422">
        <f>CH6</f>
        <v>249.69868000000002</v>
      </c>
      <c r="CH6" s="423">
        <v>249.69868000000002</v>
      </c>
      <c r="CI6" s="427">
        <v>249.69868000000002</v>
      </c>
      <c r="CJ6" s="372">
        <v>129.30500000000001</v>
      </c>
      <c r="CK6" s="419"/>
      <c r="CL6" s="423">
        <f>IFERROR(IF(LEFT($A6,3)="Lcp",SUMIFS('BASE-LCP'!$K:$K,'BASE-LCP'!$A:$A,Capex!$A62,'BASE-LCP'!$B:$B,"junho")/1000,IF(LEFT($A6,3)="icp",SUMIFS('BASE-ICP'!$K:$K,'BASE-ICP'!$A:$A,Capex!$A62,'BASE-ICP'!$B:$B,"junho")/1000,"")),"")</f>
        <v>0</v>
      </c>
      <c r="CM6" s="427">
        <v>130.41873999999999</v>
      </c>
      <c r="CN6" s="372"/>
      <c r="CO6" s="419"/>
      <c r="CP6" s="423">
        <f>IFERROR(IF(LEFT($A6,3)="Lcp",SUMIFS('BASE-LCP'!$K:$K,'BASE-LCP'!$A:$A,Capex!$A62,'BASE-LCP'!$B:$B,"julho")/1000,IF(LEFT($A6,3)="icp",SUMIFS('BASE-ICP'!$K:$K,'BASE-ICP'!$A:$A,Capex!$A62,'BASE-ICP'!$B:$B,"julho")/1000,"")),"")</f>
        <v>0</v>
      </c>
      <c r="CQ6" s="427">
        <f>310.52-37.669</f>
        <v>272.851</v>
      </c>
      <c r="CR6" s="372"/>
      <c r="CS6" s="419"/>
      <c r="CT6" s="423">
        <f>IFERROR(IF(LEFT($A6,3)="Lcp",SUMIFS('BASE-LCP'!$K:$K,'BASE-LCP'!$A:$A,Capex!$A62,'BASE-LCP'!$B:$B,"agosto")/1000,IF(LEFT($A6,3)="icp",SUMIFS('BASE-ICP'!$K:$K,'BASE-ICP'!$A:$A,Capex!$A62,'BASE-ICP'!$B:$B,"agosto")/1000,"")),"")</f>
        <v>0</v>
      </c>
      <c r="CU6" s="427">
        <v>522.90700000000004</v>
      </c>
      <c r="CV6" s="372"/>
      <c r="CW6" s="419"/>
      <c r="CX6" s="423">
        <f>IFERROR(IF(LEFT($A6,3)="Lcp",SUMIFS('BASE-LCP'!$K:$K,'BASE-LCP'!$A:$A,Capex!$A62,'BASE-LCP'!$B:$B,"setembro")/1000,IF(LEFT($A6,3)="icp",SUMIFS('BASE-ICP'!$K:$K,'BASE-ICP'!$A:$A,Capex!$A62,'BASE-ICP'!$B:$B,"setembro")/1000,"")),"")</f>
        <v>0</v>
      </c>
      <c r="CY6" s="427">
        <v>593.33100000000002</v>
      </c>
      <c r="CZ6" s="372"/>
      <c r="DA6" s="419"/>
      <c r="DB6" s="423">
        <f>IFERROR(IF(LEFT($A6,3)="Lcp",SUMIFS('BASE-LCP'!$K:$K,'BASE-LCP'!$A:$A,Capex!$A62,'BASE-LCP'!$B:$B,"outubro")/1000,IF(LEFT($A6,3)="icp",SUMIFS('BASE-ICP'!$K:$K,'BASE-ICP'!$A:$A,Capex!$A62,'BASE-ICP'!$B:$B,"outubro")/1000,"")),"")</f>
        <v>0</v>
      </c>
      <c r="DC6" s="427">
        <v>1418.6990000000001</v>
      </c>
      <c r="DD6" s="372"/>
      <c r="DE6" s="419"/>
      <c r="DF6" s="423">
        <f>IFERROR(IF(LEFT($A6,3)="Lcp",SUMIFS('BASE-LCP'!$K:$K,'BASE-LCP'!$A:$A,Capex!$A62,'BASE-LCP'!$B:$B,"novembro")/1000,IF(LEFT($A6,3)="icp",SUMIFS('BASE-ICP'!$K:$K,'BASE-ICP'!$A:$A,Capex!$A62,'BASE-ICP'!$B:$B,"novembro")/1000,"")),"")</f>
        <v>0</v>
      </c>
      <c r="DG6" s="427">
        <v>1347.1790000000001</v>
      </c>
      <c r="DH6" s="372"/>
      <c r="DI6" s="419"/>
      <c r="DJ6" s="423">
        <f>IFERROR(IF(LEFT($A6,3)="Lcp",SUMIFS('BASE-LCP'!$K:$K,'BASE-LCP'!$A:$A,Capex!$A62,'BASE-LCP'!$B:$B,"dezembro")/1000,IF(LEFT($A6,3)="icp",SUMIFS('BASE-ICP'!$K:$K,'BASE-ICP'!$A:$A,Capex!$A62,'BASE-ICP'!$B:$B,"dezembro")/1000,"")),"")</f>
        <v>0</v>
      </c>
      <c r="DK6" s="427">
        <v>697.54300000000001</v>
      </c>
      <c r="DL6" s="452">
        <f t="shared" si="15"/>
        <v>0</v>
      </c>
      <c r="DM6" s="374"/>
      <c r="DN6" s="374"/>
      <c r="DO6" s="374"/>
      <c r="DP6" s="374"/>
      <c r="DQ6" s="374"/>
      <c r="DR6" s="374"/>
      <c r="DS6" s="374"/>
      <c r="DT6" s="374"/>
      <c r="DU6" s="374"/>
      <c r="DV6" s="374"/>
      <c r="DW6" s="374"/>
      <c r="DX6" s="374"/>
      <c r="DY6" s="450"/>
      <c r="DZ6" s="374">
        <f t="shared" si="16"/>
        <v>0</v>
      </c>
      <c r="EA6" s="216">
        <f t="shared" si="17"/>
        <v>1.1137399999999786</v>
      </c>
      <c r="EB6" s="320">
        <f t="shared" si="18"/>
        <v>-130.41873999999999</v>
      </c>
      <c r="EC6" s="241">
        <f t="shared" si="19"/>
        <v>936.76603999999998</v>
      </c>
      <c r="ED6" s="241">
        <f t="shared" si="20"/>
        <v>628.3546</v>
      </c>
      <c r="EE6" s="241">
        <f t="shared" si="21"/>
        <v>1389.0889999999999</v>
      </c>
      <c r="EF6" s="241">
        <f t="shared" si="22"/>
        <v>3463.4210000000003</v>
      </c>
      <c r="EG6" s="346">
        <f t="shared" si="23"/>
        <v>-5735.6878711111067</v>
      </c>
      <c r="EH6" s="445">
        <f t="shared" si="24"/>
        <v>135.79300000000001</v>
      </c>
      <c r="EI6" s="447">
        <f t="shared" si="25"/>
        <v>249.69868000000002</v>
      </c>
      <c r="EJ6" s="364">
        <f t="shared" si="26"/>
        <v>1434.7019</v>
      </c>
      <c r="EK6" s="365">
        <f t="shared" si="27"/>
        <v>4982.9287400000003</v>
      </c>
      <c r="EL6" s="529">
        <f t="shared" si="28"/>
        <v>6938.6699000000008</v>
      </c>
      <c r="EM6" s="530">
        <v>316.1997600000002</v>
      </c>
      <c r="EN6" s="530">
        <v>250.53762999999987</v>
      </c>
      <c r="EO6" s="530">
        <v>370.02865000000003</v>
      </c>
      <c r="EP6" s="530">
        <v>248.23718</v>
      </c>
      <c r="EQ6" s="530">
        <v>249.69868000000002</v>
      </c>
      <c r="ER6" s="530">
        <v>129.30500000000001</v>
      </c>
      <c r="ES6" s="530">
        <v>419.44900000000001</v>
      </c>
      <c r="ET6" s="530">
        <v>834.79</v>
      </c>
      <c r="EU6" s="530">
        <v>593.33100000000002</v>
      </c>
      <c r="EV6" s="530">
        <v>1418.6990000000001</v>
      </c>
      <c r="EW6" s="530">
        <v>1345.088</v>
      </c>
      <c r="EX6" s="530">
        <v>763.30600000000004</v>
      </c>
      <c r="EY6" s="530">
        <f t="shared" si="29"/>
        <v>936.76603999999998</v>
      </c>
      <c r="EZ6" s="530">
        <f t="shared" si="30"/>
        <v>627.24086000000011</v>
      </c>
      <c r="FA6" s="530">
        <f t="shared" si="31"/>
        <v>1847.5700000000002</v>
      </c>
      <c r="FB6" s="530">
        <f t="shared" si="32"/>
        <v>3527.0930000000003</v>
      </c>
      <c r="FC6" s="384" t="str">
        <f>IFERROR(VLOOKUP(Capex!A62,BASE_558!D:R,8,FALSE)/1000,"")</f>
        <v/>
      </c>
      <c r="FD6" s="328" t="str">
        <f>IFERROR(VLOOKUP(Capex!A62,BASE_558!D:R,9,)/1000,"")</f>
        <v/>
      </c>
      <c r="FE6" s="328">
        <f>IFERROR(IF(LEFT(A6,3)="LCP",(VLOOKUP(Capex!A62,BASE_558!D:R,10,)/1000),SUMIFS('BASE ICP_PO_SC'!F:F,'BASE ICP_PO_SC'!A:A,Capex!A62,'BASE ICP_PO_SC'!E:E,"&lt;&gt;")/1000),"")</f>
        <v>0</v>
      </c>
      <c r="FF6" s="328">
        <f>IFERROR(IF(LEFT(A6,3)="LCP",(VLOOKUP(Capex!A62,BASE_558!D:R,11,)/1000),SUMIFS('BASE ICP_PO_SC'!F:F,'BASE ICP_PO_SC'!A:A,Capex!A62,'BASE ICP_PO_SC'!E:E,"")/1000),"")</f>
        <v>0</v>
      </c>
      <c r="FG6" s="328" t="str">
        <f>IFERROR(VLOOKUP(A6,BASE_558!D:R,13,FALSE)/1000,"")</f>
        <v/>
      </c>
      <c r="FH6" s="328" t="str">
        <f>IFERROR(VLOOKUP(A6,BASE_558!D:R,15,FALSE)/1000,"")</f>
        <v/>
      </c>
      <c r="FI6" s="547">
        <f t="shared" si="33"/>
        <v>-1.1137399999998934</v>
      </c>
      <c r="FJ6" s="570">
        <f t="shared" si="34"/>
        <v>458.48100000000022</v>
      </c>
      <c r="FK6" s="540">
        <f t="shared" si="35"/>
        <v>63.672000000000025</v>
      </c>
    </row>
    <row r="7" spans="1:167" s="23" customFormat="1" ht="24" customHeight="1">
      <c r="A7" s="349" t="s">
        <v>2239</v>
      </c>
      <c r="B7" s="404"/>
      <c r="C7" s="404" t="s">
        <v>602</v>
      </c>
      <c r="D7" s="338" t="s">
        <v>7146</v>
      </c>
      <c r="E7" s="378">
        <v>6378882</v>
      </c>
      <c r="F7" s="5"/>
      <c r="G7" s="310" t="s">
        <v>9</v>
      </c>
      <c r="H7" s="338" t="s">
        <v>6</v>
      </c>
      <c r="I7" s="338"/>
      <c r="J7" s="338">
        <v>2022</v>
      </c>
      <c r="K7" s="351">
        <v>44884</v>
      </c>
      <c r="L7" s="317"/>
      <c r="M7" s="409"/>
      <c r="N7" s="317">
        <f t="shared" si="7"/>
        <v>45796</v>
      </c>
      <c r="O7" s="317">
        <f t="shared" si="8"/>
        <v>46161</v>
      </c>
      <c r="P7" s="418" t="str">
        <f t="shared" si="9"/>
        <v>NÃO</v>
      </c>
      <c r="Q7" s="418" t="str">
        <f t="shared" si="9"/>
        <v>NÃO</v>
      </c>
      <c r="R7" s="418" t="str">
        <f t="shared" si="9"/>
        <v>NÃO</v>
      </c>
      <c r="S7" s="418" t="str">
        <f t="shared" si="9"/>
        <v>NÃO</v>
      </c>
      <c r="T7" s="418" t="str">
        <f t="shared" si="9"/>
        <v>SIM</v>
      </c>
      <c r="U7" s="418" t="str">
        <f t="shared" si="9"/>
        <v>SIM</v>
      </c>
      <c r="V7" s="418" t="str">
        <f t="shared" si="9"/>
        <v>SIM</v>
      </c>
      <c r="W7" s="418" t="str">
        <f t="shared" si="9"/>
        <v>SIM</v>
      </c>
      <c r="X7" s="418" t="str">
        <f t="shared" si="9"/>
        <v>SIM</v>
      </c>
      <c r="Y7" s="418" t="str">
        <f t="shared" si="9"/>
        <v>SIM</v>
      </c>
      <c r="Z7" s="418" t="str">
        <f t="shared" si="9"/>
        <v>SIM</v>
      </c>
      <c r="AA7" s="418" t="str">
        <f t="shared" si="9"/>
        <v>SIM</v>
      </c>
      <c r="AB7" s="317"/>
      <c r="AC7" s="208" t="s">
        <v>3932</v>
      </c>
      <c r="AD7" s="310" t="s">
        <v>5</v>
      </c>
      <c r="AE7" s="310" t="s">
        <v>951</v>
      </c>
      <c r="AF7" s="310" t="s">
        <v>6985</v>
      </c>
      <c r="AG7" s="458" t="s">
        <v>2238</v>
      </c>
      <c r="AH7" s="310" t="s">
        <v>2832</v>
      </c>
      <c r="AI7" s="533" t="s">
        <v>186</v>
      </c>
      <c r="AJ7" s="6" t="s">
        <v>6786</v>
      </c>
      <c r="AK7" s="6" t="str">
        <f t="shared" si="10"/>
        <v>IGUAL</v>
      </c>
      <c r="AL7" s="151" t="str">
        <f>IFERROR(IF(LEFT(A7,3)="LCP",VLOOKUP(A7,STATUS_SAP_LCP!B:C,2,FALSE),VLOOKUP(A7,STATUS_SAP_ICP!B:C,2,FALSE)),"NO BUDGET")</f>
        <v>REL  BUDG AUC   //  APPR BREL INPL</v>
      </c>
      <c r="AM7" s="6" t="str">
        <f t="shared" si="11"/>
        <v xml:space="preserve">REL </v>
      </c>
      <c r="AN7" s="282" t="s">
        <v>19037</v>
      </c>
      <c r="AO7" s="557"/>
      <c r="AP7" s="499" t="s">
        <v>10767</v>
      </c>
      <c r="AQ7" s="465">
        <v>45809</v>
      </c>
      <c r="AR7" s="460"/>
      <c r="AS7" s="56"/>
      <c r="AT7" s="185"/>
      <c r="AU7" s="318">
        <v>0</v>
      </c>
      <c r="AV7" s="223">
        <v>0</v>
      </c>
      <c r="AW7" s="318">
        <v>126.10353000000001</v>
      </c>
      <c r="AX7" s="223">
        <v>16516.344689999998</v>
      </c>
      <c r="AY7" s="318">
        <f t="shared" si="12"/>
        <v>2072.6625878863242</v>
      </c>
      <c r="AZ7" s="223"/>
      <c r="BA7" s="318"/>
      <c r="BB7" s="519">
        <f t="shared" si="13"/>
        <v>1475.0341334666673</v>
      </c>
      <c r="BC7" s="518">
        <v>704.64330908333352</v>
      </c>
      <c r="BD7" s="518">
        <v>571.68370978333337</v>
      </c>
      <c r="BE7" s="518">
        <v>130.58638145</v>
      </c>
      <c r="BF7" s="518">
        <v>62.340733150000005</v>
      </c>
      <c r="BG7" s="518">
        <v>2.89</v>
      </c>
      <c r="BH7" s="518">
        <v>2.89</v>
      </c>
      <c r="BI7" s="518">
        <v>0</v>
      </c>
      <c r="BJ7" s="518">
        <v>0</v>
      </c>
      <c r="BK7" s="518">
        <v>0</v>
      </c>
      <c r="BL7" s="518">
        <v>0</v>
      </c>
      <c r="BM7" s="518">
        <v>0</v>
      </c>
      <c r="BN7" s="518">
        <v>0</v>
      </c>
      <c r="BO7" s="367">
        <f t="shared" si="14"/>
        <v>2072.6625878863242</v>
      </c>
      <c r="BP7" s="421">
        <v>704.64330908333352</v>
      </c>
      <c r="BQ7" s="422">
        <v>-4527.1537499999995</v>
      </c>
      <c r="BR7" s="423">
        <f>IFERROR(IF(LEFT($A7,3)="Lcp",SUMIFS('BASE-LCP'!$K:$K,'BASE-LCP'!$A:$A,Capex!$A301,'BASE-LCP'!$B:$B,"janeiro")/1000,IF(LEFT($A7,3)="icp",SUMIFS('BASE-ICP'!$K:$K,'BASE-ICP'!$A:$A,Capex!$A301,'BASE-ICP'!$B:$B,"janeiro")/1000,"")),"")</f>
        <v>0</v>
      </c>
      <c r="BS7" s="427">
        <v>-4527.1537499999995</v>
      </c>
      <c r="BT7" s="372">
        <v>4875</v>
      </c>
      <c r="BU7" s="422">
        <v>3466.6930600000001</v>
      </c>
      <c r="BV7" s="423">
        <f>IFERROR(IF(LEFT($A7,3)="Lcp",SUMIFS('BASE-LCP'!$K:$K,'BASE-LCP'!$A:$A,Capex!$A301,'BASE-LCP'!$B:$B,"fevereiro")/1000,IF(LEFT($A7,3)="icp",SUMIFS('BASE-ICP'!$K:$K,'BASE-ICP'!$A:$A,Capex!$A301,'BASE-ICP'!$B:$B,"fevereiro")/1000,"")),"")</f>
        <v>0</v>
      </c>
      <c r="BW7" s="427">
        <v>3466.6930600000001</v>
      </c>
      <c r="BX7" s="372">
        <v>450</v>
      </c>
      <c r="BY7" s="422">
        <v>339.53147999999999</v>
      </c>
      <c r="BZ7" s="423">
        <f>IFERROR(IF(LEFT($A7,3)="Lcp",SUMIFS('BASE-LCP'!$K:$K,'BASE-LCP'!$A:$A,Capex!$A301,'BASE-LCP'!$B:$B,"março")/1000,IF(LEFT($A7,3)="icp",SUMIFS('BASE-ICP'!$K:$K,'BASE-ICP'!$A:$A,Capex!$A301,'BASE-ICP'!$B:$B,"março")/1000,"")),"")</f>
        <v>0</v>
      </c>
      <c r="CA7" s="427">
        <v>339.53148000000022</v>
      </c>
      <c r="CB7" s="372">
        <v>2339.5277963099884</v>
      </c>
      <c r="CC7" s="422">
        <v>391.51580000000001</v>
      </c>
      <c r="CD7" s="423">
        <f>IFERROR(IF(LEFT($A7,3)="Lcp",SUMIFS('BASE-LCP'!$K:$K,'BASE-LCP'!$A:$A,Capex!$A301,'BASE-LCP'!$B:$B,"abril")/1000,IF(LEFT($A7,3)="icp",SUMIFS('BASE-ICP'!$K:$K,'BASE-ICP'!$A:$A,Capex!$A301,'BASE-ICP'!$B:$B,"abril")/1000,"")),"")</f>
        <v>0</v>
      </c>
      <c r="CE7" s="427">
        <v>391.51579999999996</v>
      </c>
      <c r="CF7" s="372">
        <v>297.69583481349912</v>
      </c>
      <c r="CG7" s="422">
        <v>317.93107999999995</v>
      </c>
      <c r="CH7" s="423">
        <v>317.93108000000001</v>
      </c>
      <c r="CI7" s="427">
        <v>317.93108000000001</v>
      </c>
      <c r="CJ7" s="372">
        <v>266.42984014209594</v>
      </c>
      <c r="CK7" s="419">
        <v>190.28879000000001</v>
      </c>
      <c r="CL7" s="423">
        <f>IFERROR(IF(LEFT($A7,3)="Lcp",SUMIFS('BASE-LCP'!$K:$K,'BASE-LCP'!$A:$A,Capex!$A301,'BASE-LCP'!$B:$B,"junho")/1000,IF(LEFT($A7,3)="icp",SUMIFS('BASE-ICP'!$K:$K,'BASE-ICP'!$A:$A,Capex!$A301,'BASE-ICP'!$B:$B,"junho")/1000,"")),"")</f>
        <v>0</v>
      </c>
      <c r="CM7" s="427">
        <v>190.28878999999995</v>
      </c>
      <c r="CN7" s="372"/>
      <c r="CO7" s="419"/>
      <c r="CP7" s="423">
        <f>IFERROR(IF(LEFT($A7,3)="Lcp",SUMIFS('BASE-LCP'!$K:$K,'BASE-LCP'!$A:$A,Capex!$A301,'BASE-LCP'!$B:$B,"julho")/1000,IF(LEFT($A7,3)="icp",SUMIFS('BASE-ICP'!$K:$K,'BASE-ICP'!$A:$A,Capex!$A301,'BASE-ICP'!$B:$B,"julho")/1000,"")),"")</f>
        <v>0</v>
      </c>
      <c r="CQ7" s="427">
        <f>(1387000/5.63)/1000</f>
        <v>246.35879218472471</v>
      </c>
      <c r="CR7" s="372"/>
      <c r="CS7" s="419"/>
      <c r="CT7" s="423">
        <f>IFERROR(IF(LEFT($A7,3)="Lcp",SUMIFS('BASE-LCP'!$K:$K,'BASE-LCP'!$A:$A,Capex!$A301,'BASE-LCP'!$B:$B,"agosto")/1000,IF(LEFT($A7,3)="icp",SUMIFS('BASE-ICP'!$K:$K,'BASE-ICP'!$A:$A,Capex!$A301,'BASE-ICP'!$B:$B,"agosto")/1000,"")),"")</f>
        <v>0</v>
      </c>
      <c r="CU7" s="427">
        <f>(3580000/5.63)/1000-250+7</f>
        <v>392.87921847246889</v>
      </c>
      <c r="CV7" s="372"/>
      <c r="CW7" s="419"/>
      <c r="CX7" s="423">
        <f>IFERROR(IF(LEFT($A7,3)="Lcp",SUMIFS('BASE-LCP'!$K:$K,'BASE-LCP'!$A:$A,Capex!$A301,'BASE-LCP'!$B:$B,"setembro")/1000,IF(LEFT($A7,3)="icp",SUMIFS('BASE-ICP'!$K:$K,'BASE-ICP'!$A:$A,Capex!$A301,'BASE-ICP'!$B:$B,"setembro")/1000,"")),"")</f>
        <v>0</v>
      </c>
      <c r="CY7" s="427">
        <f>(3184000/5.63)/1000-250</f>
        <v>315.54174067495569</v>
      </c>
      <c r="CZ7" s="372"/>
      <c r="DA7" s="419"/>
      <c r="DB7" s="423">
        <f>IFERROR(IF(LEFT($A7,3)="Lcp",SUMIFS('BASE-LCP'!$K:$K,'BASE-LCP'!$A:$A,Capex!$A301,'BASE-LCP'!$B:$B,"outubro")/1000,IF(LEFT($A7,3)="icp",SUMIFS('BASE-ICP'!$K:$K,'BASE-ICP'!$A:$A,Capex!$A301,'BASE-ICP'!$B:$B,"outubro")/1000,"")),"")</f>
        <v>0</v>
      </c>
      <c r="DC7" s="427">
        <f>(3187000/5.63)/1000</f>
        <v>566.0746003552398</v>
      </c>
      <c r="DD7" s="372"/>
      <c r="DE7" s="419"/>
      <c r="DF7" s="423">
        <f>IFERROR(IF(LEFT($A7,3)="Lcp",SUMIFS('BASE-LCP'!$K:$K,'BASE-LCP'!$A:$A,Capex!$A301,'BASE-LCP'!$B:$B,"novembro")/1000,IF(LEFT($A7,3)="icp",SUMIFS('BASE-ICP'!$K:$K,'BASE-ICP'!$A:$A,Capex!$A301,'BASE-ICP'!$B:$B,"novembro")/1000,"")),"")</f>
        <v>0</v>
      </c>
      <c r="DG7" s="427">
        <f>(1800000/5.63)/1000</f>
        <v>319.71580817051512</v>
      </c>
      <c r="DH7" s="372"/>
      <c r="DI7" s="419"/>
      <c r="DJ7" s="423">
        <f>IFERROR(IF(LEFT($A7,3)="Lcp",SUMIFS('BASE-LCP'!$K:$K,'BASE-LCP'!$A:$A,Capex!$A301,'BASE-LCP'!$B:$B,"dezembro")/1000,IF(LEFT($A7,3)="icp",SUMIFS('BASE-ICP'!$K:$K,'BASE-ICP'!$A:$A,Capex!$A301,'BASE-ICP'!$B:$B,"dezembro")/1000,"")),"")</f>
        <v>0</v>
      </c>
      <c r="DK7" s="427">
        <f>(300000/5.63)/1000</f>
        <v>53.285968028419184</v>
      </c>
      <c r="DL7" s="452">
        <f t="shared" si="15"/>
        <v>0</v>
      </c>
      <c r="DM7" s="374"/>
      <c r="DN7" s="374">
        <v>0</v>
      </c>
      <c r="DO7" s="374"/>
      <c r="DP7" s="374"/>
      <c r="DQ7" s="374"/>
      <c r="DR7" s="374"/>
      <c r="DS7" s="374"/>
      <c r="DT7" s="374"/>
      <c r="DU7" s="374"/>
      <c r="DV7" s="374"/>
      <c r="DW7" s="374"/>
      <c r="DX7" s="374"/>
      <c r="DY7" s="450"/>
      <c r="DZ7" s="374">
        <f t="shared" si="16"/>
        <v>0</v>
      </c>
      <c r="EA7" s="216">
        <f t="shared" si="17"/>
        <v>-76.141050142095992</v>
      </c>
      <c r="EB7" s="320">
        <f t="shared" si="18"/>
        <v>-190.28878999999995</v>
      </c>
      <c r="EC7" s="241">
        <f t="shared" si="19"/>
        <v>-720.92920999999922</v>
      </c>
      <c r="ED7" s="241">
        <f t="shared" si="20"/>
        <v>899.73566999999991</v>
      </c>
      <c r="EE7" s="241">
        <f t="shared" si="21"/>
        <v>954.77975133214932</v>
      </c>
      <c r="EF7" s="241">
        <f t="shared" si="22"/>
        <v>939.07637655417409</v>
      </c>
      <c r="EG7" s="346">
        <f t="shared" si="23"/>
        <v>597.62845441965692</v>
      </c>
      <c r="EH7" s="445">
        <f t="shared" si="24"/>
        <v>297.69583481349912</v>
      </c>
      <c r="EI7" s="447">
        <f t="shared" si="25"/>
        <v>317.93108000000001</v>
      </c>
      <c r="EJ7" s="364">
        <f t="shared" si="26"/>
        <v>-11.482329999999251</v>
      </c>
      <c r="EK7" s="365">
        <f t="shared" si="27"/>
        <v>2084.1449178863236</v>
      </c>
      <c r="EL7" s="529">
        <f t="shared" si="28"/>
        <v>2073.2291531261112</v>
      </c>
      <c r="EM7" s="530">
        <v>-4527.1537499999995</v>
      </c>
      <c r="EN7" s="530">
        <v>3466.6930600000001</v>
      </c>
      <c r="EO7" s="530">
        <v>339.53148000000022</v>
      </c>
      <c r="EP7" s="530">
        <v>391.51579999999996</v>
      </c>
      <c r="EQ7" s="530">
        <v>317.93108000000001</v>
      </c>
      <c r="ER7" s="530">
        <v>266.42984014209594</v>
      </c>
      <c r="ES7" s="530">
        <v>497.28016518650094</v>
      </c>
      <c r="ET7" s="530">
        <v>330.25352220248669</v>
      </c>
      <c r="EU7" s="530">
        <v>363.75565364120786</v>
      </c>
      <c r="EV7" s="530">
        <v>340.13913499111902</v>
      </c>
      <c r="EW7" s="530">
        <v>233.56719893428067</v>
      </c>
      <c r="EX7" s="530">
        <v>53.285968028419184</v>
      </c>
      <c r="EY7" s="530">
        <f t="shared" si="29"/>
        <v>-720.92920999999922</v>
      </c>
      <c r="EZ7" s="530">
        <f t="shared" si="30"/>
        <v>975.87672014209591</v>
      </c>
      <c r="FA7" s="530">
        <f t="shared" si="31"/>
        <v>1191.2893410301954</v>
      </c>
      <c r="FB7" s="530">
        <f t="shared" si="32"/>
        <v>626.99230195381892</v>
      </c>
      <c r="FC7" s="384">
        <f>IFERROR(VLOOKUP(Capex!A301,BASE_558!D:R,8,FALSE)/1000,"")</f>
        <v>368.5</v>
      </c>
      <c r="FD7" s="328">
        <f>IFERROR(VLOOKUP(Capex!A301,BASE_558!D:R,9,)/1000,"")</f>
        <v>261.94049999999999</v>
      </c>
      <c r="FE7" s="328">
        <f>IFERROR(IF(LEFT(A7,3)="LCP",(VLOOKUP(Capex!A301,BASE_558!D:R,10,)/1000),SUMIFS('BASE ICP_PO_SC'!F:F,'BASE ICP_PO_SC'!A:A,Capex!A301,'BASE ICP_PO_SC'!E:E,"&lt;&gt;")/1000),"")</f>
        <v>0</v>
      </c>
      <c r="FF7" s="328">
        <f>IFERROR(IF(LEFT(A7,3)="LCP",(VLOOKUP(Capex!A301,BASE_558!D:R,11,)/1000),SUMIFS('BASE ICP_PO_SC'!F:F,'BASE ICP_PO_SC'!A:A,Capex!A301,'BASE ICP_PO_SC'!E:E,"")/1000),"")</f>
        <v>0</v>
      </c>
      <c r="FG7" s="328">
        <f>IFERROR(VLOOKUP(A7,BASE_558!D:R,13,FALSE)/1000,"")</f>
        <v>18843.094799999999</v>
      </c>
      <c r="FH7" s="328">
        <f>IFERROR(VLOOKUP(A7,BASE_558!D:R,15,FALSE)/1000,"")</f>
        <v>5491.26721</v>
      </c>
      <c r="FI7" s="547">
        <f t="shared" si="33"/>
        <v>76.141050142095992</v>
      </c>
      <c r="FJ7" s="570">
        <f t="shared" si="34"/>
        <v>236.50958969804606</v>
      </c>
      <c r="FK7" s="570">
        <f t="shared" si="35"/>
        <v>-312.08407460035517</v>
      </c>
    </row>
    <row r="8" spans="1:167" s="23" customFormat="1" ht="24" customHeight="1">
      <c r="A8" s="310" t="s">
        <v>6777</v>
      </c>
      <c r="B8" s="404"/>
      <c r="C8" s="404"/>
      <c r="D8" s="338"/>
      <c r="E8" s="378">
        <v>9306498</v>
      </c>
      <c r="F8" s="5"/>
      <c r="G8" s="310" t="s">
        <v>8</v>
      </c>
      <c r="H8" s="338" t="s">
        <v>6</v>
      </c>
      <c r="I8" s="338"/>
      <c r="J8" s="338">
        <v>2024</v>
      </c>
      <c r="K8" s="316">
        <v>45621</v>
      </c>
      <c r="L8" s="316"/>
      <c r="M8" s="409"/>
      <c r="N8" s="317">
        <f t="shared" si="7"/>
        <v>46533</v>
      </c>
      <c r="O8" s="317">
        <f t="shared" si="8"/>
        <v>46898</v>
      </c>
      <c r="P8" s="418" t="str">
        <f t="shared" si="9"/>
        <v>NÃO</v>
      </c>
      <c r="Q8" s="418" t="str">
        <f t="shared" si="9"/>
        <v>NÃO</v>
      </c>
      <c r="R8" s="418" t="str">
        <f t="shared" si="9"/>
        <v>NÃO</v>
      </c>
      <c r="S8" s="418" t="str">
        <f t="shared" si="9"/>
        <v>NÃO</v>
      </c>
      <c r="T8" s="418" t="str">
        <f t="shared" si="9"/>
        <v>NÃO</v>
      </c>
      <c r="U8" s="418" t="str">
        <f t="shared" si="9"/>
        <v>NÃO</v>
      </c>
      <c r="V8" s="418" t="str">
        <f t="shared" si="9"/>
        <v>NÃO</v>
      </c>
      <c r="W8" s="418" t="str">
        <f t="shared" si="9"/>
        <v>NÃO</v>
      </c>
      <c r="X8" s="418" t="str">
        <f t="shared" si="9"/>
        <v>NÃO</v>
      </c>
      <c r="Y8" s="418" t="str">
        <f t="shared" si="9"/>
        <v>NÃO</v>
      </c>
      <c r="Z8" s="418" t="str">
        <f t="shared" si="9"/>
        <v>NÃO</v>
      </c>
      <c r="AA8" s="418" t="str">
        <f t="shared" si="9"/>
        <v>NÃO</v>
      </c>
      <c r="AB8" s="317"/>
      <c r="AC8" s="309" t="s">
        <v>3930</v>
      </c>
      <c r="AD8" s="310"/>
      <c r="AE8" s="310"/>
      <c r="AF8" s="310" t="s">
        <v>6985</v>
      </c>
      <c r="AG8" s="310" t="s">
        <v>2485</v>
      </c>
      <c r="AH8" s="310" t="s">
        <v>3929</v>
      </c>
      <c r="AI8" s="381" t="s">
        <v>188</v>
      </c>
      <c r="AJ8" s="6" t="s">
        <v>6786</v>
      </c>
      <c r="AK8" s="6" t="str">
        <f t="shared" si="10"/>
        <v>IGUAL</v>
      </c>
      <c r="AL8" s="151" t="str">
        <f>IFERROR(IF(LEFT(A8,3)="LCP",VLOOKUP(A8,STATUS_SAP_LCP!B:C,2,FALSE),VLOOKUP(A8,STATUS_SAP_ICP!B:C,2,FALSE)),"NO BUDGET")</f>
        <v>REL  BUDG AUC  AVAC  //  APPR BREL EXPL</v>
      </c>
      <c r="AM8" s="6" t="str">
        <f t="shared" si="11"/>
        <v xml:space="preserve">REL </v>
      </c>
      <c r="AN8" s="282" t="s">
        <v>17631</v>
      </c>
      <c r="AO8" s="557"/>
      <c r="AP8" s="499" t="s">
        <v>9616</v>
      </c>
      <c r="AQ8" s="465">
        <v>46357</v>
      </c>
      <c r="AR8" s="460"/>
      <c r="AS8" s="56"/>
      <c r="AT8" s="185"/>
      <c r="AU8" s="318"/>
      <c r="AV8" s="223"/>
      <c r="AW8" s="318"/>
      <c r="AX8" s="223">
        <v>0</v>
      </c>
      <c r="AY8" s="318">
        <f t="shared" si="12"/>
        <v>758.40909999999997</v>
      </c>
      <c r="AZ8" s="223"/>
      <c r="BA8" s="318"/>
      <c r="BB8" s="519">
        <f t="shared" si="13"/>
        <v>725</v>
      </c>
      <c r="BC8" s="518">
        <v>0</v>
      </c>
      <c r="BD8" s="518">
        <v>0</v>
      </c>
      <c r="BE8" s="518">
        <v>145</v>
      </c>
      <c r="BF8" s="518">
        <v>0</v>
      </c>
      <c r="BG8" s="518">
        <v>0</v>
      </c>
      <c r="BH8" s="518">
        <v>0</v>
      </c>
      <c r="BI8" s="518">
        <v>0</v>
      </c>
      <c r="BJ8" s="518">
        <v>0</v>
      </c>
      <c r="BK8" s="518">
        <v>0</v>
      </c>
      <c r="BL8" s="518">
        <v>0</v>
      </c>
      <c r="BM8" s="518">
        <v>580</v>
      </c>
      <c r="BN8" s="518">
        <v>0</v>
      </c>
      <c r="BO8" s="367">
        <f t="shared" si="14"/>
        <v>758.40909999999997</v>
      </c>
      <c r="BP8" s="421">
        <v>0</v>
      </c>
      <c r="BQ8" s="422"/>
      <c r="BR8" s="423">
        <f>IFERROR(IF(LEFT($A8,3)="Lcp",SUMIFS('BASE-LCP'!$K:$K,'BASE-LCP'!$A:$A,Capex!$A381,'BASE-LCP'!$B:$B,"janeiro")/1000,IF(LEFT($A8,3)="icp",SUMIFS('BASE-ICP'!$K:$K,'BASE-ICP'!$A:$A,Capex!$A381,'BASE-ICP'!$B:$B,"janeiro")/1000,"")),"")</f>
        <v>107.92828000000002</v>
      </c>
      <c r="BS8" s="427">
        <v>0</v>
      </c>
      <c r="BT8" s="372">
        <v>0</v>
      </c>
      <c r="BU8" s="422"/>
      <c r="BV8" s="423">
        <f>IFERROR(IF(LEFT($A8,3)="Lcp",SUMIFS('BASE-LCP'!$K:$K,'BASE-LCP'!$A:$A,Capex!$A381,'BASE-LCP'!$B:$B,"fevereiro")/1000,IF(LEFT($A8,3)="icp",SUMIFS('BASE-ICP'!$K:$K,'BASE-ICP'!$A:$A,Capex!$A381,'BASE-ICP'!$B:$B,"fevereiro")/1000,"")),"")</f>
        <v>9.9213500000000003</v>
      </c>
      <c r="BW8" s="427">
        <v>0</v>
      </c>
      <c r="BX8" s="372">
        <v>0</v>
      </c>
      <c r="BY8" s="422"/>
      <c r="BZ8" s="423">
        <f>IFERROR(IF(LEFT($A8,3)="Lcp",SUMIFS('BASE-LCP'!$K:$K,'BASE-LCP'!$A:$A,Capex!$A381,'BASE-LCP'!$B:$B,"março")/1000,IF(LEFT($A8,3)="icp",SUMIFS('BASE-ICP'!$K:$K,'BASE-ICP'!$A:$A,Capex!$A381,'BASE-ICP'!$B:$B,"março")/1000,"")),"")</f>
        <v>16.937100000000001</v>
      </c>
      <c r="CA8" s="427">
        <v>0</v>
      </c>
      <c r="CB8" s="372">
        <v>0</v>
      </c>
      <c r="CC8" s="422"/>
      <c r="CD8" s="423">
        <f>IFERROR(IF(LEFT($A8,3)="Lcp",SUMIFS('BASE-LCP'!$K:$K,'BASE-LCP'!$A:$A,Capex!$A381,'BASE-LCP'!$B:$B,"abril")/1000,IF(LEFT($A8,3)="icp",SUMIFS('BASE-ICP'!$K:$K,'BASE-ICP'!$A:$A,Capex!$A381,'BASE-ICP'!$B:$B,"abril")/1000,"")),"")</f>
        <v>14.618729999999999</v>
      </c>
      <c r="CE8" s="427">
        <v>0</v>
      </c>
      <c r="CF8" s="372">
        <v>0</v>
      </c>
      <c r="CG8" s="422">
        <v>3.9939299999999998</v>
      </c>
      <c r="CH8" s="423">
        <v>0</v>
      </c>
      <c r="CI8" s="427">
        <v>3.9939299999999998</v>
      </c>
      <c r="CJ8" s="372">
        <v>0</v>
      </c>
      <c r="CK8" s="419">
        <v>167.81517000000002</v>
      </c>
      <c r="CL8" s="423">
        <f>IFERROR(IF(LEFT($A8,3)="Lcp",SUMIFS('BASE-LCP'!$K:$K,'BASE-LCP'!$A:$A,Capex!$A381,'BASE-LCP'!$B:$B,"junho")/1000,IF(LEFT($A8,3)="icp",SUMIFS('BASE-ICP'!$K:$K,'BASE-ICP'!$A:$A,Capex!$A381,'BASE-ICP'!$B:$B,"junho")/1000,"")),"")</f>
        <v>11.64002</v>
      </c>
      <c r="CM8" s="427">
        <v>167.81516999999999</v>
      </c>
      <c r="CN8" s="372"/>
      <c r="CO8" s="419"/>
      <c r="CP8" s="423">
        <f>IFERROR(IF(LEFT($A8,3)="Lcp",SUMIFS('BASE-LCP'!$K:$K,'BASE-LCP'!$A:$A,Capex!$A381,'BASE-LCP'!$B:$B,"julho")/1000,IF(LEFT($A8,3)="icp",SUMIFS('BASE-ICP'!$K:$K,'BASE-ICP'!$A:$A,Capex!$A381,'BASE-ICP'!$B:$B,"julho")/1000,"")),"")</f>
        <v>0</v>
      </c>
      <c r="CQ8" s="427">
        <v>0</v>
      </c>
      <c r="CR8" s="372"/>
      <c r="CS8" s="419"/>
      <c r="CT8" s="423">
        <f>IFERROR(IF(LEFT($A8,3)="Lcp",SUMIFS('BASE-LCP'!$K:$K,'BASE-LCP'!$A:$A,Capex!$A381,'BASE-LCP'!$B:$B,"agosto")/1000,IF(LEFT($A8,3)="icp",SUMIFS('BASE-ICP'!$K:$K,'BASE-ICP'!$A:$A,Capex!$A381,'BASE-ICP'!$B:$B,"agosto")/1000,"")),"")</f>
        <v>0</v>
      </c>
      <c r="CU8" s="427">
        <v>0</v>
      </c>
      <c r="CV8" s="372"/>
      <c r="CW8" s="419"/>
      <c r="CX8" s="423">
        <f>IFERROR(IF(LEFT($A8,3)="Lcp",SUMIFS('BASE-LCP'!$K:$K,'BASE-LCP'!$A:$A,Capex!$A381,'BASE-LCP'!$B:$B,"setembro")/1000,IF(LEFT($A8,3)="icp",SUMIFS('BASE-ICP'!$K:$K,'BASE-ICP'!$A:$A,Capex!$A381,'BASE-ICP'!$B:$B,"setembro")/1000,"")),"")</f>
        <v>0</v>
      </c>
      <c r="CY8" s="427"/>
      <c r="CZ8" s="372"/>
      <c r="DA8" s="419"/>
      <c r="DB8" s="423">
        <f>IFERROR(IF(LEFT($A8,3)="Lcp",SUMIFS('BASE-LCP'!$K:$K,'BASE-LCP'!$A:$A,Capex!$A381,'BASE-LCP'!$B:$B,"outubro")/1000,IF(LEFT($A8,3)="icp",SUMIFS('BASE-ICP'!$K:$K,'BASE-ICP'!$A:$A,Capex!$A381,'BASE-ICP'!$B:$B,"outubro")/1000,"")),"")</f>
        <v>0</v>
      </c>
      <c r="DC8" s="427">
        <f>625-175</f>
        <v>450</v>
      </c>
      <c r="DD8" s="372"/>
      <c r="DE8" s="419"/>
      <c r="DF8" s="423">
        <f>IFERROR(IF(LEFT($A8,3)="Lcp",SUMIFS('BASE-LCP'!$K:$K,'BASE-LCP'!$A:$A,Capex!$A381,'BASE-LCP'!$B:$B,"novembro")/1000,IF(LEFT($A8,3)="icp",SUMIFS('BASE-ICP'!$K:$K,'BASE-ICP'!$A:$A,Capex!$A381,'BASE-ICP'!$B:$B,"novembro")/1000,"")),"")</f>
        <v>0</v>
      </c>
      <c r="DG8" s="427">
        <v>136.6</v>
      </c>
      <c r="DH8" s="372"/>
      <c r="DI8" s="419"/>
      <c r="DJ8" s="423">
        <f>IFERROR(IF(LEFT($A8,3)="Lcp",SUMIFS('BASE-LCP'!$K:$K,'BASE-LCP'!$A:$A,Capex!$A381,'BASE-LCP'!$B:$B,"dezembro")/1000,IF(LEFT($A8,3)="icp",SUMIFS('BASE-ICP'!$K:$K,'BASE-ICP'!$A:$A,Capex!$A381,'BASE-ICP'!$B:$B,"dezembro")/1000,"")),"")</f>
        <v>0</v>
      </c>
      <c r="DK8" s="427">
        <v>0</v>
      </c>
      <c r="DL8" s="452">
        <f t="shared" si="15"/>
        <v>705</v>
      </c>
      <c r="DM8" s="374"/>
      <c r="DN8" s="374">
        <v>705</v>
      </c>
      <c r="DO8" s="374"/>
      <c r="DP8" s="374"/>
      <c r="DQ8" s="374"/>
      <c r="DR8" s="374"/>
      <c r="DS8" s="374"/>
      <c r="DT8" s="374"/>
      <c r="DU8" s="374"/>
      <c r="DV8" s="374"/>
      <c r="DW8" s="374"/>
      <c r="DX8" s="374"/>
      <c r="DY8" s="450"/>
      <c r="DZ8" s="374">
        <f t="shared" si="16"/>
        <v>705</v>
      </c>
      <c r="EA8" s="216">
        <f t="shared" si="17"/>
        <v>167.81516999999999</v>
      </c>
      <c r="EB8" s="320">
        <f t="shared" si="18"/>
        <v>-156.17515</v>
      </c>
      <c r="EC8" s="241">
        <f t="shared" si="19"/>
        <v>0</v>
      </c>
      <c r="ED8" s="241">
        <f t="shared" si="20"/>
        <v>171.8091</v>
      </c>
      <c r="EE8" s="241">
        <f t="shared" si="21"/>
        <v>0</v>
      </c>
      <c r="EF8" s="241">
        <f t="shared" si="22"/>
        <v>586.6</v>
      </c>
      <c r="EG8" s="346">
        <f t="shared" si="23"/>
        <v>33.409099999999967</v>
      </c>
      <c r="EH8" s="445">
        <f t="shared" si="24"/>
        <v>0</v>
      </c>
      <c r="EI8" s="447">
        <f t="shared" si="25"/>
        <v>0</v>
      </c>
      <c r="EJ8" s="364">
        <f t="shared" si="26"/>
        <v>15.633949999999999</v>
      </c>
      <c r="EK8" s="365">
        <f t="shared" si="27"/>
        <v>742.77514999999994</v>
      </c>
      <c r="EL8" s="529">
        <f t="shared" si="28"/>
        <v>765.59393</v>
      </c>
      <c r="EM8" s="530">
        <v>0</v>
      </c>
      <c r="EN8" s="530">
        <v>0</v>
      </c>
      <c r="EO8" s="530">
        <v>0</v>
      </c>
      <c r="EP8" s="530">
        <v>0</v>
      </c>
      <c r="EQ8" s="530">
        <v>3.9939299999999998</v>
      </c>
      <c r="ER8" s="530">
        <v>0</v>
      </c>
      <c r="ES8" s="530">
        <v>175</v>
      </c>
      <c r="ET8" s="530">
        <v>0</v>
      </c>
      <c r="EU8" s="530">
        <v>0</v>
      </c>
      <c r="EV8" s="530">
        <v>450</v>
      </c>
      <c r="EW8" s="530">
        <v>136.6</v>
      </c>
      <c r="EX8" s="530">
        <v>0</v>
      </c>
      <c r="EY8" s="530">
        <f t="shared" si="29"/>
        <v>0</v>
      </c>
      <c r="EZ8" s="530">
        <f t="shared" si="30"/>
        <v>3.9939299999999998</v>
      </c>
      <c r="FA8" s="530">
        <f t="shared" si="31"/>
        <v>175</v>
      </c>
      <c r="FB8" s="530">
        <f t="shared" si="32"/>
        <v>586.6</v>
      </c>
      <c r="FC8" s="384">
        <f>IFERROR(VLOOKUP(Capex!A381,BASE_558!D:R,8,FALSE)/1000,"")</f>
        <v>900</v>
      </c>
      <c r="FD8" s="328">
        <f>IFERROR(VLOOKUP(Capex!A381,BASE_558!D:R,9,)/1000,"")</f>
        <v>428.32125000000002</v>
      </c>
      <c r="FE8" s="328">
        <f>IFERROR(IF(LEFT(A8,3)="LCP",(VLOOKUP(Capex!A381,BASE_558!D:R,10,)/1000),SUMIFS('BASE ICP_PO_SC'!F:F,'BASE ICP_PO_SC'!A:A,Capex!A381,'BASE ICP_PO_SC'!E:E,"&lt;&gt;")/1000),"")</f>
        <v>6.7318599999999993</v>
      </c>
      <c r="FF8" s="328">
        <f>IFERROR(IF(LEFT(A8,3)="LCP",(VLOOKUP(Capex!A381,BASE_558!D:R,11,)/1000),SUMIFS('BASE ICP_PO_SC'!F:F,'BASE ICP_PO_SC'!A:A,Capex!A381,'BASE ICP_PO_SC'!E:E,"")/1000),"")</f>
        <v>0</v>
      </c>
      <c r="FG8" s="328">
        <f>IFERROR(VLOOKUP(A8,BASE_558!D:R,13,FALSE)/1000,"")</f>
        <v>1055.46182</v>
      </c>
      <c r="FH8" s="328">
        <f>IFERROR(VLOOKUP(A8,BASE_558!D:R,15,FALSE)/1000,"")</f>
        <v>414.53818000000001</v>
      </c>
      <c r="FI8" s="547">
        <f t="shared" si="33"/>
        <v>-167.81516999999999</v>
      </c>
      <c r="FJ8" s="571">
        <f t="shared" si="34"/>
        <v>175</v>
      </c>
      <c r="FK8" s="540">
        <f t="shared" si="35"/>
        <v>0</v>
      </c>
    </row>
    <row r="9" spans="1:167" s="23" customFormat="1" ht="24" customHeight="1">
      <c r="A9" s="310" t="s">
        <v>7444</v>
      </c>
      <c r="B9" s="404"/>
      <c r="C9" s="404"/>
      <c r="D9" s="338"/>
      <c r="E9" s="378">
        <v>10042950</v>
      </c>
      <c r="F9" s="5"/>
      <c r="G9" s="310" t="s">
        <v>8</v>
      </c>
      <c r="H9" s="338"/>
      <c r="I9" s="338"/>
      <c r="J9" s="338">
        <v>2025</v>
      </c>
      <c r="K9" s="316">
        <v>45716</v>
      </c>
      <c r="L9" s="316"/>
      <c r="M9" s="409"/>
      <c r="N9" s="317">
        <f t="shared" si="7"/>
        <v>46628</v>
      </c>
      <c r="O9" s="317">
        <f t="shared" si="8"/>
        <v>46993</v>
      </c>
      <c r="P9" s="418" t="str">
        <f t="shared" si="9"/>
        <v>NÃO</v>
      </c>
      <c r="Q9" s="418" t="str">
        <f t="shared" si="9"/>
        <v>NÃO</v>
      </c>
      <c r="R9" s="418" t="str">
        <f t="shared" si="9"/>
        <v>NÃO</v>
      </c>
      <c r="S9" s="418" t="str">
        <f t="shared" si="9"/>
        <v>NÃO</v>
      </c>
      <c r="T9" s="418" t="str">
        <f t="shared" si="9"/>
        <v>NÃO</v>
      </c>
      <c r="U9" s="418" t="str">
        <f t="shared" si="9"/>
        <v>NÃO</v>
      </c>
      <c r="V9" s="418" t="str">
        <f t="shared" si="9"/>
        <v>NÃO</v>
      </c>
      <c r="W9" s="418" t="str">
        <f t="shared" si="9"/>
        <v>NÃO</v>
      </c>
      <c r="X9" s="418" t="str">
        <f t="shared" si="9"/>
        <v>NÃO</v>
      </c>
      <c r="Y9" s="418" t="str">
        <f t="shared" si="9"/>
        <v>NÃO</v>
      </c>
      <c r="Z9" s="418" t="str">
        <f t="shared" si="9"/>
        <v>NÃO</v>
      </c>
      <c r="AA9" s="418" t="str">
        <f t="shared" si="9"/>
        <v>NÃO</v>
      </c>
      <c r="AB9" s="317"/>
      <c r="AC9" s="309" t="s">
        <v>3932</v>
      </c>
      <c r="AD9" s="310"/>
      <c r="AE9" s="310"/>
      <c r="AF9" s="310" t="s">
        <v>6985</v>
      </c>
      <c r="AG9" s="310" t="s">
        <v>9603</v>
      </c>
      <c r="AH9" s="309" t="s">
        <v>7443</v>
      </c>
      <c r="AI9" s="309" t="s">
        <v>2255</v>
      </c>
      <c r="AJ9" s="6" t="s">
        <v>6786</v>
      </c>
      <c r="AK9" s="6" t="str">
        <f t="shared" si="10"/>
        <v>IGUAL</v>
      </c>
      <c r="AL9" s="151" t="str">
        <f>IFERROR(IF(LEFT(A9,3)="LCP",VLOOKUP(A9,STATUS_SAP_LCP!B:C,2,FALSE),VLOOKUP(A9,STATUS_SAP_ICP!B:C,2,FALSE)),"NO BUDGET")</f>
        <v>REL  BUDG AUC  AVAC  //  APPR BREL INPL</v>
      </c>
      <c r="AM9" s="6" t="str">
        <f t="shared" si="11"/>
        <v xml:space="preserve">REL </v>
      </c>
      <c r="AN9" s="282" t="s">
        <v>9604</v>
      </c>
      <c r="AO9" s="557"/>
      <c r="AP9" s="499" t="s">
        <v>9616</v>
      </c>
      <c r="AQ9" s="465">
        <v>46022</v>
      </c>
      <c r="AR9" s="460"/>
      <c r="AS9" s="56"/>
      <c r="AT9" s="185"/>
      <c r="AU9" s="318"/>
      <c r="AV9" s="223"/>
      <c r="AW9" s="318"/>
      <c r="AX9" s="223"/>
      <c r="AY9" s="318">
        <f t="shared" si="12"/>
        <v>411.79148999999995</v>
      </c>
      <c r="AZ9" s="223"/>
      <c r="BA9" s="318"/>
      <c r="BB9" s="519">
        <f t="shared" si="13"/>
        <v>400</v>
      </c>
      <c r="BC9" s="518">
        <v>0</v>
      </c>
      <c r="BD9" s="518">
        <v>0</v>
      </c>
      <c r="BE9" s="518">
        <v>0</v>
      </c>
      <c r="BF9" s="518">
        <v>0</v>
      </c>
      <c r="BG9" s="518">
        <v>0</v>
      </c>
      <c r="BH9" s="518">
        <v>0</v>
      </c>
      <c r="BI9" s="518">
        <v>50</v>
      </c>
      <c r="BJ9" s="518">
        <v>50</v>
      </c>
      <c r="BK9" s="518">
        <v>50</v>
      </c>
      <c r="BL9" s="518">
        <v>50</v>
      </c>
      <c r="BM9" s="518">
        <v>100</v>
      </c>
      <c r="BN9" s="518">
        <v>100</v>
      </c>
      <c r="BO9" s="367">
        <f t="shared" si="14"/>
        <v>411.79148999999995</v>
      </c>
      <c r="BP9" s="421"/>
      <c r="BQ9" s="422"/>
      <c r="BR9" s="423">
        <f>IFERROR(IF(LEFT($A9,3)="Lcp",SUMIFS('BASE-LCP'!$K:$K,'BASE-LCP'!$A:$A,Capex!$A385,'BASE-LCP'!$B:$B,"janeiro")/1000,IF(LEFT($A9,3)="icp",SUMIFS('BASE-ICP'!$K:$K,'BASE-ICP'!$A:$A,Capex!$A385,'BASE-ICP'!$B:$B,"janeiro")/1000,"")),"")</f>
        <v>0</v>
      </c>
      <c r="BS9" s="427"/>
      <c r="BT9" s="372"/>
      <c r="BU9" s="422"/>
      <c r="BV9" s="423">
        <f>IFERROR(IF(LEFT($A9,3)="Lcp",SUMIFS('BASE-LCP'!$K:$K,'BASE-LCP'!$A:$A,Capex!$A385,'BASE-LCP'!$B:$B,"fevereiro")/1000,IF(LEFT($A9,3)="icp",SUMIFS('BASE-ICP'!$K:$K,'BASE-ICP'!$A:$A,Capex!$A385,'BASE-ICP'!$B:$B,"fevereiro")/1000,"")),"")</f>
        <v>0</v>
      </c>
      <c r="BW9" s="427"/>
      <c r="BX9" s="372"/>
      <c r="BY9" s="422"/>
      <c r="BZ9" s="423">
        <f>IFERROR(IF(LEFT($A9,3)="Lcp",SUMIFS('BASE-LCP'!$K:$K,'BASE-LCP'!$A:$A,Capex!$A385,'BASE-LCP'!$B:$B,"março")/1000,IF(LEFT($A9,3)="icp",SUMIFS('BASE-ICP'!$K:$K,'BASE-ICP'!$A:$A,Capex!$A385,'BASE-ICP'!$B:$B,"março")/1000,"")),"")</f>
        <v>0</v>
      </c>
      <c r="CA9" s="427">
        <v>0</v>
      </c>
      <c r="CB9" s="372">
        <v>50</v>
      </c>
      <c r="CC9" s="422"/>
      <c r="CD9" s="423">
        <f>IFERROR(IF(LEFT($A9,3)="Lcp",SUMIFS('BASE-LCP'!$K:$K,'BASE-LCP'!$A:$A,Capex!$A385,'BASE-LCP'!$B:$B,"abril")/1000,IF(LEFT($A9,3)="icp",SUMIFS('BASE-ICP'!$K:$K,'BASE-ICP'!$A:$A,Capex!$A385,'BASE-ICP'!$B:$B,"abril")/1000,"")),"")</f>
        <v>0</v>
      </c>
      <c r="CE9" s="427">
        <v>0</v>
      </c>
      <c r="CF9" s="372">
        <v>0</v>
      </c>
      <c r="CG9" s="422">
        <v>0.33280999999999999</v>
      </c>
      <c r="CH9" s="423">
        <v>0.33280999999999994</v>
      </c>
      <c r="CI9" s="427">
        <v>0.33280999999999994</v>
      </c>
      <c r="CJ9" s="372"/>
      <c r="CK9" s="419">
        <v>78.658680000000004</v>
      </c>
      <c r="CL9" s="423">
        <f>IFERROR(IF(LEFT($A9,3)="Lcp",SUMIFS('BASE-LCP'!$K:$K,'BASE-LCP'!$A:$A,Capex!$A385,'BASE-LCP'!$B:$B,"junho")/1000,IF(LEFT($A9,3)="icp",SUMIFS('BASE-ICP'!$K:$K,'BASE-ICP'!$A:$A,Capex!$A385,'BASE-ICP'!$B:$B,"junho")/1000,"")),"")</f>
        <v>0</v>
      </c>
      <c r="CM9" s="427">
        <v>78.65867999999999</v>
      </c>
      <c r="CN9" s="372"/>
      <c r="CO9" s="419"/>
      <c r="CP9" s="423">
        <f>IFERROR(IF(LEFT($A9,3)="Lcp",SUMIFS('BASE-LCP'!$K:$K,'BASE-LCP'!$A:$A,Capex!$A385,'BASE-LCP'!$B:$B,"julho")/1000,IF(LEFT($A9,3)="icp",SUMIFS('BASE-ICP'!$K:$K,'BASE-ICP'!$A:$A,Capex!$A385,'BASE-ICP'!$B:$B,"julho")/1000,"")),"")</f>
        <v>0</v>
      </c>
      <c r="CQ9" s="427">
        <v>0</v>
      </c>
      <c r="CR9" s="372"/>
      <c r="CS9" s="419"/>
      <c r="CT9" s="423">
        <f>IFERROR(IF(LEFT($A9,3)="Lcp",SUMIFS('BASE-LCP'!$K:$K,'BASE-LCP'!$A:$A,Capex!$A385,'BASE-LCP'!$B:$B,"agosto")/1000,IF(LEFT($A9,3)="icp",SUMIFS('BASE-ICP'!$K:$K,'BASE-ICP'!$A:$A,Capex!$A385,'BASE-ICP'!$B:$B,"agosto")/1000,"")),"")</f>
        <v>0</v>
      </c>
      <c r="CU9" s="427">
        <v>0</v>
      </c>
      <c r="CV9" s="372"/>
      <c r="CW9" s="419"/>
      <c r="CX9" s="423">
        <f>IFERROR(IF(LEFT($A9,3)="Lcp",SUMIFS('BASE-LCP'!$K:$K,'BASE-LCP'!$A:$A,Capex!$A385,'BASE-LCP'!$B:$B,"setembro")/1000,IF(LEFT($A9,3)="icp",SUMIFS('BASE-ICP'!$K:$K,'BASE-ICP'!$A:$A,Capex!$A385,'BASE-ICP'!$B:$B,"setembro")/1000,"")),"")</f>
        <v>0</v>
      </c>
      <c r="CY9" s="427">
        <v>98.4</v>
      </c>
      <c r="CZ9" s="372"/>
      <c r="DA9" s="419"/>
      <c r="DB9" s="423">
        <f>IFERROR(IF(LEFT($A9,3)="Lcp",SUMIFS('BASE-LCP'!$K:$K,'BASE-LCP'!$A:$A,Capex!$A385,'BASE-LCP'!$B:$B,"outubro")/1000,IF(LEFT($A9,3)="icp",SUMIFS('BASE-ICP'!$K:$K,'BASE-ICP'!$A:$A,Capex!$A385,'BASE-ICP'!$B:$B,"outubro")/1000,"")),"")</f>
        <v>0</v>
      </c>
      <c r="DC9" s="427">
        <v>79</v>
      </c>
      <c r="DD9" s="372"/>
      <c r="DE9" s="419"/>
      <c r="DF9" s="423">
        <f>IFERROR(IF(LEFT($A9,3)="Lcp",SUMIFS('BASE-LCP'!$K:$K,'BASE-LCP'!$A:$A,Capex!$A385,'BASE-LCP'!$B:$B,"novembro")/1000,IF(LEFT($A9,3)="icp",SUMIFS('BASE-ICP'!$K:$K,'BASE-ICP'!$A:$A,Capex!$A385,'BASE-ICP'!$B:$B,"novembro")/1000,"")),"")</f>
        <v>0</v>
      </c>
      <c r="DG9" s="427">
        <v>155.4</v>
      </c>
      <c r="DH9" s="372"/>
      <c r="DI9" s="419"/>
      <c r="DJ9" s="423">
        <f>IFERROR(IF(LEFT($A9,3)="Lcp",SUMIFS('BASE-LCP'!$K:$K,'BASE-LCP'!$A:$A,Capex!$A385,'BASE-LCP'!$B:$B,"dezembro")/1000,IF(LEFT($A9,3)="icp",SUMIFS('BASE-ICP'!$K:$K,'BASE-ICP'!$A:$A,Capex!$A385,'BASE-ICP'!$B:$B,"dezembro")/1000,"")),"")</f>
        <v>0</v>
      </c>
      <c r="DK9" s="427">
        <v>0</v>
      </c>
      <c r="DL9" s="452">
        <f t="shared" si="15"/>
        <v>0</v>
      </c>
      <c r="DM9" s="374"/>
      <c r="DN9" s="374"/>
      <c r="DO9" s="374"/>
      <c r="DP9" s="374"/>
      <c r="DQ9" s="374"/>
      <c r="DR9" s="374"/>
      <c r="DS9" s="374"/>
      <c r="DT9" s="374"/>
      <c r="DU9" s="374"/>
      <c r="DV9" s="374"/>
      <c r="DW9" s="374"/>
      <c r="DX9" s="374"/>
      <c r="DY9" s="450"/>
      <c r="DZ9" s="374">
        <f t="shared" si="16"/>
        <v>0</v>
      </c>
      <c r="EA9" s="216">
        <f t="shared" si="17"/>
        <v>78.65867999999999</v>
      </c>
      <c r="EB9" s="320">
        <f t="shared" si="18"/>
        <v>-78.65867999999999</v>
      </c>
      <c r="EC9" s="241">
        <f t="shared" si="19"/>
        <v>0</v>
      </c>
      <c r="ED9" s="241">
        <f t="shared" si="20"/>
        <v>78.991489999999985</v>
      </c>
      <c r="EE9" s="241">
        <f t="shared" si="21"/>
        <v>98.4</v>
      </c>
      <c r="EF9" s="241">
        <f t="shared" si="22"/>
        <v>234.4</v>
      </c>
      <c r="EG9" s="346">
        <f t="shared" si="23"/>
        <v>11.791489999999953</v>
      </c>
      <c r="EH9" s="445">
        <f t="shared" si="24"/>
        <v>0</v>
      </c>
      <c r="EI9" s="447">
        <f t="shared" si="25"/>
        <v>0.33280999999999994</v>
      </c>
      <c r="EJ9" s="364">
        <f t="shared" si="26"/>
        <v>0.33280999999999994</v>
      </c>
      <c r="EK9" s="365">
        <f t="shared" si="27"/>
        <v>411.45867999999996</v>
      </c>
      <c r="EL9" s="529">
        <f t="shared" si="28"/>
        <v>360.33280999999999</v>
      </c>
      <c r="EM9" s="530">
        <v>0</v>
      </c>
      <c r="EN9" s="530">
        <v>0</v>
      </c>
      <c r="EO9" s="530">
        <v>0</v>
      </c>
      <c r="EP9" s="530">
        <v>0</v>
      </c>
      <c r="EQ9" s="530">
        <v>0.33280999999999994</v>
      </c>
      <c r="ER9" s="530">
        <v>0</v>
      </c>
      <c r="ES9" s="530">
        <v>0</v>
      </c>
      <c r="ET9" s="530">
        <v>50</v>
      </c>
      <c r="EU9" s="530">
        <v>130</v>
      </c>
      <c r="EV9" s="530">
        <v>80</v>
      </c>
      <c r="EW9" s="530">
        <v>50</v>
      </c>
      <c r="EX9" s="530">
        <v>50</v>
      </c>
      <c r="EY9" s="530">
        <f t="shared" si="29"/>
        <v>0</v>
      </c>
      <c r="EZ9" s="530">
        <f t="shared" si="30"/>
        <v>0.33280999999999994</v>
      </c>
      <c r="FA9" s="530">
        <f t="shared" si="31"/>
        <v>180</v>
      </c>
      <c r="FB9" s="530">
        <f t="shared" si="32"/>
        <v>180</v>
      </c>
      <c r="FC9" s="384">
        <f>IFERROR(VLOOKUP(Capex!A385,BASE_558!D:R,8,FALSE)/1000,"")</f>
        <v>244.75377</v>
      </c>
      <c r="FD9" s="328">
        <f>IFERROR(VLOOKUP(Capex!A385,BASE_558!D:R,9,)/1000,"")</f>
        <v>108.75875000000001</v>
      </c>
      <c r="FE9" s="328">
        <f>IFERROR(IF(LEFT(A9,3)="LCP",(VLOOKUP(Capex!A385,BASE_558!D:R,10,)/1000),SUMIFS('BASE ICP_PO_SC'!F:F,'BASE ICP_PO_SC'!A:A,Capex!A385,'BASE ICP_PO_SC'!E:E,"&lt;&gt;")/1000),"")</f>
        <v>7.71807</v>
      </c>
      <c r="FF9" s="328">
        <f>IFERROR(IF(LEFT(A9,3)="LCP",(VLOOKUP(Capex!A385,BASE_558!D:R,11,)/1000),SUMIFS('BASE ICP_PO_SC'!F:F,'BASE ICP_PO_SC'!A:A,Capex!A385,'BASE ICP_PO_SC'!E:E,"")/1000),"")</f>
        <v>0.37824999999999998</v>
      </c>
      <c r="FG9" s="328">
        <f>IFERROR(VLOOKUP(A9,BASE_558!D:R,13,FALSE)/1000,"")</f>
        <v>235.64035999999999</v>
      </c>
      <c r="FH9" s="328">
        <f>IFERROR(VLOOKUP(A9,BASE_558!D:R,15,FALSE)/1000,"")</f>
        <v>252.35964000000001</v>
      </c>
      <c r="FI9" s="547">
        <f t="shared" si="33"/>
        <v>-78.65867999999999</v>
      </c>
      <c r="FJ9" s="547">
        <f t="shared" si="34"/>
        <v>81.599999999999994</v>
      </c>
      <c r="FK9" s="540">
        <f t="shared" si="35"/>
        <v>-54.400000000000006</v>
      </c>
    </row>
    <row r="10" spans="1:167" s="23" customFormat="1" ht="24" customHeight="1">
      <c r="A10" s="440" t="s">
        <v>709</v>
      </c>
      <c r="B10" s="404" t="s">
        <v>702</v>
      </c>
      <c r="C10" s="404"/>
      <c r="D10" s="338"/>
      <c r="E10" s="378"/>
      <c r="F10" s="5"/>
      <c r="G10" s="310" t="s">
        <v>9</v>
      </c>
      <c r="H10" s="338"/>
      <c r="I10" s="338"/>
      <c r="J10" s="338">
        <v>2020</v>
      </c>
      <c r="K10" s="316"/>
      <c r="L10" s="324"/>
      <c r="M10" s="409"/>
      <c r="N10" s="317" t="str">
        <f t="shared" si="7"/>
        <v/>
      </c>
      <c r="O10" s="317" t="str">
        <f t="shared" si="8"/>
        <v/>
      </c>
      <c r="P10" s="418" t="str">
        <f t="shared" si="9"/>
        <v>N/A</v>
      </c>
      <c r="Q10" s="418" t="str">
        <f t="shared" si="9"/>
        <v>N/A</v>
      </c>
      <c r="R10" s="418" t="str">
        <f t="shared" si="9"/>
        <v>N/A</v>
      </c>
      <c r="S10" s="418" t="str">
        <f t="shared" si="9"/>
        <v>N/A</v>
      </c>
      <c r="T10" s="418" t="str">
        <f t="shared" si="9"/>
        <v>N/A</v>
      </c>
      <c r="U10" s="418" t="str">
        <f t="shared" si="9"/>
        <v>N/A</v>
      </c>
      <c r="V10" s="418" t="str">
        <f t="shared" si="9"/>
        <v>N/A</v>
      </c>
      <c r="W10" s="418" t="str">
        <f t="shared" si="9"/>
        <v>N/A</v>
      </c>
      <c r="X10" s="418" t="str">
        <f t="shared" si="9"/>
        <v>N/A</v>
      </c>
      <c r="Y10" s="418" t="str">
        <f t="shared" si="9"/>
        <v>N/A</v>
      </c>
      <c r="Z10" s="418" t="str">
        <f t="shared" si="9"/>
        <v>N/A</v>
      </c>
      <c r="AA10" s="418" t="str">
        <f t="shared" si="9"/>
        <v>N/A</v>
      </c>
      <c r="AB10" s="317"/>
      <c r="AC10" s="309" t="s">
        <v>3932</v>
      </c>
      <c r="AD10" s="310" t="s">
        <v>224</v>
      </c>
      <c r="AE10" s="310" t="s">
        <v>957</v>
      </c>
      <c r="AF10" s="310" t="s">
        <v>6988</v>
      </c>
      <c r="AG10" s="310" t="s">
        <v>2079</v>
      </c>
      <c r="AH10" s="310" t="s">
        <v>1442</v>
      </c>
      <c r="AI10" s="309" t="s">
        <v>183</v>
      </c>
      <c r="AJ10" s="6" t="s">
        <v>6786</v>
      </c>
      <c r="AK10" s="6" t="str">
        <f t="shared" si="10"/>
        <v>DIFERENTE</v>
      </c>
      <c r="AL10" s="151" t="str">
        <f>IFERROR(IF(LEFT(A10,3)="LCP",VLOOKUP(A10,STATUS_SAP_LCP!B:C,2,FALSE),VLOOKUP(A10,STATUS_SAP_ICP!B:C,2,FALSE)),"NO BUDGET")</f>
        <v>TECO BUDG AVAC  //  BREL WPLI</v>
      </c>
      <c r="AM10" s="6" t="str">
        <f t="shared" si="11"/>
        <v>TECO</v>
      </c>
      <c r="AN10" s="282" t="s">
        <v>8956</v>
      </c>
      <c r="AO10" s="557"/>
      <c r="AP10" s="499" t="s">
        <v>9616</v>
      </c>
      <c r="AQ10" s="464"/>
      <c r="AR10" s="460"/>
      <c r="AS10" s="56"/>
      <c r="AT10" s="185">
        <v>2184.4436099999998</v>
      </c>
      <c r="AU10" s="318">
        <v>2900.9731000000006</v>
      </c>
      <c r="AV10" s="223">
        <v>317.3067299999978</v>
      </c>
      <c r="AW10" s="318">
        <v>-2304.0503599999993</v>
      </c>
      <c r="AX10" s="223">
        <v>-1866.474130000001</v>
      </c>
      <c r="AY10" s="318">
        <f t="shared" si="12"/>
        <v>-1221.5270700000001</v>
      </c>
      <c r="AZ10" s="223"/>
      <c r="BA10" s="318"/>
      <c r="BB10" s="519">
        <f t="shared" si="13"/>
        <v>-1136.5024800000001</v>
      </c>
      <c r="BC10" s="518">
        <v>0</v>
      </c>
      <c r="BD10" s="518">
        <v>-1136.5024800000001</v>
      </c>
      <c r="BE10" s="518">
        <v>0</v>
      </c>
      <c r="BF10" s="518">
        <v>0</v>
      </c>
      <c r="BG10" s="518">
        <v>0</v>
      </c>
      <c r="BH10" s="518">
        <v>0</v>
      </c>
      <c r="BI10" s="518">
        <v>0</v>
      </c>
      <c r="BJ10" s="518">
        <v>0</v>
      </c>
      <c r="BK10" s="518">
        <v>0</v>
      </c>
      <c r="BL10" s="518">
        <v>0</v>
      </c>
      <c r="BM10" s="518">
        <v>0</v>
      </c>
      <c r="BN10" s="518">
        <v>0</v>
      </c>
      <c r="BO10" s="367">
        <f t="shared" si="14"/>
        <v>-1221.5270700000001</v>
      </c>
      <c r="BP10" s="421">
        <v>0</v>
      </c>
      <c r="BQ10" s="422">
        <v>-44.540260000000004</v>
      </c>
      <c r="BR10" s="423">
        <f>IFERROR(IF(LEFT($A10,3)="Lcp",SUMIFS('BASE-LCP'!$K:$K,'BASE-LCP'!$A:$A,Capex!$A28,'BASE-LCP'!$B:$B,"janeiro")/1000,IF(LEFT($A10,3)="icp",SUMIFS('BASE-ICP'!$K:$K,'BASE-ICP'!$A:$A,Capex!$A28,'BASE-ICP'!$B:$B,"janeiro")/1000,"")),"")</f>
        <v>0</v>
      </c>
      <c r="BS10" s="427">
        <v>-44.540260000000004</v>
      </c>
      <c r="BT10" s="372">
        <v>-1063.2</v>
      </c>
      <c r="BU10" s="422">
        <v>6.5413599999999787</v>
      </c>
      <c r="BV10" s="423">
        <f>IFERROR(IF(LEFT($A10,3)="Lcp",SUMIFS('BASE-LCP'!$K:$K,'BASE-LCP'!$A:$A,Capex!$A28,'BASE-LCP'!$B:$B,"fevereiro")/1000,IF(LEFT($A10,3)="icp",SUMIFS('BASE-ICP'!$K:$K,'BASE-ICP'!$A:$A,Capex!$A28,'BASE-ICP'!$B:$B,"fevereiro")/1000,"")),"")</f>
        <v>0</v>
      </c>
      <c r="BW10" s="427">
        <v>6.5413599999999787</v>
      </c>
      <c r="BX10" s="372">
        <v>-1077</v>
      </c>
      <c r="BY10" s="422">
        <v>17.682640000000021</v>
      </c>
      <c r="BZ10" s="423">
        <f>IFERROR(IF(LEFT($A10,3)="Lcp",SUMIFS('BASE-LCP'!$K:$K,'BASE-LCP'!$A:$A,Capex!$A28,'BASE-LCP'!$B:$B,"março")/1000,IF(LEFT($A10,3)="icp",SUMIFS('BASE-ICP'!$K:$K,'BASE-ICP'!$A:$A,Capex!$A28,'BASE-ICP'!$B:$B,"março")/1000,"")),"")</f>
        <v>0</v>
      </c>
      <c r="CA10" s="427">
        <v>17.682640000000021</v>
      </c>
      <c r="CB10" s="372">
        <v>-1175.8910000000001</v>
      </c>
      <c r="CC10" s="422"/>
      <c r="CD10" s="423">
        <f>IFERROR(IF(LEFT($A10,3)="Lcp",SUMIFS('BASE-LCP'!$K:$K,'BASE-LCP'!$A:$A,Capex!$A28,'BASE-LCP'!$B:$B,"abril")/1000,IF(LEFT($A10,3)="icp",SUMIFS('BASE-ICP'!$K:$K,'BASE-ICP'!$A:$A,Capex!$A28,'BASE-ICP'!$B:$B,"abril")/1000,"")),"")</f>
        <v>0</v>
      </c>
      <c r="CE10" s="427">
        <v>-55.011000000000003</v>
      </c>
      <c r="CF10" s="372">
        <v>-1081.9000000000001</v>
      </c>
      <c r="CG10" s="422">
        <f>CH10</f>
        <v>55.019180000000013</v>
      </c>
      <c r="CH10" s="423">
        <v>55.019180000000013</v>
      </c>
      <c r="CI10" s="427">
        <v>55.019180000000013</v>
      </c>
      <c r="CJ10" s="372">
        <v>0</v>
      </c>
      <c r="CK10" s="419"/>
      <c r="CL10" s="423">
        <f>IFERROR(IF(LEFT($A10,3)="Lcp",SUMIFS('BASE-LCP'!$K:$K,'BASE-LCP'!$A:$A,Capex!$A28,'BASE-LCP'!$B:$B,"junho")/1000,IF(LEFT($A10,3)="icp",SUMIFS('BASE-ICP'!$K:$K,'BASE-ICP'!$A:$A,Capex!$A28,'BASE-ICP'!$B:$B,"junho")/1000,"")),"")</f>
        <v>0</v>
      </c>
      <c r="CM10" s="427">
        <v>1.6205799999999946</v>
      </c>
      <c r="CN10" s="372"/>
      <c r="CO10" s="419"/>
      <c r="CP10" s="423">
        <f>IFERROR(IF(LEFT($A10,3)="Lcp",SUMIFS('BASE-LCP'!$K:$K,'BASE-LCP'!$A:$A,Capex!$A28,'BASE-LCP'!$B:$B,"julho")/1000,IF(LEFT($A10,3)="icp",SUMIFS('BASE-ICP'!$K:$K,'BASE-ICP'!$A:$A,Capex!$A28,'BASE-ICP'!$B:$B,"julho")/1000,"")),"")</f>
        <v>0</v>
      </c>
      <c r="CQ10" s="427">
        <f>-1202839.57/1000</f>
        <v>-1202.8395700000001</v>
      </c>
      <c r="CR10" s="372"/>
      <c r="CS10" s="419"/>
      <c r="CT10" s="423">
        <f>IFERROR(IF(LEFT($A10,3)="Lcp",SUMIFS('BASE-LCP'!$K:$K,'BASE-LCP'!$A:$A,Capex!$A28,'BASE-LCP'!$B:$B,"agosto")/1000,IF(LEFT($A10,3)="icp",SUMIFS('BASE-ICP'!$K:$K,'BASE-ICP'!$A:$A,Capex!$A28,'BASE-ICP'!$B:$B,"agosto")/1000,"")),"")</f>
        <v>0</v>
      </c>
      <c r="CU10" s="427">
        <v>0</v>
      </c>
      <c r="CV10" s="372"/>
      <c r="CW10" s="419"/>
      <c r="CX10" s="423">
        <f>IFERROR(IF(LEFT($A10,3)="Lcp",SUMIFS('BASE-LCP'!$K:$K,'BASE-LCP'!$A:$A,Capex!$A28,'BASE-LCP'!$B:$B,"setembro")/1000,IF(LEFT($A10,3)="icp",SUMIFS('BASE-ICP'!$K:$K,'BASE-ICP'!$A:$A,Capex!$A28,'BASE-ICP'!$B:$B,"setembro")/1000,"")),"")</f>
        <v>0</v>
      </c>
      <c r="CY10" s="427">
        <v>0</v>
      </c>
      <c r="CZ10" s="372"/>
      <c r="DA10" s="419"/>
      <c r="DB10" s="423">
        <f>IFERROR(IF(LEFT($A10,3)="Lcp",SUMIFS('BASE-LCP'!$K:$K,'BASE-LCP'!$A:$A,Capex!$A28,'BASE-LCP'!$B:$B,"outubro")/1000,IF(LEFT($A10,3)="icp",SUMIFS('BASE-ICP'!$K:$K,'BASE-ICP'!$A:$A,Capex!$A28,'BASE-ICP'!$B:$B,"outubro")/1000,"")),"")</f>
        <v>0</v>
      </c>
      <c r="DC10" s="427">
        <v>0</v>
      </c>
      <c r="DD10" s="372"/>
      <c r="DE10" s="419"/>
      <c r="DF10" s="423">
        <f>IFERROR(IF(LEFT($A10,3)="Lcp",SUMIFS('BASE-LCP'!$K:$K,'BASE-LCP'!$A:$A,Capex!$A28,'BASE-LCP'!$B:$B,"novembro")/1000,IF(LEFT($A10,3)="icp",SUMIFS('BASE-ICP'!$K:$K,'BASE-ICP'!$A:$A,Capex!$A28,'BASE-ICP'!$B:$B,"novembro")/1000,"")),"")</f>
        <v>0</v>
      </c>
      <c r="DG10" s="427">
        <v>0</v>
      </c>
      <c r="DH10" s="372"/>
      <c r="DI10" s="419"/>
      <c r="DJ10" s="423">
        <f>IFERROR(IF(LEFT($A10,3)="Lcp",SUMIFS('BASE-LCP'!$K:$K,'BASE-LCP'!$A:$A,Capex!$A28,'BASE-LCP'!$B:$B,"dezembro")/1000,IF(LEFT($A10,3)="icp",SUMIFS('BASE-ICP'!$K:$K,'BASE-ICP'!$A:$A,Capex!$A28,'BASE-ICP'!$B:$B,"dezembro")/1000,"")),"")</f>
        <v>0</v>
      </c>
      <c r="DK10" s="427">
        <v>0</v>
      </c>
      <c r="DL10" s="452">
        <f t="shared" si="15"/>
        <v>0</v>
      </c>
      <c r="DM10" s="374"/>
      <c r="DN10" s="374">
        <v>0</v>
      </c>
      <c r="DO10" s="374"/>
      <c r="DP10" s="374"/>
      <c r="DQ10" s="374"/>
      <c r="DR10" s="374"/>
      <c r="DS10" s="374"/>
      <c r="DT10" s="374"/>
      <c r="DU10" s="374"/>
      <c r="DV10" s="374"/>
      <c r="DW10" s="374"/>
      <c r="DX10" s="374"/>
      <c r="DY10" s="450"/>
      <c r="DZ10" s="374">
        <f t="shared" si="16"/>
        <v>0</v>
      </c>
      <c r="EA10" s="216">
        <f t="shared" si="17"/>
        <v>1.6205799999999946</v>
      </c>
      <c r="EB10" s="320">
        <f t="shared" si="18"/>
        <v>-1.6205799999999946</v>
      </c>
      <c r="EC10" s="241">
        <f t="shared" si="19"/>
        <v>-20.316260000000007</v>
      </c>
      <c r="ED10" s="241">
        <f t="shared" si="20"/>
        <v>1.6287600000000046</v>
      </c>
      <c r="EE10" s="241">
        <f t="shared" si="21"/>
        <v>-1202.8395700000001</v>
      </c>
      <c r="EF10" s="241">
        <f t="shared" si="22"/>
        <v>0</v>
      </c>
      <c r="EG10" s="346">
        <f t="shared" si="23"/>
        <v>-85.024589999999989</v>
      </c>
      <c r="EH10" s="445">
        <f t="shared" si="24"/>
        <v>-1081.9000000000001</v>
      </c>
      <c r="EI10" s="447">
        <f t="shared" si="25"/>
        <v>55.019180000000013</v>
      </c>
      <c r="EJ10" s="364">
        <f t="shared" si="26"/>
        <v>-20.308079999999997</v>
      </c>
      <c r="EK10" s="365">
        <f t="shared" si="27"/>
        <v>-1201.2189900000001</v>
      </c>
      <c r="EL10" s="529">
        <f t="shared" si="28"/>
        <v>-1157.2289900000001</v>
      </c>
      <c r="EM10" s="530">
        <v>-44.540260000000004</v>
      </c>
      <c r="EN10" s="530">
        <v>6.5413599999999787</v>
      </c>
      <c r="EO10" s="530">
        <v>17.682640000000021</v>
      </c>
      <c r="EP10" s="530">
        <v>-55.011000000000003</v>
      </c>
      <c r="EQ10" s="530">
        <v>55.019180000000013</v>
      </c>
      <c r="ER10" s="530">
        <v>0</v>
      </c>
      <c r="ES10" s="530">
        <v>-1136.92091</v>
      </c>
      <c r="ET10" s="530">
        <v>0</v>
      </c>
      <c r="EU10" s="530">
        <v>0</v>
      </c>
      <c r="EV10" s="530">
        <v>0</v>
      </c>
      <c r="EW10" s="530">
        <v>0</v>
      </c>
      <c r="EX10" s="530">
        <v>0</v>
      </c>
      <c r="EY10" s="530">
        <f t="shared" si="29"/>
        <v>-20.316260000000007</v>
      </c>
      <c r="EZ10" s="530">
        <f t="shared" si="30"/>
        <v>8.1800000000100681E-3</v>
      </c>
      <c r="FA10" s="530">
        <f t="shared" si="31"/>
        <v>-1136.92091</v>
      </c>
      <c r="FB10" s="530">
        <f t="shared" si="32"/>
        <v>0</v>
      </c>
      <c r="FC10" s="384">
        <f>IFERROR(VLOOKUP(Capex!A28,BASE_558!D:R,8,FALSE)/1000,"")</f>
        <v>156.708</v>
      </c>
      <c r="FD10" s="328">
        <f>IFERROR(VLOOKUP(Capex!A28,BASE_558!D:R,9,)/1000,"")</f>
        <v>126.33557</v>
      </c>
      <c r="FE10" s="328">
        <f>IFERROR(IF(LEFT(A10,3)="LCP",(VLOOKUP(Capex!A28,BASE_558!D:R,10,)/1000),SUMIFS('BASE ICP_PO_SC'!F:F,'BASE ICP_PO_SC'!A:A,Capex!A28,'BASE ICP_PO_SC'!E:E,"&lt;&gt;")/1000),"")</f>
        <v>0</v>
      </c>
      <c r="FF10" s="328">
        <f>IFERROR(IF(LEFT(A10,3)="LCP",(VLOOKUP(Capex!A28,BASE_558!D:R,11,)/1000),SUMIFS('BASE ICP_PO_SC'!F:F,'BASE ICP_PO_SC'!A:A,Capex!A28,'BASE ICP_PO_SC'!E:E,"")/1000),"")</f>
        <v>0</v>
      </c>
      <c r="FG10" s="328" t="str">
        <f>IFERROR(VLOOKUP(A10,BASE_558!D:R,13,FALSE)/1000,"")</f>
        <v/>
      </c>
      <c r="FH10" s="328" t="str">
        <f>IFERROR(VLOOKUP(A10,BASE_558!D:R,15,FALSE)/1000,"")</f>
        <v/>
      </c>
      <c r="FI10" s="547">
        <f t="shared" si="33"/>
        <v>-1.6205799999999946</v>
      </c>
      <c r="FJ10" s="547">
        <f t="shared" si="34"/>
        <v>65.918660000000045</v>
      </c>
      <c r="FK10" s="540">
        <f t="shared" si="35"/>
        <v>0</v>
      </c>
    </row>
    <row r="11" spans="1:167" s="23" customFormat="1" ht="24" customHeight="1">
      <c r="A11" s="84" t="s">
        <v>551</v>
      </c>
      <c r="B11" s="404"/>
      <c r="C11" s="404"/>
      <c r="D11" s="338" t="s">
        <v>868</v>
      </c>
      <c r="E11" s="378">
        <v>3114541</v>
      </c>
      <c r="F11" s="310"/>
      <c r="G11" s="310" t="s">
        <v>9</v>
      </c>
      <c r="H11" s="338" t="s">
        <v>6</v>
      </c>
      <c r="I11" s="338"/>
      <c r="J11" s="338">
        <v>2020</v>
      </c>
      <c r="K11" s="351">
        <v>44076</v>
      </c>
      <c r="L11" s="317"/>
      <c r="M11" s="409"/>
      <c r="N11" s="317">
        <f t="shared" si="7"/>
        <v>44988</v>
      </c>
      <c r="O11" s="317">
        <f t="shared" si="8"/>
        <v>45353</v>
      </c>
      <c r="P11" s="418" t="str">
        <f t="shared" si="9"/>
        <v>SIM</v>
      </c>
      <c r="Q11" s="418" t="str">
        <f t="shared" si="9"/>
        <v>SIM</v>
      </c>
      <c r="R11" s="418" t="str">
        <f t="shared" si="9"/>
        <v>SIM</v>
      </c>
      <c r="S11" s="418" t="str">
        <f t="shared" si="9"/>
        <v>SIM</v>
      </c>
      <c r="T11" s="418" t="str">
        <f t="shared" si="9"/>
        <v>SIM</v>
      </c>
      <c r="U11" s="418" t="str">
        <f t="shared" si="9"/>
        <v>SIM</v>
      </c>
      <c r="V11" s="418" t="str">
        <f t="shared" si="9"/>
        <v>SIM</v>
      </c>
      <c r="W11" s="418" t="str">
        <f t="shared" si="9"/>
        <v>SIM</v>
      </c>
      <c r="X11" s="418" t="str">
        <f t="shared" si="9"/>
        <v>SIM</v>
      </c>
      <c r="Y11" s="418" t="str">
        <f t="shared" si="9"/>
        <v>SIM</v>
      </c>
      <c r="Z11" s="418" t="str">
        <f t="shared" si="9"/>
        <v>SIM</v>
      </c>
      <c r="AA11" s="418" t="str">
        <f t="shared" si="9"/>
        <v>SIM</v>
      </c>
      <c r="AB11" s="317"/>
      <c r="AC11" s="309" t="s">
        <v>3932</v>
      </c>
      <c r="AD11" s="310" t="s">
        <v>222</v>
      </c>
      <c r="AE11" s="310" t="s">
        <v>2250</v>
      </c>
      <c r="AF11" s="310" t="s">
        <v>6985</v>
      </c>
      <c r="AG11" s="262" t="s">
        <v>2251</v>
      </c>
      <c r="AH11" s="310" t="s">
        <v>1457</v>
      </c>
      <c r="AI11" s="309" t="s">
        <v>2255</v>
      </c>
      <c r="AJ11" s="6" t="s">
        <v>6786</v>
      </c>
      <c r="AK11" s="6" t="str">
        <f t="shared" si="10"/>
        <v>IGUAL</v>
      </c>
      <c r="AL11" s="151" t="str">
        <f>IFERROR(IF(LEFT(A11,3)="LCP",VLOOKUP(A11,STATUS_SAP_LCP!B:C,2,FALSE),VLOOKUP(A11,STATUS_SAP_ICP!B:C,2,FALSE)),"NO BUDGET")</f>
        <v>REL  BUDG AUC   //  APPR BREL INPL</v>
      </c>
      <c r="AM11" s="6" t="str">
        <f t="shared" si="11"/>
        <v xml:space="preserve">REL </v>
      </c>
      <c r="AN11" s="428" t="s">
        <v>18969</v>
      </c>
      <c r="AO11" s="559"/>
      <c r="AP11" s="499" t="s">
        <v>5299</v>
      </c>
      <c r="AQ11" s="465">
        <v>46203</v>
      </c>
      <c r="AR11" s="460"/>
      <c r="AS11" s="56"/>
      <c r="AT11" s="185">
        <v>561.91526999999996</v>
      </c>
      <c r="AU11" s="318">
        <v>285.78451000000001</v>
      </c>
      <c r="AV11" s="223">
        <v>48.364720000000005</v>
      </c>
      <c r="AW11" s="318">
        <v>24.321520000000003</v>
      </c>
      <c r="AX11" s="223">
        <v>0</v>
      </c>
      <c r="AY11" s="318">
        <f t="shared" si="12"/>
        <v>162.67999999999998</v>
      </c>
      <c r="AZ11" s="223"/>
      <c r="BA11" s="318"/>
      <c r="BB11" s="519">
        <f t="shared" si="13"/>
        <v>0</v>
      </c>
      <c r="BC11" s="518">
        <v>0</v>
      </c>
      <c r="BD11" s="518">
        <v>0</v>
      </c>
      <c r="BE11" s="518">
        <v>0</v>
      </c>
      <c r="BF11" s="518">
        <v>0</v>
      </c>
      <c r="BG11" s="518">
        <v>0</v>
      </c>
      <c r="BH11" s="518">
        <v>0</v>
      </c>
      <c r="BI11" s="518">
        <v>0</v>
      </c>
      <c r="BJ11" s="518">
        <v>0</v>
      </c>
      <c r="BK11" s="518">
        <v>0</v>
      </c>
      <c r="BL11" s="518">
        <v>0</v>
      </c>
      <c r="BM11" s="518">
        <v>0</v>
      </c>
      <c r="BN11" s="518">
        <v>0</v>
      </c>
      <c r="BO11" s="367">
        <f t="shared" si="14"/>
        <v>162.67999999999998</v>
      </c>
      <c r="BP11" s="421">
        <v>0</v>
      </c>
      <c r="BQ11" s="422"/>
      <c r="BR11" s="423">
        <f>IFERROR(IF(LEFT($A11,3)="Lcp",SUMIFS('BASE-LCP'!$K:$K,'BASE-LCP'!$A:$A,Capex!$A188,'BASE-LCP'!$B:$B,"janeiro")/1000,IF(LEFT($A11,3)="icp",SUMIFS('BASE-ICP'!$K:$K,'BASE-ICP'!$A:$A,Capex!$A188,'BASE-ICP'!$B:$B,"janeiro")/1000,"")),"")</f>
        <v>0</v>
      </c>
      <c r="BS11" s="427">
        <v>0</v>
      </c>
      <c r="BT11" s="372">
        <v>0</v>
      </c>
      <c r="BU11" s="422"/>
      <c r="BV11" s="423">
        <f>IFERROR(IF(LEFT($A11,3)="Lcp",SUMIFS('BASE-LCP'!$K:$K,'BASE-LCP'!$A:$A,Capex!$A188,'BASE-LCP'!$B:$B,"fevereiro")/1000,IF(LEFT($A11,3)="icp",SUMIFS('BASE-ICP'!$K:$K,'BASE-ICP'!$A:$A,Capex!$A188,'BASE-ICP'!$B:$B,"fevereiro")/1000,"")),"")</f>
        <v>0</v>
      </c>
      <c r="BW11" s="427">
        <v>0</v>
      </c>
      <c r="BX11" s="372">
        <v>0</v>
      </c>
      <c r="BY11" s="422"/>
      <c r="BZ11" s="423">
        <f>IFERROR(IF(LEFT($A11,3)="Lcp",SUMIFS('BASE-LCP'!$K:$K,'BASE-LCP'!$A:$A,Capex!$A188,'BASE-LCP'!$B:$B,"março")/1000,IF(LEFT($A11,3)="icp",SUMIFS('BASE-ICP'!$K:$K,'BASE-ICP'!$A:$A,Capex!$A188,'BASE-ICP'!$B:$B,"março")/1000,"")),"")</f>
        <v>0</v>
      </c>
      <c r="CA11" s="427">
        <v>0</v>
      </c>
      <c r="CB11" s="372">
        <v>0</v>
      </c>
      <c r="CC11" s="422"/>
      <c r="CD11" s="423">
        <f>IFERROR(IF(LEFT($A11,3)="Lcp",SUMIFS('BASE-LCP'!$K:$K,'BASE-LCP'!$A:$A,Capex!$A188,'BASE-LCP'!$B:$B,"abril")/1000,IF(LEFT($A11,3)="icp",SUMIFS('BASE-ICP'!$K:$K,'BASE-ICP'!$A:$A,Capex!$A188,'BASE-ICP'!$B:$B,"abril")/1000,"")),"")</f>
        <v>0</v>
      </c>
      <c r="CE11" s="427">
        <v>0</v>
      </c>
      <c r="CF11" s="372">
        <v>0</v>
      </c>
      <c r="CG11" s="422"/>
      <c r="CH11" s="423">
        <v>0</v>
      </c>
      <c r="CI11" s="427">
        <v>0</v>
      </c>
      <c r="CJ11" s="372">
        <v>0</v>
      </c>
      <c r="CK11" s="419"/>
      <c r="CL11" s="423">
        <f>IFERROR(IF(LEFT($A11,3)="Lcp",SUMIFS('BASE-LCP'!$K:$K,'BASE-LCP'!$A:$A,Capex!$A188,'BASE-LCP'!$B:$B,"junho")/1000,IF(LEFT($A11,3)="icp",SUMIFS('BASE-ICP'!$K:$K,'BASE-ICP'!$A:$A,Capex!$A188,'BASE-ICP'!$B:$B,"junho")/1000,"")),"")</f>
        <v>0</v>
      </c>
      <c r="CM11" s="427">
        <v>0</v>
      </c>
      <c r="CN11" s="372"/>
      <c r="CO11" s="419"/>
      <c r="CP11" s="423">
        <f>IFERROR(IF(LEFT($A11,3)="Lcp",SUMIFS('BASE-LCP'!$K:$K,'BASE-LCP'!$A:$A,Capex!$A188,'BASE-LCP'!$B:$B,"julho")/1000,IF(LEFT($A11,3)="icp",SUMIFS('BASE-ICP'!$K:$K,'BASE-ICP'!$A:$A,Capex!$A188,'BASE-ICP'!$B:$B,"julho")/1000,"")),"")</f>
        <v>0</v>
      </c>
      <c r="CQ11" s="427">
        <v>0</v>
      </c>
      <c r="CR11" s="372"/>
      <c r="CS11" s="419"/>
      <c r="CT11" s="423">
        <f>IFERROR(IF(LEFT($A11,3)="Lcp",SUMIFS('BASE-LCP'!$K:$K,'BASE-LCP'!$A:$A,Capex!$A188,'BASE-LCP'!$B:$B,"agosto")/1000,IF(LEFT($A11,3)="icp",SUMIFS('BASE-ICP'!$K:$K,'BASE-ICP'!$A:$A,Capex!$A188,'BASE-ICP'!$B:$B,"agosto")/1000,"")),"")</f>
        <v>0</v>
      </c>
      <c r="CU11" s="427">
        <v>46.69</v>
      </c>
      <c r="CV11" s="372"/>
      <c r="CW11" s="419"/>
      <c r="CX11" s="423">
        <f>IFERROR(IF(LEFT($A11,3)="Lcp",SUMIFS('BASE-LCP'!$K:$K,'BASE-LCP'!$A:$A,Capex!$A188,'BASE-LCP'!$B:$B,"setembro")/1000,IF(LEFT($A11,3)="icp",SUMIFS('BASE-ICP'!$K:$K,'BASE-ICP'!$A:$A,Capex!$A188,'BASE-ICP'!$B:$B,"setembro")/1000,"")),"")</f>
        <v>0</v>
      </c>
      <c r="CY11" s="427">
        <v>41.38</v>
      </c>
      <c r="CZ11" s="372"/>
      <c r="DA11" s="419"/>
      <c r="DB11" s="423">
        <f>IFERROR(IF(LEFT($A11,3)="Lcp",SUMIFS('BASE-LCP'!$K:$K,'BASE-LCP'!$A:$A,Capex!$A188,'BASE-LCP'!$B:$B,"outubro")/1000,IF(LEFT($A11,3)="icp",SUMIFS('BASE-ICP'!$K:$K,'BASE-ICP'!$A:$A,Capex!$A188,'BASE-ICP'!$B:$B,"outubro")/1000,"")),"")</f>
        <v>0</v>
      </c>
      <c r="DC11" s="427">
        <v>35.82</v>
      </c>
      <c r="DD11" s="372"/>
      <c r="DE11" s="419"/>
      <c r="DF11" s="423">
        <f>IFERROR(IF(LEFT($A11,3)="Lcp",SUMIFS('BASE-LCP'!$K:$K,'BASE-LCP'!$A:$A,Capex!$A188,'BASE-LCP'!$B:$B,"novembro")/1000,IF(LEFT($A11,3)="icp",SUMIFS('BASE-ICP'!$K:$K,'BASE-ICP'!$A:$A,Capex!$A188,'BASE-ICP'!$B:$B,"novembro")/1000,"")),"")</f>
        <v>0</v>
      </c>
      <c r="DG11" s="427">
        <v>38.79</v>
      </c>
      <c r="DH11" s="372"/>
      <c r="DI11" s="419"/>
      <c r="DJ11" s="423">
        <f>IFERROR(IF(LEFT($A11,3)="Lcp",SUMIFS('BASE-LCP'!$K:$K,'BASE-LCP'!$A:$A,Capex!$A188,'BASE-LCP'!$B:$B,"dezembro")/1000,IF(LEFT($A11,3)="icp",SUMIFS('BASE-ICP'!$K:$K,'BASE-ICP'!$A:$A,Capex!$A188,'BASE-ICP'!$B:$B,"dezembro")/1000,"")),"")</f>
        <v>0</v>
      </c>
      <c r="DK11" s="427">
        <v>0</v>
      </c>
      <c r="DL11" s="452">
        <f t="shared" si="15"/>
        <v>137.30000000000001</v>
      </c>
      <c r="DM11" s="374"/>
      <c r="DN11" s="374">
        <f>300-162.7</f>
        <v>137.30000000000001</v>
      </c>
      <c r="DO11" s="374"/>
      <c r="DP11" s="374"/>
      <c r="DQ11" s="374"/>
      <c r="DR11" s="374"/>
      <c r="DS11" s="374"/>
      <c r="DT11" s="374"/>
      <c r="DU11" s="374"/>
      <c r="DV11" s="374"/>
      <c r="DW11" s="374"/>
      <c r="DX11" s="374"/>
      <c r="DY11" s="450"/>
      <c r="DZ11" s="374">
        <f t="shared" si="16"/>
        <v>137.30000000000001</v>
      </c>
      <c r="EA11" s="216">
        <f t="shared" si="17"/>
        <v>0</v>
      </c>
      <c r="EB11" s="320">
        <f t="shared" si="18"/>
        <v>0</v>
      </c>
      <c r="EC11" s="241">
        <f t="shared" si="19"/>
        <v>0</v>
      </c>
      <c r="ED11" s="241">
        <f t="shared" si="20"/>
        <v>0</v>
      </c>
      <c r="EE11" s="241">
        <f t="shared" si="21"/>
        <v>88.07</v>
      </c>
      <c r="EF11" s="241">
        <f t="shared" si="22"/>
        <v>74.61</v>
      </c>
      <c r="EG11" s="346">
        <f t="shared" si="23"/>
        <v>162.67999999999998</v>
      </c>
      <c r="EH11" s="445">
        <f t="shared" si="24"/>
        <v>0</v>
      </c>
      <c r="EI11" s="447">
        <f t="shared" si="25"/>
        <v>0</v>
      </c>
      <c r="EJ11" s="364">
        <f t="shared" si="26"/>
        <v>0</v>
      </c>
      <c r="EK11" s="365">
        <f t="shared" si="27"/>
        <v>162.67999999999998</v>
      </c>
      <c r="EL11" s="529">
        <f t="shared" si="28"/>
        <v>162.67999999999998</v>
      </c>
      <c r="EM11" s="530">
        <v>0</v>
      </c>
      <c r="EN11" s="530">
        <v>0</v>
      </c>
      <c r="EO11" s="530">
        <v>0</v>
      </c>
      <c r="EP11" s="530">
        <v>0</v>
      </c>
      <c r="EQ11" s="530">
        <v>0</v>
      </c>
      <c r="ER11" s="530">
        <v>0</v>
      </c>
      <c r="ES11" s="530">
        <v>46.69</v>
      </c>
      <c r="ET11" s="530">
        <v>41.38</v>
      </c>
      <c r="EU11" s="530">
        <v>35.82</v>
      </c>
      <c r="EV11" s="530">
        <v>38.79</v>
      </c>
      <c r="EW11" s="530">
        <v>0</v>
      </c>
      <c r="EX11" s="530">
        <v>0</v>
      </c>
      <c r="EY11" s="530">
        <f t="shared" si="29"/>
        <v>0</v>
      </c>
      <c r="EZ11" s="530">
        <f t="shared" si="30"/>
        <v>0</v>
      </c>
      <c r="FA11" s="530">
        <f t="shared" si="31"/>
        <v>123.88999999999999</v>
      </c>
      <c r="FB11" s="530">
        <f t="shared" si="32"/>
        <v>38.79</v>
      </c>
      <c r="FC11" s="384">
        <f>IFERROR(VLOOKUP(Capex!A188,BASE_558!D:R,8,FALSE)/1000,"")</f>
        <v>109.91786</v>
      </c>
      <c r="FD11" s="328">
        <f>IFERROR(VLOOKUP(Capex!A188,BASE_558!D:R,9,)/1000,"")</f>
        <v>109.67407</v>
      </c>
      <c r="FE11" s="328">
        <f>IFERROR(IF(LEFT(A11,3)="LCP",(VLOOKUP(Capex!A188,BASE_558!D:R,10,)/1000),SUMIFS('BASE ICP_PO_SC'!F:F,'BASE ICP_PO_SC'!A:A,Capex!A188,'BASE ICP_PO_SC'!E:E,"&lt;&gt;")/1000),"")</f>
        <v>0</v>
      </c>
      <c r="FF11" s="328">
        <f>IFERROR(IF(LEFT(A11,3)="LCP",(VLOOKUP(Capex!A188,BASE_558!D:R,11,)/1000),SUMIFS('BASE ICP_PO_SC'!F:F,'BASE ICP_PO_SC'!A:A,Capex!A188,'BASE ICP_PO_SC'!E:E,"")/1000),"")</f>
        <v>0</v>
      </c>
      <c r="FG11" s="328">
        <f>IFERROR(VLOOKUP(A11,BASE_558!D:R,13,FALSE)/1000,"")</f>
        <v>1042.0361800000001</v>
      </c>
      <c r="FH11" s="328">
        <f>IFERROR(VLOOKUP(A11,BASE_558!D:R,15,FALSE)/1000,"")</f>
        <v>32.774419999999999</v>
      </c>
      <c r="FI11" s="547">
        <f t="shared" si="33"/>
        <v>0</v>
      </c>
      <c r="FJ11" s="547">
        <f t="shared" si="34"/>
        <v>35.819999999999993</v>
      </c>
      <c r="FK11" s="540">
        <f t="shared" si="35"/>
        <v>-35.82</v>
      </c>
    </row>
    <row r="12" spans="1:167" s="23" customFormat="1" ht="24" customHeight="1">
      <c r="A12" s="310" t="s">
        <v>8885</v>
      </c>
      <c r="B12" s="404"/>
      <c r="C12" s="404"/>
      <c r="D12" s="338"/>
      <c r="E12" s="378"/>
      <c r="F12" s="5"/>
      <c r="G12" s="310" t="s">
        <v>8</v>
      </c>
      <c r="H12" s="338"/>
      <c r="I12" s="338"/>
      <c r="J12" s="338">
        <v>2025</v>
      </c>
      <c r="K12" s="316"/>
      <c r="L12" s="316"/>
      <c r="M12" s="409"/>
      <c r="N12" s="317" t="str">
        <f t="shared" si="7"/>
        <v/>
      </c>
      <c r="O12" s="317" t="str">
        <f t="shared" si="8"/>
        <v/>
      </c>
      <c r="P12" s="418" t="str">
        <f t="shared" si="9"/>
        <v>N/A</v>
      </c>
      <c r="Q12" s="418" t="str">
        <f t="shared" si="9"/>
        <v>N/A</v>
      </c>
      <c r="R12" s="418" t="str">
        <f t="shared" si="9"/>
        <v>N/A</v>
      </c>
      <c r="S12" s="418" t="str">
        <f t="shared" si="9"/>
        <v>N/A</v>
      </c>
      <c r="T12" s="418" t="str">
        <f t="shared" si="9"/>
        <v>N/A</v>
      </c>
      <c r="U12" s="418" t="str">
        <f t="shared" si="9"/>
        <v>N/A</v>
      </c>
      <c r="V12" s="418" t="str">
        <f t="shared" si="9"/>
        <v>N/A</v>
      </c>
      <c r="W12" s="418" t="str">
        <f t="shared" si="9"/>
        <v>N/A</v>
      </c>
      <c r="X12" s="418" t="str">
        <f t="shared" si="9"/>
        <v>N/A</v>
      </c>
      <c r="Y12" s="418" t="str">
        <f t="shared" si="9"/>
        <v>N/A</v>
      </c>
      <c r="Z12" s="418" t="str">
        <f t="shared" si="9"/>
        <v>N/A</v>
      </c>
      <c r="AA12" s="418" t="str">
        <f t="shared" si="9"/>
        <v>N/A</v>
      </c>
      <c r="AB12" s="317"/>
      <c r="AC12" s="309" t="s">
        <v>3931</v>
      </c>
      <c r="AD12" s="310"/>
      <c r="AE12" s="310"/>
      <c r="AF12" s="310" t="s">
        <v>6985</v>
      </c>
      <c r="AG12" s="310" t="s">
        <v>2485</v>
      </c>
      <c r="AH12" s="310" t="s">
        <v>7430</v>
      </c>
      <c r="AI12" s="381" t="s">
        <v>188</v>
      </c>
      <c r="AJ12" s="6" t="s">
        <v>733</v>
      </c>
      <c r="AK12" s="6" t="str">
        <f t="shared" si="10"/>
        <v>IGUAL</v>
      </c>
      <c r="AL12" s="151" t="str">
        <f>IFERROR(IF(LEFT(A12,3)="LCP",VLOOKUP(A12,STATUS_SAP_LCP!B:C,2,FALSE),VLOOKUP(A12,STATUS_SAP_ICP!B:C,2,FALSE)),"NO BUDGET")</f>
        <v>CRTD  //  SUBM BNRL EXPL</v>
      </c>
      <c r="AM12" s="6" t="str">
        <f t="shared" si="11"/>
        <v>CRTD</v>
      </c>
      <c r="AN12" s="282" t="s">
        <v>17634</v>
      </c>
      <c r="AO12" s="557"/>
      <c r="AP12" s="499" t="s">
        <v>9615</v>
      </c>
      <c r="AQ12" s="465">
        <v>46203</v>
      </c>
      <c r="AR12" s="460"/>
      <c r="AS12" s="56"/>
      <c r="AT12" s="185"/>
      <c r="AU12" s="318"/>
      <c r="AV12" s="223"/>
      <c r="AW12" s="318"/>
      <c r="AX12" s="223"/>
      <c r="AY12" s="318">
        <f t="shared" si="12"/>
        <v>51.4</v>
      </c>
      <c r="AZ12" s="223"/>
      <c r="BA12" s="318"/>
      <c r="BB12" s="519">
        <f t="shared" si="13"/>
        <v>20</v>
      </c>
      <c r="BC12" s="518">
        <v>0</v>
      </c>
      <c r="BD12" s="518">
        <v>0</v>
      </c>
      <c r="BE12" s="518">
        <v>0</v>
      </c>
      <c r="BF12" s="518">
        <v>0</v>
      </c>
      <c r="BG12" s="518">
        <v>0</v>
      </c>
      <c r="BH12" s="518">
        <v>0</v>
      </c>
      <c r="BI12" s="518">
        <v>0</v>
      </c>
      <c r="BJ12" s="518">
        <v>0</v>
      </c>
      <c r="BK12" s="518">
        <v>0</v>
      </c>
      <c r="BL12" s="518">
        <v>10</v>
      </c>
      <c r="BM12" s="518">
        <v>5</v>
      </c>
      <c r="BN12" s="518">
        <v>5</v>
      </c>
      <c r="BO12" s="367">
        <f t="shared" si="14"/>
        <v>51.4</v>
      </c>
      <c r="BP12" s="421"/>
      <c r="BQ12" s="422"/>
      <c r="BR12" s="423">
        <f>IFERROR(IF(LEFT($A12,3)="Lcp",SUMIFS('BASE-LCP'!$K:$K,'BASE-LCP'!$A:$A,Capex!$A391,'BASE-LCP'!$B:$B,"janeiro")/1000,IF(LEFT($A12,3)="icp",SUMIFS('BASE-ICP'!$K:$K,'BASE-ICP'!$A:$A,Capex!$A391,'BASE-ICP'!$B:$B,"janeiro")/1000,"")),"")</f>
        <v>0.48902999999999996</v>
      </c>
      <c r="BS12" s="427"/>
      <c r="BT12" s="372"/>
      <c r="BU12" s="422"/>
      <c r="BV12" s="423">
        <f>IFERROR(IF(LEFT($A12,3)="Lcp",SUMIFS('BASE-LCP'!$K:$K,'BASE-LCP'!$A:$A,Capex!$A391,'BASE-LCP'!$B:$B,"fevereiro")/1000,IF(LEFT($A12,3)="icp",SUMIFS('BASE-ICP'!$K:$K,'BASE-ICP'!$A:$A,Capex!$A391,'BASE-ICP'!$B:$B,"fevereiro")/1000,"")),"")</f>
        <v>0</v>
      </c>
      <c r="BW12" s="427"/>
      <c r="BX12" s="372"/>
      <c r="BY12" s="422"/>
      <c r="BZ12" s="423">
        <f>IFERROR(IF(LEFT($A12,3)="Lcp",SUMIFS('BASE-LCP'!$K:$K,'BASE-LCP'!$A:$A,Capex!$A391,'BASE-LCP'!$B:$B,"março")/1000,IF(LEFT($A12,3)="icp",SUMIFS('BASE-ICP'!$K:$K,'BASE-ICP'!$A:$A,Capex!$A391,'BASE-ICP'!$B:$B,"março")/1000,"")),"")</f>
        <v>1.11181</v>
      </c>
      <c r="CA12" s="427"/>
      <c r="CB12" s="372"/>
      <c r="CC12" s="422"/>
      <c r="CD12" s="423">
        <f>IFERROR(IF(LEFT($A12,3)="Lcp",SUMIFS('BASE-LCP'!$K:$K,'BASE-LCP'!$A:$A,Capex!$A391,'BASE-LCP'!$B:$B,"abril")/1000,IF(LEFT($A12,3)="icp",SUMIFS('BASE-ICP'!$K:$K,'BASE-ICP'!$A:$A,Capex!$A391,'BASE-ICP'!$B:$B,"abril")/1000,"")),"")</f>
        <v>5.4887300000000003</v>
      </c>
      <c r="CE12" s="427"/>
      <c r="CF12" s="372"/>
      <c r="CG12" s="422"/>
      <c r="CH12" s="423">
        <v>0</v>
      </c>
      <c r="CI12" s="427"/>
      <c r="CJ12" s="372"/>
      <c r="CK12" s="419"/>
      <c r="CL12" s="423">
        <f>IFERROR(IF(LEFT($A12,3)="Lcp",SUMIFS('BASE-LCP'!$K:$K,'BASE-LCP'!$A:$A,Capex!$A391,'BASE-LCP'!$B:$B,"junho")/1000,IF(LEFT($A12,3)="icp",SUMIFS('BASE-ICP'!$K:$K,'BASE-ICP'!$A:$A,Capex!$A391,'BASE-ICP'!$B:$B,"junho")/1000,"")),"")</f>
        <v>0</v>
      </c>
      <c r="CM12" s="427"/>
      <c r="CN12" s="372"/>
      <c r="CO12" s="419"/>
      <c r="CP12" s="423">
        <f>IFERROR(IF(LEFT($A12,3)="Lcp",SUMIFS('BASE-LCP'!$K:$K,'BASE-LCP'!$A:$A,Capex!$A391,'BASE-LCP'!$B:$B,"julho")/1000,IF(LEFT($A12,3)="icp",SUMIFS('BASE-ICP'!$K:$K,'BASE-ICP'!$A:$A,Capex!$A391,'BASE-ICP'!$B:$B,"julho")/1000,"")),"")</f>
        <v>0</v>
      </c>
      <c r="CQ12" s="427"/>
      <c r="CR12" s="372"/>
      <c r="CS12" s="419"/>
      <c r="CT12" s="423">
        <f>IFERROR(IF(LEFT($A12,3)="Lcp",SUMIFS('BASE-LCP'!$K:$K,'BASE-LCP'!$A:$A,Capex!$A391,'BASE-LCP'!$B:$B,"agosto")/1000,IF(LEFT($A12,3)="icp",SUMIFS('BASE-ICP'!$K:$K,'BASE-ICP'!$A:$A,Capex!$A391,'BASE-ICP'!$B:$B,"agosto")/1000,"")),"")</f>
        <v>0</v>
      </c>
      <c r="CU12" s="427"/>
      <c r="CV12" s="372"/>
      <c r="CW12" s="419"/>
      <c r="CX12" s="423">
        <f>IFERROR(IF(LEFT($A12,3)="Lcp",SUMIFS('BASE-LCP'!$K:$K,'BASE-LCP'!$A:$A,Capex!$A391,'BASE-LCP'!$B:$B,"setembro")/1000,IF(LEFT($A12,3)="icp",SUMIFS('BASE-ICP'!$K:$K,'BASE-ICP'!$A:$A,Capex!$A391,'BASE-ICP'!$B:$B,"setembro")/1000,"")),"")</f>
        <v>0</v>
      </c>
      <c r="CY12" s="427"/>
      <c r="CZ12" s="372"/>
      <c r="DA12" s="419"/>
      <c r="DB12" s="423">
        <f>IFERROR(IF(LEFT($A12,3)="Lcp",SUMIFS('BASE-LCP'!$K:$K,'BASE-LCP'!$A:$A,Capex!$A391,'BASE-LCP'!$B:$B,"outubro")/1000,IF(LEFT($A12,3)="icp",SUMIFS('BASE-ICP'!$K:$K,'BASE-ICP'!$A:$A,Capex!$A391,'BASE-ICP'!$B:$B,"outubro")/1000,"")),"")</f>
        <v>0</v>
      </c>
      <c r="DC12" s="427">
        <v>41.4</v>
      </c>
      <c r="DD12" s="372"/>
      <c r="DE12" s="419"/>
      <c r="DF12" s="423">
        <f>IFERROR(IF(LEFT($A12,3)="Lcp",SUMIFS('BASE-LCP'!$K:$K,'BASE-LCP'!$A:$A,Capex!$A391,'BASE-LCP'!$B:$B,"novembro")/1000,IF(LEFT($A12,3)="icp",SUMIFS('BASE-ICP'!$K:$K,'BASE-ICP'!$A:$A,Capex!$A391,'BASE-ICP'!$B:$B,"novembro")/1000,"")),"")</f>
        <v>0</v>
      </c>
      <c r="DG12" s="427">
        <v>5</v>
      </c>
      <c r="DH12" s="372"/>
      <c r="DI12" s="419"/>
      <c r="DJ12" s="423">
        <f>IFERROR(IF(LEFT($A12,3)="Lcp",SUMIFS('BASE-LCP'!$K:$K,'BASE-LCP'!$A:$A,Capex!$A391,'BASE-LCP'!$B:$B,"dezembro")/1000,IF(LEFT($A12,3)="icp",SUMIFS('BASE-ICP'!$K:$K,'BASE-ICP'!$A:$A,Capex!$A391,'BASE-ICP'!$B:$B,"dezembro")/1000,"")),"")</f>
        <v>0</v>
      </c>
      <c r="DK12" s="427">
        <v>5</v>
      </c>
      <c r="DL12" s="452">
        <f t="shared" si="15"/>
        <v>51.4</v>
      </c>
      <c r="DM12" s="374"/>
      <c r="DN12" s="374">
        <v>51.4</v>
      </c>
      <c r="DO12" s="374"/>
      <c r="DP12" s="374"/>
      <c r="DQ12" s="374"/>
      <c r="DR12" s="374"/>
      <c r="DS12" s="374"/>
      <c r="DT12" s="374"/>
      <c r="DU12" s="374"/>
      <c r="DV12" s="374"/>
      <c r="DW12" s="374"/>
      <c r="DX12" s="374"/>
      <c r="DY12" s="450"/>
      <c r="DZ12" s="374">
        <f t="shared" si="16"/>
        <v>51.4</v>
      </c>
      <c r="EA12" s="216">
        <f t="shared" si="17"/>
        <v>0</v>
      </c>
      <c r="EB12" s="320">
        <f t="shared" si="18"/>
        <v>0</v>
      </c>
      <c r="EC12" s="241">
        <f t="shared" si="19"/>
        <v>0</v>
      </c>
      <c r="ED12" s="241">
        <f t="shared" si="20"/>
        <v>0</v>
      </c>
      <c r="EE12" s="241">
        <f t="shared" si="21"/>
        <v>0</v>
      </c>
      <c r="EF12" s="241">
        <f t="shared" si="22"/>
        <v>51.4</v>
      </c>
      <c r="EG12" s="346">
        <f t="shared" si="23"/>
        <v>31.4</v>
      </c>
      <c r="EH12" s="445">
        <f t="shared" si="24"/>
        <v>0</v>
      </c>
      <c r="EI12" s="447">
        <f t="shared" si="25"/>
        <v>0</v>
      </c>
      <c r="EJ12" s="364">
        <f t="shared" si="26"/>
        <v>0</v>
      </c>
      <c r="EK12" s="365">
        <f t="shared" si="27"/>
        <v>51.4</v>
      </c>
      <c r="EL12" s="529">
        <f t="shared" si="28"/>
        <v>51.4</v>
      </c>
      <c r="EM12" s="530">
        <v>0</v>
      </c>
      <c r="EN12" s="530">
        <v>0</v>
      </c>
      <c r="EO12" s="530">
        <v>0</v>
      </c>
      <c r="EP12" s="530">
        <v>0</v>
      </c>
      <c r="EQ12" s="530">
        <v>0</v>
      </c>
      <c r="ER12" s="530">
        <v>0</v>
      </c>
      <c r="ES12" s="530">
        <v>0</v>
      </c>
      <c r="ET12" s="530">
        <v>0</v>
      </c>
      <c r="EU12" s="530">
        <v>31.4</v>
      </c>
      <c r="EV12" s="530">
        <v>10</v>
      </c>
      <c r="EW12" s="530">
        <v>5</v>
      </c>
      <c r="EX12" s="530">
        <v>5</v>
      </c>
      <c r="EY12" s="530">
        <f t="shared" si="29"/>
        <v>0</v>
      </c>
      <c r="EZ12" s="530">
        <f t="shared" si="30"/>
        <v>0</v>
      </c>
      <c r="FA12" s="530">
        <f t="shared" si="31"/>
        <v>31.4</v>
      </c>
      <c r="FB12" s="530">
        <f t="shared" si="32"/>
        <v>20</v>
      </c>
      <c r="FC12" s="384">
        <f>IFERROR(VLOOKUP(Capex!A391,BASE_558!D:R,8,FALSE)/1000,"")</f>
        <v>769.08019999999999</v>
      </c>
      <c r="FD12" s="328">
        <f>IFERROR(VLOOKUP(Capex!A391,BASE_558!D:R,9,)/1000,"")</f>
        <v>689.52266000000009</v>
      </c>
      <c r="FE12" s="328">
        <f>IFERROR(IF(LEFT(A12,3)="LCP",(VLOOKUP(Capex!A391,BASE_558!D:R,10,)/1000),SUMIFS('BASE ICP_PO_SC'!F:F,'BASE ICP_PO_SC'!A:A,Capex!A391,'BASE ICP_PO_SC'!E:E,"&lt;&gt;")/1000),"")</f>
        <v>6.6106000000000007</v>
      </c>
      <c r="FF12" s="328">
        <f>IFERROR(IF(LEFT(A12,3)="LCP",(VLOOKUP(Capex!A391,BASE_558!D:R,11,)/1000),SUMIFS('BASE ICP_PO_SC'!F:F,'BASE ICP_PO_SC'!A:A,Capex!A391,'BASE ICP_PO_SC'!E:E,"")/1000),"")</f>
        <v>266.19826</v>
      </c>
      <c r="FG12" s="328">
        <f>IFERROR(VLOOKUP(A12,BASE_558!D:R,13,FALSE)/1000,"")</f>
        <v>0</v>
      </c>
      <c r="FH12" s="328">
        <f>IFERROR(VLOOKUP(A12,BASE_558!D:R,15,FALSE)/1000,"")</f>
        <v>0</v>
      </c>
      <c r="FI12" s="547">
        <f t="shared" si="33"/>
        <v>0</v>
      </c>
      <c r="FJ12" s="547">
        <f t="shared" si="34"/>
        <v>31.4</v>
      </c>
      <c r="FK12" s="540">
        <f t="shared" si="35"/>
        <v>-31.4</v>
      </c>
    </row>
    <row r="13" spans="1:167" s="23" customFormat="1" ht="24" customHeight="1">
      <c r="A13" s="310" t="s">
        <v>7453</v>
      </c>
      <c r="B13" s="404"/>
      <c r="C13" s="404"/>
      <c r="D13" s="338"/>
      <c r="E13" s="378"/>
      <c r="F13" s="5"/>
      <c r="G13" s="310" t="s">
        <v>8</v>
      </c>
      <c r="H13" s="338"/>
      <c r="I13" s="338"/>
      <c r="J13" s="338"/>
      <c r="K13" s="316"/>
      <c r="L13" s="316"/>
      <c r="M13" s="409"/>
      <c r="N13" s="317" t="str">
        <f t="shared" si="7"/>
        <v/>
      </c>
      <c r="O13" s="317" t="str">
        <f t="shared" si="8"/>
        <v/>
      </c>
      <c r="P13" s="418" t="str">
        <f t="shared" si="9"/>
        <v>N/A</v>
      </c>
      <c r="Q13" s="418" t="str">
        <f t="shared" si="9"/>
        <v>N/A</v>
      </c>
      <c r="R13" s="418" t="str">
        <f t="shared" si="9"/>
        <v>N/A</v>
      </c>
      <c r="S13" s="418" t="str">
        <f t="shared" si="9"/>
        <v>N/A</v>
      </c>
      <c r="T13" s="418" t="str">
        <f t="shared" si="9"/>
        <v>N/A</v>
      </c>
      <c r="U13" s="418" t="str">
        <f t="shared" si="9"/>
        <v>N/A</v>
      </c>
      <c r="V13" s="418" t="str">
        <f t="shared" si="9"/>
        <v>N/A</v>
      </c>
      <c r="W13" s="418" t="str">
        <f t="shared" si="9"/>
        <v>N/A</v>
      </c>
      <c r="X13" s="418" t="str">
        <f t="shared" si="9"/>
        <v>N/A</v>
      </c>
      <c r="Y13" s="418" t="str">
        <f t="shared" si="9"/>
        <v>N/A</v>
      </c>
      <c r="Z13" s="418" t="str">
        <f t="shared" si="9"/>
        <v>N/A</v>
      </c>
      <c r="AA13" s="418" t="str">
        <f t="shared" si="9"/>
        <v>N/A</v>
      </c>
      <c r="AB13" s="317"/>
      <c r="AC13" s="309" t="s">
        <v>2508</v>
      </c>
      <c r="AD13" s="310"/>
      <c r="AE13" s="310"/>
      <c r="AF13" s="310" t="s">
        <v>6985</v>
      </c>
      <c r="AG13" s="310" t="s">
        <v>6882</v>
      </c>
      <c r="AH13" s="310" t="s">
        <v>7454</v>
      </c>
      <c r="AI13" s="309" t="s">
        <v>2255</v>
      </c>
      <c r="AJ13" s="6" t="s">
        <v>733</v>
      </c>
      <c r="AK13" s="6" t="str">
        <f t="shared" si="10"/>
        <v>IGUAL</v>
      </c>
      <c r="AL13" s="151" t="str">
        <f>IFERROR(IF(LEFT(A13,3)="LCP",VLOOKUP(A13,STATUS_SAP_LCP!B:C,2,FALSE),VLOOKUP(A13,STATUS_SAP_ICP!B:C,2,FALSE)),"NO BUDGET")</f>
        <v>CRTD  //  SUBM BNRL EXPL</v>
      </c>
      <c r="AM13" s="6" t="str">
        <f t="shared" si="11"/>
        <v>CRTD</v>
      </c>
      <c r="AN13" s="282" t="s">
        <v>17704</v>
      </c>
      <c r="AO13" s="557"/>
      <c r="AP13" s="499" t="s">
        <v>9615</v>
      </c>
      <c r="AQ13" s="465">
        <v>46022</v>
      </c>
      <c r="AR13" s="460"/>
      <c r="AS13" s="56"/>
      <c r="AT13" s="185"/>
      <c r="AU13" s="318"/>
      <c r="AV13" s="223"/>
      <c r="AW13" s="318"/>
      <c r="AX13" s="223"/>
      <c r="AY13" s="318">
        <f t="shared" si="12"/>
        <v>192</v>
      </c>
      <c r="AZ13" s="223"/>
      <c r="BA13" s="318"/>
      <c r="BB13" s="519">
        <f t="shared" si="13"/>
        <v>0</v>
      </c>
      <c r="BC13" s="518"/>
      <c r="BD13" s="518"/>
      <c r="BE13" s="518"/>
      <c r="BF13" s="518"/>
      <c r="BG13" s="518"/>
      <c r="BH13" s="518"/>
      <c r="BI13" s="518"/>
      <c r="BJ13" s="518"/>
      <c r="BK13" s="518"/>
      <c r="BL13" s="518"/>
      <c r="BM13" s="518"/>
      <c r="BN13" s="518"/>
      <c r="BO13" s="367">
        <f t="shared" si="14"/>
        <v>192</v>
      </c>
      <c r="BP13" s="421"/>
      <c r="BQ13" s="422"/>
      <c r="BR13" s="423">
        <f>IFERROR(IF(LEFT($A13,3)="Lcp",SUMIFS('BASE-LCP'!$K:$K,'BASE-LCP'!$A:$A,Capex!$A387,'BASE-LCP'!$B:$B,"janeiro")/1000,IF(LEFT($A13,3)="icp",SUMIFS('BASE-ICP'!$K:$K,'BASE-ICP'!$A:$A,Capex!$A387,'BASE-ICP'!$B:$B,"janeiro")/1000,"")),"")</f>
        <v>0</v>
      </c>
      <c r="BS13" s="427"/>
      <c r="BT13" s="372"/>
      <c r="BU13" s="422"/>
      <c r="BV13" s="423">
        <f>IFERROR(IF(LEFT($A13,3)="Lcp",SUMIFS('BASE-LCP'!$K:$K,'BASE-LCP'!$A:$A,Capex!$A387,'BASE-LCP'!$B:$B,"fevereiro")/1000,IF(LEFT($A13,3)="icp",SUMIFS('BASE-ICP'!$K:$K,'BASE-ICP'!$A:$A,Capex!$A387,'BASE-ICP'!$B:$B,"fevereiro")/1000,"")),"")</f>
        <v>0</v>
      </c>
      <c r="BW13" s="427"/>
      <c r="BX13" s="372"/>
      <c r="BY13" s="422"/>
      <c r="BZ13" s="423">
        <f>IFERROR(IF(LEFT($A13,3)="Lcp",SUMIFS('BASE-LCP'!$K:$K,'BASE-LCP'!$A:$A,Capex!$A387,'BASE-LCP'!$B:$B,"março")/1000,IF(LEFT($A13,3)="icp",SUMIFS('BASE-ICP'!$K:$K,'BASE-ICP'!$A:$A,Capex!$A387,'BASE-ICP'!$B:$B,"março")/1000,"")),"")</f>
        <v>0</v>
      </c>
      <c r="CA13" s="427"/>
      <c r="CB13" s="372"/>
      <c r="CC13" s="422"/>
      <c r="CD13" s="423">
        <f>IFERROR(IF(LEFT($A13,3)="Lcp",SUMIFS('BASE-LCP'!$K:$K,'BASE-LCP'!$A:$A,Capex!$A387,'BASE-LCP'!$B:$B,"abril")/1000,IF(LEFT($A13,3)="icp",SUMIFS('BASE-ICP'!$K:$K,'BASE-ICP'!$A:$A,Capex!$A387,'BASE-ICP'!$B:$B,"abril")/1000,"")),"")</f>
        <v>0</v>
      </c>
      <c r="CE13" s="427"/>
      <c r="CF13" s="372"/>
      <c r="CG13" s="422"/>
      <c r="CH13" s="423">
        <v>0</v>
      </c>
      <c r="CI13" s="427"/>
      <c r="CJ13" s="372"/>
      <c r="CK13" s="419"/>
      <c r="CL13" s="423">
        <f>IFERROR(IF(LEFT($A13,3)="Lcp",SUMIFS('BASE-LCP'!$K:$K,'BASE-LCP'!$A:$A,Capex!$A387,'BASE-LCP'!$B:$B,"junho")/1000,IF(LEFT($A13,3)="icp",SUMIFS('BASE-ICP'!$K:$K,'BASE-ICP'!$A:$A,Capex!$A387,'BASE-ICP'!$B:$B,"junho")/1000,"")),"")</f>
        <v>0</v>
      </c>
      <c r="CM13" s="427"/>
      <c r="CN13" s="372"/>
      <c r="CO13" s="419"/>
      <c r="CP13" s="423">
        <f>IFERROR(IF(LEFT($A13,3)="Lcp",SUMIFS('BASE-LCP'!$K:$K,'BASE-LCP'!$A:$A,Capex!$A387,'BASE-LCP'!$B:$B,"julho")/1000,IF(LEFT($A13,3)="icp",SUMIFS('BASE-ICP'!$K:$K,'BASE-ICP'!$A:$A,Capex!$A387,'BASE-ICP'!$B:$B,"julho")/1000,"")),"")</f>
        <v>0</v>
      </c>
      <c r="CQ13" s="427"/>
      <c r="CR13" s="372"/>
      <c r="CS13" s="419"/>
      <c r="CT13" s="423">
        <f>IFERROR(IF(LEFT($A13,3)="Lcp",SUMIFS('BASE-LCP'!$K:$K,'BASE-LCP'!$A:$A,Capex!$A387,'BASE-LCP'!$B:$B,"agosto")/1000,IF(LEFT($A13,3)="icp",SUMIFS('BASE-ICP'!$K:$K,'BASE-ICP'!$A:$A,Capex!$A387,'BASE-ICP'!$B:$B,"agosto")/1000,"")),"")</f>
        <v>0</v>
      </c>
      <c r="CU13" s="427"/>
      <c r="CV13" s="372"/>
      <c r="CW13" s="419"/>
      <c r="CX13" s="423">
        <f>IFERROR(IF(LEFT($A13,3)="Lcp",SUMIFS('BASE-LCP'!$K:$K,'BASE-LCP'!$A:$A,Capex!$A387,'BASE-LCP'!$B:$B,"setembro")/1000,IF(LEFT($A13,3)="icp",SUMIFS('BASE-ICP'!$K:$K,'BASE-ICP'!$A:$A,Capex!$A387,'BASE-ICP'!$B:$B,"setembro")/1000,"")),"")</f>
        <v>0</v>
      </c>
      <c r="CY13" s="427">
        <v>0</v>
      </c>
      <c r="CZ13" s="372"/>
      <c r="DA13" s="419"/>
      <c r="DB13" s="423">
        <f>IFERROR(IF(LEFT($A13,3)="Lcp",SUMIFS('BASE-LCP'!$K:$K,'BASE-LCP'!$A:$A,Capex!$A387,'BASE-LCP'!$B:$B,"outubro")/1000,IF(LEFT($A13,3)="icp",SUMIFS('BASE-ICP'!$K:$K,'BASE-ICP'!$A:$A,Capex!$A387,'BASE-ICP'!$B:$B,"outubro")/1000,"")),"")</f>
        <v>0</v>
      </c>
      <c r="DC13" s="427">
        <v>81</v>
      </c>
      <c r="DD13" s="372"/>
      <c r="DE13" s="419"/>
      <c r="DF13" s="423">
        <f>IFERROR(IF(LEFT($A13,3)="Lcp",SUMIFS('BASE-LCP'!$K:$K,'BASE-LCP'!$A:$A,Capex!$A387,'BASE-LCP'!$B:$B,"novembro")/1000,IF(LEFT($A13,3)="icp",SUMIFS('BASE-ICP'!$K:$K,'BASE-ICP'!$A:$A,Capex!$A387,'BASE-ICP'!$B:$B,"novembro")/1000,"")),"")</f>
        <v>0</v>
      </c>
      <c r="DG13" s="427">
        <v>81</v>
      </c>
      <c r="DH13" s="372"/>
      <c r="DI13" s="419"/>
      <c r="DJ13" s="423">
        <f>IFERROR(IF(LEFT($A13,3)="Lcp",SUMIFS('BASE-LCP'!$K:$K,'BASE-LCP'!$A:$A,Capex!$A387,'BASE-LCP'!$B:$B,"dezembro")/1000,IF(LEFT($A13,3)="icp",SUMIFS('BASE-ICP'!$K:$K,'BASE-ICP'!$A:$A,Capex!$A387,'BASE-ICP'!$B:$B,"dezembro")/1000,"")),"")</f>
        <v>0</v>
      </c>
      <c r="DK13" s="427">
        <v>30</v>
      </c>
      <c r="DL13" s="452">
        <f t="shared" si="15"/>
        <v>77</v>
      </c>
      <c r="DM13" s="374"/>
      <c r="DN13" s="374">
        <f>269-192</f>
        <v>77</v>
      </c>
      <c r="DO13" s="374"/>
      <c r="DP13" s="374"/>
      <c r="DQ13" s="374"/>
      <c r="DR13" s="374"/>
      <c r="DS13" s="374"/>
      <c r="DT13" s="374"/>
      <c r="DU13" s="374"/>
      <c r="DV13" s="374"/>
      <c r="DW13" s="374"/>
      <c r="DX13" s="374"/>
      <c r="DY13" s="450"/>
      <c r="DZ13" s="374">
        <f t="shared" si="16"/>
        <v>77</v>
      </c>
      <c r="EA13" s="216">
        <f t="shared" si="17"/>
        <v>0</v>
      </c>
      <c r="EB13" s="320">
        <f t="shared" si="18"/>
        <v>0</v>
      </c>
      <c r="EC13" s="241">
        <f t="shared" si="19"/>
        <v>0</v>
      </c>
      <c r="ED13" s="241">
        <f t="shared" si="20"/>
        <v>0</v>
      </c>
      <c r="EE13" s="241">
        <f t="shared" si="21"/>
        <v>0</v>
      </c>
      <c r="EF13" s="241">
        <f t="shared" si="22"/>
        <v>192</v>
      </c>
      <c r="EG13" s="346">
        <f t="shared" si="23"/>
        <v>192</v>
      </c>
      <c r="EH13" s="445">
        <f t="shared" si="24"/>
        <v>0</v>
      </c>
      <c r="EI13" s="447">
        <f t="shared" si="25"/>
        <v>0</v>
      </c>
      <c r="EJ13" s="364">
        <f t="shared" si="26"/>
        <v>0</v>
      </c>
      <c r="EK13" s="365">
        <f t="shared" si="27"/>
        <v>192</v>
      </c>
      <c r="EL13" s="529">
        <f t="shared" si="28"/>
        <v>192</v>
      </c>
      <c r="EM13" s="530">
        <v>0</v>
      </c>
      <c r="EN13" s="530">
        <v>0</v>
      </c>
      <c r="EO13" s="530">
        <v>0</v>
      </c>
      <c r="EP13" s="530">
        <v>0</v>
      </c>
      <c r="EQ13" s="530">
        <v>0</v>
      </c>
      <c r="ER13" s="530">
        <v>0</v>
      </c>
      <c r="ES13" s="530">
        <v>0</v>
      </c>
      <c r="ET13" s="530">
        <v>0</v>
      </c>
      <c r="EU13" s="530">
        <v>30</v>
      </c>
      <c r="EV13" s="530">
        <v>81</v>
      </c>
      <c r="EW13" s="530">
        <v>81</v>
      </c>
      <c r="EX13" s="530">
        <v>0</v>
      </c>
      <c r="EY13" s="530">
        <f t="shared" si="29"/>
        <v>0</v>
      </c>
      <c r="EZ13" s="530">
        <f t="shared" si="30"/>
        <v>0</v>
      </c>
      <c r="FA13" s="530">
        <f t="shared" si="31"/>
        <v>30</v>
      </c>
      <c r="FB13" s="530">
        <f t="shared" si="32"/>
        <v>162</v>
      </c>
      <c r="FC13" s="384">
        <f>IFERROR(VLOOKUP(Capex!A387,BASE_558!D:R,8,FALSE)/1000,"")</f>
        <v>216.6</v>
      </c>
      <c r="FD13" s="328">
        <f>IFERROR(VLOOKUP(Capex!A387,BASE_558!D:R,9,)/1000,"")</f>
        <v>137.55483999999998</v>
      </c>
      <c r="FE13" s="328">
        <f>IFERROR(IF(LEFT(A13,3)="LCP",(VLOOKUP(Capex!A387,BASE_558!D:R,10,)/1000),SUMIFS('BASE ICP_PO_SC'!F:F,'BASE ICP_PO_SC'!A:A,Capex!A387,'BASE ICP_PO_SC'!E:E,"&lt;&gt;")/1000),"")</f>
        <v>5.5423200000000001</v>
      </c>
      <c r="FF13" s="328">
        <f>IFERROR(IF(LEFT(A13,3)="LCP",(VLOOKUP(Capex!A387,BASE_558!D:R,11,)/1000),SUMIFS('BASE ICP_PO_SC'!F:F,'BASE ICP_PO_SC'!A:A,Capex!A387,'BASE ICP_PO_SC'!E:E,"")/1000),"")</f>
        <v>0</v>
      </c>
      <c r="FG13" s="328">
        <f>IFERROR(VLOOKUP(A13,BASE_558!D:R,13,FALSE)/1000,"")</f>
        <v>0</v>
      </c>
      <c r="FH13" s="328">
        <f>IFERROR(VLOOKUP(A13,BASE_558!D:R,15,FALSE)/1000,"")</f>
        <v>0</v>
      </c>
      <c r="FI13" s="547">
        <f t="shared" si="33"/>
        <v>0</v>
      </c>
      <c r="FJ13" s="547">
        <f t="shared" si="34"/>
        <v>30</v>
      </c>
      <c r="FK13" s="540">
        <f t="shared" si="35"/>
        <v>-30</v>
      </c>
    </row>
    <row r="14" spans="1:167" s="23" customFormat="1" ht="24" customHeight="1">
      <c r="A14" s="310" t="s">
        <v>8883</v>
      </c>
      <c r="B14" s="404"/>
      <c r="C14" s="404"/>
      <c r="D14" s="338"/>
      <c r="E14" s="378"/>
      <c r="F14" s="5"/>
      <c r="G14" s="310" t="s">
        <v>8</v>
      </c>
      <c r="H14" s="338"/>
      <c r="I14" s="338"/>
      <c r="J14" s="338">
        <v>2025</v>
      </c>
      <c r="K14" s="316"/>
      <c r="L14" s="316"/>
      <c r="M14" s="409"/>
      <c r="N14" s="317" t="str">
        <f t="shared" si="7"/>
        <v/>
      </c>
      <c r="O14" s="317" t="str">
        <f t="shared" si="8"/>
        <v/>
      </c>
      <c r="P14" s="418" t="str">
        <f t="shared" si="9"/>
        <v>N/A</v>
      </c>
      <c r="Q14" s="418" t="str">
        <f t="shared" si="9"/>
        <v>N/A</v>
      </c>
      <c r="R14" s="418" t="str">
        <f t="shared" si="9"/>
        <v>N/A</v>
      </c>
      <c r="S14" s="418" t="str">
        <f t="shared" si="9"/>
        <v>N/A</v>
      </c>
      <c r="T14" s="418" t="str">
        <f t="shared" si="9"/>
        <v>N/A</v>
      </c>
      <c r="U14" s="418" t="str">
        <f t="shared" si="9"/>
        <v>N/A</v>
      </c>
      <c r="V14" s="418" t="str">
        <f t="shared" si="9"/>
        <v>N/A</v>
      </c>
      <c r="W14" s="418" t="str">
        <f t="shared" si="9"/>
        <v>N/A</v>
      </c>
      <c r="X14" s="418" t="str">
        <f t="shared" si="9"/>
        <v>N/A</v>
      </c>
      <c r="Y14" s="418" t="str">
        <f t="shared" si="9"/>
        <v>N/A</v>
      </c>
      <c r="Z14" s="418" t="str">
        <f t="shared" si="9"/>
        <v>N/A</v>
      </c>
      <c r="AA14" s="418" t="str">
        <f t="shared" si="9"/>
        <v>N/A</v>
      </c>
      <c r="AB14" s="317"/>
      <c r="AC14" s="309" t="s">
        <v>3931</v>
      </c>
      <c r="AD14" s="310"/>
      <c r="AE14" s="310"/>
      <c r="AF14" s="310" t="s">
        <v>6985</v>
      </c>
      <c r="AG14" s="310" t="s">
        <v>2485</v>
      </c>
      <c r="AH14" s="310" t="s">
        <v>8881</v>
      </c>
      <c r="AI14" s="309" t="s">
        <v>188</v>
      </c>
      <c r="AJ14" s="6" t="s">
        <v>733</v>
      </c>
      <c r="AK14" s="6" t="str">
        <f t="shared" si="10"/>
        <v>IGUAL</v>
      </c>
      <c r="AL14" s="151" t="str">
        <f>IFERROR(IF(LEFT(A14,3)="LCP",VLOOKUP(A14,STATUS_SAP_LCP!B:C,2,FALSE),VLOOKUP(A14,STATUS_SAP_ICP!B:C,2,FALSE)),"NO BUDGET")</f>
        <v>CRTD  //  SUBM BNRL EXPL</v>
      </c>
      <c r="AM14" s="6" t="str">
        <f t="shared" si="11"/>
        <v>CRTD</v>
      </c>
      <c r="AN14" s="282" t="s">
        <v>17633</v>
      </c>
      <c r="AO14" s="557"/>
      <c r="AP14" s="499" t="s">
        <v>9615</v>
      </c>
      <c r="AQ14" s="465">
        <v>46022</v>
      </c>
      <c r="AR14" s="460"/>
      <c r="AS14" s="56"/>
      <c r="AT14" s="185"/>
      <c r="AU14" s="318"/>
      <c r="AV14" s="223"/>
      <c r="AW14" s="318"/>
      <c r="AX14" s="223"/>
      <c r="AY14" s="318">
        <f t="shared" si="12"/>
        <v>20</v>
      </c>
      <c r="AZ14" s="223"/>
      <c r="BA14" s="318"/>
      <c r="BB14" s="519">
        <f t="shared" si="13"/>
        <v>0</v>
      </c>
      <c r="BC14" s="518"/>
      <c r="BD14" s="518"/>
      <c r="BE14" s="518"/>
      <c r="BF14" s="518"/>
      <c r="BG14" s="518"/>
      <c r="BH14" s="518"/>
      <c r="BI14" s="518"/>
      <c r="BJ14" s="518"/>
      <c r="BK14" s="518"/>
      <c r="BL14" s="518"/>
      <c r="BM14" s="518"/>
      <c r="BN14" s="518"/>
      <c r="BO14" s="367">
        <f t="shared" si="14"/>
        <v>20</v>
      </c>
      <c r="BP14" s="421"/>
      <c r="BQ14" s="422"/>
      <c r="BR14" s="423">
        <f>IFERROR(IF(LEFT($A14,3)="Lcp",SUMIFS('BASE-LCP'!$K:$K,'BASE-LCP'!$A:$A,Capex!$A390,'BASE-LCP'!$B:$B,"janeiro")/1000,IF(LEFT($A14,3)="icp",SUMIFS('BASE-ICP'!$K:$K,'BASE-ICP'!$A:$A,Capex!$A390,'BASE-ICP'!$B:$B,"janeiro")/1000,"")),"")</f>
        <v>0</v>
      </c>
      <c r="BS14" s="427"/>
      <c r="BT14" s="372"/>
      <c r="BU14" s="422"/>
      <c r="BV14" s="423">
        <f>IFERROR(IF(LEFT($A14,3)="Lcp",SUMIFS('BASE-LCP'!$K:$K,'BASE-LCP'!$A:$A,Capex!$A390,'BASE-LCP'!$B:$B,"fevereiro")/1000,IF(LEFT($A14,3)="icp",SUMIFS('BASE-ICP'!$K:$K,'BASE-ICP'!$A:$A,Capex!$A390,'BASE-ICP'!$B:$B,"fevereiro")/1000,"")),"")</f>
        <v>0</v>
      </c>
      <c r="BW14" s="427"/>
      <c r="BX14" s="372"/>
      <c r="BY14" s="422"/>
      <c r="BZ14" s="423">
        <f>IFERROR(IF(LEFT($A14,3)="Lcp",SUMIFS('BASE-LCP'!$K:$K,'BASE-LCP'!$A:$A,Capex!$A390,'BASE-LCP'!$B:$B,"março")/1000,IF(LEFT($A14,3)="icp",SUMIFS('BASE-ICP'!$K:$K,'BASE-ICP'!$A:$A,Capex!$A390,'BASE-ICP'!$B:$B,"março")/1000,"")),"")</f>
        <v>0</v>
      </c>
      <c r="CA14" s="427"/>
      <c r="CB14" s="372"/>
      <c r="CC14" s="422"/>
      <c r="CD14" s="423">
        <f>IFERROR(IF(LEFT($A14,3)="Lcp",SUMIFS('BASE-LCP'!$K:$K,'BASE-LCP'!$A:$A,Capex!$A390,'BASE-LCP'!$B:$B,"abril")/1000,IF(LEFT($A14,3)="icp",SUMIFS('BASE-ICP'!$K:$K,'BASE-ICP'!$A:$A,Capex!$A390,'BASE-ICP'!$B:$B,"abril")/1000,"")),"")</f>
        <v>0</v>
      </c>
      <c r="CE14" s="427"/>
      <c r="CF14" s="372"/>
      <c r="CG14" s="422"/>
      <c r="CH14" s="423">
        <v>0</v>
      </c>
      <c r="CI14" s="427"/>
      <c r="CJ14" s="372">
        <v>0</v>
      </c>
      <c r="CK14" s="419"/>
      <c r="CL14" s="423">
        <f>IFERROR(IF(LEFT($A14,3)="Lcp",SUMIFS('BASE-LCP'!$K:$K,'BASE-LCP'!$A:$A,Capex!$A390,'BASE-LCP'!$B:$B,"junho")/1000,IF(LEFT($A14,3)="icp",SUMIFS('BASE-ICP'!$K:$K,'BASE-ICP'!$A:$A,Capex!$A390,'BASE-ICP'!$B:$B,"junho")/1000,"")),"")</f>
        <v>0</v>
      </c>
      <c r="CM14" s="427">
        <v>0</v>
      </c>
      <c r="CN14" s="372"/>
      <c r="CO14" s="419"/>
      <c r="CP14" s="423">
        <f>IFERROR(IF(LEFT($A14,3)="Lcp",SUMIFS('BASE-LCP'!$K:$K,'BASE-LCP'!$A:$A,Capex!$A390,'BASE-LCP'!$B:$B,"julho")/1000,IF(LEFT($A14,3)="icp",SUMIFS('BASE-ICP'!$K:$K,'BASE-ICP'!$A:$A,Capex!$A390,'BASE-ICP'!$B:$B,"julho")/1000,"")),"")</f>
        <v>0</v>
      </c>
      <c r="CQ14" s="427"/>
      <c r="CR14" s="372"/>
      <c r="CS14" s="419"/>
      <c r="CT14" s="423">
        <f>IFERROR(IF(LEFT($A14,3)="Lcp",SUMIFS('BASE-LCP'!$K:$K,'BASE-LCP'!$A:$A,Capex!$A390,'BASE-LCP'!$B:$B,"agosto")/1000,IF(LEFT($A14,3)="icp",SUMIFS('BASE-ICP'!$K:$K,'BASE-ICP'!$A:$A,Capex!$A390,'BASE-ICP'!$B:$B,"agosto")/1000,"")),"")</f>
        <v>0</v>
      </c>
      <c r="CU14" s="427"/>
      <c r="CV14" s="372"/>
      <c r="CW14" s="419"/>
      <c r="CX14" s="423">
        <f>IFERROR(IF(LEFT($A14,3)="Lcp",SUMIFS('BASE-LCP'!$K:$K,'BASE-LCP'!$A:$A,Capex!$A390,'BASE-LCP'!$B:$B,"setembro")/1000,IF(LEFT($A14,3)="icp",SUMIFS('BASE-ICP'!$K:$K,'BASE-ICP'!$A:$A,Capex!$A390,'BASE-ICP'!$B:$B,"setembro")/1000,"")),"")</f>
        <v>0</v>
      </c>
      <c r="CY14" s="427"/>
      <c r="CZ14" s="372"/>
      <c r="DA14" s="419"/>
      <c r="DB14" s="423">
        <f>IFERROR(IF(LEFT($A14,3)="Lcp",SUMIFS('BASE-LCP'!$K:$K,'BASE-LCP'!$A:$A,Capex!$A390,'BASE-LCP'!$B:$B,"outubro")/1000,IF(LEFT($A14,3)="icp",SUMIFS('BASE-ICP'!$K:$K,'BASE-ICP'!$A:$A,Capex!$A390,'BASE-ICP'!$B:$B,"outubro")/1000,"")),"")</f>
        <v>0</v>
      </c>
      <c r="DC14" s="427"/>
      <c r="DD14" s="372"/>
      <c r="DE14" s="419"/>
      <c r="DF14" s="423">
        <f>IFERROR(IF(LEFT($A14,3)="Lcp",SUMIFS('BASE-LCP'!$K:$K,'BASE-LCP'!$A:$A,Capex!$A390,'BASE-LCP'!$B:$B,"novembro")/1000,IF(LEFT($A14,3)="icp",SUMIFS('BASE-ICP'!$K:$K,'BASE-ICP'!$A:$A,Capex!$A390,'BASE-ICP'!$B:$B,"novembro")/1000,"")),"")</f>
        <v>0</v>
      </c>
      <c r="DG14" s="427"/>
      <c r="DH14" s="372"/>
      <c r="DI14" s="419"/>
      <c r="DJ14" s="423">
        <f>IFERROR(IF(LEFT($A14,3)="Lcp",SUMIFS('BASE-LCP'!$K:$K,'BASE-LCP'!$A:$A,Capex!$A390,'BASE-LCP'!$B:$B,"dezembro")/1000,IF(LEFT($A14,3)="icp",SUMIFS('BASE-ICP'!$K:$K,'BASE-ICP'!$A:$A,Capex!$A390,'BASE-ICP'!$B:$B,"dezembro")/1000,"")),"")</f>
        <v>0</v>
      </c>
      <c r="DK14" s="427">
        <v>20</v>
      </c>
      <c r="DL14" s="452">
        <f t="shared" si="15"/>
        <v>25</v>
      </c>
      <c r="DM14" s="374"/>
      <c r="DN14" s="374">
        <v>25</v>
      </c>
      <c r="DO14" s="374"/>
      <c r="DP14" s="374"/>
      <c r="DQ14" s="374"/>
      <c r="DR14" s="374"/>
      <c r="DS14" s="374"/>
      <c r="DT14" s="374"/>
      <c r="DU14" s="374"/>
      <c r="DV14" s="374"/>
      <c r="DW14" s="374"/>
      <c r="DX14" s="374"/>
      <c r="DY14" s="450"/>
      <c r="DZ14" s="374">
        <f t="shared" si="16"/>
        <v>25</v>
      </c>
      <c r="EA14" s="216">
        <f t="shared" si="17"/>
        <v>0</v>
      </c>
      <c r="EB14" s="320">
        <f t="shared" si="18"/>
        <v>0</v>
      </c>
      <c r="EC14" s="241">
        <f t="shared" si="19"/>
        <v>0</v>
      </c>
      <c r="ED14" s="241">
        <f t="shared" si="20"/>
        <v>0</v>
      </c>
      <c r="EE14" s="241">
        <f t="shared" si="21"/>
        <v>0</v>
      </c>
      <c r="EF14" s="241">
        <f t="shared" si="22"/>
        <v>20</v>
      </c>
      <c r="EG14" s="346">
        <f t="shared" si="23"/>
        <v>20</v>
      </c>
      <c r="EH14" s="445">
        <f t="shared" si="24"/>
        <v>0</v>
      </c>
      <c r="EI14" s="447">
        <f t="shared" si="25"/>
        <v>0</v>
      </c>
      <c r="EJ14" s="364">
        <f t="shared" si="26"/>
        <v>0</v>
      </c>
      <c r="EK14" s="365">
        <f t="shared" si="27"/>
        <v>20</v>
      </c>
      <c r="EL14" s="529">
        <f t="shared" si="28"/>
        <v>45</v>
      </c>
      <c r="EM14" s="530">
        <v>0</v>
      </c>
      <c r="EN14" s="530">
        <v>0</v>
      </c>
      <c r="EO14" s="530">
        <v>0</v>
      </c>
      <c r="EP14" s="530">
        <v>0</v>
      </c>
      <c r="EQ14" s="530">
        <v>0</v>
      </c>
      <c r="ER14" s="530">
        <v>0</v>
      </c>
      <c r="ES14" s="530">
        <v>0</v>
      </c>
      <c r="ET14" s="530">
        <v>0</v>
      </c>
      <c r="EU14" s="530">
        <v>20</v>
      </c>
      <c r="EV14" s="530">
        <v>20</v>
      </c>
      <c r="EW14" s="530">
        <v>0</v>
      </c>
      <c r="EX14" s="530">
        <v>5</v>
      </c>
      <c r="EY14" s="530">
        <f t="shared" si="29"/>
        <v>0</v>
      </c>
      <c r="EZ14" s="530">
        <f t="shared" si="30"/>
        <v>0</v>
      </c>
      <c r="FA14" s="530">
        <f t="shared" si="31"/>
        <v>20</v>
      </c>
      <c r="FB14" s="530">
        <f t="shared" si="32"/>
        <v>25</v>
      </c>
      <c r="FC14" s="384" t="str">
        <f>IFERROR(VLOOKUP(Capex!A390,BASE_558!D:R,8,FALSE)/1000,"")</f>
        <v/>
      </c>
      <c r="FD14" s="328" t="str">
        <f>IFERROR(VLOOKUP(Capex!A390,BASE_558!D:R,9,)/1000,"")</f>
        <v/>
      </c>
      <c r="FE14" s="328" t="str">
        <f>IFERROR(IF(LEFT(A14,3)="LCP",(VLOOKUP(Capex!A390,BASE_558!D:R,10,)/1000),SUMIFS('BASE ICP_PO_SC'!F:F,'BASE ICP_PO_SC'!A:A,Capex!A390,'BASE ICP_PO_SC'!E:E,"&lt;&gt;")/1000),"")</f>
        <v/>
      </c>
      <c r="FF14" s="328" t="str">
        <f>IFERROR(IF(LEFT(A14,3)="LCP",(VLOOKUP(Capex!A390,BASE_558!D:R,11,)/1000),SUMIFS('BASE ICP_PO_SC'!F:F,'BASE ICP_PO_SC'!A:A,Capex!A390,'BASE ICP_PO_SC'!E:E,"")/1000),"")</f>
        <v/>
      </c>
      <c r="FG14" s="328">
        <f>IFERROR(VLOOKUP(A14,BASE_558!D:R,13,FALSE)/1000,"")</f>
        <v>0</v>
      </c>
      <c r="FH14" s="328">
        <f>IFERROR(VLOOKUP(A14,BASE_558!D:R,15,FALSE)/1000,"")</f>
        <v>0</v>
      </c>
      <c r="FI14" s="547">
        <f t="shared" si="33"/>
        <v>0</v>
      </c>
      <c r="FJ14" s="547">
        <f t="shared" si="34"/>
        <v>20</v>
      </c>
      <c r="FK14" s="540">
        <f t="shared" si="35"/>
        <v>5</v>
      </c>
    </row>
    <row r="15" spans="1:167" s="23" customFormat="1" ht="24" customHeight="1">
      <c r="A15" s="84" t="s">
        <v>1360</v>
      </c>
      <c r="B15" s="404"/>
      <c r="C15" s="404" t="s">
        <v>602</v>
      </c>
      <c r="D15" s="338" t="s">
        <v>2289</v>
      </c>
      <c r="E15" s="378">
        <v>4878797</v>
      </c>
      <c r="F15" s="310" t="s">
        <v>609</v>
      </c>
      <c r="G15" s="310" t="s">
        <v>9</v>
      </c>
      <c r="H15" s="338" t="s">
        <v>6</v>
      </c>
      <c r="I15" s="338"/>
      <c r="J15" s="338">
        <v>2021</v>
      </c>
      <c r="K15" s="351">
        <v>44522</v>
      </c>
      <c r="L15" s="317"/>
      <c r="M15" s="409"/>
      <c r="N15" s="317">
        <f t="shared" si="7"/>
        <v>45434</v>
      </c>
      <c r="O15" s="317">
        <f t="shared" si="8"/>
        <v>45799</v>
      </c>
      <c r="P15" s="418" t="str">
        <f t="shared" ref="P15:AA24" si="36">IF($N15="","N/A",IF($O15="","N/A",IF(P$2&lt;=$N15,"NÃO",IF($AJ15="REL ","SIM",IF(P$2&lt;$O15,"NÃO",IF($AJ15&lt;&gt;"CLSD","SIM","CRTD"))))))</f>
        <v>SIM</v>
      </c>
      <c r="Q15" s="418" t="str">
        <f t="shared" si="36"/>
        <v>SIM</v>
      </c>
      <c r="R15" s="418" t="str">
        <f t="shared" si="36"/>
        <v>SIM</v>
      </c>
      <c r="S15" s="418" t="str">
        <f t="shared" si="36"/>
        <v>SIM</v>
      </c>
      <c r="T15" s="418" t="str">
        <f t="shared" si="36"/>
        <v>SIM</v>
      </c>
      <c r="U15" s="418" t="str">
        <f t="shared" si="36"/>
        <v>SIM</v>
      </c>
      <c r="V15" s="418" t="str">
        <f t="shared" si="36"/>
        <v>SIM</v>
      </c>
      <c r="W15" s="551" t="str">
        <f t="shared" si="36"/>
        <v>SIM</v>
      </c>
      <c r="X15" s="418" t="str">
        <f t="shared" si="36"/>
        <v>SIM</v>
      </c>
      <c r="Y15" s="418" t="str">
        <f t="shared" si="36"/>
        <v>SIM</v>
      </c>
      <c r="Z15" s="418" t="str">
        <f t="shared" si="36"/>
        <v>SIM</v>
      </c>
      <c r="AA15" s="567" t="str">
        <f t="shared" si="36"/>
        <v>SIM</v>
      </c>
      <c r="AB15" s="317"/>
      <c r="AC15" s="309" t="s">
        <v>3932</v>
      </c>
      <c r="AD15" s="310" t="s">
        <v>5</v>
      </c>
      <c r="AE15" s="310" t="s">
        <v>952</v>
      </c>
      <c r="AF15" s="310" t="s">
        <v>6985</v>
      </c>
      <c r="AG15" s="310" t="s">
        <v>2186</v>
      </c>
      <c r="AH15" s="310" t="s">
        <v>1452</v>
      </c>
      <c r="AI15" s="309" t="s">
        <v>2255</v>
      </c>
      <c r="AJ15" s="6" t="s">
        <v>6786</v>
      </c>
      <c r="AK15" s="6" t="str">
        <f t="shared" si="10"/>
        <v>IGUAL</v>
      </c>
      <c r="AL15" s="151" t="str">
        <f>IFERROR(IF(LEFT(A15,3)="LCP",VLOOKUP(A15,STATUS_SAP_LCP!B:C,2,FALSE),VLOOKUP(A15,STATUS_SAP_ICP!B:C,2,FALSE)),"NO BUDGET")</f>
        <v>REL  BUDG AUC   //  APPR BREL INPL</v>
      </c>
      <c r="AM15" s="6" t="str">
        <f t="shared" si="11"/>
        <v xml:space="preserve">REL </v>
      </c>
      <c r="AN15" s="282" t="s">
        <v>17712</v>
      </c>
      <c r="AO15" s="557"/>
      <c r="AP15" s="499" t="s">
        <v>5299</v>
      </c>
      <c r="AQ15" s="465">
        <v>45930</v>
      </c>
      <c r="AR15" s="460"/>
      <c r="AS15" s="56"/>
      <c r="AT15" s="185"/>
      <c r="AU15" s="318">
        <v>0</v>
      </c>
      <c r="AV15" s="223">
        <v>33.632369999999995</v>
      </c>
      <c r="AW15" s="318">
        <v>17.232659999999999</v>
      </c>
      <c r="AX15" s="223">
        <v>0</v>
      </c>
      <c r="AY15" s="318">
        <f t="shared" si="12"/>
        <v>70.062009999999987</v>
      </c>
      <c r="AZ15" s="223"/>
      <c r="BA15" s="318"/>
      <c r="BB15" s="519">
        <f t="shared" si="13"/>
        <v>67</v>
      </c>
      <c r="BC15" s="518">
        <v>0</v>
      </c>
      <c r="BD15" s="518">
        <v>0</v>
      </c>
      <c r="BE15" s="518">
        <v>0</v>
      </c>
      <c r="BF15" s="518">
        <v>0</v>
      </c>
      <c r="BG15" s="518">
        <v>33</v>
      </c>
      <c r="BH15" s="518">
        <v>34</v>
      </c>
      <c r="BI15" s="518">
        <v>0</v>
      </c>
      <c r="BJ15" s="518">
        <v>0</v>
      </c>
      <c r="BK15" s="518">
        <v>0</v>
      </c>
      <c r="BL15" s="518">
        <v>0</v>
      </c>
      <c r="BM15" s="518">
        <v>0</v>
      </c>
      <c r="BN15" s="518">
        <v>0</v>
      </c>
      <c r="BO15" s="367">
        <f t="shared" si="14"/>
        <v>70.062009999999987</v>
      </c>
      <c r="BP15" s="421">
        <v>0</v>
      </c>
      <c r="BQ15" s="422"/>
      <c r="BR15" s="423">
        <f>IFERROR(IF(LEFT($A15,3)="Lcp",SUMIFS('BASE-LCP'!$K:$K,'BASE-LCP'!$A:$A,Capex!$A262,'BASE-LCP'!$B:$B,"janeiro")/1000,IF(LEFT($A15,3)="icp",SUMIFS('BASE-ICP'!$K:$K,'BASE-ICP'!$A:$A,Capex!$A262,'BASE-ICP'!$B:$B,"janeiro")/1000,"")),"")</f>
        <v>0</v>
      </c>
      <c r="BS15" s="427">
        <v>0</v>
      </c>
      <c r="BT15" s="372">
        <v>0</v>
      </c>
      <c r="BU15" s="422"/>
      <c r="BV15" s="423">
        <f>IFERROR(IF(LEFT($A15,3)="Lcp",SUMIFS('BASE-LCP'!$K:$K,'BASE-LCP'!$A:$A,Capex!$A262,'BASE-LCP'!$B:$B,"fevereiro")/1000,IF(LEFT($A15,3)="icp",SUMIFS('BASE-ICP'!$K:$K,'BASE-ICP'!$A:$A,Capex!$A262,'BASE-ICP'!$B:$B,"fevereiro")/1000,"")),"")</f>
        <v>0</v>
      </c>
      <c r="BW15" s="427">
        <v>0</v>
      </c>
      <c r="BX15" s="372">
        <v>0</v>
      </c>
      <c r="BY15" s="422"/>
      <c r="BZ15" s="423">
        <f>IFERROR(IF(LEFT($A15,3)="Lcp",SUMIFS('BASE-LCP'!$K:$K,'BASE-LCP'!$A:$A,Capex!$A262,'BASE-LCP'!$B:$B,"março")/1000,IF(LEFT($A15,3)="icp",SUMIFS('BASE-ICP'!$K:$K,'BASE-ICP'!$A:$A,Capex!$A262,'BASE-ICP'!$B:$B,"março")/1000,"")),"")</f>
        <v>0</v>
      </c>
      <c r="CA15" s="427">
        <v>0</v>
      </c>
      <c r="CB15" s="372">
        <v>0</v>
      </c>
      <c r="CC15" s="422"/>
      <c r="CD15" s="423">
        <f>IFERROR(IF(LEFT($A15,3)="Lcp",SUMIFS('BASE-LCP'!$K:$K,'BASE-LCP'!$A:$A,Capex!$A262,'BASE-LCP'!$B:$B,"abril")/1000,IF(LEFT($A15,3)="icp",SUMIFS('BASE-ICP'!$K:$K,'BASE-ICP'!$A:$A,Capex!$A262,'BASE-ICP'!$B:$B,"abril")/1000,"")),"")</f>
        <v>0</v>
      </c>
      <c r="CE15" s="427">
        <v>0</v>
      </c>
      <c r="CF15" s="372">
        <v>0</v>
      </c>
      <c r="CG15" s="422">
        <v>7.5971800000000007</v>
      </c>
      <c r="CH15" s="423">
        <v>7.5971799999999998</v>
      </c>
      <c r="CI15" s="427">
        <v>7.5971799999999998</v>
      </c>
      <c r="CJ15" s="372">
        <v>13.933333333333332</v>
      </c>
      <c r="CK15" s="419">
        <v>35.464829999999999</v>
      </c>
      <c r="CL15" s="423">
        <f>IFERROR(IF(LEFT($A15,3)="Lcp",SUMIFS('BASE-LCP'!$K:$K,'BASE-LCP'!$A:$A,Capex!$A262,'BASE-LCP'!$B:$B,"junho")/1000,IF(LEFT($A15,3)="icp",SUMIFS('BASE-ICP'!$K:$K,'BASE-ICP'!$A:$A,Capex!$A262,'BASE-ICP'!$B:$B,"junho")/1000,"")),"")</f>
        <v>0</v>
      </c>
      <c r="CM15" s="427">
        <v>35.464829999999992</v>
      </c>
      <c r="CN15" s="372"/>
      <c r="CO15" s="419"/>
      <c r="CP15" s="423">
        <f>IFERROR(IF(LEFT($A15,3)="Lcp",SUMIFS('BASE-LCP'!$K:$K,'BASE-LCP'!$A:$A,Capex!$A262,'BASE-LCP'!$B:$B,"julho")/1000,IF(LEFT($A15,3)="icp",SUMIFS('BASE-ICP'!$K:$K,'BASE-ICP'!$A:$A,Capex!$A262,'BASE-ICP'!$B:$B,"julho")/1000,"")),"")</f>
        <v>0</v>
      </c>
      <c r="CQ15" s="427">
        <f>30*0.9</f>
        <v>27</v>
      </c>
      <c r="CR15" s="372"/>
      <c r="CS15" s="419"/>
      <c r="CT15" s="423">
        <f>IFERROR(IF(LEFT($A15,3)="Lcp",SUMIFS('BASE-LCP'!$K:$K,'BASE-LCP'!$A:$A,Capex!$A262,'BASE-LCP'!$B:$B,"agosto")/1000,IF(LEFT($A15,3)="icp",SUMIFS('BASE-ICP'!$K:$K,'BASE-ICP'!$A:$A,Capex!$A262,'BASE-ICP'!$B:$B,"agosto")/1000,"")),"")</f>
        <v>0</v>
      </c>
      <c r="CU15" s="427">
        <v>0</v>
      </c>
      <c r="CV15" s="372"/>
      <c r="CW15" s="419"/>
      <c r="CX15" s="423">
        <f>IFERROR(IF(LEFT($A15,3)="Lcp",SUMIFS('BASE-LCP'!$K:$K,'BASE-LCP'!$A:$A,Capex!$A262,'BASE-LCP'!$B:$B,"setembro")/1000,IF(LEFT($A15,3)="icp",SUMIFS('BASE-ICP'!$K:$K,'BASE-ICP'!$A:$A,Capex!$A262,'BASE-ICP'!$B:$B,"setembro")/1000,"")),"")</f>
        <v>0</v>
      </c>
      <c r="CY15" s="427">
        <v>0</v>
      </c>
      <c r="CZ15" s="372"/>
      <c r="DA15" s="419"/>
      <c r="DB15" s="423">
        <f>IFERROR(IF(LEFT($A15,3)="Lcp",SUMIFS('BASE-LCP'!$K:$K,'BASE-LCP'!$A:$A,Capex!$A262,'BASE-LCP'!$B:$B,"outubro")/1000,IF(LEFT($A15,3)="icp",SUMIFS('BASE-ICP'!$K:$K,'BASE-ICP'!$A:$A,Capex!$A262,'BASE-ICP'!$B:$B,"outubro")/1000,"")),"")</f>
        <v>0</v>
      </c>
      <c r="DC15" s="427">
        <v>0</v>
      </c>
      <c r="DD15" s="372"/>
      <c r="DE15" s="419"/>
      <c r="DF15" s="423">
        <f>IFERROR(IF(LEFT($A15,3)="Lcp",SUMIFS('BASE-LCP'!$K:$K,'BASE-LCP'!$A:$A,Capex!$A262,'BASE-LCP'!$B:$B,"novembro")/1000,IF(LEFT($A15,3)="icp",SUMIFS('BASE-ICP'!$K:$K,'BASE-ICP'!$A:$A,Capex!$A262,'BASE-ICP'!$B:$B,"novembro")/1000,"")),"")</f>
        <v>0</v>
      </c>
      <c r="DG15" s="427">
        <v>0</v>
      </c>
      <c r="DH15" s="372"/>
      <c r="DI15" s="419"/>
      <c r="DJ15" s="423">
        <f>IFERROR(IF(LEFT($A15,3)="Lcp",SUMIFS('BASE-LCP'!$K:$K,'BASE-LCP'!$A:$A,Capex!$A262,'BASE-LCP'!$B:$B,"dezembro")/1000,IF(LEFT($A15,3)="icp",SUMIFS('BASE-ICP'!$K:$K,'BASE-ICP'!$A:$A,Capex!$A262,'BASE-ICP'!$B:$B,"dezembro")/1000,"")),"")</f>
        <v>0</v>
      </c>
      <c r="DK15" s="427">
        <v>0</v>
      </c>
      <c r="DL15" s="452">
        <f t="shared" si="15"/>
        <v>0</v>
      </c>
      <c r="DM15" s="374"/>
      <c r="DN15" s="374">
        <v>0</v>
      </c>
      <c r="DO15" s="374"/>
      <c r="DP15" s="374"/>
      <c r="DQ15" s="374"/>
      <c r="DR15" s="374"/>
      <c r="DS15" s="374"/>
      <c r="DT15" s="374"/>
      <c r="DU15" s="374"/>
      <c r="DV15" s="374"/>
      <c r="DW15" s="374"/>
      <c r="DX15" s="374"/>
      <c r="DY15" s="450"/>
      <c r="DZ15" s="374">
        <f t="shared" si="16"/>
        <v>0</v>
      </c>
      <c r="EA15" s="216">
        <f t="shared" si="17"/>
        <v>21.531496666666662</v>
      </c>
      <c r="EB15" s="320">
        <f t="shared" si="18"/>
        <v>-35.464829999999992</v>
      </c>
      <c r="EC15" s="241">
        <f t="shared" si="19"/>
        <v>0</v>
      </c>
      <c r="ED15" s="241">
        <f t="shared" si="20"/>
        <v>43.062009999999994</v>
      </c>
      <c r="EE15" s="241">
        <f t="shared" si="21"/>
        <v>27</v>
      </c>
      <c r="EF15" s="241">
        <f t="shared" si="22"/>
        <v>0</v>
      </c>
      <c r="EG15" s="346">
        <f t="shared" si="23"/>
        <v>3.0620099999999866</v>
      </c>
      <c r="EH15" s="445">
        <f t="shared" si="24"/>
        <v>0</v>
      </c>
      <c r="EI15" s="447">
        <f t="shared" si="25"/>
        <v>7.5971799999999998</v>
      </c>
      <c r="EJ15" s="364">
        <f t="shared" si="26"/>
        <v>7.5971799999999998</v>
      </c>
      <c r="EK15" s="365">
        <f t="shared" si="27"/>
        <v>62.464829999999985</v>
      </c>
      <c r="EL15" s="529">
        <f t="shared" si="28"/>
        <v>67.697179999999989</v>
      </c>
      <c r="EM15" s="530">
        <v>0</v>
      </c>
      <c r="EN15" s="530">
        <v>0</v>
      </c>
      <c r="EO15" s="530">
        <v>0</v>
      </c>
      <c r="EP15" s="530">
        <v>0</v>
      </c>
      <c r="EQ15" s="530">
        <v>7.5971799999999998</v>
      </c>
      <c r="ER15" s="530">
        <v>13.933333333333332</v>
      </c>
      <c r="ES15" s="530">
        <v>22.333333333333332</v>
      </c>
      <c r="ET15" s="530">
        <v>23.833333333333332</v>
      </c>
      <c r="EU15" s="530">
        <v>0</v>
      </c>
      <c r="EV15" s="530">
        <v>0</v>
      </c>
      <c r="EW15" s="530">
        <v>0</v>
      </c>
      <c r="EX15" s="530">
        <v>0</v>
      </c>
      <c r="EY15" s="530">
        <f t="shared" si="29"/>
        <v>0</v>
      </c>
      <c r="EZ15" s="530">
        <f t="shared" si="30"/>
        <v>21.530513333333332</v>
      </c>
      <c r="FA15" s="530">
        <f t="shared" si="31"/>
        <v>46.166666666666664</v>
      </c>
      <c r="FB15" s="530">
        <f t="shared" si="32"/>
        <v>0</v>
      </c>
      <c r="FC15" s="384">
        <f>IFERROR(VLOOKUP(Capex!A262,BASE_558!D:R,8,FALSE)/1000,"")</f>
        <v>149.464</v>
      </c>
      <c r="FD15" s="328">
        <f>IFERROR(VLOOKUP(Capex!A262,BASE_558!D:R,9,)/1000,"")</f>
        <v>131.3895</v>
      </c>
      <c r="FE15" s="328">
        <f>IFERROR(IF(LEFT(A15,3)="LCP",(VLOOKUP(Capex!A262,BASE_558!D:R,10,)/1000),SUMIFS('BASE ICP_PO_SC'!F:F,'BASE ICP_PO_SC'!A:A,Capex!A262,'BASE ICP_PO_SC'!E:E,"&lt;&gt;")/1000),"")</f>
        <v>0</v>
      </c>
      <c r="FF15" s="328">
        <f>IFERROR(IF(LEFT(A15,3)="LCP",(VLOOKUP(Capex!A262,BASE_558!D:R,11,)/1000),SUMIFS('BASE ICP_PO_SC'!F:F,'BASE ICP_PO_SC'!A:A,Capex!A262,'BASE ICP_PO_SC'!E:E,"")/1000),"")</f>
        <v>0</v>
      </c>
      <c r="FG15" s="328">
        <f>IFERROR(VLOOKUP(A15,BASE_558!D:R,13,FALSE)/1000,"")</f>
        <v>124.35657</v>
      </c>
      <c r="FH15" s="328">
        <f>IFERROR(VLOOKUP(A15,BASE_558!D:R,15,FALSE)/1000,"")</f>
        <v>4.5475000000000003</v>
      </c>
      <c r="FI15" s="547">
        <f t="shared" si="33"/>
        <v>-21.531496666666662</v>
      </c>
      <c r="FJ15" s="547">
        <f t="shared" si="34"/>
        <v>19.166666666666664</v>
      </c>
      <c r="FK15" s="540">
        <f t="shared" si="35"/>
        <v>0</v>
      </c>
    </row>
    <row r="16" spans="1:167" s="23" customFormat="1" ht="24" customHeight="1">
      <c r="A16" s="310" t="s">
        <v>8884</v>
      </c>
      <c r="B16" s="404"/>
      <c r="C16" s="404"/>
      <c r="D16" s="338"/>
      <c r="E16" s="378">
        <v>10122015</v>
      </c>
      <c r="F16" s="5"/>
      <c r="G16" s="310" t="s">
        <v>8</v>
      </c>
      <c r="H16" s="338"/>
      <c r="I16" s="338"/>
      <c r="J16" s="338">
        <v>2025</v>
      </c>
      <c r="K16" s="316">
        <v>45831</v>
      </c>
      <c r="L16" s="316"/>
      <c r="M16" s="409"/>
      <c r="N16" s="317">
        <f t="shared" si="7"/>
        <v>46743</v>
      </c>
      <c r="O16" s="317">
        <f t="shared" si="8"/>
        <v>47108</v>
      </c>
      <c r="P16" s="418" t="str">
        <f t="shared" si="36"/>
        <v>NÃO</v>
      </c>
      <c r="Q16" s="418" t="str">
        <f t="shared" si="36"/>
        <v>NÃO</v>
      </c>
      <c r="R16" s="418" t="str">
        <f t="shared" si="36"/>
        <v>NÃO</v>
      </c>
      <c r="S16" s="418" t="str">
        <f t="shared" si="36"/>
        <v>NÃO</v>
      </c>
      <c r="T16" s="418" t="str">
        <f t="shared" si="36"/>
        <v>NÃO</v>
      </c>
      <c r="U16" s="418" t="str">
        <f t="shared" si="36"/>
        <v>NÃO</v>
      </c>
      <c r="V16" s="418" t="str">
        <f t="shared" si="36"/>
        <v>NÃO</v>
      </c>
      <c r="W16" s="418" t="str">
        <f t="shared" si="36"/>
        <v>NÃO</v>
      </c>
      <c r="X16" s="418" t="str">
        <f t="shared" si="36"/>
        <v>NÃO</v>
      </c>
      <c r="Y16" s="418" t="str">
        <f t="shared" si="36"/>
        <v>NÃO</v>
      </c>
      <c r="Z16" s="418" t="str">
        <f t="shared" si="36"/>
        <v>NÃO</v>
      </c>
      <c r="AA16" s="418" t="str">
        <f t="shared" si="36"/>
        <v>NÃO</v>
      </c>
      <c r="AB16" s="317"/>
      <c r="AC16" s="309" t="s">
        <v>3931</v>
      </c>
      <c r="AD16" s="310"/>
      <c r="AE16" s="310"/>
      <c r="AF16" s="310" t="s">
        <v>6985</v>
      </c>
      <c r="AG16" s="310" t="s">
        <v>2485</v>
      </c>
      <c r="AH16" s="310" t="s">
        <v>8882</v>
      </c>
      <c r="AI16" s="381" t="s">
        <v>188</v>
      </c>
      <c r="AJ16" s="6" t="s">
        <v>6786</v>
      </c>
      <c r="AK16" s="6" t="str">
        <f t="shared" si="10"/>
        <v>IGUAL</v>
      </c>
      <c r="AL16" s="151" t="str">
        <f>IFERROR(IF(LEFT(A16,3)="LCP",VLOOKUP(A16,STATUS_SAP_LCP!B:C,2,FALSE),VLOOKUP(A16,STATUS_SAP_ICP!B:C,2,FALSE)),"NO BUDGET")</f>
        <v>REL  BUDG AUC  AVAC  //  APPR BREL EXPL</v>
      </c>
      <c r="AM16" s="6" t="str">
        <f t="shared" si="11"/>
        <v xml:space="preserve">REL </v>
      </c>
      <c r="AN16" s="282" t="s">
        <v>18887</v>
      </c>
      <c r="AO16" s="557"/>
      <c r="AP16" s="499" t="s">
        <v>9615</v>
      </c>
      <c r="AQ16" s="465">
        <v>46022</v>
      </c>
      <c r="AR16" s="460"/>
      <c r="AS16" s="56"/>
      <c r="AT16" s="185"/>
      <c r="AU16" s="318"/>
      <c r="AV16" s="223"/>
      <c r="AW16" s="318"/>
      <c r="AX16" s="223"/>
      <c r="AY16" s="318">
        <f t="shared" si="12"/>
        <v>0</v>
      </c>
      <c r="AZ16" s="223"/>
      <c r="BA16" s="318"/>
      <c r="BB16" s="519">
        <f t="shared" si="13"/>
        <v>0</v>
      </c>
      <c r="BC16" s="518"/>
      <c r="BD16" s="518"/>
      <c r="BE16" s="518"/>
      <c r="BF16" s="518"/>
      <c r="BG16" s="518"/>
      <c r="BH16" s="518"/>
      <c r="BI16" s="518"/>
      <c r="BJ16" s="518"/>
      <c r="BK16" s="518"/>
      <c r="BL16" s="518"/>
      <c r="BM16" s="518"/>
      <c r="BN16" s="518"/>
      <c r="BO16" s="367">
        <f t="shared" si="14"/>
        <v>0</v>
      </c>
      <c r="BP16" s="421"/>
      <c r="BQ16" s="422"/>
      <c r="BR16" s="423">
        <f>IFERROR(IF(LEFT($A16,3)="Lcp",SUMIFS('BASE-LCP'!$K:$K,'BASE-LCP'!$A:$A,Capex!$A389,'BASE-LCP'!$B:$B,"janeiro")/1000,IF(LEFT($A16,3)="icp",SUMIFS('BASE-ICP'!$K:$K,'BASE-ICP'!$A:$A,Capex!$A389,'BASE-ICP'!$B:$B,"janeiro")/1000,"")),"")</f>
        <v>7.7685699999999995</v>
      </c>
      <c r="BS16" s="427"/>
      <c r="BT16" s="372"/>
      <c r="BU16" s="422"/>
      <c r="BV16" s="423">
        <f>IFERROR(IF(LEFT($A16,3)="Lcp",SUMIFS('BASE-LCP'!$K:$K,'BASE-LCP'!$A:$A,Capex!$A389,'BASE-LCP'!$B:$B,"fevereiro")/1000,IF(LEFT($A16,3)="icp",SUMIFS('BASE-ICP'!$K:$K,'BASE-ICP'!$A:$A,Capex!$A389,'BASE-ICP'!$B:$B,"fevereiro")/1000,"")),"")</f>
        <v>0</v>
      </c>
      <c r="BW16" s="427"/>
      <c r="BX16" s="372"/>
      <c r="BY16" s="422"/>
      <c r="BZ16" s="423">
        <f>IFERROR(IF(LEFT($A16,3)="Lcp",SUMIFS('BASE-LCP'!$K:$K,'BASE-LCP'!$A:$A,Capex!$A389,'BASE-LCP'!$B:$B,"março")/1000,IF(LEFT($A16,3)="icp",SUMIFS('BASE-ICP'!$K:$K,'BASE-ICP'!$A:$A,Capex!$A389,'BASE-ICP'!$B:$B,"março")/1000,"")),"")</f>
        <v>0</v>
      </c>
      <c r="CA16" s="427"/>
      <c r="CB16" s="372"/>
      <c r="CC16" s="422"/>
      <c r="CD16" s="423">
        <f>IFERROR(IF(LEFT($A16,3)="Lcp",SUMIFS('BASE-LCP'!$K:$K,'BASE-LCP'!$A:$A,Capex!$A389,'BASE-LCP'!$B:$B,"abril")/1000,IF(LEFT($A16,3)="icp",SUMIFS('BASE-ICP'!$K:$K,'BASE-ICP'!$A:$A,Capex!$A389,'BASE-ICP'!$B:$B,"abril")/1000,"")),"")</f>
        <v>0</v>
      </c>
      <c r="CE16" s="427"/>
      <c r="CF16" s="372"/>
      <c r="CG16" s="422"/>
      <c r="CH16" s="423">
        <v>0</v>
      </c>
      <c r="CI16" s="427"/>
      <c r="CJ16" s="372">
        <v>0</v>
      </c>
      <c r="CK16" s="419"/>
      <c r="CL16" s="423">
        <f>IFERROR(IF(LEFT($A16,3)="Lcp",SUMIFS('BASE-LCP'!$K:$K,'BASE-LCP'!$A:$A,Capex!$A389,'BASE-LCP'!$B:$B,"junho")/1000,IF(LEFT($A16,3)="icp",SUMIFS('BASE-ICP'!$K:$K,'BASE-ICP'!$A:$A,Capex!$A389,'BASE-ICP'!$B:$B,"junho")/1000,"")),"")</f>
        <v>0</v>
      </c>
      <c r="CM16" s="427">
        <v>0</v>
      </c>
      <c r="CN16" s="372"/>
      <c r="CO16" s="419"/>
      <c r="CP16" s="423">
        <f>IFERROR(IF(LEFT($A16,3)="Lcp",SUMIFS('BASE-LCP'!$K:$K,'BASE-LCP'!$A:$A,Capex!$A389,'BASE-LCP'!$B:$B,"julho")/1000,IF(LEFT($A16,3)="icp",SUMIFS('BASE-ICP'!$K:$K,'BASE-ICP'!$A:$A,Capex!$A389,'BASE-ICP'!$B:$B,"julho")/1000,"")),"")</f>
        <v>0</v>
      </c>
      <c r="CQ16" s="427"/>
      <c r="CR16" s="372"/>
      <c r="CS16" s="419"/>
      <c r="CT16" s="423">
        <f>IFERROR(IF(LEFT($A16,3)="Lcp",SUMIFS('BASE-LCP'!$K:$K,'BASE-LCP'!$A:$A,Capex!$A389,'BASE-LCP'!$B:$B,"agosto")/1000,IF(LEFT($A16,3)="icp",SUMIFS('BASE-ICP'!$K:$K,'BASE-ICP'!$A:$A,Capex!$A389,'BASE-ICP'!$B:$B,"agosto")/1000,"")),"")</f>
        <v>0</v>
      </c>
      <c r="CU16" s="427"/>
      <c r="CV16" s="372"/>
      <c r="CW16" s="419"/>
      <c r="CX16" s="423">
        <f>IFERROR(IF(LEFT($A16,3)="Lcp",SUMIFS('BASE-LCP'!$K:$K,'BASE-LCP'!$A:$A,Capex!$A389,'BASE-LCP'!$B:$B,"setembro")/1000,IF(LEFT($A16,3)="icp",SUMIFS('BASE-ICP'!$K:$K,'BASE-ICP'!$A:$A,Capex!$A389,'BASE-ICP'!$B:$B,"setembro")/1000,"")),"")</f>
        <v>0</v>
      </c>
      <c r="CY16" s="427"/>
      <c r="CZ16" s="372"/>
      <c r="DA16" s="419"/>
      <c r="DB16" s="423">
        <f>IFERROR(IF(LEFT($A16,3)="Lcp",SUMIFS('BASE-LCP'!$K:$K,'BASE-LCP'!$A:$A,Capex!$A389,'BASE-LCP'!$B:$B,"outubro")/1000,IF(LEFT($A16,3)="icp",SUMIFS('BASE-ICP'!$K:$K,'BASE-ICP'!$A:$A,Capex!$A389,'BASE-ICP'!$B:$B,"outubro")/1000,"")),"")</f>
        <v>0</v>
      </c>
      <c r="DC16" s="427"/>
      <c r="DD16" s="372"/>
      <c r="DE16" s="419"/>
      <c r="DF16" s="423">
        <f>IFERROR(IF(LEFT($A16,3)="Lcp",SUMIFS('BASE-LCP'!$K:$K,'BASE-LCP'!$A:$A,Capex!$A389,'BASE-LCP'!$B:$B,"novembro")/1000,IF(LEFT($A16,3)="icp",SUMIFS('BASE-ICP'!$K:$K,'BASE-ICP'!$A:$A,Capex!$A389,'BASE-ICP'!$B:$B,"novembro")/1000,"")),"")</f>
        <v>0</v>
      </c>
      <c r="DG16" s="427"/>
      <c r="DH16" s="372"/>
      <c r="DI16" s="419"/>
      <c r="DJ16" s="423">
        <f>IFERROR(IF(LEFT($A16,3)="Lcp",SUMIFS('BASE-LCP'!$K:$K,'BASE-LCP'!$A:$A,Capex!$A389,'BASE-LCP'!$B:$B,"dezembro")/1000,IF(LEFT($A16,3)="icp",SUMIFS('BASE-ICP'!$K:$K,'BASE-ICP'!$A:$A,Capex!$A389,'BASE-ICP'!$B:$B,"dezembro")/1000,"")),"")</f>
        <v>0</v>
      </c>
      <c r="DK16" s="427"/>
      <c r="DL16" s="452">
        <f t="shared" si="15"/>
        <v>55</v>
      </c>
      <c r="DM16" s="374"/>
      <c r="DN16" s="374">
        <v>55</v>
      </c>
      <c r="DO16" s="374"/>
      <c r="DP16" s="374"/>
      <c r="DQ16" s="374"/>
      <c r="DR16" s="374"/>
      <c r="DS16" s="374"/>
      <c r="DT16" s="374"/>
      <c r="DU16" s="374"/>
      <c r="DV16" s="374"/>
      <c r="DW16" s="374"/>
      <c r="DX16" s="374"/>
      <c r="DY16" s="450"/>
      <c r="DZ16" s="374">
        <f t="shared" si="16"/>
        <v>55</v>
      </c>
      <c r="EA16" s="216">
        <f t="shared" si="17"/>
        <v>0</v>
      </c>
      <c r="EB16" s="320">
        <f t="shared" si="18"/>
        <v>0</v>
      </c>
      <c r="EC16" s="241">
        <f t="shared" si="19"/>
        <v>0</v>
      </c>
      <c r="ED16" s="241">
        <f t="shared" si="20"/>
        <v>0</v>
      </c>
      <c r="EE16" s="241">
        <f t="shared" si="21"/>
        <v>0</v>
      </c>
      <c r="EF16" s="241">
        <f t="shared" si="22"/>
        <v>0</v>
      </c>
      <c r="EG16" s="346">
        <f t="shared" si="23"/>
        <v>0</v>
      </c>
      <c r="EH16" s="445">
        <f t="shared" si="24"/>
        <v>0</v>
      </c>
      <c r="EI16" s="447">
        <f t="shared" si="25"/>
        <v>0</v>
      </c>
      <c r="EJ16" s="364">
        <f t="shared" si="26"/>
        <v>0</v>
      </c>
      <c r="EK16" s="365">
        <f t="shared" si="27"/>
        <v>0</v>
      </c>
      <c r="EL16" s="529">
        <f t="shared" si="28"/>
        <v>55</v>
      </c>
      <c r="EM16" s="530">
        <v>0</v>
      </c>
      <c r="EN16" s="530">
        <v>0</v>
      </c>
      <c r="EO16" s="530">
        <v>0</v>
      </c>
      <c r="EP16" s="530">
        <v>0</v>
      </c>
      <c r="EQ16" s="530">
        <v>0</v>
      </c>
      <c r="ER16" s="530">
        <v>0</v>
      </c>
      <c r="ES16" s="530">
        <v>0</v>
      </c>
      <c r="ET16" s="530">
        <v>0</v>
      </c>
      <c r="EU16" s="530">
        <v>15</v>
      </c>
      <c r="EV16" s="530">
        <v>20</v>
      </c>
      <c r="EW16" s="530">
        <v>0</v>
      </c>
      <c r="EX16" s="530">
        <v>20</v>
      </c>
      <c r="EY16" s="530">
        <f t="shared" si="29"/>
        <v>0</v>
      </c>
      <c r="EZ16" s="530">
        <f t="shared" si="30"/>
        <v>0</v>
      </c>
      <c r="FA16" s="530">
        <f t="shared" si="31"/>
        <v>15</v>
      </c>
      <c r="FB16" s="530">
        <f t="shared" si="32"/>
        <v>40</v>
      </c>
      <c r="FC16" s="384">
        <f>IFERROR(VLOOKUP(Capex!A389,BASE_558!D:R,8,FALSE)/1000,"")</f>
        <v>1235</v>
      </c>
      <c r="FD16" s="328">
        <f>IFERROR(VLOOKUP(Capex!A389,BASE_558!D:R,9,)/1000,"")</f>
        <v>635.51553999999999</v>
      </c>
      <c r="FE16" s="328">
        <f>IFERROR(IF(LEFT(A16,3)="LCP",(VLOOKUP(Capex!A389,BASE_558!D:R,10,)/1000),SUMIFS('BASE ICP_PO_SC'!F:F,'BASE ICP_PO_SC'!A:A,Capex!A389,'BASE ICP_PO_SC'!E:E,"&lt;&gt;")/1000),"")</f>
        <v>5.6412599999999999</v>
      </c>
      <c r="FF16" s="328">
        <f>IFERROR(IF(LEFT(A16,3)="LCP",(VLOOKUP(Capex!A389,BASE_558!D:R,11,)/1000),SUMIFS('BASE ICP_PO_SC'!F:F,'BASE ICP_PO_SC'!A:A,Capex!A389,'BASE ICP_PO_SC'!E:E,"")/1000),"")</f>
        <v>0</v>
      </c>
      <c r="FG16" s="328">
        <f>IFERROR(VLOOKUP(A16,BASE_558!D:R,13,FALSE)/1000,"")</f>
        <v>0</v>
      </c>
      <c r="FH16" s="328">
        <f>IFERROR(VLOOKUP(A16,BASE_558!D:R,15,FALSE)/1000,"")</f>
        <v>55</v>
      </c>
      <c r="FI16" s="547">
        <f t="shared" si="33"/>
        <v>0</v>
      </c>
      <c r="FJ16" s="547">
        <f t="shared" si="34"/>
        <v>15</v>
      </c>
      <c r="FK16" s="540">
        <f t="shared" si="35"/>
        <v>40</v>
      </c>
    </row>
    <row r="17" spans="1:167" s="23" customFormat="1" ht="24" customHeight="1">
      <c r="A17" s="309" t="s">
        <v>1024</v>
      </c>
      <c r="B17" s="404"/>
      <c r="C17" s="404">
        <v>16258</v>
      </c>
      <c r="D17" s="338" t="s">
        <v>2277</v>
      </c>
      <c r="E17" s="378">
        <v>4305421</v>
      </c>
      <c r="F17" s="5"/>
      <c r="G17" s="310" t="s">
        <v>9</v>
      </c>
      <c r="H17" s="338" t="s">
        <v>6</v>
      </c>
      <c r="I17" s="338" t="s">
        <v>2650</v>
      </c>
      <c r="J17" s="338">
        <v>2021</v>
      </c>
      <c r="K17" s="351">
        <v>44376</v>
      </c>
      <c r="L17" s="317"/>
      <c r="M17" s="409"/>
      <c r="N17" s="317">
        <f t="shared" si="7"/>
        <v>45288</v>
      </c>
      <c r="O17" s="317">
        <f t="shared" si="8"/>
        <v>45653</v>
      </c>
      <c r="P17" s="418" t="str">
        <f t="shared" si="36"/>
        <v>SIM</v>
      </c>
      <c r="Q17" s="418" t="str">
        <f t="shared" si="36"/>
        <v>SIM</v>
      </c>
      <c r="R17" s="418" t="str">
        <f t="shared" si="36"/>
        <v>SIM</v>
      </c>
      <c r="S17" s="418" t="str">
        <f t="shared" si="36"/>
        <v>SIM</v>
      </c>
      <c r="T17" s="418" t="str">
        <f t="shared" si="36"/>
        <v>SIM</v>
      </c>
      <c r="U17" s="418" t="str">
        <f t="shared" si="36"/>
        <v>SIM</v>
      </c>
      <c r="V17" s="418" t="str">
        <f t="shared" si="36"/>
        <v>SIM</v>
      </c>
      <c r="W17" s="418" t="str">
        <f t="shared" si="36"/>
        <v>SIM</v>
      </c>
      <c r="X17" s="418" t="str">
        <f t="shared" si="36"/>
        <v>SIM</v>
      </c>
      <c r="Y17" s="418" t="str">
        <f t="shared" si="36"/>
        <v>SIM</v>
      </c>
      <c r="Z17" s="418" t="str">
        <f t="shared" si="36"/>
        <v>SIM</v>
      </c>
      <c r="AA17" s="418" t="str">
        <f t="shared" si="36"/>
        <v>SIM</v>
      </c>
      <c r="AB17" s="317"/>
      <c r="AC17" s="309" t="s">
        <v>3932</v>
      </c>
      <c r="AD17" s="310" t="s">
        <v>5</v>
      </c>
      <c r="AE17" s="309" t="s">
        <v>952</v>
      </c>
      <c r="AF17" s="310" t="s">
        <v>6985</v>
      </c>
      <c r="AG17" s="310" t="s">
        <v>2124</v>
      </c>
      <c r="AH17" s="310" t="s">
        <v>6964</v>
      </c>
      <c r="AI17" s="381" t="s">
        <v>186</v>
      </c>
      <c r="AJ17" s="6" t="s">
        <v>6786</v>
      </c>
      <c r="AK17" s="6" t="str">
        <f t="shared" si="10"/>
        <v>IGUAL</v>
      </c>
      <c r="AL17" s="151" t="str">
        <f>IFERROR(IF(LEFT(A17,3)="LCP",VLOOKUP(A17,STATUS_SAP_LCP!B:C,2,FALSE),VLOOKUP(A17,STATUS_SAP_ICP!B:C,2,FALSE)),"NO BUDGET")</f>
        <v>REL  BUDG AUC  AVAC  //  APPR BREL INPL</v>
      </c>
      <c r="AM17" s="6" t="str">
        <f t="shared" si="11"/>
        <v xml:space="preserve">REL </v>
      </c>
      <c r="AN17" s="282" t="s">
        <v>19039</v>
      </c>
      <c r="AO17" s="557"/>
      <c r="AP17" s="499" t="s">
        <v>9616</v>
      </c>
      <c r="AQ17" s="465">
        <v>46143</v>
      </c>
      <c r="AR17" s="460"/>
      <c r="AS17" s="56"/>
      <c r="AT17" s="185"/>
      <c r="AU17" s="318">
        <v>89.217410000000001</v>
      </c>
      <c r="AV17" s="223">
        <v>177.06016999999997</v>
      </c>
      <c r="AW17" s="318">
        <v>0.25092999999999993</v>
      </c>
      <c r="AX17" s="223">
        <v>6.3814900000000003</v>
      </c>
      <c r="AY17" s="318">
        <f t="shared" si="12"/>
        <v>357.59188</v>
      </c>
      <c r="AZ17" s="223"/>
      <c r="BA17" s="318"/>
      <c r="BB17" s="519">
        <f t="shared" si="13"/>
        <v>700</v>
      </c>
      <c r="BC17" s="518">
        <v>10</v>
      </c>
      <c r="BD17" s="518">
        <v>10</v>
      </c>
      <c r="BE17" s="518">
        <v>20</v>
      </c>
      <c r="BF17" s="518">
        <v>100</v>
      </c>
      <c r="BG17" s="518">
        <v>30</v>
      </c>
      <c r="BH17" s="518">
        <v>40</v>
      </c>
      <c r="BI17" s="518">
        <v>50</v>
      </c>
      <c r="BJ17" s="518">
        <v>50</v>
      </c>
      <c r="BK17" s="518">
        <v>100</v>
      </c>
      <c r="BL17" s="518">
        <v>100</v>
      </c>
      <c r="BM17" s="518">
        <v>100</v>
      </c>
      <c r="BN17" s="518">
        <v>90</v>
      </c>
      <c r="BO17" s="367">
        <f t="shared" si="14"/>
        <v>357.59188</v>
      </c>
      <c r="BP17" s="421">
        <v>10</v>
      </c>
      <c r="BQ17" s="422">
        <v>9.3271700000000006</v>
      </c>
      <c r="BR17" s="423">
        <f>IFERROR(IF(LEFT($A17,3)="Lcp",SUMIFS('BASE-LCP'!$K:$K,'BASE-LCP'!$A:$A,Capex!$A242,'BASE-LCP'!$B:$B,"janeiro")/1000,IF(LEFT($A17,3)="icp",SUMIFS('BASE-ICP'!$K:$K,'BASE-ICP'!$A:$A,Capex!$A242,'BASE-ICP'!$B:$B,"janeiro")/1000,"")),"")</f>
        <v>0</v>
      </c>
      <c r="BS17" s="427">
        <v>9.3271699999999989</v>
      </c>
      <c r="BT17" s="372">
        <v>10.7</v>
      </c>
      <c r="BU17" s="422"/>
      <c r="BV17" s="423">
        <f>IFERROR(IF(LEFT($A17,3)="Lcp",SUMIFS('BASE-LCP'!$K:$K,'BASE-LCP'!$A:$A,Capex!$A242,'BASE-LCP'!$B:$B,"fevereiro")/1000,IF(LEFT($A17,3)="icp",SUMIFS('BASE-ICP'!$K:$K,'BASE-ICP'!$A:$A,Capex!$A242,'BASE-ICP'!$B:$B,"fevereiro")/1000,"")),"")</f>
        <v>0</v>
      </c>
      <c r="BW17" s="427">
        <v>0</v>
      </c>
      <c r="BX17" s="372">
        <v>0</v>
      </c>
      <c r="BY17" s="422"/>
      <c r="BZ17" s="423">
        <f>IFERROR(IF(LEFT($A17,3)="Lcp",SUMIFS('BASE-LCP'!$K:$K,'BASE-LCP'!$A:$A,Capex!$A242,'BASE-LCP'!$B:$B,"março")/1000,IF(LEFT($A17,3)="icp",SUMIFS('BASE-ICP'!$K:$K,'BASE-ICP'!$A:$A,Capex!$A242,'BASE-ICP'!$B:$B,"março")/1000,"")),"")</f>
        <v>0</v>
      </c>
      <c r="CA17" s="427">
        <v>0</v>
      </c>
      <c r="CB17" s="372"/>
      <c r="CC17" s="422">
        <v>2.3269999999999999E-2</v>
      </c>
      <c r="CD17" s="423">
        <f>IFERROR(IF(LEFT($A17,3)="Lcp",SUMIFS('BASE-LCP'!$K:$K,'BASE-LCP'!$A:$A,Capex!$A242,'BASE-LCP'!$B:$B,"abril")/1000,IF(LEFT($A17,3)="icp",SUMIFS('BASE-ICP'!$K:$K,'BASE-ICP'!$A:$A,Capex!$A242,'BASE-ICP'!$B:$B,"abril")/1000,"")),"")</f>
        <v>0</v>
      </c>
      <c r="CE17" s="427">
        <v>2.3270000000000002E-2</v>
      </c>
      <c r="CF17" s="372"/>
      <c r="CG17" s="422">
        <v>14.93183</v>
      </c>
      <c r="CH17" s="423">
        <v>14.93183</v>
      </c>
      <c r="CI17" s="427">
        <v>14.93183</v>
      </c>
      <c r="CJ17" s="372">
        <v>3.3000000000000007</v>
      </c>
      <c r="CK17" s="419">
        <v>10.709610000000001</v>
      </c>
      <c r="CL17" s="423">
        <f>IFERROR(IF(LEFT($A17,3)="Lcp",SUMIFS('BASE-LCP'!$K:$K,'BASE-LCP'!$A:$A,Capex!$A242,'BASE-LCP'!$B:$B,"junho")/1000,IF(LEFT($A17,3)="icp",SUMIFS('BASE-ICP'!$K:$K,'BASE-ICP'!$A:$A,Capex!$A242,'BASE-ICP'!$B:$B,"junho")/1000,"")),"")</f>
        <v>0</v>
      </c>
      <c r="CM17" s="427">
        <v>10.709610000000001</v>
      </c>
      <c r="CN17" s="372"/>
      <c r="CO17" s="419"/>
      <c r="CP17" s="423">
        <f>IFERROR(IF(LEFT($A17,3)="Lcp",SUMIFS('BASE-LCP'!$K:$K,'BASE-LCP'!$A:$A,Capex!$A242,'BASE-LCP'!$B:$B,"julho")/1000,IF(LEFT($A17,3)="icp",SUMIFS('BASE-ICP'!$K:$K,'BASE-ICP'!$A:$A,Capex!$A242,'BASE-ICP'!$B:$B,"julho")/1000,"")),"")</f>
        <v>0</v>
      </c>
      <c r="CQ17" s="427">
        <f>30-9.5</f>
        <v>20.5</v>
      </c>
      <c r="CR17" s="372"/>
      <c r="CS17" s="419"/>
      <c r="CT17" s="423">
        <f>IFERROR(IF(LEFT($A17,3)="Lcp",SUMIFS('BASE-LCP'!$K:$K,'BASE-LCP'!$A:$A,Capex!$A242,'BASE-LCP'!$B:$B,"agosto")/1000,IF(LEFT($A17,3)="icp",SUMIFS('BASE-ICP'!$K:$K,'BASE-ICP'!$A:$A,Capex!$A242,'BASE-ICP'!$B:$B,"agosto")/1000,"")),"")</f>
        <v>0</v>
      </c>
      <c r="CU17" s="427">
        <v>50</v>
      </c>
      <c r="CV17" s="372"/>
      <c r="CW17" s="419"/>
      <c r="CX17" s="423">
        <f>IFERROR(IF(LEFT($A17,3)="Lcp",SUMIFS('BASE-LCP'!$K:$K,'BASE-LCP'!$A:$A,Capex!$A242,'BASE-LCP'!$B:$B,"setembro")/1000,IF(LEFT($A17,3)="icp",SUMIFS('BASE-ICP'!$K:$K,'BASE-ICP'!$A:$A,Capex!$A242,'BASE-ICP'!$B:$B,"setembro")/1000,"")),"")</f>
        <v>0</v>
      </c>
      <c r="CY17" s="427">
        <v>50</v>
      </c>
      <c r="CZ17" s="372"/>
      <c r="DA17" s="419"/>
      <c r="DB17" s="423">
        <f>IFERROR(IF(LEFT($A17,3)="Lcp",SUMIFS('BASE-LCP'!$K:$K,'BASE-LCP'!$A:$A,Capex!$A242,'BASE-LCP'!$B:$B,"outubro")/1000,IF(LEFT($A17,3)="icp",SUMIFS('BASE-ICP'!$K:$K,'BASE-ICP'!$A:$A,Capex!$A242,'BASE-ICP'!$B:$B,"outubro")/1000,"")),"")</f>
        <v>0</v>
      </c>
      <c r="DC17" s="427">
        <v>50</v>
      </c>
      <c r="DD17" s="372"/>
      <c r="DE17" s="419"/>
      <c r="DF17" s="423">
        <f>IFERROR(IF(LEFT($A17,3)="Lcp",SUMIFS('BASE-LCP'!$K:$K,'BASE-LCP'!$A:$A,Capex!$A242,'BASE-LCP'!$B:$B,"novembro")/1000,IF(LEFT($A17,3)="icp",SUMIFS('BASE-ICP'!$K:$K,'BASE-ICP'!$A:$A,Capex!$A242,'BASE-ICP'!$B:$B,"novembro")/1000,"")),"")</f>
        <v>0</v>
      </c>
      <c r="DG17" s="427">
        <v>52.1</v>
      </c>
      <c r="DH17" s="372"/>
      <c r="DI17" s="419"/>
      <c r="DJ17" s="423">
        <f>IFERROR(IF(LEFT($A17,3)="Lcp",SUMIFS('BASE-LCP'!$K:$K,'BASE-LCP'!$A:$A,Capex!$A242,'BASE-LCP'!$B:$B,"dezembro")/1000,IF(LEFT($A17,3)="icp",SUMIFS('BASE-ICP'!$K:$K,'BASE-ICP'!$A:$A,Capex!$A242,'BASE-ICP'!$B:$B,"dezembro")/1000,"")),"")</f>
        <v>0</v>
      </c>
      <c r="DK17" s="427">
        <v>100</v>
      </c>
      <c r="DL17" s="452">
        <f t="shared" si="15"/>
        <v>650</v>
      </c>
      <c r="DM17" s="374"/>
      <c r="DN17" s="374">
        <f>310+340</f>
        <v>650</v>
      </c>
      <c r="DO17" s="374"/>
      <c r="DP17" s="374"/>
      <c r="DQ17" s="374"/>
      <c r="DR17" s="374"/>
      <c r="DS17" s="374"/>
      <c r="DT17" s="374"/>
      <c r="DU17" s="374"/>
      <c r="DV17" s="374"/>
      <c r="DW17" s="374"/>
      <c r="DX17" s="374"/>
      <c r="DY17" s="450"/>
      <c r="DZ17" s="374">
        <f t="shared" si="16"/>
        <v>650</v>
      </c>
      <c r="EA17" s="216">
        <f t="shared" si="17"/>
        <v>7.4096100000000007</v>
      </c>
      <c r="EB17" s="320">
        <f t="shared" si="18"/>
        <v>-10.709610000000001</v>
      </c>
      <c r="EC17" s="241">
        <f t="shared" si="19"/>
        <v>9.3271699999999989</v>
      </c>
      <c r="ED17" s="241">
        <f t="shared" si="20"/>
        <v>25.664709999999999</v>
      </c>
      <c r="EE17" s="241">
        <f t="shared" si="21"/>
        <v>120.5</v>
      </c>
      <c r="EF17" s="241">
        <f t="shared" si="22"/>
        <v>202.1</v>
      </c>
      <c r="EG17" s="346">
        <f t="shared" si="23"/>
        <v>-342.40812</v>
      </c>
      <c r="EH17" s="445">
        <f t="shared" si="24"/>
        <v>0</v>
      </c>
      <c r="EI17" s="447">
        <f t="shared" si="25"/>
        <v>14.93183</v>
      </c>
      <c r="EJ17" s="364">
        <f t="shared" si="26"/>
        <v>24.282269999999997</v>
      </c>
      <c r="EK17" s="365">
        <f t="shared" si="27"/>
        <v>333.30961000000002</v>
      </c>
      <c r="EL17" s="529">
        <f t="shared" si="28"/>
        <v>357.58226999999999</v>
      </c>
      <c r="EM17" s="530">
        <v>9.3271699999999989</v>
      </c>
      <c r="EN17" s="530">
        <v>0</v>
      </c>
      <c r="EO17" s="530">
        <v>0</v>
      </c>
      <c r="EP17" s="530">
        <v>2.3270000000000002E-2</v>
      </c>
      <c r="EQ17" s="530">
        <v>14.93183</v>
      </c>
      <c r="ER17" s="530">
        <v>3.3000000000000007</v>
      </c>
      <c r="ES17" s="530">
        <v>30</v>
      </c>
      <c r="ET17" s="530">
        <v>50</v>
      </c>
      <c r="EU17" s="530">
        <v>50</v>
      </c>
      <c r="EV17" s="530">
        <v>50</v>
      </c>
      <c r="EW17" s="530">
        <v>50</v>
      </c>
      <c r="EX17" s="530">
        <v>100</v>
      </c>
      <c r="EY17" s="530">
        <f t="shared" si="29"/>
        <v>9.3271699999999989</v>
      </c>
      <c r="EZ17" s="530">
        <f t="shared" si="30"/>
        <v>18.255099999999999</v>
      </c>
      <c r="FA17" s="530">
        <f t="shared" si="31"/>
        <v>130</v>
      </c>
      <c r="FB17" s="530">
        <f t="shared" si="32"/>
        <v>200</v>
      </c>
      <c r="FC17" s="384">
        <f>IFERROR(VLOOKUP(Capex!A242,BASE_558!D:R,8,FALSE)/1000,"")</f>
        <v>249.5</v>
      </c>
      <c r="FD17" s="328">
        <f>IFERROR(VLOOKUP(Capex!A242,BASE_558!D:R,9,)/1000,"")</f>
        <v>249.04894000000002</v>
      </c>
      <c r="FE17" s="328">
        <f>IFERROR(IF(LEFT(A17,3)="LCP",(VLOOKUP(Capex!A242,BASE_558!D:R,10,)/1000),SUMIFS('BASE ICP_PO_SC'!F:F,'BASE ICP_PO_SC'!A:A,Capex!A242,'BASE ICP_PO_SC'!E:E,"&lt;&gt;")/1000),"")</f>
        <v>0</v>
      </c>
      <c r="FF17" s="328">
        <f>IFERROR(IF(LEFT(A17,3)="LCP",(VLOOKUP(Capex!A242,BASE_558!D:R,11,)/1000),SUMIFS('BASE ICP_PO_SC'!F:F,'BASE ICP_PO_SC'!A:A,Capex!A242,'BASE ICP_PO_SC'!E:E,"")/1000),"")</f>
        <v>0</v>
      </c>
      <c r="FG17" s="328">
        <f>IFERROR(VLOOKUP(A17,BASE_558!D:R,13,FALSE)/1000,"")</f>
        <v>700.16514000000006</v>
      </c>
      <c r="FH17" s="328">
        <f>IFERROR(VLOOKUP(A17,BASE_558!D:R,15,FALSE)/1000,"")</f>
        <v>715.44415000000004</v>
      </c>
      <c r="FI17" s="547">
        <f t="shared" si="33"/>
        <v>-7.4096100000000007</v>
      </c>
      <c r="FJ17" s="547">
        <f t="shared" si="34"/>
        <v>9.5</v>
      </c>
      <c r="FK17" s="540">
        <f t="shared" si="35"/>
        <v>-2.0999999999999943</v>
      </c>
    </row>
    <row r="18" spans="1:167" s="23" customFormat="1" ht="23.25" customHeight="1">
      <c r="A18" s="84" t="s">
        <v>810</v>
      </c>
      <c r="B18" s="404" t="s">
        <v>263</v>
      </c>
      <c r="C18" s="404"/>
      <c r="D18" s="338"/>
      <c r="E18" s="378"/>
      <c r="F18" s="5" t="s">
        <v>609</v>
      </c>
      <c r="G18" s="310" t="s">
        <v>9</v>
      </c>
      <c r="H18" s="338"/>
      <c r="I18" s="338"/>
      <c r="J18" s="338">
        <v>2021</v>
      </c>
      <c r="K18" s="316"/>
      <c r="L18" s="324"/>
      <c r="M18" s="409"/>
      <c r="N18" s="317" t="str">
        <f t="shared" si="7"/>
        <v/>
      </c>
      <c r="O18" s="317" t="str">
        <f t="shared" si="8"/>
        <v/>
      </c>
      <c r="P18" s="418" t="str">
        <f t="shared" si="36"/>
        <v>N/A</v>
      </c>
      <c r="Q18" s="418" t="str">
        <f t="shared" si="36"/>
        <v>N/A</v>
      </c>
      <c r="R18" s="418" t="str">
        <f t="shared" si="36"/>
        <v>N/A</v>
      </c>
      <c r="S18" s="418" t="str">
        <f t="shared" si="36"/>
        <v>N/A</v>
      </c>
      <c r="T18" s="418" t="str">
        <f t="shared" si="36"/>
        <v>N/A</v>
      </c>
      <c r="U18" s="418" t="str">
        <f t="shared" si="36"/>
        <v>N/A</v>
      </c>
      <c r="V18" s="418" t="str">
        <f t="shared" si="36"/>
        <v>N/A</v>
      </c>
      <c r="W18" s="418" t="str">
        <f t="shared" si="36"/>
        <v>N/A</v>
      </c>
      <c r="X18" s="418" t="str">
        <f t="shared" si="36"/>
        <v>N/A</v>
      </c>
      <c r="Y18" s="418" t="str">
        <f t="shared" si="36"/>
        <v>N/A</v>
      </c>
      <c r="Z18" s="418" t="str">
        <f t="shared" si="36"/>
        <v>N/A</v>
      </c>
      <c r="AA18" s="418" t="str">
        <f t="shared" si="36"/>
        <v>N/A</v>
      </c>
      <c r="AB18" s="317"/>
      <c r="AC18" s="309" t="s">
        <v>3932</v>
      </c>
      <c r="AD18" s="310" t="s">
        <v>224</v>
      </c>
      <c r="AE18" s="310" t="s">
        <v>965</v>
      </c>
      <c r="AF18" s="310" t="s">
        <v>6988</v>
      </c>
      <c r="AG18" s="310" t="s">
        <v>2079</v>
      </c>
      <c r="AH18" s="310" t="s">
        <v>6837</v>
      </c>
      <c r="AI18" s="381" t="s">
        <v>316</v>
      </c>
      <c r="AJ18" s="6" t="s">
        <v>6786</v>
      </c>
      <c r="AK18" s="6" t="str">
        <f t="shared" si="10"/>
        <v>IGUAL</v>
      </c>
      <c r="AL18" s="151" t="str">
        <f>IFERROR(IF(LEFT(A18,3)="LCP",VLOOKUP(A18,STATUS_SAP_LCP!B:C,2,FALSE),VLOOKUP(A18,STATUS_SAP_ICP!B:C,2,FALSE)),"NO BUDGET")</f>
        <v>REL  BUDG ISBD AVAC  //  BREL WPLI</v>
      </c>
      <c r="AM18" s="6" t="str">
        <f t="shared" si="11"/>
        <v xml:space="preserve">REL </v>
      </c>
      <c r="AN18" s="282" t="s">
        <v>8957</v>
      </c>
      <c r="AO18" s="557"/>
      <c r="AP18" s="499" t="s">
        <v>9616</v>
      </c>
      <c r="AQ18" s="464"/>
      <c r="AR18" s="460"/>
      <c r="AS18" s="56"/>
      <c r="AT18" s="185">
        <v>0</v>
      </c>
      <c r="AU18" s="318">
        <v>235.89201</v>
      </c>
      <c r="AV18" s="223">
        <v>115.74779999999998</v>
      </c>
      <c r="AW18" s="318">
        <v>-162.24165999999994</v>
      </c>
      <c r="AX18" s="223">
        <v>-127.65895</v>
      </c>
      <c r="AY18" s="318">
        <f t="shared" si="12"/>
        <v>-61.646339999999995</v>
      </c>
      <c r="AZ18" s="223"/>
      <c r="BA18" s="318"/>
      <c r="BB18" s="519">
        <f t="shared" si="13"/>
        <v>0</v>
      </c>
      <c r="BC18" s="518">
        <v>0</v>
      </c>
      <c r="BD18" s="518">
        <v>0</v>
      </c>
      <c r="BE18" s="518">
        <v>0</v>
      </c>
      <c r="BF18" s="518">
        <v>0</v>
      </c>
      <c r="BG18" s="518">
        <v>0</v>
      </c>
      <c r="BH18" s="518">
        <v>0</v>
      </c>
      <c r="BI18" s="518">
        <v>0</v>
      </c>
      <c r="BJ18" s="518">
        <v>0</v>
      </c>
      <c r="BK18" s="518">
        <v>0</v>
      </c>
      <c r="BL18" s="518">
        <v>0</v>
      </c>
      <c r="BM18" s="518">
        <v>0</v>
      </c>
      <c r="BN18" s="518">
        <v>0</v>
      </c>
      <c r="BO18" s="367">
        <f t="shared" si="14"/>
        <v>-61.646339999999995</v>
      </c>
      <c r="BP18" s="421">
        <v>0</v>
      </c>
      <c r="BQ18" s="422">
        <v>-58.814579999999992</v>
      </c>
      <c r="BR18" s="423">
        <f>IFERROR(IF(LEFT($A18,3)="Lcp",SUMIFS('BASE-LCP'!$K:$K,'BASE-LCP'!$A:$A,Capex!$A30,'BASE-LCP'!$B:$B,"janeiro")/1000,IF(LEFT($A18,3)="icp",SUMIFS('BASE-ICP'!$K:$K,'BASE-ICP'!$A:$A,Capex!$A30,'BASE-ICP'!$B:$B,"janeiro")/1000,"")),"")</f>
        <v>0</v>
      </c>
      <c r="BS18" s="427">
        <v>-58.814579999999992</v>
      </c>
      <c r="BT18" s="372">
        <v>-2.8000000000000003</v>
      </c>
      <c r="BU18" s="422">
        <v>0</v>
      </c>
      <c r="BV18" s="423">
        <f>IFERROR(IF(LEFT($A18,3)="Lcp",SUMIFS('BASE-LCP'!$K:$K,'BASE-LCP'!$A:$A,Capex!$A30,'BASE-LCP'!$B:$B,"fevereiro")/1000,IF(LEFT($A18,3)="icp",SUMIFS('BASE-ICP'!$K:$K,'BASE-ICP'!$A:$A,Capex!$A30,'BASE-ICP'!$B:$B,"fevereiro")/1000,"")),"")</f>
        <v>0</v>
      </c>
      <c r="BW18" s="427">
        <v>0</v>
      </c>
      <c r="BX18" s="372">
        <v>-2.8000000000000003</v>
      </c>
      <c r="BY18" s="422">
        <v>1.51637</v>
      </c>
      <c r="BZ18" s="423">
        <f>IFERROR(IF(LEFT($A18,3)="Lcp",SUMIFS('BASE-LCP'!$K:$K,'BASE-LCP'!$A:$A,Capex!$A30,'BASE-LCP'!$B:$B,"março")/1000,IF(LEFT($A18,3)="icp",SUMIFS('BASE-ICP'!$K:$K,'BASE-ICP'!$A:$A,Capex!$A30,'BASE-ICP'!$B:$B,"março")/1000,"")),"")</f>
        <v>0</v>
      </c>
      <c r="CA18" s="427">
        <v>1.51637</v>
      </c>
      <c r="CB18" s="372">
        <v>-4.5</v>
      </c>
      <c r="CC18" s="422"/>
      <c r="CD18" s="423">
        <f>IFERROR(IF(LEFT($A18,3)="Lcp",SUMIFS('BASE-LCP'!$K:$K,'BASE-LCP'!$A:$A,Capex!$A30,'BASE-LCP'!$B:$B,"abril")/1000,IF(LEFT($A18,3)="icp",SUMIFS('BASE-ICP'!$K:$K,'BASE-ICP'!$A:$A,Capex!$A30,'BASE-ICP'!$B:$B,"abril")/1000,"")),"")</f>
        <v>0</v>
      </c>
      <c r="CE18" s="427">
        <v>10.70927</v>
      </c>
      <c r="CF18" s="372">
        <v>-15.23841</v>
      </c>
      <c r="CG18" s="422">
        <f>CH18</f>
        <v>14.91675</v>
      </c>
      <c r="CH18" s="423">
        <v>14.91675</v>
      </c>
      <c r="CI18" s="427">
        <v>14.91675</v>
      </c>
      <c r="CJ18" s="372">
        <v>0</v>
      </c>
      <c r="CK18" s="419"/>
      <c r="CL18" s="423">
        <f>IFERROR(IF(LEFT($A18,3)="Lcp",SUMIFS('BASE-LCP'!$K:$K,'BASE-LCP'!$A:$A,Capex!$A30,'BASE-LCP'!$B:$B,"junho")/1000,IF(LEFT($A18,3)="icp",SUMIFS('BASE-ICP'!$K:$K,'BASE-ICP'!$A:$A,Capex!$A30,'BASE-ICP'!$B:$B,"junho")/1000,"")),"")</f>
        <v>0</v>
      </c>
      <c r="CM18" s="427">
        <v>6.8258499999999991</v>
      </c>
      <c r="CN18" s="372"/>
      <c r="CO18" s="419"/>
      <c r="CP18" s="423">
        <f>IFERROR(IF(LEFT($A18,3)="Lcp",SUMIFS('BASE-LCP'!$K:$K,'BASE-LCP'!$A:$A,Capex!$A30,'BASE-LCP'!$B:$B,"julho")/1000,IF(LEFT($A18,3)="icp",SUMIFS('BASE-ICP'!$K:$K,'BASE-ICP'!$A:$A,Capex!$A30,'BASE-ICP'!$B:$B,"julho")/1000,"")),"")</f>
        <v>0</v>
      </c>
      <c r="CQ18" s="427">
        <v>0</v>
      </c>
      <c r="CR18" s="372"/>
      <c r="CS18" s="419"/>
      <c r="CT18" s="423">
        <f>IFERROR(IF(LEFT($A18,3)="Lcp",SUMIFS('BASE-LCP'!$K:$K,'BASE-LCP'!$A:$A,Capex!$A30,'BASE-LCP'!$B:$B,"agosto")/1000,IF(LEFT($A18,3)="icp",SUMIFS('BASE-ICP'!$K:$K,'BASE-ICP'!$A:$A,Capex!$A30,'BASE-ICP'!$B:$B,"agosto")/1000,"")),"")</f>
        <v>0</v>
      </c>
      <c r="CU18" s="427">
        <v>0</v>
      </c>
      <c r="CV18" s="372"/>
      <c r="CW18" s="419"/>
      <c r="CX18" s="423">
        <f>IFERROR(IF(LEFT($A18,3)="Lcp",SUMIFS('BASE-LCP'!$K:$K,'BASE-LCP'!$A:$A,Capex!$A30,'BASE-LCP'!$B:$B,"setembro")/1000,IF(LEFT($A18,3)="icp",SUMIFS('BASE-ICP'!$K:$K,'BASE-ICP'!$A:$A,Capex!$A30,'BASE-ICP'!$B:$B,"setembro")/1000,"")),"")</f>
        <v>0</v>
      </c>
      <c r="CY18" s="427">
        <f>-30-6.8</f>
        <v>-36.799999999999997</v>
      </c>
      <c r="CZ18" s="372"/>
      <c r="DA18" s="419"/>
      <c r="DB18" s="423">
        <f>IFERROR(IF(LEFT($A18,3)="Lcp",SUMIFS('BASE-LCP'!$K:$K,'BASE-LCP'!$A:$A,Capex!$A30,'BASE-LCP'!$B:$B,"outubro")/1000,IF(LEFT($A18,3)="icp",SUMIFS('BASE-ICP'!$K:$K,'BASE-ICP'!$A:$A,Capex!$A30,'BASE-ICP'!$B:$B,"outubro")/1000,"")),"")</f>
        <v>0</v>
      </c>
      <c r="DC18" s="427">
        <v>0</v>
      </c>
      <c r="DD18" s="372"/>
      <c r="DE18" s="419"/>
      <c r="DF18" s="423">
        <f>IFERROR(IF(LEFT($A18,3)="Lcp",SUMIFS('BASE-LCP'!$K:$K,'BASE-LCP'!$A:$A,Capex!$A30,'BASE-LCP'!$B:$B,"novembro")/1000,IF(LEFT($A18,3)="icp",SUMIFS('BASE-ICP'!$K:$K,'BASE-ICP'!$A:$A,Capex!$A30,'BASE-ICP'!$B:$B,"novembro")/1000,"")),"")</f>
        <v>0</v>
      </c>
      <c r="DG18" s="427">
        <v>0</v>
      </c>
      <c r="DH18" s="372"/>
      <c r="DI18" s="419"/>
      <c r="DJ18" s="423">
        <f>IFERROR(IF(LEFT($A18,3)="Lcp",SUMIFS('BASE-LCP'!$K:$K,'BASE-LCP'!$A:$A,Capex!$A30,'BASE-LCP'!$B:$B,"dezembro")/1000,IF(LEFT($A18,3)="icp",SUMIFS('BASE-ICP'!$K:$K,'BASE-ICP'!$A:$A,Capex!$A30,'BASE-ICP'!$B:$B,"dezembro")/1000,"")),"")</f>
        <v>0</v>
      </c>
      <c r="DK18" s="427">
        <v>0</v>
      </c>
      <c r="DL18" s="452">
        <f t="shared" si="15"/>
        <v>0</v>
      </c>
      <c r="DM18" s="374"/>
      <c r="DN18" s="374"/>
      <c r="DO18" s="374"/>
      <c r="DP18" s="374"/>
      <c r="DQ18" s="374"/>
      <c r="DR18" s="374"/>
      <c r="DS18" s="374"/>
      <c r="DT18" s="374"/>
      <c r="DU18" s="374"/>
      <c r="DV18" s="374"/>
      <c r="DW18" s="374"/>
      <c r="DX18" s="374"/>
      <c r="DY18" s="450"/>
      <c r="DZ18" s="374">
        <f t="shared" si="16"/>
        <v>0</v>
      </c>
      <c r="EA18" s="216">
        <f t="shared" si="17"/>
        <v>6.8258499999999991</v>
      </c>
      <c r="EB18" s="320">
        <f t="shared" si="18"/>
        <v>-6.8258499999999991</v>
      </c>
      <c r="EC18" s="241">
        <f t="shared" si="19"/>
        <v>-57.29820999999999</v>
      </c>
      <c r="ED18" s="241">
        <f t="shared" si="20"/>
        <v>32.45187</v>
      </c>
      <c r="EE18" s="241">
        <f t="shared" si="21"/>
        <v>-36.799999999999997</v>
      </c>
      <c r="EF18" s="241">
        <f t="shared" si="22"/>
        <v>0</v>
      </c>
      <c r="EG18" s="346">
        <f t="shared" si="23"/>
        <v>-61.646339999999995</v>
      </c>
      <c r="EH18" s="445">
        <f t="shared" si="24"/>
        <v>-15.23841</v>
      </c>
      <c r="EI18" s="447">
        <f t="shared" si="25"/>
        <v>14.91675</v>
      </c>
      <c r="EJ18" s="364">
        <f t="shared" si="26"/>
        <v>-31.672189999999993</v>
      </c>
      <c r="EK18" s="365">
        <f t="shared" si="27"/>
        <v>-29.974150000000002</v>
      </c>
      <c r="EL18" s="529">
        <f t="shared" si="28"/>
        <v>-61.364679999999993</v>
      </c>
      <c r="EM18" s="530">
        <v>-58.814579999999992</v>
      </c>
      <c r="EN18" s="530">
        <v>0</v>
      </c>
      <c r="EO18" s="530">
        <v>1.51637</v>
      </c>
      <c r="EP18" s="530">
        <v>10.70927</v>
      </c>
      <c r="EQ18" s="530">
        <v>14.91675</v>
      </c>
      <c r="ER18" s="530">
        <v>0</v>
      </c>
      <c r="ES18" s="530">
        <v>0</v>
      </c>
      <c r="ET18" s="530">
        <v>-29.692489999999999</v>
      </c>
      <c r="EU18" s="530">
        <v>0</v>
      </c>
      <c r="EV18" s="530">
        <v>0</v>
      </c>
      <c r="EW18" s="530">
        <v>0</v>
      </c>
      <c r="EX18" s="530">
        <v>0</v>
      </c>
      <c r="EY18" s="530">
        <f t="shared" si="29"/>
        <v>-57.29820999999999</v>
      </c>
      <c r="EZ18" s="530">
        <f t="shared" si="30"/>
        <v>25.62602</v>
      </c>
      <c r="FA18" s="530">
        <f t="shared" si="31"/>
        <v>-29.692489999999999</v>
      </c>
      <c r="FB18" s="530">
        <f t="shared" si="32"/>
        <v>0</v>
      </c>
      <c r="FC18" s="384" t="str">
        <f>IFERROR(VLOOKUP(Capex!A30,BASE_558!D:R,8,FALSE)/1000,"")</f>
        <v/>
      </c>
      <c r="FD18" s="328" t="str">
        <f>IFERROR(VLOOKUP(Capex!A30,BASE_558!D:R,9,)/1000,"")</f>
        <v/>
      </c>
      <c r="FE18" s="328">
        <f>IFERROR(IF(LEFT(A18,3)="LCP",(VLOOKUP(Capex!A30,BASE_558!D:R,10,)/1000),SUMIFS('BASE ICP_PO_SC'!F:F,'BASE ICP_PO_SC'!A:A,Capex!A30,'BASE ICP_PO_SC'!E:E,"&lt;&gt;")/1000),"")</f>
        <v>0</v>
      </c>
      <c r="FF18" s="328">
        <f>IFERROR(IF(LEFT(A18,3)="LCP",(VLOOKUP(Capex!A30,BASE_558!D:R,11,)/1000),SUMIFS('BASE ICP_PO_SC'!F:F,'BASE ICP_PO_SC'!A:A,Capex!A30,'BASE ICP_PO_SC'!E:E,"")/1000),"")</f>
        <v>0</v>
      </c>
      <c r="FG18" s="328" t="str">
        <f>IFERROR(VLOOKUP(A18,BASE_558!D:R,13,FALSE)/1000,"")</f>
        <v/>
      </c>
      <c r="FH18" s="328" t="str">
        <f>IFERROR(VLOOKUP(A18,BASE_558!D:R,15,FALSE)/1000,"")</f>
        <v/>
      </c>
      <c r="FI18" s="547">
        <f t="shared" si="33"/>
        <v>-6.8258499999999991</v>
      </c>
      <c r="FJ18" s="547">
        <f t="shared" si="34"/>
        <v>7.1075099999999978</v>
      </c>
      <c r="FK18" s="540">
        <f t="shared" si="35"/>
        <v>0</v>
      </c>
    </row>
    <row r="19" spans="1:167" s="23" customFormat="1" ht="23.25" customHeight="1">
      <c r="A19" s="441" t="s">
        <v>2436</v>
      </c>
      <c r="B19" s="404" t="s">
        <v>2501</v>
      </c>
      <c r="C19" s="404"/>
      <c r="D19" s="403" t="s">
        <v>3348</v>
      </c>
      <c r="E19" s="378">
        <v>8002021</v>
      </c>
      <c r="F19" s="5"/>
      <c r="G19" s="310" t="s">
        <v>9</v>
      </c>
      <c r="H19" s="338" t="s">
        <v>6</v>
      </c>
      <c r="I19" s="338"/>
      <c r="J19" s="338">
        <v>2023</v>
      </c>
      <c r="K19" s="351">
        <v>45273</v>
      </c>
      <c r="L19" s="317"/>
      <c r="M19" s="409"/>
      <c r="N19" s="317">
        <f t="shared" si="7"/>
        <v>46185</v>
      </c>
      <c r="O19" s="317">
        <f t="shared" si="8"/>
        <v>46550</v>
      </c>
      <c r="P19" s="418" t="str">
        <f t="shared" si="36"/>
        <v>NÃO</v>
      </c>
      <c r="Q19" s="418" t="str">
        <f t="shared" si="36"/>
        <v>NÃO</v>
      </c>
      <c r="R19" s="418" t="str">
        <f t="shared" si="36"/>
        <v>NÃO</v>
      </c>
      <c r="S19" s="418" t="str">
        <f t="shared" si="36"/>
        <v>NÃO</v>
      </c>
      <c r="T19" s="418" t="str">
        <f t="shared" si="36"/>
        <v>NÃO</v>
      </c>
      <c r="U19" s="418" t="str">
        <f t="shared" si="36"/>
        <v>NÃO</v>
      </c>
      <c r="V19" s="418" t="str">
        <f t="shared" si="36"/>
        <v>NÃO</v>
      </c>
      <c r="W19" s="418" t="str">
        <f t="shared" si="36"/>
        <v>NÃO</v>
      </c>
      <c r="X19" s="418" t="str">
        <f t="shared" si="36"/>
        <v>NÃO</v>
      </c>
      <c r="Y19" s="418" t="str">
        <f t="shared" si="36"/>
        <v>NÃO</v>
      </c>
      <c r="Z19" s="418" t="str">
        <f t="shared" si="36"/>
        <v>NÃO</v>
      </c>
      <c r="AA19" s="418" t="str">
        <f t="shared" si="36"/>
        <v>NÃO</v>
      </c>
      <c r="AB19" s="317"/>
      <c r="AC19" s="309" t="s">
        <v>3932</v>
      </c>
      <c r="AD19" s="310" t="s">
        <v>224</v>
      </c>
      <c r="AE19" s="310" t="s">
        <v>965</v>
      </c>
      <c r="AF19" s="310" t="s">
        <v>6985</v>
      </c>
      <c r="AG19" s="310" t="s">
        <v>2079</v>
      </c>
      <c r="AH19" s="310" t="s">
        <v>6838</v>
      </c>
      <c r="AI19" s="309" t="s">
        <v>2255</v>
      </c>
      <c r="AJ19" s="6" t="s">
        <v>6786</v>
      </c>
      <c r="AK19" s="6" t="str">
        <f t="shared" si="10"/>
        <v>IGUAL</v>
      </c>
      <c r="AL19" s="151" t="str">
        <f>IFERROR(IF(LEFT(A19,3)="LCP",VLOOKUP(A19,STATUS_SAP_LCP!B:C,2,FALSE),VLOOKUP(A19,STATUS_SAP_ICP!B:C,2,FALSE)),"NO BUDGET")</f>
        <v>REL  BUDG AUC  AVAC  //  APPR BREL EXPL</v>
      </c>
      <c r="AM19" s="6" t="str">
        <f t="shared" si="11"/>
        <v xml:space="preserve">REL </v>
      </c>
      <c r="AN19" s="282" t="s">
        <v>19074</v>
      </c>
      <c r="AO19" s="557"/>
      <c r="AP19" s="499" t="s">
        <v>5299</v>
      </c>
      <c r="AQ19" s="465">
        <v>45809</v>
      </c>
      <c r="AR19" s="460"/>
      <c r="AS19" s="56"/>
      <c r="AT19" s="185"/>
      <c r="AU19" s="318"/>
      <c r="AV19" s="223"/>
      <c r="AW19" s="318">
        <v>0</v>
      </c>
      <c r="AX19" s="223">
        <v>803.85221000000001</v>
      </c>
      <c r="AY19" s="318">
        <f t="shared" si="12"/>
        <v>143.20665000000002</v>
      </c>
      <c r="AZ19" s="223"/>
      <c r="BA19" s="318"/>
      <c r="BB19" s="519">
        <f t="shared" si="13"/>
        <v>94.5</v>
      </c>
      <c r="BC19" s="518">
        <v>0</v>
      </c>
      <c r="BD19" s="518">
        <v>0</v>
      </c>
      <c r="BE19" s="518">
        <v>0</v>
      </c>
      <c r="BF19" s="518">
        <v>84.5</v>
      </c>
      <c r="BG19" s="518">
        <v>10</v>
      </c>
      <c r="BH19" s="518">
        <v>0</v>
      </c>
      <c r="BI19" s="518">
        <v>0</v>
      </c>
      <c r="BJ19" s="518">
        <v>0</v>
      </c>
      <c r="BK19" s="518">
        <v>0</v>
      </c>
      <c r="BL19" s="518">
        <v>0</v>
      </c>
      <c r="BM19" s="518">
        <v>0</v>
      </c>
      <c r="BN19" s="518">
        <v>0</v>
      </c>
      <c r="BO19" s="367">
        <f t="shared" si="14"/>
        <v>143.20665000000002</v>
      </c>
      <c r="BP19" s="421">
        <v>0</v>
      </c>
      <c r="BQ19" s="422">
        <v>-12.745139999999999</v>
      </c>
      <c r="BR19" s="423">
        <f>IFERROR(IF(LEFT($A19,3)="Lcp",SUMIFS('BASE-LCP'!$K:$K,'BASE-LCP'!$A:$A,Capex!$A351,'BASE-LCP'!$B:$B,"janeiro")/1000,IF(LEFT($A19,3)="icp",SUMIFS('BASE-ICP'!$K:$K,'BASE-ICP'!$A:$A,Capex!$A351,'BASE-ICP'!$B:$B,"janeiro")/1000,"")),"")</f>
        <v>0</v>
      </c>
      <c r="BS19" s="427">
        <v>-12.745139999999999</v>
      </c>
      <c r="BT19" s="372">
        <v>0</v>
      </c>
      <c r="BU19" s="422">
        <v>-0.24038999999999999</v>
      </c>
      <c r="BV19" s="423">
        <f>IFERROR(IF(LEFT($A19,3)="Lcp",SUMIFS('BASE-LCP'!$K:$K,'BASE-LCP'!$A:$A,Capex!$A351,'BASE-LCP'!$B:$B,"fevereiro")/1000,IF(LEFT($A19,3)="icp",SUMIFS('BASE-ICP'!$K:$K,'BASE-ICP'!$A:$A,Capex!$A351,'BASE-ICP'!$B:$B,"fevereiro")/1000,"")),"")</f>
        <v>0</v>
      </c>
      <c r="BW19" s="427">
        <v>-0.24039000000000002</v>
      </c>
      <c r="BX19" s="372">
        <v>0</v>
      </c>
      <c r="BY19" s="422">
        <v>2.8174799999999998</v>
      </c>
      <c r="BZ19" s="423">
        <f>IFERROR(IF(LEFT($A19,3)="Lcp",SUMIFS('BASE-LCP'!$K:$K,'BASE-LCP'!$A:$A,Capex!$A351,'BASE-LCP'!$B:$B,"março")/1000,IF(LEFT($A19,3)="icp",SUMIFS('BASE-ICP'!$K:$K,'BASE-ICP'!$A:$A,Capex!$A351,'BASE-ICP'!$B:$B,"março")/1000,"")),"")</f>
        <v>0</v>
      </c>
      <c r="CA19" s="427">
        <v>2.8174800000000002</v>
      </c>
      <c r="CB19" s="372">
        <v>81.8</v>
      </c>
      <c r="CC19" s="422">
        <v>29.849450000000004</v>
      </c>
      <c r="CD19" s="423">
        <f>IFERROR(IF(LEFT($A19,3)="Lcp",SUMIFS('BASE-LCP'!$K:$K,'BASE-LCP'!$A:$A,Capex!$A351,'BASE-LCP'!$B:$B,"abril")/1000,IF(LEFT($A19,3)="icp",SUMIFS('BASE-ICP'!$K:$K,'BASE-ICP'!$A:$A,Capex!$A351,'BASE-ICP'!$B:$B,"abril")/1000,"")),"")</f>
        <v>0</v>
      </c>
      <c r="CE19" s="427">
        <v>29.849450000000001</v>
      </c>
      <c r="CF19" s="372">
        <v>98.16</v>
      </c>
      <c r="CG19" s="422">
        <v>94.712580000000003</v>
      </c>
      <c r="CH19" s="423">
        <v>94.712580000000003</v>
      </c>
      <c r="CI19" s="427">
        <v>94.712580000000003</v>
      </c>
      <c r="CJ19" s="372">
        <v>5</v>
      </c>
      <c r="CK19" s="419">
        <v>5.6126699999999996</v>
      </c>
      <c r="CL19" s="423">
        <f>IFERROR(IF(LEFT($A19,3)="Lcp",SUMIFS('BASE-LCP'!$K:$K,'BASE-LCP'!$A:$A,Capex!$A351,'BASE-LCP'!$B:$B,"junho")/1000,IF(LEFT($A19,3)="icp",SUMIFS('BASE-ICP'!$K:$K,'BASE-ICP'!$A:$A,Capex!$A351,'BASE-ICP'!$B:$B,"junho")/1000,"")),"")</f>
        <v>116.86059999999999</v>
      </c>
      <c r="CM19" s="427">
        <v>5.6126700000000014</v>
      </c>
      <c r="CN19" s="372"/>
      <c r="CO19" s="419"/>
      <c r="CP19" s="423">
        <f>IFERROR(IF(LEFT($A19,3)="Lcp",SUMIFS('BASE-LCP'!$K:$K,'BASE-LCP'!$A:$A,Capex!$A351,'BASE-LCP'!$B:$B,"julho")/1000,IF(LEFT($A19,3)="icp",SUMIFS('BASE-ICP'!$K:$K,'BASE-ICP'!$A:$A,Capex!$A351,'BASE-ICP'!$B:$B,"julho")/1000,"")),"")</f>
        <v>0</v>
      </c>
      <c r="CQ19" s="427">
        <v>0.2</v>
      </c>
      <c r="CR19" s="372"/>
      <c r="CS19" s="419"/>
      <c r="CT19" s="423">
        <f>IFERROR(IF(LEFT($A19,3)="Lcp",SUMIFS('BASE-LCP'!$K:$K,'BASE-LCP'!$A:$A,Capex!$A351,'BASE-LCP'!$B:$B,"agosto")/1000,IF(LEFT($A19,3)="icp",SUMIFS('BASE-ICP'!$K:$K,'BASE-ICP'!$A:$A,Capex!$A351,'BASE-ICP'!$B:$B,"agosto")/1000,"")),"")</f>
        <v>0</v>
      </c>
      <c r="CU19" s="427">
        <v>0</v>
      </c>
      <c r="CV19" s="372"/>
      <c r="CW19" s="419"/>
      <c r="CX19" s="423">
        <f>IFERROR(IF(LEFT($A19,3)="Lcp",SUMIFS('BASE-LCP'!$K:$K,'BASE-LCP'!$A:$A,Capex!$A351,'BASE-LCP'!$B:$B,"setembro")/1000,IF(LEFT($A19,3)="icp",SUMIFS('BASE-ICP'!$K:$K,'BASE-ICP'!$A:$A,Capex!$A351,'BASE-ICP'!$B:$B,"setembro")/1000,"")),"")</f>
        <v>0</v>
      </c>
      <c r="CY19" s="427">
        <v>16</v>
      </c>
      <c r="CZ19" s="372"/>
      <c r="DA19" s="419"/>
      <c r="DB19" s="423">
        <f>IFERROR(IF(LEFT($A19,3)="Lcp",SUMIFS('BASE-LCP'!$K:$K,'BASE-LCP'!$A:$A,Capex!$A351,'BASE-LCP'!$B:$B,"outubro")/1000,IF(LEFT($A19,3)="icp",SUMIFS('BASE-ICP'!$K:$K,'BASE-ICP'!$A:$A,Capex!$A351,'BASE-ICP'!$B:$B,"outubro")/1000,"")),"")</f>
        <v>0</v>
      </c>
      <c r="DC19" s="427">
        <v>7</v>
      </c>
      <c r="DD19" s="372"/>
      <c r="DE19" s="419"/>
      <c r="DF19" s="423">
        <f>IFERROR(IF(LEFT($A19,3)="Lcp",SUMIFS('BASE-LCP'!$K:$K,'BASE-LCP'!$A:$A,Capex!$A351,'BASE-LCP'!$B:$B,"novembro")/1000,IF(LEFT($A19,3)="icp",SUMIFS('BASE-ICP'!$K:$K,'BASE-ICP'!$A:$A,Capex!$A351,'BASE-ICP'!$B:$B,"novembro")/1000,"")),"")</f>
        <v>0</v>
      </c>
      <c r="DG19" s="427">
        <v>0</v>
      </c>
      <c r="DH19" s="372"/>
      <c r="DI19" s="419"/>
      <c r="DJ19" s="423">
        <f>IFERROR(IF(LEFT($A19,3)="Lcp",SUMIFS('BASE-LCP'!$K:$K,'BASE-LCP'!$A:$A,Capex!$A351,'BASE-LCP'!$B:$B,"dezembro")/1000,IF(LEFT($A19,3)="icp",SUMIFS('BASE-ICP'!$K:$K,'BASE-ICP'!$A:$A,Capex!$A351,'BASE-ICP'!$B:$B,"dezembro")/1000,"")),"")</f>
        <v>0</v>
      </c>
      <c r="DK19" s="427">
        <v>0</v>
      </c>
      <c r="DL19" s="452">
        <f t="shared" si="15"/>
        <v>0</v>
      </c>
      <c r="DM19" s="374"/>
      <c r="DN19" s="374">
        <v>0</v>
      </c>
      <c r="DO19" s="374"/>
      <c r="DP19" s="374"/>
      <c r="DQ19" s="374"/>
      <c r="DR19" s="374"/>
      <c r="DS19" s="374"/>
      <c r="DT19" s="374"/>
      <c r="DU19" s="374"/>
      <c r="DV19" s="374"/>
      <c r="DW19" s="374"/>
      <c r="DX19" s="374"/>
      <c r="DY19" s="450"/>
      <c r="DZ19" s="374">
        <f t="shared" si="16"/>
        <v>0</v>
      </c>
      <c r="EA19" s="216">
        <f t="shared" si="17"/>
        <v>0.61267000000000138</v>
      </c>
      <c r="EB19" s="320">
        <f t="shared" si="18"/>
        <v>111.24793</v>
      </c>
      <c r="EC19" s="241">
        <f t="shared" si="19"/>
        <v>-10.168049999999999</v>
      </c>
      <c r="ED19" s="241">
        <f t="shared" si="20"/>
        <v>130.1747</v>
      </c>
      <c r="EE19" s="241">
        <f t="shared" si="21"/>
        <v>16.2</v>
      </c>
      <c r="EF19" s="241">
        <f t="shared" si="22"/>
        <v>7</v>
      </c>
      <c r="EG19" s="346">
        <f t="shared" si="23"/>
        <v>48.706650000000025</v>
      </c>
      <c r="EH19" s="445">
        <f t="shared" si="24"/>
        <v>98.16</v>
      </c>
      <c r="EI19" s="447">
        <f t="shared" si="25"/>
        <v>94.712580000000003</v>
      </c>
      <c r="EJ19" s="364">
        <f t="shared" si="26"/>
        <v>231.25457999999998</v>
      </c>
      <c r="EK19" s="365">
        <f t="shared" si="27"/>
        <v>-88.047929999999951</v>
      </c>
      <c r="EL19" s="529">
        <f t="shared" si="28"/>
        <v>142.39398</v>
      </c>
      <c r="EM19" s="530">
        <v>-12.745139999999999</v>
      </c>
      <c r="EN19" s="530">
        <v>-0.24039000000000002</v>
      </c>
      <c r="EO19" s="530">
        <v>2.8174800000000002</v>
      </c>
      <c r="EP19" s="530">
        <v>29.849450000000001</v>
      </c>
      <c r="EQ19" s="530">
        <v>94.712580000000003</v>
      </c>
      <c r="ER19" s="530">
        <v>5</v>
      </c>
      <c r="ES19" s="530">
        <v>16</v>
      </c>
      <c r="ET19" s="530">
        <v>7</v>
      </c>
      <c r="EU19" s="530">
        <v>0</v>
      </c>
      <c r="EV19" s="530">
        <v>0</v>
      </c>
      <c r="EW19" s="530">
        <v>0</v>
      </c>
      <c r="EX19" s="530">
        <v>0</v>
      </c>
      <c r="EY19" s="530">
        <f t="shared" si="29"/>
        <v>-10.168049999999999</v>
      </c>
      <c r="EZ19" s="530">
        <f t="shared" si="30"/>
        <v>129.56202999999999</v>
      </c>
      <c r="FA19" s="530">
        <f t="shared" si="31"/>
        <v>23</v>
      </c>
      <c r="FB19" s="530">
        <f t="shared" si="32"/>
        <v>0</v>
      </c>
      <c r="FC19" s="384">
        <f>IFERROR(VLOOKUP(Capex!A351,BASE_558!D:R,8,FALSE)/1000,"")</f>
        <v>146.91999999999999</v>
      </c>
      <c r="FD19" s="328">
        <f>IFERROR(VLOOKUP(Capex!A351,BASE_558!D:R,9,)/1000,"")</f>
        <v>116.86060000000001</v>
      </c>
      <c r="FE19" s="328">
        <f>IFERROR(IF(LEFT(A19,3)="LCP",(VLOOKUP(Capex!A351,BASE_558!D:R,10,)/1000),SUMIFS('BASE ICP_PO_SC'!F:F,'BASE ICP_PO_SC'!A:A,Capex!A351,'BASE ICP_PO_SC'!E:E,"&lt;&gt;")/1000),"")</f>
        <v>0</v>
      </c>
      <c r="FF19" s="328">
        <f>IFERROR(IF(LEFT(A19,3)="LCP",(VLOOKUP(Capex!A351,BASE_558!D:R,11,)/1000),SUMIFS('BASE ICP_PO_SC'!F:F,'BASE ICP_PO_SC'!A:A,Capex!A351,'BASE ICP_PO_SC'!E:E,"")/1000),"")</f>
        <v>0</v>
      </c>
      <c r="FG19" s="328">
        <f>IFERROR(VLOOKUP(A19,BASE_558!D:R,13,FALSE)/1000,"")</f>
        <v>932.66339000000005</v>
      </c>
      <c r="FH19" s="328">
        <f>IFERROR(VLOOKUP(A19,BASE_558!D:R,15,FALSE)/1000,"")</f>
        <v>232.89160999999999</v>
      </c>
      <c r="FI19" s="547">
        <f t="shared" si="33"/>
        <v>-0.61267000000000849</v>
      </c>
      <c r="FJ19" s="547">
        <f t="shared" si="34"/>
        <v>6.8000000000000007</v>
      </c>
      <c r="FK19" s="540">
        <f t="shared" si="35"/>
        <v>-7</v>
      </c>
    </row>
    <row r="20" spans="1:167" s="23" customFormat="1" ht="24" customHeight="1">
      <c r="A20" s="84" t="s">
        <v>1012</v>
      </c>
      <c r="B20" s="404"/>
      <c r="C20" s="404">
        <v>11944</v>
      </c>
      <c r="D20" s="338" t="s">
        <v>1890</v>
      </c>
      <c r="E20" s="378">
        <v>4280564</v>
      </c>
      <c r="F20" s="310"/>
      <c r="G20" s="310" t="s">
        <v>9</v>
      </c>
      <c r="H20" s="338" t="s">
        <v>6</v>
      </c>
      <c r="I20" s="338"/>
      <c r="J20" s="338">
        <v>2021</v>
      </c>
      <c r="K20" s="351">
        <v>44397</v>
      </c>
      <c r="L20" s="317"/>
      <c r="M20" s="409"/>
      <c r="N20" s="317">
        <f t="shared" si="7"/>
        <v>45309</v>
      </c>
      <c r="O20" s="317">
        <f t="shared" si="8"/>
        <v>45674</v>
      </c>
      <c r="P20" s="418" t="str">
        <f t="shared" si="36"/>
        <v>SIM</v>
      </c>
      <c r="Q20" s="418" t="str">
        <f t="shared" si="36"/>
        <v>SIM</v>
      </c>
      <c r="R20" s="418" t="str">
        <f t="shared" si="36"/>
        <v>SIM</v>
      </c>
      <c r="S20" s="418" t="str">
        <f t="shared" si="36"/>
        <v>SIM</v>
      </c>
      <c r="T20" s="418" t="str">
        <f t="shared" si="36"/>
        <v>SIM</v>
      </c>
      <c r="U20" s="418" t="str">
        <f t="shared" si="36"/>
        <v>SIM</v>
      </c>
      <c r="V20" s="418" t="str">
        <f t="shared" si="36"/>
        <v>SIM</v>
      </c>
      <c r="W20" s="418" t="str">
        <f t="shared" si="36"/>
        <v>SIM</v>
      </c>
      <c r="X20" s="418" t="str">
        <f t="shared" si="36"/>
        <v>SIM</v>
      </c>
      <c r="Y20" s="418" t="str">
        <f t="shared" si="36"/>
        <v>SIM</v>
      </c>
      <c r="Z20" s="418" t="str">
        <f t="shared" si="36"/>
        <v>SIM</v>
      </c>
      <c r="AA20" s="418" t="str">
        <f t="shared" si="36"/>
        <v>SIM</v>
      </c>
      <c r="AB20" s="317"/>
      <c r="AC20" s="309" t="s">
        <v>3932</v>
      </c>
      <c r="AD20" s="310" t="s">
        <v>985</v>
      </c>
      <c r="AE20" s="310" t="s">
        <v>186</v>
      </c>
      <c r="AF20" s="310" t="s">
        <v>6985</v>
      </c>
      <c r="AG20" s="310" t="s">
        <v>704</v>
      </c>
      <c r="AH20" s="310" t="s">
        <v>1034</v>
      </c>
      <c r="AI20" s="309" t="s">
        <v>186</v>
      </c>
      <c r="AJ20" s="6" t="s">
        <v>6786</v>
      </c>
      <c r="AK20" s="6" t="str">
        <f t="shared" si="10"/>
        <v>IGUAL</v>
      </c>
      <c r="AL20" s="151" t="str">
        <f>IFERROR(IF(LEFT(A20,3)="LCP",VLOOKUP(A20,STATUS_SAP_LCP!B:C,2,FALSE),VLOOKUP(A20,STATUS_SAP_ICP!B:C,2,FALSE)),"NO BUDGET")</f>
        <v>REL  BUDG AUC   //  APPR BREL INPL</v>
      </c>
      <c r="AM20" s="6" t="str">
        <f t="shared" si="11"/>
        <v xml:space="preserve">REL </v>
      </c>
      <c r="AN20" s="428" t="s">
        <v>17718</v>
      </c>
      <c r="AO20" s="559"/>
      <c r="AP20" s="499" t="s">
        <v>9616</v>
      </c>
      <c r="AQ20" s="465">
        <v>46203</v>
      </c>
      <c r="AR20" s="460"/>
      <c r="AS20" s="56"/>
      <c r="AT20" s="185"/>
      <c r="AU20" s="318">
        <v>118.65567999999999</v>
      </c>
      <c r="AV20" s="223">
        <v>100.57586000000001</v>
      </c>
      <c r="AW20" s="318">
        <v>5.91188</v>
      </c>
      <c r="AX20" s="223">
        <v>13.444519999999999</v>
      </c>
      <c r="AY20" s="318">
        <f t="shared" si="12"/>
        <v>37.259830000000001</v>
      </c>
      <c r="AZ20" s="223"/>
      <c r="BA20" s="318"/>
      <c r="BB20" s="519">
        <f t="shared" si="13"/>
        <v>150</v>
      </c>
      <c r="BC20" s="518">
        <v>0</v>
      </c>
      <c r="BD20" s="518">
        <v>0</v>
      </c>
      <c r="BE20" s="518">
        <v>0</v>
      </c>
      <c r="BF20" s="518">
        <v>0</v>
      </c>
      <c r="BG20" s="518">
        <v>0</v>
      </c>
      <c r="BH20" s="518">
        <v>50</v>
      </c>
      <c r="BI20" s="518">
        <v>50</v>
      </c>
      <c r="BJ20" s="518">
        <v>50</v>
      </c>
      <c r="BK20" s="518">
        <v>0</v>
      </c>
      <c r="BL20" s="518">
        <v>0</v>
      </c>
      <c r="BM20" s="518">
        <v>0</v>
      </c>
      <c r="BN20" s="518">
        <v>0</v>
      </c>
      <c r="BO20" s="367">
        <f t="shared" si="14"/>
        <v>37.259830000000001</v>
      </c>
      <c r="BP20" s="421">
        <v>0</v>
      </c>
      <c r="BQ20" s="422"/>
      <c r="BR20" s="423">
        <f>IFERROR(IF(LEFT($A20,3)="Lcp",SUMIFS('BASE-LCP'!$K:$K,'BASE-LCP'!$A:$A,Capex!$A234,'BASE-LCP'!$B:$B,"janeiro")/1000,IF(LEFT($A20,3)="icp",SUMIFS('BASE-ICP'!$K:$K,'BASE-ICP'!$A:$A,Capex!$A234,'BASE-ICP'!$B:$B,"janeiro")/1000,"")),"")</f>
        <v>0</v>
      </c>
      <c r="BS20" s="427">
        <v>0</v>
      </c>
      <c r="BT20" s="372">
        <v>0</v>
      </c>
      <c r="BU20" s="422"/>
      <c r="BV20" s="423">
        <f>IFERROR(IF(LEFT($A20,3)="Lcp",SUMIFS('BASE-LCP'!$K:$K,'BASE-LCP'!$A:$A,Capex!$A234,'BASE-LCP'!$B:$B,"fevereiro")/1000,IF(LEFT($A20,3)="icp",SUMIFS('BASE-ICP'!$K:$K,'BASE-ICP'!$A:$A,Capex!$A234,'BASE-ICP'!$B:$B,"fevereiro")/1000,"")),"")</f>
        <v>0</v>
      </c>
      <c r="BW20" s="427">
        <v>0</v>
      </c>
      <c r="BX20" s="372">
        <v>0</v>
      </c>
      <c r="BY20" s="422">
        <v>0.71384000000000003</v>
      </c>
      <c r="BZ20" s="423">
        <f>IFERROR(IF(LEFT($A20,3)="Lcp",SUMIFS('BASE-LCP'!$K:$K,'BASE-LCP'!$A:$A,Capex!$A234,'BASE-LCP'!$B:$B,"março")/1000,IF(LEFT($A20,3)="icp",SUMIFS('BASE-ICP'!$K:$K,'BASE-ICP'!$A:$A,Capex!$A234,'BASE-ICP'!$B:$B,"março")/1000,"")),"")</f>
        <v>0</v>
      </c>
      <c r="CA20" s="427">
        <v>0.71383999999999992</v>
      </c>
      <c r="CB20" s="372">
        <v>0</v>
      </c>
      <c r="CC20" s="422">
        <v>4.2813400000000001</v>
      </c>
      <c r="CD20" s="423">
        <f>IFERROR(IF(LEFT($A20,3)="Lcp",SUMIFS('BASE-LCP'!$K:$K,'BASE-LCP'!$A:$A,Capex!$A234,'BASE-LCP'!$B:$B,"abril")/1000,IF(LEFT($A20,3)="icp",SUMIFS('BASE-ICP'!$K:$K,'BASE-ICP'!$A:$A,Capex!$A234,'BASE-ICP'!$B:$B,"abril")/1000,"")),"")</f>
        <v>0</v>
      </c>
      <c r="CE20" s="427">
        <v>4.2813400000000001</v>
      </c>
      <c r="CF20" s="372">
        <v>12</v>
      </c>
      <c r="CG20" s="422">
        <v>6.9111400000000005</v>
      </c>
      <c r="CH20" s="423">
        <v>6.9111400000000014</v>
      </c>
      <c r="CI20" s="427">
        <v>6.9111400000000014</v>
      </c>
      <c r="CJ20" s="372">
        <v>12</v>
      </c>
      <c r="CK20" s="419">
        <v>21.35351</v>
      </c>
      <c r="CL20" s="423">
        <f>IFERROR(IF(LEFT($A20,3)="Lcp",SUMIFS('BASE-LCP'!$K:$K,'BASE-LCP'!$A:$A,Capex!$A234,'BASE-LCP'!$B:$B,"junho")/1000,IF(LEFT($A20,3)="icp",SUMIFS('BASE-ICP'!$K:$K,'BASE-ICP'!$A:$A,Capex!$A234,'BASE-ICP'!$B:$B,"junho")/1000,"")),"")</f>
        <v>0</v>
      </c>
      <c r="CM20" s="427">
        <v>21.35351</v>
      </c>
      <c r="CN20" s="372"/>
      <c r="CO20" s="419"/>
      <c r="CP20" s="423">
        <f>IFERROR(IF(LEFT($A20,3)="Lcp",SUMIFS('BASE-LCP'!$K:$K,'BASE-LCP'!$A:$A,Capex!$A234,'BASE-LCP'!$B:$B,"julho")/1000,IF(LEFT($A20,3)="icp",SUMIFS('BASE-ICP'!$K:$K,'BASE-ICP'!$A:$A,Capex!$A234,'BASE-ICP'!$B:$B,"julho")/1000,"")),"")</f>
        <v>0</v>
      </c>
      <c r="CQ20" s="427">
        <v>4</v>
      </c>
      <c r="CR20" s="372"/>
      <c r="CS20" s="419"/>
      <c r="CT20" s="423">
        <f>IFERROR(IF(LEFT($A20,3)="Lcp",SUMIFS('BASE-LCP'!$K:$K,'BASE-LCP'!$A:$A,Capex!$A234,'BASE-LCP'!$B:$B,"agosto")/1000,IF(LEFT($A20,3)="icp",SUMIFS('BASE-ICP'!$K:$K,'BASE-ICP'!$A:$A,Capex!$A234,'BASE-ICP'!$B:$B,"agosto")/1000,"")),"")</f>
        <v>0</v>
      </c>
      <c r="CU20" s="427">
        <v>0</v>
      </c>
      <c r="CV20" s="372"/>
      <c r="CW20" s="419"/>
      <c r="CX20" s="423">
        <f>IFERROR(IF(LEFT($A20,3)="Lcp",SUMIFS('BASE-LCP'!$K:$K,'BASE-LCP'!$A:$A,Capex!$A234,'BASE-LCP'!$B:$B,"setembro")/1000,IF(LEFT($A20,3)="icp",SUMIFS('BASE-ICP'!$K:$K,'BASE-ICP'!$A:$A,Capex!$A234,'BASE-ICP'!$B:$B,"setembro")/1000,"")),"")</f>
        <v>0</v>
      </c>
      <c r="CY20" s="427">
        <v>0</v>
      </c>
      <c r="CZ20" s="372"/>
      <c r="DA20" s="419"/>
      <c r="DB20" s="423">
        <f>IFERROR(IF(LEFT($A20,3)="Lcp",SUMIFS('BASE-LCP'!$K:$K,'BASE-LCP'!$A:$A,Capex!$A234,'BASE-LCP'!$B:$B,"outubro")/1000,IF(LEFT($A20,3)="icp",SUMIFS('BASE-ICP'!$K:$K,'BASE-ICP'!$A:$A,Capex!$A234,'BASE-ICP'!$B:$B,"outubro")/1000,"")),"")</f>
        <v>0</v>
      </c>
      <c r="DC20" s="427">
        <v>0</v>
      </c>
      <c r="DD20" s="372"/>
      <c r="DE20" s="419"/>
      <c r="DF20" s="423">
        <f>IFERROR(IF(LEFT($A20,3)="Lcp",SUMIFS('BASE-LCP'!$K:$K,'BASE-LCP'!$A:$A,Capex!$A234,'BASE-LCP'!$B:$B,"novembro")/1000,IF(LEFT($A20,3)="icp",SUMIFS('BASE-ICP'!$K:$K,'BASE-ICP'!$A:$A,Capex!$A234,'BASE-ICP'!$B:$B,"novembro")/1000,"")),"")</f>
        <v>0</v>
      </c>
      <c r="DG20" s="427">
        <v>0</v>
      </c>
      <c r="DH20" s="372"/>
      <c r="DI20" s="419"/>
      <c r="DJ20" s="423">
        <f>IFERROR(IF(LEFT($A20,3)="Lcp",SUMIFS('BASE-LCP'!$K:$K,'BASE-LCP'!$A:$A,Capex!$A234,'BASE-LCP'!$B:$B,"dezembro")/1000,IF(LEFT($A20,3)="icp",SUMIFS('BASE-ICP'!$K:$K,'BASE-ICP'!$A:$A,Capex!$A234,'BASE-ICP'!$B:$B,"dezembro")/1000,"")),"")</f>
        <v>0</v>
      </c>
      <c r="DK20" s="427">
        <v>0</v>
      </c>
      <c r="DL20" s="452">
        <f t="shared" si="15"/>
        <v>200</v>
      </c>
      <c r="DM20" s="374"/>
      <c r="DN20" s="374">
        <v>200</v>
      </c>
      <c r="DO20" s="374"/>
      <c r="DP20" s="374"/>
      <c r="DQ20" s="374"/>
      <c r="DR20" s="374"/>
      <c r="DS20" s="374"/>
      <c r="DT20" s="374"/>
      <c r="DU20" s="374"/>
      <c r="DV20" s="374"/>
      <c r="DW20" s="374"/>
      <c r="DX20" s="374"/>
      <c r="DY20" s="450"/>
      <c r="DZ20" s="374">
        <f t="shared" si="16"/>
        <v>200</v>
      </c>
      <c r="EA20" s="216">
        <f t="shared" si="17"/>
        <v>9.35351</v>
      </c>
      <c r="EB20" s="320">
        <f t="shared" si="18"/>
        <v>-21.35351</v>
      </c>
      <c r="EC20" s="241">
        <f t="shared" si="19"/>
        <v>0.71383999999999992</v>
      </c>
      <c r="ED20" s="241">
        <f t="shared" si="20"/>
        <v>32.545990000000003</v>
      </c>
      <c r="EE20" s="241">
        <f t="shared" si="21"/>
        <v>4</v>
      </c>
      <c r="EF20" s="241">
        <f t="shared" si="22"/>
        <v>0</v>
      </c>
      <c r="EG20" s="346">
        <f t="shared" si="23"/>
        <v>-112.74017000000001</v>
      </c>
      <c r="EH20" s="445">
        <f t="shared" si="24"/>
        <v>12</v>
      </c>
      <c r="EI20" s="447">
        <f t="shared" si="25"/>
        <v>6.9111400000000014</v>
      </c>
      <c r="EJ20" s="364">
        <f t="shared" si="26"/>
        <v>11.906320000000001</v>
      </c>
      <c r="EK20" s="365">
        <f t="shared" si="27"/>
        <v>25.35351</v>
      </c>
      <c r="EL20" s="529">
        <f t="shared" si="28"/>
        <v>31.906320000000001</v>
      </c>
      <c r="EM20" s="530">
        <v>0</v>
      </c>
      <c r="EN20" s="530">
        <v>0</v>
      </c>
      <c r="EO20" s="530">
        <v>0.71383999999999992</v>
      </c>
      <c r="EP20" s="530">
        <v>4.2813400000000001</v>
      </c>
      <c r="EQ20" s="530">
        <v>6.9111400000000014</v>
      </c>
      <c r="ER20" s="530">
        <v>12</v>
      </c>
      <c r="ES20" s="530">
        <v>8</v>
      </c>
      <c r="ET20" s="530">
        <v>0</v>
      </c>
      <c r="EU20" s="530">
        <v>0</v>
      </c>
      <c r="EV20" s="530">
        <v>0</v>
      </c>
      <c r="EW20" s="530">
        <v>0</v>
      </c>
      <c r="EX20" s="530">
        <v>0</v>
      </c>
      <c r="EY20" s="530">
        <f t="shared" si="29"/>
        <v>0.71383999999999992</v>
      </c>
      <c r="EZ20" s="530">
        <f t="shared" si="30"/>
        <v>23.192480000000003</v>
      </c>
      <c r="FA20" s="530">
        <f t="shared" si="31"/>
        <v>8</v>
      </c>
      <c r="FB20" s="530">
        <f t="shared" si="32"/>
        <v>0</v>
      </c>
      <c r="FC20" s="384">
        <f>IFERROR(VLOOKUP(Capex!A234,BASE_558!D:R,8,FALSE)/1000,"")</f>
        <v>254.334</v>
      </c>
      <c r="FD20" s="328">
        <f>IFERROR(VLOOKUP(Capex!A234,BASE_558!D:R,9,)/1000,"")</f>
        <v>238.61282999999997</v>
      </c>
      <c r="FE20" s="328">
        <f>IFERROR(IF(LEFT(A20,3)="LCP",(VLOOKUP(Capex!A234,BASE_558!D:R,10,)/1000),SUMIFS('BASE ICP_PO_SC'!F:F,'BASE ICP_PO_SC'!A:A,Capex!A234,'BASE ICP_PO_SC'!E:E,"&lt;&gt;")/1000),"")</f>
        <v>0</v>
      </c>
      <c r="FF20" s="328">
        <f>IFERROR(IF(LEFT(A20,3)="LCP",(VLOOKUP(Capex!A234,BASE_558!D:R,11,)/1000),SUMIFS('BASE ICP_PO_SC'!F:F,'BASE ICP_PO_SC'!A:A,Capex!A234,'BASE ICP_PO_SC'!E:E,"")/1000),"")</f>
        <v>0</v>
      </c>
      <c r="FG20" s="328">
        <f>IFERROR(VLOOKUP(A20,BASE_558!D:R,13,FALSE)/1000,"")</f>
        <v>276.69410999999997</v>
      </c>
      <c r="FH20" s="328">
        <f>IFERROR(VLOOKUP(A20,BASE_558!D:R,15,FALSE)/1000,"")</f>
        <v>4.2608900000000007</v>
      </c>
      <c r="FI20" s="547">
        <f t="shared" si="33"/>
        <v>-9.35351</v>
      </c>
      <c r="FJ20" s="547">
        <f t="shared" si="34"/>
        <v>4</v>
      </c>
      <c r="FK20" s="540">
        <f t="shared" si="35"/>
        <v>0</v>
      </c>
    </row>
    <row r="21" spans="1:167" s="23" customFormat="1" ht="24" customHeight="1">
      <c r="A21" s="309" t="s">
        <v>2886</v>
      </c>
      <c r="B21" s="404" t="s">
        <v>2349</v>
      </c>
      <c r="C21" s="404"/>
      <c r="D21" s="338"/>
      <c r="E21" s="378"/>
      <c r="F21" s="5"/>
      <c r="G21" s="310" t="s">
        <v>9</v>
      </c>
      <c r="H21" s="338"/>
      <c r="I21" s="338"/>
      <c r="J21" s="338">
        <v>2024</v>
      </c>
      <c r="K21" s="316"/>
      <c r="L21" s="324"/>
      <c r="M21" s="409"/>
      <c r="N21" s="317" t="str">
        <f t="shared" si="7"/>
        <v/>
      </c>
      <c r="O21" s="317" t="str">
        <f t="shared" si="8"/>
        <v/>
      </c>
      <c r="P21" s="418" t="str">
        <f t="shared" si="36"/>
        <v>N/A</v>
      </c>
      <c r="Q21" s="418" t="str">
        <f t="shared" si="36"/>
        <v>N/A</v>
      </c>
      <c r="R21" s="418" t="str">
        <f t="shared" si="36"/>
        <v>N/A</v>
      </c>
      <c r="S21" s="418" t="str">
        <f t="shared" si="36"/>
        <v>N/A</v>
      </c>
      <c r="T21" s="418" t="str">
        <f t="shared" si="36"/>
        <v>N/A</v>
      </c>
      <c r="U21" s="418" t="str">
        <f t="shared" si="36"/>
        <v>N/A</v>
      </c>
      <c r="V21" s="418" t="str">
        <f t="shared" si="36"/>
        <v>N/A</v>
      </c>
      <c r="W21" s="418" t="str">
        <f t="shared" si="36"/>
        <v>N/A</v>
      </c>
      <c r="X21" s="418" t="str">
        <f t="shared" si="36"/>
        <v>N/A</v>
      </c>
      <c r="Y21" s="418" t="str">
        <f t="shared" si="36"/>
        <v>N/A</v>
      </c>
      <c r="Z21" s="418" t="str">
        <f t="shared" si="36"/>
        <v>N/A</v>
      </c>
      <c r="AA21" s="418" t="str">
        <f t="shared" si="36"/>
        <v>N/A</v>
      </c>
      <c r="AB21" s="317"/>
      <c r="AC21" s="309" t="s">
        <v>3932</v>
      </c>
      <c r="AD21" s="310"/>
      <c r="AE21" s="310"/>
      <c r="AF21" s="310" t="s">
        <v>6988</v>
      </c>
      <c r="AG21" s="262" t="s">
        <v>2251</v>
      </c>
      <c r="AH21" s="310" t="s">
        <v>2350</v>
      </c>
      <c r="AI21" s="309" t="s">
        <v>316</v>
      </c>
      <c r="AJ21" s="6" t="s">
        <v>6786</v>
      </c>
      <c r="AK21" s="6" t="str">
        <f t="shared" si="10"/>
        <v>IGUAL</v>
      </c>
      <c r="AL21" s="151" t="str">
        <f>IFERROR(IF(LEFT(A21,3)="LCP",VLOOKUP(A21,STATUS_SAP_LCP!B:C,2,FALSE),VLOOKUP(A21,STATUS_SAP_ICP!B:C,2,FALSE)),"NO BUDGET")</f>
        <v>REL  BUDG ISBD AVAC  //  BREL WPLI</v>
      </c>
      <c r="AM21" s="6" t="str">
        <f t="shared" si="11"/>
        <v xml:space="preserve">REL </v>
      </c>
      <c r="AN21" s="282" t="s">
        <v>8970</v>
      </c>
      <c r="AO21" s="557"/>
      <c r="AP21" s="499" t="s">
        <v>9616</v>
      </c>
      <c r="AQ21" s="464"/>
      <c r="AR21" s="460"/>
      <c r="AS21" s="56"/>
      <c r="AT21" s="185"/>
      <c r="AU21" s="318"/>
      <c r="AV21" s="223"/>
      <c r="AW21" s="318"/>
      <c r="AX21" s="223">
        <v>32.153079999999996</v>
      </c>
      <c r="AY21" s="318">
        <f t="shared" si="12"/>
        <v>-31.690429999999992</v>
      </c>
      <c r="AZ21" s="223"/>
      <c r="BA21" s="318"/>
      <c r="BB21" s="519">
        <f t="shared" si="13"/>
        <v>0</v>
      </c>
      <c r="BC21" s="518">
        <v>0</v>
      </c>
      <c r="BD21" s="518">
        <v>0</v>
      </c>
      <c r="BE21" s="518">
        <v>0</v>
      </c>
      <c r="BF21" s="518">
        <v>0</v>
      </c>
      <c r="BG21" s="518">
        <v>0</v>
      </c>
      <c r="BH21" s="518">
        <v>0</v>
      </c>
      <c r="BI21" s="518">
        <v>0</v>
      </c>
      <c r="BJ21" s="518">
        <v>0</v>
      </c>
      <c r="BK21" s="518">
        <v>0</v>
      </c>
      <c r="BL21" s="518">
        <v>0</v>
      </c>
      <c r="BM21" s="518">
        <v>0</v>
      </c>
      <c r="BN21" s="518">
        <v>0</v>
      </c>
      <c r="BO21" s="367">
        <f t="shared" si="14"/>
        <v>-31.690429999999992</v>
      </c>
      <c r="BP21" s="421">
        <v>0</v>
      </c>
      <c r="BQ21" s="422">
        <v>1.1104700000000001</v>
      </c>
      <c r="BR21" s="423">
        <f>IFERROR(IF(LEFT($A21,3)="Lcp",SUMIFS('BASE-LCP'!$K:$K,'BASE-LCP'!$A:$A,Capex!$A57,'BASE-LCP'!$B:$B,"janeiro")/1000,IF(LEFT($A21,3)="icp",SUMIFS('BASE-ICP'!$K:$K,'BASE-ICP'!$A:$A,Capex!$A57,'BASE-ICP'!$B:$B,"janeiro")/1000,"")),"")</f>
        <v>0</v>
      </c>
      <c r="BS21" s="427">
        <v>1.1104700000000001</v>
      </c>
      <c r="BT21" s="372">
        <v>0</v>
      </c>
      <c r="BU21" s="422">
        <v>0.28271999999999997</v>
      </c>
      <c r="BV21" s="423">
        <f>IFERROR(IF(LEFT($A21,3)="Lcp",SUMIFS('BASE-LCP'!$K:$K,'BASE-LCP'!$A:$A,Capex!$A57,'BASE-LCP'!$B:$B,"fevereiro")/1000,IF(LEFT($A21,3)="icp",SUMIFS('BASE-ICP'!$K:$K,'BASE-ICP'!$A:$A,Capex!$A57,'BASE-ICP'!$B:$B,"fevereiro")/1000,"")),"")</f>
        <v>0</v>
      </c>
      <c r="BW21" s="427">
        <v>0.28271999999999997</v>
      </c>
      <c r="BX21" s="372">
        <v>0</v>
      </c>
      <c r="BY21" s="422">
        <v>0.48020000000000002</v>
      </c>
      <c r="BZ21" s="423">
        <f>IFERROR(IF(LEFT($A21,3)="Lcp",SUMIFS('BASE-LCP'!$K:$K,'BASE-LCP'!$A:$A,Capex!$A57,'BASE-LCP'!$B:$B,"março")/1000,IF(LEFT($A21,3)="icp",SUMIFS('BASE-ICP'!$K:$K,'BASE-ICP'!$A:$A,Capex!$A57,'BASE-ICP'!$B:$B,"março")/1000,"")),"")</f>
        <v>0</v>
      </c>
      <c r="CA21" s="427">
        <v>0.48020000000000002</v>
      </c>
      <c r="CB21" s="372">
        <v>0</v>
      </c>
      <c r="CC21" s="422"/>
      <c r="CD21" s="423">
        <f>IFERROR(IF(LEFT($A21,3)="Lcp",SUMIFS('BASE-LCP'!$K:$K,'BASE-LCP'!$A:$A,Capex!$A57,'BASE-LCP'!$B:$B,"abril")/1000,IF(LEFT($A21,3)="icp",SUMIFS('BASE-ICP'!$K:$K,'BASE-ICP'!$A:$A,Capex!$A57,'BASE-ICP'!$B:$B,"abril")/1000,"")),"")</f>
        <v>0</v>
      </c>
      <c r="CE21" s="427">
        <v>64.192790000000002</v>
      </c>
      <c r="CF21" s="372">
        <v>0</v>
      </c>
      <c r="CG21" s="422">
        <f>CH21</f>
        <v>1.24339</v>
      </c>
      <c r="CH21" s="423">
        <v>1.24339</v>
      </c>
      <c r="CI21" s="427">
        <v>1.24339</v>
      </c>
      <c r="CJ21" s="372">
        <v>0</v>
      </c>
      <c r="CK21" s="419"/>
      <c r="CL21" s="423">
        <f>IFERROR(IF(LEFT($A21,3)="Lcp",SUMIFS('BASE-LCP'!$K:$K,'BASE-LCP'!$A:$A,Capex!$A57,'BASE-LCP'!$B:$B,"junho")/1000,IF(LEFT($A21,3)="icp",SUMIFS('BASE-ICP'!$K:$K,'BASE-ICP'!$A:$A,Capex!$A57,'BASE-ICP'!$B:$B,"junho")/1000,"")),"")</f>
        <v>0</v>
      </c>
      <c r="CM21" s="427">
        <v>0</v>
      </c>
      <c r="CN21" s="372"/>
      <c r="CO21" s="419"/>
      <c r="CP21" s="423">
        <f>IFERROR(IF(LEFT($A21,3)="Lcp",SUMIFS('BASE-LCP'!$K:$K,'BASE-LCP'!$A:$A,Capex!$A57,'BASE-LCP'!$B:$B,"julho")/1000,IF(LEFT($A21,3)="icp",SUMIFS('BASE-ICP'!$K:$K,'BASE-ICP'!$A:$A,Capex!$A57,'BASE-ICP'!$B:$B,"julho")/1000,"")),"")</f>
        <v>0</v>
      </c>
      <c r="CQ21" s="427"/>
      <c r="CR21" s="372"/>
      <c r="CS21" s="419"/>
      <c r="CT21" s="423">
        <f>IFERROR(IF(LEFT($A21,3)="Lcp",SUMIFS('BASE-LCP'!$K:$K,'BASE-LCP'!$A:$A,Capex!$A57,'BASE-LCP'!$B:$B,"agosto")/1000,IF(LEFT($A21,3)="icp",SUMIFS('BASE-ICP'!$K:$K,'BASE-ICP'!$A:$A,Capex!$A57,'BASE-ICP'!$B:$B,"agosto")/1000,"")),"")</f>
        <v>0</v>
      </c>
      <c r="CU21" s="427">
        <v>0</v>
      </c>
      <c r="CV21" s="372"/>
      <c r="CW21" s="419"/>
      <c r="CX21" s="423">
        <f>IFERROR(IF(LEFT($A21,3)="Lcp",SUMIFS('BASE-LCP'!$K:$K,'BASE-LCP'!$A:$A,Capex!$A57,'BASE-LCP'!$B:$B,"setembro")/1000,IF(LEFT($A21,3)="icp",SUMIFS('BASE-ICP'!$K:$K,'BASE-ICP'!$A:$A,Capex!$A57,'BASE-ICP'!$B:$B,"setembro")/1000,"")),"")</f>
        <v>0</v>
      </c>
      <c r="CY21" s="427">
        <v>-99</v>
      </c>
      <c r="CZ21" s="372"/>
      <c r="DA21" s="419"/>
      <c r="DB21" s="423">
        <f>IFERROR(IF(LEFT($A21,3)="Lcp",SUMIFS('BASE-LCP'!$K:$K,'BASE-LCP'!$A:$A,Capex!$A57,'BASE-LCP'!$B:$B,"outubro")/1000,IF(LEFT($A21,3)="icp",SUMIFS('BASE-ICP'!$K:$K,'BASE-ICP'!$A:$A,Capex!$A57,'BASE-ICP'!$B:$B,"outubro")/1000,"")),"")</f>
        <v>0</v>
      </c>
      <c r="DC21" s="427">
        <v>0</v>
      </c>
      <c r="DD21" s="372"/>
      <c r="DE21" s="419"/>
      <c r="DF21" s="423">
        <f>IFERROR(IF(LEFT($A21,3)="Lcp",SUMIFS('BASE-LCP'!$K:$K,'BASE-LCP'!$A:$A,Capex!$A57,'BASE-LCP'!$B:$B,"novembro")/1000,IF(LEFT($A21,3)="icp",SUMIFS('BASE-ICP'!$K:$K,'BASE-ICP'!$A:$A,Capex!$A57,'BASE-ICP'!$B:$B,"novembro")/1000,"")),"")</f>
        <v>0</v>
      </c>
      <c r="DG21" s="427">
        <v>0</v>
      </c>
      <c r="DH21" s="372"/>
      <c r="DI21" s="419"/>
      <c r="DJ21" s="423">
        <f>IFERROR(IF(LEFT($A21,3)="Lcp",SUMIFS('BASE-LCP'!$K:$K,'BASE-LCP'!$A:$A,Capex!$A57,'BASE-LCP'!$B:$B,"dezembro")/1000,IF(LEFT($A21,3)="icp",SUMIFS('BASE-ICP'!$K:$K,'BASE-ICP'!$A:$A,Capex!$A57,'BASE-ICP'!$B:$B,"dezembro")/1000,"")),"")</f>
        <v>0</v>
      </c>
      <c r="DK21" s="427">
        <v>0</v>
      </c>
      <c r="DL21" s="452">
        <f t="shared" si="15"/>
        <v>-32.9</v>
      </c>
      <c r="DM21" s="374"/>
      <c r="DN21" s="374">
        <v>-32.9</v>
      </c>
      <c r="DO21" s="374"/>
      <c r="DP21" s="374"/>
      <c r="DQ21" s="374"/>
      <c r="DR21" s="374"/>
      <c r="DS21" s="374"/>
      <c r="DT21" s="374"/>
      <c r="DU21" s="374"/>
      <c r="DV21" s="374"/>
      <c r="DW21" s="374"/>
      <c r="DX21" s="374"/>
      <c r="DY21" s="450"/>
      <c r="DZ21" s="374">
        <f t="shared" si="16"/>
        <v>-32.9</v>
      </c>
      <c r="EA21" s="216">
        <f t="shared" si="17"/>
        <v>0</v>
      </c>
      <c r="EB21" s="320">
        <f t="shared" si="18"/>
        <v>0</v>
      </c>
      <c r="EC21" s="241">
        <f t="shared" si="19"/>
        <v>1.8733900000000001</v>
      </c>
      <c r="ED21" s="241">
        <f t="shared" si="20"/>
        <v>65.436180000000007</v>
      </c>
      <c r="EE21" s="241">
        <f t="shared" si="21"/>
        <v>-99</v>
      </c>
      <c r="EF21" s="241">
        <f t="shared" si="22"/>
        <v>0</v>
      </c>
      <c r="EG21" s="346">
        <f t="shared" si="23"/>
        <v>-31.690429999999992</v>
      </c>
      <c r="EH21" s="445">
        <f t="shared" si="24"/>
        <v>0</v>
      </c>
      <c r="EI21" s="447">
        <f t="shared" si="25"/>
        <v>1.24339</v>
      </c>
      <c r="EJ21" s="364">
        <f t="shared" si="26"/>
        <v>67.309570000000008</v>
      </c>
      <c r="EK21" s="365">
        <f t="shared" si="27"/>
        <v>-99</v>
      </c>
      <c r="EL21" s="529">
        <f t="shared" si="28"/>
        <v>-29.690429999999992</v>
      </c>
      <c r="EM21" s="530">
        <v>1.1104700000000001</v>
      </c>
      <c r="EN21" s="530">
        <v>0.28271999999999997</v>
      </c>
      <c r="EO21" s="530">
        <v>0.48020000000000002</v>
      </c>
      <c r="EP21" s="530">
        <v>64.192790000000002</v>
      </c>
      <c r="EQ21" s="530">
        <v>1.24339</v>
      </c>
      <c r="ER21" s="530">
        <v>0</v>
      </c>
      <c r="ES21" s="530">
        <v>-97</v>
      </c>
      <c r="ET21" s="530">
        <v>0</v>
      </c>
      <c r="EU21" s="530">
        <v>0</v>
      </c>
      <c r="EV21" s="530">
        <v>0</v>
      </c>
      <c r="EW21" s="530">
        <v>0</v>
      </c>
      <c r="EX21" s="530">
        <v>0</v>
      </c>
      <c r="EY21" s="530">
        <f t="shared" si="29"/>
        <v>1.8733900000000001</v>
      </c>
      <c r="EZ21" s="530">
        <f t="shared" si="30"/>
        <v>65.436180000000007</v>
      </c>
      <c r="FA21" s="530">
        <f t="shared" si="31"/>
        <v>-97</v>
      </c>
      <c r="FB21" s="530">
        <f t="shared" si="32"/>
        <v>0</v>
      </c>
      <c r="FC21" s="384" t="str">
        <f>IFERROR(VLOOKUP(Capex!A57,BASE_558!D:R,8,FALSE)/1000,"")</f>
        <v/>
      </c>
      <c r="FD21" s="328" t="str">
        <f>IFERROR(VLOOKUP(Capex!A57,BASE_558!D:R,9,)/1000,"")</f>
        <v/>
      </c>
      <c r="FE21" s="328">
        <f>IFERROR(IF(LEFT(A21,3)="LCP",(VLOOKUP(Capex!A57,BASE_558!D:R,10,)/1000),SUMIFS('BASE ICP_PO_SC'!F:F,'BASE ICP_PO_SC'!A:A,Capex!A57,'BASE ICP_PO_SC'!E:E,"&lt;&gt;")/1000),"")</f>
        <v>0</v>
      </c>
      <c r="FF21" s="328">
        <f>IFERROR(IF(LEFT(A21,3)="LCP",(VLOOKUP(Capex!A57,BASE_558!D:R,11,)/1000),SUMIFS('BASE ICP_PO_SC'!F:F,'BASE ICP_PO_SC'!A:A,Capex!A57,'BASE ICP_PO_SC'!E:E,"")/1000),"")</f>
        <v>0</v>
      </c>
      <c r="FG21" s="328" t="str">
        <f>IFERROR(VLOOKUP(A21,BASE_558!D:R,13,FALSE)/1000,"")</f>
        <v/>
      </c>
      <c r="FH21" s="328" t="str">
        <f>IFERROR(VLOOKUP(A21,BASE_558!D:R,15,FALSE)/1000,"")</f>
        <v/>
      </c>
      <c r="FI21" s="547">
        <f t="shared" si="33"/>
        <v>0</v>
      </c>
      <c r="FJ21" s="547">
        <f t="shared" si="34"/>
        <v>2</v>
      </c>
      <c r="FK21" s="540">
        <f t="shared" si="35"/>
        <v>0</v>
      </c>
    </row>
    <row r="22" spans="1:167" s="23" customFormat="1" ht="24" customHeight="1">
      <c r="A22" s="310" t="s">
        <v>18526</v>
      </c>
      <c r="B22" s="404"/>
      <c r="C22" s="404"/>
      <c r="D22" s="338"/>
      <c r="E22" s="378"/>
      <c r="F22" s="5"/>
      <c r="G22" s="310" t="s">
        <v>8</v>
      </c>
      <c r="H22" s="338"/>
      <c r="I22" s="338"/>
      <c r="J22" s="338"/>
      <c r="K22" s="316"/>
      <c r="L22" s="324"/>
      <c r="M22" s="409"/>
      <c r="N22" s="317"/>
      <c r="O22" s="317"/>
      <c r="P22" s="418" t="str">
        <f t="shared" si="36"/>
        <v>N/A</v>
      </c>
      <c r="Q22" s="418" t="str">
        <f t="shared" si="36"/>
        <v>N/A</v>
      </c>
      <c r="R22" s="418" t="str">
        <f t="shared" si="36"/>
        <v>N/A</v>
      </c>
      <c r="S22" s="418" t="str">
        <f t="shared" si="36"/>
        <v>N/A</v>
      </c>
      <c r="T22" s="418" t="str">
        <f t="shared" si="36"/>
        <v>N/A</v>
      </c>
      <c r="U22" s="418" t="str">
        <f t="shared" si="36"/>
        <v>N/A</v>
      </c>
      <c r="V22" s="418" t="str">
        <f t="shared" si="36"/>
        <v>N/A</v>
      </c>
      <c r="W22" s="418" t="str">
        <f t="shared" si="36"/>
        <v>N/A</v>
      </c>
      <c r="X22" s="418" t="str">
        <f t="shared" si="36"/>
        <v>N/A</v>
      </c>
      <c r="Y22" s="418" t="str">
        <f t="shared" si="36"/>
        <v>N/A</v>
      </c>
      <c r="Z22" s="418" t="str">
        <f t="shared" si="36"/>
        <v>N/A</v>
      </c>
      <c r="AA22" s="418" t="str">
        <f t="shared" si="36"/>
        <v>N/A</v>
      </c>
      <c r="AB22" s="317"/>
      <c r="AC22" s="309" t="s">
        <v>3932</v>
      </c>
      <c r="AD22" s="310"/>
      <c r="AE22" s="310"/>
      <c r="AF22" s="310" t="s">
        <v>6985</v>
      </c>
      <c r="AG22" s="310" t="s">
        <v>17007</v>
      </c>
      <c r="AH22" s="310" t="s">
        <v>18967</v>
      </c>
      <c r="AI22" s="309" t="s">
        <v>2255</v>
      </c>
      <c r="AJ22" s="6" t="s">
        <v>8545</v>
      </c>
      <c r="AK22" s="6" t="str">
        <f t="shared" si="10"/>
        <v>IGUAL</v>
      </c>
      <c r="AL22" s="151" t="str">
        <f>IFERROR(IF(LEFT(A22,3)="LCP",VLOOKUP(A22,STATUS_SAP_LCP!B:C,2,FALSE),VLOOKUP(A22,STATUS_SAP_ICP!B:C,2,FALSE)),"NO BUDGET")</f>
        <v>NO BUDGET</v>
      </c>
      <c r="AM22" s="6" t="str">
        <f t="shared" si="11"/>
        <v>NO BUDGET</v>
      </c>
      <c r="AN22" s="569"/>
      <c r="AO22" s="572"/>
      <c r="AP22" s="499" t="s">
        <v>9616</v>
      </c>
      <c r="AQ22" s="464"/>
      <c r="AR22" s="460"/>
      <c r="AS22" s="56"/>
      <c r="AT22" s="185"/>
      <c r="AU22" s="318"/>
      <c r="AV22" s="223"/>
      <c r="AW22" s="318"/>
      <c r="AX22" s="223"/>
      <c r="AY22" s="318"/>
      <c r="AZ22" s="223"/>
      <c r="BA22" s="318"/>
      <c r="BB22" s="519">
        <f t="shared" si="13"/>
        <v>0</v>
      </c>
      <c r="BC22" s="518"/>
      <c r="BD22" s="518"/>
      <c r="BE22" s="518"/>
      <c r="BF22" s="518"/>
      <c r="BG22" s="518"/>
      <c r="BH22" s="518"/>
      <c r="BI22" s="518"/>
      <c r="BJ22" s="518"/>
      <c r="BK22" s="518"/>
      <c r="BL22" s="518"/>
      <c r="BM22" s="518"/>
      <c r="BN22" s="518"/>
      <c r="BO22" s="367">
        <f t="shared" si="14"/>
        <v>400</v>
      </c>
      <c r="BP22" s="421"/>
      <c r="BQ22" s="422"/>
      <c r="BR22" s="423" t="str">
        <f>IFERROR(IF(LEFT($A22,3)="Lcp",SUMIFS('BASE-LCP'!$K:$K,'BASE-LCP'!$A:$A,Capex!$A408,'BASE-LCP'!$B:$B,"janeiro")/1000,IF(LEFT($A22,3)="icp",SUMIFS('BASE-ICP'!$K:$K,'BASE-ICP'!$A:$A,Capex!$A408,'BASE-ICP'!$B:$B,"janeiro")/1000,"")),"")</f>
        <v/>
      </c>
      <c r="BS22" s="427"/>
      <c r="BT22" s="372"/>
      <c r="BU22" s="422"/>
      <c r="BV22" s="423" t="str">
        <f>IFERROR(IF(LEFT($A22,3)="Lcp",SUMIFS('BASE-LCP'!$K:$K,'BASE-LCP'!$A:$A,Capex!$A408,'BASE-LCP'!$B:$B,"fevereiro")/1000,IF(LEFT($A22,3)="icp",SUMIFS('BASE-ICP'!$K:$K,'BASE-ICP'!$A:$A,Capex!$A408,'BASE-ICP'!$B:$B,"fevereiro")/1000,"")),"")</f>
        <v/>
      </c>
      <c r="BW22" s="427"/>
      <c r="BX22" s="372"/>
      <c r="BY22" s="422"/>
      <c r="BZ22" s="423" t="str">
        <f>IFERROR(IF(LEFT($A22,3)="Lcp",SUMIFS('BASE-LCP'!$K:$K,'BASE-LCP'!$A:$A,Capex!$A408,'BASE-LCP'!$B:$B,"março")/1000,IF(LEFT($A22,3)="icp",SUMIFS('BASE-ICP'!$K:$K,'BASE-ICP'!$A:$A,Capex!$A408,'BASE-ICP'!$B:$B,"março")/1000,"")),"")</f>
        <v/>
      </c>
      <c r="CA22" s="427"/>
      <c r="CB22" s="372"/>
      <c r="CC22" s="422"/>
      <c r="CD22" s="423" t="str">
        <f>IFERROR(IF(LEFT($A22,3)="Lcp",SUMIFS('BASE-LCP'!$K:$K,'BASE-LCP'!$A:$A,Capex!$A408,'BASE-LCP'!$B:$B,"abril")/1000,IF(LEFT($A22,3)="icp",SUMIFS('BASE-ICP'!$K:$K,'BASE-ICP'!$A:$A,Capex!$A408,'BASE-ICP'!$B:$B,"abril")/1000,"")),"")</f>
        <v/>
      </c>
      <c r="CE22" s="427"/>
      <c r="CF22" s="372"/>
      <c r="CG22" s="422"/>
      <c r="CH22" s="423">
        <v>0</v>
      </c>
      <c r="CI22" s="427"/>
      <c r="CJ22" s="372"/>
      <c r="CK22" s="419"/>
      <c r="CL22" s="423" t="str">
        <f>IFERROR(IF(LEFT($A22,3)="Lcp",SUMIFS('BASE-LCP'!$K:$K,'BASE-LCP'!$A:$A,Capex!$A405,'BASE-LCP'!$B:$B,"junho")/1000,IF(LEFT($A22,3)="icp",SUMIFS('BASE-ICP'!$K:$K,'BASE-ICP'!$A:$A,Capex!$A405,'BASE-ICP'!$B:$B,"junho")/1000,"")),"")</f>
        <v/>
      </c>
      <c r="CM22" s="427"/>
      <c r="CN22" s="372"/>
      <c r="CO22" s="419"/>
      <c r="CP22" s="423" t="str">
        <f>IFERROR(IF(LEFT($A22,3)="Lcp",SUMIFS('BASE-LCP'!$K:$K,'BASE-LCP'!$A:$A,Capex!$A408,'BASE-LCP'!$B:$B,"julho")/1000,IF(LEFT($A22,3)="icp",SUMIFS('BASE-ICP'!$K:$K,'BASE-ICP'!$A:$A,Capex!$A408,'BASE-ICP'!$B:$B,"julho")/1000,"")),"")</f>
        <v/>
      </c>
      <c r="CQ22" s="427"/>
      <c r="CR22" s="372"/>
      <c r="CS22" s="419"/>
      <c r="CT22" s="423" t="str">
        <f>IFERROR(IF(LEFT($A22,3)="Lcp",SUMIFS('BASE-LCP'!$K:$K,'BASE-LCP'!$A:$A,Capex!$A408,'BASE-LCP'!$B:$B,"agosto")/1000,IF(LEFT($A22,3)="icp",SUMIFS('BASE-ICP'!$K:$K,'BASE-ICP'!$A:$A,Capex!$A408,'BASE-ICP'!$B:$B,"agosto")/1000,"")),"")</f>
        <v/>
      </c>
      <c r="CU22" s="427"/>
      <c r="CV22" s="372"/>
      <c r="CW22" s="419"/>
      <c r="CX22" s="423" t="str">
        <f>IFERROR(IF(LEFT($A22,3)="Lcp",SUMIFS('BASE-LCP'!$K:$K,'BASE-LCP'!$A:$A,Capex!$A408,'BASE-LCP'!$B:$B,"setembro")/1000,IF(LEFT($A22,3)="icp",SUMIFS('BASE-ICP'!$K:$K,'BASE-ICP'!$A:$A,Capex!$A408,'BASE-ICP'!$B:$B,"setembro")/1000,"")),"")</f>
        <v/>
      </c>
      <c r="CY22" s="427"/>
      <c r="CZ22" s="372"/>
      <c r="DA22" s="419"/>
      <c r="DB22" s="423" t="str">
        <f>IFERROR(IF(LEFT($A22,3)="Lcp",SUMIFS('BASE-LCP'!$K:$K,'BASE-LCP'!$A:$A,Capex!$A408,'BASE-LCP'!$B:$B,"outubro")/1000,IF(LEFT($A22,3)="icp",SUMIFS('BASE-ICP'!$K:$K,'BASE-ICP'!$A:$A,Capex!$A408,'BASE-ICP'!$B:$B,"outubro")/1000,"")),"")</f>
        <v/>
      </c>
      <c r="DC22" s="427">
        <v>0</v>
      </c>
      <c r="DD22" s="372"/>
      <c r="DE22" s="419"/>
      <c r="DF22" s="423" t="str">
        <f>IFERROR(IF(LEFT($A22,3)="Lcp",SUMIFS('BASE-LCP'!$K:$K,'BASE-LCP'!$A:$A,Capex!$A408,'BASE-LCP'!$B:$B,"novembro")/1000,IF(LEFT($A22,3)="icp",SUMIFS('BASE-ICP'!$K:$K,'BASE-ICP'!$A:$A,Capex!$A408,'BASE-ICP'!$B:$B,"novembro")/1000,"")),"")</f>
        <v/>
      </c>
      <c r="DG22" s="427">
        <v>200</v>
      </c>
      <c r="DH22" s="372"/>
      <c r="DI22" s="419"/>
      <c r="DJ22" s="423" t="str">
        <f>IFERROR(IF(LEFT($A22,3)="Lcp",SUMIFS('BASE-LCP'!$K:$K,'BASE-LCP'!$A:$A,Capex!$A408,'BASE-LCP'!$B:$B,"dezembro")/1000,IF(LEFT($A22,3)="icp",SUMIFS('BASE-ICP'!$K:$K,'BASE-ICP'!$A:$A,Capex!$A408,'BASE-ICP'!$B:$B,"dezembro")/1000,"")),"")</f>
        <v/>
      </c>
      <c r="DK22" s="427">
        <v>200</v>
      </c>
      <c r="DL22" s="452">
        <f t="shared" si="15"/>
        <v>0</v>
      </c>
      <c r="DM22" s="374"/>
      <c r="DN22" s="374"/>
      <c r="DO22" s="374"/>
      <c r="DP22" s="374"/>
      <c r="DQ22" s="374"/>
      <c r="DR22" s="374"/>
      <c r="DS22" s="374"/>
      <c r="DT22" s="374"/>
      <c r="DU22" s="374"/>
      <c r="DV22" s="374"/>
      <c r="DW22" s="374"/>
      <c r="DX22" s="374"/>
      <c r="DY22" s="450"/>
      <c r="DZ22" s="374">
        <f t="shared" si="16"/>
        <v>0</v>
      </c>
      <c r="EA22" s="216">
        <f t="shared" si="17"/>
        <v>0</v>
      </c>
      <c r="EB22" s="320" t="e">
        <f t="shared" si="18"/>
        <v>#VALUE!</v>
      </c>
      <c r="EC22" s="241">
        <f t="shared" si="19"/>
        <v>0</v>
      </c>
      <c r="ED22" s="241">
        <f t="shared" si="20"/>
        <v>0</v>
      </c>
      <c r="EE22" s="241">
        <f t="shared" si="21"/>
        <v>0</v>
      </c>
      <c r="EF22" s="241">
        <f t="shared" si="22"/>
        <v>400</v>
      </c>
      <c r="EG22" s="346">
        <f t="shared" si="23"/>
        <v>400</v>
      </c>
      <c r="EH22" s="445">
        <f t="shared" si="24"/>
        <v>0</v>
      </c>
      <c r="EI22" s="447">
        <f t="shared" si="25"/>
        <v>0</v>
      </c>
      <c r="EJ22" s="364">
        <f t="shared" si="26"/>
        <v>0</v>
      </c>
      <c r="EK22" s="365">
        <f t="shared" si="27"/>
        <v>400</v>
      </c>
      <c r="EL22" s="529">
        <f t="shared" si="28"/>
        <v>0</v>
      </c>
      <c r="EM22" s="530"/>
      <c r="EN22" s="530"/>
      <c r="EO22" s="530"/>
      <c r="EP22" s="530"/>
      <c r="EQ22" s="530"/>
      <c r="ER22" s="530"/>
      <c r="ES22" s="530"/>
      <c r="ET22" s="530"/>
      <c r="EU22" s="530"/>
      <c r="EV22" s="530"/>
      <c r="EW22" s="530"/>
      <c r="EX22" s="530"/>
      <c r="EY22" s="530">
        <f t="shared" si="29"/>
        <v>0</v>
      </c>
      <c r="EZ22" s="530">
        <f t="shared" si="30"/>
        <v>0</v>
      </c>
      <c r="FA22" s="530">
        <f t="shared" si="31"/>
        <v>0</v>
      </c>
      <c r="FB22" s="530">
        <f t="shared" si="32"/>
        <v>0</v>
      </c>
      <c r="FC22" s="384">
        <f>IFERROR(VLOOKUP(Capex!A405,BASE_558!D:R,8,FALSE)/1000,"")</f>
        <v>69.168000000000006</v>
      </c>
      <c r="FD22" s="328">
        <f>IFERROR(VLOOKUP(Capex!A405,BASE_558!D:R,9,)/1000,"")</f>
        <v>0</v>
      </c>
      <c r="FE22" s="328">
        <f>IFERROR(IF(LEFT(A22,3)="LCP",(VLOOKUP(Capex!A405,BASE_558!D:R,10,)/1000),SUMIFS('BASE ICP_PO_SC'!F:F,'BASE ICP_PO_SC'!A:A,Capex!A405,'BASE ICP_PO_SC'!E:E,"&lt;&gt;")/1000),"")</f>
        <v>0</v>
      </c>
      <c r="FF22" s="328">
        <f>IFERROR(IF(LEFT(A22,3)="LCP",(VLOOKUP(Capex!A405,BASE_558!D:R,11,)/1000),SUMIFS('BASE ICP_PO_SC'!F:F,'BASE ICP_PO_SC'!A:A,Capex!A405,'BASE ICP_PO_SC'!E:E,"")/1000),"")</f>
        <v>0</v>
      </c>
      <c r="FG22" s="328" t="str">
        <f>IFERROR(VLOOKUP(A22,BASE_558!D:R,13,FALSE)/1000,"")</f>
        <v/>
      </c>
      <c r="FH22" s="328" t="str">
        <f>IFERROR(VLOOKUP(A22,BASE_558!D:R,15,FALSE)/1000,"")</f>
        <v/>
      </c>
      <c r="FI22" s="547">
        <f t="shared" si="33"/>
        <v>0</v>
      </c>
      <c r="FJ22" s="547">
        <f t="shared" si="34"/>
        <v>0</v>
      </c>
      <c r="FK22" s="570">
        <f t="shared" si="35"/>
        <v>-400</v>
      </c>
    </row>
    <row r="23" spans="1:167" s="23" customFormat="1" ht="24" customHeight="1">
      <c r="A23" s="309" t="s">
        <v>6816</v>
      </c>
      <c r="B23" s="404" t="s">
        <v>3212</v>
      </c>
      <c r="C23" s="404"/>
      <c r="D23" s="338"/>
      <c r="E23" s="378"/>
      <c r="F23" s="5"/>
      <c r="G23" s="310" t="s">
        <v>9</v>
      </c>
      <c r="H23" s="338"/>
      <c r="I23" s="338"/>
      <c r="J23" s="338">
        <v>2024</v>
      </c>
      <c r="K23" s="316"/>
      <c r="L23" s="324"/>
      <c r="M23" s="409"/>
      <c r="N23" s="317" t="str">
        <f>IF(K23+912=912,"",K23+912)</f>
        <v/>
      </c>
      <c r="O23" s="317" t="str">
        <f>IF(K23+1277=1277,"",K23+1277)</f>
        <v/>
      </c>
      <c r="P23" s="418" t="str">
        <f t="shared" si="36"/>
        <v>N/A</v>
      </c>
      <c r="Q23" s="418" t="str">
        <f t="shared" si="36"/>
        <v>N/A</v>
      </c>
      <c r="R23" s="418" t="str">
        <f t="shared" si="36"/>
        <v>N/A</v>
      </c>
      <c r="S23" s="418" t="str">
        <f t="shared" si="36"/>
        <v>N/A</v>
      </c>
      <c r="T23" s="418" t="str">
        <f t="shared" si="36"/>
        <v>N/A</v>
      </c>
      <c r="U23" s="418" t="str">
        <f t="shared" si="36"/>
        <v>N/A</v>
      </c>
      <c r="V23" s="418" t="str">
        <f t="shared" si="36"/>
        <v>N/A</v>
      </c>
      <c r="W23" s="418" t="str">
        <f t="shared" si="36"/>
        <v>N/A</v>
      </c>
      <c r="X23" s="418" t="str">
        <f t="shared" si="36"/>
        <v>N/A</v>
      </c>
      <c r="Y23" s="418" t="str">
        <f t="shared" si="36"/>
        <v>N/A</v>
      </c>
      <c r="Z23" s="418" t="str">
        <f t="shared" si="36"/>
        <v>N/A</v>
      </c>
      <c r="AA23" s="418" t="str">
        <f t="shared" si="36"/>
        <v>N/A</v>
      </c>
      <c r="AB23" s="317"/>
      <c r="AC23" s="309" t="s">
        <v>3932</v>
      </c>
      <c r="AD23" s="310"/>
      <c r="AE23" s="310"/>
      <c r="AF23" s="310" t="s">
        <v>6988</v>
      </c>
      <c r="AG23" s="310" t="s">
        <v>2079</v>
      </c>
      <c r="AH23" s="310" t="s">
        <v>6814</v>
      </c>
      <c r="AI23" s="381" t="s">
        <v>2255</v>
      </c>
      <c r="AJ23" s="6" t="s">
        <v>6786</v>
      </c>
      <c r="AK23" s="6" t="str">
        <f t="shared" si="10"/>
        <v>IGUAL</v>
      </c>
      <c r="AL23" s="151" t="str">
        <f>IFERROR(IF(LEFT(A23,3)="LCP",VLOOKUP(A23,STATUS_SAP_LCP!B:C,2,FALSE),VLOOKUP(A23,STATUS_SAP_ICP!B:C,2,FALSE)),"NO BUDGET")</f>
        <v>REL  BUDG AVAC  //  BREL WPLI</v>
      </c>
      <c r="AM23" s="6" t="str">
        <f t="shared" si="11"/>
        <v xml:space="preserve">REL </v>
      </c>
      <c r="AN23" s="282" t="s">
        <v>8417</v>
      </c>
      <c r="AO23" s="557"/>
      <c r="AP23" s="499" t="s">
        <v>9616</v>
      </c>
      <c r="AQ23" s="464"/>
      <c r="AR23" s="460"/>
      <c r="AS23" s="56"/>
      <c r="AT23" s="185"/>
      <c r="AU23" s="318"/>
      <c r="AV23" s="223"/>
      <c r="AW23" s="318"/>
      <c r="AX23" s="223">
        <v>0</v>
      </c>
      <c r="AY23" s="318">
        <f>BO23</f>
        <v>3.9999999996864766E-4</v>
      </c>
      <c r="AZ23" s="223"/>
      <c r="BA23" s="318"/>
      <c r="BB23" s="519">
        <f t="shared" si="13"/>
        <v>0</v>
      </c>
      <c r="BC23" s="518">
        <v>0</v>
      </c>
      <c r="BD23" s="518">
        <v>0</v>
      </c>
      <c r="BE23" s="518">
        <v>0</v>
      </c>
      <c r="BF23" s="518">
        <v>0</v>
      </c>
      <c r="BG23" s="518">
        <v>0</v>
      </c>
      <c r="BH23" s="518">
        <v>0</v>
      </c>
      <c r="BI23" s="518">
        <v>0</v>
      </c>
      <c r="BJ23" s="518">
        <v>0</v>
      </c>
      <c r="BK23" s="518">
        <v>0</v>
      </c>
      <c r="BL23" s="518">
        <v>0</v>
      </c>
      <c r="BM23" s="518">
        <v>0</v>
      </c>
      <c r="BN23" s="518">
        <v>0</v>
      </c>
      <c r="BO23" s="367">
        <f t="shared" si="14"/>
        <v>3.9999999996864766E-4</v>
      </c>
      <c r="BP23" s="421">
        <v>0</v>
      </c>
      <c r="BQ23" s="422">
        <v>226.78904999999997</v>
      </c>
      <c r="BR23" s="423">
        <f>IFERROR(IF(LEFT($A23,3)="Lcp",SUMIFS('BASE-LCP'!$K:$K,'BASE-LCP'!$A:$A,Capex!$A60,'BASE-LCP'!$B:$B,"janeiro")/1000,IF(LEFT($A23,3)="icp",SUMIFS('BASE-ICP'!$K:$K,'BASE-ICP'!$A:$A,Capex!$A60,'BASE-ICP'!$B:$B,"janeiro")/1000,"")),"")</f>
        <v>0</v>
      </c>
      <c r="BS23" s="427">
        <v>226.78904999999997</v>
      </c>
      <c r="BT23" s="372">
        <v>0</v>
      </c>
      <c r="BU23" s="422">
        <v>0.11323999999999999</v>
      </c>
      <c r="BV23" s="423">
        <f>IFERROR(IF(LEFT($A23,3)="Lcp",SUMIFS('BASE-LCP'!$K:$K,'BASE-LCP'!$A:$A,Capex!$A60,'BASE-LCP'!$B:$B,"fevereiro")/1000,IF(LEFT($A23,3)="icp",SUMIFS('BASE-ICP'!$K:$K,'BASE-ICP'!$A:$A,Capex!$A60,'BASE-ICP'!$B:$B,"fevereiro")/1000,"")),"")</f>
        <v>0</v>
      </c>
      <c r="BW23" s="427">
        <v>0.11323999999999999</v>
      </c>
      <c r="BX23" s="372">
        <v>-226.81805</v>
      </c>
      <c r="BY23" s="422">
        <v>0.54879999999999995</v>
      </c>
      <c r="BZ23" s="423">
        <f>IFERROR(IF(LEFT($A23,3)="Lcp",SUMIFS('BASE-LCP'!$K:$K,'BASE-LCP'!$A:$A,Capex!$A60,'BASE-LCP'!$B:$B,"março")/1000,IF(LEFT($A23,3)="icp",SUMIFS('BASE-ICP'!$K:$K,'BASE-ICP'!$A:$A,Capex!$A60,'BASE-ICP'!$B:$B,"março")/1000,"")),"")</f>
        <v>0</v>
      </c>
      <c r="CA23" s="427">
        <v>0.54879999999999995</v>
      </c>
      <c r="CB23" s="372">
        <v>-227.31805</v>
      </c>
      <c r="CC23" s="422"/>
      <c r="CD23" s="423">
        <f>IFERROR(IF(LEFT($A23,3)="Lcp",SUMIFS('BASE-LCP'!$K:$K,'BASE-LCP'!$A:$A,Capex!$A60,'BASE-LCP'!$B:$B,"abril")/1000,IF(LEFT($A23,3)="icp",SUMIFS('BASE-ICP'!$K:$K,'BASE-ICP'!$A:$A,Capex!$A60,'BASE-ICP'!$B:$B,"abril")/1000,"")),"")</f>
        <v>0</v>
      </c>
      <c r="CE23" s="427">
        <v>9.3310000000000004E-2</v>
      </c>
      <c r="CF23" s="372">
        <v>-227.31805</v>
      </c>
      <c r="CG23" s="422">
        <f>CH23</f>
        <v>0</v>
      </c>
      <c r="CH23" s="423">
        <v>0</v>
      </c>
      <c r="CI23" s="427">
        <v>0</v>
      </c>
      <c r="CJ23" s="372">
        <v>0</v>
      </c>
      <c r="CK23" s="419"/>
      <c r="CL23" s="423">
        <f>IFERROR(IF(LEFT($A23,3)="Lcp",SUMIFS('BASE-LCP'!$K:$K,'BASE-LCP'!$A:$A,Capex!$A60,'BASE-LCP'!$B:$B,"junho")/1000,IF(LEFT($A23,3)="icp",SUMIFS('BASE-ICP'!$K:$K,'BASE-ICP'!$A:$A,Capex!$A60,'BASE-ICP'!$B:$B,"junho")/1000,"")),"")</f>
        <v>0</v>
      </c>
      <c r="CM23" s="427">
        <v>-226.095</v>
      </c>
      <c r="CN23" s="372"/>
      <c r="CO23" s="419"/>
      <c r="CP23" s="423">
        <f>IFERROR(IF(LEFT($A23,3)="Lcp",SUMIFS('BASE-LCP'!$K:$K,'BASE-LCP'!$A:$A,Capex!$A60,'BASE-LCP'!$B:$B,"julho")/1000,IF(LEFT($A23,3)="icp",SUMIFS('BASE-ICP'!$K:$K,'BASE-ICP'!$A:$A,Capex!$A60,'BASE-ICP'!$B:$B,"julho")/1000,"")),"")</f>
        <v>0</v>
      </c>
      <c r="CQ23" s="427">
        <v>0</v>
      </c>
      <c r="CR23" s="372"/>
      <c r="CS23" s="419"/>
      <c r="CT23" s="423">
        <f>IFERROR(IF(LEFT($A23,3)="Lcp",SUMIFS('BASE-LCP'!$K:$K,'BASE-LCP'!$A:$A,Capex!$A60,'BASE-LCP'!$B:$B,"agosto")/1000,IF(LEFT($A23,3)="icp",SUMIFS('BASE-ICP'!$K:$K,'BASE-ICP'!$A:$A,Capex!$A60,'BASE-ICP'!$B:$B,"agosto")/1000,"")),"")</f>
        <v>0</v>
      </c>
      <c r="CU23" s="427">
        <v>0</v>
      </c>
      <c r="CV23" s="372"/>
      <c r="CW23" s="419"/>
      <c r="CX23" s="423">
        <f>IFERROR(IF(LEFT($A23,3)="Lcp",SUMIFS('BASE-LCP'!$K:$K,'BASE-LCP'!$A:$A,Capex!$A60,'BASE-LCP'!$B:$B,"setembro")/1000,IF(LEFT($A23,3)="icp",SUMIFS('BASE-ICP'!$K:$K,'BASE-ICP'!$A:$A,Capex!$A60,'BASE-ICP'!$B:$B,"setembro")/1000,"")),"")</f>
        <v>0</v>
      </c>
      <c r="CY23" s="427">
        <v>0</v>
      </c>
      <c r="CZ23" s="372"/>
      <c r="DA23" s="419"/>
      <c r="DB23" s="423">
        <f>IFERROR(IF(LEFT($A23,3)="Lcp",SUMIFS('BASE-LCP'!$K:$K,'BASE-LCP'!$A:$A,Capex!$A60,'BASE-LCP'!$B:$B,"outubro")/1000,IF(LEFT($A23,3)="icp",SUMIFS('BASE-ICP'!$K:$K,'BASE-ICP'!$A:$A,Capex!$A60,'BASE-ICP'!$B:$B,"outubro")/1000,"")),"")</f>
        <v>0</v>
      </c>
      <c r="DC23" s="427">
        <v>-1.4490000000000001</v>
      </c>
      <c r="DD23" s="372"/>
      <c r="DE23" s="419"/>
      <c r="DF23" s="423">
        <f>IFERROR(IF(LEFT($A23,3)="Lcp",SUMIFS('BASE-LCP'!$K:$K,'BASE-LCP'!$A:$A,Capex!$A60,'BASE-LCP'!$B:$B,"novembro")/1000,IF(LEFT($A23,3)="icp",SUMIFS('BASE-ICP'!$K:$K,'BASE-ICP'!$A:$A,Capex!$A60,'BASE-ICP'!$B:$B,"novembro")/1000,"")),"")</f>
        <v>0</v>
      </c>
      <c r="DG23" s="427">
        <v>0</v>
      </c>
      <c r="DH23" s="372"/>
      <c r="DI23" s="419"/>
      <c r="DJ23" s="423">
        <f>IFERROR(IF(LEFT($A23,3)="Lcp",SUMIFS('BASE-LCP'!$K:$K,'BASE-LCP'!$A:$A,Capex!$A60,'BASE-LCP'!$B:$B,"dezembro")/1000,IF(LEFT($A23,3)="icp",SUMIFS('BASE-ICP'!$K:$K,'BASE-ICP'!$A:$A,Capex!$A60,'BASE-ICP'!$B:$B,"dezembro")/1000,"")),"")</f>
        <v>0</v>
      </c>
      <c r="DK23" s="427">
        <v>0</v>
      </c>
      <c r="DL23" s="452">
        <f t="shared" si="15"/>
        <v>0</v>
      </c>
      <c r="DM23" s="374"/>
      <c r="DN23" s="374"/>
      <c r="DO23" s="374"/>
      <c r="DP23" s="374"/>
      <c r="DQ23" s="374"/>
      <c r="DR23" s="374"/>
      <c r="DS23" s="374"/>
      <c r="DT23" s="374"/>
      <c r="DU23" s="374"/>
      <c r="DV23" s="374"/>
      <c r="DW23" s="374"/>
      <c r="DX23" s="374"/>
      <c r="DY23" s="450"/>
      <c r="DZ23" s="374">
        <f t="shared" si="16"/>
        <v>0</v>
      </c>
      <c r="EA23" s="216">
        <f t="shared" si="17"/>
        <v>-226.095</v>
      </c>
      <c r="EB23" s="320">
        <f t="shared" si="18"/>
        <v>226.095</v>
      </c>
      <c r="EC23" s="241">
        <f t="shared" si="19"/>
        <v>227.45108999999997</v>
      </c>
      <c r="ED23" s="241">
        <f t="shared" si="20"/>
        <v>-226.00169</v>
      </c>
      <c r="EE23" s="241">
        <f t="shared" si="21"/>
        <v>0</v>
      </c>
      <c r="EF23" s="241">
        <f t="shared" si="22"/>
        <v>-1.4490000000000001</v>
      </c>
      <c r="EG23" s="346">
        <f t="shared" si="23"/>
        <v>3.9999999996864766E-4</v>
      </c>
      <c r="EH23" s="445">
        <f t="shared" si="24"/>
        <v>-227.31805</v>
      </c>
      <c r="EI23" s="447">
        <f t="shared" si="25"/>
        <v>0</v>
      </c>
      <c r="EJ23" s="364">
        <f t="shared" si="26"/>
        <v>227.54439999999997</v>
      </c>
      <c r="EK23" s="365">
        <f t="shared" si="27"/>
        <v>-227.54400000000001</v>
      </c>
      <c r="EL23" s="529">
        <f t="shared" si="28"/>
        <v>0.22634999999996808</v>
      </c>
      <c r="EM23" s="530">
        <v>226.78904999999997</v>
      </c>
      <c r="EN23" s="530">
        <v>0.11323999999999999</v>
      </c>
      <c r="EO23" s="530">
        <v>0.54879999999999995</v>
      </c>
      <c r="EP23" s="530">
        <v>9.3310000000000004E-2</v>
      </c>
      <c r="EQ23" s="530">
        <v>0</v>
      </c>
      <c r="ER23" s="530">
        <v>0</v>
      </c>
      <c r="ES23" s="530">
        <v>0</v>
      </c>
      <c r="ET23" s="530">
        <v>0</v>
      </c>
      <c r="EU23" s="530">
        <v>0</v>
      </c>
      <c r="EV23" s="530">
        <v>-227.31805</v>
      </c>
      <c r="EW23" s="530">
        <v>0</v>
      </c>
      <c r="EX23" s="530">
        <v>0</v>
      </c>
      <c r="EY23" s="530">
        <f t="shared" si="29"/>
        <v>227.45108999999997</v>
      </c>
      <c r="EZ23" s="530">
        <f t="shared" si="30"/>
        <v>9.3310000000000004E-2</v>
      </c>
      <c r="FA23" s="530">
        <f t="shared" si="31"/>
        <v>0</v>
      </c>
      <c r="FB23" s="530">
        <f t="shared" si="32"/>
        <v>-227.31805</v>
      </c>
      <c r="FC23" s="384" t="str">
        <f>IFERROR(VLOOKUP(Capex!A60,BASE_558!D:R,8,FALSE)/1000,"")</f>
        <v/>
      </c>
      <c r="FD23" s="328" t="str">
        <f>IFERROR(VLOOKUP(Capex!A60,BASE_558!D:R,9,)/1000,"")</f>
        <v/>
      </c>
      <c r="FE23" s="328">
        <f>IFERROR(IF(LEFT(A23,3)="LCP",(VLOOKUP(Capex!A60,BASE_558!D:R,10,)/1000),SUMIFS('BASE ICP_PO_SC'!F:F,'BASE ICP_PO_SC'!A:A,Capex!A60,'BASE ICP_PO_SC'!E:E,"&lt;&gt;")/1000),"")</f>
        <v>0</v>
      </c>
      <c r="FF23" s="328">
        <f>IFERROR(IF(LEFT(A23,3)="LCP",(VLOOKUP(Capex!A60,BASE_558!D:R,11,)/1000),SUMIFS('BASE ICP_PO_SC'!F:F,'BASE ICP_PO_SC'!A:A,Capex!A60,'BASE ICP_PO_SC'!E:E,"")/1000),"")</f>
        <v>0</v>
      </c>
      <c r="FG23" s="328" t="str">
        <f>IFERROR(VLOOKUP(A23,BASE_558!D:R,13,FALSE)/1000,"")</f>
        <v/>
      </c>
      <c r="FH23" s="328" t="str">
        <f>IFERROR(VLOOKUP(A23,BASE_558!D:R,15,FALSE)/1000,"")</f>
        <v/>
      </c>
      <c r="FI23" s="547">
        <f t="shared" si="33"/>
        <v>226.095</v>
      </c>
      <c r="FJ23" s="547">
        <f t="shared" si="34"/>
        <v>0</v>
      </c>
      <c r="FK23" s="570">
        <f t="shared" si="35"/>
        <v>-225.86904999999999</v>
      </c>
    </row>
    <row r="24" spans="1:167" s="23" customFormat="1" ht="24" customHeight="1">
      <c r="A24" s="441" t="s">
        <v>2501</v>
      </c>
      <c r="B24" s="404" t="s">
        <v>2436</v>
      </c>
      <c r="C24" s="404"/>
      <c r="D24" s="338"/>
      <c r="E24" s="378"/>
      <c r="F24" s="5"/>
      <c r="G24" s="310" t="s">
        <v>9</v>
      </c>
      <c r="H24" s="338"/>
      <c r="I24" s="338"/>
      <c r="J24" s="338">
        <v>2023</v>
      </c>
      <c r="K24" s="316"/>
      <c r="L24" s="324"/>
      <c r="M24" s="409"/>
      <c r="N24" s="317" t="str">
        <f>IF(K24+912=912,"",K24+912)</f>
        <v/>
      </c>
      <c r="O24" s="317" t="str">
        <f>IF(K24+1277=1277,"",K24+1277)</f>
        <v/>
      </c>
      <c r="P24" s="418" t="str">
        <f t="shared" si="36"/>
        <v>N/A</v>
      </c>
      <c r="Q24" s="418" t="str">
        <f t="shared" si="36"/>
        <v>N/A</v>
      </c>
      <c r="R24" s="418" t="str">
        <f t="shared" si="36"/>
        <v>N/A</v>
      </c>
      <c r="S24" s="418" t="str">
        <f t="shared" si="36"/>
        <v>N/A</v>
      </c>
      <c r="T24" s="418" t="str">
        <f t="shared" si="36"/>
        <v>N/A</v>
      </c>
      <c r="U24" s="418" t="str">
        <f t="shared" si="36"/>
        <v>N/A</v>
      </c>
      <c r="V24" s="418" t="str">
        <f t="shared" si="36"/>
        <v>N/A</v>
      </c>
      <c r="W24" s="418" t="str">
        <f t="shared" si="36"/>
        <v>N/A</v>
      </c>
      <c r="X24" s="418" t="str">
        <f t="shared" si="36"/>
        <v>N/A</v>
      </c>
      <c r="Y24" s="418" t="str">
        <f t="shared" si="36"/>
        <v>N/A</v>
      </c>
      <c r="Z24" s="418" t="str">
        <f t="shared" si="36"/>
        <v>N/A</v>
      </c>
      <c r="AA24" s="418" t="str">
        <f t="shared" si="36"/>
        <v>N/A</v>
      </c>
      <c r="AB24" s="317"/>
      <c r="AC24" s="309" t="s">
        <v>3932</v>
      </c>
      <c r="AD24" s="310" t="s">
        <v>224</v>
      </c>
      <c r="AE24" s="310" t="s">
        <v>965</v>
      </c>
      <c r="AF24" s="310" t="s">
        <v>6988</v>
      </c>
      <c r="AG24" s="310" t="s">
        <v>2079</v>
      </c>
      <c r="AH24" s="310" t="s">
        <v>6838</v>
      </c>
      <c r="AI24" s="381" t="s">
        <v>2255</v>
      </c>
      <c r="AJ24" s="6" t="s">
        <v>6786</v>
      </c>
      <c r="AK24" s="6" t="str">
        <f t="shared" si="10"/>
        <v>IGUAL</v>
      </c>
      <c r="AL24" s="151" t="str">
        <f>IFERROR(IF(LEFT(A24,3)="LCP",VLOOKUP(A24,STATUS_SAP_LCP!B:C,2,FALSE),VLOOKUP(A24,STATUS_SAP_ICP!B:C,2,FALSE)),"NO BUDGET")</f>
        <v>REL  BUDG AVAC  //  BREL WPLI</v>
      </c>
      <c r="AM24" s="6" t="str">
        <f t="shared" si="11"/>
        <v xml:space="preserve">REL </v>
      </c>
      <c r="AN24" s="282" t="s">
        <v>16346</v>
      </c>
      <c r="AO24" s="557"/>
      <c r="AP24" s="499" t="s">
        <v>9616</v>
      </c>
      <c r="AQ24" s="464"/>
      <c r="AR24" s="460"/>
      <c r="AS24" s="56"/>
      <c r="AT24" s="185"/>
      <c r="AU24" s="318"/>
      <c r="AV24" s="223"/>
      <c r="AW24" s="318">
        <v>201.99331999999998</v>
      </c>
      <c r="AX24" s="223">
        <v>-19.187019999999784</v>
      </c>
      <c r="AY24" s="318">
        <f>BO24</f>
        <v>-182.79155</v>
      </c>
      <c r="AZ24" s="223"/>
      <c r="BA24" s="318"/>
      <c r="BB24" s="519">
        <f t="shared" si="13"/>
        <v>-67.400000000000006</v>
      </c>
      <c r="BC24" s="518">
        <v>-67.400000000000006</v>
      </c>
      <c r="BD24" s="518">
        <v>0</v>
      </c>
      <c r="BE24" s="518">
        <v>65</v>
      </c>
      <c r="BF24" s="518">
        <v>-65</v>
      </c>
      <c r="BG24" s="518">
        <v>0</v>
      </c>
      <c r="BH24" s="518">
        <v>0</v>
      </c>
      <c r="BI24" s="518">
        <v>0</v>
      </c>
      <c r="BJ24" s="518">
        <v>0</v>
      </c>
      <c r="BK24" s="518">
        <v>0</v>
      </c>
      <c r="BL24" s="518">
        <v>0</v>
      </c>
      <c r="BM24" s="518">
        <v>0</v>
      </c>
      <c r="BN24" s="518">
        <v>0</v>
      </c>
      <c r="BO24" s="367">
        <f t="shared" si="14"/>
        <v>-182.79155</v>
      </c>
      <c r="BP24" s="421">
        <v>-67.400000000000006</v>
      </c>
      <c r="BQ24" s="422">
        <v>19.892330000000001</v>
      </c>
      <c r="BR24" s="423">
        <f>IFERROR(IF(LEFT($A24,3)="Lcp",SUMIFS('BASE-LCP'!$K:$K,'BASE-LCP'!$A:$A,Capex!$A52,'BASE-LCP'!$B:$B,"janeiro")/1000,IF(LEFT($A24,3)="icp",SUMIFS('BASE-ICP'!$K:$K,'BASE-ICP'!$A:$A,Capex!$A52,'BASE-ICP'!$B:$B,"janeiro")/1000,"")),"")</f>
        <v>0</v>
      </c>
      <c r="BS24" s="427">
        <v>19.892330000000001</v>
      </c>
      <c r="BT24" s="372">
        <v>-101.1</v>
      </c>
      <c r="BU24" s="422">
        <v>0.80101999999999995</v>
      </c>
      <c r="BV24" s="423">
        <f>IFERROR(IF(LEFT($A24,3)="Lcp",SUMIFS('BASE-LCP'!$K:$K,'BASE-LCP'!$A:$A,Capex!$A52,'BASE-LCP'!$B:$B,"fevereiro")/1000,IF(LEFT($A24,3)="icp",SUMIFS('BASE-ICP'!$K:$K,'BASE-ICP'!$A:$A,Capex!$A52,'BASE-ICP'!$B:$B,"fevereiro")/1000,"")),"")</f>
        <v>0</v>
      </c>
      <c r="BW24" s="427">
        <v>0.80101999999999995</v>
      </c>
      <c r="BX24" s="372">
        <v>-202</v>
      </c>
      <c r="BY24" s="422">
        <v>6.9971600000000018</v>
      </c>
      <c r="BZ24" s="423">
        <f>IFERROR(IF(LEFT($A24,3)="Lcp",SUMIFS('BASE-LCP'!$K:$K,'BASE-LCP'!$A:$A,Capex!$A52,'BASE-LCP'!$B:$B,"março")/1000,IF(LEFT($A24,3)="icp",SUMIFS('BASE-ICP'!$K:$K,'BASE-ICP'!$A:$A,Capex!$A52,'BASE-ICP'!$B:$B,"março")/1000,"")),"")</f>
        <v>0</v>
      </c>
      <c r="CA24" s="427">
        <v>6.9971600000000018</v>
      </c>
      <c r="CB24" s="372">
        <v>-210.5</v>
      </c>
      <c r="CC24" s="422"/>
      <c r="CD24" s="423">
        <f>IFERROR(IF(LEFT($A24,3)="Lcp",SUMIFS('BASE-LCP'!$K:$K,'BASE-LCP'!$A:$A,Capex!$A52,'BASE-LCP'!$B:$B,"abril")/1000,IF(LEFT($A24,3)="icp",SUMIFS('BASE-ICP'!$K:$K,'BASE-ICP'!$A:$A,Capex!$A52,'BASE-ICP'!$B:$B,"abril")/1000,"")),"")</f>
        <v>0</v>
      </c>
      <c r="CE24" s="427">
        <v>9.8305399999999992</v>
      </c>
      <c r="CF24" s="372">
        <v>-219.9573</v>
      </c>
      <c r="CG24" s="422">
        <f>CH24</f>
        <v>0.11842</v>
      </c>
      <c r="CH24" s="423">
        <v>0.11842</v>
      </c>
      <c r="CI24" s="427">
        <v>0.11842</v>
      </c>
      <c r="CJ24" s="372">
        <v>0</v>
      </c>
      <c r="CK24" s="419"/>
      <c r="CL24" s="423">
        <f>IFERROR(IF(LEFT($A24,3)="Lcp",SUMIFS('BASE-LCP'!$K:$K,'BASE-LCP'!$A:$A,Capex!$A52,'BASE-LCP'!$B:$B,"junho")/1000,IF(LEFT($A24,3)="icp",SUMIFS('BASE-ICP'!$K:$K,'BASE-ICP'!$A:$A,Capex!$A52,'BASE-ICP'!$B:$B,"junho")/1000,"")),"")</f>
        <v>0</v>
      </c>
      <c r="CM24" s="427">
        <v>-76.45402</v>
      </c>
      <c r="CN24" s="372"/>
      <c r="CO24" s="419"/>
      <c r="CP24" s="423">
        <f>IFERROR(IF(LEFT($A24,3)="Lcp",SUMIFS('BASE-LCP'!$K:$K,'BASE-LCP'!$A:$A,Capex!$A52,'BASE-LCP'!$B:$B,"julho")/1000,IF(LEFT($A24,3)="icp",SUMIFS('BASE-ICP'!$K:$K,'BASE-ICP'!$A:$A,Capex!$A52,'BASE-ICP'!$B:$B,"julho")/1000,"")),"")</f>
        <v>0</v>
      </c>
      <c r="CQ24" s="427"/>
      <c r="CR24" s="372"/>
      <c r="CS24" s="419"/>
      <c r="CT24" s="423">
        <f>IFERROR(IF(LEFT($A24,3)="Lcp",SUMIFS('BASE-LCP'!$K:$K,'BASE-LCP'!$A:$A,Capex!$A52,'BASE-LCP'!$B:$B,"agosto")/1000,IF(LEFT($A24,3)="icp",SUMIFS('BASE-ICP'!$K:$K,'BASE-ICP'!$A:$A,Capex!$A52,'BASE-ICP'!$B:$B,"agosto")/1000,"")),"")</f>
        <v>0</v>
      </c>
      <c r="CU24" s="427">
        <v>0</v>
      </c>
      <c r="CV24" s="372"/>
      <c r="CW24" s="419"/>
      <c r="CX24" s="423">
        <f>IFERROR(IF(LEFT($A24,3)="Lcp",SUMIFS('BASE-LCP'!$K:$K,'BASE-LCP'!$A:$A,Capex!$A52,'BASE-LCP'!$B:$B,"setembro")/1000,IF(LEFT($A24,3)="icp",SUMIFS('BASE-ICP'!$K:$K,'BASE-ICP'!$A:$A,Capex!$A52,'BASE-ICP'!$B:$B,"setembro")/1000,"")),"")</f>
        <v>0</v>
      </c>
      <c r="CY24" s="427">
        <v>0</v>
      </c>
      <c r="CZ24" s="372"/>
      <c r="DA24" s="419"/>
      <c r="DB24" s="423">
        <f>IFERROR(IF(LEFT($A24,3)="Lcp",SUMIFS('BASE-LCP'!$K:$K,'BASE-LCP'!$A:$A,Capex!$A52,'BASE-LCP'!$B:$B,"outubro")/1000,IF(LEFT($A24,3)="icp",SUMIFS('BASE-ICP'!$K:$K,'BASE-ICP'!$A:$A,Capex!$A52,'BASE-ICP'!$B:$B,"outubro")/1000,"")),"")</f>
        <v>0</v>
      </c>
      <c r="DC24" s="427">
        <v>-143.977</v>
      </c>
      <c r="DD24" s="372"/>
      <c r="DE24" s="419"/>
      <c r="DF24" s="423">
        <f>IFERROR(IF(LEFT($A24,3)="Lcp",SUMIFS('BASE-LCP'!$K:$K,'BASE-LCP'!$A:$A,Capex!$A52,'BASE-LCP'!$B:$B,"novembro")/1000,IF(LEFT($A24,3)="icp",SUMIFS('BASE-ICP'!$K:$K,'BASE-ICP'!$A:$A,Capex!$A52,'BASE-ICP'!$B:$B,"novembro")/1000,"")),"")</f>
        <v>0</v>
      </c>
      <c r="DG24" s="427">
        <v>0</v>
      </c>
      <c r="DH24" s="372"/>
      <c r="DI24" s="419"/>
      <c r="DJ24" s="423">
        <f>IFERROR(IF(LEFT($A24,3)="Lcp",SUMIFS('BASE-LCP'!$K:$K,'BASE-LCP'!$A:$A,Capex!$A52,'BASE-LCP'!$B:$B,"dezembro")/1000,IF(LEFT($A24,3)="icp",SUMIFS('BASE-ICP'!$K:$K,'BASE-ICP'!$A:$A,Capex!$A52,'BASE-ICP'!$B:$B,"dezembro")/1000,"")),"")</f>
        <v>0</v>
      </c>
      <c r="DK24" s="427">
        <v>0</v>
      </c>
      <c r="DL24" s="452">
        <f t="shared" si="15"/>
        <v>0</v>
      </c>
      <c r="DM24" s="374"/>
      <c r="DN24" s="374">
        <v>0</v>
      </c>
      <c r="DO24" s="374"/>
      <c r="DP24" s="374"/>
      <c r="DQ24" s="374"/>
      <c r="DR24" s="374"/>
      <c r="DS24" s="374"/>
      <c r="DT24" s="374"/>
      <c r="DU24" s="374"/>
      <c r="DV24" s="374"/>
      <c r="DW24" s="374"/>
      <c r="DX24" s="374"/>
      <c r="DY24" s="450"/>
      <c r="DZ24" s="374">
        <f t="shared" si="16"/>
        <v>0</v>
      </c>
      <c r="EA24" s="216">
        <f t="shared" si="17"/>
        <v>-76.45402</v>
      </c>
      <c r="EB24" s="320">
        <f t="shared" si="18"/>
        <v>76.45402</v>
      </c>
      <c r="EC24" s="241">
        <f t="shared" si="19"/>
        <v>27.690510000000003</v>
      </c>
      <c r="ED24" s="241">
        <f t="shared" si="20"/>
        <v>-66.50506</v>
      </c>
      <c r="EE24" s="241">
        <f t="shared" si="21"/>
        <v>0</v>
      </c>
      <c r="EF24" s="241">
        <f t="shared" si="22"/>
        <v>-143.977</v>
      </c>
      <c r="EG24" s="346">
        <f t="shared" si="23"/>
        <v>-115.39155</v>
      </c>
      <c r="EH24" s="445">
        <f t="shared" si="24"/>
        <v>-219.9573</v>
      </c>
      <c r="EI24" s="447">
        <f t="shared" si="25"/>
        <v>0.11842</v>
      </c>
      <c r="EJ24" s="364">
        <f t="shared" si="26"/>
        <v>37.639470000000003</v>
      </c>
      <c r="EK24" s="365">
        <f t="shared" si="27"/>
        <v>-220.43101999999999</v>
      </c>
      <c r="EL24" s="529">
        <f t="shared" si="28"/>
        <v>-182.31783000000001</v>
      </c>
      <c r="EM24" s="530">
        <v>19.892330000000001</v>
      </c>
      <c r="EN24" s="530">
        <v>0.80101999999999995</v>
      </c>
      <c r="EO24" s="530">
        <v>6.9971600000000018</v>
      </c>
      <c r="EP24" s="530">
        <v>9.8305399999999992</v>
      </c>
      <c r="EQ24" s="530">
        <v>0.11842</v>
      </c>
      <c r="ER24" s="530">
        <v>0</v>
      </c>
      <c r="ES24" s="530">
        <v>0</v>
      </c>
      <c r="ET24" s="530">
        <v>0</v>
      </c>
      <c r="EU24" s="530">
        <v>0</v>
      </c>
      <c r="EV24" s="530">
        <v>-219.9573</v>
      </c>
      <c r="EW24" s="530">
        <v>0</v>
      </c>
      <c r="EX24" s="530">
        <v>0</v>
      </c>
      <c r="EY24" s="530">
        <f t="shared" si="29"/>
        <v>27.690510000000003</v>
      </c>
      <c r="EZ24" s="530">
        <f t="shared" si="30"/>
        <v>9.9489599999999996</v>
      </c>
      <c r="FA24" s="530">
        <f t="shared" si="31"/>
        <v>0</v>
      </c>
      <c r="FB24" s="530">
        <f t="shared" si="32"/>
        <v>-219.9573</v>
      </c>
      <c r="FC24" s="384" t="str">
        <f>IFERROR(VLOOKUP(Capex!A52,BASE_558!D:R,8,FALSE)/1000,"")</f>
        <v/>
      </c>
      <c r="FD24" s="328" t="str">
        <f>IFERROR(VLOOKUP(Capex!A52,BASE_558!D:R,9,)/1000,"")</f>
        <v/>
      </c>
      <c r="FE24" s="328">
        <f>IFERROR(IF(LEFT(A24,3)="LCP",(VLOOKUP(Capex!A52,BASE_558!D:R,10,)/1000),SUMIFS('BASE ICP_PO_SC'!F:F,'BASE ICP_PO_SC'!A:A,Capex!A52,'BASE ICP_PO_SC'!E:E,"&lt;&gt;")/1000),"")</f>
        <v>0</v>
      </c>
      <c r="FF24" s="328">
        <f>IFERROR(IF(LEFT(A24,3)="LCP",(VLOOKUP(Capex!A52,BASE_558!D:R,11,)/1000),SUMIFS('BASE ICP_PO_SC'!F:F,'BASE ICP_PO_SC'!A:A,Capex!A52,'BASE ICP_PO_SC'!E:E,"")/1000),"")</f>
        <v>0</v>
      </c>
      <c r="FG24" s="328" t="str">
        <f>IFERROR(VLOOKUP(A24,BASE_558!D:R,13,FALSE)/1000,"")</f>
        <v/>
      </c>
      <c r="FH24" s="328" t="str">
        <f>IFERROR(VLOOKUP(A24,BASE_558!D:R,15,FALSE)/1000,"")</f>
        <v/>
      </c>
      <c r="FI24" s="547">
        <f t="shared" si="33"/>
        <v>76.45402</v>
      </c>
      <c r="FJ24" s="547">
        <f t="shared" si="34"/>
        <v>0</v>
      </c>
      <c r="FK24" s="540">
        <f t="shared" si="35"/>
        <v>-75.9803</v>
      </c>
    </row>
    <row r="25" spans="1:167" s="23" customFormat="1" ht="24" customHeight="1">
      <c r="A25" s="310" t="s">
        <v>7433</v>
      </c>
      <c r="B25" s="404"/>
      <c r="C25" s="404"/>
      <c r="D25" s="338"/>
      <c r="E25" s="378">
        <v>9514771</v>
      </c>
      <c r="F25" s="5"/>
      <c r="G25" s="310" t="s">
        <v>8</v>
      </c>
      <c r="H25" s="338" t="s">
        <v>6</v>
      </c>
      <c r="I25" s="338"/>
      <c r="J25" s="338">
        <v>2024</v>
      </c>
      <c r="K25" s="316">
        <v>45701</v>
      </c>
      <c r="L25" s="316"/>
      <c r="M25" s="409"/>
      <c r="N25" s="317">
        <f>IF(K25+912=912,"",K25+912)</f>
        <v>46613</v>
      </c>
      <c r="O25" s="317">
        <f>IF(K25+1277=1277,"",K25+1277)</f>
        <v>46978</v>
      </c>
      <c r="P25" s="418" t="str">
        <f t="shared" ref="P25:AA34" si="37">IF($N25="","N/A",IF($O25="","N/A",IF(P$2&lt;=$N25,"NÃO",IF($AJ25="REL ","SIM",IF(P$2&lt;$O25,"NÃO",IF($AJ25&lt;&gt;"CLSD","SIM","CRTD"))))))</f>
        <v>NÃO</v>
      </c>
      <c r="Q25" s="418" t="str">
        <f t="shared" si="37"/>
        <v>NÃO</v>
      </c>
      <c r="R25" s="418" t="str">
        <f t="shared" si="37"/>
        <v>NÃO</v>
      </c>
      <c r="S25" s="418" t="str">
        <f t="shared" si="37"/>
        <v>NÃO</v>
      </c>
      <c r="T25" s="418" t="str">
        <f t="shared" si="37"/>
        <v>NÃO</v>
      </c>
      <c r="U25" s="418" t="str">
        <f t="shared" si="37"/>
        <v>NÃO</v>
      </c>
      <c r="V25" s="418" t="str">
        <f t="shared" si="37"/>
        <v>NÃO</v>
      </c>
      <c r="W25" s="418" t="str">
        <f t="shared" si="37"/>
        <v>NÃO</v>
      </c>
      <c r="X25" s="418" t="str">
        <f t="shared" si="37"/>
        <v>NÃO</v>
      </c>
      <c r="Y25" s="418" t="str">
        <f t="shared" si="37"/>
        <v>NÃO</v>
      </c>
      <c r="Z25" s="418" t="str">
        <f t="shared" si="37"/>
        <v>NÃO</v>
      </c>
      <c r="AA25" s="418" t="str">
        <f t="shared" si="37"/>
        <v>NÃO</v>
      </c>
      <c r="AB25" s="317"/>
      <c r="AC25" s="309" t="s">
        <v>3930</v>
      </c>
      <c r="AD25" s="311"/>
      <c r="AE25" s="311"/>
      <c r="AF25" s="310" t="s">
        <v>6985</v>
      </c>
      <c r="AG25" s="310" t="s">
        <v>2485</v>
      </c>
      <c r="AH25" s="310" t="s">
        <v>7435</v>
      </c>
      <c r="AI25" s="381" t="s">
        <v>188</v>
      </c>
      <c r="AJ25" s="6" t="s">
        <v>6786</v>
      </c>
      <c r="AK25" s="6" t="str">
        <f t="shared" si="10"/>
        <v>IGUAL</v>
      </c>
      <c r="AL25" s="151" t="str">
        <f>IFERROR(IF(LEFT(A25,3)="LCP",VLOOKUP(A25,STATUS_SAP_LCP!B:C,2,FALSE),VLOOKUP(A25,STATUS_SAP_ICP!B:C,2,FALSE)),"NO BUDGET")</f>
        <v>REL  BUDG AUC  AVAC  //  APPR BREL EXPL</v>
      </c>
      <c r="AM25" s="6" t="str">
        <f t="shared" si="11"/>
        <v xml:space="preserve">REL </v>
      </c>
      <c r="AN25" s="282" t="s">
        <v>17632</v>
      </c>
      <c r="AO25" s="557"/>
      <c r="AP25" s="499" t="s">
        <v>9616</v>
      </c>
      <c r="AQ25" s="465">
        <v>46174</v>
      </c>
      <c r="AR25" s="460"/>
      <c r="AS25" s="56"/>
      <c r="AT25" s="185"/>
      <c r="AU25" s="318"/>
      <c r="AV25" s="223"/>
      <c r="AW25" s="318"/>
      <c r="AX25" s="223"/>
      <c r="AY25" s="318">
        <f>BO25</f>
        <v>90</v>
      </c>
      <c r="AZ25" s="223"/>
      <c r="BA25" s="318"/>
      <c r="BB25" s="519">
        <f t="shared" si="13"/>
        <v>45</v>
      </c>
      <c r="BC25" s="518">
        <v>0</v>
      </c>
      <c r="BD25" s="518">
        <v>0</v>
      </c>
      <c r="BE25" s="518">
        <v>0</v>
      </c>
      <c r="BF25" s="518">
        <v>0</v>
      </c>
      <c r="BG25" s="518">
        <v>0</v>
      </c>
      <c r="BH25" s="518">
        <v>0</v>
      </c>
      <c r="BI25" s="518">
        <v>0</v>
      </c>
      <c r="BJ25" s="518">
        <v>0</v>
      </c>
      <c r="BK25" s="518">
        <v>0</v>
      </c>
      <c r="BL25" s="518">
        <v>20</v>
      </c>
      <c r="BM25" s="518">
        <v>25</v>
      </c>
      <c r="BN25" s="518">
        <v>0</v>
      </c>
      <c r="BO25" s="367">
        <f t="shared" si="14"/>
        <v>90</v>
      </c>
      <c r="BP25" s="421">
        <v>0</v>
      </c>
      <c r="BQ25" s="422"/>
      <c r="BR25" s="423">
        <f>IFERROR(IF(LEFT($A25,3)="Lcp",SUMIFS('BASE-LCP'!$K:$K,'BASE-LCP'!$A:$A,Capex!$A382,'BASE-LCP'!$B:$B,"janeiro")/1000,IF(LEFT($A25,3)="icp",SUMIFS('BASE-ICP'!$K:$K,'BASE-ICP'!$A:$A,Capex!$A382,'BASE-ICP'!$B:$B,"janeiro")/1000,"")),"")</f>
        <v>21.154540000000001</v>
      </c>
      <c r="BS25" s="427"/>
      <c r="BT25" s="372"/>
      <c r="BU25" s="422"/>
      <c r="BV25" s="423">
        <f>IFERROR(IF(LEFT($A25,3)="Lcp",SUMIFS('BASE-LCP'!$K:$K,'BASE-LCP'!$A:$A,Capex!$A382,'BASE-LCP'!$B:$B,"fevereiro")/1000,IF(LEFT($A25,3)="icp",SUMIFS('BASE-ICP'!$K:$K,'BASE-ICP'!$A:$A,Capex!$A382,'BASE-ICP'!$B:$B,"fevereiro")/1000,"")),"")</f>
        <v>1.2947800000000003</v>
      </c>
      <c r="BW25" s="427"/>
      <c r="BX25" s="372"/>
      <c r="BY25" s="422"/>
      <c r="BZ25" s="423">
        <f>IFERROR(IF(LEFT($A25,3)="Lcp",SUMIFS('BASE-LCP'!$K:$K,'BASE-LCP'!$A:$A,Capex!$A382,'BASE-LCP'!$B:$B,"março")/1000,IF(LEFT($A25,3)="icp",SUMIFS('BASE-ICP'!$K:$K,'BASE-ICP'!$A:$A,Capex!$A382,'BASE-ICP'!$B:$B,"março")/1000,"")),"")</f>
        <v>0.43155999999999994</v>
      </c>
      <c r="CA25" s="427"/>
      <c r="CB25" s="372"/>
      <c r="CC25" s="422"/>
      <c r="CD25" s="423">
        <f>IFERROR(IF(LEFT($A25,3)="Lcp",SUMIFS('BASE-LCP'!$K:$K,'BASE-LCP'!$A:$A,Capex!$A382,'BASE-LCP'!$B:$B,"abril")/1000,IF(LEFT($A25,3)="icp",SUMIFS('BASE-ICP'!$K:$K,'BASE-ICP'!$A:$A,Capex!$A382,'BASE-ICP'!$B:$B,"abril")/1000,"")),"")</f>
        <v>97.196069999999992</v>
      </c>
      <c r="CE25" s="427"/>
      <c r="CF25" s="372"/>
      <c r="CG25" s="422"/>
      <c r="CH25" s="423">
        <v>0</v>
      </c>
      <c r="CI25" s="427"/>
      <c r="CJ25" s="372"/>
      <c r="CK25" s="419"/>
      <c r="CL25" s="423">
        <f>IFERROR(IF(LEFT($A25,3)="Lcp",SUMIFS('BASE-LCP'!$K:$K,'BASE-LCP'!$A:$A,Capex!$A382,'BASE-LCP'!$B:$B,"junho")/1000,IF(LEFT($A25,3)="icp",SUMIFS('BASE-ICP'!$K:$K,'BASE-ICP'!$A:$A,Capex!$A382,'BASE-ICP'!$B:$B,"junho")/1000,"")),"")</f>
        <v>15.826280000000002</v>
      </c>
      <c r="CM25" s="427"/>
      <c r="CN25" s="372"/>
      <c r="CO25" s="419"/>
      <c r="CP25" s="423">
        <f>IFERROR(IF(LEFT($A25,3)="Lcp",SUMIFS('BASE-LCP'!$K:$K,'BASE-LCP'!$A:$A,Capex!$A382,'BASE-LCP'!$B:$B,"julho")/1000,IF(LEFT($A25,3)="icp",SUMIFS('BASE-ICP'!$K:$K,'BASE-ICP'!$A:$A,Capex!$A382,'BASE-ICP'!$B:$B,"julho")/1000,"")),"")</f>
        <v>2.9576700000000002</v>
      </c>
      <c r="CQ25" s="427"/>
      <c r="CR25" s="372"/>
      <c r="CS25" s="419"/>
      <c r="CT25" s="423">
        <f>IFERROR(IF(LEFT($A25,3)="Lcp",SUMIFS('BASE-LCP'!$K:$K,'BASE-LCP'!$A:$A,Capex!$A382,'BASE-LCP'!$B:$B,"agosto")/1000,IF(LEFT($A25,3)="icp",SUMIFS('BASE-ICP'!$K:$K,'BASE-ICP'!$A:$A,Capex!$A382,'BASE-ICP'!$B:$B,"agosto")/1000,"")),"")</f>
        <v>0</v>
      </c>
      <c r="CU25" s="427"/>
      <c r="CV25" s="372"/>
      <c r="CW25" s="419"/>
      <c r="CX25" s="423">
        <f>IFERROR(IF(LEFT($A25,3)="Lcp",SUMIFS('BASE-LCP'!$K:$K,'BASE-LCP'!$A:$A,Capex!$A382,'BASE-LCP'!$B:$B,"setembro")/1000,IF(LEFT($A25,3)="icp",SUMIFS('BASE-ICP'!$K:$K,'BASE-ICP'!$A:$A,Capex!$A382,'BASE-ICP'!$B:$B,"setembro")/1000,"")),"")</f>
        <v>0</v>
      </c>
      <c r="CY25" s="427"/>
      <c r="CZ25" s="372"/>
      <c r="DA25" s="419"/>
      <c r="DB25" s="423">
        <f>IFERROR(IF(LEFT($A25,3)="Lcp",SUMIFS('BASE-LCP'!$K:$K,'BASE-LCP'!$A:$A,Capex!$A382,'BASE-LCP'!$B:$B,"outubro")/1000,IF(LEFT($A25,3)="icp",SUMIFS('BASE-ICP'!$K:$K,'BASE-ICP'!$A:$A,Capex!$A382,'BASE-ICP'!$B:$B,"outubro")/1000,"")),"")</f>
        <v>0</v>
      </c>
      <c r="DC25" s="427">
        <v>20</v>
      </c>
      <c r="DD25" s="372"/>
      <c r="DE25" s="419"/>
      <c r="DF25" s="423">
        <f>IFERROR(IF(LEFT($A25,3)="Lcp",SUMIFS('BASE-LCP'!$K:$K,'BASE-LCP'!$A:$A,Capex!$A382,'BASE-LCP'!$B:$B,"novembro")/1000,IF(LEFT($A25,3)="icp",SUMIFS('BASE-ICP'!$K:$K,'BASE-ICP'!$A:$A,Capex!$A382,'BASE-ICP'!$B:$B,"novembro")/1000,"")),"")</f>
        <v>0</v>
      </c>
      <c r="DG25" s="427">
        <v>25</v>
      </c>
      <c r="DH25" s="372"/>
      <c r="DI25" s="419"/>
      <c r="DJ25" s="423">
        <f>IFERROR(IF(LEFT($A25,3)="Lcp",SUMIFS('BASE-LCP'!$K:$K,'BASE-LCP'!$A:$A,Capex!$A382,'BASE-LCP'!$B:$B,"dezembro")/1000,IF(LEFT($A25,3)="icp",SUMIFS('BASE-ICP'!$K:$K,'BASE-ICP'!$A:$A,Capex!$A382,'BASE-ICP'!$B:$B,"dezembro")/1000,"")),"")</f>
        <v>0</v>
      </c>
      <c r="DK25" s="427">
        <v>45</v>
      </c>
      <c r="DL25" s="452">
        <f t="shared" si="15"/>
        <v>0</v>
      </c>
      <c r="DM25" s="374"/>
      <c r="DN25" s="374">
        <v>0</v>
      </c>
      <c r="DO25" s="374"/>
      <c r="DP25" s="374"/>
      <c r="DQ25" s="374"/>
      <c r="DR25" s="374"/>
      <c r="DS25" s="374"/>
      <c r="DT25" s="374"/>
      <c r="DU25" s="374"/>
      <c r="DV25" s="374"/>
      <c r="DW25" s="374"/>
      <c r="DX25" s="374"/>
      <c r="DY25" s="450"/>
      <c r="DZ25" s="374">
        <f t="shared" si="16"/>
        <v>0</v>
      </c>
      <c r="EA25" s="216">
        <f t="shared" si="17"/>
        <v>0</v>
      </c>
      <c r="EB25" s="320">
        <f t="shared" si="18"/>
        <v>15.826280000000002</v>
      </c>
      <c r="EC25" s="241">
        <f t="shared" si="19"/>
        <v>0</v>
      </c>
      <c r="ED25" s="241">
        <f t="shared" si="20"/>
        <v>0</v>
      </c>
      <c r="EE25" s="241">
        <f t="shared" si="21"/>
        <v>0</v>
      </c>
      <c r="EF25" s="241">
        <f t="shared" si="22"/>
        <v>90</v>
      </c>
      <c r="EG25" s="346">
        <f t="shared" si="23"/>
        <v>45</v>
      </c>
      <c r="EH25" s="445">
        <f t="shared" si="24"/>
        <v>0</v>
      </c>
      <c r="EI25" s="447">
        <f t="shared" si="25"/>
        <v>0</v>
      </c>
      <c r="EJ25" s="364">
        <f t="shared" si="26"/>
        <v>15.826280000000002</v>
      </c>
      <c r="EK25" s="365">
        <f t="shared" si="27"/>
        <v>74.173720000000003</v>
      </c>
      <c r="EL25" s="529">
        <f t="shared" si="28"/>
        <v>45</v>
      </c>
      <c r="EM25" s="530">
        <v>0</v>
      </c>
      <c r="EN25" s="530">
        <v>0</v>
      </c>
      <c r="EO25" s="530">
        <v>0</v>
      </c>
      <c r="EP25" s="530">
        <v>0</v>
      </c>
      <c r="EQ25" s="530">
        <v>0</v>
      </c>
      <c r="ER25" s="530">
        <v>0</v>
      </c>
      <c r="ES25" s="530">
        <v>0</v>
      </c>
      <c r="ET25" s="530">
        <v>0</v>
      </c>
      <c r="EU25" s="530">
        <v>0</v>
      </c>
      <c r="EV25" s="530">
        <v>20</v>
      </c>
      <c r="EW25" s="530">
        <v>25</v>
      </c>
      <c r="EX25" s="530">
        <v>0</v>
      </c>
      <c r="EY25" s="530">
        <f t="shared" si="29"/>
        <v>0</v>
      </c>
      <c r="EZ25" s="530">
        <f t="shared" si="30"/>
        <v>0</v>
      </c>
      <c r="FA25" s="530">
        <f t="shared" si="31"/>
        <v>0</v>
      </c>
      <c r="FB25" s="530">
        <f t="shared" si="32"/>
        <v>45</v>
      </c>
      <c r="FC25" s="384">
        <f>IFERROR(VLOOKUP(Capex!A382,BASE_558!D:R,8,FALSE)/1000,"")</f>
        <v>531.88</v>
      </c>
      <c r="FD25" s="328">
        <f>IFERROR(VLOOKUP(Capex!A382,BASE_558!D:R,9,)/1000,"")</f>
        <v>190.77189999999999</v>
      </c>
      <c r="FE25" s="328">
        <f>IFERROR(IF(LEFT(A25,3)="LCP",(VLOOKUP(Capex!A382,BASE_558!D:R,10,)/1000),SUMIFS('BASE ICP_PO_SC'!F:F,'BASE ICP_PO_SC'!A:A,Capex!A382,'BASE ICP_PO_SC'!E:E,"&lt;&gt;")/1000),"")</f>
        <v>244.56672</v>
      </c>
      <c r="FF25" s="328">
        <f>IFERROR(IF(LEFT(A25,3)="LCP",(VLOOKUP(Capex!A382,BASE_558!D:R,11,)/1000),SUMIFS('BASE ICP_PO_SC'!F:F,'BASE ICP_PO_SC'!A:A,Capex!A382,'BASE ICP_PO_SC'!E:E,"")/1000),"")</f>
        <v>0.75685000000000002</v>
      </c>
      <c r="FG25" s="328">
        <f>IFERROR(VLOOKUP(A25,BASE_558!D:R,13,FALSE)/1000,"")</f>
        <v>74.03931</v>
      </c>
      <c r="FH25" s="328">
        <f>IFERROR(VLOOKUP(A25,BASE_558!D:R,15,FALSE)/1000,"")</f>
        <v>15.960690000000001</v>
      </c>
      <c r="FI25" s="547">
        <f t="shared" si="33"/>
        <v>0</v>
      </c>
      <c r="FJ25" s="547">
        <f t="shared" si="34"/>
        <v>0</v>
      </c>
      <c r="FK25" s="540">
        <f t="shared" si="35"/>
        <v>-45</v>
      </c>
    </row>
    <row r="26" spans="1:167" s="23" customFormat="1" ht="24" customHeight="1">
      <c r="A26" s="84" t="s">
        <v>1116</v>
      </c>
      <c r="B26" s="404"/>
      <c r="C26" s="404" t="s">
        <v>1264</v>
      </c>
      <c r="D26" s="338" t="s">
        <v>2281</v>
      </c>
      <c r="E26" s="378">
        <v>4608952</v>
      </c>
      <c r="F26" s="5"/>
      <c r="G26" s="310" t="s">
        <v>9</v>
      </c>
      <c r="H26" s="338" t="s">
        <v>6</v>
      </c>
      <c r="I26" s="338"/>
      <c r="J26" s="338">
        <v>2021</v>
      </c>
      <c r="K26" s="351">
        <v>44469</v>
      </c>
      <c r="L26" s="317"/>
      <c r="M26" s="409"/>
      <c r="N26" s="317">
        <f>IF(K26+912=912,"",K26+912)</f>
        <v>45381</v>
      </c>
      <c r="O26" s="317">
        <f>IF(K26+1277=1277,"",K26+1277)</f>
        <v>45746</v>
      </c>
      <c r="P26" s="418" t="str">
        <f t="shared" si="37"/>
        <v>SIM</v>
      </c>
      <c r="Q26" s="418" t="str">
        <f t="shared" si="37"/>
        <v>SIM</v>
      </c>
      <c r="R26" s="418" t="str">
        <f t="shared" si="37"/>
        <v>SIM</v>
      </c>
      <c r="S26" s="418" t="str">
        <f t="shared" si="37"/>
        <v>SIM</v>
      </c>
      <c r="T26" s="418" t="str">
        <f t="shared" si="37"/>
        <v>SIM</v>
      </c>
      <c r="U26" s="418" t="str">
        <f t="shared" si="37"/>
        <v>SIM</v>
      </c>
      <c r="V26" s="418" t="str">
        <f t="shared" si="37"/>
        <v>SIM</v>
      </c>
      <c r="W26" s="418" t="str">
        <f t="shared" si="37"/>
        <v>SIM</v>
      </c>
      <c r="X26" s="418" t="str">
        <f t="shared" si="37"/>
        <v>SIM</v>
      </c>
      <c r="Y26" s="418" t="str">
        <f t="shared" si="37"/>
        <v>SIM</v>
      </c>
      <c r="Z26" s="418" t="str">
        <f t="shared" si="37"/>
        <v>SIM</v>
      </c>
      <c r="AA26" s="418" t="str">
        <f t="shared" si="37"/>
        <v>SIM</v>
      </c>
      <c r="AB26" s="317"/>
      <c r="AC26" s="309" t="s">
        <v>3932</v>
      </c>
      <c r="AD26" s="311" t="s">
        <v>222</v>
      </c>
      <c r="AE26" s="311" t="s">
        <v>979</v>
      </c>
      <c r="AF26" s="310" t="s">
        <v>6985</v>
      </c>
      <c r="AG26" s="262" t="s">
        <v>2251</v>
      </c>
      <c r="AH26" s="310" t="s">
        <v>6765</v>
      </c>
      <c r="AI26" s="381" t="s">
        <v>2255</v>
      </c>
      <c r="AJ26" s="6" t="s">
        <v>6786</v>
      </c>
      <c r="AK26" s="6" t="str">
        <f t="shared" si="10"/>
        <v>IGUAL</v>
      </c>
      <c r="AL26" s="151" t="str">
        <f>IFERROR(IF(LEFT(A26,3)="LCP",VLOOKUP(A26,STATUS_SAP_LCP!B:C,2,FALSE),VLOOKUP(A26,STATUS_SAP_ICP!B:C,2,FALSE)),"NO BUDGET")</f>
        <v>REL  BUDG AUC  AVAC  //  APPR BREL INPL</v>
      </c>
      <c r="AM26" s="6" t="str">
        <f t="shared" si="11"/>
        <v xml:space="preserve">REL </v>
      </c>
      <c r="AN26" s="428" t="s">
        <v>18971</v>
      </c>
      <c r="AO26" s="559"/>
      <c r="AP26" s="499" t="s">
        <v>5299</v>
      </c>
      <c r="AQ26" s="465">
        <v>46387</v>
      </c>
      <c r="AR26" s="460"/>
      <c r="AS26" s="56"/>
      <c r="AT26" s="185"/>
      <c r="AU26" s="318">
        <v>492.98391000000004</v>
      </c>
      <c r="AV26" s="223">
        <v>117.37179999999999</v>
      </c>
      <c r="AW26" s="318">
        <v>3.5563199999999999</v>
      </c>
      <c r="AX26" s="223">
        <v>20.90184</v>
      </c>
      <c r="AY26" s="318">
        <f>BO26</f>
        <v>30</v>
      </c>
      <c r="AZ26" s="223"/>
      <c r="BA26" s="318"/>
      <c r="BB26" s="519">
        <f t="shared" si="13"/>
        <v>0</v>
      </c>
      <c r="BC26" s="518">
        <v>0</v>
      </c>
      <c r="BD26" s="518">
        <v>0</v>
      </c>
      <c r="BE26" s="518">
        <v>0</v>
      </c>
      <c r="BF26" s="518">
        <v>0</v>
      </c>
      <c r="BG26" s="518">
        <v>0</v>
      </c>
      <c r="BH26" s="518">
        <v>0</v>
      </c>
      <c r="BI26" s="518">
        <v>0</v>
      </c>
      <c r="BJ26" s="518">
        <v>0</v>
      </c>
      <c r="BK26" s="518">
        <v>0</v>
      </c>
      <c r="BL26" s="518">
        <v>0</v>
      </c>
      <c r="BM26" s="518">
        <v>0</v>
      </c>
      <c r="BN26" s="518">
        <v>0</v>
      </c>
      <c r="BO26" s="367">
        <f t="shared" si="14"/>
        <v>30</v>
      </c>
      <c r="BP26" s="421">
        <v>0</v>
      </c>
      <c r="BQ26" s="422"/>
      <c r="BR26" s="423">
        <f>IFERROR(IF(LEFT($A26,3)="Lcp",SUMIFS('BASE-LCP'!$K:$K,'BASE-LCP'!$A:$A,Capex!$A247,'BASE-LCP'!$B:$B,"janeiro")/1000,IF(LEFT($A26,3)="icp",SUMIFS('BASE-ICP'!$K:$K,'BASE-ICP'!$A:$A,Capex!$A247,'BASE-ICP'!$B:$B,"janeiro")/1000,"")),"")</f>
        <v>0</v>
      </c>
      <c r="BS26" s="427">
        <v>0</v>
      </c>
      <c r="BT26" s="372">
        <v>0</v>
      </c>
      <c r="BU26" s="422"/>
      <c r="BV26" s="423">
        <f>IFERROR(IF(LEFT($A26,3)="Lcp",SUMIFS('BASE-LCP'!$K:$K,'BASE-LCP'!$A:$A,Capex!$A247,'BASE-LCP'!$B:$B,"fevereiro")/1000,IF(LEFT($A26,3)="icp",SUMIFS('BASE-ICP'!$K:$K,'BASE-ICP'!$A:$A,Capex!$A247,'BASE-ICP'!$B:$B,"fevereiro")/1000,"")),"")</f>
        <v>0</v>
      </c>
      <c r="BW26" s="427">
        <v>0</v>
      </c>
      <c r="BX26" s="372">
        <v>0</v>
      </c>
      <c r="BY26" s="422"/>
      <c r="BZ26" s="423">
        <f>IFERROR(IF(LEFT($A26,3)="Lcp",SUMIFS('BASE-LCP'!$K:$K,'BASE-LCP'!$A:$A,Capex!$A247,'BASE-LCP'!$B:$B,"março")/1000,IF(LEFT($A26,3)="icp",SUMIFS('BASE-ICP'!$K:$K,'BASE-ICP'!$A:$A,Capex!$A247,'BASE-ICP'!$B:$B,"março")/1000,"")),"")</f>
        <v>0</v>
      </c>
      <c r="CA26" s="427">
        <v>0</v>
      </c>
      <c r="CB26" s="372">
        <v>0</v>
      </c>
      <c r="CC26" s="422"/>
      <c r="CD26" s="423">
        <f>IFERROR(IF(LEFT($A26,3)="Lcp",SUMIFS('BASE-LCP'!$K:$K,'BASE-LCP'!$A:$A,Capex!$A247,'BASE-LCP'!$B:$B,"abril")/1000,IF(LEFT($A26,3)="icp",SUMIFS('BASE-ICP'!$K:$K,'BASE-ICP'!$A:$A,Capex!$A247,'BASE-ICP'!$B:$B,"abril")/1000,"")),"")</f>
        <v>0</v>
      </c>
      <c r="CE26" s="427">
        <v>0</v>
      </c>
      <c r="CF26" s="372">
        <v>0</v>
      </c>
      <c r="CG26" s="422"/>
      <c r="CH26" s="423">
        <v>0</v>
      </c>
      <c r="CI26" s="427">
        <v>0</v>
      </c>
      <c r="CJ26" s="372">
        <v>0</v>
      </c>
      <c r="CK26" s="419"/>
      <c r="CL26" s="423">
        <f>IFERROR(IF(LEFT($A26,3)="Lcp",SUMIFS('BASE-LCP'!$K:$K,'BASE-LCP'!$A:$A,Capex!$A247,'BASE-LCP'!$B:$B,"junho")/1000,IF(LEFT($A26,3)="icp",SUMIFS('BASE-ICP'!$K:$K,'BASE-ICP'!$A:$A,Capex!$A247,'BASE-ICP'!$B:$B,"junho")/1000,"")),"")</f>
        <v>0</v>
      </c>
      <c r="CM26" s="427">
        <v>0</v>
      </c>
      <c r="CN26" s="372"/>
      <c r="CO26" s="419"/>
      <c r="CP26" s="423">
        <f>IFERROR(IF(LEFT($A26,3)="Lcp",SUMIFS('BASE-LCP'!$K:$K,'BASE-LCP'!$A:$A,Capex!$A247,'BASE-LCP'!$B:$B,"julho")/1000,IF(LEFT($A26,3)="icp",SUMIFS('BASE-ICP'!$K:$K,'BASE-ICP'!$A:$A,Capex!$A247,'BASE-ICP'!$B:$B,"julho")/1000,"")),"")</f>
        <v>0</v>
      </c>
      <c r="CQ26" s="427">
        <v>0</v>
      </c>
      <c r="CR26" s="372"/>
      <c r="CS26" s="419"/>
      <c r="CT26" s="423">
        <f>IFERROR(IF(LEFT($A26,3)="Lcp",SUMIFS('BASE-LCP'!$K:$K,'BASE-LCP'!$A:$A,Capex!$A247,'BASE-LCP'!$B:$B,"agosto")/1000,IF(LEFT($A26,3)="icp",SUMIFS('BASE-ICP'!$K:$K,'BASE-ICP'!$A:$A,Capex!$A247,'BASE-ICP'!$B:$B,"agosto")/1000,"")),"")</f>
        <v>0</v>
      </c>
      <c r="CU26" s="427">
        <v>0</v>
      </c>
      <c r="CV26" s="372"/>
      <c r="CW26" s="419"/>
      <c r="CX26" s="423">
        <f>IFERROR(IF(LEFT($A26,3)="Lcp",SUMIFS('BASE-LCP'!$K:$K,'BASE-LCP'!$A:$A,Capex!$A247,'BASE-LCP'!$B:$B,"setembro")/1000,IF(LEFT($A26,3)="icp",SUMIFS('BASE-ICP'!$K:$K,'BASE-ICP'!$A:$A,Capex!$A247,'BASE-ICP'!$B:$B,"setembro")/1000,"")),"")</f>
        <v>0</v>
      </c>
      <c r="CY26" s="427">
        <v>0</v>
      </c>
      <c r="CZ26" s="372"/>
      <c r="DA26" s="419"/>
      <c r="DB26" s="423">
        <f>IFERROR(IF(LEFT($A26,3)="Lcp",SUMIFS('BASE-LCP'!$K:$K,'BASE-LCP'!$A:$A,Capex!$A247,'BASE-LCP'!$B:$B,"outubro")/1000,IF(LEFT($A26,3)="icp",SUMIFS('BASE-ICP'!$K:$K,'BASE-ICP'!$A:$A,Capex!$A247,'BASE-ICP'!$B:$B,"outubro")/1000,"")),"")</f>
        <v>0</v>
      </c>
      <c r="DC26" s="427">
        <v>10</v>
      </c>
      <c r="DD26" s="372"/>
      <c r="DE26" s="419"/>
      <c r="DF26" s="423">
        <f>IFERROR(IF(LEFT($A26,3)="Lcp",SUMIFS('BASE-LCP'!$K:$K,'BASE-LCP'!$A:$A,Capex!$A247,'BASE-LCP'!$B:$B,"novembro")/1000,IF(LEFT($A26,3)="icp",SUMIFS('BASE-ICP'!$K:$K,'BASE-ICP'!$A:$A,Capex!$A247,'BASE-ICP'!$B:$B,"novembro")/1000,"")),"")</f>
        <v>0</v>
      </c>
      <c r="DG26" s="427">
        <v>10</v>
      </c>
      <c r="DH26" s="372"/>
      <c r="DI26" s="419"/>
      <c r="DJ26" s="423">
        <f>IFERROR(IF(LEFT($A26,3)="Lcp",SUMIFS('BASE-LCP'!$K:$K,'BASE-LCP'!$A:$A,Capex!$A247,'BASE-LCP'!$B:$B,"dezembro")/1000,IF(LEFT($A26,3)="icp",SUMIFS('BASE-ICP'!$K:$K,'BASE-ICP'!$A:$A,Capex!$A247,'BASE-ICP'!$B:$B,"dezembro")/1000,"")),"")</f>
        <v>0</v>
      </c>
      <c r="DK26" s="427">
        <v>10</v>
      </c>
      <c r="DL26" s="452">
        <f t="shared" si="15"/>
        <v>580</v>
      </c>
      <c r="DM26" s="374"/>
      <c r="DN26" s="374">
        <v>580</v>
      </c>
      <c r="DO26" s="374"/>
      <c r="DP26" s="374"/>
      <c r="DQ26" s="374"/>
      <c r="DR26" s="374"/>
      <c r="DS26" s="374"/>
      <c r="DT26" s="374"/>
      <c r="DU26" s="374"/>
      <c r="DV26" s="374"/>
      <c r="DW26" s="374"/>
      <c r="DX26" s="374"/>
      <c r="DY26" s="450"/>
      <c r="DZ26" s="374">
        <f t="shared" si="16"/>
        <v>580</v>
      </c>
      <c r="EA26" s="216">
        <f t="shared" si="17"/>
        <v>0</v>
      </c>
      <c r="EB26" s="320">
        <f t="shared" si="18"/>
        <v>0</v>
      </c>
      <c r="EC26" s="241">
        <f t="shared" si="19"/>
        <v>0</v>
      </c>
      <c r="ED26" s="241">
        <f t="shared" si="20"/>
        <v>0</v>
      </c>
      <c r="EE26" s="241">
        <f t="shared" si="21"/>
        <v>0</v>
      </c>
      <c r="EF26" s="241">
        <f t="shared" si="22"/>
        <v>30</v>
      </c>
      <c r="EG26" s="346">
        <f t="shared" si="23"/>
        <v>30</v>
      </c>
      <c r="EH26" s="445">
        <f t="shared" si="24"/>
        <v>0</v>
      </c>
      <c r="EI26" s="447">
        <f t="shared" si="25"/>
        <v>0</v>
      </c>
      <c r="EJ26" s="364">
        <f t="shared" si="26"/>
        <v>0</v>
      </c>
      <c r="EK26" s="365">
        <f t="shared" si="27"/>
        <v>30</v>
      </c>
      <c r="EL26" s="529">
        <f t="shared" si="28"/>
        <v>0</v>
      </c>
      <c r="EM26" s="530">
        <v>0</v>
      </c>
      <c r="EN26" s="530">
        <v>0</v>
      </c>
      <c r="EO26" s="530">
        <v>0</v>
      </c>
      <c r="EP26" s="530">
        <v>0</v>
      </c>
      <c r="EQ26" s="530">
        <v>0</v>
      </c>
      <c r="ER26" s="530">
        <v>0</v>
      </c>
      <c r="ES26" s="530">
        <v>0</v>
      </c>
      <c r="ET26" s="530">
        <v>0</v>
      </c>
      <c r="EU26" s="530">
        <v>0</v>
      </c>
      <c r="EV26" s="530">
        <v>0</v>
      </c>
      <c r="EW26" s="530">
        <v>0</v>
      </c>
      <c r="EX26" s="530">
        <v>0</v>
      </c>
      <c r="EY26" s="530">
        <f t="shared" si="29"/>
        <v>0</v>
      </c>
      <c r="EZ26" s="530">
        <f t="shared" si="30"/>
        <v>0</v>
      </c>
      <c r="FA26" s="530">
        <f t="shared" si="31"/>
        <v>0</v>
      </c>
      <c r="FB26" s="530">
        <f t="shared" si="32"/>
        <v>0</v>
      </c>
      <c r="FC26" s="384">
        <f>IFERROR(VLOOKUP(Capex!A247,BASE_558!D:R,8,FALSE)/1000,"")</f>
        <v>350.1</v>
      </c>
      <c r="FD26" s="328">
        <f>IFERROR(VLOOKUP(Capex!A247,BASE_558!D:R,9,)/1000,"")</f>
        <v>169.57955999999999</v>
      </c>
      <c r="FE26" s="328">
        <f>IFERROR(IF(LEFT(A26,3)="LCP",(VLOOKUP(Capex!A247,BASE_558!D:R,10,)/1000),SUMIFS('BASE ICP_PO_SC'!F:F,'BASE ICP_PO_SC'!A:A,Capex!A247,'BASE ICP_PO_SC'!E:E,"&lt;&gt;")/1000),"")</f>
        <v>0</v>
      </c>
      <c r="FF26" s="328">
        <f>IFERROR(IF(LEFT(A26,3)="LCP",(VLOOKUP(Capex!A247,BASE_558!D:R,11,)/1000),SUMIFS('BASE ICP_PO_SC'!F:F,'BASE ICP_PO_SC'!A:A,Capex!A247,'BASE ICP_PO_SC'!E:E,"")/1000),"")</f>
        <v>0</v>
      </c>
      <c r="FG26" s="328">
        <f>IFERROR(VLOOKUP(A26,BASE_558!D:R,13,FALSE)/1000,"")</f>
        <v>1112.3277499999999</v>
      </c>
      <c r="FH26" s="328">
        <f>IFERROR(VLOOKUP(A26,BASE_558!D:R,15,FALSE)/1000,"")</f>
        <v>139.15825000000001</v>
      </c>
      <c r="FI26" s="547">
        <f t="shared" si="33"/>
        <v>0</v>
      </c>
      <c r="FJ26" s="547">
        <f t="shared" si="34"/>
        <v>0</v>
      </c>
      <c r="FK26" s="540">
        <f t="shared" si="35"/>
        <v>-30</v>
      </c>
    </row>
    <row r="27" spans="1:167" s="23" customFormat="1" ht="24" customHeight="1">
      <c r="A27" s="310" t="s">
        <v>18528</v>
      </c>
      <c r="B27" s="404"/>
      <c r="C27" s="404"/>
      <c r="D27" s="338"/>
      <c r="E27" s="378"/>
      <c r="F27" s="5"/>
      <c r="G27" s="310" t="s">
        <v>8</v>
      </c>
      <c r="H27" s="338"/>
      <c r="I27" s="338"/>
      <c r="J27" s="338">
        <v>2025</v>
      </c>
      <c r="K27" s="316"/>
      <c r="L27" s="316"/>
      <c r="M27" s="409"/>
      <c r="N27" s="317"/>
      <c r="O27" s="317"/>
      <c r="P27" s="418" t="str">
        <f t="shared" si="37"/>
        <v>N/A</v>
      </c>
      <c r="Q27" s="418" t="str">
        <f t="shared" si="37"/>
        <v>N/A</v>
      </c>
      <c r="R27" s="418" t="str">
        <f t="shared" si="37"/>
        <v>N/A</v>
      </c>
      <c r="S27" s="418" t="str">
        <f t="shared" si="37"/>
        <v>N/A</v>
      </c>
      <c r="T27" s="418" t="str">
        <f t="shared" si="37"/>
        <v>N/A</v>
      </c>
      <c r="U27" s="418" t="str">
        <f t="shared" si="37"/>
        <v>N/A</v>
      </c>
      <c r="V27" s="418" t="str">
        <f t="shared" si="37"/>
        <v>N/A</v>
      </c>
      <c r="W27" s="418" t="str">
        <f t="shared" si="37"/>
        <v>N/A</v>
      </c>
      <c r="X27" s="418" t="str">
        <f t="shared" si="37"/>
        <v>N/A</v>
      </c>
      <c r="Y27" s="418" t="str">
        <f t="shared" si="37"/>
        <v>N/A</v>
      </c>
      <c r="Z27" s="418" t="str">
        <f t="shared" si="37"/>
        <v>N/A</v>
      </c>
      <c r="AA27" s="418" t="str">
        <f t="shared" si="37"/>
        <v>N/A</v>
      </c>
      <c r="AB27" s="317"/>
      <c r="AC27" s="309" t="s">
        <v>3930</v>
      </c>
      <c r="AD27" s="311"/>
      <c r="AE27" s="311"/>
      <c r="AF27" s="310" t="s">
        <v>6985</v>
      </c>
      <c r="AG27" s="310" t="s">
        <v>2485</v>
      </c>
      <c r="AH27" s="310" t="s">
        <v>18527</v>
      </c>
      <c r="AI27" s="309" t="s">
        <v>188</v>
      </c>
      <c r="AJ27" s="6" t="s">
        <v>733</v>
      </c>
      <c r="AK27" s="6" t="str">
        <f t="shared" si="10"/>
        <v>IGUAL</v>
      </c>
      <c r="AL27" s="151" t="str">
        <f>IFERROR(IF(LEFT(A27,3)="LCP",VLOOKUP(A27,STATUS_SAP_LCP!B:C,2,FALSE),VLOOKUP(A27,STATUS_SAP_ICP!B:C,2,FALSE)),"NO BUDGET")</f>
        <v>CRTD  //  SUBM BNRL EXPL</v>
      </c>
      <c r="AM27" s="6" t="str">
        <f t="shared" si="11"/>
        <v>CRTD</v>
      </c>
      <c r="AN27" s="282"/>
      <c r="AO27" s="282"/>
      <c r="AP27" s="499" t="s">
        <v>9615</v>
      </c>
      <c r="AQ27" s="465">
        <v>46022</v>
      </c>
      <c r="AR27" s="460"/>
      <c r="AS27" s="56"/>
      <c r="AT27" s="185"/>
      <c r="AU27" s="318"/>
      <c r="AV27" s="223"/>
      <c r="AW27" s="318"/>
      <c r="AX27" s="223"/>
      <c r="AY27" s="318"/>
      <c r="AZ27" s="223"/>
      <c r="BA27" s="318"/>
      <c r="BB27" s="519"/>
      <c r="BC27" s="518"/>
      <c r="BD27" s="518"/>
      <c r="BE27" s="518"/>
      <c r="BF27" s="518"/>
      <c r="BG27" s="518"/>
      <c r="BH27" s="518"/>
      <c r="BI27" s="518"/>
      <c r="BJ27" s="518"/>
      <c r="BK27" s="518"/>
      <c r="BL27" s="518"/>
      <c r="BM27" s="518"/>
      <c r="BN27" s="518"/>
      <c r="BO27" s="367">
        <f t="shared" si="14"/>
        <v>9</v>
      </c>
      <c r="BP27" s="421"/>
      <c r="BQ27" s="422"/>
      <c r="BR27" s="423">
        <f>IFERROR(IF(LEFT($A27,3)="Lcp",SUMIFS('BASE-LCP'!$K:$K,'BASE-LCP'!$A:$A,Capex!$A403,'BASE-LCP'!$B:$B,"janeiro")/1000,IF(LEFT($A27,3)="icp",SUMIFS('BASE-ICP'!$K:$K,'BASE-ICP'!$A:$A,Capex!$A403,'BASE-ICP'!$B:$B,"janeiro")/1000,"")),"")</f>
        <v>0</v>
      </c>
      <c r="BS27" s="427"/>
      <c r="BT27" s="372"/>
      <c r="BU27" s="422"/>
      <c r="BV27" s="423">
        <f>IFERROR(IF(LEFT($A27,3)="Lcp",SUMIFS('BASE-LCP'!$K:$K,'BASE-LCP'!$A:$A,Capex!$A403,'BASE-LCP'!$B:$B,"fevereiro")/1000,IF(LEFT($A27,3)="icp",SUMIFS('BASE-ICP'!$K:$K,'BASE-ICP'!$A:$A,Capex!$A403,'BASE-ICP'!$B:$B,"fevereiro")/1000,"")),"")</f>
        <v>0</v>
      </c>
      <c r="BW27" s="427"/>
      <c r="BX27" s="372"/>
      <c r="BY27" s="422"/>
      <c r="BZ27" s="423">
        <f>IFERROR(IF(LEFT($A27,3)="Lcp",SUMIFS('BASE-LCP'!$K:$K,'BASE-LCP'!$A:$A,Capex!$A403,'BASE-LCP'!$B:$B,"março")/1000,IF(LEFT($A27,3)="icp",SUMIFS('BASE-ICP'!$K:$K,'BASE-ICP'!$A:$A,Capex!$A403,'BASE-ICP'!$B:$B,"março")/1000,"")),"")</f>
        <v>294.64254000000017</v>
      </c>
      <c r="CA27" s="427"/>
      <c r="CB27" s="372"/>
      <c r="CC27" s="422"/>
      <c r="CD27" s="423">
        <f>IFERROR(IF(LEFT($A27,3)="Lcp",SUMIFS('BASE-LCP'!$K:$K,'BASE-LCP'!$A:$A,Capex!$A403,'BASE-LCP'!$B:$B,"abril")/1000,IF(LEFT($A27,3)="icp",SUMIFS('BASE-ICP'!$K:$K,'BASE-ICP'!$A:$A,Capex!$A403,'BASE-ICP'!$B:$B,"abril")/1000,"")),"")</f>
        <v>1.0450800000000002</v>
      </c>
      <c r="CE27" s="427"/>
      <c r="CF27" s="372"/>
      <c r="CG27" s="422"/>
      <c r="CH27" s="423">
        <v>0</v>
      </c>
      <c r="CI27" s="427"/>
      <c r="CJ27" s="372"/>
      <c r="CK27" s="419"/>
      <c r="CL27" s="423">
        <f>IFERROR(IF(LEFT($A27,3)="Lcp",SUMIFS('BASE-LCP'!$K:$K,'BASE-LCP'!$A:$A,Capex!$A400,'BASE-LCP'!$B:$B,"junho")/1000,IF(LEFT($A27,3)="icp",SUMIFS('BASE-ICP'!$K:$K,'BASE-ICP'!$A:$A,Capex!$A400,'BASE-ICP'!$B:$B,"junho")/1000,"")),"")</f>
        <v>0.66074999999999995</v>
      </c>
      <c r="CM27" s="427"/>
      <c r="CN27" s="372"/>
      <c r="CO27" s="419"/>
      <c r="CP27" s="423">
        <f>IFERROR(IF(LEFT($A27,3)="Lcp",SUMIFS('BASE-LCP'!$K:$K,'BASE-LCP'!$A:$A,Capex!$A403,'BASE-LCP'!$B:$B,"julho")/1000,IF(LEFT($A27,3)="icp",SUMIFS('BASE-ICP'!$K:$K,'BASE-ICP'!$A:$A,Capex!$A403,'BASE-ICP'!$B:$B,"julho")/1000,"")),"")</f>
        <v>0</v>
      </c>
      <c r="CQ27" s="427"/>
      <c r="CR27" s="372"/>
      <c r="CS27" s="419"/>
      <c r="CT27" s="423">
        <f>IFERROR(IF(LEFT($A27,3)="Lcp",SUMIFS('BASE-LCP'!$K:$K,'BASE-LCP'!$A:$A,Capex!$A403,'BASE-LCP'!$B:$B,"agosto")/1000,IF(LEFT($A27,3)="icp",SUMIFS('BASE-ICP'!$K:$K,'BASE-ICP'!$A:$A,Capex!$A403,'BASE-ICP'!$B:$B,"agosto")/1000,"")),"")</f>
        <v>0</v>
      </c>
      <c r="CU27" s="427"/>
      <c r="CV27" s="372"/>
      <c r="CW27" s="419"/>
      <c r="CX27" s="423">
        <f>IFERROR(IF(LEFT($A27,3)="Lcp",SUMIFS('BASE-LCP'!$K:$K,'BASE-LCP'!$A:$A,Capex!$A403,'BASE-LCP'!$B:$B,"setembro")/1000,IF(LEFT($A27,3)="icp",SUMIFS('BASE-ICP'!$K:$K,'BASE-ICP'!$A:$A,Capex!$A403,'BASE-ICP'!$B:$B,"setembro")/1000,"")),"")</f>
        <v>0</v>
      </c>
      <c r="CY27" s="427"/>
      <c r="CZ27" s="372"/>
      <c r="DA27" s="419"/>
      <c r="DB27" s="423">
        <f>IFERROR(IF(LEFT($A27,3)="Lcp",SUMIFS('BASE-LCP'!$K:$K,'BASE-LCP'!$A:$A,Capex!$A403,'BASE-LCP'!$B:$B,"outubro")/1000,IF(LEFT($A27,3)="icp",SUMIFS('BASE-ICP'!$K:$K,'BASE-ICP'!$A:$A,Capex!$A403,'BASE-ICP'!$B:$B,"outubro")/1000,"")),"")</f>
        <v>0</v>
      </c>
      <c r="DC27" s="427"/>
      <c r="DD27" s="372"/>
      <c r="DE27" s="419"/>
      <c r="DF27" s="423">
        <f>IFERROR(IF(LEFT($A27,3)="Lcp",SUMIFS('BASE-LCP'!$K:$K,'BASE-LCP'!$A:$A,Capex!$A403,'BASE-LCP'!$B:$B,"novembro")/1000,IF(LEFT($A27,3)="icp",SUMIFS('BASE-ICP'!$K:$K,'BASE-ICP'!$A:$A,Capex!$A403,'BASE-ICP'!$B:$B,"novembro")/1000,"")),"")</f>
        <v>0</v>
      </c>
      <c r="DG27" s="427">
        <v>9</v>
      </c>
      <c r="DH27" s="372"/>
      <c r="DI27" s="419"/>
      <c r="DJ27" s="423">
        <f>IFERROR(IF(LEFT($A27,3)="Lcp",SUMIFS('BASE-LCP'!$K:$K,'BASE-LCP'!$A:$A,Capex!$A403,'BASE-LCP'!$B:$B,"dezembro")/1000,IF(LEFT($A27,3)="icp",SUMIFS('BASE-ICP'!$K:$K,'BASE-ICP'!$A:$A,Capex!$A403,'BASE-ICP'!$B:$B,"dezembro")/1000,"")),"")</f>
        <v>0</v>
      </c>
      <c r="DK27" s="427"/>
      <c r="DL27" s="452">
        <f t="shared" si="15"/>
        <v>0</v>
      </c>
      <c r="DM27" s="374"/>
      <c r="DN27" s="374"/>
      <c r="DO27" s="374"/>
      <c r="DP27" s="374"/>
      <c r="DQ27" s="374"/>
      <c r="DR27" s="374"/>
      <c r="DS27" s="374"/>
      <c r="DT27" s="374"/>
      <c r="DU27" s="374"/>
      <c r="DV27" s="374"/>
      <c r="DW27" s="374"/>
      <c r="DX27" s="374"/>
      <c r="DY27" s="450"/>
      <c r="DZ27" s="374">
        <f t="shared" si="16"/>
        <v>0</v>
      </c>
      <c r="EA27" s="216">
        <f t="shared" si="17"/>
        <v>0</v>
      </c>
      <c r="EB27" s="320">
        <f t="shared" si="18"/>
        <v>0.66074999999999995</v>
      </c>
      <c r="EC27" s="241">
        <f t="shared" si="19"/>
        <v>0</v>
      </c>
      <c r="ED27" s="241">
        <f t="shared" si="20"/>
        <v>0</v>
      </c>
      <c r="EE27" s="241">
        <f t="shared" si="21"/>
        <v>0</v>
      </c>
      <c r="EF27" s="241">
        <f t="shared" si="22"/>
        <v>9</v>
      </c>
      <c r="EG27" s="346">
        <f t="shared" si="23"/>
        <v>9</v>
      </c>
      <c r="EH27" s="445">
        <f t="shared" si="24"/>
        <v>0</v>
      </c>
      <c r="EI27" s="447">
        <f t="shared" si="25"/>
        <v>0</v>
      </c>
      <c r="EJ27" s="364">
        <f t="shared" si="26"/>
        <v>0.66074999999999995</v>
      </c>
      <c r="EK27" s="365">
        <f t="shared" si="27"/>
        <v>8.3392499999999998</v>
      </c>
      <c r="EL27" s="529">
        <f t="shared" si="28"/>
        <v>0</v>
      </c>
      <c r="EM27" s="530"/>
      <c r="EN27" s="530"/>
      <c r="EO27" s="530"/>
      <c r="EP27" s="530"/>
      <c r="EQ27" s="530"/>
      <c r="ER27" s="530"/>
      <c r="ES27" s="530"/>
      <c r="ET27" s="530"/>
      <c r="EU27" s="530"/>
      <c r="EV27" s="530"/>
      <c r="EW27" s="530"/>
      <c r="EX27" s="530"/>
      <c r="EY27" s="530">
        <f t="shared" si="29"/>
        <v>0</v>
      </c>
      <c r="EZ27" s="530">
        <f t="shared" si="30"/>
        <v>0</v>
      </c>
      <c r="FA27" s="530">
        <f t="shared" si="31"/>
        <v>0</v>
      </c>
      <c r="FB27" s="530">
        <f t="shared" si="32"/>
        <v>0</v>
      </c>
      <c r="FC27" s="384">
        <f>IFERROR(VLOOKUP(Capex!A400,BASE_558!D:R,8,FALSE)/1000,"")</f>
        <v>509.28300000000002</v>
      </c>
      <c r="FD27" s="328">
        <f>IFERROR(VLOOKUP(Capex!A400,BASE_558!D:R,9,)/1000,"")</f>
        <v>190.30923999999999</v>
      </c>
      <c r="FE27" s="328">
        <f>IFERROR(IF(LEFT(A27,3)="LCP",(VLOOKUP(Capex!A400,BASE_558!D:R,10,)/1000),SUMIFS('BASE ICP_PO_SC'!F:F,'BASE ICP_PO_SC'!A:A,Capex!A400,'BASE ICP_PO_SC'!E:E,"&lt;&gt;")/1000),"")</f>
        <v>273.34053</v>
      </c>
      <c r="FF27" s="328">
        <f>IFERROR(IF(LEFT(A27,3)="LCP",(VLOOKUP(Capex!A400,BASE_558!D:R,11,)/1000),SUMIFS('BASE ICP_PO_SC'!F:F,'BASE ICP_PO_SC'!A:A,Capex!A400,'BASE ICP_PO_SC'!E:E,"")/1000),"")</f>
        <v>0</v>
      </c>
      <c r="FG27" s="328">
        <f>IFERROR(VLOOKUP(A27,BASE_558!D:R,13,FALSE)/1000,"")</f>
        <v>0</v>
      </c>
      <c r="FH27" s="328">
        <f>IFERROR(VLOOKUP(A27,BASE_558!D:R,15,FALSE)/1000,"")</f>
        <v>0</v>
      </c>
      <c r="FI27" s="547">
        <f t="shared" si="33"/>
        <v>0</v>
      </c>
      <c r="FJ27" s="547">
        <f t="shared" si="34"/>
        <v>0</v>
      </c>
      <c r="FK27" s="540">
        <f t="shared" si="35"/>
        <v>-9</v>
      </c>
    </row>
    <row r="28" spans="1:167" s="23" customFormat="1" ht="24" customHeight="1">
      <c r="A28" s="84" t="s">
        <v>2349</v>
      </c>
      <c r="B28" s="404" t="s">
        <v>2886</v>
      </c>
      <c r="C28" s="404">
        <v>12804</v>
      </c>
      <c r="D28" s="403" t="s">
        <v>3348</v>
      </c>
      <c r="E28" s="378">
        <v>6943614</v>
      </c>
      <c r="F28" s="5"/>
      <c r="G28" s="310" t="s">
        <v>9</v>
      </c>
      <c r="H28" s="338" t="s">
        <v>6</v>
      </c>
      <c r="I28" s="338"/>
      <c r="J28" s="338">
        <v>2023</v>
      </c>
      <c r="K28" s="351">
        <v>45035</v>
      </c>
      <c r="L28" s="317"/>
      <c r="M28" s="409"/>
      <c r="N28" s="317">
        <f t="shared" ref="N28:N91" si="38">IF(K28+912=912,"",K28+912)</f>
        <v>45947</v>
      </c>
      <c r="O28" s="317">
        <f t="shared" ref="O28:O91" si="39">IF(K28+1277=1277,"",K28+1277)</f>
        <v>46312</v>
      </c>
      <c r="P28" s="418" t="str">
        <f t="shared" si="37"/>
        <v>NÃO</v>
      </c>
      <c r="Q28" s="418" t="str">
        <f t="shared" si="37"/>
        <v>NÃO</v>
      </c>
      <c r="R28" s="418" t="str">
        <f t="shared" si="37"/>
        <v>NÃO</v>
      </c>
      <c r="S28" s="418" t="str">
        <f t="shared" si="37"/>
        <v>NÃO</v>
      </c>
      <c r="T28" s="418" t="str">
        <f t="shared" si="37"/>
        <v>NÃO</v>
      </c>
      <c r="U28" s="418" t="str">
        <f t="shared" si="37"/>
        <v>NÃO</v>
      </c>
      <c r="V28" s="418" t="str">
        <f t="shared" si="37"/>
        <v>NÃO</v>
      </c>
      <c r="W28" s="418" t="str">
        <f t="shared" si="37"/>
        <v>NÃO</v>
      </c>
      <c r="X28" s="418" t="str">
        <f t="shared" si="37"/>
        <v>NÃO</v>
      </c>
      <c r="Y28" s="418" t="str">
        <f t="shared" si="37"/>
        <v>SIM</v>
      </c>
      <c r="Z28" s="418" t="str">
        <f t="shared" si="37"/>
        <v>SIM</v>
      </c>
      <c r="AA28" s="418" t="str">
        <f t="shared" si="37"/>
        <v>SIM</v>
      </c>
      <c r="AB28" s="317"/>
      <c r="AC28" s="309" t="s">
        <v>3932</v>
      </c>
      <c r="AD28" s="311" t="s">
        <v>5</v>
      </c>
      <c r="AE28" s="311" t="s">
        <v>961</v>
      </c>
      <c r="AF28" s="310" t="s">
        <v>6985</v>
      </c>
      <c r="AG28" s="310" t="s">
        <v>2251</v>
      </c>
      <c r="AH28" s="310" t="s">
        <v>2350</v>
      </c>
      <c r="AI28" s="309" t="s">
        <v>316</v>
      </c>
      <c r="AJ28" s="6" t="s">
        <v>6786</v>
      </c>
      <c r="AK28" s="6" t="str">
        <f t="shared" si="10"/>
        <v>IGUAL</v>
      </c>
      <c r="AL28" s="151" t="str">
        <f>IFERROR(IF(LEFT(A28,3)="LCP",VLOOKUP(A28,STATUS_SAP_LCP!B:C,2,FALSE),VLOOKUP(A28,STATUS_SAP_ICP!B:C,2,FALSE)),"NO BUDGET")</f>
        <v>REL  BUDG AUC  AVAC  //  APPR BREL INPL</v>
      </c>
      <c r="AM28" s="6" t="str">
        <f t="shared" si="11"/>
        <v xml:space="preserve">REL </v>
      </c>
      <c r="AN28" s="282" t="s">
        <v>18977</v>
      </c>
      <c r="AO28" s="282"/>
      <c r="AP28" s="499" t="s">
        <v>9616</v>
      </c>
      <c r="AQ28" s="465">
        <v>46233</v>
      </c>
      <c r="AR28" s="460"/>
      <c r="AS28" s="56"/>
      <c r="AT28" s="185"/>
      <c r="AU28" s="318"/>
      <c r="AV28" s="223">
        <v>0</v>
      </c>
      <c r="AW28" s="318">
        <v>0</v>
      </c>
      <c r="AX28" s="223">
        <v>0.72101000000000004</v>
      </c>
      <c r="AY28" s="318">
        <f t="shared" ref="AY28:AY91" si="40">BO28</f>
        <v>130.61455999999998</v>
      </c>
      <c r="AZ28" s="223"/>
      <c r="BA28" s="318"/>
      <c r="BB28" s="519">
        <f t="shared" ref="BB28:BB91" si="41">SUM(BC28:BN28)</f>
        <v>0</v>
      </c>
      <c r="BC28" s="518">
        <v>0</v>
      </c>
      <c r="BD28" s="518">
        <v>0</v>
      </c>
      <c r="BE28" s="518">
        <v>0</v>
      </c>
      <c r="BF28" s="518">
        <v>0</v>
      </c>
      <c r="BG28" s="518">
        <v>0</v>
      </c>
      <c r="BH28" s="518">
        <v>0</v>
      </c>
      <c r="BI28" s="518">
        <v>0</v>
      </c>
      <c r="BJ28" s="518">
        <v>0</v>
      </c>
      <c r="BK28" s="518">
        <v>0</v>
      </c>
      <c r="BL28" s="518">
        <v>0</v>
      </c>
      <c r="BM28" s="518">
        <v>0</v>
      </c>
      <c r="BN28" s="518">
        <v>0</v>
      </c>
      <c r="BO28" s="367">
        <f t="shared" si="14"/>
        <v>130.61455999999998</v>
      </c>
      <c r="BP28" s="421">
        <v>0</v>
      </c>
      <c r="BQ28" s="422"/>
      <c r="BR28" s="423">
        <f>IFERROR(IF(LEFT($A28,3)="Lcp",SUMIFS('BASE-LCP'!$K:$K,'BASE-LCP'!$A:$A,Capex!$A313,'BASE-LCP'!$B:$B,"janeiro")/1000,IF(LEFT($A28,3)="icp",SUMIFS('BASE-ICP'!$K:$K,'BASE-ICP'!$A:$A,Capex!$A313,'BASE-ICP'!$B:$B,"janeiro")/1000,"")),"")</f>
        <v>0</v>
      </c>
      <c r="BS28" s="427">
        <v>0</v>
      </c>
      <c r="BT28" s="372">
        <v>0</v>
      </c>
      <c r="BU28" s="422"/>
      <c r="BV28" s="423">
        <f>IFERROR(IF(LEFT($A28,3)="Lcp",SUMIFS('BASE-LCP'!$K:$K,'BASE-LCP'!$A:$A,Capex!$A313,'BASE-LCP'!$B:$B,"fevereiro")/1000,IF(LEFT($A28,3)="icp",SUMIFS('BASE-ICP'!$K:$K,'BASE-ICP'!$A:$A,Capex!$A313,'BASE-ICP'!$B:$B,"fevereiro")/1000,"")),"")</f>
        <v>0</v>
      </c>
      <c r="BW28" s="427">
        <v>0</v>
      </c>
      <c r="BX28" s="372">
        <v>0</v>
      </c>
      <c r="BY28" s="422"/>
      <c r="BZ28" s="423">
        <f>IFERROR(IF(LEFT($A28,3)="Lcp",SUMIFS('BASE-LCP'!$K:$K,'BASE-LCP'!$A:$A,Capex!$A313,'BASE-LCP'!$B:$B,"março")/1000,IF(LEFT($A28,3)="icp",SUMIFS('BASE-ICP'!$K:$K,'BASE-ICP'!$A:$A,Capex!$A313,'BASE-ICP'!$B:$B,"março")/1000,"")),"")</f>
        <v>0</v>
      </c>
      <c r="CA28" s="427">
        <v>0</v>
      </c>
      <c r="CB28" s="372">
        <v>0</v>
      </c>
      <c r="CC28" s="422"/>
      <c r="CD28" s="423">
        <f>IFERROR(IF(LEFT($A28,3)="Lcp",SUMIFS('BASE-LCP'!$K:$K,'BASE-LCP'!$A:$A,Capex!$A313,'BASE-LCP'!$B:$B,"abril")/1000,IF(LEFT($A28,3)="icp",SUMIFS('BASE-ICP'!$K:$K,'BASE-ICP'!$A:$A,Capex!$A313,'BASE-ICP'!$B:$B,"abril")/1000,"")),"")</f>
        <v>0</v>
      </c>
      <c r="CE28" s="427">
        <v>0</v>
      </c>
      <c r="CF28" s="372">
        <v>0</v>
      </c>
      <c r="CG28" s="422"/>
      <c r="CH28" s="423">
        <v>0</v>
      </c>
      <c r="CI28" s="427">
        <v>0</v>
      </c>
      <c r="CJ28" s="372">
        <v>127.19999999999999</v>
      </c>
      <c r="CK28" s="419">
        <v>125.61456</v>
      </c>
      <c r="CL28" s="423">
        <f>IFERROR(IF(LEFT($A28,3)="Lcp",SUMIFS('BASE-LCP'!$K:$K,'BASE-LCP'!$A:$A,Capex!$A313,'BASE-LCP'!$B:$B,"junho")/1000,IF(LEFT($A28,3)="icp",SUMIFS('BASE-ICP'!$K:$K,'BASE-ICP'!$A:$A,Capex!$A313,'BASE-ICP'!$B:$B,"junho")/1000,"")),"")</f>
        <v>0</v>
      </c>
      <c r="CM28" s="427">
        <v>125.61455999999998</v>
      </c>
      <c r="CN28" s="372"/>
      <c r="CO28" s="419"/>
      <c r="CP28" s="423">
        <f>IFERROR(IF(LEFT($A28,3)="Lcp",SUMIFS('BASE-LCP'!$K:$K,'BASE-LCP'!$A:$A,Capex!$A313,'BASE-LCP'!$B:$B,"julho")/1000,IF(LEFT($A28,3)="icp",SUMIFS('BASE-ICP'!$K:$K,'BASE-ICP'!$A:$A,Capex!$A313,'BASE-ICP'!$B:$B,"julho")/1000,"")),"")</f>
        <v>0</v>
      </c>
      <c r="CQ28" s="427">
        <v>0</v>
      </c>
      <c r="CR28" s="372"/>
      <c r="CS28" s="419"/>
      <c r="CT28" s="423">
        <f>IFERROR(IF(LEFT($A28,3)="Lcp",SUMIFS('BASE-LCP'!$K:$K,'BASE-LCP'!$A:$A,Capex!$A313,'BASE-LCP'!$B:$B,"agosto")/1000,IF(LEFT($A28,3)="icp",SUMIFS('BASE-ICP'!$K:$K,'BASE-ICP'!$A:$A,Capex!$A313,'BASE-ICP'!$B:$B,"agosto")/1000,"")),"")</f>
        <v>0</v>
      </c>
      <c r="CU28" s="427">
        <v>0</v>
      </c>
      <c r="CV28" s="372"/>
      <c r="CW28" s="419"/>
      <c r="CX28" s="423">
        <f>IFERROR(IF(LEFT($A28,3)="Lcp",SUMIFS('BASE-LCP'!$K:$K,'BASE-LCP'!$A:$A,Capex!$A313,'BASE-LCP'!$B:$B,"setembro")/1000,IF(LEFT($A28,3)="icp",SUMIFS('BASE-ICP'!$K:$K,'BASE-ICP'!$A:$A,Capex!$A313,'BASE-ICP'!$B:$B,"setembro")/1000,"")),"")</f>
        <v>0</v>
      </c>
      <c r="CY28" s="427">
        <v>0</v>
      </c>
      <c r="CZ28" s="372"/>
      <c r="DA28" s="419"/>
      <c r="DB28" s="423">
        <f>IFERROR(IF(LEFT($A28,3)="Lcp",SUMIFS('BASE-LCP'!$K:$K,'BASE-LCP'!$A:$A,Capex!$A313,'BASE-LCP'!$B:$B,"outubro")/1000,IF(LEFT($A28,3)="icp",SUMIFS('BASE-ICP'!$K:$K,'BASE-ICP'!$A:$A,Capex!$A313,'BASE-ICP'!$B:$B,"outubro")/1000,"")),"")</f>
        <v>0</v>
      </c>
      <c r="DC28" s="427">
        <v>0</v>
      </c>
      <c r="DD28" s="372"/>
      <c r="DE28" s="419"/>
      <c r="DF28" s="423">
        <f>IFERROR(IF(LEFT($A28,3)="Lcp",SUMIFS('BASE-LCP'!$K:$K,'BASE-LCP'!$A:$A,Capex!$A313,'BASE-LCP'!$B:$B,"novembro")/1000,IF(LEFT($A28,3)="icp",SUMIFS('BASE-ICP'!$K:$K,'BASE-ICP'!$A:$A,Capex!$A313,'BASE-ICP'!$B:$B,"novembro")/1000,"")),"")</f>
        <v>0</v>
      </c>
      <c r="DG28" s="427">
        <v>0</v>
      </c>
      <c r="DH28" s="372"/>
      <c r="DI28" s="419"/>
      <c r="DJ28" s="423">
        <f>IFERROR(IF(LEFT($A28,3)="Lcp",SUMIFS('BASE-LCP'!$K:$K,'BASE-LCP'!$A:$A,Capex!$A313,'BASE-LCP'!$B:$B,"dezembro")/1000,IF(LEFT($A28,3)="icp",SUMIFS('BASE-ICP'!$K:$K,'BASE-ICP'!$A:$A,Capex!$A313,'BASE-ICP'!$B:$B,"dezembro")/1000,"")),"")</f>
        <v>0</v>
      </c>
      <c r="DK28" s="427">
        <v>5</v>
      </c>
      <c r="DL28" s="452">
        <f t="shared" si="15"/>
        <v>30.596</v>
      </c>
      <c r="DM28" s="374"/>
      <c r="DN28" s="374">
        <v>30.596</v>
      </c>
      <c r="DO28" s="374"/>
      <c r="DP28" s="374"/>
      <c r="DQ28" s="374"/>
      <c r="DR28" s="374"/>
      <c r="DS28" s="374"/>
      <c r="DT28" s="374"/>
      <c r="DU28" s="374"/>
      <c r="DV28" s="374"/>
      <c r="DW28" s="374"/>
      <c r="DX28" s="374"/>
      <c r="DY28" s="450"/>
      <c r="DZ28" s="374">
        <f t="shared" si="16"/>
        <v>30.596</v>
      </c>
      <c r="EA28" s="216">
        <f t="shared" si="17"/>
        <v>-1.5854400000000055</v>
      </c>
      <c r="EB28" s="320">
        <f t="shared" si="18"/>
        <v>-125.61455999999998</v>
      </c>
      <c r="EC28" s="241">
        <f t="shared" si="19"/>
        <v>0</v>
      </c>
      <c r="ED28" s="241">
        <f t="shared" si="20"/>
        <v>125.61455999999998</v>
      </c>
      <c r="EE28" s="241">
        <f t="shared" si="21"/>
        <v>0</v>
      </c>
      <c r="EF28" s="241">
        <f t="shared" si="22"/>
        <v>5</v>
      </c>
      <c r="EG28" s="346">
        <f t="shared" si="23"/>
        <v>130.61455999999998</v>
      </c>
      <c r="EH28" s="445">
        <f t="shared" si="24"/>
        <v>0</v>
      </c>
      <c r="EI28" s="447">
        <f t="shared" si="25"/>
        <v>0</v>
      </c>
      <c r="EJ28" s="364">
        <f t="shared" si="26"/>
        <v>0</v>
      </c>
      <c r="EK28" s="365">
        <f t="shared" si="27"/>
        <v>130.61455999999998</v>
      </c>
      <c r="EL28" s="529">
        <f t="shared" si="28"/>
        <v>127.19999999999999</v>
      </c>
      <c r="EM28" s="530">
        <v>0</v>
      </c>
      <c r="EN28" s="530">
        <v>0</v>
      </c>
      <c r="EO28" s="530">
        <v>0</v>
      </c>
      <c r="EP28" s="530">
        <v>0</v>
      </c>
      <c r="EQ28" s="530">
        <v>0</v>
      </c>
      <c r="ER28" s="530">
        <v>127.19999999999999</v>
      </c>
      <c r="ES28" s="530">
        <v>0</v>
      </c>
      <c r="ET28" s="530">
        <v>0</v>
      </c>
      <c r="EU28" s="530">
        <v>0</v>
      </c>
      <c r="EV28" s="530">
        <v>0</v>
      </c>
      <c r="EW28" s="530">
        <v>0</v>
      </c>
      <c r="EX28" s="530">
        <v>0</v>
      </c>
      <c r="EY28" s="530">
        <f t="shared" si="29"/>
        <v>0</v>
      </c>
      <c r="EZ28" s="530">
        <f t="shared" si="30"/>
        <v>127.19999999999999</v>
      </c>
      <c r="FA28" s="530">
        <f t="shared" si="31"/>
        <v>0</v>
      </c>
      <c r="FB28" s="530">
        <f t="shared" si="32"/>
        <v>0</v>
      </c>
      <c r="FC28" s="384">
        <f>IFERROR(VLOOKUP(Capex!A313,BASE_558!D:R,8,FALSE)/1000,"")</f>
        <v>521.404</v>
      </c>
      <c r="FD28" s="328">
        <f>IFERROR(VLOOKUP(Capex!A313,BASE_558!D:R,9,)/1000,"")</f>
        <v>0.89330999999999994</v>
      </c>
      <c r="FE28" s="328">
        <f>IFERROR(IF(LEFT(A28,3)="LCP",(VLOOKUP(Capex!A313,BASE_558!D:R,10,)/1000),SUMIFS('BASE ICP_PO_SC'!F:F,'BASE ICP_PO_SC'!A:A,Capex!A313,'BASE ICP_PO_SC'!E:E,"&lt;&gt;")/1000),"")</f>
        <v>435.03994</v>
      </c>
      <c r="FF28" s="328">
        <f>IFERROR(IF(LEFT(A28,3)="LCP",(VLOOKUP(Capex!A313,BASE_558!D:R,11,)/1000),SUMIFS('BASE ICP_PO_SC'!F:F,'BASE ICP_PO_SC'!A:A,Capex!A313,'BASE ICP_PO_SC'!E:E,"")/1000),"")</f>
        <v>17.858820000000001</v>
      </c>
      <c r="FG28" s="328">
        <f>IFERROR(VLOOKUP(A28,BASE_558!D:R,13,FALSE)/1000,"")</f>
        <v>126.33557</v>
      </c>
      <c r="FH28" s="328">
        <f>IFERROR(VLOOKUP(A28,BASE_558!D:R,15,FALSE)/1000,"")</f>
        <v>30.372430000000001</v>
      </c>
      <c r="FI28" s="547">
        <f t="shared" si="33"/>
        <v>1.5854400000000055</v>
      </c>
      <c r="FJ28" s="547">
        <f t="shared" si="34"/>
        <v>0</v>
      </c>
      <c r="FK28" s="540">
        <f t="shared" si="35"/>
        <v>-5</v>
      </c>
    </row>
    <row r="29" spans="1:167" s="23" customFormat="1" ht="24" customHeight="1">
      <c r="A29" s="404" t="s">
        <v>679</v>
      </c>
      <c r="B29" s="404"/>
      <c r="C29" s="404"/>
      <c r="D29" s="338"/>
      <c r="E29" s="378"/>
      <c r="F29" s="5"/>
      <c r="G29" s="310" t="s">
        <v>9</v>
      </c>
      <c r="H29" s="338"/>
      <c r="I29" s="338"/>
      <c r="J29" s="338">
        <v>2015</v>
      </c>
      <c r="K29" s="316"/>
      <c r="L29" s="324"/>
      <c r="M29" s="409"/>
      <c r="N29" s="317" t="str">
        <f t="shared" si="38"/>
        <v/>
      </c>
      <c r="O29" s="317" t="str">
        <f t="shared" si="39"/>
        <v/>
      </c>
      <c r="P29" s="418" t="str">
        <f t="shared" si="37"/>
        <v>N/A</v>
      </c>
      <c r="Q29" s="418" t="str">
        <f t="shared" si="37"/>
        <v>N/A</v>
      </c>
      <c r="R29" s="418" t="str">
        <f t="shared" si="37"/>
        <v>N/A</v>
      </c>
      <c r="S29" s="418" t="str">
        <f t="shared" si="37"/>
        <v>N/A</v>
      </c>
      <c r="T29" s="418" t="str">
        <f t="shared" si="37"/>
        <v>N/A</v>
      </c>
      <c r="U29" s="418" t="str">
        <f t="shared" si="37"/>
        <v>N/A</v>
      </c>
      <c r="V29" s="418" t="str">
        <f t="shared" si="37"/>
        <v>N/A</v>
      </c>
      <c r="W29" s="418" t="str">
        <f t="shared" si="37"/>
        <v>N/A</v>
      </c>
      <c r="X29" s="418" t="str">
        <f t="shared" si="37"/>
        <v>N/A</v>
      </c>
      <c r="Y29" s="418" t="str">
        <f t="shared" si="37"/>
        <v>N/A</v>
      </c>
      <c r="Z29" s="418" t="str">
        <f t="shared" si="37"/>
        <v>N/A</v>
      </c>
      <c r="AA29" s="418" t="str">
        <f t="shared" si="37"/>
        <v>N/A</v>
      </c>
      <c r="AB29" s="317"/>
      <c r="AC29" s="309" t="s">
        <v>3932</v>
      </c>
      <c r="AD29" s="311"/>
      <c r="AE29" s="311"/>
      <c r="AF29" s="310" t="s">
        <v>6988</v>
      </c>
      <c r="AG29" s="310" t="s">
        <v>9083</v>
      </c>
      <c r="AH29" s="310" t="s">
        <v>2795</v>
      </c>
      <c r="AI29" s="381" t="s">
        <v>2255</v>
      </c>
      <c r="AJ29" s="6" t="s">
        <v>218</v>
      </c>
      <c r="AK29" s="6" t="str">
        <f t="shared" si="10"/>
        <v>IGUAL</v>
      </c>
      <c r="AL29" s="151" t="str">
        <f>IFERROR(IF(LEFT(A29,3)="LCP",VLOOKUP(A29,STATUS_SAP_LCP!B:C,2,FALSE),VLOOKUP(A29,STATUS_SAP_ICP!B:C,2,FALSE)),"NO BUDGET")</f>
        <v>CLSD BUDG ISBD AVAC  //  BREL WPLI</v>
      </c>
      <c r="AM29" s="6" t="str">
        <f t="shared" si="11"/>
        <v>CLSD</v>
      </c>
      <c r="AN29" s="160" t="s">
        <v>9113</v>
      </c>
      <c r="AO29" s="493">
        <v>1</v>
      </c>
      <c r="AP29" s="499" t="s">
        <v>9607</v>
      </c>
      <c r="AQ29" s="464"/>
      <c r="AR29" s="460"/>
      <c r="AS29" s="56"/>
      <c r="AT29" s="185">
        <v>0</v>
      </c>
      <c r="AU29" s="318">
        <v>0</v>
      </c>
      <c r="AV29" s="223">
        <v>0</v>
      </c>
      <c r="AW29" s="318">
        <v>0</v>
      </c>
      <c r="AX29" s="223">
        <v>0</v>
      </c>
      <c r="AY29" s="318">
        <f t="shared" si="40"/>
        <v>0</v>
      </c>
      <c r="AZ29" s="223"/>
      <c r="BA29" s="318"/>
      <c r="BB29" s="519">
        <f t="shared" si="41"/>
        <v>0</v>
      </c>
      <c r="BC29" s="518"/>
      <c r="BD29" s="518"/>
      <c r="BE29" s="518"/>
      <c r="BF29" s="518"/>
      <c r="BG29" s="518"/>
      <c r="BH29" s="518"/>
      <c r="BI29" s="518"/>
      <c r="BJ29" s="518"/>
      <c r="BK29" s="518"/>
      <c r="BL29" s="518"/>
      <c r="BM29" s="518"/>
      <c r="BN29" s="518"/>
      <c r="BO29" s="367">
        <f t="shared" si="14"/>
        <v>0</v>
      </c>
      <c r="BP29" s="421"/>
      <c r="BQ29" s="422">
        <v>0</v>
      </c>
      <c r="BR29" s="423">
        <f>IFERROR(IF(LEFT($A29,3)="Lcp",SUMIFS('BASE-LCP'!$K:$K,'BASE-LCP'!$A:$A,Capex!$A5,'BASE-LCP'!$B:$B,"janeiro")/1000,IF(LEFT($A29,3)="icp",SUMIFS('BASE-ICP'!$K:$K,'BASE-ICP'!$A:$A,Capex!$A5,'BASE-ICP'!$B:$B,"janeiro")/1000,"")),"")</f>
        <v>0</v>
      </c>
      <c r="BS29" s="427">
        <v>0</v>
      </c>
      <c r="BT29" s="372">
        <v>0</v>
      </c>
      <c r="BU29" s="422">
        <v>0</v>
      </c>
      <c r="BV29" s="423">
        <f>IFERROR(IF(LEFT($A29,3)="Lcp",SUMIFS('BASE-LCP'!$K:$K,'BASE-LCP'!$A:$A,Capex!$A5,'BASE-LCP'!$B:$B,"fevereiro")/1000,IF(LEFT($A29,3)="icp",SUMIFS('BASE-ICP'!$K:$K,'BASE-ICP'!$A:$A,Capex!$A5,'BASE-ICP'!$B:$B,"fevereiro")/1000,"")),"")</f>
        <v>0</v>
      </c>
      <c r="BW29" s="427">
        <v>0</v>
      </c>
      <c r="BX29" s="372">
        <v>0</v>
      </c>
      <c r="BY29" s="422">
        <v>0</v>
      </c>
      <c r="BZ29" s="423">
        <f>IFERROR(IF(LEFT($A29,3)="Lcp",SUMIFS('BASE-LCP'!$K:$K,'BASE-LCP'!$A:$A,Capex!$A5,'BASE-LCP'!$B:$B,"março")/1000,IF(LEFT($A29,3)="icp",SUMIFS('BASE-ICP'!$K:$K,'BASE-ICP'!$A:$A,Capex!$A5,'BASE-ICP'!$B:$B,"março")/1000,"")),"")</f>
        <v>0</v>
      </c>
      <c r="CA29" s="427">
        <v>0</v>
      </c>
      <c r="CB29" s="372">
        <v>0</v>
      </c>
      <c r="CC29" s="422"/>
      <c r="CD29" s="423">
        <f>IFERROR(IF(LEFT($A29,3)="Lcp",SUMIFS('BASE-LCP'!$K:$K,'BASE-LCP'!$A:$A,Capex!$A5,'BASE-LCP'!$B:$B,"abril")/1000,IF(LEFT($A29,3)="icp",SUMIFS('BASE-ICP'!$K:$K,'BASE-ICP'!$A:$A,Capex!$A5,'BASE-ICP'!$B:$B,"abril")/1000,"")),"")</f>
        <v>0</v>
      </c>
      <c r="CE29" s="427">
        <v>0</v>
      </c>
      <c r="CF29" s="372">
        <v>0</v>
      </c>
      <c r="CG29" s="422">
        <f t="shared" ref="CG29:CG71" si="42">CH29</f>
        <v>0</v>
      </c>
      <c r="CH29" s="423">
        <v>0</v>
      </c>
      <c r="CI29" s="427">
        <v>0</v>
      </c>
      <c r="CJ29" s="372">
        <v>0</v>
      </c>
      <c r="CK29" s="419"/>
      <c r="CL29" s="423">
        <f>IFERROR(IF(LEFT($A29,3)="Lcp",SUMIFS('BASE-LCP'!$K:$K,'BASE-LCP'!$A:$A,Capex!$A5,'BASE-LCP'!$B:$B,"junho")/1000,IF(LEFT($A29,3)="icp",SUMIFS('BASE-ICP'!$K:$K,'BASE-ICP'!$A:$A,Capex!$A5,'BASE-ICP'!$B:$B,"junho")/1000,"")),"")</f>
        <v>0</v>
      </c>
      <c r="CM29" s="427">
        <v>0</v>
      </c>
      <c r="CN29" s="372"/>
      <c r="CO29" s="419"/>
      <c r="CP29" s="423">
        <f>IFERROR(IF(LEFT($A29,3)="Lcp",SUMIFS('BASE-LCP'!$K:$K,'BASE-LCP'!$A:$A,Capex!$A5,'BASE-LCP'!$B:$B,"julho")/1000,IF(LEFT($A29,3)="icp",SUMIFS('BASE-ICP'!$K:$K,'BASE-ICP'!$A:$A,Capex!$A5,'BASE-ICP'!$B:$B,"julho")/1000,"")),"")</f>
        <v>0</v>
      </c>
      <c r="CQ29" s="427">
        <v>0</v>
      </c>
      <c r="CR29" s="372"/>
      <c r="CS29" s="419"/>
      <c r="CT29" s="423">
        <f>IFERROR(IF(LEFT($A29,3)="Lcp",SUMIFS('BASE-LCP'!$K:$K,'BASE-LCP'!$A:$A,Capex!$A5,'BASE-LCP'!$B:$B,"agosto")/1000,IF(LEFT($A29,3)="icp",SUMIFS('BASE-ICP'!$K:$K,'BASE-ICP'!$A:$A,Capex!$A5,'BASE-ICP'!$B:$B,"agosto")/1000,"")),"")</f>
        <v>0</v>
      </c>
      <c r="CU29" s="427">
        <v>0</v>
      </c>
      <c r="CV29" s="372"/>
      <c r="CW29" s="419"/>
      <c r="CX29" s="423">
        <f>IFERROR(IF(LEFT($A29,3)="Lcp",SUMIFS('BASE-LCP'!$K:$K,'BASE-LCP'!$A:$A,Capex!$A5,'BASE-LCP'!$B:$B,"setembro")/1000,IF(LEFT($A29,3)="icp",SUMIFS('BASE-ICP'!$K:$K,'BASE-ICP'!$A:$A,Capex!$A5,'BASE-ICP'!$B:$B,"setembro")/1000,"")),"")</f>
        <v>0</v>
      </c>
      <c r="CY29" s="427">
        <v>0</v>
      </c>
      <c r="CZ29" s="372"/>
      <c r="DA29" s="419"/>
      <c r="DB29" s="423">
        <f>IFERROR(IF(LEFT($A29,3)="Lcp",SUMIFS('BASE-LCP'!$K:$K,'BASE-LCP'!$A:$A,Capex!$A5,'BASE-LCP'!$B:$B,"outubro")/1000,IF(LEFT($A29,3)="icp",SUMIFS('BASE-ICP'!$K:$K,'BASE-ICP'!$A:$A,Capex!$A5,'BASE-ICP'!$B:$B,"outubro")/1000,"")),"")</f>
        <v>0</v>
      </c>
      <c r="DC29" s="427">
        <v>0</v>
      </c>
      <c r="DD29" s="372"/>
      <c r="DE29" s="419"/>
      <c r="DF29" s="423">
        <f>IFERROR(IF(LEFT($A29,3)="Lcp",SUMIFS('BASE-LCP'!$K:$K,'BASE-LCP'!$A:$A,Capex!$A5,'BASE-LCP'!$B:$B,"novembro")/1000,IF(LEFT($A29,3)="icp",SUMIFS('BASE-ICP'!$K:$K,'BASE-ICP'!$A:$A,Capex!$A5,'BASE-ICP'!$B:$B,"novembro")/1000,"")),"")</f>
        <v>0</v>
      </c>
      <c r="DG29" s="427">
        <v>0</v>
      </c>
      <c r="DH29" s="372"/>
      <c r="DI29" s="419"/>
      <c r="DJ29" s="423">
        <f>IFERROR(IF(LEFT($A29,3)="Lcp",SUMIFS('BASE-LCP'!$K:$K,'BASE-LCP'!$A:$A,Capex!$A5,'BASE-LCP'!$B:$B,"dezembro")/1000,IF(LEFT($A29,3)="icp",SUMIFS('BASE-ICP'!$K:$K,'BASE-ICP'!$A:$A,Capex!$A5,'BASE-ICP'!$B:$B,"dezembro")/1000,"")),"")</f>
        <v>0</v>
      </c>
      <c r="DK29" s="427">
        <v>0</v>
      </c>
      <c r="DL29" s="452">
        <f t="shared" si="15"/>
        <v>0</v>
      </c>
      <c r="DM29" s="374"/>
      <c r="DN29" s="374"/>
      <c r="DO29" s="374"/>
      <c r="DP29" s="374"/>
      <c r="DQ29" s="374"/>
      <c r="DR29" s="374"/>
      <c r="DS29" s="374"/>
      <c r="DT29" s="374"/>
      <c r="DU29" s="374"/>
      <c r="DV29" s="374"/>
      <c r="DW29" s="374"/>
      <c r="DX29" s="374"/>
      <c r="DY29" s="450"/>
      <c r="DZ29" s="374">
        <f t="shared" si="16"/>
        <v>0</v>
      </c>
      <c r="EA29" s="216">
        <f t="shared" si="17"/>
        <v>0</v>
      </c>
      <c r="EB29" s="320">
        <f t="shared" si="18"/>
        <v>0</v>
      </c>
      <c r="EC29" s="241">
        <f t="shared" si="19"/>
        <v>0</v>
      </c>
      <c r="ED29" s="241">
        <f t="shared" si="20"/>
        <v>0</v>
      </c>
      <c r="EE29" s="241">
        <f t="shared" si="21"/>
        <v>0</v>
      </c>
      <c r="EF29" s="241">
        <f t="shared" si="22"/>
        <v>0</v>
      </c>
      <c r="EG29" s="346">
        <f t="shared" si="23"/>
        <v>0</v>
      </c>
      <c r="EH29" s="445">
        <f t="shared" si="24"/>
        <v>0</v>
      </c>
      <c r="EI29" s="447">
        <f t="shared" si="25"/>
        <v>0</v>
      </c>
      <c r="EJ29" s="364">
        <f t="shared" si="26"/>
        <v>0</v>
      </c>
      <c r="EK29" s="365">
        <f t="shared" si="27"/>
        <v>0</v>
      </c>
      <c r="EL29" s="529">
        <f t="shared" si="28"/>
        <v>0</v>
      </c>
      <c r="EM29" s="530">
        <v>0</v>
      </c>
      <c r="EN29" s="530">
        <v>0</v>
      </c>
      <c r="EO29" s="530">
        <v>0</v>
      </c>
      <c r="EP29" s="530">
        <v>0</v>
      </c>
      <c r="EQ29" s="530">
        <v>0</v>
      </c>
      <c r="ER29" s="530">
        <v>0</v>
      </c>
      <c r="ES29" s="530">
        <v>0</v>
      </c>
      <c r="ET29" s="530">
        <v>0</v>
      </c>
      <c r="EU29" s="530">
        <v>0</v>
      </c>
      <c r="EV29" s="530">
        <v>0</v>
      </c>
      <c r="EW29" s="530">
        <v>0</v>
      </c>
      <c r="EX29" s="530">
        <v>0</v>
      </c>
      <c r="EY29" s="530">
        <f t="shared" si="29"/>
        <v>0</v>
      </c>
      <c r="EZ29" s="530">
        <f t="shared" si="30"/>
        <v>0</v>
      </c>
      <c r="FA29" s="530">
        <f t="shared" si="31"/>
        <v>0</v>
      </c>
      <c r="FB29" s="530">
        <f t="shared" si="32"/>
        <v>0</v>
      </c>
      <c r="FC29" s="384">
        <f>IFERROR(VLOOKUP(Capex!A5,BASE_558!D:R,8,FALSE)/1000,"")</f>
        <v>31100</v>
      </c>
      <c r="FD29" s="328">
        <f>IFERROR(VLOOKUP(Capex!A5,BASE_558!D:R,9,)/1000,"")</f>
        <v>4044.85797</v>
      </c>
      <c r="FE29" s="328">
        <f>IFERROR(IF(LEFT(A29,3)="LCP",(VLOOKUP(Capex!A5,BASE_558!D:R,10,)/1000),SUMIFS('BASE ICP_PO_SC'!F:F,'BASE ICP_PO_SC'!A:A,Capex!A5,'BASE ICP_PO_SC'!E:E,"&lt;&gt;")/1000),"")</f>
        <v>0</v>
      </c>
      <c r="FF29" s="328">
        <f>IFERROR(IF(LEFT(A29,3)="LCP",(VLOOKUP(Capex!A5,BASE_558!D:R,11,)/1000),SUMIFS('BASE ICP_PO_SC'!F:F,'BASE ICP_PO_SC'!A:A,Capex!A5,'BASE ICP_PO_SC'!E:E,"")/1000),"")</f>
        <v>0</v>
      </c>
      <c r="FG29" s="328" t="str">
        <f>IFERROR(VLOOKUP(A29,BASE_558!D:R,13,FALSE)/1000,"")</f>
        <v/>
      </c>
      <c r="FH29" s="328" t="str">
        <f>IFERROR(VLOOKUP(A29,BASE_558!D:R,15,FALSE)/1000,"")</f>
        <v/>
      </c>
      <c r="FI29" s="547">
        <f t="shared" si="33"/>
        <v>0</v>
      </c>
      <c r="FJ29" s="547">
        <f t="shared" si="34"/>
        <v>0</v>
      </c>
      <c r="FK29" s="540">
        <f t="shared" si="35"/>
        <v>0</v>
      </c>
    </row>
    <row r="30" spans="1:167" s="23" customFormat="1" ht="24" customHeight="1">
      <c r="A30" s="309" t="s">
        <v>680</v>
      </c>
      <c r="B30" s="404"/>
      <c r="C30" s="404"/>
      <c r="D30" s="338"/>
      <c r="E30" s="378"/>
      <c r="F30" s="5"/>
      <c r="G30" s="310" t="s">
        <v>9</v>
      </c>
      <c r="H30" s="338"/>
      <c r="I30" s="338"/>
      <c r="J30" s="338">
        <v>2016</v>
      </c>
      <c r="K30" s="316"/>
      <c r="L30" s="324"/>
      <c r="M30" s="409"/>
      <c r="N30" s="317" t="str">
        <f t="shared" si="38"/>
        <v/>
      </c>
      <c r="O30" s="317" t="str">
        <f t="shared" si="39"/>
        <v/>
      </c>
      <c r="P30" s="418" t="str">
        <f t="shared" si="37"/>
        <v>N/A</v>
      </c>
      <c r="Q30" s="418" t="str">
        <f t="shared" si="37"/>
        <v>N/A</v>
      </c>
      <c r="R30" s="418" t="str">
        <f t="shared" si="37"/>
        <v>N/A</v>
      </c>
      <c r="S30" s="418" t="str">
        <f t="shared" si="37"/>
        <v>N/A</v>
      </c>
      <c r="T30" s="418" t="str">
        <f t="shared" si="37"/>
        <v>N/A</v>
      </c>
      <c r="U30" s="418" t="str">
        <f t="shared" si="37"/>
        <v>N/A</v>
      </c>
      <c r="V30" s="418" t="str">
        <f t="shared" si="37"/>
        <v>N/A</v>
      </c>
      <c r="W30" s="418" t="str">
        <f t="shared" si="37"/>
        <v>N/A</v>
      </c>
      <c r="X30" s="418" t="str">
        <f t="shared" si="37"/>
        <v>N/A</v>
      </c>
      <c r="Y30" s="418" t="str">
        <f t="shared" si="37"/>
        <v>N/A</v>
      </c>
      <c r="Z30" s="418" t="str">
        <f t="shared" si="37"/>
        <v>N/A</v>
      </c>
      <c r="AA30" s="418" t="str">
        <f t="shared" si="37"/>
        <v>N/A</v>
      </c>
      <c r="AB30" s="317"/>
      <c r="AC30" s="309" t="s">
        <v>3932</v>
      </c>
      <c r="AD30" s="311"/>
      <c r="AE30" s="311"/>
      <c r="AF30" s="310" t="s">
        <v>6988</v>
      </c>
      <c r="AG30" s="310" t="s">
        <v>9083</v>
      </c>
      <c r="AH30" s="310" t="s">
        <v>1409</v>
      </c>
      <c r="AI30" s="309" t="s">
        <v>2255</v>
      </c>
      <c r="AJ30" s="6" t="s">
        <v>218</v>
      </c>
      <c r="AK30" s="6" t="str">
        <f t="shared" si="10"/>
        <v>IGUAL</v>
      </c>
      <c r="AL30" s="151" t="str">
        <f>IFERROR(IF(LEFT(A30,3)="LCP",VLOOKUP(A30,STATUS_SAP_LCP!B:C,2,FALSE),VLOOKUP(A30,STATUS_SAP_ICP!B:C,2,FALSE)),"NO BUDGET")</f>
        <v>CLSD BUDG AVAC  //  BREL WPLI</v>
      </c>
      <c r="AM30" s="6" t="str">
        <f t="shared" si="11"/>
        <v>CLSD</v>
      </c>
      <c r="AN30" s="282"/>
      <c r="AO30" s="562">
        <v>1</v>
      </c>
      <c r="AP30" s="499" t="s">
        <v>9607</v>
      </c>
      <c r="AQ30" s="464"/>
      <c r="AR30" s="460"/>
      <c r="AS30" s="56"/>
      <c r="AT30" s="185">
        <v>0</v>
      </c>
      <c r="AU30" s="318">
        <v>0</v>
      </c>
      <c r="AV30" s="223">
        <v>0</v>
      </c>
      <c r="AW30" s="318">
        <v>0</v>
      </c>
      <c r="AX30" s="223">
        <v>0</v>
      </c>
      <c r="AY30" s="318">
        <f t="shared" si="40"/>
        <v>0</v>
      </c>
      <c r="AZ30" s="223"/>
      <c r="BA30" s="318"/>
      <c r="BB30" s="519">
        <f t="shared" si="41"/>
        <v>0</v>
      </c>
      <c r="BC30" s="518"/>
      <c r="BD30" s="518"/>
      <c r="BE30" s="518"/>
      <c r="BF30" s="518"/>
      <c r="BG30" s="518"/>
      <c r="BH30" s="518"/>
      <c r="BI30" s="518"/>
      <c r="BJ30" s="518"/>
      <c r="BK30" s="518"/>
      <c r="BL30" s="518"/>
      <c r="BM30" s="518"/>
      <c r="BN30" s="518"/>
      <c r="BO30" s="367">
        <f t="shared" si="14"/>
        <v>0</v>
      </c>
      <c r="BP30" s="421"/>
      <c r="BQ30" s="422">
        <v>0</v>
      </c>
      <c r="BR30" s="423">
        <f>IFERROR(IF(LEFT($A30,3)="Lcp",SUMIFS('BASE-LCP'!$K:$K,'BASE-LCP'!$A:$A,Capex!$A6,'BASE-LCP'!$B:$B,"janeiro")/1000,IF(LEFT($A30,3)="icp",SUMIFS('BASE-ICP'!$K:$K,'BASE-ICP'!$A:$A,Capex!$A6,'BASE-ICP'!$B:$B,"janeiro")/1000,"")),"")</f>
        <v>316.1997600000002</v>
      </c>
      <c r="BS30" s="427">
        <v>0</v>
      </c>
      <c r="BT30" s="372">
        <v>0</v>
      </c>
      <c r="BU30" s="422">
        <v>0</v>
      </c>
      <c r="BV30" s="423">
        <f>IFERROR(IF(LEFT($A30,3)="Lcp",SUMIFS('BASE-LCP'!$K:$K,'BASE-LCP'!$A:$A,Capex!$A6,'BASE-LCP'!$B:$B,"fevereiro")/1000,IF(LEFT($A30,3)="icp",SUMIFS('BASE-ICP'!$K:$K,'BASE-ICP'!$A:$A,Capex!$A6,'BASE-ICP'!$B:$B,"fevereiro")/1000,"")),"")</f>
        <v>250.53762999999987</v>
      </c>
      <c r="BW30" s="427">
        <v>0</v>
      </c>
      <c r="BX30" s="372">
        <v>0</v>
      </c>
      <c r="BY30" s="422">
        <v>0</v>
      </c>
      <c r="BZ30" s="423">
        <f>IFERROR(IF(LEFT($A30,3)="Lcp",SUMIFS('BASE-LCP'!$K:$K,'BASE-LCP'!$A:$A,Capex!$A6,'BASE-LCP'!$B:$B,"março")/1000,IF(LEFT($A30,3)="icp",SUMIFS('BASE-ICP'!$K:$K,'BASE-ICP'!$A:$A,Capex!$A6,'BASE-ICP'!$B:$B,"março")/1000,"")),"")</f>
        <v>370.02865000000003</v>
      </c>
      <c r="CA30" s="427">
        <v>0</v>
      </c>
      <c r="CB30" s="372">
        <v>0</v>
      </c>
      <c r="CC30" s="422"/>
      <c r="CD30" s="423">
        <f>IFERROR(IF(LEFT($A30,3)="Lcp",SUMIFS('BASE-LCP'!$K:$K,'BASE-LCP'!$A:$A,Capex!$A6,'BASE-LCP'!$B:$B,"abril")/1000,IF(LEFT($A30,3)="icp",SUMIFS('BASE-ICP'!$K:$K,'BASE-ICP'!$A:$A,Capex!$A6,'BASE-ICP'!$B:$B,"abril")/1000,"")),"")</f>
        <v>248.23718</v>
      </c>
      <c r="CE30" s="427">
        <v>0</v>
      </c>
      <c r="CF30" s="372">
        <v>0</v>
      </c>
      <c r="CG30" s="422">
        <f t="shared" si="42"/>
        <v>0</v>
      </c>
      <c r="CH30" s="423">
        <v>0</v>
      </c>
      <c r="CI30" s="427">
        <v>0</v>
      </c>
      <c r="CJ30" s="372">
        <v>0</v>
      </c>
      <c r="CK30" s="419"/>
      <c r="CL30" s="423">
        <f>IFERROR(IF(LEFT($A30,3)="Lcp",SUMIFS('BASE-LCP'!$K:$K,'BASE-LCP'!$A:$A,Capex!$A6,'BASE-LCP'!$B:$B,"junho")/1000,IF(LEFT($A30,3)="icp",SUMIFS('BASE-ICP'!$K:$K,'BASE-ICP'!$A:$A,Capex!$A6,'BASE-ICP'!$B:$B,"junho")/1000,"")),"")</f>
        <v>130.41873999999999</v>
      </c>
      <c r="CM30" s="427">
        <v>0</v>
      </c>
      <c r="CN30" s="372"/>
      <c r="CO30" s="419"/>
      <c r="CP30" s="423">
        <f>IFERROR(IF(LEFT($A30,3)="Lcp",SUMIFS('BASE-LCP'!$K:$K,'BASE-LCP'!$A:$A,Capex!$A6,'BASE-LCP'!$B:$B,"julho")/1000,IF(LEFT($A30,3)="icp",SUMIFS('BASE-ICP'!$K:$K,'BASE-ICP'!$A:$A,Capex!$A6,'BASE-ICP'!$B:$B,"julho")/1000,"")),"")</f>
        <v>0</v>
      </c>
      <c r="CQ30" s="427">
        <v>0</v>
      </c>
      <c r="CR30" s="372"/>
      <c r="CS30" s="419"/>
      <c r="CT30" s="423">
        <f>IFERROR(IF(LEFT($A30,3)="Lcp",SUMIFS('BASE-LCP'!$K:$K,'BASE-LCP'!$A:$A,Capex!$A6,'BASE-LCP'!$B:$B,"agosto")/1000,IF(LEFT($A30,3)="icp",SUMIFS('BASE-ICP'!$K:$K,'BASE-ICP'!$A:$A,Capex!$A6,'BASE-ICP'!$B:$B,"agosto")/1000,"")),"")</f>
        <v>0</v>
      </c>
      <c r="CU30" s="427">
        <v>0</v>
      </c>
      <c r="CV30" s="372"/>
      <c r="CW30" s="419"/>
      <c r="CX30" s="423">
        <f>IFERROR(IF(LEFT($A30,3)="Lcp",SUMIFS('BASE-LCP'!$K:$K,'BASE-LCP'!$A:$A,Capex!$A6,'BASE-LCP'!$B:$B,"setembro")/1000,IF(LEFT($A30,3)="icp",SUMIFS('BASE-ICP'!$K:$K,'BASE-ICP'!$A:$A,Capex!$A6,'BASE-ICP'!$B:$B,"setembro")/1000,"")),"")</f>
        <v>0</v>
      </c>
      <c r="CY30" s="427">
        <v>0</v>
      </c>
      <c r="CZ30" s="372"/>
      <c r="DA30" s="419"/>
      <c r="DB30" s="423">
        <f>IFERROR(IF(LEFT($A30,3)="Lcp",SUMIFS('BASE-LCP'!$K:$K,'BASE-LCP'!$A:$A,Capex!$A6,'BASE-LCP'!$B:$B,"outubro")/1000,IF(LEFT($A30,3)="icp",SUMIFS('BASE-ICP'!$K:$K,'BASE-ICP'!$A:$A,Capex!$A6,'BASE-ICP'!$B:$B,"outubro")/1000,"")),"")</f>
        <v>0</v>
      </c>
      <c r="DC30" s="427">
        <v>0</v>
      </c>
      <c r="DD30" s="372"/>
      <c r="DE30" s="419"/>
      <c r="DF30" s="423">
        <f>IFERROR(IF(LEFT($A30,3)="Lcp",SUMIFS('BASE-LCP'!$K:$K,'BASE-LCP'!$A:$A,Capex!$A6,'BASE-LCP'!$B:$B,"novembro")/1000,IF(LEFT($A30,3)="icp",SUMIFS('BASE-ICP'!$K:$K,'BASE-ICP'!$A:$A,Capex!$A6,'BASE-ICP'!$B:$B,"novembro")/1000,"")),"")</f>
        <v>0</v>
      </c>
      <c r="DG30" s="427">
        <v>0</v>
      </c>
      <c r="DH30" s="372"/>
      <c r="DI30" s="419"/>
      <c r="DJ30" s="423">
        <f>IFERROR(IF(LEFT($A30,3)="Lcp",SUMIFS('BASE-LCP'!$K:$K,'BASE-LCP'!$A:$A,Capex!$A6,'BASE-LCP'!$B:$B,"dezembro")/1000,IF(LEFT($A30,3)="icp",SUMIFS('BASE-ICP'!$K:$K,'BASE-ICP'!$A:$A,Capex!$A6,'BASE-ICP'!$B:$B,"dezembro")/1000,"")),"")</f>
        <v>0</v>
      </c>
      <c r="DK30" s="427">
        <v>0</v>
      </c>
      <c r="DL30" s="452">
        <f t="shared" si="15"/>
        <v>0</v>
      </c>
      <c r="DM30" s="374"/>
      <c r="DN30" s="374"/>
      <c r="DO30" s="374"/>
      <c r="DP30" s="374"/>
      <c r="DQ30" s="374"/>
      <c r="DR30" s="374"/>
      <c r="DS30" s="374"/>
      <c r="DT30" s="374"/>
      <c r="DU30" s="374"/>
      <c r="DV30" s="374"/>
      <c r="DW30" s="374"/>
      <c r="DX30" s="374"/>
      <c r="DY30" s="450"/>
      <c r="DZ30" s="374">
        <f t="shared" si="16"/>
        <v>0</v>
      </c>
      <c r="EA30" s="216">
        <f t="shared" si="17"/>
        <v>0</v>
      </c>
      <c r="EB30" s="320">
        <f t="shared" si="18"/>
        <v>130.41873999999999</v>
      </c>
      <c r="EC30" s="241">
        <f t="shared" si="19"/>
        <v>0</v>
      </c>
      <c r="ED30" s="241">
        <f t="shared" si="20"/>
        <v>0</v>
      </c>
      <c r="EE30" s="241">
        <f t="shared" si="21"/>
        <v>0</v>
      </c>
      <c r="EF30" s="241">
        <f t="shared" si="22"/>
        <v>0</v>
      </c>
      <c r="EG30" s="346">
        <f t="shared" si="23"/>
        <v>0</v>
      </c>
      <c r="EH30" s="445">
        <f t="shared" si="24"/>
        <v>0</v>
      </c>
      <c r="EI30" s="447">
        <f t="shared" si="25"/>
        <v>0</v>
      </c>
      <c r="EJ30" s="364">
        <f t="shared" si="26"/>
        <v>130.41873999999999</v>
      </c>
      <c r="EK30" s="365">
        <f t="shared" si="27"/>
        <v>-130.41873999999999</v>
      </c>
      <c r="EL30" s="529">
        <f t="shared" si="28"/>
        <v>0</v>
      </c>
      <c r="EM30" s="530">
        <v>0</v>
      </c>
      <c r="EN30" s="530">
        <v>0</v>
      </c>
      <c r="EO30" s="530">
        <v>0</v>
      </c>
      <c r="EP30" s="530">
        <v>0</v>
      </c>
      <c r="EQ30" s="530">
        <v>0</v>
      </c>
      <c r="ER30" s="530">
        <v>0</v>
      </c>
      <c r="ES30" s="530">
        <v>0</v>
      </c>
      <c r="ET30" s="530">
        <v>0</v>
      </c>
      <c r="EU30" s="530">
        <v>0</v>
      </c>
      <c r="EV30" s="530">
        <v>0</v>
      </c>
      <c r="EW30" s="530">
        <v>0</v>
      </c>
      <c r="EX30" s="530">
        <v>0</v>
      </c>
      <c r="EY30" s="530">
        <f t="shared" si="29"/>
        <v>0</v>
      </c>
      <c r="EZ30" s="530">
        <f t="shared" si="30"/>
        <v>0</v>
      </c>
      <c r="FA30" s="530">
        <f t="shared" si="31"/>
        <v>0</v>
      </c>
      <c r="FB30" s="530">
        <f t="shared" si="32"/>
        <v>0</v>
      </c>
      <c r="FC30" s="384" t="str">
        <f>IFERROR(VLOOKUP(Capex!A6,BASE_558!D:R,8,FALSE)/1000,"")</f>
        <v/>
      </c>
      <c r="FD30" s="328" t="str">
        <f>IFERROR(VLOOKUP(Capex!A6,BASE_558!D:R,9,)/1000,"")</f>
        <v/>
      </c>
      <c r="FE30" s="328">
        <f>IFERROR(IF(LEFT(A30,3)="LCP",(VLOOKUP(Capex!A6,BASE_558!D:R,10,)/1000),SUMIFS('BASE ICP_PO_SC'!F:F,'BASE ICP_PO_SC'!A:A,Capex!A6,'BASE ICP_PO_SC'!E:E,"&lt;&gt;")/1000),"")</f>
        <v>1485.0145499999992</v>
      </c>
      <c r="FF30" s="328">
        <f>IFERROR(IF(LEFT(A30,3)="LCP",(VLOOKUP(Capex!A6,BASE_558!D:R,11,)/1000),SUMIFS('BASE ICP_PO_SC'!F:F,'BASE ICP_PO_SC'!A:A,Capex!A6,'BASE ICP_PO_SC'!E:E,"")/1000),"")</f>
        <v>65.209230000000005</v>
      </c>
      <c r="FG30" s="328" t="str">
        <f>IFERROR(VLOOKUP(A30,BASE_558!D:R,13,FALSE)/1000,"")</f>
        <v/>
      </c>
      <c r="FH30" s="328" t="str">
        <f>IFERROR(VLOOKUP(A30,BASE_558!D:R,15,FALSE)/1000,"")</f>
        <v/>
      </c>
      <c r="FI30" s="547">
        <f t="shared" si="33"/>
        <v>0</v>
      </c>
      <c r="FJ30" s="547">
        <f t="shared" si="34"/>
        <v>0</v>
      </c>
      <c r="FK30" s="540">
        <f t="shared" si="35"/>
        <v>0</v>
      </c>
    </row>
    <row r="31" spans="1:167" s="23" customFormat="1" ht="24" customHeight="1">
      <c r="A31" s="309" t="s">
        <v>681</v>
      </c>
      <c r="B31" s="404"/>
      <c r="C31" s="404"/>
      <c r="D31" s="338"/>
      <c r="E31" s="378"/>
      <c r="F31" s="5"/>
      <c r="G31" s="310" t="s">
        <v>9</v>
      </c>
      <c r="H31" s="338"/>
      <c r="I31" s="338"/>
      <c r="J31" s="338">
        <v>2016</v>
      </c>
      <c r="K31" s="316"/>
      <c r="L31" s="324"/>
      <c r="M31" s="409"/>
      <c r="N31" s="317" t="str">
        <f t="shared" si="38"/>
        <v/>
      </c>
      <c r="O31" s="317" t="str">
        <f t="shared" si="39"/>
        <v/>
      </c>
      <c r="P31" s="418" t="str">
        <f t="shared" si="37"/>
        <v>N/A</v>
      </c>
      <c r="Q31" s="418" t="str">
        <f t="shared" si="37"/>
        <v>N/A</v>
      </c>
      <c r="R31" s="418" t="str">
        <f t="shared" si="37"/>
        <v>N/A</v>
      </c>
      <c r="S31" s="418" t="str">
        <f t="shared" si="37"/>
        <v>N/A</v>
      </c>
      <c r="T31" s="418" t="str">
        <f t="shared" si="37"/>
        <v>N/A</v>
      </c>
      <c r="U31" s="418" t="str">
        <f t="shared" si="37"/>
        <v>N/A</v>
      </c>
      <c r="V31" s="418" t="str">
        <f t="shared" si="37"/>
        <v>N/A</v>
      </c>
      <c r="W31" s="418" t="str">
        <f t="shared" si="37"/>
        <v>N/A</v>
      </c>
      <c r="X31" s="418" t="str">
        <f t="shared" si="37"/>
        <v>N/A</v>
      </c>
      <c r="Y31" s="418" t="str">
        <f t="shared" si="37"/>
        <v>N/A</v>
      </c>
      <c r="Z31" s="418" t="str">
        <f t="shared" si="37"/>
        <v>N/A</v>
      </c>
      <c r="AA31" s="418" t="str">
        <f t="shared" si="37"/>
        <v>N/A</v>
      </c>
      <c r="AB31" s="317"/>
      <c r="AC31" s="309" t="s">
        <v>3932</v>
      </c>
      <c r="AD31" s="311"/>
      <c r="AE31" s="311"/>
      <c r="AF31" s="310" t="s">
        <v>6988</v>
      </c>
      <c r="AG31" s="310" t="s">
        <v>9083</v>
      </c>
      <c r="AH31" s="310" t="s">
        <v>30</v>
      </c>
      <c r="AI31" s="381" t="s">
        <v>2255</v>
      </c>
      <c r="AJ31" s="6" t="s">
        <v>218</v>
      </c>
      <c r="AK31" s="6" t="str">
        <f t="shared" si="10"/>
        <v>IGUAL</v>
      </c>
      <c r="AL31" s="151" t="str">
        <f>IFERROR(IF(LEFT(A31,3)="LCP",VLOOKUP(A31,STATUS_SAP_LCP!B:C,2,FALSE),VLOOKUP(A31,STATUS_SAP_ICP!B:C,2,FALSE)),"NO BUDGET")</f>
        <v>CLSD BUDG AVAC  //  BREL WPLI</v>
      </c>
      <c r="AM31" s="6" t="str">
        <f t="shared" si="11"/>
        <v>CLSD</v>
      </c>
      <c r="AN31" s="282"/>
      <c r="AO31" s="562">
        <v>1</v>
      </c>
      <c r="AP31" s="499" t="s">
        <v>9607</v>
      </c>
      <c r="AQ31" s="464"/>
      <c r="AR31" s="460"/>
      <c r="AS31" s="56"/>
      <c r="AT31" s="185">
        <v>0</v>
      </c>
      <c r="AU31" s="318">
        <v>0</v>
      </c>
      <c r="AV31" s="223">
        <v>0</v>
      </c>
      <c r="AW31" s="318">
        <v>0</v>
      </c>
      <c r="AX31" s="223">
        <v>0</v>
      </c>
      <c r="AY31" s="318">
        <f t="shared" si="40"/>
        <v>0</v>
      </c>
      <c r="AZ31" s="223"/>
      <c r="BA31" s="318"/>
      <c r="BB31" s="519">
        <f t="shared" si="41"/>
        <v>0</v>
      </c>
      <c r="BC31" s="518"/>
      <c r="BD31" s="518"/>
      <c r="BE31" s="518"/>
      <c r="BF31" s="518"/>
      <c r="BG31" s="518"/>
      <c r="BH31" s="518"/>
      <c r="BI31" s="518"/>
      <c r="BJ31" s="518"/>
      <c r="BK31" s="518"/>
      <c r="BL31" s="518"/>
      <c r="BM31" s="518"/>
      <c r="BN31" s="518"/>
      <c r="BO31" s="367">
        <f t="shared" si="14"/>
        <v>0</v>
      </c>
      <c r="BP31" s="421"/>
      <c r="BQ31" s="422">
        <v>0</v>
      </c>
      <c r="BR31" s="423">
        <f>IFERROR(IF(LEFT($A31,3)="Lcp",SUMIFS('BASE-LCP'!$K:$K,'BASE-LCP'!$A:$A,Capex!$A7,'BASE-LCP'!$B:$B,"janeiro")/1000,IF(LEFT($A31,3)="icp",SUMIFS('BASE-ICP'!$K:$K,'BASE-ICP'!$A:$A,Capex!$A7,'BASE-ICP'!$B:$B,"janeiro")/1000,"")),"")</f>
        <v>0</v>
      </c>
      <c r="BS31" s="427">
        <v>0</v>
      </c>
      <c r="BT31" s="372">
        <v>0</v>
      </c>
      <c r="BU31" s="422">
        <v>0</v>
      </c>
      <c r="BV31" s="423">
        <f>IFERROR(IF(LEFT($A31,3)="Lcp",SUMIFS('BASE-LCP'!$K:$K,'BASE-LCP'!$A:$A,Capex!$A7,'BASE-LCP'!$B:$B,"fevereiro")/1000,IF(LEFT($A31,3)="icp",SUMIFS('BASE-ICP'!$K:$K,'BASE-ICP'!$A:$A,Capex!$A7,'BASE-ICP'!$B:$B,"fevereiro")/1000,"")),"")</f>
        <v>0</v>
      </c>
      <c r="BW31" s="427">
        <v>0</v>
      </c>
      <c r="BX31" s="372">
        <v>0</v>
      </c>
      <c r="BY31" s="422">
        <v>0</v>
      </c>
      <c r="BZ31" s="423">
        <f>IFERROR(IF(LEFT($A31,3)="Lcp",SUMIFS('BASE-LCP'!$K:$K,'BASE-LCP'!$A:$A,Capex!$A7,'BASE-LCP'!$B:$B,"março")/1000,IF(LEFT($A31,3)="icp",SUMIFS('BASE-ICP'!$K:$K,'BASE-ICP'!$A:$A,Capex!$A7,'BASE-ICP'!$B:$B,"março")/1000,"")),"")</f>
        <v>0</v>
      </c>
      <c r="CA31" s="427">
        <v>0</v>
      </c>
      <c r="CB31" s="372">
        <v>0</v>
      </c>
      <c r="CC31" s="422"/>
      <c r="CD31" s="423">
        <f>IFERROR(IF(LEFT($A31,3)="Lcp",SUMIFS('BASE-LCP'!$K:$K,'BASE-LCP'!$A:$A,Capex!$A7,'BASE-LCP'!$B:$B,"abril")/1000,IF(LEFT($A31,3)="icp",SUMIFS('BASE-ICP'!$K:$K,'BASE-ICP'!$A:$A,Capex!$A7,'BASE-ICP'!$B:$B,"abril")/1000,"")),"")</f>
        <v>0</v>
      </c>
      <c r="CE31" s="427">
        <v>0</v>
      </c>
      <c r="CF31" s="372">
        <v>0</v>
      </c>
      <c r="CG31" s="422">
        <f t="shared" si="42"/>
        <v>0</v>
      </c>
      <c r="CH31" s="423">
        <v>0</v>
      </c>
      <c r="CI31" s="427">
        <v>0</v>
      </c>
      <c r="CJ31" s="372">
        <v>0</v>
      </c>
      <c r="CK31" s="419"/>
      <c r="CL31" s="423">
        <f>IFERROR(IF(LEFT($A31,3)="Lcp",SUMIFS('BASE-LCP'!$K:$K,'BASE-LCP'!$A:$A,Capex!$A7,'BASE-LCP'!$B:$B,"junho")/1000,IF(LEFT($A31,3)="icp",SUMIFS('BASE-ICP'!$K:$K,'BASE-ICP'!$A:$A,Capex!$A7,'BASE-ICP'!$B:$B,"junho")/1000,"")),"")</f>
        <v>0</v>
      </c>
      <c r="CM31" s="427">
        <v>0</v>
      </c>
      <c r="CN31" s="372"/>
      <c r="CO31" s="419"/>
      <c r="CP31" s="423">
        <f>IFERROR(IF(LEFT($A31,3)="Lcp",SUMIFS('BASE-LCP'!$K:$K,'BASE-LCP'!$A:$A,Capex!$A7,'BASE-LCP'!$B:$B,"julho")/1000,IF(LEFT($A31,3)="icp",SUMIFS('BASE-ICP'!$K:$K,'BASE-ICP'!$A:$A,Capex!$A7,'BASE-ICP'!$B:$B,"julho")/1000,"")),"")</f>
        <v>0</v>
      </c>
      <c r="CQ31" s="427">
        <v>0</v>
      </c>
      <c r="CR31" s="372"/>
      <c r="CS31" s="419"/>
      <c r="CT31" s="423">
        <f>IFERROR(IF(LEFT($A31,3)="Lcp",SUMIFS('BASE-LCP'!$K:$K,'BASE-LCP'!$A:$A,Capex!$A7,'BASE-LCP'!$B:$B,"agosto")/1000,IF(LEFT($A31,3)="icp",SUMIFS('BASE-ICP'!$K:$K,'BASE-ICP'!$A:$A,Capex!$A7,'BASE-ICP'!$B:$B,"agosto")/1000,"")),"")</f>
        <v>0</v>
      </c>
      <c r="CU31" s="427">
        <v>0</v>
      </c>
      <c r="CV31" s="372"/>
      <c r="CW31" s="419"/>
      <c r="CX31" s="423">
        <f>IFERROR(IF(LEFT($A31,3)="Lcp",SUMIFS('BASE-LCP'!$K:$K,'BASE-LCP'!$A:$A,Capex!$A7,'BASE-LCP'!$B:$B,"setembro")/1000,IF(LEFT($A31,3)="icp",SUMIFS('BASE-ICP'!$K:$K,'BASE-ICP'!$A:$A,Capex!$A7,'BASE-ICP'!$B:$B,"setembro")/1000,"")),"")</f>
        <v>0</v>
      </c>
      <c r="CY31" s="427">
        <v>0</v>
      </c>
      <c r="CZ31" s="372"/>
      <c r="DA31" s="419"/>
      <c r="DB31" s="423">
        <f>IFERROR(IF(LEFT($A31,3)="Lcp",SUMIFS('BASE-LCP'!$K:$K,'BASE-LCP'!$A:$A,Capex!$A7,'BASE-LCP'!$B:$B,"outubro")/1000,IF(LEFT($A31,3)="icp",SUMIFS('BASE-ICP'!$K:$K,'BASE-ICP'!$A:$A,Capex!$A7,'BASE-ICP'!$B:$B,"outubro")/1000,"")),"")</f>
        <v>0</v>
      </c>
      <c r="DC31" s="427">
        <v>0</v>
      </c>
      <c r="DD31" s="372"/>
      <c r="DE31" s="419"/>
      <c r="DF31" s="423">
        <f>IFERROR(IF(LEFT($A31,3)="Lcp",SUMIFS('BASE-LCP'!$K:$K,'BASE-LCP'!$A:$A,Capex!$A7,'BASE-LCP'!$B:$B,"novembro")/1000,IF(LEFT($A31,3)="icp",SUMIFS('BASE-ICP'!$K:$K,'BASE-ICP'!$A:$A,Capex!$A7,'BASE-ICP'!$B:$B,"novembro")/1000,"")),"")</f>
        <v>0</v>
      </c>
      <c r="DG31" s="427">
        <v>0</v>
      </c>
      <c r="DH31" s="372"/>
      <c r="DI31" s="419"/>
      <c r="DJ31" s="423">
        <f>IFERROR(IF(LEFT($A31,3)="Lcp",SUMIFS('BASE-LCP'!$K:$K,'BASE-LCP'!$A:$A,Capex!$A7,'BASE-LCP'!$B:$B,"dezembro")/1000,IF(LEFT($A31,3)="icp",SUMIFS('BASE-ICP'!$K:$K,'BASE-ICP'!$A:$A,Capex!$A7,'BASE-ICP'!$B:$B,"dezembro")/1000,"")),"")</f>
        <v>0</v>
      </c>
      <c r="DK31" s="427">
        <v>0</v>
      </c>
      <c r="DL31" s="452">
        <f t="shared" si="15"/>
        <v>0</v>
      </c>
      <c r="DM31" s="374"/>
      <c r="DN31" s="374"/>
      <c r="DO31" s="374"/>
      <c r="DP31" s="374"/>
      <c r="DQ31" s="374"/>
      <c r="DR31" s="374"/>
      <c r="DS31" s="374"/>
      <c r="DT31" s="374"/>
      <c r="DU31" s="374"/>
      <c r="DV31" s="374"/>
      <c r="DW31" s="374"/>
      <c r="DX31" s="374"/>
      <c r="DY31" s="450"/>
      <c r="DZ31" s="374">
        <f t="shared" si="16"/>
        <v>0</v>
      </c>
      <c r="EA31" s="216">
        <f t="shared" si="17"/>
        <v>0</v>
      </c>
      <c r="EB31" s="320">
        <f t="shared" si="18"/>
        <v>0</v>
      </c>
      <c r="EC31" s="241">
        <f t="shared" si="19"/>
        <v>0</v>
      </c>
      <c r="ED31" s="241">
        <f t="shared" si="20"/>
        <v>0</v>
      </c>
      <c r="EE31" s="241">
        <f t="shared" si="21"/>
        <v>0</v>
      </c>
      <c r="EF31" s="241">
        <f t="shared" si="22"/>
        <v>0</v>
      </c>
      <c r="EG31" s="346">
        <f t="shared" si="23"/>
        <v>0</v>
      </c>
      <c r="EH31" s="445">
        <f t="shared" si="24"/>
        <v>0</v>
      </c>
      <c r="EI31" s="447">
        <f t="shared" si="25"/>
        <v>0</v>
      </c>
      <c r="EJ31" s="364">
        <f t="shared" si="26"/>
        <v>0</v>
      </c>
      <c r="EK31" s="365">
        <f t="shared" si="27"/>
        <v>0</v>
      </c>
      <c r="EL31" s="529">
        <f t="shared" si="28"/>
        <v>0</v>
      </c>
      <c r="EM31" s="530">
        <v>0</v>
      </c>
      <c r="EN31" s="530">
        <v>0</v>
      </c>
      <c r="EO31" s="530">
        <v>0</v>
      </c>
      <c r="EP31" s="530">
        <v>0</v>
      </c>
      <c r="EQ31" s="530">
        <v>0</v>
      </c>
      <c r="ER31" s="530">
        <v>0</v>
      </c>
      <c r="ES31" s="530">
        <v>0</v>
      </c>
      <c r="ET31" s="530">
        <v>0</v>
      </c>
      <c r="EU31" s="530">
        <v>0</v>
      </c>
      <c r="EV31" s="530">
        <v>0</v>
      </c>
      <c r="EW31" s="530">
        <v>0</v>
      </c>
      <c r="EX31" s="530">
        <v>0</v>
      </c>
      <c r="EY31" s="530">
        <f t="shared" si="29"/>
        <v>0</v>
      </c>
      <c r="EZ31" s="530">
        <f t="shared" si="30"/>
        <v>0</v>
      </c>
      <c r="FA31" s="530">
        <f t="shared" si="31"/>
        <v>0</v>
      </c>
      <c r="FB31" s="530">
        <f t="shared" si="32"/>
        <v>0</v>
      </c>
      <c r="FC31" s="384">
        <f>IFERROR(VLOOKUP(Capex!A7,BASE_558!D:R,8,FALSE)/1000,"")</f>
        <v>24334.362010000001</v>
      </c>
      <c r="FD31" s="328">
        <f>IFERROR(VLOOKUP(Capex!A7,BASE_558!D:R,9,)/1000,"")</f>
        <v>16827.475640000001</v>
      </c>
      <c r="FE31" s="328">
        <f>IFERROR(IF(LEFT(A31,3)="LCP",(VLOOKUP(Capex!A7,BASE_558!D:R,10,)/1000),SUMIFS('BASE ICP_PO_SC'!F:F,'BASE ICP_PO_SC'!A:A,Capex!A7,'BASE ICP_PO_SC'!E:E,"&lt;&gt;")/1000),"")</f>
        <v>0</v>
      </c>
      <c r="FF31" s="328">
        <f>IFERROR(IF(LEFT(A31,3)="LCP",(VLOOKUP(Capex!A7,BASE_558!D:R,11,)/1000),SUMIFS('BASE ICP_PO_SC'!F:F,'BASE ICP_PO_SC'!A:A,Capex!A7,'BASE ICP_PO_SC'!E:E,"")/1000),"")</f>
        <v>0</v>
      </c>
      <c r="FG31" s="328" t="str">
        <f>IFERROR(VLOOKUP(A31,BASE_558!D:R,13,FALSE)/1000,"")</f>
        <v/>
      </c>
      <c r="FH31" s="328" t="str">
        <f>IFERROR(VLOOKUP(A31,BASE_558!D:R,15,FALSE)/1000,"")</f>
        <v/>
      </c>
      <c r="FI31" s="547">
        <f t="shared" si="33"/>
        <v>0</v>
      </c>
      <c r="FJ31" s="547">
        <f t="shared" si="34"/>
        <v>0</v>
      </c>
      <c r="FK31" s="540">
        <f t="shared" si="35"/>
        <v>0</v>
      </c>
    </row>
    <row r="32" spans="1:167" s="23" customFormat="1" ht="24" customHeight="1">
      <c r="A32" s="309" t="s">
        <v>682</v>
      </c>
      <c r="B32" s="404"/>
      <c r="C32" s="404"/>
      <c r="D32" s="338"/>
      <c r="E32" s="378"/>
      <c r="F32" s="5"/>
      <c r="G32" s="310" t="s">
        <v>9</v>
      </c>
      <c r="H32" s="338"/>
      <c r="I32" s="338"/>
      <c r="J32" s="338">
        <v>2016</v>
      </c>
      <c r="K32" s="316"/>
      <c r="L32" s="324"/>
      <c r="M32" s="409"/>
      <c r="N32" s="317" t="str">
        <f t="shared" si="38"/>
        <v/>
      </c>
      <c r="O32" s="317" t="str">
        <f t="shared" si="39"/>
        <v/>
      </c>
      <c r="P32" s="418" t="str">
        <f t="shared" si="37"/>
        <v>N/A</v>
      </c>
      <c r="Q32" s="418" t="str">
        <f t="shared" si="37"/>
        <v>N/A</v>
      </c>
      <c r="R32" s="418" t="str">
        <f t="shared" si="37"/>
        <v>N/A</v>
      </c>
      <c r="S32" s="418" t="str">
        <f t="shared" si="37"/>
        <v>N/A</v>
      </c>
      <c r="T32" s="418" t="str">
        <f t="shared" si="37"/>
        <v>N/A</v>
      </c>
      <c r="U32" s="418" t="str">
        <f t="shared" si="37"/>
        <v>N/A</v>
      </c>
      <c r="V32" s="418" t="str">
        <f t="shared" si="37"/>
        <v>N/A</v>
      </c>
      <c r="W32" s="418" t="str">
        <f t="shared" si="37"/>
        <v>N/A</v>
      </c>
      <c r="X32" s="418" t="str">
        <f t="shared" si="37"/>
        <v>N/A</v>
      </c>
      <c r="Y32" s="418" t="str">
        <f t="shared" si="37"/>
        <v>N/A</v>
      </c>
      <c r="Z32" s="418" t="str">
        <f t="shared" si="37"/>
        <v>N/A</v>
      </c>
      <c r="AA32" s="418" t="str">
        <f t="shared" si="37"/>
        <v>N/A</v>
      </c>
      <c r="AB32" s="317"/>
      <c r="AC32" s="309" t="s">
        <v>3932</v>
      </c>
      <c r="AD32" s="311"/>
      <c r="AE32" s="311"/>
      <c r="AF32" s="310" t="s">
        <v>6988</v>
      </c>
      <c r="AG32" s="310" t="s">
        <v>9083</v>
      </c>
      <c r="AH32" s="310" t="s">
        <v>2796</v>
      </c>
      <c r="AI32" s="381" t="s">
        <v>2255</v>
      </c>
      <c r="AJ32" s="6" t="s">
        <v>218</v>
      </c>
      <c r="AK32" s="6" t="str">
        <f t="shared" si="10"/>
        <v>IGUAL</v>
      </c>
      <c r="AL32" s="151" t="str">
        <f>IFERROR(IF(LEFT(A32,3)="LCP",VLOOKUP(A32,STATUS_SAP_LCP!B:C,2,FALSE),VLOOKUP(A32,STATUS_SAP_ICP!B:C,2,FALSE)),"NO BUDGET")</f>
        <v>CLSD BUDG AVAC  //  BREL WPLI</v>
      </c>
      <c r="AM32" s="6" t="str">
        <f t="shared" si="11"/>
        <v>CLSD</v>
      </c>
      <c r="AN32" s="282"/>
      <c r="AO32" s="493">
        <v>1</v>
      </c>
      <c r="AP32" s="499" t="s">
        <v>9607</v>
      </c>
      <c r="AQ32" s="464"/>
      <c r="AR32" s="460"/>
      <c r="AS32" s="56"/>
      <c r="AT32" s="185">
        <v>0</v>
      </c>
      <c r="AU32" s="318">
        <v>0</v>
      </c>
      <c r="AV32" s="223">
        <v>0</v>
      </c>
      <c r="AW32" s="318">
        <v>0</v>
      </c>
      <c r="AX32" s="223">
        <v>0</v>
      </c>
      <c r="AY32" s="318">
        <f t="shared" si="40"/>
        <v>0</v>
      </c>
      <c r="AZ32" s="223"/>
      <c r="BA32" s="318"/>
      <c r="BB32" s="519">
        <f t="shared" si="41"/>
        <v>0</v>
      </c>
      <c r="BC32" s="518"/>
      <c r="BD32" s="518"/>
      <c r="BE32" s="518"/>
      <c r="BF32" s="518"/>
      <c r="BG32" s="518"/>
      <c r="BH32" s="518"/>
      <c r="BI32" s="518"/>
      <c r="BJ32" s="518"/>
      <c r="BK32" s="518"/>
      <c r="BL32" s="518"/>
      <c r="BM32" s="518"/>
      <c r="BN32" s="518"/>
      <c r="BO32" s="367">
        <f t="shared" si="14"/>
        <v>0</v>
      </c>
      <c r="BP32" s="421"/>
      <c r="BQ32" s="422">
        <v>0</v>
      </c>
      <c r="BR32" s="423">
        <f>IFERROR(IF(LEFT($A32,3)="Lcp",SUMIFS('BASE-LCP'!$K:$K,'BASE-LCP'!$A:$A,Capex!$A8,'BASE-LCP'!$B:$B,"janeiro")/1000,IF(LEFT($A32,3)="icp",SUMIFS('BASE-ICP'!$K:$K,'BASE-ICP'!$A:$A,Capex!$A8,'BASE-ICP'!$B:$B,"janeiro")/1000,"")),"")</f>
        <v>0</v>
      </c>
      <c r="BS32" s="427">
        <v>0</v>
      </c>
      <c r="BT32" s="372">
        <v>0</v>
      </c>
      <c r="BU32" s="422">
        <v>0</v>
      </c>
      <c r="BV32" s="423">
        <f>IFERROR(IF(LEFT($A32,3)="Lcp",SUMIFS('BASE-LCP'!$K:$K,'BASE-LCP'!$A:$A,Capex!$A8,'BASE-LCP'!$B:$B,"fevereiro")/1000,IF(LEFT($A32,3)="icp",SUMIFS('BASE-ICP'!$K:$K,'BASE-ICP'!$A:$A,Capex!$A8,'BASE-ICP'!$B:$B,"fevereiro")/1000,"")),"")</f>
        <v>0</v>
      </c>
      <c r="BW32" s="427">
        <v>0</v>
      </c>
      <c r="BX32" s="372">
        <v>0</v>
      </c>
      <c r="BY32" s="422">
        <v>0</v>
      </c>
      <c r="BZ32" s="423">
        <f>IFERROR(IF(LEFT($A32,3)="Lcp",SUMIFS('BASE-LCP'!$K:$K,'BASE-LCP'!$A:$A,Capex!$A8,'BASE-LCP'!$B:$B,"março")/1000,IF(LEFT($A32,3)="icp",SUMIFS('BASE-ICP'!$K:$K,'BASE-ICP'!$A:$A,Capex!$A8,'BASE-ICP'!$B:$B,"março")/1000,"")),"")</f>
        <v>0</v>
      </c>
      <c r="CA32" s="427">
        <v>0</v>
      </c>
      <c r="CB32" s="372">
        <v>0</v>
      </c>
      <c r="CC32" s="422"/>
      <c r="CD32" s="423">
        <f>IFERROR(IF(LEFT($A32,3)="Lcp",SUMIFS('BASE-LCP'!$K:$K,'BASE-LCP'!$A:$A,Capex!$A8,'BASE-LCP'!$B:$B,"abril")/1000,IF(LEFT($A32,3)="icp",SUMIFS('BASE-ICP'!$K:$K,'BASE-ICP'!$A:$A,Capex!$A8,'BASE-ICP'!$B:$B,"abril")/1000,"")),"")</f>
        <v>0</v>
      </c>
      <c r="CE32" s="427">
        <v>0</v>
      </c>
      <c r="CF32" s="372">
        <v>0</v>
      </c>
      <c r="CG32" s="422">
        <f t="shared" si="42"/>
        <v>0</v>
      </c>
      <c r="CH32" s="423">
        <v>0</v>
      </c>
      <c r="CI32" s="427">
        <v>0</v>
      </c>
      <c r="CJ32" s="372">
        <v>0</v>
      </c>
      <c r="CK32" s="419"/>
      <c r="CL32" s="423">
        <f>IFERROR(IF(LEFT($A32,3)="Lcp",SUMIFS('BASE-LCP'!$K:$K,'BASE-LCP'!$A:$A,Capex!$A8,'BASE-LCP'!$B:$B,"junho")/1000,IF(LEFT($A32,3)="icp",SUMIFS('BASE-ICP'!$K:$K,'BASE-ICP'!$A:$A,Capex!$A8,'BASE-ICP'!$B:$B,"junho")/1000,"")),"")</f>
        <v>0</v>
      </c>
      <c r="CM32" s="427">
        <v>0</v>
      </c>
      <c r="CN32" s="372"/>
      <c r="CO32" s="419"/>
      <c r="CP32" s="423">
        <f>IFERROR(IF(LEFT($A32,3)="Lcp",SUMIFS('BASE-LCP'!$K:$K,'BASE-LCP'!$A:$A,Capex!$A8,'BASE-LCP'!$B:$B,"julho")/1000,IF(LEFT($A32,3)="icp",SUMIFS('BASE-ICP'!$K:$K,'BASE-ICP'!$A:$A,Capex!$A8,'BASE-ICP'!$B:$B,"julho")/1000,"")),"")</f>
        <v>0</v>
      </c>
      <c r="CQ32" s="427">
        <v>0</v>
      </c>
      <c r="CR32" s="372"/>
      <c r="CS32" s="419"/>
      <c r="CT32" s="423">
        <f>IFERROR(IF(LEFT($A32,3)="Lcp",SUMIFS('BASE-LCP'!$K:$K,'BASE-LCP'!$A:$A,Capex!$A8,'BASE-LCP'!$B:$B,"agosto")/1000,IF(LEFT($A32,3)="icp",SUMIFS('BASE-ICP'!$K:$K,'BASE-ICP'!$A:$A,Capex!$A8,'BASE-ICP'!$B:$B,"agosto")/1000,"")),"")</f>
        <v>0</v>
      </c>
      <c r="CU32" s="427">
        <v>0</v>
      </c>
      <c r="CV32" s="372"/>
      <c r="CW32" s="419"/>
      <c r="CX32" s="423">
        <f>IFERROR(IF(LEFT($A32,3)="Lcp",SUMIFS('BASE-LCP'!$K:$K,'BASE-LCP'!$A:$A,Capex!$A8,'BASE-LCP'!$B:$B,"setembro")/1000,IF(LEFT($A32,3)="icp",SUMIFS('BASE-ICP'!$K:$K,'BASE-ICP'!$A:$A,Capex!$A8,'BASE-ICP'!$B:$B,"setembro")/1000,"")),"")</f>
        <v>0</v>
      </c>
      <c r="CY32" s="427">
        <v>0</v>
      </c>
      <c r="CZ32" s="372"/>
      <c r="DA32" s="419"/>
      <c r="DB32" s="423">
        <f>IFERROR(IF(LEFT($A32,3)="Lcp",SUMIFS('BASE-LCP'!$K:$K,'BASE-LCP'!$A:$A,Capex!$A8,'BASE-LCP'!$B:$B,"outubro")/1000,IF(LEFT($A32,3)="icp",SUMIFS('BASE-ICP'!$K:$K,'BASE-ICP'!$A:$A,Capex!$A8,'BASE-ICP'!$B:$B,"outubro")/1000,"")),"")</f>
        <v>0</v>
      </c>
      <c r="DC32" s="427">
        <v>0</v>
      </c>
      <c r="DD32" s="372"/>
      <c r="DE32" s="419"/>
      <c r="DF32" s="423">
        <f>IFERROR(IF(LEFT($A32,3)="Lcp",SUMIFS('BASE-LCP'!$K:$K,'BASE-LCP'!$A:$A,Capex!$A8,'BASE-LCP'!$B:$B,"novembro")/1000,IF(LEFT($A32,3)="icp",SUMIFS('BASE-ICP'!$K:$K,'BASE-ICP'!$A:$A,Capex!$A8,'BASE-ICP'!$B:$B,"novembro")/1000,"")),"")</f>
        <v>0</v>
      </c>
      <c r="DG32" s="427">
        <v>0</v>
      </c>
      <c r="DH32" s="372"/>
      <c r="DI32" s="419"/>
      <c r="DJ32" s="423">
        <f>IFERROR(IF(LEFT($A32,3)="Lcp",SUMIFS('BASE-LCP'!$K:$K,'BASE-LCP'!$A:$A,Capex!$A8,'BASE-LCP'!$B:$B,"dezembro")/1000,IF(LEFT($A32,3)="icp",SUMIFS('BASE-ICP'!$K:$K,'BASE-ICP'!$A:$A,Capex!$A8,'BASE-ICP'!$B:$B,"dezembro")/1000,"")),"")</f>
        <v>0</v>
      </c>
      <c r="DK32" s="427">
        <v>0</v>
      </c>
      <c r="DL32" s="452">
        <f t="shared" si="15"/>
        <v>0</v>
      </c>
      <c r="DM32" s="374"/>
      <c r="DN32" s="374"/>
      <c r="DO32" s="374"/>
      <c r="DP32" s="374"/>
      <c r="DQ32" s="374"/>
      <c r="DR32" s="374"/>
      <c r="DS32" s="374"/>
      <c r="DT32" s="374"/>
      <c r="DU32" s="374"/>
      <c r="DV32" s="374"/>
      <c r="DW32" s="374"/>
      <c r="DX32" s="374"/>
      <c r="DY32" s="450"/>
      <c r="DZ32" s="374">
        <f t="shared" si="16"/>
        <v>0</v>
      </c>
      <c r="EA32" s="216">
        <f t="shared" si="17"/>
        <v>0</v>
      </c>
      <c r="EB32" s="320">
        <f t="shared" si="18"/>
        <v>0</v>
      </c>
      <c r="EC32" s="241">
        <f t="shared" si="19"/>
        <v>0</v>
      </c>
      <c r="ED32" s="241">
        <f t="shared" si="20"/>
        <v>0</v>
      </c>
      <c r="EE32" s="241">
        <f t="shared" si="21"/>
        <v>0</v>
      </c>
      <c r="EF32" s="241">
        <f t="shared" si="22"/>
        <v>0</v>
      </c>
      <c r="EG32" s="346">
        <f t="shared" si="23"/>
        <v>0</v>
      </c>
      <c r="EH32" s="445">
        <f t="shared" si="24"/>
        <v>0</v>
      </c>
      <c r="EI32" s="447">
        <f t="shared" si="25"/>
        <v>0</v>
      </c>
      <c r="EJ32" s="364">
        <f t="shared" si="26"/>
        <v>0</v>
      </c>
      <c r="EK32" s="365">
        <f t="shared" si="27"/>
        <v>0</v>
      </c>
      <c r="EL32" s="529">
        <f t="shared" si="28"/>
        <v>0</v>
      </c>
      <c r="EM32" s="530">
        <v>0</v>
      </c>
      <c r="EN32" s="530">
        <v>0</v>
      </c>
      <c r="EO32" s="530">
        <v>0</v>
      </c>
      <c r="EP32" s="530">
        <v>0</v>
      </c>
      <c r="EQ32" s="530">
        <v>0</v>
      </c>
      <c r="ER32" s="530">
        <v>0</v>
      </c>
      <c r="ES32" s="530">
        <v>0</v>
      </c>
      <c r="ET32" s="530">
        <v>0</v>
      </c>
      <c r="EU32" s="530">
        <v>0</v>
      </c>
      <c r="EV32" s="530">
        <v>0</v>
      </c>
      <c r="EW32" s="530">
        <v>0</v>
      </c>
      <c r="EX32" s="530">
        <v>0</v>
      </c>
      <c r="EY32" s="530">
        <f t="shared" si="29"/>
        <v>0</v>
      </c>
      <c r="EZ32" s="530">
        <f t="shared" si="30"/>
        <v>0</v>
      </c>
      <c r="FA32" s="530">
        <f t="shared" si="31"/>
        <v>0</v>
      </c>
      <c r="FB32" s="530">
        <f t="shared" si="32"/>
        <v>0</v>
      </c>
      <c r="FC32" s="384">
        <f>IFERROR(VLOOKUP(Capex!A8,BASE_558!D:R,8,FALSE)/1000,"")</f>
        <v>1470</v>
      </c>
      <c r="FD32" s="328">
        <f>IFERROR(VLOOKUP(Capex!A8,BASE_558!D:R,9,)/1000,"")</f>
        <v>171.8091</v>
      </c>
      <c r="FE32" s="328">
        <f>IFERROR(IF(LEFT(A32,3)="LCP",(VLOOKUP(Capex!A8,BASE_558!D:R,10,)/1000),SUMIFS('BASE ICP_PO_SC'!F:F,'BASE ICP_PO_SC'!A:A,Capex!A8,'BASE ICP_PO_SC'!E:E,"&lt;&gt;")/1000),"")</f>
        <v>0</v>
      </c>
      <c r="FF32" s="328">
        <f>IFERROR(IF(LEFT(A32,3)="LCP",(VLOOKUP(Capex!A8,BASE_558!D:R,11,)/1000),SUMIFS('BASE ICP_PO_SC'!F:F,'BASE ICP_PO_SC'!A:A,Capex!A8,'BASE ICP_PO_SC'!E:E,"")/1000),"")</f>
        <v>0</v>
      </c>
      <c r="FG32" s="328" t="str">
        <f>IFERROR(VLOOKUP(A32,BASE_558!D:R,13,FALSE)/1000,"")</f>
        <v/>
      </c>
      <c r="FH32" s="328" t="str">
        <f>IFERROR(VLOOKUP(A32,BASE_558!D:R,15,FALSE)/1000,"")</f>
        <v/>
      </c>
      <c r="FI32" s="547">
        <f t="shared" si="33"/>
        <v>0</v>
      </c>
      <c r="FJ32" s="547">
        <f t="shared" si="34"/>
        <v>0</v>
      </c>
      <c r="FK32" s="540">
        <f t="shared" si="35"/>
        <v>0</v>
      </c>
    </row>
    <row r="33" spans="1:167" s="23" customFormat="1" ht="24" customHeight="1">
      <c r="A33" s="309" t="s">
        <v>688</v>
      </c>
      <c r="B33" s="404"/>
      <c r="C33" s="404"/>
      <c r="D33" s="338"/>
      <c r="E33" s="378"/>
      <c r="F33" s="5"/>
      <c r="G33" s="310" t="s">
        <v>9</v>
      </c>
      <c r="H33" s="338"/>
      <c r="I33" s="338"/>
      <c r="J33" s="338">
        <v>2018</v>
      </c>
      <c r="K33" s="316"/>
      <c r="L33" s="324"/>
      <c r="M33" s="409"/>
      <c r="N33" s="317" t="str">
        <f t="shared" si="38"/>
        <v/>
      </c>
      <c r="O33" s="317" t="str">
        <f t="shared" si="39"/>
        <v/>
      </c>
      <c r="P33" s="418" t="str">
        <f t="shared" si="37"/>
        <v>N/A</v>
      </c>
      <c r="Q33" s="418" t="str">
        <f t="shared" si="37"/>
        <v>N/A</v>
      </c>
      <c r="R33" s="418" t="str">
        <f t="shared" si="37"/>
        <v>N/A</v>
      </c>
      <c r="S33" s="418" t="str">
        <f t="shared" si="37"/>
        <v>N/A</v>
      </c>
      <c r="T33" s="418" t="str">
        <f t="shared" si="37"/>
        <v>N/A</v>
      </c>
      <c r="U33" s="418" t="str">
        <f t="shared" si="37"/>
        <v>N/A</v>
      </c>
      <c r="V33" s="418" t="str">
        <f t="shared" si="37"/>
        <v>N/A</v>
      </c>
      <c r="W33" s="418" t="str">
        <f t="shared" si="37"/>
        <v>N/A</v>
      </c>
      <c r="X33" s="418" t="str">
        <f t="shared" si="37"/>
        <v>N/A</v>
      </c>
      <c r="Y33" s="418" t="str">
        <f t="shared" si="37"/>
        <v>N/A</v>
      </c>
      <c r="Z33" s="418" t="str">
        <f t="shared" si="37"/>
        <v>N/A</v>
      </c>
      <c r="AA33" s="418" t="str">
        <f t="shared" si="37"/>
        <v>N/A</v>
      </c>
      <c r="AB33" s="317"/>
      <c r="AC33" s="309" t="s">
        <v>3931</v>
      </c>
      <c r="AD33" s="311"/>
      <c r="AE33" s="310"/>
      <c r="AF33" s="310" t="s">
        <v>6988</v>
      </c>
      <c r="AG33" s="310" t="s">
        <v>9083</v>
      </c>
      <c r="AH33" s="310" t="s">
        <v>2797</v>
      </c>
      <c r="AI33" s="381" t="s">
        <v>188</v>
      </c>
      <c r="AJ33" s="6" t="s">
        <v>218</v>
      </c>
      <c r="AK33" s="6" t="str">
        <f t="shared" si="10"/>
        <v>IGUAL</v>
      </c>
      <c r="AL33" s="151" t="str">
        <f>IFERROR(IF(LEFT(A33,3)="LCP",VLOOKUP(A33,STATUS_SAP_LCP!B:C,2,FALSE),VLOOKUP(A33,STATUS_SAP_ICP!B:C,2,FALSE)),"NO BUDGET")</f>
        <v>CLSD BUDG AVAC  //  BREL WPLI</v>
      </c>
      <c r="AM33" s="6" t="str">
        <f t="shared" si="11"/>
        <v>CLSD</v>
      </c>
      <c r="AN33" s="282"/>
      <c r="AO33" s="562">
        <v>1</v>
      </c>
      <c r="AP33" s="499" t="s">
        <v>9607</v>
      </c>
      <c r="AQ33" s="464"/>
      <c r="AR33" s="460"/>
      <c r="AS33" s="56"/>
      <c r="AT33" s="185">
        <v>0</v>
      </c>
      <c r="AU33" s="318">
        <v>0</v>
      </c>
      <c r="AV33" s="223">
        <v>0</v>
      </c>
      <c r="AW33" s="318">
        <v>0</v>
      </c>
      <c r="AX33" s="223">
        <v>0</v>
      </c>
      <c r="AY33" s="318">
        <f t="shared" si="40"/>
        <v>0</v>
      </c>
      <c r="AZ33" s="223"/>
      <c r="BA33" s="318"/>
      <c r="BB33" s="519">
        <f t="shared" si="41"/>
        <v>0</v>
      </c>
      <c r="BC33" s="518"/>
      <c r="BD33" s="518"/>
      <c r="BE33" s="518"/>
      <c r="BF33" s="518"/>
      <c r="BG33" s="518"/>
      <c r="BH33" s="518"/>
      <c r="BI33" s="518"/>
      <c r="BJ33" s="518"/>
      <c r="BK33" s="518"/>
      <c r="BL33" s="518"/>
      <c r="BM33" s="518"/>
      <c r="BN33" s="518"/>
      <c r="BO33" s="367">
        <f t="shared" si="14"/>
        <v>0</v>
      </c>
      <c r="BP33" s="421"/>
      <c r="BQ33" s="422">
        <v>0</v>
      </c>
      <c r="BR33" s="423">
        <f>IFERROR(IF(LEFT($A33,3)="Lcp",SUMIFS('BASE-LCP'!$K:$K,'BASE-LCP'!$A:$A,Capex!$A9,'BASE-LCP'!$B:$B,"janeiro")/1000,IF(LEFT($A33,3)="icp",SUMIFS('BASE-ICP'!$K:$K,'BASE-ICP'!$A:$A,Capex!$A9,'BASE-ICP'!$B:$B,"janeiro")/1000,"")),"")</f>
        <v>0</v>
      </c>
      <c r="BS33" s="427">
        <v>0</v>
      </c>
      <c r="BT33" s="372">
        <v>0</v>
      </c>
      <c r="BU33" s="422">
        <v>0</v>
      </c>
      <c r="BV33" s="423">
        <f>IFERROR(IF(LEFT($A33,3)="Lcp",SUMIFS('BASE-LCP'!$K:$K,'BASE-LCP'!$A:$A,Capex!$A9,'BASE-LCP'!$B:$B,"fevereiro")/1000,IF(LEFT($A33,3)="icp",SUMIFS('BASE-ICP'!$K:$K,'BASE-ICP'!$A:$A,Capex!$A9,'BASE-ICP'!$B:$B,"fevereiro")/1000,"")),"")</f>
        <v>0</v>
      </c>
      <c r="BW33" s="427">
        <v>0</v>
      </c>
      <c r="BX33" s="372">
        <v>0</v>
      </c>
      <c r="BY33" s="422">
        <v>0</v>
      </c>
      <c r="BZ33" s="423">
        <f>IFERROR(IF(LEFT($A33,3)="Lcp",SUMIFS('BASE-LCP'!$K:$K,'BASE-LCP'!$A:$A,Capex!$A9,'BASE-LCP'!$B:$B,"março")/1000,IF(LEFT($A33,3)="icp",SUMIFS('BASE-ICP'!$K:$K,'BASE-ICP'!$A:$A,Capex!$A9,'BASE-ICP'!$B:$B,"março")/1000,"")),"")</f>
        <v>0</v>
      </c>
      <c r="CA33" s="427">
        <v>0</v>
      </c>
      <c r="CB33" s="372">
        <v>0</v>
      </c>
      <c r="CC33" s="422"/>
      <c r="CD33" s="423">
        <f>IFERROR(IF(LEFT($A33,3)="Lcp",SUMIFS('BASE-LCP'!$K:$K,'BASE-LCP'!$A:$A,Capex!$A9,'BASE-LCP'!$B:$B,"abril")/1000,IF(LEFT($A33,3)="icp",SUMIFS('BASE-ICP'!$K:$K,'BASE-ICP'!$A:$A,Capex!$A9,'BASE-ICP'!$B:$B,"abril")/1000,"")),"")</f>
        <v>0</v>
      </c>
      <c r="CE33" s="427">
        <v>0</v>
      </c>
      <c r="CF33" s="372">
        <v>0</v>
      </c>
      <c r="CG33" s="422">
        <f t="shared" si="42"/>
        <v>0</v>
      </c>
      <c r="CH33" s="423">
        <v>0</v>
      </c>
      <c r="CI33" s="427">
        <v>0</v>
      </c>
      <c r="CJ33" s="372">
        <v>0</v>
      </c>
      <c r="CK33" s="419"/>
      <c r="CL33" s="423">
        <f>IFERROR(IF(LEFT($A33,3)="Lcp",SUMIFS('BASE-LCP'!$K:$K,'BASE-LCP'!$A:$A,Capex!$A9,'BASE-LCP'!$B:$B,"junho")/1000,IF(LEFT($A33,3)="icp",SUMIFS('BASE-ICP'!$K:$K,'BASE-ICP'!$A:$A,Capex!$A9,'BASE-ICP'!$B:$B,"junho")/1000,"")),"")</f>
        <v>0</v>
      </c>
      <c r="CM33" s="427">
        <v>0</v>
      </c>
      <c r="CN33" s="372"/>
      <c r="CO33" s="419"/>
      <c r="CP33" s="423">
        <f>IFERROR(IF(LEFT($A33,3)="Lcp",SUMIFS('BASE-LCP'!$K:$K,'BASE-LCP'!$A:$A,Capex!$A9,'BASE-LCP'!$B:$B,"julho")/1000,IF(LEFT($A33,3)="icp",SUMIFS('BASE-ICP'!$K:$K,'BASE-ICP'!$A:$A,Capex!$A9,'BASE-ICP'!$B:$B,"julho")/1000,"")),"")</f>
        <v>0</v>
      </c>
      <c r="CQ33" s="427">
        <v>0</v>
      </c>
      <c r="CR33" s="372"/>
      <c r="CS33" s="419"/>
      <c r="CT33" s="423">
        <f>IFERROR(IF(LEFT($A33,3)="Lcp",SUMIFS('BASE-LCP'!$K:$K,'BASE-LCP'!$A:$A,Capex!$A9,'BASE-LCP'!$B:$B,"agosto")/1000,IF(LEFT($A33,3)="icp",SUMIFS('BASE-ICP'!$K:$K,'BASE-ICP'!$A:$A,Capex!$A9,'BASE-ICP'!$B:$B,"agosto")/1000,"")),"")</f>
        <v>0</v>
      </c>
      <c r="CU33" s="427">
        <v>0</v>
      </c>
      <c r="CV33" s="372"/>
      <c r="CW33" s="419"/>
      <c r="CX33" s="423">
        <f>IFERROR(IF(LEFT($A33,3)="Lcp",SUMIFS('BASE-LCP'!$K:$K,'BASE-LCP'!$A:$A,Capex!$A9,'BASE-LCP'!$B:$B,"setembro")/1000,IF(LEFT($A33,3)="icp",SUMIFS('BASE-ICP'!$K:$K,'BASE-ICP'!$A:$A,Capex!$A9,'BASE-ICP'!$B:$B,"setembro")/1000,"")),"")</f>
        <v>0</v>
      </c>
      <c r="CY33" s="427">
        <v>0</v>
      </c>
      <c r="CZ33" s="372"/>
      <c r="DA33" s="419"/>
      <c r="DB33" s="423">
        <f>IFERROR(IF(LEFT($A33,3)="Lcp",SUMIFS('BASE-LCP'!$K:$K,'BASE-LCP'!$A:$A,Capex!$A9,'BASE-LCP'!$B:$B,"outubro")/1000,IF(LEFT($A33,3)="icp",SUMIFS('BASE-ICP'!$K:$K,'BASE-ICP'!$A:$A,Capex!$A9,'BASE-ICP'!$B:$B,"outubro")/1000,"")),"")</f>
        <v>0</v>
      </c>
      <c r="DC33" s="427">
        <v>0</v>
      </c>
      <c r="DD33" s="372"/>
      <c r="DE33" s="419"/>
      <c r="DF33" s="423">
        <f>IFERROR(IF(LEFT($A33,3)="Lcp",SUMIFS('BASE-LCP'!$K:$K,'BASE-LCP'!$A:$A,Capex!$A9,'BASE-LCP'!$B:$B,"novembro")/1000,IF(LEFT($A33,3)="icp",SUMIFS('BASE-ICP'!$K:$K,'BASE-ICP'!$A:$A,Capex!$A9,'BASE-ICP'!$B:$B,"novembro")/1000,"")),"")</f>
        <v>0</v>
      </c>
      <c r="DG33" s="427">
        <v>0</v>
      </c>
      <c r="DH33" s="372"/>
      <c r="DI33" s="419"/>
      <c r="DJ33" s="423">
        <f>IFERROR(IF(LEFT($A33,3)="Lcp",SUMIFS('BASE-LCP'!$K:$K,'BASE-LCP'!$A:$A,Capex!$A9,'BASE-LCP'!$B:$B,"dezembro")/1000,IF(LEFT($A33,3)="icp",SUMIFS('BASE-ICP'!$K:$K,'BASE-ICP'!$A:$A,Capex!$A9,'BASE-ICP'!$B:$B,"dezembro")/1000,"")),"")</f>
        <v>0</v>
      </c>
      <c r="DK33" s="427">
        <v>0</v>
      </c>
      <c r="DL33" s="452">
        <f t="shared" si="15"/>
        <v>0</v>
      </c>
      <c r="DM33" s="374"/>
      <c r="DN33" s="374"/>
      <c r="DO33" s="374"/>
      <c r="DP33" s="374"/>
      <c r="DQ33" s="374"/>
      <c r="DR33" s="374"/>
      <c r="DS33" s="374"/>
      <c r="DT33" s="374"/>
      <c r="DU33" s="374"/>
      <c r="DV33" s="374"/>
      <c r="DW33" s="374"/>
      <c r="DX33" s="374"/>
      <c r="DY33" s="450"/>
      <c r="DZ33" s="374">
        <f t="shared" si="16"/>
        <v>0</v>
      </c>
      <c r="EA33" s="216">
        <f t="shared" si="17"/>
        <v>0</v>
      </c>
      <c r="EB33" s="320">
        <f t="shared" si="18"/>
        <v>0</v>
      </c>
      <c r="EC33" s="241">
        <f t="shared" si="19"/>
        <v>0</v>
      </c>
      <c r="ED33" s="241">
        <f t="shared" si="20"/>
        <v>0</v>
      </c>
      <c r="EE33" s="241">
        <f t="shared" si="21"/>
        <v>0</v>
      </c>
      <c r="EF33" s="241">
        <f t="shared" si="22"/>
        <v>0</v>
      </c>
      <c r="EG33" s="346">
        <f t="shared" si="23"/>
        <v>0</v>
      </c>
      <c r="EH33" s="445">
        <f t="shared" si="24"/>
        <v>0</v>
      </c>
      <c r="EI33" s="447">
        <f t="shared" si="25"/>
        <v>0</v>
      </c>
      <c r="EJ33" s="364">
        <f t="shared" si="26"/>
        <v>0</v>
      </c>
      <c r="EK33" s="365">
        <f t="shared" si="27"/>
        <v>0</v>
      </c>
      <c r="EL33" s="529">
        <f t="shared" si="28"/>
        <v>0</v>
      </c>
      <c r="EM33" s="530">
        <v>0</v>
      </c>
      <c r="EN33" s="530">
        <v>0</v>
      </c>
      <c r="EO33" s="530">
        <v>0</v>
      </c>
      <c r="EP33" s="530">
        <v>0</v>
      </c>
      <c r="EQ33" s="530">
        <v>0</v>
      </c>
      <c r="ER33" s="530">
        <v>0</v>
      </c>
      <c r="ES33" s="530">
        <v>0</v>
      </c>
      <c r="ET33" s="530">
        <v>0</v>
      </c>
      <c r="EU33" s="530">
        <v>0</v>
      </c>
      <c r="EV33" s="530">
        <v>0</v>
      </c>
      <c r="EW33" s="530">
        <v>0</v>
      </c>
      <c r="EX33" s="530">
        <v>0</v>
      </c>
      <c r="EY33" s="530">
        <f t="shared" si="29"/>
        <v>0</v>
      </c>
      <c r="EZ33" s="530">
        <f t="shared" si="30"/>
        <v>0</v>
      </c>
      <c r="FA33" s="530">
        <f t="shared" si="31"/>
        <v>0</v>
      </c>
      <c r="FB33" s="530">
        <f t="shared" si="32"/>
        <v>0</v>
      </c>
      <c r="FC33" s="384">
        <f>IFERROR(VLOOKUP(Capex!A9,BASE_558!D:R,8,FALSE)/1000,"")</f>
        <v>488</v>
      </c>
      <c r="FD33" s="328">
        <f>IFERROR(VLOOKUP(Capex!A9,BASE_558!D:R,9,)/1000,"")</f>
        <v>79.204300000000003</v>
      </c>
      <c r="FE33" s="328">
        <f>IFERROR(IF(LEFT(A33,3)="LCP",(VLOOKUP(Capex!A9,BASE_558!D:R,10,)/1000),SUMIFS('BASE ICP_PO_SC'!F:F,'BASE ICP_PO_SC'!A:A,Capex!A9,'BASE ICP_PO_SC'!E:E,"&lt;&gt;")/1000),"")</f>
        <v>0</v>
      </c>
      <c r="FF33" s="328">
        <f>IFERROR(IF(LEFT(A33,3)="LCP",(VLOOKUP(Capex!A9,BASE_558!D:R,11,)/1000),SUMIFS('BASE ICP_PO_SC'!F:F,'BASE ICP_PO_SC'!A:A,Capex!A9,'BASE ICP_PO_SC'!E:E,"")/1000),"")</f>
        <v>0</v>
      </c>
      <c r="FG33" s="328" t="str">
        <f>IFERROR(VLOOKUP(A33,BASE_558!D:R,13,FALSE)/1000,"")</f>
        <v/>
      </c>
      <c r="FH33" s="328" t="str">
        <f>IFERROR(VLOOKUP(A33,BASE_558!D:R,15,FALSE)/1000,"")</f>
        <v/>
      </c>
      <c r="FI33" s="547">
        <f t="shared" si="33"/>
        <v>0</v>
      </c>
      <c r="FJ33" s="547">
        <f t="shared" si="34"/>
        <v>0</v>
      </c>
      <c r="FK33" s="540">
        <f t="shared" si="35"/>
        <v>0</v>
      </c>
    </row>
    <row r="34" spans="1:167" s="23" customFormat="1" ht="24" customHeight="1">
      <c r="A34" s="309" t="s">
        <v>676</v>
      </c>
      <c r="B34" s="404" t="s">
        <v>53</v>
      </c>
      <c r="C34" s="404"/>
      <c r="D34" s="338"/>
      <c r="E34" s="378"/>
      <c r="F34" s="5"/>
      <c r="G34" s="310" t="s">
        <v>9</v>
      </c>
      <c r="H34" s="338"/>
      <c r="I34" s="338"/>
      <c r="J34" s="338">
        <v>2018</v>
      </c>
      <c r="K34" s="316"/>
      <c r="L34" s="324"/>
      <c r="M34" s="409"/>
      <c r="N34" s="317" t="str">
        <f t="shared" si="38"/>
        <v/>
      </c>
      <c r="O34" s="317" t="str">
        <f t="shared" si="39"/>
        <v/>
      </c>
      <c r="P34" s="418" t="str">
        <f t="shared" si="37"/>
        <v>N/A</v>
      </c>
      <c r="Q34" s="418" t="str">
        <f t="shared" si="37"/>
        <v>N/A</v>
      </c>
      <c r="R34" s="418" t="str">
        <f t="shared" si="37"/>
        <v>N/A</v>
      </c>
      <c r="S34" s="418" t="str">
        <f t="shared" si="37"/>
        <v>N/A</v>
      </c>
      <c r="T34" s="418" t="str">
        <f t="shared" si="37"/>
        <v>N/A</v>
      </c>
      <c r="U34" s="418" t="str">
        <f t="shared" si="37"/>
        <v>N/A</v>
      </c>
      <c r="V34" s="418" t="str">
        <f t="shared" si="37"/>
        <v>N/A</v>
      </c>
      <c r="W34" s="418" t="str">
        <f t="shared" si="37"/>
        <v>N/A</v>
      </c>
      <c r="X34" s="418" t="str">
        <f t="shared" si="37"/>
        <v>N/A</v>
      </c>
      <c r="Y34" s="418" t="str">
        <f t="shared" si="37"/>
        <v>N/A</v>
      </c>
      <c r="Z34" s="418" t="str">
        <f t="shared" si="37"/>
        <v>N/A</v>
      </c>
      <c r="AA34" s="418" t="str">
        <f t="shared" si="37"/>
        <v>N/A</v>
      </c>
      <c r="AB34" s="317"/>
      <c r="AC34" s="309" t="s">
        <v>3932</v>
      </c>
      <c r="AD34" s="311"/>
      <c r="AE34" s="310"/>
      <c r="AF34" s="310" t="s">
        <v>6988</v>
      </c>
      <c r="AG34" s="310" t="s">
        <v>9083</v>
      </c>
      <c r="AH34" s="310" t="s">
        <v>2798</v>
      </c>
      <c r="AI34" s="309" t="s">
        <v>183</v>
      </c>
      <c r="AJ34" s="6" t="s">
        <v>218</v>
      </c>
      <c r="AK34" s="6" t="str">
        <f t="shared" si="10"/>
        <v>IGUAL</v>
      </c>
      <c r="AL34" s="151" t="str">
        <f>IFERROR(IF(LEFT(A34,3)="LCP",VLOOKUP(A34,STATUS_SAP_LCP!B:C,2,FALSE),VLOOKUP(A34,STATUS_SAP_ICP!B:C,2,FALSE)),"NO BUDGET")</f>
        <v>CLSD BUDG ISBD AVAC  //  BREL WPLI</v>
      </c>
      <c r="AM34" s="6" t="str">
        <f t="shared" si="11"/>
        <v>CLSD</v>
      </c>
      <c r="AN34" s="282"/>
      <c r="AO34" s="562">
        <v>1</v>
      </c>
      <c r="AP34" s="499" t="s">
        <v>9607</v>
      </c>
      <c r="AQ34" s="464"/>
      <c r="AR34" s="460"/>
      <c r="AS34" s="56"/>
      <c r="AT34" s="185">
        <v>115.64185999999999</v>
      </c>
      <c r="AU34" s="318">
        <v>0</v>
      </c>
      <c r="AV34" s="223">
        <v>0</v>
      </c>
      <c r="AW34" s="318">
        <v>0</v>
      </c>
      <c r="AX34" s="223">
        <v>0</v>
      </c>
      <c r="AY34" s="318">
        <f t="shared" si="40"/>
        <v>0</v>
      </c>
      <c r="AZ34" s="223"/>
      <c r="BA34" s="318"/>
      <c r="BB34" s="519">
        <f t="shared" si="41"/>
        <v>0</v>
      </c>
      <c r="BC34" s="518"/>
      <c r="BD34" s="518"/>
      <c r="BE34" s="518"/>
      <c r="BF34" s="518"/>
      <c r="BG34" s="518"/>
      <c r="BH34" s="518"/>
      <c r="BI34" s="518"/>
      <c r="BJ34" s="518"/>
      <c r="BK34" s="518"/>
      <c r="BL34" s="518"/>
      <c r="BM34" s="518"/>
      <c r="BN34" s="518"/>
      <c r="BO34" s="367">
        <f t="shared" si="14"/>
        <v>0</v>
      </c>
      <c r="BP34" s="421"/>
      <c r="BQ34" s="422">
        <v>0</v>
      </c>
      <c r="BR34" s="423">
        <f>IFERROR(IF(LEFT($A34,3)="Lcp",SUMIFS('BASE-LCP'!$K:$K,'BASE-LCP'!$A:$A,Capex!$A10,'BASE-LCP'!$B:$B,"janeiro")/1000,IF(LEFT($A34,3)="icp",SUMIFS('BASE-ICP'!$K:$K,'BASE-ICP'!$A:$A,Capex!$A10,'BASE-ICP'!$B:$B,"janeiro")/1000,"")),"")</f>
        <v>-44.540260000000004</v>
      </c>
      <c r="BS34" s="427">
        <v>0</v>
      </c>
      <c r="BT34" s="372">
        <v>0</v>
      </c>
      <c r="BU34" s="422">
        <v>0</v>
      </c>
      <c r="BV34" s="423">
        <f>IFERROR(IF(LEFT($A34,3)="Lcp",SUMIFS('BASE-LCP'!$K:$K,'BASE-LCP'!$A:$A,Capex!$A10,'BASE-LCP'!$B:$B,"fevereiro")/1000,IF(LEFT($A34,3)="icp",SUMIFS('BASE-ICP'!$K:$K,'BASE-ICP'!$A:$A,Capex!$A10,'BASE-ICP'!$B:$B,"fevereiro")/1000,"")),"")</f>
        <v>6.5413599999999787</v>
      </c>
      <c r="BW34" s="427">
        <v>0</v>
      </c>
      <c r="BX34" s="372">
        <v>0</v>
      </c>
      <c r="BY34" s="422">
        <v>0</v>
      </c>
      <c r="BZ34" s="423">
        <f>IFERROR(IF(LEFT($A34,3)="Lcp",SUMIFS('BASE-LCP'!$K:$K,'BASE-LCP'!$A:$A,Capex!$A10,'BASE-LCP'!$B:$B,"março")/1000,IF(LEFT($A34,3)="icp",SUMIFS('BASE-ICP'!$K:$K,'BASE-ICP'!$A:$A,Capex!$A10,'BASE-ICP'!$B:$B,"março")/1000,"")),"")</f>
        <v>17.682640000000021</v>
      </c>
      <c r="CA34" s="427">
        <v>0</v>
      </c>
      <c r="CB34" s="372">
        <v>0</v>
      </c>
      <c r="CC34" s="422"/>
      <c r="CD34" s="423">
        <f>IFERROR(IF(LEFT($A34,3)="Lcp",SUMIFS('BASE-LCP'!$K:$K,'BASE-LCP'!$A:$A,Capex!$A10,'BASE-LCP'!$B:$B,"abril")/1000,IF(LEFT($A34,3)="icp",SUMIFS('BASE-ICP'!$K:$K,'BASE-ICP'!$A:$A,Capex!$A10,'BASE-ICP'!$B:$B,"abril")/1000,"")),"")</f>
        <v>-55.011000000000003</v>
      </c>
      <c r="CE34" s="427">
        <v>0</v>
      </c>
      <c r="CF34" s="372">
        <v>0</v>
      </c>
      <c r="CG34" s="422">
        <f t="shared" si="42"/>
        <v>0</v>
      </c>
      <c r="CH34" s="423">
        <v>0</v>
      </c>
      <c r="CI34" s="427">
        <v>0</v>
      </c>
      <c r="CJ34" s="372">
        <v>0</v>
      </c>
      <c r="CK34" s="419"/>
      <c r="CL34" s="423">
        <f>IFERROR(IF(LEFT($A34,3)="Lcp",SUMIFS('BASE-LCP'!$K:$K,'BASE-LCP'!$A:$A,Capex!$A10,'BASE-LCP'!$B:$B,"junho")/1000,IF(LEFT($A34,3)="icp",SUMIFS('BASE-ICP'!$K:$K,'BASE-ICP'!$A:$A,Capex!$A10,'BASE-ICP'!$B:$B,"junho")/1000,"")),"")</f>
        <v>1.6205799999999946</v>
      </c>
      <c r="CM34" s="427">
        <v>0</v>
      </c>
      <c r="CN34" s="372"/>
      <c r="CO34" s="419"/>
      <c r="CP34" s="423">
        <f>IFERROR(IF(LEFT($A34,3)="Lcp",SUMIFS('BASE-LCP'!$K:$K,'BASE-LCP'!$A:$A,Capex!$A10,'BASE-LCP'!$B:$B,"julho")/1000,IF(LEFT($A34,3)="icp",SUMIFS('BASE-ICP'!$K:$K,'BASE-ICP'!$A:$A,Capex!$A10,'BASE-ICP'!$B:$B,"julho")/1000,"")),"")</f>
        <v>62.219989999999996</v>
      </c>
      <c r="CQ34" s="427">
        <v>0</v>
      </c>
      <c r="CR34" s="372"/>
      <c r="CS34" s="419"/>
      <c r="CT34" s="423">
        <f>IFERROR(IF(LEFT($A34,3)="Lcp",SUMIFS('BASE-LCP'!$K:$K,'BASE-LCP'!$A:$A,Capex!$A10,'BASE-LCP'!$B:$B,"agosto")/1000,IF(LEFT($A34,3)="icp",SUMIFS('BASE-ICP'!$K:$K,'BASE-ICP'!$A:$A,Capex!$A10,'BASE-ICP'!$B:$B,"agosto")/1000,"")),"")</f>
        <v>0</v>
      </c>
      <c r="CU34" s="427">
        <v>0</v>
      </c>
      <c r="CV34" s="372"/>
      <c r="CW34" s="419"/>
      <c r="CX34" s="423">
        <f>IFERROR(IF(LEFT($A34,3)="Lcp",SUMIFS('BASE-LCP'!$K:$K,'BASE-LCP'!$A:$A,Capex!$A10,'BASE-LCP'!$B:$B,"setembro")/1000,IF(LEFT($A34,3)="icp",SUMIFS('BASE-ICP'!$K:$K,'BASE-ICP'!$A:$A,Capex!$A10,'BASE-ICP'!$B:$B,"setembro")/1000,"")),"")</f>
        <v>0</v>
      </c>
      <c r="CY34" s="427">
        <v>0</v>
      </c>
      <c r="CZ34" s="372"/>
      <c r="DA34" s="419"/>
      <c r="DB34" s="423">
        <f>IFERROR(IF(LEFT($A34,3)="Lcp",SUMIFS('BASE-LCP'!$K:$K,'BASE-LCP'!$A:$A,Capex!$A10,'BASE-LCP'!$B:$B,"outubro")/1000,IF(LEFT($A34,3)="icp",SUMIFS('BASE-ICP'!$K:$K,'BASE-ICP'!$A:$A,Capex!$A10,'BASE-ICP'!$B:$B,"outubro")/1000,"")),"")</f>
        <v>0</v>
      </c>
      <c r="DC34" s="427">
        <v>0</v>
      </c>
      <c r="DD34" s="372"/>
      <c r="DE34" s="419"/>
      <c r="DF34" s="423">
        <f>IFERROR(IF(LEFT($A34,3)="Lcp",SUMIFS('BASE-LCP'!$K:$K,'BASE-LCP'!$A:$A,Capex!$A10,'BASE-LCP'!$B:$B,"novembro")/1000,IF(LEFT($A34,3)="icp",SUMIFS('BASE-ICP'!$K:$K,'BASE-ICP'!$A:$A,Capex!$A10,'BASE-ICP'!$B:$B,"novembro")/1000,"")),"")</f>
        <v>0</v>
      </c>
      <c r="DG34" s="427">
        <v>0</v>
      </c>
      <c r="DH34" s="372"/>
      <c r="DI34" s="419"/>
      <c r="DJ34" s="423">
        <f>IFERROR(IF(LEFT($A34,3)="Lcp",SUMIFS('BASE-LCP'!$K:$K,'BASE-LCP'!$A:$A,Capex!$A10,'BASE-LCP'!$B:$B,"dezembro")/1000,IF(LEFT($A34,3)="icp",SUMIFS('BASE-ICP'!$K:$K,'BASE-ICP'!$A:$A,Capex!$A10,'BASE-ICP'!$B:$B,"dezembro")/1000,"")),"")</f>
        <v>0</v>
      </c>
      <c r="DK34" s="427">
        <v>0</v>
      </c>
      <c r="DL34" s="452">
        <f t="shared" si="15"/>
        <v>0</v>
      </c>
      <c r="DM34" s="374"/>
      <c r="DN34" s="374"/>
      <c r="DO34" s="374"/>
      <c r="DP34" s="374"/>
      <c r="DQ34" s="374"/>
      <c r="DR34" s="374"/>
      <c r="DS34" s="374"/>
      <c r="DT34" s="374"/>
      <c r="DU34" s="374"/>
      <c r="DV34" s="374"/>
      <c r="DW34" s="374"/>
      <c r="DX34" s="374"/>
      <c r="DY34" s="450"/>
      <c r="DZ34" s="374">
        <f t="shared" si="16"/>
        <v>0</v>
      </c>
      <c r="EA34" s="216">
        <f t="shared" si="17"/>
        <v>0</v>
      </c>
      <c r="EB34" s="320">
        <f t="shared" si="18"/>
        <v>1.6205799999999946</v>
      </c>
      <c r="EC34" s="241">
        <f t="shared" si="19"/>
        <v>0</v>
      </c>
      <c r="ED34" s="241">
        <f t="shared" si="20"/>
        <v>0</v>
      </c>
      <c r="EE34" s="241">
        <f t="shared" si="21"/>
        <v>0</v>
      </c>
      <c r="EF34" s="241">
        <f t="shared" si="22"/>
        <v>0</v>
      </c>
      <c r="EG34" s="346">
        <f t="shared" si="23"/>
        <v>0</v>
      </c>
      <c r="EH34" s="445">
        <f t="shared" si="24"/>
        <v>0</v>
      </c>
      <c r="EI34" s="447">
        <f t="shared" si="25"/>
        <v>0</v>
      </c>
      <c r="EJ34" s="364">
        <f t="shared" si="26"/>
        <v>1.6205799999999946</v>
      </c>
      <c r="EK34" s="365">
        <f t="shared" si="27"/>
        <v>-1.6205799999999946</v>
      </c>
      <c r="EL34" s="529">
        <f t="shared" si="28"/>
        <v>0</v>
      </c>
      <c r="EM34" s="530">
        <v>0</v>
      </c>
      <c r="EN34" s="530">
        <v>0</v>
      </c>
      <c r="EO34" s="530">
        <v>0</v>
      </c>
      <c r="EP34" s="530">
        <v>0</v>
      </c>
      <c r="EQ34" s="530">
        <v>0</v>
      </c>
      <c r="ER34" s="530">
        <v>0</v>
      </c>
      <c r="ES34" s="530">
        <v>0</v>
      </c>
      <c r="ET34" s="530">
        <v>0</v>
      </c>
      <c r="EU34" s="530">
        <v>0</v>
      </c>
      <c r="EV34" s="530">
        <v>0</v>
      </c>
      <c r="EW34" s="530">
        <v>0</v>
      </c>
      <c r="EX34" s="530">
        <v>0</v>
      </c>
      <c r="EY34" s="530">
        <f t="shared" si="29"/>
        <v>0</v>
      </c>
      <c r="EZ34" s="530">
        <f t="shared" si="30"/>
        <v>0</v>
      </c>
      <c r="FA34" s="530">
        <f t="shared" si="31"/>
        <v>0</v>
      </c>
      <c r="FB34" s="530">
        <f t="shared" si="32"/>
        <v>0</v>
      </c>
      <c r="FC34" s="384" t="str">
        <f>IFERROR(VLOOKUP(Capex!A10,BASE_558!D:R,8,FALSE)/1000,"")</f>
        <v/>
      </c>
      <c r="FD34" s="328" t="str">
        <f>IFERROR(VLOOKUP(Capex!A10,BASE_558!D:R,9,)/1000,"")</f>
        <v/>
      </c>
      <c r="FE34" s="328">
        <f>IFERROR(IF(LEFT(A34,3)="LCP",(VLOOKUP(Capex!A10,BASE_558!D:R,10,)/1000),SUMIFS('BASE ICP_PO_SC'!F:F,'BASE ICP_PO_SC'!A:A,Capex!A10,'BASE ICP_PO_SC'!E:E,"&lt;&gt;")/1000),"")</f>
        <v>124.78054999999999</v>
      </c>
      <c r="FF34" s="328">
        <f>IFERROR(IF(LEFT(A34,3)="LCP",(VLOOKUP(Capex!A10,BASE_558!D:R,11,)/1000),SUMIFS('BASE ICP_PO_SC'!F:F,'BASE ICP_PO_SC'!A:A,Capex!A10,'BASE ICP_PO_SC'!E:E,"")/1000),"")</f>
        <v>0</v>
      </c>
      <c r="FG34" s="328" t="str">
        <f>IFERROR(VLOOKUP(A34,BASE_558!D:R,13,FALSE)/1000,"")</f>
        <v/>
      </c>
      <c r="FH34" s="328" t="str">
        <f>IFERROR(VLOOKUP(A34,BASE_558!D:R,15,FALSE)/1000,"")</f>
        <v/>
      </c>
      <c r="FI34" s="547">
        <f t="shared" si="33"/>
        <v>0</v>
      </c>
      <c r="FJ34" s="547">
        <f t="shared" si="34"/>
        <v>0</v>
      </c>
      <c r="FK34" s="540">
        <f t="shared" si="35"/>
        <v>0</v>
      </c>
    </row>
    <row r="35" spans="1:167" s="23" customFormat="1" ht="24" customHeight="1">
      <c r="A35" s="309" t="s">
        <v>677</v>
      </c>
      <c r="B35" s="404" t="s">
        <v>63</v>
      </c>
      <c r="C35" s="404"/>
      <c r="D35" s="338"/>
      <c r="E35" s="378"/>
      <c r="F35" s="5"/>
      <c r="G35" s="310" t="s">
        <v>9</v>
      </c>
      <c r="H35" s="338"/>
      <c r="I35" s="338"/>
      <c r="J35" s="338">
        <v>2018</v>
      </c>
      <c r="K35" s="316"/>
      <c r="L35" s="324"/>
      <c r="M35" s="409"/>
      <c r="N35" s="317" t="str">
        <f t="shared" si="38"/>
        <v/>
      </c>
      <c r="O35" s="317" t="str">
        <f t="shared" si="39"/>
        <v/>
      </c>
      <c r="P35" s="418" t="str">
        <f t="shared" ref="P35:AA44" si="43">IF($N35="","N/A",IF($O35="","N/A",IF(P$2&lt;=$N35,"NÃO",IF($AJ35="REL ","SIM",IF(P$2&lt;$O35,"NÃO",IF($AJ35&lt;&gt;"CLSD","SIM","CRTD"))))))</f>
        <v>N/A</v>
      </c>
      <c r="Q35" s="418" t="str">
        <f t="shared" si="43"/>
        <v>N/A</v>
      </c>
      <c r="R35" s="418" t="str">
        <f t="shared" si="43"/>
        <v>N/A</v>
      </c>
      <c r="S35" s="418" t="str">
        <f t="shared" si="43"/>
        <v>N/A</v>
      </c>
      <c r="T35" s="418" t="str">
        <f t="shared" si="43"/>
        <v>N/A</v>
      </c>
      <c r="U35" s="418" t="str">
        <f t="shared" si="43"/>
        <v>N/A</v>
      </c>
      <c r="V35" s="418" t="str">
        <f t="shared" si="43"/>
        <v>N/A</v>
      </c>
      <c r="W35" s="418" t="str">
        <f t="shared" si="43"/>
        <v>N/A</v>
      </c>
      <c r="X35" s="418" t="str">
        <f t="shared" si="43"/>
        <v>N/A</v>
      </c>
      <c r="Y35" s="418" t="str">
        <f t="shared" si="43"/>
        <v>N/A</v>
      </c>
      <c r="Z35" s="418" t="str">
        <f t="shared" si="43"/>
        <v>N/A</v>
      </c>
      <c r="AA35" s="418" t="str">
        <f t="shared" si="43"/>
        <v>N/A</v>
      </c>
      <c r="AB35" s="317"/>
      <c r="AC35" s="309" t="s">
        <v>3932</v>
      </c>
      <c r="AD35" s="311"/>
      <c r="AE35" s="310"/>
      <c r="AF35" s="310" t="s">
        <v>6988</v>
      </c>
      <c r="AG35" s="310" t="s">
        <v>9083</v>
      </c>
      <c r="AH35" s="310" t="s">
        <v>1414</v>
      </c>
      <c r="AI35" s="309" t="s">
        <v>183</v>
      </c>
      <c r="AJ35" s="6" t="s">
        <v>218</v>
      </c>
      <c r="AK35" s="6" t="str">
        <f t="shared" si="10"/>
        <v>IGUAL</v>
      </c>
      <c r="AL35" s="151" t="str">
        <f>IFERROR(IF(LEFT(A35,3)="LCP",VLOOKUP(A35,STATUS_SAP_LCP!B:C,2,FALSE),VLOOKUP(A35,STATUS_SAP_ICP!B:C,2,FALSE)),"NO BUDGET")</f>
        <v>CLSD BUDG AVAC  //  BREL WPLI</v>
      </c>
      <c r="AM35" s="6" t="str">
        <f t="shared" si="11"/>
        <v>CLSD</v>
      </c>
      <c r="AN35" s="160" t="s">
        <v>2208</v>
      </c>
      <c r="AO35" s="562">
        <v>1</v>
      </c>
      <c r="AP35" s="499" t="s">
        <v>9607</v>
      </c>
      <c r="AQ35" s="464"/>
      <c r="AR35" s="460"/>
      <c r="AS35" s="56"/>
      <c r="AT35" s="185">
        <v>214.97536999999983</v>
      </c>
      <c r="AU35" s="318">
        <v>-418.03419000000002</v>
      </c>
      <c r="AV35" s="223">
        <v>0</v>
      </c>
      <c r="AW35" s="318">
        <v>0</v>
      </c>
      <c r="AX35" s="223">
        <v>0</v>
      </c>
      <c r="AY35" s="318">
        <f t="shared" si="40"/>
        <v>0</v>
      </c>
      <c r="AZ35" s="223"/>
      <c r="BA35" s="318"/>
      <c r="BB35" s="519">
        <f t="shared" si="41"/>
        <v>0</v>
      </c>
      <c r="BC35" s="518"/>
      <c r="BD35" s="518"/>
      <c r="BE35" s="518"/>
      <c r="BF35" s="518"/>
      <c r="BG35" s="518"/>
      <c r="BH35" s="518"/>
      <c r="BI35" s="518"/>
      <c r="BJ35" s="518"/>
      <c r="BK35" s="518"/>
      <c r="BL35" s="518"/>
      <c r="BM35" s="518"/>
      <c r="BN35" s="518"/>
      <c r="BO35" s="367">
        <f t="shared" si="14"/>
        <v>0</v>
      </c>
      <c r="BP35" s="421"/>
      <c r="BQ35" s="422">
        <v>0</v>
      </c>
      <c r="BR35" s="423">
        <f>IFERROR(IF(LEFT($A35,3)="Lcp",SUMIFS('BASE-LCP'!$K:$K,'BASE-LCP'!$A:$A,Capex!$A11,'BASE-LCP'!$B:$B,"janeiro")/1000,IF(LEFT($A35,3)="icp",SUMIFS('BASE-ICP'!$K:$K,'BASE-ICP'!$A:$A,Capex!$A11,'BASE-ICP'!$B:$B,"janeiro")/1000,"")),"")</f>
        <v>0</v>
      </c>
      <c r="BS35" s="427">
        <v>0</v>
      </c>
      <c r="BT35" s="372">
        <v>0</v>
      </c>
      <c r="BU35" s="422">
        <v>0</v>
      </c>
      <c r="BV35" s="423">
        <f>IFERROR(IF(LEFT($A35,3)="Lcp",SUMIFS('BASE-LCP'!$K:$K,'BASE-LCP'!$A:$A,Capex!$A11,'BASE-LCP'!$B:$B,"fevereiro")/1000,IF(LEFT($A35,3)="icp",SUMIFS('BASE-ICP'!$K:$K,'BASE-ICP'!$A:$A,Capex!$A11,'BASE-ICP'!$B:$B,"fevereiro")/1000,"")),"")</f>
        <v>0</v>
      </c>
      <c r="BW35" s="427">
        <v>0</v>
      </c>
      <c r="BX35" s="372">
        <v>0</v>
      </c>
      <c r="BY35" s="422">
        <v>0</v>
      </c>
      <c r="BZ35" s="423">
        <f>IFERROR(IF(LEFT($A35,3)="Lcp",SUMIFS('BASE-LCP'!$K:$K,'BASE-LCP'!$A:$A,Capex!$A11,'BASE-LCP'!$B:$B,"março")/1000,IF(LEFT($A35,3)="icp",SUMIFS('BASE-ICP'!$K:$K,'BASE-ICP'!$A:$A,Capex!$A11,'BASE-ICP'!$B:$B,"março")/1000,"")),"")</f>
        <v>0</v>
      </c>
      <c r="CA35" s="427">
        <v>0</v>
      </c>
      <c r="CB35" s="372">
        <v>0</v>
      </c>
      <c r="CC35" s="422"/>
      <c r="CD35" s="423">
        <f>IFERROR(IF(LEFT($A35,3)="Lcp",SUMIFS('BASE-LCP'!$K:$K,'BASE-LCP'!$A:$A,Capex!$A11,'BASE-LCP'!$B:$B,"abril")/1000,IF(LEFT($A35,3)="icp",SUMIFS('BASE-ICP'!$K:$K,'BASE-ICP'!$A:$A,Capex!$A11,'BASE-ICP'!$B:$B,"abril")/1000,"")),"")</f>
        <v>0</v>
      </c>
      <c r="CE35" s="427">
        <v>0</v>
      </c>
      <c r="CF35" s="372">
        <v>0</v>
      </c>
      <c r="CG35" s="422">
        <f t="shared" si="42"/>
        <v>0</v>
      </c>
      <c r="CH35" s="423">
        <v>0</v>
      </c>
      <c r="CI35" s="427">
        <v>0</v>
      </c>
      <c r="CJ35" s="372">
        <v>0</v>
      </c>
      <c r="CK35" s="419"/>
      <c r="CL35" s="423">
        <f>IFERROR(IF(LEFT($A35,3)="Lcp",SUMIFS('BASE-LCP'!$K:$K,'BASE-LCP'!$A:$A,Capex!$A11,'BASE-LCP'!$B:$B,"junho")/1000,IF(LEFT($A35,3)="icp",SUMIFS('BASE-ICP'!$K:$K,'BASE-ICP'!$A:$A,Capex!$A11,'BASE-ICP'!$B:$B,"junho")/1000,"")),"")</f>
        <v>0</v>
      </c>
      <c r="CM35" s="427">
        <v>0</v>
      </c>
      <c r="CN35" s="372"/>
      <c r="CO35" s="419"/>
      <c r="CP35" s="423">
        <f>IFERROR(IF(LEFT($A35,3)="Lcp",SUMIFS('BASE-LCP'!$K:$K,'BASE-LCP'!$A:$A,Capex!$A11,'BASE-LCP'!$B:$B,"julho")/1000,IF(LEFT($A35,3)="icp",SUMIFS('BASE-ICP'!$K:$K,'BASE-ICP'!$A:$A,Capex!$A11,'BASE-ICP'!$B:$B,"julho")/1000,"")),"")</f>
        <v>0</v>
      </c>
      <c r="CQ35" s="427">
        <v>0</v>
      </c>
      <c r="CR35" s="372"/>
      <c r="CS35" s="419"/>
      <c r="CT35" s="423">
        <f>IFERROR(IF(LEFT($A35,3)="Lcp",SUMIFS('BASE-LCP'!$K:$K,'BASE-LCP'!$A:$A,Capex!$A11,'BASE-LCP'!$B:$B,"agosto")/1000,IF(LEFT($A35,3)="icp",SUMIFS('BASE-ICP'!$K:$K,'BASE-ICP'!$A:$A,Capex!$A11,'BASE-ICP'!$B:$B,"agosto")/1000,"")),"")</f>
        <v>0</v>
      </c>
      <c r="CU35" s="427">
        <v>0</v>
      </c>
      <c r="CV35" s="372"/>
      <c r="CW35" s="419"/>
      <c r="CX35" s="423">
        <f>IFERROR(IF(LEFT($A35,3)="Lcp",SUMIFS('BASE-LCP'!$K:$K,'BASE-LCP'!$A:$A,Capex!$A11,'BASE-LCP'!$B:$B,"setembro")/1000,IF(LEFT($A35,3)="icp",SUMIFS('BASE-ICP'!$K:$K,'BASE-ICP'!$A:$A,Capex!$A11,'BASE-ICP'!$B:$B,"setembro")/1000,"")),"")</f>
        <v>0</v>
      </c>
      <c r="CY35" s="427">
        <v>0</v>
      </c>
      <c r="CZ35" s="372"/>
      <c r="DA35" s="419"/>
      <c r="DB35" s="423">
        <f>IFERROR(IF(LEFT($A35,3)="Lcp",SUMIFS('BASE-LCP'!$K:$K,'BASE-LCP'!$A:$A,Capex!$A11,'BASE-LCP'!$B:$B,"outubro")/1000,IF(LEFT($A35,3)="icp",SUMIFS('BASE-ICP'!$K:$K,'BASE-ICP'!$A:$A,Capex!$A11,'BASE-ICP'!$B:$B,"outubro")/1000,"")),"")</f>
        <v>0</v>
      </c>
      <c r="DC35" s="427">
        <v>0</v>
      </c>
      <c r="DD35" s="372"/>
      <c r="DE35" s="419"/>
      <c r="DF35" s="423">
        <f>IFERROR(IF(LEFT($A35,3)="Lcp",SUMIFS('BASE-LCP'!$K:$K,'BASE-LCP'!$A:$A,Capex!$A11,'BASE-LCP'!$B:$B,"novembro")/1000,IF(LEFT($A35,3)="icp",SUMIFS('BASE-ICP'!$K:$K,'BASE-ICP'!$A:$A,Capex!$A11,'BASE-ICP'!$B:$B,"novembro")/1000,"")),"")</f>
        <v>0</v>
      </c>
      <c r="DG35" s="427">
        <v>0</v>
      </c>
      <c r="DH35" s="372"/>
      <c r="DI35" s="419"/>
      <c r="DJ35" s="423">
        <f>IFERROR(IF(LEFT($A35,3)="Lcp",SUMIFS('BASE-LCP'!$K:$K,'BASE-LCP'!$A:$A,Capex!$A11,'BASE-LCP'!$B:$B,"dezembro")/1000,IF(LEFT($A35,3)="icp",SUMIFS('BASE-ICP'!$K:$K,'BASE-ICP'!$A:$A,Capex!$A11,'BASE-ICP'!$B:$B,"dezembro")/1000,"")),"")</f>
        <v>0</v>
      </c>
      <c r="DK35" s="427">
        <v>0</v>
      </c>
      <c r="DL35" s="452">
        <f t="shared" si="15"/>
        <v>0</v>
      </c>
      <c r="DM35" s="374"/>
      <c r="DN35" s="374"/>
      <c r="DO35" s="374"/>
      <c r="DP35" s="374"/>
      <c r="DQ35" s="374"/>
      <c r="DR35" s="374"/>
      <c r="DS35" s="374"/>
      <c r="DT35" s="374"/>
      <c r="DU35" s="374"/>
      <c r="DV35" s="374"/>
      <c r="DW35" s="374"/>
      <c r="DX35" s="374"/>
      <c r="DY35" s="450"/>
      <c r="DZ35" s="374">
        <f t="shared" si="16"/>
        <v>0</v>
      </c>
      <c r="EA35" s="216">
        <f t="shared" si="17"/>
        <v>0</v>
      </c>
      <c r="EB35" s="320">
        <f t="shared" si="18"/>
        <v>0</v>
      </c>
      <c r="EC35" s="241">
        <f t="shared" si="19"/>
        <v>0</v>
      </c>
      <c r="ED35" s="241">
        <f t="shared" si="20"/>
        <v>0</v>
      </c>
      <c r="EE35" s="241">
        <f t="shared" si="21"/>
        <v>0</v>
      </c>
      <c r="EF35" s="241">
        <f t="shared" si="22"/>
        <v>0</v>
      </c>
      <c r="EG35" s="346">
        <f t="shared" si="23"/>
        <v>0</v>
      </c>
      <c r="EH35" s="445">
        <f t="shared" si="24"/>
        <v>0</v>
      </c>
      <c r="EI35" s="447">
        <f t="shared" si="25"/>
        <v>0</v>
      </c>
      <c r="EJ35" s="364">
        <f t="shared" si="26"/>
        <v>0</v>
      </c>
      <c r="EK35" s="365">
        <f t="shared" si="27"/>
        <v>0</v>
      </c>
      <c r="EL35" s="529">
        <f t="shared" si="28"/>
        <v>0</v>
      </c>
      <c r="EM35" s="530">
        <v>0</v>
      </c>
      <c r="EN35" s="530">
        <v>0</v>
      </c>
      <c r="EO35" s="530">
        <v>0</v>
      </c>
      <c r="EP35" s="530">
        <v>0</v>
      </c>
      <c r="EQ35" s="530">
        <v>0</v>
      </c>
      <c r="ER35" s="530">
        <v>0</v>
      </c>
      <c r="ES35" s="530">
        <v>0</v>
      </c>
      <c r="ET35" s="530">
        <v>0</v>
      </c>
      <c r="EU35" s="530">
        <v>0</v>
      </c>
      <c r="EV35" s="530">
        <v>0</v>
      </c>
      <c r="EW35" s="530">
        <v>0</v>
      </c>
      <c r="EX35" s="530">
        <v>0</v>
      </c>
      <c r="EY35" s="530">
        <f t="shared" si="29"/>
        <v>0</v>
      </c>
      <c r="EZ35" s="530">
        <f t="shared" si="30"/>
        <v>0</v>
      </c>
      <c r="FA35" s="530">
        <f t="shared" si="31"/>
        <v>0</v>
      </c>
      <c r="FB35" s="530">
        <f t="shared" si="32"/>
        <v>0</v>
      </c>
      <c r="FC35" s="384">
        <f>IFERROR(VLOOKUP(Capex!A11,BASE_558!D:R,8,FALSE)/1000,"")</f>
        <v>1074.8106</v>
      </c>
      <c r="FD35" s="328">
        <f>IFERROR(VLOOKUP(Capex!A11,BASE_558!D:R,9,)/1000,"")</f>
        <v>920.38602000000003</v>
      </c>
      <c r="FE35" s="328">
        <f>IFERROR(IF(LEFT(A35,3)="LCP",(VLOOKUP(Capex!A11,BASE_558!D:R,10,)/1000),SUMIFS('BASE ICP_PO_SC'!F:F,'BASE ICP_PO_SC'!A:A,Capex!A11,'BASE ICP_PO_SC'!E:E,"&lt;&gt;")/1000),"")</f>
        <v>0</v>
      </c>
      <c r="FF35" s="328">
        <f>IFERROR(IF(LEFT(A35,3)="LCP",(VLOOKUP(Capex!A11,BASE_558!D:R,11,)/1000),SUMIFS('BASE ICP_PO_SC'!F:F,'BASE ICP_PO_SC'!A:A,Capex!A11,'BASE ICP_PO_SC'!E:E,"")/1000),"")</f>
        <v>0</v>
      </c>
      <c r="FG35" s="328" t="str">
        <f>IFERROR(VLOOKUP(A35,BASE_558!D:R,13,FALSE)/1000,"")</f>
        <v/>
      </c>
      <c r="FH35" s="328" t="str">
        <f>IFERROR(VLOOKUP(A35,BASE_558!D:R,15,FALSE)/1000,"")</f>
        <v/>
      </c>
      <c r="FI35" s="547">
        <f t="shared" si="33"/>
        <v>0</v>
      </c>
      <c r="FJ35" s="547">
        <f t="shared" si="34"/>
        <v>0</v>
      </c>
      <c r="FK35" s="540">
        <f t="shared" si="35"/>
        <v>0</v>
      </c>
    </row>
    <row r="36" spans="1:167" s="23" customFormat="1" ht="24" customHeight="1">
      <c r="A36" s="309" t="s">
        <v>683</v>
      </c>
      <c r="B36" s="404"/>
      <c r="C36" s="404"/>
      <c r="D36" s="338"/>
      <c r="E36" s="378"/>
      <c r="F36" s="5"/>
      <c r="G36" s="310" t="s">
        <v>9</v>
      </c>
      <c r="H36" s="338"/>
      <c r="I36" s="338"/>
      <c r="J36" s="338">
        <v>2018</v>
      </c>
      <c r="K36" s="316"/>
      <c r="L36" s="324"/>
      <c r="M36" s="409"/>
      <c r="N36" s="317" t="str">
        <f t="shared" si="38"/>
        <v/>
      </c>
      <c r="O36" s="317" t="str">
        <f t="shared" si="39"/>
        <v/>
      </c>
      <c r="P36" s="418" t="str">
        <f t="shared" si="43"/>
        <v>N/A</v>
      </c>
      <c r="Q36" s="418" t="str">
        <f t="shared" si="43"/>
        <v>N/A</v>
      </c>
      <c r="R36" s="418" t="str">
        <f t="shared" si="43"/>
        <v>N/A</v>
      </c>
      <c r="S36" s="418" t="str">
        <f t="shared" si="43"/>
        <v>N/A</v>
      </c>
      <c r="T36" s="418" t="str">
        <f t="shared" si="43"/>
        <v>N/A</v>
      </c>
      <c r="U36" s="418" t="str">
        <f t="shared" si="43"/>
        <v>N/A</v>
      </c>
      <c r="V36" s="418" t="str">
        <f t="shared" si="43"/>
        <v>N/A</v>
      </c>
      <c r="W36" s="418" t="str">
        <f t="shared" si="43"/>
        <v>N/A</v>
      </c>
      <c r="X36" s="418" t="str">
        <f t="shared" si="43"/>
        <v>N/A</v>
      </c>
      <c r="Y36" s="418" t="str">
        <f t="shared" si="43"/>
        <v>N/A</v>
      </c>
      <c r="Z36" s="418" t="str">
        <f t="shared" si="43"/>
        <v>N/A</v>
      </c>
      <c r="AA36" s="418" t="str">
        <f t="shared" si="43"/>
        <v>N/A</v>
      </c>
      <c r="AB36" s="317"/>
      <c r="AC36" s="309" t="s">
        <v>3932</v>
      </c>
      <c r="AD36" s="311"/>
      <c r="AE36" s="311"/>
      <c r="AF36" s="310" t="s">
        <v>6988</v>
      </c>
      <c r="AG36" s="310" t="s">
        <v>9083</v>
      </c>
      <c r="AH36" s="310" t="s">
        <v>1415</v>
      </c>
      <c r="AI36" s="381" t="s">
        <v>2255</v>
      </c>
      <c r="AJ36" s="6" t="s">
        <v>218</v>
      </c>
      <c r="AK36" s="6" t="str">
        <f t="shared" si="10"/>
        <v>IGUAL</v>
      </c>
      <c r="AL36" s="151" t="str">
        <f>IFERROR(IF(LEFT(A36,3)="LCP",VLOOKUP(A36,STATUS_SAP_LCP!B:C,2,FALSE),VLOOKUP(A36,STATUS_SAP_ICP!B:C,2,FALSE)),"NO BUDGET")</f>
        <v>CLSD BUDG AVAC  //  BREL WPLI</v>
      </c>
      <c r="AM36" s="6" t="str">
        <f t="shared" si="11"/>
        <v>CLSD</v>
      </c>
      <c r="AN36" s="282"/>
      <c r="AO36" s="493">
        <v>1</v>
      </c>
      <c r="AP36" s="499" t="s">
        <v>9607</v>
      </c>
      <c r="AQ36" s="464"/>
      <c r="AR36" s="460"/>
      <c r="AS36" s="56"/>
      <c r="AT36" s="185">
        <v>0</v>
      </c>
      <c r="AU36" s="318">
        <v>0</v>
      </c>
      <c r="AV36" s="223">
        <v>0</v>
      </c>
      <c r="AW36" s="318">
        <v>0</v>
      </c>
      <c r="AX36" s="223">
        <v>0</v>
      </c>
      <c r="AY36" s="318">
        <f t="shared" si="40"/>
        <v>0</v>
      </c>
      <c r="AZ36" s="223"/>
      <c r="BA36" s="318"/>
      <c r="BB36" s="519">
        <f t="shared" si="41"/>
        <v>0</v>
      </c>
      <c r="BC36" s="518"/>
      <c r="BD36" s="518"/>
      <c r="BE36" s="518"/>
      <c r="BF36" s="518"/>
      <c r="BG36" s="518"/>
      <c r="BH36" s="518"/>
      <c r="BI36" s="518"/>
      <c r="BJ36" s="518"/>
      <c r="BK36" s="518"/>
      <c r="BL36" s="518"/>
      <c r="BM36" s="518"/>
      <c r="BN36" s="518"/>
      <c r="BO36" s="367">
        <f t="shared" si="14"/>
        <v>0</v>
      </c>
      <c r="BP36" s="421"/>
      <c r="BQ36" s="422">
        <v>0</v>
      </c>
      <c r="BR36" s="423">
        <f>IFERROR(IF(LEFT($A36,3)="Lcp",SUMIFS('BASE-LCP'!$K:$K,'BASE-LCP'!$A:$A,Capex!$A12,'BASE-LCP'!$B:$B,"janeiro")/1000,IF(LEFT($A36,3)="icp",SUMIFS('BASE-ICP'!$K:$K,'BASE-ICP'!$A:$A,Capex!$A12,'BASE-ICP'!$B:$B,"janeiro")/1000,"")),"")</f>
        <v>0</v>
      </c>
      <c r="BS36" s="427">
        <v>0</v>
      </c>
      <c r="BT36" s="372">
        <v>0</v>
      </c>
      <c r="BU36" s="422">
        <v>0</v>
      </c>
      <c r="BV36" s="423">
        <f>IFERROR(IF(LEFT($A36,3)="Lcp",SUMIFS('BASE-LCP'!$K:$K,'BASE-LCP'!$A:$A,Capex!$A12,'BASE-LCP'!$B:$B,"fevereiro")/1000,IF(LEFT($A36,3)="icp",SUMIFS('BASE-ICP'!$K:$K,'BASE-ICP'!$A:$A,Capex!$A12,'BASE-ICP'!$B:$B,"fevereiro")/1000,"")),"")</f>
        <v>0</v>
      </c>
      <c r="BW36" s="427">
        <v>0</v>
      </c>
      <c r="BX36" s="372">
        <v>0</v>
      </c>
      <c r="BY36" s="422">
        <v>0</v>
      </c>
      <c r="BZ36" s="423">
        <f>IFERROR(IF(LEFT($A36,3)="Lcp",SUMIFS('BASE-LCP'!$K:$K,'BASE-LCP'!$A:$A,Capex!$A12,'BASE-LCP'!$B:$B,"março")/1000,IF(LEFT($A36,3)="icp",SUMIFS('BASE-ICP'!$K:$K,'BASE-ICP'!$A:$A,Capex!$A12,'BASE-ICP'!$B:$B,"março")/1000,"")),"")</f>
        <v>0</v>
      </c>
      <c r="CA36" s="427">
        <v>0</v>
      </c>
      <c r="CB36" s="372">
        <v>0</v>
      </c>
      <c r="CC36" s="422"/>
      <c r="CD36" s="423">
        <f>IFERROR(IF(LEFT($A36,3)="Lcp",SUMIFS('BASE-LCP'!$K:$K,'BASE-LCP'!$A:$A,Capex!$A12,'BASE-LCP'!$B:$B,"abril")/1000,IF(LEFT($A36,3)="icp",SUMIFS('BASE-ICP'!$K:$K,'BASE-ICP'!$A:$A,Capex!$A12,'BASE-ICP'!$B:$B,"abril")/1000,"")),"")</f>
        <v>0</v>
      </c>
      <c r="CE36" s="427">
        <v>0</v>
      </c>
      <c r="CF36" s="372">
        <v>0</v>
      </c>
      <c r="CG36" s="422">
        <f t="shared" si="42"/>
        <v>0</v>
      </c>
      <c r="CH36" s="423">
        <v>0</v>
      </c>
      <c r="CI36" s="427">
        <v>0</v>
      </c>
      <c r="CJ36" s="372">
        <v>0</v>
      </c>
      <c r="CK36" s="419"/>
      <c r="CL36" s="423">
        <f>IFERROR(IF(LEFT($A36,3)="Lcp",SUMIFS('BASE-LCP'!$K:$K,'BASE-LCP'!$A:$A,Capex!$A12,'BASE-LCP'!$B:$B,"junho")/1000,IF(LEFT($A36,3)="icp",SUMIFS('BASE-ICP'!$K:$K,'BASE-ICP'!$A:$A,Capex!$A12,'BASE-ICP'!$B:$B,"junho")/1000,"")),"")</f>
        <v>0</v>
      </c>
      <c r="CM36" s="427">
        <v>0</v>
      </c>
      <c r="CN36" s="372"/>
      <c r="CO36" s="419"/>
      <c r="CP36" s="423">
        <f>IFERROR(IF(LEFT($A36,3)="Lcp",SUMIFS('BASE-LCP'!$K:$K,'BASE-LCP'!$A:$A,Capex!$A12,'BASE-LCP'!$B:$B,"julho")/1000,IF(LEFT($A36,3)="icp",SUMIFS('BASE-ICP'!$K:$K,'BASE-ICP'!$A:$A,Capex!$A12,'BASE-ICP'!$B:$B,"julho")/1000,"")),"")</f>
        <v>0</v>
      </c>
      <c r="CQ36" s="427">
        <v>0</v>
      </c>
      <c r="CR36" s="372"/>
      <c r="CS36" s="419"/>
      <c r="CT36" s="423">
        <f>IFERROR(IF(LEFT($A36,3)="Lcp",SUMIFS('BASE-LCP'!$K:$K,'BASE-LCP'!$A:$A,Capex!$A12,'BASE-LCP'!$B:$B,"agosto")/1000,IF(LEFT($A36,3)="icp",SUMIFS('BASE-ICP'!$K:$K,'BASE-ICP'!$A:$A,Capex!$A12,'BASE-ICP'!$B:$B,"agosto")/1000,"")),"")</f>
        <v>0</v>
      </c>
      <c r="CU36" s="427">
        <v>0</v>
      </c>
      <c r="CV36" s="372"/>
      <c r="CW36" s="419"/>
      <c r="CX36" s="423">
        <f>IFERROR(IF(LEFT($A36,3)="Lcp",SUMIFS('BASE-LCP'!$K:$K,'BASE-LCP'!$A:$A,Capex!$A12,'BASE-LCP'!$B:$B,"setembro")/1000,IF(LEFT($A36,3)="icp",SUMIFS('BASE-ICP'!$K:$K,'BASE-ICP'!$A:$A,Capex!$A12,'BASE-ICP'!$B:$B,"setembro")/1000,"")),"")</f>
        <v>0</v>
      </c>
      <c r="CY36" s="427">
        <v>0</v>
      </c>
      <c r="CZ36" s="372"/>
      <c r="DA36" s="419"/>
      <c r="DB36" s="423">
        <f>IFERROR(IF(LEFT($A36,3)="Lcp",SUMIFS('BASE-LCP'!$K:$K,'BASE-LCP'!$A:$A,Capex!$A12,'BASE-LCP'!$B:$B,"outubro")/1000,IF(LEFT($A36,3)="icp",SUMIFS('BASE-ICP'!$K:$K,'BASE-ICP'!$A:$A,Capex!$A12,'BASE-ICP'!$B:$B,"outubro")/1000,"")),"")</f>
        <v>0</v>
      </c>
      <c r="DC36" s="427">
        <v>0</v>
      </c>
      <c r="DD36" s="372"/>
      <c r="DE36" s="419"/>
      <c r="DF36" s="423">
        <f>IFERROR(IF(LEFT($A36,3)="Lcp",SUMIFS('BASE-LCP'!$K:$K,'BASE-LCP'!$A:$A,Capex!$A12,'BASE-LCP'!$B:$B,"novembro")/1000,IF(LEFT($A36,3)="icp",SUMIFS('BASE-ICP'!$K:$K,'BASE-ICP'!$A:$A,Capex!$A12,'BASE-ICP'!$B:$B,"novembro")/1000,"")),"")</f>
        <v>0</v>
      </c>
      <c r="DG36" s="427">
        <v>0</v>
      </c>
      <c r="DH36" s="372"/>
      <c r="DI36" s="419"/>
      <c r="DJ36" s="423">
        <f>IFERROR(IF(LEFT($A36,3)="Lcp",SUMIFS('BASE-LCP'!$K:$K,'BASE-LCP'!$A:$A,Capex!$A12,'BASE-LCP'!$B:$B,"dezembro")/1000,IF(LEFT($A36,3)="icp",SUMIFS('BASE-ICP'!$K:$K,'BASE-ICP'!$A:$A,Capex!$A12,'BASE-ICP'!$B:$B,"dezembro")/1000,"")),"")</f>
        <v>0</v>
      </c>
      <c r="DK36" s="427">
        <v>0</v>
      </c>
      <c r="DL36" s="452">
        <f t="shared" si="15"/>
        <v>0</v>
      </c>
      <c r="DM36" s="374"/>
      <c r="DN36" s="374"/>
      <c r="DO36" s="374"/>
      <c r="DP36" s="374"/>
      <c r="DQ36" s="374"/>
      <c r="DR36" s="374"/>
      <c r="DS36" s="374"/>
      <c r="DT36" s="374"/>
      <c r="DU36" s="374"/>
      <c r="DV36" s="374"/>
      <c r="DW36" s="374"/>
      <c r="DX36" s="374"/>
      <c r="DY36" s="450"/>
      <c r="DZ36" s="374">
        <f t="shared" si="16"/>
        <v>0</v>
      </c>
      <c r="EA36" s="216">
        <f t="shared" si="17"/>
        <v>0</v>
      </c>
      <c r="EB36" s="320">
        <f t="shared" si="18"/>
        <v>0</v>
      </c>
      <c r="EC36" s="241">
        <f t="shared" si="19"/>
        <v>0</v>
      </c>
      <c r="ED36" s="241">
        <f t="shared" si="20"/>
        <v>0</v>
      </c>
      <c r="EE36" s="241">
        <f t="shared" si="21"/>
        <v>0</v>
      </c>
      <c r="EF36" s="241">
        <f t="shared" si="22"/>
        <v>0</v>
      </c>
      <c r="EG36" s="346">
        <f t="shared" si="23"/>
        <v>0</v>
      </c>
      <c r="EH36" s="445">
        <f t="shared" si="24"/>
        <v>0</v>
      </c>
      <c r="EI36" s="447">
        <f t="shared" si="25"/>
        <v>0</v>
      </c>
      <c r="EJ36" s="364">
        <f t="shared" si="26"/>
        <v>0</v>
      </c>
      <c r="EK36" s="365">
        <f t="shared" si="27"/>
        <v>0</v>
      </c>
      <c r="EL36" s="529">
        <f t="shared" si="28"/>
        <v>0</v>
      </c>
      <c r="EM36" s="530">
        <v>0</v>
      </c>
      <c r="EN36" s="530">
        <v>0</v>
      </c>
      <c r="EO36" s="530">
        <v>0</v>
      </c>
      <c r="EP36" s="530">
        <v>0</v>
      </c>
      <c r="EQ36" s="530">
        <v>0</v>
      </c>
      <c r="ER36" s="530">
        <v>0</v>
      </c>
      <c r="ES36" s="530">
        <v>0</v>
      </c>
      <c r="ET36" s="530">
        <v>0</v>
      </c>
      <c r="EU36" s="530">
        <v>0</v>
      </c>
      <c r="EV36" s="530">
        <v>0</v>
      </c>
      <c r="EW36" s="530">
        <v>0</v>
      </c>
      <c r="EX36" s="530">
        <v>0</v>
      </c>
      <c r="EY36" s="530">
        <f t="shared" si="29"/>
        <v>0</v>
      </c>
      <c r="EZ36" s="530">
        <f t="shared" si="30"/>
        <v>0</v>
      </c>
      <c r="FA36" s="530">
        <f t="shared" si="31"/>
        <v>0</v>
      </c>
      <c r="FB36" s="530">
        <f t="shared" si="32"/>
        <v>0</v>
      </c>
      <c r="FC36" s="384">
        <f>IFERROR(VLOOKUP(Capex!A12,BASE_558!D:R,8,FALSE)/1000,"")</f>
        <v>0</v>
      </c>
      <c r="FD36" s="328">
        <f>IFERROR(VLOOKUP(Capex!A12,BASE_558!D:R,9,)/1000,"")</f>
        <v>0</v>
      </c>
      <c r="FE36" s="328">
        <f>IFERROR(IF(LEFT(A36,3)="LCP",(VLOOKUP(Capex!A12,BASE_558!D:R,10,)/1000),SUMIFS('BASE ICP_PO_SC'!F:F,'BASE ICP_PO_SC'!A:A,Capex!A12,'BASE ICP_PO_SC'!E:E,"&lt;&gt;")/1000),"")</f>
        <v>0</v>
      </c>
      <c r="FF36" s="328">
        <f>IFERROR(IF(LEFT(A36,3)="LCP",(VLOOKUP(Capex!A12,BASE_558!D:R,11,)/1000),SUMIFS('BASE ICP_PO_SC'!F:F,'BASE ICP_PO_SC'!A:A,Capex!A12,'BASE ICP_PO_SC'!E:E,"")/1000),"")</f>
        <v>0</v>
      </c>
      <c r="FG36" s="328" t="str">
        <f>IFERROR(VLOOKUP(A36,BASE_558!D:R,13,FALSE)/1000,"")</f>
        <v/>
      </c>
      <c r="FH36" s="328" t="str">
        <f>IFERROR(VLOOKUP(A36,BASE_558!D:R,15,FALSE)/1000,"")</f>
        <v/>
      </c>
      <c r="FI36" s="547">
        <f t="shared" si="33"/>
        <v>0</v>
      </c>
      <c r="FJ36" s="547">
        <f t="shared" si="34"/>
        <v>0</v>
      </c>
      <c r="FK36" s="540">
        <f t="shared" si="35"/>
        <v>0</v>
      </c>
    </row>
    <row r="37" spans="1:167" s="23" customFormat="1" ht="24" customHeight="1">
      <c r="A37" s="309" t="s">
        <v>689</v>
      </c>
      <c r="B37" s="404"/>
      <c r="C37" s="404"/>
      <c r="D37" s="338"/>
      <c r="E37" s="378"/>
      <c r="F37" s="5"/>
      <c r="G37" s="310" t="s">
        <v>9</v>
      </c>
      <c r="H37" s="338"/>
      <c r="I37" s="338"/>
      <c r="J37" s="338">
        <v>2018</v>
      </c>
      <c r="K37" s="316"/>
      <c r="L37" s="324"/>
      <c r="M37" s="409"/>
      <c r="N37" s="317" t="str">
        <f t="shared" si="38"/>
        <v/>
      </c>
      <c r="O37" s="317" t="str">
        <f t="shared" si="39"/>
        <v/>
      </c>
      <c r="P37" s="418" t="str">
        <f t="shared" si="43"/>
        <v>N/A</v>
      </c>
      <c r="Q37" s="418" t="str">
        <f t="shared" si="43"/>
        <v>N/A</v>
      </c>
      <c r="R37" s="418" t="str">
        <f t="shared" si="43"/>
        <v>N/A</v>
      </c>
      <c r="S37" s="418" t="str">
        <f t="shared" si="43"/>
        <v>N/A</v>
      </c>
      <c r="T37" s="418" t="str">
        <f t="shared" si="43"/>
        <v>N/A</v>
      </c>
      <c r="U37" s="418" t="str">
        <f t="shared" si="43"/>
        <v>N/A</v>
      </c>
      <c r="V37" s="418" t="str">
        <f t="shared" si="43"/>
        <v>N/A</v>
      </c>
      <c r="W37" s="418" t="str">
        <f t="shared" si="43"/>
        <v>N/A</v>
      </c>
      <c r="X37" s="418" t="str">
        <f t="shared" si="43"/>
        <v>N/A</v>
      </c>
      <c r="Y37" s="418" t="str">
        <f t="shared" si="43"/>
        <v>N/A</v>
      </c>
      <c r="Z37" s="418" t="str">
        <f t="shared" si="43"/>
        <v>N/A</v>
      </c>
      <c r="AA37" s="418" t="str">
        <f t="shared" si="43"/>
        <v>N/A</v>
      </c>
      <c r="AB37" s="317"/>
      <c r="AC37" s="309" t="s">
        <v>3930</v>
      </c>
      <c r="AD37" s="311"/>
      <c r="AE37" s="310"/>
      <c r="AF37" s="310" t="s">
        <v>6988</v>
      </c>
      <c r="AG37" s="310" t="s">
        <v>9083</v>
      </c>
      <c r="AH37" s="310" t="s">
        <v>2799</v>
      </c>
      <c r="AI37" s="309" t="s">
        <v>188</v>
      </c>
      <c r="AJ37" s="6" t="s">
        <v>218</v>
      </c>
      <c r="AK37" s="6" t="str">
        <f t="shared" si="10"/>
        <v>IGUAL</v>
      </c>
      <c r="AL37" s="151" t="str">
        <f>IFERROR(IF(LEFT(A37,3)="LCP",VLOOKUP(A37,STATUS_SAP_LCP!B:C,2,FALSE),VLOOKUP(A37,STATUS_SAP_ICP!B:C,2,FALSE)),"NO BUDGET")</f>
        <v>CLSD BUDG AVAC  //  BREL WPLI</v>
      </c>
      <c r="AM37" s="6" t="str">
        <f t="shared" ref="AM37:AM68" si="44">IF(LEFT(AL37,4)="PREL","REL ",IF(LEFT(AL37,9)="NO BUDGET","NO BUDGET",LEFT(AL37,4)))</f>
        <v>CLSD</v>
      </c>
      <c r="AN37" s="282"/>
      <c r="AO37" s="562">
        <v>1</v>
      </c>
      <c r="AP37" s="499" t="s">
        <v>9607</v>
      </c>
      <c r="AQ37" s="464"/>
      <c r="AR37" s="460"/>
      <c r="AS37" s="56"/>
      <c r="AT37" s="185">
        <v>0</v>
      </c>
      <c r="AU37" s="318">
        <v>0</v>
      </c>
      <c r="AV37" s="223">
        <v>0</v>
      </c>
      <c r="AW37" s="318">
        <v>0</v>
      </c>
      <c r="AX37" s="223">
        <v>0</v>
      </c>
      <c r="AY37" s="318">
        <f t="shared" si="40"/>
        <v>0</v>
      </c>
      <c r="AZ37" s="223"/>
      <c r="BA37" s="318"/>
      <c r="BB37" s="519">
        <f t="shared" si="41"/>
        <v>0</v>
      </c>
      <c r="BC37" s="518"/>
      <c r="BD37" s="518"/>
      <c r="BE37" s="518"/>
      <c r="BF37" s="518"/>
      <c r="BG37" s="518"/>
      <c r="BH37" s="518"/>
      <c r="BI37" s="518"/>
      <c r="BJ37" s="518"/>
      <c r="BK37" s="518"/>
      <c r="BL37" s="518"/>
      <c r="BM37" s="518"/>
      <c r="BN37" s="518"/>
      <c r="BO37" s="367">
        <f t="shared" si="14"/>
        <v>0</v>
      </c>
      <c r="BP37" s="421"/>
      <c r="BQ37" s="422">
        <v>0</v>
      </c>
      <c r="BR37" s="423">
        <f>IFERROR(IF(LEFT($A37,3)="Lcp",SUMIFS('BASE-LCP'!$K:$K,'BASE-LCP'!$A:$A,Capex!$A13,'BASE-LCP'!$B:$B,"janeiro")/1000,IF(LEFT($A37,3)="icp",SUMIFS('BASE-ICP'!$K:$K,'BASE-ICP'!$A:$A,Capex!$A13,'BASE-ICP'!$B:$B,"janeiro")/1000,"")),"")</f>
        <v>0</v>
      </c>
      <c r="BS37" s="427">
        <v>0</v>
      </c>
      <c r="BT37" s="372">
        <v>0</v>
      </c>
      <c r="BU37" s="422">
        <v>0</v>
      </c>
      <c r="BV37" s="423">
        <f>IFERROR(IF(LEFT($A37,3)="Lcp",SUMIFS('BASE-LCP'!$K:$K,'BASE-LCP'!$A:$A,Capex!$A13,'BASE-LCP'!$B:$B,"fevereiro")/1000,IF(LEFT($A37,3)="icp",SUMIFS('BASE-ICP'!$K:$K,'BASE-ICP'!$A:$A,Capex!$A13,'BASE-ICP'!$B:$B,"fevereiro")/1000,"")),"")</f>
        <v>0</v>
      </c>
      <c r="BW37" s="427">
        <v>0</v>
      </c>
      <c r="BX37" s="372">
        <v>0</v>
      </c>
      <c r="BY37" s="422">
        <v>0</v>
      </c>
      <c r="BZ37" s="423">
        <f>IFERROR(IF(LEFT($A37,3)="Lcp",SUMIFS('BASE-LCP'!$K:$K,'BASE-LCP'!$A:$A,Capex!$A13,'BASE-LCP'!$B:$B,"março")/1000,IF(LEFT($A37,3)="icp",SUMIFS('BASE-ICP'!$K:$K,'BASE-ICP'!$A:$A,Capex!$A13,'BASE-ICP'!$B:$B,"março")/1000,"")),"")</f>
        <v>0</v>
      </c>
      <c r="CA37" s="427">
        <v>0</v>
      </c>
      <c r="CB37" s="372">
        <v>0</v>
      </c>
      <c r="CC37" s="422"/>
      <c r="CD37" s="423">
        <f>IFERROR(IF(LEFT($A37,3)="Lcp",SUMIFS('BASE-LCP'!$K:$K,'BASE-LCP'!$A:$A,Capex!$A13,'BASE-LCP'!$B:$B,"abril")/1000,IF(LEFT($A37,3)="icp",SUMIFS('BASE-ICP'!$K:$K,'BASE-ICP'!$A:$A,Capex!$A13,'BASE-ICP'!$B:$B,"abril")/1000,"")),"")</f>
        <v>0</v>
      </c>
      <c r="CE37" s="427">
        <v>0</v>
      </c>
      <c r="CF37" s="372">
        <v>0</v>
      </c>
      <c r="CG37" s="422">
        <f t="shared" si="42"/>
        <v>0</v>
      </c>
      <c r="CH37" s="423">
        <v>0</v>
      </c>
      <c r="CI37" s="427">
        <v>0</v>
      </c>
      <c r="CJ37" s="372">
        <v>0</v>
      </c>
      <c r="CK37" s="419"/>
      <c r="CL37" s="423">
        <f>IFERROR(IF(LEFT($A37,3)="Lcp",SUMIFS('BASE-LCP'!$K:$K,'BASE-LCP'!$A:$A,Capex!$A13,'BASE-LCP'!$B:$B,"junho")/1000,IF(LEFT($A37,3)="icp",SUMIFS('BASE-ICP'!$K:$K,'BASE-ICP'!$A:$A,Capex!$A13,'BASE-ICP'!$B:$B,"junho")/1000,"")),"")</f>
        <v>0</v>
      </c>
      <c r="CM37" s="427">
        <v>0</v>
      </c>
      <c r="CN37" s="372"/>
      <c r="CO37" s="419"/>
      <c r="CP37" s="423">
        <f>IFERROR(IF(LEFT($A37,3)="Lcp",SUMIFS('BASE-LCP'!$K:$K,'BASE-LCP'!$A:$A,Capex!$A13,'BASE-LCP'!$B:$B,"julho")/1000,IF(LEFT($A37,3)="icp",SUMIFS('BASE-ICP'!$K:$K,'BASE-ICP'!$A:$A,Capex!$A13,'BASE-ICP'!$B:$B,"julho")/1000,"")),"")</f>
        <v>0</v>
      </c>
      <c r="CQ37" s="427">
        <v>0</v>
      </c>
      <c r="CR37" s="372"/>
      <c r="CS37" s="419"/>
      <c r="CT37" s="423">
        <f>IFERROR(IF(LEFT($A37,3)="Lcp",SUMIFS('BASE-LCP'!$K:$K,'BASE-LCP'!$A:$A,Capex!$A13,'BASE-LCP'!$B:$B,"agosto")/1000,IF(LEFT($A37,3)="icp",SUMIFS('BASE-ICP'!$K:$K,'BASE-ICP'!$A:$A,Capex!$A13,'BASE-ICP'!$B:$B,"agosto")/1000,"")),"")</f>
        <v>0</v>
      </c>
      <c r="CU37" s="427">
        <v>0</v>
      </c>
      <c r="CV37" s="372"/>
      <c r="CW37" s="419"/>
      <c r="CX37" s="423">
        <f>IFERROR(IF(LEFT($A37,3)="Lcp",SUMIFS('BASE-LCP'!$K:$K,'BASE-LCP'!$A:$A,Capex!$A13,'BASE-LCP'!$B:$B,"setembro")/1000,IF(LEFT($A37,3)="icp",SUMIFS('BASE-ICP'!$K:$K,'BASE-ICP'!$A:$A,Capex!$A13,'BASE-ICP'!$B:$B,"setembro")/1000,"")),"")</f>
        <v>0</v>
      </c>
      <c r="CY37" s="427">
        <v>0</v>
      </c>
      <c r="CZ37" s="372"/>
      <c r="DA37" s="419"/>
      <c r="DB37" s="423">
        <f>IFERROR(IF(LEFT($A37,3)="Lcp",SUMIFS('BASE-LCP'!$K:$K,'BASE-LCP'!$A:$A,Capex!$A13,'BASE-LCP'!$B:$B,"outubro")/1000,IF(LEFT($A37,3)="icp",SUMIFS('BASE-ICP'!$K:$K,'BASE-ICP'!$A:$A,Capex!$A13,'BASE-ICP'!$B:$B,"outubro")/1000,"")),"")</f>
        <v>0</v>
      </c>
      <c r="DC37" s="427">
        <v>0</v>
      </c>
      <c r="DD37" s="372"/>
      <c r="DE37" s="419"/>
      <c r="DF37" s="423">
        <f>IFERROR(IF(LEFT($A37,3)="Lcp",SUMIFS('BASE-LCP'!$K:$K,'BASE-LCP'!$A:$A,Capex!$A13,'BASE-LCP'!$B:$B,"novembro")/1000,IF(LEFT($A37,3)="icp",SUMIFS('BASE-ICP'!$K:$K,'BASE-ICP'!$A:$A,Capex!$A13,'BASE-ICP'!$B:$B,"novembro")/1000,"")),"")</f>
        <v>0</v>
      </c>
      <c r="DG37" s="427">
        <v>0</v>
      </c>
      <c r="DH37" s="372"/>
      <c r="DI37" s="419"/>
      <c r="DJ37" s="423">
        <f>IFERROR(IF(LEFT($A37,3)="Lcp",SUMIFS('BASE-LCP'!$K:$K,'BASE-LCP'!$A:$A,Capex!$A13,'BASE-LCP'!$B:$B,"dezembro")/1000,IF(LEFT($A37,3)="icp",SUMIFS('BASE-ICP'!$K:$K,'BASE-ICP'!$A:$A,Capex!$A13,'BASE-ICP'!$B:$B,"dezembro")/1000,"")),"")</f>
        <v>0</v>
      </c>
      <c r="DK37" s="427">
        <v>0</v>
      </c>
      <c r="DL37" s="452">
        <f t="shared" si="15"/>
        <v>0</v>
      </c>
      <c r="DM37" s="374"/>
      <c r="DN37" s="374"/>
      <c r="DO37" s="374"/>
      <c r="DP37" s="374"/>
      <c r="DQ37" s="374"/>
      <c r="DR37" s="374"/>
      <c r="DS37" s="374"/>
      <c r="DT37" s="374"/>
      <c r="DU37" s="374"/>
      <c r="DV37" s="374"/>
      <c r="DW37" s="374"/>
      <c r="DX37" s="374"/>
      <c r="DY37" s="450"/>
      <c r="DZ37" s="374">
        <f t="shared" si="16"/>
        <v>0</v>
      </c>
      <c r="EA37" s="216">
        <f t="shared" si="17"/>
        <v>0</v>
      </c>
      <c r="EB37" s="320">
        <f t="shared" si="18"/>
        <v>0</v>
      </c>
      <c r="EC37" s="241">
        <f t="shared" si="19"/>
        <v>0</v>
      </c>
      <c r="ED37" s="241">
        <f t="shared" si="20"/>
        <v>0</v>
      </c>
      <c r="EE37" s="241">
        <f t="shared" si="21"/>
        <v>0</v>
      </c>
      <c r="EF37" s="241">
        <f t="shared" si="22"/>
        <v>0</v>
      </c>
      <c r="EG37" s="346">
        <f t="shared" si="23"/>
        <v>0</v>
      </c>
      <c r="EH37" s="445">
        <f t="shared" si="24"/>
        <v>0</v>
      </c>
      <c r="EI37" s="447">
        <f t="shared" si="25"/>
        <v>0</v>
      </c>
      <c r="EJ37" s="364">
        <f t="shared" si="26"/>
        <v>0</v>
      </c>
      <c r="EK37" s="365">
        <f t="shared" si="27"/>
        <v>0</v>
      </c>
      <c r="EL37" s="529">
        <f t="shared" si="28"/>
        <v>0</v>
      </c>
      <c r="EM37" s="530">
        <v>0</v>
      </c>
      <c r="EN37" s="530">
        <v>0</v>
      </c>
      <c r="EO37" s="530">
        <v>0</v>
      </c>
      <c r="EP37" s="530">
        <v>0</v>
      </c>
      <c r="EQ37" s="530">
        <v>0</v>
      </c>
      <c r="ER37" s="530">
        <v>0</v>
      </c>
      <c r="ES37" s="530">
        <v>0</v>
      </c>
      <c r="ET37" s="530">
        <v>0</v>
      </c>
      <c r="EU37" s="530">
        <v>0</v>
      </c>
      <c r="EV37" s="530">
        <v>0</v>
      </c>
      <c r="EW37" s="530">
        <v>0</v>
      </c>
      <c r="EX37" s="530">
        <v>0</v>
      </c>
      <c r="EY37" s="530">
        <f t="shared" si="29"/>
        <v>0</v>
      </c>
      <c r="EZ37" s="530">
        <f t="shared" si="30"/>
        <v>0</v>
      </c>
      <c r="FA37" s="530">
        <f t="shared" si="31"/>
        <v>0</v>
      </c>
      <c r="FB37" s="530">
        <f t="shared" si="32"/>
        <v>0</v>
      </c>
      <c r="FC37" s="384">
        <f>IFERROR(VLOOKUP(Capex!A13,BASE_558!D:R,8,FALSE)/1000,"")</f>
        <v>0</v>
      </c>
      <c r="FD37" s="328">
        <f>IFERROR(VLOOKUP(Capex!A13,BASE_558!D:R,9,)/1000,"")</f>
        <v>0</v>
      </c>
      <c r="FE37" s="328">
        <f>IFERROR(IF(LEFT(A37,3)="LCP",(VLOOKUP(Capex!A13,BASE_558!D:R,10,)/1000),SUMIFS('BASE ICP_PO_SC'!F:F,'BASE ICP_PO_SC'!A:A,Capex!A13,'BASE ICP_PO_SC'!E:E,"&lt;&gt;")/1000),"")</f>
        <v>0</v>
      </c>
      <c r="FF37" s="328">
        <f>IFERROR(IF(LEFT(A37,3)="LCP",(VLOOKUP(Capex!A13,BASE_558!D:R,11,)/1000),SUMIFS('BASE ICP_PO_SC'!F:F,'BASE ICP_PO_SC'!A:A,Capex!A13,'BASE ICP_PO_SC'!E:E,"")/1000),"")</f>
        <v>0</v>
      </c>
      <c r="FG37" s="328" t="str">
        <f>IFERROR(VLOOKUP(A37,BASE_558!D:R,13,FALSE)/1000,"")</f>
        <v/>
      </c>
      <c r="FH37" s="328" t="str">
        <f>IFERROR(VLOOKUP(A37,BASE_558!D:R,15,FALSE)/1000,"")</f>
        <v/>
      </c>
      <c r="FI37" s="547">
        <f t="shared" si="33"/>
        <v>0</v>
      </c>
      <c r="FJ37" s="547">
        <f t="shared" si="34"/>
        <v>0</v>
      </c>
      <c r="FK37" s="540">
        <f t="shared" si="35"/>
        <v>0</v>
      </c>
    </row>
    <row r="38" spans="1:167" s="23" customFormat="1" ht="24" customHeight="1">
      <c r="A38" s="309" t="s">
        <v>678</v>
      </c>
      <c r="B38" s="404"/>
      <c r="C38" s="404"/>
      <c r="D38" s="338"/>
      <c r="E38" s="378"/>
      <c r="F38" s="5"/>
      <c r="G38" s="310" t="s">
        <v>9</v>
      </c>
      <c r="H38" s="338"/>
      <c r="I38" s="338"/>
      <c r="J38" s="338">
        <v>2018</v>
      </c>
      <c r="K38" s="316"/>
      <c r="L38" s="324"/>
      <c r="M38" s="409"/>
      <c r="N38" s="317" t="str">
        <f t="shared" si="38"/>
        <v/>
      </c>
      <c r="O38" s="317" t="str">
        <f t="shared" si="39"/>
        <v/>
      </c>
      <c r="P38" s="418" t="str">
        <f t="shared" si="43"/>
        <v>N/A</v>
      </c>
      <c r="Q38" s="418" t="str">
        <f t="shared" si="43"/>
        <v>N/A</v>
      </c>
      <c r="R38" s="418" t="str">
        <f t="shared" si="43"/>
        <v>N/A</v>
      </c>
      <c r="S38" s="418" t="str">
        <f t="shared" si="43"/>
        <v>N/A</v>
      </c>
      <c r="T38" s="418" t="str">
        <f t="shared" si="43"/>
        <v>N/A</v>
      </c>
      <c r="U38" s="418" t="str">
        <f t="shared" si="43"/>
        <v>N/A</v>
      </c>
      <c r="V38" s="418" t="str">
        <f t="shared" si="43"/>
        <v>N/A</v>
      </c>
      <c r="W38" s="418" t="str">
        <f t="shared" si="43"/>
        <v>N/A</v>
      </c>
      <c r="X38" s="418" t="str">
        <f t="shared" si="43"/>
        <v>N/A</v>
      </c>
      <c r="Y38" s="418" t="str">
        <f t="shared" si="43"/>
        <v>N/A</v>
      </c>
      <c r="Z38" s="418" t="str">
        <f t="shared" si="43"/>
        <v>N/A</v>
      </c>
      <c r="AA38" s="418" t="str">
        <f t="shared" si="43"/>
        <v>N/A</v>
      </c>
      <c r="AB38" s="317"/>
      <c r="AC38" s="309" t="s">
        <v>3932</v>
      </c>
      <c r="AD38" s="311"/>
      <c r="AE38" s="311"/>
      <c r="AF38" s="310" t="s">
        <v>6988</v>
      </c>
      <c r="AG38" s="310" t="s">
        <v>9083</v>
      </c>
      <c r="AH38" s="310" t="s">
        <v>2800</v>
      </c>
      <c r="AI38" s="309" t="s">
        <v>185</v>
      </c>
      <c r="AJ38" s="6" t="s">
        <v>218</v>
      </c>
      <c r="AK38" s="6" t="str">
        <f t="shared" si="10"/>
        <v>IGUAL</v>
      </c>
      <c r="AL38" s="151" t="str">
        <f>IFERROR(IF(LEFT(A38,3)="LCP",VLOOKUP(A38,STATUS_SAP_LCP!B:C,2,FALSE),VLOOKUP(A38,STATUS_SAP_ICP!B:C,2,FALSE)),"NO BUDGET")</f>
        <v>CLSD BUDG AVAC  //  BREL WPLI</v>
      </c>
      <c r="AM38" s="6" t="str">
        <f t="shared" si="44"/>
        <v>CLSD</v>
      </c>
      <c r="AN38" s="282"/>
      <c r="AO38" s="562">
        <v>1</v>
      </c>
      <c r="AP38" s="499" t="s">
        <v>9607</v>
      </c>
      <c r="AQ38" s="464"/>
      <c r="AR38" s="460"/>
      <c r="AS38" s="56"/>
      <c r="AT38" s="185">
        <v>-5.5511151231257827E-17</v>
      </c>
      <c r="AU38" s="318">
        <v>0</v>
      </c>
      <c r="AV38" s="223">
        <v>0</v>
      </c>
      <c r="AW38" s="318">
        <v>0</v>
      </c>
      <c r="AX38" s="223">
        <v>0</v>
      </c>
      <c r="AY38" s="318">
        <f t="shared" si="40"/>
        <v>0</v>
      </c>
      <c r="AZ38" s="223"/>
      <c r="BA38" s="318"/>
      <c r="BB38" s="519">
        <f t="shared" si="41"/>
        <v>0</v>
      </c>
      <c r="BC38" s="518"/>
      <c r="BD38" s="518"/>
      <c r="BE38" s="518"/>
      <c r="BF38" s="518"/>
      <c r="BG38" s="518"/>
      <c r="BH38" s="518"/>
      <c r="BI38" s="518"/>
      <c r="BJ38" s="518"/>
      <c r="BK38" s="518"/>
      <c r="BL38" s="518"/>
      <c r="BM38" s="518"/>
      <c r="BN38" s="518"/>
      <c r="BO38" s="367">
        <f t="shared" si="14"/>
        <v>0</v>
      </c>
      <c r="BP38" s="421"/>
      <c r="BQ38" s="422">
        <v>0</v>
      </c>
      <c r="BR38" s="423">
        <f>IFERROR(IF(LEFT($A38,3)="Lcp",SUMIFS('BASE-LCP'!$K:$K,'BASE-LCP'!$A:$A,Capex!$A14,'BASE-LCP'!$B:$B,"janeiro")/1000,IF(LEFT($A38,3)="icp",SUMIFS('BASE-ICP'!$K:$K,'BASE-ICP'!$A:$A,Capex!$A14,'BASE-ICP'!$B:$B,"janeiro")/1000,"")),"")</f>
        <v>0</v>
      </c>
      <c r="BS38" s="427">
        <v>0</v>
      </c>
      <c r="BT38" s="372">
        <v>0</v>
      </c>
      <c r="BU38" s="422">
        <v>0</v>
      </c>
      <c r="BV38" s="423">
        <f>IFERROR(IF(LEFT($A38,3)="Lcp",SUMIFS('BASE-LCP'!$K:$K,'BASE-LCP'!$A:$A,Capex!$A14,'BASE-LCP'!$B:$B,"fevereiro")/1000,IF(LEFT($A38,3)="icp",SUMIFS('BASE-ICP'!$K:$K,'BASE-ICP'!$A:$A,Capex!$A14,'BASE-ICP'!$B:$B,"fevereiro")/1000,"")),"")</f>
        <v>0</v>
      </c>
      <c r="BW38" s="427">
        <v>0</v>
      </c>
      <c r="BX38" s="372">
        <v>0</v>
      </c>
      <c r="BY38" s="422">
        <v>0</v>
      </c>
      <c r="BZ38" s="423">
        <f>IFERROR(IF(LEFT($A38,3)="Lcp",SUMIFS('BASE-LCP'!$K:$K,'BASE-LCP'!$A:$A,Capex!$A14,'BASE-LCP'!$B:$B,"março")/1000,IF(LEFT($A38,3)="icp",SUMIFS('BASE-ICP'!$K:$K,'BASE-ICP'!$A:$A,Capex!$A14,'BASE-ICP'!$B:$B,"março")/1000,"")),"")</f>
        <v>0</v>
      </c>
      <c r="CA38" s="427">
        <v>0</v>
      </c>
      <c r="CB38" s="372">
        <v>0</v>
      </c>
      <c r="CC38" s="422"/>
      <c r="CD38" s="423">
        <f>IFERROR(IF(LEFT($A38,3)="Lcp",SUMIFS('BASE-LCP'!$K:$K,'BASE-LCP'!$A:$A,Capex!$A14,'BASE-LCP'!$B:$B,"abril")/1000,IF(LEFT($A38,3)="icp",SUMIFS('BASE-ICP'!$K:$K,'BASE-ICP'!$A:$A,Capex!$A14,'BASE-ICP'!$B:$B,"abril")/1000,"")),"")</f>
        <v>0</v>
      </c>
      <c r="CE38" s="427">
        <v>0</v>
      </c>
      <c r="CF38" s="372">
        <v>0</v>
      </c>
      <c r="CG38" s="422">
        <f t="shared" si="42"/>
        <v>0</v>
      </c>
      <c r="CH38" s="423">
        <v>0</v>
      </c>
      <c r="CI38" s="427">
        <v>0</v>
      </c>
      <c r="CJ38" s="372">
        <v>0</v>
      </c>
      <c r="CK38" s="419"/>
      <c r="CL38" s="423">
        <f>IFERROR(IF(LEFT($A38,3)="Lcp",SUMIFS('BASE-LCP'!$K:$K,'BASE-LCP'!$A:$A,Capex!$A14,'BASE-LCP'!$B:$B,"junho")/1000,IF(LEFT($A38,3)="icp",SUMIFS('BASE-ICP'!$K:$K,'BASE-ICP'!$A:$A,Capex!$A14,'BASE-ICP'!$B:$B,"junho")/1000,"")),"")</f>
        <v>0</v>
      </c>
      <c r="CM38" s="427">
        <v>0</v>
      </c>
      <c r="CN38" s="372"/>
      <c r="CO38" s="419"/>
      <c r="CP38" s="423">
        <f>IFERROR(IF(LEFT($A38,3)="Lcp",SUMIFS('BASE-LCP'!$K:$K,'BASE-LCP'!$A:$A,Capex!$A14,'BASE-LCP'!$B:$B,"julho")/1000,IF(LEFT($A38,3)="icp",SUMIFS('BASE-ICP'!$K:$K,'BASE-ICP'!$A:$A,Capex!$A14,'BASE-ICP'!$B:$B,"julho")/1000,"")),"")</f>
        <v>0</v>
      </c>
      <c r="CQ38" s="427">
        <v>0</v>
      </c>
      <c r="CR38" s="372"/>
      <c r="CS38" s="419"/>
      <c r="CT38" s="423">
        <f>IFERROR(IF(LEFT($A38,3)="Lcp",SUMIFS('BASE-LCP'!$K:$K,'BASE-LCP'!$A:$A,Capex!$A14,'BASE-LCP'!$B:$B,"agosto")/1000,IF(LEFT($A38,3)="icp",SUMIFS('BASE-ICP'!$K:$K,'BASE-ICP'!$A:$A,Capex!$A14,'BASE-ICP'!$B:$B,"agosto")/1000,"")),"")</f>
        <v>0</v>
      </c>
      <c r="CU38" s="427">
        <v>0</v>
      </c>
      <c r="CV38" s="372"/>
      <c r="CW38" s="419"/>
      <c r="CX38" s="423">
        <f>IFERROR(IF(LEFT($A38,3)="Lcp",SUMIFS('BASE-LCP'!$K:$K,'BASE-LCP'!$A:$A,Capex!$A14,'BASE-LCP'!$B:$B,"setembro")/1000,IF(LEFT($A38,3)="icp",SUMIFS('BASE-ICP'!$K:$K,'BASE-ICP'!$A:$A,Capex!$A14,'BASE-ICP'!$B:$B,"setembro")/1000,"")),"")</f>
        <v>0</v>
      </c>
      <c r="CY38" s="427">
        <v>0</v>
      </c>
      <c r="CZ38" s="372"/>
      <c r="DA38" s="419"/>
      <c r="DB38" s="423">
        <f>IFERROR(IF(LEFT($A38,3)="Lcp",SUMIFS('BASE-LCP'!$K:$K,'BASE-LCP'!$A:$A,Capex!$A14,'BASE-LCP'!$B:$B,"outubro")/1000,IF(LEFT($A38,3)="icp",SUMIFS('BASE-ICP'!$K:$K,'BASE-ICP'!$A:$A,Capex!$A14,'BASE-ICP'!$B:$B,"outubro")/1000,"")),"")</f>
        <v>0</v>
      </c>
      <c r="DC38" s="427">
        <v>0</v>
      </c>
      <c r="DD38" s="372"/>
      <c r="DE38" s="419"/>
      <c r="DF38" s="423">
        <f>IFERROR(IF(LEFT($A38,3)="Lcp",SUMIFS('BASE-LCP'!$K:$K,'BASE-LCP'!$A:$A,Capex!$A14,'BASE-LCP'!$B:$B,"novembro")/1000,IF(LEFT($A38,3)="icp",SUMIFS('BASE-ICP'!$K:$K,'BASE-ICP'!$A:$A,Capex!$A14,'BASE-ICP'!$B:$B,"novembro")/1000,"")),"")</f>
        <v>0</v>
      </c>
      <c r="DG38" s="427">
        <v>0</v>
      </c>
      <c r="DH38" s="372"/>
      <c r="DI38" s="419"/>
      <c r="DJ38" s="423">
        <f>IFERROR(IF(LEFT($A38,3)="Lcp",SUMIFS('BASE-LCP'!$K:$K,'BASE-LCP'!$A:$A,Capex!$A14,'BASE-LCP'!$B:$B,"dezembro")/1000,IF(LEFT($A38,3)="icp",SUMIFS('BASE-ICP'!$K:$K,'BASE-ICP'!$A:$A,Capex!$A14,'BASE-ICP'!$B:$B,"dezembro")/1000,"")),"")</f>
        <v>0</v>
      </c>
      <c r="DK38" s="427">
        <v>0</v>
      </c>
      <c r="DL38" s="452">
        <f t="shared" si="15"/>
        <v>0</v>
      </c>
      <c r="DM38" s="374"/>
      <c r="DN38" s="374"/>
      <c r="DO38" s="374"/>
      <c r="DP38" s="374"/>
      <c r="DQ38" s="374"/>
      <c r="DR38" s="374"/>
      <c r="DS38" s="374"/>
      <c r="DT38" s="374"/>
      <c r="DU38" s="374"/>
      <c r="DV38" s="374"/>
      <c r="DW38" s="374"/>
      <c r="DX38" s="374"/>
      <c r="DY38" s="450"/>
      <c r="DZ38" s="374">
        <f t="shared" si="16"/>
        <v>0</v>
      </c>
      <c r="EA38" s="216">
        <f t="shared" si="17"/>
        <v>0</v>
      </c>
      <c r="EB38" s="320">
        <f t="shared" si="18"/>
        <v>0</v>
      </c>
      <c r="EC38" s="241">
        <f t="shared" si="19"/>
        <v>0</v>
      </c>
      <c r="ED38" s="241">
        <f t="shared" si="20"/>
        <v>0</v>
      </c>
      <c r="EE38" s="241">
        <f t="shared" si="21"/>
        <v>0</v>
      </c>
      <c r="EF38" s="241">
        <f t="shared" si="22"/>
        <v>0</v>
      </c>
      <c r="EG38" s="346">
        <f t="shared" si="23"/>
        <v>0</v>
      </c>
      <c r="EH38" s="445">
        <f t="shared" si="24"/>
        <v>0</v>
      </c>
      <c r="EI38" s="447">
        <f t="shared" si="25"/>
        <v>0</v>
      </c>
      <c r="EJ38" s="364">
        <f t="shared" si="26"/>
        <v>0</v>
      </c>
      <c r="EK38" s="365">
        <f t="shared" si="27"/>
        <v>0</v>
      </c>
      <c r="EL38" s="529">
        <f t="shared" si="28"/>
        <v>0</v>
      </c>
      <c r="EM38" s="530">
        <v>0</v>
      </c>
      <c r="EN38" s="530">
        <v>0</v>
      </c>
      <c r="EO38" s="530">
        <v>0</v>
      </c>
      <c r="EP38" s="530">
        <v>0</v>
      </c>
      <c r="EQ38" s="530">
        <v>0</v>
      </c>
      <c r="ER38" s="530">
        <v>0</v>
      </c>
      <c r="ES38" s="530">
        <v>0</v>
      </c>
      <c r="ET38" s="530">
        <v>0</v>
      </c>
      <c r="EU38" s="530">
        <v>0</v>
      </c>
      <c r="EV38" s="530">
        <v>0</v>
      </c>
      <c r="EW38" s="530">
        <v>0</v>
      </c>
      <c r="EX38" s="530">
        <v>0</v>
      </c>
      <c r="EY38" s="530">
        <f t="shared" si="29"/>
        <v>0</v>
      </c>
      <c r="EZ38" s="530">
        <f t="shared" si="30"/>
        <v>0</v>
      </c>
      <c r="FA38" s="530">
        <f t="shared" si="31"/>
        <v>0</v>
      </c>
      <c r="FB38" s="530">
        <f t="shared" si="32"/>
        <v>0</v>
      </c>
      <c r="FC38" s="384">
        <f>IFERROR(VLOOKUP(Capex!A14,BASE_558!D:R,8,FALSE)/1000,"")</f>
        <v>0</v>
      </c>
      <c r="FD38" s="328">
        <f>IFERROR(VLOOKUP(Capex!A14,BASE_558!D:R,9,)/1000,"")</f>
        <v>0</v>
      </c>
      <c r="FE38" s="328">
        <f>IFERROR(IF(LEFT(A38,3)="LCP",(VLOOKUP(Capex!A14,BASE_558!D:R,10,)/1000),SUMIFS('BASE ICP_PO_SC'!F:F,'BASE ICP_PO_SC'!A:A,Capex!A14,'BASE ICP_PO_SC'!E:E,"&lt;&gt;")/1000),"")</f>
        <v>0</v>
      </c>
      <c r="FF38" s="328">
        <f>IFERROR(IF(LEFT(A38,3)="LCP",(VLOOKUP(Capex!A14,BASE_558!D:R,11,)/1000),SUMIFS('BASE ICP_PO_SC'!F:F,'BASE ICP_PO_SC'!A:A,Capex!A14,'BASE ICP_PO_SC'!E:E,"")/1000),"")</f>
        <v>0</v>
      </c>
      <c r="FG38" s="328" t="str">
        <f>IFERROR(VLOOKUP(A38,BASE_558!D:R,13,FALSE)/1000,"")</f>
        <v/>
      </c>
      <c r="FH38" s="328" t="str">
        <f>IFERROR(VLOOKUP(A38,BASE_558!D:R,15,FALSE)/1000,"")</f>
        <v/>
      </c>
      <c r="FI38" s="547">
        <f t="shared" si="33"/>
        <v>0</v>
      </c>
      <c r="FJ38" s="547">
        <f t="shared" si="34"/>
        <v>0</v>
      </c>
      <c r="FK38" s="540">
        <f t="shared" si="35"/>
        <v>0</v>
      </c>
    </row>
    <row r="39" spans="1:167" s="23" customFormat="1" ht="24" customHeight="1">
      <c r="A39" s="309" t="s">
        <v>695</v>
      </c>
      <c r="B39" s="404"/>
      <c r="C39" s="404"/>
      <c r="D39" s="338"/>
      <c r="E39" s="378"/>
      <c r="F39" s="5"/>
      <c r="G39" s="310" t="s">
        <v>9</v>
      </c>
      <c r="H39" s="338"/>
      <c r="I39" s="338"/>
      <c r="J39" s="338">
        <v>2018</v>
      </c>
      <c r="K39" s="316"/>
      <c r="L39" s="324"/>
      <c r="M39" s="409"/>
      <c r="N39" s="317" t="str">
        <f t="shared" si="38"/>
        <v/>
      </c>
      <c r="O39" s="317" t="str">
        <f t="shared" si="39"/>
        <v/>
      </c>
      <c r="P39" s="418" t="str">
        <f t="shared" si="43"/>
        <v>N/A</v>
      </c>
      <c r="Q39" s="418" t="str">
        <f t="shared" si="43"/>
        <v>N/A</v>
      </c>
      <c r="R39" s="418" t="str">
        <f t="shared" si="43"/>
        <v>N/A</v>
      </c>
      <c r="S39" s="418" t="str">
        <f t="shared" si="43"/>
        <v>N/A</v>
      </c>
      <c r="T39" s="418" t="str">
        <f t="shared" si="43"/>
        <v>N/A</v>
      </c>
      <c r="U39" s="418" t="str">
        <f t="shared" si="43"/>
        <v>N/A</v>
      </c>
      <c r="V39" s="418" t="str">
        <f t="shared" si="43"/>
        <v>N/A</v>
      </c>
      <c r="W39" s="418" t="str">
        <f t="shared" si="43"/>
        <v>N/A</v>
      </c>
      <c r="X39" s="418" t="str">
        <f t="shared" si="43"/>
        <v>N/A</v>
      </c>
      <c r="Y39" s="418" t="str">
        <f t="shared" si="43"/>
        <v>N/A</v>
      </c>
      <c r="Z39" s="418" t="str">
        <f t="shared" si="43"/>
        <v>N/A</v>
      </c>
      <c r="AA39" s="418" t="str">
        <f t="shared" si="43"/>
        <v>N/A</v>
      </c>
      <c r="AB39" s="317"/>
      <c r="AC39" s="309" t="s">
        <v>3930</v>
      </c>
      <c r="AD39" s="311"/>
      <c r="AE39" s="310"/>
      <c r="AF39" s="310" t="s">
        <v>6988</v>
      </c>
      <c r="AG39" s="310" t="s">
        <v>9083</v>
      </c>
      <c r="AH39" s="310" t="s">
        <v>2801</v>
      </c>
      <c r="AI39" s="381" t="s">
        <v>188</v>
      </c>
      <c r="AJ39" s="6" t="s">
        <v>218</v>
      </c>
      <c r="AK39" s="6" t="str">
        <f t="shared" si="10"/>
        <v>IGUAL</v>
      </c>
      <c r="AL39" s="151" t="str">
        <f>IFERROR(IF(LEFT(A39,3)="LCP",VLOOKUP(A39,STATUS_SAP_LCP!B:C,2,FALSE),VLOOKUP(A39,STATUS_SAP_ICP!B:C,2,FALSE)),"NO BUDGET")</f>
        <v>CLSD BUDG AVAC  //  BREL WPLI</v>
      </c>
      <c r="AM39" s="6" t="str">
        <f t="shared" si="44"/>
        <v>CLSD</v>
      </c>
      <c r="AN39" s="282"/>
      <c r="AO39" s="562">
        <v>1</v>
      </c>
      <c r="AP39" s="499" t="s">
        <v>9607</v>
      </c>
      <c r="AQ39" s="464"/>
      <c r="AR39" s="460"/>
      <c r="AS39" s="56"/>
      <c r="AT39" s="185">
        <v>0</v>
      </c>
      <c r="AU39" s="318">
        <v>0</v>
      </c>
      <c r="AV39" s="223">
        <v>0</v>
      </c>
      <c r="AW39" s="318">
        <v>0</v>
      </c>
      <c r="AX39" s="223">
        <v>0</v>
      </c>
      <c r="AY39" s="318">
        <f t="shared" si="40"/>
        <v>0</v>
      </c>
      <c r="AZ39" s="223"/>
      <c r="BA39" s="318"/>
      <c r="BB39" s="519">
        <f t="shared" si="41"/>
        <v>0</v>
      </c>
      <c r="BC39" s="518"/>
      <c r="BD39" s="518"/>
      <c r="BE39" s="518"/>
      <c r="BF39" s="518"/>
      <c r="BG39" s="518"/>
      <c r="BH39" s="518"/>
      <c r="BI39" s="518"/>
      <c r="BJ39" s="518"/>
      <c r="BK39" s="518"/>
      <c r="BL39" s="518"/>
      <c r="BM39" s="518"/>
      <c r="BN39" s="518"/>
      <c r="BO39" s="367">
        <f t="shared" si="14"/>
        <v>0</v>
      </c>
      <c r="BP39" s="421"/>
      <c r="BQ39" s="422">
        <v>0</v>
      </c>
      <c r="BR39" s="423">
        <f>IFERROR(IF(LEFT($A39,3)="Lcp",SUMIFS('BASE-LCP'!$K:$K,'BASE-LCP'!$A:$A,Capex!$A15,'BASE-LCP'!$B:$B,"janeiro")/1000,IF(LEFT($A39,3)="icp",SUMIFS('BASE-ICP'!$K:$K,'BASE-ICP'!$A:$A,Capex!$A15,'BASE-ICP'!$B:$B,"janeiro")/1000,"")),"")</f>
        <v>0</v>
      </c>
      <c r="BS39" s="427">
        <v>0</v>
      </c>
      <c r="BT39" s="372">
        <v>0</v>
      </c>
      <c r="BU39" s="422">
        <v>0</v>
      </c>
      <c r="BV39" s="423">
        <f>IFERROR(IF(LEFT($A39,3)="Lcp",SUMIFS('BASE-LCP'!$K:$K,'BASE-LCP'!$A:$A,Capex!$A15,'BASE-LCP'!$B:$B,"fevereiro")/1000,IF(LEFT($A39,3)="icp",SUMIFS('BASE-ICP'!$K:$K,'BASE-ICP'!$A:$A,Capex!$A15,'BASE-ICP'!$B:$B,"fevereiro")/1000,"")),"")</f>
        <v>0</v>
      </c>
      <c r="BW39" s="427">
        <v>0</v>
      </c>
      <c r="BX39" s="372">
        <v>0</v>
      </c>
      <c r="BY39" s="422">
        <v>0</v>
      </c>
      <c r="BZ39" s="423">
        <f>IFERROR(IF(LEFT($A39,3)="Lcp",SUMIFS('BASE-LCP'!$K:$K,'BASE-LCP'!$A:$A,Capex!$A15,'BASE-LCP'!$B:$B,"março")/1000,IF(LEFT($A39,3)="icp",SUMIFS('BASE-ICP'!$K:$K,'BASE-ICP'!$A:$A,Capex!$A15,'BASE-ICP'!$B:$B,"março")/1000,"")),"")</f>
        <v>0</v>
      </c>
      <c r="CA39" s="427">
        <v>0</v>
      </c>
      <c r="CB39" s="372">
        <v>0</v>
      </c>
      <c r="CC39" s="422"/>
      <c r="CD39" s="423">
        <f>IFERROR(IF(LEFT($A39,3)="Lcp",SUMIFS('BASE-LCP'!$K:$K,'BASE-LCP'!$A:$A,Capex!$A15,'BASE-LCP'!$B:$B,"abril")/1000,IF(LEFT($A39,3)="icp",SUMIFS('BASE-ICP'!$K:$K,'BASE-ICP'!$A:$A,Capex!$A15,'BASE-ICP'!$B:$B,"abril")/1000,"")),"")</f>
        <v>0</v>
      </c>
      <c r="CE39" s="427">
        <v>0</v>
      </c>
      <c r="CF39" s="372">
        <v>0</v>
      </c>
      <c r="CG39" s="422">
        <f t="shared" si="42"/>
        <v>0</v>
      </c>
      <c r="CH39" s="423">
        <v>0</v>
      </c>
      <c r="CI39" s="427">
        <v>0</v>
      </c>
      <c r="CJ39" s="372">
        <v>0</v>
      </c>
      <c r="CK39" s="419"/>
      <c r="CL39" s="423">
        <f>IFERROR(IF(LEFT($A39,3)="Lcp",SUMIFS('BASE-LCP'!$K:$K,'BASE-LCP'!$A:$A,Capex!$A15,'BASE-LCP'!$B:$B,"junho")/1000,IF(LEFT($A39,3)="icp",SUMIFS('BASE-ICP'!$K:$K,'BASE-ICP'!$A:$A,Capex!$A15,'BASE-ICP'!$B:$B,"junho")/1000,"")),"")</f>
        <v>0</v>
      </c>
      <c r="CM39" s="427">
        <v>0</v>
      </c>
      <c r="CN39" s="372"/>
      <c r="CO39" s="419"/>
      <c r="CP39" s="423">
        <f>IFERROR(IF(LEFT($A39,3)="Lcp",SUMIFS('BASE-LCP'!$K:$K,'BASE-LCP'!$A:$A,Capex!$A15,'BASE-LCP'!$B:$B,"julho")/1000,IF(LEFT($A39,3)="icp",SUMIFS('BASE-ICP'!$K:$K,'BASE-ICP'!$A:$A,Capex!$A15,'BASE-ICP'!$B:$B,"julho")/1000,"")),"")</f>
        <v>0</v>
      </c>
      <c r="CQ39" s="427">
        <v>0</v>
      </c>
      <c r="CR39" s="372"/>
      <c r="CS39" s="419"/>
      <c r="CT39" s="423">
        <f>IFERROR(IF(LEFT($A39,3)="Lcp",SUMIFS('BASE-LCP'!$K:$K,'BASE-LCP'!$A:$A,Capex!$A15,'BASE-LCP'!$B:$B,"agosto")/1000,IF(LEFT($A39,3)="icp",SUMIFS('BASE-ICP'!$K:$K,'BASE-ICP'!$A:$A,Capex!$A15,'BASE-ICP'!$B:$B,"agosto")/1000,"")),"")</f>
        <v>0</v>
      </c>
      <c r="CU39" s="427">
        <v>0</v>
      </c>
      <c r="CV39" s="372"/>
      <c r="CW39" s="419"/>
      <c r="CX39" s="423">
        <f>IFERROR(IF(LEFT($A39,3)="Lcp",SUMIFS('BASE-LCP'!$K:$K,'BASE-LCP'!$A:$A,Capex!$A15,'BASE-LCP'!$B:$B,"setembro")/1000,IF(LEFT($A39,3)="icp",SUMIFS('BASE-ICP'!$K:$K,'BASE-ICP'!$A:$A,Capex!$A15,'BASE-ICP'!$B:$B,"setembro")/1000,"")),"")</f>
        <v>0</v>
      </c>
      <c r="CY39" s="427">
        <v>0</v>
      </c>
      <c r="CZ39" s="372"/>
      <c r="DA39" s="419"/>
      <c r="DB39" s="423">
        <f>IFERROR(IF(LEFT($A39,3)="Lcp",SUMIFS('BASE-LCP'!$K:$K,'BASE-LCP'!$A:$A,Capex!$A15,'BASE-LCP'!$B:$B,"outubro")/1000,IF(LEFT($A39,3)="icp",SUMIFS('BASE-ICP'!$K:$K,'BASE-ICP'!$A:$A,Capex!$A15,'BASE-ICP'!$B:$B,"outubro")/1000,"")),"")</f>
        <v>0</v>
      </c>
      <c r="DC39" s="427">
        <v>0</v>
      </c>
      <c r="DD39" s="372"/>
      <c r="DE39" s="419"/>
      <c r="DF39" s="423">
        <f>IFERROR(IF(LEFT($A39,3)="Lcp",SUMIFS('BASE-LCP'!$K:$K,'BASE-LCP'!$A:$A,Capex!$A15,'BASE-LCP'!$B:$B,"novembro")/1000,IF(LEFT($A39,3)="icp",SUMIFS('BASE-ICP'!$K:$K,'BASE-ICP'!$A:$A,Capex!$A15,'BASE-ICP'!$B:$B,"novembro")/1000,"")),"")</f>
        <v>0</v>
      </c>
      <c r="DG39" s="427">
        <v>0</v>
      </c>
      <c r="DH39" s="372"/>
      <c r="DI39" s="419"/>
      <c r="DJ39" s="423">
        <f>IFERROR(IF(LEFT($A39,3)="Lcp",SUMIFS('BASE-LCP'!$K:$K,'BASE-LCP'!$A:$A,Capex!$A15,'BASE-LCP'!$B:$B,"dezembro")/1000,IF(LEFT($A39,3)="icp",SUMIFS('BASE-ICP'!$K:$K,'BASE-ICP'!$A:$A,Capex!$A15,'BASE-ICP'!$B:$B,"dezembro")/1000,"")),"")</f>
        <v>0</v>
      </c>
      <c r="DK39" s="427">
        <v>0</v>
      </c>
      <c r="DL39" s="452">
        <f t="shared" si="15"/>
        <v>0</v>
      </c>
      <c r="DM39" s="374"/>
      <c r="DN39" s="374"/>
      <c r="DO39" s="374"/>
      <c r="DP39" s="374"/>
      <c r="DQ39" s="374"/>
      <c r="DR39" s="374"/>
      <c r="DS39" s="374"/>
      <c r="DT39" s="374"/>
      <c r="DU39" s="374"/>
      <c r="DV39" s="374"/>
      <c r="DW39" s="374"/>
      <c r="DX39" s="374"/>
      <c r="DY39" s="450"/>
      <c r="DZ39" s="374">
        <f t="shared" si="16"/>
        <v>0</v>
      </c>
      <c r="EA39" s="216">
        <f t="shared" si="17"/>
        <v>0</v>
      </c>
      <c r="EB39" s="320">
        <f t="shared" si="18"/>
        <v>0</v>
      </c>
      <c r="EC39" s="241">
        <f t="shared" si="19"/>
        <v>0</v>
      </c>
      <c r="ED39" s="241">
        <f t="shared" si="20"/>
        <v>0</v>
      </c>
      <c r="EE39" s="241">
        <f t="shared" si="21"/>
        <v>0</v>
      </c>
      <c r="EF39" s="241">
        <f t="shared" si="22"/>
        <v>0</v>
      </c>
      <c r="EG39" s="346">
        <f t="shared" si="23"/>
        <v>0</v>
      </c>
      <c r="EH39" s="445">
        <f t="shared" si="24"/>
        <v>0</v>
      </c>
      <c r="EI39" s="447">
        <f t="shared" si="25"/>
        <v>0</v>
      </c>
      <c r="EJ39" s="364">
        <f t="shared" si="26"/>
        <v>0</v>
      </c>
      <c r="EK39" s="365">
        <f t="shared" si="27"/>
        <v>0</v>
      </c>
      <c r="EL39" s="529">
        <f t="shared" si="28"/>
        <v>0</v>
      </c>
      <c r="EM39" s="530">
        <v>0</v>
      </c>
      <c r="EN39" s="530">
        <v>0</v>
      </c>
      <c r="EO39" s="530">
        <v>0</v>
      </c>
      <c r="EP39" s="530">
        <v>0</v>
      </c>
      <c r="EQ39" s="530">
        <v>0</v>
      </c>
      <c r="ER39" s="530">
        <v>0</v>
      </c>
      <c r="ES39" s="530">
        <v>0</v>
      </c>
      <c r="ET39" s="530">
        <v>0</v>
      </c>
      <c r="EU39" s="530">
        <v>0</v>
      </c>
      <c r="EV39" s="530">
        <v>0</v>
      </c>
      <c r="EW39" s="530">
        <v>0</v>
      </c>
      <c r="EX39" s="530">
        <v>0</v>
      </c>
      <c r="EY39" s="530">
        <f t="shared" si="29"/>
        <v>0</v>
      </c>
      <c r="EZ39" s="530">
        <f t="shared" si="30"/>
        <v>0</v>
      </c>
      <c r="FA39" s="530">
        <f t="shared" si="31"/>
        <v>0</v>
      </c>
      <c r="FB39" s="530">
        <f t="shared" si="32"/>
        <v>0</v>
      </c>
      <c r="FC39" s="384">
        <f>IFERROR(VLOOKUP(Capex!A15,BASE_558!D:R,8,FALSE)/1000,"")</f>
        <v>128.90407000000002</v>
      </c>
      <c r="FD39" s="328">
        <f>IFERROR(VLOOKUP(Capex!A15,BASE_558!D:R,9,)/1000,"")</f>
        <v>93.927039999999991</v>
      </c>
      <c r="FE39" s="328">
        <f>IFERROR(IF(LEFT(A39,3)="LCP",(VLOOKUP(Capex!A15,BASE_558!D:R,10,)/1000),SUMIFS('BASE ICP_PO_SC'!F:F,'BASE ICP_PO_SC'!A:A,Capex!A15,'BASE ICP_PO_SC'!E:E,"&lt;&gt;")/1000),"")</f>
        <v>0</v>
      </c>
      <c r="FF39" s="328">
        <f>IFERROR(IF(LEFT(A39,3)="LCP",(VLOOKUP(Capex!A15,BASE_558!D:R,11,)/1000),SUMIFS('BASE ICP_PO_SC'!F:F,'BASE ICP_PO_SC'!A:A,Capex!A15,'BASE ICP_PO_SC'!E:E,"")/1000),"")</f>
        <v>0</v>
      </c>
      <c r="FG39" s="328" t="str">
        <f>IFERROR(VLOOKUP(A39,BASE_558!D:R,13,FALSE)/1000,"")</f>
        <v/>
      </c>
      <c r="FH39" s="328" t="str">
        <f>IFERROR(VLOOKUP(A39,BASE_558!D:R,15,FALSE)/1000,"")</f>
        <v/>
      </c>
      <c r="FI39" s="547">
        <f t="shared" si="33"/>
        <v>0</v>
      </c>
      <c r="FJ39" s="547">
        <f t="shared" si="34"/>
        <v>0</v>
      </c>
      <c r="FK39" s="540">
        <f t="shared" si="35"/>
        <v>0</v>
      </c>
    </row>
    <row r="40" spans="1:167" s="23" customFormat="1" ht="30.75" customHeight="1">
      <c r="A40" s="309" t="s">
        <v>684</v>
      </c>
      <c r="B40" s="404"/>
      <c r="C40" s="404"/>
      <c r="D40" s="338"/>
      <c r="E40" s="378"/>
      <c r="F40" s="5"/>
      <c r="G40" s="310" t="s">
        <v>9</v>
      </c>
      <c r="H40" s="338"/>
      <c r="I40" s="338"/>
      <c r="J40" s="338">
        <v>2018</v>
      </c>
      <c r="K40" s="316"/>
      <c r="L40" s="324"/>
      <c r="M40" s="409"/>
      <c r="N40" s="317" t="str">
        <f t="shared" si="38"/>
        <v/>
      </c>
      <c r="O40" s="317" t="str">
        <f t="shared" si="39"/>
        <v/>
      </c>
      <c r="P40" s="418" t="str">
        <f t="shared" si="43"/>
        <v>N/A</v>
      </c>
      <c r="Q40" s="418" t="str">
        <f t="shared" si="43"/>
        <v>N/A</v>
      </c>
      <c r="R40" s="418" t="str">
        <f t="shared" si="43"/>
        <v>N/A</v>
      </c>
      <c r="S40" s="418" t="str">
        <f t="shared" si="43"/>
        <v>N/A</v>
      </c>
      <c r="T40" s="418" t="str">
        <f t="shared" si="43"/>
        <v>N/A</v>
      </c>
      <c r="U40" s="418" t="str">
        <f t="shared" si="43"/>
        <v>N/A</v>
      </c>
      <c r="V40" s="418" t="str">
        <f t="shared" si="43"/>
        <v>N/A</v>
      </c>
      <c r="W40" s="418" t="str">
        <f t="shared" si="43"/>
        <v>N/A</v>
      </c>
      <c r="X40" s="418" t="str">
        <f t="shared" si="43"/>
        <v>N/A</v>
      </c>
      <c r="Y40" s="418" t="str">
        <f t="shared" si="43"/>
        <v>N/A</v>
      </c>
      <c r="Z40" s="418" t="str">
        <f t="shared" si="43"/>
        <v>N/A</v>
      </c>
      <c r="AA40" s="418" t="str">
        <f t="shared" si="43"/>
        <v>N/A</v>
      </c>
      <c r="AB40" s="317"/>
      <c r="AC40" s="309" t="s">
        <v>3932</v>
      </c>
      <c r="AD40" s="311"/>
      <c r="AE40" s="310"/>
      <c r="AF40" s="310" t="s">
        <v>6988</v>
      </c>
      <c r="AG40" s="310" t="s">
        <v>9083</v>
      </c>
      <c r="AH40" s="310" t="s">
        <v>2802</v>
      </c>
      <c r="AI40" s="381" t="s">
        <v>2255</v>
      </c>
      <c r="AJ40" s="6" t="s">
        <v>218</v>
      </c>
      <c r="AK40" s="6" t="str">
        <f t="shared" si="10"/>
        <v>IGUAL</v>
      </c>
      <c r="AL40" s="151" t="str">
        <f>IFERROR(IF(LEFT(A40,3)="LCP",VLOOKUP(A40,STATUS_SAP_LCP!B:C,2,FALSE),VLOOKUP(A40,STATUS_SAP_ICP!B:C,2,FALSE)),"NO BUDGET")</f>
        <v>CLSD BUDG AVAC  //  BREL WPLI</v>
      </c>
      <c r="AM40" s="6" t="str">
        <f t="shared" si="44"/>
        <v>CLSD</v>
      </c>
      <c r="AN40" s="282"/>
      <c r="AO40" s="562">
        <v>1</v>
      </c>
      <c r="AP40" s="499" t="s">
        <v>9607</v>
      </c>
      <c r="AQ40" s="464"/>
      <c r="AR40" s="460"/>
      <c r="AS40" s="56"/>
      <c r="AT40" s="185">
        <v>0</v>
      </c>
      <c r="AU40" s="318">
        <v>0</v>
      </c>
      <c r="AV40" s="223">
        <v>0</v>
      </c>
      <c r="AW40" s="318">
        <v>0</v>
      </c>
      <c r="AX40" s="223">
        <v>0</v>
      </c>
      <c r="AY40" s="318">
        <f t="shared" si="40"/>
        <v>0</v>
      </c>
      <c r="AZ40" s="223"/>
      <c r="BA40" s="318"/>
      <c r="BB40" s="519">
        <f t="shared" si="41"/>
        <v>0</v>
      </c>
      <c r="BC40" s="518"/>
      <c r="BD40" s="518"/>
      <c r="BE40" s="518"/>
      <c r="BF40" s="518"/>
      <c r="BG40" s="518"/>
      <c r="BH40" s="518"/>
      <c r="BI40" s="518"/>
      <c r="BJ40" s="518"/>
      <c r="BK40" s="518"/>
      <c r="BL40" s="518"/>
      <c r="BM40" s="518"/>
      <c r="BN40" s="518"/>
      <c r="BO40" s="367">
        <f t="shared" si="14"/>
        <v>0</v>
      </c>
      <c r="BP40" s="421"/>
      <c r="BQ40" s="422">
        <v>0</v>
      </c>
      <c r="BR40" s="423">
        <f>IFERROR(IF(LEFT($A40,3)="Lcp",SUMIFS('BASE-LCP'!$K:$K,'BASE-LCP'!$A:$A,Capex!$A16,'BASE-LCP'!$B:$B,"janeiro")/1000,IF(LEFT($A40,3)="icp",SUMIFS('BASE-ICP'!$K:$K,'BASE-ICP'!$A:$A,Capex!$A16,'BASE-ICP'!$B:$B,"janeiro")/1000,"")),"")</f>
        <v>0</v>
      </c>
      <c r="BS40" s="427">
        <v>0</v>
      </c>
      <c r="BT40" s="372">
        <v>0</v>
      </c>
      <c r="BU40" s="422">
        <v>0</v>
      </c>
      <c r="BV40" s="423">
        <f>IFERROR(IF(LEFT($A40,3)="Lcp",SUMIFS('BASE-LCP'!$K:$K,'BASE-LCP'!$A:$A,Capex!$A16,'BASE-LCP'!$B:$B,"fevereiro")/1000,IF(LEFT($A40,3)="icp",SUMIFS('BASE-ICP'!$K:$K,'BASE-ICP'!$A:$A,Capex!$A16,'BASE-ICP'!$B:$B,"fevereiro")/1000,"")),"")</f>
        <v>0</v>
      </c>
      <c r="BW40" s="427">
        <v>0</v>
      </c>
      <c r="BX40" s="372">
        <v>0</v>
      </c>
      <c r="BY40" s="422">
        <v>0</v>
      </c>
      <c r="BZ40" s="423">
        <f>IFERROR(IF(LEFT($A40,3)="Lcp",SUMIFS('BASE-LCP'!$K:$K,'BASE-LCP'!$A:$A,Capex!$A16,'BASE-LCP'!$B:$B,"março")/1000,IF(LEFT($A40,3)="icp",SUMIFS('BASE-ICP'!$K:$K,'BASE-ICP'!$A:$A,Capex!$A16,'BASE-ICP'!$B:$B,"março")/1000,"")),"")</f>
        <v>0</v>
      </c>
      <c r="CA40" s="427">
        <v>0</v>
      </c>
      <c r="CB40" s="372">
        <v>0</v>
      </c>
      <c r="CC40" s="422"/>
      <c r="CD40" s="423">
        <f>IFERROR(IF(LEFT($A40,3)="Lcp",SUMIFS('BASE-LCP'!$K:$K,'BASE-LCP'!$A:$A,Capex!$A16,'BASE-LCP'!$B:$B,"abril")/1000,IF(LEFT($A40,3)="icp",SUMIFS('BASE-ICP'!$K:$K,'BASE-ICP'!$A:$A,Capex!$A16,'BASE-ICP'!$B:$B,"abril")/1000,"")),"")</f>
        <v>0</v>
      </c>
      <c r="CE40" s="427">
        <v>0</v>
      </c>
      <c r="CF40" s="372">
        <v>0</v>
      </c>
      <c r="CG40" s="422">
        <f t="shared" si="42"/>
        <v>0</v>
      </c>
      <c r="CH40" s="423">
        <v>0</v>
      </c>
      <c r="CI40" s="427">
        <v>0</v>
      </c>
      <c r="CJ40" s="372">
        <v>0</v>
      </c>
      <c r="CK40" s="419"/>
      <c r="CL40" s="423">
        <f>IFERROR(IF(LEFT($A40,3)="Lcp",SUMIFS('BASE-LCP'!$K:$K,'BASE-LCP'!$A:$A,Capex!$A16,'BASE-LCP'!$B:$B,"junho")/1000,IF(LEFT($A40,3)="icp",SUMIFS('BASE-ICP'!$K:$K,'BASE-ICP'!$A:$A,Capex!$A16,'BASE-ICP'!$B:$B,"junho")/1000,"")),"")</f>
        <v>0</v>
      </c>
      <c r="CM40" s="427">
        <v>0</v>
      </c>
      <c r="CN40" s="372"/>
      <c r="CO40" s="419"/>
      <c r="CP40" s="423">
        <f>IFERROR(IF(LEFT($A40,3)="Lcp",SUMIFS('BASE-LCP'!$K:$K,'BASE-LCP'!$A:$A,Capex!$A16,'BASE-LCP'!$B:$B,"julho")/1000,IF(LEFT($A40,3)="icp",SUMIFS('BASE-ICP'!$K:$K,'BASE-ICP'!$A:$A,Capex!$A16,'BASE-ICP'!$B:$B,"julho")/1000,"")),"")</f>
        <v>0</v>
      </c>
      <c r="CQ40" s="427">
        <v>0</v>
      </c>
      <c r="CR40" s="372"/>
      <c r="CS40" s="419"/>
      <c r="CT40" s="423">
        <f>IFERROR(IF(LEFT($A40,3)="Lcp",SUMIFS('BASE-LCP'!$K:$K,'BASE-LCP'!$A:$A,Capex!$A16,'BASE-LCP'!$B:$B,"agosto")/1000,IF(LEFT($A40,3)="icp",SUMIFS('BASE-ICP'!$K:$K,'BASE-ICP'!$A:$A,Capex!$A16,'BASE-ICP'!$B:$B,"agosto")/1000,"")),"")</f>
        <v>0</v>
      </c>
      <c r="CU40" s="427">
        <v>0</v>
      </c>
      <c r="CV40" s="372"/>
      <c r="CW40" s="419"/>
      <c r="CX40" s="423">
        <f>IFERROR(IF(LEFT($A40,3)="Lcp",SUMIFS('BASE-LCP'!$K:$K,'BASE-LCP'!$A:$A,Capex!$A16,'BASE-LCP'!$B:$B,"setembro")/1000,IF(LEFT($A40,3)="icp",SUMIFS('BASE-ICP'!$K:$K,'BASE-ICP'!$A:$A,Capex!$A16,'BASE-ICP'!$B:$B,"setembro")/1000,"")),"")</f>
        <v>0</v>
      </c>
      <c r="CY40" s="427">
        <v>0</v>
      </c>
      <c r="CZ40" s="372"/>
      <c r="DA40" s="419"/>
      <c r="DB40" s="423">
        <f>IFERROR(IF(LEFT($A40,3)="Lcp",SUMIFS('BASE-LCP'!$K:$K,'BASE-LCP'!$A:$A,Capex!$A16,'BASE-LCP'!$B:$B,"outubro")/1000,IF(LEFT($A40,3)="icp",SUMIFS('BASE-ICP'!$K:$K,'BASE-ICP'!$A:$A,Capex!$A16,'BASE-ICP'!$B:$B,"outubro")/1000,"")),"")</f>
        <v>0</v>
      </c>
      <c r="DC40" s="427">
        <v>0</v>
      </c>
      <c r="DD40" s="372"/>
      <c r="DE40" s="419"/>
      <c r="DF40" s="423">
        <f>IFERROR(IF(LEFT($A40,3)="Lcp",SUMIFS('BASE-LCP'!$K:$K,'BASE-LCP'!$A:$A,Capex!$A16,'BASE-LCP'!$B:$B,"novembro")/1000,IF(LEFT($A40,3)="icp",SUMIFS('BASE-ICP'!$K:$K,'BASE-ICP'!$A:$A,Capex!$A16,'BASE-ICP'!$B:$B,"novembro")/1000,"")),"")</f>
        <v>0</v>
      </c>
      <c r="DG40" s="427">
        <v>0</v>
      </c>
      <c r="DH40" s="372"/>
      <c r="DI40" s="419"/>
      <c r="DJ40" s="423">
        <f>IFERROR(IF(LEFT($A40,3)="Lcp",SUMIFS('BASE-LCP'!$K:$K,'BASE-LCP'!$A:$A,Capex!$A16,'BASE-LCP'!$B:$B,"dezembro")/1000,IF(LEFT($A40,3)="icp",SUMIFS('BASE-ICP'!$K:$K,'BASE-ICP'!$A:$A,Capex!$A16,'BASE-ICP'!$B:$B,"dezembro")/1000,"")),"")</f>
        <v>0</v>
      </c>
      <c r="DK40" s="427">
        <v>0</v>
      </c>
      <c r="DL40" s="452">
        <f t="shared" si="15"/>
        <v>0</v>
      </c>
      <c r="DM40" s="374"/>
      <c r="DN40" s="374"/>
      <c r="DO40" s="374"/>
      <c r="DP40" s="374"/>
      <c r="DQ40" s="374"/>
      <c r="DR40" s="374"/>
      <c r="DS40" s="374"/>
      <c r="DT40" s="374"/>
      <c r="DU40" s="374"/>
      <c r="DV40" s="374"/>
      <c r="DW40" s="374"/>
      <c r="DX40" s="374"/>
      <c r="DY40" s="450"/>
      <c r="DZ40" s="374">
        <f t="shared" si="16"/>
        <v>0</v>
      </c>
      <c r="EA40" s="216">
        <f t="shared" si="17"/>
        <v>0</v>
      </c>
      <c r="EB40" s="320">
        <f t="shared" si="18"/>
        <v>0</v>
      </c>
      <c r="EC40" s="241">
        <f t="shared" si="19"/>
        <v>0</v>
      </c>
      <c r="ED40" s="241">
        <f t="shared" si="20"/>
        <v>0</v>
      </c>
      <c r="EE40" s="241">
        <f t="shared" si="21"/>
        <v>0</v>
      </c>
      <c r="EF40" s="241">
        <f t="shared" si="22"/>
        <v>0</v>
      </c>
      <c r="EG40" s="346">
        <f t="shared" si="23"/>
        <v>0</v>
      </c>
      <c r="EH40" s="445">
        <f t="shared" si="24"/>
        <v>0</v>
      </c>
      <c r="EI40" s="447">
        <f t="shared" si="25"/>
        <v>0</v>
      </c>
      <c r="EJ40" s="364">
        <f t="shared" si="26"/>
        <v>0</v>
      </c>
      <c r="EK40" s="365">
        <f t="shared" si="27"/>
        <v>0</v>
      </c>
      <c r="EL40" s="529">
        <f t="shared" si="28"/>
        <v>0</v>
      </c>
      <c r="EM40" s="530">
        <v>0</v>
      </c>
      <c r="EN40" s="530">
        <v>0</v>
      </c>
      <c r="EO40" s="530">
        <v>0</v>
      </c>
      <c r="EP40" s="530">
        <v>0</v>
      </c>
      <c r="EQ40" s="530">
        <v>0</v>
      </c>
      <c r="ER40" s="530">
        <v>0</v>
      </c>
      <c r="ES40" s="530">
        <v>0</v>
      </c>
      <c r="ET40" s="530">
        <v>0</v>
      </c>
      <c r="EU40" s="530">
        <v>0</v>
      </c>
      <c r="EV40" s="530">
        <v>0</v>
      </c>
      <c r="EW40" s="530">
        <v>0</v>
      </c>
      <c r="EX40" s="530">
        <v>0</v>
      </c>
      <c r="EY40" s="530">
        <f t="shared" si="29"/>
        <v>0</v>
      </c>
      <c r="EZ40" s="530">
        <f t="shared" si="30"/>
        <v>0</v>
      </c>
      <c r="FA40" s="530">
        <f t="shared" si="31"/>
        <v>0</v>
      </c>
      <c r="FB40" s="530">
        <f t="shared" si="32"/>
        <v>0</v>
      </c>
      <c r="FC40" s="384">
        <f>IFERROR(VLOOKUP(Capex!A16,BASE_558!D:R,8,FALSE)/1000,"")</f>
        <v>55</v>
      </c>
      <c r="FD40" s="328">
        <f>IFERROR(VLOOKUP(Capex!A16,BASE_558!D:R,9,)/1000,"")</f>
        <v>0</v>
      </c>
      <c r="FE40" s="328">
        <f>IFERROR(IF(LEFT(A40,3)="LCP",(VLOOKUP(Capex!A16,BASE_558!D:R,10,)/1000),SUMIFS('BASE ICP_PO_SC'!F:F,'BASE ICP_PO_SC'!A:A,Capex!A16,'BASE ICP_PO_SC'!E:E,"&lt;&gt;")/1000),"")</f>
        <v>0</v>
      </c>
      <c r="FF40" s="328">
        <f>IFERROR(IF(LEFT(A40,3)="LCP",(VLOOKUP(Capex!A16,BASE_558!D:R,11,)/1000),SUMIFS('BASE ICP_PO_SC'!F:F,'BASE ICP_PO_SC'!A:A,Capex!A16,'BASE ICP_PO_SC'!E:E,"")/1000),"")</f>
        <v>0</v>
      </c>
      <c r="FG40" s="328" t="str">
        <f>IFERROR(VLOOKUP(A40,BASE_558!D:R,13,FALSE)/1000,"")</f>
        <v/>
      </c>
      <c r="FH40" s="328" t="str">
        <f>IFERROR(VLOOKUP(A40,BASE_558!D:R,15,FALSE)/1000,"")</f>
        <v/>
      </c>
      <c r="FI40" s="547">
        <f t="shared" si="33"/>
        <v>0</v>
      </c>
      <c r="FJ40" s="547">
        <f t="shared" si="34"/>
        <v>0</v>
      </c>
      <c r="FK40" s="540">
        <f t="shared" si="35"/>
        <v>0</v>
      </c>
    </row>
    <row r="41" spans="1:167" s="23" customFormat="1" ht="24" customHeight="1">
      <c r="A41" s="309" t="s">
        <v>685</v>
      </c>
      <c r="B41" s="404"/>
      <c r="C41" s="404"/>
      <c r="D41" s="338"/>
      <c r="E41" s="378"/>
      <c r="F41" s="5"/>
      <c r="G41" s="310" t="s">
        <v>9</v>
      </c>
      <c r="H41" s="338"/>
      <c r="I41" s="338"/>
      <c r="J41" s="338">
        <v>2018</v>
      </c>
      <c r="K41" s="316"/>
      <c r="L41" s="324"/>
      <c r="M41" s="409"/>
      <c r="N41" s="317" t="str">
        <f t="shared" si="38"/>
        <v/>
      </c>
      <c r="O41" s="317" t="str">
        <f t="shared" si="39"/>
        <v/>
      </c>
      <c r="P41" s="418" t="str">
        <f t="shared" si="43"/>
        <v>N/A</v>
      </c>
      <c r="Q41" s="418" t="str">
        <f t="shared" si="43"/>
        <v>N/A</v>
      </c>
      <c r="R41" s="418" t="str">
        <f t="shared" si="43"/>
        <v>N/A</v>
      </c>
      <c r="S41" s="418" t="str">
        <f t="shared" si="43"/>
        <v>N/A</v>
      </c>
      <c r="T41" s="418" t="str">
        <f t="shared" si="43"/>
        <v>N/A</v>
      </c>
      <c r="U41" s="418" t="str">
        <f t="shared" si="43"/>
        <v>N/A</v>
      </c>
      <c r="V41" s="418" t="str">
        <f t="shared" si="43"/>
        <v>N/A</v>
      </c>
      <c r="W41" s="418" t="str">
        <f t="shared" si="43"/>
        <v>N/A</v>
      </c>
      <c r="X41" s="418" t="str">
        <f t="shared" si="43"/>
        <v>N/A</v>
      </c>
      <c r="Y41" s="418" t="str">
        <f t="shared" si="43"/>
        <v>N/A</v>
      </c>
      <c r="Z41" s="418" t="str">
        <f t="shared" si="43"/>
        <v>N/A</v>
      </c>
      <c r="AA41" s="418" t="str">
        <f t="shared" si="43"/>
        <v>N/A</v>
      </c>
      <c r="AB41" s="317"/>
      <c r="AC41" s="309" t="s">
        <v>3932</v>
      </c>
      <c r="AD41" s="311"/>
      <c r="AE41" s="311"/>
      <c r="AF41" s="310" t="s">
        <v>6988</v>
      </c>
      <c r="AG41" s="310" t="s">
        <v>9083</v>
      </c>
      <c r="AH41" s="310" t="s">
        <v>2803</v>
      </c>
      <c r="AI41" s="381" t="s">
        <v>2255</v>
      </c>
      <c r="AJ41" s="6" t="s">
        <v>218</v>
      </c>
      <c r="AK41" s="6" t="str">
        <f t="shared" si="10"/>
        <v>IGUAL</v>
      </c>
      <c r="AL41" s="151" t="str">
        <f>IFERROR(IF(LEFT(A41,3)="LCP",VLOOKUP(A41,STATUS_SAP_LCP!B:C,2,FALSE),VLOOKUP(A41,STATUS_SAP_ICP!B:C,2,FALSE)),"NO BUDGET")</f>
        <v>CLSD BUDG AVAC  //  BREL WPLI</v>
      </c>
      <c r="AM41" s="6" t="str">
        <f t="shared" si="44"/>
        <v>CLSD</v>
      </c>
      <c r="AN41" s="282"/>
      <c r="AO41" s="562">
        <v>1</v>
      </c>
      <c r="AP41" s="499" t="s">
        <v>9607</v>
      </c>
      <c r="AQ41" s="464"/>
      <c r="AR41" s="460"/>
      <c r="AS41" s="56"/>
      <c r="AT41" s="185">
        <v>0</v>
      </c>
      <c r="AU41" s="318">
        <v>0</v>
      </c>
      <c r="AV41" s="223">
        <v>0</v>
      </c>
      <c r="AW41" s="318">
        <v>0</v>
      </c>
      <c r="AX41" s="223">
        <v>0</v>
      </c>
      <c r="AY41" s="318">
        <f t="shared" si="40"/>
        <v>0</v>
      </c>
      <c r="AZ41" s="223"/>
      <c r="BA41" s="318"/>
      <c r="BB41" s="519">
        <f t="shared" si="41"/>
        <v>0</v>
      </c>
      <c r="BC41" s="518"/>
      <c r="BD41" s="518"/>
      <c r="BE41" s="518"/>
      <c r="BF41" s="518"/>
      <c r="BG41" s="518"/>
      <c r="BH41" s="518"/>
      <c r="BI41" s="518"/>
      <c r="BJ41" s="518"/>
      <c r="BK41" s="518"/>
      <c r="BL41" s="518"/>
      <c r="BM41" s="518"/>
      <c r="BN41" s="518"/>
      <c r="BO41" s="367">
        <f t="shared" si="14"/>
        <v>0</v>
      </c>
      <c r="BP41" s="421"/>
      <c r="BQ41" s="422">
        <v>0</v>
      </c>
      <c r="BR41" s="423">
        <f>IFERROR(IF(LEFT($A41,3)="Lcp",SUMIFS('BASE-LCP'!$K:$K,'BASE-LCP'!$A:$A,Capex!$A17,'BASE-LCP'!$B:$B,"janeiro")/1000,IF(LEFT($A41,3)="icp",SUMIFS('BASE-ICP'!$K:$K,'BASE-ICP'!$A:$A,Capex!$A17,'BASE-ICP'!$B:$B,"janeiro")/1000,"")),"")</f>
        <v>0</v>
      </c>
      <c r="BS41" s="427">
        <v>0</v>
      </c>
      <c r="BT41" s="372">
        <v>0</v>
      </c>
      <c r="BU41" s="422">
        <v>0</v>
      </c>
      <c r="BV41" s="423">
        <f>IFERROR(IF(LEFT($A41,3)="Lcp",SUMIFS('BASE-LCP'!$K:$K,'BASE-LCP'!$A:$A,Capex!$A17,'BASE-LCP'!$B:$B,"fevereiro")/1000,IF(LEFT($A41,3)="icp",SUMIFS('BASE-ICP'!$K:$K,'BASE-ICP'!$A:$A,Capex!$A17,'BASE-ICP'!$B:$B,"fevereiro")/1000,"")),"")</f>
        <v>0</v>
      </c>
      <c r="BW41" s="427">
        <v>0</v>
      </c>
      <c r="BX41" s="372">
        <v>0</v>
      </c>
      <c r="BY41" s="422">
        <v>0</v>
      </c>
      <c r="BZ41" s="423">
        <f>IFERROR(IF(LEFT($A41,3)="Lcp",SUMIFS('BASE-LCP'!$K:$K,'BASE-LCP'!$A:$A,Capex!$A17,'BASE-LCP'!$B:$B,"março")/1000,IF(LEFT($A41,3)="icp",SUMIFS('BASE-ICP'!$K:$K,'BASE-ICP'!$A:$A,Capex!$A17,'BASE-ICP'!$B:$B,"março")/1000,"")),"")</f>
        <v>0</v>
      </c>
      <c r="CA41" s="427">
        <v>0</v>
      </c>
      <c r="CB41" s="372">
        <v>0</v>
      </c>
      <c r="CC41" s="422"/>
      <c r="CD41" s="423">
        <f>IFERROR(IF(LEFT($A41,3)="Lcp",SUMIFS('BASE-LCP'!$K:$K,'BASE-LCP'!$A:$A,Capex!$A17,'BASE-LCP'!$B:$B,"abril")/1000,IF(LEFT($A41,3)="icp",SUMIFS('BASE-ICP'!$K:$K,'BASE-ICP'!$A:$A,Capex!$A17,'BASE-ICP'!$B:$B,"abril")/1000,"")),"")</f>
        <v>0</v>
      </c>
      <c r="CE41" s="427">
        <v>0</v>
      </c>
      <c r="CF41" s="372">
        <v>0</v>
      </c>
      <c r="CG41" s="422">
        <f t="shared" si="42"/>
        <v>0</v>
      </c>
      <c r="CH41" s="423">
        <v>0</v>
      </c>
      <c r="CI41" s="427">
        <v>0</v>
      </c>
      <c r="CJ41" s="372">
        <v>0</v>
      </c>
      <c r="CK41" s="419"/>
      <c r="CL41" s="423">
        <f>IFERROR(IF(LEFT($A41,3)="Lcp",SUMIFS('BASE-LCP'!$K:$K,'BASE-LCP'!$A:$A,Capex!$A17,'BASE-LCP'!$B:$B,"junho")/1000,IF(LEFT($A41,3)="icp",SUMIFS('BASE-ICP'!$K:$K,'BASE-ICP'!$A:$A,Capex!$A17,'BASE-ICP'!$B:$B,"junho")/1000,"")),"")</f>
        <v>0</v>
      </c>
      <c r="CM41" s="427">
        <v>0</v>
      </c>
      <c r="CN41" s="372"/>
      <c r="CO41" s="419"/>
      <c r="CP41" s="423">
        <f>IFERROR(IF(LEFT($A41,3)="Lcp",SUMIFS('BASE-LCP'!$K:$K,'BASE-LCP'!$A:$A,Capex!$A17,'BASE-LCP'!$B:$B,"julho")/1000,IF(LEFT($A41,3)="icp",SUMIFS('BASE-ICP'!$K:$K,'BASE-ICP'!$A:$A,Capex!$A17,'BASE-ICP'!$B:$B,"julho")/1000,"")),"")</f>
        <v>0</v>
      </c>
      <c r="CQ41" s="427">
        <v>0</v>
      </c>
      <c r="CR41" s="372"/>
      <c r="CS41" s="419"/>
      <c r="CT41" s="423">
        <f>IFERROR(IF(LEFT($A41,3)="Lcp",SUMIFS('BASE-LCP'!$K:$K,'BASE-LCP'!$A:$A,Capex!$A17,'BASE-LCP'!$B:$B,"agosto")/1000,IF(LEFT($A41,3)="icp",SUMIFS('BASE-ICP'!$K:$K,'BASE-ICP'!$A:$A,Capex!$A17,'BASE-ICP'!$B:$B,"agosto")/1000,"")),"")</f>
        <v>0</v>
      </c>
      <c r="CU41" s="427">
        <v>0</v>
      </c>
      <c r="CV41" s="372"/>
      <c r="CW41" s="419"/>
      <c r="CX41" s="423">
        <f>IFERROR(IF(LEFT($A41,3)="Lcp",SUMIFS('BASE-LCP'!$K:$K,'BASE-LCP'!$A:$A,Capex!$A17,'BASE-LCP'!$B:$B,"setembro")/1000,IF(LEFT($A41,3)="icp",SUMIFS('BASE-ICP'!$K:$K,'BASE-ICP'!$A:$A,Capex!$A17,'BASE-ICP'!$B:$B,"setembro")/1000,"")),"")</f>
        <v>0</v>
      </c>
      <c r="CY41" s="427">
        <v>0</v>
      </c>
      <c r="CZ41" s="372"/>
      <c r="DA41" s="419"/>
      <c r="DB41" s="423">
        <f>IFERROR(IF(LEFT($A41,3)="Lcp",SUMIFS('BASE-LCP'!$K:$K,'BASE-LCP'!$A:$A,Capex!$A17,'BASE-LCP'!$B:$B,"outubro")/1000,IF(LEFT($A41,3)="icp",SUMIFS('BASE-ICP'!$K:$K,'BASE-ICP'!$A:$A,Capex!$A17,'BASE-ICP'!$B:$B,"outubro")/1000,"")),"")</f>
        <v>0</v>
      </c>
      <c r="DC41" s="427">
        <v>0</v>
      </c>
      <c r="DD41" s="372"/>
      <c r="DE41" s="419"/>
      <c r="DF41" s="423">
        <f>IFERROR(IF(LEFT($A41,3)="Lcp",SUMIFS('BASE-LCP'!$K:$K,'BASE-LCP'!$A:$A,Capex!$A17,'BASE-LCP'!$B:$B,"novembro")/1000,IF(LEFT($A41,3)="icp",SUMIFS('BASE-ICP'!$K:$K,'BASE-ICP'!$A:$A,Capex!$A17,'BASE-ICP'!$B:$B,"novembro")/1000,"")),"")</f>
        <v>0</v>
      </c>
      <c r="DG41" s="427">
        <v>0</v>
      </c>
      <c r="DH41" s="372"/>
      <c r="DI41" s="419"/>
      <c r="DJ41" s="423">
        <f>IFERROR(IF(LEFT($A41,3)="Lcp",SUMIFS('BASE-LCP'!$K:$K,'BASE-LCP'!$A:$A,Capex!$A17,'BASE-LCP'!$B:$B,"dezembro")/1000,IF(LEFT($A41,3)="icp",SUMIFS('BASE-ICP'!$K:$K,'BASE-ICP'!$A:$A,Capex!$A17,'BASE-ICP'!$B:$B,"dezembro")/1000,"")),"")</f>
        <v>0</v>
      </c>
      <c r="DK41" s="427">
        <v>0</v>
      </c>
      <c r="DL41" s="452">
        <f t="shared" si="15"/>
        <v>0</v>
      </c>
      <c r="DM41" s="374"/>
      <c r="DN41" s="374"/>
      <c r="DO41" s="374"/>
      <c r="DP41" s="374"/>
      <c r="DQ41" s="374"/>
      <c r="DR41" s="374"/>
      <c r="DS41" s="374"/>
      <c r="DT41" s="374"/>
      <c r="DU41" s="374"/>
      <c r="DV41" s="374"/>
      <c r="DW41" s="374"/>
      <c r="DX41" s="374"/>
      <c r="DY41" s="450"/>
      <c r="DZ41" s="374">
        <f t="shared" si="16"/>
        <v>0</v>
      </c>
      <c r="EA41" s="216">
        <f t="shared" si="17"/>
        <v>0</v>
      </c>
      <c r="EB41" s="320">
        <f t="shared" si="18"/>
        <v>0</v>
      </c>
      <c r="EC41" s="241">
        <f t="shared" si="19"/>
        <v>0</v>
      </c>
      <c r="ED41" s="241">
        <f t="shared" si="20"/>
        <v>0</v>
      </c>
      <c r="EE41" s="241">
        <f t="shared" si="21"/>
        <v>0</v>
      </c>
      <c r="EF41" s="241">
        <f t="shared" si="22"/>
        <v>0</v>
      </c>
      <c r="EG41" s="346">
        <f t="shared" si="23"/>
        <v>0</v>
      </c>
      <c r="EH41" s="445">
        <f t="shared" si="24"/>
        <v>0</v>
      </c>
      <c r="EI41" s="447">
        <f t="shared" si="25"/>
        <v>0</v>
      </c>
      <c r="EJ41" s="364">
        <f t="shared" si="26"/>
        <v>0</v>
      </c>
      <c r="EK41" s="365">
        <f t="shared" si="27"/>
        <v>0</v>
      </c>
      <c r="EL41" s="529">
        <f t="shared" si="28"/>
        <v>0</v>
      </c>
      <c r="EM41" s="530">
        <v>0</v>
      </c>
      <c r="EN41" s="530">
        <v>0</v>
      </c>
      <c r="EO41" s="530">
        <v>0</v>
      </c>
      <c r="EP41" s="530">
        <v>0</v>
      </c>
      <c r="EQ41" s="530">
        <v>0</v>
      </c>
      <c r="ER41" s="530">
        <v>0</v>
      </c>
      <c r="ES41" s="530">
        <v>0</v>
      </c>
      <c r="ET41" s="530">
        <v>0</v>
      </c>
      <c r="EU41" s="530">
        <v>0</v>
      </c>
      <c r="EV41" s="530">
        <v>0</v>
      </c>
      <c r="EW41" s="530">
        <v>0</v>
      </c>
      <c r="EX41" s="530">
        <v>0</v>
      </c>
      <c r="EY41" s="530">
        <f t="shared" si="29"/>
        <v>0</v>
      </c>
      <c r="EZ41" s="530">
        <f t="shared" si="30"/>
        <v>0</v>
      </c>
      <c r="FA41" s="530">
        <f t="shared" si="31"/>
        <v>0</v>
      </c>
      <c r="FB41" s="530">
        <f t="shared" si="32"/>
        <v>0</v>
      </c>
      <c r="FC41" s="384">
        <f>IFERROR(VLOOKUP(Capex!A17,BASE_558!D:R,8,FALSE)/1000,"")</f>
        <v>1415.6092900000001</v>
      </c>
      <c r="FD41" s="328">
        <f>IFERROR(VLOOKUP(Capex!A17,BASE_558!D:R,9,)/1000,"")</f>
        <v>368.18627000000004</v>
      </c>
      <c r="FE41" s="328">
        <f>IFERROR(IF(LEFT(A41,3)="LCP",(VLOOKUP(Capex!A17,BASE_558!D:R,10,)/1000),SUMIFS('BASE ICP_PO_SC'!F:F,'BASE ICP_PO_SC'!A:A,Capex!A17,'BASE ICP_PO_SC'!E:E,"&lt;&gt;")/1000),"")</f>
        <v>0</v>
      </c>
      <c r="FF41" s="328">
        <f>IFERROR(IF(LEFT(A41,3)="LCP",(VLOOKUP(Capex!A17,BASE_558!D:R,11,)/1000),SUMIFS('BASE ICP_PO_SC'!F:F,'BASE ICP_PO_SC'!A:A,Capex!A17,'BASE ICP_PO_SC'!E:E,"")/1000),"")</f>
        <v>0</v>
      </c>
      <c r="FG41" s="328" t="str">
        <f>IFERROR(VLOOKUP(A41,BASE_558!D:R,13,FALSE)/1000,"")</f>
        <v/>
      </c>
      <c r="FH41" s="328" t="str">
        <f>IFERROR(VLOOKUP(A41,BASE_558!D:R,15,FALSE)/1000,"")</f>
        <v/>
      </c>
      <c r="FI41" s="547">
        <f t="shared" si="33"/>
        <v>0</v>
      </c>
      <c r="FJ41" s="547">
        <f t="shared" si="34"/>
        <v>0</v>
      </c>
      <c r="FK41" s="540">
        <f t="shared" si="35"/>
        <v>0</v>
      </c>
    </row>
    <row r="42" spans="1:167" s="23" customFormat="1" ht="24" customHeight="1">
      <c r="A42" s="309" t="s">
        <v>686</v>
      </c>
      <c r="B42" s="404" t="s">
        <v>165</v>
      </c>
      <c r="C42" s="404"/>
      <c r="D42" s="338"/>
      <c r="E42" s="378"/>
      <c r="F42" s="5"/>
      <c r="G42" s="310" t="s">
        <v>9</v>
      </c>
      <c r="H42" s="338"/>
      <c r="I42" s="338"/>
      <c r="J42" s="338">
        <v>2019</v>
      </c>
      <c r="K42" s="316"/>
      <c r="L42" s="324"/>
      <c r="M42" s="409"/>
      <c r="N42" s="317" t="str">
        <f t="shared" si="38"/>
        <v/>
      </c>
      <c r="O42" s="317" t="str">
        <f t="shared" si="39"/>
        <v/>
      </c>
      <c r="P42" s="418" t="str">
        <f t="shared" si="43"/>
        <v>N/A</v>
      </c>
      <c r="Q42" s="418" t="str">
        <f t="shared" si="43"/>
        <v>N/A</v>
      </c>
      <c r="R42" s="418" t="str">
        <f t="shared" si="43"/>
        <v>N/A</v>
      </c>
      <c r="S42" s="418" t="str">
        <f t="shared" si="43"/>
        <v>N/A</v>
      </c>
      <c r="T42" s="418" t="str">
        <f t="shared" si="43"/>
        <v>N/A</v>
      </c>
      <c r="U42" s="418" t="str">
        <f t="shared" si="43"/>
        <v>N/A</v>
      </c>
      <c r="V42" s="418" t="str">
        <f t="shared" si="43"/>
        <v>N/A</v>
      </c>
      <c r="W42" s="418" t="str">
        <f t="shared" si="43"/>
        <v>N/A</v>
      </c>
      <c r="X42" s="418" t="str">
        <f t="shared" si="43"/>
        <v>N/A</v>
      </c>
      <c r="Y42" s="418" t="str">
        <f t="shared" si="43"/>
        <v>N/A</v>
      </c>
      <c r="Z42" s="418" t="str">
        <f t="shared" si="43"/>
        <v>N/A</v>
      </c>
      <c r="AA42" s="418" t="str">
        <f t="shared" si="43"/>
        <v>N/A</v>
      </c>
      <c r="AB42" s="317"/>
      <c r="AC42" s="309" t="s">
        <v>3932</v>
      </c>
      <c r="AD42" s="311"/>
      <c r="AE42" s="311"/>
      <c r="AF42" s="310" t="s">
        <v>6988</v>
      </c>
      <c r="AG42" s="310" t="s">
        <v>9083</v>
      </c>
      <c r="AH42" s="310" t="s">
        <v>2804</v>
      </c>
      <c r="AI42" s="381" t="s">
        <v>2255</v>
      </c>
      <c r="AJ42" s="6" t="s">
        <v>218</v>
      </c>
      <c r="AK42" s="6" t="str">
        <f t="shared" si="10"/>
        <v>IGUAL</v>
      </c>
      <c r="AL42" s="151" t="str">
        <f>IFERROR(IF(LEFT(A42,3)="LCP",VLOOKUP(A42,STATUS_SAP_LCP!B:C,2,FALSE),VLOOKUP(A42,STATUS_SAP_ICP!B:C,2,FALSE)),"NO BUDGET")</f>
        <v>CLSD BUDG AVAC  //  BREL WPLI</v>
      </c>
      <c r="AM42" s="6" t="str">
        <f t="shared" si="44"/>
        <v>CLSD</v>
      </c>
      <c r="AN42" s="282"/>
      <c r="AO42" s="562">
        <v>1</v>
      </c>
      <c r="AP42" s="499" t="s">
        <v>9607</v>
      </c>
      <c r="AQ42" s="464"/>
      <c r="AR42" s="460"/>
      <c r="AS42" s="56"/>
      <c r="AT42" s="185">
        <v>174.20511999999999</v>
      </c>
      <c r="AU42" s="318">
        <v>0</v>
      </c>
      <c r="AV42" s="223">
        <v>0</v>
      </c>
      <c r="AW42" s="318">
        <v>0</v>
      </c>
      <c r="AX42" s="223">
        <v>0</v>
      </c>
      <c r="AY42" s="318">
        <f t="shared" si="40"/>
        <v>0</v>
      </c>
      <c r="AZ42" s="223"/>
      <c r="BA42" s="318"/>
      <c r="BB42" s="519">
        <f t="shared" si="41"/>
        <v>0</v>
      </c>
      <c r="BC42" s="518"/>
      <c r="BD42" s="518"/>
      <c r="BE42" s="518"/>
      <c r="BF42" s="518"/>
      <c r="BG42" s="518"/>
      <c r="BH42" s="518"/>
      <c r="BI42" s="518"/>
      <c r="BJ42" s="518"/>
      <c r="BK42" s="518"/>
      <c r="BL42" s="518"/>
      <c r="BM42" s="518"/>
      <c r="BN42" s="518"/>
      <c r="BO42" s="367">
        <f t="shared" si="14"/>
        <v>0</v>
      </c>
      <c r="BP42" s="421"/>
      <c r="BQ42" s="422">
        <v>0</v>
      </c>
      <c r="BR42" s="423">
        <f>IFERROR(IF(LEFT($A42,3)="Lcp",SUMIFS('BASE-LCP'!$K:$K,'BASE-LCP'!$A:$A,Capex!$A18,'BASE-LCP'!$B:$B,"janeiro")/1000,IF(LEFT($A42,3)="icp",SUMIFS('BASE-ICP'!$K:$K,'BASE-ICP'!$A:$A,Capex!$A18,'BASE-ICP'!$B:$B,"janeiro")/1000,"")),"")</f>
        <v>-58.814579999999992</v>
      </c>
      <c r="BS42" s="427">
        <v>0</v>
      </c>
      <c r="BT42" s="372">
        <v>0</v>
      </c>
      <c r="BU42" s="422">
        <v>0</v>
      </c>
      <c r="BV42" s="423">
        <f>IFERROR(IF(LEFT($A42,3)="Lcp",SUMIFS('BASE-LCP'!$K:$K,'BASE-LCP'!$A:$A,Capex!$A18,'BASE-LCP'!$B:$B,"fevereiro")/1000,IF(LEFT($A42,3)="icp",SUMIFS('BASE-ICP'!$K:$K,'BASE-ICP'!$A:$A,Capex!$A18,'BASE-ICP'!$B:$B,"fevereiro")/1000,"")),"")</f>
        <v>0</v>
      </c>
      <c r="BW42" s="427">
        <v>0</v>
      </c>
      <c r="BX42" s="372">
        <v>0</v>
      </c>
      <c r="BY42" s="422">
        <v>0</v>
      </c>
      <c r="BZ42" s="423">
        <f>IFERROR(IF(LEFT($A42,3)="Lcp",SUMIFS('BASE-LCP'!$K:$K,'BASE-LCP'!$A:$A,Capex!$A18,'BASE-LCP'!$B:$B,"março")/1000,IF(LEFT($A42,3)="icp",SUMIFS('BASE-ICP'!$K:$K,'BASE-ICP'!$A:$A,Capex!$A18,'BASE-ICP'!$B:$B,"março")/1000,"")),"")</f>
        <v>1.51637</v>
      </c>
      <c r="CA42" s="427">
        <v>0</v>
      </c>
      <c r="CB42" s="372">
        <v>0</v>
      </c>
      <c r="CC42" s="422"/>
      <c r="CD42" s="423">
        <f>IFERROR(IF(LEFT($A42,3)="Lcp",SUMIFS('BASE-LCP'!$K:$K,'BASE-LCP'!$A:$A,Capex!$A18,'BASE-LCP'!$B:$B,"abril")/1000,IF(LEFT($A42,3)="icp",SUMIFS('BASE-ICP'!$K:$K,'BASE-ICP'!$A:$A,Capex!$A18,'BASE-ICP'!$B:$B,"abril")/1000,"")),"")</f>
        <v>10.70927</v>
      </c>
      <c r="CE42" s="427">
        <v>0</v>
      </c>
      <c r="CF42" s="372">
        <v>0</v>
      </c>
      <c r="CG42" s="422">
        <f t="shared" si="42"/>
        <v>0</v>
      </c>
      <c r="CH42" s="423">
        <v>0</v>
      </c>
      <c r="CI42" s="427">
        <v>0</v>
      </c>
      <c r="CJ42" s="372">
        <v>0</v>
      </c>
      <c r="CK42" s="419"/>
      <c r="CL42" s="423">
        <f>IFERROR(IF(LEFT($A42,3)="Lcp",SUMIFS('BASE-LCP'!$K:$K,'BASE-LCP'!$A:$A,Capex!$A18,'BASE-LCP'!$B:$B,"junho")/1000,IF(LEFT($A42,3)="icp",SUMIFS('BASE-ICP'!$K:$K,'BASE-ICP'!$A:$A,Capex!$A18,'BASE-ICP'!$B:$B,"junho")/1000,"")),"")</f>
        <v>6.8258499999999991</v>
      </c>
      <c r="CM42" s="427">
        <v>0</v>
      </c>
      <c r="CN42" s="372"/>
      <c r="CO42" s="419"/>
      <c r="CP42" s="423">
        <f>IFERROR(IF(LEFT($A42,3)="Lcp",SUMIFS('BASE-LCP'!$K:$K,'BASE-LCP'!$A:$A,Capex!$A18,'BASE-LCP'!$B:$B,"julho")/1000,IF(LEFT($A42,3)="icp",SUMIFS('BASE-ICP'!$K:$K,'BASE-ICP'!$A:$A,Capex!$A18,'BASE-ICP'!$B:$B,"julho")/1000,"")),"")</f>
        <v>0</v>
      </c>
      <c r="CQ42" s="427">
        <v>0</v>
      </c>
      <c r="CR42" s="372"/>
      <c r="CS42" s="419"/>
      <c r="CT42" s="423">
        <f>IFERROR(IF(LEFT($A42,3)="Lcp",SUMIFS('BASE-LCP'!$K:$K,'BASE-LCP'!$A:$A,Capex!$A18,'BASE-LCP'!$B:$B,"agosto")/1000,IF(LEFT($A42,3)="icp",SUMIFS('BASE-ICP'!$K:$K,'BASE-ICP'!$A:$A,Capex!$A18,'BASE-ICP'!$B:$B,"agosto")/1000,"")),"")</f>
        <v>0</v>
      </c>
      <c r="CU42" s="427">
        <v>0</v>
      </c>
      <c r="CV42" s="372"/>
      <c r="CW42" s="419"/>
      <c r="CX42" s="423">
        <f>IFERROR(IF(LEFT($A42,3)="Lcp",SUMIFS('BASE-LCP'!$K:$K,'BASE-LCP'!$A:$A,Capex!$A18,'BASE-LCP'!$B:$B,"setembro")/1000,IF(LEFT($A42,3)="icp",SUMIFS('BASE-ICP'!$K:$K,'BASE-ICP'!$A:$A,Capex!$A18,'BASE-ICP'!$B:$B,"setembro")/1000,"")),"")</f>
        <v>0</v>
      </c>
      <c r="CY42" s="427">
        <v>0</v>
      </c>
      <c r="CZ42" s="372"/>
      <c r="DA42" s="419"/>
      <c r="DB42" s="423">
        <f>IFERROR(IF(LEFT($A42,3)="Lcp",SUMIFS('BASE-LCP'!$K:$K,'BASE-LCP'!$A:$A,Capex!$A18,'BASE-LCP'!$B:$B,"outubro")/1000,IF(LEFT($A42,3)="icp",SUMIFS('BASE-ICP'!$K:$K,'BASE-ICP'!$A:$A,Capex!$A18,'BASE-ICP'!$B:$B,"outubro")/1000,"")),"")</f>
        <v>0</v>
      </c>
      <c r="DC42" s="427">
        <v>0</v>
      </c>
      <c r="DD42" s="372"/>
      <c r="DE42" s="419"/>
      <c r="DF42" s="423">
        <f>IFERROR(IF(LEFT($A42,3)="Lcp",SUMIFS('BASE-LCP'!$K:$K,'BASE-LCP'!$A:$A,Capex!$A18,'BASE-LCP'!$B:$B,"novembro")/1000,IF(LEFT($A42,3)="icp",SUMIFS('BASE-ICP'!$K:$K,'BASE-ICP'!$A:$A,Capex!$A18,'BASE-ICP'!$B:$B,"novembro")/1000,"")),"")</f>
        <v>0</v>
      </c>
      <c r="DG42" s="427">
        <v>0</v>
      </c>
      <c r="DH42" s="372"/>
      <c r="DI42" s="419"/>
      <c r="DJ42" s="423">
        <f>IFERROR(IF(LEFT($A42,3)="Lcp",SUMIFS('BASE-LCP'!$K:$K,'BASE-LCP'!$A:$A,Capex!$A18,'BASE-LCP'!$B:$B,"dezembro")/1000,IF(LEFT($A42,3)="icp",SUMIFS('BASE-ICP'!$K:$K,'BASE-ICP'!$A:$A,Capex!$A18,'BASE-ICP'!$B:$B,"dezembro")/1000,"")),"")</f>
        <v>0</v>
      </c>
      <c r="DK42" s="427">
        <v>0</v>
      </c>
      <c r="DL42" s="452">
        <f t="shared" si="15"/>
        <v>0</v>
      </c>
      <c r="DM42" s="374"/>
      <c r="DN42" s="374"/>
      <c r="DO42" s="374"/>
      <c r="DP42" s="374"/>
      <c r="DQ42" s="374"/>
      <c r="DR42" s="374"/>
      <c r="DS42" s="374"/>
      <c r="DT42" s="374"/>
      <c r="DU42" s="374"/>
      <c r="DV42" s="374"/>
      <c r="DW42" s="374"/>
      <c r="DX42" s="374"/>
      <c r="DY42" s="450"/>
      <c r="DZ42" s="374">
        <f t="shared" si="16"/>
        <v>0</v>
      </c>
      <c r="EA42" s="216">
        <f t="shared" si="17"/>
        <v>0</v>
      </c>
      <c r="EB42" s="320">
        <f t="shared" si="18"/>
        <v>6.8258499999999991</v>
      </c>
      <c r="EC42" s="241">
        <f t="shared" si="19"/>
        <v>0</v>
      </c>
      <c r="ED42" s="241">
        <f t="shared" si="20"/>
        <v>0</v>
      </c>
      <c r="EE42" s="241">
        <f t="shared" si="21"/>
        <v>0</v>
      </c>
      <c r="EF42" s="241">
        <f t="shared" si="22"/>
        <v>0</v>
      </c>
      <c r="EG42" s="346">
        <f t="shared" si="23"/>
        <v>0</v>
      </c>
      <c r="EH42" s="445">
        <f t="shared" si="24"/>
        <v>0</v>
      </c>
      <c r="EI42" s="447">
        <f t="shared" si="25"/>
        <v>0</v>
      </c>
      <c r="EJ42" s="364">
        <f t="shared" si="26"/>
        <v>6.8258499999999991</v>
      </c>
      <c r="EK42" s="365">
        <f t="shared" si="27"/>
        <v>-6.8258499999999991</v>
      </c>
      <c r="EL42" s="529">
        <f t="shared" si="28"/>
        <v>0</v>
      </c>
      <c r="EM42" s="530">
        <v>0</v>
      </c>
      <c r="EN42" s="530">
        <v>0</v>
      </c>
      <c r="EO42" s="530">
        <v>0</v>
      </c>
      <c r="EP42" s="530">
        <v>0</v>
      </c>
      <c r="EQ42" s="530">
        <v>0</v>
      </c>
      <c r="ER42" s="530">
        <v>0</v>
      </c>
      <c r="ES42" s="530">
        <v>0</v>
      </c>
      <c r="ET42" s="530">
        <v>0</v>
      </c>
      <c r="EU42" s="530">
        <v>0</v>
      </c>
      <c r="EV42" s="530">
        <v>0</v>
      </c>
      <c r="EW42" s="530">
        <v>0</v>
      </c>
      <c r="EX42" s="530">
        <v>0</v>
      </c>
      <c r="EY42" s="530">
        <f t="shared" si="29"/>
        <v>0</v>
      </c>
      <c r="EZ42" s="530">
        <f t="shared" si="30"/>
        <v>0</v>
      </c>
      <c r="FA42" s="530">
        <f t="shared" si="31"/>
        <v>0</v>
      </c>
      <c r="FB42" s="530">
        <f t="shared" si="32"/>
        <v>0</v>
      </c>
      <c r="FC42" s="384" t="str">
        <f>IFERROR(VLOOKUP(Capex!A18,BASE_558!D:R,8,FALSE)/1000,"")</f>
        <v/>
      </c>
      <c r="FD42" s="328" t="str">
        <f>IFERROR(VLOOKUP(Capex!A18,BASE_558!D:R,9,)/1000,"")</f>
        <v/>
      </c>
      <c r="FE42" s="328">
        <f>IFERROR(IF(LEFT(A42,3)="LCP",(VLOOKUP(Capex!A18,BASE_558!D:R,10,)/1000),SUMIFS('BASE ICP_PO_SC'!F:F,'BASE ICP_PO_SC'!A:A,Capex!A18,'BASE ICP_PO_SC'!E:E,"&lt;&gt;")/1000),"")</f>
        <v>26.330959999999997</v>
      </c>
      <c r="FF42" s="328">
        <f>IFERROR(IF(LEFT(A42,3)="LCP",(VLOOKUP(Capex!A18,BASE_558!D:R,11,)/1000),SUMIFS('BASE ICP_PO_SC'!F:F,'BASE ICP_PO_SC'!A:A,Capex!A18,'BASE ICP_PO_SC'!E:E,"")/1000),"")</f>
        <v>0</v>
      </c>
      <c r="FG42" s="328" t="str">
        <f>IFERROR(VLOOKUP(A42,BASE_558!D:R,13,FALSE)/1000,"")</f>
        <v/>
      </c>
      <c r="FH42" s="328" t="str">
        <f>IFERROR(VLOOKUP(A42,BASE_558!D:R,15,FALSE)/1000,"")</f>
        <v/>
      </c>
      <c r="FI42" s="547">
        <f t="shared" si="33"/>
        <v>0</v>
      </c>
      <c r="FJ42" s="547">
        <f t="shared" si="34"/>
        <v>0</v>
      </c>
      <c r="FK42" s="540">
        <f t="shared" si="35"/>
        <v>0</v>
      </c>
    </row>
    <row r="43" spans="1:167" s="23" customFormat="1" ht="24" customHeight="1">
      <c r="A43" s="309" t="s">
        <v>693</v>
      </c>
      <c r="B43" s="404" t="s">
        <v>237</v>
      </c>
      <c r="C43" s="404"/>
      <c r="D43" s="338"/>
      <c r="E43" s="378"/>
      <c r="F43" s="5"/>
      <c r="G43" s="310" t="s">
        <v>9</v>
      </c>
      <c r="H43" s="338"/>
      <c r="I43" s="338"/>
      <c r="J43" s="338">
        <v>2019</v>
      </c>
      <c r="K43" s="316"/>
      <c r="L43" s="324"/>
      <c r="M43" s="409"/>
      <c r="N43" s="317" t="str">
        <f t="shared" si="38"/>
        <v/>
      </c>
      <c r="O43" s="317" t="str">
        <f t="shared" si="39"/>
        <v/>
      </c>
      <c r="P43" s="418" t="str">
        <f t="shared" si="43"/>
        <v>N/A</v>
      </c>
      <c r="Q43" s="418" t="str">
        <f t="shared" si="43"/>
        <v>N/A</v>
      </c>
      <c r="R43" s="418" t="str">
        <f t="shared" si="43"/>
        <v>N/A</v>
      </c>
      <c r="S43" s="418" t="str">
        <f t="shared" si="43"/>
        <v>N/A</v>
      </c>
      <c r="T43" s="418" t="str">
        <f t="shared" si="43"/>
        <v>N/A</v>
      </c>
      <c r="U43" s="418" t="str">
        <f t="shared" si="43"/>
        <v>N/A</v>
      </c>
      <c r="V43" s="418" t="str">
        <f t="shared" si="43"/>
        <v>N/A</v>
      </c>
      <c r="W43" s="418" t="str">
        <f t="shared" si="43"/>
        <v>N/A</v>
      </c>
      <c r="X43" s="418" t="str">
        <f t="shared" si="43"/>
        <v>N/A</v>
      </c>
      <c r="Y43" s="418" t="str">
        <f t="shared" si="43"/>
        <v>N/A</v>
      </c>
      <c r="Z43" s="418" t="str">
        <f t="shared" si="43"/>
        <v>N/A</v>
      </c>
      <c r="AA43" s="418" t="str">
        <f t="shared" si="43"/>
        <v>N/A</v>
      </c>
      <c r="AB43" s="317"/>
      <c r="AC43" s="309" t="s">
        <v>2508</v>
      </c>
      <c r="AD43" s="311"/>
      <c r="AE43" s="311"/>
      <c r="AF43" s="310" t="s">
        <v>6988</v>
      </c>
      <c r="AG43" s="310" t="s">
        <v>9083</v>
      </c>
      <c r="AH43" s="310" t="s">
        <v>3938</v>
      </c>
      <c r="AI43" s="381" t="s">
        <v>188</v>
      </c>
      <c r="AJ43" s="6" t="s">
        <v>218</v>
      </c>
      <c r="AK43" s="6" t="str">
        <f t="shared" si="10"/>
        <v>IGUAL</v>
      </c>
      <c r="AL43" s="151" t="str">
        <f>IFERROR(IF(LEFT(A43,3)="LCP",VLOOKUP(A43,STATUS_SAP_LCP!B:C,2,FALSE),VLOOKUP(A43,STATUS_SAP_ICP!B:C,2,FALSE)),"NO BUDGET")</f>
        <v>CLSD BUDG AVAC  //  BREL WPLI</v>
      </c>
      <c r="AM43" s="6" t="str">
        <f t="shared" si="44"/>
        <v>CLSD</v>
      </c>
      <c r="AN43" s="282"/>
      <c r="AO43" s="493">
        <v>1</v>
      </c>
      <c r="AP43" s="499" t="s">
        <v>9607</v>
      </c>
      <c r="AQ43" s="464"/>
      <c r="AR43" s="460"/>
      <c r="AS43" s="56"/>
      <c r="AT43" s="185">
        <v>0</v>
      </c>
      <c r="AU43" s="318">
        <v>0</v>
      </c>
      <c r="AV43" s="223">
        <v>0</v>
      </c>
      <c r="AW43" s="318">
        <v>0</v>
      </c>
      <c r="AX43" s="223">
        <v>0</v>
      </c>
      <c r="AY43" s="318">
        <f t="shared" si="40"/>
        <v>0</v>
      </c>
      <c r="AZ43" s="223"/>
      <c r="BA43" s="318"/>
      <c r="BB43" s="519">
        <f t="shared" si="41"/>
        <v>0</v>
      </c>
      <c r="BC43" s="518"/>
      <c r="BD43" s="518"/>
      <c r="BE43" s="518"/>
      <c r="BF43" s="518"/>
      <c r="BG43" s="518"/>
      <c r="BH43" s="518"/>
      <c r="BI43" s="518"/>
      <c r="BJ43" s="518"/>
      <c r="BK43" s="518"/>
      <c r="BL43" s="518"/>
      <c r="BM43" s="518"/>
      <c r="BN43" s="518"/>
      <c r="BO43" s="367">
        <f t="shared" si="14"/>
        <v>0</v>
      </c>
      <c r="BP43" s="421"/>
      <c r="BQ43" s="422">
        <v>0</v>
      </c>
      <c r="BR43" s="423">
        <f>IFERROR(IF(LEFT($A43,3)="Lcp",SUMIFS('BASE-LCP'!$K:$K,'BASE-LCP'!$A:$A,Capex!$A19,'BASE-LCP'!$B:$B,"janeiro")/1000,IF(LEFT($A43,3)="icp",SUMIFS('BASE-ICP'!$K:$K,'BASE-ICP'!$A:$A,Capex!$A19,'BASE-ICP'!$B:$B,"janeiro")/1000,"")),"")</f>
        <v>0</v>
      </c>
      <c r="BS43" s="427">
        <v>0</v>
      </c>
      <c r="BT43" s="372">
        <v>0</v>
      </c>
      <c r="BU43" s="422">
        <v>0</v>
      </c>
      <c r="BV43" s="423">
        <f>IFERROR(IF(LEFT($A43,3)="Lcp",SUMIFS('BASE-LCP'!$K:$K,'BASE-LCP'!$A:$A,Capex!$A19,'BASE-LCP'!$B:$B,"fevereiro")/1000,IF(LEFT($A43,3)="icp",SUMIFS('BASE-ICP'!$K:$K,'BASE-ICP'!$A:$A,Capex!$A19,'BASE-ICP'!$B:$B,"fevereiro")/1000,"")),"")</f>
        <v>0</v>
      </c>
      <c r="BW43" s="427">
        <v>0</v>
      </c>
      <c r="BX43" s="372">
        <v>0</v>
      </c>
      <c r="BY43" s="422">
        <v>0</v>
      </c>
      <c r="BZ43" s="423">
        <f>IFERROR(IF(LEFT($A43,3)="Lcp",SUMIFS('BASE-LCP'!$K:$K,'BASE-LCP'!$A:$A,Capex!$A19,'BASE-LCP'!$B:$B,"março")/1000,IF(LEFT($A43,3)="icp",SUMIFS('BASE-ICP'!$K:$K,'BASE-ICP'!$A:$A,Capex!$A19,'BASE-ICP'!$B:$B,"março")/1000,"")),"")</f>
        <v>0</v>
      </c>
      <c r="CA43" s="427">
        <v>0</v>
      </c>
      <c r="CB43" s="372">
        <v>0</v>
      </c>
      <c r="CC43" s="422"/>
      <c r="CD43" s="423">
        <f>IFERROR(IF(LEFT($A43,3)="Lcp",SUMIFS('BASE-LCP'!$K:$K,'BASE-LCP'!$A:$A,Capex!$A19,'BASE-LCP'!$B:$B,"abril")/1000,IF(LEFT($A43,3)="icp",SUMIFS('BASE-ICP'!$K:$K,'BASE-ICP'!$A:$A,Capex!$A19,'BASE-ICP'!$B:$B,"abril")/1000,"")),"")</f>
        <v>0</v>
      </c>
      <c r="CE43" s="427">
        <v>0</v>
      </c>
      <c r="CF43" s="372">
        <v>0</v>
      </c>
      <c r="CG43" s="422">
        <f t="shared" si="42"/>
        <v>0</v>
      </c>
      <c r="CH43" s="423">
        <v>0</v>
      </c>
      <c r="CI43" s="427">
        <v>0</v>
      </c>
      <c r="CJ43" s="372">
        <v>0</v>
      </c>
      <c r="CK43" s="419"/>
      <c r="CL43" s="423">
        <f>IFERROR(IF(LEFT($A43,3)="Lcp",SUMIFS('BASE-LCP'!$K:$K,'BASE-LCP'!$A:$A,Capex!$A19,'BASE-LCP'!$B:$B,"junho")/1000,IF(LEFT($A43,3)="icp",SUMIFS('BASE-ICP'!$K:$K,'BASE-ICP'!$A:$A,Capex!$A19,'BASE-ICP'!$B:$B,"junho")/1000,"")),"")</f>
        <v>0</v>
      </c>
      <c r="CM43" s="427">
        <v>0</v>
      </c>
      <c r="CN43" s="372"/>
      <c r="CO43" s="419"/>
      <c r="CP43" s="423">
        <f>IFERROR(IF(LEFT($A43,3)="Lcp",SUMIFS('BASE-LCP'!$K:$K,'BASE-LCP'!$A:$A,Capex!$A19,'BASE-LCP'!$B:$B,"julho")/1000,IF(LEFT($A43,3)="icp",SUMIFS('BASE-ICP'!$K:$K,'BASE-ICP'!$A:$A,Capex!$A19,'BASE-ICP'!$B:$B,"julho")/1000,"")),"")</f>
        <v>0</v>
      </c>
      <c r="CQ43" s="427">
        <v>0</v>
      </c>
      <c r="CR43" s="372"/>
      <c r="CS43" s="419"/>
      <c r="CT43" s="423">
        <f>IFERROR(IF(LEFT($A43,3)="Lcp",SUMIFS('BASE-LCP'!$K:$K,'BASE-LCP'!$A:$A,Capex!$A19,'BASE-LCP'!$B:$B,"agosto")/1000,IF(LEFT($A43,3)="icp",SUMIFS('BASE-ICP'!$K:$K,'BASE-ICP'!$A:$A,Capex!$A19,'BASE-ICP'!$B:$B,"agosto")/1000,"")),"")</f>
        <v>0</v>
      </c>
      <c r="CU43" s="427">
        <v>0</v>
      </c>
      <c r="CV43" s="372"/>
      <c r="CW43" s="419"/>
      <c r="CX43" s="423">
        <f>IFERROR(IF(LEFT($A43,3)="Lcp",SUMIFS('BASE-LCP'!$K:$K,'BASE-LCP'!$A:$A,Capex!$A19,'BASE-LCP'!$B:$B,"setembro")/1000,IF(LEFT($A43,3)="icp",SUMIFS('BASE-ICP'!$K:$K,'BASE-ICP'!$A:$A,Capex!$A19,'BASE-ICP'!$B:$B,"setembro")/1000,"")),"")</f>
        <v>0</v>
      </c>
      <c r="CY43" s="427">
        <v>0</v>
      </c>
      <c r="CZ43" s="372"/>
      <c r="DA43" s="419"/>
      <c r="DB43" s="423">
        <f>IFERROR(IF(LEFT($A43,3)="Lcp",SUMIFS('BASE-LCP'!$K:$K,'BASE-LCP'!$A:$A,Capex!$A19,'BASE-LCP'!$B:$B,"outubro")/1000,IF(LEFT($A43,3)="icp",SUMIFS('BASE-ICP'!$K:$K,'BASE-ICP'!$A:$A,Capex!$A19,'BASE-ICP'!$B:$B,"outubro")/1000,"")),"")</f>
        <v>0</v>
      </c>
      <c r="DC43" s="427">
        <v>0</v>
      </c>
      <c r="DD43" s="372"/>
      <c r="DE43" s="419"/>
      <c r="DF43" s="423">
        <f>IFERROR(IF(LEFT($A43,3)="Lcp",SUMIFS('BASE-LCP'!$K:$K,'BASE-LCP'!$A:$A,Capex!$A19,'BASE-LCP'!$B:$B,"novembro")/1000,IF(LEFT($A43,3)="icp",SUMIFS('BASE-ICP'!$K:$K,'BASE-ICP'!$A:$A,Capex!$A19,'BASE-ICP'!$B:$B,"novembro")/1000,"")),"")</f>
        <v>0</v>
      </c>
      <c r="DG43" s="427">
        <v>0</v>
      </c>
      <c r="DH43" s="372"/>
      <c r="DI43" s="419"/>
      <c r="DJ43" s="423">
        <f>IFERROR(IF(LEFT($A43,3)="Lcp",SUMIFS('BASE-LCP'!$K:$K,'BASE-LCP'!$A:$A,Capex!$A19,'BASE-LCP'!$B:$B,"dezembro")/1000,IF(LEFT($A43,3)="icp",SUMIFS('BASE-ICP'!$K:$K,'BASE-ICP'!$A:$A,Capex!$A19,'BASE-ICP'!$B:$B,"dezembro")/1000,"")),"")</f>
        <v>0</v>
      </c>
      <c r="DK43" s="427">
        <v>0</v>
      </c>
      <c r="DL43" s="452">
        <f t="shared" si="15"/>
        <v>0</v>
      </c>
      <c r="DM43" s="374"/>
      <c r="DN43" s="374"/>
      <c r="DO43" s="374"/>
      <c r="DP43" s="374"/>
      <c r="DQ43" s="374"/>
      <c r="DR43" s="374"/>
      <c r="DS43" s="374"/>
      <c r="DT43" s="374"/>
      <c r="DU43" s="374"/>
      <c r="DV43" s="374"/>
      <c r="DW43" s="374"/>
      <c r="DX43" s="374"/>
      <c r="DY43" s="450"/>
      <c r="DZ43" s="374">
        <f t="shared" si="16"/>
        <v>0</v>
      </c>
      <c r="EA43" s="216">
        <f t="shared" si="17"/>
        <v>0</v>
      </c>
      <c r="EB43" s="320">
        <f t="shared" si="18"/>
        <v>0</v>
      </c>
      <c r="EC43" s="241">
        <f t="shared" si="19"/>
        <v>0</v>
      </c>
      <c r="ED43" s="241">
        <f t="shared" si="20"/>
        <v>0</v>
      </c>
      <c r="EE43" s="241">
        <f t="shared" si="21"/>
        <v>0</v>
      </c>
      <c r="EF43" s="241">
        <f t="shared" si="22"/>
        <v>0</v>
      </c>
      <c r="EG43" s="346">
        <f t="shared" si="23"/>
        <v>0</v>
      </c>
      <c r="EH43" s="445">
        <f t="shared" si="24"/>
        <v>0</v>
      </c>
      <c r="EI43" s="447">
        <f t="shared" si="25"/>
        <v>0</v>
      </c>
      <c r="EJ43" s="364">
        <f t="shared" si="26"/>
        <v>0</v>
      </c>
      <c r="EK43" s="365">
        <f t="shared" si="27"/>
        <v>0</v>
      </c>
      <c r="EL43" s="529">
        <f t="shared" si="28"/>
        <v>0</v>
      </c>
      <c r="EM43" s="530">
        <v>0</v>
      </c>
      <c r="EN43" s="530">
        <v>0</v>
      </c>
      <c r="EO43" s="530">
        <v>0</v>
      </c>
      <c r="EP43" s="530">
        <v>0</v>
      </c>
      <c r="EQ43" s="530">
        <v>0</v>
      </c>
      <c r="ER43" s="530">
        <v>0</v>
      </c>
      <c r="ES43" s="530">
        <v>0</v>
      </c>
      <c r="ET43" s="530">
        <v>0</v>
      </c>
      <c r="EU43" s="530">
        <v>0</v>
      </c>
      <c r="EV43" s="530">
        <v>0</v>
      </c>
      <c r="EW43" s="530">
        <v>0</v>
      </c>
      <c r="EX43" s="530">
        <v>0</v>
      </c>
      <c r="EY43" s="530">
        <f t="shared" si="29"/>
        <v>0</v>
      </c>
      <c r="EZ43" s="530">
        <f t="shared" si="30"/>
        <v>0</v>
      </c>
      <c r="FA43" s="530">
        <f t="shared" si="31"/>
        <v>0</v>
      </c>
      <c r="FB43" s="530">
        <f t="shared" si="32"/>
        <v>0</v>
      </c>
      <c r="FC43" s="384">
        <f>IFERROR(VLOOKUP(Capex!A19,BASE_558!D:R,8,FALSE)/1000,"")</f>
        <v>1165.5550000000001</v>
      </c>
      <c r="FD43" s="328">
        <f>IFERROR(VLOOKUP(Capex!A19,BASE_558!D:R,9,)/1000,"")</f>
        <v>923.85885999999994</v>
      </c>
      <c r="FE43" s="328">
        <f>IFERROR(IF(LEFT(A43,3)="LCP",(VLOOKUP(Capex!A19,BASE_558!D:R,10,)/1000),SUMIFS('BASE ICP_PO_SC'!F:F,'BASE ICP_PO_SC'!A:A,Capex!A19,'BASE ICP_PO_SC'!E:E,"&lt;&gt;")/1000),"")</f>
        <v>0</v>
      </c>
      <c r="FF43" s="328">
        <f>IFERROR(IF(LEFT(A43,3)="LCP",(VLOOKUP(Capex!A19,BASE_558!D:R,11,)/1000),SUMIFS('BASE ICP_PO_SC'!F:F,'BASE ICP_PO_SC'!A:A,Capex!A19,'BASE ICP_PO_SC'!E:E,"")/1000),"")</f>
        <v>0</v>
      </c>
      <c r="FG43" s="328" t="str">
        <f>IFERROR(VLOOKUP(A43,BASE_558!D:R,13,FALSE)/1000,"")</f>
        <v/>
      </c>
      <c r="FH43" s="328" t="str">
        <f>IFERROR(VLOOKUP(A43,BASE_558!D:R,15,FALSE)/1000,"")</f>
        <v/>
      </c>
      <c r="FI43" s="547">
        <f t="shared" si="33"/>
        <v>0</v>
      </c>
      <c r="FJ43" s="547">
        <f t="shared" si="34"/>
        <v>0</v>
      </c>
      <c r="FK43" s="540">
        <f t="shared" si="35"/>
        <v>0</v>
      </c>
    </row>
    <row r="44" spans="1:167" s="23" customFormat="1" ht="24" customHeight="1">
      <c r="A44" s="309" t="s">
        <v>687</v>
      </c>
      <c r="B44" s="404" t="s">
        <v>227</v>
      </c>
      <c r="C44" s="404"/>
      <c r="D44" s="338"/>
      <c r="E44" s="378"/>
      <c r="F44" s="5"/>
      <c r="G44" s="310" t="s">
        <v>9</v>
      </c>
      <c r="H44" s="338"/>
      <c r="I44" s="338"/>
      <c r="J44" s="338">
        <v>2019</v>
      </c>
      <c r="K44" s="316"/>
      <c r="L44" s="324"/>
      <c r="M44" s="409"/>
      <c r="N44" s="317" t="str">
        <f t="shared" si="38"/>
        <v/>
      </c>
      <c r="O44" s="317" t="str">
        <f t="shared" si="39"/>
        <v/>
      </c>
      <c r="P44" s="418" t="str">
        <f t="shared" si="43"/>
        <v>N/A</v>
      </c>
      <c r="Q44" s="418" t="str">
        <f t="shared" si="43"/>
        <v>N/A</v>
      </c>
      <c r="R44" s="418" t="str">
        <f t="shared" si="43"/>
        <v>N/A</v>
      </c>
      <c r="S44" s="418" t="str">
        <f t="shared" si="43"/>
        <v>N/A</v>
      </c>
      <c r="T44" s="418" t="str">
        <f t="shared" si="43"/>
        <v>N/A</v>
      </c>
      <c r="U44" s="418" t="str">
        <f t="shared" si="43"/>
        <v>N/A</v>
      </c>
      <c r="V44" s="418" t="str">
        <f t="shared" si="43"/>
        <v>N/A</v>
      </c>
      <c r="W44" s="418" t="str">
        <f t="shared" si="43"/>
        <v>N/A</v>
      </c>
      <c r="X44" s="418" t="str">
        <f t="shared" si="43"/>
        <v>N/A</v>
      </c>
      <c r="Y44" s="418" t="str">
        <f t="shared" si="43"/>
        <v>N/A</v>
      </c>
      <c r="Z44" s="418" t="str">
        <f t="shared" si="43"/>
        <v>N/A</v>
      </c>
      <c r="AA44" s="418" t="str">
        <f t="shared" si="43"/>
        <v>N/A</v>
      </c>
      <c r="AB44" s="317"/>
      <c r="AC44" s="309" t="s">
        <v>3932</v>
      </c>
      <c r="AD44" s="311"/>
      <c r="AE44" s="310"/>
      <c r="AF44" s="310" t="s">
        <v>6988</v>
      </c>
      <c r="AG44" s="310" t="s">
        <v>9083</v>
      </c>
      <c r="AH44" s="310" t="s">
        <v>1424</v>
      </c>
      <c r="AI44" s="381" t="s">
        <v>316</v>
      </c>
      <c r="AJ44" s="6" t="s">
        <v>218</v>
      </c>
      <c r="AK44" s="6" t="str">
        <f t="shared" si="10"/>
        <v>IGUAL</v>
      </c>
      <c r="AL44" s="151" t="str">
        <f>IFERROR(IF(LEFT(A44,3)="LCP",VLOOKUP(A44,STATUS_SAP_LCP!B:C,2,FALSE),VLOOKUP(A44,STATUS_SAP_ICP!B:C,2,FALSE)),"NO BUDGET")</f>
        <v>CLSD BUDG AVAC  //  BREL WPLI</v>
      </c>
      <c r="AM44" s="6" t="str">
        <f t="shared" si="44"/>
        <v>CLSD</v>
      </c>
      <c r="AN44" s="282"/>
      <c r="AO44" s="562">
        <v>1</v>
      </c>
      <c r="AP44" s="499" t="s">
        <v>9607</v>
      </c>
      <c r="AQ44" s="464"/>
      <c r="AR44" s="460"/>
      <c r="AS44" s="56"/>
      <c r="AT44" s="185">
        <v>-4.6519999999993011E-2</v>
      </c>
      <c r="AU44" s="318">
        <v>0</v>
      </c>
      <c r="AV44" s="223">
        <v>0</v>
      </c>
      <c r="AW44" s="318">
        <v>0</v>
      </c>
      <c r="AX44" s="223">
        <v>0</v>
      </c>
      <c r="AY44" s="318">
        <f t="shared" si="40"/>
        <v>0</v>
      </c>
      <c r="AZ44" s="223"/>
      <c r="BA44" s="318"/>
      <c r="BB44" s="519">
        <f t="shared" si="41"/>
        <v>0</v>
      </c>
      <c r="BC44" s="518"/>
      <c r="BD44" s="518"/>
      <c r="BE44" s="518"/>
      <c r="BF44" s="518"/>
      <c r="BG44" s="518"/>
      <c r="BH44" s="518"/>
      <c r="BI44" s="518"/>
      <c r="BJ44" s="518"/>
      <c r="BK44" s="518"/>
      <c r="BL44" s="518"/>
      <c r="BM44" s="518"/>
      <c r="BN44" s="518"/>
      <c r="BO44" s="367">
        <f t="shared" si="14"/>
        <v>0</v>
      </c>
      <c r="BP44" s="421"/>
      <c r="BQ44" s="422">
        <v>0</v>
      </c>
      <c r="BR44" s="423">
        <f>IFERROR(IF(LEFT($A44,3)="Lcp",SUMIFS('BASE-LCP'!$K:$K,'BASE-LCP'!$A:$A,Capex!$A20,'BASE-LCP'!$B:$B,"janeiro")/1000,IF(LEFT($A44,3)="icp",SUMIFS('BASE-ICP'!$K:$K,'BASE-ICP'!$A:$A,Capex!$A20,'BASE-ICP'!$B:$B,"janeiro")/1000,"")),"")</f>
        <v>0</v>
      </c>
      <c r="BS44" s="427">
        <v>0</v>
      </c>
      <c r="BT44" s="372">
        <v>0</v>
      </c>
      <c r="BU44" s="422">
        <v>0</v>
      </c>
      <c r="BV44" s="423">
        <f>IFERROR(IF(LEFT($A44,3)="Lcp",SUMIFS('BASE-LCP'!$K:$K,'BASE-LCP'!$A:$A,Capex!$A20,'BASE-LCP'!$B:$B,"fevereiro")/1000,IF(LEFT($A44,3)="icp",SUMIFS('BASE-ICP'!$K:$K,'BASE-ICP'!$A:$A,Capex!$A20,'BASE-ICP'!$B:$B,"fevereiro")/1000,"")),"")</f>
        <v>0</v>
      </c>
      <c r="BW44" s="427">
        <v>0</v>
      </c>
      <c r="BX44" s="372">
        <v>0</v>
      </c>
      <c r="BY44" s="422">
        <v>0</v>
      </c>
      <c r="BZ44" s="423">
        <f>IFERROR(IF(LEFT($A44,3)="Lcp",SUMIFS('BASE-LCP'!$K:$K,'BASE-LCP'!$A:$A,Capex!$A20,'BASE-LCP'!$B:$B,"março")/1000,IF(LEFT($A44,3)="icp",SUMIFS('BASE-ICP'!$K:$K,'BASE-ICP'!$A:$A,Capex!$A20,'BASE-ICP'!$B:$B,"março")/1000,"")),"")</f>
        <v>0</v>
      </c>
      <c r="CA44" s="427">
        <v>0</v>
      </c>
      <c r="CB44" s="372">
        <v>0</v>
      </c>
      <c r="CC44" s="422"/>
      <c r="CD44" s="423">
        <f>IFERROR(IF(LEFT($A44,3)="Lcp",SUMIFS('BASE-LCP'!$K:$K,'BASE-LCP'!$A:$A,Capex!$A20,'BASE-LCP'!$B:$B,"abril")/1000,IF(LEFT($A44,3)="icp",SUMIFS('BASE-ICP'!$K:$K,'BASE-ICP'!$A:$A,Capex!$A20,'BASE-ICP'!$B:$B,"abril")/1000,"")),"")</f>
        <v>0</v>
      </c>
      <c r="CE44" s="427">
        <v>0</v>
      </c>
      <c r="CF44" s="372">
        <v>0</v>
      </c>
      <c r="CG44" s="422">
        <f t="shared" si="42"/>
        <v>0</v>
      </c>
      <c r="CH44" s="423">
        <v>0</v>
      </c>
      <c r="CI44" s="427">
        <v>0</v>
      </c>
      <c r="CJ44" s="372">
        <v>0</v>
      </c>
      <c r="CK44" s="419"/>
      <c r="CL44" s="423">
        <f>IFERROR(IF(LEFT($A44,3)="Lcp",SUMIFS('BASE-LCP'!$K:$K,'BASE-LCP'!$A:$A,Capex!$A20,'BASE-LCP'!$B:$B,"junho")/1000,IF(LEFT($A44,3)="icp",SUMIFS('BASE-ICP'!$K:$K,'BASE-ICP'!$A:$A,Capex!$A20,'BASE-ICP'!$B:$B,"junho")/1000,"")),"")</f>
        <v>0</v>
      </c>
      <c r="CM44" s="427">
        <v>0</v>
      </c>
      <c r="CN44" s="372"/>
      <c r="CO44" s="419"/>
      <c r="CP44" s="423">
        <f>IFERROR(IF(LEFT($A44,3)="Lcp",SUMIFS('BASE-LCP'!$K:$K,'BASE-LCP'!$A:$A,Capex!$A20,'BASE-LCP'!$B:$B,"julho")/1000,IF(LEFT($A44,3)="icp",SUMIFS('BASE-ICP'!$K:$K,'BASE-ICP'!$A:$A,Capex!$A20,'BASE-ICP'!$B:$B,"julho")/1000,"")),"")</f>
        <v>0</v>
      </c>
      <c r="CQ44" s="427">
        <v>0</v>
      </c>
      <c r="CR44" s="372"/>
      <c r="CS44" s="419"/>
      <c r="CT44" s="423">
        <f>IFERROR(IF(LEFT($A44,3)="Lcp",SUMIFS('BASE-LCP'!$K:$K,'BASE-LCP'!$A:$A,Capex!$A20,'BASE-LCP'!$B:$B,"agosto")/1000,IF(LEFT($A44,3)="icp",SUMIFS('BASE-ICP'!$K:$K,'BASE-ICP'!$A:$A,Capex!$A20,'BASE-ICP'!$B:$B,"agosto")/1000,"")),"")</f>
        <v>0</v>
      </c>
      <c r="CU44" s="427">
        <v>0</v>
      </c>
      <c r="CV44" s="372"/>
      <c r="CW44" s="419"/>
      <c r="CX44" s="423">
        <f>IFERROR(IF(LEFT($A44,3)="Lcp",SUMIFS('BASE-LCP'!$K:$K,'BASE-LCP'!$A:$A,Capex!$A20,'BASE-LCP'!$B:$B,"setembro")/1000,IF(LEFT($A44,3)="icp",SUMIFS('BASE-ICP'!$K:$K,'BASE-ICP'!$A:$A,Capex!$A20,'BASE-ICP'!$B:$B,"setembro")/1000,"")),"")</f>
        <v>0</v>
      </c>
      <c r="CY44" s="427">
        <v>0</v>
      </c>
      <c r="CZ44" s="372"/>
      <c r="DA44" s="419"/>
      <c r="DB44" s="423">
        <f>IFERROR(IF(LEFT($A44,3)="Lcp",SUMIFS('BASE-LCP'!$K:$K,'BASE-LCP'!$A:$A,Capex!$A20,'BASE-LCP'!$B:$B,"outubro")/1000,IF(LEFT($A44,3)="icp",SUMIFS('BASE-ICP'!$K:$K,'BASE-ICP'!$A:$A,Capex!$A20,'BASE-ICP'!$B:$B,"outubro")/1000,"")),"")</f>
        <v>0</v>
      </c>
      <c r="DC44" s="427">
        <v>0</v>
      </c>
      <c r="DD44" s="372"/>
      <c r="DE44" s="419"/>
      <c r="DF44" s="423">
        <f>IFERROR(IF(LEFT($A44,3)="Lcp",SUMIFS('BASE-LCP'!$K:$K,'BASE-LCP'!$A:$A,Capex!$A20,'BASE-LCP'!$B:$B,"novembro")/1000,IF(LEFT($A44,3)="icp",SUMIFS('BASE-ICP'!$K:$K,'BASE-ICP'!$A:$A,Capex!$A20,'BASE-ICP'!$B:$B,"novembro")/1000,"")),"")</f>
        <v>0</v>
      </c>
      <c r="DG44" s="427">
        <v>0</v>
      </c>
      <c r="DH44" s="372"/>
      <c r="DI44" s="419"/>
      <c r="DJ44" s="423">
        <f>IFERROR(IF(LEFT($A44,3)="Lcp",SUMIFS('BASE-LCP'!$K:$K,'BASE-LCP'!$A:$A,Capex!$A20,'BASE-LCP'!$B:$B,"dezembro")/1000,IF(LEFT($A44,3)="icp",SUMIFS('BASE-ICP'!$K:$K,'BASE-ICP'!$A:$A,Capex!$A20,'BASE-ICP'!$B:$B,"dezembro")/1000,"")),"")</f>
        <v>0</v>
      </c>
      <c r="DK44" s="427">
        <v>0</v>
      </c>
      <c r="DL44" s="452">
        <f t="shared" si="15"/>
        <v>0</v>
      </c>
      <c r="DM44" s="374"/>
      <c r="DN44" s="374"/>
      <c r="DO44" s="374"/>
      <c r="DP44" s="374"/>
      <c r="DQ44" s="374"/>
      <c r="DR44" s="374"/>
      <c r="DS44" s="374"/>
      <c r="DT44" s="374"/>
      <c r="DU44" s="374"/>
      <c r="DV44" s="374"/>
      <c r="DW44" s="374"/>
      <c r="DX44" s="374"/>
      <c r="DY44" s="450"/>
      <c r="DZ44" s="374">
        <f t="shared" si="16"/>
        <v>0</v>
      </c>
      <c r="EA44" s="216">
        <f t="shared" si="17"/>
        <v>0</v>
      </c>
      <c r="EB44" s="320">
        <f t="shared" si="18"/>
        <v>0</v>
      </c>
      <c r="EC44" s="241">
        <f t="shared" si="19"/>
        <v>0</v>
      </c>
      <c r="ED44" s="241">
        <f t="shared" si="20"/>
        <v>0</v>
      </c>
      <c r="EE44" s="241">
        <f t="shared" si="21"/>
        <v>0</v>
      </c>
      <c r="EF44" s="241">
        <f t="shared" si="22"/>
        <v>0</v>
      </c>
      <c r="EG44" s="346">
        <f t="shared" si="23"/>
        <v>0</v>
      </c>
      <c r="EH44" s="445">
        <f t="shared" si="24"/>
        <v>0</v>
      </c>
      <c r="EI44" s="447">
        <f t="shared" si="25"/>
        <v>0</v>
      </c>
      <c r="EJ44" s="364">
        <f t="shared" si="26"/>
        <v>0</v>
      </c>
      <c r="EK44" s="365">
        <f t="shared" si="27"/>
        <v>0</v>
      </c>
      <c r="EL44" s="529">
        <f t="shared" si="28"/>
        <v>0</v>
      </c>
      <c r="EM44" s="530">
        <v>0</v>
      </c>
      <c r="EN44" s="530">
        <v>0</v>
      </c>
      <c r="EO44" s="530">
        <v>0</v>
      </c>
      <c r="EP44" s="530">
        <v>0</v>
      </c>
      <c r="EQ44" s="530">
        <v>0</v>
      </c>
      <c r="ER44" s="530">
        <v>0</v>
      </c>
      <c r="ES44" s="530">
        <v>0</v>
      </c>
      <c r="ET44" s="530">
        <v>0</v>
      </c>
      <c r="EU44" s="530">
        <v>0</v>
      </c>
      <c r="EV44" s="530">
        <v>0</v>
      </c>
      <c r="EW44" s="530">
        <v>0</v>
      </c>
      <c r="EX44" s="530">
        <v>0</v>
      </c>
      <c r="EY44" s="530">
        <f t="shared" si="29"/>
        <v>0</v>
      </c>
      <c r="EZ44" s="530">
        <f t="shared" si="30"/>
        <v>0</v>
      </c>
      <c r="FA44" s="530">
        <f t="shared" si="31"/>
        <v>0</v>
      </c>
      <c r="FB44" s="530">
        <f t="shared" si="32"/>
        <v>0</v>
      </c>
      <c r="FC44" s="384">
        <f>IFERROR(VLOOKUP(Capex!A20,BASE_558!D:R,8,FALSE)/1000,"")</f>
        <v>280.95499999999998</v>
      </c>
      <c r="FD44" s="328">
        <f>IFERROR(VLOOKUP(Capex!A20,BASE_558!D:R,9,)/1000,"")</f>
        <v>271.84777000000003</v>
      </c>
      <c r="FE44" s="328">
        <f>IFERROR(IF(LEFT(A44,3)="LCP",(VLOOKUP(Capex!A20,BASE_558!D:R,10,)/1000),SUMIFS('BASE ICP_PO_SC'!F:F,'BASE ICP_PO_SC'!A:A,Capex!A20,'BASE ICP_PO_SC'!E:E,"&lt;&gt;")/1000),"")</f>
        <v>0</v>
      </c>
      <c r="FF44" s="328">
        <f>IFERROR(IF(LEFT(A44,3)="LCP",(VLOOKUP(Capex!A20,BASE_558!D:R,11,)/1000),SUMIFS('BASE ICP_PO_SC'!F:F,'BASE ICP_PO_SC'!A:A,Capex!A20,'BASE ICP_PO_SC'!E:E,"")/1000),"")</f>
        <v>0</v>
      </c>
      <c r="FG44" s="328" t="str">
        <f>IFERROR(VLOOKUP(A44,BASE_558!D:R,13,FALSE)/1000,"")</f>
        <v/>
      </c>
      <c r="FH44" s="328" t="str">
        <f>IFERROR(VLOOKUP(A44,BASE_558!D:R,15,FALSE)/1000,"")</f>
        <v/>
      </c>
      <c r="FI44" s="547">
        <f t="shared" si="33"/>
        <v>0</v>
      </c>
      <c r="FJ44" s="547">
        <f t="shared" si="34"/>
        <v>0</v>
      </c>
      <c r="FK44" s="540">
        <f t="shared" si="35"/>
        <v>0</v>
      </c>
    </row>
    <row r="45" spans="1:167" s="23" customFormat="1" ht="24" customHeight="1">
      <c r="A45" s="309" t="s">
        <v>690</v>
      </c>
      <c r="B45" s="404" t="s">
        <v>258</v>
      </c>
      <c r="C45" s="404"/>
      <c r="D45" s="338"/>
      <c r="E45" s="378"/>
      <c r="F45" s="5"/>
      <c r="G45" s="310" t="s">
        <v>9</v>
      </c>
      <c r="H45" s="338"/>
      <c r="I45" s="338"/>
      <c r="J45" s="338">
        <v>2019</v>
      </c>
      <c r="K45" s="316"/>
      <c r="L45" s="324"/>
      <c r="M45" s="409"/>
      <c r="N45" s="317" t="str">
        <f t="shared" si="38"/>
        <v/>
      </c>
      <c r="O45" s="317" t="str">
        <f t="shared" si="39"/>
        <v/>
      </c>
      <c r="P45" s="418" t="str">
        <f t="shared" ref="P45:AA54" si="45">IF($N45="","N/A",IF($O45="","N/A",IF(P$2&lt;=$N45,"NÃO",IF($AJ45="REL ","SIM",IF(P$2&lt;$O45,"NÃO",IF($AJ45&lt;&gt;"CLSD","SIM","CRTD"))))))</f>
        <v>N/A</v>
      </c>
      <c r="Q45" s="418" t="str">
        <f t="shared" si="45"/>
        <v>N/A</v>
      </c>
      <c r="R45" s="418" t="str">
        <f t="shared" si="45"/>
        <v>N/A</v>
      </c>
      <c r="S45" s="418" t="str">
        <f t="shared" si="45"/>
        <v>N/A</v>
      </c>
      <c r="T45" s="418" t="str">
        <f t="shared" si="45"/>
        <v>N/A</v>
      </c>
      <c r="U45" s="418" t="str">
        <f t="shared" si="45"/>
        <v>N/A</v>
      </c>
      <c r="V45" s="418" t="str">
        <f t="shared" si="45"/>
        <v>N/A</v>
      </c>
      <c r="W45" s="418" t="str">
        <f t="shared" si="45"/>
        <v>N/A</v>
      </c>
      <c r="X45" s="418" t="str">
        <f t="shared" si="45"/>
        <v>N/A</v>
      </c>
      <c r="Y45" s="418" t="str">
        <f t="shared" si="45"/>
        <v>N/A</v>
      </c>
      <c r="Z45" s="418" t="str">
        <f t="shared" si="45"/>
        <v>N/A</v>
      </c>
      <c r="AA45" s="418" t="str">
        <f t="shared" si="45"/>
        <v>N/A</v>
      </c>
      <c r="AB45" s="317"/>
      <c r="AC45" s="309" t="s">
        <v>3932</v>
      </c>
      <c r="AD45" s="311"/>
      <c r="AE45" s="310"/>
      <c r="AF45" s="310" t="s">
        <v>6988</v>
      </c>
      <c r="AG45" s="310" t="s">
        <v>9083</v>
      </c>
      <c r="AH45" s="310" t="s">
        <v>1425</v>
      </c>
      <c r="AI45" s="381" t="s">
        <v>316</v>
      </c>
      <c r="AJ45" s="6" t="s">
        <v>218</v>
      </c>
      <c r="AK45" s="6" t="str">
        <f t="shared" si="10"/>
        <v>IGUAL</v>
      </c>
      <c r="AL45" s="151" t="str">
        <f>IFERROR(IF(LEFT(A45,3)="LCP",VLOOKUP(A45,STATUS_SAP_LCP!B:C,2,FALSE),VLOOKUP(A45,STATUS_SAP_ICP!B:C,2,FALSE)),"NO BUDGET")</f>
        <v>CLSD BUDG AVAC  //  BREL WPLI</v>
      </c>
      <c r="AM45" s="6" t="str">
        <f t="shared" si="44"/>
        <v>CLSD</v>
      </c>
      <c r="AN45" s="282"/>
      <c r="AO45" s="562">
        <v>1</v>
      </c>
      <c r="AP45" s="499" t="s">
        <v>9607</v>
      </c>
      <c r="AQ45" s="464"/>
      <c r="AR45" s="460"/>
      <c r="AS45" s="56"/>
      <c r="AT45" s="185">
        <v>33.18416000000002</v>
      </c>
      <c r="AU45" s="318">
        <v>-33.18415999999997</v>
      </c>
      <c r="AV45" s="223">
        <v>0</v>
      </c>
      <c r="AW45" s="318">
        <v>0</v>
      </c>
      <c r="AX45" s="223">
        <v>0</v>
      </c>
      <c r="AY45" s="318">
        <f t="shared" si="40"/>
        <v>0</v>
      </c>
      <c r="AZ45" s="223"/>
      <c r="BA45" s="318"/>
      <c r="BB45" s="519">
        <f t="shared" si="41"/>
        <v>0</v>
      </c>
      <c r="BC45" s="518"/>
      <c r="BD45" s="518"/>
      <c r="BE45" s="518"/>
      <c r="BF45" s="518"/>
      <c r="BG45" s="518"/>
      <c r="BH45" s="518"/>
      <c r="BI45" s="518"/>
      <c r="BJ45" s="518"/>
      <c r="BK45" s="518"/>
      <c r="BL45" s="518"/>
      <c r="BM45" s="518"/>
      <c r="BN45" s="518"/>
      <c r="BO45" s="367">
        <f t="shared" si="14"/>
        <v>0</v>
      </c>
      <c r="BP45" s="421"/>
      <c r="BQ45" s="422">
        <v>0</v>
      </c>
      <c r="BR45" s="423">
        <f>IFERROR(IF(LEFT($A45,3)="Lcp",SUMIFS('BASE-LCP'!$K:$K,'BASE-LCP'!$A:$A,Capex!$A21,'BASE-LCP'!$B:$B,"janeiro")/1000,IF(LEFT($A45,3)="icp",SUMIFS('BASE-ICP'!$K:$K,'BASE-ICP'!$A:$A,Capex!$A21,'BASE-ICP'!$B:$B,"janeiro")/1000,"")),"")</f>
        <v>1.1104700000000001</v>
      </c>
      <c r="BS45" s="427">
        <v>0</v>
      </c>
      <c r="BT45" s="372">
        <v>0</v>
      </c>
      <c r="BU45" s="422">
        <v>0</v>
      </c>
      <c r="BV45" s="423">
        <f>IFERROR(IF(LEFT($A45,3)="Lcp",SUMIFS('BASE-LCP'!$K:$K,'BASE-LCP'!$A:$A,Capex!$A21,'BASE-LCP'!$B:$B,"fevereiro")/1000,IF(LEFT($A45,3)="icp",SUMIFS('BASE-ICP'!$K:$K,'BASE-ICP'!$A:$A,Capex!$A21,'BASE-ICP'!$B:$B,"fevereiro")/1000,"")),"")</f>
        <v>0.28271999999999997</v>
      </c>
      <c r="BW45" s="427">
        <v>0</v>
      </c>
      <c r="BX45" s="372">
        <v>0</v>
      </c>
      <c r="BY45" s="422">
        <v>0</v>
      </c>
      <c r="BZ45" s="423">
        <f>IFERROR(IF(LEFT($A45,3)="Lcp",SUMIFS('BASE-LCP'!$K:$K,'BASE-LCP'!$A:$A,Capex!$A21,'BASE-LCP'!$B:$B,"março")/1000,IF(LEFT($A45,3)="icp",SUMIFS('BASE-ICP'!$K:$K,'BASE-ICP'!$A:$A,Capex!$A21,'BASE-ICP'!$B:$B,"março")/1000,"")),"")</f>
        <v>0.48020000000000002</v>
      </c>
      <c r="CA45" s="427">
        <v>0</v>
      </c>
      <c r="CB45" s="372">
        <v>0</v>
      </c>
      <c r="CC45" s="422"/>
      <c r="CD45" s="423">
        <f>IFERROR(IF(LEFT($A45,3)="Lcp",SUMIFS('BASE-LCP'!$K:$K,'BASE-LCP'!$A:$A,Capex!$A21,'BASE-LCP'!$B:$B,"abril")/1000,IF(LEFT($A45,3)="icp",SUMIFS('BASE-ICP'!$K:$K,'BASE-ICP'!$A:$A,Capex!$A21,'BASE-ICP'!$B:$B,"abril")/1000,"")),"")</f>
        <v>64.192790000000002</v>
      </c>
      <c r="CE45" s="427">
        <v>0</v>
      </c>
      <c r="CF45" s="372">
        <v>0</v>
      </c>
      <c r="CG45" s="422">
        <f t="shared" si="42"/>
        <v>0</v>
      </c>
      <c r="CH45" s="423">
        <v>0</v>
      </c>
      <c r="CI45" s="427">
        <v>0</v>
      </c>
      <c r="CJ45" s="372">
        <v>0</v>
      </c>
      <c r="CK45" s="419"/>
      <c r="CL45" s="423">
        <f>IFERROR(IF(LEFT($A45,3)="Lcp",SUMIFS('BASE-LCP'!$K:$K,'BASE-LCP'!$A:$A,Capex!$A21,'BASE-LCP'!$B:$B,"junho")/1000,IF(LEFT($A45,3)="icp",SUMIFS('BASE-ICP'!$K:$K,'BASE-ICP'!$A:$A,Capex!$A21,'BASE-ICP'!$B:$B,"junho")/1000,"")),"")</f>
        <v>0</v>
      </c>
      <c r="CM45" s="427">
        <v>0</v>
      </c>
      <c r="CN45" s="372"/>
      <c r="CO45" s="419"/>
      <c r="CP45" s="423">
        <f>IFERROR(IF(LEFT($A45,3)="Lcp",SUMIFS('BASE-LCP'!$K:$K,'BASE-LCP'!$A:$A,Capex!$A21,'BASE-LCP'!$B:$B,"julho")/1000,IF(LEFT($A45,3)="icp",SUMIFS('BASE-ICP'!$K:$K,'BASE-ICP'!$A:$A,Capex!$A21,'BASE-ICP'!$B:$B,"julho")/1000,"")),"")</f>
        <v>0</v>
      </c>
      <c r="CQ45" s="427">
        <v>0</v>
      </c>
      <c r="CR45" s="372"/>
      <c r="CS45" s="419"/>
      <c r="CT45" s="423">
        <f>IFERROR(IF(LEFT($A45,3)="Lcp",SUMIFS('BASE-LCP'!$K:$K,'BASE-LCP'!$A:$A,Capex!$A21,'BASE-LCP'!$B:$B,"agosto")/1000,IF(LEFT($A45,3)="icp",SUMIFS('BASE-ICP'!$K:$K,'BASE-ICP'!$A:$A,Capex!$A21,'BASE-ICP'!$B:$B,"agosto")/1000,"")),"")</f>
        <v>0</v>
      </c>
      <c r="CU45" s="427">
        <v>0</v>
      </c>
      <c r="CV45" s="372"/>
      <c r="CW45" s="419"/>
      <c r="CX45" s="423">
        <f>IFERROR(IF(LEFT($A45,3)="Lcp",SUMIFS('BASE-LCP'!$K:$K,'BASE-LCP'!$A:$A,Capex!$A21,'BASE-LCP'!$B:$B,"setembro")/1000,IF(LEFT($A45,3)="icp",SUMIFS('BASE-ICP'!$K:$K,'BASE-ICP'!$A:$A,Capex!$A21,'BASE-ICP'!$B:$B,"setembro")/1000,"")),"")</f>
        <v>0</v>
      </c>
      <c r="CY45" s="427">
        <v>0</v>
      </c>
      <c r="CZ45" s="372"/>
      <c r="DA45" s="419"/>
      <c r="DB45" s="423">
        <f>IFERROR(IF(LEFT($A45,3)="Lcp",SUMIFS('BASE-LCP'!$K:$K,'BASE-LCP'!$A:$A,Capex!$A21,'BASE-LCP'!$B:$B,"outubro")/1000,IF(LEFT($A45,3)="icp",SUMIFS('BASE-ICP'!$K:$K,'BASE-ICP'!$A:$A,Capex!$A21,'BASE-ICP'!$B:$B,"outubro")/1000,"")),"")</f>
        <v>0</v>
      </c>
      <c r="DC45" s="427">
        <v>0</v>
      </c>
      <c r="DD45" s="372"/>
      <c r="DE45" s="419"/>
      <c r="DF45" s="423">
        <f>IFERROR(IF(LEFT($A45,3)="Lcp",SUMIFS('BASE-LCP'!$K:$K,'BASE-LCP'!$A:$A,Capex!$A21,'BASE-LCP'!$B:$B,"novembro")/1000,IF(LEFT($A45,3)="icp",SUMIFS('BASE-ICP'!$K:$K,'BASE-ICP'!$A:$A,Capex!$A21,'BASE-ICP'!$B:$B,"novembro")/1000,"")),"")</f>
        <v>0</v>
      </c>
      <c r="DG45" s="427">
        <v>0</v>
      </c>
      <c r="DH45" s="372"/>
      <c r="DI45" s="419"/>
      <c r="DJ45" s="423">
        <f>IFERROR(IF(LEFT($A45,3)="Lcp",SUMIFS('BASE-LCP'!$K:$K,'BASE-LCP'!$A:$A,Capex!$A21,'BASE-LCP'!$B:$B,"dezembro")/1000,IF(LEFT($A45,3)="icp",SUMIFS('BASE-ICP'!$K:$K,'BASE-ICP'!$A:$A,Capex!$A21,'BASE-ICP'!$B:$B,"dezembro")/1000,"")),"")</f>
        <v>0</v>
      </c>
      <c r="DK45" s="427">
        <v>0</v>
      </c>
      <c r="DL45" s="452">
        <f t="shared" si="15"/>
        <v>0</v>
      </c>
      <c r="DM45" s="374"/>
      <c r="DN45" s="374"/>
      <c r="DO45" s="374"/>
      <c r="DP45" s="374"/>
      <c r="DQ45" s="374"/>
      <c r="DR45" s="374"/>
      <c r="DS45" s="374"/>
      <c r="DT45" s="374"/>
      <c r="DU45" s="374"/>
      <c r="DV45" s="374"/>
      <c r="DW45" s="374"/>
      <c r="DX45" s="374"/>
      <c r="DY45" s="450"/>
      <c r="DZ45" s="374">
        <f t="shared" si="16"/>
        <v>0</v>
      </c>
      <c r="EA45" s="216">
        <f t="shared" si="17"/>
        <v>0</v>
      </c>
      <c r="EB45" s="320">
        <f t="shared" si="18"/>
        <v>0</v>
      </c>
      <c r="EC45" s="241">
        <f t="shared" si="19"/>
        <v>0</v>
      </c>
      <c r="ED45" s="241">
        <f t="shared" si="20"/>
        <v>0</v>
      </c>
      <c r="EE45" s="241">
        <f t="shared" si="21"/>
        <v>0</v>
      </c>
      <c r="EF45" s="241">
        <f t="shared" si="22"/>
        <v>0</v>
      </c>
      <c r="EG45" s="346">
        <f t="shared" si="23"/>
        <v>0</v>
      </c>
      <c r="EH45" s="445">
        <f t="shared" si="24"/>
        <v>0</v>
      </c>
      <c r="EI45" s="447">
        <f t="shared" si="25"/>
        <v>0</v>
      </c>
      <c r="EJ45" s="364">
        <f t="shared" si="26"/>
        <v>0</v>
      </c>
      <c r="EK45" s="365">
        <f t="shared" si="27"/>
        <v>0</v>
      </c>
      <c r="EL45" s="529">
        <f t="shared" si="28"/>
        <v>0</v>
      </c>
      <c r="EM45" s="530">
        <v>0</v>
      </c>
      <c r="EN45" s="530">
        <v>0</v>
      </c>
      <c r="EO45" s="530">
        <v>0</v>
      </c>
      <c r="EP45" s="530">
        <v>0</v>
      </c>
      <c r="EQ45" s="530">
        <v>0</v>
      </c>
      <c r="ER45" s="530">
        <v>0</v>
      </c>
      <c r="ES45" s="530">
        <v>0</v>
      </c>
      <c r="ET45" s="530">
        <v>0</v>
      </c>
      <c r="EU45" s="530">
        <v>0</v>
      </c>
      <c r="EV45" s="530">
        <v>0</v>
      </c>
      <c r="EW45" s="530">
        <v>0</v>
      </c>
      <c r="EX45" s="530">
        <v>0</v>
      </c>
      <c r="EY45" s="530">
        <f t="shared" si="29"/>
        <v>0</v>
      </c>
      <c r="EZ45" s="530">
        <f t="shared" si="30"/>
        <v>0</v>
      </c>
      <c r="FA45" s="530">
        <f t="shared" si="31"/>
        <v>0</v>
      </c>
      <c r="FB45" s="530">
        <f t="shared" si="32"/>
        <v>0</v>
      </c>
      <c r="FC45" s="384" t="str">
        <f>IFERROR(VLOOKUP(Capex!A21,BASE_558!D:R,8,FALSE)/1000,"")</f>
        <v/>
      </c>
      <c r="FD45" s="328" t="str">
        <f>IFERROR(VLOOKUP(Capex!A21,BASE_558!D:R,9,)/1000,"")</f>
        <v/>
      </c>
      <c r="FE45" s="328">
        <f>IFERROR(IF(LEFT(A45,3)="LCP",(VLOOKUP(Capex!A21,BASE_558!D:R,10,)/1000),SUMIFS('BASE ICP_PO_SC'!F:F,'BASE ICP_PO_SC'!A:A,Capex!A21,'BASE ICP_PO_SC'!E:E,"&lt;&gt;")/1000),"")</f>
        <v>0</v>
      </c>
      <c r="FF45" s="328">
        <f>IFERROR(IF(LEFT(A45,3)="LCP",(VLOOKUP(Capex!A21,BASE_558!D:R,11,)/1000),SUMIFS('BASE ICP_PO_SC'!F:F,'BASE ICP_PO_SC'!A:A,Capex!A21,'BASE ICP_PO_SC'!E:E,"")/1000),"")</f>
        <v>0</v>
      </c>
      <c r="FG45" s="328" t="str">
        <f>IFERROR(VLOOKUP(A45,BASE_558!D:R,13,FALSE)/1000,"")</f>
        <v/>
      </c>
      <c r="FH45" s="328" t="str">
        <f>IFERROR(VLOOKUP(A45,BASE_558!D:R,15,FALSE)/1000,"")</f>
        <v/>
      </c>
      <c r="FI45" s="547">
        <f t="shared" si="33"/>
        <v>0</v>
      </c>
      <c r="FJ45" s="547">
        <f t="shared" si="34"/>
        <v>0</v>
      </c>
      <c r="FK45" s="540">
        <f t="shared" si="35"/>
        <v>0</v>
      </c>
    </row>
    <row r="46" spans="1:167" s="23" customFormat="1" ht="24" customHeight="1">
      <c r="A46" s="309" t="s">
        <v>691</v>
      </c>
      <c r="B46" s="404" t="s">
        <v>256</v>
      </c>
      <c r="C46" s="404"/>
      <c r="D46" s="338"/>
      <c r="E46" s="378"/>
      <c r="F46" s="5"/>
      <c r="G46" s="310" t="s">
        <v>9</v>
      </c>
      <c r="H46" s="338"/>
      <c r="I46" s="338"/>
      <c r="J46" s="338">
        <v>2020</v>
      </c>
      <c r="K46" s="316"/>
      <c r="L46" s="324"/>
      <c r="M46" s="409"/>
      <c r="N46" s="317" t="str">
        <f t="shared" si="38"/>
        <v/>
      </c>
      <c r="O46" s="317" t="str">
        <f t="shared" si="39"/>
        <v/>
      </c>
      <c r="P46" s="418" t="str">
        <f t="shared" si="45"/>
        <v>N/A</v>
      </c>
      <c r="Q46" s="418" t="str">
        <f t="shared" si="45"/>
        <v>N/A</v>
      </c>
      <c r="R46" s="418" t="str">
        <f t="shared" si="45"/>
        <v>N/A</v>
      </c>
      <c r="S46" s="418" t="str">
        <f t="shared" si="45"/>
        <v>N/A</v>
      </c>
      <c r="T46" s="418" t="str">
        <f t="shared" si="45"/>
        <v>N/A</v>
      </c>
      <c r="U46" s="418" t="str">
        <f t="shared" si="45"/>
        <v>N/A</v>
      </c>
      <c r="V46" s="418" t="str">
        <f t="shared" si="45"/>
        <v>N/A</v>
      </c>
      <c r="W46" s="418" t="str">
        <f t="shared" si="45"/>
        <v>N/A</v>
      </c>
      <c r="X46" s="418" t="str">
        <f t="shared" si="45"/>
        <v>N/A</v>
      </c>
      <c r="Y46" s="418" t="str">
        <f t="shared" si="45"/>
        <v>N/A</v>
      </c>
      <c r="Z46" s="418" t="str">
        <f t="shared" si="45"/>
        <v>N/A</v>
      </c>
      <c r="AA46" s="418" t="str">
        <f t="shared" si="45"/>
        <v>N/A</v>
      </c>
      <c r="AB46" s="317"/>
      <c r="AC46" s="309" t="s">
        <v>3932</v>
      </c>
      <c r="AD46" s="311"/>
      <c r="AE46" s="311"/>
      <c r="AF46" s="310" t="s">
        <v>6988</v>
      </c>
      <c r="AG46" s="310" t="s">
        <v>9083</v>
      </c>
      <c r="AH46" s="310" t="s">
        <v>1426</v>
      </c>
      <c r="AI46" s="309" t="s">
        <v>316</v>
      </c>
      <c r="AJ46" s="6" t="s">
        <v>218</v>
      </c>
      <c r="AK46" s="6" t="str">
        <f t="shared" si="10"/>
        <v>IGUAL</v>
      </c>
      <c r="AL46" s="151" t="str">
        <f>IFERROR(IF(LEFT(A46,3)="LCP",VLOOKUP(A46,STATUS_SAP_LCP!B:C,2,FALSE),VLOOKUP(A46,STATUS_SAP_ICP!B:C,2,FALSE)),"NO BUDGET")</f>
        <v>CLSD BUDG AVAC  //  BREL WPLI</v>
      </c>
      <c r="AM46" s="6" t="str">
        <f t="shared" si="44"/>
        <v>CLSD</v>
      </c>
      <c r="AN46" s="282"/>
      <c r="AO46" s="562">
        <v>1</v>
      </c>
      <c r="AP46" s="499" t="s">
        <v>9607</v>
      </c>
      <c r="AQ46" s="464"/>
      <c r="AR46" s="460"/>
      <c r="AS46" s="56"/>
      <c r="AT46" s="185">
        <v>12.011569999999992</v>
      </c>
      <c r="AU46" s="318">
        <v>-12.011569999999999</v>
      </c>
      <c r="AV46" s="223">
        <v>0</v>
      </c>
      <c r="AW46" s="318">
        <v>0</v>
      </c>
      <c r="AX46" s="223">
        <v>0</v>
      </c>
      <c r="AY46" s="318">
        <f t="shared" si="40"/>
        <v>0</v>
      </c>
      <c r="AZ46" s="223"/>
      <c r="BA46" s="318"/>
      <c r="BB46" s="519">
        <f t="shared" si="41"/>
        <v>0</v>
      </c>
      <c r="BC46" s="518"/>
      <c r="BD46" s="518"/>
      <c r="BE46" s="518"/>
      <c r="BF46" s="518"/>
      <c r="BG46" s="518"/>
      <c r="BH46" s="518"/>
      <c r="BI46" s="518"/>
      <c r="BJ46" s="518"/>
      <c r="BK46" s="518"/>
      <c r="BL46" s="518"/>
      <c r="BM46" s="518"/>
      <c r="BN46" s="518"/>
      <c r="BO46" s="367">
        <f t="shared" si="14"/>
        <v>0</v>
      </c>
      <c r="BP46" s="421"/>
      <c r="BQ46" s="422">
        <v>0</v>
      </c>
      <c r="BR46" s="423">
        <f>IFERROR(IF(LEFT($A46,3)="Lcp",SUMIFS('BASE-LCP'!$K:$K,'BASE-LCP'!$A:$A,Capex!$A22,'BASE-LCP'!$B:$B,"janeiro")/1000,IF(LEFT($A46,3)="icp",SUMIFS('BASE-ICP'!$K:$K,'BASE-ICP'!$A:$A,Capex!$A22,'BASE-ICP'!$B:$B,"janeiro")/1000,"")),"")</f>
        <v>0</v>
      </c>
      <c r="BS46" s="427">
        <v>0</v>
      </c>
      <c r="BT46" s="372">
        <v>0</v>
      </c>
      <c r="BU46" s="422">
        <v>0</v>
      </c>
      <c r="BV46" s="423">
        <f>IFERROR(IF(LEFT($A46,3)="Lcp",SUMIFS('BASE-LCP'!$K:$K,'BASE-LCP'!$A:$A,Capex!$A22,'BASE-LCP'!$B:$B,"fevereiro")/1000,IF(LEFT($A46,3)="icp",SUMIFS('BASE-ICP'!$K:$K,'BASE-ICP'!$A:$A,Capex!$A22,'BASE-ICP'!$B:$B,"fevereiro")/1000,"")),"")</f>
        <v>0</v>
      </c>
      <c r="BW46" s="427">
        <v>0</v>
      </c>
      <c r="BX46" s="372">
        <v>0</v>
      </c>
      <c r="BY46" s="422">
        <v>0</v>
      </c>
      <c r="BZ46" s="423">
        <f>IFERROR(IF(LEFT($A46,3)="Lcp",SUMIFS('BASE-LCP'!$K:$K,'BASE-LCP'!$A:$A,Capex!$A22,'BASE-LCP'!$B:$B,"março")/1000,IF(LEFT($A46,3)="icp",SUMIFS('BASE-ICP'!$K:$K,'BASE-ICP'!$A:$A,Capex!$A22,'BASE-ICP'!$B:$B,"março")/1000,"")),"")</f>
        <v>0</v>
      </c>
      <c r="CA46" s="427">
        <v>0</v>
      </c>
      <c r="CB46" s="372">
        <v>0</v>
      </c>
      <c r="CC46" s="422"/>
      <c r="CD46" s="423">
        <f>IFERROR(IF(LEFT($A46,3)="Lcp",SUMIFS('BASE-LCP'!$K:$K,'BASE-LCP'!$A:$A,Capex!$A22,'BASE-LCP'!$B:$B,"abril")/1000,IF(LEFT($A46,3)="icp",SUMIFS('BASE-ICP'!$K:$K,'BASE-ICP'!$A:$A,Capex!$A22,'BASE-ICP'!$B:$B,"abril")/1000,"")),"")</f>
        <v>0</v>
      </c>
      <c r="CE46" s="427">
        <v>0</v>
      </c>
      <c r="CF46" s="372">
        <v>0</v>
      </c>
      <c r="CG46" s="422">
        <f t="shared" si="42"/>
        <v>0</v>
      </c>
      <c r="CH46" s="423">
        <v>0</v>
      </c>
      <c r="CI46" s="427">
        <v>0</v>
      </c>
      <c r="CJ46" s="372">
        <v>0</v>
      </c>
      <c r="CK46" s="419"/>
      <c r="CL46" s="423">
        <f>IFERROR(IF(LEFT($A46,3)="Lcp",SUMIFS('BASE-LCP'!$K:$K,'BASE-LCP'!$A:$A,Capex!$A22,'BASE-LCP'!$B:$B,"junho")/1000,IF(LEFT($A46,3)="icp",SUMIFS('BASE-ICP'!$K:$K,'BASE-ICP'!$A:$A,Capex!$A22,'BASE-ICP'!$B:$B,"junho")/1000,"")),"")</f>
        <v>0</v>
      </c>
      <c r="CM46" s="427">
        <v>0</v>
      </c>
      <c r="CN46" s="372"/>
      <c r="CO46" s="419"/>
      <c r="CP46" s="423">
        <f>IFERROR(IF(LEFT($A46,3)="Lcp",SUMIFS('BASE-LCP'!$K:$K,'BASE-LCP'!$A:$A,Capex!$A22,'BASE-LCP'!$B:$B,"julho")/1000,IF(LEFT($A46,3)="icp",SUMIFS('BASE-ICP'!$K:$K,'BASE-ICP'!$A:$A,Capex!$A22,'BASE-ICP'!$B:$B,"julho")/1000,"")),"")</f>
        <v>0</v>
      </c>
      <c r="CQ46" s="427">
        <v>0</v>
      </c>
      <c r="CR46" s="372"/>
      <c r="CS46" s="419"/>
      <c r="CT46" s="423">
        <f>IFERROR(IF(LEFT($A46,3)="Lcp",SUMIFS('BASE-LCP'!$K:$K,'BASE-LCP'!$A:$A,Capex!$A22,'BASE-LCP'!$B:$B,"agosto")/1000,IF(LEFT($A46,3)="icp",SUMIFS('BASE-ICP'!$K:$K,'BASE-ICP'!$A:$A,Capex!$A22,'BASE-ICP'!$B:$B,"agosto")/1000,"")),"")</f>
        <v>0</v>
      </c>
      <c r="CU46" s="427">
        <v>0</v>
      </c>
      <c r="CV46" s="372"/>
      <c r="CW46" s="419"/>
      <c r="CX46" s="423">
        <f>IFERROR(IF(LEFT($A46,3)="Lcp",SUMIFS('BASE-LCP'!$K:$K,'BASE-LCP'!$A:$A,Capex!$A22,'BASE-LCP'!$B:$B,"setembro")/1000,IF(LEFT($A46,3)="icp",SUMIFS('BASE-ICP'!$K:$K,'BASE-ICP'!$A:$A,Capex!$A22,'BASE-ICP'!$B:$B,"setembro")/1000,"")),"")</f>
        <v>0</v>
      </c>
      <c r="CY46" s="427">
        <v>0</v>
      </c>
      <c r="CZ46" s="372"/>
      <c r="DA46" s="419"/>
      <c r="DB46" s="423">
        <f>IFERROR(IF(LEFT($A46,3)="Lcp",SUMIFS('BASE-LCP'!$K:$K,'BASE-LCP'!$A:$A,Capex!$A22,'BASE-LCP'!$B:$B,"outubro")/1000,IF(LEFT($A46,3)="icp",SUMIFS('BASE-ICP'!$K:$K,'BASE-ICP'!$A:$A,Capex!$A22,'BASE-ICP'!$B:$B,"outubro")/1000,"")),"")</f>
        <v>0</v>
      </c>
      <c r="DC46" s="427">
        <v>0</v>
      </c>
      <c r="DD46" s="372"/>
      <c r="DE46" s="419"/>
      <c r="DF46" s="423">
        <f>IFERROR(IF(LEFT($A46,3)="Lcp",SUMIFS('BASE-LCP'!$K:$K,'BASE-LCP'!$A:$A,Capex!$A22,'BASE-LCP'!$B:$B,"novembro")/1000,IF(LEFT($A46,3)="icp",SUMIFS('BASE-ICP'!$K:$K,'BASE-ICP'!$A:$A,Capex!$A22,'BASE-ICP'!$B:$B,"novembro")/1000,"")),"")</f>
        <v>0</v>
      </c>
      <c r="DG46" s="427">
        <v>0</v>
      </c>
      <c r="DH46" s="372"/>
      <c r="DI46" s="419"/>
      <c r="DJ46" s="423">
        <f>IFERROR(IF(LEFT($A46,3)="Lcp",SUMIFS('BASE-LCP'!$K:$K,'BASE-LCP'!$A:$A,Capex!$A22,'BASE-LCP'!$B:$B,"dezembro")/1000,IF(LEFT($A46,3)="icp",SUMIFS('BASE-ICP'!$K:$K,'BASE-ICP'!$A:$A,Capex!$A22,'BASE-ICP'!$B:$B,"dezembro")/1000,"")),"")</f>
        <v>0</v>
      </c>
      <c r="DK46" s="427">
        <v>0</v>
      </c>
      <c r="DL46" s="452">
        <f t="shared" si="15"/>
        <v>0</v>
      </c>
      <c r="DM46" s="374"/>
      <c r="DN46" s="374"/>
      <c r="DO46" s="374"/>
      <c r="DP46" s="374"/>
      <c r="DQ46" s="374"/>
      <c r="DR46" s="374"/>
      <c r="DS46" s="374"/>
      <c r="DT46" s="374"/>
      <c r="DU46" s="374"/>
      <c r="DV46" s="374"/>
      <c r="DW46" s="374"/>
      <c r="DX46" s="374"/>
      <c r="DY46" s="450"/>
      <c r="DZ46" s="374">
        <f t="shared" si="16"/>
        <v>0</v>
      </c>
      <c r="EA46" s="216">
        <f t="shared" si="17"/>
        <v>0</v>
      </c>
      <c r="EB46" s="320">
        <f t="shared" si="18"/>
        <v>0</v>
      </c>
      <c r="EC46" s="241">
        <f t="shared" si="19"/>
        <v>0</v>
      </c>
      <c r="ED46" s="241">
        <f t="shared" si="20"/>
        <v>0</v>
      </c>
      <c r="EE46" s="241">
        <f t="shared" si="21"/>
        <v>0</v>
      </c>
      <c r="EF46" s="241">
        <f t="shared" si="22"/>
        <v>0</v>
      </c>
      <c r="EG46" s="346">
        <f t="shared" si="23"/>
        <v>0</v>
      </c>
      <c r="EH46" s="445">
        <f t="shared" si="24"/>
        <v>0</v>
      </c>
      <c r="EI46" s="447">
        <f t="shared" si="25"/>
        <v>0</v>
      </c>
      <c r="EJ46" s="364">
        <f t="shared" si="26"/>
        <v>0</v>
      </c>
      <c r="EK46" s="365">
        <f t="shared" si="27"/>
        <v>0</v>
      </c>
      <c r="EL46" s="529">
        <f t="shared" si="28"/>
        <v>0</v>
      </c>
      <c r="EM46" s="530">
        <v>0</v>
      </c>
      <c r="EN46" s="530">
        <v>0</v>
      </c>
      <c r="EO46" s="530">
        <v>0</v>
      </c>
      <c r="EP46" s="530">
        <v>0</v>
      </c>
      <c r="EQ46" s="530">
        <v>0</v>
      </c>
      <c r="ER46" s="530">
        <v>0</v>
      </c>
      <c r="ES46" s="530">
        <v>0</v>
      </c>
      <c r="ET46" s="530">
        <v>0</v>
      </c>
      <c r="EU46" s="530">
        <v>0</v>
      </c>
      <c r="EV46" s="530">
        <v>0</v>
      </c>
      <c r="EW46" s="530">
        <v>0</v>
      </c>
      <c r="EX46" s="530">
        <v>0</v>
      </c>
      <c r="EY46" s="530">
        <f t="shared" si="29"/>
        <v>0</v>
      </c>
      <c r="EZ46" s="530">
        <f t="shared" si="30"/>
        <v>0</v>
      </c>
      <c r="FA46" s="530">
        <f t="shared" si="31"/>
        <v>0</v>
      </c>
      <c r="FB46" s="530">
        <f t="shared" si="32"/>
        <v>0</v>
      </c>
      <c r="FC46" s="384" t="str">
        <f>IFERROR(VLOOKUP(Capex!A22,BASE_558!D:R,8,FALSE)/1000,"")</f>
        <v/>
      </c>
      <c r="FD46" s="328" t="str">
        <f>IFERROR(VLOOKUP(Capex!A22,BASE_558!D:R,9,)/1000,"")</f>
        <v/>
      </c>
      <c r="FE46" s="328">
        <f>IFERROR(IF(LEFT(A46,3)="LCP",(VLOOKUP(Capex!A22,BASE_558!D:R,10,)/1000),SUMIFS('BASE ICP_PO_SC'!F:F,'BASE ICP_PO_SC'!A:A,Capex!A22,'BASE ICP_PO_SC'!E:E,"&lt;&gt;")/1000),"")</f>
        <v>0</v>
      </c>
      <c r="FF46" s="328">
        <f>IFERROR(IF(LEFT(A46,3)="LCP",(VLOOKUP(Capex!A22,BASE_558!D:R,11,)/1000),SUMIFS('BASE ICP_PO_SC'!F:F,'BASE ICP_PO_SC'!A:A,Capex!A22,'BASE ICP_PO_SC'!E:E,"")/1000),"")</f>
        <v>0</v>
      </c>
      <c r="FG46" s="328" t="str">
        <f>IFERROR(VLOOKUP(A46,BASE_558!D:R,13,FALSE)/1000,"")</f>
        <v/>
      </c>
      <c r="FH46" s="328" t="str">
        <f>IFERROR(VLOOKUP(A46,BASE_558!D:R,15,FALSE)/1000,"")</f>
        <v/>
      </c>
      <c r="FI46" s="547">
        <f t="shared" si="33"/>
        <v>0</v>
      </c>
      <c r="FJ46" s="547">
        <f t="shared" si="34"/>
        <v>0</v>
      </c>
      <c r="FK46" s="540">
        <f t="shared" si="35"/>
        <v>0</v>
      </c>
    </row>
    <row r="47" spans="1:167" s="23" customFormat="1" ht="24" customHeight="1">
      <c r="A47" s="309" t="s">
        <v>692</v>
      </c>
      <c r="B47" s="404" t="s">
        <v>309</v>
      </c>
      <c r="C47" s="404"/>
      <c r="D47" s="338"/>
      <c r="E47" s="378"/>
      <c r="F47" s="5"/>
      <c r="G47" s="310" t="s">
        <v>9</v>
      </c>
      <c r="H47" s="338"/>
      <c r="I47" s="338"/>
      <c r="J47" s="338">
        <v>2020</v>
      </c>
      <c r="K47" s="316"/>
      <c r="L47" s="324"/>
      <c r="M47" s="409"/>
      <c r="N47" s="317" t="str">
        <f t="shared" si="38"/>
        <v/>
      </c>
      <c r="O47" s="317" t="str">
        <f t="shared" si="39"/>
        <v/>
      </c>
      <c r="P47" s="418" t="str">
        <f t="shared" si="45"/>
        <v>N/A</v>
      </c>
      <c r="Q47" s="418" t="str">
        <f t="shared" si="45"/>
        <v>N/A</v>
      </c>
      <c r="R47" s="418" t="str">
        <f t="shared" si="45"/>
        <v>N/A</v>
      </c>
      <c r="S47" s="418" t="str">
        <f t="shared" si="45"/>
        <v>N/A</v>
      </c>
      <c r="T47" s="418" t="str">
        <f t="shared" si="45"/>
        <v>N/A</v>
      </c>
      <c r="U47" s="418" t="str">
        <f t="shared" si="45"/>
        <v>N/A</v>
      </c>
      <c r="V47" s="418" t="str">
        <f t="shared" si="45"/>
        <v>N/A</v>
      </c>
      <c r="W47" s="418" t="str">
        <f t="shared" si="45"/>
        <v>N/A</v>
      </c>
      <c r="X47" s="418" t="str">
        <f t="shared" si="45"/>
        <v>N/A</v>
      </c>
      <c r="Y47" s="418" t="str">
        <f t="shared" si="45"/>
        <v>N/A</v>
      </c>
      <c r="Z47" s="418" t="str">
        <f t="shared" si="45"/>
        <v>N/A</v>
      </c>
      <c r="AA47" s="418" t="str">
        <f t="shared" si="45"/>
        <v>N/A</v>
      </c>
      <c r="AB47" s="317"/>
      <c r="AC47" s="309" t="s">
        <v>3932</v>
      </c>
      <c r="AD47" s="311"/>
      <c r="AE47" s="311"/>
      <c r="AF47" s="310" t="s">
        <v>6988</v>
      </c>
      <c r="AG47" s="310" t="s">
        <v>9083</v>
      </c>
      <c r="AH47" s="310" t="s">
        <v>1427</v>
      </c>
      <c r="AI47" s="381" t="s">
        <v>2255</v>
      </c>
      <c r="AJ47" s="6" t="s">
        <v>218</v>
      </c>
      <c r="AK47" s="6" t="str">
        <f t="shared" si="10"/>
        <v>IGUAL</v>
      </c>
      <c r="AL47" s="151" t="str">
        <f>IFERROR(IF(LEFT(A47,3)="LCP",VLOOKUP(A47,STATUS_SAP_LCP!B:C,2,FALSE),VLOOKUP(A47,STATUS_SAP_ICP!B:C,2,FALSE)),"NO BUDGET")</f>
        <v>CLSD BUDG AVAC  //  BREL WPLI</v>
      </c>
      <c r="AM47" s="6" t="str">
        <f t="shared" si="44"/>
        <v>CLSD</v>
      </c>
      <c r="AN47" s="282"/>
      <c r="AO47" s="562">
        <v>1</v>
      </c>
      <c r="AP47" s="499" t="s">
        <v>9607</v>
      </c>
      <c r="AQ47" s="464"/>
      <c r="AR47" s="460"/>
      <c r="AS47" s="56"/>
      <c r="AT47" s="185">
        <v>155.01553999999999</v>
      </c>
      <c r="AU47" s="318">
        <v>-155.01554000000002</v>
      </c>
      <c r="AV47" s="223">
        <v>0</v>
      </c>
      <c r="AW47" s="318">
        <v>0</v>
      </c>
      <c r="AX47" s="223">
        <v>0</v>
      </c>
      <c r="AY47" s="318">
        <f t="shared" si="40"/>
        <v>0</v>
      </c>
      <c r="AZ47" s="223"/>
      <c r="BA47" s="318"/>
      <c r="BB47" s="519">
        <f t="shared" si="41"/>
        <v>0</v>
      </c>
      <c r="BC47" s="518"/>
      <c r="BD47" s="518"/>
      <c r="BE47" s="518"/>
      <c r="BF47" s="518"/>
      <c r="BG47" s="518"/>
      <c r="BH47" s="518"/>
      <c r="BI47" s="518"/>
      <c r="BJ47" s="518"/>
      <c r="BK47" s="518"/>
      <c r="BL47" s="518"/>
      <c r="BM47" s="518"/>
      <c r="BN47" s="518"/>
      <c r="BO47" s="367">
        <f t="shared" si="14"/>
        <v>0</v>
      </c>
      <c r="BP47" s="421"/>
      <c r="BQ47" s="422">
        <v>0</v>
      </c>
      <c r="BR47" s="423">
        <f>IFERROR(IF(LEFT($A47,3)="Lcp",SUMIFS('BASE-LCP'!$K:$K,'BASE-LCP'!$A:$A,Capex!$A23,'BASE-LCP'!$B:$B,"janeiro")/1000,IF(LEFT($A47,3)="icp",SUMIFS('BASE-ICP'!$K:$K,'BASE-ICP'!$A:$A,Capex!$A23,'BASE-ICP'!$B:$B,"janeiro")/1000,"")),"")</f>
        <v>226.78904999999997</v>
      </c>
      <c r="BS47" s="427">
        <v>0</v>
      </c>
      <c r="BT47" s="372">
        <v>0</v>
      </c>
      <c r="BU47" s="422">
        <v>0</v>
      </c>
      <c r="BV47" s="423">
        <f>IFERROR(IF(LEFT($A47,3)="Lcp",SUMIFS('BASE-LCP'!$K:$K,'BASE-LCP'!$A:$A,Capex!$A23,'BASE-LCP'!$B:$B,"fevereiro")/1000,IF(LEFT($A47,3)="icp",SUMIFS('BASE-ICP'!$K:$K,'BASE-ICP'!$A:$A,Capex!$A23,'BASE-ICP'!$B:$B,"fevereiro")/1000,"")),"")</f>
        <v>0.11323999999999999</v>
      </c>
      <c r="BW47" s="427">
        <v>0</v>
      </c>
      <c r="BX47" s="372">
        <v>0</v>
      </c>
      <c r="BY47" s="422">
        <v>0</v>
      </c>
      <c r="BZ47" s="423">
        <f>IFERROR(IF(LEFT($A47,3)="Lcp",SUMIFS('BASE-LCP'!$K:$K,'BASE-LCP'!$A:$A,Capex!$A23,'BASE-LCP'!$B:$B,"março")/1000,IF(LEFT($A47,3)="icp",SUMIFS('BASE-ICP'!$K:$K,'BASE-ICP'!$A:$A,Capex!$A23,'BASE-ICP'!$B:$B,"março")/1000,"")),"")</f>
        <v>0.54879999999999995</v>
      </c>
      <c r="CA47" s="427">
        <v>0</v>
      </c>
      <c r="CB47" s="372">
        <v>0</v>
      </c>
      <c r="CC47" s="422"/>
      <c r="CD47" s="423">
        <f>IFERROR(IF(LEFT($A47,3)="Lcp",SUMIFS('BASE-LCP'!$K:$K,'BASE-LCP'!$A:$A,Capex!$A23,'BASE-LCP'!$B:$B,"abril")/1000,IF(LEFT($A47,3)="icp",SUMIFS('BASE-ICP'!$K:$K,'BASE-ICP'!$A:$A,Capex!$A23,'BASE-ICP'!$B:$B,"abril")/1000,"")),"")</f>
        <v>9.3310000000000004E-2</v>
      </c>
      <c r="CE47" s="427">
        <v>0</v>
      </c>
      <c r="CF47" s="372">
        <v>0</v>
      </c>
      <c r="CG47" s="422">
        <f t="shared" si="42"/>
        <v>0</v>
      </c>
      <c r="CH47" s="423">
        <v>0</v>
      </c>
      <c r="CI47" s="427">
        <v>0</v>
      </c>
      <c r="CJ47" s="372">
        <v>0</v>
      </c>
      <c r="CK47" s="419"/>
      <c r="CL47" s="423">
        <f>IFERROR(IF(LEFT($A47,3)="Lcp",SUMIFS('BASE-LCP'!$K:$K,'BASE-LCP'!$A:$A,Capex!$A23,'BASE-LCP'!$B:$B,"junho")/1000,IF(LEFT($A47,3)="icp",SUMIFS('BASE-ICP'!$K:$K,'BASE-ICP'!$A:$A,Capex!$A23,'BASE-ICP'!$B:$B,"junho")/1000,"")),"")</f>
        <v>-226.095</v>
      </c>
      <c r="CM47" s="427">
        <v>0</v>
      </c>
      <c r="CN47" s="372"/>
      <c r="CO47" s="419"/>
      <c r="CP47" s="423">
        <f>IFERROR(IF(LEFT($A47,3)="Lcp",SUMIFS('BASE-LCP'!$K:$K,'BASE-LCP'!$A:$A,Capex!$A23,'BASE-LCP'!$B:$B,"julho")/1000,IF(LEFT($A47,3)="icp",SUMIFS('BASE-ICP'!$K:$K,'BASE-ICP'!$A:$A,Capex!$A23,'BASE-ICP'!$B:$B,"julho")/1000,"")),"")</f>
        <v>0</v>
      </c>
      <c r="CQ47" s="427">
        <v>0</v>
      </c>
      <c r="CR47" s="372"/>
      <c r="CS47" s="419"/>
      <c r="CT47" s="423">
        <f>IFERROR(IF(LEFT($A47,3)="Lcp",SUMIFS('BASE-LCP'!$K:$K,'BASE-LCP'!$A:$A,Capex!$A23,'BASE-LCP'!$B:$B,"agosto")/1000,IF(LEFT($A47,3)="icp",SUMIFS('BASE-ICP'!$K:$K,'BASE-ICP'!$A:$A,Capex!$A23,'BASE-ICP'!$B:$B,"agosto")/1000,"")),"")</f>
        <v>0</v>
      </c>
      <c r="CU47" s="427">
        <v>0</v>
      </c>
      <c r="CV47" s="372"/>
      <c r="CW47" s="419"/>
      <c r="CX47" s="423">
        <f>IFERROR(IF(LEFT($A47,3)="Lcp",SUMIFS('BASE-LCP'!$K:$K,'BASE-LCP'!$A:$A,Capex!$A23,'BASE-LCP'!$B:$B,"setembro")/1000,IF(LEFT($A47,3)="icp",SUMIFS('BASE-ICP'!$K:$K,'BASE-ICP'!$A:$A,Capex!$A23,'BASE-ICP'!$B:$B,"setembro")/1000,"")),"")</f>
        <v>0</v>
      </c>
      <c r="CY47" s="427">
        <v>0</v>
      </c>
      <c r="CZ47" s="372"/>
      <c r="DA47" s="419"/>
      <c r="DB47" s="423">
        <f>IFERROR(IF(LEFT($A47,3)="Lcp",SUMIFS('BASE-LCP'!$K:$K,'BASE-LCP'!$A:$A,Capex!$A23,'BASE-LCP'!$B:$B,"outubro")/1000,IF(LEFT($A47,3)="icp",SUMIFS('BASE-ICP'!$K:$K,'BASE-ICP'!$A:$A,Capex!$A23,'BASE-ICP'!$B:$B,"outubro")/1000,"")),"")</f>
        <v>0</v>
      </c>
      <c r="DC47" s="427">
        <v>0</v>
      </c>
      <c r="DD47" s="372"/>
      <c r="DE47" s="419"/>
      <c r="DF47" s="423">
        <f>IFERROR(IF(LEFT($A47,3)="Lcp",SUMIFS('BASE-LCP'!$K:$K,'BASE-LCP'!$A:$A,Capex!$A23,'BASE-LCP'!$B:$B,"novembro")/1000,IF(LEFT($A47,3)="icp",SUMIFS('BASE-ICP'!$K:$K,'BASE-ICP'!$A:$A,Capex!$A23,'BASE-ICP'!$B:$B,"novembro")/1000,"")),"")</f>
        <v>0</v>
      </c>
      <c r="DG47" s="427">
        <v>0</v>
      </c>
      <c r="DH47" s="372"/>
      <c r="DI47" s="419"/>
      <c r="DJ47" s="423">
        <f>IFERROR(IF(LEFT($A47,3)="Lcp",SUMIFS('BASE-LCP'!$K:$K,'BASE-LCP'!$A:$A,Capex!$A23,'BASE-LCP'!$B:$B,"dezembro")/1000,IF(LEFT($A47,3)="icp",SUMIFS('BASE-ICP'!$K:$K,'BASE-ICP'!$A:$A,Capex!$A23,'BASE-ICP'!$B:$B,"dezembro")/1000,"")),"")</f>
        <v>0</v>
      </c>
      <c r="DK47" s="427">
        <v>0</v>
      </c>
      <c r="DL47" s="452">
        <f t="shared" si="15"/>
        <v>0</v>
      </c>
      <c r="DM47" s="374"/>
      <c r="DN47" s="374"/>
      <c r="DO47" s="374"/>
      <c r="DP47" s="374"/>
      <c r="DQ47" s="374"/>
      <c r="DR47" s="374"/>
      <c r="DS47" s="374"/>
      <c r="DT47" s="374"/>
      <c r="DU47" s="374"/>
      <c r="DV47" s="374"/>
      <c r="DW47" s="374"/>
      <c r="DX47" s="374"/>
      <c r="DY47" s="450"/>
      <c r="DZ47" s="374">
        <f t="shared" si="16"/>
        <v>0</v>
      </c>
      <c r="EA47" s="216">
        <f t="shared" si="17"/>
        <v>0</v>
      </c>
      <c r="EB47" s="320">
        <f t="shared" si="18"/>
        <v>-226.095</v>
      </c>
      <c r="EC47" s="241">
        <f t="shared" si="19"/>
        <v>0</v>
      </c>
      <c r="ED47" s="241">
        <f t="shared" si="20"/>
        <v>0</v>
      </c>
      <c r="EE47" s="241">
        <f t="shared" si="21"/>
        <v>0</v>
      </c>
      <c r="EF47" s="241">
        <f t="shared" si="22"/>
        <v>0</v>
      </c>
      <c r="EG47" s="346">
        <f t="shared" si="23"/>
        <v>0</v>
      </c>
      <c r="EH47" s="445">
        <f t="shared" si="24"/>
        <v>0</v>
      </c>
      <c r="EI47" s="447">
        <f t="shared" si="25"/>
        <v>0</v>
      </c>
      <c r="EJ47" s="364">
        <f t="shared" si="26"/>
        <v>-226.095</v>
      </c>
      <c r="EK47" s="365">
        <f t="shared" si="27"/>
        <v>226.095</v>
      </c>
      <c r="EL47" s="529">
        <f t="shared" si="28"/>
        <v>0</v>
      </c>
      <c r="EM47" s="530">
        <v>0</v>
      </c>
      <c r="EN47" s="530">
        <v>0</v>
      </c>
      <c r="EO47" s="530">
        <v>0</v>
      </c>
      <c r="EP47" s="530">
        <v>0</v>
      </c>
      <c r="EQ47" s="530">
        <v>0</v>
      </c>
      <c r="ER47" s="530">
        <v>0</v>
      </c>
      <c r="ES47" s="530">
        <v>0</v>
      </c>
      <c r="ET47" s="530">
        <v>0</v>
      </c>
      <c r="EU47" s="530">
        <v>0</v>
      </c>
      <c r="EV47" s="530">
        <v>0</v>
      </c>
      <c r="EW47" s="530">
        <v>0</v>
      </c>
      <c r="EX47" s="530">
        <v>0</v>
      </c>
      <c r="EY47" s="530">
        <f t="shared" si="29"/>
        <v>0</v>
      </c>
      <c r="EZ47" s="530">
        <f t="shared" si="30"/>
        <v>0</v>
      </c>
      <c r="FA47" s="530">
        <f t="shared" si="31"/>
        <v>0</v>
      </c>
      <c r="FB47" s="530">
        <f t="shared" si="32"/>
        <v>0</v>
      </c>
      <c r="FC47" s="384" t="str">
        <f>IFERROR(VLOOKUP(Capex!A23,BASE_558!D:R,8,FALSE)/1000,"")</f>
        <v/>
      </c>
      <c r="FD47" s="328" t="str">
        <f>IFERROR(VLOOKUP(Capex!A23,BASE_558!D:R,9,)/1000,"")</f>
        <v/>
      </c>
      <c r="FE47" s="328">
        <f>IFERROR(IF(LEFT(A47,3)="LCP",(VLOOKUP(Capex!A23,BASE_558!D:R,10,)/1000),SUMIFS('BASE ICP_PO_SC'!F:F,'BASE ICP_PO_SC'!A:A,Capex!A23,'BASE ICP_PO_SC'!E:E,"&lt;&gt;")/1000),"")</f>
        <v>0</v>
      </c>
      <c r="FF47" s="328">
        <f>IFERROR(IF(LEFT(A47,3)="LCP",(VLOOKUP(Capex!A23,BASE_558!D:R,11,)/1000),SUMIFS('BASE ICP_PO_SC'!F:F,'BASE ICP_PO_SC'!A:A,Capex!A23,'BASE ICP_PO_SC'!E:E,"")/1000),"")</f>
        <v>0</v>
      </c>
      <c r="FG47" s="328" t="str">
        <f>IFERROR(VLOOKUP(A47,BASE_558!D:R,13,FALSE)/1000,"")</f>
        <v/>
      </c>
      <c r="FH47" s="328" t="str">
        <f>IFERROR(VLOOKUP(A47,BASE_558!D:R,15,FALSE)/1000,"")</f>
        <v/>
      </c>
      <c r="FI47" s="547">
        <f t="shared" si="33"/>
        <v>0</v>
      </c>
      <c r="FJ47" s="547">
        <f t="shared" si="34"/>
        <v>0</v>
      </c>
      <c r="FK47" s="540">
        <f t="shared" si="35"/>
        <v>0</v>
      </c>
    </row>
    <row r="48" spans="1:167" s="23" customFormat="1" ht="24" customHeight="1">
      <c r="A48" s="309" t="s">
        <v>696</v>
      </c>
      <c r="B48" s="404" t="s">
        <v>531</v>
      </c>
      <c r="C48" s="404"/>
      <c r="D48" s="338"/>
      <c r="E48" s="378"/>
      <c r="F48" s="5"/>
      <c r="G48" s="310" t="s">
        <v>9</v>
      </c>
      <c r="H48" s="338"/>
      <c r="I48" s="338"/>
      <c r="J48" s="338">
        <v>2020</v>
      </c>
      <c r="K48" s="316"/>
      <c r="L48" s="324"/>
      <c r="M48" s="409"/>
      <c r="N48" s="317" t="str">
        <f t="shared" si="38"/>
        <v/>
      </c>
      <c r="O48" s="317" t="str">
        <f t="shared" si="39"/>
        <v/>
      </c>
      <c r="P48" s="418" t="str">
        <f t="shared" si="45"/>
        <v>N/A</v>
      </c>
      <c r="Q48" s="418" t="str">
        <f t="shared" si="45"/>
        <v>N/A</v>
      </c>
      <c r="R48" s="418" t="str">
        <f t="shared" si="45"/>
        <v>N/A</v>
      </c>
      <c r="S48" s="418" t="str">
        <f t="shared" si="45"/>
        <v>N/A</v>
      </c>
      <c r="T48" s="418" t="str">
        <f t="shared" si="45"/>
        <v>N/A</v>
      </c>
      <c r="U48" s="418" t="str">
        <f t="shared" si="45"/>
        <v>N/A</v>
      </c>
      <c r="V48" s="418" t="str">
        <f t="shared" si="45"/>
        <v>N/A</v>
      </c>
      <c r="W48" s="418" t="str">
        <f t="shared" si="45"/>
        <v>N/A</v>
      </c>
      <c r="X48" s="418" t="str">
        <f t="shared" si="45"/>
        <v>N/A</v>
      </c>
      <c r="Y48" s="418" t="str">
        <f t="shared" si="45"/>
        <v>N/A</v>
      </c>
      <c r="Z48" s="418" t="str">
        <f t="shared" si="45"/>
        <v>N/A</v>
      </c>
      <c r="AA48" s="418" t="str">
        <f t="shared" si="45"/>
        <v>N/A</v>
      </c>
      <c r="AB48" s="317"/>
      <c r="AC48" s="309" t="s">
        <v>3932</v>
      </c>
      <c r="AD48" s="311"/>
      <c r="AE48" s="311"/>
      <c r="AF48" s="310" t="s">
        <v>6988</v>
      </c>
      <c r="AG48" s="310" t="s">
        <v>9083</v>
      </c>
      <c r="AH48" s="310" t="s">
        <v>1428</v>
      </c>
      <c r="AI48" s="309" t="s">
        <v>2255</v>
      </c>
      <c r="AJ48" s="6" t="s">
        <v>218</v>
      </c>
      <c r="AK48" s="6" t="str">
        <f t="shared" si="10"/>
        <v>IGUAL</v>
      </c>
      <c r="AL48" s="151" t="str">
        <f>IFERROR(IF(LEFT(A48,3)="LCP",VLOOKUP(A48,STATUS_SAP_LCP!B:C,2,FALSE),VLOOKUP(A48,STATUS_SAP_ICP!B:C,2,FALSE)),"NO BUDGET")</f>
        <v>CLSD BUDG ISBD AVAC  //  BREL WPLI</v>
      </c>
      <c r="AM48" s="6" t="str">
        <f t="shared" si="44"/>
        <v>CLSD</v>
      </c>
      <c r="AN48" s="282"/>
      <c r="AO48" s="562">
        <v>1</v>
      </c>
      <c r="AP48" s="499" t="s">
        <v>9607</v>
      </c>
      <c r="AQ48" s="464"/>
      <c r="AR48" s="460"/>
      <c r="AS48" s="56"/>
      <c r="AT48" s="185">
        <v>1.3934300000000002</v>
      </c>
      <c r="AU48" s="318">
        <v>-1.3934300000000002</v>
      </c>
      <c r="AV48" s="223">
        <v>0</v>
      </c>
      <c r="AW48" s="318">
        <v>0</v>
      </c>
      <c r="AX48" s="223">
        <v>0</v>
      </c>
      <c r="AY48" s="318">
        <f t="shared" si="40"/>
        <v>0</v>
      </c>
      <c r="AZ48" s="223"/>
      <c r="BA48" s="318"/>
      <c r="BB48" s="519">
        <f t="shared" si="41"/>
        <v>0</v>
      </c>
      <c r="BC48" s="518"/>
      <c r="BD48" s="518"/>
      <c r="BE48" s="518"/>
      <c r="BF48" s="518"/>
      <c r="BG48" s="518"/>
      <c r="BH48" s="518"/>
      <c r="BI48" s="518"/>
      <c r="BJ48" s="518"/>
      <c r="BK48" s="518"/>
      <c r="BL48" s="518"/>
      <c r="BM48" s="518"/>
      <c r="BN48" s="518"/>
      <c r="BO48" s="367">
        <f t="shared" si="14"/>
        <v>0</v>
      </c>
      <c r="BP48" s="421"/>
      <c r="BQ48" s="422">
        <v>0</v>
      </c>
      <c r="BR48" s="423">
        <f>IFERROR(IF(LEFT($A48,3)="Lcp",SUMIFS('BASE-LCP'!$K:$K,'BASE-LCP'!$A:$A,Capex!$A24,'BASE-LCP'!$B:$B,"janeiro")/1000,IF(LEFT($A48,3)="icp",SUMIFS('BASE-ICP'!$K:$K,'BASE-ICP'!$A:$A,Capex!$A24,'BASE-ICP'!$B:$B,"janeiro")/1000,"")),"")</f>
        <v>19.892330000000001</v>
      </c>
      <c r="BS48" s="427">
        <v>0</v>
      </c>
      <c r="BT48" s="372">
        <v>0</v>
      </c>
      <c r="BU48" s="422">
        <v>0</v>
      </c>
      <c r="BV48" s="423">
        <f>IFERROR(IF(LEFT($A48,3)="Lcp",SUMIFS('BASE-LCP'!$K:$K,'BASE-LCP'!$A:$A,Capex!$A24,'BASE-LCP'!$B:$B,"fevereiro")/1000,IF(LEFT($A48,3)="icp",SUMIFS('BASE-ICP'!$K:$K,'BASE-ICP'!$A:$A,Capex!$A24,'BASE-ICP'!$B:$B,"fevereiro")/1000,"")),"")</f>
        <v>0.80101999999999995</v>
      </c>
      <c r="BW48" s="427">
        <v>0</v>
      </c>
      <c r="BX48" s="372">
        <v>0</v>
      </c>
      <c r="BY48" s="422">
        <v>0</v>
      </c>
      <c r="BZ48" s="423">
        <f>IFERROR(IF(LEFT($A48,3)="Lcp",SUMIFS('BASE-LCP'!$K:$K,'BASE-LCP'!$A:$A,Capex!$A24,'BASE-LCP'!$B:$B,"março")/1000,IF(LEFT($A48,3)="icp",SUMIFS('BASE-ICP'!$K:$K,'BASE-ICP'!$A:$A,Capex!$A24,'BASE-ICP'!$B:$B,"março")/1000,"")),"")</f>
        <v>6.9971600000000018</v>
      </c>
      <c r="CA48" s="427">
        <v>0</v>
      </c>
      <c r="CB48" s="372">
        <v>0</v>
      </c>
      <c r="CC48" s="422"/>
      <c r="CD48" s="423">
        <f>IFERROR(IF(LEFT($A48,3)="Lcp",SUMIFS('BASE-LCP'!$K:$K,'BASE-LCP'!$A:$A,Capex!$A24,'BASE-LCP'!$B:$B,"abril")/1000,IF(LEFT($A48,3)="icp",SUMIFS('BASE-ICP'!$K:$K,'BASE-ICP'!$A:$A,Capex!$A24,'BASE-ICP'!$B:$B,"abril")/1000,"")),"")</f>
        <v>9.8305399999999992</v>
      </c>
      <c r="CE48" s="427">
        <v>0</v>
      </c>
      <c r="CF48" s="372">
        <v>0</v>
      </c>
      <c r="CG48" s="422">
        <f t="shared" si="42"/>
        <v>0</v>
      </c>
      <c r="CH48" s="423">
        <v>0</v>
      </c>
      <c r="CI48" s="427">
        <v>0</v>
      </c>
      <c r="CJ48" s="372">
        <v>0</v>
      </c>
      <c r="CK48" s="419"/>
      <c r="CL48" s="423">
        <f>IFERROR(IF(LEFT($A48,3)="Lcp",SUMIFS('BASE-LCP'!$K:$K,'BASE-LCP'!$A:$A,Capex!$A24,'BASE-LCP'!$B:$B,"junho")/1000,IF(LEFT($A48,3)="icp",SUMIFS('BASE-ICP'!$K:$K,'BASE-ICP'!$A:$A,Capex!$A24,'BASE-ICP'!$B:$B,"junho")/1000,"")),"")</f>
        <v>-76.45402</v>
      </c>
      <c r="CM48" s="427">
        <v>0</v>
      </c>
      <c r="CN48" s="372"/>
      <c r="CO48" s="419"/>
      <c r="CP48" s="423">
        <f>IFERROR(IF(LEFT($A48,3)="Lcp",SUMIFS('BASE-LCP'!$K:$K,'BASE-LCP'!$A:$A,Capex!$A24,'BASE-LCP'!$B:$B,"julho")/1000,IF(LEFT($A48,3)="icp",SUMIFS('BASE-ICP'!$K:$K,'BASE-ICP'!$A:$A,Capex!$A24,'BASE-ICP'!$B:$B,"julho")/1000,"")),"")</f>
        <v>0</v>
      </c>
      <c r="CQ48" s="427">
        <v>0</v>
      </c>
      <c r="CR48" s="372"/>
      <c r="CS48" s="419"/>
      <c r="CT48" s="423">
        <f>IFERROR(IF(LEFT($A48,3)="Lcp",SUMIFS('BASE-LCP'!$K:$K,'BASE-LCP'!$A:$A,Capex!$A24,'BASE-LCP'!$B:$B,"agosto")/1000,IF(LEFT($A48,3)="icp",SUMIFS('BASE-ICP'!$K:$K,'BASE-ICP'!$A:$A,Capex!$A24,'BASE-ICP'!$B:$B,"agosto")/1000,"")),"")</f>
        <v>0</v>
      </c>
      <c r="CU48" s="427">
        <v>0</v>
      </c>
      <c r="CV48" s="372"/>
      <c r="CW48" s="419"/>
      <c r="CX48" s="423">
        <f>IFERROR(IF(LEFT($A48,3)="Lcp",SUMIFS('BASE-LCP'!$K:$K,'BASE-LCP'!$A:$A,Capex!$A24,'BASE-LCP'!$B:$B,"setembro")/1000,IF(LEFT($A48,3)="icp",SUMIFS('BASE-ICP'!$K:$K,'BASE-ICP'!$A:$A,Capex!$A24,'BASE-ICP'!$B:$B,"setembro")/1000,"")),"")</f>
        <v>0</v>
      </c>
      <c r="CY48" s="427">
        <v>0</v>
      </c>
      <c r="CZ48" s="372"/>
      <c r="DA48" s="419"/>
      <c r="DB48" s="423">
        <f>IFERROR(IF(LEFT($A48,3)="Lcp",SUMIFS('BASE-LCP'!$K:$K,'BASE-LCP'!$A:$A,Capex!$A24,'BASE-LCP'!$B:$B,"outubro")/1000,IF(LEFT($A48,3)="icp",SUMIFS('BASE-ICP'!$K:$K,'BASE-ICP'!$A:$A,Capex!$A24,'BASE-ICP'!$B:$B,"outubro")/1000,"")),"")</f>
        <v>0</v>
      </c>
      <c r="DC48" s="427">
        <v>0</v>
      </c>
      <c r="DD48" s="372"/>
      <c r="DE48" s="419"/>
      <c r="DF48" s="423">
        <f>IFERROR(IF(LEFT($A48,3)="Lcp",SUMIFS('BASE-LCP'!$K:$K,'BASE-LCP'!$A:$A,Capex!$A24,'BASE-LCP'!$B:$B,"novembro")/1000,IF(LEFT($A48,3)="icp",SUMIFS('BASE-ICP'!$K:$K,'BASE-ICP'!$A:$A,Capex!$A24,'BASE-ICP'!$B:$B,"novembro")/1000,"")),"")</f>
        <v>0</v>
      </c>
      <c r="DG48" s="427">
        <v>0</v>
      </c>
      <c r="DH48" s="372"/>
      <c r="DI48" s="419"/>
      <c r="DJ48" s="423">
        <f>IFERROR(IF(LEFT($A48,3)="Lcp",SUMIFS('BASE-LCP'!$K:$K,'BASE-LCP'!$A:$A,Capex!$A24,'BASE-LCP'!$B:$B,"dezembro")/1000,IF(LEFT($A48,3)="icp",SUMIFS('BASE-ICP'!$K:$K,'BASE-ICP'!$A:$A,Capex!$A24,'BASE-ICP'!$B:$B,"dezembro")/1000,"")),"")</f>
        <v>0</v>
      </c>
      <c r="DK48" s="427">
        <v>0</v>
      </c>
      <c r="DL48" s="452">
        <f t="shared" si="15"/>
        <v>0</v>
      </c>
      <c r="DM48" s="374"/>
      <c r="DN48" s="374"/>
      <c r="DO48" s="374"/>
      <c r="DP48" s="374"/>
      <c r="DQ48" s="374"/>
      <c r="DR48" s="374"/>
      <c r="DS48" s="374"/>
      <c r="DT48" s="374"/>
      <c r="DU48" s="374"/>
      <c r="DV48" s="374"/>
      <c r="DW48" s="374"/>
      <c r="DX48" s="374"/>
      <c r="DY48" s="450"/>
      <c r="DZ48" s="374">
        <f t="shared" si="16"/>
        <v>0</v>
      </c>
      <c r="EA48" s="216">
        <f t="shared" si="17"/>
        <v>0</v>
      </c>
      <c r="EB48" s="320">
        <f t="shared" si="18"/>
        <v>-76.45402</v>
      </c>
      <c r="EC48" s="241">
        <f t="shared" si="19"/>
        <v>0</v>
      </c>
      <c r="ED48" s="241">
        <f t="shared" si="20"/>
        <v>0</v>
      </c>
      <c r="EE48" s="241">
        <f t="shared" si="21"/>
        <v>0</v>
      </c>
      <c r="EF48" s="241">
        <f t="shared" si="22"/>
        <v>0</v>
      </c>
      <c r="EG48" s="346">
        <f t="shared" si="23"/>
        <v>0</v>
      </c>
      <c r="EH48" s="445">
        <f t="shared" si="24"/>
        <v>0</v>
      </c>
      <c r="EI48" s="447">
        <f t="shared" si="25"/>
        <v>0</v>
      </c>
      <c r="EJ48" s="364">
        <f t="shared" si="26"/>
        <v>-76.45402</v>
      </c>
      <c r="EK48" s="365">
        <f t="shared" si="27"/>
        <v>76.45402</v>
      </c>
      <c r="EL48" s="529">
        <f t="shared" si="28"/>
        <v>0</v>
      </c>
      <c r="EM48" s="530">
        <v>0</v>
      </c>
      <c r="EN48" s="530">
        <v>0</v>
      </c>
      <c r="EO48" s="530">
        <v>0</v>
      </c>
      <c r="EP48" s="530">
        <v>0</v>
      </c>
      <c r="EQ48" s="530">
        <v>0</v>
      </c>
      <c r="ER48" s="530">
        <v>0</v>
      </c>
      <c r="ES48" s="530">
        <v>0</v>
      </c>
      <c r="ET48" s="530">
        <v>0</v>
      </c>
      <c r="EU48" s="530">
        <v>0</v>
      </c>
      <c r="EV48" s="530">
        <v>0</v>
      </c>
      <c r="EW48" s="530">
        <v>0</v>
      </c>
      <c r="EX48" s="530">
        <v>0</v>
      </c>
      <c r="EY48" s="530">
        <f t="shared" si="29"/>
        <v>0</v>
      </c>
      <c r="EZ48" s="530">
        <f t="shared" si="30"/>
        <v>0</v>
      </c>
      <c r="FA48" s="530">
        <f t="shared" si="31"/>
        <v>0</v>
      </c>
      <c r="FB48" s="530">
        <f t="shared" si="32"/>
        <v>0</v>
      </c>
      <c r="FC48" s="384" t="str">
        <f>IFERROR(VLOOKUP(Capex!A24,BASE_558!D:R,8,FALSE)/1000,"")</f>
        <v/>
      </c>
      <c r="FD48" s="328" t="str">
        <f>IFERROR(VLOOKUP(Capex!A24,BASE_558!D:R,9,)/1000,"")</f>
        <v/>
      </c>
      <c r="FE48" s="328">
        <f>IFERROR(IF(LEFT(A48,3)="LCP",(VLOOKUP(Capex!A24,BASE_558!D:R,10,)/1000),SUMIFS('BASE ICP_PO_SC'!F:F,'BASE ICP_PO_SC'!A:A,Capex!A24,'BASE ICP_PO_SC'!E:E,"&lt;&gt;")/1000),"")</f>
        <v>11.27333</v>
      </c>
      <c r="FF48" s="328">
        <f>IFERROR(IF(LEFT(A48,3)="LCP",(VLOOKUP(Capex!A24,BASE_558!D:R,11,)/1000),SUMIFS('BASE ICP_PO_SC'!F:F,'BASE ICP_PO_SC'!A:A,Capex!A24,'BASE ICP_PO_SC'!E:E,"")/1000),"")</f>
        <v>0</v>
      </c>
      <c r="FG48" s="328" t="str">
        <f>IFERROR(VLOOKUP(A48,BASE_558!D:R,13,FALSE)/1000,"")</f>
        <v/>
      </c>
      <c r="FH48" s="328" t="str">
        <f>IFERROR(VLOOKUP(A48,BASE_558!D:R,15,FALSE)/1000,"")</f>
        <v/>
      </c>
      <c r="FI48" s="547">
        <f t="shared" si="33"/>
        <v>0</v>
      </c>
      <c r="FJ48" s="547">
        <f t="shared" si="34"/>
        <v>0</v>
      </c>
      <c r="FK48" s="540">
        <f t="shared" si="35"/>
        <v>0</v>
      </c>
    </row>
    <row r="49" spans="1:167" s="23" customFormat="1" ht="24" customHeight="1">
      <c r="A49" s="309" t="s">
        <v>697</v>
      </c>
      <c r="B49" s="404" t="s">
        <v>536</v>
      </c>
      <c r="C49" s="404"/>
      <c r="D49" s="338"/>
      <c r="E49" s="378"/>
      <c r="F49" s="5"/>
      <c r="G49" s="310" t="s">
        <v>9</v>
      </c>
      <c r="H49" s="338"/>
      <c r="I49" s="338"/>
      <c r="J49" s="338">
        <v>2020</v>
      </c>
      <c r="K49" s="316"/>
      <c r="L49" s="324"/>
      <c r="M49" s="409"/>
      <c r="N49" s="317" t="str">
        <f t="shared" si="38"/>
        <v/>
      </c>
      <c r="O49" s="317" t="str">
        <f t="shared" si="39"/>
        <v/>
      </c>
      <c r="P49" s="418" t="str">
        <f t="shared" si="45"/>
        <v>N/A</v>
      </c>
      <c r="Q49" s="418" t="str">
        <f t="shared" si="45"/>
        <v>N/A</v>
      </c>
      <c r="R49" s="418" t="str">
        <f t="shared" si="45"/>
        <v>N/A</v>
      </c>
      <c r="S49" s="418" t="str">
        <f t="shared" si="45"/>
        <v>N/A</v>
      </c>
      <c r="T49" s="418" t="str">
        <f t="shared" si="45"/>
        <v>N/A</v>
      </c>
      <c r="U49" s="418" t="str">
        <f t="shared" si="45"/>
        <v>N/A</v>
      </c>
      <c r="V49" s="418" t="str">
        <f t="shared" si="45"/>
        <v>N/A</v>
      </c>
      <c r="W49" s="418" t="str">
        <f t="shared" si="45"/>
        <v>N/A</v>
      </c>
      <c r="X49" s="418" t="str">
        <f t="shared" si="45"/>
        <v>N/A</v>
      </c>
      <c r="Y49" s="418" t="str">
        <f t="shared" si="45"/>
        <v>N/A</v>
      </c>
      <c r="Z49" s="418" t="str">
        <f t="shared" si="45"/>
        <v>N/A</v>
      </c>
      <c r="AA49" s="418" t="str">
        <f t="shared" si="45"/>
        <v>N/A</v>
      </c>
      <c r="AB49" s="317"/>
      <c r="AC49" s="309" t="s">
        <v>3932</v>
      </c>
      <c r="AD49" s="311"/>
      <c r="AE49" s="311"/>
      <c r="AF49" s="310" t="s">
        <v>6988</v>
      </c>
      <c r="AG49" s="310" t="s">
        <v>9083</v>
      </c>
      <c r="AH49" s="310" t="s">
        <v>1429</v>
      </c>
      <c r="AI49" s="381" t="s">
        <v>2255</v>
      </c>
      <c r="AJ49" s="6" t="s">
        <v>218</v>
      </c>
      <c r="AK49" s="6" t="str">
        <f t="shared" si="10"/>
        <v>IGUAL</v>
      </c>
      <c r="AL49" s="151" t="str">
        <f>IFERROR(IF(LEFT(A49,3)="LCP",VLOOKUP(A49,STATUS_SAP_LCP!B:C,2,FALSE),VLOOKUP(A49,STATUS_SAP_ICP!B:C,2,FALSE)),"NO BUDGET")</f>
        <v>CLSD BUDG ISBD AVAC  //  BREL WPLI</v>
      </c>
      <c r="AM49" s="6" t="str">
        <f t="shared" si="44"/>
        <v>CLSD</v>
      </c>
      <c r="AN49" s="282"/>
      <c r="AO49" s="562">
        <v>1</v>
      </c>
      <c r="AP49" s="499" t="s">
        <v>9607</v>
      </c>
      <c r="AQ49" s="464"/>
      <c r="AR49" s="460"/>
      <c r="AS49" s="56"/>
      <c r="AT49" s="185">
        <v>0</v>
      </c>
      <c r="AU49" s="318">
        <v>1.1102230246251565E-16</v>
      </c>
      <c r="AV49" s="223">
        <v>0</v>
      </c>
      <c r="AW49" s="318">
        <v>0</v>
      </c>
      <c r="AX49" s="223">
        <v>0</v>
      </c>
      <c r="AY49" s="318">
        <f t="shared" si="40"/>
        <v>0</v>
      </c>
      <c r="AZ49" s="223"/>
      <c r="BA49" s="318"/>
      <c r="BB49" s="519">
        <f t="shared" si="41"/>
        <v>0</v>
      </c>
      <c r="BC49" s="518"/>
      <c r="BD49" s="518"/>
      <c r="BE49" s="518"/>
      <c r="BF49" s="518"/>
      <c r="BG49" s="518"/>
      <c r="BH49" s="518"/>
      <c r="BI49" s="518"/>
      <c r="BJ49" s="518"/>
      <c r="BK49" s="518"/>
      <c r="BL49" s="518"/>
      <c r="BM49" s="518"/>
      <c r="BN49" s="518"/>
      <c r="BO49" s="367">
        <f t="shared" si="14"/>
        <v>0</v>
      </c>
      <c r="BP49" s="421"/>
      <c r="BQ49" s="422">
        <v>0</v>
      </c>
      <c r="BR49" s="423">
        <f>IFERROR(IF(LEFT($A49,3)="Lcp",SUMIFS('BASE-LCP'!$K:$K,'BASE-LCP'!$A:$A,Capex!$A25,'BASE-LCP'!$B:$B,"janeiro")/1000,IF(LEFT($A49,3)="icp",SUMIFS('BASE-ICP'!$K:$K,'BASE-ICP'!$A:$A,Capex!$A25,'BASE-ICP'!$B:$B,"janeiro")/1000,"")),"")</f>
        <v>0</v>
      </c>
      <c r="BS49" s="427">
        <v>0</v>
      </c>
      <c r="BT49" s="372">
        <v>0</v>
      </c>
      <c r="BU49" s="422">
        <v>0</v>
      </c>
      <c r="BV49" s="423">
        <f>IFERROR(IF(LEFT($A49,3)="Lcp",SUMIFS('BASE-LCP'!$K:$K,'BASE-LCP'!$A:$A,Capex!$A25,'BASE-LCP'!$B:$B,"fevereiro")/1000,IF(LEFT($A49,3)="icp",SUMIFS('BASE-ICP'!$K:$K,'BASE-ICP'!$A:$A,Capex!$A25,'BASE-ICP'!$B:$B,"fevereiro")/1000,"")),"")</f>
        <v>0</v>
      </c>
      <c r="BW49" s="427">
        <v>0</v>
      </c>
      <c r="BX49" s="372">
        <v>0</v>
      </c>
      <c r="BY49" s="422">
        <v>0</v>
      </c>
      <c r="BZ49" s="423">
        <f>IFERROR(IF(LEFT($A49,3)="Lcp",SUMIFS('BASE-LCP'!$K:$K,'BASE-LCP'!$A:$A,Capex!$A25,'BASE-LCP'!$B:$B,"março")/1000,IF(LEFT($A49,3)="icp",SUMIFS('BASE-ICP'!$K:$K,'BASE-ICP'!$A:$A,Capex!$A25,'BASE-ICP'!$B:$B,"março")/1000,"")),"")</f>
        <v>0</v>
      </c>
      <c r="CA49" s="427">
        <v>0</v>
      </c>
      <c r="CB49" s="372">
        <v>0</v>
      </c>
      <c r="CC49" s="422"/>
      <c r="CD49" s="423">
        <f>IFERROR(IF(LEFT($A49,3)="Lcp",SUMIFS('BASE-LCP'!$K:$K,'BASE-LCP'!$A:$A,Capex!$A25,'BASE-LCP'!$B:$B,"abril")/1000,IF(LEFT($A49,3)="icp",SUMIFS('BASE-ICP'!$K:$K,'BASE-ICP'!$A:$A,Capex!$A25,'BASE-ICP'!$B:$B,"abril")/1000,"")),"")</f>
        <v>0</v>
      </c>
      <c r="CE49" s="427">
        <v>0</v>
      </c>
      <c r="CF49" s="372">
        <v>0</v>
      </c>
      <c r="CG49" s="422">
        <f t="shared" si="42"/>
        <v>0</v>
      </c>
      <c r="CH49" s="423">
        <v>0</v>
      </c>
      <c r="CI49" s="427">
        <v>0</v>
      </c>
      <c r="CJ49" s="372">
        <v>0</v>
      </c>
      <c r="CK49" s="419"/>
      <c r="CL49" s="423">
        <f>IFERROR(IF(LEFT($A49,3)="Lcp",SUMIFS('BASE-LCP'!$K:$K,'BASE-LCP'!$A:$A,Capex!$A25,'BASE-LCP'!$B:$B,"junho")/1000,IF(LEFT($A49,3)="icp",SUMIFS('BASE-ICP'!$K:$K,'BASE-ICP'!$A:$A,Capex!$A25,'BASE-ICP'!$B:$B,"junho")/1000,"")),"")</f>
        <v>0</v>
      </c>
      <c r="CM49" s="427">
        <v>0</v>
      </c>
      <c r="CN49" s="372"/>
      <c r="CO49" s="419"/>
      <c r="CP49" s="423">
        <f>IFERROR(IF(LEFT($A49,3)="Lcp",SUMIFS('BASE-LCP'!$K:$K,'BASE-LCP'!$A:$A,Capex!$A25,'BASE-LCP'!$B:$B,"julho")/1000,IF(LEFT($A49,3)="icp",SUMIFS('BASE-ICP'!$K:$K,'BASE-ICP'!$A:$A,Capex!$A25,'BASE-ICP'!$B:$B,"julho")/1000,"")),"")</f>
        <v>0</v>
      </c>
      <c r="CQ49" s="427">
        <v>0</v>
      </c>
      <c r="CR49" s="372"/>
      <c r="CS49" s="419"/>
      <c r="CT49" s="423">
        <f>IFERROR(IF(LEFT($A49,3)="Lcp",SUMIFS('BASE-LCP'!$K:$K,'BASE-LCP'!$A:$A,Capex!$A25,'BASE-LCP'!$B:$B,"agosto")/1000,IF(LEFT($A49,3)="icp",SUMIFS('BASE-ICP'!$K:$K,'BASE-ICP'!$A:$A,Capex!$A25,'BASE-ICP'!$B:$B,"agosto")/1000,"")),"")</f>
        <v>0</v>
      </c>
      <c r="CU49" s="427">
        <v>0</v>
      </c>
      <c r="CV49" s="372"/>
      <c r="CW49" s="419"/>
      <c r="CX49" s="423">
        <f>IFERROR(IF(LEFT($A49,3)="Lcp",SUMIFS('BASE-LCP'!$K:$K,'BASE-LCP'!$A:$A,Capex!$A25,'BASE-LCP'!$B:$B,"setembro")/1000,IF(LEFT($A49,3)="icp",SUMIFS('BASE-ICP'!$K:$K,'BASE-ICP'!$A:$A,Capex!$A25,'BASE-ICP'!$B:$B,"setembro")/1000,"")),"")</f>
        <v>0</v>
      </c>
      <c r="CY49" s="427">
        <v>0</v>
      </c>
      <c r="CZ49" s="372"/>
      <c r="DA49" s="419"/>
      <c r="DB49" s="423">
        <f>IFERROR(IF(LEFT($A49,3)="Lcp",SUMIFS('BASE-LCP'!$K:$K,'BASE-LCP'!$A:$A,Capex!$A25,'BASE-LCP'!$B:$B,"outubro")/1000,IF(LEFT($A49,3)="icp",SUMIFS('BASE-ICP'!$K:$K,'BASE-ICP'!$A:$A,Capex!$A25,'BASE-ICP'!$B:$B,"outubro")/1000,"")),"")</f>
        <v>0</v>
      </c>
      <c r="DC49" s="427">
        <v>0</v>
      </c>
      <c r="DD49" s="372"/>
      <c r="DE49" s="419"/>
      <c r="DF49" s="423">
        <f>IFERROR(IF(LEFT($A49,3)="Lcp",SUMIFS('BASE-LCP'!$K:$K,'BASE-LCP'!$A:$A,Capex!$A25,'BASE-LCP'!$B:$B,"novembro")/1000,IF(LEFT($A49,3)="icp",SUMIFS('BASE-ICP'!$K:$K,'BASE-ICP'!$A:$A,Capex!$A25,'BASE-ICP'!$B:$B,"novembro")/1000,"")),"")</f>
        <v>0</v>
      </c>
      <c r="DG49" s="427">
        <v>0</v>
      </c>
      <c r="DH49" s="372"/>
      <c r="DI49" s="419"/>
      <c r="DJ49" s="423">
        <f>IFERROR(IF(LEFT($A49,3)="Lcp",SUMIFS('BASE-LCP'!$K:$K,'BASE-LCP'!$A:$A,Capex!$A25,'BASE-LCP'!$B:$B,"dezembro")/1000,IF(LEFT($A49,3)="icp",SUMIFS('BASE-ICP'!$K:$K,'BASE-ICP'!$A:$A,Capex!$A25,'BASE-ICP'!$B:$B,"dezembro")/1000,"")),"")</f>
        <v>0</v>
      </c>
      <c r="DK49" s="427">
        <v>0</v>
      </c>
      <c r="DL49" s="452">
        <f t="shared" si="15"/>
        <v>0</v>
      </c>
      <c r="DM49" s="374"/>
      <c r="DN49" s="374"/>
      <c r="DO49" s="374"/>
      <c r="DP49" s="374"/>
      <c r="DQ49" s="374"/>
      <c r="DR49" s="374"/>
      <c r="DS49" s="374"/>
      <c r="DT49" s="374"/>
      <c r="DU49" s="374"/>
      <c r="DV49" s="374"/>
      <c r="DW49" s="374"/>
      <c r="DX49" s="374"/>
      <c r="DY49" s="450"/>
      <c r="DZ49" s="374">
        <f t="shared" si="16"/>
        <v>0</v>
      </c>
      <c r="EA49" s="216">
        <f t="shared" si="17"/>
        <v>0</v>
      </c>
      <c r="EB49" s="320">
        <f t="shared" si="18"/>
        <v>0</v>
      </c>
      <c r="EC49" s="241">
        <f t="shared" si="19"/>
        <v>0</v>
      </c>
      <c r="ED49" s="241">
        <f t="shared" si="20"/>
        <v>0</v>
      </c>
      <c r="EE49" s="241">
        <f t="shared" si="21"/>
        <v>0</v>
      </c>
      <c r="EF49" s="241">
        <f t="shared" si="22"/>
        <v>0</v>
      </c>
      <c r="EG49" s="346">
        <f t="shared" si="23"/>
        <v>0</v>
      </c>
      <c r="EH49" s="445">
        <f t="shared" si="24"/>
        <v>0</v>
      </c>
      <c r="EI49" s="447">
        <f t="shared" si="25"/>
        <v>0</v>
      </c>
      <c r="EJ49" s="364">
        <f t="shared" si="26"/>
        <v>0</v>
      </c>
      <c r="EK49" s="365">
        <f t="shared" si="27"/>
        <v>0</v>
      </c>
      <c r="EL49" s="529">
        <f t="shared" si="28"/>
        <v>0</v>
      </c>
      <c r="EM49" s="530">
        <v>0</v>
      </c>
      <c r="EN49" s="530">
        <v>0</v>
      </c>
      <c r="EO49" s="530">
        <v>0</v>
      </c>
      <c r="EP49" s="530">
        <v>0</v>
      </c>
      <c r="EQ49" s="530">
        <v>0</v>
      </c>
      <c r="ER49" s="530">
        <v>0</v>
      </c>
      <c r="ES49" s="530">
        <v>0</v>
      </c>
      <c r="ET49" s="530">
        <v>0</v>
      </c>
      <c r="EU49" s="530">
        <v>0</v>
      </c>
      <c r="EV49" s="530">
        <v>0</v>
      </c>
      <c r="EW49" s="530">
        <v>0</v>
      </c>
      <c r="EX49" s="530">
        <v>0</v>
      </c>
      <c r="EY49" s="530">
        <f t="shared" si="29"/>
        <v>0</v>
      </c>
      <c r="EZ49" s="530">
        <f t="shared" si="30"/>
        <v>0</v>
      </c>
      <c r="FA49" s="530">
        <f t="shared" si="31"/>
        <v>0</v>
      </c>
      <c r="FB49" s="530">
        <f t="shared" si="32"/>
        <v>0</v>
      </c>
      <c r="FC49" s="384">
        <f>IFERROR(VLOOKUP(Capex!A25,BASE_558!D:R,8,FALSE)/1000,"")</f>
        <v>90</v>
      </c>
      <c r="FD49" s="328">
        <f>IFERROR(VLOOKUP(Capex!A25,BASE_558!D:R,9,)/1000,"")</f>
        <v>0</v>
      </c>
      <c r="FE49" s="328">
        <f>IFERROR(IF(LEFT(A49,3)="LCP",(VLOOKUP(Capex!A25,BASE_558!D:R,10,)/1000),SUMIFS('BASE ICP_PO_SC'!F:F,'BASE ICP_PO_SC'!A:A,Capex!A25,'BASE ICP_PO_SC'!E:E,"&lt;&gt;")/1000),"")</f>
        <v>0</v>
      </c>
      <c r="FF49" s="328">
        <f>IFERROR(IF(LEFT(A49,3)="LCP",(VLOOKUP(Capex!A25,BASE_558!D:R,11,)/1000),SUMIFS('BASE ICP_PO_SC'!F:F,'BASE ICP_PO_SC'!A:A,Capex!A25,'BASE ICP_PO_SC'!E:E,"")/1000),"")</f>
        <v>0</v>
      </c>
      <c r="FG49" s="328" t="str">
        <f>IFERROR(VLOOKUP(A49,BASE_558!D:R,13,FALSE)/1000,"")</f>
        <v/>
      </c>
      <c r="FH49" s="328" t="str">
        <f>IFERROR(VLOOKUP(A49,BASE_558!D:R,15,FALSE)/1000,"")</f>
        <v/>
      </c>
      <c r="FI49" s="547">
        <f t="shared" si="33"/>
        <v>0</v>
      </c>
      <c r="FJ49" s="547">
        <f t="shared" si="34"/>
        <v>0</v>
      </c>
      <c r="FK49" s="540">
        <f t="shared" si="35"/>
        <v>0</v>
      </c>
    </row>
    <row r="50" spans="1:167" s="23" customFormat="1" ht="24" customHeight="1">
      <c r="A50" s="309" t="s">
        <v>711</v>
      </c>
      <c r="B50" s="404" t="s">
        <v>252</v>
      </c>
      <c r="C50" s="404"/>
      <c r="D50" s="338"/>
      <c r="E50" s="378"/>
      <c r="F50" s="5"/>
      <c r="G50" s="310" t="s">
        <v>9</v>
      </c>
      <c r="H50" s="338"/>
      <c r="I50" s="338"/>
      <c r="J50" s="338">
        <v>2020</v>
      </c>
      <c r="K50" s="316"/>
      <c r="L50" s="324"/>
      <c r="M50" s="409"/>
      <c r="N50" s="317" t="str">
        <f t="shared" si="38"/>
        <v/>
      </c>
      <c r="O50" s="317" t="str">
        <f t="shared" si="39"/>
        <v/>
      </c>
      <c r="P50" s="418" t="str">
        <f t="shared" si="45"/>
        <v>N/A</v>
      </c>
      <c r="Q50" s="418" t="str">
        <f t="shared" si="45"/>
        <v>N/A</v>
      </c>
      <c r="R50" s="418" t="str">
        <f t="shared" si="45"/>
        <v>N/A</v>
      </c>
      <c r="S50" s="418" t="str">
        <f t="shared" si="45"/>
        <v>N/A</v>
      </c>
      <c r="T50" s="418" t="str">
        <f t="shared" si="45"/>
        <v>N/A</v>
      </c>
      <c r="U50" s="418" t="str">
        <f t="shared" si="45"/>
        <v>N/A</v>
      </c>
      <c r="V50" s="418" t="str">
        <f t="shared" si="45"/>
        <v>N/A</v>
      </c>
      <c r="W50" s="418" t="str">
        <f t="shared" si="45"/>
        <v>N/A</v>
      </c>
      <c r="X50" s="418" t="str">
        <f t="shared" si="45"/>
        <v>N/A</v>
      </c>
      <c r="Y50" s="418" t="str">
        <f t="shared" si="45"/>
        <v>N/A</v>
      </c>
      <c r="Z50" s="418" t="str">
        <f t="shared" si="45"/>
        <v>N/A</v>
      </c>
      <c r="AA50" s="418" t="str">
        <f t="shared" si="45"/>
        <v>N/A</v>
      </c>
      <c r="AB50" s="317"/>
      <c r="AC50" s="309" t="s">
        <v>3932</v>
      </c>
      <c r="AD50" s="311"/>
      <c r="AE50" s="311"/>
      <c r="AF50" s="310" t="s">
        <v>6988</v>
      </c>
      <c r="AG50" s="310" t="s">
        <v>9083</v>
      </c>
      <c r="AH50" s="310" t="s">
        <v>2805</v>
      </c>
      <c r="AI50" s="309" t="s">
        <v>2255</v>
      </c>
      <c r="AJ50" s="6" t="s">
        <v>218</v>
      </c>
      <c r="AK50" s="6" t="str">
        <f t="shared" si="10"/>
        <v>IGUAL</v>
      </c>
      <c r="AL50" s="151" t="str">
        <f>IFERROR(IF(LEFT(A50,3)="LCP",VLOOKUP(A50,STATUS_SAP_LCP!B:C,2,FALSE),VLOOKUP(A50,STATUS_SAP_ICP!B:C,2,FALSE)),"NO BUDGET")</f>
        <v>CLSD BUDG AVAC  //  BREL WPLI</v>
      </c>
      <c r="AM50" s="6" t="str">
        <f t="shared" si="44"/>
        <v>CLSD</v>
      </c>
      <c r="AN50" s="428"/>
      <c r="AO50" s="562">
        <v>1</v>
      </c>
      <c r="AP50" s="499" t="s">
        <v>9607</v>
      </c>
      <c r="AQ50" s="464"/>
      <c r="AR50" s="460"/>
      <c r="AS50" s="56"/>
      <c r="AT50" s="185">
        <v>1.0731199999999035</v>
      </c>
      <c r="AU50" s="318">
        <v>-1.2540899999999999</v>
      </c>
      <c r="AV50" s="223">
        <v>0</v>
      </c>
      <c r="AW50" s="318">
        <v>0</v>
      </c>
      <c r="AX50" s="223">
        <v>0</v>
      </c>
      <c r="AY50" s="318">
        <f t="shared" si="40"/>
        <v>0</v>
      </c>
      <c r="AZ50" s="223"/>
      <c r="BA50" s="318"/>
      <c r="BB50" s="519">
        <f t="shared" si="41"/>
        <v>0</v>
      </c>
      <c r="BC50" s="518"/>
      <c r="BD50" s="518"/>
      <c r="BE50" s="518"/>
      <c r="BF50" s="518"/>
      <c r="BG50" s="518"/>
      <c r="BH50" s="518"/>
      <c r="BI50" s="518"/>
      <c r="BJ50" s="518"/>
      <c r="BK50" s="518"/>
      <c r="BL50" s="518"/>
      <c r="BM50" s="518"/>
      <c r="BN50" s="518"/>
      <c r="BO50" s="367">
        <f t="shared" si="14"/>
        <v>0</v>
      </c>
      <c r="BP50" s="421"/>
      <c r="BQ50" s="422">
        <v>0</v>
      </c>
      <c r="BR50" s="423">
        <f>IFERROR(IF(LEFT($A50,3)="Lcp",SUMIFS('BASE-LCP'!$K:$K,'BASE-LCP'!$A:$A,Capex!$A26,'BASE-LCP'!$B:$B,"janeiro")/1000,IF(LEFT($A50,3)="icp",SUMIFS('BASE-ICP'!$K:$K,'BASE-ICP'!$A:$A,Capex!$A26,'BASE-ICP'!$B:$B,"janeiro")/1000,"")),"")</f>
        <v>0</v>
      </c>
      <c r="BS50" s="427">
        <v>0</v>
      </c>
      <c r="BT50" s="372">
        <v>0</v>
      </c>
      <c r="BU50" s="422">
        <v>0</v>
      </c>
      <c r="BV50" s="423">
        <f>IFERROR(IF(LEFT($A50,3)="Lcp",SUMIFS('BASE-LCP'!$K:$K,'BASE-LCP'!$A:$A,Capex!$A26,'BASE-LCP'!$B:$B,"fevereiro")/1000,IF(LEFT($A50,3)="icp",SUMIFS('BASE-ICP'!$K:$K,'BASE-ICP'!$A:$A,Capex!$A26,'BASE-ICP'!$B:$B,"fevereiro")/1000,"")),"")</f>
        <v>0</v>
      </c>
      <c r="BW50" s="427">
        <v>0</v>
      </c>
      <c r="BX50" s="372">
        <v>0</v>
      </c>
      <c r="BY50" s="422">
        <v>0</v>
      </c>
      <c r="BZ50" s="423">
        <f>IFERROR(IF(LEFT($A50,3)="Lcp",SUMIFS('BASE-LCP'!$K:$K,'BASE-LCP'!$A:$A,Capex!$A26,'BASE-LCP'!$B:$B,"março")/1000,IF(LEFT($A50,3)="icp",SUMIFS('BASE-ICP'!$K:$K,'BASE-ICP'!$A:$A,Capex!$A26,'BASE-ICP'!$B:$B,"março")/1000,"")),"")</f>
        <v>0</v>
      </c>
      <c r="CA50" s="427">
        <v>0</v>
      </c>
      <c r="CB50" s="372">
        <v>0</v>
      </c>
      <c r="CC50" s="422"/>
      <c r="CD50" s="423">
        <f>IFERROR(IF(LEFT($A50,3)="Lcp",SUMIFS('BASE-LCP'!$K:$K,'BASE-LCP'!$A:$A,Capex!$A26,'BASE-LCP'!$B:$B,"abril")/1000,IF(LEFT($A50,3)="icp",SUMIFS('BASE-ICP'!$K:$K,'BASE-ICP'!$A:$A,Capex!$A26,'BASE-ICP'!$B:$B,"abril")/1000,"")),"")</f>
        <v>0</v>
      </c>
      <c r="CE50" s="427">
        <v>0</v>
      </c>
      <c r="CF50" s="372">
        <v>0</v>
      </c>
      <c r="CG50" s="422">
        <f t="shared" si="42"/>
        <v>0</v>
      </c>
      <c r="CH50" s="423">
        <v>0</v>
      </c>
      <c r="CI50" s="427">
        <v>0</v>
      </c>
      <c r="CJ50" s="372">
        <v>0</v>
      </c>
      <c r="CK50" s="419"/>
      <c r="CL50" s="423">
        <f>IFERROR(IF(LEFT($A50,3)="Lcp",SUMIFS('BASE-LCP'!$K:$K,'BASE-LCP'!$A:$A,Capex!$A26,'BASE-LCP'!$B:$B,"junho")/1000,IF(LEFT($A50,3)="icp",SUMIFS('BASE-ICP'!$K:$K,'BASE-ICP'!$A:$A,Capex!$A26,'BASE-ICP'!$B:$B,"junho")/1000,"")),"")</f>
        <v>0</v>
      </c>
      <c r="CM50" s="427">
        <v>0</v>
      </c>
      <c r="CN50" s="372"/>
      <c r="CO50" s="419"/>
      <c r="CP50" s="423">
        <f>IFERROR(IF(LEFT($A50,3)="Lcp",SUMIFS('BASE-LCP'!$K:$K,'BASE-LCP'!$A:$A,Capex!$A26,'BASE-LCP'!$B:$B,"julho")/1000,IF(LEFT($A50,3)="icp",SUMIFS('BASE-ICP'!$K:$K,'BASE-ICP'!$A:$A,Capex!$A26,'BASE-ICP'!$B:$B,"julho")/1000,"")),"")</f>
        <v>0</v>
      </c>
      <c r="CQ50" s="427">
        <v>0</v>
      </c>
      <c r="CR50" s="372"/>
      <c r="CS50" s="419"/>
      <c r="CT50" s="423">
        <f>IFERROR(IF(LEFT($A50,3)="Lcp",SUMIFS('BASE-LCP'!$K:$K,'BASE-LCP'!$A:$A,Capex!$A26,'BASE-LCP'!$B:$B,"agosto")/1000,IF(LEFT($A50,3)="icp",SUMIFS('BASE-ICP'!$K:$K,'BASE-ICP'!$A:$A,Capex!$A26,'BASE-ICP'!$B:$B,"agosto")/1000,"")),"")</f>
        <v>0</v>
      </c>
      <c r="CU50" s="427">
        <v>0</v>
      </c>
      <c r="CV50" s="372"/>
      <c r="CW50" s="419"/>
      <c r="CX50" s="423">
        <f>IFERROR(IF(LEFT($A50,3)="Lcp",SUMIFS('BASE-LCP'!$K:$K,'BASE-LCP'!$A:$A,Capex!$A26,'BASE-LCP'!$B:$B,"setembro")/1000,IF(LEFT($A50,3)="icp",SUMIFS('BASE-ICP'!$K:$K,'BASE-ICP'!$A:$A,Capex!$A26,'BASE-ICP'!$B:$B,"setembro")/1000,"")),"")</f>
        <v>0</v>
      </c>
      <c r="CY50" s="427">
        <v>0</v>
      </c>
      <c r="CZ50" s="372"/>
      <c r="DA50" s="419"/>
      <c r="DB50" s="423">
        <f>IFERROR(IF(LEFT($A50,3)="Lcp",SUMIFS('BASE-LCP'!$K:$K,'BASE-LCP'!$A:$A,Capex!$A26,'BASE-LCP'!$B:$B,"outubro")/1000,IF(LEFT($A50,3)="icp",SUMIFS('BASE-ICP'!$K:$K,'BASE-ICP'!$A:$A,Capex!$A26,'BASE-ICP'!$B:$B,"outubro")/1000,"")),"")</f>
        <v>0</v>
      </c>
      <c r="DC50" s="427">
        <v>0</v>
      </c>
      <c r="DD50" s="372"/>
      <c r="DE50" s="419"/>
      <c r="DF50" s="423">
        <f>IFERROR(IF(LEFT($A50,3)="Lcp",SUMIFS('BASE-LCP'!$K:$K,'BASE-LCP'!$A:$A,Capex!$A26,'BASE-LCP'!$B:$B,"novembro")/1000,IF(LEFT($A50,3)="icp",SUMIFS('BASE-ICP'!$K:$K,'BASE-ICP'!$A:$A,Capex!$A26,'BASE-ICP'!$B:$B,"novembro")/1000,"")),"")</f>
        <v>0</v>
      </c>
      <c r="DG50" s="427">
        <v>0</v>
      </c>
      <c r="DH50" s="372"/>
      <c r="DI50" s="419"/>
      <c r="DJ50" s="423">
        <f>IFERROR(IF(LEFT($A50,3)="Lcp",SUMIFS('BASE-LCP'!$K:$K,'BASE-LCP'!$A:$A,Capex!$A26,'BASE-LCP'!$B:$B,"dezembro")/1000,IF(LEFT($A50,3)="icp",SUMIFS('BASE-ICP'!$K:$K,'BASE-ICP'!$A:$A,Capex!$A26,'BASE-ICP'!$B:$B,"dezembro")/1000,"")),"")</f>
        <v>0</v>
      </c>
      <c r="DK50" s="427">
        <v>0</v>
      </c>
      <c r="DL50" s="452">
        <f t="shared" si="15"/>
        <v>0</v>
      </c>
      <c r="DM50" s="374"/>
      <c r="DN50" s="374"/>
      <c r="DO50" s="374"/>
      <c r="DP50" s="374"/>
      <c r="DQ50" s="374"/>
      <c r="DR50" s="374"/>
      <c r="DS50" s="374"/>
      <c r="DT50" s="374"/>
      <c r="DU50" s="374"/>
      <c r="DV50" s="374"/>
      <c r="DW50" s="374"/>
      <c r="DX50" s="374"/>
      <c r="DY50" s="450"/>
      <c r="DZ50" s="374">
        <f t="shared" si="16"/>
        <v>0</v>
      </c>
      <c r="EA50" s="216">
        <f t="shared" si="17"/>
        <v>0</v>
      </c>
      <c r="EB50" s="320">
        <f t="shared" si="18"/>
        <v>0</v>
      </c>
      <c r="EC50" s="241">
        <f t="shared" si="19"/>
        <v>0</v>
      </c>
      <c r="ED50" s="241">
        <f t="shared" si="20"/>
        <v>0</v>
      </c>
      <c r="EE50" s="241">
        <f t="shared" si="21"/>
        <v>0</v>
      </c>
      <c r="EF50" s="241">
        <f t="shared" si="22"/>
        <v>0</v>
      </c>
      <c r="EG50" s="346">
        <f t="shared" si="23"/>
        <v>0</v>
      </c>
      <c r="EH50" s="445">
        <f t="shared" si="24"/>
        <v>0</v>
      </c>
      <c r="EI50" s="447">
        <f t="shared" si="25"/>
        <v>0</v>
      </c>
      <c r="EJ50" s="364">
        <f t="shared" si="26"/>
        <v>0</v>
      </c>
      <c r="EK50" s="365">
        <f t="shared" si="27"/>
        <v>0</v>
      </c>
      <c r="EL50" s="529">
        <f t="shared" si="28"/>
        <v>0</v>
      </c>
      <c r="EM50" s="530">
        <v>0</v>
      </c>
      <c r="EN50" s="530">
        <v>0</v>
      </c>
      <c r="EO50" s="530">
        <v>0</v>
      </c>
      <c r="EP50" s="530">
        <v>0</v>
      </c>
      <c r="EQ50" s="530">
        <v>0</v>
      </c>
      <c r="ER50" s="530">
        <v>0</v>
      </c>
      <c r="ES50" s="530">
        <v>0</v>
      </c>
      <c r="ET50" s="530">
        <v>0</v>
      </c>
      <c r="EU50" s="530">
        <v>0</v>
      </c>
      <c r="EV50" s="530">
        <v>0</v>
      </c>
      <c r="EW50" s="530">
        <v>0</v>
      </c>
      <c r="EX50" s="530">
        <v>0</v>
      </c>
      <c r="EY50" s="530">
        <f t="shared" si="29"/>
        <v>0</v>
      </c>
      <c r="EZ50" s="530">
        <f t="shared" si="30"/>
        <v>0</v>
      </c>
      <c r="FA50" s="530">
        <f t="shared" si="31"/>
        <v>0</v>
      </c>
      <c r="FB50" s="530">
        <f t="shared" si="32"/>
        <v>0</v>
      </c>
      <c r="FC50" s="384">
        <f>IFERROR(VLOOKUP(Capex!A26,BASE_558!D:R,8,FALSE)/1000,"")</f>
        <v>1251.4860000000001</v>
      </c>
      <c r="FD50" s="328">
        <f>IFERROR(VLOOKUP(Capex!A26,BASE_558!D:R,9,)/1000,"")</f>
        <v>635.27105000000006</v>
      </c>
      <c r="FE50" s="328">
        <f>IFERROR(IF(LEFT(A50,3)="LCP",(VLOOKUP(Capex!A26,BASE_558!D:R,10,)/1000),SUMIFS('BASE ICP_PO_SC'!F:F,'BASE ICP_PO_SC'!A:A,Capex!A26,'BASE ICP_PO_SC'!E:E,"&lt;&gt;")/1000),"")</f>
        <v>0</v>
      </c>
      <c r="FF50" s="328">
        <f>IFERROR(IF(LEFT(A50,3)="LCP",(VLOOKUP(Capex!A26,BASE_558!D:R,11,)/1000),SUMIFS('BASE ICP_PO_SC'!F:F,'BASE ICP_PO_SC'!A:A,Capex!A26,'BASE ICP_PO_SC'!E:E,"")/1000),"")</f>
        <v>0</v>
      </c>
      <c r="FG50" s="328" t="str">
        <f>IFERROR(VLOOKUP(A50,BASE_558!D:R,13,FALSE)/1000,"")</f>
        <v/>
      </c>
      <c r="FH50" s="328" t="str">
        <f>IFERROR(VLOOKUP(A50,BASE_558!D:R,15,FALSE)/1000,"")</f>
        <v/>
      </c>
      <c r="FI50" s="547">
        <f t="shared" si="33"/>
        <v>0</v>
      </c>
      <c r="FJ50" s="547">
        <f t="shared" si="34"/>
        <v>0</v>
      </c>
      <c r="FK50" s="540">
        <f t="shared" si="35"/>
        <v>0</v>
      </c>
    </row>
    <row r="51" spans="1:167" s="23" customFormat="1" ht="24" customHeight="1">
      <c r="A51" s="309" t="s">
        <v>698</v>
      </c>
      <c r="B51" s="404" t="s">
        <v>293</v>
      </c>
      <c r="C51" s="404"/>
      <c r="D51" s="338"/>
      <c r="E51" s="378"/>
      <c r="F51" s="5"/>
      <c r="G51" s="310" t="s">
        <v>9</v>
      </c>
      <c r="H51" s="338"/>
      <c r="I51" s="338"/>
      <c r="J51" s="338">
        <v>2020</v>
      </c>
      <c r="K51" s="316"/>
      <c r="L51" s="324"/>
      <c r="M51" s="409"/>
      <c r="N51" s="317" t="str">
        <f t="shared" si="38"/>
        <v/>
      </c>
      <c r="O51" s="317" t="str">
        <f t="shared" si="39"/>
        <v/>
      </c>
      <c r="P51" s="418" t="str">
        <f t="shared" si="45"/>
        <v>N/A</v>
      </c>
      <c r="Q51" s="418" t="str">
        <f t="shared" si="45"/>
        <v>N/A</v>
      </c>
      <c r="R51" s="418" t="str">
        <f t="shared" si="45"/>
        <v>N/A</v>
      </c>
      <c r="S51" s="418" t="str">
        <f t="shared" si="45"/>
        <v>N/A</v>
      </c>
      <c r="T51" s="418" t="str">
        <f t="shared" si="45"/>
        <v>N/A</v>
      </c>
      <c r="U51" s="418" t="str">
        <f t="shared" si="45"/>
        <v>N/A</v>
      </c>
      <c r="V51" s="418" t="str">
        <f t="shared" si="45"/>
        <v>N/A</v>
      </c>
      <c r="W51" s="418" t="str">
        <f t="shared" si="45"/>
        <v>N/A</v>
      </c>
      <c r="X51" s="418" t="str">
        <f t="shared" si="45"/>
        <v>N/A</v>
      </c>
      <c r="Y51" s="418" t="str">
        <f t="shared" si="45"/>
        <v>N/A</v>
      </c>
      <c r="Z51" s="418" t="str">
        <f t="shared" si="45"/>
        <v>N/A</v>
      </c>
      <c r="AA51" s="418" t="str">
        <f t="shared" si="45"/>
        <v>N/A</v>
      </c>
      <c r="AB51" s="317"/>
      <c r="AC51" s="309" t="s">
        <v>3932</v>
      </c>
      <c r="AD51" s="311" t="s">
        <v>224</v>
      </c>
      <c r="AE51" s="311" t="s">
        <v>979</v>
      </c>
      <c r="AF51" s="310" t="s">
        <v>6988</v>
      </c>
      <c r="AG51" s="310" t="s">
        <v>2079</v>
      </c>
      <c r="AH51" s="310" t="s">
        <v>1431</v>
      </c>
      <c r="AI51" s="381" t="s">
        <v>183</v>
      </c>
      <c r="AJ51" s="6" t="s">
        <v>6786</v>
      </c>
      <c r="AK51" s="6" t="str">
        <f t="shared" si="10"/>
        <v>IGUAL</v>
      </c>
      <c r="AL51" s="151" t="str">
        <f>IFERROR(IF(LEFT(A51,3)="LCP",VLOOKUP(A51,STATUS_SAP_LCP!B:C,2,FALSE),VLOOKUP(A51,STATUS_SAP_ICP!B:C,2,FALSE)),"NO BUDGET")</f>
        <v>REL  BUDG ISBD AVAC  //  BREL WPLI</v>
      </c>
      <c r="AM51" s="6" t="str">
        <f t="shared" si="44"/>
        <v xml:space="preserve">REL </v>
      </c>
      <c r="AN51" s="282" t="s">
        <v>8415</v>
      </c>
      <c r="AO51" s="282"/>
      <c r="AP51" s="499" t="s">
        <v>9616</v>
      </c>
      <c r="AQ51" s="464"/>
      <c r="AR51" s="460"/>
      <c r="AS51" s="56"/>
      <c r="AT51" s="185">
        <v>132.95400000000001</v>
      </c>
      <c r="AU51" s="318">
        <v>307.72008999999997</v>
      </c>
      <c r="AV51" s="223">
        <v>-437.87408999999997</v>
      </c>
      <c r="AW51" s="318">
        <v>6.8999999999999995</v>
      </c>
      <c r="AX51" s="223">
        <v>-9.6999999999999993</v>
      </c>
      <c r="AY51" s="318">
        <f t="shared" si="40"/>
        <v>0</v>
      </c>
      <c r="AZ51" s="223"/>
      <c r="BA51" s="318"/>
      <c r="BB51" s="519">
        <f t="shared" si="41"/>
        <v>0</v>
      </c>
      <c r="BC51" s="518">
        <v>0</v>
      </c>
      <c r="BD51" s="518">
        <v>0</v>
      </c>
      <c r="BE51" s="518">
        <v>0</v>
      </c>
      <c r="BF51" s="518">
        <v>0</v>
      </c>
      <c r="BG51" s="518">
        <v>0</v>
      </c>
      <c r="BH51" s="518">
        <v>0</v>
      </c>
      <c r="BI51" s="518">
        <v>0</v>
      </c>
      <c r="BJ51" s="518">
        <v>0</v>
      </c>
      <c r="BK51" s="518">
        <v>0</v>
      </c>
      <c r="BL51" s="518">
        <v>0</v>
      </c>
      <c r="BM51" s="518">
        <v>0</v>
      </c>
      <c r="BN51" s="518">
        <v>0</v>
      </c>
      <c r="BO51" s="367">
        <f t="shared" si="14"/>
        <v>0</v>
      </c>
      <c r="BP51" s="421">
        <v>0</v>
      </c>
      <c r="BQ51" s="422">
        <v>0</v>
      </c>
      <c r="BR51" s="423">
        <f>IFERROR(IF(LEFT($A51,3)="Lcp",SUMIFS('BASE-LCP'!$K:$K,'BASE-LCP'!$A:$A,Capex!$A27,'BASE-LCP'!$B:$B,"janeiro")/1000,IF(LEFT($A51,3)="icp",SUMIFS('BASE-ICP'!$K:$K,'BASE-ICP'!$A:$A,Capex!$A27,'BASE-ICP'!$B:$B,"janeiro")/1000,"")),"")</f>
        <v>0</v>
      </c>
      <c r="BS51" s="427">
        <v>0</v>
      </c>
      <c r="BT51" s="372">
        <v>0</v>
      </c>
      <c r="BU51" s="422">
        <v>0</v>
      </c>
      <c r="BV51" s="423">
        <f>IFERROR(IF(LEFT($A51,3)="Lcp",SUMIFS('BASE-LCP'!$K:$K,'BASE-LCP'!$A:$A,Capex!$A27,'BASE-LCP'!$B:$B,"fevereiro")/1000,IF(LEFT($A51,3)="icp",SUMIFS('BASE-ICP'!$K:$K,'BASE-ICP'!$A:$A,Capex!$A27,'BASE-ICP'!$B:$B,"fevereiro")/1000,"")),"")</f>
        <v>0</v>
      </c>
      <c r="BW51" s="427">
        <v>0</v>
      </c>
      <c r="BX51" s="372">
        <v>0</v>
      </c>
      <c r="BY51" s="422">
        <v>0</v>
      </c>
      <c r="BZ51" s="423">
        <f>IFERROR(IF(LEFT($A51,3)="Lcp",SUMIFS('BASE-LCP'!$K:$K,'BASE-LCP'!$A:$A,Capex!$A27,'BASE-LCP'!$B:$B,"março")/1000,IF(LEFT($A51,3)="icp",SUMIFS('BASE-ICP'!$K:$K,'BASE-ICP'!$A:$A,Capex!$A27,'BASE-ICP'!$B:$B,"março")/1000,"")),"")</f>
        <v>0</v>
      </c>
      <c r="CA51" s="427">
        <v>0</v>
      </c>
      <c r="CB51" s="372">
        <v>0</v>
      </c>
      <c r="CC51" s="422"/>
      <c r="CD51" s="423">
        <f>IFERROR(IF(LEFT($A51,3)="Lcp",SUMIFS('BASE-LCP'!$K:$K,'BASE-LCP'!$A:$A,Capex!$A27,'BASE-LCP'!$B:$B,"abril")/1000,IF(LEFT($A51,3)="icp",SUMIFS('BASE-ICP'!$K:$K,'BASE-ICP'!$A:$A,Capex!$A27,'BASE-ICP'!$B:$B,"abril")/1000,"")),"")</f>
        <v>0</v>
      </c>
      <c r="CE51" s="427">
        <v>0</v>
      </c>
      <c r="CF51" s="372">
        <v>0</v>
      </c>
      <c r="CG51" s="422">
        <f t="shared" si="42"/>
        <v>0</v>
      </c>
      <c r="CH51" s="423">
        <v>0</v>
      </c>
      <c r="CI51" s="427">
        <v>0</v>
      </c>
      <c r="CJ51" s="372">
        <v>0</v>
      </c>
      <c r="CK51" s="419"/>
      <c r="CL51" s="423">
        <f>IFERROR(IF(LEFT($A51,3)="Lcp",SUMIFS('BASE-LCP'!$K:$K,'BASE-LCP'!$A:$A,Capex!$A27,'BASE-LCP'!$B:$B,"junho")/1000,IF(LEFT($A51,3)="icp",SUMIFS('BASE-ICP'!$K:$K,'BASE-ICP'!$A:$A,Capex!$A27,'BASE-ICP'!$B:$B,"junho")/1000,"")),"")</f>
        <v>0</v>
      </c>
      <c r="CM51" s="427">
        <v>0</v>
      </c>
      <c r="CN51" s="372"/>
      <c r="CO51" s="419"/>
      <c r="CP51" s="423">
        <f>IFERROR(IF(LEFT($A51,3)="Lcp",SUMIFS('BASE-LCP'!$K:$K,'BASE-LCP'!$A:$A,Capex!$A27,'BASE-LCP'!$B:$B,"julho")/1000,IF(LEFT($A51,3)="icp",SUMIFS('BASE-ICP'!$K:$K,'BASE-ICP'!$A:$A,Capex!$A27,'BASE-ICP'!$B:$B,"julho")/1000,"")),"")</f>
        <v>0</v>
      </c>
      <c r="CQ51" s="427">
        <v>0</v>
      </c>
      <c r="CR51" s="372"/>
      <c r="CS51" s="419"/>
      <c r="CT51" s="423">
        <f>IFERROR(IF(LEFT($A51,3)="Lcp",SUMIFS('BASE-LCP'!$K:$K,'BASE-LCP'!$A:$A,Capex!$A27,'BASE-LCP'!$B:$B,"agosto")/1000,IF(LEFT($A51,3)="icp",SUMIFS('BASE-ICP'!$K:$K,'BASE-ICP'!$A:$A,Capex!$A27,'BASE-ICP'!$B:$B,"agosto")/1000,"")),"")</f>
        <v>0</v>
      </c>
      <c r="CU51" s="427">
        <v>0</v>
      </c>
      <c r="CV51" s="372"/>
      <c r="CW51" s="419"/>
      <c r="CX51" s="423">
        <f>IFERROR(IF(LEFT($A51,3)="Lcp",SUMIFS('BASE-LCP'!$K:$K,'BASE-LCP'!$A:$A,Capex!$A27,'BASE-LCP'!$B:$B,"setembro")/1000,IF(LEFT($A51,3)="icp",SUMIFS('BASE-ICP'!$K:$K,'BASE-ICP'!$A:$A,Capex!$A27,'BASE-ICP'!$B:$B,"setembro")/1000,"")),"")</f>
        <v>0</v>
      </c>
      <c r="CY51" s="427">
        <v>0</v>
      </c>
      <c r="CZ51" s="372"/>
      <c r="DA51" s="419"/>
      <c r="DB51" s="423">
        <f>IFERROR(IF(LEFT($A51,3)="Lcp",SUMIFS('BASE-LCP'!$K:$K,'BASE-LCP'!$A:$A,Capex!$A27,'BASE-LCP'!$B:$B,"outubro")/1000,IF(LEFT($A51,3)="icp",SUMIFS('BASE-ICP'!$K:$K,'BASE-ICP'!$A:$A,Capex!$A27,'BASE-ICP'!$B:$B,"outubro")/1000,"")),"")</f>
        <v>0</v>
      </c>
      <c r="DC51" s="427">
        <v>0</v>
      </c>
      <c r="DD51" s="372"/>
      <c r="DE51" s="419"/>
      <c r="DF51" s="423">
        <f>IFERROR(IF(LEFT($A51,3)="Lcp",SUMIFS('BASE-LCP'!$K:$K,'BASE-LCP'!$A:$A,Capex!$A27,'BASE-LCP'!$B:$B,"novembro")/1000,IF(LEFT($A51,3)="icp",SUMIFS('BASE-ICP'!$K:$K,'BASE-ICP'!$A:$A,Capex!$A27,'BASE-ICP'!$B:$B,"novembro")/1000,"")),"")</f>
        <v>0</v>
      </c>
      <c r="DG51" s="427">
        <v>0</v>
      </c>
      <c r="DH51" s="372"/>
      <c r="DI51" s="419"/>
      <c r="DJ51" s="423">
        <f>IFERROR(IF(LEFT($A51,3)="Lcp",SUMIFS('BASE-LCP'!$K:$K,'BASE-LCP'!$A:$A,Capex!$A27,'BASE-LCP'!$B:$B,"dezembro")/1000,IF(LEFT($A51,3)="icp",SUMIFS('BASE-ICP'!$K:$K,'BASE-ICP'!$A:$A,Capex!$A27,'BASE-ICP'!$B:$B,"dezembro")/1000,"")),"")</f>
        <v>0</v>
      </c>
      <c r="DK51" s="427">
        <v>0</v>
      </c>
      <c r="DL51" s="452">
        <f t="shared" si="15"/>
        <v>0</v>
      </c>
      <c r="DM51" s="374"/>
      <c r="DN51" s="374">
        <v>0</v>
      </c>
      <c r="DO51" s="374"/>
      <c r="DP51" s="374"/>
      <c r="DQ51" s="374"/>
      <c r="DR51" s="374"/>
      <c r="DS51" s="374"/>
      <c r="DT51" s="374"/>
      <c r="DU51" s="374"/>
      <c r="DV51" s="374"/>
      <c r="DW51" s="374"/>
      <c r="DX51" s="374"/>
      <c r="DY51" s="450"/>
      <c r="DZ51" s="374">
        <f t="shared" si="16"/>
        <v>0</v>
      </c>
      <c r="EA51" s="216">
        <f t="shared" si="17"/>
        <v>0</v>
      </c>
      <c r="EB51" s="320">
        <f t="shared" si="18"/>
        <v>0</v>
      </c>
      <c r="EC51" s="241">
        <f t="shared" si="19"/>
        <v>0</v>
      </c>
      <c r="ED51" s="241">
        <f t="shared" si="20"/>
        <v>0</v>
      </c>
      <c r="EE51" s="241">
        <f t="shared" si="21"/>
        <v>0</v>
      </c>
      <c r="EF51" s="241">
        <f t="shared" si="22"/>
        <v>0</v>
      </c>
      <c r="EG51" s="346">
        <f t="shared" si="23"/>
        <v>0</v>
      </c>
      <c r="EH51" s="445">
        <f t="shared" si="24"/>
        <v>0</v>
      </c>
      <c r="EI51" s="447">
        <f t="shared" si="25"/>
        <v>0</v>
      </c>
      <c r="EJ51" s="364">
        <f t="shared" si="26"/>
        <v>0</v>
      </c>
      <c r="EK51" s="365">
        <f t="shared" si="27"/>
        <v>0</v>
      </c>
      <c r="EL51" s="529">
        <f t="shared" si="28"/>
        <v>0</v>
      </c>
      <c r="EM51" s="530">
        <v>0</v>
      </c>
      <c r="EN51" s="530">
        <v>0</v>
      </c>
      <c r="EO51" s="530">
        <v>0</v>
      </c>
      <c r="EP51" s="530">
        <v>0</v>
      </c>
      <c r="EQ51" s="530">
        <v>0</v>
      </c>
      <c r="ER51" s="530">
        <v>0</v>
      </c>
      <c r="ES51" s="530">
        <v>0</v>
      </c>
      <c r="ET51" s="530">
        <v>0</v>
      </c>
      <c r="EU51" s="530">
        <v>0</v>
      </c>
      <c r="EV51" s="530">
        <v>0</v>
      </c>
      <c r="EW51" s="530">
        <v>0</v>
      </c>
      <c r="EX51" s="530">
        <v>0</v>
      </c>
      <c r="EY51" s="530">
        <f t="shared" si="29"/>
        <v>0</v>
      </c>
      <c r="EZ51" s="530">
        <f t="shared" si="30"/>
        <v>0</v>
      </c>
      <c r="FA51" s="530">
        <f t="shared" si="31"/>
        <v>0</v>
      </c>
      <c r="FB51" s="530">
        <f t="shared" si="32"/>
        <v>0</v>
      </c>
      <c r="FC51" s="384">
        <f>IFERROR(VLOOKUP(Capex!A27,BASE_558!D:R,8,FALSE)/1000,"")</f>
        <v>0</v>
      </c>
      <c r="FD51" s="328">
        <f>IFERROR(VLOOKUP(Capex!A27,BASE_558!D:R,9,)/1000,"")</f>
        <v>0</v>
      </c>
      <c r="FE51" s="328">
        <f>IFERROR(IF(LEFT(A51,3)="LCP",(VLOOKUP(Capex!A27,BASE_558!D:R,10,)/1000),SUMIFS('BASE ICP_PO_SC'!F:F,'BASE ICP_PO_SC'!A:A,Capex!A27,'BASE ICP_PO_SC'!E:E,"&lt;&gt;")/1000),"")</f>
        <v>0</v>
      </c>
      <c r="FF51" s="328">
        <f>IFERROR(IF(LEFT(A51,3)="LCP",(VLOOKUP(Capex!A27,BASE_558!D:R,11,)/1000),SUMIFS('BASE ICP_PO_SC'!F:F,'BASE ICP_PO_SC'!A:A,Capex!A27,'BASE ICP_PO_SC'!E:E,"")/1000),"")</f>
        <v>0</v>
      </c>
      <c r="FG51" s="328" t="str">
        <f>IFERROR(VLOOKUP(A51,BASE_558!D:R,13,FALSE)/1000,"")</f>
        <v/>
      </c>
      <c r="FH51" s="328" t="str">
        <f>IFERROR(VLOOKUP(A51,BASE_558!D:R,15,FALSE)/1000,"")</f>
        <v/>
      </c>
      <c r="FI51" s="547">
        <f t="shared" si="33"/>
        <v>0</v>
      </c>
      <c r="FJ51" s="547">
        <f t="shared" si="34"/>
        <v>0</v>
      </c>
      <c r="FK51" s="540">
        <f t="shared" si="35"/>
        <v>0</v>
      </c>
    </row>
    <row r="52" spans="1:167" s="23" customFormat="1" ht="24" customHeight="1">
      <c r="A52" s="309" t="s">
        <v>1002</v>
      </c>
      <c r="B52" s="404" t="s">
        <v>333</v>
      </c>
      <c r="C52" s="404"/>
      <c r="D52" s="338"/>
      <c r="E52" s="378"/>
      <c r="F52" s="5"/>
      <c r="G52" s="310" t="s">
        <v>9</v>
      </c>
      <c r="H52" s="338"/>
      <c r="I52" s="338"/>
      <c r="J52" s="338">
        <v>2021</v>
      </c>
      <c r="K52" s="316"/>
      <c r="L52" s="324"/>
      <c r="M52" s="409"/>
      <c r="N52" s="317" t="str">
        <f t="shared" si="38"/>
        <v/>
      </c>
      <c r="O52" s="317" t="str">
        <f t="shared" si="39"/>
        <v/>
      </c>
      <c r="P52" s="418" t="str">
        <f t="shared" si="45"/>
        <v>N/A</v>
      </c>
      <c r="Q52" s="418" t="str">
        <f t="shared" si="45"/>
        <v>N/A</v>
      </c>
      <c r="R52" s="418" t="str">
        <f t="shared" si="45"/>
        <v>N/A</v>
      </c>
      <c r="S52" s="418" t="str">
        <f t="shared" si="45"/>
        <v>N/A</v>
      </c>
      <c r="T52" s="418" t="str">
        <f t="shared" si="45"/>
        <v>N/A</v>
      </c>
      <c r="U52" s="418" t="str">
        <f t="shared" si="45"/>
        <v>N/A</v>
      </c>
      <c r="V52" s="418" t="str">
        <f t="shared" si="45"/>
        <v>N/A</v>
      </c>
      <c r="W52" s="418" t="str">
        <f t="shared" si="45"/>
        <v>N/A</v>
      </c>
      <c r="X52" s="418" t="str">
        <f t="shared" si="45"/>
        <v>N/A</v>
      </c>
      <c r="Y52" s="418" t="str">
        <f t="shared" si="45"/>
        <v>N/A</v>
      </c>
      <c r="Z52" s="418" t="str">
        <f t="shared" si="45"/>
        <v>N/A</v>
      </c>
      <c r="AA52" s="418" t="str">
        <f t="shared" si="45"/>
        <v>N/A</v>
      </c>
      <c r="AB52" s="317"/>
      <c r="AC52" s="309" t="s">
        <v>3932</v>
      </c>
      <c r="AD52" s="311" t="s">
        <v>5</v>
      </c>
      <c r="AE52" s="311" t="s">
        <v>951</v>
      </c>
      <c r="AF52" s="310" t="s">
        <v>6988</v>
      </c>
      <c r="AG52" s="310" t="s">
        <v>9083</v>
      </c>
      <c r="AH52" s="310" t="s">
        <v>2806</v>
      </c>
      <c r="AI52" s="381" t="s">
        <v>2255</v>
      </c>
      <c r="AJ52" s="6" t="s">
        <v>218</v>
      </c>
      <c r="AK52" s="6" t="str">
        <f t="shared" si="10"/>
        <v>IGUAL</v>
      </c>
      <c r="AL52" s="151" t="str">
        <f>IFERROR(IF(LEFT(A52,3)="LCP",VLOOKUP(A52,STATUS_SAP_LCP!B:C,2,FALSE),VLOOKUP(A52,STATUS_SAP_ICP!B:C,2,FALSE)),"NO BUDGET")</f>
        <v>CLSD BUDG AVAC  //  BREL WPLI</v>
      </c>
      <c r="AM52" s="6" t="str">
        <f t="shared" si="44"/>
        <v>CLSD</v>
      </c>
      <c r="AN52" s="282"/>
      <c r="AO52" s="562">
        <v>1</v>
      </c>
      <c r="AP52" s="499" t="s">
        <v>9607</v>
      </c>
      <c r="AQ52" s="464"/>
      <c r="AR52" s="460"/>
      <c r="AS52" s="56"/>
      <c r="AT52" s="185"/>
      <c r="AU52" s="318">
        <v>1.2274700000001646</v>
      </c>
      <c r="AV52" s="223">
        <v>-1.2274699999999998</v>
      </c>
      <c r="AW52" s="318">
        <v>0</v>
      </c>
      <c r="AX52" s="223">
        <v>0</v>
      </c>
      <c r="AY52" s="318">
        <f t="shared" si="40"/>
        <v>0</v>
      </c>
      <c r="AZ52" s="223"/>
      <c r="BA52" s="318"/>
      <c r="BB52" s="519">
        <f t="shared" si="41"/>
        <v>0</v>
      </c>
      <c r="BC52" s="518">
        <v>0</v>
      </c>
      <c r="BD52" s="518">
        <v>0</v>
      </c>
      <c r="BE52" s="518">
        <v>0</v>
      </c>
      <c r="BF52" s="518">
        <v>0</v>
      </c>
      <c r="BG52" s="518">
        <v>0</v>
      </c>
      <c r="BH52" s="518">
        <v>0</v>
      </c>
      <c r="BI52" s="518">
        <v>0</v>
      </c>
      <c r="BJ52" s="518">
        <v>0</v>
      </c>
      <c r="BK52" s="518">
        <v>0</v>
      </c>
      <c r="BL52" s="518">
        <v>0</v>
      </c>
      <c r="BM52" s="518">
        <v>0</v>
      </c>
      <c r="BN52" s="518">
        <v>0</v>
      </c>
      <c r="BO52" s="367">
        <f t="shared" si="14"/>
        <v>0</v>
      </c>
      <c r="BP52" s="421">
        <v>0</v>
      </c>
      <c r="BQ52" s="422">
        <v>0</v>
      </c>
      <c r="BR52" s="423">
        <f>IFERROR(IF(LEFT($A52,3)="Lcp",SUMIFS('BASE-LCP'!$K:$K,'BASE-LCP'!$A:$A,Capex!$A29,'BASE-LCP'!$B:$B,"janeiro")/1000,IF(LEFT($A52,3)="icp",SUMIFS('BASE-ICP'!$K:$K,'BASE-ICP'!$A:$A,Capex!$A29,'BASE-ICP'!$B:$B,"janeiro")/1000,"")),"")</f>
        <v>0</v>
      </c>
      <c r="BS52" s="427">
        <v>0</v>
      </c>
      <c r="BT52" s="372">
        <v>0</v>
      </c>
      <c r="BU52" s="422">
        <v>0</v>
      </c>
      <c r="BV52" s="423">
        <f>IFERROR(IF(LEFT($A52,3)="Lcp",SUMIFS('BASE-LCP'!$K:$K,'BASE-LCP'!$A:$A,Capex!$A29,'BASE-LCP'!$B:$B,"fevereiro")/1000,IF(LEFT($A52,3)="icp",SUMIFS('BASE-ICP'!$K:$K,'BASE-ICP'!$A:$A,Capex!$A29,'BASE-ICP'!$B:$B,"fevereiro")/1000,"")),"")</f>
        <v>0</v>
      </c>
      <c r="BW52" s="427">
        <v>0</v>
      </c>
      <c r="BX52" s="372">
        <v>0</v>
      </c>
      <c r="BY52" s="422">
        <v>0</v>
      </c>
      <c r="BZ52" s="423">
        <f>IFERROR(IF(LEFT($A52,3)="Lcp",SUMIFS('BASE-LCP'!$K:$K,'BASE-LCP'!$A:$A,Capex!$A29,'BASE-LCP'!$B:$B,"março")/1000,IF(LEFT($A52,3)="icp",SUMIFS('BASE-ICP'!$K:$K,'BASE-ICP'!$A:$A,Capex!$A29,'BASE-ICP'!$B:$B,"março")/1000,"")),"")</f>
        <v>0</v>
      </c>
      <c r="CA52" s="427">
        <v>0</v>
      </c>
      <c r="CB52" s="372">
        <v>0</v>
      </c>
      <c r="CC52" s="422"/>
      <c r="CD52" s="423">
        <f>IFERROR(IF(LEFT($A52,3)="Lcp",SUMIFS('BASE-LCP'!$K:$K,'BASE-LCP'!$A:$A,Capex!$A29,'BASE-LCP'!$B:$B,"abril")/1000,IF(LEFT($A52,3)="icp",SUMIFS('BASE-ICP'!$K:$K,'BASE-ICP'!$A:$A,Capex!$A29,'BASE-ICP'!$B:$B,"abril")/1000,"")),"")</f>
        <v>0</v>
      </c>
      <c r="CE52" s="427">
        <v>0</v>
      </c>
      <c r="CF52" s="372">
        <v>0</v>
      </c>
      <c r="CG52" s="422">
        <f t="shared" si="42"/>
        <v>0</v>
      </c>
      <c r="CH52" s="423">
        <v>0</v>
      </c>
      <c r="CI52" s="427">
        <v>0</v>
      </c>
      <c r="CJ52" s="372">
        <v>0</v>
      </c>
      <c r="CK52" s="419"/>
      <c r="CL52" s="423">
        <f>IFERROR(IF(LEFT($A52,3)="Lcp",SUMIFS('BASE-LCP'!$K:$K,'BASE-LCP'!$A:$A,Capex!$A29,'BASE-LCP'!$B:$B,"junho")/1000,IF(LEFT($A52,3)="icp",SUMIFS('BASE-ICP'!$K:$K,'BASE-ICP'!$A:$A,Capex!$A29,'BASE-ICP'!$B:$B,"junho")/1000,"")),"")</f>
        <v>0</v>
      </c>
      <c r="CM52" s="427">
        <v>0</v>
      </c>
      <c r="CN52" s="372"/>
      <c r="CO52" s="419"/>
      <c r="CP52" s="423">
        <f>IFERROR(IF(LEFT($A52,3)="Lcp",SUMIFS('BASE-LCP'!$K:$K,'BASE-LCP'!$A:$A,Capex!$A29,'BASE-LCP'!$B:$B,"julho")/1000,IF(LEFT($A52,3)="icp",SUMIFS('BASE-ICP'!$K:$K,'BASE-ICP'!$A:$A,Capex!$A29,'BASE-ICP'!$B:$B,"julho")/1000,"")),"")</f>
        <v>0</v>
      </c>
      <c r="CQ52" s="427">
        <v>0</v>
      </c>
      <c r="CR52" s="372"/>
      <c r="CS52" s="419"/>
      <c r="CT52" s="423">
        <f>IFERROR(IF(LEFT($A52,3)="Lcp",SUMIFS('BASE-LCP'!$K:$K,'BASE-LCP'!$A:$A,Capex!$A29,'BASE-LCP'!$B:$B,"agosto")/1000,IF(LEFT($A52,3)="icp",SUMIFS('BASE-ICP'!$K:$K,'BASE-ICP'!$A:$A,Capex!$A29,'BASE-ICP'!$B:$B,"agosto")/1000,"")),"")</f>
        <v>0</v>
      </c>
      <c r="CU52" s="427">
        <v>0</v>
      </c>
      <c r="CV52" s="372"/>
      <c r="CW52" s="419"/>
      <c r="CX52" s="423">
        <f>IFERROR(IF(LEFT($A52,3)="Lcp",SUMIFS('BASE-LCP'!$K:$K,'BASE-LCP'!$A:$A,Capex!$A29,'BASE-LCP'!$B:$B,"setembro")/1000,IF(LEFT($A52,3)="icp",SUMIFS('BASE-ICP'!$K:$K,'BASE-ICP'!$A:$A,Capex!$A29,'BASE-ICP'!$B:$B,"setembro")/1000,"")),"")</f>
        <v>0</v>
      </c>
      <c r="CY52" s="427">
        <v>0</v>
      </c>
      <c r="CZ52" s="372"/>
      <c r="DA52" s="419"/>
      <c r="DB52" s="423">
        <f>IFERROR(IF(LEFT($A52,3)="Lcp",SUMIFS('BASE-LCP'!$K:$K,'BASE-LCP'!$A:$A,Capex!$A29,'BASE-LCP'!$B:$B,"outubro")/1000,IF(LEFT($A52,3)="icp",SUMIFS('BASE-ICP'!$K:$K,'BASE-ICP'!$A:$A,Capex!$A29,'BASE-ICP'!$B:$B,"outubro")/1000,"")),"")</f>
        <v>0</v>
      </c>
      <c r="DC52" s="427">
        <v>0</v>
      </c>
      <c r="DD52" s="372"/>
      <c r="DE52" s="419"/>
      <c r="DF52" s="423">
        <f>IFERROR(IF(LEFT($A52,3)="Lcp",SUMIFS('BASE-LCP'!$K:$K,'BASE-LCP'!$A:$A,Capex!$A29,'BASE-LCP'!$B:$B,"novembro")/1000,IF(LEFT($A52,3)="icp",SUMIFS('BASE-ICP'!$K:$K,'BASE-ICP'!$A:$A,Capex!$A29,'BASE-ICP'!$B:$B,"novembro")/1000,"")),"")</f>
        <v>0</v>
      </c>
      <c r="DG52" s="427">
        <v>0</v>
      </c>
      <c r="DH52" s="372"/>
      <c r="DI52" s="419"/>
      <c r="DJ52" s="423">
        <f>IFERROR(IF(LEFT($A52,3)="Lcp",SUMIFS('BASE-LCP'!$K:$K,'BASE-LCP'!$A:$A,Capex!$A29,'BASE-LCP'!$B:$B,"dezembro")/1000,IF(LEFT($A52,3)="icp",SUMIFS('BASE-ICP'!$K:$K,'BASE-ICP'!$A:$A,Capex!$A29,'BASE-ICP'!$B:$B,"dezembro")/1000,"")),"")</f>
        <v>0</v>
      </c>
      <c r="DK52" s="427">
        <v>0</v>
      </c>
      <c r="DL52" s="452">
        <f t="shared" si="15"/>
        <v>0</v>
      </c>
      <c r="DM52" s="374"/>
      <c r="DN52" s="374">
        <v>0</v>
      </c>
      <c r="DO52" s="374"/>
      <c r="DP52" s="374"/>
      <c r="DQ52" s="374"/>
      <c r="DR52" s="374"/>
      <c r="DS52" s="374"/>
      <c r="DT52" s="374"/>
      <c r="DU52" s="374"/>
      <c r="DV52" s="374"/>
      <c r="DW52" s="374"/>
      <c r="DX52" s="374"/>
      <c r="DY52" s="450"/>
      <c r="DZ52" s="374">
        <f t="shared" si="16"/>
        <v>0</v>
      </c>
      <c r="EA52" s="216">
        <f t="shared" si="17"/>
        <v>0</v>
      </c>
      <c r="EB52" s="320">
        <f t="shared" si="18"/>
        <v>0</v>
      </c>
      <c r="EC52" s="241">
        <f t="shared" si="19"/>
        <v>0</v>
      </c>
      <c r="ED52" s="241">
        <f t="shared" si="20"/>
        <v>0</v>
      </c>
      <c r="EE52" s="241">
        <f t="shared" si="21"/>
        <v>0</v>
      </c>
      <c r="EF52" s="241">
        <f t="shared" si="22"/>
        <v>0</v>
      </c>
      <c r="EG52" s="346">
        <f t="shared" si="23"/>
        <v>0</v>
      </c>
      <c r="EH52" s="445">
        <f t="shared" si="24"/>
        <v>0</v>
      </c>
      <c r="EI52" s="447">
        <f t="shared" si="25"/>
        <v>0</v>
      </c>
      <c r="EJ52" s="364">
        <f t="shared" si="26"/>
        <v>0</v>
      </c>
      <c r="EK52" s="365">
        <f t="shared" si="27"/>
        <v>0</v>
      </c>
      <c r="EL52" s="529">
        <f t="shared" si="28"/>
        <v>0</v>
      </c>
      <c r="EM52" s="530">
        <v>0</v>
      </c>
      <c r="EN52" s="530">
        <v>0</v>
      </c>
      <c r="EO52" s="530">
        <v>0</v>
      </c>
      <c r="EP52" s="530">
        <v>0</v>
      </c>
      <c r="EQ52" s="530">
        <v>0</v>
      </c>
      <c r="ER52" s="530">
        <v>0</v>
      </c>
      <c r="ES52" s="530">
        <v>0</v>
      </c>
      <c r="ET52" s="530">
        <v>0</v>
      </c>
      <c r="EU52" s="530">
        <v>0</v>
      </c>
      <c r="EV52" s="530">
        <v>0</v>
      </c>
      <c r="EW52" s="530">
        <v>0</v>
      </c>
      <c r="EX52" s="530">
        <v>0</v>
      </c>
      <c r="EY52" s="530">
        <f t="shared" si="29"/>
        <v>0</v>
      </c>
      <c r="EZ52" s="530">
        <f t="shared" si="30"/>
        <v>0</v>
      </c>
      <c r="FA52" s="530">
        <f t="shared" si="31"/>
        <v>0</v>
      </c>
      <c r="FB52" s="530">
        <f t="shared" si="32"/>
        <v>0</v>
      </c>
      <c r="FC52" s="384" t="str">
        <f>IFERROR(VLOOKUP(Capex!A29,BASE_558!D:R,8,FALSE)/1000,"")</f>
        <v/>
      </c>
      <c r="FD52" s="328" t="str">
        <f>IFERROR(VLOOKUP(Capex!A29,BASE_558!D:R,9,)/1000,"")</f>
        <v/>
      </c>
      <c r="FE52" s="328">
        <f>IFERROR(IF(LEFT(A52,3)="LCP",(VLOOKUP(Capex!A29,BASE_558!D:R,10,)/1000),SUMIFS('BASE ICP_PO_SC'!F:F,'BASE ICP_PO_SC'!A:A,Capex!A29,'BASE ICP_PO_SC'!E:E,"&lt;&gt;")/1000),"")</f>
        <v>0</v>
      </c>
      <c r="FF52" s="328">
        <f>IFERROR(IF(LEFT(A52,3)="LCP",(VLOOKUP(Capex!A29,BASE_558!D:R,11,)/1000),SUMIFS('BASE ICP_PO_SC'!F:F,'BASE ICP_PO_SC'!A:A,Capex!A29,'BASE ICP_PO_SC'!E:E,"")/1000),"")</f>
        <v>0</v>
      </c>
      <c r="FG52" s="328" t="str">
        <f>IFERROR(VLOOKUP(A52,BASE_558!D:R,13,FALSE)/1000,"")</f>
        <v/>
      </c>
      <c r="FH52" s="328" t="str">
        <f>IFERROR(VLOOKUP(A52,BASE_558!D:R,15,FALSE)/1000,"")</f>
        <v/>
      </c>
      <c r="FI52" s="547">
        <f t="shared" si="33"/>
        <v>0</v>
      </c>
      <c r="FJ52" s="547">
        <f t="shared" si="34"/>
        <v>0</v>
      </c>
      <c r="FK52" s="540">
        <f t="shared" si="35"/>
        <v>0</v>
      </c>
    </row>
    <row r="53" spans="1:167" s="23" customFormat="1" ht="24" customHeight="1">
      <c r="A53" s="309" t="s">
        <v>847</v>
      </c>
      <c r="B53" s="404" t="s">
        <v>655</v>
      </c>
      <c r="C53" s="404"/>
      <c r="D53" s="338"/>
      <c r="E53" s="378"/>
      <c r="F53" s="5"/>
      <c r="G53" s="310" t="s">
        <v>9</v>
      </c>
      <c r="H53" s="338"/>
      <c r="I53" s="338"/>
      <c r="J53" s="338">
        <v>2021</v>
      </c>
      <c r="K53" s="316"/>
      <c r="L53" s="324"/>
      <c r="M53" s="409"/>
      <c r="N53" s="317" t="str">
        <f t="shared" si="38"/>
        <v/>
      </c>
      <c r="O53" s="317" t="str">
        <f t="shared" si="39"/>
        <v/>
      </c>
      <c r="P53" s="418" t="str">
        <f t="shared" si="45"/>
        <v>N/A</v>
      </c>
      <c r="Q53" s="418" t="str">
        <f t="shared" si="45"/>
        <v>N/A</v>
      </c>
      <c r="R53" s="418" t="str">
        <f t="shared" si="45"/>
        <v>N/A</v>
      </c>
      <c r="S53" s="418" t="str">
        <f t="shared" si="45"/>
        <v>N/A</v>
      </c>
      <c r="T53" s="418" t="str">
        <f t="shared" si="45"/>
        <v>N/A</v>
      </c>
      <c r="U53" s="418" t="str">
        <f t="shared" si="45"/>
        <v>N/A</v>
      </c>
      <c r="V53" s="418" t="str">
        <f t="shared" si="45"/>
        <v>N/A</v>
      </c>
      <c r="W53" s="418" t="str">
        <f t="shared" si="45"/>
        <v>N/A</v>
      </c>
      <c r="X53" s="418" t="str">
        <f t="shared" si="45"/>
        <v>N/A</v>
      </c>
      <c r="Y53" s="418" t="str">
        <f t="shared" si="45"/>
        <v>N/A</v>
      </c>
      <c r="Z53" s="418" t="str">
        <f t="shared" si="45"/>
        <v>N/A</v>
      </c>
      <c r="AA53" s="418" t="str">
        <f t="shared" si="45"/>
        <v>N/A</v>
      </c>
      <c r="AB53" s="317"/>
      <c r="AC53" s="309" t="s">
        <v>3932</v>
      </c>
      <c r="AD53" s="311"/>
      <c r="AE53" s="311"/>
      <c r="AF53" s="310" t="s">
        <v>6988</v>
      </c>
      <c r="AG53" s="310" t="s">
        <v>2259</v>
      </c>
      <c r="AH53" s="310" t="s">
        <v>486</v>
      </c>
      <c r="AI53" s="309" t="s">
        <v>2255</v>
      </c>
      <c r="AJ53" s="6" t="s">
        <v>6786</v>
      </c>
      <c r="AK53" s="6" t="str">
        <f t="shared" si="10"/>
        <v>DIFERENTE</v>
      </c>
      <c r="AL53" s="151" t="str">
        <f>IFERROR(IF(LEFT(A53,3)="LCP",VLOOKUP(A53,STATUS_SAP_LCP!B:C,2,FALSE),VLOOKUP(A53,STATUS_SAP_ICP!B:C,2,FALSE)),"NO BUDGET")</f>
        <v>CLSD BUDG AVAC  //  BREL WPLI</v>
      </c>
      <c r="AM53" s="6" t="str">
        <f t="shared" si="44"/>
        <v>CLSD</v>
      </c>
      <c r="AN53" s="282" t="s">
        <v>8958</v>
      </c>
      <c r="AO53" s="282"/>
      <c r="AP53" s="499" t="s">
        <v>9616</v>
      </c>
      <c r="AQ53" s="464"/>
      <c r="AR53" s="460"/>
      <c r="AS53" s="56"/>
      <c r="AT53" s="185"/>
      <c r="AU53" s="318">
        <v>-0.16338000000000008</v>
      </c>
      <c r="AV53" s="223">
        <v>0</v>
      </c>
      <c r="AW53" s="318">
        <v>0</v>
      </c>
      <c r="AX53" s="223">
        <v>0</v>
      </c>
      <c r="AY53" s="318">
        <f t="shared" si="40"/>
        <v>0</v>
      </c>
      <c r="AZ53" s="223"/>
      <c r="BA53" s="318"/>
      <c r="BB53" s="519">
        <f t="shared" si="41"/>
        <v>0</v>
      </c>
      <c r="BC53" s="518">
        <v>0</v>
      </c>
      <c r="BD53" s="518">
        <v>0</v>
      </c>
      <c r="BE53" s="518">
        <v>0</v>
      </c>
      <c r="BF53" s="518">
        <v>0</v>
      </c>
      <c r="BG53" s="518">
        <v>0</v>
      </c>
      <c r="BH53" s="518">
        <v>0</v>
      </c>
      <c r="BI53" s="518">
        <v>0</v>
      </c>
      <c r="BJ53" s="518">
        <v>0</v>
      </c>
      <c r="BK53" s="518">
        <v>0</v>
      </c>
      <c r="BL53" s="518">
        <v>0</v>
      </c>
      <c r="BM53" s="518">
        <v>0</v>
      </c>
      <c r="BN53" s="518">
        <v>0</v>
      </c>
      <c r="BO53" s="367">
        <f t="shared" si="14"/>
        <v>0</v>
      </c>
      <c r="BP53" s="421">
        <v>0</v>
      </c>
      <c r="BQ53" s="422">
        <v>0</v>
      </c>
      <c r="BR53" s="423">
        <f>IFERROR(IF(LEFT($A53,3)="Lcp",SUMIFS('BASE-LCP'!$K:$K,'BASE-LCP'!$A:$A,Capex!$A31,'BASE-LCP'!$B:$B,"janeiro")/1000,IF(LEFT($A53,3)="icp",SUMIFS('BASE-ICP'!$K:$K,'BASE-ICP'!$A:$A,Capex!$A31,'BASE-ICP'!$B:$B,"janeiro")/1000,"")),"")</f>
        <v>0</v>
      </c>
      <c r="BS53" s="427">
        <v>0</v>
      </c>
      <c r="BT53" s="372">
        <v>0</v>
      </c>
      <c r="BU53" s="422">
        <v>0</v>
      </c>
      <c r="BV53" s="423">
        <f>IFERROR(IF(LEFT($A53,3)="Lcp",SUMIFS('BASE-LCP'!$K:$K,'BASE-LCP'!$A:$A,Capex!$A31,'BASE-LCP'!$B:$B,"fevereiro")/1000,IF(LEFT($A53,3)="icp",SUMIFS('BASE-ICP'!$K:$K,'BASE-ICP'!$A:$A,Capex!$A31,'BASE-ICP'!$B:$B,"fevereiro")/1000,"")),"")</f>
        <v>0</v>
      </c>
      <c r="BW53" s="427">
        <v>0</v>
      </c>
      <c r="BX53" s="372">
        <v>0</v>
      </c>
      <c r="BY53" s="422">
        <v>0</v>
      </c>
      <c r="BZ53" s="423">
        <f>IFERROR(IF(LEFT($A53,3)="Lcp",SUMIFS('BASE-LCP'!$K:$K,'BASE-LCP'!$A:$A,Capex!$A31,'BASE-LCP'!$B:$B,"março")/1000,IF(LEFT($A53,3)="icp",SUMIFS('BASE-ICP'!$K:$K,'BASE-ICP'!$A:$A,Capex!$A31,'BASE-ICP'!$B:$B,"março")/1000,"")),"")</f>
        <v>0</v>
      </c>
      <c r="CA53" s="427">
        <v>0</v>
      </c>
      <c r="CB53" s="372">
        <v>0</v>
      </c>
      <c r="CC53" s="422"/>
      <c r="CD53" s="423">
        <f>IFERROR(IF(LEFT($A53,3)="Lcp",SUMIFS('BASE-LCP'!$K:$K,'BASE-LCP'!$A:$A,Capex!$A31,'BASE-LCP'!$B:$B,"abril")/1000,IF(LEFT($A53,3)="icp",SUMIFS('BASE-ICP'!$K:$K,'BASE-ICP'!$A:$A,Capex!$A31,'BASE-ICP'!$B:$B,"abril")/1000,"")),"")</f>
        <v>0</v>
      </c>
      <c r="CE53" s="427">
        <v>0</v>
      </c>
      <c r="CF53" s="372">
        <v>0</v>
      </c>
      <c r="CG53" s="422">
        <f t="shared" si="42"/>
        <v>0</v>
      </c>
      <c r="CH53" s="423">
        <v>0</v>
      </c>
      <c r="CI53" s="427">
        <v>0</v>
      </c>
      <c r="CJ53" s="372">
        <v>0</v>
      </c>
      <c r="CK53" s="419"/>
      <c r="CL53" s="423">
        <f>IFERROR(IF(LEFT($A53,3)="Lcp",SUMIFS('BASE-LCP'!$K:$K,'BASE-LCP'!$A:$A,Capex!$A31,'BASE-LCP'!$B:$B,"junho")/1000,IF(LEFT($A53,3)="icp",SUMIFS('BASE-ICP'!$K:$K,'BASE-ICP'!$A:$A,Capex!$A31,'BASE-ICP'!$B:$B,"junho")/1000,"")),"")</f>
        <v>0</v>
      </c>
      <c r="CM53" s="427">
        <v>0</v>
      </c>
      <c r="CN53" s="372"/>
      <c r="CO53" s="419"/>
      <c r="CP53" s="423">
        <f>IFERROR(IF(LEFT($A53,3)="Lcp",SUMIFS('BASE-LCP'!$K:$K,'BASE-LCP'!$A:$A,Capex!$A31,'BASE-LCP'!$B:$B,"julho")/1000,IF(LEFT($A53,3)="icp",SUMIFS('BASE-ICP'!$K:$K,'BASE-ICP'!$A:$A,Capex!$A31,'BASE-ICP'!$B:$B,"julho")/1000,"")),"")</f>
        <v>0</v>
      </c>
      <c r="CQ53" s="427">
        <v>0</v>
      </c>
      <c r="CR53" s="372"/>
      <c r="CS53" s="419"/>
      <c r="CT53" s="423">
        <f>IFERROR(IF(LEFT($A53,3)="Lcp",SUMIFS('BASE-LCP'!$K:$K,'BASE-LCP'!$A:$A,Capex!$A31,'BASE-LCP'!$B:$B,"agosto")/1000,IF(LEFT($A53,3)="icp",SUMIFS('BASE-ICP'!$K:$K,'BASE-ICP'!$A:$A,Capex!$A31,'BASE-ICP'!$B:$B,"agosto")/1000,"")),"")</f>
        <v>0</v>
      </c>
      <c r="CU53" s="427">
        <v>0</v>
      </c>
      <c r="CV53" s="372"/>
      <c r="CW53" s="419"/>
      <c r="CX53" s="423">
        <f>IFERROR(IF(LEFT($A53,3)="Lcp",SUMIFS('BASE-LCP'!$K:$K,'BASE-LCP'!$A:$A,Capex!$A31,'BASE-LCP'!$B:$B,"setembro")/1000,IF(LEFT($A53,3)="icp",SUMIFS('BASE-ICP'!$K:$K,'BASE-ICP'!$A:$A,Capex!$A31,'BASE-ICP'!$B:$B,"setembro")/1000,"")),"")</f>
        <v>0</v>
      </c>
      <c r="CY53" s="427">
        <v>0</v>
      </c>
      <c r="CZ53" s="372"/>
      <c r="DA53" s="419"/>
      <c r="DB53" s="423">
        <f>IFERROR(IF(LEFT($A53,3)="Lcp",SUMIFS('BASE-LCP'!$K:$K,'BASE-LCP'!$A:$A,Capex!$A31,'BASE-LCP'!$B:$B,"outubro")/1000,IF(LEFT($A53,3)="icp",SUMIFS('BASE-ICP'!$K:$K,'BASE-ICP'!$A:$A,Capex!$A31,'BASE-ICP'!$B:$B,"outubro")/1000,"")),"")</f>
        <v>0</v>
      </c>
      <c r="DC53" s="427">
        <v>0</v>
      </c>
      <c r="DD53" s="372"/>
      <c r="DE53" s="419"/>
      <c r="DF53" s="423">
        <f>IFERROR(IF(LEFT($A53,3)="Lcp",SUMIFS('BASE-LCP'!$K:$K,'BASE-LCP'!$A:$A,Capex!$A31,'BASE-LCP'!$B:$B,"novembro")/1000,IF(LEFT($A53,3)="icp",SUMIFS('BASE-ICP'!$K:$K,'BASE-ICP'!$A:$A,Capex!$A31,'BASE-ICP'!$B:$B,"novembro")/1000,"")),"")</f>
        <v>0</v>
      </c>
      <c r="DG53" s="427">
        <v>0</v>
      </c>
      <c r="DH53" s="372"/>
      <c r="DI53" s="419"/>
      <c r="DJ53" s="423">
        <f>IFERROR(IF(LEFT($A53,3)="Lcp",SUMIFS('BASE-LCP'!$K:$K,'BASE-LCP'!$A:$A,Capex!$A31,'BASE-LCP'!$B:$B,"dezembro")/1000,IF(LEFT($A53,3)="icp",SUMIFS('BASE-ICP'!$K:$K,'BASE-ICP'!$A:$A,Capex!$A31,'BASE-ICP'!$B:$B,"dezembro")/1000,"")),"")</f>
        <v>0</v>
      </c>
      <c r="DK53" s="427">
        <v>0</v>
      </c>
      <c r="DL53" s="452">
        <f t="shared" si="15"/>
        <v>0</v>
      </c>
      <c r="DM53" s="374"/>
      <c r="DN53" s="374">
        <v>0</v>
      </c>
      <c r="DO53" s="374"/>
      <c r="DP53" s="374"/>
      <c r="DQ53" s="374"/>
      <c r="DR53" s="374"/>
      <c r="DS53" s="374"/>
      <c r="DT53" s="374"/>
      <c r="DU53" s="374"/>
      <c r="DV53" s="374"/>
      <c r="DW53" s="374"/>
      <c r="DX53" s="374"/>
      <c r="DY53" s="450"/>
      <c r="DZ53" s="374">
        <f t="shared" si="16"/>
        <v>0</v>
      </c>
      <c r="EA53" s="216">
        <f t="shared" si="17"/>
        <v>0</v>
      </c>
      <c r="EB53" s="320">
        <f t="shared" si="18"/>
        <v>0</v>
      </c>
      <c r="EC53" s="241">
        <f t="shared" si="19"/>
        <v>0</v>
      </c>
      <c r="ED53" s="241">
        <f t="shared" si="20"/>
        <v>0</v>
      </c>
      <c r="EE53" s="241">
        <f t="shared" si="21"/>
        <v>0</v>
      </c>
      <c r="EF53" s="241">
        <f t="shared" si="22"/>
        <v>0</v>
      </c>
      <c r="EG53" s="346">
        <f t="shared" si="23"/>
        <v>0</v>
      </c>
      <c r="EH53" s="445">
        <f t="shared" si="24"/>
        <v>0</v>
      </c>
      <c r="EI53" s="447">
        <f t="shared" si="25"/>
        <v>0</v>
      </c>
      <c r="EJ53" s="364">
        <f t="shared" si="26"/>
        <v>0</v>
      </c>
      <c r="EK53" s="365">
        <f t="shared" si="27"/>
        <v>0</v>
      </c>
      <c r="EL53" s="529">
        <f t="shared" si="28"/>
        <v>0</v>
      </c>
      <c r="EM53" s="530">
        <v>0</v>
      </c>
      <c r="EN53" s="530">
        <v>0</v>
      </c>
      <c r="EO53" s="530">
        <v>0</v>
      </c>
      <c r="EP53" s="530">
        <v>0</v>
      </c>
      <c r="EQ53" s="530">
        <v>0</v>
      </c>
      <c r="ER53" s="530">
        <v>0</v>
      </c>
      <c r="ES53" s="530">
        <v>0</v>
      </c>
      <c r="ET53" s="530">
        <v>0</v>
      </c>
      <c r="EU53" s="530">
        <v>0</v>
      </c>
      <c r="EV53" s="530">
        <v>0</v>
      </c>
      <c r="EW53" s="530">
        <v>0</v>
      </c>
      <c r="EX53" s="530">
        <v>0</v>
      </c>
      <c r="EY53" s="530">
        <f t="shared" si="29"/>
        <v>0</v>
      </c>
      <c r="EZ53" s="530">
        <f t="shared" si="30"/>
        <v>0</v>
      </c>
      <c r="FA53" s="530">
        <f t="shared" si="31"/>
        <v>0</v>
      </c>
      <c r="FB53" s="530">
        <f t="shared" si="32"/>
        <v>0</v>
      </c>
      <c r="FC53" s="384" t="str">
        <f>IFERROR(VLOOKUP(Capex!A31,BASE_558!D:R,8,FALSE)/1000,"")</f>
        <v/>
      </c>
      <c r="FD53" s="328" t="str">
        <f>IFERROR(VLOOKUP(Capex!A31,BASE_558!D:R,9,)/1000,"")</f>
        <v/>
      </c>
      <c r="FE53" s="328">
        <f>IFERROR(IF(LEFT(A53,3)="LCP",(VLOOKUP(Capex!A31,BASE_558!D:R,10,)/1000),SUMIFS('BASE ICP_PO_SC'!F:F,'BASE ICP_PO_SC'!A:A,Capex!A31,'BASE ICP_PO_SC'!E:E,"&lt;&gt;")/1000),"")</f>
        <v>0</v>
      </c>
      <c r="FF53" s="328">
        <f>IFERROR(IF(LEFT(A53,3)="LCP",(VLOOKUP(Capex!A31,BASE_558!D:R,11,)/1000),SUMIFS('BASE ICP_PO_SC'!F:F,'BASE ICP_PO_SC'!A:A,Capex!A31,'BASE ICP_PO_SC'!E:E,"")/1000),"")</f>
        <v>0</v>
      </c>
      <c r="FG53" s="328" t="str">
        <f>IFERROR(VLOOKUP(A53,BASE_558!D:R,13,FALSE)/1000,"")</f>
        <v/>
      </c>
      <c r="FH53" s="328" t="str">
        <f>IFERROR(VLOOKUP(A53,BASE_558!D:R,15,FALSE)/1000,"")</f>
        <v/>
      </c>
      <c r="FI53" s="547">
        <f t="shared" si="33"/>
        <v>0</v>
      </c>
      <c r="FJ53" s="547">
        <f t="shared" si="34"/>
        <v>0</v>
      </c>
      <c r="FK53" s="540">
        <f t="shared" si="35"/>
        <v>0</v>
      </c>
    </row>
    <row r="54" spans="1:167" s="23" customFormat="1" ht="24" customHeight="1">
      <c r="A54" s="309" t="s">
        <v>811</v>
      </c>
      <c r="B54" s="404" t="s">
        <v>749</v>
      </c>
      <c r="C54" s="404"/>
      <c r="D54" s="338"/>
      <c r="E54" s="378"/>
      <c r="F54" s="5"/>
      <c r="G54" s="310" t="s">
        <v>9</v>
      </c>
      <c r="H54" s="338"/>
      <c r="I54" s="338"/>
      <c r="J54" s="338">
        <v>2021</v>
      </c>
      <c r="K54" s="316"/>
      <c r="L54" s="324"/>
      <c r="M54" s="409"/>
      <c r="N54" s="317" t="str">
        <f t="shared" si="38"/>
        <v/>
      </c>
      <c r="O54" s="317" t="str">
        <f t="shared" si="39"/>
        <v/>
      </c>
      <c r="P54" s="418" t="str">
        <f t="shared" si="45"/>
        <v>N/A</v>
      </c>
      <c r="Q54" s="418" t="str">
        <f t="shared" si="45"/>
        <v>N/A</v>
      </c>
      <c r="R54" s="418" t="str">
        <f t="shared" si="45"/>
        <v>N/A</v>
      </c>
      <c r="S54" s="418" t="str">
        <f t="shared" si="45"/>
        <v>N/A</v>
      </c>
      <c r="T54" s="418" t="str">
        <f t="shared" si="45"/>
        <v>N/A</v>
      </c>
      <c r="U54" s="418" t="str">
        <f t="shared" si="45"/>
        <v>N/A</v>
      </c>
      <c r="V54" s="418" t="str">
        <f t="shared" si="45"/>
        <v>N/A</v>
      </c>
      <c r="W54" s="418" t="str">
        <f t="shared" si="45"/>
        <v>N/A</v>
      </c>
      <c r="X54" s="418" t="str">
        <f t="shared" si="45"/>
        <v>N/A</v>
      </c>
      <c r="Y54" s="418" t="str">
        <f t="shared" si="45"/>
        <v>N/A</v>
      </c>
      <c r="Z54" s="418" t="str">
        <f t="shared" si="45"/>
        <v>N/A</v>
      </c>
      <c r="AA54" s="418" t="str">
        <f t="shared" si="45"/>
        <v>N/A</v>
      </c>
      <c r="AB54" s="317"/>
      <c r="AC54" s="309" t="s">
        <v>3932</v>
      </c>
      <c r="AD54" s="311" t="s">
        <v>224</v>
      </c>
      <c r="AE54" s="379" t="s">
        <v>965</v>
      </c>
      <c r="AF54" s="310" t="s">
        <v>6988</v>
      </c>
      <c r="AG54" s="310" t="s">
        <v>1125</v>
      </c>
      <c r="AH54" s="310" t="s">
        <v>1435</v>
      </c>
      <c r="AI54" s="309" t="s">
        <v>2255</v>
      </c>
      <c r="AJ54" s="6" t="s">
        <v>218</v>
      </c>
      <c r="AK54" s="6" t="str">
        <f t="shared" si="10"/>
        <v>IGUAL</v>
      </c>
      <c r="AL54" s="151" t="str">
        <f>IFERROR(IF(LEFT(A54,3)="LCP",VLOOKUP(A54,STATUS_SAP_LCP!B:C,2,FALSE),VLOOKUP(A54,STATUS_SAP_ICP!B:C,2,FALSE)),"NO BUDGET")</f>
        <v>CLSD BUDG AVAC  //  BREL WPLI</v>
      </c>
      <c r="AM54" s="6" t="str">
        <f t="shared" si="44"/>
        <v>CLSD</v>
      </c>
      <c r="AN54" s="282" t="s">
        <v>2651</v>
      </c>
      <c r="AO54" s="562">
        <v>1</v>
      </c>
      <c r="AP54" s="499" t="s">
        <v>9607</v>
      </c>
      <c r="AQ54" s="464"/>
      <c r="AR54" s="460"/>
      <c r="AS54" s="56"/>
      <c r="AT54" s="185"/>
      <c r="AU54" s="318">
        <v>1.1380599999999927</v>
      </c>
      <c r="AV54" s="223">
        <v>-1.1380599999999998</v>
      </c>
      <c r="AW54" s="318">
        <v>0</v>
      </c>
      <c r="AX54" s="223">
        <v>0</v>
      </c>
      <c r="AY54" s="318">
        <f t="shared" si="40"/>
        <v>0</v>
      </c>
      <c r="AZ54" s="223"/>
      <c r="BA54" s="318"/>
      <c r="BB54" s="519">
        <f t="shared" si="41"/>
        <v>0</v>
      </c>
      <c r="BC54" s="518">
        <v>0</v>
      </c>
      <c r="BD54" s="518">
        <v>0</v>
      </c>
      <c r="BE54" s="518">
        <v>0</v>
      </c>
      <c r="BF54" s="518">
        <v>0</v>
      </c>
      <c r="BG54" s="518">
        <v>0</v>
      </c>
      <c r="BH54" s="518">
        <v>0</v>
      </c>
      <c r="BI54" s="518">
        <v>0</v>
      </c>
      <c r="BJ54" s="518">
        <v>0</v>
      </c>
      <c r="BK54" s="518">
        <v>0</v>
      </c>
      <c r="BL54" s="518">
        <v>0</v>
      </c>
      <c r="BM54" s="518">
        <v>0</v>
      </c>
      <c r="BN54" s="518">
        <v>0</v>
      </c>
      <c r="BO54" s="367">
        <f t="shared" si="14"/>
        <v>0</v>
      </c>
      <c r="BP54" s="421">
        <v>0</v>
      </c>
      <c r="BQ54" s="422">
        <v>0</v>
      </c>
      <c r="BR54" s="423">
        <f>IFERROR(IF(LEFT($A54,3)="Lcp",SUMIFS('BASE-LCP'!$K:$K,'BASE-LCP'!$A:$A,Capex!$A32,'BASE-LCP'!$B:$B,"janeiro")/1000,IF(LEFT($A54,3)="icp",SUMIFS('BASE-ICP'!$K:$K,'BASE-ICP'!$A:$A,Capex!$A32,'BASE-ICP'!$B:$B,"janeiro")/1000,"")),"")</f>
        <v>0</v>
      </c>
      <c r="BS54" s="427">
        <v>0</v>
      </c>
      <c r="BT54" s="372">
        <v>0</v>
      </c>
      <c r="BU54" s="422">
        <v>0</v>
      </c>
      <c r="BV54" s="423">
        <f>IFERROR(IF(LEFT($A54,3)="Lcp",SUMIFS('BASE-LCP'!$K:$K,'BASE-LCP'!$A:$A,Capex!$A32,'BASE-LCP'!$B:$B,"fevereiro")/1000,IF(LEFT($A54,3)="icp",SUMIFS('BASE-ICP'!$K:$K,'BASE-ICP'!$A:$A,Capex!$A32,'BASE-ICP'!$B:$B,"fevereiro")/1000,"")),"")</f>
        <v>0</v>
      </c>
      <c r="BW54" s="427">
        <v>0</v>
      </c>
      <c r="BX54" s="372">
        <v>0</v>
      </c>
      <c r="BY54" s="422">
        <v>0</v>
      </c>
      <c r="BZ54" s="423">
        <f>IFERROR(IF(LEFT($A54,3)="Lcp",SUMIFS('BASE-LCP'!$K:$K,'BASE-LCP'!$A:$A,Capex!$A32,'BASE-LCP'!$B:$B,"março")/1000,IF(LEFT($A54,3)="icp",SUMIFS('BASE-ICP'!$K:$K,'BASE-ICP'!$A:$A,Capex!$A32,'BASE-ICP'!$B:$B,"março")/1000,"")),"")</f>
        <v>0</v>
      </c>
      <c r="CA54" s="427">
        <v>0</v>
      </c>
      <c r="CB54" s="372">
        <v>0</v>
      </c>
      <c r="CC54" s="422"/>
      <c r="CD54" s="423">
        <f>IFERROR(IF(LEFT($A54,3)="Lcp",SUMIFS('BASE-LCP'!$K:$K,'BASE-LCP'!$A:$A,Capex!$A32,'BASE-LCP'!$B:$B,"abril")/1000,IF(LEFT($A54,3)="icp",SUMIFS('BASE-ICP'!$K:$K,'BASE-ICP'!$A:$A,Capex!$A32,'BASE-ICP'!$B:$B,"abril")/1000,"")),"")</f>
        <v>0</v>
      </c>
      <c r="CE54" s="427">
        <v>0</v>
      </c>
      <c r="CF54" s="372">
        <v>0</v>
      </c>
      <c r="CG54" s="422">
        <f t="shared" si="42"/>
        <v>0</v>
      </c>
      <c r="CH54" s="423">
        <v>0</v>
      </c>
      <c r="CI54" s="427">
        <v>0</v>
      </c>
      <c r="CJ54" s="372">
        <v>0</v>
      </c>
      <c r="CK54" s="419"/>
      <c r="CL54" s="423">
        <f>IFERROR(IF(LEFT($A54,3)="Lcp",SUMIFS('BASE-LCP'!$K:$K,'BASE-LCP'!$A:$A,Capex!$A32,'BASE-LCP'!$B:$B,"junho")/1000,IF(LEFT($A54,3)="icp",SUMIFS('BASE-ICP'!$K:$K,'BASE-ICP'!$A:$A,Capex!$A32,'BASE-ICP'!$B:$B,"junho")/1000,"")),"")</f>
        <v>0</v>
      </c>
      <c r="CM54" s="427">
        <v>0</v>
      </c>
      <c r="CN54" s="372"/>
      <c r="CO54" s="419"/>
      <c r="CP54" s="423">
        <f>IFERROR(IF(LEFT($A54,3)="Lcp",SUMIFS('BASE-LCP'!$K:$K,'BASE-LCP'!$A:$A,Capex!$A32,'BASE-LCP'!$B:$B,"julho")/1000,IF(LEFT($A54,3)="icp",SUMIFS('BASE-ICP'!$K:$K,'BASE-ICP'!$A:$A,Capex!$A32,'BASE-ICP'!$B:$B,"julho")/1000,"")),"")</f>
        <v>0</v>
      </c>
      <c r="CQ54" s="427">
        <v>0</v>
      </c>
      <c r="CR54" s="372"/>
      <c r="CS54" s="419"/>
      <c r="CT54" s="423">
        <f>IFERROR(IF(LEFT($A54,3)="Lcp",SUMIFS('BASE-LCP'!$K:$K,'BASE-LCP'!$A:$A,Capex!$A32,'BASE-LCP'!$B:$B,"agosto")/1000,IF(LEFT($A54,3)="icp",SUMIFS('BASE-ICP'!$K:$K,'BASE-ICP'!$A:$A,Capex!$A32,'BASE-ICP'!$B:$B,"agosto")/1000,"")),"")</f>
        <v>0</v>
      </c>
      <c r="CU54" s="427">
        <v>0</v>
      </c>
      <c r="CV54" s="372"/>
      <c r="CW54" s="419"/>
      <c r="CX54" s="423">
        <f>IFERROR(IF(LEFT($A54,3)="Lcp",SUMIFS('BASE-LCP'!$K:$K,'BASE-LCP'!$A:$A,Capex!$A32,'BASE-LCP'!$B:$B,"setembro")/1000,IF(LEFT($A54,3)="icp",SUMIFS('BASE-ICP'!$K:$K,'BASE-ICP'!$A:$A,Capex!$A32,'BASE-ICP'!$B:$B,"setembro")/1000,"")),"")</f>
        <v>0</v>
      </c>
      <c r="CY54" s="427">
        <v>0</v>
      </c>
      <c r="CZ54" s="372"/>
      <c r="DA54" s="419"/>
      <c r="DB54" s="423">
        <f>IFERROR(IF(LEFT($A54,3)="Lcp",SUMIFS('BASE-LCP'!$K:$K,'BASE-LCP'!$A:$A,Capex!$A32,'BASE-LCP'!$B:$B,"outubro")/1000,IF(LEFT($A54,3)="icp",SUMIFS('BASE-ICP'!$K:$K,'BASE-ICP'!$A:$A,Capex!$A32,'BASE-ICP'!$B:$B,"outubro")/1000,"")),"")</f>
        <v>0</v>
      </c>
      <c r="DC54" s="427">
        <v>0</v>
      </c>
      <c r="DD54" s="372"/>
      <c r="DE54" s="419"/>
      <c r="DF54" s="423">
        <f>IFERROR(IF(LEFT($A54,3)="Lcp",SUMIFS('BASE-LCP'!$K:$K,'BASE-LCP'!$A:$A,Capex!$A32,'BASE-LCP'!$B:$B,"novembro")/1000,IF(LEFT($A54,3)="icp",SUMIFS('BASE-ICP'!$K:$K,'BASE-ICP'!$A:$A,Capex!$A32,'BASE-ICP'!$B:$B,"novembro")/1000,"")),"")</f>
        <v>0</v>
      </c>
      <c r="DG54" s="427">
        <v>0</v>
      </c>
      <c r="DH54" s="372"/>
      <c r="DI54" s="419"/>
      <c r="DJ54" s="423">
        <f>IFERROR(IF(LEFT($A54,3)="Lcp",SUMIFS('BASE-LCP'!$K:$K,'BASE-LCP'!$A:$A,Capex!$A32,'BASE-LCP'!$B:$B,"dezembro")/1000,IF(LEFT($A54,3)="icp",SUMIFS('BASE-ICP'!$K:$K,'BASE-ICP'!$A:$A,Capex!$A32,'BASE-ICP'!$B:$B,"dezembro")/1000,"")),"")</f>
        <v>0</v>
      </c>
      <c r="DK54" s="427">
        <v>0</v>
      </c>
      <c r="DL54" s="452">
        <f t="shared" si="15"/>
        <v>0</v>
      </c>
      <c r="DM54" s="374"/>
      <c r="DN54" s="374">
        <v>0</v>
      </c>
      <c r="DO54" s="374"/>
      <c r="DP54" s="374"/>
      <c r="DQ54" s="374"/>
      <c r="DR54" s="374"/>
      <c r="DS54" s="374"/>
      <c r="DT54" s="374"/>
      <c r="DU54" s="374"/>
      <c r="DV54" s="374"/>
      <c r="DW54" s="374"/>
      <c r="DX54" s="374"/>
      <c r="DY54" s="450"/>
      <c r="DZ54" s="374">
        <f t="shared" si="16"/>
        <v>0</v>
      </c>
      <c r="EA54" s="216">
        <f t="shared" si="17"/>
        <v>0</v>
      </c>
      <c r="EB54" s="320">
        <f t="shared" si="18"/>
        <v>0</v>
      </c>
      <c r="EC54" s="241">
        <f t="shared" si="19"/>
        <v>0</v>
      </c>
      <c r="ED54" s="241">
        <f t="shared" si="20"/>
        <v>0</v>
      </c>
      <c r="EE54" s="241">
        <f t="shared" si="21"/>
        <v>0</v>
      </c>
      <c r="EF54" s="241">
        <f t="shared" si="22"/>
        <v>0</v>
      </c>
      <c r="EG54" s="346">
        <f t="shared" si="23"/>
        <v>0</v>
      </c>
      <c r="EH54" s="445">
        <f t="shared" si="24"/>
        <v>0</v>
      </c>
      <c r="EI54" s="447">
        <f t="shared" si="25"/>
        <v>0</v>
      </c>
      <c r="EJ54" s="364">
        <f t="shared" si="26"/>
        <v>0</v>
      </c>
      <c r="EK54" s="365">
        <f t="shared" si="27"/>
        <v>0</v>
      </c>
      <c r="EL54" s="529">
        <f t="shared" si="28"/>
        <v>0</v>
      </c>
      <c r="EM54" s="530">
        <v>0</v>
      </c>
      <c r="EN54" s="530">
        <v>0</v>
      </c>
      <c r="EO54" s="530">
        <v>0</v>
      </c>
      <c r="EP54" s="530">
        <v>0</v>
      </c>
      <c r="EQ54" s="530">
        <v>0</v>
      </c>
      <c r="ER54" s="530">
        <v>0</v>
      </c>
      <c r="ES54" s="530">
        <v>0</v>
      </c>
      <c r="ET54" s="530">
        <v>0</v>
      </c>
      <c r="EU54" s="530">
        <v>0</v>
      </c>
      <c r="EV54" s="530">
        <v>0</v>
      </c>
      <c r="EW54" s="530">
        <v>0</v>
      </c>
      <c r="EX54" s="530">
        <v>0</v>
      </c>
      <c r="EY54" s="530">
        <f t="shared" si="29"/>
        <v>0</v>
      </c>
      <c r="EZ54" s="530">
        <f t="shared" si="30"/>
        <v>0</v>
      </c>
      <c r="FA54" s="530">
        <f t="shared" si="31"/>
        <v>0</v>
      </c>
      <c r="FB54" s="530">
        <f t="shared" si="32"/>
        <v>0</v>
      </c>
      <c r="FC54" s="384" t="str">
        <f>IFERROR(VLOOKUP(Capex!A32,BASE_558!D:R,8,FALSE)/1000,"")</f>
        <v/>
      </c>
      <c r="FD54" s="328" t="str">
        <f>IFERROR(VLOOKUP(Capex!A32,BASE_558!D:R,9,)/1000,"")</f>
        <v/>
      </c>
      <c r="FE54" s="328">
        <f>IFERROR(IF(LEFT(A54,3)="LCP",(VLOOKUP(Capex!A32,BASE_558!D:R,10,)/1000),SUMIFS('BASE ICP_PO_SC'!F:F,'BASE ICP_PO_SC'!A:A,Capex!A32,'BASE ICP_PO_SC'!E:E,"&lt;&gt;")/1000),"")</f>
        <v>0</v>
      </c>
      <c r="FF54" s="328">
        <f>IFERROR(IF(LEFT(A54,3)="LCP",(VLOOKUP(Capex!A32,BASE_558!D:R,11,)/1000),SUMIFS('BASE ICP_PO_SC'!F:F,'BASE ICP_PO_SC'!A:A,Capex!A32,'BASE ICP_PO_SC'!E:E,"")/1000),"")</f>
        <v>0</v>
      </c>
      <c r="FG54" s="328" t="str">
        <f>IFERROR(VLOOKUP(A54,BASE_558!D:R,13,FALSE)/1000,"")</f>
        <v/>
      </c>
      <c r="FH54" s="328" t="str">
        <f>IFERROR(VLOOKUP(A54,BASE_558!D:R,15,FALSE)/1000,"")</f>
        <v/>
      </c>
      <c r="FI54" s="547">
        <f t="shared" si="33"/>
        <v>0</v>
      </c>
      <c r="FJ54" s="547">
        <f t="shared" si="34"/>
        <v>0</v>
      </c>
      <c r="FK54" s="540">
        <f t="shared" si="35"/>
        <v>0</v>
      </c>
    </row>
    <row r="55" spans="1:167" s="23" customFormat="1" ht="24" customHeight="1">
      <c r="A55" s="309" t="s">
        <v>1113</v>
      </c>
      <c r="B55" s="404" t="s">
        <v>753</v>
      </c>
      <c r="C55" s="404"/>
      <c r="D55" s="338"/>
      <c r="E55" s="378"/>
      <c r="F55" s="5"/>
      <c r="G55" s="310" t="s">
        <v>9</v>
      </c>
      <c r="H55" s="338"/>
      <c r="I55" s="338"/>
      <c r="J55" s="338">
        <v>2021</v>
      </c>
      <c r="K55" s="316"/>
      <c r="L55" s="324"/>
      <c r="M55" s="409"/>
      <c r="N55" s="317" t="str">
        <f t="shared" si="38"/>
        <v/>
      </c>
      <c r="O55" s="317" t="str">
        <f t="shared" si="39"/>
        <v/>
      </c>
      <c r="P55" s="418" t="str">
        <f t="shared" ref="P55:AA64" si="46">IF($N55="","N/A",IF($O55="","N/A",IF(P$2&lt;=$N55,"NÃO",IF($AJ55="REL ","SIM",IF(P$2&lt;$O55,"NÃO",IF($AJ55&lt;&gt;"CLSD","SIM","CRTD"))))))</f>
        <v>N/A</v>
      </c>
      <c r="Q55" s="418" t="str">
        <f t="shared" si="46"/>
        <v>N/A</v>
      </c>
      <c r="R55" s="418" t="str">
        <f t="shared" si="46"/>
        <v>N/A</v>
      </c>
      <c r="S55" s="418" t="str">
        <f t="shared" si="46"/>
        <v>N/A</v>
      </c>
      <c r="T55" s="418" t="str">
        <f t="shared" si="46"/>
        <v>N/A</v>
      </c>
      <c r="U55" s="418" t="str">
        <f t="shared" si="46"/>
        <v>N/A</v>
      </c>
      <c r="V55" s="418" t="str">
        <f t="shared" si="46"/>
        <v>N/A</v>
      </c>
      <c r="W55" s="418" t="str">
        <f t="shared" si="46"/>
        <v>N/A</v>
      </c>
      <c r="X55" s="418" t="str">
        <f t="shared" si="46"/>
        <v>N/A</v>
      </c>
      <c r="Y55" s="418" t="str">
        <f t="shared" si="46"/>
        <v>N/A</v>
      </c>
      <c r="Z55" s="418" t="str">
        <f t="shared" si="46"/>
        <v>N/A</v>
      </c>
      <c r="AA55" s="418" t="str">
        <f t="shared" si="46"/>
        <v>N/A</v>
      </c>
      <c r="AB55" s="317"/>
      <c r="AC55" s="309" t="s">
        <v>3932</v>
      </c>
      <c r="AD55" s="311"/>
      <c r="AE55" s="311"/>
      <c r="AF55" s="310" t="s">
        <v>6988</v>
      </c>
      <c r="AG55" s="310" t="s">
        <v>2238</v>
      </c>
      <c r="AH55" s="310" t="s">
        <v>7032</v>
      </c>
      <c r="AI55" s="309" t="s">
        <v>2255</v>
      </c>
      <c r="AJ55" s="6" t="s">
        <v>6786</v>
      </c>
      <c r="AK55" s="6" t="str">
        <f t="shared" si="10"/>
        <v>IGUAL</v>
      </c>
      <c r="AL55" s="151" t="str">
        <f>IFERROR(IF(LEFT(A55,3)="LCP",VLOOKUP(A55,STATUS_SAP_LCP!B:C,2,FALSE),VLOOKUP(A55,STATUS_SAP_ICP!B:C,2,FALSE)),"NO BUDGET")</f>
        <v>REL  BUDG AVAC  //  BREL WPLI</v>
      </c>
      <c r="AM55" s="6" t="str">
        <f t="shared" si="44"/>
        <v xml:space="preserve">REL </v>
      </c>
      <c r="AN55" s="282" t="s">
        <v>8959</v>
      </c>
      <c r="AO55" s="282"/>
      <c r="AP55" s="499" t="s">
        <v>9616</v>
      </c>
      <c r="AQ55" s="464"/>
      <c r="AR55" s="460"/>
      <c r="AS55" s="56"/>
      <c r="AT55" s="185"/>
      <c r="AU55" s="318">
        <v>3.9968028886505632E-18</v>
      </c>
      <c r="AV55" s="223">
        <v>0</v>
      </c>
      <c r="AW55" s="318">
        <v>0</v>
      </c>
      <c r="AX55" s="223">
        <v>0</v>
      </c>
      <c r="AY55" s="318">
        <f t="shared" si="40"/>
        <v>0</v>
      </c>
      <c r="AZ55" s="223"/>
      <c r="BA55" s="318"/>
      <c r="BB55" s="519">
        <f t="shared" si="41"/>
        <v>0</v>
      </c>
      <c r="BC55" s="518">
        <v>0</v>
      </c>
      <c r="BD55" s="518">
        <v>0</v>
      </c>
      <c r="BE55" s="518">
        <v>0</v>
      </c>
      <c r="BF55" s="518">
        <v>0</v>
      </c>
      <c r="BG55" s="518">
        <v>0</v>
      </c>
      <c r="BH55" s="518">
        <v>0</v>
      </c>
      <c r="BI55" s="518">
        <v>0</v>
      </c>
      <c r="BJ55" s="518">
        <v>0</v>
      </c>
      <c r="BK55" s="518">
        <v>0</v>
      </c>
      <c r="BL55" s="518">
        <v>0</v>
      </c>
      <c r="BM55" s="518">
        <v>0</v>
      </c>
      <c r="BN55" s="518">
        <v>0</v>
      </c>
      <c r="BO55" s="367">
        <f t="shared" si="14"/>
        <v>0</v>
      </c>
      <c r="BP55" s="421">
        <v>0</v>
      </c>
      <c r="BQ55" s="422">
        <v>0</v>
      </c>
      <c r="BR55" s="423">
        <f>IFERROR(IF(LEFT($A55,3)="Lcp",SUMIFS('BASE-LCP'!$K:$K,'BASE-LCP'!$A:$A,Capex!$A33,'BASE-LCP'!$B:$B,"janeiro")/1000,IF(LEFT($A55,3)="icp",SUMIFS('BASE-ICP'!$K:$K,'BASE-ICP'!$A:$A,Capex!$A33,'BASE-ICP'!$B:$B,"janeiro")/1000,"")),"")</f>
        <v>0</v>
      </c>
      <c r="BS55" s="427">
        <v>0</v>
      </c>
      <c r="BT55" s="372">
        <v>0</v>
      </c>
      <c r="BU55" s="422">
        <v>0</v>
      </c>
      <c r="BV55" s="423">
        <f>IFERROR(IF(LEFT($A55,3)="Lcp",SUMIFS('BASE-LCP'!$K:$K,'BASE-LCP'!$A:$A,Capex!$A33,'BASE-LCP'!$B:$B,"fevereiro")/1000,IF(LEFT($A55,3)="icp",SUMIFS('BASE-ICP'!$K:$K,'BASE-ICP'!$A:$A,Capex!$A33,'BASE-ICP'!$B:$B,"fevereiro")/1000,"")),"")</f>
        <v>0</v>
      </c>
      <c r="BW55" s="427">
        <v>0</v>
      </c>
      <c r="BX55" s="372">
        <v>0</v>
      </c>
      <c r="BY55" s="422">
        <v>0</v>
      </c>
      <c r="BZ55" s="423">
        <f>IFERROR(IF(LEFT($A55,3)="Lcp",SUMIFS('BASE-LCP'!$K:$K,'BASE-LCP'!$A:$A,Capex!$A33,'BASE-LCP'!$B:$B,"março")/1000,IF(LEFT($A55,3)="icp",SUMIFS('BASE-ICP'!$K:$K,'BASE-ICP'!$A:$A,Capex!$A33,'BASE-ICP'!$B:$B,"março")/1000,"")),"")</f>
        <v>0</v>
      </c>
      <c r="CA55" s="427">
        <v>0</v>
      </c>
      <c r="CB55" s="372">
        <v>0</v>
      </c>
      <c r="CC55" s="422"/>
      <c r="CD55" s="423">
        <f>IFERROR(IF(LEFT($A55,3)="Lcp",SUMIFS('BASE-LCP'!$K:$K,'BASE-LCP'!$A:$A,Capex!$A33,'BASE-LCP'!$B:$B,"abril")/1000,IF(LEFT($A55,3)="icp",SUMIFS('BASE-ICP'!$K:$K,'BASE-ICP'!$A:$A,Capex!$A33,'BASE-ICP'!$B:$B,"abril")/1000,"")),"")</f>
        <v>0</v>
      </c>
      <c r="CE55" s="427">
        <v>0</v>
      </c>
      <c r="CF55" s="372">
        <v>0</v>
      </c>
      <c r="CG55" s="422">
        <f t="shared" si="42"/>
        <v>0</v>
      </c>
      <c r="CH55" s="423">
        <v>0</v>
      </c>
      <c r="CI55" s="427">
        <v>0</v>
      </c>
      <c r="CJ55" s="372">
        <v>0</v>
      </c>
      <c r="CK55" s="419"/>
      <c r="CL55" s="423">
        <f>IFERROR(IF(LEFT($A55,3)="Lcp",SUMIFS('BASE-LCP'!$K:$K,'BASE-LCP'!$A:$A,Capex!$A33,'BASE-LCP'!$B:$B,"junho")/1000,IF(LEFT($A55,3)="icp",SUMIFS('BASE-ICP'!$K:$K,'BASE-ICP'!$A:$A,Capex!$A33,'BASE-ICP'!$B:$B,"junho")/1000,"")),"")</f>
        <v>0</v>
      </c>
      <c r="CM55" s="427">
        <v>0</v>
      </c>
      <c r="CN55" s="372"/>
      <c r="CO55" s="419"/>
      <c r="CP55" s="423">
        <f>IFERROR(IF(LEFT($A55,3)="Lcp",SUMIFS('BASE-LCP'!$K:$K,'BASE-LCP'!$A:$A,Capex!$A33,'BASE-LCP'!$B:$B,"julho")/1000,IF(LEFT($A55,3)="icp",SUMIFS('BASE-ICP'!$K:$K,'BASE-ICP'!$A:$A,Capex!$A33,'BASE-ICP'!$B:$B,"julho")/1000,"")),"")</f>
        <v>0</v>
      </c>
      <c r="CQ55" s="427">
        <v>0</v>
      </c>
      <c r="CR55" s="372"/>
      <c r="CS55" s="419"/>
      <c r="CT55" s="423">
        <f>IFERROR(IF(LEFT($A55,3)="Lcp",SUMIFS('BASE-LCP'!$K:$K,'BASE-LCP'!$A:$A,Capex!$A33,'BASE-LCP'!$B:$B,"agosto")/1000,IF(LEFT($A55,3)="icp",SUMIFS('BASE-ICP'!$K:$K,'BASE-ICP'!$A:$A,Capex!$A33,'BASE-ICP'!$B:$B,"agosto")/1000,"")),"")</f>
        <v>0</v>
      </c>
      <c r="CU55" s="427">
        <v>0</v>
      </c>
      <c r="CV55" s="372"/>
      <c r="CW55" s="419"/>
      <c r="CX55" s="423">
        <f>IFERROR(IF(LEFT($A55,3)="Lcp",SUMIFS('BASE-LCP'!$K:$K,'BASE-LCP'!$A:$A,Capex!$A33,'BASE-LCP'!$B:$B,"setembro")/1000,IF(LEFT($A55,3)="icp",SUMIFS('BASE-ICP'!$K:$K,'BASE-ICP'!$A:$A,Capex!$A33,'BASE-ICP'!$B:$B,"setembro")/1000,"")),"")</f>
        <v>0</v>
      </c>
      <c r="CY55" s="427">
        <v>0</v>
      </c>
      <c r="CZ55" s="372"/>
      <c r="DA55" s="419"/>
      <c r="DB55" s="423">
        <f>IFERROR(IF(LEFT($A55,3)="Lcp",SUMIFS('BASE-LCP'!$K:$K,'BASE-LCP'!$A:$A,Capex!$A33,'BASE-LCP'!$B:$B,"outubro")/1000,IF(LEFT($A55,3)="icp",SUMIFS('BASE-ICP'!$K:$K,'BASE-ICP'!$A:$A,Capex!$A33,'BASE-ICP'!$B:$B,"outubro")/1000,"")),"")</f>
        <v>0</v>
      </c>
      <c r="DC55" s="427">
        <v>0</v>
      </c>
      <c r="DD55" s="372"/>
      <c r="DE55" s="419"/>
      <c r="DF55" s="423">
        <f>IFERROR(IF(LEFT($A55,3)="Lcp",SUMIFS('BASE-LCP'!$K:$K,'BASE-LCP'!$A:$A,Capex!$A33,'BASE-LCP'!$B:$B,"novembro")/1000,IF(LEFT($A55,3)="icp",SUMIFS('BASE-ICP'!$K:$K,'BASE-ICP'!$A:$A,Capex!$A33,'BASE-ICP'!$B:$B,"novembro")/1000,"")),"")</f>
        <v>0</v>
      </c>
      <c r="DG55" s="427">
        <v>0</v>
      </c>
      <c r="DH55" s="372"/>
      <c r="DI55" s="419"/>
      <c r="DJ55" s="423">
        <f>IFERROR(IF(LEFT($A55,3)="Lcp",SUMIFS('BASE-LCP'!$K:$K,'BASE-LCP'!$A:$A,Capex!$A33,'BASE-LCP'!$B:$B,"dezembro")/1000,IF(LEFT($A55,3)="icp",SUMIFS('BASE-ICP'!$K:$K,'BASE-ICP'!$A:$A,Capex!$A33,'BASE-ICP'!$B:$B,"dezembro")/1000,"")),"")</f>
        <v>0</v>
      </c>
      <c r="DK55" s="427">
        <v>0</v>
      </c>
      <c r="DL55" s="452">
        <f t="shared" si="15"/>
        <v>0</v>
      </c>
      <c r="DM55" s="374"/>
      <c r="DN55" s="374">
        <v>0</v>
      </c>
      <c r="DO55" s="374"/>
      <c r="DP55" s="374"/>
      <c r="DQ55" s="374"/>
      <c r="DR55" s="374"/>
      <c r="DS55" s="374"/>
      <c r="DT55" s="374"/>
      <c r="DU55" s="374"/>
      <c r="DV55" s="374"/>
      <c r="DW55" s="374"/>
      <c r="DX55" s="374"/>
      <c r="DY55" s="450"/>
      <c r="DZ55" s="374">
        <f t="shared" si="16"/>
        <v>0</v>
      </c>
      <c r="EA55" s="216">
        <f t="shared" si="17"/>
        <v>0</v>
      </c>
      <c r="EB55" s="320">
        <f t="shared" si="18"/>
        <v>0</v>
      </c>
      <c r="EC55" s="241">
        <f t="shared" si="19"/>
        <v>0</v>
      </c>
      <c r="ED55" s="241">
        <f t="shared" si="20"/>
        <v>0</v>
      </c>
      <c r="EE55" s="241">
        <f t="shared" si="21"/>
        <v>0</v>
      </c>
      <c r="EF55" s="241">
        <f t="shared" si="22"/>
        <v>0</v>
      </c>
      <c r="EG55" s="346">
        <f t="shared" si="23"/>
        <v>0</v>
      </c>
      <c r="EH55" s="445">
        <f t="shared" si="24"/>
        <v>0</v>
      </c>
      <c r="EI55" s="447">
        <f t="shared" si="25"/>
        <v>0</v>
      </c>
      <c r="EJ55" s="364">
        <f t="shared" si="26"/>
        <v>0</v>
      </c>
      <c r="EK55" s="365">
        <f t="shared" si="27"/>
        <v>0</v>
      </c>
      <c r="EL55" s="529">
        <f t="shared" si="28"/>
        <v>0</v>
      </c>
      <c r="EM55" s="530">
        <v>0</v>
      </c>
      <c r="EN55" s="530">
        <v>0</v>
      </c>
      <c r="EO55" s="530">
        <v>0</v>
      </c>
      <c r="EP55" s="530">
        <v>0</v>
      </c>
      <c r="EQ55" s="530">
        <v>0</v>
      </c>
      <c r="ER55" s="530">
        <v>0</v>
      </c>
      <c r="ES55" s="530">
        <v>0</v>
      </c>
      <c r="ET55" s="530">
        <v>0</v>
      </c>
      <c r="EU55" s="530">
        <v>0</v>
      </c>
      <c r="EV55" s="530">
        <v>0</v>
      </c>
      <c r="EW55" s="530">
        <v>0</v>
      </c>
      <c r="EX55" s="530">
        <v>0</v>
      </c>
      <c r="EY55" s="530">
        <f t="shared" si="29"/>
        <v>0</v>
      </c>
      <c r="EZ55" s="530">
        <f t="shared" si="30"/>
        <v>0</v>
      </c>
      <c r="FA55" s="530">
        <f t="shared" si="31"/>
        <v>0</v>
      </c>
      <c r="FB55" s="530">
        <f t="shared" si="32"/>
        <v>0</v>
      </c>
      <c r="FC55" s="384" t="str">
        <f>IFERROR(VLOOKUP(Capex!A33,BASE_558!D:R,8,FALSE)/1000,"")</f>
        <v/>
      </c>
      <c r="FD55" s="328" t="str">
        <f>IFERROR(VLOOKUP(Capex!A33,BASE_558!D:R,9,)/1000,"")</f>
        <v/>
      </c>
      <c r="FE55" s="328">
        <f>IFERROR(IF(LEFT(A55,3)="LCP",(VLOOKUP(Capex!A33,BASE_558!D:R,10,)/1000),SUMIFS('BASE ICP_PO_SC'!F:F,'BASE ICP_PO_SC'!A:A,Capex!A33,'BASE ICP_PO_SC'!E:E,"&lt;&gt;")/1000),"")</f>
        <v>0</v>
      </c>
      <c r="FF55" s="328">
        <f>IFERROR(IF(LEFT(A55,3)="LCP",(VLOOKUP(Capex!A33,BASE_558!D:R,11,)/1000),SUMIFS('BASE ICP_PO_SC'!F:F,'BASE ICP_PO_SC'!A:A,Capex!A33,'BASE ICP_PO_SC'!E:E,"")/1000),"")</f>
        <v>0</v>
      </c>
      <c r="FG55" s="328" t="str">
        <f>IFERROR(VLOOKUP(A55,BASE_558!D:R,13,FALSE)/1000,"")</f>
        <v/>
      </c>
      <c r="FH55" s="328" t="str">
        <f>IFERROR(VLOOKUP(A55,BASE_558!D:R,15,FALSE)/1000,"")</f>
        <v/>
      </c>
      <c r="FI55" s="547">
        <f t="shared" si="33"/>
        <v>0</v>
      </c>
      <c r="FJ55" s="547">
        <f t="shared" si="34"/>
        <v>0</v>
      </c>
      <c r="FK55" s="540">
        <f t="shared" si="35"/>
        <v>0</v>
      </c>
    </row>
    <row r="56" spans="1:167" s="23" customFormat="1" ht="24" customHeight="1">
      <c r="A56" s="309" t="s">
        <v>1019</v>
      </c>
      <c r="B56" s="404" t="s">
        <v>807</v>
      </c>
      <c r="C56" s="404"/>
      <c r="D56" s="338"/>
      <c r="E56" s="378"/>
      <c r="F56" s="5"/>
      <c r="G56" s="310" t="s">
        <v>9</v>
      </c>
      <c r="H56" s="338"/>
      <c r="I56" s="338"/>
      <c r="J56" s="338">
        <v>2021</v>
      </c>
      <c r="K56" s="316"/>
      <c r="L56" s="324"/>
      <c r="M56" s="409"/>
      <c r="N56" s="317" t="str">
        <f t="shared" si="38"/>
        <v/>
      </c>
      <c r="O56" s="317" t="str">
        <f t="shared" si="39"/>
        <v/>
      </c>
      <c r="P56" s="418" t="str">
        <f t="shared" si="46"/>
        <v>N/A</v>
      </c>
      <c r="Q56" s="418" t="str">
        <f t="shared" si="46"/>
        <v>N/A</v>
      </c>
      <c r="R56" s="418" t="str">
        <f t="shared" si="46"/>
        <v>N/A</v>
      </c>
      <c r="S56" s="418" t="str">
        <f t="shared" si="46"/>
        <v>N/A</v>
      </c>
      <c r="T56" s="418" t="str">
        <f t="shared" si="46"/>
        <v>N/A</v>
      </c>
      <c r="U56" s="418" t="str">
        <f t="shared" si="46"/>
        <v>N/A</v>
      </c>
      <c r="V56" s="418" t="str">
        <f t="shared" si="46"/>
        <v>N/A</v>
      </c>
      <c r="W56" s="418" t="str">
        <f t="shared" si="46"/>
        <v>N/A</v>
      </c>
      <c r="X56" s="418" t="str">
        <f t="shared" si="46"/>
        <v>N/A</v>
      </c>
      <c r="Y56" s="418" t="str">
        <f t="shared" si="46"/>
        <v>N/A</v>
      </c>
      <c r="Z56" s="418" t="str">
        <f t="shared" si="46"/>
        <v>N/A</v>
      </c>
      <c r="AA56" s="418" t="str">
        <f t="shared" si="46"/>
        <v>N/A</v>
      </c>
      <c r="AB56" s="317"/>
      <c r="AC56" s="309" t="s">
        <v>3932</v>
      </c>
      <c r="AD56" s="311" t="s">
        <v>224</v>
      </c>
      <c r="AE56" s="379" t="s">
        <v>956</v>
      </c>
      <c r="AF56" s="310" t="s">
        <v>6988</v>
      </c>
      <c r="AG56" s="310" t="s">
        <v>2079</v>
      </c>
      <c r="AH56" s="310" t="s">
        <v>2807</v>
      </c>
      <c r="AI56" s="309" t="s">
        <v>183</v>
      </c>
      <c r="AJ56" s="6" t="s">
        <v>6786</v>
      </c>
      <c r="AK56" s="6" t="str">
        <f t="shared" si="10"/>
        <v>IGUAL</v>
      </c>
      <c r="AL56" s="151" t="str">
        <f>IFERROR(IF(LEFT(A56,3)="LCP",VLOOKUP(A56,STATUS_SAP_LCP!B:C,2,FALSE),VLOOKUP(A56,STATUS_SAP_ICP!B:C,2,FALSE)),"NO BUDGET")</f>
        <v>REL  BUDG AVAC  //  BREL WPLI</v>
      </c>
      <c r="AM56" s="6" t="str">
        <f t="shared" si="44"/>
        <v xml:space="preserve">REL </v>
      </c>
      <c r="AN56" s="282" t="s">
        <v>8416</v>
      </c>
      <c r="AO56" s="282"/>
      <c r="AP56" s="499" t="s">
        <v>9616</v>
      </c>
      <c r="AQ56" s="464"/>
      <c r="AR56" s="460"/>
      <c r="AS56" s="56"/>
      <c r="AT56" s="185"/>
      <c r="AU56" s="318">
        <v>581.77236999999991</v>
      </c>
      <c r="AV56" s="223">
        <v>-579.57380000000001</v>
      </c>
      <c r="AW56" s="318">
        <v>3.8690000000016884E-2</v>
      </c>
      <c r="AX56" s="223">
        <v>43.696439999999996</v>
      </c>
      <c r="AY56" s="318">
        <f t="shared" si="40"/>
        <v>-46.017879999999998</v>
      </c>
      <c r="AZ56" s="223"/>
      <c r="BA56" s="318"/>
      <c r="BB56" s="519">
        <f t="shared" si="41"/>
        <v>-2.2999999999999998</v>
      </c>
      <c r="BC56" s="518">
        <v>-2.2999999999999998</v>
      </c>
      <c r="BD56" s="518">
        <v>0</v>
      </c>
      <c r="BE56" s="518">
        <v>0</v>
      </c>
      <c r="BF56" s="518">
        <v>0</v>
      </c>
      <c r="BG56" s="518">
        <v>0</v>
      </c>
      <c r="BH56" s="518">
        <v>0</v>
      </c>
      <c r="BI56" s="518">
        <v>0</v>
      </c>
      <c r="BJ56" s="518">
        <v>0</v>
      </c>
      <c r="BK56" s="518">
        <v>0</v>
      </c>
      <c r="BL56" s="518">
        <v>0</v>
      </c>
      <c r="BM56" s="518">
        <v>0</v>
      </c>
      <c r="BN56" s="518">
        <v>0</v>
      </c>
      <c r="BO56" s="367">
        <f t="shared" si="14"/>
        <v>-46.017879999999998</v>
      </c>
      <c r="BP56" s="421">
        <v>-2.2999999999999998</v>
      </c>
      <c r="BQ56" s="422">
        <v>0</v>
      </c>
      <c r="BR56" s="423">
        <f>IFERROR(IF(LEFT($A56,3)="Lcp",SUMIFS('BASE-LCP'!$K:$K,'BASE-LCP'!$A:$A,Capex!$A34,'BASE-LCP'!$B:$B,"janeiro")/1000,IF(LEFT($A56,3)="icp",SUMIFS('BASE-ICP'!$K:$K,'BASE-ICP'!$A:$A,Capex!$A34,'BASE-ICP'!$B:$B,"janeiro")/1000,"")),"")</f>
        <v>0</v>
      </c>
      <c r="BS56" s="427">
        <v>0</v>
      </c>
      <c r="BT56" s="372">
        <v>-45.9</v>
      </c>
      <c r="BU56" s="422">
        <v>0</v>
      </c>
      <c r="BV56" s="423">
        <f>IFERROR(IF(LEFT($A56,3)="Lcp",SUMIFS('BASE-LCP'!$K:$K,'BASE-LCP'!$A:$A,Capex!$A34,'BASE-LCP'!$B:$B,"fevereiro")/1000,IF(LEFT($A56,3)="icp",SUMIFS('BASE-ICP'!$K:$K,'BASE-ICP'!$A:$A,Capex!$A34,'BASE-ICP'!$B:$B,"fevereiro")/1000,"")),"")</f>
        <v>0</v>
      </c>
      <c r="BW56" s="427">
        <v>0</v>
      </c>
      <c r="BX56" s="372">
        <v>-45.9</v>
      </c>
      <c r="BY56" s="422">
        <v>0</v>
      </c>
      <c r="BZ56" s="423">
        <f>IFERROR(IF(LEFT($A56,3)="Lcp",SUMIFS('BASE-LCP'!$K:$K,'BASE-LCP'!$A:$A,Capex!$A34,'BASE-LCP'!$B:$B,"março")/1000,IF(LEFT($A56,3)="icp",SUMIFS('BASE-ICP'!$K:$K,'BASE-ICP'!$A:$A,Capex!$A34,'BASE-ICP'!$B:$B,"março")/1000,"")),"")</f>
        <v>0</v>
      </c>
      <c r="CA56" s="427">
        <v>0</v>
      </c>
      <c r="CB56" s="372">
        <v>-45.9</v>
      </c>
      <c r="CC56" s="422"/>
      <c r="CD56" s="423">
        <f>IFERROR(IF(LEFT($A56,3)="Lcp",SUMIFS('BASE-LCP'!$K:$K,'BASE-LCP'!$A:$A,Capex!$A34,'BASE-LCP'!$B:$B,"abril")/1000,IF(LEFT($A56,3)="icp",SUMIFS('BASE-ICP'!$K:$K,'BASE-ICP'!$A:$A,Capex!$A34,'BASE-ICP'!$B:$B,"abril")/1000,"")),"")</f>
        <v>0</v>
      </c>
      <c r="CE56" s="427">
        <v>-0.11788</v>
      </c>
      <c r="CF56" s="372">
        <v>-45.9</v>
      </c>
      <c r="CG56" s="422">
        <f t="shared" si="42"/>
        <v>0</v>
      </c>
      <c r="CH56" s="423">
        <v>0</v>
      </c>
      <c r="CI56" s="427">
        <v>0</v>
      </c>
      <c r="CJ56" s="372">
        <v>0</v>
      </c>
      <c r="CK56" s="419"/>
      <c r="CL56" s="423">
        <f>IFERROR(IF(LEFT($A56,3)="Lcp",SUMIFS('BASE-LCP'!$K:$K,'BASE-LCP'!$A:$A,Capex!$A34,'BASE-LCP'!$B:$B,"junho")/1000,IF(LEFT($A56,3)="icp",SUMIFS('BASE-ICP'!$K:$K,'BASE-ICP'!$A:$A,Capex!$A34,'BASE-ICP'!$B:$B,"junho")/1000,"")),"")</f>
        <v>0</v>
      </c>
      <c r="CM56" s="427">
        <v>0</v>
      </c>
      <c r="CN56" s="372"/>
      <c r="CO56" s="419"/>
      <c r="CP56" s="423">
        <f>IFERROR(IF(LEFT($A56,3)="Lcp",SUMIFS('BASE-LCP'!$K:$K,'BASE-LCP'!$A:$A,Capex!$A34,'BASE-LCP'!$B:$B,"julho")/1000,IF(LEFT($A56,3)="icp",SUMIFS('BASE-ICP'!$K:$K,'BASE-ICP'!$A:$A,Capex!$A34,'BASE-ICP'!$B:$B,"julho")/1000,"")),"")</f>
        <v>0</v>
      </c>
      <c r="CQ56" s="427">
        <v>0</v>
      </c>
      <c r="CR56" s="372"/>
      <c r="CS56" s="419"/>
      <c r="CT56" s="423">
        <f>IFERROR(IF(LEFT($A56,3)="Lcp",SUMIFS('BASE-LCP'!$K:$K,'BASE-LCP'!$A:$A,Capex!$A34,'BASE-LCP'!$B:$B,"agosto")/1000,IF(LEFT($A56,3)="icp",SUMIFS('BASE-ICP'!$K:$K,'BASE-ICP'!$A:$A,Capex!$A34,'BASE-ICP'!$B:$B,"agosto")/1000,"")),"")</f>
        <v>0</v>
      </c>
      <c r="CU56" s="427">
        <v>0</v>
      </c>
      <c r="CV56" s="372"/>
      <c r="CW56" s="419"/>
      <c r="CX56" s="423">
        <f>IFERROR(IF(LEFT($A56,3)="Lcp",SUMIFS('BASE-LCP'!$K:$K,'BASE-LCP'!$A:$A,Capex!$A34,'BASE-LCP'!$B:$B,"setembro")/1000,IF(LEFT($A56,3)="icp",SUMIFS('BASE-ICP'!$K:$K,'BASE-ICP'!$A:$A,Capex!$A34,'BASE-ICP'!$B:$B,"setembro")/1000,"")),"")</f>
        <v>0</v>
      </c>
      <c r="CY56" s="427">
        <v>-45.9</v>
      </c>
      <c r="CZ56" s="372"/>
      <c r="DA56" s="419"/>
      <c r="DB56" s="423">
        <f>IFERROR(IF(LEFT($A56,3)="Lcp",SUMIFS('BASE-LCP'!$K:$K,'BASE-LCP'!$A:$A,Capex!$A34,'BASE-LCP'!$B:$B,"outubro")/1000,IF(LEFT($A56,3)="icp",SUMIFS('BASE-ICP'!$K:$K,'BASE-ICP'!$A:$A,Capex!$A34,'BASE-ICP'!$B:$B,"outubro")/1000,"")),"")</f>
        <v>0</v>
      </c>
      <c r="DC56" s="427">
        <v>0</v>
      </c>
      <c r="DD56" s="372"/>
      <c r="DE56" s="419"/>
      <c r="DF56" s="423">
        <f>IFERROR(IF(LEFT($A56,3)="Lcp",SUMIFS('BASE-LCP'!$K:$K,'BASE-LCP'!$A:$A,Capex!$A34,'BASE-LCP'!$B:$B,"novembro")/1000,IF(LEFT($A56,3)="icp",SUMIFS('BASE-ICP'!$K:$K,'BASE-ICP'!$A:$A,Capex!$A34,'BASE-ICP'!$B:$B,"novembro")/1000,"")),"")</f>
        <v>0</v>
      </c>
      <c r="DG56" s="427">
        <v>0</v>
      </c>
      <c r="DH56" s="372"/>
      <c r="DI56" s="419"/>
      <c r="DJ56" s="423">
        <f>IFERROR(IF(LEFT($A56,3)="Lcp",SUMIFS('BASE-LCP'!$K:$K,'BASE-LCP'!$A:$A,Capex!$A34,'BASE-LCP'!$B:$B,"dezembro")/1000,IF(LEFT($A56,3)="icp",SUMIFS('BASE-ICP'!$K:$K,'BASE-ICP'!$A:$A,Capex!$A34,'BASE-ICP'!$B:$B,"dezembro")/1000,"")),"")</f>
        <v>0</v>
      </c>
      <c r="DK56" s="427">
        <v>0</v>
      </c>
      <c r="DL56" s="452">
        <f t="shared" si="15"/>
        <v>0</v>
      </c>
      <c r="DM56" s="374"/>
      <c r="DN56" s="374">
        <v>0</v>
      </c>
      <c r="DO56" s="374"/>
      <c r="DP56" s="374"/>
      <c r="DQ56" s="374"/>
      <c r="DR56" s="374"/>
      <c r="DS56" s="374"/>
      <c r="DT56" s="374"/>
      <c r="DU56" s="374"/>
      <c r="DV56" s="374"/>
      <c r="DW56" s="374"/>
      <c r="DX56" s="374"/>
      <c r="DY56" s="450"/>
      <c r="DZ56" s="374">
        <f t="shared" si="16"/>
        <v>0</v>
      </c>
      <c r="EA56" s="216">
        <f t="shared" si="17"/>
        <v>0</v>
      </c>
      <c r="EB56" s="320">
        <f t="shared" si="18"/>
        <v>0</v>
      </c>
      <c r="EC56" s="241">
        <f t="shared" si="19"/>
        <v>0</v>
      </c>
      <c r="ED56" s="241">
        <f t="shared" si="20"/>
        <v>-0.11788</v>
      </c>
      <c r="EE56" s="241">
        <f t="shared" si="21"/>
        <v>-45.9</v>
      </c>
      <c r="EF56" s="241">
        <f t="shared" si="22"/>
        <v>0</v>
      </c>
      <c r="EG56" s="346">
        <f t="shared" si="23"/>
        <v>-43.717880000000001</v>
      </c>
      <c r="EH56" s="445">
        <f t="shared" si="24"/>
        <v>-45.9</v>
      </c>
      <c r="EI56" s="447">
        <f t="shared" si="25"/>
        <v>0</v>
      </c>
      <c r="EJ56" s="364">
        <f t="shared" si="26"/>
        <v>-0.11788</v>
      </c>
      <c r="EK56" s="365">
        <f t="shared" si="27"/>
        <v>-45.9</v>
      </c>
      <c r="EL56" s="529">
        <f t="shared" si="28"/>
        <v>-46.017879999999998</v>
      </c>
      <c r="EM56" s="530">
        <v>0</v>
      </c>
      <c r="EN56" s="530">
        <v>0</v>
      </c>
      <c r="EO56" s="530">
        <v>0</v>
      </c>
      <c r="EP56" s="530">
        <v>-0.11788</v>
      </c>
      <c r="EQ56" s="530">
        <v>0</v>
      </c>
      <c r="ER56" s="530">
        <v>0</v>
      </c>
      <c r="ES56" s="530">
        <v>0</v>
      </c>
      <c r="ET56" s="530">
        <v>0</v>
      </c>
      <c r="EU56" s="530">
        <v>-45.9</v>
      </c>
      <c r="EV56" s="530">
        <v>0</v>
      </c>
      <c r="EW56" s="530">
        <v>0</v>
      </c>
      <c r="EX56" s="530">
        <v>0</v>
      </c>
      <c r="EY56" s="530">
        <f t="shared" si="29"/>
        <v>0</v>
      </c>
      <c r="EZ56" s="530">
        <f t="shared" si="30"/>
        <v>-0.11788</v>
      </c>
      <c r="FA56" s="530">
        <f t="shared" si="31"/>
        <v>-45.9</v>
      </c>
      <c r="FB56" s="530">
        <f t="shared" si="32"/>
        <v>0</v>
      </c>
      <c r="FC56" s="384" t="str">
        <f>IFERROR(VLOOKUP(Capex!A34,BASE_558!D:R,8,FALSE)/1000,"")</f>
        <v/>
      </c>
      <c r="FD56" s="328" t="str">
        <f>IFERROR(VLOOKUP(Capex!A34,BASE_558!D:R,9,)/1000,"")</f>
        <v/>
      </c>
      <c r="FE56" s="328">
        <f>IFERROR(IF(LEFT(A56,3)="LCP",(VLOOKUP(Capex!A34,BASE_558!D:R,10,)/1000),SUMIFS('BASE ICP_PO_SC'!F:F,'BASE ICP_PO_SC'!A:A,Capex!A34,'BASE ICP_PO_SC'!E:E,"&lt;&gt;")/1000),"")</f>
        <v>0</v>
      </c>
      <c r="FF56" s="328">
        <f>IFERROR(IF(LEFT(A56,3)="LCP",(VLOOKUP(Capex!A34,BASE_558!D:R,11,)/1000),SUMIFS('BASE ICP_PO_SC'!F:F,'BASE ICP_PO_SC'!A:A,Capex!A34,'BASE ICP_PO_SC'!E:E,"")/1000),"")</f>
        <v>0</v>
      </c>
      <c r="FG56" s="328" t="str">
        <f>IFERROR(VLOOKUP(A56,BASE_558!D:R,13,FALSE)/1000,"")</f>
        <v/>
      </c>
      <c r="FH56" s="328" t="str">
        <f>IFERROR(VLOOKUP(A56,BASE_558!D:R,15,FALSE)/1000,"")</f>
        <v/>
      </c>
      <c r="FI56" s="547">
        <f t="shared" si="33"/>
        <v>0</v>
      </c>
      <c r="FJ56" s="547">
        <f t="shared" si="34"/>
        <v>0</v>
      </c>
      <c r="FK56" s="540">
        <f t="shared" si="35"/>
        <v>0</v>
      </c>
    </row>
    <row r="57" spans="1:167" s="23" customFormat="1" ht="24" customHeight="1">
      <c r="A57" s="309" t="s">
        <v>1114</v>
      </c>
      <c r="B57" s="404" t="s">
        <v>1090</v>
      </c>
      <c r="C57" s="404"/>
      <c r="D57" s="338"/>
      <c r="E57" s="378"/>
      <c r="F57" s="5"/>
      <c r="G57" s="310" t="s">
        <v>9</v>
      </c>
      <c r="H57" s="338"/>
      <c r="I57" s="338"/>
      <c r="J57" s="338">
        <v>2021</v>
      </c>
      <c r="K57" s="316"/>
      <c r="L57" s="324"/>
      <c r="M57" s="409"/>
      <c r="N57" s="317" t="str">
        <f t="shared" si="38"/>
        <v/>
      </c>
      <c r="O57" s="317" t="str">
        <f t="shared" si="39"/>
        <v/>
      </c>
      <c r="P57" s="418" t="str">
        <f t="shared" si="46"/>
        <v>N/A</v>
      </c>
      <c r="Q57" s="418" t="str">
        <f t="shared" si="46"/>
        <v>N/A</v>
      </c>
      <c r="R57" s="418" t="str">
        <f t="shared" si="46"/>
        <v>N/A</v>
      </c>
      <c r="S57" s="418" t="str">
        <f t="shared" si="46"/>
        <v>N/A</v>
      </c>
      <c r="T57" s="418" t="str">
        <f t="shared" si="46"/>
        <v>N/A</v>
      </c>
      <c r="U57" s="418" t="str">
        <f t="shared" si="46"/>
        <v>N/A</v>
      </c>
      <c r="V57" s="418" t="str">
        <f t="shared" si="46"/>
        <v>N/A</v>
      </c>
      <c r="W57" s="418" t="str">
        <f t="shared" si="46"/>
        <v>N/A</v>
      </c>
      <c r="X57" s="418" t="str">
        <f t="shared" si="46"/>
        <v>N/A</v>
      </c>
      <c r="Y57" s="418" t="str">
        <f t="shared" si="46"/>
        <v>N/A</v>
      </c>
      <c r="Z57" s="418" t="str">
        <f t="shared" si="46"/>
        <v>N/A</v>
      </c>
      <c r="AA57" s="418" t="str">
        <f t="shared" si="46"/>
        <v>N/A</v>
      </c>
      <c r="AB57" s="317"/>
      <c r="AC57" s="309" t="s">
        <v>3932</v>
      </c>
      <c r="AD57" s="311"/>
      <c r="AE57" s="311"/>
      <c r="AF57" s="310" t="s">
        <v>6988</v>
      </c>
      <c r="AG57" s="310" t="s">
        <v>9083</v>
      </c>
      <c r="AH57" s="310" t="s">
        <v>2808</v>
      </c>
      <c r="AI57" s="309" t="s">
        <v>2255</v>
      </c>
      <c r="AJ57" s="6" t="s">
        <v>218</v>
      </c>
      <c r="AK57" s="6" t="str">
        <f t="shared" si="10"/>
        <v>IGUAL</v>
      </c>
      <c r="AL57" s="151" t="str">
        <f>IFERROR(IF(LEFT(A57,3)="LCP",VLOOKUP(A57,STATUS_SAP_LCP!B:C,2,FALSE),VLOOKUP(A57,STATUS_SAP_ICP!B:C,2,FALSE)),"NO BUDGET")</f>
        <v>CLSD BUDG AVAC  //  BREL WPLI</v>
      </c>
      <c r="AM57" s="6" t="str">
        <f t="shared" si="44"/>
        <v>CLSD</v>
      </c>
      <c r="AN57" s="282"/>
      <c r="AO57" s="562">
        <v>1</v>
      </c>
      <c r="AP57" s="499" t="s">
        <v>9607</v>
      </c>
      <c r="AQ57" s="464"/>
      <c r="AR57" s="460"/>
      <c r="AS57" s="56"/>
      <c r="AT57" s="185"/>
      <c r="AU57" s="318">
        <v>0</v>
      </c>
      <c r="AV57" s="223">
        <v>1.1379786002407855E-15</v>
      </c>
      <c r="AW57" s="318">
        <v>0</v>
      </c>
      <c r="AX57" s="223">
        <v>0</v>
      </c>
      <c r="AY57" s="318">
        <f t="shared" si="40"/>
        <v>0</v>
      </c>
      <c r="AZ57" s="223"/>
      <c r="BA57" s="318"/>
      <c r="BB57" s="519">
        <f t="shared" si="41"/>
        <v>0</v>
      </c>
      <c r="BC57" s="518">
        <v>0</v>
      </c>
      <c r="BD57" s="518">
        <v>0</v>
      </c>
      <c r="BE57" s="518">
        <v>0</v>
      </c>
      <c r="BF57" s="518">
        <v>0</v>
      </c>
      <c r="BG57" s="518">
        <v>0</v>
      </c>
      <c r="BH57" s="518">
        <v>0</v>
      </c>
      <c r="BI57" s="518">
        <v>0</v>
      </c>
      <c r="BJ57" s="518">
        <v>0</v>
      </c>
      <c r="BK57" s="518">
        <v>0</v>
      </c>
      <c r="BL57" s="518">
        <v>0</v>
      </c>
      <c r="BM57" s="518">
        <v>0</v>
      </c>
      <c r="BN57" s="518">
        <v>0</v>
      </c>
      <c r="BO57" s="367">
        <f t="shared" si="14"/>
        <v>0</v>
      </c>
      <c r="BP57" s="421">
        <v>0</v>
      </c>
      <c r="BQ57" s="422">
        <v>0</v>
      </c>
      <c r="BR57" s="423">
        <f>IFERROR(IF(LEFT($A57,3)="Lcp",SUMIFS('BASE-LCP'!$K:$K,'BASE-LCP'!$A:$A,Capex!$A36,'BASE-LCP'!$B:$B,"janeiro")/1000,IF(LEFT($A57,3)="icp",SUMIFS('BASE-ICP'!$K:$K,'BASE-ICP'!$A:$A,Capex!$A36,'BASE-ICP'!$B:$B,"janeiro")/1000,"")),"")</f>
        <v>0</v>
      </c>
      <c r="BS57" s="427">
        <v>0</v>
      </c>
      <c r="BT57" s="372">
        <v>0</v>
      </c>
      <c r="BU57" s="422">
        <v>0</v>
      </c>
      <c r="BV57" s="423">
        <f>IFERROR(IF(LEFT($A57,3)="Lcp",SUMIFS('BASE-LCP'!$K:$K,'BASE-LCP'!$A:$A,Capex!$A36,'BASE-LCP'!$B:$B,"fevereiro")/1000,IF(LEFT($A57,3)="icp",SUMIFS('BASE-ICP'!$K:$K,'BASE-ICP'!$A:$A,Capex!$A36,'BASE-ICP'!$B:$B,"fevereiro")/1000,"")),"")</f>
        <v>0</v>
      </c>
      <c r="BW57" s="427">
        <v>0</v>
      </c>
      <c r="BX57" s="372">
        <v>0</v>
      </c>
      <c r="BY57" s="422">
        <v>0</v>
      </c>
      <c r="BZ57" s="423">
        <f>IFERROR(IF(LEFT($A57,3)="Lcp",SUMIFS('BASE-LCP'!$K:$K,'BASE-LCP'!$A:$A,Capex!$A36,'BASE-LCP'!$B:$B,"março")/1000,IF(LEFT($A57,3)="icp",SUMIFS('BASE-ICP'!$K:$K,'BASE-ICP'!$A:$A,Capex!$A36,'BASE-ICP'!$B:$B,"março")/1000,"")),"")</f>
        <v>0</v>
      </c>
      <c r="CA57" s="427">
        <v>0</v>
      </c>
      <c r="CB57" s="372">
        <v>0</v>
      </c>
      <c r="CC57" s="422"/>
      <c r="CD57" s="423">
        <f>IFERROR(IF(LEFT($A57,3)="Lcp",SUMIFS('BASE-LCP'!$K:$K,'BASE-LCP'!$A:$A,Capex!$A36,'BASE-LCP'!$B:$B,"abril")/1000,IF(LEFT($A57,3)="icp",SUMIFS('BASE-ICP'!$K:$K,'BASE-ICP'!$A:$A,Capex!$A36,'BASE-ICP'!$B:$B,"abril")/1000,"")),"")</f>
        <v>0</v>
      </c>
      <c r="CE57" s="427">
        <v>0</v>
      </c>
      <c r="CF57" s="372">
        <v>0</v>
      </c>
      <c r="CG57" s="422">
        <f t="shared" si="42"/>
        <v>0</v>
      </c>
      <c r="CH57" s="423">
        <v>0</v>
      </c>
      <c r="CI57" s="427">
        <v>0</v>
      </c>
      <c r="CJ57" s="372">
        <v>0</v>
      </c>
      <c r="CK57" s="419"/>
      <c r="CL57" s="423">
        <f>IFERROR(IF(LEFT($A57,3)="Lcp",SUMIFS('BASE-LCP'!$K:$K,'BASE-LCP'!$A:$A,Capex!$A36,'BASE-LCP'!$B:$B,"junho")/1000,IF(LEFT($A57,3)="icp",SUMIFS('BASE-ICP'!$K:$K,'BASE-ICP'!$A:$A,Capex!$A36,'BASE-ICP'!$B:$B,"junho")/1000,"")),"")</f>
        <v>0</v>
      </c>
      <c r="CM57" s="427">
        <v>0</v>
      </c>
      <c r="CN57" s="372"/>
      <c r="CO57" s="419"/>
      <c r="CP57" s="423">
        <f>IFERROR(IF(LEFT($A57,3)="Lcp",SUMIFS('BASE-LCP'!$K:$K,'BASE-LCP'!$A:$A,Capex!$A36,'BASE-LCP'!$B:$B,"julho")/1000,IF(LEFT($A57,3)="icp",SUMIFS('BASE-ICP'!$K:$K,'BASE-ICP'!$A:$A,Capex!$A36,'BASE-ICP'!$B:$B,"julho")/1000,"")),"")</f>
        <v>0</v>
      </c>
      <c r="CQ57" s="427">
        <v>0</v>
      </c>
      <c r="CR57" s="372"/>
      <c r="CS57" s="419"/>
      <c r="CT57" s="423">
        <f>IFERROR(IF(LEFT($A57,3)="Lcp",SUMIFS('BASE-LCP'!$K:$K,'BASE-LCP'!$A:$A,Capex!$A36,'BASE-LCP'!$B:$B,"agosto")/1000,IF(LEFT($A57,3)="icp",SUMIFS('BASE-ICP'!$K:$K,'BASE-ICP'!$A:$A,Capex!$A36,'BASE-ICP'!$B:$B,"agosto")/1000,"")),"")</f>
        <v>0</v>
      </c>
      <c r="CU57" s="427">
        <v>0</v>
      </c>
      <c r="CV57" s="372"/>
      <c r="CW57" s="419"/>
      <c r="CX57" s="423">
        <f>IFERROR(IF(LEFT($A57,3)="Lcp",SUMIFS('BASE-LCP'!$K:$K,'BASE-LCP'!$A:$A,Capex!$A36,'BASE-LCP'!$B:$B,"setembro")/1000,IF(LEFT($A57,3)="icp",SUMIFS('BASE-ICP'!$K:$K,'BASE-ICP'!$A:$A,Capex!$A36,'BASE-ICP'!$B:$B,"setembro")/1000,"")),"")</f>
        <v>0</v>
      </c>
      <c r="CY57" s="427">
        <v>0</v>
      </c>
      <c r="CZ57" s="372"/>
      <c r="DA57" s="419"/>
      <c r="DB57" s="423">
        <f>IFERROR(IF(LEFT($A57,3)="Lcp",SUMIFS('BASE-LCP'!$K:$K,'BASE-LCP'!$A:$A,Capex!$A36,'BASE-LCP'!$B:$B,"outubro")/1000,IF(LEFT($A57,3)="icp",SUMIFS('BASE-ICP'!$K:$K,'BASE-ICP'!$A:$A,Capex!$A36,'BASE-ICP'!$B:$B,"outubro")/1000,"")),"")</f>
        <v>0</v>
      </c>
      <c r="DC57" s="427">
        <v>0</v>
      </c>
      <c r="DD57" s="372"/>
      <c r="DE57" s="419"/>
      <c r="DF57" s="423">
        <f>IFERROR(IF(LEFT($A57,3)="Lcp",SUMIFS('BASE-LCP'!$K:$K,'BASE-LCP'!$A:$A,Capex!$A36,'BASE-LCP'!$B:$B,"novembro")/1000,IF(LEFT($A57,3)="icp",SUMIFS('BASE-ICP'!$K:$K,'BASE-ICP'!$A:$A,Capex!$A36,'BASE-ICP'!$B:$B,"novembro")/1000,"")),"")</f>
        <v>0</v>
      </c>
      <c r="DG57" s="427">
        <v>0</v>
      </c>
      <c r="DH57" s="372"/>
      <c r="DI57" s="419"/>
      <c r="DJ57" s="423">
        <f>IFERROR(IF(LEFT($A57,3)="Lcp",SUMIFS('BASE-LCP'!$K:$K,'BASE-LCP'!$A:$A,Capex!$A36,'BASE-LCP'!$B:$B,"dezembro")/1000,IF(LEFT($A57,3)="icp",SUMIFS('BASE-ICP'!$K:$K,'BASE-ICP'!$A:$A,Capex!$A36,'BASE-ICP'!$B:$B,"dezembro")/1000,"")),"")</f>
        <v>0</v>
      </c>
      <c r="DK57" s="427">
        <v>0</v>
      </c>
      <c r="DL57" s="452">
        <f t="shared" si="15"/>
        <v>0</v>
      </c>
      <c r="DM57" s="374"/>
      <c r="DN57" s="374">
        <v>0</v>
      </c>
      <c r="DO57" s="374"/>
      <c r="DP57" s="374"/>
      <c r="DQ57" s="374"/>
      <c r="DR57" s="374"/>
      <c r="DS57" s="374"/>
      <c r="DT57" s="374"/>
      <c r="DU57" s="374"/>
      <c r="DV57" s="374"/>
      <c r="DW57" s="374"/>
      <c r="DX57" s="374"/>
      <c r="DY57" s="450"/>
      <c r="DZ57" s="374">
        <f t="shared" si="16"/>
        <v>0</v>
      </c>
      <c r="EA57" s="216">
        <f t="shared" si="17"/>
        <v>0</v>
      </c>
      <c r="EB57" s="320">
        <f t="shared" si="18"/>
        <v>0</v>
      </c>
      <c r="EC57" s="241">
        <f t="shared" si="19"/>
        <v>0</v>
      </c>
      <c r="ED57" s="241">
        <f t="shared" si="20"/>
        <v>0</v>
      </c>
      <c r="EE57" s="241">
        <f t="shared" si="21"/>
        <v>0</v>
      </c>
      <c r="EF57" s="241">
        <f t="shared" si="22"/>
        <v>0</v>
      </c>
      <c r="EG57" s="346">
        <f t="shared" si="23"/>
        <v>0</v>
      </c>
      <c r="EH57" s="445">
        <f t="shared" si="24"/>
        <v>0</v>
      </c>
      <c r="EI57" s="447">
        <f t="shared" si="25"/>
        <v>0</v>
      </c>
      <c r="EJ57" s="364">
        <f t="shared" si="26"/>
        <v>0</v>
      </c>
      <c r="EK57" s="365">
        <f t="shared" si="27"/>
        <v>0</v>
      </c>
      <c r="EL57" s="529">
        <f t="shared" si="28"/>
        <v>0</v>
      </c>
      <c r="EM57" s="530">
        <v>0</v>
      </c>
      <c r="EN57" s="530">
        <v>0</v>
      </c>
      <c r="EO57" s="530">
        <v>0</v>
      </c>
      <c r="EP57" s="530">
        <v>0</v>
      </c>
      <c r="EQ57" s="530">
        <v>0</v>
      </c>
      <c r="ER57" s="530">
        <v>0</v>
      </c>
      <c r="ES57" s="530">
        <v>0</v>
      </c>
      <c r="ET57" s="530">
        <v>0</v>
      </c>
      <c r="EU57" s="530">
        <v>0</v>
      </c>
      <c r="EV57" s="530">
        <v>0</v>
      </c>
      <c r="EW57" s="530">
        <v>0</v>
      </c>
      <c r="EX57" s="530">
        <v>0</v>
      </c>
      <c r="EY57" s="530">
        <f t="shared" si="29"/>
        <v>0</v>
      </c>
      <c r="EZ57" s="530">
        <f t="shared" si="30"/>
        <v>0</v>
      </c>
      <c r="FA57" s="530">
        <f t="shared" si="31"/>
        <v>0</v>
      </c>
      <c r="FB57" s="530">
        <f t="shared" si="32"/>
        <v>0</v>
      </c>
      <c r="FC57" s="384" t="str">
        <f>IFERROR(VLOOKUP(Capex!A36,BASE_558!D:R,8,FALSE)/1000,"")</f>
        <v/>
      </c>
      <c r="FD57" s="328" t="str">
        <f>IFERROR(VLOOKUP(Capex!A36,BASE_558!D:R,9,)/1000,"")</f>
        <v/>
      </c>
      <c r="FE57" s="328">
        <f>IFERROR(IF(LEFT(A57,3)="LCP",(VLOOKUP(Capex!A36,BASE_558!D:R,10,)/1000),SUMIFS('BASE ICP_PO_SC'!F:F,'BASE ICP_PO_SC'!A:A,Capex!A36,'BASE ICP_PO_SC'!E:E,"&lt;&gt;")/1000),"")</f>
        <v>0</v>
      </c>
      <c r="FF57" s="328">
        <f>IFERROR(IF(LEFT(A57,3)="LCP",(VLOOKUP(Capex!A36,BASE_558!D:R,11,)/1000),SUMIFS('BASE ICP_PO_SC'!F:F,'BASE ICP_PO_SC'!A:A,Capex!A36,'BASE ICP_PO_SC'!E:E,"")/1000),"")</f>
        <v>0</v>
      </c>
      <c r="FG57" s="328" t="str">
        <f>IFERROR(VLOOKUP(A57,BASE_558!D:R,13,FALSE)/1000,"")</f>
        <v/>
      </c>
      <c r="FH57" s="328" t="str">
        <f>IFERROR(VLOOKUP(A57,BASE_558!D:R,15,FALSE)/1000,"")</f>
        <v/>
      </c>
      <c r="FI57" s="547">
        <f t="shared" si="33"/>
        <v>0</v>
      </c>
      <c r="FJ57" s="547">
        <f t="shared" si="34"/>
        <v>0</v>
      </c>
      <c r="FK57" s="540">
        <f t="shared" si="35"/>
        <v>0</v>
      </c>
    </row>
    <row r="58" spans="1:167" s="23" customFormat="1" ht="24" customHeight="1">
      <c r="A58" s="309" t="s">
        <v>1504</v>
      </c>
      <c r="B58" s="404" t="s">
        <v>857</v>
      </c>
      <c r="C58" s="404"/>
      <c r="D58" s="338"/>
      <c r="E58" s="378"/>
      <c r="F58" s="5"/>
      <c r="G58" s="310" t="s">
        <v>9</v>
      </c>
      <c r="H58" s="338"/>
      <c r="I58" s="338"/>
      <c r="J58" s="338">
        <v>2021</v>
      </c>
      <c r="K58" s="316"/>
      <c r="L58" s="324"/>
      <c r="M58" s="409"/>
      <c r="N58" s="317" t="str">
        <f t="shared" si="38"/>
        <v/>
      </c>
      <c r="O58" s="317" t="str">
        <f t="shared" si="39"/>
        <v/>
      </c>
      <c r="P58" s="418" t="str">
        <f t="shared" si="46"/>
        <v>N/A</v>
      </c>
      <c r="Q58" s="418" t="str">
        <f t="shared" si="46"/>
        <v>N/A</v>
      </c>
      <c r="R58" s="418" t="str">
        <f t="shared" si="46"/>
        <v>N/A</v>
      </c>
      <c r="S58" s="418" t="str">
        <f t="shared" si="46"/>
        <v>N/A</v>
      </c>
      <c r="T58" s="418" t="str">
        <f t="shared" si="46"/>
        <v>N/A</v>
      </c>
      <c r="U58" s="418" t="str">
        <f t="shared" si="46"/>
        <v>N/A</v>
      </c>
      <c r="V58" s="418" t="str">
        <f t="shared" si="46"/>
        <v>N/A</v>
      </c>
      <c r="W58" s="418" t="str">
        <f t="shared" si="46"/>
        <v>N/A</v>
      </c>
      <c r="X58" s="418" t="str">
        <f t="shared" si="46"/>
        <v>N/A</v>
      </c>
      <c r="Y58" s="418" t="str">
        <f t="shared" si="46"/>
        <v>N/A</v>
      </c>
      <c r="Z58" s="418" t="str">
        <f t="shared" si="46"/>
        <v>N/A</v>
      </c>
      <c r="AA58" s="418" t="str">
        <f t="shared" si="46"/>
        <v>N/A</v>
      </c>
      <c r="AB58" s="317"/>
      <c r="AC58" s="309" t="s">
        <v>3932</v>
      </c>
      <c r="AD58" s="311"/>
      <c r="AE58" s="311"/>
      <c r="AF58" s="310" t="s">
        <v>6988</v>
      </c>
      <c r="AG58" s="310" t="s">
        <v>2238</v>
      </c>
      <c r="AH58" s="310" t="s">
        <v>2809</v>
      </c>
      <c r="AI58" s="381" t="s">
        <v>183</v>
      </c>
      <c r="AJ58" s="6" t="s">
        <v>6786</v>
      </c>
      <c r="AK58" s="6" t="str">
        <f t="shared" si="10"/>
        <v>IGUAL</v>
      </c>
      <c r="AL58" s="151" t="str">
        <f>IFERROR(IF(LEFT(A58,3)="LCP",VLOOKUP(A58,STATUS_SAP_LCP!B:C,2,FALSE),VLOOKUP(A58,STATUS_SAP_ICP!B:C,2,FALSE)),"NO BUDGET")</f>
        <v>REL  BUDG AVAC  //  BREL WPLI</v>
      </c>
      <c r="AM58" s="6" t="str">
        <f t="shared" si="44"/>
        <v xml:space="preserve">REL </v>
      </c>
      <c r="AN58" s="282" t="s">
        <v>8961</v>
      </c>
      <c r="AO58" s="282"/>
      <c r="AP58" s="499" t="s">
        <v>9616</v>
      </c>
      <c r="AQ58" s="464"/>
      <c r="AR58" s="460"/>
      <c r="AS58" s="56"/>
      <c r="AT58" s="185"/>
      <c r="AU58" s="318">
        <v>0</v>
      </c>
      <c r="AV58" s="223">
        <v>0</v>
      </c>
      <c r="AW58" s="318">
        <v>0</v>
      </c>
      <c r="AX58" s="223">
        <v>0</v>
      </c>
      <c r="AY58" s="318">
        <f t="shared" si="40"/>
        <v>0</v>
      </c>
      <c r="AZ58" s="223"/>
      <c r="BA58" s="318"/>
      <c r="BB58" s="519">
        <f t="shared" si="41"/>
        <v>0</v>
      </c>
      <c r="BC58" s="518">
        <v>0</v>
      </c>
      <c r="BD58" s="518">
        <v>0</v>
      </c>
      <c r="BE58" s="518">
        <v>0</v>
      </c>
      <c r="BF58" s="518">
        <v>0</v>
      </c>
      <c r="BG58" s="518">
        <v>0</v>
      </c>
      <c r="BH58" s="518">
        <v>0</v>
      </c>
      <c r="BI58" s="518">
        <v>0</v>
      </c>
      <c r="BJ58" s="518">
        <v>0</v>
      </c>
      <c r="BK58" s="518">
        <v>0</v>
      </c>
      <c r="BL58" s="518">
        <v>0</v>
      </c>
      <c r="BM58" s="518">
        <v>0</v>
      </c>
      <c r="BN58" s="518">
        <v>0</v>
      </c>
      <c r="BO58" s="367">
        <f t="shared" si="14"/>
        <v>0</v>
      </c>
      <c r="BP58" s="421">
        <v>0</v>
      </c>
      <c r="BQ58" s="422">
        <v>0</v>
      </c>
      <c r="BR58" s="423">
        <f>IFERROR(IF(LEFT($A58,3)="Lcp",SUMIFS('BASE-LCP'!$K:$K,'BASE-LCP'!$A:$A,Capex!$A37,'BASE-LCP'!$B:$B,"janeiro")/1000,IF(LEFT($A58,3)="icp",SUMIFS('BASE-ICP'!$K:$K,'BASE-ICP'!$A:$A,Capex!$A37,'BASE-ICP'!$B:$B,"janeiro")/1000,"")),"")</f>
        <v>0</v>
      </c>
      <c r="BS58" s="427">
        <v>0</v>
      </c>
      <c r="BT58" s="372">
        <v>0</v>
      </c>
      <c r="BU58" s="422">
        <v>0</v>
      </c>
      <c r="BV58" s="423">
        <f>IFERROR(IF(LEFT($A58,3)="Lcp",SUMIFS('BASE-LCP'!$K:$K,'BASE-LCP'!$A:$A,Capex!$A37,'BASE-LCP'!$B:$B,"fevereiro")/1000,IF(LEFT($A58,3)="icp",SUMIFS('BASE-ICP'!$K:$K,'BASE-ICP'!$A:$A,Capex!$A37,'BASE-ICP'!$B:$B,"fevereiro")/1000,"")),"")</f>
        <v>0</v>
      </c>
      <c r="BW58" s="427">
        <v>0</v>
      </c>
      <c r="BX58" s="372">
        <v>0</v>
      </c>
      <c r="BY58" s="422">
        <v>0</v>
      </c>
      <c r="BZ58" s="423">
        <f>IFERROR(IF(LEFT($A58,3)="Lcp",SUMIFS('BASE-LCP'!$K:$K,'BASE-LCP'!$A:$A,Capex!$A37,'BASE-LCP'!$B:$B,"março")/1000,IF(LEFT($A58,3)="icp",SUMIFS('BASE-ICP'!$K:$K,'BASE-ICP'!$A:$A,Capex!$A37,'BASE-ICP'!$B:$B,"março")/1000,"")),"")</f>
        <v>0</v>
      </c>
      <c r="CA58" s="427">
        <v>0</v>
      </c>
      <c r="CB58" s="372">
        <v>0</v>
      </c>
      <c r="CC58" s="422"/>
      <c r="CD58" s="423">
        <f>IFERROR(IF(LEFT($A58,3)="Lcp",SUMIFS('BASE-LCP'!$K:$K,'BASE-LCP'!$A:$A,Capex!$A37,'BASE-LCP'!$B:$B,"abril")/1000,IF(LEFT($A58,3)="icp",SUMIFS('BASE-ICP'!$K:$K,'BASE-ICP'!$A:$A,Capex!$A37,'BASE-ICP'!$B:$B,"abril")/1000,"")),"")</f>
        <v>0</v>
      </c>
      <c r="CE58" s="427">
        <v>0</v>
      </c>
      <c r="CF58" s="372">
        <v>0</v>
      </c>
      <c r="CG58" s="422">
        <f t="shared" si="42"/>
        <v>0</v>
      </c>
      <c r="CH58" s="423">
        <v>0</v>
      </c>
      <c r="CI58" s="427">
        <v>0</v>
      </c>
      <c r="CJ58" s="372">
        <v>0</v>
      </c>
      <c r="CK58" s="419"/>
      <c r="CL58" s="423">
        <f>IFERROR(IF(LEFT($A58,3)="Lcp",SUMIFS('BASE-LCP'!$K:$K,'BASE-LCP'!$A:$A,Capex!$A37,'BASE-LCP'!$B:$B,"junho")/1000,IF(LEFT($A58,3)="icp",SUMIFS('BASE-ICP'!$K:$K,'BASE-ICP'!$A:$A,Capex!$A37,'BASE-ICP'!$B:$B,"junho")/1000,"")),"")</f>
        <v>0</v>
      </c>
      <c r="CM58" s="427">
        <v>0</v>
      </c>
      <c r="CN58" s="372"/>
      <c r="CO58" s="419"/>
      <c r="CP58" s="423">
        <f>IFERROR(IF(LEFT($A58,3)="Lcp",SUMIFS('BASE-LCP'!$K:$K,'BASE-LCP'!$A:$A,Capex!$A37,'BASE-LCP'!$B:$B,"julho")/1000,IF(LEFT($A58,3)="icp",SUMIFS('BASE-ICP'!$K:$K,'BASE-ICP'!$A:$A,Capex!$A37,'BASE-ICP'!$B:$B,"julho")/1000,"")),"")</f>
        <v>0</v>
      </c>
      <c r="CQ58" s="427">
        <v>0</v>
      </c>
      <c r="CR58" s="372"/>
      <c r="CS58" s="419"/>
      <c r="CT58" s="423">
        <f>IFERROR(IF(LEFT($A58,3)="Lcp",SUMIFS('BASE-LCP'!$K:$K,'BASE-LCP'!$A:$A,Capex!$A37,'BASE-LCP'!$B:$B,"agosto")/1000,IF(LEFT($A58,3)="icp",SUMIFS('BASE-ICP'!$K:$K,'BASE-ICP'!$A:$A,Capex!$A37,'BASE-ICP'!$B:$B,"agosto")/1000,"")),"")</f>
        <v>0</v>
      </c>
      <c r="CU58" s="427">
        <v>0</v>
      </c>
      <c r="CV58" s="372"/>
      <c r="CW58" s="419"/>
      <c r="CX58" s="423">
        <f>IFERROR(IF(LEFT($A58,3)="Lcp",SUMIFS('BASE-LCP'!$K:$K,'BASE-LCP'!$A:$A,Capex!$A37,'BASE-LCP'!$B:$B,"setembro")/1000,IF(LEFT($A58,3)="icp",SUMIFS('BASE-ICP'!$K:$K,'BASE-ICP'!$A:$A,Capex!$A37,'BASE-ICP'!$B:$B,"setembro")/1000,"")),"")</f>
        <v>0</v>
      </c>
      <c r="CY58" s="427">
        <v>0</v>
      </c>
      <c r="CZ58" s="372"/>
      <c r="DA58" s="419"/>
      <c r="DB58" s="423">
        <f>IFERROR(IF(LEFT($A58,3)="Lcp",SUMIFS('BASE-LCP'!$K:$K,'BASE-LCP'!$A:$A,Capex!$A37,'BASE-LCP'!$B:$B,"outubro")/1000,IF(LEFT($A58,3)="icp",SUMIFS('BASE-ICP'!$K:$K,'BASE-ICP'!$A:$A,Capex!$A37,'BASE-ICP'!$B:$B,"outubro")/1000,"")),"")</f>
        <v>0</v>
      </c>
      <c r="DC58" s="427">
        <v>0</v>
      </c>
      <c r="DD58" s="372"/>
      <c r="DE58" s="419"/>
      <c r="DF58" s="423">
        <f>IFERROR(IF(LEFT($A58,3)="Lcp",SUMIFS('BASE-LCP'!$K:$K,'BASE-LCP'!$A:$A,Capex!$A37,'BASE-LCP'!$B:$B,"novembro")/1000,IF(LEFT($A58,3)="icp",SUMIFS('BASE-ICP'!$K:$K,'BASE-ICP'!$A:$A,Capex!$A37,'BASE-ICP'!$B:$B,"novembro")/1000,"")),"")</f>
        <v>0</v>
      </c>
      <c r="DG58" s="427">
        <v>0</v>
      </c>
      <c r="DH58" s="372"/>
      <c r="DI58" s="419"/>
      <c r="DJ58" s="423">
        <f>IFERROR(IF(LEFT($A58,3)="Lcp",SUMIFS('BASE-LCP'!$K:$K,'BASE-LCP'!$A:$A,Capex!$A37,'BASE-LCP'!$B:$B,"dezembro")/1000,IF(LEFT($A58,3)="icp",SUMIFS('BASE-ICP'!$K:$K,'BASE-ICP'!$A:$A,Capex!$A37,'BASE-ICP'!$B:$B,"dezembro")/1000,"")),"")</f>
        <v>0</v>
      </c>
      <c r="DK58" s="427">
        <v>0</v>
      </c>
      <c r="DL58" s="452">
        <f t="shared" si="15"/>
        <v>0</v>
      </c>
      <c r="DM58" s="374"/>
      <c r="DN58" s="374">
        <v>0</v>
      </c>
      <c r="DO58" s="374"/>
      <c r="DP58" s="374"/>
      <c r="DQ58" s="374"/>
      <c r="DR58" s="374"/>
      <c r="DS58" s="374"/>
      <c r="DT58" s="374"/>
      <c r="DU58" s="374"/>
      <c r="DV58" s="374"/>
      <c r="DW58" s="374"/>
      <c r="DX58" s="374"/>
      <c r="DY58" s="450"/>
      <c r="DZ58" s="374">
        <f t="shared" si="16"/>
        <v>0</v>
      </c>
      <c r="EA58" s="216">
        <f t="shared" si="17"/>
        <v>0</v>
      </c>
      <c r="EB58" s="320">
        <f t="shared" si="18"/>
        <v>0</v>
      </c>
      <c r="EC58" s="241">
        <f t="shared" si="19"/>
        <v>0</v>
      </c>
      <c r="ED58" s="241">
        <f t="shared" si="20"/>
        <v>0</v>
      </c>
      <c r="EE58" s="241">
        <f t="shared" si="21"/>
        <v>0</v>
      </c>
      <c r="EF58" s="241">
        <f t="shared" si="22"/>
        <v>0</v>
      </c>
      <c r="EG58" s="346">
        <f t="shared" si="23"/>
        <v>0</v>
      </c>
      <c r="EH58" s="445">
        <f t="shared" si="24"/>
        <v>0</v>
      </c>
      <c r="EI58" s="447">
        <f t="shared" si="25"/>
        <v>0</v>
      </c>
      <c r="EJ58" s="364">
        <f t="shared" si="26"/>
        <v>0</v>
      </c>
      <c r="EK58" s="365">
        <f t="shared" si="27"/>
        <v>0</v>
      </c>
      <c r="EL58" s="529">
        <f t="shared" si="28"/>
        <v>0</v>
      </c>
      <c r="EM58" s="530">
        <v>0</v>
      </c>
      <c r="EN58" s="530">
        <v>0</v>
      </c>
      <c r="EO58" s="530">
        <v>0</v>
      </c>
      <c r="EP58" s="530">
        <v>0</v>
      </c>
      <c r="EQ58" s="530">
        <v>0</v>
      </c>
      <c r="ER58" s="530">
        <v>0</v>
      </c>
      <c r="ES58" s="530">
        <v>0</v>
      </c>
      <c r="ET58" s="530">
        <v>0</v>
      </c>
      <c r="EU58" s="530">
        <v>0</v>
      </c>
      <c r="EV58" s="530">
        <v>0</v>
      </c>
      <c r="EW58" s="530">
        <v>0</v>
      </c>
      <c r="EX58" s="530">
        <v>0</v>
      </c>
      <c r="EY58" s="530">
        <f t="shared" si="29"/>
        <v>0</v>
      </c>
      <c r="EZ58" s="530">
        <f t="shared" si="30"/>
        <v>0</v>
      </c>
      <c r="FA58" s="530">
        <f t="shared" si="31"/>
        <v>0</v>
      </c>
      <c r="FB58" s="530">
        <f t="shared" si="32"/>
        <v>0</v>
      </c>
      <c r="FC58" s="384" t="str">
        <f>IFERROR(VLOOKUP(Capex!A37,BASE_558!D:R,8,FALSE)/1000,"")</f>
        <v/>
      </c>
      <c r="FD58" s="328" t="str">
        <f>IFERROR(VLOOKUP(Capex!A37,BASE_558!D:R,9,)/1000,"")</f>
        <v/>
      </c>
      <c r="FE58" s="328">
        <f>IFERROR(IF(LEFT(A58,3)="LCP",(VLOOKUP(Capex!A37,BASE_558!D:R,10,)/1000),SUMIFS('BASE ICP_PO_SC'!F:F,'BASE ICP_PO_SC'!A:A,Capex!A37,'BASE ICP_PO_SC'!E:E,"&lt;&gt;")/1000),"")</f>
        <v>0</v>
      </c>
      <c r="FF58" s="328">
        <f>IFERROR(IF(LEFT(A58,3)="LCP",(VLOOKUP(Capex!A37,BASE_558!D:R,11,)/1000),SUMIFS('BASE ICP_PO_SC'!F:F,'BASE ICP_PO_SC'!A:A,Capex!A37,'BASE ICP_PO_SC'!E:E,"")/1000),"")</f>
        <v>0</v>
      </c>
      <c r="FG58" s="328" t="str">
        <f>IFERROR(VLOOKUP(A58,BASE_558!D:R,13,FALSE)/1000,"")</f>
        <v/>
      </c>
      <c r="FH58" s="328" t="str">
        <f>IFERROR(VLOOKUP(A58,BASE_558!D:R,15,FALSE)/1000,"")</f>
        <v/>
      </c>
      <c r="FI58" s="547">
        <f t="shared" si="33"/>
        <v>0</v>
      </c>
      <c r="FJ58" s="547">
        <f t="shared" si="34"/>
        <v>0</v>
      </c>
      <c r="FK58" s="540">
        <f t="shared" si="35"/>
        <v>0</v>
      </c>
    </row>
    <row r="59" spans="1:167" s="23" customFormat="1" ht="24" customHeight="1">
      <c r="A59" s="309" t="s">
        <v>1314</v>
      </c>
      <c r="B59" s="404" t="s">
        <v>1152</v>
      </c>
      <c r="C59" s="404"/>
      <c r="D59" s="338"/>
      <c r="E59" s="378"/>
      <c r="F59" s="5"/>
      <c r="G59" s="310" t="s">
        <v>9</v>
      </c>
      <c r="H59" s="338"/>
      <c r="I59" s="338"/>
      <c r="J59" s="338">
        <v>2021</v>
      </c>
      <c r="K59" s="316"/>
      <c r="L59" s="324"/>
      <c r="M59" s="409"/>
      <c r="N59" s="317" t="str">
        <f t="shared" si="38"/>
        <v/>
      </c>
      <c r="O59" s="317" t="str">
        <f t="shared" si="39"/>
        <v/>
      </c>
      <c r="P59" s="418" t="str">
        <f t="shared" si="46"/>
        <v>N/A</v>
      </c>
      <c r="Q59" s="418" t="str">
        <f t="shared" si="46"/>
        <v>N/A</v>
      </c>
      <c r="R59" s="418" t="str">
        <f t="shared" si="46"/>
        <v>N/A</v>
      </c>
      <c r="S59" s="418" t="str">
        <f t="shared" si="46"/>
        <v>N/A</v>
      </c>
      <c r="T59" s="418" t="str">
        <f t="shared" si="46"/>
        <v>N/A</v>
      </c>
      <c r="U59" s="418" t="str">
        <f t="shared" si="46"/>
        <v>N/A</v>
      </c>
      <c r="V59" s="418" t="str">
        <f t="shared" si="46"/>
        <v>N/A</v>
      </c>
      <c r="W59" s="418" t="str">
        <f t="shared" si="46"/>
        <v>N/A</v>
      </c>
      <c r="X59" s="418" t="str">
        <f t="shared" si="46"/>
        <v>N/A</v>
      </c>
      <c r="Y59" s="418" t="str">
        <f t="shared" si="46"/>
        <v>N/A</v>
      </c>
      <c r="Z59" s="418" t="str">
        <f t="shared" si="46"/>
        <v>N/A</v>
      </c>
      <c r="AA59" s="418" t="str">
        <f t="shared" si="46"/>
        <v>N/A</v>
      </c>
      <c r="AB59" s="317"/>
      <c r="AC59" s="309" t="s">
        <v>3932</v>
      </c>
      <c r="AD59" s="311"/>
      <c r="AE59" s="311"/>
      <c r="AF59" s="310" t="s">
        <v>6988</v>
      </c>
      <c r="AG59" s="310" t="s">
        <v>2079</v>
      </c>
      <c r="AH59" s="310" t="s">
        <v>2810</v>
      </c>
      <c r="AI59" s="381" t="s">
        <v>316</v>
      </c>
      <c r="AJ59" s="6" t="s">
        <v>6786</v>
      </c>
      <c r="AK59" s="6" t="str">
        <f t="shared" si="10"/>
        <v>IGUAL</v>
      </c>
      <c r="AL59" s="151" t="str">
        <f>IFERROR(IF(LEFT(A59,3)="LCP",VLOOKUP(A59,STATUS_SAP_LCP!B:C,2,FALSE),VLOOKUP(A59,STATUS_SAP_ICP!B:C,2,FALSE)),"NO BUDGET")</f>
        <v>REL  BUDG AVAC  //  BREL WPLI</v>
      </c>
      <c r="AM59" s="6" t="str">
        <f t="shared" si="44"/>
        <v xml:space="preserve">REL </v>
      </c>
      <c r="AN59" s="282" t="s">
        <v>8961</v>
      </c>
      <c r="AO59" s="282"/>
      <c r="AP59" s="499" t="s">
        <v>9616</v>
      </c>
      <c r="AQ59" s="464"/>
      <c r="AR59" s="460"/>
      <c r="AS59" s="56"/>
      <c r="AT59" s="185"/>
      <c r="AU59" s="318">
        <v>0</v>
      </c>
      <c r="AV59" s="223">
        <v>125.97000000000001</v>
      </c>
      <c r="AW59" s="318">
        <v>-125.97000000000001</v>
      </c>
      <c r="AX59" s="223">
        <v>0</v>
      </c>
      <c r="AY59" s="318">
        <f t="shared" si="40"/>
        <v>0</v>
      </c>
      <c r="AZ59" s="223"/>
      <c r="BA59" s="318"/>
      <c r="BB59" s="519">
        <f t="shared" si="41"/>
        <v>0</v>
      </c>
      <c r="BC59" s="518">
        <v>0</v>
      </c>
      <c r="BD59" s="518">
        <v>0</v>
      </c>
      <c r="BE59" s="518">
        <v>0</v>
      </c>
      <c r="BF59" s="518">
        <v>0</v>
      </c>
      <c r="BG59" s="518">
        <v>0</v>
      </c>
      <c r="BH59" s="518">
        <v>0</v>
      </c>
      <c r="BI59" s="518">
        <v>0</v>
      </c>
      <c r="BJ59" s="518">
        <v>0</v>
      </c>
      <c r="BK59" s="518">
        <v>0</v>
      </c>
      <c r="BL59" s="518">
        <v>0</v>
      </c>
      <c r="BM59" s="518">
        <v>0</v>
      </c>
      <c r="BN59" s="518">
        <v>0</v>
      </c>
      <c r="BO59" s="367">
        <f t="shared" si="14"/>
        <v>0</v>
      </c>
      <c r="BP59" s="421">
        <v>0</v>
      </c>
      <c r="BQ59" s="422">
        <v>0</v>
      </c>
      <c r="BR59" s="423">
        <f>IFERROR(IF(LEFT($A59,3)="Lcp",SUMIFS('BASE-LCP'!$K:$K,'BASE-LCP'!$A:$A,Capex!$A38,'BASE-LCP'!$B:$B,"janeiro")/1000,IF(LEFT($A59,3)="icp",SUMIFS('BASE-ICP'!$K:$K,'BASE-ICP'!$A:$A,Capex!$A38,'BASE-ICP'!$B:$B,"janeiro")/1000,"")),"")</f>
        <v>0</v>
      </c>
      <c r="BS59" s="427">
        <v>0</v>
      </c>
      <c r="BT59" s="372">
        <v>0</v>
      </c>
      <c r="BU59" s="422">
        <v>0</v>
      </c>
      <c r="BV59" s="423">
        <f>IFERROR(IF(LEFT($A59,3)="Lcp",SUMIFS('BASE-LCP'!$K:$K,'BASE-LCP'!$A:$A,Capex!$A38,'BASE-LCP'!$B:$B,"fevereiro")/1000,IF(LEFT($A59,3)="icp",SUMIFS('BASE-ICP'!$K:$K,'BASE-ICP'!$A:$A,Capex!$A38,'BASE-ICP'!$B:$B,"fevereiro")/1000,"")),"")</f>
        <v>0</v>
      </c>
      <c r="BW59" s="427">
        <v>0</v>
      </c>
      <c r="BX59" s="372">
        <v>0</v>
      </c>
      <c r="BY59" s="422">
        <v>0</v>
      </c>
      <c r="BZ59" s="423">
        <f>IFERROR(IF(LEFT($A59,3)="Lcp",SUMIFS('BASE-LCP'!$K:$K,'BASE-LCP'!$A:$A,Capex!$A38,'BASE-LCP'!$B:$B,"março")/1000,IF(LEFT($A59,3)="icp",SUMIFS('BASE-ICP'!$K:$K,'BASE-ICP'!$A:$A,Capex!$A38,'BASE-ICP'!$B:$B,"março")/1000,"")),"")</f>
        <v>0</v>
      </c>
      <c r="CA59" s="427">
        <v>0</v>
      </c>
      <c r="CB59" s="372">
        <v>0</v>
      </c>
      <c r="CC59" s="422"/>
      <c r="CD59" s="423">
        <f>IFERROR(IF(LEFT($A59,3)="Lcp",SUMIFS('BASE-LCP'!$K:$K,'BASE-LCP'!$A:$A,Capex!$A38,'BASE-LCP'!$B:$B,"abril")/1000,IF(LEFT($A59,3)="icp",SUMIFS('BASE-ICP'!$K:$K,'BASE-ICP'!$A:$A,Capex!$A38,'BASE-ICP'!$B:$B,"abril")/1000,"")),"")</f>
        <v>0</v>
      </c>
      <c r="CE59" s="427">
        <v>0</v>
      </c>
      <c r="CF59" s="372">
        <v>0</v>
      </c>
      <c r="CG59" s="422">
        <f t="shared" si="42"/>
        <v>0</v>
      </c>
      <c r="CH59" s="423">
        <v>0</v>
      </c>
      <c r="CI59" s="427">
        <v>0</v>
      </c>
      <c r="CJ59" s="372">
        <v>0</v>
      </c>
      <c r="CK59" s="419"/>
      <c r="CL59" s="423">
        <f>IFERROR(IF(LEFT($A59,3)="Lcp",SUMIFS('BASE-LCP'!$K:$K,'BASE-LCP'!$A:$A,Capex!$A38,'BASE-LCP'!$B:$B,"junho")/1000,IF(LEFT($A59,3)="icp",SUMIFS('BASE-ICP'!$K:$K,'BASE-ICP'!$A:$A,Capex!$A38,'BASE-ICP'!$B:$B,"junho")/1000,"")),"")</f>
        <v>0</v>
      </c>
      <c r="CM59" s="427">
        <v>0</v>
      </c>
      <c r="CN59" s="372"/>
      <c r="CO59" s="419"/>
      <c r="CP59" s="423">
        <f>IFERROR(IF(LEFT($A59,3)="Lcp",SUMIFS('BASE-LCP'!$K:$K,'BASE-LCP'!$A:$A,Capex!$A38,'BASE-LCP'!$B:$B,"julho")/1000,IF(LEFT($A59,3)="icp",SUMIFS('BASE-ICP'!$K:$K,'BASE-ICP'!$A:$A,Capex!$A38,'BASE-ICP'!$B:$B,"julho")/1000,"")),"")</f>
        <v>0</v>
      </c>
      <c r="CQ59" s="427">
        <v>0</v>
      </c>
      <c r="CR59" s="372"/>
      <c r="CS59" s="419"/>
      <c r="CT59" s="423">
        <f>IFERROR(IF(LEFT($A59,3)="Lcp",SUMIFS('BASE-LCP'!$K:$K,'BASE-LCP'!$A:$A,Capex!$A38,'BASE-LCP'!$B:$B,"agosto")/1000,IF(LEFT($A59,3)="icp",SUMIFS('BASE-ICP'!$K:$K,'BASE-ICP'!$A:$A,Capex!$A38,'BASE-ICP'!$B:$B,"agosto")/1000,"")),"")</f>
        <v>0</v>
      </c>
      <c r="CU59" s="427">
        <v>0</v>
      </c>
      <c r="CV59" s="372"/>
      <c r="CW59" s="419"/>
      <c r="CX59" s="423">
        <f>IFERROR(IF(LEFT($A59,3)="Lcp",SUMIFS('BASE-LCP'!$K:$K,'BASE-LCP'!$A:$A,Capex!$A38,'BASE-LCP'!$B:$B,"setembro")/1000,IF(LEFT($A59,3)="icp",SUMIFS('BASE-ICP'!$K:$K,'BASE-ICP'!$A:$A,Capex!$A38,'BASE-ICP'!$B:$B,"setembro")/1000,"")),"")</f>
        <v>0</v>
      </c>
      <c r="CY59" s="427">
        <v>0</v>
      </c>
      <c r="CZ59" s="372"/>
      <c r="DA59" s="419"/>
      <c r="DB59" s="423">
        <f>IFERROR(IF(LEFT($A59,3)="Lcp",SUMIFS('BASE-LCP'!$K:$K,'BASE-LCP'!$A:$A,Capex!$A38,'BASE-LCP'!$B:$B,"outubro")/1000,IF(LEFT($A59,3)="icp",SUMIFS('BASE-ICP'!$K:$K,'BASE-ICP'!$A:$A,Capex!$A38,'BASE-ICP'!$B:$B,"outubro")/1000,"")),"")</f>
        <v>0</v>
      </c>
      <c r="DC59" s="427">
        <v>0</v>
      </c>
      <c r="DD59" s="372"/>
      <c r="DE59" s="419"/>
      <c r="DF59" s="423">
        <f>IFERROR(IF(LEFT($A59,3)="Lcp",SUMIFS('BASE-LCP'!$K:$K,'BASE-LCP'!$A:$A,Capex!$A38,'BASE-LCP'!$B:$B,"novembro")/1000,IF(LEFT($A59,3)="icp",SUMIFS('BASE-ICP'!$K:$K,'BASE-ICP'!$A:$A,Capex!$A38,'BASE-ICP'!$B:$B,"novembro")/1000,"")),"")</f>
        <v>0</v>
      </c>
      <c r="DG59" s="427">
        <v>0</v>
      </c>
      <c r="DH59" s="372"/>
      <c r="DI59" s="419"/>
      <c r="DJ59" s="423">
        <f>IFERROR(IF(LEFT($A59,3)="Lcp",SUMIFS('BASE-LCP'!$K:$K,'BASE-LCP'!$A:$A,Capex!$A38,'BASE-LCP'!$B:$B,"dezembro")/1000,IF(LEFT($A59,3)="icp",SUMIFS('BASE-ICP'!$K:$K,'BASE-ICP'!$A:$A,Capex!$A38,'BASE-ICP'!$B:$B,"dezembro")/1000,"")),"")</f>
        <v>0</v>
      </c>
      <c r="DK59" s="427">
        <v>0</v>
      </c>
      <c r="DL59" s="452">
        <f t="shared" si="15"/>
        <v>0</v>
      </c>
      <c r="DM59" s="374"/>
      <c r="DN59" s="374">
        <v>0</v>
      </c>
      <c r="DO59" s="374"/>
      <c r="DP59" s="374"/>
      <c r="DQ59" s="374"/>
      <c r="DR59" s="374"/>
      <c r="DS59" s="374"/>
      <c r="DT59" s="374"/>
      <c r="DU59" s="374"/>
      <c r="DV59" s="374"/>
      <c r="DW59" s="374"/>
      <c r="DX59" s="374"/>
      <c r="DY59" s="450"/>
      <c r="DZ59" s="374">
        <f t="shared" si="16"/>
        <v>0</v>
      </c>
      <c r="EA59" s="216">
        <f t="shared" si="17"/>
        <v>0</v>
      </c>
      <c r="EB59" s="320">
        <f t="shared" si="18"/>
        <v>0</v>
      </c>
      <c r="EC59" s="241">
        <f t="shared" si="19"/>
        <v>0</v>
      </c>
      <c r="ED59" s="241">
        <f t="shared" si="20"/>
        <v>0</v>
      </c>
      <c r="EE59" s="241">
        <f t="shared" si="21"/>
        <v>0</v>
      </c>
      <c r="EF59" s="241">
        <f t="shared" si="22"/>
        <v>0</v>
      </c>
      <c r="EG59" s="346">
        <f t="shared" si="23"/>
        <v>0</v>
      </c>
      <c r="EH59" s="445">
        <f t="shared" si="24"/>
        <v>0</v>
      </c>
      <c r="EI59" s="447">
        <f t="shared" si="25"/>
        <v>0</v>
      </c>
      <c r="EJ59" s="364">
        <f t="shared" si="26"/>
        <v>0</v>
      </c>
      <c r="EK59" s="365">
        <f t="shared" si="27"/>
        <v>0</v>
      </c>
      <c r="EL59" s="529">
        <f t="shared" si="28"/>
        <v>0</v>
      </c>
      <c r="EM59" s="530">
        <v>0</v>
      </c>
      <c r="EN59" s="530">
        <v>0</v>
      </c>
      <c r="EO59" s="530">
        <v>0</v>
      </c>
      <c r="EP59" s="530">
        <v>0</v>
      </c>
      <c r="EQ59" s="530">
        <v>0</v>
      </c>
      <c r="ER59" s="530">
        <v>0</v>
      </c>
      <c r="ES59" s="530">
        <v>0</v>
      </c>
      <c r="ET59" s="530">
        <v>0</v>
      </c>
      <c r="EU59" s="530">
        <v>0</v>
      </c>
      <c r="EV59" s="530">
        <v>0</v>
      </c>
      <c r="EW59" s="530">
        <v>0</v>
      </c>
      <c r="EX59" s="530">
        <v>0</v>
      </c>
      <c r="EY59" s="530">
        <f t="shared" si="29"/>
        <v>0</v>
      </c>
      <c r="EZ59" s="530">
        <f t="shared" si="30"/>
        <v>0</v>
      </c>
      <c r="FA59" s="530">
        <f t="shared" si="31"/>
        <v>0</v>
      </c>
      <c r="FB59" s="530">
        <f t="shared" si="32"/>
        <v>0</v>
      </c>
      <c r="FC59" s="384" t="str">
        <f>IFERROR(VLOOKUP(Capex!A38,BASE_558!D:R,8,FALSE)/1000,"")</f>
        <v/>
      </c>
      <c r="FD59" s="328" t="str">
        <f>IFERROR(VLOOKUP(Capex!A38,BASE_558!D:R,9,)/1000,"")</f>
        <v/>
      </c>
      <c r="FE59" s="328">
        <f>IFERROR(IF(LEFT(A59,3)="LCP",(VLOOKUP(Capex!A38,BASE_558!D:R,10,)/1000),SUMIFS('BASE ICP_PO_SC'!F:F,'BASE ICP_PO_SC'!A:A,Capex!A38,'BASE ICP_PO_SC'!E:E,"&lt;&gt;")/1000),"")</f>
        <v>0</v>
      </c>
      <c r="FF59" s="328">
        <f>IFERROR(IF(LEFT(A59,3)="LCP",(VLOOKUP(Capex!A38,BASE_558!D:R,11,)/1000),SUMIFS('BASE ICP_PO_SC'!F:F,'BASE ICP_PO_SC'!A:A,Capex!A38,'BASE ICP_PO_SC'!E:E,"")/1000),"")</f>
        <v>0</v>
      </c>
      <c r="FG59" s="328" t="str">
        <f>IFERROR(VLOOKUP(A59,BASE_558!D:R,13,FALSE)/1000,"")</f>
        <v/>
      </c>
      <c r="FH59" s="328" t="str">
        <f>IFERROR(VLOOKUP(A59,BASE_558!D:R,15,FALSE)/1000,"")</f>
        <v/>
      </c>
      <c r="FI59" s="547">
        <f t="shared" si="33"/>
        <v>0</v>
      </c>
      <c r="FJ59" s="547">
        <f t="shared" si="34"/>
        <v>0</v>
      </c>
      <c r="FK59" s="540">
        <f t="shared" si="35"/>
        <v>0</v>
      </c>
    </row>
    <row r="60" spans="1:167" s="23" customFormat="1" ht="24" customHeight="1">
      <c r="A60" s="309" t="s">
        <v>1506</v>
      </c>
      <c r="B60" s="404" t="s">
        <v>1337</v>
      </c>
      <c r="C60" s="404"/>
      <c r="D60" s="338"/>
      <c r="E60" s="378"/>
      <c r="F60" s="5"/>
      <c r="G60" s="310" t="s">
        <v>9</v>
      </c>
      <c r="H60" s="338"/>
      <c r="I60" s="338"/>
      <c r="J60" s="338">
        <v>2021</v>
      </c>
      <c r="K60" s="316"/>
      <c r="L60" s="324"/>
      <c r="M60" s="409"/>
      <c r="N60" s="317" t="str">
        <f t="shared" si="38"/>
        <v/>
      </c>
      <c r="O60" s="317" t="str">
        <f t="shared" si="39"/>
        <v/>
      </c>
      <c r="P60" s="418" t="str">
        <f t="shared" si="46"/>
        <v>N/A</v>
      </c>
      <c r="Q60" s="418" t="str">
        <f t="shared" si="46"/>
        <v>N/A</v>
      </c>
      <c r="R60" s="418" t="str">
        <f t="shared" si="46"/>
        <v>N/A</v>
      </c>
      <c r="S60" s="418" t="str">
        <f t="shared" si="46"/>
        <v>N/A</v>
      </c>
      <c r="T60" s="418" t="str">
        <f t="shared" si="46"/>
        <v>N/A</v>
      </c>
      <c r="U60" s="418" t="str">
        <f t="shared" si="46"/>
        <v>N/A</v>
      </c>
      <c r="V60" s="418" t="str">
        <f t="shared" si="46"/>
        <v>N/A</v>
      </c>
      <c r="W60" s="418" t="str">
        <f t="shared" si="46"/>
        <v>N/A</v>
      </c>
      <c r="X60" s="418" t="str">
        <f t="shared" si="46"/>
        <v>N/A</v>
      </c>
      <c r="Y60" s="418" t="str">
        <f t="shared" si="46"/>
        <v>N/A</v>
      </c>
      <c r="Z60" s="418" t="str">
        <f t="shared" si="46"/>
        <v>N/A</v>
      </c>
      <c r="AA60" s="418" t="str">
        <f t="shared" si="46"/>
        <v>N/A</v>
      </c>
      <c r="AB60" s="317"/>
      <c r="AC60" s="309" t="s">
        <v>3932</v>
      </c>
      <c r="AD60" s="311" t="s">
        <v>224</v>
      </c>
      <c r="AE60" s="379" t="s">
        <v>965</v>
      </c>
      <c r="AF60" s="310" t="s">
        <v>6988</v>
      </c>
      <c r="AG60" s="310" t="s">
        <v>1125</v>
      </c>
      <c r="AH60" s="310" t="s">
        <v>2811</v>
      </c>
      <c r="AI60" s="381" t="s">
        <v>2255</v>
      </c>
      <c r="AJ60" s="6" t="s">
        <v>218</v>
      </c>
      <c r="AK60" s="6" t="str">
        <f t="shared" si="10"/>
        <v>IGUAL</v>
      </c>
      <c r="AL60" s="151" t="str">
        <f>IFERROR(IF(LEFT(A60,3)="LCP",VLOOKUP(A60,STATUS_SAP_LCP!B:C,2,FALSE),VLOOKUP(A60,STATUS_SAP_ICP!B:C,2,FALSE)),"NO BUDGET")</f>
        <v>CLSD BUDG AVAC  //  BREL WPLI</v>
      </c>
      <c r="AM60" s="6" t="s">
        <v>218</v>
      </c>
      <c r="AN60" s="428" t="s">
        <v>2651</v>
      </c>
      <c r="AO60" s="282"/>
      <c r="AP60" s="499" t="s">
        <v>9616</v>
      </c>
      <c r="AQ60" s="464"/>
      <c r="AR60" s="460"/>
      <c r="AS60" s="56"/>
      <c r="AT60" s="185"/>
      <c r="AU60" s="318">
        <v>103.89472000000001</v>
      </c>
      <c r="AV60" s="223">
        <v>-81.427560000000014</v>
      </c>
      <c r="AW60" s="318">
        <v>-22.46716</v>
      </c>
      <c r="AX60" s="223">
        <v>0</v>
      </c>
      <c r="AY60" s="318">
        <f t="shared" si="40"/>
        <v>0</v>
      </c>
      <c r="AZ60" s="223"/>
      <c r="BA60" s="318"/>
      <c r="BB60" s="519">
        <f t="shared" si="41"/>
        <v>0</v>
      </c>
      <c r="BC60" s="518">
        <v>0</v>
      </c>
      <c r="BD60" s="518">
        <v>0</v>
      </c>
      <c r="BE60" s="518">
        <v>0</v>
      </c>
      <c r="BF60" s="518">
        <v>0</v>
      </c>
      <c r="BG60" s="518">
        <v>0</v>
      </c>
      <c r="BH60" s="518">
        <v>0</v>
      </c>
      <c r="BI60" s="518">
        <v>0</v>
      </c>
      <c r="BJ60" s="518">
        <v>0</v>
      </c>
      <c r="BK60" s="518">
        <v>0</v>
      </c>
      <c r="BL60" s="518">
        <v>0</v>
      </c>
      <c r="BM60" s="518">
        <v>0</v>
      </c>
      <c r="BN60" s="518">
        <v>0</v>
      </c>
      <c r="BO60" s="367">
        <f t="shared" si="14"/>
        <v>0</v>
      </c>
      <c r="BP60" s="421">
        <v>0</v>
      </c>
      <c r="BQ60" s="422">
        <v>0</v>
      </c>
      <c r="BR60" s="423">
        <f>IFERROR(IF(LEFT($A60,3)="Lcp",SUMIFS('BASE-LCP'!$K:$K,'BASE-LCP'!$A:$A,Capex!$A39,'BASE-LCP'!$B:$B,"janeiro")/1000,IF(LEFT($A60,3)="icp",SUMIFS('BASE-ICP'!$K:$K,'BASE-ICP'!$A:$A,Capex!$A39,'BASE-ICP'!$B:$B,"janeiro")/1000,"")),"")</f>
        <v>0</v>
      </c>
      <c r="BS60" s="427">
        <v>0</v>
      </c>
      <c r="BT60" s="372">
        <v>0</v>
      </c>
      <c r="BU60" s="422">
        <v>0</v>
      </c>
      <c r="BV60" s="423">
        <f>IFERROR(IF(LEFT($A60,3)="Lcp",SUMIFS('BASE-LCP'!$K:$K,'BASE-LCP'!$A:$A,Capex!$A39,'BASE-LCP'!$B:$B,"fevereiro")/1000,IF(LEFT($A60,3)="icp",SUMIFS('BASE-ICP'!$K:$K,'BASE-ICP'!$A:$A,Capex!$A39,'BASE-ICP'!$B:$B,"fevereiro")/1000,"")),"")</f>
        <v>0</v>
      </c>
      <c r="BW60" s="427">
        <v>0</v>
      </c>
      <c r="BX60" s="372">
        <v>0</v>
      </c>
      <c r="BY60" s="422">
        <v>0</v>
      </c>
      <c r="BZ60" s="423">
        <f>IFERROR(IF(LEFT($A60,3)="Lcp",SUMIFS('BASE-LCP'!$K:$K,'BASE-LCP'!$A:$A,Capex!$A39,'BASE-LCP'!$B:$B,"março")/1000,IF(LEFT($A60,3)="icp",SUMIFS('BASE-ICP'!$K:$K,'BASE-ICP'!$A:$A,Capex!$A39,'BASE-ICP'!$B:$B,"março")/1000,"")),"")</f>
        <v>0</v>
      </c>
      <c r="CA60" s="427">
        <v>0</v>
      </c>
      <c r="CB60" s="372">
        <v>0</v>
      </c>
      <c r="CC60" s="422"/>
      <c r="CD60" s="423">
        <f>IFERROR(IF(LEFT($A60,3)="Lcp",SUMIFS('BASE-LCP'!$K:$K,'BASE-LCP'!$A:$A,Capex!$A39,'BASE-LCP'!$B:$B,"abril")/1000,IF(LEFT($A60,3)="icp",SUMIFS('BASE-ICP'!$K:$K,'BASE-ICP'!$A:$A,Capex!$A39,'BASE-ICP'!$B:$B,"abril")/1000,"")),"")</f>
        <v>0</v>
      </c>
      <c r="CE60" s="427">
        <v>0</v>
      </c>
      <c r="CF60" s="372">
        <v>0</v>
      </c>
      <c r="CG60" s="422">
        <f t="shared" si="42"/>
        <v>0</v>
      </c>
      <c r="CH60" s="423">
        <v>0</v>
      </c>
      <c r="CI60" s="427">
        <v>0</v>
      </c>
      <c r="CJ60" s="372">
        <v>0</v>
      </c>
      <c r="CK60" s="419"/>
      <c r="CL60" s="423">
        <f>IFERROR(IF(LEFT($A60,3)="Lcp",SUMIFS('BASE-LCP'!$K:$K,'BASE-LCP'!$A:$A,Capex!$A39,'BASE-LCP'!$B:$B,"junho")/1000,IF(LEFT($A60,3)="icp",SUMIFS('BASE-ICP'!$K:$K,'BASE-ICP'!$A:$A,Capex!$A39,'BASE-ICP'!$B:$B,"junho")/1000,"")),"")</f>
        <v>0</v>
      </c>
      <c r="CM60" s="427">
        <v>0</v>
      </c>
      <c r="CN60" s="372"/>
      <c r="CO60" s="419"/>
      <c r="CP60" s="423">
        <f>IFERROR(IF(LEFT($A60,3)="Lcp",SUMIFS('BASE-LCP'!$K:$K,'BASE-LCP'!$A:$A,Capex!$A39,'BASE-LCP'!$B:$B,"julho")/1000,IF(LEFT($A60,3)="icp",SUMIFS('BASE-ICP'!$K:$K,'BASE-ICP'!$A:$A,Capex!$A39,'BASE-ICP'!$B:$B,"julho")/1000,"")),"")</f>
        <v>0</v>
      </c>
      <c r="CQ60" s="427">
        <v>0</v>
      </c>
      <c r="CR60" s="372"/>
      <c r="CS60" s="419"/>
      <c r="CT60" s="423">
        <f>IFERROR(IF(LEFT($A60,3)="Lcp",SUMIFS('BASE-LCP'!$K:$K,'BASE-LCP'!$A:$A,Capex!$A39,'BASE-LCP'!$B:$B,"agosto")/1000,IF(LEFT($A60,3)="icp",SUMIFS('BASE-ICP'!$K:$K,'BASE-ICP'!$A:$A,Capex!$A39,'BASE-ICP'!$B:$B,"agosto")/1000,"")),"")</f>
        <v>0</v>
      </c>
      <c r="CU60" s="427">
        <v>0</v>
      </c>
      <c r="CV60" s="372"/>
      <c r="CW60" s="419"/>
      <c r="CX60" s="423">
        <f>IFERROR(IF(LEFT($A60,3)="Lcp",SUMIFS('BASE-LCP'!$K:$K,'BASE-LCP'!$A:$A,Capex!$A39,'BASE-LCP'!$B:$B,"setembro")/1000,IF(LEFT($A60,3)="icp",SUMIFS('BASE-ICP'!$K:$K,'BASE-ICP'!$A:$A,Capex!$A39,'BASE-ICP'!$B:$B,"setembro")/1000,"")),"")</f>
        <v>0</v>
      </c>
      <c r="CY60" s="427">
        <v>0</v>
      </c>
      <c r="CZ60" s="372"/>
      <c r="DA60" s="419"/>
      <c r="DB60" s="423">
        <f>IFERROR(IF(LEFT($A60,3)="Lcp",SUMIFS('BASE-LCP'!$K:$K,'BASE-LCP'!$A:$A,Capex!$A39,'BASE-LCP'!$B:$B,"outubro")/1000,IF(LEFT($A60,3)="icp",SUMIFS('BASE-ICP'!$K:$K,'BASE-ICP'!$A:$A,Capex!$A39,'BASE-ICP'!$B:$B,"outubro")/1000,"")),"")</f>
        <v>0</v>
      </c>
      <c r="DC60" s="427">
        <v>0</v>
      </c>
      <c r="DD60" s="372"/>
      <c r="DE60" s="419"/>
      <c r="DF60" s="423">
        <f>IFERROR(IF(LEFT($A60,3)="Lcp",SUMIFS('BASE-LCP'!$K:$K,'BASE-LCP'!$A:$A,Capex!$A39,'BASE-LCP'!$B:$B,"novembro")/1000,IF(LEFT($A60,3)="icp",SUMIFS('BASE-ICP'!$K:$K,'BASE-ICP'!$A:$A,Capex!$A39,'BASE-ICP'!$B:$B,"novembro")/1000,"")),"")</f>
        <v>0</v>
      </c>
      <c r="DG60" s="427">
        <v>0</v>
      </c>
      <c r="DH60" s="372"/>
      <c r="DI60" s="419"/>
      <c r="DJ60" s="423">
        <f>IFERROR(IF(LEFT($A60,3)="Lcp",SUMIFS('BASE-LCP'!$K:$K,'BASE-LCP'!$A:$A,Capex!$A39,'BASE-LCP'!$B:$B,"dezembro")/1000,IF(LEFT($A60,3)="icp",SUMIFS('BASE-ICP'!$K:$K,'BASE-ICP'!$A:$A,Capex!$A39,'BASE-ICP'!$B:$B,"dezembro")/1000,"")),"")</f>
        <v>0</v>
      </c>
      <c r="DK60" s="427">
        <v>0</v>
      </c>
      <c r="DL60" s="452">
        <f t="shared" si="15"/>
        <v>0</v>
      </c>
      <c r="DM60" s="374"/>
      <c r="DN60" s="374">
        <v>0</v>
      </c>
      <c r="DO60" s="374"/>
      <c r="DP60" s="374"/>
      <c r="DQ60" s="374"/>
      <c r="DR60" s="374"/>
      <c r="DS60" s="374"/>
      <c r="DT60" s="374"/>
      <c r="DU60" s="374"/>
      <c r="DV60" s="374"/>
      <c r="DW60" s="374"/>
      <c r="DX60" s="374"/>
      <c r="DY60" s="450"/>
      <c r="DZ60" s="374">
        <f t="shared" si="16"/>
        <v>0</v>
      </c>
      <c r="EA60" s="216">
        <f t="shared" si="17"/>
        <v>0</v>
      </c>
      <c r="EB60" s="320">
        <f t="shared" si="18"/>
        <v>0</v>
      </c>
      <c r="EC60" s="241">
        <f t="shared" si="19"/>
        <v>0</v>
      </c>
      <c r="ED60" s="241">
        <f t="shared" si="20"/>
        <v>0</v>
      </c>
      <c r="EE60" s="241">
        <f t="shared" si="21"/>
        <v>0</v>
      </c>
      <c r="EF60" s="241">
        <f t="shared" si="22"/>
        <v>0</v>
      </c>
      <c r="EG60" s="346">
        <f t="shared" si="23"/>
        <v>0</v>
      </c>
      <c r="EH60" s="445">
        <f t="shared" si="24"/>
        <v>0</v>
      </c>
      <c r="EI60" s="447">
        <f t="shared" si="25"/>
        <v>0</v>
      </c>
      <c r="EJ60" s="364">
        <f t="shared" si="26"/>
        <v>0</v>
      </c>
      <c r="EK60" s="365">
        <f t="shared" si="27"/>
        <v>0</v>
      </c>
      <c r="EL60" s="529">
        <f t="shared" si="28"/>
        <v>0</v>
      </c>
      <c r="EM60" s="530">
        <v>0</v>
      </c>
      <c r="EN60" s="530">
        <v>0</v>
      </c>
      <c r="EO60" s="530">
        <v>0</v>
      </c>
      <c r="EP60" s="530">
        <v>0</v>
      </c>
      <c r="EQ60" s="530">
        <v>0</v>
      </c>
      <c r="ER60" s="530">
        <v>0</v>
      </c>
      <c r="ES60" s="530">
        <v>0</v>
      </c>
      <c r="ET60" s="530">
        <v>0</v>
      </c>
      <c r="EU60" s="530">
        <v>0</v>
      </c>
      <c r="EV60" s="530">
        <v>0</v>
      </c>
      <c r="EW60" s="530">
        <v>0</v>
      </c>
      <c r="EX60" s="530">
        <v>0</v>
      </c>
      <c r="EY60" s="530">
        <f t="shared" si="29"/>
        <v>0</v>
      </c>
      <c r="EZ60" s="530">
        <f t="shared" si="30"/>
        <v>0</v>
      </c>
      <c r="FA60" s="530">
        <f t="shared" si="31"/>
        <v>0</v>
      </c>
      <c r="FB60" s="530">
        <f t="shared" si="32"/>
        <v>0</v>
      </c>
      <c r="FC60" s="384" t="str">
        <f>IFERROR(VLOOKUP(Capex!A39,BASE_558!D:R,8,FALSE)/1000,"")</f>
        <v/>
      </c>
      <c r="FD60" s="328" t="str">
        <f>IFERROR(VLOOKUP(Capex!A39,BASE_558!D:R,9,)/1000,"")</f>
        <v/>
      </c>
      <c r="FE60" s="328">
        <f>IFERROR(IF(LEFT(A60,3)="LCP",(VLOOKUP(Capex!A39,BASE_558!D:R,10,)/1000),SUMIFS('BASE ICP_PO_SC'!F:F,'BASE ICP_PO_SC'!A:A,Capex!A39,'BASE ICP_PO_SC'!E:E,"&lt;&gt;")/1000),"")</f>
        <v>0</v>
      </c>
      <c r="FF60" s="328">
        <f>IFERROR(IF(LEFT(A60,3)="LCP",(VLOOKUP(Capex!A39,BASE_558!D:R,11,)/1000),SUMIFS('BASE ICP_PO_SC'!F:F,'BASE ICP_PO_SC'!A:A,Capex!A39,'BASE ICP_PO_SC'!E:E,"")/1000),"")</f>
        <v>0</v>
      </c>
      <c r="FG60" s="328" t="str">
        <f>IFERROR(VLOOKUP(A60,BASE_558!D:R,13,FALSE)/1000,"")</f>
        <v/>
      </c>
      <c r="FH60" s="328" t="str">
        <f>IFERROR(VLOOKUP(A60,BASE_558!D:R,15,FALSE)/1000,"")</f>
        <v/>
      </c>
      <c r="FI60" s="547">
        <f t="shared" si="33"/>
        <v>0</v>
      </c>
      <c r="FJ60" s="547">
        <f t="shared" si="34"/>
        <v>0</v>
      </c>
      <c r="FK60" s="540">
        <f t="shared" si="35"/>
        <v>0</v>
      </c>
    </row>
    <row r="61" spans="1:167" s="23" customFormat="1" ht="24" customHeight="1">
      <c r="A61" s="309" t="s">
        <v>1502</v>
      </c>
      <c r="B61" s="404" t="s">
        <v>1351</v>
      </c>
      <c r="C61" s="404"/>
      <c r="D61" s="338"/>
      <c r="E61" s="378"/>
      <c r="F61" s="5"/>
      <c r="G61" s="310" t="s">
        <v>9</v>
      </c>
      <c r="H61" s="338"/>
      <c r="I61" s="338"/>
      <c r="J61" s="338">
        <v>2021</v>
      </c>
      <c r="K61" s="316"/>
      <c r="L61" s="324"/>
      <c r="M61" s="409"/>
      <c r="N61" s="317" t="str">
        <f t="shared" si="38"/>
        <v/>
      </c>
      <c r="O61" s="317" t="str">
        <f t="shared" si="39"/>
        <v/>
      </c>
      <c r="P61" s="418" t="str">
        <f t="shared" si="46"/>
        <v>N/A</v>
      </c>
      <c r="Q61" s="418" t="str">
        <f t="shared" si="46"/>
        <v>N/A</v>
      </c>
      <c r="R61" s="418" t="str">
        <f t="shared" si="46"/>
        <v>N/A</v>
      </c>
      <c r="S61" s="418" t="str">
        <f t="shared" si="46"/>
        <v>N/A</v>
      </c>
      <c r="T61" s="418" t="str">
        <f t="shared" si="46"/>
        <v>N/A</v>
      </c>
      <c r="U61" s="418" t="str">
        <f t="shared" si="46"/>
        <v>N/A</v>
      </c>
      <c r="V61" s="418" t="str">
        <f t="shared" si="46"/>
        <v>N/A</v>
      </c>
      <c r="W61" s="418" t="str">
        <f t="shared" si="46"/>
        <v>N/A</v>
      </c>
      <c r="X61" s="418" t="str">
        <f t="shared" si="46"/>
        <v>N/A</v>
      </c>
      <c r="Y61" s="418" t="str">
        <f t="shared" si="46"/>
        <v>N/A</v>
      </c>
      <c r="Z61" s="418" t="str">
        <f t="shared" si="46"/>
        <v>N/A</v>
      </c>
      <c r="AA61" s="418" t="str">
        <f t="shared" si="46"/>
        <v>N/A</v>
      </c>
      <c r="AB61" s="317"/>
      <c r="AC61" s="309" t="s">
        <v>3932</v>
      </c>
      <c r="AD61" s="311" t="s">
        <v>5</v>
      </c>
      <c r="AE61" s="311" t="s">
        <v>951</v>
      </c>
      <c r="AF61" s="310" t="s">
        <v>6988</v>
      </c>
      <c r="AG61" s="310" t="s">
        <v>3215</v>
      </c>
      <c r="AH61" s="310" t="s">
        <v>1503</v>
      </c>
      <c r="AI61" s="381" t="s">
        <v>2255</v>
      </c>
      <c r="AJ61" s="6" t="s">
        <v>6786</v>
      </c>
      <c r="AK61" s="6" t="str">
        <f t="shared" si="10"/>
        <v>IGUAL</v>
      </c>
      <c r="AL61" s="151" t="str">
        <f>IFERROR(IF(LEFT(A61,3)="LCP",VLOOKUP(A61,STATUS_SAP_LCP!B:C,2,FALSE),VLOOKUP(A61,STATUS_SAP_ICP!B:C,2,FALSE)),"NO BUDGET")</f>
        <v>REL  BUDG ISBD AVAC  //  BREL WPLI</v>
      </c>
      <c r="AM61" s="6" t="str">
        <f>IF(LEFT(AL61,4)="PREL","REL ",IF(LEFT(AL61,9)="NO BUDGET","NO BUDGET",LEFT(AL61,4)))</f>
        <v xml:space="preserve">REL </v>
      </c>
      <c r="AN61" s="282" t="s">
        <v>8962</v>
      </c>
      <c r="AO61" s="282"/>
      <c r="AP61" s="499" t="s">
        <v>9616</v>
      </c>
      <c r="AQ61" s="464"/>
      <c r="AR61" s="460"/>
      <c r="AS61" s="56"/>
      <c r="AT61" s="185"/>
      <c r="AU61" s="318">
        <v>38.84008</v>
      </c>
      <c r="AV61" s="223">
        <v>-0.65032000000000012</v>
      </c>
      <c r="AW61" s="318">
        <v>-12.050959999999975</v>
      </c>
      <c r="AX61" s="223">
        <v>-0.38574000000000003</v>
      </c>
      <c r="AY61" s="318">
        <f t="shared" si="40"/>
        <v>-25.700000000000003</v>
      </c>
      <c r="AZ61" s="223"/>
      <c r="BA61" s="318"/>
      <c r="BB61" s="519">
        <f t="shared" si="41"/>
        <v>-25.700000000000003</v>
      </c>
      <c r="BC61" s="518">
        <v>0</v>
      </c>
      <c r="BD61" s="518">
        <v>0</v>
      </c>
      <c r="BE61" s="518">
        <v>-25.700000000000003</v>
      </c>
      <c r="BF61" s="518">
        <v>0</v>
      </c>
      <c r="BG61" s="518">
        <v>0</v>
      </c>
      <c r="BH61" s="518">
        <v>0</v>
      </c>
      <c r="BI61" s="518">
        <v>0</v>
      </c>
      <c r="BJ61" s="518">
        <v>0</v>
      </c>
      <c r="BK61" s="518">
        <v>0</v>
      </c>
      <c r="BL61" s="518">
        <v>0</v>
      </c>
      <c r="BM61" s="518">
        <v>0</v>
      </c>
      <c r="BN61" s="518">
        <v>0</v>
      </c>
      <c r="BO61" s="367">
        <f t="shared" si="14"/>
        <v>-25.700000000000003</v>
      </c>
      <c r="BP61" s="421">
        <v>0</v>
      </c>
      <c r="BQ61" s="422">
        <v>0</v>
      </c>
      <c r="BR61" s="423">
        <f>IFERROR(IF(LEFT($A61,3)="Lcp",SUMIFS('BASE-LCP'!$K:$K,'BASE-LCP'!$A:$A,Capex!$A40,'BASE-LCP'!$B:$B,"janeiro")/1000,IF(LEFT($A61,3)="icp",SUMIFS('BASE-ICP'!$K:$K,'BASE-ICP'!$A:$A,Capex!$A40,'BASE-ICP'!$B:$B,"janeiro")/1000,"")),"")</f>
        <v>0</v>
      </c>
      <c r="BS61" s="427">
        <v>0</v>
      </c>
      <c r="BT61" s="372">
        <v>0</v>
      </c>
      <c r="BU61" s="422">
        <v>0</v>
      </c>
      <c r="BV61" s="423">
        <f>IFERROR(IF(LEFT($A61,3)="Lcp",SUMIFS('BASE-LCP'!$K:$K,'BASE-LCP'!$A:$A,Capex!$A40,'BASE-LCP'!$B:$B,"fevereiro")/1000,IF(LEFT($A61,3)="icp",SUMIFS('BASE-ICP'!$K:$K,'BASE-ICP'!$A:$A,Capex!$A40,'BASE-ICP'!$B:$B,"fevereiro")/1000,"")),"")</f>
        <v>0</v>
      </c>
      <c r="BW61" s="427">
        <v>0</v>
      </c>
      <c r="BX61" s="372">
        <v>-25.700000000000003</v>
      </c>
      <c r="BY61" s="422">
        <v>0</v>
      </c>
      <c r="BZ61" s="423">
        <f>IFERROR(IF(LEFT($A61,3)="Lcp",SUMIFS('BASE-LCP'!$K:$K,'BASE-LCP'!$A:$A,Capex!$A40,'BASE-LCP'!$B:$B,"março")/1000,IF(LEFT($A61,3)="icp",SUMIFS('BASE-ICP'!$K:$K,'BASE-ICP'!$A:$A,Capex!$A40,'BASE-ICP'!$B:$B,"março")/1000,"")),"")</f>
        <v>0</v>
      </c>
      <c r="CA61" s="427">
        <v>0</v>
      </c>
      <c r="CB61" s="372">
        <v>-25.700000000000003</v>
      </c>
      <c r="CC61" s="422"/>
      <c r="CD61" s="423">
        <f>IFERROR(IF(LEFT($A61,3)="Lcp",SUMIFS('BASE-LCP'!$K:$K,'BASE-LCP'!$A:$A,Capex!$A40,'BASE-LCP'!$B:$B,"abril")/1000,IF(LEFT($A61,3)="icp",SUMIFS('BASE-ICP'!$K:$K,'BASE-ICP'!$A:$A,Capex!$A40,'BASE-ICP'!$B:$B,"abril")/1000,"")),"")</f>
        <v>0</v>
      </c>
      <c r="CE61" s="427">
        <v>0</v>
      </c>
      <c r="CF61" s="372">
        <v>-25.700000000000003</v>
      </c>
      <c r="CG61" s="422">
        <f t="shared" si="42"/>
        <v>0</v>
      </c>
      <c r="CH61" s="423">
        <v>0</v>
      </c>
      <c r="CI61" s="427">
        <v>0</v>
      </c>
      <c r="CJ61" s="372">
        <v>0</v>
      </c>
      <c r="CK61" s="419"/>
      <c r="CL61" s="423">
        <f>IFERROR(IF(LEFT($A61,3)="Lcp",SUMIFS('BASE-LCP'!$K:$K,'BASE-LCP'!$A:$A,Capex!$A40,'BASE-LCP'!$B:$B,"junho")/1000,IF(LEFT($A61,3)="icp",SUMIFS('BASE-ICP'!$K:$K,'BASE-ICP'!$A:$A,Capex!$A40,'BASE-ICP'!$B:$B,"junho")/1000,"")),"")</f>
        <v>0</v>
      </c>
      <c r="CM61" s="427">
        <v>0</v>
      </c>
      <c r="CN61" s="372"/>
      <c r="CO61" s="419"/>
      <c r="CP61" s="423">
        <f>IFERROR(IF(LEFT($A61,3)="Lcp",SUMIFS('BASE-LCP'!$K:$K,'BASE-LCP'!$A:$A,Capex!$A40,'BASE-LCP'!$B:$B,"julho")/1000,IF(LEFT($A61,3)="icp",SUMIFS('BASE-ICP'!$K:$K,'BASE-ICP'!$A:$A,Capex!$A40,'BASE-ICP'!$B:$B,"julho")/1000,"")),"")</f>
        <v>0</v>
      </c>
      <c r="CQ61" s="427">
        <v>0</v>
      </c>
      <c r="CR61" s="372"/>
      <c r="CS61" s="419"/>
      <c r="CT61" s="423">
        <f>IFERROR(IF(LEFT($A61,3)="Lcp",SUMIFS('BASE-LCP'!$K:$K,'BASE-LCP'!$A:$A,Capex!$A40,'BASE-LCP'!$B:$B,"agosto")/1000,IF(LEFT($A61,3)="icp",SUMIFS('BASE-ICP'!$K:$K,'BASE-ICP'!$A:$A,Capex!$A40,'BASE-ICP'!$B:$B,"agosto")/1000,"")),"")</f>
        <v>0</v>
      </c>
      <c r="CU61" s="427">
        <v>0</v>
      </c>
      <c r="CV61" s="372"/>
      <c r="CW61" s="419"/>
      <c r="CX61" s="423">
        <f>IFERROR(IF(LEFT($A61,3)="Lcp",SUMIFS('BASE-LCP'!$K:$K,'BASE-LCP'!$A:$A,Capex!$A40,'BASE-LCP'!$B:$B,"setembro")/1000,IF(LEFT($A61,3)="icp",SUMIFS('BASE-ICP'!$K:$K,'BASE-ICP'!$A:$A,Capex!$A40,'BASE-ICP'!$B:$B,"setembro")/1000,"")),"")</f>
        <v>0</v>
      </c>
      <c r="CY61" s="427">
        <v>0</v>
      </c>
      <c r="CZ61" s="372"/>
      <c r="DA61" s="419"/>
      <c r="DB61" s="423">
        <f>IFERROR(IF(LEFT($A61,3)="Lcp",SUMIFS('BASE-LCP'!$K:$K,'BASE-LCP'!$A:$A,Capex!$A40,'BASE-LCP'!$B:$B,"outubro")/1000,IF(LEFT($A61,3)="icp",SUMIFS('BASE-ICP'!$K:$K,'BASE-ICP'!$A:$A,Capex!$A40,'BASE-ICP'!$B:$B,"outubro")/1000,"")),"")</f>
        <v>0</v>
      </c>
      <c r="DC61" s="427">
        <v>-25.700000000000003</v>
      </c>
      <c r="DD61" s="372"/>
      <c r="DE61" s="419"/>
      <c r="DF61" s="423">
        <f>IFERROR(IF(LEFT($A61,3)="Lcp",SUMIFS('BASE-LCP'!$K:$K,'BASE-LCP'!$A:$A,Capex!$A40,'BASE-LCP'!$B:$B,"novembro")/1000,IF(LEFT($A61,3)="icp",SUMIFS('BASE-ICP'!$K:$K,'BASE-ICP'!$A:$A,Capex!$A40,'BASE-ICP'!$B:$B,"novembro")/1000,"")),"")</f>
        <v>0</v>
      </c>
      <c r="DG61" s="427">
        <v>0</v>
      </c>
      <c r="DH61" s="372"/>
      <c r="DI61" s="419"/>
      <c r="DJ61" s="423">
        <f>IFERROR(IF(LEFT($A61,3)="Lcp",SUMIFS('BASE-LCP'!$K:$K,'BASE-LCP'!$A:$A,Capex!$A40,'BASE-LCP'!$B:$B,"dezembro")/1000,IF(LEFT($A61,3)="icp",SUMIFS('BASE-ICP'!$K:$K,'BASE-ICP'!$A:$A,Capex!$A40,'BASE-ICP'!$B:$B,"dezembro")/1000,"")),"")</f>
        <v>0</v>
      </c>
      <c r="DK61" s="427">
        <v>0</v>
      </c>
      <c r="DL61" s="452">
        <f t="shared" si="15"/>
        <v>0</v>
      </c>
      <c r="DM61" s="374"/>
      <c r="DN61" s="374">
        <v>0</v>
      </c>
      <c r="DO61" s="374"/>
      <c r="DP61" s="374"/>
      <c r="DQ61" s="374"/>
      <c r="DR61" s="374"/>
      <c r="DS61" s="374"/>
      <c r="DT61" s="374"/>
      <c r="DU61" s="374"/>
      <c r="DV61" s="374"/>
      <c r="DW61" s="374"/>
      <c r="DX61" s="374"/>
      <c r="DY61" s="450"/>
      <c r="DZ61" s="374">
        <f t="shared" si="16"/>
        <v>0</v>
      </c>
      <c r="EA61" s="216">
        <f t="shared" si="17"/>
        <v>0</v>
      </c>
      <c r="EB61" s="320">
        <f t="shared" si="18"/>
        <v>0</v>
      </c>
      <c r="EC61" s="241">
        <f t="shared" si="19"/>
        <v>0</v>
      </c>
      <c r="ED61" s="241">
        <f t="shared" si="20"/>
        <v>0</v>
      </c>
      <c r="EE61" s="241">
        <f t="shared" si="21"/>
        <v>0</v>
      </c>
      <c r="EF61" s="241">
        <f t="shared" si="22"/>
        <v>-25.700000000000003</v>
      </c>
      <c r="EG61" s="346">
        <f t="shared" si="23"/>
        <v>0</v>
      </c>
      <c r="EH61" s="445">
        <f t="shared" si="24"/>
        <v>-25.700000000000003</v>
      </c>
      <c r="EI61" s="447">
        <f t="shared" si="25"/>
        <v>0</v>
      </c>
      <c r="EJ61" s="364">
        <f t="shared" si="26"/>
        <v>0</v>
      </c>
      <c r="EK61" s="365">
        <f t="shared" si="27"/>
        <v>-25.700000000000003</v>
      </c>
      <c r="EL61" s="529">
        <f t="shared" si="28"/>
        <v>-25.700000000000003</v>
      </c>
      <c r="EM61" s="530">
        <v>0</v>
      </c>
      <c r="EN61" s="530">
        <v>0</v>
      </c>
      <c r="EO61" s="530">
        <v>0</v>
      </c>
      <c r="EP61" s="530">
        <v>0</v>
      </c>
      <c r="EQ61" s="530">
        <v>0</v>
      </c>
      <c r="ER61" s="530">
        <v>0</v>
      </c>
      <c r="ES61" s="530">
        <v>0</v>
      </c>
      <c r="ET61" s="530">
        <v>0</v>
      </c>
      <c r="EU61" s="530">
        <v>0</v>
      </c>
      <c r="EV61" s="530">
        <v>-25.700000000000003</v>
      </c>
      <c r="EW61" s="530">
        <v>0</v>
      </c>
      <c r="EX61" s="530">
        <v>0</v>
      </c>
      <c r="EY61" s="530">
        <f t="shared" si="29"/>
        <v>0</v>
      </c>
      <c r="EZ61" s="530">
        <f t="shared" si="30"/>
        <v>0</v>
      </c>
      <c r="FA61" s="530">
        <f t="shared" si="31"/>
        <v>0</v>
      </c>
      <c r="FB61" s="530">
        <f t="shared" si="32"/>
        <v>-25.700000000000003</v>
      </c>
      <c r="FC61" s="384" t="str">
        <f>IFERROR(VLOOKUP(Capex!A40,BASE_558!D:R,8,FALSE)/1000,"")</f>
        <v/>
      </c>
      <c r="FD61" s="328" t="str">
        <f>IFERROR(VLOOKUP(Capex!A40,BASE_558!D:R,9,)/1000,"")</f>
        <v/>
      </c>
      <c r="FE61" s="328">
        <f>IFERROR(IF(LEFT(A61,3)="LCP",(VLOOKUP(Capex!A40,BASE_558!D:R,10,)/1000),SUMIFS('BASE ICP_PO_SC'!F:F,'BASE ICP_PO_SC'!A:A,Capex!A40,'BASE ICP_PO_SC'!E:E,"&lt;&gt;")/1000),"")</f>
        <v>0</v>
      </c>
      <c r="FF61" s="328">
        <f>IFERROR(IF(LEFT(A61,3)="LCP",(VLOOKUP(Capex!A40,BASE_558!D:R,11,)/1000),SUMIFS('BASE ICP_PO_SC'!F:F,'BASE ICP_PO_SC'!A:A,Capex!A40,'BASE ICP_PO_SC'!E:E,"")/1000),"")</f>
        <v>0</v>
      </c>
      <c r="FG61" s="328" t="str">
        <f>IFERROR(VLOOKUP(A61,BASE_558!D:R,13,FALSE)/1000,"")</f>
        <v/>
      </c>
      <c r="FH61" s="328" t="str">
        <f>IFERROR(VLOOKUP(A61,BASE_558!D:R,15,FALSE)/1000,"")</f>
        <v/>
      </c>
      <c r="FI61" s="547">
        <f t="shared" si="33"/>
        <v>0</v>
      </c>
      <c r="FJ61" s="547">
        <f t="shared" si="34"/>
        <v>0</v>
      </c>
      <c r="FK61" s="540">
        <f t="shared" si="35"/>
        <v>0</v>
      </c>
    </row>
    <row r="62" spans="1:167" s="23" customFormat="1" ht="24" customHeight="1">
      <c r="A62" s="309" t="s">
        <v>2416</v>
      </c>
      <c r="B62" s="84" t="s">
        <v>1608</v>
      </c>
      <c r="C62" s="404"/>
      <c r="D62" s="338"/>
      <c r="E62" s="378"/>
      <c r="F62" s="5"/>
      <c r="G62" s="310" t="s">
        <v>9</v>
      </c>
      <c r="H62" s="338"/>
      <c r="I62" s="338"/>
      <c r="J62" s="356">
        <v>2022</v>
      </c>
      <c r="K62" s="573"/>
      <c r="L62" s="324"/>
      <c r="M62" s="409"/>
      <c r="N62" s="317" t="str">
        <f t="shared" si="38"/>
        <v/>
      </c>
      <c r="O62" s="317" t="str">
        <f t="shared" si="39"/>
        <v/>
      </c>
      <c r="P62" s="418" t="str">
        <f t="shared" si="46"/>
        <v>N/A</v>
      </c>
      <c r="Q62" s="418" t="str">
        <f t="shared" si="46"/>
        <v>N/A</v>
      </c>
      <c r="R62" s="418" t="str">
        <f t="shared" si="46"/>
        <v>N/A</v>
      </c>
      <c r="S62" s="418" t="str">
        <f t="shared" si="46"/>
        <v>N/A</v>
      </c>
      <c r="T62" s="418" t="str">
        <f t="shared" si="46"/>
        <v>N/A</v>
      </c>
      <c r="U62" s="418" t="str">
        <f t="shared" si="46"/>
        <v>N/A</v>
      </c>
      <c r="V62" s="418" t="str">
        <f t="shared" si="46"/>
        <v>N/A</v>
      </c>
      <c r="W62" s="418" t="str">
        <f t="shared" si="46"/>
        <v>N/A</v>
      </c>
      <c r="X62" s="418" t="str">
        <f t="shared" si="46"/>
        <v>N/A</v>
      </c>
      <c r="Y62" s="418" t="str">
        <f t="shared" si="46"/>
        <v>N/A</v>
      </c>
      <c r="Z62" s="418" t="str">
        <f t="shared" si="46"/>
        <v>N/A</v>
      </c>
      <c r="AA62" s="418" t="str">
        <f t="shared" si="46"/>
        <v>N/A</v>
      </c>
      <c r="AB62" s="325"/>
      <c r="AC62" s="309" t="s">
        <v>3932</v>
      </c>
      <c r="AD62" s="311" t="s">
        <v>222</v>
      </c>
      <c r="AE62" s="382" t="s">
        <v>979</v>
      </c>
      <c r="AF62" s="310" t="s">
        <v>6988</v>
      </c>
      <c r="AG62" s="262" t="s">
        <v>2251</v>
      </c>
      <c r="AH62" s="310" t="s">
        <v>2812</v>
      </c>
      <c r="AI62" s="381" t="s">
        <v>2255</v>
      </c>
      <c r="AJ62" s="6" t="s">
        <v>6786</v>
      </c>
      <c r="AK62" s="6" t="str">
        <f t="shared" si="10"/>
        <v>DIFERENTE</v>
      </c>
      <c r="AL62" s="151" t="str">
        <f>IFERROR(IF(LEFT(A62,3)="LCP",VLOOKUP(A62,STATUS_SAP_LCP!B:C,2,FALSE),VLOOKUP(A62,STATUS_SAP_ICP!B:C,2,FALSE)),"NO BUDGET")</f>
        <v>CLSD BUDG AVAC  //  BREL WPLI</v>
      </c>
      <c r="AM62" s="6" t="str">
        <f>IF(LEFT(AL62,4)="PREL","REL ",IF(LEFT(AL62,9)="NO BUDGET","NO BUDGET",LEFT(AL62,4)))</f>
        <v>CLSD</v>
      </c>
      <c r="AN62" s="457" t="s">
        <v>2594</v>
      </c>
      <c r="AO62" s="428"/>
      <c r="AP62" s="499" t="s">
        <v>9616</v>
      </c>
      <c r="AQ62" s="464"/>
      <c r="AR62" s="460"/>
      <c r="AS62" s="56"/>
      <c r="AT62" s="185"/>
      <c r="AU62" s="318"/>
      <c r="AV62" s="223">
        <v>0</v>
      </c>
      <c r="AW62" s="318">
        <v>0</v>
      </c>
      <c r="AX62" s="223">
        <v>0</v>
      </c>
      <c r="AY62" s="318">
        <f t="shared" si="40"/>
        <v>0</v>
      </c>
      <c r="AZ62" s="223"/>
      <c r="BA62" s="318"/>
      <c r="BB62" s="519">
        <f t="shared" si="41"/>
        <v>0</v>
      </c>
      <c r="BC62" s="518">
        <v>0</v>
      </c>
      <c r="BD62" s="518">
        <v>0</v>
      </c>
      <c r="BE62" s="518">
        <v>0</v>
      </c>
      <c r="BF62" s="518">
        <v>0</v>
      </c>
      <c r="BG62" s="518">
        <v>0</v>
      </c>
      <c r="BH62" s="518">
        <v>0</v>
      </c>
      <c r="BI62" s="518">
        <v>0</v>
      </c>
      <c r="BJ62" s="518">
        <v>0</v>
      </c>
      <c r="BK62" s="518">
        <v>0</v>
      </c>
      <c r="BL62" s="518">
        <v>0</v>
      </c>
      <c r="BM62" s="518">
        <v>0</v>
      </c>
      <c r="BN62" s="518">
        <v>0</v>
      </c>
      <c r="BO62" s="367">
        <f t="shared" si="14"/>
        <v>0</v>
      </c>
      <c r="BP62" s="421">
        <v>0</v>
      </c>
      <c r="BQ62" s="422">
        <v>0</v>
      </c>
      <c r="BR62" s="423">
        <f>IFERROR(IF(LEFT($A62,3)="Lcp",SUMIFS('BASE-LCP'!$K:$K,'BASE-LCP'!$A:$A,Capex!$A41,'BASE-LCP'!$B:$B,"janeiro")/1000,IF(LEFT($A62,3)="icp",SUMIFS('BASE-ICP'!$K:$K,'BASE-ICP'!$A:$A,Capex!$A41,'BASE-ICP'!$B:$B,"janeiro")/1000,"")),"")</f>
        <v>0</v>
      </c>
      <c r="BS62" s="427">
        <v>0</v>
      </c>
      <c r="BT62" s="372">
        <v>0</v>
      </c>
      <c r="BU62" s="422">
        <v>0</v>
      </c>
      <c r="BV62" s="423">
        <f>IFERROR(IF(LEFT($A62,3)="Lcp",SUMIFS('BASE-LCP'!$K:$K,'BASE-LCP'!$A:$A,Capex!$A41,'BASE-LCP'!$B:$B,"fevereiro")/1000,IF(LEFT($A62,3)="icp",SUMIFS('BASE-ICP'!$K:$K,'BASE-ICP'!$A:$A,Capex!$A41,'BASE-ICP'!$B:$B,"fevereiro")/1000,"")),"")</f>
        <v>0</v>
      </c>
      <c r="BW62" s="427">
        <v>0</v>
      </c>
      <c r="BX62" s="372">
        <v>0</v>
      </c>
      <c r="BY62" s="422">
        <v>0</v>
      </c>
      <c r="BZ62" s="423">
        <f>IFERROR(IF(LEFT($A62,3)="Lcp",SUMIFS('BASE-LCP'!$K:$K,'BASE-LCP'!$A:$A,Capex!$A41,'BASE-LCP'!$B:$B,"março")/1000,IF(LEFT($A62,3)="icp",SUMIFS('BASE-ICP'!$K:$K,'BASE-ICP'!$A:$A,Capex!$A41,'BASE-ICP'!$B:$B,"março")/1000,"")),"")</f>
        <v>0</v>
      </c>
      <c r="CA62" s="427">
        <v>0</v>
      </c>
      <c r="CB62" s="372">
        <v>0</v>
      </c>
      <c r="CC62" s="422"/>
      <c r="CD62" s="423">
        <f>IFERROR(IF(LEFT($A62,3)="Lcp",SUMIFS('BASE-LCP'!$K:$K,'BASE-LCP'!$A:$A,Capex!$A41,'BASE-LCP'!$B:$B,"abril")/1000,IF(LEFT($A62,3)="icp",SUMIFS('BASE-ICP'!$K:$K,'BASE-ICP'!$A:$A,Capex!$A41,'BASE-ICP'!$B:$B,"abril")/1000,"")),"")</f>
        <v>0</v>
      </c>
      <c r="CE62" s="427">
        <v>0</v>
      </c>
      <c r="CF62" s="372">
        <v>0</v>
      </c>
      <c r="CG62" s="422">
        <f t="shared" si="42"/>
        <v>0</v>
      </c>
      <c r="CH62" s="423">
        <v>0</v>
      </c>
      <c r="CI62" s="427">
        <v>0</v>
      </c>
      <c r="CJ62" s="372">
        <v>0</v>
      </c>
      <c r="CK62" s="419"/>
      <c r="CL62" s="423">
        <f>IFERROR(IF(LEFT($A62,3)="Lcp",SUMIFS('BASE-LCP'!$K:$K,'BASE-LCP'!$A:$A,Capex!$A41,'BASE-LCP'!$B:$B,"junho")/1000,IF(LEFT($A62,3)="icp",SUMIFS('BASE-ICP'!$K:$K,'BASE-ICP'!$A:$A,Capex!$A41,'BASE-ICP'!$B:$B,"junho")/1000,"")),"")</f>
        <v>0</v>
      </c>
      <c r="CM62" s="427">
        <v>0</v>
      </c>
      <c r="CN62" s="372"/>
      <c r="CO62" s="419"/>
      <c r="CP62" s="423">
        <f>IFERROR(IF(LEFT($A62,3)="Lcp",SUMIFS('BASE-LCP'!$K:$K,'BASE-LCP'!$A:$A,Capex!$A41,'BASE-LCP'!$B:$B,"julho")/1000,IF(LEFT($A62,3)="icp",SUMIFS('BASE-ICP'!$K:$K,'BASE-ICP'!$A:$A,Capex!$A41,'BASE-ICP'!$B:$B,"julho")/1000,"")),"")</f>
        <v>0</v>
      </c>
      <c r="CQ62" s="427">
        <v>0</v>
      </c>
      <c r="CR62" s="372"/>
      <c r="CS62" s="419"/>
      <c r="CT62" s="423">
        <f>IFERROR(IF(LEFT($A62,3)="Lcp",SUMIFS('BASE-LCP'!$K:$K,'BASE-LCP'!$A:$A,Capex!$A41,'BASE-LCP'!$B:$B,"agosto")/1000,IF(LEFT($A62,3)="icp",SUMIFS('BASE-ICP'!$K:$K,'BASE-ICP'!$A:$A,Capex!$A41,'BASE-ICP'!$B:$B,"agosto")/1000,"")),"")</f>
        <v>0</v>
      </c>
      <c r="CU62" s="427">
        <v>0</v>
      </c>
      <c r="CV62" s="372"/>
      <c r="CW62" s="419"/>
      <c r="CX62" s="423">
        <f>IFERROR(IF(LEFT($A62,3)="Lcp",SUMIFS('BASE-LCP'!$K:$K,'BASE-LCP'!$A:$A,Capex!$A41,'BASE-LCP'!$B:$B,"setembro")/1000,IF(LEFT($A62,3)="icp",SUMIFS('BASE-ICP'!$K:$K,'BASE-ICP'!$A:$A,Capex!$A41,'BASE-ICP'!$B:$B,"setembro")/1000,"")),"")</f>
        <v>0</v>
      </c>
      <c r="CY62" s="427">
        <v>0</v>
      </c>
      <c r="CZ62" s="372"/>
      <c r="DA62" s="419"/>
      <c r="DB62" s="423">
        <f>IFERROR(IF(LEFT($A62,3)="Lcp",SUMIFS('BASE-LCP'!$K:$K,'BASE-LCP'!$A:$A,Capex!$A41,'BASE-LCP'!$B:$B,"outubro")/1000,IF(LEFT($A62,3)="icp",SUMIFS('BASE-ICP'!$K:$K,'BASE-ICP'!$A:$A,Capex!$A41,'BASE-ICP'!$B:$B,"outubro")/1000,"")),"")</f>
        <v>0</v>
      </c>
      <c r="DC62" s="427">
        <v>0</v>
      </c>
      <c r="DD62" s="372"/>
      <c r="DE62" s="419"/>
      <c r="DF62" s="423">
        <f>IFERROR(IF(LEFT($A62,3)="Lcp",SUMIFS('BASE-LCP'!$K:$K,'BASE-LCP'!$A:$A,Capex!$A41,'BASE-LCP'!$B:$B,"novembro")/1000,IF(LEFT($A62,3)="icp",SUMIFS('BASE-ICP'!$K:$K,'BASE-ICP'!$A:$A,Capex!$A41,'BASE-ICP'!$B:$B,"novembro")/1000,"")),"")</f>
        <v>0</v>
      </c>
      <c r="DG62" s="427">
        <v>0</v>
      </c>
      <c r="DH62" s="372"/>
      <c r="DI62" s="419"/>
      <c r="DJ62" s="423">
        <f>IFERROR(IF(LEFT($A62,3)="Lcp",SUMIFS('BASE-LCP'!$K:$K,'BASE-LCP'!$A:$A,Capex!$A41,'BASE-LCP'!$B:$B,"dezembro")/1000,IF(LEFT($A62,3)="icp",SUMIFS('BASE-ICP'!$K:$K,'BASE-ICP'!$A:$A,Capex!$A41,'BASE-ICP'!$B:$B,"dezembro")/1000,"")),"")</f>
        <v>0</v>
      </c>
      <c r="DK62" s="427">
        <v>0</v>
      </c>
      <c r="DL62" s="452">
        <f t="shared" si="15"/>
        <v>0</v>
      </c>
      <c r="DM62" s="374"/>
      <c r="DN62" s="374">
        <v>0</v>
      </c>
      <c r="DO62" s="374"/>
      <c r="DP62" s="374"/>
      <c r="DQ62" s="374"/>
      <c r="DR62" s="374"/>
      <c r="DS62" s="374"/>
      <c r="DT62" s="374"/>
      <c r="DU62" s="374"/>
      <c r="DV62" s="374"/>
      <c r="DW62" s="374"/>
      <c r="DX62" s="374"/>
      <c r="DY62" s="450"/>
      <c r="DZ62" s="374">
        <f t="shared" si="16"/>
        <v>0</v>
      </c>
      <c r="EA62" s="216">
        <f t="shared" si="17"/>
        <v>0</v>
      </c>
      <c r="EB62" s="320">
        <f t="shared" si="18"/>
        <v>0</v>
      </c>
      <c r="EC62" s="241">
        <f t="shared" si="19"/>
        <v>0</v>
      </c>
      <c r="ED62" s="241">
        <f t="shared" si="20"/>
        <v>0</v>
      </c>
      <c r="EE62" s="241">
        <f t="shared" si="21"/>
        <v>0</v>
      </c>
      <c r="EF62" s="241">
        <f t="shared" si="22"/>
        <v>0</v>
      </c>
      <c r="EG62" s="346">
        <f t="shared" si="23"/>
        <v>0</v>
      </c>
      <c r="EH62" s="445">
        <f t="shared" si="24"/>
        <v>0</v>
      </c>
      <c r="EI62" s="447">
        <f t="shared" si="25"/>
        <v>0</v>
      </c>
      <c r="EJ62" s="364">
        <f t="shared" si="26"/>
        <v>0</v>
      </c>
      <c r="EK62" s="365">
        <f t="shared" si="27"/>
        <v>0</v>
      </c>
      <c r="EL62" s="529">
        <f t="shared" si="28"/>
        <v>0</v>
      </c>
      <c r="EM62" s="530">
        <v>0</v>
      </c>
      <c r="EN62" s="530">
        <v>0</v>
      </c>
      <c r="EO62" s="530">
        <v>0</v>
      </c>
      <c r="EP62" s="530">
        <v>0</v>
      </c>
      <c r="EQ62" s="530">
        <v>0</v>
      </c>
      <c r="ER62" s="530">
        <v>0</v>
      </c>
      <c r="ES62" s="530">
        <v>0</v>
      </c>
      <c r="ET62" s="530">
        <v>0</v>
      </c>
      <c r="EU62" s="530">
        <v>0</v>
      </c>
      <c r="EV62" s="530">
        <v>0</v>
      </c>
      <c r="EW62" s="530">
        <v>0</v>
      </c>
      <c r="EX62" s="530">
        <v>0</v>
      </c>
      <c r="EY62" s="530">
        <f t="shared" si="29"/>
        <v>0</v>
      </c>
      <c r="EZ62" s="530">
        <f t="shared" si="30"/>
        <v>0</v>
      </c>
      <c r="FA62" s="530">
        <f t="shared" si="31"/>
        <v>0</v>
      </c>
      <c r="FB62" s="530">
        <f t="shared" si="32"/>
        <v>0</v>
      </c>
      <c r="FC62" s="384" t="str">
        <f>IFERROR(VLOOKUP(Capex!A41,BASE_558!D:R,8,FALSE)/1000,"")</f>
        <v/>
      </c>
      <c r="FD62" s="328" t="str">
        <f>IFERROR(VLOOKUP(Capex!A41,BASE_558!D:R,9,)/1000,"")</f>
        <v/>
      </c>
      <c r="FE62" s="328">
        <f>IFERROR(IF(LEFT(A62,3)="LCP",(VLOOKUP(Capex!A41,BASE_558!D:R,10,)/1000),SUMIFS('BASE ICP_PO_SC'!F:F,'BASE ICP_PO_SC'!A:A,Capex!A41,'BASE ICP_PO_SC'!E:E,"&lt;&gt;")/1000),"")</f>
        <v>0</v>
      </c>
      <c r="FF62" s="328">
        <f>IFERROR(IF(LEFT(A62,3)="LCP",(VLOOKUP(Capex!A41,BASE_558!D:R,11,)/1000),SUMIFS('BASE ICP_PO_SC'!F:F,'BASE ICP_PO_SC'!A:A,Capex!A41,'BASE ICP_PO_SC'!E:E,"")/1000),"")</f>
        <v>0</v>
      </c>
      <c r="FG62" s="328" t="str">
        <f>IFERROR(VLOOKUP(A62,BASE_558!D:R,13,FALSE)/1000,"")</f>
        <v/>
      </c>
      <c r="FH62" s="328" t="str">
        <f>IFERROR(VLOOKUP(A62,BASE_558!D:R,15,FALSE)/1000,"")</f>
        <v/>
      </c>
      <c r="FI62" s="547">
        <f t="shared" si="33"/>
        <v>0</v>
      </c>
      <c r="FJ62" s="547">
        <f t="shared" si="34"/>
        <v>0</v>
      </c>
      <c r="FK62" s="540">
        <f t="shared" si="35"/>
        <v>0</v>
      </c>
    </row>
    <row r="63" spans="1:167" s="23" customFormat="1" ht="24" customHeight="1">
      <c r="A63" s="309" t="s">
        <v>2422</v>
      </c>
      <c r="B63" s="404" t="s">
        <v>1565</v>
      </c>
      <c r="C63" s="404"/>
      <c r="D63" s="338"/>
      <c r="E63" s="378"/>
      <c r="F63" s="5"/>
      <c r="G63" s="310" t="s">
        <v>9</v>
      </c>
      <c r="H63" s="338"/>
      <c r="I63" s="338"/>
      <c r="J63" s="338">
        <v>2022</v>
      </c>
      <c r="K63" s="316"/>
      <c r="L63" s="324"/>
      <c r="M63" s="409"/>
      <c r="N63" s="317" t="str">
        <f t="shared" si="38"/>
        <v/>
      </c>
      <c r="O63" s="317" t="str">
        <f t="shared" si="39"/>
        <v/>
      </c>
      <c r="P63" s="418" t="str">
        <f t="shared" si="46"/>
        <v>N/A</v>
      </c>
      <c r="Q63" s="418" t="str">
        <f t="shared" si="46"/>
        <v>N/A</v>
      </c>
      <c r="R63" s="418" t="str">
        <f t="shared" si="46"/>
        <v>N/A</v>
      </c>
      <c r="S63" s="418" t="str">
        <f t="shared" si="46"/>
        <v>N/A</v>
      </c>
      <c r="T63" s="418" t="str">
        <f t="shared" si="46"/>
        <v>N/A</v>
      </c>
      <c r="U63" s="418" t="str">
        <f t="shared" si="46"/>
        <v>N/A</v>
      </c>
      <c r="V63" s="418" t="str">
        <f t="shared" si="46"/>
        <v>N/A</v>
      </c>
      <c r="W63" s="418" t="str">
        <f t="shared" si="46"/>
        <v>N/A</v>
      </c>
      <c r="X63" s="418" t="str">
        <f t="shared" si="46"/>
        <v>N/A</v>
      </c>
      <c r="Y63" s="418" t="str">
        <f t="shared" si="46"/>
        <v>N/A</v>
      </c>
      <c r="Z63" s="418" t="str">
        <f t="shared" si="46"/>
        <v>N/A</v>
      </c>
      <c r="AA63" s="418" t="str">
        <f t="shared" si="46"/>
        <v>N/A</v>
      </c>
      <c r="AB63" s="317"/>
      <c r="AC63" s="309" t="s">
        <v>3932</v>
      </c>
      <c r="AD63" s="311" t="s">
        <v>5</v>
      </c>
      <c r="AE63" s="311" t="s">
        <v>951</v>
      </c>
      <c r="AF63" s="310" t="s">
        <v>6988</v>
      </c>
      <c r="AG63" s="262" t="s">
        <v>2251</v>
      </c>
      <c r="AH63" s="310" t="s">
        <v>2813</v>
      </c>
      <c r="AI63" s="309" t="s">
        <v>2255</v>
      </c>
      <c r="AJ63" s="6" t="s">
        <v>6786</v>
      </c>
      <c r="AK63" s="6" t="str">
        <f t="shared" si="10"/>
        <v>IGUAL</v>
      </c>
      <c r="AL63" s="151" t="str">
        <f>IFERROR(IF(LEFT(A63,3)="LCP",VLOOKUP(A63,STATUS_SAP_LCP!B:C,2,FALSE),VLOOKUP(A63,STATUS_SAP_ICP!B:C,2,FALSE)),"NO BUDGET")</f>
        <v>REL  BUDG ISBD AVAC  //  BREL WPLI</v>
      </c>
      <c r="AM63" s="6" t="str">
        <f>IF(LEFT(AL63,4)="PREL","REL ",IF(LEFT(AL63,9)="NO BUDGET","NO BUDGET",LEFT(AL63,4)))</f>
        <v xml:space="preserve">REL </v>
      </c>
      <c r="AN63" s="282" t="s">
        <v>8963</v>
      </c>
      <c r="AO63" s="557"/>
      <c r="AP63" s="499" t="s">
        <v>9616</v>
      </c>
      <c r="AQ63" s="464"/>
      <c r="AR63" s="460"/>
      <c r="AS63" s="56"/>
      <c r="AT63" s="185"/>
      <c r="AU63" s="318">
        <v>0</v>
      </c>
      <c r="AV63" s="223">
        <v>3815.41993</v>
      </c>
      <c r="AW63" s="318">
        <v>-3811.3424999999997</v>
      </c>
      <c r="AX63" s="223">
        <v>-4.0861599999999996</v>
      </c>
      <c r="AY63" s="318">
        <f t="shared" si="40"/>
        <v>0</v>
      </c>
      <c r="AZ63" s="223"/>
      <c r="BA63" s="318"/>
      <c r="BB63" s="519">
        <f t="shared" si="41"/>
        <v>0</v>
      </c>
      <c r="BC63" s="518">
        <v>0</v>
      </c>
      <c r="BD63" s="518">
        <v>0</v>
      </c>
      <c r="BE63" s="518">
        <v>0</v>
      </c>
      <c r="BF63" s="518">
        <v>0</v>
      </c>
      <c r="BG63" s="518">
        <v>0</v>
      </c>
      <c r="BH63" s="518">
        <v>0</v>
      </c>
      <c r="BI63" s="518">
        <v>0</v>
      </c>
      <c r="BJ63" s="518">
        <v>0</v>
      </c>
      <c r="BK63" s="518">
        <v>0</v>
      </c>
      <c r="BL63" s="518">
        <v>0</v>
      </c>
      <c r="BM63" s="518">
        <v>0</v>
      </c>
      <c r="BN63" s="518">
        <v>0</v>
      </c>
      <c r="BO63" s="367">
        <f t="shared" si="14"/>
        <v>0</v>
      </c>
      <c r="BP63" s="421">
        <v>0</v>
      </c>
      <c r="BQ63" s="422">
        <v>0</v>
      </c>
      <c r="BR63" s="423">
        <f>IFERROR(IF(LEFT($A63,3)="Lcp",SUMIFS('BASE-LCP'!$K:$K,'BASE-LCP'!$A:$A,Capex!$A42,'BASE-LCP'!$B:$B,"janeiro")/1000,IF(LEFT($A63,3)="icp",SUMIFS('BASE-ICP'!$K:$K,'BASE-ICP'!$A:$A,Capex!$A42,'BASE-ICP'!$B:$B,"janeiro")/1000,"")),"")</f>
        <v>0</v>
      </c>
      <c r="BS63" s="427">
        <v>0</v>
      </c>
      <c r="BT63" s="372">
        <v>0</v>
      </c>
      <c r="BU63" s="422">
        <v>0</v>
      </c>
      <c r="BV63" s="423">
        <f>IFERROR(IF(LEFT($A63,3)="Lcp",SUMIFS('BASE-LCP'!$K:$K,'BASE-LCP'!$A:$A,Capex!$A42,'BASE-LCP'!$B:$B,"fevereiro")/1000,IF(LEFT($A63,3)="icp",SUMIFS('BASE-ICP'!$K:$K,'BASE-ICP'!$A:$A,Capex!$A42,'BASE-ICP'!$B:$B,"fevereiro")/1000,"")),"")</f>
        <v>0</v>
      </c>
      <c r="BW63" s="427">
        <v>0</v>
      </c>
      <c r="BX63" s="372">
        <v>0</v>
      </c>
      <c r="BY63" s="419">
        <v>0</v>
      </c>
      <c r="BZ63" s="423">
        <f>IFERROR(IF(LEFT($A63,3)="Lcp",SUMIFS('BASE-LCP'!$K:$K,'BASE-LCP'!$A:$A,Capex!$A42,'BASE-LCP'!$B:$B,"março")/1000,IF(LEFT($A63,3)="icp",SUMIFS('BASE-ICP'!$K:$K,'BASE-ICP'!$A:$A,Capex!$A42,'BASE-ICP'!$B:$B,"março")/1000,"")),"")</f>
        <v>0</v>
      </c>
      <c r="CA63" s="427">
        <v>0</v>
      </c>
      <c r="CB63" s="372">
        <v>0</v>
      </c>
      <c r="CC63" s="422"/>
      <c r="CD63" s="423">
        <f>IFERROR(IF(LEFT($A63,3)="Lcp",SUMIFS('BASE-LCP'!$K:$K,'BASE-LCP'!$A:$A,Capex!$A42,'BASE-LCP'!$B:$B,"abril")/1000,IF(LEFT($A63,3)="icp",SUMIFS('BASE-ICP'!$K:$K,'BASE-ICP'!$A:$A,Capex!$A42,'BASE-ICP'!$B:$B,"abril")/1000,"")),"")</f>
        <v>0</v>
      </c>
      <c r="CE63" s="427">
        <v>0</v>
      </c>
      <c r="CF63" s="372">
        <v>0</v>
      </c>
      <c r="CG63" s="419">
        <f t="shared" si="42"/>
        <v>0</v>
      </c>
      <c r="CH63" s="423">
        <v>0</v>
      </c>
      <c r="CI63" s="427">
        <v>0</v>
      </c>
      <c r="CJ63" s="372">
        <v>0</v>
      </c>
      <c r="CK63" s="419"/>
      <c r="CL63" s="423">
        <f>IFERROR(IF(LEFT($A63,3)="Lcp",SUMIFS('BASE-LCP'!$K:$K,'BASE-LCP'!$A:$A,Capex!$A42,'BASE-LCP'!$B:$B,"junho")/1000,IF(LEFT($A63,3)="icp",SUMIFS('BASE-ICP'!$K:$K,'BASE-ICP'!$A:$A,Capex!$A42,'BASE-ICP'!$B:$B,"junho")/1000,"")),"")</f>
        <v>0</v>
      </c>
      <c r="CM63" s="427">
        <v>0</v>
      </c>
      <c r="CN63" s="372"/>
      <c r="CO63" s="419"/>
      <c r="CP63" s="423">
        <f>IFERROR(IF(LEFT($A63,3)="Lcp",SUMIFS('BASE-LCP'!$K:$K,'BASE-LCP'!$A:$A,Capex!$A42,'BASE-LCP'!$B:$B,"julho")/1000,IF(LEFT($A63,3)="icp",SUMIFS('BASE-ICP'!$K:$K,'BASE-ICP'!$A:$A,Capex!$A42,'BASE-ICP'!$B:$B,"julho")/1000,"")),"")</f>
        <v>0</v>
      </c>
      <c r="CQ63" s="427">
        <v>0</v>
      </c>
      <c r="CR63" s="372"/>
      <c r="CS63" s="419"/>
      <c r="CT63" s="423">
        <f>IFERROR(IF(LEFT($A63,3)="Lcp",SUMIFS('BASE-LCP'!$K:$K,'BASE-LCP'!$A:$A,Capex!$A42,'BASE-LCP'!$B:$B,"agosto")/1000,IF(LEFT($A63,3)="icp",SUMIFS('BASE-ICP'!$K:$K,'BASE-ICP'!$A:$A,Capex!$A42,'BASE-ICP'!$B:$B,"agosto")/1000,"")),"")</f>
        <v>0</v>
      </c>
      <c r="CU63" s="427">
        <v>0</v>
      </c>
      <c r="CV63" s="372"/>
      <c r="CW63" s="419"/>
      <c r="CX63" s="423">
        <f>IFERROR(IF(LEFT($A63,3)="Lcp",SUMIFS('BASE-LCP'!$K:$K,'BASE-LCP'!$A:$A,Capex!$A42,'BASE-LCP'!$B:$B,"setembro")/1000,IF(LEFT($A63,3)="icp",SUMIFS('BASE-ICP'!$K:$K,'BASE-ICP'!$A:$A,Capex!$A42,'BASE-ICP'!$B:$B,"setembro")/1000,"")),"")</f>
        <v>0</v>
      </c>
      <c r="CY63" s="427">
        <v>0</v>
      </c>
      <c r="CZ63" s="372"/>
      <c r="DA63" s="419"/>
      <c r="DB63" s="423">
        <f>IFERROR(IF(LEFT($A63,3)="Lcp",SUMIFS('BASE-LCP'!$K:$K,'BASE-LCP'!$A:$A,Capex!$A42,'BASE-LCP'!$B:$B,"outubro")/1000,IF(LEFT($A63,3)="icp",SUMIFS('BASE-ICP'!$K:$K,'BASE-ICP'!$A:$A,Capex!$A42,'BASE-ICP'!$B:$B,"outubro")/1000,"")),"")</f>
        <v>0</v>
      </c>
      <c r="DC63" s="427">
        <v>0</v>
      </c>
      <c r="DD63" s="372"/>
      <c r="DE63" s="419"/>
      <c r="DF63" s="423">
        <f>IFERROR(IF(LEFT($A63,3)="Lcp",SUMIFS('BASE-LCP'!$K:$K,'BASE-LCP'!$A:$A,Capex!$A42,'BASE-LCP'!$B:$B,"novembro")/1000,IF(LEFT($A63,3)="icp",SUMIFS('BASE-ICP'!$K:$K,'BASE-ICP'!$A:$A,Capex!$A42,'BASE-ICP'!$B:$B,"novembro")/1000,"")),"")</f>
        <v>0</v>
      </c>
      <c r="DG63" s="427">
        <v>0</v>
      </c>
      <c r="DH63" s="372"/>
      <c r="DI63" s="419"/>
      <c r="DJ63" s="423">
        <f>IFERROR(IF(LEFT($A63,3)="Lcp",SUMIFS('BASE-LCP'!$K:$K,'BASE-LCP'!$A:$A,Capex!$A42,'BASE-LCP'!$B:$B,"dezembro")/1000,IF(LEFT($A63,3)="icp",SUMIFS('BASE-ICP'!$K:$K,'BASE-ICP'!$A:$A,Capex!$A42,'BASE-ICP'!$B:$B,"dezembro")/1000,"")),"")</f>
        <v>0</v>
      </c>
      <c r="DK63" s="427">
        <v>0</v>
      </c>
      <c r="DL63" s="452">
        <f t="shared" si="15"/>
        <v>0</v>
      </c>
      <c r="DM63" s="374"/>
      <c r="DN63" s="374">
        <v>0</v>
      </c>
      <c r="DO63" s="374"/>
      <c r="DP63" s="374"/>
      <c r="DQ63" s="374"/>
      <c r="DR63" s="374"/>
      <c r="DS63" s="374"/>
      <c r="DT63" s="374"/>
      <c r="DU63" s="374"/>
      <c r="DV63" s="374"/>
      <c r="DW63" s="374"/>
      <c r="DX63" s="374"/>
      <c r="DY63" s="450"/>
      <c r="DZ63" s="374">
        <f t="shared" si="16"/>
        <v>0</v>
      </c>
      <c r="EA63" s="216">
        <f t="shared" si="17"/>
        <v>0</v>
      </c>
      <c r="EB63" s="320">
        <f t="shared" si="18"/>
        <v>0</v>
      </c>
      <c r="EC63" s="241">
        <f t="shared" si="19"/>
        <v>0</v>
      </c>
      <c r="ED63" s="241">
        <f t="shared" si="20"/>
        <v>0</v>
      </c>
      <c r="EE63" s="241">
        <f t="shared" si="21"/>
        <v>0</v>
      </c>
      <c r="EF63" s="241">
        <f t="shared" si="22"/>
        <v>0</v>
      </c>
      <c r="EG63" s="346">
        <f t="shared" si="23"/>
        <v>0</v>
      </c>
      <c r="EH63" s="445">
        <f t="shared" si="24"/>
        <v>0</v>
      </c>
      <c r="EI63" s="447">
        <f t="shared" si="25"/>
        <v>0</v>
      </c>
      <c r="EJ63" s="364">
        <f t="shared" si="26"/>
        <v>0</v>
      </c>
      <c r="EK63" s="365">
        <f t="shared" si="27"/>
        <v>0</v>
      </c>
      <c r="EL63" s="529">
        <f t="shared" si="28"/>
        <v>0</v>
      </c>
      <c r="EM63" s="530">
        <v>0</v>
      </c>
      <c r="EN63" s="530">
        <v>0</v>
      </c>
      <c r="EO63" s="530">
        <v>0</v>
      </c>
      <c r="EP63" s="530">
        <v>0</v>
      </c>
      <c r="EQ63" s="530">
        <v>0</v>
      </c>
      <c r="ER63" s="530">
        <v>0</v>
      </c>
      <c r="ES63" s="530">
        <v>0</v>
      </c>
      <c r="ET63" s="530">
        <v>0</v>
      </c>
      <c r="EU63" s="530">
        <v>0</v>
      </c>
      <c r="EV63" s="530">
        <v>0</v>
      </c>
      <c r="EW63" s="530">
        <v>0</v>
      </c>
      <c r="EX63" s="530">
        <v>0</v>
      </c>
      <c r="EY63" s="530">
        <f t="shared" si="29"/>
        <v>0</v>
      </c>
      <c r="EZ63" s="530">
        <f t="shared" si="30"/>
        <v>0</v>
      </c>
      <c r="FA63" s="530">
        <f t="shared" si="31"/>
        <v>0</v>
      </c>
      <c r="FB63" s="530">
        <f t="shared" si="32"/>
        <v>0</v>
      </c>
      <c r="FC63" s="384" t="str">
        <f>IFERROR(VLOOKUP(Capex!A42,BASE_558!D:R,8,FALSE)/1000,"")</f>
        <v/>
      </c>
      <c r="FD63" s="328" t="str">
        <f>IFERROR(VLOOKUP(Capex!A42,BASE_558!D:R,9,)/1000,"")</f>
        <v/>
      </c>
      <c r="FE63" s="328">
        <f>IFERROR(IF(LEFT(A63,3)="LCP",(VLOOKUP(Capex!A42,BASE_558!D:R,10,)/1000),SUMIFS('BASE ICP_PO_SC'!F:F,'BASE ICP_PO_SC'!A:A,Capex!A42,'BASE ICP_PO_SC'!E:E,"&lt;&gt;")/1000),"")</f>
        <v>0</v>
      </c>
      <c r="FF63" s="328">
        <f>IFERROR(IF(LEFT(A63,3)="LCP",(VLOOKUP(Capex!A42,BASE_558!D:R,11,)/1000),SUMIFS('BASE ICP_PO_SC'!F:F,'BASE ICP_PO_SC'!A:A,Capex!A42,'BASE ICP_PO_SC'!E:E,"")/1000),"")</f>
        <v>0</v>
      </c>
      <c r="FG63" s="328" t="str">
        <f>IFERROR(VLOOKUP(A63,BASE_558!D:R,13,FALSE)/1000,"")</f>
        <v/>
      </c>
      <c r="FH63" s="328" t="str">
        <f>IFERROR(VLOOKUP(A63,BASE_558!D:R,15,FALSE)/1000,"")</f>
        <v/>
      </c>
      <c r="FI63" s="547">
        <f t="shared" si="33"/>
        <v>0</v>
      </c>
      <c r="FJ63" s="547">
        <f t="shared" si="34"/>
        <v>0</v>
      </c>
      <c r="FK63" s="540">
        <f t="shared" si="35"/>
        <v>0</v>
      </c>
    </row>
    <row r="64" spans="1:167" s="23" customFormat="1" ht="24" customHeight="1">
      <c r="A64" s="309" t="s">
        <v>2420</v>
      </c>
      <c r="B64" s="404" t="s">
        <v>2317</v>
      </c>
      <c r="C64" s="404"/>
      <c r="D64" s="338"/>
      <c r="E64" s="378"/>
      <c r="F64" s="5"/>
      <c r="G64" s="310" t="s">
        <v>9</v>
      </c>
      <c r="H64" s="338"/>
      <c r="I64" s="338"/>
      <c r="J64" s="338">
        <v>2022</v>
      </c>
      <c r="K64" s="383">
        <v>44822</v>
      </c>
      <c r="L64" s="324"/>
      <c r="M64" s="409"/>
      <c r="N64" s="317">
        <f t="shared" si="38"/>
        <v>45734</v>
      </c>
      <c r="O64" s="317">
        <f t="shared" si="39"/>
        <v>46099</v>
      </c>
      <c r="P64" s="418" t="str">
        <f t="shared" si="46"/>
        <v>NÃO</v>
      </c>
      <c r="Q64" s="418" t="str">
        <f t="shared" si="46"/>
        <v>NÃO</v>
      </c>
      <c r="R64" s="418" t="str">
        <f t="shared" si="46"/>
        <v>NÃO</v>
      </c>
      <c r="S64" s="418" t="str">
        <f t="shared" si="46"/>
        <v>NÃO</v>
      </c>
      <c r="T64" s="418" t="str">
        <f t="shared" si="46"/>
        <v>NÃO</v>
      </c>
      <c r="U64" s="418" t="str">
        <f t="shared" si="46"/>
        <v>NÃO</v>
      </c>
      <c r="V64" s="418" t="str">
        <f t="shared" si="46"/>
        <v>NÃO</v>
      </c>
      <c r="W64" s="418" t="str">
        <f t="shared" si="46"/>
        <v>NÃO</v>
      </c>
      <c r="X64" s="418" t="str">
        <f t="shared" si="46"/>
        <v>NÃO</v>
      </c>
      <c r="Y64" s="418" t="str">
        <f t="shared" si="46"/>
        <v>NÃO</v>
      </c>
      <c r="Z64" s="418" t="str">
        <f t="shared" si="46"/>
        <v>NÃO</v>
      </c>
      <c r="AA64" s="418" t="str">
        <f t="shared" si="46"/>
        <v>NÃO</v>
      </c>
      <c r="AB64" s="326"/>
      <c r="AC64" s="309" t="s">
        <v>2508</v>
      </c>
      <c r="AD64" s="311"/>
      <c r="AE64" s="311"/>
      <c r="AF64" s="310" t="s">
        <v>6988</v>
      </c>
      <c r="AG64" s="310" t="s">
        <v>9083</v>
      </c>
      <c r="AH64" s="310" t="s">
        <v>1694</v>
      </c>
      <c r="AI64" s="309" t="s">
        <v>2255</v>
      </c>
      <c r="AJ64" s="6" t="s">
        <v>218</v>
      </c>
      <c r="AK64" s="6" t="str">
        <f t="shared" si="10"/>
        <v>IGUAL</v>
      </c>
      <c r="AL64" s="151" t="str">
        <f>IFERROR(IF(LEFT(A64,3)="LCP",VLOOKUP(A64,STATUS_SAP_LCP!B:C,2,FALSE),VLOOKUP(A64,STATUS_SAP_ICP!B:C,2,FALSE)),"NO BUDGET")</f>
        <v>CLSD BUDG AVAC  //  BREL WPLI</v>
      </c>
      <c r="AM64" s="6" t="str">
        <f>IF(LEFT(AL64,4)="PREL","REL ",IF(LEFT(AL64,9)="NO BUDGET","NO BUDGET",LEFT(AL64,4)))</f>
        <v>CLSD</v>
      </c>
      <c r="AN64" s="282" t="s">
        <v>2651</v>
      </c>
      <c r="AO64" s="493">
        <v>1</v>
      </c>
      <c r="AP64" s="499" t="s">
        <v>9607</v>
      </c>
      <c r="AQ64" s="464"/>
      <c r="AR64" s="460"/>
      <c r="AS64" s="56"/>
      <c r="AT64" s="185"/>
      <c r="AU64" s="318"/>
      <c r="AV64" s="223">
        <v>23.734000000000002</v>
      </c>
      <c r="AW64" s="318">
        <v>0</v>
      </c>
      <c r="AX64" s="223">
        <v>-23.734000000000002</v>
      </c>
      <c r="AY64" s="318">
        <f t="shared" si="40"/>
        <v>0</v>
      </c>
      <c r="AZ64" s="223"/>
      <c r="BA64" s="318"/>
      <c r="BB64" s="519">
        <f t="shared" si="41"/>
        <v>0</v>
      </c>
      <c r="BC64" s="518">
        <v>0</v>
      </c>
      <c r="BD64" s="518">
        <v>0</v>
      </c>
      <c r="BE64" s="518">
        <v>0</v>
      </c>
      <c r="BF64" s="518">
        <v>0</v>
      </c>
      <c r="BG64" s="518">
        <v>0</v>
      </c>
      <c r="BH64" s="518">
        <v>0</v>
      </c>
      <c r="BI64" s="518">
        <v>0</v>
      </c>
      <c r="BJ64" s="518">
        <v>0</v>
      </c>
      <c r="BK64" s="518">
        <v>0</v>
      </c>
      <c r="BL64" s="518">
        <v>0</v>
      </c>
      <c r="BM64" s="518">
        <v>0</v>
      </c>
      <c r="BN64" s="518">
        <v>0</v>
      </c>
      <c r="BO64" s="367">
        <f t="shared" si="14"/>
        <v>0</v>
      </c>
      <c r="BP64" s="421">
        <v>0</v>
      </c>
      <c r="BQ64" s="422">
        <v>0</v>
      </c>
      <c r="BR64" s="423">
        <f>IFERROR(IF(LEFT($A64,3)="Lcp",SUMIFS('BASE-LCP'!$K:$K,'BASE-LCP'!$A:$A,Capex!$A43,'BASE-LCP'!$B:$B,"janeiro")/1000,IF(LEFT($A64,3)="icp",SUMIFS('BASE-ICP'!$K:$K,'BASE-ICP'!$A:$A,Capex!$A43,'BASE-ICP'!$B:$B,"janeiro")/1000,"")),"")</f>
        <v>0</v>
      </c>
      <c r="BS64" s="427">
        <v>0</v>
      </c>
      <c r="BT64" s="372">
        <v>0</v>
      </c>
      <c r="BU64" s="422">
        <v>0</v>
      </c>
      <c r="BV64" s="423">
        <f>IFERROR(IF(LEFT($A64,3)="Lcp",SUMIFS('BASE-LCP'!$K:$K,'BASE-LCP'!$A:$A,Capex!$A43,'BASE-LCP'!$B:$B,"fevereiro")/1000,IF(LEFT($A64,3)="icp",SUMIFS('BASE-ICP'!$K:$K,'BASE-ICP'!$A:$A,Capex!$A43,'BASE-ICP'!$B:$B,"fevereiro")/1000,"")),"")</f>
        <v>0</v>
      </c>
      <c r="BW64" s="427">
        <v>0</v>
      </c>
      <c r="BX64" s="372">
        <v>0</v>
      </c>
      <c r="BY64" s="419">
        <v>0</v>
      </c>
      <c r="BZ64" s="423">
        <f>IFERROR(IF(LEFT($A64,3)="Lcp",SUMIFS('BASE-LCP'!$K:$K,'BASE-LCP'!$A:$A,Capex!$A43,'BASE-LCP'!$B:$B,"março")/1000,IF(LEFT($A64,3)="icp",SUMIFS('BASE-ICP'!$K:$K,'BASE-ICP'!$A:$A,Capex!$A43,'BASE-ICP'!$B:$B,"março")/1000,"")),"")</f>
        <v>0</v>
      </c>
      <c r="CA64" s="427">
        <v>0</v>
      </c>
      <c r="CB64" s="372">
        <v>0</v>
      </c>
      <c r="CC64" s="422"/>
      <c r="CD64" s="423">
        <f>IFERROR(IF(LEFT($A64,3)="Lcp",SUMIFS('BASE-LCP'!$K:$K,'BASE-LCP'!$A:$A,Capex!$A43,'BASE-LCP'!$B:$B,"abril")/1000,IF(LEFT($A64,3)="icp",SUMIFS('BASE-ICP'!$K:$K,'BASE-ICP'!$A:$A,Capex!$A43,'BASE-ICP'!$B:$B,"abril")/1000,"")),"")</f>
        <v>0</v>
      </c>
      <c r="CE64" s="427">
        <v>0</v>
      </c>
      <c r="CF64" s="372">
        <v>0</v>
      </c>
      <c r="CG64" s="419">
        <f t="shared" si="42"/>
        <v>0</v>
      </c>
      <c r="CH64" s="423">
        <v>0</v>
      </c>
      <c r="CI64" s="427">
        <v>0</v>
      </c>
      <c r="CJ64" s="372">
        <v>0</v>
      </c>
      <c r="CK64" s="419"/>
      <c r="CL64" s="423">
        <f>IFERROR(IF(LEFT($A64,3)="Lcp",SUMIFS('BASE-LCP'!$K:$K,'BASE-LCP'!$A:$A,Capex!$A43,'BASE-LCP'!$B:$B,"junho")/1000,IF(LEFT($A64,3)="icp",SUMIFS('BASE-ICP'!$K:$K,'BASE-ICP'!$A:$A,Capex!$A43,'BASE-ICP'!$B:$B,"junho")/1000,"")),"")</f>
        <v>0</v>
      </c>
      <c r="CM64" s="427">
        <v>0</v>
      </c>
      <c r="CN64" s="372"/>
      <c r="CO64" s="419"/>
      <c r="CP64" s="423">
        <f>IFERROR(IF(LEFT($A64,3)="Lcp",SUMIFS('BASE-LCP'!$K:$K,'BASE-LCP'!$A:$A,Capex!$A43,'BASE-LCP'!$B:$B,"julho")/1000,IF(LEFT($A64,3)="icp",SUMIFS('BASE-ICP'!$K:$K,'BASE-ICP'!$A:$A,Capex!$A43,'BASE-ICP'!$B:$B,"julho")/1000,"")),"")</f>
        <v>0</v>
      </c>
      <c r="CQ64" s="427">
        <v>0</v>
      </c>
      <c r="CR64" s="372"/>
      <c r="CS64" s="419"/>
      <c r="CT64" s="423">
        <f>IFERROR(IF(LEFT($A64,3)="Lcp",SUMIFS('BASE-LCP'!$K:$K,'BASE-LCP'!$A:$A,Capex!$A43,'BASE-LCP'!$B:$B,"agosto")/1000,IF(LEFT($A64,3)="icp",SUMIFS('BASE-ICP'!$K:$K,'BASE-ICP'!$A:$A,Capex!$A43,'BASE-ICP'!$B:$B,"agosto")/1000,"")),"")</f>
        <v>0</v>
      </c>
      <c r="CU64" s="427">
        <v>0</v>
      </c>
      <c r="CV64" s="372"/>
      <c r="CW64" s="419"/>
      <c r="CX64" s="423">
        <f>IFERROR(IF(LEFT($A64,3)="Lcp",SUMIFS('BASE-LCP'!$K:$K,'BASE-LCP'!$A:$A,Capex!$A43,'BASE-LCP'!$B:$B,"setembro")/1000,IF(LEFT($A64,3)="icp",SUMIFS('BASE-ICP'!$K:$K,'BASE-ICP'!$A:$A,Capex!$A43,'BASE-ICP'!$B:$B,"setembro")/1000,"")),"")</f>
        <v>0</v>
      </c>
      <c r="CY64" s="427">
        <v>0</v>
      </c>
      <c r="CZ64" s="372"/>
      <c r="DA64" s="419"/>
      <c r="DB64" s="423">
        <f>IFERROR(IF(LEFT($A64,3)="Lcp",SUMIFS('BASE-LCP'!$K:$K,'BASE-LCP'!$A:$A,Capex!$A43,'BASE-LCP'!$B:$B,"outubro")/1000,IF(LEFT($A64,3)="icp",SUMIFS('BASE-ICP'!$K:$K,'BASE-ICP'!$A:$A,Capex!$A43,'BASE-ICP'!$B:$B,"outubro")/1000,"")),"")</f>
        <v>0</v>
      </c>
      <c r="DC64" s="427">
        <v>0</v>
      </c>
      <c r="DD64" s="372"/>
      <c r="DE64" s="419"/>
      <c r="DF64" s="423">
        <f>IFERROR(IF(LEFT($A64,3)="Lcp",SUMIFS('BASE-LCP'!$K:$K,'BASE-LCP'!$A:$A,Capex!$A43,'BASE-LCP'!$B:$B,"novembro")/1000,IF(LEFT($A64,3)="icp",SUMIFS('BASE-ICP'!$K:$K,'BASE-ICP'!$A:$A,Capex!$A43,'BASE-ICP'!$B:$B,"novembro")/1000,"")),"")</f>
        <v>0</v>
      </c>
      <c r="DG64" s="427">
        <v>0</v>
      </c>
      <c r="DH64" s="372"/>
      <c r="DI64" s="419"/>
      <c r="DJ64" s="423">
        <f>IFERROR(IF(LEFT($A64,3)="Lcp",SUMIFS('BASE-LCP'!$K:$K,'BASE-LCP'!$A:$A,Capex!$A43,'BASE-LCP'!$B:$B,"dezembro")/1000,IF(LEFT($A64,3)="icp",SUMIFS('BASE-ICP'!$K:$K,'BASE-ICP'!$A:$A,Capex!$A43,'BASE-ICP'!$B:$B,"dezembro")/1000,"")),"")</f>
        <v>0</v>
      </c>
      <c r="DK64" s="427">
        <v>0</v>
      </c>
      <c r="DL64" s="452">
        <f t="shared" si="15"/>
        <v>0</v>
      </c>
      <c r="DM64" s="374"/>
      <c r="DN64" s="374">
        <v>0</v>
      </c>
      <c r="DO64" s="374"/>
      <c r="DP64" s="374"/>
      <c r="DQ64" s="374"/>
      <c r="DR64" s="374"/>
      <c r="DS64" s="374"/>
      <c r="DT64" s="374"/>
      <c r="DU64" s="374"/>
      <c r="DV64" s="374"/>
      <c r="DW64" s="374"/>
      <c r="DX64" s="374"/>
      <c r="DY64" s="450"/>
      <c r="DZ64" s="374">
        <f t="shared" si="16"/>
        <v>0</v>
      </c>
      <c r="EA64" s="216">
        <f t="shared" si="17"/>
        <v>0</v>
      </c>
      <c r="EB64" s="320">
        <f t="shared" si="18"/>
        <v>0</v>
      </c>
      <c r="EC64" s="241">
        <f t="shared" si="19"/>
        <v>0</v>
      </c>
      <c r="ED64" s="241">
        <f t="shared" si="20"/>
        <v>0</v>
      </c>
      <c r="EE64" s="241">
        <f t="shared" si="21"/>
        <v>0</v>
      </c>
      <c r="EF64" s="241">
        <f t="shared" si="22"/>
        <v>0</v>
      </c>
      <c r="EG64" s="346">
        <f t="shared" si="23"/>
        <v>0</v>
      </c>
      <c r="EH64" s="445">
        <f t="shared" si="24"/>
        <v>0</v>
      </c>
      <c r="EI64" s="447">
        <f t="shared" si="25"/>
        <v>0</v>
      </c>
      <c r="EJ64" s="364">
        <f t="shared" si="26"/>
        <v>0</v>
      </c>
      <c r="EK64" s="365">
        <f t="shared" si="27"/>
        <v>0</v>
      </c>
      <c r="EL64" s="529">
        <f t="shared" si="28"/>
        <v>0</v>
      </c>
      <c r="EM64" s="530">
        <v>0</v>
      </c>
      <c r="EN64" s="530">
        <v>0</v>
      </c>
      <c r="EO64" s="530">
        <v>0</v>
      </c>
      <c r="EP64" s="530">
        <v>0</v>
      </c>
      <c r="EQ64" s="530">
        <v>0</v>
      </c>
      <c r="ER64" s="530">
        <v>0</v>
      </c>
      <c r="ES64" s="530">
        <v>0</v>
      </c>
      <c r="ET64" s="530">
        <v>0</v>
      </c>
      <c r="EU64" s="530">
        <v>0</v>
      </c>
      <c r="EV64" s="530">
        <v>0</v>
      </c>
      <c r="EW64" s="530">
        <v>0</v>
      </c>
      <c r="EX64" s="530">
        <v>0</v>
      </c>
      <c r="EY64" s="530">
        <f t="shared" si="29"/>
        <v>0</v>
      </c>
      <c r="EZ64" s="530">
        <f t="shared" si="30"/>
        <v>0</v>
      </c>
      <c r="FA64" s="530">
        <f t="shared" si="31"/>
        <v>0</v>
      </c>
      <c r="FB64" s="530">
        <f t="shared" si="32"/>
        <v>0</v>
      </c>
      <c r="FC64" s="384" t="str">
        <f>IFERROR(VLOOKUP(Capex!A43,BASE_558!D:R,8,FALSE)/1000,"")</f>
        <v/>
      </c>
      <c r="FD64" s="328" t="str">
        <f>IFERROR(VLOOKUP(Capex!A43,BASE_558!D:R,9,)/1000,"")</f>
        <v/>
      </c>
      <c r="FE64" s="328">
        <f>IFERROR(IF(LEFT(A64,3)="LCP",(VLOOKUP(Capex!A43,BASE_558!D:R,10,)/1000),SUMIFS('BASE ICP_PO_SC'!F:F,'BASE ICP_PO_SC'!A:A,Capex!A43,'BASE ICP_PO_SC'!E:E,"&lt;&gt;")/1000),"")</f>
        <v>0</v>
      </c>
      <c r="FF64" s="328">
        <f>IFERROR(IF(LEFT(A64,3)="LCP",(VLOOKUP(Capex!A43,BASE_558!D:R,11,)/1000),SUMIFS('BASE ICP_PO_SC'!F:F,'BASE ICP_PO_SC'!A:A,Capex!A43,'BASE ICP_PO_SC'!E:E,"")/1000),"")</f>
        <v>0</v>
      </c>
      <c r="FG64" s="328" t="str">
        <f>IFERROR(VLOOKUP(A64,BASE_558!D:R,13,FALSE)/1000,"")</f>
        <v/>
      </c>
      <c r="FH64" s="328" t="str">
        <f>IFERROR(VLOOKUP(A64,BASE_558!D:R,15,FALSE)/1000,"")</f>
        <v/>
      </c>
      <c r="FI64" s="547">
        <f t="shared" si="33"/>
        <v>0</v>
      </c>
      <c r="FJ64" s="547">
        <f t="shared" si="34"/>
        <v>0</v>
      </c>
      <c r="FK64" s="540">
        <f t="shared" si="35"/>
        <v>0</v>
      </c>
    </row>
    <row r="65" spans="1:167" s="23" customFormat="1" ht="22.5" customHeight="1">
      <c r="A65" s="309" t="s">
        <v>2419</v>
      </c>
      <c r="B65" s="404" t="s">
        <v>2314</v>
      </c>
      <c r="C65" s="404"/>
      <c r="D65" s="338"/>
      <c r="E65" s="378"/>
      <c r="F65" s="5"/>
      <c r="G65" s="310" t="s">
        <v>9</v>
      </c>
      <c r="H65" s="338"/>
      <c r="I65" s="338"/>
      <c r="J65" s="338">
        <v>2022</v>
      </c>
      <c r="K65" s="316"/>
      <c r="L65" s="324"/>
      <c r="M65" s="409"/>
      <c r="N65" s="317" t="str">
        <f t="shared" si="38"/>
        <v/>
      </c>
      <c r="O65" s="317" t="str">
        <f t="shared" si="39"/>
        <v/>
      </c>
      <c r="P65" s="418" t="str">
        <f t="shared" ref="P65:AA74" si="47">IF($N65="","N/A",IF($O65="","N/A",IF(P$2&lt;=$N65,"NÃO",IF($AJ65="REL ","SIM",IF(P$2&lt;$O65,"NÃO",IF($AJ65&lt;&gt;"CLSD","SIM","CRTD"))))))</f>
        <v>N/A</v>
      </c>
      <c r="Q65" s="418" t="str">
        <f t="shared" si="47"/>
        <v>N/A</v>
      </c>
      <c r="R65" s="418" t="str">
        <f t="shared" si="47"/>
        <v>N/A</v>
      </c>
      <c r="S65" s="418" t="str">
        <f t="shared" si="47"/>
        <v>N/A</v>
      </c>
      <c r="T65" s="418" t="str">
        <f t="shared" si="47"/>
        <v>N/A</v>
      </c>
      <c r="U65" s="418" t="str">
        <f t="shared" si="47"/>
        <v>N/A</v>
      </c>
      <c r="V65" s="418" t="str">
        <f t="shared" si="47"/>
        <v>N/A</v>
      </c>
      <c r="W65" s="418" t="str">
        <f t="shared" si="47"/>
        <v>N/A</v>
      </c>
      <c r="X65" s="418" t="str">
        <f t="shared" si="47"/>
        <v>N/A</v>
      </c>
      <c r="Y65" s="418" t="str">
        <f t="shared" si="47"/>
        <v>N/A</v>
      </c>
      <c r="Z65" s="418" t="str">
        <f t="shared" si="47"/>
        <v>N/A</v>
      </c>
      <c r="AA65" s="418" t="str">
        <f t="shared" si="47"/>
        <v>N/A</v>
      </c>
      <c r="AB65" s="317"/>
      <c r="AC65" s="309" t="s">
        <v>3932</v>
      </c>
      <c r="AD65" s="311"/>
      <c r="AE65" s="311"/>
      <c r="AF65" s="310" t="s">
        <v>6988</v>
      </c>
      <c r="AG65" s="310" t="s">
        <v>1125</v>
      </c>
      <c r="AH65" s="310" t="s">
        <v>2316</v>
      </c>
      <c r="AI65" s="309" t="s">
        <v>2255</v>
      </c>
      <c r="AJ65" s="6" t="s">
        <v>218</v>
      </c>
      <c r="AK65" s="6" t="str">
        <f t="shared" si="10"/>
        <v>IGUAL</v>
      </c>
      <c r="AL65" s="151" t="str">
        <f>IFERROR(IF(LEFT(A65,3)="LCP",VLOOKUP(A65,STATUS_SAP_LCP!B:C,2,FALSE),VLOOKUP(A65,STATUS_SAP_ICP!B:C,2,FALSE)),"NO BUDGET")</f>
        <v>CLSD BUDG ISBD AVAC  //  BREL WPLI</v>
      </c>
      <c r="AM65" s="6" t="s">
        <v>218</v>
      </c>
      <c r="AN65" s="282" t="s">
        <v>2651</v>
      </c>
      <c r="AO65" s="557"/>
      <c r="AP65" s="499" t="s">
        <v>9607</v>
      </c>
      <c r="AQ65" s="464"/>
      <c r="AR65" s="460"/>
      <c r="AS65" s="56"/>
      <c r="AT65" s="185"/>
      <c r="AU65" s="318">
        <v>0</v>
      </c>
      <c r="AV65" s="223">
        <v>0.68801999999999996</v>
      </c>
      <c r="AW65" s="318">
        <v>41.526239999999987</v>
      </c>
      <c r="AX65" s="223">
        <v>-42.193270000000005</v>
      </c>
      <c r="AY65" s="318">
        <f t="shared" si="40"/>
        <v>0</v>
      </c>
      <c r="AZ65" s="223"/>
      <c r="BA65" s="318"/>
      <c r="BB65" s="519">
        <f t="shared" si="41"/>
        <v>0</v>
      </c>
      <c r="BC65" s="518">
        <v>0</v>
      </c>
      <c r="BD65" s="518">
        <v>0</v>
      </c>
      <c r="BE65" s="518">
        <v>0</v>
      </c>
      <c r="BF65" s="518">
        <v>0</v>
      </c>
      <c r="BG65" s="518">
        <v>0</v>
      </c>
      <c r="BH65" s="518">
        <v>0</v>
      </c>
      <c r="BI65" s="518">
        <v>0</v>
      </c>
      <c r="BJ65" s="518">
        <v>0</v>
      </c>
      <c r="BK65" s="518">
        <v>0</v>
      </c>
      <c r="BL65" s="518">
        <v>0</v>
      </c>
      <c r="BM65" s="518">
        <v>0</v>
      </c>
      <c r="BN65" s="518">
        <v>0</v>
      </c>
      <c r="BO65" s="367">
        <f t="shared" si="14"/>
        <v>0</v>
      </c>
      <c r="BP65" s="421">
        <v>0</v>
      </c>
      <c r="BQ65" s="422">
        <v>0</v>
      </c>
      <c r="BR65" s="423">
        <f>IFERROR(IF(LEFT($A65,3)="Lcp",SUMIFS('BASE-LCP'!$K:$K,'BASE-LCP'!$A:$A,Capex!$A44,'BASE-LCP'!$B:$B,"janeiro")/1000,IF(LEFT($A65,3)="icp",SUMIFS('BASE-ICP'!$K:$K,'BASE-ICP'!$A:$A,Capex!$A44,'BASE-ICP'!$B:$B,"janeiro")/1000,"")),"")</f>
        <v>0</v>
      </c>
      <c r="BS65" s="427">
        <v>0</v>
      </c>
      <c r="BT65" s="372">
        <v>0</v>
      </c>
      <c r="BU65" s="422">
        <v>0</v>
      </c>
      <c r="BV65" s="423">
        <f>IFERROR(IF(LEFT($A65,3)="Lcp",SUMIFS('BASE-LCP'!$K:$K,'BASE-LCP'!$A:$A,Capex!$A44,'BASE-LCP'!$B:$B,"fevereiro")/1000,IF(LEFT($A65,3)="icp",SUMIFS('BASE-ICP'!$K:$K,'BASE-ICP'!$A:$A,Capex!$A44,'BASE-ICP'!$B:$B,"fevereiro")/1000,"")),"")</f>
        <v>0</v>
      </c>
      <c r="BW65" s="427">
        <v>0</v>
      </c>
      <c r="BX65" s="372">
        <v>0</v>
      </c>
      <c r="BY65" s="419">
        <v>0</v>
      </c>
      <c r="BZ65" s="423">
        <f>IFERROR(IF(LEFT($A65,3)="Lcp",SUMIFS('BASE-LCP'!$K:$K,'BASE-LCP'!$A:$A,Capex!$A44,'BASE-LCP'!$B:$B,"março")/1000,IF(LEFT($A65,3)="icp",SUMIFS('BASE-ICP'!$K:$K,'BASE-ICP'!$A:$A,Capex!$A44,'BASE-ICP'!$B:$B,"março")/1000,"")),"")</f>
        <v>0</v>
      </c>
      <c r="CA65" s="427">
        <v>0</v>
      </c>
      <c r="CB65" s="372">
        <v>0</v>
      </c>
      <c r="CC65" s="422"/>
      <c r="CD65" s="423">
        <f>IFERROR(IF(LEFT($A65,3)="Lcp",SUMIFS('BASE-LCP'!$K:$K,'BASE-LCP'!$A:$A,Capex!$A44,'BASE-LCP'!$B:$B,"abril")/1000,IF(LEFT($A65,3)="icp",SUMIFS('BASE-ICP'!$K:$K,'BASE-ICP'!$A:$A,Capex!$A44,'BASE-ICP'!$B:$B,"abril")/1000,"")),"")</f>
        <v>0</v>
      </c>
      <c r="CE65" s="427">
        <v>0</v>
      </c>
      <c r="CF65" s="372">
        <v>0</v>
      </c>
      <c r="CG65" s="419">
        <f t="shared" si="42"/>
        <v>0</v>
      </c>
      <c r="CH65" s="423">
        <v>0</v>
      </c>
      <c r="CI65" s="427">
        <v>0</v>
      </c>
      <c r="CJ65" s="372">
        <v>0</v>
      </c>
      <c r="CK65" s="419"/>
      <c r="CL65" s="423">
        <f>IFERROR(IF(LEFT($A65,3)="Lcp",SUMIFS('BASE-LCP'!$K:$K,'BASE-LCP'!$A:$A,Capex!$A44,'BASE-LCP'!$B:$B,"junho")/1000,IF(LEFT($A65,3)="icp",SUMIFS('BASE-ICP'!$K:$K,'BASE-ICP'!$A:$A,Capex!$A44,'BASE-ICP'!$B:$B,"junho")/1000,"")),"")</f>
        <v>0</v>
      </c>
      <c r="CM65" s="427">
        <v>0</v>
      </c>
      <c r="CN65" s="372"/>
      <c r="CO65" s="419"/>
      <c r="CP65" s="423">
        <f>IFERROR(IF(LEFT($A65,3)="Lcp",SUMIFS('BASE-LCP'!$K:$K,'BASE-LCP'!$A:$A,Capex!$A44,'BASE-LCP'!$B:$B,"julho")/1000,IF(LEFT($A65,3)="icp",SUMIFS('BASE-ICP'!$K:$K,'BASE-ICP'!$A:$A,Capex!$A44,'BASE-ICP'!$B:$B,"julho")/1000,"")),"")</f>
        <v>0</v>
      </c>
      <c r="CQ65" s="427">
        <v>0</v>
      </c>
      <c r="CR65" s="372"/>
      <c r="CS65" s="419"/>
      <c r="CT65" s="423">
        <f>IFERROR(IF(LEFT($A65,3)="Lcp",SUMIFS('BASE-LCP'!$K:$K,'BASE-LCP'!$A:$A,Capex!$A44,'BASE-LCP'!$B:$B,"agosto")/1000,IF(LEFT($A65,3)="icp",SUMIFS('BASE-ICP'!$K:$K,'BASE-ICP'!$A:$A,Capex!$A44,'BASE-ICP'!$B:$B,"agosto")/1000,"")),"")</f>
        <v>0</v>
      </c>
      <c r="CU65" s="427">
        <v>0</v>
      </c>
      <c r="CV65" s="372"/>
      <c r="CW65" s="419"/>
      <c r="CX65" s="423">
        <f>IFERROR(IF(LEFT($A65,3)="Lcp",SUMIFS('BASE-LCP'!$K:$K,'BASE-LCP'!$A:$A,Capex!$A44,'BASE-LCP'!$B:$B,"setembro")/1000,IF(LEFT($A65,3)="icp",SUMIFS('BASE-ICP'!$K:$K,'BASE-ICP'!$A:$A,Capex!$A44,'BASE-ICP'!$B:$B,"setembro")/1000,"")),"")</f>
        <v>0</v>
      </c>
      <c r="CY65" s="427">
        <v>0</v>
      </c>
      <c r="CZ65" s="372"/>
      <c r="DA65" s="419"/>
      <c r="DB65" s="423">
        <f>IFERROR(IF(LEFT($A65,3)="Lcp",SUMIFS('BASE-LCP'!$K:$K,'BASE-LCP'!$A:$A,Capex!$A44,'BASE-LCP'!$B:$B,"outubro")/1000,IF(LEFT($A65,3)="icp",SUMIFS('BASE-ICP'!$K:$K,'BASE-ICP'!$A:$A,Capex!$A44,'BASE-ICP'!$B:$B,"outubro")/1000,"")),"")</f>
        <v>0</v>
      </c>
      <c r="DC65" s="427">
        <v>0</v>
      </c>
      <c r="DD65" s="372"/>
      <c r="DE65" s="419"/>
      <c r="DF65" s="423">
        <f>IFERROR(IF(LEFT($A65,3)="Lcp",SUMIFS('BASE-LCP'!$K:$K,'BASE-LCP'!$A:$A,Capex!$A44,'BASE-LCP'!$B:$B,"novembro")/1000,IF(LEFT($A65,3)="icp",SUMIFS('BASE-ICP'!$K:$K,'BASE-ICP'!$A:$A,Capex!$A44,'BASE-ICP'!$B:$B,"novembro")/1000,"")),"")</f>
        <v>0</v>
      </c>
      <c r="DG65" s="427">
        <v>0</v>
      </c>
      <c r="DH65" s="372"/>
      <c r="DI65" s="419"/>
      <c r="DJ65" s="423">
        <f>IFERROR(IF(LEFT($A65,3)="Lcp",SUMIFS('BASE-LCP'!$K:$K,'BASE-LCP'!$A:$A,Capex!$A44,'BASE-LCP'!$B:$B,"dezembro")/1000,IF(LEFT($A65,3)="icp",SUMIFS('BASE-ICP'!$K:$K,'BASE-ICP'!$A:$A,Capex!$A44,'BASE-ICP'!$B:$B,"dezembro")/1000,"")),"")</f>
        <v>0</v>
      </c>
      <c r="DK65" s="427">
        <v>0</v>
      </c>
      <c r="DL65" s="452">
        <f t="shared" si="15"/>
        <v>0</v>
      </c>
      <c r="DM65" s="374"/>
      <c r="DN65" s="374">
        <v>0</v>
      </c>
      <c r="DO65" s="374"/>
      <c r="DP65" s="374"/>
      <c r="DQ65" s="374"/>
      <c r="DR65" s="374"/>
      <c r="DS65" s="374"/>
      <c r="DT65" s="374"/>
      <c r="DU65" s="374"/>
      <c r="DV65" s="374"/>
      <c r="DW65" s="374"/>
      <c r="DX65" s="374"/>
      <c r="DY65" s="450"/>
      <c r="DZ65" s="374">
        <f t="shared" si="16"/>
        <v>0</v>
      </c>
      <c r="EA65" s="216">
        <f t="shared" si="17"/>
        <v>0</v>
      </c>
      <c r="EB65" s="320">
        <f t="shared" si="18"/>
        <v>0</v>
      </c>
      <c r="EC65" s="241">
        <f t="shared" si="19"/>
        <v>0</v>
      </c>
      <c r="ED65" s="241">
        <f t="shared" si="20"/>
        <v>0</v>
      </c>
      <c r="EE65" s="241">
        <f t="shared" si="21"/>
        <v>0</v>
      </c>
      <c r="EF65" s="241">
        <f t="shared" si="22"/>
        <v>0</v>
      </c>
      <c r="EG65" s="346">
        <f t="shared" si="23"/>
        <v>0</v>
      </c>
      <c r="EH65" s="445">
        <f t="shared" si="24"/>
        <v>0</v>
      </c>
      <c r="EI65" s="447">
        <f t="shared" si="25"/>
        <v>0</v>
      </c>
      <c r="EJ65" s="364">
        <f t="shared" si="26"/>
        <v>0</v>
      </c>
      <c r="EK65" s="365">
        <f t="shared" si="27"/>
        <v>0</v>
      </c>
      <c r="EL65" s="529">
        <f t="shared" si="28"/>
        <v>0</v>
      </c>
      <c r="EM65" s="530">
        <v>0</v>
      </c>
      <c r="EN65" s="530">
        <v>0</v>
      </c>
      <c r="EO65" s="530">
        <v>0</v>
      </c>
      <c r="EP65" s="530">
        <v>0</v>
      </c>
      <c r="EQ65" s="530">
        <v>0</v>
      </c>
      <c r="ER65" s="530">
        <v>0</v>
      </c>
      <c r="ES65" s="530">
        <v>0</v>
      </c>
      <c r="ET65" s="530">
        <v>0</v>
      </c>
      <c r="EU65" s="530">
        <v>0</v>
      </c>
      <c r="EV65" s="530">
        <v>0</v>
      </c>
      <c r="EW65" s="530">
        <v>0</v>
      </c>
      <c r="EX65" s="530">
        <v>0</v>
      </c>
      <c r="EY65" s="530">
        <f t="shared" si="29"/>
        <v>0</v>
      </c>
      <c r="EZ65" s="530">
        <f t="shared" si="30"/>
        <v>0</v>
      </c>
      <c r="FA65" s="530">
        <f t="shared" si="31"/>
        <v>0</v>
      </c>
      <c r="FB65" s="530">
        <f t="shared" si="32"/>
        <v>0</v>
      </c>
      <c r="FC65" s="384" t="str">
        <f>IFERROR(VLOOKUP(Capex!A44,BASE_558!D:R,8,FALSE)/1000,"")</f>
        <v/>
      </c>
      <c r="FD65" s="328" t="str">
        <f>IFERROR(VLOOKUP(Capex!A44,BASE_558!D:R,9,)/1000,"")</f>
        <v/>
      </c>
      <c r="FE65" s="328">
        <f>IFERROR(IF(LEFT(A65,3)="LCP",(VLOOKUP(Capex!A44,BASE_558!D:R,10,)/1000),SUMIFS('BASE ICP_PO_SC'!F:F,'BASE ICP_PO_SC'!A:A,Capex!A44,'BASE ICP_PO_SC'!E:E,"&lt;&gt;")/1000),"")</f>
        <v>0</v>
      </c>
      <c r="FF65" s="328">
        <f>IFERROR(IF(LEFT(A65,3)="LCP",(VLOOKUP(Capex!A44,BASE_558!D:R,11,)/1000),SUMIFS('BASE ICP_PO_SC'!F:F,'BASE ICP_PO_SC'!A:A,Capex!A44,'BASE ICP_PO_SC'!E:E,"")/1000),"")</f>
        <v>0</v>
      </c>
      <c r="FG65" s="328" t="str">
        <f>IFERROR(VLOOKUP(A65,BASE_558!D:R,13,FALSE)/1000,"")</f>
        <v/>
      </c>
      <c r="FH65" s="328" t="str">
        <f>IFERROR(VLOOKUP(A65,BASE_558!D:R,15,FALSE)/1000,"")</f>
        <v/>
      </c>
      <c r="FI65" s="547">
        <f t="shared" si="33"/>
        <v>0</v>
      </c>
      <c r="FJ65" s="547">
        <f t="shared" si="34"/>
        <v>0</v>
      </c>
      <c r="FK65" s="540">
        <f t="shared" si="35"/>
        <v>0</v>
      </c>
    </row>
    <row r="66" spans="1:167" s="23" customFormat="1" ht="24" customHeight="1">
      <c r="A66" s="309" t="s">
        <v>2421</v>
      </c>
      <c r="B66" s="404" t="s">
        <v>1155</v>
      </c>
      <c r="C66" s="404"/>
      <c r="D66" s="338"/>
      <c r="E66" s="378"/>
      <c r="F66" s="5"/>
      <c r="G66" s="310" t="s">
        <v>9</v>
      </c>
      <c r="H66" s="338"/>
      <c r="I66" s="338"/>
      <c r="J66" s="338">
        <v>2022</v>
      </c>
      <c r="K66" s="316"/>
      <c r="L66" s="324"/>
      <c r="M66" s="409"/>
      <c r="N66" s="317" t="str">
        <f t="shared" si="38"/>
        <v/>
      </c>
      <c r="O66" s="317" t="str">
        <f t="shared" si="39"/>
        <v/>
      </c>
      <c r="P66" s="418" t="str">
        <f t="shared" si="47"/>
        <v>N/A</v>
      </c>
      <c r="Q66" s="418" t="str">
        <f t="shared" si="47"/>
        <v>N/A</v>
      </c>
      <c r="R66" s="418" t="str">
        <f t="shared" si="47"/>
        <v>N/A</v>
      </c>
      <c r="S66" s="418" t="str">
        <f t="shared" si="47"/>
        <v>N/A</v>
      </c>
      <c r="T66" s="418" t="str">
        <f t="shared" si="47"/>
        <v>N/A</v>
      </c>
      <c r="U66" s="418" t="str">
        <f t="shared" si="47"/>
        <v>N/A</v>
      </c>
      <c r="V66" s="418" t="str">
        <f t="shared" si="47"/>
        <v>N/A</v>
      </c>
      <c r="W66" s="418" t="str">
        <f t="shared" si="47"/>
        <v>N/A</v>
      </c>
      <c r="X66" s="418" t="str">
        <f t="shared" si="47"/>
        <v>N/A</v>
      </c>
      <c r="Y66" s="418" t="str">
        <f t="shared" si="47"/>
        <v>N/A</v>
      </c>
      <c r="Z66" s="418" t="str">
        <f t="shared" si="47"/>
        <v>N/A</v>
      </c>
      <c r="AA66" s="418" t="str">
        <f t="shared" si="47"/>
        <v>N/A</v>
      </c>
      <c r="AB66" s="317"/>
      <c r="AC66" s="309" t="s">
        <v>3932</v>
      </c>
      <c r="AD66" s="311" t="s">
        <v>985</v>
      </c>
      <c r="AE66" s="311" t="s">
        <v>953</v>
      </c>
      <c r="AF66" s="310" t="s">
        <v>6988</v>
      </c>
      <c r="AG66" s="310" t="s">
        <v>2186</v>
      </c>
      <c r="AH66" s="310" t="s">
        <v>1163</v>
      </c>
      <c r="AI66" s="309" t="s">
        <v>2255</v>
      </c>
      <c r="AJ66" s="6" t="s">
        <v>6786</v>
      </c>
      <c r="AK66" s="6" t="str">
        <f t="shared" si="10"/>
        <v>IGUAL</v>
      </c>
      <c r="AL66" s="151" t="str">
        <f>IFERROR(IF(LEFT(A66,3)="LCP",VLOOKUP(A66,STATUS_SAP_LCP!B:C,2,FALSE),VLOOKUP(A66,STATUS_SAP_ICP!B:C,2,FALSE)),"NO BUDGET")</f>
        <v>PREL BUDG AVAC  //  BREL WPLI</v>
      </c>
      <c r="AM66" s="6" t="str">
        <f t="shared" ref="AM66:AM129" si="48">IF(LEFT(AL66,4)="PREL","REL ",IF(LEFT(AL66,9)="NO BUDGET","NO BUDGET",LEFT(AL66,4)))</f>
        <v xml:space="preserve">REL </v>
      </c>
      <c r="AN66" s="428" t="s">
        <v>8930</v>
      </c>
      <c r="AO66" s="557"/>
      <c r="AP66" s="499" t="s">
        <v>9616</v>
      </c>
      <c r="AQ66" s="464"/>
      <c r="AR66" s="460"/>
      <c r="AS66" s="56"/>
      <c r="AT66" s="185"/>
      <c r="AU66" s="318">
        <v>0</v>
      </c>
      <c r="AV66" s="223">
        <v>438.68565999999998</v>
      </c>
      <c r="AW66" s="318">
        <v>-315.59756999999996</v>
      </c>
      <c r="AX66" s="223">
        <v>-65.819550000000021</v>
      </c>
      <c r="AY66" s="318">
        <f t="shared" si="40"/>
        <v>-57.3</v>
      </c>
      <c r="AZ66" s="223"/>
      <c r="BA66" s="318"/>
      <c r="BB66" s="519">
        <f t="shared" si="41"/>
        <v>-57.3</v>
      </c>
      <c r="BC66" s="518">
        <v>-57.3</v>
      </c>
      <c r="BD66" s="518">
        <v>0</v>
      </c>
      <c r="BE66" s="518">
        <v>0</v>
      </c>
      <c r="BF66" s="518">
        <v>0</v>
      </c>
      <c r="BG66" s="518">
        <v>0</v>
      </c>
      <c r="BH66" s="518">
        <v>0</v>
      </c>
      <c r="BI66" s="518">
        <v>0</v>
      </c>
      <c r="BJ66" s="518">
        <v>0</v>
      </c>
      <c r="BK66" s="518">
        <v>0</v>
      </c>
      <c r="BL66" s="518">
        <v>0</v>
      </c>
      <c r="BM66" s="518">
        <v>0</v>
      </c>
      <c r="BN66" s="518">
        <v>0</v>
      </c>
      <c r="BO66" s="367">
        <f t="shared" si="14"/>
        <v>-57.3</v>
      </c>
      <c r="BP66" s="421">
        <v>-57.3</v>
      </c>
      <c r="BQ66" s="422">
        <v>0</v>
      </c>
      <c r="BR66" s="423">
        <f>IFERROR(IF(LEFT($A66,3)="Lcp",SUMIFS('BASE-LCP'!$K:$K,'BASE-LCP'!$A:$A,Capex!$A45,'BASE-LCP'!$B:$B,"janeiro")/1000,IF(LEFT($A66,3)="icp",SUMIFS('BASE-ICP'!$K:$K,'BASE-ICP'!$A:$A,Capex!$A45,'BASE-ICP'!$B:$B,"janeiro")/1000,"")),"")</f>
        <v>0</v>
      </c>
      <c r="BS66" s="427">
        <v>0</v>
      </c>
      <c r="BT66" s="372">
        <v>-57.3</v>
      </c>
      <c r="BU66" s="422">
        <v>0</v>
      </c>
      <c r="BV66" s="423">
        <f>IFERROR(IF(LEFT($A66,3)="Lcp",SUMIFS('BASE-LCP'!$K:$K,'BASE-LCP'!$A:$A,Capex!$A45,'BASE-LCP'!$B:$B,"fevereiro")/1000,IF(LEFT($A66,3)="icp",SUMIFS('BASE-ICP'!$K:$K,'BASE-ICP'!$A:$A,Capex!$A45,'BASE-ICP'!$B:$B,"fevereiro")/1000,"")),"")</f>
        <v>0</v>
      </c>
      <c r="BW66" s="427">
        <v>0</v>
      </c>
      <c r="BX66" s="372">
        <v>-57.3</v>
      </c>
      <c r="BY66" s="419">
        <v>0</v>
      </c>
      <c r="BZ66" s="423">
        <f>IFERROR(IF(LEFT($A66,3)="Lcp",SUMIFS('BASE-LCP'!$K:$K,'BASE-LCP'!$A:$A,Capex!$A45,'BASE-LCP'!$B:$B,"março")/1000,IF(LEFT($A66,3)="icp",SUMIFS('BASE-ICP'!$K:$K,'BASE-ICP'!$A:$A,Capex!$A45,'BASE-ICP'!$B:$B,"março")/1000,"")),"")</f>
        <v>0</v>
      </c>
      <c r="CA66" s="427">
        <v>0</v>
      </c>
      <c r="CB66" s="372">
        <v>-57.3</v>
      </c>
      <c r="CC66" s="422"/>
      <c r="CD66" s="423">
        <f>IFERROR(IF(LEFT($A66,3)="Lcp",SUMIFS('BASE-LCP'!$K:$K,'BASE-LCP'!$A:$A,Capex!$A45,'BASE-LCP'!$B:$B,"abril")/1000,IF(LEFT($A66,3)="icp",SUMIFS('BASE-ICP'!$K:$K,'BASE-ICP'!$A:$A,Capex!$A45,'BASE-ICP'!$B:$B,"abril")/1000,"")),"")</f>
        <v>0</v>
      </c>
      <c r="CE66" s="427">
        <v>0</v>
      </c>
      <c r="CF66" s="372">
        <v>-57.3</v>
      </c>
      <c r="CG66" s="419">
        <f t="shared" si="42"/>
        <v>0</v>
      </c>
      <c r="CH66" s="423">
        <v>0</v>
      </c>
      <c r="CI66" s="427">
        <v>0</v>
      </c>
      <c r="CJ66" s="372">
        <v>0</v>
      </c>
      <c r="CK66" s="419"/>
      <c r="CL66" s="423">
        <f>IFERROR(IF(LEFT($A66,3)="Lcp",SUMIFS('BASE-LCP'!$K:$K,'BASE-LCP'!$A:$A,Capex!$A45,'BASE-LCP'!$B:$B,"junho")/1000,IF(LEFT($A66,3)="icp",SUMIFS('BASE-ICP'!$K:$K,'BASE-ICP'!$A:$A,Capex!$A45,'BASE-ICP'!$B:$B,"junho")/1000,"")),"")</f>
        <v>0</v>
      </c>
      <c r="CM66" s="427">
        <v>0</v>
      </c>
      <c r="CN66" s="372"/>
      <c r="CO66" s="419"/>
      <c r="CP66" s="423">
        <f>IFERROR(IF(LEFT($A66,3)="Lcp",SUMIFS('BASE-LCP'!$K:$K,'BASE-LCP'!$A:$A,Capex!$A45,'BASE-LCP'!$B:$B,"julho")/1000,IF(LEFT($A66,3)="icp",SUMIFS('BASE-ICP'!$K:$K,'BASE-ICP'!$A:$A,Capex!$A45,'BASE-ICP'!$B:$B,"julho")/1000,"")),"")</f>
        <v>0</v>
      </c>
      <c r="CQ66" s="427">
        <v>0</v>
      </c>
      <c r="CR66" s="372"/>
      <c r="CS66" s="419"/>
      <c r="CT66" s="423">
        <f>IFERROR(IF(LEFT($A66,3)="Lcp",SUMIFS('BASE-LCP'!$K:$K,'BASE-LCP'!$A:$A,Capex!$A45,'BASE-LCP'!$B:$B,"agosto")/1000,IF(LEFT($A66,3)="icp",SUMIFS('BASE-ICP'!$K:$K,'BASE-ICP'!$A:$A,Capex!$A45,'BASE-ICP'!$B:$B,"agosto")/1000,"")),"")</f>
        <v>0</v>
      </c>
      <c r="CU66" s="427">
        <v>0</v>
      </c>
      <c r="CV66" s="372"/>
      <c r="CW66" s="419"/>
      <c r="CX66" s="423">
        <f>IFERROR(IF(LEFT($A66,3)="Lcp",SUMIFS('BASE-LCP'!$K:$K,'BASE-LCP'!$A:$A,Capex!$A45,'BASE-LCP'!$B:$B,"setembro")/1000,IF(LEFT($A66,3)="icp",SUMIFS('BASE-ICP'!$K:$K,'BASE-ICP'!$A:$A,Capex!$A45,'BASE-ICP'!$B:$B,"setembro")/1000,"")),"")</f>
        <v>0</v>
      </c>
      <c r="CY66" s="427">
        <v>-57.3</v>
      </c>
      <c r="CZ66" s="372"/>
      <c r="DA66" s="419"/>
      <c r="DB66" s="423">
        <f>IFERROR(IF(LEFT($A66,3)="Lcp",SUMIFS('BASE-LCP'!$K:$K,'BASE-LCP'!$A:$A,Capex!$A45,'BASE-LCP'!$B:$B,"outubro")/1000,IF(LEFT($A66,3)="icp",SUMIFS('BASE-ICP'!$K:$K,'BASE-ICP'!$A:$A,Capex!$A45,'BASE-ICP'!$B:$B,"outubro")/1000,"")),"")</f>
        <v>0</v>
      </c>
      <c r="DC66" s="427">
        <v>0</v>
      </c>
      <c r="DD66" s="372"/>
      <c r="DE66" s="419"/>
      <c r="DF66" s="423">
        <f>IFERROR(IF(LEFT($A66,3)="Lcp",SUMIFS('BASE-LCP'!$K:$K,'BASE-LCP'!$A:$A,Capex!$A45,'BASE-LCP'!$B:$B,"novembro")/1000,IF(LEFT($A66,3)="icp",SUMIFS('BASE-ICP'!$K:$K,'BASE-ICP'!$A:$A,Capex!$A45,'BASE-ICP'!$B:$B,"novembro")/1000,"")),"")</f>
        <v>0</v>
      </c>
      <c r="DG66" s="427">
        <v>0</v>
      </c>
      <c r="DH66" s="372"/>
      <c r="DI66" s="419"/>
      <c r="DJ66" s="423">
        <f>IFERROR(IF(LEFT($A66,3)="Lcp",SUMIFS('BASE-LCP'!$K:$K,'BASE-LCP'!$A:$A,Capex!$A45,'BASE-LCP'!$B:$B,"dezembro")/1000,IF(LEFT($A66,3)="icp",SUMIFS('BASE-ICP'!$K:$K,'BASE-ICP'!$A:$A,Capex!$A45,'BASE-ICP'!$B:$B,"dezembro")/1000,"")),"")</f>
        <v>0</v>
      </c>
      <c r="DK66" s="427">
        <v>0</v>
      </c>
      <c r="DL66" s="452">
        <f t="shared" si="15"/>
        <v>0</v>
      </c>
      <c r="DM66" s="374"/>
      <c r="DN66" s="374">
        <v>0</v>
      </c>
      <c r="DO66" s="374"/>
      <c r="DP66" s="374"/>
      <c r="DQ66" s="374"/>
      <c r="DR66" s="374"/>
      <c r="DS66" s="374"/>
      <c r="DT66" s="374"/>
      <c r="DU66" s="374"/>
      <c r="DV66" s="374"/>
      <c r="DW66" s="374"/>
      <c r="DX66" s="374"/>
      <c r="DY66" s="450"/>
      <c r="DZ66" s="374">
        <f t="shared" si="16"/>
        <v>0</v>
      </c>
      <c r="EA66" s="216">
        <f t="shared" si="17"/>
        <v>0</v>
      </c>
      <c r="EB66" s="320">
        <f t="shared" si="18"/>
        <v>0</v>
      </c>
      <c r="EC66" s="241">
        <f t="shared" si="19"/>
        <v>0</v>
      </c>
      <c r="ED66" s="241">
        <f t="shared" si="20"/>
        <v>0</v>
      </c>
      <c r="EE66" s="241">
        <f t="shared" si="21"/>
        <v>-57.3</v>
      </c>
      <c r="EF66" s="241">
        <f t="shared" si="22"/>
        <v>0</v>
      </c>
      <c r="EG66" s="346">
        <f t="shared" si="23"/>
        <v>0</v>
      </c>
      <c r="EH66" s="445">
        <f t="shared" si="24"/>
        <v>-57.3</v>
      </c>
      <c r="EI66" s="447">
        <f t="shared" si="25"/>
        <v>0</v>
      </c>
      <c r="EJ66" s="364">
        <f t="shared" si="26"/>
        <v>0</v>
      </c>
      <c r="EK66" s="365">
        <f t="shared" si="27"/>
        <v>-57.3</v>
      </c>
      <c r="EL66" s="529">
        <f t="shared" si="28"/>
        <v>-57.3</v>
      </c>
      <c r="EM66" s="530">
        <v>0</v>
      </c>
      <c r="EN66" s="530">
        <v>0</v>
      </c>
      <c r="EO66" s="530">
        <v>0</v>
      </c>
      <c r="EP66" s="530">
        <v>0</v>
      </c>
      <c r="EQ66" s="530">
        <v>0</v>
      </c>
      <c r="ER66" s="530">
        <v>0</v>
      </c>
      <c r="ES66" s="530">
        <v>0</v>
      </c>
      <c r="ET66" s="530">
        <v>0</v>
      </c>
      <c r="EU66" s="530">
        <v>-57.3</v>
      </c>
      <c r="EV66" s="530">
        <v>0</v>
      </c>
      <c r="EW66" s="530">
        <v>0</v>
      </c>
      <c r="EX66" s="530">
        <v>0</v>
      </c>
      <c r="EY66" s="530">
        <f t="shared" si="29"/>
        <v>0</v>
      </c>
      <c r="EZ66" s="530">
        <f t="shared" si="30"/>
        <v>0</v>
      </c>
      <c r="FA66" s="530">
        <f t="shared" si="31"/>
        <v>-57.3</v>
      </c>
      <c r="FB66" s="530">
        <f t="shared" si="32"/>
        <v>0</v>
      </c>
      <c r="FC66" s="384" t="str">
        <f>IFERROR(VLOOKUP(Capex!A45,BASE_558!D:R,8,FALSE)/1000,"")</f>
        <v/>
      </c>
      <c r="FD66" s="328" t="str">
        <f>IFERROR(VLOOKUP(Capex!A45,BASE_558!D:R,9,)/1000,"")</f>
        <v/>
      </c>
      <c r="FE66" s="328">
        <f>IFERROR(IF(LEFT(A66,3)="LCP",(VLOOKUP(Capex!A45,BASE_558!D:R,10,)/1000),SUMIFS('BASE ICP_PO_SC'!F:F,'BASE ICP_PO_SC'!A:A,Capex!A45,'BASE ICP_PO_SC'!E:E,"&lt;&gt;")/1000),"")</f>
        <v>0</v>
      </c>
      <c r="FF66" s="328">
        <f>IFERROR(IF(LEFT(A66,3)="LCP",(VLOOKUP(Capex!A45,BASE_558!D:R,11,)/1000),SUMIFS('BASE ICP_PO_SC'!F:F,'BASE ICP_PO_SC'!A:A,Capex!A45,'BASE ICP_PO_SC'!E:E,"")/1000),"")</f>
        <v>0</v>
      </c>
      <c r="FG66" s="328" t="str">
        <f>IFERROR(VLOOKUP(A66,BASE_558!D:R,13,FALSE)/1000,"")</f>
        <v/>
      </c>
      <c r="FH66" s="328" t="str">
        <f>IFERROR(VLOOKUP(A66,BASE_558!D:R,15,FALSE)/1000,"")</f>
        <v/>
      </c>
      <c r="FI66" s="547">
        <f t="shared" si="33"/>
        <v>0</v>
      </c>
      <c r="FJ66" s="547">
        <f t="shared" si="34"/>
        <v>0</v>
      </c>
      <c r="FK66" s="540">
        <f t="shared" si="35"/>
        <v>0</v>
      </c>
    </row>
    <row r="67" spans="1:167" s="23" customFormat="1" ht="24" customHeight="1">
      <c r="A67" s="309" t="s">
        <v>2254</v>
      </c>
      <c r="B67" s="404" t="s">
        <v>1626</v>
      </c>
      <c r="C67" s="404"/>
      <c r="D67" s="338"/>
      <c r="E67" s="378"/>
      <c r="F67" s="5"/>
      <c r="G67" s="310" t="s">
        <v>9</v>
      </c>
      <c r="H67" s="338"/>
      <c r="I67" s="338"/>
      <c r="J67" s="338">
        <v>2023</v>
      </c>
      <c r="K67" s="316"/>
      <c r="L67" s="324"/>
      <c r="M67" s="409"/>
      <c r="N67" s="317" t="str">
        <f t="shared" si="38"/>
        <v/>
      </c>
      <c r="O67" s="317" t="str">
        <f t="shared" si="39"/>
        <v/>
      </c>
      <c r="P67" s="418" t="str">
        <f t="shared" si="47"/>
        <v>N/A</v>
      </c>
      <c r="Q67" s="418" t="str">
        <f t="shared" si="47"/>
        <v>N/A</v>
      </c>
      <c r="R67" s="418" t="str">
        <f t="shared" si="47"/>
        <v>N/A</v>
      </c>
      <c r="S67" s="418" t="str">
        <f t="shared" si="47"/>
        <v>N/A</v>
      </c>
      <c r="T67" s="418" t="str">
        <f t="shared" si="47"/>
        <v>N/A</v>
      </c>
      <c r="U67" s="418" t="str">
        <f t="shared" si="47"/>
        <v>N/A</v>
      </c>
      <c r="V67" s="418" t="str">
        <f t="shared" si="47"/>
        <v>N/A</v>
      </c>
      <c r="W67" s="418" t="str">
        <f t="shared" si="47"/>
        <v>N/A</v>
      </c>
      <c r="X67" s="418" t="str">
        <f t="shared" si="47"/>
        <v>N/A</v>
      </c>
      <c r="Y67" s="418" t="str">
        <f t="shared" si="47"/>
        <v>N/A</v>
      </c>
      <c r="Z67" s="418" t="str">
        <f t="shared" si="47"/>
        <v>N/A</v>
      </c>
      <c r="AA67" s="418" t="str">
        <f t="shared" si="47"/>
        <v>N/A</v>
      </c>
      <c r="AB67" s="317"/>
      <c r="AC67" s="309" t="s">
        <v>3932</v>
      </c>
      <c r="AD67" s="311"/>
      <c r="AE67" s="311"/>
      <c r="AF67" s="310" t="s">
        <v>6988</v>
      </c>
      <c r="AG67" s="310" t="s">
        <v>1125</v>
      </c>
      <c r="AH67" s="310" t="s">
        <v>2814</v>
      </c>
      <c r="AI67" s="309" t="s">
        <v>2255</v>
      </c>
      <c r="AJ67" s="6" t="s">
        <v>6786</v>
      </c>
      <c r="AK67" s="6" t="str">
        <f t="shared" si="10"/>
        <v>IGUAL</v>
      </c>
      <c r="AL67" s="151" t="str">
        <f>IFERROR(IF(LEFT(A67,3)="LCP",VLOOKUP(A67,STATUS_SAP_LCP!B:C,2,FALSE),VLOOKUP(A67,STATUS_SAP_ICP!B:C,2,FALSE)),"NO BUDGET")</f>
        <v>REL  BUDG AVAC  //  BREL WPLI</v>
      </c>
      <c r="AM67" s="6" t="str">
        <f t="shared" si="48"/>
        <v xml:space="preserve">REL </v>
      </c>
      <c r="AN67" s="282" t="s">
        <v>8964</v>
      </c>
      <c r="AO67" s="557"/>
      <c r="AP67" s="499" t="s">
        <v>9616</v>
      </c>
      <c r="AQ67" s="464"/>
      <c r="AR67" s="460"/>
      <c r="AS67" s="56"/>
      <c r="AT67" s="185"/>
      <c r="AU67" s="318"/>
      <c r="AV67" s="223">
        <v>0</v>
      </c>
      <c r="AW67" s="318">
        <v>458.49038999999993</v>
      </c>
      <c r="AX67" s="223">
        <v>-451.28257999999994</v>
      </c>
      <c r="AY67" s="318">
        <f t="shared" si="40"/>
        <v>-7.1405099999999999</v>
      </c>
      <c r="AZ67" s="223"/>
      <c r="BA67" s="318"/>
      <c r="BB67" s="519">
        <f t="shared" si="41"/>
        <v>-6.89</v>
      </c>
      <c r="BC67" s="518">
        <v>-6.89</v>
      </c>
      <c r="BD67" s="518">
        <v>0</v>
      </c>
      <c r="BE67" s="518">
        <v>0</v>
      </c>
      <c r="BF67" s="518">
        <v>0</v>
      </c>
      <c r="BG67" s="518">
        <v>0</v>
      </c>
      <c r="BH67" s="518">
        <v>0</v>
      </c>
      <c r="BI67" s="518">
        <v>0</v>
      </c>
      <c r="BJ67" s="518">
        <v>0</v>
      </c>
      <c r="BK67" s="518">
        <v>0</v>
      </c>
      <c r="BL67" s="518">
        <v>0</v>
      </c>
      <c r="BM67" s="518">
        <v>0</v>
      </c>
      <c r="BN67" s="518">
        <v>0</v>
      </c>
      <c r="BO67" s="367">
        <f t="shared" si="14"/>
        <v>-7.1405099999999999</v>
      </c>
      <c r="BP67" s="421">
        <v>-6.89</v>
      </c>
      <c r="BQ67" s="422">
        <v>0</v>
      </c>
      <c r="BR67" s="423">
        <f>IFERROR(IF(LEFT($A67,3)="Lcp",SUMIFS('BASE-LCP'!$K:$K,'BASE-LCP'!$A:$A,Capex!$A47,'BASE-LCP'!$B:$B,"janeiro")/1000,IF(LEFT($A67,3)="icp",SUMIFS('BASE-ICP'!$K:$K,'BASE-ICP'!$A:$A,Capex!$A47,'BASE-ICP'!$B:$B,"janeiro")/1000,"")),"")</f>
        <v>0</v>
      </c>
      <c r="BS67" s="427">
        <v>0</v>
      </c>
      <c r="BT67" s="372">
        <v>0</v>
      </c>
      <c r="BU67" s="422">
        <v>0</v>
      </c>
      <c r="BV67" s="423">
        <f>IFERROR(IF(LEFT($A67,3)="Lcp",SUMIFS('BASE-LCP'!$K:$K,'BASE-LCP'!$A:$A,Capex!$A47,'BASE-LCP'!$B:$B,"fevereiro")/1000,IF(LEFT($A67,3)="icp",SUMIFS('BASE-ICP'!$K:$K,'BASE-ICP'!$A:$A,Capex!$A47,'BASE-ICP'!$B:$B,"fevereiro")/1000,"")),"")</f>
        <v>0</v>
      </c>
      <c r="BW67" s="427">
        <v>0</v>
      </c>
      <c r="BX67" s="372">
        <v>-7.2</v>
      </c>
      <c r="BY67" s="419">
        <v>0</v>
      </c>
      <c r="BZ67" s="423">
        <f>IFERROR(IF(LEFT($A67,3)="Lcp",SUMIFS('BASE-LCP'!$K:$K,'BASE-LCP'!$A:$A,Capex!$A47,'BASE-LCP'!$B:$B,"março")/1000,IF(LEFT($A67,3)="icp",SUMIFS('BASE-ICP'!$K:$K,'BASE-ICP'!$A:$A,Capex!$A47,'BASE-ICP'!$B:$B,"março")/1000,"")),"")</f>
        <v>0</v>
      </c>
      <c r="CA67" s="427">
        <v>0</v>
      </c>
      <c r="CB67" s="372">
        <v>-7.2</v>
      </c>
      <c r="CC67" s="422"/>
      <c r="CD67" s="423">
        <f>IFERROR(IF(LEFT($A67,3)="Lcp",SUMIFS('BASE-LCP'!$K:$K,'BASE-LCP'!$A:$A,Capex!$A47,'BASE-LCP'!$B:$B,"abril")/1000,IF(LEFT($A67,3)="icp",SUMIFS('BASE-ICP'!$K:$K,'BASE-ICP'!$A:$A,Capex!$A47,'BASE-ICP'!$B:$B,"abril")/1000,"")),"")</f>
        <v>0</v>
      </c>
      <c r="CE67" s="427">
        <v>0</v>
      </c>
      <c r="CF67" s="372">
        <v>-7.2</v>
      </c>
      <c r="CG67" s="419">
        <f t="shared" si="42"/>
        <v>0</v>
      </c>
      <c r="CH67" s="423">
        <v>0</v>
      </c>
      <c r="CI67" s="427">
        <v>0</v>
      </c>
      <c r="CJ67" s="372">
        <v>0</v>
      </c>
      <c r="CK67" s="419"/>
      <c r="CL67" s="423">
        <f>IFERROR(IF(LEFT($A67,3)="Lcp",SUMIFS('BASE-LCP'!$K:$K,'BASE-LCP'!$A:$A,Capex!$A47,'BASE-LCP'!$B:$B,"junho")/1000,IF(LEFT($A67,3)="icp",SUMIFS('BASE-ICP'!$K:$K,'BASE-ICP'!$A:$A,Capex!$A47,'BASE-ICP'!$B:$B,"junho")/1000,"")),"")</f>
        <v>0</v>
      </c>
      <c r="CM67" s="427">
        <v>5.9490000000000001E-2</v>
      </c>
      <c r="CN67" s="372"/>
      <c r="CO67" s="419"/>
      <c r="CP67" s="423">
        <f>IFERROR(IF(LEFT($A67,3)="Lcp",SUMIFS('BASE-LCP'!$K:$K,'BASE-LCP'!$A:$A,Capex!$A47,'BASE-LCP'!$B:$B,"julho")/1000,IF(LEFT($A67,3)="icp",SUMIFS('BASE-ICP'!$K:$K,'BASE-ICP'!$A:$A,Capex!$A47,'BASE-ICP'!$B:$B,"julho")/1000,"")),"")</f>
        <v>0</v>
      </c>
      <c r="CQ67" s="427">
        <v>0</v>
      </c>
      <c r="CR67" s="372"/>
      <c r="CS67" s="419"/>
      <c r="CT67" s="423">
        <f>IFERROR(IF(LEFT($A67,3)="Lcp",SUMIFS('BASE-LCP'!$K:$K,'BASE-LCP'!$A:$A,Capex!$A47,'BASE-LCP'!$B:$B,"agosto")/1000,IF(LEFT($A67,3)="icp",SUMIFS('BASE-ICP'!$K:$K,'BASE-ICP'!$A:$A,Capex!$A47,'BASE-ICP'!$B:$B,"agosto")/1000,"")),"")</f>
        <v>0</v>
      </c>
      <c r="CU67" s="427">
        <v>0</v>
      </c>
      <c r="CV67" s="372"/>
      <c r="CW67" s="419"/>
      <c r="CX67" s="423">
        <f>IFERROR(IF(LEFT($A67,3)="Lcp",SUMIFS('BASE-LCP'!$K:$K,'BASE-LCP'!$A:$A,Capex!$A47,'BASE-LCP'!$B:$B,"setembro")/1000,IF(LEFT($A67,3)="icp",SUMIFS('BASE-ICP'!$K:$K,'BASE-ICP'!$A:$A,Capex!$A47,'BASE-ICP'!$B:$B,"setembro")/1000,"")),"")</f>
        <v>0</v>
      </c>
      <c r="CY67" s="427">
        <v>0</v>
      </c>
      <c r="CZ67" s="372"/>
      <c r="DA67" s="419"/>
      <c r="DB67" s="423">
        <f>IFERROR(IF(LEFT($A67,3)="Lcp",SUMIFS('BASE-LCP'!$K:$K,'BASE-LCP'!$A:$A,Capex!$A47,'BASE-LCP'!$B:$B,"outubro")/1000,IF(LEFT($A67,3)="icp",SUMIFS('BASE-ICP'!$K:$K,'BASE-ICP'!$A:$A,Capex!$A47,'BASE-ICP'!$B:$B,"outubro")/1000,"")),"")</f>
        <v>0</v>
      </c>
      <c r="DC67" s="427">
        <v>0</v>
      </c>
      <c r="DD67" s="372"/>
      <c r="DE67" s="419"/>
      <c r="DF67" s="423">
        <f>IFERROR(IF(LEFT($A67,3)="Lcp",SUMIFS('BASE-LCP'!$K:$K,'BASE-LCP'!$A:$A,Capex!$A47,'BASE-LCP'!$B:$B,"novembro")/1000,IF(LEFT($A67,3)="icp",SUMIFS('BASE-ICP'!$K:$K,'BASE-ICP'!$A:$A,Capex!$A47,'BASE-ICP'!$B:$B,"novembro")/1000,"")),"")</f>
        <v>0</v>
      </c>
      <c r="DG67" s="427">
        <v>-7.2</v>
      </c>
      <c r="DH67" s="372"/>
      <c r="DI67" s="419"/>
      <c r="DJ67" s="423">
        <f>IFERROR(IF(LEFT($A67,3)="Lcp",SUMIFS('BASE-LCP'!$K:$K,'BASE-LCP'!$A:$A,Capex!$A47,'BASE-LCP'!$B:$B,"dezembro")/1000,IF(LEFT($A67,3)="icp",SUMIFS('BASE-ICP'!$K:$K,'BASE-ICP'!$A:$A,Capex!$A47,'BASE-ICP'!$B:$B,"dezembro")/1000,"")),"")</f>
        <v>0</v>
      </c>
      <c r="DK67" s="427">
        <v>0</v>
      </c>
      <c r="DL67" s="452">
        <f t="shared" si="15"/>
        <v>0</v>
      </c>
      <c r="DM67" s="374"/>
      <c r="DN67" s="374">
        <v>0</v>
      </c>
      <c r="DO67" s="374"/>
      <c r="DP67" s="374"/>
      <c r="DQ67" s="374"/>
      <c r="DR67" s="374"/>
      <c r="DS67" s="374"/>
      <c r="DT67" s="374"/>
      <c r="DU67" s="374"/>
      <c r="DV67" s="374"/>
      <c r="DW67" s="374"/>
      <c r="DX67" s="374"/>
      <c r="DY67" s="450"/>
      <c r="DZ67" s="374">
        <f t="shared" si="16"/>
        <v>0</v>
      </c>
      <c r="EA67" s="216">
        <f t="shared" si="17"/>
        <v>5.9490000000000001E-2</v>
      </c>
      <c r="EB67" s="320">
        <f t="shared" si="18"/>
        <v>-5.9490000000000001E-2</v>
      </c>
      <c r="EC67" s="241">
        <f t="shared" si="19"/>
        <v>0</v>
      </c>
      <c r="ED67" s="241">
        <f t="shared" si="20"/>
        <v>5.9490000000000001E-2</v>
      </c>
      <c r="EE67" s="241">
        <f t="shared" si="21"/>
        <v>0</v>
      </c>
      <c r="EF67" s="241">
        <f t="shared" si="22"/>
        <v>-7.2</v>
      </c>
      <c r="EG67" s="346">
        <f t="shared" si="23"/>
        <v>-0.25051000000000023</v>
      </c>
      <c r="EH67" s="445">
        <f t="shared" si="24"/>
        <v>-7.2</v>
      </c>
      <c r="EI67" s="447">
        <f t="shared" si="25"/>
        <v>0</v>
      </c>
      <c r="EJ67" s="364">
        <f t="shared" si="26"/>
        <v>0</v>
      </c>
      <c r="EK67" s="365">
        <f t="shared" si="27"/>
        <v>-7.1405099999999999</v>
      </c>
      <c r="EL67" s="529">
        <f t="shared" si="28"/>
        <v>-7.2</v>
      </c>
      <c r="EM67" s="530">
        <v>0</v>
      </c>
      <c r="EN67" s="530">
        <v>0</v>
      </c>
      <c r="EO67" s="530">
        <v>0</v>
      </c>
      <c r="EP67" s="530">
        <v>0</v>
      </c>
      <c r="EQ67" s="530">
        <v>0</v>
      </c>
      <c r="ER67" s="530">
        <v>0</v>
      </c>
      <c r="ES67" s="530">
        <v>0</v>
      </c>
      <c r="ET67" s="530">
        <v>0</v>
      </c>
      <c r="EU67" s="530">
        <v>0</v>
      </c>
      <c r="EV67" s="530">
        <v>0</v>
      </c>
      <c r="EW67" s="530">
        <v>-7.2</v>
      </c>
      <c r="EX67" s="530">
        <v>0</v>
      </c>
      <c r="EY67" s="530">
        <f t="shared" si="29"/>
        <v>0</v>
      </c>
      <c r="EZ67" s="530">
        <f t="shared" si="30"/>
        <v>0</v>
      </c>
      <c r="FA67" s="530">
        <f t="shared" si="31"/>
        <v>0</v>
      </c>
      <c r="FB67" s="530">
        <f t="shared" si="32"/>
        <v>-7.2</v>
      </c>
      <c r="FC67" s="384" t="str">
        <f>IFERROR(VLOOKUP(Capex!A47,BASE_558!D:R,8,FALSE)/1000,"")</f>
        <v/>
      </c>
      <c r="FD67" s="328" t="str">
        <f>IFERROR(VLOOKUP(Capex!A47,BASE_558!D:R,9,)/1000,"")</f>
        <v/>
      </c>
      <c r="FE67" s="328">
        <f>IFERROR(IF(LEFT(A67,3)="LCP",(VLOOKUP(Capex!A47,BASE_558!D:R,10,)/1000),SUMIFS('BASE ICP_PO_SC'!F:F,'BASE ICP_PO_SC'!A:A,Capex!A47,'BASE ICP_PO_SC'!E:E,"&lt;&gt;")/1000),"")</f>
        <v>0</v>
      </c>
      <c r="FF67" s="328">
        <f>IFERROR(IF(LEFT(A67,3)="LCP",(VLOOKUP(Capex!A47,BASE_558!D:R,11,)/1000),SUMIFS('BASE ICP_PO_SC'!F:F,'BASE ICP_PO_SC'!A:A,Capex!A47,'BASE ICP_PO_SC'!E:E,"")/1000),"")</f>
        <v>0</v>
      </c>
      <c r="FG67" s="328" t="str">
        <f>IFERROR(VLOOKUP(A67,BASE_558!D:R,13,FALSE)/1000,"")</f>
        <v/>
      </c>
      <c r="FH67" s="328" t="str">
        <f>IFERROR(VLOOKUP(A67,BASE_558!D:R,15,FALSE)/1000,"")</f>
        <v/>
      </c>
      <c r="FI67" s="547">
        <f t="shared" si="33"/>
        <v>-5.9490000000000001E-2</v>
      </c>
      <c r="FJ67" s="547">
        <f t="shared" si="34"/>
        <v>0</v>
      </c>
      <c r="FK67" s="540">
        <f t="shared" si="35"/>
        <v>0</v>
      </c>
    </row>
    <row r="68" spans="1:167" s="23" customFormat="1" ht="24" customHeight="1">
      <c r="A68" s="309" t="s">
        <v>2417</v>
      </c>
      <c r="B68" s="404" t="s">
        <v>2361</v>
      </c>
      <c r="C68" s="404"/>
      <c r="D68" s="338"/>
      <c r="E68" s="378"/>
      <c r="F68" s="5"/>
      <c r="G68" s="310" t="s">
        <v>9</v>
      </c>
      <c r="H68" s="338"/>
      <c r="I68" s="338"/>
      <c r="J68" s="338">
        <v>2023</v>
      </c>
      <c r="K68" s="316"/>
      <c r="L68" s="324"/>
      <c r="M68" s="409"/>
      <c r="N68" s="317" t="str">
        <f t="shared" si="38"/>
        <v/>
      </c>
      <c r="O68" s="317" t="str">
        <f t="shared" si="39"/>
        <v/>
      </c>
      <c r="P68" s="418" t="str">
        <f t="shared" si="47"/>
        <v>N/A</v>
      </c>
      <c r="Q68" s="418" t="str">
        <f t="shared" si="47"/>
        <v>N/A</v>
      </c>
      <c r="R68" s="418" t="str">
        <f t="shared" si="47"/>
        <v>N/A</v>
      </c>
      <c r="S68" s="418" t="str">
        <f t="shared" si="47"/>
        <v>N/A</v>
      </c>
      <c r="T68" s="418" t="str">
        <f t="shared" si="47"/>
        <v>N/A</v>
      </c>
      <c r="U68" s="418" t="str">
        <f t="shared" si="47"/>
        <v>N/A</v>
      </c>
      <c r="V68" s="418" t="str">
        <f t="shared" si="47"/>
        <v>N/A</v>
      </c>
      <c r="W68" s="418" t="str">
        <f t="shared" si="47"/>
        <v>N/A</v>
      </c>
      <c r="X68" s="418" t="str">
        <f t="shared" si="47"/>
        <v>N/A</v>
      </c>
      <c r="Y68" s="418" t="str">
        <f t="shared" si="47"/>
        <v>N/A</v>
      </c>
      <c r="Z68" s="418" t="str">
        <f t="shared" si="47"/>
        <v>N/A</v>
      </c>
      <c r="AA68" s="418" t="str">
        <f t="shared" si="47"/>
        <v>N/A</v>
      </c>
      <c r="AB68" s="317"/>
      <c r="AC68" s="309" t="s">
        <v>3932</v>
      </c>
      <c r="AD68" s="311" t="s">
        <v>224</v>
      </c>
      <c r="AE68" s="311" t="s">
        <v>958</v>
      </c>
      <c r="AF68" s="310" t="s">
        <v>6988</v>
      </c>
      <c r="AG68" s="310" t="s">
        <v>2079</v>
      </c>
      <c r="AH68" s="310" t="s">
        <v>2816</v>
      </c>
      <c r="AI68" s="309" t="s">
        <v>183</v>
      </c>
      <c r="AJ68" s="6" t="s">
        <v>6786</v>
      </c>
      <c r="AK68" s="6" t="str">
        <f t="shared" si="10"/>
        <v>IGUAL</v>
      </c>
      <c r="AL68" s="151" t="str">
        <f>IFERROR(IF(LEFT(A68,3)="LCP",VLOOKUP(A68,STATUS_SAP_LCP!B:C,2,FALSE),VLOOKUP(A68,STATUS_SAP_ICP!B:C,2,FALSE)),"NO BUDGET")</f>
        <v>REL  BUDG ISBD AVAC  //  BREL WPLI</v>
      </c>
      <c r="AM68" s="6" t="str">
        <f t="shared" si="48"/>
        <v xml:space="preserve">REL </v>
      </c>
      <c r="AN68" s="282" t="s">
        <v>8967</v>
      </c>
      <c r="AO68" s="557"/>
      <c r="AP68" s="499" t="s">
        <v>9616</v>
      </c>
      <c r="AQ68" s="464"/>
      <c r="AR68" s="460"/>
      <c r="AS68" s="56"/>
      <c r="AT68" s="185"/>
      <c r="AU68" s="318"/>
      <c r="AV68" s="223"/>
      <c r="AW68" s="318">
        <v>0.45072999999999996</v>
      </c>
      <c r="AX68" s="223">
        <v>1.5269599999999883</v>
      </c>
      <c r="AY68" s="318">
        <f t="shared" si="40"/>
        <v>-1.9</v>
      </c>
      <c r="AZ68" s="223"/>
      <c r="BA68" s="318"/>
      <c r="BB68" s="519">
        <f t="shared" si="41"/>
        <v>-1.9</v>
      </c>
      <c r="BC68" s="518">
        <v>0</v>
      </c>
      <c r="BD68" s="518">
        <v>-1.9</v>
      </c>
      <c r="BE68" s="518">
        <v>0</v>
      </c>
      <c r="BF68" s="518">
        <v>0</v>
      </c>
      <c r="BG68" s="518">
        <v>0</v>
      </c>
      <c r="BH68" s="518">
        <v>0</v>
      </c>
      <c r="BI68" s="518">
        <v>0</v>
      </c>
      <c r="BJ68" s="518">
        <v>0</v>
      </c>
      <c r="BK68" s="518">
        <v>0</v>
      </c>
      <c r="BL68" s="518">
        <v>0</v>
      </c>
      <c r="BM68" s="518">
        <v>0</v>
      </c>
      <c r="BN68" s="518">
        <v>0</v>
      </c>
      <c r="BO68" s="367">
        <f t="shared" si="14"/>
        <v>-1.9</v>
      </c>
      <c r="BP68" s="421">
        <v>0</v>
      </c>
      <c r="BQ68" s="422">
        <v>0</v>
      </c>
      <c r="BR68" s="423">
        <f>IFERROR(IF(LEFT($A68,3)="Lcp",SUMIFS('BASE-LCP'!$K:$K,'BASE-LCP'!$A:$A,Capex!$A50,'BASE-LCP'!$B:$B,"janeiro")/1000,IF(LEFT($A68,3)="icp",SUMIFS('BASE-ICP'!$K:$K,'BASE-ICP'!$A:$A,Capex!$A50,'BASE-ICP'!$B:$B,"janeiro")/1000,"")),"")</f>
        <v>0</v>
      </c>
      <c r="BS68" s="427">
        <v>0</v>
      </c>
      <c r="BT68" s="372">
        <v>-1.9</v>
      </c>
      <c r="BU68" s="422">
        <v>0</v>
      </c>
      <c r="BV68" s="423">
        <f>IFERROR(IF(LEFT($A68,3)="Lcp",SUMIFS('BASE-LCP'!$K:$K,'BASE-LCP'!$A:$A,Capex!$A50,'BASE-LCP'!$B:$B,"fevereiro")/1000,IF(LEFT($A68,3)="icp",SUMIFS('BASE-ICP'!$K:$K,'BASE-ICP'!$A:$A,Capex!$A50,'BASE-ICP'!$B:$B,"fevereiro")/1000,"")),"")</f>
        <v>0</v>
      </c>
      <c r="BW68" s="427">
        <v>0</v>
      </c>
      <c r="BX68" s="372">
        <v>-1.9</v>
      </c>
      <c r="BY68" s="419">
        <v>0</v>
      </c>
      <c r="BZ68" s="423">
        <f>IFERROR(IF(LEFT($A68,3)="Lcp",SUMIFS('BASE-LCP'!$K:$K,'BASE-LCP'!$A:$A,Capex!$A50,'BASE-LCP'!$B:$B,"março")/1000,IF(LEFT($A68,3)="icp",SUMIFS('BASE-ICP'!$K:$K,'BASE-ICP'!$A:$A,Capex!$A50,'BASE-ICP'!$B:$B,"março")/1000,"")),"")</f>
        <v>0</v>
      </c>
      <c r="CA68" s="427">
        <v>0</v>
      </c>
      <c r="CB68" s="372">
        <v>-1.9</v>
      </c>
      <c r="CC68" s="422"/>
      <c r="CD68" s="423">
        <f>IFERROR(IF(LEFT($A68,3)="Lcp",SUMIFS('BASE-LCP'!$K:$K,'BASE-LCP'!$A:$A,Capex!$A50,'BASE-LCP'!$B:$B,"abril")/1000,IF(LEFT($A68,3)="icp",SUMIFS('BASE-ICP'!$K:$K,'BASE-ICP'!$A:$A,Capex!$A50,'BASE-ICP'!$B:$B,"abril")/1000,"")),"")</f>
        <v>0</v>
      </c>
      <c r="CE68" s="427">
        <v>0</v>
      </c>
      <c r="CF68" s="372">
        <v>-1.9</v>
      </c>
      <c r="CG68" s="419">
        <f t="shared" si="42"/>
        <v>0</v>
      </c>
      <c r="CH68" s="423">
        <v>0</v>
      </c>
      <c r="CI68" s="427">
        <v>0</v>
      </c>
      <c r="CJ68" s="372">
        <v>0</v>
      </c>
      <c r="CK68" s="419"/>
      <c r="CL68" s="423">
        <f>IFERROR(IF(LEFT($A68,3)="Lcp",SUMIFS('BASE-LCP'!$K:$K,'BASE-LCP'!$A:$A,Capex!$A50,'BASE-LCP'!$B:$B,"junho")/1000,IF(LEFT($A68,3)="icp",SUMIFS('BASE-ICP'!$K:$K,'BASE-ICP'!$A:$A,Capex!$A50,'BASE-ICP'!$B:$B,"junho")/1000,"")),"")</f>
        <v>0</v>
      </c>
      <c r="CM68" s="427">
        <v>0</v>
      </c>
      <c r="CN68" s="372"/>
      <c r="CO68" s="419"/>
      <c r="CP68" s="423">
        <f>IFERROR(IF(LEFT($A68,3)="Lcp",SUMIFS('BASE-LCP'!$K:$K,'BASE-LCP'!$A:$A,Capex!$A50,'BASE-LCP'!$B:$B,"julho")/1000,IF(LEFT($A68,3)="icp",SUMIFS('BASE-ICP'!$K:$K,'BASE-ICP'!$A:$A,Capex!$A50,'BASE-ICP'!$B:$B,"julho")/1000,"")),"")</f>
        <v>0</v>
      </c>
      <c r="CQ68" s="427">
        <v>0</v>
      </c>
      <c r="CR68" s="372"/>
      <c r="CS68" s="419"/>
      <c r="CT68" s="423">
        <f>IFERROR(IF(LEFT($A68,3)="Lcp",SUMIFS('BASE-LCP'!$K:$K,'BASE-LCP'!$A:$A,Capex!$A50,'BASE-LCP'!$B:$B,"agosto")/1000,IF(LEFT($A68,3)="icp",SUMIFS('BASE-ICP'!$K:$K,'BASE-ICP'!$A:$A,Capex!$A50,'BASE-ICP'!$B:$B,"agosto")/1000,"")),"")</f>
        <v>0</v>
      </c>
      <c r="CU68" s="427">
        <v>0</v>
      </c>
      <c r="CV68" s="372"/>
      <c r="CW68" s="419"/>
      <c r="CX68" s="423">
        <f>IFERROR(IF(LEFT($A68,3)="Lcp",SUMIFS('BASE-LCP'!$K:$K,'BASE-LCP'!$A:$A,Capex!$A50,'BASE-LCP'!$B:$B,"setembro")/1000,IF(LEFT($A68,3)="icp",SUMIFS('BASE-ICP'!$K:$K,'BASE-ICP'!$A:$A,Capex!$A50,'BASE-ICP'!$B:$B,"setembro")/1000,"")),"")</f>
        <v>0</v>
      </c>
      <c r="CY68" s="427">
        <v>-1.9</v>
      </c>
      <c r="CZ68" s="372"/>
      <c r="DA68" s="419"/>
      <c r="DB68" s="423">
        <f>IFERROR(IF(LEFT($A68,3)="Lcp",SUMIFS('BASE-LCP'!$K:$K,'BASE-LCP'!$A:$A,Capex!$A50,'BASE-LCP'!$B:$B,"outubro")/1000,IF(LEFT($A68,3)="icp",SUMIFS('BASE-ICP'!$K:$K,'BASE-ICP'!$A:$A,Capex!$A50,'BASE-ICP'!$B:$B,"outubro")/1000,"")),"")</f>
        <v>0</v>
      </c>
      <c r="DC68" s="427">
        <v>0</v>
      </c>
      <c r="DD68" s="372"/>
      <c r="DE68" s="419"/>
      <c r="DF68" s="423">
        <f>IFERROR(IF(LEFT($A68,3)="Lcp",SUMIFS('BASE-LCP'!$K:$K,'BASE-LCP'!$A:$A,Capex!$A50,'BASE-LCP'!$B:$B,"novembro")/1000,IF(LEFT($A68,3)="icp",SUMIFS('BASE-ICP'!$K:$K,'BASE-ICP'!$A:$A,Capex!$A50,'BASE-ICP'!$B:$B,"novembro")/1000,"")),"")</f>
        <v>0</v>
      </c>
      <c r="DG68" s="427">
        <v>0</v>
      </c>
      <c r="DH68" s="372"/>
      <c r="DI68" s="419"/>
      <c r="DJ68" s="423">
        <f>IFERROR(IF(LEFT($A68,3)="Lcp",SUMIFS('BASE-LCP'!$K:$K,'BASE-LCP'!$A:$A,Capex!$A50,'BASE-LCP'!$B:$B,"dezembro")/1000,IF(LEFT($A68,3)="icp",SUMIFS('BASE-ICP'!$K:$K,'BASE-ICP'!$A:$A,Capex!$A50,'BASE-ICP'!$B:$B,"dezembro")/1000,"")),"")</f>
        <v>0</v>
      </c>
      <c r="DK68" s="427">
        <v>0</v>
      </c>
      <c r="DL68" s="452">
        <f t="shared" si="15"/>
        <v>0</v>
      </c>
      <c r="DM68" s="374"/>
      <c r="DN68" s="374">
        <v>0</v>
      </c>
      <c r="DO68" s="374"/>
      <c r="DP68" s="374"/>
      <c r="DQ68" s="374"/>
      <c r="DR68" s="374"/>
      <c r="DS68" s="374"/>
      <c r="DT68" s="374"/>
      <c r="DU68" s="374"/>
      <c r="DV68" s="374"/>
      <c r="DW68" s="374"/>
      <c r="DX68" s="374"/>
      <c r="DY68" s="450"/>
      <c r="DZ68" s="374">
        <f t="shared" si="16"/>
        <v>0</v>
      </c>
      <c r="EA68" s="216">
        <f t="shared" si="17"/>
        <v>0</v>
      </c>
      <c r="EB68" s="320">
        <f t="shared" si="18"/>
        <v>0</v>
      </c>
      <c r="EC68" s="241">
        <f t="shared" si="19"/>
        <v>0</v>
      </c>
      <c r="ED68" s="241">
        <f t="shared" si="20"/>
        <v>0</v>
      </c>
      <c r="EE68" s="241">
        <f t="shared" si="21"/>
        <v>-1.9</v>
      </c>
      <c r="EF68" s="241">
        <f t="shared" si="22"/>
        <v>0</v>
      </c>
      <c r="EG68" s="346">
        <f t="shared" si="23"/>
        <v>0</v>
      </c>
      <c r="EH68" s="445">
        <f t="shared" si="24"/>
        <v>-1.9</v>
      </c>
      <c r="EI68" s="447">
        <f t="shared" si="25"/>
        <v>0</v>
      </c>
      <c r="EJ68" s="364">
        <f t="shared" si="26"/>
        <v>0</v>
      </c>
      <c r="EK68" s="365">
        <f t="shared" si="27"/>
        <v>-1.9</v>
      </c>
      <c r="EL68" s="529">
        <f t="shared" si="28"/>
        <v>-1.9</v>
      </c>
      <c r="EM68" s="530">
        <v>0</v>
      </c>
      <c r="EN68" s="530">
        <v>0</v>
      </c>
      <c r="EO68" s="530">
        <v>0</v>
      </c>
      <c r="EP68" s="530">
        <v>0</v>
      </c>
      <c r="EQ68" s="530">
        <v>0</v>
      </c>
      <c r="ER68" s="530">
        <v>0</v>
      </c>
      <c r="ES68" s="530">
        <v>0</v>
      </c>
      <c r="ET68" s="530">
        <v>0</v>
      </c>
      <c r="EU68" s="530">
        <v>-1.9</v>
      </c>
      <c r="EV68" s="530">
        <v>0</v>
      </c>
      <c r="EW68" s="530">
        <v>0</v>
      </c>
      <c r="EX68" s="530">
        <v>0</v>
      </c>
      <c r="EY68" s="530">
        <f t="shared" si="29"/>
        <v>0</v>
      </c>
      <c r="EZ68" s="530">
        <f t="shared" si="30"/>
        <v>0</v>
      </c>
      <c r="FA68" s="530">
        <f t="shared" si="31"/>
        <v>-1.9</v>
      </c>
      <c r="FB68" s="530">
        <f t="shared" si="32"/>
        <v>0</v>
      </c>
      <c r="FC68" s="384" t="str">
        <f>IFERROR(VLOOKUP(Capex!A50,BASE_558!D:R,8,FALSE)/1000,"")</f>
        <v/>
      </c>
      <c r="FD68" s="328" t="str">
        <f>IFERROR(VLOOKUP(Capex!A50,BASE_558!D:R,9,)/1000,"")</f>
        <v/>
      </c>
      <c r="FE68" s="328">
        <f>IFERROR(IF(LEFT(A68,3)="LCP",(VLOOKUP(Capex!A50,BASE_558!D:R,10,)/1000),SUMIFS('BASE ICP_PO_SC'!F:F,'BASE ICP_PO_SC'!A:A,Capex!A50,'BASE ICP_PO_SC'!E:E,"&lt;&gt;")/1000),"")</f>
        <v>0</v>
      </c>
      <c r="FF68" s="328">
        <f>IFERROR(IF(LEFT(A68,3)="LCP",(VLOOKUP(Capex!A50,BASE_558!D:R,11,)/1000),SUMIFS('BASE ICP_PO_SC'!F:F,'BASE ICP_PO_SC'!A:A,Capex!A50,'BASE ICP_PO_SC'!E:E,"")/1000),"")</f>
        <v>0</v>
      </c>
      <c r="FG68" s="328" t="str">
        <f>IFERROR(VLOOKUP(A68,BASE_558!D:R,13,FALSE)/1000,"")</f>
        <v/>
      </c>
      <c r="FH68" s="328" t="str">
        <f>IFERROR(VLOOKUP(A68,BASE_558!D:R,15,FALSE)/1000,"")</f>
        <v/>
      </c>
      <c r="FI68" s="547">
        <f t="shared" si="33"/>
        <v>0</v>
      </c>
      <c r="FJ68" s="547">
        <f t="shared" si="34"/>
        <v>0</v>
      </c>
      <c r="FK68" s="540">
        <f t="shared" si="35"/>
        <v>0</v>
      </c>
    </row>
    <row r="69" spans="1:167" s="23" customFormat="1" ht="24" customHeight="1">
      <c r="A69" s="309" t="s">
        <v>2494</v>
      </c>
      <c r="B69" s="404"/>
      <c r="C69" s="404"/>
      <c r="D69" s="338"/>
      <c r="E69" s="378"/>
      <c r="F69" s="5"/>
      <c r="G69" s="310" t="s">
        <v>9</v>
      </c>
      <c r="H69" s="338"/>
      <c r="I69" s="338"/>
      <c r="J69" s="338">
        <v>2023</v>
      </c>
      <c r="K69" s="383"/>
      <c r="L69" s="324"/>
      <c r="M69" s="409"/>
      <c r="N69" s="317" t="str">
        <f t="shared" si="38"/>
        <v/>
      </c>
      <c r="O69" s="317" t="str">
        <f t="shared" si="39"/>
        <v/>
      </c>
      <c r="P69" s="418" t="str">
        <f t="shared" si="47"/>
        <v>N/A</v>
      </c>
      <c r="Q69" s="418" t="str">
        <f t="shared" si="47"/>
        <v>N/A</v>
      </c>
      <c r="R69" s="418" t="str">
        <f t="shared" si="47"/>
        <v>N/A</v>
      </c>
      <c r="S69" s="418" t="str">
        <f t="shared" si="47"/>
        <v>N/A</v>
      </c>
      <c r="T69" s="418" t="str">
        <f t="shared" si="47"/>
        <v>N/A</v>
      </c>
      <c r="U69" s="418" t="str">
        <f t="shared" si="47"/>
        <v>N/A</v>
      </c>
      <c r="V69" s="418" t="str">
        <f t="shared" si="47"/>
        <v>N/A</v>
      </c>
      <c r="W69" s="418" t="str">
        <f t="shared" si="47"/>
        <v>N/A</v>
      </c>
      <c r="X69" s="418" t="str">
        <f t="shared" si="47"/>
        <v>N/A</v>
      </c>
      <c r="Y69" s="418" t="str">
        <f t="shared" si="47"/>
        <v>N/A</v>
      </c>
      <c r="Z69" s="418" t="str">
        <f t="shared" si="47"/>
        <v>N/A</v>
      </c>
      <c r="AA69" s="418" t="str">
        <f t="shared" si="47"/>
        <v>N/A</v>
      </c>
      <c r="AB69" s="325"/>
      <c r="AC69" s="309" t="s">
        <v>3932</v>
      </c>
      <c r="AD69" s="311"/>
      <c r="AE69" s="311"/>
      <c r="AF69" s="310" t="s">
        <v>6988</v>
      </c>
      <c r="AG69" s="310" t="s">
        <v>9603</v>
      </c>
      <c r="AH69" s="310" t="s">
        <v>2340</v>
      </c>
      <c r="AI69" s="381" t="s">
        <v>2255</v>
      </c>
      <c r="AJ69" s="6" t="s">
        <v>6786</v>
      </c>
      <c r="AK69" s="6" t="str">
        <f t="shared" ref="AK69:AK132" si="49">IF(AJ69&lt;&gt;AM69,"DIFERENTE","IGUAL")</f>
        <v>IGUAL</v>
      </c>
      <c r="AL69" s="151" t="str">
        <f>IFERROR(IF(LEFT(A69,3)="LCP",VLOOKUP(A69,STATUS_SAP_LCP!B:C,2,FALSE),VLOOKUP(A69,STATUS_SAP_ICP!B:C,2,FALSE)),"NO BUDGET")</f>
        <v>REL  BUDG ISBD AVAC  //  BREL WPLI</v>
      </c>
      <c r="AM69" s="6" t="str">
        <f t="shared" si="48"/>
        <v xml:space="preserve">REL </v>
      </c>
      <c r="AN69" s="282" t="s">
        <v>8968</v>
      </c>
      <c r="AO69" s="557"/>
      <c r="AP69" s="499" t="s">
        <v>9616</v>
      </c>
      <c r="AQ69" s="464"/>
      <c r="AR69" s="460"/>
      <c r="AS69" s="56"/>
      <c r="AT69" s="185"/>
      <c r="AU69" s="318"/>
      <c r="AV69" s="223"/>
      <c r="AW69" s="318">
        <v>1.4012499999999999</v>
      </c>
      <c r="AX69" s="223">
        <v>13.912720000000002</v>
      </c>
      <c r="AY69" s="318">
        <f t="shared" si="40"/>
        <v>-15.264010000000001</v>
      </c>
      <c r="AZ69" s="223"/>
      <c r="BA69" s="318"/>
      <c r="BB69" s="519">
        <f t="shared" si="41"/>
        <v>-15.3</v>
      </c>
      <c r="BC69" s="518">
        <v>0</v>
      </c>
      <c r="BD69" s="518">
        <v>-15.3</v>
      </c>
      <c r="BE69" s="518">
        <v>0</v>
      </c>
      <c r="BF69" s="518">
        <v>0</v>
      </c>
      <c r="BG69" s="518">
        <v>0</v>
      </c>
      <c r="BH69" s="518">
        <v>0</v>
      </c>
      <c r="BI69" s="518">
        <v>0</v>
      </c>
      <c r="BJ69" s="518">
        <v>0</v>
      </c>
      <c r="BK69" s="518">
        <v>0</v>
      </c>
      <c r="BL69" s="518">
        <v>0</v>
      </c>
      <c r="BM69" s="518">
        <v>0</v>
      </c>
      <c r="BN69" s="518">
        <v>0</v>
      </c>
      <c r="BO69" s="367">
        <f t="shared" ref="BO69:BO132" si="50">SUM(BS69,BW69,CA69,CE69,CI69,CM69,CQ69,CU69,CY69,DC69,DG69,DK69)</f>
        <v>-15.264010000000001</v>
      </c>
      <c r="BP69" s="421">
        <v>0</v>
      </c>
      <c r="BQ69" s="422">
        <v>0</v>
      </c>
      <c r="BR69" s="423">
        <f>IFERROR(IF(LEFT($A69,3)="Lcp",SUMIFS('BASE-LCP'!$K:$K,'BASE-LCP'!$A:$A,Capex!$A51,'BASE-LCP'!$B:$B,"janeiro")/1000,IF(LEFT($A69,3)="icp",SUMIFS('BASE-ICP'!$K:$K,'BASE-ICP'!$A:$A,Capex!$A51,'BASE-ICP'!$B:$B,"janeiro")/1000,"")),"")</f>
        <v>0</v>
      </c>
      <c r="BS69" s="427">
        <v>0</v>
      </c>
      <c r="BT69" s="372">
        <v>-15.3</v>
      </c>
      <c r="BU69" s="422">
        <v>0</v>
      </c>
      <c r="BV69" s="423">
        <f>IFERROR(IF(LEFT($A69,3)="Lcp",SUMIFS('BASE-LCP'!$K:$K,'BASE-LCP'!$A:$A,Capex!$A51,'BASE-LCP'!$B:$B,"fevereiro")/1000,IF(LEFT($A69,3)="icp",SUMIFS('BASE-ICP'!$K:$K,'BASE-ICP'!$A:$A,Capex!$A51,'BASE-ICP'!$B:$B,"fevereiro")/1000,"")),"")</f>
        <v>0</v>
      </c>
      <c r="BW69" s="427">
        <v>0</v>
      </c>
      <c r="BX69" s="372">
        <v>-15.3</v>
      </c>
      <c r="BY69" s="419">
        <v>3.5990000000000001E-2</v>
      </c>
      <c r="BZ69" s="423">
        <f>IFERROR(IF(LEFT($A69,3)="Lcp",SUMIFS('BASE-LCP'!$K:$K,'BASE-LCP'!$A:$A,Capex!$A51,'BASE-LCP'!$B:$B,"março")/1000,IF(LEFT($A69,3)="icp",SUMIFS('BASE-ICP'!$K:$K,'BASE-ICP'!$A:$A,Capex!$A51,'BASE-ICP'!$B:$B,"março")/1000,"")),"")</f>
        <v>0</v>
      </c>
      <c r="CA69" s="427">
        <v>3.5990000000000001E-2</v>
      </c>
      <c r="CB69" s="372">
        <v>-15.3</v>
      </c>
      <c r="CC69" s="422"/>
      <c r="CD69" s="423">
        <f>IFERROR(IF(LEFT($A69,3)="Lcp",SUMIFS('BASE-LCP'!$K:$K,'BASE-LCP'!$A:$A,Capex!$A51,'BASE-LCP'!$B:$B,"abril")/1000,IF(LEFT($A69,3)="icp",SUMIFS('BASE-ICP'!$K:$K,'BASE-ICP'!$A:$A,Capex!$A51,'BASE-ICP'!$B:$B,"abril")/1000,"")),"")</f>
        <v>0</v>
      </c>
      <c r="CE69" s="427">
        <v>0</v>
      </c>
      <c r="CF69" s="372">
        <v>-15.3</v>
      </c>
      <c r="CG69" s="419">
        <f t="shared" si="42"/>
        <v>0</v>
      </c>
      <c r="CH69" s="423">
        <v>0</v>
      </c>
      <c r="CI69" s="427">
        <v>0</v>
      </c>
      <c r="CJ69" s="372">
        <v>0</v>
      </c>
      <c r="CK69" s="419"/>
      <c r="CL69" s="423">
        <f>IFERROR(IF(LEFT($A69,3)="Lcp",SUMIFS('BASE-LCP'!$K:$K,'BASE-LCP'!$A:$A,Capex!$A51,'BASE-LCP'!$B:$B,"junho")/1000,IF(LEFT($A69,3)="icp",SUMIFS('BASE-ICP'!$K:$K,'BASE-ICP'!$A:$A,Capex!$A51,'BASE-ICP'!$B:$B,"junho")/1000,"")),"")</f>
        <v>0</v>
      </c>
      <c r="CM69" s="427">
        <v>0</v>
      </c>
      <c r="CN69" s="372"/>
      <c r="CO69" s="419"/>
      <c r="CP69" s="423">
        <f>IFERROR(IF(LEFT($A69,3)="Lcp",SUMIFS('BASE-LCP'!$K:$K,'BASE-LCP'!$A:$A,Capex!$A51,'BASE-LCP'!$B:$B,"julho")/1000,IF(LEFT($A69,3)="icp",SUMIFS('BASE-ICP'!$K:$K,'BASE-ICP'!$A:$A,Capex!$A51,'BASE-ICP'!$B:$B,"julho")/1000,"")),"")</f>
        <v>0</v>
      </c>
      <c r="CQ69" s="427">
        <v>0</v>
      </c>
      <c r="CR69" s="372"/>
      <c r="CS69" s="419"/>
      <c r="CT69" s="423">
        <f>IFERROR(IF(LEFT($A69,3)="Lcp",SUMIFS('BASE-LCP'!$K:$K,'BASE-LCP'!$A:$A,Capex!$A51,'BASE-LCP'!$B:$B,"agosto")/1000,IF(LEFT($A69,3)="icp",SUMIFS('BASE-ICP'!$K:$K,'BASE-ICP'!$A:$A,Capex!$A51,'BASE-ICP'!$B:$B,"agosto")/1000,"")),"")</f>
        <v>0</v>
      </c>
      <c r="CU69" s="427">
        <v>-15.3</v>
      </c>
      <c r="CV69" s="372"/>
      <c r="CW69" s="419"/>
      <c r="CX69" s="423">
        <f>IFERROR(IF(LEFT($A69,3)="Lcp",SUMIFS('BASE-LCP'!$K:$K,'BASE-LCP'!$A:$A,Capex!$A51,'BASE-LCP'!$B:$B,"setembro")/1000,IF(LEFT($A69,3)="icp",SUMIFS('BASE-ICP'!$K:$K,'BASE-ICP'!$A:$A,Capex!$A51,'BASE-ICP'!$B:$B,"setembro")/1000,"")),"")</f>
        <v>0</v>
      </c>
      <c r="CY69" s="427">
        <v>0</v>
      </c>
      <c r="CZ69" s="372"/>
      <c r="DA69" s="419"/>
      <c r="DB69" s="423">
        <f>IFERROR(IF(LEFT($A69,3)="Lcp",SUMIFS('BASE-LCP'!$K:$K,'BASE-LCP'!$A:$A,Capex!$A51,'BASE-LCP'!$B:$B,"outubro")/1000,IF(LEFT($A69,3)="icp",SUMIFS('BASE-ICP'!$K:$K,'BASE-ICP'!$A:$A,Capex!$A51,'BASE-ICP'!$B:$B,"outubro")/1000,"")),"")</f>
        <v>0</v>
      </c>
      <c r="DC69" s="427">
        <v>0</v>
      </c>
      <c r="DD69" s="372"/>
      <c r="DE69" s="419"/>
      <c r="DF69" s="423">
        <f>IFERROR(IF(LEFT($A69,3)="Lcp",SUMIFS('BASE-LCP'!$K:$K,'BASE-LCP'!$A:$A,Capex!$A51,'BASE-LCP'!$B:$B,"novembro")/1000,IF(LEFT($A69,3)="icp",SUMIFS('BASE-ICP'!$K:$K,'BASE-ICP'!$A:$A,Capex!$A51,'BASE-ICP'!$B:$B,"novembro")/1000,"")),"")</f>
        <v>0</v>
      </c>
      <c r="DG69" s="427">
        <v>0</v>
      </c>
      <c r="DH69" s="372"/>
      <c r="DI69" s="419"/>
      <c r="DJ69" s="423">
        <f>IFERROR(IF(LEFT($A69,3)="Lcp",SUMIFS('BASE-LCP'!$K:$K,'BASE-LCP'!$A:$A,Capex!$A51,'BASE-LCP'!$B:$B,"dezembro")/1000,IF(LEFT($A69,3)="icp",SUMIFS('BASE-ICP'!$K:$K,'BASE-ICP'!$A:$A,Capex!$A51,'BASE-ICP'!$B:$B,"dezembro")/1000,"")),"")</f>
        <v>0</v>
      </c>
      <c r="DK69" s="427">
        <v>0</v>
      </c>
      <c r="DL69" s="452">
        <f t="shared" ref="DL69:DL132" si="51">SUM(DM69:DX69)</f>
        <v>0</v>
      </c>
      <c r="DM69" s="374"/>
      <c r="DN69" s="374">
        <v>0</v>
      </c>
      <c r="DO69" s="374"/>
      <c r="DP69" s="374"/>
      <c r="DQ69" s="374"/>
      <c r="DR69" s="374"/>
      <c r="DS69" s="374"/>
      <c r="DT69" s="374"/>
      <c r="DU69" s="374"/>
      <c r="DV69" s="374"/>
      <c r="DW69" s="374"/>
      <c r="DX69" s="374"/>
      <c r="DY69" s="450"/>
      <c r="DZ69" s="374">
        <f t="shared" ref="DZ69:DZ132" si="52">SUM(DL69,DY69)</f>
        <v>0</v>
      </c>
      <c r="EA69" s="216">
        <f t="shared" ref="EA69:EA132" si="53">CM69-CJ69</f>
        <v>0</v>
      </c>
      <c r="EB69" s="320">
        <f t="shared" ref="EB69:EB132" si="54">CL69-CM69</f>
        <v>0</v>
      </c>
      <c r="EC69" s="241">
        <f t="shared" ref="EC69:EC132" si="55">SUM(BS69,BW69,CA69)</f>
        <v>3.5990000000000001E-2</v>
      </c>
      <c r="ED69" s="241">
        <f t="shared" ref="ED69:ED132" si="56">SUM(CE69,CI69,CM69)</f>
        <v>0</v>
      </c>
      <c r="EE69" s="241">
        <f t="shared" ref="EE69:EE132" si="57">SUM(CQ69,CU69,CY69)</f>
        <v>-15.3</v>
      </c>
      <c r="EF69" s="241">
        <f t="shared" ref="EF69:EF132" si="58">SUM(DC69,DG69,DK69)</f>
        <v>0</v>
      </c>
      <c r="EG69" s="346">
        <f t="shared" ref="EG69:EG132" si="59">BO69-BB69</f>
        <v>3.5989999999999966E-2</v>
      </c>
      <c r="EH69" s="445">
        <f t="shared" ref="EH69:EH132" si="60">CF69</f>
        <v>-15.3</v>
      </c>
      <c r="EI69" s="447">
        <f t="shared" ref="EI69:EI132" si="61">CH69</f>
        <v>0</v>
      </c>
      <c r="EJ69" s="364">
        <f t="shared" ref="EJ69:EJ132" si="62">SUM(BS69,BW69,CA69,CE69,CI69,CL69)</f>
        <v>3.5990000000000001E-2</v>
      </c>
      <c r="EK69" s="365">
        <f t="shared" ref="EK69:EK132" si="63">BO69-EJ69</f>
        <v>-15.3</v>
      </c>
      <c r="EL69" s="529">
        <f t="shared" ref="EL69:EL132" si="64">SUM(EM69:EX69)</f>
        <v>-15.264010000000001</v>
      </c>
      <c r="EM69" s="530">
        <v>0</v>
      </c>
      <c r="EN69" s="530">
        <v>0</v>
      </c>
      <c r="EO69" s="530">
        <v>3.5990000000000001E-2</v>
      </c>
      <c r="EP69" s="530">
        <v>0</v>
      </c>
      <c r="EQ69" s="530">
        <v>0</v>
      </c>
      <c r="ER69" s="530">
        <v>0</v>
      </c>
      <c r="ES69" s="530">
        <v>0</v>
      </c>
      <c r="ET69" s="530">
        <v>-15.3</v>
      </c>
      <c r="EU69" s="530">
        <v>0</v>
      </c>
      <c r="EV69" s="530">
        <v>0</v>
      </c>
      <c r="EW69" s="530">
        <v>0</v>
      </c>
      <c r="EX69" s="530">
        <v>0</v>
      </c>
      <c r="EY69" s="530">
        <f t="shared" ref="EY69:EY132" si="65">SUM(EM69:EO69)</f>
        <v>3.5990000000000001E-2</v>
      </c>
      <c r="EZ69" s="530">
        <f t="shared" ref="EZ69:EZ132" si="66">SUM(EP69:ER69)</f>
        <v>0</v>
      </c>
      <c r="FA69" s="530">
        <f t="shared" ref="FA69:FA132" si="67">SUM(ES69:EU69)</f>
        <v>-15.3</v>
      </c>
      <c r="FB69" s="530">
        <f t="shared" ref="FB69:FB132" si="68">SUM(EV69:EX69)</f>
        <v>0</v>
      </c>
      <c r="FC69" s="384" t="str">
        <f>IFERROR(VLOOKUP(Capex!A51,BASE_558!D:R,8,FALSE)/1000,"")</f>
        <v/>
      </c>
      <c r="FD69" s="328" t="str">
        <f>IFERROR(VLOOKUP(Capex!A51,BASE_558!D:R,9,)/1000,"")</f>
        <v/>
      </c>
      <c r="FE69" s="328">
        <f>IFERROR(IF(LEFT(A69,3)="LCP",(VLOOKUP(Capex!A51,BASE_558!D:R,10,)/1000),SUMIFS('BASE ICP_PO_SC'!F:F,'BASE ICP_PO_SC'!A:A,Capex!A51,'BASE ICP_PO_SC'!E:E,"&lt;&gt;")/1000),"")</f>
        <v>0.2</v>
      </c>
      <c r="FF69" s="328">
        <f>IFERROR(IF(LEFT(A69,3)="LCP",(VLOOKUP(Capex!A51,BASE_558!D:R,11,)/1000),SUMIFS('BASE ICP_PO_SC'!F:F,'BASE ICP_PO_SC'!A:A,Capex!A51,'BASE ICP_PO_SC'!E:E,"")/1000),"")</f>
        <v>0</v>
      </c>
      <c r="FG69" s="328" t="str">
        <f>IFERROR(VLOOKUP(A69,BASE_558!D:R,13,FALSE)/1000,"")</f>
        <v/>
      </c>
      <c r="FH69" s="328" t="str">
        <f>IFERROR(VLOOKUP(A69,BASE_558!D:R,15,FALSE)/1000,"")</f>
        <v/>
      </c>
      <c r="FI69" s="547">
        <f t="shared" ref="FI69:FI132" si="69">EZ69-ED69</f>
        <v>0</v>
      </c>
      <c r="FJ69" s="547">
        <f t="shared" ref="FJ69:FJ132" si="70">FA69-EE69</f>
        <v>0</v>
      </c>
      <c r="FK69" s="540">
        <f t="shared" ref="FK69:FK132" si="71">FB69-EF69</f>
        <v>0</v>
      </c>
    </row>
    <row r="70" spans="1:167" s="23" customFormat="1" ht="24" customHeight="1">
      <c r="A70" s="309" t="s">
        <v>6817</v>
      </c>
      <c r="B70" s="404" t="s">
        <v>2336</v>
      </c>
      <c r="C70" s="404"/>
      <c r="D70" s="338"/>
      <c r="E70" s="378"/>
      <c r="F70" s="5"/>
      <c r="G70" s="310" t="s">
        <v>9</v>
      </c>
      <c r="H70" s="338"/>
      <c r="I70" s="338"/>
      <c r="J70" s="338">
        <v>2024</v>
      </c>
      <c r="K70" s="316"/>
      <c r="L70" s="324"/>
      <c r="M70" s="409"/>
      <c r="N70" s="317" t="str">
        <f t="shared" si="38"/>
        <v/>
      </c>
      <c r="O70" s="317" t="str">
        <f t="shared" si="39"/>
        <v/>
      </c>
      <c r="P70" s="418" t="str">
        <f t="shared" si="47"/>
        <v>N/A</v>
      </c>
      <c r="Q70" s="418" t="str">
        <f t="shared" si="47"/>
        <v>N/A</v>
      </c>
      <c r="R70" s="418" t="str">
        <f t="shared" si="47"/>
        <v>N/A</v>
      </c>
      <c r="S70" s="418" t="str">
        <f t="shared" si="47"/>
        <v>N/A</v>
      </c>
      <c r="T70" s="418" t="str">
        <f t="shared" si="47"/>
        <v>N/A</v>
      </c>
      <c r="U70" s="418" t="str">
        <f t="shared" si="47"/>
        <v>N/A</v>
      </c>
      <c r="V70" s="418" t="str">
        <f t="shared" si="47"/>
        <v>N/A</v>
      </c>
      <c r="W70" s="418" t="str">
        <f t="shared" si="47"/>
        <v>N/A</v>
      </c>
      <c r="X70" s="418" t="str">
        <f t="shared" si="47"/>
        <v>N/A</v>
      </c>
      <c r="Y70" s="418" t="str">
        <f t="shared" si="47"/>
        <v>N/A</v>
      </c>
      <c r="Z70" s="418" t="str">
        <f t="shared" si="47"/>
        <v>N/A</v>
      </c>
      <c r="AA70" s="418" t="str">
        <f t="shared" si="47"/>
        <v>N/A</v>
      </c>
      <c r="AB70" s="317"/>
      <c r="AC70" s="309" t="s">
        <v>3932</v>
      </c>
      <c r="AD70" s="311"/>
      <c r="AE70" s="311"/>
      <c r="AF70" s="310" t="s">
        <v>6988</v>
      </c>
      <c r="AG70" s="310" t="s">
        <v>2079</v>
      </c>
      <c r="AH70" s="310" t="s">
        <v>1828</v>
      </c>
      <c r="AI70" s="309" t="s">
        <v>2255</v>
      </c>
      <c r="AJ70" s="6" t="s">
        <v>6786</v>
      </c>
      <c r="AK70" s="6" t="str">
        <f t="shared" si="49"/>
        <v>IGUAL</v>
      </c>
      <c r="AL70" s="151" t="str">
        <f>IFERROR(IF(LEFT(A70,3)="LCP",VLOOKUP(A70,STATUS_SAP_LCP!B:C,2,FALSE),VLOOKUP(A70,STATUS_SAP_ICP!B:C,2,FALSE)),"NO BUDGET")</f>
        <v>REL   //  BREL WPLI</v>
      </c>
      <c r="AM70" s="6" t="str">
        <f t="shared" si="48"/>
        <v xml:space="preserve">REL </v>
      </c>
      <c r="AN70" s="282" t="s">
        <v>8971</v>
      </c>
      <c r="AO70" s="557"/>
      <c r="AP70" s="499" t="s">
        <v>9616</v>
      </c>
      <c r="AQ70" s="464"/>
      <c r="AR70" s="460"/>
      <c r="AS70" s="56"/>
      <c r="AT70" s="185"/>
      <c r="AU70" s="318"/>
      <c r="AV70" s="223"/>
      <c r="AW70" s="318"/>
      <c r="AX70" s="223">
        <v>227.14084000000014</v>
      </c>
      <c r="AY70" s="318">
        <f t="shared" si="40"/>
        <v>-226.57237000000001</v>
      </c>
      <c r="AZ70" s="223"/>
      <c r="BA70" s="318"/>
      <c r="BB70" s="519">
        <f t="shared" si="41"/>
        <v>-227</v>
      </c>
      <c r="BC70" s="518">
        <v>0</v>
      </c>
      <c r="BD70" s="518">
        <v>-227</v>
      </c>
      <c r="BE70" s="518">
        <v>0</v>
      </c>
      <c r="BF70" s="518">
        <v>0</v>
      </c>
      <c r="BG70" s="518">
        <v>0</v>
      </c>
      <c r="BH70" s="518">
        <v>0</v>
      </c>
      <c r="BI70" s="518">
        <v>0</v>
      </c>
      <c r="BJ70" s="518">
        <v>0</v>
      </c>
      <c r="BK70" s="518">
        <v>0</v>
      </c>
      <c r="BL70" s="518">
        <v>0</v>
      </c>
      <c r="BM70" s="518">
        <v>0</v>
      </c>
      <c r="BN70" s="518">
        <v>0</v>
      </c>
      <c r="BO70" s="367">
        <f t="shared" si="50"/>
        <v>-226.57237000000001</v>
      </c>
      <c r="BP70" s="421">
        <v>0</v>
      </c>
      <c r="BQ70" s="422">
        <v>-109.75</v>
      </c>
      <c r="BR70" s="423">
        <f>IFERROR(IF(LEFT($A70,3)="Lcp",SUMIFS('BASE-LCP'!$K:$K,'BASE-LCP'!$A:$A,Capex!$A58,'BASE-LCP'!$B:$B,"janeiro")/1000,IF(LEFT($A70,3)="icp",SUMIFS('BASE-ICP'!$K:$K,'BASE-ICP'!$A:$A,Capex!$A58,'BASE-ICP'!$B:$B,"janeiro")/1000,"")),"")</f>
        <v>0</v>
      </c>
      <c r="BS70" s="427">
        <v>-109.75</v>
      </c>
      <c r="BT70" s="372">
        <v>-117</v>
      </c>
      <c r="BU70" s="422">
        <v>0</v>
      </c>
      <c r="BV70" s="423">
        <f>IFERROR(IF(LEFT($A70,3)="Lcp",SUMIFS('BASE-LCP'!$K:$K,'BASE-LCP'!$A:$A,Capex!$A58,'BASE-LCP'!$B:$B,"fevereiro")/1000,IF(LEFT($A70,3)="icp",SUMIFS('BASE-ICP'!$K:$K,'BASE-ICP'!$A:$A,Capex!$A58,'BASE-ICP'!$B:$B,"fevereiro")/1000,"")),"")</f>
        <v>0</v>
      </c>
      <c r="BW70" s="427">
        <v>0</v>
      </c>
      <c r="BX70" s="372">
        <v>-117</v>
      </c>
      <c r="BY70" s="419">
        <v>0</v>
      </c>
      <c r="BZ70" s="423">
        <f>IFERROR(IF(LEFT($A70,3)="Lcp",SUMIFS('BASE-LCP'!$K:$K,'BASE-LCP'!$A:$A,Capex!$A58,'BASE-LCP'!$B:$B,"março")/1000,IF(LEFT($A70,3)="icp",SUMIFS('BASE-ICP'!$K:$K,'BASE-ICP'!$A:$A,Capex!$A58,'BASE-ICP'!$B:$B,"março")/1000,"")),"")</f>
        <v>0</v>
      </c>
      <c r="CA70" s="427">
        <v>0</v>
      </c>
      <c r="CB70" s="372">
        <v>-117</v>
      </c>
      <c r="CC70" s="422"/>
      <c r="CD70" s="423">
        <f>IFERROR(IF(LEFT($A70,3)="Lcp",SUMIFS('BASE-LCP'!$K:$K,'BASE-LCP'!$A:$A,Capex!$A58,'BASE-LCP'!$B:$B,"abril")/1000,IF(LEFT($A70,3)="icp",SUMIFS('BASE-ICP'!$K:$K,'BASE-ICP'!$A:$A,Capex!$A58,'BASE-ICP'!$B:$B,"abril")/1000,"")),"")</f>
        <v>0</v>
      </c>
      <c r="CE70" s="427">
        <v>0</v>
      </c>
      <c r="CF70" s="372">
        <v>-117</v>
      </c>
      <c r="CG70" s="419">
        <f t="shared" si="42"/>
        <v>0.17763000000000001</v>
      </c>
      <c r="CH70" s="423">
        <v>0.17763000000000001</v>
      </c>
      <c r="CI70" s="427">
        <v>0.17763000000000001</v>
      </c>
      <c r="CJ70" s="372">
        <v>0</v>
      </c>
      <c r="CK70" s="419"/>
      <c r="CL70" s="423">
        <f>IFERROR(IF(LEFT($A70,3)="Lcp",SUMIFS('BASE-LCP'!$K:$K,'BASE-LCP'!$A:$A,Capex!$A58,'BASE-LCP'!$B:$B,"junho")/1000,IF(LEFT($A70,3)="icp",SUMIFS('BASE-ICP'!$K:$K,'BASE-ICP'!$A:$A,Capex!$A58,'BASE-ICP'!$B:$B,"junho")/1000,"")),"")</f>
        <v>0</v>
      </c>
      <c r="CM70" s="427">
        <v>0</v>
      </c>
      <c r="CN70" s="372"/>
      <c r="CO70" s="419"/>
      <c r="CP70" s="423">
        <f>IFERROR(IF(LEFT($A70,3)="Lcp",SUMIFS('BASE-LCP'!$K:$K,'BASE-LCP'!$A:$A,Capex!$A58,'BASE-LCP'!$B:$B,"julho")/1000,IF(LEFT($A70,3)="icp",SUMIFS('BASE-ICP'!$K:$K,'BASE-ICP'!$A:$A,Capex!$A58,'BASE-ICP'!$B:$B,"julho")/1000,"")),"")</f>
        <v>0</v>
      </c>
      <c r="CQ70" s="427">
        <v>0</v>
      </c>
      <c r="CR70" s="372"/>
      <c r="CS70" s="419"/>
      <c r="CT70" s="423">
        <f>IFERROR(IF(LEFT($A70,3)="Lcp",SUMIFS('BASE-LCP'!$K:$K,'BASE-LCP'!$A:$A,Capex!$A58,'BASE-LCP'!$B:$B,"agosto")/1000,IF(LEFT($A70,3)="icp",SUMIFS('BASE-ICP'!$K:$K,'BASE-ICP'!$A:$A,Capex!$A58,'BASE-ICP'!$B:$B,"agosto")/1000,"")),"")</f>
        <v>0</v>
      </c>
      <c r="CU70" s="427">
        <v>0</v>
      </c>
      <c r="CV70" s="372"/>
      <c r="CW70" s="419"/>
      <c r="CX70" s="423">
        <f>IFERROR(IF(LEFT($A70,3)="Lcp",SUMIFS('BASE-LCP'!$K:$K,'BASE-LCP'!$A:$A,Capex!$A58,'BASE-LCP'!$B:$B,"setembro")/1000,IF(LEFT($A70,3)="icp",SUMIFS('BASE-ICP'!$K:$K,'BASE-ICP'!$A:$A,Capex!$A58,'BASE-ICP'!$B:$B,"setembro")/1000,"")),"")</f>
        <v>0</v>
      </c>
      <c r="CY70" s="427">
        <v>-117</v>
      </c>
      <c r="CZ70" s="372"/>
      <c r="DA70" s="419"/>
      <c r="DB70" s="423">
        <f>IFERROR(IF(LEFT($A70,3)="Lcp",SUMIFS('BASE-LCP'!$K:$K,'BASE-LCP'!$A:$A,Capex!$A58,'BASE-LCP'!$B:$B,"outubro")/1000,IF(LEFT($A70,3)="icp",SUMIFS('BASE-ICP'!$K:$K,'BASE-ICP'!$A:$A,Capex!$A58,'BASE-ICP'!$B:$B,"outubro")/1000,"")),"")</f>
        <v>0</v>
      </c>
      <c r="DC70" s="427">
        <v>0</v>
      </c>
      <c r="DD70" s="372"/>
      <c r="DE70" s="419"/>
      <c r="DF70" s="423">
        <f>IFERROR(IF(LEFT($A70,3)="Lcp",SUMIFS('BASE-LCP'!$K:$K,'BASE-LCP'!$A:$A,Capex!$A58,'BASE-LCP'!$B:$B,"novembro")/1000,IF(LEFT($A70,3)="icp",SUMIFS('BASE-ICP'!$K:$K,'BASE-ICP'!$A:$A,Capex!$A58,'BASE-ICP'!$B:$B,"novembro")/1000,"")),"")</f>
        <v>0</v>
      </c>
      <c r="DG70" s="427">
        <v>0</v>
      </c>
      <c r="DH70" s="372"/>
      <c r="DI70" s="419"/>
      <c r="DJ70" s="423">
        <f>IFERROR(IF(LEFT($A70,3)="Lcp",SUMIFS('BASE-LCP'!$K:$K,'BASE-LCP'!$A:$A,Capex!$A58,'BASE-LCP'!$B:$B,"dezembro")/1000,IF(LEFT($A70,3)="icp",SUMIFS('BASE-ICP'!$K:$K,'BASE-ICP'!$A:$A,Capex!$A58,'BASE-ICP'!$B:$B,"dezembro")/1000,"")),"")</f>
        <v>0</v>
      </c>
      <c r="DK70" s="427">
        <v>0</v>
      </c>
      <c r="DL70" s="452">
        <f t="shared" si="51"/>
        <v>0</v>
      </c>
      <c r="DM70" s="374"/>
      <c r="DN70" s="374">
        <v>0</v>
      </c>
      <c r="DO70" s="374"/>
      <c r="DP70" s="374"/>
      <c r="DQ70" s="374"/>
      <c r="DR70" s="374"/>
      <c r="DS70" s="374"/>
      <c r="DT70" s="374"/>
      <c r="DU70" s="374"/>
      <c r="DV70" s="374"/>
      <c r="DW70" s="374"/>
      <c r="DX70" s="374"/>
      <c r="DY70" s="450"/>
      <c r="DZ70" s="374">
        <f t="shared" si="52"/>
        <v>0</v>
      </c>
      <c r="EA70" s="216">
        <f t="shared" si="53"/>
        <v>0</v>
      </c>
      <c r="EB70" s="320">
        <f t="shared" si="54"/>
        <v>0</v>
      </c>
      <c r="EC70" s="241">
        <f t="shared" si="55"/>
        <v>-109.75</v>
      </c>
      <c r="ED70" s="241">
        <f t="shared" si="56"/>
        <v>0.17763000000000001</v>
      </c>
      <c r="EE70" s="241">
        <f t="shared" si="57"/>
        <v>-117</v>
      </c>
      <c r="EF70" s="241">
        <f t="shared" si="58"/>
        <v>0</v>
      </c>
      <c r="EG70" s="346">
        <f t="shared" si="59"/>
        <v>0.42762999999999352</v>
      </c>
      <c r="EH70" s="445">
        <f t="shared" si="60"/>
        <v>-117</v>
      </c>
      <c r="EI70" s="447">
        <f t="shared" si="61"/>
        <v>0.17763000000000001</v>
      </c>
      <c r="EJ70" s="364">
        <f t="shared" si="62"/>
        <v>-109.57237000000001</v>
      </c>
      <c r="EK70" s="365">
        <f t="shared" si="63"/>
        <v>-117</v>
      </c>
      <c r="EL70" s="529">
        <f t="shared" si="64"/>
        <v>-226.57237000000001</v>
      </c>
      <c r="EM70" s="530">
        <v>-109.75</v>
      </c>
      <c r="EN70" s="530">
        <v>0</v>
      </c>
      <c r="EO70" s="530">
        <v>0</v>
      </c>
      <c r="EP70" s="530">
        <v>0</v>
      </c>
      <c r="EQ70" s="530">
        <v>0.17763000000000001</v>
      </c>
      <c r="ER70" s="530">
        <v>0</v>
      </c>
      <c r="ES70" s="530">
        <v>0</v>
      </c>
      <c r="ET70" s="530">
        <v>-117</v>
      </c>
      <c r="EU70" s="530">
        <v>0</v>
      </c>
      <c r="EV70" s="530">
        <v>0</v>
      </c>
      <c r="EW70" s="530">
        <v>0</v>
      </c>
      <c r="EX70" s="530">
        <v>0</v>
      </c>
      <c r="EY70" s="530">
        <f t="shared" si="65"/>
        <v>-109.75</v>
      </c>
      <c r="EZ70" s="530">
        <f t="shared" si="66"/>
        <v>0.17763000000000001</v>
      </c>
      <c r="FA70" s="530">
        <f t="shared" si="67"/>
        <v>-117</v>
      </c>
      <c r="FB70" s="530">
        <f t="shared" si="68"/>
        <v>0</v>
      </c>
      <c r="FC70" s="384" t="str">
        <f>IFERROR(VLOOKUP(Capex!A58,BASE_558!D:R,8,FALSE)/1000,"")</f>
        <v/>
      </c>
      <c r="FD70" s="328" t="str">
        <f>IFERROR(VLOOKUP(Capex!A58,BASE_558!D:R,9,)/1000,"")</f>
        <v/>
      </c>
      <c r="FE70" s="328">
        <f>IFERROR(IF(LEFT(A70,3)="LCP",(VLOOKUP(Capex!A58,BASE_558!D:R,10,)/1000),SUMIFS('BASE ICP_PO_SC'!F:F,'BASE ICP_PO_SC'!A:A,Capex!A58,'BASE ICP_PO_SC'!E:E,"&lt;&gt;")/1000),"")</f>
        <v>0</v>
      </c>
      <c r="FF70" s="328">
        <f>IFERROR(IF(LEFT(A70,3)="LCP",(VLOOKUP(Capex!A58,BASE_558!D:R,11,)/1000),SUMIFS('BASE ICP_PO_SC'!F:F,'BASE ICP_PO_SC'!A:A,Capex!A58,'BASE ICP_PO_SC'!E:E,"")/1000),"")</f>
        <v>0</v>
      </c>
      <c r="FG70" s="328" t="str">
        <f>IFERROR(VLOOKUP(A70,BASE_558!D:R,13,FALSE)/1000,"")</f>
        <v/>
      </c>
      <c r="FH70" s="328" t="str">
        <f>IFERROR(VLOOKUP(A70,BASE_558!D:R,15,FALSE)/1000,"")</f>
        <v/>
      </c>
      <c r="FI70" s="547">
        <f t="shared" si="69"/>
        <v>0</v>
      </c>
      <c r="FJ70" s="547">
        <f t="shared" si="70"/>
        <v>0</v>
      </c>
      <c r="FK70" s="540">
        <f t="shared" si="71"/>
        <v>0</v>
      </c>
    </row>
    <row r="71" spans="1:167" s="23" customFormat="1" ht="24" customHeight="1">
      <c r="A71" s="309" t="s">
        <v>7006</v>
      </c>
      <c r="B71" s="404" t="s">
        <v>1951</v>
      </c>
      <c r="C71" s="404"/>
      <c r="D71" s="338"/>
      <c r="E71" s="378"/>
      <c r="F71" s="5"/>
      <c r="G71" s="310" t="s">
        <v>9</v>
      </c>
      <c r="H71" s="338"/>
      <c r="I71" s="338"/>
      <c r="J71" s="338">
        <v>2024</v>
      </c>
      <c r="K71" s="316"/>
      <c r="L71" s="324"/>
      <c r="M71" s="409"/>
      <c r="N71" s="317" t="str">
        <f t="shared" si="38"/>
        <v/>
      </c>
      <c r="O71" s="317" t="str">
        <f t="shared" si="39"/>
        <v/>
      </c>
      <c r="P71" s="418" t="str">
        <f t="shared" si="47"/>
        <v>N/A</v>
      </c>
      <c r="Q71" s="418" t="str">
        <f t="shared" si="47"/>
        <v>N/A</v>
      </c>
      <c r="R71" s="418" t="str">
        <f t="shared" si="47"/>
        <v>N/A</v>
      </c>
      <c r="S71" s="418" t="str">
        <f t="shared" si="47"/>
        <v>N/A</v>
      </c>
      <c r="T71" s="418" t="str">
        <f t="shared" si="47"/>
        <v>N/A</v>
      </c>
      <c r="U71" s="418" t="str">
        <f t="shared" si="47"/>
        <v>N/A</v>
      </c>
      <c r="V71" s="418" t="str">
        <f t="shared" si="47"/>
        <v>N/A</v>
      </c>
      <c r="W71" s="418" t="str">
        <f t="shared" si="47"/>
        <v>N/A</v>
      </c>
      <c r="X71" s="418" t="str">
        <f t="shared" si="47"/>
        <v>N/A</v>
      </c>
      <c r="Y71" s="418" t="str">
        <f t="shared" si="47"/>
        <v>N/A</v>
      </c>
      <c r="Z71" s="418" t="str">
        <f t="shared" si="47"/>
        <v>N/A</v>
      </c>
      <c r="AA71" s="418" t="str">
        <f t="shared" si="47"/>
        <v>N/A</v>
      </c>
      <c r="AB71" s="317"/>
      <c r="AC71" s="309" t="s">
        <v>3932</v>
      </c>
      <c r="AD71" s="311"/>
      <c r="AE71" s="311"/>
      <c r="AF71" s="310" t="s">
        <v>6988</v>
      </c>
      <c r="AG71" s="310" t="s">
        <v>1125</v>
      </c>
      <c r="AH71" s="310" t="s">
        <v>7007</v>
      </c>
      <c r="AI71" s="309" t="s">
        <v>2255</v>
      </c>
      <c r="AJ71" s="6" t="s">
        <v>6786</v>
      </c>
      <c r="AK71" s="6" t="str">
        <f t="shared" si="49"/>
        <v>IGUAL</v>
      </c>
      <c r="AL71" s="151" t="str">
        <f>IFERROR(IF(LEFT(A71,3)="LCP",VLOOKUP(A71,STATUS_SAP_LCP!B:C,2,FALSE),VLOOKUP(A71,STATUS_SAP_ICP!B:C,2,FALSE)),"NO BUDGET")</f>
        <v>REL  BUDG AVAC  //  BREL WPLI</v>
      </c>
      <c r="AM71" s="6" t="str">
        <f t="shared" si="48"/>
        <v xml:space="preserve">REL </v>
      </c>
      <c r="AN71" s="282" t="s">
        <v>7008</v>
      </c>
      <c r="AO71" s="557"/>
      <c r="AP71" s="499" t="s">
        <v>9616</v>
      </c>
      <c r="AQ71" s="464"/>
      <c r="AR71" s="460"/>
      <c r="AS71" s="56"/>
      <c r="AT71" s="185"/>
      <c r="AU71" s="318"/>
      <c r="AV71" s="223"/>
      <c r="AW71" s="318"/>
      <c r="AX71" s="223">
        <v>1.4757500000000003</v>
      </c>
      <c r="AY71" s="318">
        <f t="shared" si="40"/>
        <v>-1.4</v>
      </c>
      <c r="AZ71" s="223"/>
      <c r="BA71" s="318"/>
      <c r="BB71" s="519">
        <f t="shared" si="41"/>
        <v>-0.4</v>
      </c>
      <c r="BC71" s="518">
        <v>0</v>
      </c>
      <c r="BD71" s="518">
        <v>-0.4</v>
      </c>
      <c r="BE71" s="518">
        <v>0</v>
      </c>
      <c r="BF71" s="518">
        <v>0</v>
      </c>
      <c r="BG71" s="518">
        <v>0</v>
      </c>
      <c r="BH71" s="518">
        <v>0</v>
      </c>
      <c r="BI71" s="518">
        <v>0</v>
      </c>
      <c r="BJ71" s="518">
        <v>0</v>
      </c>
      <c r="BK71" s="518">
        <v>0</v>
      </c>
      <c r="BL71" s="518">
        <v>0</v>
      </c>
      <c r="BM71" s="518">
        <v>0</v>
      </c>
      <c r="BN71" s="518">
        <v>0</v>
      </c>
      <c r="BO71" s="367">
        <f t="shared" si="50"/>
        <v>-1.4</v>
      </c>
      <c r="BP71" s="421">
        <v>0</v>
      </c>
      <c r="BQ71" s="422">
        <v>0</v>
      </c>
      <c r="BR71" s="423">
        <f>IFERROR(IF(LEFT($A71,3)="Lcp",SUMIFS('BASE-LCP'!$K:$K,'BASE-LCP'!$A:$A,Capex!$A61,'BASE-LCP'!$B:$B,"janeiro")/1000,IF(LEFT($A71,3)="icp",SUMIFS('BASE-ICP'!$K:$K,'BASE-ICP'!$A:$A,Capex!$A61,'BASE-ICP'!$B:$B,"janeiro")/1000,"")),"")</f>
        <v>0</v>
      </c>
      <c r="BS71" s="427">
        <v>0</v>
      </c>
      <c r="BT71" s="372">
        <v>-1.4</v>
      </c>
      <c r="BU71" s="422">
        <v>0</v>
      </c>
      <c r="BV71" s="423">
        <f>IFERROR(IF(LEFT($A71,3)="Lcp",SUMIFS('BASE-LCP'!$K:$K,'BASE-LCP'!$A:$A,Capex!$A61,'BASE-LCP'!$B:$B,"fevereiro")/1000,IF(LEFT($A71,3)="icp",SUMIFS('BASE-ICP'!$K:$K,'BASE-ICP'!$A:$A,Capex!$A61,'BASE-ICP'!$B:$B,"fevereiro")/1000,"")),"")</f>
        <v>0</v>
      </c>
      <c r="BW71" s="427">
        <v>0</v>
      </c>
      <c r="BX71" s="372">
        <v>-1.4</v>
      </c>
      <c r="BY71" s="419">
        <v>0</v>
      </c>
      <c r="BZ71" s="423">
        <f>IFERROR(IF(LEFT($A71,3)="Lcp",SUMIFS('BASE-LCP'!$K:$K,'BASE-LCP'!$A:$A,Capex!$A61,'BASE-LCP'!$B:$B,"março")/1000,IF(LEFT($A71,3)="icp",SUMIFS('BASE-ICP'!$K:$K,'BASE-ICP'!$A:$A,Capex!$A61,'BASE-ICP'!$B:$B,"março")/1000,"")),"")</f>
        <v>0</v>
      </c>
      <c r="CA71" s="427">
        <v>0</v>
      </c>
      <c r="CB71" s="372">
        <v>-1.4</v>
      </c>
      <c r="CC71" s="422"/>
      <c r="CD71" s="423">
        <f>IFERROR(IF(LEFT($A71,3)="Lcp",SUMIFS('BASE-LCP'!$K:$K,'BASE-LCP'!$A:$A,Capex!$A61,'BASE-LCP'!$B:$B,"abril")/1000,IF(LEFT($A71,3)="icp",SUMIFS('BASE-ICP'!$K:$K,'BASE-ICP'!$A:$A,Capex!$A61,'BASE-ICP'!$B:$B,"abril")/1000,"")),"")</f>
        <v>0</v>
      </c>
      <c r="CE71" s="427">
        <v>0</v>
      </c>
      <c r="CF71" s="372">
        <v>-1.4</v>
      </c>
      <c r="CG71" s="419">
        <f t="shared" si="42"/>
        <v>0</v>
      </c>
      <c r="CH71" s="423">
        <v>0</v>
      </c>
      <c r="CI71" s="427">
        <v>0</v>
      </c>
      <c r="CJ71" s="372">
        <v>0</v>
      </c>
      <c r="CK71" s="419"/>
      <c r="CL71" s="423">
        <f>IFERROR(IF(LEFT($A71,3)="Lcp",SUMIFS('BASE-LCP'!$K:$K,'BASE-LCP'!$A:$A,Capex!$A61,'BASE-LCP'!$B:$B,"junho")/1000,IF(LEFT($A71,3)="icp",SUMIFS('BASE-ICP'!$K:$K,'BASE-ICP'!$A:$A,Capex!$A61,'BASE-ICP'!$B:$B,"junho")/1000,"")),"")</f>
        <v>0</v>
      </c>
      <c r="CM71" s="427">
        <v>0</v>
      </c>
      <c r="CN71" s="372"/>
      <c r="CO71" s="419"/>
      <c r="CP71" s="423">
        <f>IFERROR(IF(LEFT($A71,3)="Lcp",SUMIFS('BASE-LCP'!$K:$K,'BASE-LCP'!$A:$A,Capex!$A61,'BASE-LCP'!$B:$B,"julho")/1000,IF(LEFT($A71,3)="icp",SUMIFS('BASE-ICP'!$K:$K,'BASE-ICP'!$A:$A,Capex!$A61,'BASE-ICP'!$B:$B,"julho")/1000,"")),"")</f>
        <v>0</v>
      </c>
      <c r="CQ71" s="427">
        <v>0</v>
      </c>
      <c r="CR71" s="372"/>
      <c r="CS71" s="419"/>
      <c r="CT71" s="423">
        <f>IFERROR(IF(LEFT($A71,3)="Lcp",SUMIFS('BASE-LCP'!$K:$K,'BASE-LCP'!$A:$A,Capex!$A61,'BASE-LCP'!$B:$B,"agosto")/1000,IF(LEFT($A71,3)="icp",SUMIFS('BASE-ICP'!$K:$K,'BASE-ICP'!$A:$A,Capex!$A61,'BASE-ICP'!$B:$B,"agosto")/1000,"")),"")</f>
        <v>0</v>
      </c>
      <c r="CU71" s="427">
        <v>0</v>
      </c>
      <c r="CV71" s="372"/>
      <c r="CW71" s="419"/>
      <c r="CX71" s="423">
        <f>IFERROR(IF(LEFT($A71,3)="Lcp",SUMIFS('BASE-LCP'!$K:$K,'BASE-LCP'!$A:$A,Capex!$A61,'BASE-LCP'!$B:$B,"setembro")/1000,IF(LEFT($A71,3)="icp",SUMIFS('BASE-ICP'!$K:$K,'BASE-ICP'!$A:$A,Capex!$A61,'BASE-ICP'!$B:$B,"setembro")/1000,"")),"")</f>
        <v>0</v>
      </c>
      <c r="CY71" s="427">
        <v>-1.4</v>
      </c>
      <c r="CZ71" s="372"/>
      <c r="DA71" s="419"/>
      <c r="DB71" s="423">
        <f>IFERROR(IF(LEFT($A71,3)="Lcp",SUMIFS('BASE-LCP'!$K:$K,'BASE-LCP'!$A:$A,Capex!$A61,'BASE-LCP'!$B:$B,"outubro")/1000,IF(LEFT($A71,3)="icp",SUMIFS('BASE-ICP'!$K:$K,'BASE-ICP'!$A:$A,Capex!$A61,'BASE-ICP'!$B:$B,"outubro")/1000,"")),"")</f>
        <v>0</v>
      </c>
      <c r="DC71" s="427">
        <v>0</v>
      </c>
      <c r="DD71" s="372"/>
      <c r="DE71" s="419"/>
      <c r="DF71" s="423">
        <f>IFERROR(IF(LEFT($A71,3)="Lcp",SUMIFS('BASE-LCP'!$K:$K,'BASE-LCP'!$A:$A,Capex!$A61,'BASE-LCP'!$B:$B,"novembro")/1000,IF(LEFT($A71,3)="icp",SUMIFS('BASE-ICP'!$K:$K,'BASE-ICP'!$A:$A,Capex!$A61,'BASE-ICP'!$B:$B,"novembro")/1000,"")),"")</f>
        <v>0</v>
      </c>
      <c r="DG71" s="427">
        <v>0</v>
      </c>
      <c r="DH71" s="372"/>
      <c r="DI71" s="419"/>
      <c r="DJ71" s="423">
        <f>IFERROR(IF(LEFT($A71,3)="Lcp",SUMIFS('BASE-LCP'!$K:$K,'BASE-LCP'!$A:$A,Capex!$A61,'BASE-LCP'!$B:$B,"dezembro")/1000,IF(LEFT($A71,3)="icp",SUMIFS('BASE-ICP'!$K:$K,'BASE-ICP'!$A:$A,Capex!$A61,'BASE-ICP'!$B:$B,"dezembro")/1000,"")),"")</f>
        <v>0</v>
      </c>
      <c r="DK71" s="427">
        <v>0</v>
      </c>
      <c r="DL71" s="452">
        <f t="shared" si="51"/>
        <v>0</v>
      </c>
      <c r="DM71" s="374"/>
      <c r="DN71" s="374">
        <v>0</v>
      </c>
      <c r="DO71" s="374"/>
      <c r="DP71" s="374"/>
      <c r="DQ71" s="374"/>
      <c r="DR71" s="374"/>
      <c r="DS71" s="374"/>
      <c r="DT71" s="374"/>
      <c r="DU71" s="374"/>
      <c r="DV71" s="374"/>
      <c r="DW71" s="374"/>
      <c r="DX71" s="374"/>
      <c r="DY71" s="450"/>
      <c r="DZ71" s="374">
        <f t="shared" si="52"/>
        <v>0</v>
      </c>
      <c r="EA71" s="216">
        <f t="shared" si="53"/>
        <v>0</v>
      </c>
      <c r="EB71" s="320">
        <f t="shared" si="54"/>
        <v>0</v>
      </c>
      <c r="EC71" s="241">
        <f t="shared" si="55"/>
        <v>0</v>
      </c>
      <c r="ED71" s="241">
        <f t="shared" si="56"/>
        <v>0</v>
      </c>
      <c r="EE71" s="241">
        <f t="shared" si="57"/>
        <v>-1.4</v>
      </c>
      <c r="EF71" s="241">
        <f t="shared" si="58"/>
        <v>0</v>
      </c>
      <c r="EG71" s="346">
        <f t="shared" si="59"/>
        <v>-0.99999999999999989</v>
      </c>
      <c r="EH71" s="445">
        <f t="shared" si="60"/>
        <v>-1.4</v>
      </c>
      <c r="EI71" s="447">
        <f t="shared" si="61"/>
        <v>0</v>
      </c>
      <c r="EJ71" s="364">
        <f t="shared" si="62"/>
        <v>0</v>
      </c>
      <c r="EK71" s="365">
        <f t="shared" si="63"/>
        <v>-1.4</v>
      </c>
      <c r="EL71" s="529">
        <f t="shared" si="64"/>
        <v>-1.4</v>
      </c>
      <c r="EM71" s="530">
        <v>0</v>
      </c>
      <c r="EN71" s="530">
        <v>0</v>
      </c>
      <c r="EO71" s="530">
        <v>0</v>
      </c>
      <c r="EP71" s="530">
        <v>0</v>
      </c>
      <c r="EQ71" s="530">
        <v>0</v>
      </c>
      <c r="ER71" s="530">
        <v>0</v>
      </c>
      <c r="ES71" s="530">
        <v>0</v>
      </c>
      <c r="ET71" s="530">
        <v>0</v>
      </c>
      <c r="EU71" s="530">
        <v>-1.4</v>
      </c>
      <c r="EV71" s="530">
        <v>0</v>
      </c>
      <c r="EW71" s="530">
        <v>0</v>
      </c>
      <c r="EX71" s="530">
        <v>0</v>
      </c>
      <c r="EY71" s="530">
        <f t="shared" si="65"/>
        <v>0</v>
      </c>
      <c r="EZ71" s="530">
        <f t="shared" si="66"/>
        <v>0</v>
      </c>
      <c r="FA71" s="530">
        <f t="shared" si="67"/>
        <v>-1.4</v>
      </c>
      <c r="FB71" s="530">
        <f t="shared" si="68"/>
        <v>0</v>
      </c>
      <c r="FC71" s="384" t="str">
        <f>IFERROR(VLOOKUP(Capex!A61,BASE_558!D:R,8,FALSE)/1000,"")</f>
        <v/>
      </c>
      <c r="FD71" s="328" t="str">
        <f>IFERROR(VLOOKUP(Capex!A61,BASE_558!D:R,9,)/1000,"")</f>
        <v/>
      </c>
      <c r="FE71" s="328">
        <f>IFERROR(IF(LEFT(A71,3)="LCP",(VLOOKUP(Capex!A61,BASE_558!D:R,10,)/1000),SUMIFS('BASE ICP_PO_SC'!F:F,'BASE ICP_PO_SC'!A:A,Capex!A61,'BASE ICP_PO_SC'!E:E,"&lt;&gt;")/1000),"")</f>
        <v>0</v>
      </c>
      <c r="FF71" s="328">
        <f>IFERROR(IF(LEFT(A71,3)="LCP",(VLOOKUP(Capex!A61,BASE_558!D:R,11,)/1000),SUMIFS('BASE ICP_PO_SC'!F:F,'BASE ICP_PO_SC'!A:A,Capex!A61,'BASE ICP_PO_SC'!E:E,"")/1000),"")</f>
        <v>0</v>
      </c>
      <c r="FG71" s="328" t="str">
        <f>IFERROR(VLOOKUP(A71,BASE_558!D:R,13,FALSE)/1000,"")</f>
        <v/>
      </c>
      <c r="FH71" s="328" t="str">
        <f>IFERROR(VLOOKUP(A71,BASE_558!D:R,15,FALSE)/1000,"")</f>
        <v/>
      </c>
      <c r="FI71" s="547">
        <f t="shared" si="69"/>
        <v>0</v>
      </c>
      <c r="FJ71" s="547">
        <f t="shared" si="70"/>
        <v>0</v>
      </c>
      <c r="FK71" s="540">
        <f t="shared" si="71"/>
        <v>0</v>
      </c>
    </row>
    <row r="72" spans="1:167" s="23" customFormat="1" ht="24" customHeight="1">
      <c r="A72" s="84" t="s">
        <v>12</v>
      </c>
      <c r="B72" s="404"/>
      <c r="C72" s="404"/>
      <c r="D72" s="338" t="s">
        <v>2206</v>
      </c>
      <c r="E72" s="378"/>
      <c r="F72" s="5"/>
      <c r="G72" s="310" t="s">
        <v>9</v>
      </c>
      <c r="H72" s="338"/>
      <c r="I72" s="338"/>
      <c r="J72" s="338">
        <v>2016</v>
      </c>
      <c r="K72" s="316">
        <v>42502</v>
      </c>
      <c r="L72" s="317">
        <v>43486</v>
      </c>
      <c r="M72" s="409"/>
      <c r="N72" s="317">
        <f t="shared" si="38"/>
        <v>43414</v>
      </c>
      <c r="O72" s="317">
        <f t="shared" si="39"/>
        <v>43779</v>
      </c>
      <c r="P72" s="418" t="str">
        <f t="shared" si="47"/>
        <v>CRTD</v>
      </c>
      <c r="Q72" s="418" t="str">
        <f t="shared" si="47"/>
        <v>CRTD</v>
      </c>
      <c r="R72" s="418" t="str">
        <f t="shared" si="47"/>
        <v>CRTD</v>
      </c>
      <c r="S72" s="418" t="str">
        <f t="shared" si="47"/>
        <v>CRTD</v>
      </c>
      <c r="T72" s="418" t="str">
        <f t="shared" si="47"/>
        <v>CRTD</v>
      </c>
      <c r="U72" s="418" t="str">
        <f t="shared" si="47"/>
        <v>CRTD</v>
      </c>
      <c r="V72" s="418" t="str">
        <f t="shared" si="47"/>
        <v>CRTD</v>
      </c>
      <c r="W72" s="418" t="str">
        <f t="shared" si="47"/>
        <v>CRTD</v>
      </c>
      <c r="X72" s="418" t="str">
        <f t="shared" si="47"/>
        <v>CRTD</v>
      </c>
      <c r="Y72" s="418" t="str">
        <f t="shared" si="47"/>
        <v>CRTD</v>
      </c>
      <c r="Z72" s="418" t="str">
        <f t="shared" si="47"/>
        <v>CRTD</v>
      </c>
      <c r="AA72" s="418" t="str">
        <f t="shared" si="47"/>
        <v>CRTD</v>
      </c>
      <c r="AB72" s="317"/>
      <c r="AC72" s="309" t="s">
        <v>3932</v>
      </c>
      <c r="AD72" s="311" t="s">
        <v>223</v>
      </c>
      <c r="AE72" s="311"/>
      <c r="AF72" s="310" t="s">
        <v>6985</v>
      </c>
      <c r="AG72" s="310" t="s">
        <v>9083</v>
      </c>
      <c r="AH72" s="310" t="s">
        <v>13</v>
      </c>
      <c r="AI72" s="309" t="s">
        <v>185</v>
      </c>
      <c r="AJ72" s="6" t="s">
        <v>218</v>
      </c>
      <c r="AK72" s="6" t="str">
        <f t="shared" si="49"/>
        <v>IGUAL</v>
      </c>
      <c r="AL72" s="151" t="str">
        <f>IFERROR(IF(LEFT(A72,3)="LCP",VLOOKUP(A72,STATUS_SAP_LCP!B:C,2,FALSE),VLOOKUP(A72,STATUS_SAP_ICP!B:C,2,FALSE)),"NO BUDGET")</f>
        <v>CLSD BUDG AVAC  //  APPR BREL EXPL</v>
      </c>
      <c r="AM72" s="6" t="str">
        <f t="shared" si="48"/>
        <v>CLSD</v>
      </c>
      <c r="AN72" s="282" t="s">
        <v>9092</v>
      </c>
      <c r="AO72" s="493">
        <v>1</v>
      </c>
      <c r="AP72" s="499" t="s">
        <v>9607</v>
      </c>
      <c r="AQ72" s="465">
        <v>43486</v>
      </c>
      <c r="AR72" s="460"/>
      <c r="AS72" s="56">
        <v>40.57</v>
      </c>
      <c r="AT72" s="185">
        <v>0</v>
      </c>
      <c r="AU72" s="318">
        <v>0</v>
      </c>
      <c r="AV72" s="223">
        <v>0</v>
      </c>
      <c r="AW72" s="318">
        <v>0</v>
      </c>
      <c r="AX72" s="223">
        <v>0</v>
      </c>
      <c r="AY72" s="318">
        <f t="shared" si="40"/>
        <v>0</v>
      </c>
      <c r="AZ72" s="223"/>
      <c r="BA72" s="318"/>
      <c r="BB72" s="519">
        <f t="shared" si="41"/>
        <v>0</v>
      </c>
      <c r="BC72" s="518"/>
      <c r="BD72" s="518"/>
      <c r="BE72" s="518"/>
      <c r="BF72" s="518"/>
      <c r="BG72" s="518"/>
      <c r="BH72" s="518"/>
      <c r="BI72" s="518"/>
      <c r="BJ72" s="518"/>
      <c r="BK72" s="518"/>
      <c r="BL72" s="518"/>
      <c r="BM72" s="518"/>
      <c r="BN72" s="518"/>
      <c r="BO72" s="367">
        <f t="shared" si="50"/>
        <v>0</v>
      </c>
      <c r="BP72" s="421"/>
      <c r="BQ72" s="422"/>
      <c r="BR72" s="423">
        <f>IFERROR(IF(LEFT($A72,3)="Lcp",SUMIFS('BASE-LCP'!$K:$K,'BASE-LCP'!$A:$A,Capex!$A63,'BASE-LCP'!$B:$B,"janeiro")/1000,IF(LEFT($A72,3)="icp",SUMIFS('BASE-ICP'!$K:$K,'BASE-ICP'!$A:$A,Capex!$A63,'BASE-ICP'!$B:$B,"janeiro")/1000,"")),"")</f>
        <v>0</v>
      </c>
      <c r="BS72" s="427">
        <v>0</v>
      </c>
      <c r="BT72" s="372">
        <v>0</v>
      </c>
      <c r="BU72" s="422"/>
      <c r="BV72" s="423">
        <f>IFERROR(IF(LEFT($A72,3)="Lcp",SUMIFS('BASE-LCP'!$K:$K,'BASE-LCP'!$A:$A,Capex!$A63,'BASE-LCP'!$B:$B,"fevereiro")/1000,IF(LEFT($A72,3)="icp",SUMIFS('BASE-ICP'!$K:$K,'BASE-ICP'!$A:$A,Capex!$A63,'BASE-ICP'!$B:$B,"fevereiro")/1000,"")),"")</f>
        <v>0</v>
      </c>
      <c r="BW72" s="427">
        <v>0</v>
      </c>
      <c r="BX72" s="372">
        <v>0</v>
      </c>
      <c r="BY72" s="419"/>
      <c r="BZ72" s="423">
        <f>IFERROR(IF(LEFT($A72,3)="Lcp",SUMIFS('BASE-LCP'!$K:$K,'BASE-LCP'!$A:$A,Capex!$A63,'BASE-LCP'!$B:$B,"março")/1000,IF(LEFT($A72,3)="icp",SUMIFS('BASE-ICP'!$K:$K,'BASE-ICP'!$A:$A,Capex!$A63,'BASE-ICP'!$B:$B,"março")/1000,"")),"")</f>
        <v>0</v>
      </c>
      <c r="CA72" s="427">
        <v>0</v>
      </c>
      <c r="CB72" s="372">
        <v>0</v>
      </c>
      <c r="CC72" s="422"/>
      <c r="CD72" s="423">
        <f>IFERROR(IF(LEFT($A72,3)="Lcp",SUMIFS('BASE-LCP'!$K:$K,'BASE-LCP'!$A:$A,Capex!$A63,'BASE-LCP'!$B:$B,"abril")/1000,IF(LEFT($A72,3)="icp",SUMIFS('BASE-ICP'!$K:$K,'BASE-ICP'!$A:$A,Capex!$A63,'BASE-ICP'!$B:$B,"abril")/1000,"")),"")</f>
        <v>0</v>
      </c>
      <c r="CE72" s="427">
        <v>0</v>
      </c>
      <c r="CF72" s="372">
        <v>0</v>
      </c>
      <c r="CG72" s="419"/>
      <c r="CH72" s="423">
        <v>0</v>
      </c>
      <c r="CI72" s="427">
        <v>0</v>
      </c>
      <c r="CJ72" s="372">
        <v>0</v>
      </c>
      <c r="CK72" s="419"/>
      <c r="CL72" s="423">
        <f>IFERROR(IF(LEFT($A72,3)="Lcp",SUMIFS('BASE-LCP'!$K:$K,'BASE-LCP'!$A:$A,Capex!$A63,'BASE-LCP'!$B:$B,"junho")/1000,IF(LEFT($A72,3)="icp",SUMIFS('BASE-ICP'!$K:$K,'BASE-ICP'!$A:$A,Capex!$A63,'BASE-ICP'!$B:$B,"junho")/1000,"")),"")</f>
        <v>0</v>
      </c>
      <c r="CM72" s="427">
        <v>0</v>
      </c>
      <c r="CN72" s="372"/>
      <c r="CO72" s="419"/>
      <c r="CP72" s="423">
        <f>IFERROR(IF(LEFT($A72,3)="Lcp",SUMIFS('BASE-LCP'!$K:$K,'BASE-LCP'!$A:$A,Capex!$A63,'BASE-LCP'!$B:$B,"julho")/1000,IF(LEFT($A72,3)="icp",SUMIFS('BASE-ICP'!$K:$K,'BASE-ICP'!$A:$A,Capex!$A63,'BASE-ICP'!$B:$B,"julho")/1000,"")),"")</f>
        <v>0</v>
      </c>
      <c r="CQ72" s="427">
        <v>0</v>
      </c>
      <c r="CR72" s="372"/>
      <c r="CS72" s="419"/>
      <c r="CT72" s="423">
        <f>IFERROR(IF(LEFT($A72,3)="Lcp",SUMIFS('BASE-LCP'!$K:$K,'BASE-LCP'!$A:$A,Capex!$A63,'BASE-LCP'!$B:$B,"agosto")/1000,IF(LEFT($A72,3)="icp",SUMIFS('BASE-ICP'!$K:$K,'BASE-ICP'!$A:$A,Capex!$A63,'BASE-ICP'!$B:$B,"agosto")/1000,"")),"")</f>
        <v>0</v>
      </c>
      <c r="CU72" s="427">
        <v>0</v>
      </c>
      <c r="CV72" s="372"/>
      <c r="CW72" s="419"/>
      <c r="CX72" s="423">
        <f>IFERROR(IF(LEFT($A72,3)="Lcp",SUMIFS('BASE-LCP'!$K:$K,'BASE-LCP'!$A:$A,Capex!$A63,'BASE-LCP'!$B:$B,"setembro")/1000,IF(LEFT($A72,3)="icp",SUMIFS('BASE-ICP'!$K:$K,'BASE-ICP'!$A:$A,Capex!$A63,'BASE-ICP'!$B:$B,"setembro")/1000,"")),"")</f>
        <v>0</v>
      </c>
      <c r="CY72" s="427">
        <v>0</v>
      </c>
      <c r="CZ72" s="372"/>
      <c r="DA72" s="419"/>
      <c r="DB72" s="423">
        <f>IFERROR(IF(LEFT($A72,3)="Lcp",SUMIFS('BASE-LCP'!$K:$K,'BASE-LCP'!$A:$A,Capex!$A63,'BASE-LCP'!$B:$B,"outubro")/1000,IF(LEFT($A72,3)="icp",SUMIFS('BASE-ICP'!$K:$K,'BASE-ICP'!$A:$A,Capex!$A63,'BASE-ICP'!$B:$B,"outubro")/1000,"")),"")</f>
        <v>0</v>
      </c>
      <c r="DC72" s="427">
        <v>0</v>
      </c>
      <c r="DD72" s="372"/>
      <c r="DE72" s="419"/>
      <c r="DF72" s="423">
        <f>IFERROR(IF(LEFT($A72,3)="Lcp",SUMIFS('BASE-LCP'!$K:$K,'BASE-LCP'!$A:$A,Capex!$A63,'BASE-LCP'!$B:$B,"novembro")/1000,IF(LEFT($A72,3)="icp",SUMIFS('BASE-ICP'!$K:$K,'BASE-ICP'!$A:$A,Capex!$A63,'BASE-ICP'!$B:$B,"novembro")/1000,"")),"")</f>
        <v>0</v>
      </c>
      <c r="DG72" s="427">
        <v>0</v>
      </c>
      <c r="DH72" s="372"/>
      <c r="DI72" s="419"/>
      <c r="DJ72" s="423">
        <f>IFERROR(IF(LEFT($A72,3)="Lcp",SUMIFS('BASE-LCP'!$K:$K,'BASE-LCP'!$A:$A,Capex!$A63,'BASE-LCP'!$B:$B,"dezembro")/1000,IF(LEFT($A72,3)="icp",SUMIFS('BASE-ICP'!$K:$K,'BASE-ICP'!$A:$A,Capex!$A63,'BASE-ICP'!$B:$B,"dezembro")/1000,"")),"")</f>
        <v>0</v>
      </c>
      <c r="DK72" s="427">
        <v>0</v>
      </c>
      <c r="DL72" s="452">
        <f t="shared" si="51"/>
        <v>0</v>
      </c>
      <c r="DM72" s="374"/>
      <c r="DN72" s="374"/>
      <c r="DO72" s="374"/>
      <c r="DP72" s="374"/>
      <c r="DQ72" s="374"/>
      <c r="DR72" s="374"/>
      <c r="DS72" s="374"/>
      <c r="DT72" s="374"/>
      <c r="DU72" s="374"/>
      <c r="DV72" s="374"/>
      <c r="DW72" s="374"/>
      <c r="DX72" s="374"/>
      <c r="DY72" s="450"/>
      <c r="DZ72" s="374">
        <f t="shared" si="52"/>
        <v>0</v>
      </c>
      <c r="EA72" s="216">
        <f t="shared" si="53"/>
        <v>0</v>
      </c>
      <c r="EB72" s="320">
        <f t="shared" si="54"/>
        <v>0</v>
      </c>
      <c r="EC72" s="241">
        <f t="shared" si="55"/>
        <v>0</v>
      </c>
      <c r="ED72" s="241">
        <f t="shared" si="56"/>
        <v>0</v>
      </c>
      <c r="EE72" s="241">
        <f t="shared" si="57"/>
        <v>0</v>
      </c>
      <c r="EF72" s="241">
        <f t="shared" si="58"/>
        <v>0</v>
      </c>
      <c r="EG72" s="346">
        <f t="shared" si="59"/>
        <v>0</v>
      </c>
      <c r="EH72" s="445">
        <f t="shared" si="60"/>
        <v>0</v>
      </c>
      <c r="EI72" s="447">
        <f t="shared" si="61"/>
        <v>0</v>
      </c>
      <c r="EJ72" s="364">
        <f t="shared" si="62"/>
        <v>0</v>
      </c>
      <c r="EK72" s="365">
        <f t="shared" si="63"/>
        <v>0</v>
      </c>
      <c r="EL72" s="529">
        <f t="shared" si="64"/>
        <v>0</v>
      </c>
      <c r="EM72" s="530">
        <v>0</v>
      </c>
      <c r="EN72" s="530">
        <v>0</v>
      </c>
      <c r="EO72" s="530">
        <v>0</v>
      </c>
      <c r="EP72" s="530">
        <v>0</v>
      </c>
      <c r="EQ72" s="530">
        <v>0</v>
      </c>
      <c r="ER72" s="530">
        <v>0</v>
      </c>
      <c r="ES72" s="530">
        <v>0</v>
      </c>
      <c r="ET72" s="530">
        <v>0</v>
      </c>
      <c r="EU72" s="530">
        <v>0</v>
      </c>
      <c r="EV72" s="530">
        <v>0</v>
      </c>
      <c r="EW72" s="530">
        <v>0</v>
      </c>
      <c r="EX72" s="530">
        <v>0</v>
      </c>
      <c r="EY72" s="530">
        <f t="shared" si="65"/>
        <v>0</v>
      </c>
      <c r="EZ72" s="530">
        <f t="shared" si="66"/>
        <v>0</v>
      </c>
      <c r="FA72" s="530">
        <f t="shared" si="67"/>
        <v>0</v>
      </c>
      <c r="FB72" s="530">
        <f t="shared" si="68"/>
        <v>0</v>
      </c>
      <c r="FC72" s="384" t="str">
        <f>IFERROR(VLOOKUP(Capex!A63,BASE_558!D:R,8,FALSE)/1000,"")</f>
        <v/>
      </c>
      <c r="FD72" s="328" t="str">
        <f>IFERROR(VLOOKUP(Capex!A63,BASE_558!D:R,9,)/1000,"")</f>
        <v/>
      </c>
      <c r="FE72" s="328" t="str">
        <f>IFERROR(IF(LEFT(A72,3)="LCP",(VLOOKUP(Capex!A63,BASE_558!D:R,10,)/1000),SUMIFS('BASE ICP_PO_SC'!F:F,'BASE ICP_PO_SC'!A:A,Capex!A63,'BASE ICP_PO_SC'!E:E,"&lt;&gt;")/1000),"")</f>
        <v/>
      </c>
      <c r="FF72" s="328" t="str">
        <f>IFERROR(IF(LEFT(A72,3)="LCP",(VLOOKUP(Capex!A63,BASE_558!D:R,11,)/1000),SUMIFS('BASE ICP_PO_SC'!F:F,'BASE ICP_PO_SC'!A:A,Capex!A63,'BASE ICP_PO_SC'!E:E,"")/1000),"")</f>
        <v/>
      </c>
      <c r="FG72" s="328">
        <f>IFERROR(VLOOKUP(A72,BASE_558!D:R,13,FALSE)/1000,"")</f>
        <v>13053.761689999999</v>
      </c>
      <c r="FH72" s="328">
        <f>IFERROR(VLOOKUP(A72,BASE_558!D:R,15,FALSE)/1000,"")</f>
        <v>114.29030999999999</v>
      </c>
      <c r="FI72" s="547">
        <f t="shared" si="69"/>
        <v>0</v>
      </c>
      <c r="FJ72" s="547">
        <f t="shared" si="70"/>
        <v>0</v>
      </c>
      <c r="FK72" s="540">
        <f t="shared" si="71"/>
        <v>0</v>
      </c>
    </row>
    <row r="73" spans="1:167" s="23" customFormat="1" ht="24" customHeight="1">
      <c r="A73" s="84" t="s">
        <v>14</v>
      </c>
      <c r="B73" s="404"/>
      <c r="C73" s="404"/>
      <c r="D73" s="338" t="s">
        <v>1904</v>
      </c>
      <c r="E73" s="378"/>
      <c r="F73" s="5"/>
      <c r="G73" s="310" t="s">
        <v>9</v>
      </c>
      <c r="H73" s="338"/>
      <c r="I73" s="338"/>
      <c r="J73" s="338">
        <v>2016</v>
      </c>
      <c r="K73" s="316">
        <v>42552</v>
      </c>
      <c r="L73" s="317">
        <v>43727</v>
      </c>
      <c r="M73" s="409"/>
      <c r="N73" s="317">
        <f t="shared" si="38"/>
        <v>43464</v>
      </c>
      <c r="O73" s="317">
        <f t="shared" si="39"/>
        <v>43829</v>
      </c>
      <c r="P73" s="418" t="str">
        <f t="shared" si="47"/>
        <v>CRTD</v>
      </c>
      <c r="Q73" s="418" t="str">
        <f t="shared" si="47"/>
        <v>CRTD</v>
      </c>
      <c r="R73" s="418" t="str">
        <f t="shared" si="47"/>
        <v>CRTD</v>
      </c>
      <c r="S73" s="418" t="str">
        <f t="shared" si="47"/>
        <v>CRTD</v>
      </c>
      <c r="T73" s="418" t="str">
        <f t="shared" si="47"/>
        <v>CRTD</v>
      </c>
      <c r="U73" s="418" t="str">
        <f t="shared" si="47"/>
        <v>CRTD</v>
      </c>
      <c r="V73" s="418" t="str">
        <f t="shared" si="47"/>
        <v>CRTD</v>
      </c>
      <c r="W73" s="418" t="str">
        <f t="shared" si="47"/>
        <v>CRTD</v>
      </c>
      <c r="X73" s="418" t="str">
        <f t="shared" si="47"/>
        <v>CRTD</v>
      </c>
      <c r="Y73" s="418" t="str">
        <f t="shared" si="47"/>
        <v>CRTD</v>
      </c>
      <c r="Z73" s="418" t="str">
        <f t="shared" si="47"/>
        <v>CRTD</v>
      </c>
      <c r="AA73" s="418" t="str">
        <f t="shared" si="47"/>
        <v>CRTD</v>
      </c>
      <c r="AB73" s="317"/>
      <c r="AC73" s="309" t="s">
        <v>3932</v>
      </c>
      <c r="AD73" s="311" t="s">
        <v>224</v>
      </c>
      <c r="AE73" s="311"/>
      <c r="AF73" s="310" t="s">
        <v>6985</v>
      </c>
      <c r="AG73" s="310" t="s">
        <v>9083</v>
      </c>
      <c r="AH73" s="310" t="s">
        <v>11</v>
      </c>
      <c r="AI73" s="381" t="s">
        <v>183</v>
      </c>
      <c r="AJ73" s="6" t="s">
        <v>218</v>
      </c>
      <c r="AK73" s="6" t="str">
        <f t="shared" si="49"/>
        <v>IGUAL</v>
      </c>
      <c r="AL73" s="151" t="str">
        <f>IFERROR(IF(LEFT(A73,3)="LCP",VLOOKUP(A73,STATUS_SAP_LCP!B:C,2,FALSE),VLOOKUP(A73,STATUS_SAP_ICP!B:C,2,FALSE)),"NO BUDGET")</f>
        <v>CLSD BUDG AUC  AVAC  //  RJCD BREL EXPL</v>
      </c>
      <c r="AM73" s="6" t="str">
        <f t="shared" si="48"/>
        <v>CLSD</v>
      </c>
      <c r="AN73" s="282" t="s">
        <v>9095</v>
      </c>
      <c r="AO73" s="493">
        <v>1</v>
      </c>
      <c r="AP73" s="499" t="s">
        <v>9607</v>
      </c>
      <c r="AQ73" s="465">
        <v>43727</v>
      </c>
      <c r="AR73" s="460"/>
      <c r="AS73" s="56">
        <v>122.035467576513</v>
      </c>
      <c r="AT73" s="185">
        <v>0</v>
      </c>
      <c r="AU73" s="318">
        <v>0</v>
      </c>
      <c r="AV73" s="223">
        <v>0</v>
      </c>
      <c r="AW73" s="318">
        <v>0</v>
      </c>
      <c r="AX73" s="223">
        <v>0</v>
      </c>
      <c r="AY73" s="318">
        <f t="shared" si="40"/>
        <v>0</v>
      </c>
      <c r="AZ73" s="223"/>
      <c r="BA73" s="318"/>
      <c r="BB73" s="519">
        <f t="shared" si="41"/>
        <v>0</v>
      </c>
      <c r="BC73" s="518"/>
      <c r="BD73" s="518"/>
      <c r="BE73" s="518"/>
      <c r="BF73" s="518"/>
      <c r="BG73" s="518"/>
      <c r="BH73" s="518"/>
      <c r="BI73" s="518"/>
      <c r="BJ73" s="518"/>
      <c r="BK73" s="518"/>
      <c r="BL73" s="518"/>
      <c r="BM73" s="518"/>
      <c r="BN73" s="518"/>
      <c r="BO73" s="367">
        <f t="shared" si="50"/>
        <v>0</v>
      </c>
      <c r="BP73" s="421"/>
      <c r="BQ73" s="422"/>
      <c r="BR73" s="423">
        <f>IFERROR(IF(LEFT($A73,3)="Lcp",SUMIFS('BASE-LCP'!$K:$K,'BASE-LCP'!$A:$A,Capex!$A64,'BASE-LCP'!$B:$B,"janeiro")/1000,IF(LEFT($A73,3)="icp",SUMIFS('BASE-ICP'!$K:$K,'BASE-ICP'!$A:$A,Capex!$A64,'BASE-ICP'!$B:$B,"janeiro")/1000,"")),"")</f>
        <v>0</v>
      </c>
      <c r="BS73" s="427">
        <v>0</v>
      </c>
      <c r="BT73" s="372">
        <v>0</v>
      </c>
      <c r="BU73" s="422"/>
      <c r="BV73" s="423">
        <f>IFERROR(IF(LEFT($A73,3)="Lcp",SUMIFS('BASE-LCP'!$K:$K,'BASE-LCP'!$A:$A,Capex!$A64,'BASE-LCP'!$B:$B,"fevereiro")/1000,IF(LEFT($A73,3)="icp",SUMIFS('BASE-ICP'!$K:$K,'BASE-ICP'!$A:$A,Capex!$A64,'BASE-ICP'!$B:$B,"fevereiro")/1000,"")),"")</f>
        <v>0</v>
      </c>
      <c r="BW73" s="427">
        <v>0</v>
      </c>
      <c r="BX73" s="372">
        <v>0</v>
      </c>
      <c r="BY73" s="419"/>
      <c r="BZ73" s="423">
        <f>IFERROR(IF(LEFT($A73,3)="Lcp",SUMIFS('BASE-LCP'!$K:$K,'BASE-LCP'!$A:$A,Capex!$A64,'BASE-LCP'!$B:$B,"março")/1000,IF(LEFT($A73,3)="icp",SUMIFS('BASE-ICP'!$K:$K,'BASE-ICP'!$A:$A,Capex!$A64,'BASE-ICP'!$B:$B,"março")/1000,"")),"")</f>
        <v>0</v>
      </c>
      <c r="CA73" s="427">
        <v>0</v>
      </c>
      <c r="CB73" s="372">
        <v>0</v>
      </c>
      <c r="CC73" s="422"/>
      <c r="CD73" s="423">
        <f>IFERROR(IF(LEFT($A73,3)="Lcp",SUMIFS('BASE-LCP'!$K:$K,'BASE-LCP'!$A:$A,Capex!$A64,'BASE-LCP'!$B:$B,"abril")/1000,IF(LEFT($A73,3)="icp",SUMIFS('BASE-ICP'!$K:$K,'BASE-ICP'!$A:$A,Capex!$A64,'BASE-ICP'!$B:$B,"abril")/1000,"")),"")</f>
        <v>0</v>
      </c>
      <c r="CE73" s="427">
        <v>0</v>
      </c>
      <c r="CF73" s="372">
        <v>0</v>
      </c>
      <c r="CG73" s="419"/>
      <c r="CH73" s="423">
        <v>0</v>
      </c>
      <c r="CI73" s="427">
        <v>0</v>
      </c>
      <c r="CJ73" s="372">
        <v>0</v>
      </c>
      <c r="CK73" s="419"/>
      <c r="CL73" s="423">
        <f>IFERROR(IF(LEFT($A73,3)="Lcp",SUMIFS('BASE-LCP'!$K:$K,'BASE-LCP'!$A:$A,Capex!$A64,'BASE-LCP'!$B:$B,"junho")/1000,IF(LEFT($A73,3)="icp",SUMIFS('BASE-ICP'!$K:$K,'BASE-ICP'!$A:$A,Capex!$A64,'BASE-ICP'!$B:$B,"junho")/1000,"")),"")</f>
        <v>0</v>
      </c>
      <c r="CM73" s="427">
        <v>0</v>
      </c>
      <c r="CN73" s="372"/>
      <c r="CO73" s="419"/>
      <c r="CP73" s="423">
        <f>IFERROR(IF(LEFT($A73,3)="Lcp",SUMIFS('BASE-LCP'!$K:$K,'BASE-LCP'!$A:$A,Capex!$A64,'BASE-LCP'!$B:$B,"julho")/1000,IF(LEFT($A73,3)="icp",SUMIFS('BASE-ICP'!$K:$K,'BASE-ICP'!$A:$A,Capex!$A64,'BASE-ICP'!$B:$B,"julho")/1000,"")),"")</f>
        <v>0</v>
      </c>
      <c r="CQ73" s="427">
        <v>0</v>
      </c>
      <c r="CR73" s="372"/>
      <c r="CS73" s="419"/>
      <c r="CT73" s="423">
        <f>IFERROR(IF(LEFT($A73,3)="Lcp",SUMIFS('BASE-LCP'!$K:$K,'BASE-LCP'!$A:$A,Capex!$A64,'BASE-LCP'!$B:$B,"agosto")/1000,IF(LEFT($A73,3)="icp",SUMIFS('BASE-ICP'!$K:$K,'BASE-ICP'!$A:$A,Capex!$A64,'BASE-ICP'!$B:$B,"agosto")/1000,"")),"")</f>
        <v>0</v>
      </c>
      <c r="CU73" s="427">
        <v>0</v>
      </c>
      <c r="CV73" s="372"/>
      <c r="CW73" s="419"/>
      <c r="CX73" s="423">
        <f>IFERROR(IF(LEFT($A73,3)="Lcp",SUMIFS('BASE-LCP'!$K:$K,'BASE-LCP'!$A:$A,Capex!$A64,'BASE-LCP'!$B:$B,"setembro")/1000,IF(LEFT($A73,3)="icp",SUMIFS('BASE-ICP'!$K:$K,'BASE-ICP'!$A:$A,Capex!$A64,'BASE-ICP'!$B:$B,"setembro")/1000,"")),"")</f>
        <v>0</v>
      </c>
      <c r="CY73" s="427">
        <v>0</v>
      </c>
      <c r="CZ73" s="372"/>
      <c r="DA73" s="419"/>
      <c r="DB73" s="423">
        <f>IFERROR(IF(LEFT($A73,3)="Lcp",SUMIFS('BASE-LCP'!$K:$K,'BASE-LCP'!$A:$A,Capex!$A64,'BASE-LCP'!$B:$B,"outubro")/1000,IF(LEFT($A73,3)="icp",SUMIFS('BASE-ICP'!$K:$K,'BASE-ICP'!$A:$A,Capex!$A64,'BASE-ICP'!$B:$B,"outubro")/1000,"")),"")</f>
        <v>0</v>
      </c>
      <c r="DC73" s="427">
        <v>0</v>
      </c>
      <c r="DD73" s="372"/>
      <c r="DE73" s="419"/>
      <c r="DF73" s="423">
        <f>IFERROR(IF(LEFT($A73,3)="Lcp",SUMIFS('BASE-LCP'!$K:$K,'BASE-LCP'!$A:$A,Capex!$A64,'BASE-LCP'!$B:$B,"novembro")/1000,IF(LEFT($A73,3)="icp",SUMIFS('BASE-ICP'!$K:$K,'BASE-ICP'!$A:$A,Capex!$A64,'BASE-ICP'!$B:$B,"novembro")/1000,"")),"")</f>
        <v>0</v>
      </c>
      <c r="DG73" s="427">
        <v>0</v>
      </c>
      <c r="DH73" s="372"/>
      <c r="DI73" s="419"/>
      <c r="DJ73" s="423">
        <f>IFERROR(IF(LEFT($A73,3)="Lcp",SUMIFS('BASE-LCP'!$K:$K,'BASE-LCP'!$A:$A,Capex!$A64,'BASE-LCP'!$B:$B,"dezembro")/1000,IF(LEFT($A73,3)="icp",SUMIFS('BASE-ICP'!$K:$K,'BASE-ICP'!$A:$A,Capex!$A64,'BASE-ICP'!$B:$B,"dezembro")/1000,"")),"")</f>
        <v>0</v>
      </c>
      <c r="DK73" s="427">
        <v>0</v>
      </c>
      <c r="DL73" s="452">
        <f t="shared" si="51"/>
        <v>0</v>
      </c>
      <c r="DM73" s="374"/>
      <c r="DN73" s="374"/>
      <c r="DO73" s="374"/>
      <c r="DP73" s="374"/>
      <c r="DQ73" s="374"/>
      <c r="DR73" s="374"/>
      <c r="DS73" s="374"/>
      <c r="DT73" s="374"/>
      <c r="DU73" s="374"/>
      <c r="DV73" s="374"/>
      <c r="DW73" s="374"/>
      <c r="DX73" s="374"/>
      <c r="DY73" s="450"/>
      <c r="DZ73" s="374">
        <f t="shared" si="52"/>
        <v>0</v>
      </c>
      <c r="EA73" s="216">
        <f t="shared" si="53"/>
        <v>0</v>
      </c>
      <c r="EB73" s="320">
        <f t="shared" si="54"/>
        <v>0</v>
      </c>
      <c r="EC73" s="241">
        <f t="shared" si="55"/>
        <v>0</v>
      </c>
      <c r="ED73" s="241">
        <f t="shared" si="56"/>
        <v>0</v>
      </c>
      <c r="EE73" s="241">
        <f t="shared" si="57"/>
        <v>0</v>
      </c>
      <c r="EF73" s="241">
        <f t="shared" si="58"/>
        <v>0</v>
      </c>
      <c r="EG73" s="346">
        <f t="shared" si="59"/>
        <v>0</v>
      </c>
      <c r="EH73" s="445">
        <f t="shared" si="60"/>
        <v>0</v>
      </c>
      <c r="EI73" s="447">
        <f t="shared" si="61"/>
        <v>0</v>
      </c>
      <c r="EJ73" s="364">
        <f t="shared" si="62"/>
        <v>0</v>
      </c>
      <c r="EK73" s="365">
        <f t="shared" si="63"/>
        <v>0</v>
      </c>
      <c r="EL73" s="529">
        <f t="shared" si="64"/>
        <v>0</v>
      </c>
      <c r="EM73" s="530">
        <v>0</v>
      </c>
      <c r="EN73" s="530">
        <v>0</v>
      </c>
      <c r="EO73" s="530">
        <v>0</v>
      </c>
      <c r="EP73" s="530">
        <v>0</v>
      </c>
      <c r="EQ73" s="530">
        <v>0</v>
      </c>
      <c r="ER73" s="530">
        <v>0</v>
      </c>
      <c r="ES73" s="530">
        <v>0</v>
      </c>
      <c r="ET73" s="530">
        <v>0</v>
      </c>
      <c r="EU73" s="530">
        <v>0</v>
      </c>
      <c r="EV73" s="530">
        <v>0</v>
      </c>
      <c r="EW73" s="530">
        <v>0</v>
      </c>
      <c r="EX73" s="530">
        <v>0</v>
      </c>
      <c r="EY73" s="530">
        <f t="shared" si="65"/>
        <v>0</v>
      </c>
      <c r="EZ73" s="530">
        <f t="shared" si="66"/>
        <v>0</v>
      </c>
      <c r="FA73" s="530">
        <f t="shared" si="67"/>
        <v>0</v>
      </c>
      <c r="FB73" s="530">
        <f t="shared" si="68"/>
        <v>0</v>
      </c>
      <c r="FC73" s="384" t="str">
        <f>IFERROR(VLOOKUP(Capex!A64,BASE_558!D:R,8,FALSE)/1000,"")</f>
        <v/>
      </c>
      <c r="FD73" s="328" t="str">
        <f>IFERROR(VLOOKUP(Capex!A64,BASE_558!D:R,9,)/1000,"")</f>
        <v/>
      </c>
      <c r="FE73" s="328" t="str">
        <f>IFERROR(IF(LEFT(A73,3)="LCP",(VLOOKUP(Capex!A64,BASE_558!D:R,10,)/1000),SUMIFS('BASE ICP_PO_SC'!F:F,'BASE ICP_PO_SC'!A:A,Capex!A64,'BASE ICP_PO_SC'!E:E,"&lt;&gt;")/1000),"")</f>
        <v/>
      </c>
      <c r="FF73" s="328" t="str">
        <f>IFERROR(IF(LEFT(A73,3)="LCP",(VLOOKUP(Capex!A64,BASE_558!D:R,11,)/1000),SUMIFS('BASE ICP_PO_SC'!F:F,'BASE ICP_PO_SC'!A:A,Capex!A64,'BASE ICP_PO_SC'!E:E,"")/1000),"")</f>
        <v/>
      </c>
      <c r="FG73" s="328">
        <f>IFERROR(VLOOKUP(A73,BASE_558!D:R,13,FALSE)/1000,"")</f>
        <v>1267.7092399999999</v>
      </c>
      <c r="FH73" s="328">
        <f>IFERROR(VLOOKUP(A73,BASE_558!D:R,15,FALSE)/1000,"")</f>
        <v>28.490759999999998</v>
      </c>
      <c r="FI73" s="547">
        <f t="shared" si="69"/>
        <v>0</v>
      </c>
      <c r="FJ73" s="547">
        <f t="shared" si="70"/>
        <v>0</v>
      </c>
      <c r="FK73" s="540">
        <f t="shared" si="71"/>
        <v>0</v>
      </c>
    </row>
    <row r="74" spans="1:167" s="23" customFormat="1" ht="24" customHeight="1">
      <c r="A74" s="84" t="s">
        <v>15</v>
      </c>
      <c r="B74" s="404"/>
      <c r="C74" s="404"/>
      <c r="D74" s="338" t="s">
        <v>1904</v>
      </c>
      <c r="E74" s="378"/>
      <c r="F74" s="5"/>
      <c r="G74" s="310" t="s">
        <v>9</v>
      </c>
      <c r="H74" s="338"/>
      <c r="I74" s="338"/>
      <c r="J74" s="338">
        <v>2016</v>
      </c>
      <c r="K74" s="316">
        <v>42703</v>
      </c>
      <c r="L74" s="317">
        <v>43634</v>
      </c>
      <c r="M74" s="409"/>
      <c r="N74" s="317">
        <f t="shared" si="38"/>
        <v>43615</v>
      </c>
      <c r="O74" s="317">
        <f t="shared" si="39"/>
        <v>43980</v>
      </c>
      <c r="P74" s="418" t="str">
        <f t="shared" si="47"/>
        <v>CRTD</v>
      </c>
      <c r="Q74" s="418" t="str">
        <f t="shared" si="47"/>
        <v>CRTD</v>
      </c>
      <c r="R74" s="418" t="str">
        <f t="shared" si="47"/>
        <v>CRTD</v>
      </c>
      <c r="S74" s="418" t="str">
        <f t="shared" si="47"/>
        <v>CRTD</v>
      </c>
      <c r="T74" s="418" t="str">
        <f t="shared" si="47"/>
        <v>CRTD</v>
      </c>
      <c r="U74" s="418" t="str">
        <f t="shared" si="47"/>
        <v>CRTD</v>
      </c>
      <c r="V74" s="418" t="str">
        <f t="shared" si="47"/>
        <v>CRTD</v>
      </c>
      <c r="W74" s="418" t="str">
        <f t="shared" si="47"/>
        <v>CRTD</v>
      </c>
      <c r="X74" s="418" t="str">
        <f t="shared" si="47"/>
        <v>CRTD</v>
      </c>
      <c r="Y74" s="418" t="str">
        <f t="shared" si="47"/>
        <v>CRTD</v>
      </c>
      <c r="Z74" s="418" t="str">
        <f t="shared" si="47"/>
        <v>CRTD</v>
      </c>
      <c r="AA74" s="418" t="str">
        <f t="shared" si="47"/>
        <v>CRTD</v>
      </c>
      <c r="AB74" s="317"/>
      <c r="AC74" s="309" t="s">
        <v>3932</v>
      </c>
      <c r="AD74" s="311" t="s">
        <v>222</v>
      </c>
      <c r="AE74" s="311"/>
      <c r="AF74" s="310" t="s">
        <v>6985</v>
      </c>
      <c r="AG74" s="310" t="s">
        <v>9083</v>
      </c>
      <c r="AH74" s="310" t="s">
        <v>16</v>
      </c>
      <c r="AI74" s="309" t="s">
        <v>187</v>
      </c>
      <c r="AJ74" s="6" t="s">
        <v>218</v>
      </c>
      <c r="AK74" s="6" t="str">
        <f t="shared" si="49"/>
        <v>IGUAL</v>
      </c>
      <c r="AL74" s="151" t="str">
        <f>IFERROR(IF(LEFT(A74,3)="LCP",VLOOKUP(A74,STATUS_SAP_LCP!B:C,2,FALSE),VLOOKUP(A74,STATUS_SAP_ICP!B:C,2,FALSE)),"NO BUDGET")</f>
        <v>CLSD BUDG AUC  AVAC  //  APPR BREL EXPL</v>
      </c>
      <c r="AM74" s="6" t="str">
        <f t="shared" si="48"/>
        <v>CLSD</v>
      </c>
      <c r="AN74" s="282" t="s">
        <v>9093</v>
      </c>
      <c r="AO74" s="493">
        <v>1</v>
      </c>
      <c r="AP74" s="499" t="s">
        <v>9607</v>
      </c>
      <c r="AQ74" s="465">
        <v>43634</v>
      </c>
      <c r="AR74" s="460"/>
      <c r="AS74" s="56">
        <v>-6.8326061276296297</v>
      </c>
      <c r="AT74" s="185">
        <v>0</v>
      </c>
      <c r="AU74" s="318">
        <v>0</v>
      </c>
      <c r="AV74" s="223">
        <v>0</v>
      </c>
      <c r="AW74" s="318">
        <v>0</v>
      </c>
      <c r="AX74" s="223">
        <v>0</v>
      </c>
      <c r="AY74" s="318">
        <f t="shared" si="40"/>
        <v>0</v>
      </c>
      <c r="AZ74" s="223"/>
      <c r="BA74" s="318"/>
      <c r="BB74" s="519">
        <f t="shared" si="41"/>
        <v>0</v>
      </c>
      <c r="BC74" s="518"/>
      <c r="BD74" s="518"/>
      <c r="BE74" s="518"/>
      <c r="BF74" s="518"/>
      <c r="BG74" s="518"/>
      <c r="BH74" s="518"/>
      <c r="BI74" s="518"/>
      <c r="BJ74" s="518"/>
      <c r="BK74" s="518"/>
      <c r="BL74" s="518"/>
      <c r="BM74" s="518"/>
      <c r="BN74" s="518"/>
      <c r="BO74" s="367">
        <f t="shared" si="50"/>
        <v>0</v>
      </c>
      <c r="BP74" s="421"/>
      <c r="BQ74" s="422"/>
      <c r="BR74" s="423">
        <f>IFERROR(IF(LEFT($A74,3)="Lcp",SUMIFS('BASE-LCP'!$K:$K,'BASE-LCP'!$A:$A,Capex!$A65,'BASE-LCP'!$B:$B,"janeiro")/1000,IF(LEFT($A74,3)="icp",SUMIFS('BASE-ICP'!$K:$K,'BASE-ICP'!$A:$A,Capex!$A65,'BASE-ICP'!$B:$B,"janeiro")/1000,"")),"")</f>
        <v>0</v>
      </c>
      <c r="BS74" s="427">
        <v>0</v>
      </c>
      <c r="BT74" s="372">
        <v>0</v>
      </c>
      <c r="BU74" s="422"/>
      <c r="BV74" s="423">
        <f>IFERROR(IF(LEFT($A74,3)="Lcp",SUMIFS('BASE-LCP'!$K:$K,'BASE-LCP'!$A:$A,Capex!$A65,'BASE-LCP'!$B:$B,"fevereiro")/1000,IF(LEFT($A74,3)="icp",SUMIFS('BASE-ICP'!$K:$K,'BASE-ICP'!$A:$A,Capex!$A65,'BASE-ICP'!$B:$B,"fevereiro")/1000,"")),"")</f>
        <v>0</v>
      </c>
      <c r="BW74" s="427">
        <v>0</v>
      </c>
      <c r="BX74" s="372">
        <v>0</v>
      </c>
      <c r="BY74" s="419"/>
      <c r="BZ74" s="423">
        <f>IFERROR(IF(LEFT($A74,3)="Lcp",SUMIFS('BASE-LCP'!$K:$K,'BASE-LCP'!$A:$A,Capex!$A65,'BASE-LCP'!$B:$B,"março")/1000,IF(LEFT($A74,3)="icp",SUMIFS('BASE-ICP'!$K:$K,'BASE-ICP'!$A:$A,Capex!$A65,'BASE-ICP'!$B:$B,"março")/1000,"")),"")</f>
        <v>0</v>
      </c>
      <c r="CA74" s="427">
        <v>0</v>
      </c>
      <c r="CB74" s="372">
        <v>0</v>
      </c>
      <c r="CC74" s="422"/>
      <c r="CD74" s="423">
        <f>IFERROR(IF(LEFT($A74,3)="Lcp",SUMIFS('BASE-LCP'!$K:$K,'BASE-LCP'!$A:$A,Capex!$A65,'BASE-LCP'!$B:$B,"abril")/1000,IF(LEFT($A74,3)="icp",SUMIFS('BASE-ICP'!$K:$K,'BASE-ICP'!$A:$A,Capex!$A65,'BASE-ICP'!$B:$B,"abril")/1000,"")),"")</f>
        <v>0</v>
      </c>
      <c r="CE74" s="427">
        <v>0</v>
      </c>
      <c r="CF74" s="372">
        <v>0</v>
      </c>
      <c r="CG74" s="419"/>
      <c r="CH74" s="423">
        <v>0</v>
      </c>
      <c r="CI74" s="427">
        <v>0</v>
      </c>
      <c r="CJ74" s="372">
        <v>0</v>
      </c>
      <c r="CK74" s="419"/>
      <c r="CL74" s="423">
        <f>IFERROR(IF(LEFT($A74,3)="Lcp",SUMIFS('BASE-LCP'!$K:$K,'BASE-LCP'!$A:$A,Capex!$A65,'BASE-LCP'!$B:$B,"junho")/1000,IF(LEFT($A74,3)="icp",SUMIFS('BASE-ICP'!$K:$K,'BASE-ICP'!$A:$A,Capex!$A65,'BASE-ICP'!$B:$B,"junho")/1000,"")),"")</f>
        <v>0</v>
      </c>
      <c r="CM74" s="427">
        <v>0</v>
      </c>
      <c r="CN74" s="372"/>
      <c r="CO74" s="419"/>
      <c r="CP74" s="423">
        <f>IFERROR(IF(LEFT($A74,3)="Lcp",SUMIFS('BASE-LCP'!$K:$K,'BASE-LCP'!$A:$A,Capex!$A65,'BASE-LCP'!$B:$B,"julho")/1000,IF(LEFT($A74,3)="icp",SUMIFS('BASE-ICP'!$K:$K,'BASE-ICP'!$A:$A,Capex!$A65,'BASE-ICP'!$B:$B,"julho")/1000,"")),"")</f>
        <v>0</v>
      </c>
      <c r="CQ74" s="427">
        <v>0</v>
      </c>
      <c r="CR74" s="372"/>
      <c r="CS74" s="419"/>
      <c r="CT74" s="423">
        <f>IFERROR(IF(LEFT($A74,3)="Lcp",SUMIFS('BASE-LCP'!$K:$K,'BASE-LCP'!$A:$A,Capex!$A65,'BASE-LCP'!$B:$B,"agosto")/1000,IF(LEFT($A74,3)="icp",SUMIFS('BASE-ICP'!$K:$K,'BASE-ICP'!$A:$A,Capex!$A65,'BASE-ICP'!$B:$B,"agosto")/1000,"")),"")</f>
        <v>0</v>
      </c>
      <c r="CU74" s="427">
        <v>0</v>
      </c>
      <c r="CV74" s="372"/>
      <c r="CW74" s="419"/>
      <c r="CX74" s="423">
        <f>IFERROR(IF(LEFT($A74,3)="Lcp",SUMIFS('BASE-LCP'!$K:$K,'BASE-LCP'!$A:$A,Capex!$A65,'BASE-LCP'!$B:$B,"setembro")/1000,IF(LEFT($A74,3)="icp",SUMIFS('BASE-ICP'!$K:$K,'BASE-ICP'!$A:$A,Capex!$A65,'BASE-ICP'!$B:$B,"setembro")/1000,"")),"")</f>
        <v>0</v>
      </c>
      <c r="CY74" s="427">
        <v>0</v>
      </c>
      <c r="CZ74" s="372"/>
      <c r="DA74" s="419"/>
      <c r="DB74" s="423">
        <f>IFERROR(IF(LEFT($A74,3)="Lcp",SUMIFS('BASE-LCP'!$K:$K,'BASE-LCP'!$A:$A,Capex!$A65,'BASE-LCP'!$B:$B,"outubro")/1000,IF(LEFT($A74,3)="icp",SUMIFS('BASE-ICP'!$K:$K,'BASE-ICP'!$A:$A,Capex!$A65,'BASE-ICP'!$B:$B,"outubro")/1000,"")),"")</f>
        <v>0</v>
      </c>
      <c r="DC74" s="427">
        <v>0</v>
      </c>
      <c r="DD74" s="372"/>
      <c r="DE74" s="419"/>
      <c r="DF74" s="423">
        <f>IFERROR(IF(LEFT($A74,3)="Lcp",SUMIFS('BASE-LCP'!$K:$K,'BASE-LCP'!$A:$A,Capex!$A65,'BASE-LCP'!$B:$B,"novembro")/1000,IF(LEFT($A74,3)="icp",SUMIFS('BASE-ICP'!$K:$K,'BASE-ICP'!$A:$A,Capex!$A65,'BASE-ICP'!$B:$B,"novembro")/1000,"")),"")</f>
        <v>0</v>
      </c>
      <c r="DG74" s="427">
        <v>0</v>
      </c>
      <c r="DH74" s="372"/>
      <c r="DI74" s="419"/>
      <c r="DJ74" s="423">
        <f>IFERROR(IF(LEFT($A74,3)="Lcp",SUMIFS('BASE-LCP'!$K:$K,'BASE-LCP'!$A:$A,Capex!$A65,'BASE-LCP'!$B:$B,"dezembro")/1000,IF(LEFT($A74,3)="icp",SUMIFS('BASE-ICP'!$K:$K,'BASE-ICP'!$A:$A,Capex!$A65,'BASE-ICP'!$B:$B,"dezembro")/1000,"")),"")</f>
        <v>0</v>
      </c>
      <c r="DK74" s="427">
        <v>0</v>
      </c>
      <c r="DL74" s="452">
        <f t="shared" si="51"/>
        <v>0</v>
      </c>
      <c r="DM74" s="374"/>
      <c r="DN74" s="374"/>
      <c r="DO74" s="374"/>
      <c r="DP74" s="374"/>
      <c r="DQ74" s="374"/>
      <c r="DR74" s="374"/>
      <c r="DS74" s="374"/>
      <c r="DT74" s="374"/>
      <c r="DU74" s="374"/>
      <c r="DV74" s="374"/>
      <c r="DW74" s="374"/>
      <c r="DX74" s="374"/>
      <c r="DY74" s="450"/>
      <c r="DZ74" s="374">
        <f t="shared" si="52"/>
        <v>0</v>
      </c>
      <c r="EA74" s="216">
        <f t="shared" si="53"/>
        <v>0</v>
      </c>
      <c r="EB74" s="320">
        <f t="shared" si="54"/>
        <v>0</v>
      </c>
      <c r="EC74" s="241">
        <f t="shared" si="55"/>
        <v>0</v>
      </c>
      <c r="ED74" s="241">
        <f t="shared" si="56"/>
        <v>0</v>
      </c>
      <c r="EE74" s="241">
        <f t="shared" si="57"/>
        <v>0</v>
      </c>
      <c r="EF74" s="241">
        <f t="shared" si="58"/>
        <v>0</v>
      </c>
      <c r="EG74" s="346">
        <f t="shared" si="59"/>
        <v>0</v>
      </c>
      <c r="EH74" s="445">
        <f t="shared" si="60"/>
        <v>0</v>
      </c>
      <c r="EI74" s="447">
        <f t="shared" si="61"/>
        <v>0</v>
      </c>
      <c r="EJ74" s="364">
        <f t="shared" si="62"/>
        <v>0</v>
      </c>
      <c r="EK74" s="365">
        <f t="shared" si="63"/>
        <v>0</v>
      </c>
      <c r="EL74" s="529">
        <f t="shared" si="64"/>
        <v>0</v>
      </c>
      <c r="EM74" s="530">
        <v>0</v>
      </c>
      <c r="EN74" s="530">
        <v>0</v>
      </c>
      <c r="EO74" s="530">
        <v>0</v>
      </c>
      <c r="EP74" s="530">
        <v>0</v>
      </c>
      <c r="EQ74" s="530">
        <v>0</v>
      </c>
      <c r="ER74" s="530">
        <v>0</v>
      </c>
      <c r="ES74" s="530">
        <v>0</v>
      </c>
      <c r="ET74" s="530">
        <v>0</v>
      </c>
      <c r="EU74" s="530">
        <v>0</v>
      </c>
      <c r="EV74" s="530">
        <v>0</v>
      </c>
      <c r="EW74" s="530">
        <v>0</v>
      </c>
      <c r="EX74" s="530">
        <v>0</v>
      </c>
      <c r="EY74" s="530">
        <f t="shared" si="65"/>
        <v>0</v>
      </c>
      <c r="EZ74" s="530">
        <f t="shared" si="66"/>
        <v>0</v>
      </c>
      <c r="FA74" s="530">
        <f t="shared" si="67"/>
        <v>0</v>
      </c>
      <c r="FB74" s="530">
        <f t="shared" si="68"/>
        <v>0</v>
      </c>
      <c r="FC74" s="384" t="str">
        <f>IFERROR(VLOOKUP(Capex!A65,BASE_558!D:R,8,FALSE)/1000,"")</f>
        <v/>
      </c>
      <c r="FD74" s="328" t="str">
        <f>IFERROR(VLOOKUP(Capex!A65,BASE_558!D:R,9,)/1000,"")</f>
        <v/>
      </c>
      <c r="FE74" s="328" t="str">
        <f>IFERROR(IF(LEFT(A74,3)="LCP",(VLOOKUP(Capex!A65,BASE_558!D:R,10,)/1000),SUMIFS('BASE ICP_PO_SC'!F:F,'BASE ICP_PO_SC'!A:A,Capex!A65,'BASE ICP_PO_SC'!E:E,"&lt;&gt;")/1000),"")</f>
        <v/>
      </c>
      <c r="FF74" s="328" t="str">
        <f>IFERROR(IF(LEFT(A74,3)="LCP",(VLOOKUP(Capex!A65,BASE_558!D:R,11,)/1000),SUMIFS('BASE ICP_PO_SC'!F:F,'BASE ICP_PO_SC'!A:A,Capex!A65,'BASE ICP_PO_SC'!E:E,"")/1000),"")</f>
        <v/>
      </c>
      <c r="FG74" s="328">
        <f>IFERROR(VLOOKUP(A74,BASE_558!D:R,13,FALSE)/1000,"")</f>
        <v>0</v>
      </c>
      <c r="FH74" s="328">
        <f>IFERROR(VLOOKUP(A74,BASE_558!D:R,15,FALSE)/1000,"")</f>
        <v>63.1</v>
      </c>
      <c r="FI74" s="547">
        <f t="shared" si="69"/>
        <v>0</v>
      </c>
      <c r="FJ74" s="547">
        <f t="shared" si="70"/>
        <v>0</v>
      </c>
      <c r="FK74" s="540">
        <f t="shared" si="71"/>
        <v>0</v>
      </c>
    </row>
    <row r="75" spans="1:167" s="23" customFormat="1" ht="24" customHeight="1">
      <c r="A75" s="84" t="s">
        <v>17</v>
      </c>
      <c r="B75" s="404"/>
      <c r="C75" s="404"/>
      <c r="D75" s="338" t="s">
        <v>900</v>
      </c>
      <c r="E75" s="378"/>
      <c r="F75" s="5"/>
      <c r="G75" s="310" t="s">
        <v>9</v>
      </c>
      <c r="H75" s="338"/>
      <c r="I75" s="338"/>
      <c r="J75" s="338">
        <v>2017</v>
      </c>
      <c r="K75" s="316">
        <v>42774</v>
      </c>
      <c r="L75" s="317">
        <v>43538</v>
      </c>
      <c r="M75" s="409"/>
      <c r="N75" s="317">
        <f t="shared" si="38"/>
        <v>43686</v>
      </c>
      <c r="O75" s="317">
        <f t="shared" si="39"/>
        <v>44051</v>
      </c>
      <c r="P75" s="418" t="str">
        <f t="shared" ref="P75:AA84" si="72">IF($N75="","N/A",IF($O75="","N/A",IF(P$2&lt;=$N75,"NÃO",IF($AJ75="REL ","SIM",IF(P$2&lt;$O75,"NÃO",IF($AJ75&lt;&gt;"CLSD","SIM","CRTD"))))))</f>
        <v>CRTD</v>
      </c>
      <c r="Q75" s="418" t="str">
        <f t="shared" si="72"/>
        <v>CRTD</v>
      </c>
      <c r="R75" s="418" t="str">
        <f t="shared" si="72"/>
        <v>CRTD</v>
      </c>
      <c r="S75" s="418" t="str">
        <f t="shared" si="72"/>
        <v>CRTD</v>
      </c>
      <c r="T75" s="418" t="str">
        <f t="shared" si="72"/>
        <v>CRTD</v>
      </c>
      <c r="U75" s="418" t="str">
        <f t="shared" si="72"/>
        <v>CRTD</v>
      </c>
      <c r="V75" s="418" t="str">
        <f t="shared" si="72"/>
        <v>CRTD</v>
      </c>
      <c r="W75" s="418" t="str">
        <f t="shared" si="72"/>
        <v>CRTD</v>
      </c>
      <c r="X75" s="418" t="str">
        <f t="shared" si="72"/>
        <v>CRTD</v>
      </c>
      <c r="Y75" s="418" t="str">
        <f t="shared" si="72"/>
        <v>CRTD</v>
      </c>
      <c r="Z75" s="418" t="str">
        <f t="shared" si="72"/>
        <v>CRTD</v>
      </c>
      <c r="AA75" s="418" t="str">
        <f t="shared" si="72"/>
        <v>CRTD</v>
      </c>
      <c r="AB75" s="317"/>
      <c r="AC75" s="309" t="s">
        <v>3932</v>
      </c>
      <c r="AD75" s="311" t="s">
        <v>223</v>
      </c>
      <c r="AE75" s="311"/>
      <c r="AF75" s="310" t="s">
        <v>6985</v>
      </c>
      <c r="AG75" s="310" t="s">
        <v>9083</v>
      </c>
      <c r="AH75" s="310" t="s">
        <v>6974</v>
      </c>
      <c r="AI75" s="309" t="s">
        <v>186</v>
      </c>
      <c r="AJ75" s="6" t="s">
        <v>218</v>
      </c>
      <c r="AK75" s="6" t="str">
        <f t="shared" si="49"/>
        <v>IGUAL</v>
      </c>
      <c r="AL75" s="151" t="str">
        <f>IFERROR(IF(LEFT(A75,3)="LCP",VLOOKUP(A75,STATUS_SAP_LCP!B:C,2,FALSE),VLOOKUP(A75,STATUS_SAP_ICP!B:C,2,FALSE)),"NO BUDGET")</f>
        <v>CLSD BUDG AUC  AVAC  //  APPR BREL EXPL</v>
      </c>
      <c r="AM75" s="6" t="str">
        <f t="shared" si="48"/>
        <v>CLSD</v>
      </c>
      <c r="AN75" s="282" t="s">
        <v>9096</v>
      </c>
      <c r="AO75" s="493">
        <v>1</v>
      </c>
      <c r="AP75" s="499" t="s">
        <v>9607</v>
      </c>
      <c r="AQ75" s="465">
        <v>43538</v>
      </c>
      <c r="AR75" s="460"/>
      <c r="AS75" s="56">
        <v>2.2000000000000002</v>
      </c>
      <c r="AT75" s="185">
        <v>0</v>
      </c>
      <c r="AU75" s="318">
        <v>0</v>
      </c>
      <c r="AV75" s="223">
        <v>0</v>
      </c>
      <c r="AW75" s="318">
        <v>0</v>
      </c>
      <c r="AX75" s="223">
        <v>0</v>
      </c>
      <c r="AY75" s="318">
        <f t="shared" si="40"/>
        <v>0</v>
      </c>
      <c r="AZ75" s="223"/>
      <c r="BA75" s="318"/>
      <c r="BB75" s="519">
        <f t="shared" si="41"/>
        <v>0</v>
      </c>
      <c r="BC75" s="518"/>
      <c r="BD75" s="518"/>
      <c r="BE75" s="518"/>
      <c r="BF75" s="518"/>
      <c r="BG75" s="518"/>
      <c r="BH75" s="518"/>
      <c r="BI75" s="518"/>
      <c r="BJ75" s="518"/>
      <c r="BK75" s="518"/>
      <c r="BL75" s="518"/>
      <c r="BM75" s="518"/>
      <c r="BN75" s="518"/>
      <c r="BO75" s="367">
        <f t="shared" si="50"/>
        <v>0</v>
      </c>
      <c r="BP75" s="421"/>
      <c r="BQ75" s="422"/>
      <c r="BR75" s="423">
        <f>IFERROR(IF(LEFT($A75,3)="Lcp",SUMIFS('BASE-LCP'!$K:$K,'BASE-LCP'!$A:$A,Capex!$A66,'BASE-LCP'!$B:$B,"janeiro")/1000,IF(LEFT($A75,3)="icp",SUMIFS('BASE-ICP'!$K:$K,'BASE-ICP'!$A:$A,Capex!$A66,'BASE-ICP'!$B:$B,"janeiro")/1000,"")),"")</f>
        <v>0</v>
      </c>
      <c r="BS75" s="427">
        <v>0</v>
      </c>
      <c r="BT75" s="372">
        <v>0</v>
      </c>
      <c r="BU75" s="422"/>
      <c r="BV75" s="423">
        <f>IFERROR(IF(LEFT($A75,3)="Lcp",SUMIFS('BASE-LCP'!$K:$K,'BASE-LCP'!$A:$A,Capex!$A66,'BASE-LCP'!$B:$B,"fevereiro")/1000,IF(LEFT($A75,3)="icp",SUMIFS('BASE-ICP'!$K:$K,'BASE-ICP'!$A:$A,Capex!$A66,'BASE-ICP'!$B:$B,"fevereiro")/1000,"")),"")</f>
        <v>0</v>
      </c>
      <c r="BW75" s="427">
        <v>0</v>
      </c>
      <c r="BX75" s="372">
        <v>0</v>
      </c>
      <c r="BY75" s="419"/>
      <c r="BZ75" s="423">
        <f>IFERROR(IF(LEFT($A75,3)="Lcp",SUMIFS('BASE-LCP'!$K:$K,'BASE-LCP'!$A:$A,Capex!$A66,'BASE-LCP'!$B:$B,"março")/1000,IF(LEFT($A75,3)="icp",SUMIFS('BASE-ICP'!$K:$K,'BASE-ICP'!$A:$A,Capex!$A66,'BASE-ICP'!$B:$B,"março")/1000,"")),"")</f>
        <v>0</v>
      </c>
      <c r="CA75" s="427">
        <v>0</v>
      </c>
      <c r="CB75" s="372">
        <v>0</v>
      </c>
      <c r="CC75" s="422"/>
      <c r="CD75" s="423">
        <f>IFERROR(IF(LEFT($A75,3)="Lcp",SUMIFS('BASE-LCP'!$K:$K,'BASE-LCP'!$A:$A,Capex!$A66,'BASE-LCP'!$B:$B,"abril")/1000,IF(LEFT($A75,3)="icp",SUMIFS('BASE-ICP'!$K:$K,'BASE-ICP'!$A:$A,Capex!$A66,'BASE-ICP'!$B:$B,"abril")/1000,"")),"")</f>
        <v>0</v>
      </c>
      <c r="CE75" s="427">
        <v>0</v>
      </c>
      <c r="CF75" s="372">
        <v>0</v>
      </c>
      <c r="CG75" s="419"/>
      <c r="CH75" s="423">
        <v>0</v>
      </c>
      <c r="CI75" s="427">
        <v>0</v>
      </c>
      <c r="CJ75" s="372">
        <v>0</v>
      </c>
      <c r="CK75" s="419"/>
      <c r="CL75" s="423">
        <f>IFERROR(IF(LEFT($A75,3)="Lcp",SUMIFS('BASE-LCP'!$K:$K,'BASE-LCP'!$A:$A,Capex!$A66,'BASE-LCP'!$B:$B,"junho")/1000,IF(LEFT($A75,3)="icp",SUMIFS('BASE-ICP'!$K:$K,'BASE-ICP'!$A:$A,Capex!$A66,'BASE-ICP'!$B:$B,"junho")/1000,"")),"")</f>
        <v>0</v>
      </c>
      <c r="CM75" s="427">
        <v>0</v>
      </c>
      <c r="CN75" s="372"/>
      <c r="CO75" s="419"/>
      <c r="CP75" s="423">
        <f>IFERROR(IF(LEFT($A75,3)="Lcp",SUMIFS('BASE-LCP'!$K:$K,'BASE-LCP'!$A:$A,Capex!$A66,'BASE-LCP'!$B:$B,"julho")/1000,IF(LEFT($A75,3)="icp",SUMIFS('BASE-ICP'!$K:$K,'BASE-ICP'!$A:$A,Capex!$A66,'BASE-ICP'!$B:$B,"julho")/1000,"")),"")</f>
        <v>0</v>
      </c>
      <c r="CQ75" s="427">
        <v>0</v>
      </c>
      <c r="CR75" s="372"/>
      <c r="CS75" s="419"/>
      <c r="CT75" s="423">
        <f>IFERROR(IF(LEFT($A75,3)="Lcp",SUMIFS('BASE-LCP'!$K:$K,'BASE-LCP'!$A:$A,Capex!$A66,'BASE-LCP'!$B:$B,"agosto")/1000,IF(LEFT($A75,3)="icp",SUMIFS('BASE-ICP'!$K:$K,'BASE-ICP'!$A:$A,Capex!$A66,'BASE-ICP'!$B:$B,"agosto")/1000,"")),"")</f>
        <v>0</v>
      </c>
      <c r="CU75" s="427">
        <v>0</v>
      </c>
      <c r="CV75" s="372"/>
      <c r="CW75" s="419"/>
      <c r="CX75" s="423">
        <f>IFERROR(IF(LEFT($A75,3)="Lcp",SUMIFS('BASE-LCP'!$K:$K,'BASE-LCP'!$A:$A,Capex!$A66,'BASE-LCP'!$B:$B,"setembro")/1000,IF(LEFT($A75,3)="icp",SUMIFS('BASE-ICP'!$K:$K,'BASE-ICP'!$A:$A,Capex!$A66,'BASE-ICP'!$B:$B,"setembro")/1000,"")),"")</f>
        <v>0</v>
      </c>
      <c r="CY75" s="427">
        <v>0</v>
      </c>
      <c r="CZ75" s="372"/>
      <c r="DA75" s="419"/>
      <c r="DB75" s="423">
        <f>IFERROR(IF(LEFT($A75,3)="Lcp",SUMIFS('BASE-LCP'!$K:$K,'BASE-LCP'!$A:$A,Capex!$A66,'BASE-LCP'!$B:$B,"outubro")/1000,IF(LEFT($A75,3)="icp",SUMIFS('BASE-ICP'!$K:$K,'BASE-ICP'!$A:$A,Capex!$A66,'BASE-ICP'!$B:$B,"outubro")/1000,"")),"")</f>
        <v>0</v>
      </c>
      <c r="DC75" s="427">
        <v>0</v>
      </c>
      <c r="DD75" s="372"/>
      <c r="DE75" s="419"/>
      <c r="DF75" s="423">
        <f>IFERROR(IF(LEFT($A75,3)="Lcp",SUMIFS('BASE-LCP'!$K:$K,'BASE-LCP'!$A:$A,Capex!$A66,'BASE-LCP'!$B:$B,"novembro")/1000,IF(LEFT($A75,3)="icp",SUMIFS('BASE-ICP'!$K:$K,'BASE-ICP'!$A:$A,Capex!$A66,'BASE-ICP'!$B:$B,"novembro")/1000,"")),"")</f>
        <v>0</v>
      </c>
      <c r="DG75" s="427">
        <v>0</v>
      </c>
      <c r="DH75" s="372"/>
      <c r="DI75" s="419"/>
      <c r="DJ75" s="423">
        <f>IFERROR(IF(LEFT($A75,3)="Lcp",SUMIFS('BASE-LCP'!$K:$K,'BASE-LCP'!$A:$A,Capex!$A66,'BASE-LCP'!$B:$B,"dezembro")/1000,IF(LEFT($A75,3)="icp",SUMIFS('BASE-ICP'!$K:$K,'BASE-ICP'!$A:$A,Capex!$A66,'BASE-ICP'!$B:$B,"dezembro")/1000,"")),"")</f>
        <v>0</v>
      </c>
      <c r="DK75" s="427">
        <v>0</v>
      </c>
      <c r="DL75" s="452">
        <f t="shared" si="51"/>
        <v>0</v>
      </c>
      <c r="DM75" s="374"/>
      <c r="DN75" s="374"/>
      <c r="DO75" s="374"/>
      <c r="DP75" s="374"/>
      <c r="DQ75" s="374"/>
      <c r="DR75" s="374"/>
      <c r="DS75" s="374"/>
      <c r="DT75" s="374"/>
      <c r="DU75" s="374"/>
      <c r="DV75" s="374"/>
      <c r="DW75" s="374"/>
      <c r="DX75" s="374"/>
      <c r="DY75" s="450"/>
      <c r="DZ75" s="374">
        <f t="shared" si="52"/>
        <v>0</v>
      </c>
      <c r="EA75" s="216">
        <f t="shared" si="53"/>
        <v>0</v>
      </c>
      <c r="EB75" s="320">
        <f t="shared" si="54"/>
        <v>0</v>
      </c>
      <c r="EC75" s="241">
        <f t="shared" si="55"/>
        <v>0</v>
      </c>
      <c r="ED75" s="241">
        <f t="shared" si="56"/>
        <v>0</v>
      </c>
      <c r="EE75" s="241">
        <f t="shared" si="57"/>
        <v>0</v>
      </c>
      <c r="EF75" s="241">
        <f t="shared" si="58"/>
        <v>0</v>
      </c>
      <c r="EG75" s="346">
        <f t="shared" si="59"/>
        <v>0</v>
      </c>
      <c r="EH75" s="445">
        <f t="shared" si="60"/>
        <v>0</v>
      </c>
      <c r="EI75" s="447">
        <f t="shared" si="61"/>
        <v>0</v>
      </c>
      <c r="EJ75" s="364">
        <f t="shared" si="62"/>
        <v>0</v>
      </c>
      <c r="EK75" s="365">
        <f t="shared" si="63"/>
        <v>0</v>
      </c>
      <c r="EL75" s="529">
        <f t="shared" si="64"/>
        <v>0</v>
      </c>
      <c r="EM75" s="530">
        <v>0</v>
      </c>
      <c r="EN75" s="530">
        <v>0</v>
      </c>
      <c r="EO75" s="530">
        <v>0</v>
      </c>
      <c r="EP75" s="530">
        <v>0</v>
      </c>
      <c r="EQ75" s="530">
        <v>0</v>
      </c>
      <c r="ER75" s="530">
        <v>0</v>
      </c>
      <c r="ES75" s="530">
        <v>0</v>
      </c>
      <c r="ET75" s="530">
        <v>0</v>
      </c>
      <c r="EU75" s="530">
        <v>0</v>
      </c>
      <c r="EV75" s="530">
        <v>0</v>
      </c>
      <c r="EW75" s="530">
        <v>0</v>
      </c>
      <c r="EX75" s="530">
        <v>0</v>
      </c>
      <c r="EY75" s="530">
        <f t="shared" si="65"/>
        <v>0</v>
      </c>
      <c r="EZ75" s="530">
        <f t="shared" si="66"/>
        <v>0</v>
      </c>
      <c r="FA75" s="530">
        <f t="shared" si="67"/>
        <v>0</v>
      </c>
      <c r="FB75" s="530">
        <f t="shared" si="68"/>
        <v>0</v>
      </c>
      <c r="FC75" s="384" t="str">
        <f>IFERROR(VLOOKUP(Capex!A66,BASE_558!D:R,8,FALSE)/1000,"")</f>
        <v/>
      </c>
      <c r="FD75" s="328" t="str">
        <f>IFERROR(VLOOKUP(Capex!A66,BASE_558!D:R,9,)/1000,"")</f>
        <v/>
      </c>
      <c r="FE75" s="328" t="str">
        <f>IFERROR(IF(LEFT(A75,3)="LCP",(VLOOKUP(Capex!A66,BASE_558!D:R,10,)/1000),SUMIFS('BASE ICP_PO_SC'!F:F,'BASE ICP_PO_SC'!A:A,Capex!A66,'BASE ICP_PO_SC'!E:E,"&lt;&gt;")/1000),"")</f>
        <v/>
      </c>
      <c r="FF75" s="328" t="str">
        <f>IFERROR(IF(LEFT(A75,3)="LCP",(VLOOKUP(Capex!A66,BASE_558!D:R,11,)/1000),SUMIFS('BASE ICP_PO_SC'!F:F,'BASE ICP_PO_SC'!A:A,Capex!A66,'BASE ICP_PO_SC'!E:E,"")/1000),"")</f>
        <v/>
      </c>
      <c r="FG75" s="328">
        <f>IFERROR(VLOOKUP(A75,BASE_558!D:R,13,FALSE)/1000,"")</f>
        <v>347.07238000000001</v>
      </c>
      <c r="FH75" s="328">
        <f>IFERROR(VLOOKUP(A75,BASE_558!D:R,15,FALSE)/1000,"")</f>
        <v>2.9276200000000001</v>
      </c>
      <c r="FI75" s="547">
        <f t="shared" si="69"/>
        <v>0</v>
      </c>
      <c r="FJ75" s="547">
        <f t="shared" si="70"/>
        <v>0</v>
      </c>
      <c r="FK75" s="540">
        <f t="shared" si="71"/>
        <v>0</v>
      </c>
    </row>
    <row r="76" spans="1:167" s="23" customFormat="1" ht="24" customHeight="1">
      <c r="A76" s="84" t="s">
        <v>19</v>
      </c>
      <c r="B76" s="404"/>
      <c r="C76" s="404"/>
      <c r="D76" s="338" t="s">
        <v>1904</v>
      </c>
      <c r="E76" s="378"/>
      <c r="F76" s="5"/>
      <c r="G76" s="310" t="s">
        <v>9</v>
      </c>
      <c r="H76" s="338"/>
      <c r="I76" s="338"/>
      <c r="J76" s="338">
        <v>2017</v>
      </c>
      <c r="K76" s="316">
        <v>42936</v>
      </c>
      <c r="L76" s="317">
        <v>44116</v>
      </c>
      <c r="M76" s="409"/>
      <c r="N76" s="317">
        <f t="shared" si="38"/>
        <v>43848</v>
      </c>
      <c r="O76" s="317">
        <f t="shared" si="39"/>
        <v>44213</v>
      </c>
      <c r="P76" s="418" t="str">
        <f t="shared" si="72"/>
        <v>CRTD</v>
      </c>
      <c r="Q76" s="418" t="str">
        <f t="shared" si="72"/>
        <v>CRTD</v>
      </c>
      <c r="R76" s="418" t="str">
        <f t="shared" si="72"/>
        <v>CRTD</v>
      </c>
      <c r="S76" s="418" t="str">
        <f t="shared" si="72"/>
        <v>CRTD</v>
      </c>
      <c r="T76" s="418" t="str">
        <f t="shared" si="72"/>
        <v>CRTD</v>
      </c>
      <c r="U76" s="418" t="str">
        <f t="shared" si="72"/>
        <v>CRTD</v>
      </c>
      <c r="V76" s="418" t="str">
        <f t="shared" si="72"/>
        <v>CRTD</v>
      </c>
      <c r="W76" s="418" t="str">
        <f t="shared" si="72"/>
        <v>CRTD</v>
      </c>
      <c r="X76" s="418" t="str">
        <f t="shared" si="72"/>
        <v>CRTD</v>
      </c>
      <c r="Y76" s="418" t="str">
        <f t="shared" si="72"/>
        <v>CRTD</v>
      </c>
      <c r="Z76" s="418" t="str">
        <f t="shared" si="72"/>
        <v>CRTD</v>
      </c>
      <c r="AA76" s="418" t="str">
        <f t="shared" si="72"/>
        <v>CRTD</v>
      </c>
      <c r="AB76" s="317"/>
      <c r="AC76" s="309" t="s">
        <v>3932</v>
      </c>
      <c r="AD76" s="311" t="s">
        <v>222</v>
      </c>
      <c r="AE76" s="311"/>
      <c r="AF76" s="310" t="s">
        <v>6985</v>
      </c>
      <c r="AG76" s="310" t="s">
        <v>9083</v>
      </c>
      <c r="AH76" s="310" t="s">
        <v>20</v>
      </c>
      <c r="AI76" s="309" t="s">
        <v>186</v>
      </c>
      <c r="AJ76" s="6" t="s">
        <v>218</v>
      </c>
      <c r="AK76" s="6" t="str">
        <f t="shared" si="49"/>
        <v>IGUAL</v>
      </c>
      <c r="AL76" s="151" t="str">
        <f>IFERROR(IF(LEFT(A76,3)="LCP",VLOOKUP(A76,STATUS_SAP_LCP!B:C,2,FALSE),VLOOKUP(A76,STATUS_SAP_ICP!B:C,2,FALSE)),"NO BUDGET")</f>
        <v>CLSD BUDG AUC  AVAC  //  RJCD BREL EXPL</v>
      </c>
      <c r="AM76" s="6" t="str">
        <f t="shared" si="48"/>
        <v>CLSD</v>
      </c>
      <c r="AN76" s="282" t="s">
        <v>9092</v>
      </c>
      <c r="AO76" s="493">
        <v>1</v>
      </c>
      <c r="AP76" s="499" t="s">
        <v>9607</v>
      </c>
      <c r="AQ76" s="465">
        <v>44116</v>
      </c>
      <c r="AR76" s="460"/>
      <c r="AS76" s="56">
        <v>102.82130990852019</v>
      </c>
      <c r="AT76" s="185">
        <v>0</v>
      </c>
      <c r="AU76" s="318">
        <v>0</v>
      </c>
      <c r="AV76" s="223">
        <v>0</v>
      </c>
      <c r="AW76" s="318">
        <v>0</v>
      </c>
      <c r="AX76" s="223">
        <v>0</v>
      </c>
      <c r="AY76" s="318">
        <f t="shared" si="40"/>
        <v>0</v>
      </c>
      <c r="AZ76" s="223"/>
      <c r="BA76" s="318"/>
      <c r="BB76" s="519">
        <f t="shared" si="41"/>
        <v>0</v>
      </c>
      <c r="BC76" s="518"/>
      <c r="BD76" s="518"/>
      <c r="BE76" s="518"/>
      <c r="BF76" s="518"/>
      <c r="BG76" s="518"/>
      <c r="BH76" s="518"/>
      <c r="BI76" s="518"/>
      <c r="BJ76" s="518"/>
      <c r="BK76" s="518"/>
      <c r="BL76" s="518"/>
      <c r="BM76" s="518"/>
      <c r="BN76" s="518"/>
      <c r="BO76" s="367">
        <f t="shared" si="50"/>
        <v>0</v>
      </c>
      <c r="BP76" s="421"/>
      <c r="BQ76" s="422"/>
      <c r="BR76" s="423">
        <f>IFERROR(IF(LEFT($A76,3)="Lcp",SUMIFS('BASE-LCP'!$K:$K,'BASE-LCP'!$A:$A,Capex!$A67,'BASE-LCP'!$B:$B,"janeiro")/1000,IF(LEFT($A76,3)="icp",SUMIFS('BASE-ICP'!$K:$K,'BASE-ICP'!$A:$A,Capex!$A67,'BASE-ICP'!$B:$B,"janeiro")/1000,"")),"")</f>
        <v>0</v>
      </c>
      <c r="BS76" s="427">
        <v>0</v>
      </c>
      <c r="BT76" s="372">
        <v>0</v>
      </c>
      <c r="BU76" s="422"/>
      <c r="BV76" s="423">
        <f>IFERROR(IF(LEFT($A76,3)="Lcp",SUMIFS('BASE-LCP'!$K:$K,'BASE-LCP'!$A:$A,Capex!$A67,'BASE-LCP'!$B:$B,"fevereiro")/1000,IF(LEFT($A76,3)="icp",SUMIFS('BASE-ICP'!$K:$K,'BASE-ICP'!$A:$A,Capex!$A67,'BASE-ICP'!$B:$B,"fevereiro")/1000,"")),"")</f>
        <v>0</v>
      </c>
      <c r="BW76" s="427">
        <v>0</v>
      </c>
      <c r="BX76" s="372">
        <v>0</v>
      </c>
      <c r="BY76" s="419"/>
      <c r="BZ76" s="423">
        <f>IFERROR(IF(LEFT($A76,3)="Lcp",SUMIFS('BASE-LCP'!$K:$K,'BASE-LCP'!$A:$A,Capex!$A67,'BASE-LCP'!$B:$B,"março")/1000,IF(LEFT($A76,3)="icp",SUMIFS('BASE-ICP'!$K:$K,'BASE-ICP'!$A:$A,Capex!$A67,'BASE-ICP'!$B:$B,"março")/1000,"")),"")</f>
        <v>0</v>
      </c>
      <c r="CA76" s="427">
        <v>0</v>
      </c>
      <c r="CB76" s="372">
        <v>0</v>
      </c>
      <c r="CC76" s="422"/>
      <c r="CD76" s="423">
        <f>IFERROR(IF(LEFT($A76,3)="Lcp",SUMIFS('BASE-LCP'!$K:$K,'BASE-LCP'!$A:$A,Capex!$A67,'BASE-LCP'!$B:$B,"abril")/1000,IF(LEFT($A76,3)="icp",SUMIFS('BASE-ICP'!$K:$K,'BASE-ICP'!$A:$A,Capex!$A67,'BASE-ICP'!$B:$B,"abril")/1000,"")),"")</f>
        <v>0</v>
      </c>
      <c r="CE76" s="427">
        <v>0</v>
      </c>
      <c r="CF76" s="372">
        <v>0</v>
      </c>
      <c r="CG76" s="419"/>
      <c r="CH76" s="423">
        <v>0</v>
      </c>
      <c r="CI76" s="427">
        <v>0</v>
      </c>
      <c r="CJ76" s="372">
        <v>0</v>
      </c>
      <c r="CK76" s="419"/>
      <c r="CL76" s="423">
        <f>IFERROR(IF(LEFT($A76,3)="Lcp",SUMIFS('BASE-LCP'!$K:$K,'BASE-LCP'!$A:$A,Capex!$A67,'BASE-LCP'!$B:$B,"junho")/1000,IF(LEFT($A76,3)="icp",SUMIFS('BASE-ICP'!$K:$K,'BASE-ICP'!$A:$A,Capex!$A67,'BASE-ICP'!$B:$B,"junho")/1000,"")),"")</f>
        <v>0</v>
      </c>
      <c r="CM76" s="427">
        <v>0</v>
      </c>
      <c r="CN76" s="372"/>
      <c r="CO76" s="419"/>
      <c r="CP76" s="423">
        <f>IFERROR(IF(LEFT($A76,3)="Lcp",SUMIFS('BASE-LCP'!$K:$K,'BASE-LCP'!$A:$A,Capex!$A67,'BASE-LCP'!$B:$B,"julho")/1000,IF(LEFT($A76,3)="icp",SUMIFS('BASE-ICP'!$K:$K,'BASE-ICP'!$A:$A,Capex!$A67,'BASE-ICP'!$B:$B,"julho")/1000,"")),"")</f>
        <v>0</v>
      </c>
      <c r="CQ76" s="427">
        <v>0</v>
      </c>
      <c r="CR76" s="372"/>
      <c r="CS76" s="419"/>
      <c r="CT76" s="423">
        <f>IFERROR(IF(LEFT($A76,3)="Lcp",SUMIFS('BASE-LCP'!$K:$K,'BASE-LCP'!$A:$A,Capex!$A67,'BASE-LCP'!$B:$B,"agosto")/1000,IF(LEFT($A76,3)="icp",SUMIFS('BASE-ICP'!$K:$K,'BASE-ICP'!$A:$A,Capex!$A67,'BASE-ICP'!$B:$B,"agosto")/1000,"")),"")</f>
        <v>0</v>
      </c>
      <c r="CU76" s="427">
        <v>0</v>
      </c>
      <c r="CV76" s="372"/>
      <c r="CW76" s="419"/>
      <c r="CX76" s="423">
        <f>IFERROR(IF(LEFT($A76,3)="Lcp",SUMIFS('BASE-LCP'!$K:$K,'BASE-LCP'!$A:$A,Capex!$A67,'BASE-LCP'!$B:$B,"setembro")/1000,IF(LEFT($A76,3)="icp",SUMIFS('BASE-ICP'!$K:$K,'BASE-ICP'!$A:$A,Capex!$A67,'BASE-ICP'!$B:$B,"setembro")/1000,"")),"")</f>
        <v>0</v>
      </c>
      <c r="CY76" s="427">
        <v>0</v>
      </c>
      <c r="CZ76" s="372"/>
      <c r="DA76" s="419"/>
      <c r="DB76" s="423">
        <f>IFERROR(IF(LEFT($A76,3)="Lcp",SUMIFS('BASE-LCP'!$K:$K,'BASE-LCP'!$A:$A,Capex!$A67,'BASE-LCP'!$B:$B,"outubro")/1000,IF(LEFT($A76,3)="icp",SUMIFS('BASE-ICP'!$K:$K,'BASE-ICP'!$A:$A,Capex!$A67,'BASE-ICP'!$B:$B,"outubro")/1000,"")),"")</f>
        <v>0</v>
      </c>
      <c r="DC76" s="427">
        <v>0</v>
      </c>
      <c r="DD76" s="372"/>
      <c r="DE76" s="419"/>
      <c r="DF76" s="423">
        <f>IFERROR(IF(LEFT($A76,3)="Lcp",SUMIFS('BASE-LCP'!$K:$K,'BASE-LCP'!$A:$A,Capex!$A67,'BASE-LCP'!$B:$B,"novembro")/1000,IF(LEFT($A76,3)="icp",SUMIFS('BASE-ICP'!$K:$K,'BASE-ICP'!$A:$A,Capex!$A67,'BASE-ICP'!$B:$B,"novembro")/1000,"")),"")</f>
        <v>0</v>
      </c>
      <c r="DG76" s="427">
        <v>0</v>
      </c>
      <c r="DH76" s="372"/>
      <c r="DI76" s="419"/>
      <c r="DJ76" s="423">
        <f>IFERROR(IF(LEFT($A76,3)="Lcp",SUMIFS('BASE-LCP'!$K:$K,'BASE-LCP'!$A:$A,Capex!$A67,'BASE-LCP'!$B:$B,"dezembro")/1000,IF(LEFT($A76,3)="icp",SUMIFS('BASE-ICP'!$K:$K,'BASE-ICP'!$A:$A,Capex!$A67,'BASE-ICP'!$B:$B,"dezembro")/1000,"")),"")</f>
        <v>0</v>
      </c>
      <c r="DK76" s="427">
        <v>0</v>
      </c>
      <c r="DL76" s="452">
        <f t="shared" si="51"/>
        <v>0</v>
      </c>
      <c r="DM76" s="374"/>
      <c r="DN76" s="374"/>
      <c r="DO76" s="374"/>
      <c r="DP76" s="374"/>
      <c r="DQ76" s="374"/>
      <c r="DR76" s="374"/>
      <c r="DS76" s="374"/>
      <c r="DT76" s="374"/>
      <c r="DU76" s="374"/>
      <c r="DV76" s="374"/>
      <c r="DW76" s="374"/>
      <c r="DX76" s="374"/>
      <c r="DY76" s="450"/>
      <c r="DZ76" s="374">
        <f t="shared" si="52"/>
        <v>0</v>
      </c>
      <c r="EA76" s="216">
        <f t="shared" si="53"/>
        <v>0</v>
      </c>
      <c r="EB76" s="320">
        <f t="shared" si="54"/>
        <v>0</v>
      </c>
      <c r="EC76" s="241">
        <f t="shared" si="55"/>
        <v>0</v>
      </c>
      <c r="ED76" s="241">
        <f t="shared" si="56"/>
        <v>0</v>
      </c>
      <c r="EE76" s="241">
        <f t="shared" si="57"/>
        <v>0</v>
      </c>
      <c r="EF76" s="241">
        <f t="shared" si="58"/>
        <v>0</v>
      </c>
      <c r="EG76" s="346">
        <f t="shared" si="59"/>
        <v>0</v>
      </c>
      <c r="EH76" s="445">
        <f t="shared" si="60"/>
        <v>0</v>
      </c>
      <c r="EI76" s="447">
        <f t="shared" si="61"/>
        <v>0</v>
      </c>
      <c r="EJ76" s="364">
        <f t="shared" si="62"/>
        <v>0</v>
      </c>
      <c r="EK76" s="365">
        <f t="shared" si="63"/>
        <v>0</v>
      </c>
      <c r="EL76" s="529">
        <f t="shared" si="64"/>
        <v>0</v>
      </c>
      <c r="EM76" s="530">
        <v>0</v>
      </c>
      <c r="EN76" s="530">
        <v>0</v>
      </c>
      <c r="EO76" s="530">
        <v>0</v>
      </c>
      <c r="EP76" s="530">
        <v>0</v>
      </c>
      <c r="EQ76" s="530">
        <v>0</v>
      </c>
      <c r="ER76" s="530">
        <v>0</v>
      </c>
      <c r="ES76" s="530">
        <v>0</v>
      </c>
      <c r="ET76" s="530">
        <v>0</v>
      </c>
      <c r="EU76" s="530">
        <v>0</v>
      </c>
      <c r="EV76" s="530">
        <v>0</v>
      </c>
      <c r="EW76" s="530">
        <v>0</v>
      </c>
      <c r="EX76" s="530">
        <v>0</v>
      </c>
      <c r="EY76" s="530">
        <f t="shared" si="65"/>
        <v>0</v>
      </c>
      <c r="EZ76" s="530">
        <f t="shared" si="66"/>
        <v>0</v>
      </c>
      <c r="FA76" s="530">
        <f t="shared" si="67"/>
        <v>0</v>
      </c>
      <c r="FB76" s="530">
        <f t="shared" si="68"/>
        <v>0</v>
      </c>
      <c r="FC76" s="384" t="str">
        <f>IFERROR(VLOOKUP(Capex!A67,BASE_558!D:R,8,FALSE)/1000,"")</f>
        <v/>
      </c>
      <c r="FD76" s="328" t="str">
        <f>IFERROR(VLOOKUP(Capex!A67,BASE_558!D:R,9,)/1000,"")</f>
        <v/>
      </c>
      <c r="FE76" s="328" t="str">
        <f>IFERROR(IF(LEFT(A76,3)="LCP",(VLOOKUP(Capex!A67,BASE_558!D:R,10,)/1000),SUMIFS('BASE ICP_PO_SC'!F:F,'BASE ICP_PO_SC'!A:A,Capex!A67,'BASE ICP_PO_SC'!E:E,"&lt;&gt;")/1000),"")</f>
        <v/>
      </c>
      <c r="FF76" s="328" t="str">
        <f>IFERROR(IF(LEFT(A76,3)="LCP",(VLOOKUP(Capex!A67,BASE_558!D:R,11,)/1000),SUMIFS('BASE ICP_PO_SC'!F:F,'BASE ICP_PO_SC'!A:A,Capex!A67,'BASE ICP_PO_SC'!E:E,"")/1000),"")</f>
        <v/>
      </c>
      <c r="FG76" s="328">
        <f>IFERROR(VLOOKUP(A76,BASE_558!D:R,13,FALSE)/1000,"")</f>
        <v>744.72318000000007</v>
      </c>
      <c r="FH76" s="328">
        <f>IFERROR(VLOOKUP(A76,BASE_558!D:R,15,FALSE)/1000,"")</f>
        <v>25.376819999999999</v>
      </c>
      <c r="FI76" s="547">
        <f t="shared" si="69"/>
        <v>0</v>
      </c>
      <c r="FJ76" s="547">
        <f t="shared" si="70"/>
        <v>0</v>
      </c>
      <c r="FK76" s="540">
        <f t="shared" si="71"/>
        <v>0</v>
      </c>
    </row>
    <row r="77" spans="1:167" s="23" customFormat="1" ht="24" customHeight="1">
      <c r="A77" s="84" t="s">
        <v>21</v>
      </c>
      <c r="B77" s="404"/>
      <c r="C77" s="404"/>
      <c r="D77" s="338" t="s">
        <v>1904</v>
      </c>
      <c r="E77" s="378"/>
      <c r="F77" s="5"/>
      <c r="G77" s="310" t="s">
        <v>9</v>
      </c>
      <c r="H77" s="338"/>
      <c r="I77" s="338"/>
      <c r="J77" s="338">
        <v>2017</v>
      </c>
      <c r="K77" s="316">
        <v>42818</v>
      </c>
      <c r="L77" s="317">
        <v>43522</v>
      </c>
      <c r="M77" s="409"/>
      <c r="N77" s="317">
        <f t="shared" si="38"/>
        <v>43730</v>
      </c>
      <c r="O77" s="317">
        <f t="shared" si="39"/>
        <v>44095</v>
      </c>
      <c r="P77" s="418" t="str">
        <f t="shared" si="72"/>
        <v>CRTD</v>
      </c>
      <c r="Q77" s="418" t="str">
        <f t="shared" si="72"/>
        <v>CRTD</v>
      </c>
      <c r="R77" s="418" t="str">
        <f t="shared" si="72"/>
        <v>CRTD</v>
      </c>
      <c r="S77" s="418" t="str">
        <f t="shared" si="72"/>
        <v>CRTD</v>
      </c>
      <c r="T77" s="418" t="str">
        <f t="shared" si="72"/>
        <v>CRTD</v>
      </c>
      <c r="U77" s="418" t="str">
        <f t="shared" si="72"/>
        <v>CRTD</v>
      </c>
      <c r="V77" s="418" t="str">
        <f t="shared" si="72"/>
        <v>CRTD</v>
      </c>
      <c r="W77" s="418" t="str">
        <f t="shared" si="72"/>
        <v>CRTD</v>
      </c>
      <c r="X77" s="418" t="str">
        <f t="shared" si="72"/>
        <v>CRTD</v>
      </c>
      <c r="Y77" s="418" t="str">
        <f t="shared" si="72"/>
        <v>CRTD</v>
      </c>
      <c r="Z77" s="418" t="str">
        <f t="shared" si="72"/>
        <v>CRTD</v>
      </c>
      <c r="AA77" s="418" t="str">
        <f t="shared" si="72"/>
        <v>CRTD</v>
      </c>
      <c r="AB77" s="317"/>
      <c r="AC77" s="309" t="s">
        <v>3932</v>
      </c>
      <c r="AD77" s="311" t="s">
        <v>222</v>
      </c>
      <c r="AE77" s="311"/>
      <c r="AF77" s="310" t="s">
        <v>6985</v>
      </c>
      <c r="AG77" s="310" t="s">
        <v>9083</v>
      </c>
      <c r="AH77" s="310" t="s">
        <v>3237</v>
      </c>
      <c r="AI77" s="309" t="s">
        <v>187</v>
      </c>
      <c r="AJ77" s="6" t="s">
        <v>218</v>
      </c>
      <c r="AK77" s="6" t="str">
        <f t="shared" si="49"/>
        <v>IGUAL</v>
      </c>
      <c r="AL77" s="151" t="str">
        <f>IFERROR(IF(LEFT(A77,3)="LCP",VLOOKUP(A77,STATUS_SAP_LCP!B:C,2,FALSE),VLOOKUP(A77,STATUS_SAP_ICP!B:C,2,FALSE)),"NO BUDGET")</f>
        <v>CLSD BUDG AUC  AVAC  //  APPR BREL EXPL</v>
      </c>
      <c r="AM77" s="6" t="str">
        <f t="shared" si="48"/>
        <v>CLSD</v>
      </c>
      <c r="AN77" s="282" t="s">
        <v>9093</v>
      </c>
      <c r="AO77" s="493">
        <v>1</v>
      </c>
      <c r="AP77" s="499" t="s">
        <v>9607</v>
      </c>
      <c r="AQ77" s="465">
        <v>43522</v>
      </c>
      <c r="AR77" s="460"/>
      <c r="AS77" s="56">
        <v>1.046</v>
      </c>
      <c r="AT77" s="185">
        <v>0</v>
      </c>
      <c r="AU77" s="318">
        <v>0</v>
      </c>
      <c r="AV77" s="223">
        <v>0</v>
      </c>
      <c r="AW77" s="318">
        <v>0</v>
      </c>
      <c r="AX77" s="223">
        <v>0</v>
      </c>
      <c r="AY77" s="318">
        <f t="shared" si="40"/>
        <v>0</v>
      </c>
      <c r="AZ77" s="223"/>
      <c r="BA77" s="318"/>
      <c r="BB77" s="519">
        <f t="shared" si="41"/>
        <v>0</v>
      </c>
      <c r="BC77" s="518"/>
      <c r="BD77" s="518"/>
      <c r="BE77" s="518"/>
      <c r="BF77" s="518"/>
      <c r="BG77" s="518"/>
      <c r="BH77" s="518"/>
      <c r="BI77" s="518"/>
      <c r="BJ77" s="518"/>
      <c r="BK77" s="518"/>
      <c r="BL77" s="518"/>
      <c r="BM77" s="518"/>
      <c r="BN77" s="518"/>
      <c r="BO77" s="367">
        <f t="shared" si="50"/>
        <v>0</v>
      </c>
      <c r="BP77" s="421"/>
      <c r="BQ77" s="422"/>
      <c r="BR77" s="423">
        <f>IFERROR(IF(LEFT($A77,3)="Lcp",SUMIFS('BASE-LCP'!$K:$K,'BASE-LCP'!$A:$A,Capex!$A68,'BASE-LCP'!$B:$B,"janeiro")/1000,IF(LEFT($A77,3)="icp",SUMIFS('BASE-ICP'!$K:$K,'BASE-ICP'!$A:$A,Capex!$A68,'BASE-ICP'!$B:$B,"janeiro")/1000,"")),"")</f>
        <v>0</v>
      </c>
      <c r="BS77" s="427">
        <v>0</v>
      </c>
      <c r="BT77" s="372">
        <v>0</v>
      </c>
      <c r="BU77" s="422"/>
      <c r="BV77" s="423">
        <f>IFERROR(IF(LEFT($A77,3)="Lcp",SUMIFS('BASE-LCP'!$K:$K,'BASE-LCP'!$A:$A,Capex!$A68,'BASE-LCP'!$B:$B,"fevereiro")/1000,IF(LEFT($A77,3)="icp",SUMIFS('BASE-ICP'!$K:$K,'BASE-ICP'!$A:$A,Capex!$A68,'BASE-ICP'!$B:$B,"fevereiro")/1000,"")),"")</f>
        <v>0</v>
      </c>
      <c r="BW77" s="427">
        <v>0</v>
      </c>
      <c r="BX77" s="372">
        <v>0</v>
      </c>
      <c r="BY77" s="419"/>
      <c r="BZ77" s="423">
        <f>IFERROR(IF(LEFT($A77,3)="Lcp",SUMIFS('BASE-LCP'!$K:$K,'BASE-LCP'!$A:$A,Capex!$A68,'BASE-LCP'!$B:$B,"março")/1000,IF(LEFT($A77,3)="icp",SUMIFS('BASE-ICP'!$K:$K,'BASE-ICP'!$A:$A,Capex!$A68,'BASE-ICP'!$B:$B,"março")/1000,"")),"")</f>
        <v>0</v>
      </c>
      <c r="CA77" s="427">
        <v>0</v>
      </c>
      <c r="CB77" s="372">
        <v>0</v>
      </c>
      <c r="CC77" s="422"/>
      <c r="CD77" s="423">
        <f>IFERROR(IF(LEFT($A77,3)="Lcp",SUMIFS('BASE-LCP'!$K:$K,'BASE-LCP'!$A:$A,Capex!$A68,'BASE-LCP'!$B:$B,"abril")/1000,IF(LEFT($A77,3)="icp",SUMIFS('BASE-ICP'!$K:$K,'BASE-ICP'!$A:$A,Capex!$A68,'BASE-ICP'!$B:$B,"abril")/1000,"")),"")</f>
        <v>0</v>
      </c>
      <c r="CE77" s="427">
        <v>0</v>
      </c>
      <c r="CF77" s="372">
        <v>0</v>
      </c>
      <c r="CG77" s="419"/>
      <c r="CH77" s="423">
        <v>0</v>
      </c>
      <c r="CI77" s="427">
        <v>0</v>
      </c>
      <c r="CJ77" s="372">
        <v>0</v>
      </c>
      <c r="CK77" s="419"/>
      <c r="CL77" s="423">
        <f>IFERROR(IF(LEFT($A77,3)="Lcp",SUMIFS('BASE-LCP'!$K:$K,'BASE-LCP'!$A:$A,Capex!$A68,'BASE-LCP'!$B:$B,"junho")/1000,IF(LEFT($A77,3)="icp",SUMIFS('BASE-ICP'!$K:$K,'BASE-ICP'!$A:$A,Capex!$A68,'BASE-ICP'!$B:$B,"junho")/1000,"")),"")</f>
        <v>0</v>
      </c>
      <c r="CM77" s="427">
        <v>0</v>
      </c>
      <c r="CN77" s="372"/>
      <c r="CO77" s="419"/>
      <c r="CP77" s="423">
        <f>IFERROR(IF(LEFT($A77,3)="Lcp",SUMIFS('BASE-LCP'!$K:$K,'BASE-LCP'!$A:$A,Capex!$A68,'BASE-LCP'!$B:$B,"julho")/1000,IF(LEFT($A77,3)="icp",SUMIFS('BASE-ICP'!$K:$K,'BASE-ICP'!$A:$A,Capex!$A68,'BASE-ICP'!$B:$B,"julho")/1000,"")),"")</f>
        <v>0</v>
      </c>
      <c r="CQ77" s="427">
        <v>0</v>
      </c>
      <c r="CR77" s="372"/>
      <c r="CS77" s="419"/>
      <c r="CT77" s="423">
        <f>IFERROR(IF(LEFT($A77,3)="Lcp",SUMIFS('BASE-LCP'!$K:$K,'BASE-LCP'!$A:$A,Capex!$A68,'BASE-LCP'!$B:$B,"agosto")/1000,IF(LEFT($A77,3)="icp",SUMIFS('BASE-ICP'!$K:$K,'BASE-ICP'!$A:$A,Capex!$A68,'BASE-ICP'!$B:$B,"agosto")/1000,"")),"")</f>
        <v>0</v>
      </c>
      <c r="CU77" s="427">
        <v>0</v>
      </c>
      <c r="CV77" s="372"/>
      <c r="CW77" s="419"/>
      <c r="CX77" s="423">
        <f>IFERROR(IF(LEFT($A77,3)="Lcp",SUMIFS('BASE-LCP'!$K:$K,'BASE-LCP'!$A:$A,Capex!$A68,'BASE-LCP'!$B:$B,"setembro")/1000,IF(LEFT($A77,3)="icp",SUMIFS('BASE-ICP'!$K:$K,'BASE-ICP'!$A:$A,Capex!$A68,'BASE-ICP'!$B:$B,"setembro")/1000,"")),"")</f>
        <v>0</v>
      </c>
      <c r="CY77" s="427">
        <v>0</v>
      </c>
      <c r="CZ77" s="372"/>
      <c r="DA77" s="419"/>
      <c r="DB77" s="423">
        <f>IFERROR(IF(LEFT($A77,3)="Lcp",SUMIFS('BASE-LCP'!$K:$K,'BASE-LCP'!$A:$A,Capex!$A68,'BASE-LCP'!$B:$B,"outubro")/1000,IF(LEFT($A77,3)="icp",SUMIFS('BASE-ICP'!$K:$K,'BASE-ICP'!$A:$A,Capex!$A68,'BASE-ICP'!$B:$B,"outubro")/1000,"")),"")</f>
        <v>0</v>
      </c>
      <c r="DC77" s="427">
        <v>0</v>
      </c>
      <c r="DD77" s="372"/>
      <c r="DE77" s="419"/>
      <c r="DF77" s="423">
        <f>IFERROR(IF(LEFT($A77,3)="Lcp",SUMIFS('BASE-LCP'!$K:$K,'BASE-LCP'!$A:$A,Capex!$A68,'BASE-LCP'!$B:$B,"novembro")/1000,IF(LEFT($A77,3)="icp",SUMIFS('BASE-ICP'!$K:$K,'BASE-ICP'!$A:$A,Capex!$A68,'BASE-ICP'!$B:$B,"novembro")/1000,"")),"")</f>
        <v>0</v>
      </c>
      <c r="DG77" s="427">
        <v>0</v>
      </c>
      <c r="DH77" s="372"/>
      <c r="DI77" s="419"/>
      <c r="DJ77" s="423">
        <f>IFERROR(IF(LEFT($A77,3)="Lcp",SUMIFS('BASE-LCP'!$K:$K,'BASE-LCP'!$A:$A,Capex!$A68,'BASE-LCP'!$B:$B,"dezembro")/1000,IF(LEFT($A77,3)="icp",SUMIFS('BASE-ICP'!$K:$K,'BASE-ICP'!$A:$A,Capex!$A68,'BASE-ICP'!$B:$B,"dezembro")/1000,"")),"")</f>
        <v>0</v>
      </c>
      <c r="DK77" s="427">
        <v>0</v>
      </c>
      <c r="DL77" s="452">
        <f t="shared" si="51"/>
        <v>0</v>
      </c>
      <c r="DM77" s="374"/>
      <c r="DN77" s="374"/>
      <c r="DO77" s="374"/>
      <c r="DP77" s="374"/>
      <c r="DQ77" s="374"/>
      <c r="DR77" s="374"/>
      <c r="DS77" s="374"/>
      <c r="DT77" s="374"/>
      <c r="DU77" s="374"/>
      <c r="DV77" s="374"/>
      <c r="DW77" s="374"/>
      <c r="DX77" s="374"/>
      <c r="DY77" s="450"/>
      <c r="DZ77" s="374">
        <f t="shared" si="52"/>
        <v>0</v>
      </c>
      <c r="EA77" s="216">
        <f t="shared" si="53"/>
        <v>0</v>
      </c>
      <c r="EB77" s="320">
        <f t="shared" si="54"/>
        <v>0</v>
      </c>
      <c r="EC77" s="241">
        <f t="shared" si="55"/>
        <v>0</v>
      </c>
      <c r="ED77" s="241">
        <f t="shared" si="56"/>
        <v>0</v>
      </c>
      <c r="EE77" s="241">
        <f t="shared" si="57"/>
        <v>0</v>
      </c>
      <c r="EF77" s="241">
        <f t="shared" si="58"/>
        <v>0</v>
      </c>
      <c r="EG77" s="346">
        <f t="shared" si="59"/>
        <v>0</v>
      </c>
      <c r="EH77" s="445">
        <f t="shared" si="60"/>
        <v>0</v>
      </c>
      <c r="EI77" s="447">
        <f t="shared" si="61"/>
        <v>0</v>
      </c>
      <c r="EJ77" s="364">
        <f t="shared" si="62"/>
        <v>0</v>
      </c>
      <c r="EK77" s="365">
        <f t="shared" si="63"/>
        <v>0</v>
      </c>
      <c r="EL77" s="529">
        <f t="shared" si="64"/>
        <v>0</v>
      </c>
      <c r="EM77" s="530">
        <v>0</v>
      </c>
      <c r="EN77" s="530">
        <v>0</v>
      </c>
      <c r="EO77" s="530">
        <v>0</v>
      </c>
      <c r="EP77" s="530">
        <v>0</v>
      </c>
      <c r="EQ77" s="530">
        <v>0</v>
      </c>
      <c r="ER77" s="530">
        <v>0</v>
      </c>
      <c r="ES77" s="530">
        <v>0</v>
      </c>
      <c r="ET77" s="530">
        <v>0</v>
      </c>
      <c r="EU77" s="530">
        <v>0</v>
      </c>
      <c r="EV77" s="530">
        <v>0</v>
      </c>
      <c r="EW77" s="530">
        <v>0</v>
      </c>
      <c r="EX77" s="530">
        <v>0</v>
      </c>
      <c r="EY77" s="530">
        <f t="shared" si="65"/>
        <v>0</v>
      </c>
      <c r="EZ77" s="530">
        <f t="shared" si="66"/>
        <v>0</v>
      </c>
      <c r="FA77" s="530">
        <f t="shared" si="67"/>
        <v>0</v>
      </c>
      <c r="FB77" s="530">
        <f t="shared" si="68"/>
        <v>0</v>
      </c>
      <c r="FC77" s="384" t="str">
        <f>IFERROR(VLOOKUP(Capex!A68,BASE_558!D:R,8,FALSE)/1000,"")</f>
        <v/>
      </c>
      <c r="FD77" s="328" t="str">
        <f>IFERROR(VLOOKUP(Capex!A68,BASE_558!D:R,9,)/1000,"")</f>
        <v/>
      </c>
      <c r="FE77" s="328" t="str">
        <f>IFERROR(IF(LEFT(A77,3)="LCP",(VLOOKUP(Capex!A68,BASE_558!D:R,10,)/1000),SUMIFS('BASE ICP_PO_SC'!F:F,'BASE ICP_PO_SC'!A:A,Capex!A68,'BASE ICP_PO_SC'!E:E,"&lt;&gt;")/1000),"")</f>
        <v/>
      </c>
      <c r="FF77" s="328" t="str">
        <f>IFERROR(IF(LEFT(A77,3)="LCP",(VLOOKUP(Capex!A68,BASE_558!D:R,11,)/1000),SUMIFS('BASE ICP_PO_SC'!F:F,'BASE ICP_PO_SC'!A:A,Capex!A68,'BASE ICP_PO_SC'!E:E,"")/1000),"")</f>
        <v/>
      </c>
      <c r="FG77" s="328">
        <f>IFERROR(VLOOKUP(A77,BASE_558!D:R,13,FALSE)/1000,"")</f>
        <v>347.31648999999999</v>
      </c>
      <c r="FH77" s="328">
        <f>IFERROR(VLOOKUP(A77,BASE_558!D:R,15,FALSE)/1000,"")</f>
        <v>4.6835100000000001</v>
      </c>
      <c r="FI77" s="547">
        <f t="shared" si="69"/>
        <v>0</v>
      </c>
      <c r="FJ77" s="547">
        <f t="shared" si="70"/>
        <v>0</v>
      </c>
      <c r="FK77" s="540">
        <f t="shared" si="71"/>
        <v>0</v>
      </c>
    </row>
    <row r="78" spans="1:167" s="23" customFormat="1" ht="24" customHeight="1">
      <c r="A78" s="84" t="s">
        <v>23</v>
      </c>
      <c r="B78" s="404"/>
      <c r="C78" s="404"/>
      <c r="D78" s="338" t="s">
        <v>2207</v>
      </c>
      <c r="E78" s="378"/>
      <c r="F78" s="5"/>
      <c r="G78" s="310" t="s">
        <v>9</v>
      </c>
      <c r="H78" s="338"/>
      <c r="I78" s="338"/>
      <c r="J78" s="338">
        <v>2017</v>
      </c>
      <c r="K78" s="316">
        <v>42844</v>
      </c>
      <c r="L78" s="317">
        <v>43972</v>
      </c>
      <c r="M78" s="409"/>
      <c r="N78" s="317">
        <f t="shared" si="38"/>
        <v>43756</v>
      </c>
      <c r="O78" s="317">
        <f t="shared" si="39"/>
        <v>44121</v>
      </c>
      <c r="P78" s="418" t="str">
        <f t="shared" si="72"/>
        <v>CRTD</v>
      </c>
      <c r="Q78" s="418" t="str">
        <f t="shared" si="72"/>
        <v>CRTD</v>
      </c>
      <c r="R78" s="418" t="str">
        <f t="shared" si="72"/>
        <v>CRTD</v>
      </c>
      <c r="S78" s="418" t="str">
        <f t="shared" si="72"/>
        <v>CRTD</v>
      </c>
      <c r="T78" s="418" t="str">
        <f t="shared" si="72"/>
        <v>CRTD</v>
      </c>
      <c r="U78" s="418" t="str">
        <f t="shared" si="72"/>
        <v>CRTD</v>
      </c>
      <c r="V78" s="418" t="str">
        <f t="shared" si="72"/>
        <v>CRTD</v>
      </c>
      <c r="W78" s="418" t="str">
        <f t="shared" si="72"/>
        <v>CRTD</v>
      </c>
      <c r="X78" s="418" t="str">
        <f t="shared" si="72"/>
        <v>CRTD</v>
      </c>
      <c r="Y78" s="418" t="str">
        <f t="shared" si="72"/>
        <v>CRTD</v>
      </c>
      <c r="Z78" s="418" t="str">
        <f t="shared" si="72"/>
        <v>CRTD</v>
      </c>
      <c r="AA78" s="418" t="str">
        <f t="shared" si="72"/>
        <v>CRTD</v>
      </c>
      <c r="AB78" s="317"/>
      <c r="AC78" s="309" t="s">
        <v>3932</v>
      </c>
      <c r="AD78" s="311" t="s">
        <v>5</v>
      </c>
      <c r="AE78" s="311"/>
      <c r="AF78" s="310" t="s">
        <v>6985</v>
      </c>
      <c r="AG78" s="310" t="s">
        <v>9083</v>
      </c>
      <c r="AH78" s="310" t="s">
        <v>24</v>
      </c>
      <c r="AI78" s="309" t="s">
        <v>2255</v>
      </c>
      <c r="AJ78" s="6" t="s">
        <v>218</v>
      </c>
      <c r="AK78" s="6" t="str">
        <f t="shared" si="49"/>
        <v>IGUAL</v>
      </c>
      <c r="AL78" s="151" t="str">
        <f>IFERROR(IF(LEFT(A78,3)="LCP",VLOOKUP(A78,STATUS_SAP_LCP!B:C,2,FALSE),VLOOKUP(A78,STATUS_SAP_ICP!B:C,2,FALSE)),"NO BUDGET")</f>
        <v>CLSD BUDG AUC  AVAC  //  APPR BREL EXPL</v>
      </c>
      <c r="AM78" s="6" t="str">
        <f t="shared" si="48"/>
        <v>CLSD</v>
      </c>
      <c r="AN78" s="282" t="s">
        <v>9098</v>
      </c>
      <c r="AO78" s="493">
        <v>1</v>
      </c>
      <c r="AP78" s="499" t="s">
        <v>9607</v>
      </c>
      <c r="AQ78" s="465">
        <v>43972</v>
      </c>
      <c r="AR78" s="460"/>
      <c r="AS78" s="56">
        <v>147.10616030138567</v>
      </c>
      <c r="AT78" s="185">
        <v>0</v>
      </c>
      <c r="AU78" s="318">
        <v>0</v>
      </c>
      <c r="AV78" s="223">
        <v>0</v>
      </c>
      <c r="AW78" s="318">
        <v>0</v>
      </c>
      <c r="AX78" s="223">
        <v>0</v>
      </c>
      <c r="AY78" s="318">
        <f t="shared" si="40"/>
        <v>0</v>
      </c>
      <c r="AZ78" s="223"/>
      <c r="BA78" s="318"/>
      <c r="BB78" s="519">
        <f t="shared" si="41"/>
        <v>0</v>
      </c>
      <c r="BC78" s="518"/>
      <c r="BD78" s="518"/>
      <c r="BE78" s="518"/>
      <c r="BF78" s="518"/>
      <c r="BG78" s="518"/>
      <c r="BH78" s="518"/>
      <c r="BI78" s="518"/>
      <c r="BJ78" s="518"/>
      <c r="BK78" s="518"/>
      <c r="BL78" s="518"/>
      <c r="BM78" s="518"/>
      <c r="BN78" s="518"/>
      <c r="BO78" s="367">
        <f t="shared" si="50"/>
        <v>0</v>
      </c>
      <c r="BP78" s="421"/>
      <c r="BQ78" s="422"/>
      <c r="BR78" s="423">
        <f>IFERROR(IF(LEFT($A78,3)="Lcp",SUMIFS('BASE-LCP'!$K:$K,'BASE-LCP'!$A:$A,Capex!$A69,'BASE-LCP'!$B:$B,"janeiro")/1000,IF(LEFT($A78,3)="icp",SUMIFS('BASE-ICP'!$K:$K,'BASE-ICP'!$A:$A,Capex!$A69,'BASE-ICP'!$B:$B,"janeiro")/1000,"")),"")</f>
        <v>0</v>
      </c>
      <c r="BS78" s="427">
        <v>0</v>
      </c>
      <c r="BT78" s="372">
        <v>0</v>
      </c>
      <c r="BU78" s="422"/>
      <c r="BV78" s="423">
        <f>IFERROR(IF(LEFT($A78,3)="Lcp",SUMIFS('BASE-LCP'!$K:$K,'BASE-LCP'!$A:$A,Capex!$A69,'BASE-LCP'!$B:$B,"fevereiro")/1000,IF(LEFT($A78,3)="icp",SUMIFS('BASE-ICP'!$K:$K,'BASE-ICP'!$A:$A,Capex!$A69,'BASE-ICP'!$B:$B,"fevereiro")/1000,"")),"")</f>
        <v>0</v>
      </c>
      <c r="BW78" s="427">
        <v>0</v>
      </c>
      <c r="BX78" s="372">
        <v>0</v>
      </c>
      <c r="BY78" s="419"/>
      <c r="BZ78" s="423">
        <f>IFERROR(IF(LEFT($A78,3)="Lcp",SUMIFS('BASE-LCP'!$K:$K,'BASE-LCP'!$A:$A,Capex!$A69,'BASE-LCP'!$B:$B,"março")/1000,IF(LEFT($A78,3)="icp",SUMIFS('BASE-ICP'!$K:$K,'BASE-ICP'!$A:$A,Capex!$A69,'BASE-ICP'!$B:$B,"março")/1000,"")),"")</f>
        <v>0</v>
      </c>
      <c r="CA78" s="427">
        <v>0</v>
      </c>
      <c r="CB78" s="372">
        <v>0</v>
      </c>
      <c r="CC78" s="422"/>
      <c r="CD78" s="423">
        <f>IFERROR(IF(LEFT($A78,3)="Lcp",SUMIFS('BASE-LCP'!$K:$K,'BASE-LCP'!$A:$A,Capex!$A69,'BASE-LCP'!$B:$B,"abril")/1000,IF(LEFT($A78,3)="icp",SUMIFS('BASE-ICP'!$K:$K,'BASE-ICP'!$A:$A,Capex!$A69,'BASE-ICP'!$B:$B,"abril")/1000,"")),"")</f>
        <v>0</v>
      </c>
      <c r="CE78" s="427">
        <v>0</v>
      </c>
      <c r="CF78" s="372">
        <v>0</v>
      </c>
      <c r="CG78" s="419"/>
      <c r="CH78" s="423">
        <v>0</v>
      </c>
      <c r="CI78" s="427">
        <v>0</v>
      </c>
      <c r="CJ78" s="372">
        <v>0</v>
      </c>
      <c r="CK78" s="419"/>
      <c r="CL78" s="423">
        <f>IFERROR(IF(LEFT($A78,3)="Lcp",SUMIFS('BASE-LCP'!$K:$K,'BASE-LCP'!$A:$A,Capex!$A69,'BASE-LCP'!$B:$B,"junho")/1000,IF(LEFT($A78,3)="icp",SUMIFS('BASE-ICP'!$K:$K,'BASE-ICP'!$A:$A,Capex!$A69,'BASE-ICP'!$B:$B,"junho")/1000,"")),"")</f>
        <v>0</v>
      </c>
      <c r="CM78" s="427">
        <v>0</v>
      </c>
      <c r="CN78" s="372"/>
      <c r="CO78" s="419"/>
      <c r="CP78" s="423">
        <f>IFERROR(IF(LEFT($A78,3)="Lcp",SUMIFS('BASE-LCP'!$K:$K,'BASE-LCP'!$A:$A,Capex!$A69,'BASE-LCP'!$B:$B,"julho")/1000,IF(LEFT($A78,3)="icp",SUMIFS('BASE-ICP'!$K:$K,'BASE-ICP'!$A:$A,Capex!$A69,'BASE-ICP'!$B:$B,"julho")/1000,"")),"")</f>
        <v>0</v>
      </c>
      <c r="CQ78" s="427">
        <v>0</v>
      </c>
      <c r="CR78" s="372"/>
      <c r="CS78" s="419"/>
      <c r="CT78" s="423">
        <f>IFERROR(IF(LEFT($A78,3)="Lcp",SUMIFS('BASE-LCP'!$K:$K,'BASE-LCP'!$A:$A,Capex!$A69,'BASE-LCP'!$B:$B,"agosto")/1000,IF(LEFT($A78,3)="icp",SUMIFS('BASE-ICP'!$K:$K,'BASE-ICP'!$A:$A,Capex!$A69,'BASE-ICP'!$B:$B,"agosto")/1000,"")),"")</f>
        <v>0</v>
      </c>
      <c r="CU78" s="427">
        <v>0</v>
      </c>
      <c r="CV78" s="372"/>
      <c r="CW78" s="419"/>
      <c r="CX78" s="423">
        <f>IFERROR(IF(LEFT($A78,3)="Lcp",SUMIFS('BASE-LCP'!$K:$K,'BASE-LCP'!$A:$A,Capex!$A69,'BASE-LCP'!$B:$B,"setembro")/1000,IF(LEFT($A78,3)="icp",SUMIFS('BASE-ICP'!$K:$K,'BASE-ICP'!$A:$A,Capex!$A69,'BASE-ICP'!$B:$B,"setembro")/1000,"")),"")</f>
        <v>0</v>
      </c>
      <c r="CY78" s="427">
        <v>0</v>
      </c>
      <c r="CZ78" s="372"/>
      <c r="DA78" s="419"/>
      <c r="DB78" s="423">
        <f>IFERROR(IF(LEFT($A78,3)="Lcp",SUMIFS('BASE-LCP'!$K:$K,'BASE-LCP'!$A:$A,Capex!$A69,'BASE-LCP'!$B:$B,"outubro")/1000,IF(LEFT($A78,3)="icp",SUMIFS('BASE-ICP'!$K:$K,'BASE-ICP'!$A:$A,Capex!$A69,'BASE-ICP'!$B:$B,"outubro")/1000,"")),"")</f>
        <v>0</v>
      </c>
      <c r="DC78" s="427">
        <v>0</v>
      </c>
      <c r="DD78" s="372"/>
      <c r="DE78" s="419"/>
      <c r="DF78" s="423">
        <f>IFERROR(IF(LEFT($A78,3)="Lcp",SUMIFS('BASE-LCP'!$K:$K,'BASE-LCP'!$A:$A,Capex!$A69,'BASE-LCP'!$B:$B,"novembro")/1000,IF(LEFT($A78,3)="icp",SUMIFS('BASE-ICP'!$K:$K,'BASE-ICP'!$A:$A,Capex!$A69,'BASE-ICP'!$B:$B,"novembro")/1000,"")),"")</f>
        <v>0</v>
      </c>
      <c r="DG78" s="427">
        <v>0</v>
      </c>
      <c r="DH78" s="372"/>
      <c r="DI78" s="419"/>
      <c r="DJ78" s="423">
        <f>IFERROR(IF(LEFT($A78,3)="Lcp",SUMIFS('BASE-LCP'!$K:$K,'BASE-LCP'!$A:$A,Capex!$A69,'BASE-LCP'!$B:$B,"dezembro")/1000,IF(LEFT($A78,3)="icp",SUMIFS('BASE-ICP'!$K:$K,'BASE-ICP'!$A:$A,Capex!$A69,'BASE-ICP'!$B:$B,"dezembro")/1000,"")),"")</f>
        <v>0</v>
      </c>
      <c r="DK78" s="427">
        <v>0</v>
      </c>
      <c r="DL78" s="452">
        <f t="shared" si="51"/>
        <v>0</v>
      </c>
      <c r="DM78" s="374"/>
      <c r="DN78" s="374"/>
      <c r="DO78" s="374"/>
      <c r="DP78" s="374"/>
      <c r="DQ78" s="374"/>
      <c r="DR78" s="374"/>
      <c r="DS78" s="374"/>
      <c r="DT78" s="374"/>
      <c r="DU78" s="374"/>
      <c r="DV78" s="374"/>
      <c r="DW78" s="374"/>
      <c r="DX78" s="374"/>
      <c r="DY78" s="450"/>
      <c r="DZ78" s="374">
        <f t="shared" si="52"/>
        <v>0</v>
      </c>
      <c r="EA78" s="216">
        <f t="shared" si="53"/>
        <v>0</v>
      </c>
      <c r="EB78" s="320">
        <f t="shared" si="54"/>
        <v>0</v>
      </c>
      <c r="EC78" s="241">
        <f t="shared" si="55"/>
        <v>0</v>
      </c>
      <c r="ED78" s="241">
        <f t="shared" si="56"/>
        <v>0</v>
      </c>
      <c r="EE78" s="241">
        <f t="shared" si="57"/>
        <v>0</v>
      </c>
      <c r="EF78" s="241">
        <f t="shared" si="58"/>
        <v>0</v>
      </c>
      <c r="EG78" s="346">
        <f t="shared" si="59"/>
        <v>0</v>
      </c>
      <c r="EH78" s="445">
        <f t="shared" si="60"/>
        <v>0</v>
      </c>
      <c r="EI78" s="447">
        <f t="shared" si="61"/>
        <v>0</v>
      </c>
      <c r="EJ78" s="364">
        <f t="shared" si="62"/>
        <v>0</v>
      </c>
      <c r="EK78" s="365">
        <f t="shared" si="63"/>
        <v>0</v>
      </c>
      <c r="EL78" s="529">
        <f t="shared" si="64"/>
        <v>0</v>
      </c>
      <c r="EM78" s="530">
        <v>0</v>
      </c>
      <c r="EN78" s="530">
        <v>0</v>
      </c>
      <c r="EO78" s="530">
        <v>0</v>
      </c>
      <c r="EP78" s="530">
        <v>0</v>
      </c>
      <c r="EQ78" s="530">
        <v>0</v>
      </c>
      <c r="ER78" s="530">
        <v>0</v>
      </c>
      <c r="ES78" s="530">
        <v>0</v>
      </c>
      <c r="ET78" s="530">
        <v>0</v>
      </c>
      <c r="EU78" s="530">
        <v>0</v>
      </c>
      <c r="EV78" s="530">
        <v>0</v>
      </c>
      <c r="EW78" s="530">
        <v>0</v>
      </c>
      <c r="EX78" s="530">
        <v>0</v>
      </c>
      <c r="EY78" s="530">
        <f t="shared" si="65"/>
        <v>0</v>
      </c>
      <c r="EZ78" s="530">
        <f t="shared" si="66"/>
        <v>0</v>
      </c>
      <c r="FA78" s="530">
        <f t="shared" si="67"/>
        <v>0</v>
      </c>
      <c r="FB78" s="530">
        <f t="shared" si="68"/>
        <v>0</v>
      </c>
      <c r="FC78" s="384" t="str">
        <f>IFERROR(VLOOKUP(Capex!A69,BASE_558!D:R,8,FALSE)/1000,"")</f>
        <v/>
      </c>
      <c r="FD78" s="328" t="str">
        <f>IFERROR(VLOOKUP(Capex!A69,BASE_558!D:R,9,)/1000,"")</f>
        <v/>
      </c>
      <c r="FE78" s="328" t="str">
        <f>IFERROR(IF(LEFT(A78,3)="LCP",(VLOOKUP(Capex!A69,BASE_558!D:R,10,)/1000),SUMIFS('BASE ICP_PO_SC'!F:F,'BASE ICP_PO_SC'!A:A,Capex!A69,'BASE ICP_PO_SC'!E:E,"&lt;&gt;")/1000),"")</f>
        <v/>
      </c>
      <c r="FF78" s="328" t="str">
        <f>IFERROR(IF(LEFT(A78,3)="LCP",(VLOOKUP(Capex!A69,BASE_558!D:R,11,)/1000),SUMIFS('BASE ICP_PO_SC'!F:F,'BASE ICP_PO_SC'!A:A,Capex!A69,'BASE ICP_PO_SC'!E:E,"")/1000),"")</f>
        <v/>
      </c>
      <c r="FG78" s="328">
        <f>IFERROR(VLOOKUP(A78,BASE_558!D:R,13,FALSE)/1000,"")</f>
        <v>1335.95245</v>
      </c>
      <c r="FH78" s="328">
        <f>IFERROR(VLOOKUP(A78,BASE_558!D:R,15,FALSE)/1000,"")</f>
        <v>2.9475500000000001</v>
      </c>
      <c r="FI78" s="547">
        <f t="shared" si="69"/>
        <v>0</v>
      </c>
      <c r="FJ78" s="547">
        <f t="shared" si="70"/>
        <v>0</v>
      </c>
      <c r="FK78" s="540">
        <f t="shared" si="71"/>
        <v>0</v>
      </c>
    </row>
    <row r="79" spans="1:167" s="23" customFormat="1" ht="22.5" customHeight="1">
      <c r="A79" s="84" t="s">
        <v>25</v>
      </c>
      <c r="B79" s="404"/>
      <c r="C79" s="404"/>
      <c r="D79" s="338" t="s">
        <v>1904</v>
      </c>
      <c r="E79" s="378"/>
      <c r="F79" s="5"/>
      <c r="G79" s="310" t="s">
        <v>9</v>
      </c>
      <c r="H79" s="338"/>
      <c r="I79" s="338"/>
      <c r="J79" s="338">
        <v>2017</v>
      </c>
      <c r="K79" s="316">
        <v>42818</v>
      </c>
      <c r="L79" s="317">
        <v>43547</v>
      </c>
      <c r="M79" s="409"/>
      <c r="N79" s="317">
        <f t="shared" si="38"/>
        <v>43730</v>
      </c>
      <c r="O79" s="317">
        <f t="shared" si="39"/>
        <v>44095</v>
      </c>
      <c r="P79" s="418" t="str">
        <f t="shared" si="72"/>
        <v>CRTD</v>
      </c>
      <c r="Q79" s="418" t="str">
        <f t="shared" si="72"/>
        <v>CRTD</v>
      </c>
      <c r="R79" s="418" t="str">
        <f t="shared" si="72"/>
        <v>CRTD</v>
      </c>
      <c r="S79" s="418" t="str">
        <f t="shared" si="72"/>
        <v>CRTD</v>
      </c>
      <c r="T79" s="418" t="str">
        <f t="shared" si="72"/>
        <v>CRTD</v>
      </c>
      <c r="U79" s="418" t="str">
        <f t="shared" si="72"/>
        <v>CRTD</v>
      </c>
      <c r="V79" s="418" t="str">
        <f t="shared" si="72"/>
        <v>CRTD</v>
      </c>
      <c r="W79" s="418" t="str">
        <f t="shared" si="72"/>
        <v>CRTD</v>
      </c>
      <c r="X79" s="418" t="str">
        <f t="shared" si="72"/>
        <v>CRTD</v>
      </c>
      <c r="Y79" s="418" t="str">
        <f t="shared" si="72"/>
        <v>CRTD</v>
      </c>
      <c r="Z79" s="418" t="str">
        <f t="shared" si="72"/>
        <v>CRTD</v>
      </c>
      <c r="AA79" s="418" t="str">
        <f t="shared" si="72"/>
        <v>CRTD</v>
      </c>
      <c r="AB79" s="317"/>
      <c r="AC79" s="309" t="s">
        <v>3932</v>
      </c>
      <c r="AD79" s="311" t="s">
        <v>222</v>
      </c>
      <c r="AE79" s="311"/>
      <c r="AF79" s="310" t="s">
        <v>6985</v>
      </c>
      <c r="AG79" s="310" t="s">
        <v>9083</v>
      </c>
      <c r="AH79" s="310" t="s">
        <v>3238</v>
      </c>
      <c r="AI79" s="309" t="s">
        <v>186</v>
      </c>
      <c r="AJ79" s="6" t="s">
        <v>218</v>
      </c>
      <c r="AK79" s="6" t="str">
        <f t="shared" si="49"/>
        <v>IGUAL</v>
      </c>
      <c r="AL79" s="151" t="str">
        <f>IFERROR(IF(LEFT(A79,3)="LCP",VLOOKUP(A79,STATUS_SAP_LCP!B:C,2,FALSE),VLOOKUP(A79,STATUS_SAP_ICP!B:C,2,FALSE)),"NO BUDGET")</f>
        <v>CLSD BUDG AUC  AVAC  //  APPR BREL EXPL</v>
      </c>
      <c r="AM79" s="6" t="str">
        <f t="shared" si="48"/>
        <v>CLSD</v>
      </c>
      <c r="AN79" s="282" t="s">
        <v>9098</v>
      </c>
      <c r="AO79" s="493">
        <v>1</v>
      </c>
      <c r="AP79" s="499" t="s">
        <v>9607</v>
      </c>
      <c r="AQ79" s="465">
        <v>43547</v>
      </c>
      <c r="AR79" s="460"/>
      <c r="AS79" s="56">
        <v>4.6400000000000006</v>
      </c>
      <c r="AT79" s="185">
        <v>0</v>
      </c>
      <c r="AU79" s="318">
        <v>0</v>
      </c>
      <c r="AV79" s="223">
        <v>0</v>
      </c>
      <c r="AW79" s="318">
        <v>0</v>
      </c>
      <c r="AX79" s="223">
        <v>0</v>
      </c>
      <c r="AY79" s="318">
        <f t="shared" si="40"/>
        <v>0</v>
      </c>
      <c r="AZ79" s="223"/>
      <c r="BA79" s="318"/>
      <c r="BB79" s="519">
        <f t="shared" si="41"/>
        <v>0</v>
      </c>
      <c r="BC79" s="518"/>
      <c r="BD79" s="518"/>
      <c r="BE79" s="518"/>
      <c r="BF79" s="518"/>
      <c r="BG79" s="518"/>
      <c r="BH79" s="518"/>
      <c r="BI79" s="518"/>
      <c r="BJ79" s="518"/>
      <c r="BK79" s="518"/>
      <c r="BL79" s="518"/>
      <c r="BM79" s="518"/>
      <c r="BN79" s="518"/>
      <c r="BO79" s="367">
        <f t="shared" si="50"/>
        <v>0</v>
      </c>
      <c r="BP79" s="421"/>
      <c r="BQ79" s="422"/>
      <c r="BR79" s="423">
        <f>IFERROR(IF(LEFT($A79,3)="Lcp",SUMIFS('BASE-LCP'!$K:$K,'BASE-LCP'!$A:$A,Capex!$A70,'BASE-LCP'!$B:$B,"janeiro")/1000,IF(LEFT($A79,3)="icp",SUMIFS('BASE-ICP'!$K:$K,'BASE-ICP'!$A:$A,Capex!$A70,'BASE-ICP'!$B:$B,"janeiro")/1000,"")),"")</f>
        <v>0</v>
      </c>
      <c r="BS79" s="427">
        <v>0</v>
      </c>
      <c r="BT79" s="372">
        <v>0</v>
      </c>
      <c r="BU79" s="422"/>
      <c r="BV79" s="423">
        <f>IFERROR(IF(LEFT($A79,3)="Lcp",SUMIFS('BASE-LCP'!$K:$K,'BASE-LCP'!$A:$A,Capex!$A70,'BASE-LCP'!$B:$B,"fevereiro")/1000,IF(LEFT($A79,3)="icp",SUMIFS('BASE-ICP'!$K:$K,'BASE-ICP'!$A:$A,Capex!$A70,'BASE-ICP'!$B:$B,"fevereiro")/1000,"")),"")</f>
        <v>0</v>
      </c>
      <c r="BW79" s="427">
        <v>0</v>
      </c>
      <c r="BX79" s="372">
        <v>0</v>
      </c>
      <c r="BY79" s="419"/>
      <c r="BZ79" s="423">
        <f>IFERROR(IF(LEFT($A79,3)="Lcp",SUMIFS('BASE-LCP'!$K:$K,'BASE-LCP'!$A:$A,Capex!$A70,'BASE-LCP'!$B:$B,"março")/1000,IF(LEFT($A79,3)="icp",SUMIFS('BASE-ICP'!$K:$K,'BASE-ICP'!$A:$A,Capex!$A70,'BASE-ICP'!$B:$B,"março")/1000,"")),"")</f>
        <v>0</v>
      </c>
      <c r="CA79" s="427">
        <v>0</v>
      </c>
      <c r="CB79" s="372">
        <v>0</v>
      </c>
      <c r="CC79" s="422"/>
      <c r="CD79" s="423">
        <f>IFERROR(IF(LEFT($A79,3)="Lcp",SUMIFS('BASE-LCP'!$K:$K,'BASE-LCP'!$A:$A,Capex!$A70,'BASE-LCP'!$B:$B,"abril")/1000,IF(LEFT($A79,3)="icp",SUMIFS('BASE-ICP'!$K:$K,'BASE-ICP'!$A:$A,Capex!$A70,'BASE-ICP'!$B:$B,"abril")/1000,"")),"")</f>
        <v>0</v>
      </c>
      <c r="CE79" s="427">
        <v>0</v>
      </c>
      <c r="CF79" s="372">
        <v>0</v>
      </c>
      <c r="CG79" s="419"/>
      <c r="CH79" s="423">
        <v>0</v>
      </c>
      <c r="CI79" s="427">
        <v>0</v>
      </c>
      <c r="CJ79" s="372">
        <v>0</v>
      </c>
      <c r="CK79" s="419"/>
      <c r="CL79" s="423">
        <f>IFERROR(IF(LEFT($A79,3)="Lcp",SUMIFS('BASE-LCP'!$K:$K,'BASE-LCP'!$A:$A,Capex!$A70,'BASE-LCP'!$B:$B,"junho")/1000,IF(LEFT($A79,3)="icp",SUMIFS('BASE-ICP'!$K:$K,'BASE-ICP'!$A:$A,Capex!$A70,'BASE-ICP'!$B:$B,"junho")/1000,"")),"")</f>
        <v>0</v>
      </c>
      <c r="CM79" s="427">
        <v>0</v>
      </c>
      <c r="CN79" s="372"/>
      <c r="CO79" s="419"/>
      <c r="CP79" s="423">
        <f>IFERROR(IF(LEFT($A79,3)="Lcp",SUMIFS('BASE-LCP'!$K:$K,'BASE-LCP'!$A:$A,Capex!$A70,'BASE-LCP'!$B:$B,"julho")/1000,IF(LEFT($A79,3)="icp",SUMIFS('BASE-ICP'!$K:$K,'BASE-ICP'!$A:$A,Capex!$A70,'BASE-ICP'!$B:$B,"julho")/1000,"")),"")</f>
        <v>0</v>
      </c>
      <c r="CQ79" s="427">
        <v>0</v>
      </c>
      <c r="CR79" s="372"/>
      <c r="CS79" s="419"/>
      <c r="CT79" s="423">
        <f>IFERROR(IF(LEFT($A79,3)="Lcp",SUMIFS('BASE-LCP'!$K:$K,'BASE-LCP'!$A:$A,Capex!$A70,'BASE-LCP'!$B:$B,"agosto")/1000,IF(LEFT($A79,3)="icp",SUMIFS('BASE-ICP'!$K:$K,'BASE-ICP'!$A:$A,Capex!$A70,'BASE-ICP'!$B:$B,"agosto")/1000,"")),"")</f>
        <v>0</v>
      </c>
      <c r="CU79" s="427">
        <v>0</v>
      </c>
      <c r="CV79" s="372"/>
      <c r="CW79" s="419"/>
      <c r="CX79" s="423">
        <f>IFERROR(IF(LEFT($A79,3)="Lcp",SUMIFS('BASE-LCP'!$K:$K,'BASE-LCP'!$A:$A,Capex!$A70,'BASE-LCP'!$B:$B,"setembro")/1000,IF(LEFT($A79,3)="icp",SUMIFS('BASE-ICP'!$K:$K,'BASE-ICP'!$A:$A,Capex!$A70,'BASE-ICP'!$B:$B,"setembro")/1000,"")),"")</f>
        <v>0</v>
      </c>
      <c r="CY79" s="427">
        <v>0</v>
      </c>
      <c r="CZ79" s="372"/>
      <c r="DA79" s="419"/>
      <c r="DB79" s="423">
        <f>IFERROR(IF(LEFT($A79,3)="Lcp",SUMIFS('BASE-LCP'!$K:$K,'BASE-LCP'!$A:$A,Capex!$A70,'BASE-LCP'!$B:$B,"outubro")/1000,IF(LEFT($A79,3)="icp",SUMIFS('BASE-ICP'!$K:$K,'BASE-ICP'!$A:$A,Capex!$A70,'BASE-ICP'!$B:$B,"outubro")/1000,"")),"")</f>
        <v>0</v>
      </c>
      <c r="DC79" s="427">
        <v>0</v>
      </c>
      <c r="DD79" s="372"/>
      <c r="DE79" s="419"/>
      <c r="DF79" s="423">
        <f>IFERROR(IF(LEFT($A79,3)="Lcp",SUMIFS('BASE-LCP'!$K:$K,'BASE-LCP'!$A:$A,Capex!$A70,'BASE-LCP'!$B:$B,"novembro")/1000,IF(LEFT($A79,3)="icp",SUMIFS('BASE-ICP'!$K:$K,'BASE-ICP'!$A:$A,Capex!$A70,'BASE-ICP'!$B:$B,"novembro")/1000,"")),"")</f>
        <v>0</v>
      </c>
      <c r="DG79" s="427">
        <v>0</v>
      </c>
      <c r="DH79" s="372"/>
      <c r="DI79" s="419"/>
      <c r="DJ79" s="423">
        <f>IFERROR(IF(LEFT($A79,3)="Lcp",SUMIFS('BASE-LCP'!$K:$K,'BASE-LCP'!$A:$A,Capex!$A70,'BASE-LCP'!$B:$B,"dezembro")/1000,IF(LEFT($A79,3)="icp",SUMIFS('BASE-ICP'!$K:$K,'BASE-ICP'!$A:$A,Capex!$A70,'BASE-ICP'!$B:$B,"dezembro")/1000,"")),"")</f>
        <v>0</v>
      </c>
      <c r="DK79" s="427">
        <v>0</v>
      </c>
      <c r="DL79" s="452">
        <f t="shared" si="51"/>
        <v>0</v>
      </c>
      <c r="DM79" s="374"/>
      <c r="DN79" s="374"/>
      <c r="DO79" s="374"/>
      <c r="DP79" s="374"/>
      <c r="DQ79" s="374"/>
      <c r="DR79" s="374"/>
      <c r="DS79" s="374"/>
      <c r="DT79" s="374"/>
      <c r="DU79" s="374"/>
      <c r="DV79" s="374"/>
      <c r="DW79" s="374"/>
      <c r="DX79" s="374"/>
      <c r="DY79" s="450"/>
      <c r="DZ79" s="374">
        <f t="shared" si="52"/>
        <v>0</v>
      </c>
      <c r="EA79" s="216">
        <f t="shared" si="53"/>
        <v>0</v>
      </c>
      <c r="EB79" s="320">
        <f t="shared" si="54"/>
        <v>0</v>
      </c>
      <c r="EC79" s="241">
        <f t="shared" si="55"/>
        <v>0</v>
      </c>
      <c r="ED79" s="241">
        <f t="shared" si="56"/>
        <v>0</v>
      </c>
      <c r="EE79" s="241">
        <f t="shared" si="57"/>
        <v>0</v>
      </c>
      <c r="EF79" s="241">
        <f t="shared" si="58"/>
        <v>0</v>
      </c>
      <c r="EG79" s="346">
        <f t="shared" si="59"/>
        <v>0</v>
      </c>
      <c r="EH79" s="445">
        <f t="shared" si="60"/>
        <v>0</v>
      </c>
      <c r="EI79" s="447">
        <f t="shared" si="61"/>
        <v>0</v>
      </c>
      <c r="EJ79" s="364">
        <f t="shared" si="62"/>
        <v>0</v>
      </c>
      <c r="EK79" s="365">
        <f t="shared" si="63"/>
        <v>0</v>
      </c>
      <c r="EL79" s="529">
        <f t="shared" si="64"/>
        <v>0</v>
      </c>
      <c r="EM79" s="530">
        <v>0</v>
      </c>
      <c r="EN79" s="530">
        <v>0</v>
      </c>
      <c r="EO79" s="530">
        <v>0</v>
      </c>
      <c r="EP79" s="530">
        <v>0</v>
      </c>
      <c r="EQ79" s="530">
        <v>0</v>
      </c>
      <c r="ER79" s="530">
        <v>0</v>
      </c>
      <c r="ES79" s="530">
        <v>0</v>
      </c>
      <c r="ET79" s="530">
        <v>0</v>
      </c>
      <c r="EU79" s="530">
        <v>0</v>
      </c>
      <c r="EV79" s="530">
        <v>0</v>
      </c>
      <c r="EW79" s="530">
        <v>0</v>
      </c>
      <c r="EX79" s="530">
        <v>0</v>
      </c>
      <c r="EY79" s="530">
        <f t="shared" si="65"/>
        <v>0</v>
      </c>
      <c r="EZ79" s="530">
        <f t="shared" si="66"/>
        <v>0</v>
      </c>
      <c r="FA79" s="530">
        <f t="shared" si="67"/>
        <v>0</v>
      </c>
      <c r="FB79" s="530">
        <f t="shared" si="68"/>
        <v>0</v>
      </c>
      <c r="FC79" s="384" t="str">
        <f>IFERROR(VLOOKUP(Capex!A70,BASE_558!D:R,8,FALSE)/1000,"")</f>
        <v/>
      </c>
      <c r="FD79" s="328" t="str">
        <f>IFERROR(VLOOKUP(Capex!A70,BASE_558!D:R,9,)/1000,"")</f>
        <v/>
      </c>
      <c r="FE79" s="328" t="str">
        <f>IFERROR(IF(LEFT(A79,3)="LCP",(VLOOKUP(Capex!A70,BASE_558!D:R,10,)/1000),SUMIFS('BASE ICP_PO_SC'!F:F,'BASE ICP_PO_SC'!A:A,Capex!A70,'BASE ICP_PO_SC'!E:E,"&lt;&gt;")/1000),"")</f>
        <v/>
      </c>
      <c r="FF79" s="328" t="str">
        <f>IFERROR(IF(LEFT(A79,3)="LCP",(VLOOKUP(Capex!A70,BASE_558!D:R,11,)/1000),SUMIFS('BASE ICP_PO_SC'!F:F,'BASE ICP_PO_SC'!A:A,Capex!A70,'BASE ICP_PO_SC'!E:E,"")/1000),"")</f>
        <v/>
      </c>
      <c r="FG79" s="328">
        <f>IFERROR(VLOOKUP(A79,BASE_558!D:R,13,FALSE)/1000,"")</f>
        <v>486.74603000000002</v>
      </c>
      <c r="FH79" s="328">
        <f>IFERROR(VLOOKUP(A79,BASE_558!D:R,15,FALSE)/1000,"")</f>
        <v>26.253970000000002</v>
      </c>
      <c r="FI79" s="547">
        <f t="shared" si="69"/>
        <v>0</v>
      </c>
      <c r="FJ79" s="547">
        <f t="shared" si="70"/>
        <v>0</v>
      </c>
      <c r="FK79" s="540">
        <f t="shared" si="71"/>
        <v>0</v>
      </c>
    </row>
    <row r="80" spans="1:167" s="23" customFormat="1" ht="24" customHeight="1">
      <c r="A80" s="84" t="s">
        <v>27</v>
      </c>
      <c r="B80" s="404"/>
      <c r="C80" s="404"/>
      <c r="D80" s="338" t="s">
        <v>1904</v>
      </c>
      <c r="E80" s="378"/>
      <c r="F80" s="5"/>
      <c r="G80" s="310" t="s">
        <v>9</v>
      </c>
      <c r="H80" s="338"/>
      <c r="I80" s="338"/>
      <c r="J80" s="338">
        <v>2017</v>
      </c>
      <c r="K80" s="316">
        <v>42902</v>
      </c>
      <c r="L80" s="317">
        <v>43641</v>
      </c>
      <c r="M80" s="409"/>
      <c r="N80" s="317">
        <f t="shared" si="38"/>
        <v>43814</v>
      </c>
      <c r="O80" s="317">
        <f t="shared" si="39"/>
        <v>44179</v>
      </c>
      <c r="P80" s="418" t="str">
        <f t="shared" si="72"/>
        <v>CRTD</v>
      </c>
      <c r="Q80" s="418" t="str">
        <f t="shared" si="72"/>
        <v>CRTD</v>
      </c>
      <c r="R80" s="418" t="str">
        <f t="shared" si="72"/>
        <v>CRTD</v>
      </c>
      <c r="S80" s="418" t="str">
        <f t="shared" si="72"/>
        <v>CRTD</v>
      </c>
      <c r="T80" s="418" t="str">
        <f t="shared" si="72"/>
        <v>CRTD</v>
      </c>
      <c r="U80" s="418" t="str">
        <f t="shared" si="72"/>
        <v>CRTD</v>
      </c>
      <c r="V80" s="418" t="str">
        <f t="shared" si="72"/>
        <v>CRTD</v>
      </c>
      <c r="W80" s="418" t="str">
        <f t="shared" si="72"/>
        <v>CRTD</v>
      </c>
      <c r="X80" s="418" t="str">
        <f t="shared" si="72"/>
        <v>CRTD</v>
      </c>
      <c r="Y80" s="418" t="str">
        <f t="shared" si="72"/>
        <v>CRTD</v>
      </c>
      <c r="Z80" s="418" t="str">
        <f t="shared" si="72"/>
        <v>CRTD</v>
      </c>
      <c r="AA80" s="418" t="str">
        <f t="shared" si="72"/>
        <v>CRTD</v>
      </c>
      <c r="AB80" s="317"/>
      <c r="AC80" s="309" t="s">
        <v>3932</v>
      </c>
      <c r="AD80" s="311" t="s">
        <v>223</v>
      </c>
      <c r="AE80" s="311"/>
      <c r="AF80" s="310" t="s">
        <v>6985</v>
      </c>
      <c r="AG80" s="310" t="s">
        <v>9083</v>
      </c>
      <c r="AH80" s="310" t="s">
        <v>28</v>
      </c>
      <c r="AI80" s="309" t="s">
        <v>187</v>
      </c>
      <c r="AJ80" s="6" t="s">
        <v>218</v>
      </c>
      <c r="AK80" s="6" t="str">
        <f t="shared" si="49"/>
        <v>IGUAL</v>
      </c>
      <c r="AL80" s="151" t="str">
        <f>IFERROR(IF(LEFT(A80,3)="LCP",VLOOKUP(A80,STATUS_SAP_LCP!B:C,2,FALSE),VLOOKUP(A80,STATUS_SAP_ICP!B:C,2,FALSE)),"NO BUDGET")</f>
        <v>CLSD BUDG AUC  AVAC  //  RJCD BREL EXPL</v>
      </c>
      <c r="AM80" s="6" t="str">
        <f t="shared" si="48"/>
        <v>CLSD</v>
      </c>
      <c r="AN80" s="282" t="s">
        <v>9098</v>
      </c>
      <c r="AO80" s="493">
        <v>1</v>
      </c>
      <c r="AP80" s="499" t="s">
        <v>9607</v>
      </c>
      <c r="AQ80" s="465">
        <v>43641</v>
      </c>
      <c r="AR80" s="460"/>
      <c r="AS80" s="56">
        <v>0</v>
      </c>
      <c r="AT80" s="185">
        <v>0</v>
      </c>
      <c r="AU80" s="318">
        <v>0</v>
      </c>
      <c r="AV80" s="223">
        <v>0</v>
      </c>
      <c r="AW80" s="318">
        <v>0</v>
      </c>
      <c r="AX80" s="223">
        <v>0</v>
      </c>
      <c r="AY80" s="318">
        <f t="shared" si="40"/>
        <v>0</v>
      </c>
      <c r="AZ80" s="223"/>
      <c r="BA80" s="318"/>
      <c r="BB80" s="519">
        <f t="shared" si="41"/>
        <v>0</v>
      </c>
      <c r="BC80" s="518"/>
      <c r="BD80" s="518"/>
      <c r="BE80" s="518"/>
      <c r="BF80" s="518"/>
      <c r="BG80" s="518"/>
      <c r="BH80" s="518"/>
      <c r="BI80" s="518"/>
      <c r="BJ80" s="518"/>
      <c r="BK80" s="518"/>
      <c r="BL80" s="518"/>
      <c r="BM80" s="518"/>
      <c r="BN80" s="518"/>
      <c r="BO80" s="367">
        <f t="shared" si="50"/>
        <v>0</v>
      </c>
      <c r="BP80" s="421"/>
      <c r="BQ80" s="422"/>
      <c r="BR80" s="423">
        <f>IFERROR(IF(LEFT($A80,3)="Lcp",SUMIFS('BASE-LCP'!$K:$K,'BASE-LCP'!$A:$A,Capex!$A71,'BASE-LCP'!$B:$B,"janeiro")/1000,IF(LEFT($A80,3)="icp",SUMIFS('BASE-ICP'!$K:$K,'BASE-ICP'!$A:$A,Capex!$A71,'BASE-ICP'!$B:$B,"janeiro")/1000,"")),"")</f>
        <v>0</v>
      </c>
      <c r="BS80" s="427">
        <v>0</v>
      </c>
      <c r="BT80" s="372">
        <v>0</v>
      </c>
      <c r="BU80" s="422"/>
      <c r="BV80" s="423">
        <f>IFERROR(IF(LEFT($A80,3)="Lcp",SUMIFS('BASE-LCP'!$K:$K,'BASE-LCP'!$A:$A,Capex!$A71,'BASE-LCP'!$B:$B,"fevereiro")/1000,IF(LEFT($A80,3)="icp",SUMIFS('BASE-ICP'!$K:$K,'BASE-ICP'!$A:$A,Capex!$A71,'BASE-ICP'!$B:$B,"fevereiro")/1000,"")),"")</f>
        <v>0</v>
      </c>
      <c r="BW80" s="427">
        <v>0</v>
      </c>
      <c r="BX80" s="372">
        <v>0</v>
      </c>
      <c r="BY80" s="419"/>
      <c r="BZ80" s="423">
        <f>IFERROR(IF(LEFT($A80,3)="Lcp",SUMIFS('BASE-LCP'!$K:$K,'BASE-LCP'!$A:$A,Capex!$A71,'BASE-LCP'!$B:$B,"março")/1000,IF(LEFT($A80,3)="icp",SUMIFS('BASE-ICP'!$K:$K,'BASE-ICP'!$A:$A,Capex!$A71,'BASE-ICP'!$B:$B,"março")/1000,"")),"")</f>
        <v>0</v>
      </c>
      <c r="CA80" s="427">
        <v>0</v>
      </c>
      <c r="CB80" s="372">
        <v>0</v>
      </c>
      <c r="CC80" s="422"/>
      <c r="CD80" s="423">
        <f>IFERROR(IF(LEFT($A80,3)="Lcp",SUMIFS('BASE-LCP'!$K:$K,'BASE-LCP'!$A:$A,Capex!$A71,'BASE-LCP'!$B:$B,"abril")/1000,IF(LEFT($A80,3)="icp",SUMIFS('BASE-ICP'!$K:$K,'BASE-ICP'!$A:$A,Capex!$A71,'BASE-ICP'!$B:$B,"abril")/1000,"")),"")</f>
        <v>0</v>
      </c>
      <c r="CE80" s="427">
        <v>0</v>
      </c>
      <c r="CF80" s="372">
        <v>0</v>
      </c>
      <c r="CG80" s="419"/>
      <c r="CH80" s="423">
        <v>0</v>
      </c>
      <c r="CI80" s="427">
        <v>0</v>
      </c>
      <c r="CJ80" s="372">
        <v>0</v>
      </c>
      <c r="CK80" s="419"/>
      <c r="CL80" s="423">
        <f>IFERROR(IF(LEFT($A80,3)="Lcp",SUMIFS('BASE-LCP'!$K:$K,'BASE-LCP'!$A:$A,Capex!$A71,'BASE-LCP'!$B:$B,"junho")/1000,IF(LEFT($A80,3)="icp",SUMIFS('BASE-ICP'!$K:$K,'BASE-ICP'!$A:$A,Capex!$A71,'BASE-ICP'!$B:$B,"junho")/1000,"")),"")</f>
        <v>0</v>
      </c>
      <c r="CM80" s="427">
        <v>0</v>
      </c>
      <c r="CN80" s="372"/>
      <c r="CO80" s="419"/>
      <c r="CP80" s="423">
        <f>IFERROR(IF(LEFT($A80,3)="Lcp",SUMIFS('BASE-LCP'!$K:$K,'BASE-LCP'!$A:$A,Capex!$A71,'BASE-LCP'!$B:$B,"julho")/1000,IF(LEFT($A80,3)="icp",SUMIFS('BASE-ICP'!$K:$K,'BASE-ICP'!$A:$A,Capex!$A71,'BASE-ICP'!$B:$B,"julho")/1000,"")),"")</f>
        <v>0</v>
      </c>
      <c r="CQ80" s="427">
        <v>0</v>
      </c>
      <c r="CR80" s="372"/>
      <c r="CS80" s="419"/>
      <c r="CT80" s="423">
        <f>IFERROR(IF(LEFT($A80,3)="Lcp",SUMIFS('BASE-LCP'!$K:$K,'BASE-LCP'!$A:$A,Capex!$A71,'BASE-LCP'!$B:$B,"agosto")/1000,IF(LEFT($A80,3)="icp",SUMIFS('BASE-ICP'!$K:$K,'BASE-ICP'!$A:$A,Capex!$A71,'BASE-ICP'!$B:$B,"agosto")/1000,"")),"")</f>
        <v>0</v>
      </c>
      <c r="CU80" s="427">
        <v>0</v>
      </c>
      <c r="CV80" s="372"/>
      <c r="CW80" s="419"/>
      <c r="CX80" s="423">
        <f>IFERROR(IF(LEFT($A80,3)="Lcp",SUMIFS('BASE-LCP'!$K:$K,'BASE-LCP'!$A:$A,Capex!$A71,'BASE-LCP'!$B:$B,"setembro")/1000,IF(LEFT($A80,3)="icp",SUMIFS('BASE-ICP'!$K:$K,'BASE-ICP'!$A:$A,Capex!$A71,'BASE-ICP'!$B:$B,"setembro")/1000,"")),"")</f>
        <v>0</v>
      </c>
      <c r="CY80" s="427">
        <v>0</v>
      </c>
      <c r="CZ80" s="372"/>
      <c r="DA80" s="419"/>
      <c r="DB80" s="423">
        <f>IFERROR(IF(LEFT($A80,3)="Lcp",SUMIFS('BASE-LCP'!$K:$K,'BASE-LCP'!$A:$A,Capex!$A71,'BASE-LCP'!$B:$B,"outubro")/1000,IF(LEFT($A80,3)="icp",SUMIFS('BASE-ICP'!$K:$K,'BASE-ICP'!$A:$A,Capex!$A71,'BASE-ICP'!$B:$B,"outubro")/1000,"")),"")</f>
        <v>0</v>
      </c>
      <c r="DC80" s="427">
        <v>0</v>
      </c>
      <c r="DD80" s="372"/>
      <c r="DE80" s="419"/>
      <c r="DF80" s="423">
        <f>IFERROR(IF(LEFT($A80,3)="Lcp",SUMIFS('BASE-LCP'!$K:$K,'BASE-LCP'!$A:$A,Capex!$A71,'BASE-LCP'!$B:$B,"novembro")/1000,IF(LEFT($A80,3)="icp",SUMIFS('BASE-ICP'!$K:$K,'BASE-ICP'!$A:$A,Capex!$A71,'BASE-ICP'!$B:$B,"novembro")/1000,"")),"")</f>
        <v>0</v>
      </c>
      <c r="DG80" s="427">
        <v>0</v>
      </c>
      <c r="DH80" s="372"/>
      <c r="DI80" s="419"/>
      <c r="DJ80" s="423">
        <f>IFERROR(IF(LEFT($A80,3)="Lcp",SUMIFS('BASE-LCP'!$K:$K,'BASE-LCP'!$A:$A,Capex!$A71,'BASE-LCP'!$B:$B,"dezembro")/1000,IF(LEFT($A80,3)="icp",SUMIFS('BASE-ICP'!$K:$K,'BASE-ICP'!$A:$A,Capex!$A71,'BASE-ICP'!$B:$B,"dezembro")/1000,"")),"")</f>
        <v>0</v>
      </c>
      <c r="DK80" s="427">
        <v>0</v>
      </c>
      <c r="DL80" s="452">
        <f t="shared" si="51"/>
        <v>0</v>
      </c>
      <c r="DM80" s="374"/>
      <c r="DN80" s="374"/>
      <c r="DO80" s="374"/>
      <c r="DP80" s="374"/>
      <c r="DQ80" s="374"/>
      <c r="DR80" s="374"/>
      <c r="DS80" s="374"/>
      <c r="DT80" s="374"/>
      <c r="DU80" s="374"/>
      <c r="DV80" s="374"/>
      <c r="DW80" s="374"/>
      <c r="DX80" s="374"/>
      <c r="DY80" s="450"/>
      <c r="DZ80" s="374">
        <f t="shared" si="52"/>
        <v>0</v>
      </c>
      <c r="EA80" s="216">
        <f t="shared" si="53"/>
        <v>0</v>
      </c>
      <c r="EB80" s="320">
        <f t="shared" si="54"/>
        <v>0</v>
      </c>
      <c r="EC80" s="241">
        <f t="shared" si="55"/>
        <v>0</v>
      </c>
      <c r="ED80" s="241">
        <f t="shared" si="56"/>
        <v>0</v>
      </c>
      <c r="EE80" s="241">
        <f t="shared" si="57"/>
        <v>0</v>
      </c>
      <c r="EF80" s="241">
        <f t="shared" si="58"/>
        <v>0</v>
      </c>
      <c r="EG80" s="346">
        <f t="shared" si="59"/>
        <v>0</v>
      </c>
      <c r="EH80" s="445">
        <f t="shared" si="60"/>
        <v>0</v>
      </c>
      <c r="EI80" s="447">
        <f t="shared" si="61"/>
        <v>0</v>
      </c>
      <c r="EJ80" s="364">
        <f t="shared" si="62"/>
        <v>0</v>
      </c>
      <c r="EK80" s="365">
        <f t="shared" si="63"/>
        <v>0</v>
      </c>
      <c r="EL80" s="529">
        <f t="shared" si="64"/>
        <v>0</v>
      </c>
      <c r="EM80" s="530">
        <v>0</v>
      </c>
      <c r="EN80" s="530">
        <v>0</v>
      </c>
      <c r="EO80" s="530">
        <v>0</v>
      </c>
      <c r="EP80" s="530">
        <v>0</v>
      </c>
      <c r="EQ80" s="530">
        <v>0</v>
      </c>
      <c r="ER80" s="530">
        <v>0</v>
      </c>
      <c r="ES80" s="530">
        <v>0</v>
      </c>
      <c r="ET80" s="530">
        <v>0</v>
      </c>
      <c r="EU80" s="530">
        <v>0</v>
      </c>
      <c r="EV80" s="530">
        <v>0</v>
      </c>
      <c r="EW80" s="530">
        <v>0</v>
      </c>
      <c r="EX80" s="530">
        <v>0</v>
      </c>
      <c r="EY80" s="530">
        <f t="shared" si="65"/>
        <v>0</v>
      </c>
      <c r="EZ80" s="530">
        <f t="shared" si="66"/>
        <v>0</v>
      </c>
      <c r="FA80" s="530">
        <f t="shared" si="67"/>
        <v>0</v>
      </c>
      <c r="FB80" s="530">
        <f t="shared" si="68"/>
        <v>0</v>
      </c>
      <c r="FC80" s="384" t="str">
        <f>IFERROR(VLOOKUP(Capex!A71,BASE_558!D:R,8,FALSE)/1000,"")</f>
        <v/>
      </c>
      <c r="FD80" s="328" t="str">
        <f>IFERROR(VLOOKUP(Capex!A71,BASE_558!D:R,9,)/1000,"")</f>
        <v/>
      </c>
      <c r="FE80" s="328" t="str">
        <f>IFERROR(IF(LEFT(A80,3)="LCP",(VLOOKUP(Capex!A71,BASE_558!D:R,10,)/1000),SUMIFS('BASE ICP_PO_SC'!F:F,'BASE ICP_PO_SC'!A:A,Capex!A71,'BASE ICP_PO_SC'!E:E,"&lt;&gt;")/1000),"")</f>
        <v/>
      </c>
      <c r="FF80" s="328" t="str">
        <f>IFERROR(IF(LEFT(A80,3)="LCP",(VLOOKUP(Capex!A71,BASE_558!D:R,11,)/1000),SUMIFS('BASE ICP_PO_SC'!F:F,'BASE ICP_PO_SC'!A:A,Capex!A71,'BASE ICP_PO_SC'!E:E,"")/1000),"")</f>
        <v/>
      </c>
      <c r="FG80" s="328">
        <f>IFERROR(VLOOKUP(A80,BASE_558!D:R,13,FALSE)/1000,"")</f>
        <v>801.61338999999998</v>
      </c>
      <c r="FH80" s="328">
        <f>IFERROR(VLOOKUP(A80,BASE_558!D:R,15,FALSE)/1000,"")</f>
        <v>186.11760999999998</v>
      </c>
      <c r="FI80" s="547">
        <f t="shared" si="69"/>
        <v>0</v>
      </c>
      <c r="FJ80" s="547">
        <f t="shared" si="70"/>
        <v>0</v>
      </c>
      <c r="FK80" s="540">
        <f t="shared" si="71"/>
        <v>0</v>
      </c>
    </row>
    <row r="81" spans="1:167" s="23" customFormat="1" ht="24" customHeight="1">
      <c r="A81" s="84" t="s">
        <v>29</v>
      </c>
      <c r="B81" s="404"/>
      <c r="C81" s="404"/>
      <c r="D81" s="338" t="s">
        <v>2207</v>
      </c>
      <c r="E81" s="378"/>
      <c r="F81" s="5"/>
      <c r="G81" s="310" t="s">
        <v>9</v>
      </c>
      <c r="H81" s="338"/>
      <c r="I81" s="338"/>
      <c r="J81" s="338">
        <v>2017</v>
      </c>
      <c r="K81" s="316">
        <v>42909</v>
      </c>
      <c r="L81" s="317">
        <v>43726</v>
      </c>
      <c r="M81" s="409"/>
      <c r="N81" s="317">
        <f t="shared" si="38"/>
        <v>43821</v>
      </c>
      <c r="O81" s="317">
        <f t="shared" si="39"/>
        <v>44186</v>
      </c>
      <c r="P81" s="418" t="str">
        <f t="shared" si="72"/>
        <v>CRTD</v>
      </c>
      <c r="Q81" s="418" t="str">
        <f t="shared" si="72"/>
        <v>CRTD</v>
      </c>
      <c r="R81" s="418" t="str">
        <f t="shared" si="72"/>
        <v>CRTD</v>
      </c>
      <c r="S81" s="418" t="str">
        <f t="shared" si="72"/>
        <v>CRTD</v>
      </c>
      <c r="T81" s="418" t="str">
        <f t="shared" si="72"/>
        <v>CRTD</v>
      </c>
      <c r="U81" s="418" t="str">
        <f t="shared" si="72"/>
        <v>CRTD</v>
      </c>
      <c r="V81" s="418" t="str">
        <f t="shared" si="72"/>
        <v>CRTD</v>
      </c>
      <c r="W81" s="418" t="str">
        <f t="shared" si="72"/>
        <v>CRTD</v>
      </c>
      <c r="X81" s="418" t="str">
        <f t="shared" si="72"/>
        <v>CRTD</v>
      </c>
      <c r="Y81" s="418" t="str">
        <f t="shared" si="72"/>
        <v>CRTD</v>
      </c>
      <c r="Z81" s="418" t="str">
        <f t="shared" si="72"/>
        <v>CRTD</v>
      </c>
      <c r="AA81" s="418" t="str">
        <f t="shared" si="72"/>
        <v>CRTD</v>
      </c>
      <c r="AB81" s="317"/>
      <c r="AC81" s="309" t="s">
        <v>3932</v>
      </c>
      <c r="AD81" s="311" t="s">
        <v>5</v>
      </c>
      <c r="AE81" s="311"/>
      <c r="AF81" s="310" t="s">
        <v>6985</v>
      </c>
      <c r="AG81" s="310" t="s">
        <v>9083</v>
      </c>
      <c r="AH81" s="310" t="s">
        <v>30</v>
      </c>
      <c r="AI81" s="309" t="s">
        <v>316</v>
      </c>
      <c r="AJ81" s="6" t="s">
        <v>218</v>
      </c>
      <c r="AK81" s="6" t="str">
        <f t="shared" si="49"/>
        <v>IGUAL</v>
      </c>
      <c r="AL81" s="151" t="str">
        <f>IFERROR(IF(LEFT(A81,3)="LCP",VLOOKUP(A81,STATUS_SAP_LCP!B:C,2,FALSE),VLOOKUP(A81,STATUS_SAP_ICP!B:C,2,FALSE)),"NO BUDGET")</f>
        <v>CLSD BUDG AUC  AVAC  //  RJCD BREL EXPL</v>
      </c>
      <c r="AM81" s="6" t="str">
        <f t="shared" si="48"/>
        <v>CLSD</v>
      </c>
      <c r="AN81" s="282" t="s">
        <v>9098</v>
      </c>
      <c r="AO81" s="493">
        <v>1</v>
      </c>
      <c r="AP81" s="499" t="s">
        <v>9607</v>
      </c>
      <c r="AQ81" s="465">
        <v>43726</v>
      </c>
      <c r="AR81" s="460"/>
      <c r="AS81" s="56">
        <v>117.94380895425567</v>
      </c>
      <c r="AT81" s="185">
        <v>0</v>
      </c>
      <c r="AU81" s="318">
        <v>0</v>
      </c>
      <c r="AV81" s="223">
        <v>0</v>
      </c>
      <c r="AW81" s="318">
        <v>0</v>
      </c>
      <c r="AX81" s="223">
        <v>0</v>
      </c>
      <c r="AY81" s="318">
        <f t="shared" si="40"/>
        <v>0</v>
      </c>
      <c r="AZ81" s="223"/>
      <c r="BA81" s="318"/>
      <c r="BB81" s="519">
        <f t="shared" si="41"/>
        <v>0</v>
      </c>
      <c r="BC81" s="518"/>
      <c r="BD81" s="518"/>
      <c r="BE81" s="518"/>
      <c r="BF81" s="518"/>
      <c r="BG81" s="518"/>
      <c r="BH81" s="518"/>
      <c r="BI81" s="518"/>
      <c r="BJ81" s="518"/>
      <c r="BK81" s="518"/>
      <c r="BL81" s="518"/>
      <c r="BM81" s="518"/>
      <c r="BN81" s="518"/>
      <c r="BO81" s="367">
        <f t="shared" si="50"/>
        <v>0</v>
      </c>
      <c r="BP81" s="421"/>
      <c r="BQ81" s="422"/>
      <c r="BR81" s="423">
        <f>IFERROR(IF(LEFT($A81,3)="Lcp",SUMIFS('BASE-LCP'!$K:$K,'BASE-LCP'!$A:$A,Capex!$A72,'BASE-LCP'!$B:$B,"janeiro")/1000,IF(LEFT($A81,3)="icp",SUMIFS('BASE-ICP'!$K:$K,'BASE-ICP'!$A:$A,Capex!$A72,'BASE-ICP'!$B:$B,"janeiro")/1000,"")),"")</f>
        <v>0</v>
      </c>
      <c r="BS81" s="427">
        <v>0</v>
      </c>
      <c r="BT81" s="372">
        <v>0</v>
      </c>
      <c r="BU81" s="422"/>
      <c r="BV81" s="423">
        <f>IFERROR(IF(LEFT($A81,3)="Lcp",SUMIFS('BASE-LCP'!$K:$K,'BASE-LCP'!$A:$A,Capex!$A72,'BASE-LCP'!$B:$B,"fevereiro")/1000,IF(LEFT($A81,3)="icp",SUMIFS('BASE-ICP'!$K:$K,'BASE-ICP'!$A:$A,Capex!$A72,'BASE-ICP'!$B:$B,"fevereiro")/1000,"")),"")</f>
        <v>0</v>
      </c>
      <c r="BW81" s="427">
        <v>0</v>
      </c>
      <c r="BX81" s="372">
        <v>0</v>
      </c>
      <c r="BY81" s="419"/>
      <c r="BZ81" s="423">
        <f>IFERROR(IF(LEFT($A81,3)="Lcp",SUMIFS('BASE-LCP'!$K:$K,'BASE-LCP'!$A:$A,Capex!$A72,'BASE-LCP'!$B:$B,"março")/1000,IF(LEFT($A81,3)="icp",SUMIFS('BASE-ICP'!$K:$K,'BASE-ICP'!$A:$A,Capex!$A72,'BASE-ICP'!$B:$B,"março")/1000,"")),"")</f>
        <v>0</v>
      </c>
      <c r="CA81" s="427">
        <v>0</v>
      </c>
      <c r="CB81" s="372">
        <v>0</v>
      </c>
      <c r="CC81" s="422"/>
      <c r="CD81" s="423">
        <f>IFERROR(IF(LEFT($A81,3)="Lcp",SUMIFS('BASE-LCP'!$K:$K,'BASE-LCP'!$A:$A,Capex!$A72,'BASE-LCP'!$B:$B,"abril")/1000,IF(LEFT($A81,3)="icp",SUMIFS('BASE-ICP'!$K:$K,'BASE-ICP'!$A:$A,Capex!$A72,'BASE-ICP'!$B:$B,"abril")/1000,"")),"")</f>
        <v>0</v>
      </c>
      <c r="CE81" s="427">
        <v>0</v>
      </c>
      <c r="CF81" s="372">
        <v>0</v>
      </c>
      <c r="CG81" s="419"/>
      <c r="CH81" s="423">
        <v>0</v>
      </c>
      <c r="CI81" s="427">
        <v>0</v>
      </c>
      <c r="CJ81" s="372">
        <v>0</v>
      </c>
      <c r="CK81" s="419"/>
      <c r="CL81" s="423">
        <f>IFERROR(IF(LEFT($A81,3)="Lcp",SUMIFS('BASE-LCP'!$K:$K,'BASE-LCP'!$A:$A,Capex!$A72,'BASE-LCP'!$B:$B,"junho")/1000,IF(LEFT($A81,3)="icp",SUMIFS('BASE-ICP'!$K:$K,'BASE-ICP'!$A:$A,Capex!$A72,'BASE-ICP'!$B:$B,"junho")/1000,"")),"")</f>
        <v>0</v>
      </c>
      <c r="CM81" s="427">
        <v>0</v>
      </c>
      <c r="CN81" s="372"/>
      <c r="CO81" s="419"/>
      <c r="CP81" s="423">
        <f>IFERROR(IF(LEFT($A81,3)="Lcp",SUMIFS('BASE-LCP'!$K:$K,'BASE-LCP'!$A:$A,Capex!$A72,'BASE-LCP'!$B:$B,"julho")/1000,IF(LEFT($A81,3)="icp",SUMIFS('BASE-ICP'!$K:$K,'BASE-ICP'!$A:$A,Capex!$A72,'BASE-ICP'!$B:$B,"julho")/1000,"")),"")</f>
        <v>0</v>
      </c>
      <c r="CQ81" s="427">
        <v>0</v>
      </c>
      <c r="CR81" s="372"/>
      <c r="CS81" s="419"/>
      <c r="CT81" s="423">
        <f>IFERROR(IF(LEFT($A81,3)="Lcp",SUMIFS('BASE-LCP'!$K:$K,'BASE-LCP'!$A:$A,Capex!$A72,'BASE-LCP'!$B:$B,"agosto")/1000,IF(LEFT($A81,3)="icp",SUMIFS('BASE-ICP'!$K:$K,'BASE-ICP'!$A:$A,Capex!$A72,'BASE-ICP'!$B:$B,"agosto")/1000,"")),"")</f>
        <v>0</v>
      </c>
      <c r="CU81" s="427">
        <v>0</v>
      </c>
      <c r="CV81" s="372"/>
      <c r="CW81" s="419"/>
      <c r="CX81" s="423">
        <f>IFERROR(IF(LEFT($A81,3)="Lcp",SUMIFS('BASE-LCP'!$K:$K,'BASE-LCP'!$A:$A,Capex!$A72,'BASE-LCP'!$B:$B,"setembro")/1000,IF(LEFT($A81,3)="icp",SUMIFS('BASE-ICP'!$K:$K,'BASE-ICP'!$A:$A,Capex!$A72,'BASE-ICP'!$B:$B,"setembro")/1000,"")),"")</f>
        <v>0</v>
      </c>
      <c r="CY81" s="427">
        <v>0</v>
      </c>
      <c r="CZ81" s="372"/>
      <c r="DA81" s="419"/>
      <c r="DB81" s="423">
        <f>IFERROR(IF(LEFT($A81,3)="Lcp",SUMIFS('BASE-LCP'!$K:$K,'BASE-LCP'!$A:$A,Capex!$A72,'BASE-LCP'!$B:$B,"outubro")/1000,IF(LEFT($A81,3)="icp",SUMIFS('BASE-ICP'!$K:$K,'BASE-ICP'!$A:$A,Capex!$A72,'BASE-ICP'!$B:$B,"outubro")/1000,"")),"")</f>
        <v>0</v>
      </c>
      <c r="DC81" s="427">
        <v>0</v>
      </c>
      <c r="DD81" s="372"/>
      <c r="DE81" s="419"/>
      <c r="DF81" s="423">
        <f>IFERROR(IF(LEFT($A81,3)="Lcp",SUMIFS('BASE-LCP'!$K:$K,'BASE-LCP'!$A:$A,Capex!$A72,'BASE-LCP'!$B:$B,"novembro")/1000,IF(LEFT($A81,3)="icp",SUMIFS('BASE-ICP'!$K:$K,'BASE-ICP'!$A:$A,Capex!$A72,'BASE-ICP'!$B:$B,"novembro")/1000,"")),"")</f>
        <v>0</v>
      </c>
      <c r="DG81" s="427">
        <v>0</v>
      </c>
      <c r="DH81" s="372"/>
      <c r="DI81" s="419"/>
      <c r="DJ81" s="423">
        <f>IFERROR(IF(LEFT($A81,3)="Lcp",SUMIFS('BASE-LCP'!$K:$K,'BASE-LCP'!$A:$A,Capex!$A72,'BASE-LCP'!$B:$B,"dezembro")/1000,IF(LEFT($A81,3)="icp",SUMIFS('BASE-ICP'!$K:$K,'BASE-ICP'!$A:$A,Capex!$A72,'BASE-ICP'!$B:$B,"dezembro")/1000,"")),"")</f>
        <v>0</v>
      </c>
      <c r="DK81" s="427">
        <v>0</v>
      </c>
      <c r="DL81" s="452">
        <f t="shared" si="51"/>
        <v>0</v>
      </c>
      <c r="DM81" s="374"/>
      <c r="DN81" s="374"/>
      <c r="DO81" s="374"/>
      <c r="DP81" s="374"/>
      <c r="DQ81" s="374"/>
      <c r="DR81" s="374"/>
      <c r="DS81" s="374"/>
      <c r="DT81" s="374"/>
      <c r="DU81" s="374"/>
      <c r="DV81" s="374"/>
      <c r="DW81" s="374"/>
      <c r="DX81" s="374"/>
      <c r="DY81" s="450"/>
      <c r="DZ81" s="374">
        <f t="shared" si="52"/>
        <v>0</v>
      </c>
      <c r="EA81" s="216">
        <f t="shared" si="53"/>
        <v>0</v>
      </c>
      <c r="EB81" s="320">
        <f t="shared" si="54"/>
        <v>0</v>
      </c>
      <c r="EC81" s="241">
        <f t="shared" si="55"/>
        <v>0</v>
      </c>
      <c r="ED81" s="241">
        <f t="shared" si="56"/>
        <v>0</v>
      </c>
      <c r="EE81" s="241">
        <f t="shared" si="57"/>
        <v>0</v>
      </c>
      <c r="EF81" s="241">
        <f t="shared" si="58"/>
        <v>0</v>
      </c>
      <c r="EG81" s="346">
        <f t="shared" si="59"/>
        <v>0</v>
      </c>
      <c r="EH81" s="445">
        <f t="shared" si="60"/>
        <v>0</v>
      </c>
      <c r="EI81" s="447">
        <f t="shared" si="61"/>
        <v>0</v>
      </c>
      <c r="EJ81" s="364">
        <f t="shared" si="62"/>
        <v>0</v>
      </c>
      <c r="EK81" s="365">
        <f t="shared" si="63"/>
        <v>0</v>
      </c>
      <c r="EL81" s="529">
        <f t="shared" si="64"/>
        <v>0</v>
      </c>
      <c r="EM81" s="530">
        <v>0</v>
      </c>
      <c r="EN81" s="530">
        <v>0</v>
      </c>
      <c r="EO81" s="530">
        <v>0</v>
      </c>
      <c r="EP81" s="530">
        <v>0</v>
      </c>
      <c r="EQ81" s="530">
        <v>0</v>
      </c>
      <c r="ER81" s="530">
        <v>0</v>
      </c>
      <c r="ES81" s="530">
        <v>0</v>
      </c>
      <c r="ET81" s="530">
        <v>0</v>
      </c>
      <c r="EU81" s="530">
        <v>0</v>
      </c>
      <c r="EV81" s="530">
        <v>0</v>
      </c>
      <c r="EW81" s="530">
        <v>0</v>
      </c>
      <c r="EX81" s="530">
        <v>0</v>
      </c>
      <c r="EY81" s="530">
        <f t="shared" si="65"/>
        <v>0</v>
      </c>
      <c r="EZ81" s="530">
        <f t="shared" si="66"/>
        <v>0</v>
      </c>
      <c r="FA81" s="530">
        <f t="shared" si="67"/>
        <v>0</v>
      </c>
      <c r="FB81" s="530">
        <f t="shared" si="68"/>
        <v>0</v>
      </c>
      <c r="FC81" s="384">
        <f>IFERROR(VLOOKUP(Capex!A72,BASE_558!D:R,8,FALSE)/1000,"")</f>
        <v>13168.052</v>
      </c>
      <c r="FD81" s="328">
        <f>IFERROR(VLOOKUP(Capex!A72,BASE_558!D:R,9,)/1000,"")</f>
        <v>13053.761689999999</v>
      </c>
      <c r="FE81" s="328">
        <f>IFERROR(IF(LEFT(A81,3)="LCP",(VLOOKUP(Capex!A72,BASE_558!D:R,10,)/1000),SUMIFS('BASE ICP_PO_SC'!F:F,'BASE ICP_PO_SC'!A:A,Capex!A72,'BASE ICP_PO_SC'!E:E,"&lt;&gt;")/1000),"")</f>
        <v>0</v>
      </c>
      <c r="FF81" s="328">
        <f>IFERROR(IF(LEFT(A81,3)="LCP",(VLOOKUP(Capex!A72,BASE_558!D:R,11,)/1000),SUMIFS('BASE ICP_PO_SC'!F:F,'BASE ICP_PO_SC'!A:A,Capex!A72,'BASE ICP_PO_SC'!E:E,"")/1000),"")</f>
        <v>0</v>
      </c>
      <c r="FG81" s="328">
        <f>IFERROR(VLOOKUP(A81,BASE_558!D:R,13,FALSE)/1000,"")</f>
        <v>659.17750000000001</v>
      </c>
      <c r="FH81" s="328">
        <f>IFERROR(VLOOKUP(A81,BASE_558!D:R,15,FALSE)/1000,"")</f>
        <v>54.122500000000002</v>
      </c>
      <c r="FI81" s="547">
        <f t="shared" si="69"/>
        <v>0</v>
      </c>
      <c r="FJ81" s="547">
        <f t="shared" si="70"/>
        <v>0</v>
      </c>
      <c r="FK81" s="540">
        <f t="shared" si="71"/>
        <v>0</v>
      </c>
    </row>
    <row r="82" spans="1:167" s="23" customFormat="1" ht="24" customHeight="1">
      <c r="A82" s="84" t="s">
        <v>31</v>
      </c>
      <c r="B82" s="404"/>
      <c r="C82" s="404"/>
      <c r="D82" s="338" t="s">
        <v>901</v>
      </c>
      <c r="E82" s="378"/>
      <c r="F82" s="5"/>
      <c r="G82" s="310" t="s">
        <v>9</v>
      </c>
      <c r="H82" s="338"/>
      <c r="I82" s="338"/>
      <c r="J82" s="338">
        <v>2017</v>
      </c>
      <c r="K82" s="316">
        <v>42860</v>
      </c>
      <c r="L82" s="317">
        <v>43979</v>
      </c>
      <c r="M82" s="409"/>
      <c r="N82" s="317">
        <f t="shared" si="38"/>
        <v>43772</v>
      </c>
      <c r="O82" s="317">
        <f t="shared" si="39"/>
        <v>44137</v>
      </c>
      <c r="P82" s="418" t="str">
        <f t="shared" si="72"/>
        <v>CRTD</v>
      </c>
      <c r="Q82" s="418" t="str">
        <f t="shared" si="72"/>
        <v>CRTD</v>
      </c>
      <c r="R82" s="418" t="str">
        <f t="shared" si="72"/>
        <v>CRTD</v>
      </c>
      <c r="S82" s="418" t="str">
        <f t="shared" si="72"/>
        <v>CRTD</v>
      </c>
      <c r="T82" s="418" t="str">
        <f t="shared" si="72"/>
        <v>CRTD</v>
      </c>
      <c r="U82" s="418" t="str">
        <f t="shared" si="72"/>
        <v>CRTD</v>
      </c>
      <c r="V82" s="418" t="str">
        <f t="shared" si="72"/>
        <v>CRTD</v>
      </c>
      <c r="W82" s="418" t="str">
        <f t="shared" si="72"/>
        <v>CRTD</v>
      </c>
      <c r="X82" s="418" t="str">
        <f t="shared" si="72"/>
        <v>CRTD</v>
      </c>
      <c r="Y82" s="418" t="str">
        <f t="shared" si="72"/>
        <v>CRTD</v>
      </c>
      <c r="Z82" s="418" t="str">
        <f t="shared" si="72"/>
        <v>CRTD</v>
      </c>
      <c r="AA82" s="418" t="str">
        <f t="shared" si="72"/>
        <v>CRTD</v>
      </c>
      <c r="AB82" s="317"/>
      <c r="AC82" s="309" t="s">
        <v>2508</v>
      </c>
      <c r="AD82" s="311" t="s">
        <v>223</v>
      </c>
      <c r="AE82" s="311"/>
      <c r="AF82" s="310" t="s">
        <v>6985</v>
      </c>
      <c r="AG82" s="310" t="s">
        <v>9083</v>
      </c>
      <c r="AH82" s="310" t="s">
        <v>32</v>
      </c>
      <c r="AI82" s="309" t="s">
        <v>2255</v>
      </c>
      <c r="AJ82" s="6" t="s">
        <v>218</v>
      </c>
      <c r="AK82" s="6" t="str">
        <f t="shared" si="49"/>
        <v>IGUAL</v>
      </c>
      <c r="AL82" s="151" t="str">
        <f>IFERROR(IF(LEFT(A82,3)="LCP",VLOOKUP(A82,STATUS_SAP_LCP!B:C,2,FALSE),VLOOKUP(A82,STATUS_SAP_ICP!B:C,2,FALSE)),"NO BUDGET")</f>
        <v>CLSD BUDG AUC  AVAC  //  RJCD BREL EXPL</v>
      </c>
      <c r="AM82" s="6" t="str">
        <f t="shared" si="48"/>
        <v>CLSD</v>
      </c>
      <c r="AN82" s="282" t="s">
        <v>9087</v>
      </c>
      <c r="AO82" s="493">
        <v>1</v>
      </c>
      <c r="AP82" s="499" t="s">
        <v>9607</v>
      </c>
      <c r="AQ82" s="465">
        <v>43979</v>
      </c>
      <c r="AR82" s="460"/>
      <c r="AS82" s="56">
        <v>37.529719621779648</v>
      </c>
      <c r="AT82" s="185">
        <v>1.10694</v>
      </c>
      <c r="AU82" s="318">
        <v>0</v>
      </c>
      <c r="AV82" s="223">
        <v>0</v>
      </c>
      <c r="AW82" s="318">
        <v>0</v>
      </c>
      <c r="AX82" s="223">
        <v>0</v>
      </c>
      <c r="AY82" s="318">
        <f t="shared" si="40"/>
        <v>0</v>
      </c>
      <c r="AZ82" s="223"/>
      <c r="BA82" s="318"/>
      <c r="BB82" s="519">
        <f t="shared" si="41"/>
        <v>0</v>
      </c>
      <c r="BC82" s="518"/>
      <c r="BD82" s="518"/>
      <c r="BE82" s="518"/>
      <c r="BF82" s="518"/>
      <c r="BG82" s="518"/>
      <c r="BH82" s="518"/>
      <c r="BI82" s="518"/>
      <c r="BJ82" s="518"/>
      <c r="BK82" s="518"/>
      <c r="BL82" s="518"/>
      <c r="BM82" s="518"/>
      <c r="BN82" s="518"/>
      <c r="BO82" s="367">
        <f t="shared" si="50"/>
        <v>0</v>
      </c>
      <c r="BP82" s="421"/>
      <c r="BQ82" s="422"/>
      <c r="BR82" s="423">
        <f>IFERROR(IF(LEFT($A82,3)="Lcp",SUMIFS('BASE-LCP'!$K:$K,'BASE-LCP'!$A:$A,Capex!$A73,'BASE-LCP'!$B:$B,"janeiro")/1000,IF(LEFT($A82,3)="icp",SUMIFS('BASE-ICP'!$K:$K,'BASE-ICP'!$A:$A,Capex!$A73,'BASE-ICP'!$B:$B,"janeiro")/1000,"")),"")</f>
        <v>0</v>
      </c>
      <c r="BS82" s="427">
        <v>0</v>
      </c>
      <c r="BT82" s="372">
        <v>0</v>
      </c>
      <c r="BU82" s="422"/>
      <c r="BV82" s="423">
        <f>IFERROR(IF(LEFT($A82,3)="Lcp",SUMIFS('BASE-LCP'!$K:$K,'BASE-LCP'!$A:$A,Capex!$A73,'BASE-LCP'!$B:$B,"fevereiro")/1000,IF(LEFT($A82,3)="icp",SUMIFS('BASE-ICP'!$K:$K,'BASE-ICP'!$A:$A,Capex!$A73,'BASE-ICP'!$B:$B,"fevereiro")/1000,"")),"")</f>
        <v>0</v>
      </c>
      <c r="BW82" s="427">
        <v>0</v>
      </c>
      <c r="BX82" s="372">
        <v>0</v>
      </c>
      <c r="BY82" s="419"/>
      <c r="BZ82" s="423">
        <f>IFERROR(IF(LEFT($A82,3)="Lcp",SUMIFS('BASE-LCP'!$K:$K,'BASE-LCP'!$A:$A,Capex!$A73,'BASE-LCP'!$B:$B,"março")/1000,IF(LEFT($A82,3)="icp",SUMIFS('BASE-ICP'!$K:$K,'BASE-ICP'!$A:$A,Capex!$A73,'BASE-ICP'!$B:$B,"março")/1000,"")),"")</f>
        <v>0</v>
      </c>
      <c r="CA82" s="427">
        <v>0</v>
      </c>
      <c r="CB82" s="372">
        <v>0</v>
      </c>
      <c r="CC82" s="422"/>
      <c r="CD82" s="423">
        <f>IFERROR(IF(LEFT($A82,3)="Lcp",SUMIFS('BASE-LCP'!$K:$K,'BASE-LCP'!$A:$A,Capex!$A73,'BASE-LCP'!$B:$B,"abril")/1000,IF(LEFT($A82,3)="icp",SUMIFS('BASE-ICP'!$K:$K,'BASE-ICP'!$A:$A,Capex!$A73,'BASE-ICP'!$B:$B,"abril")/1000,"")),"")</f>
        <v>0</v>
      </c>
      <c r="CE82" s="427">
        <v>0</v>
      </c>
      <c r="CF82" s="372">
        <v>0</v>
      </c>
      <c r="CG82" s="419"/>
      <c r="CH82" s="423">
        <v>0</v>
      </c>
      <c r="CI82" s="427">
        <v>0</v>
      </c>
      <c r="CJ82" s="372">
        <v>0</v>
      </c>
      <c r="CK82" s="419"/>
      <c r="CL82" s="423">
        <f>IFERROR(IF(LEFT($A82,3)="Lcp",SUMIFS('BASE-LCP'!$K:$K,'BASE-LCP'!$A:$A,Capex!$A73,'BASE-LCP'!$B:$B,"junho")/1000,IF(LEFT($A82,3)="icp",SUMIFS('BASE-ICP'!$K:$K,'BASE-ICP'!$A:$A,Capex!$A73,'BASE-ICP'!$B:$B,"junho")/1000,"")),"")</f>
        <v>0</v>
      </c>
      <c r="CM82" s="427">
        <v>0</v>
      </c>
      <c r="CN82" s="372"/>
      <c r="CO82" s="419"/>
      <c r="CP82" s="423">
        <f>IFERROR(IF(LEFT($A82,3)="Lcp",SUMIFS('BASE-LCP'!$K:$K,'BASE-LCP'!$A:$A,Capex!$A73,'BASE-LCP'!$B:$B,"julho")/1000,IF(LEFT($A82,3)="icp",SUMIFS('BASE-ICP'!$K:$K,'BASE-ICP'!$A:$A,Capex!$A73,'BASE-ICP'!$B:$B,"julho")/1000,"")),"")</f>
        <v>0</v>
      </c>
      <c r="CQ82" s="427">
        <v>0</v>
      </c>
      <c r="CR82" s="372"/>
      <c r="CS82" s="419"/>
      <c r="CT82" s="423">
        <f>IFERROR(IF(LEFT($A82,3)="Lcp",SUMIFS('BASE-LCP'!$K:$K,'BASE-LCP'!$A:$A,Capex!$A73,'BASE-LCP'!$B:$B,"agosto")/1000,IF(LEFT($A82,3)="icp",SUMIFS('BASE-ICP'!$K:$K,'BASE-ICP'!$A:$A,Capex!$A73,'BASE-ICP'!$B:$B,"agosto")/1000,"")),"")</f>
        <v>0</v>
      </c>
      <c r="CU82" s="427">
        <v>0</v>
      </c>
      <c r="CV82" s="372"/>
      <c r="CW82" s="419"/>
      <c r="CX82" s="423">
        <f>IFERROR(IF(LEFT($A82,3)="Lcp",SUMIFS('BASE-LCP'!$K:$K,'BASE-LCP'!$A:$A,Capex!$A73,'BASE-LCP'!$B:$B,"setembro")/1000,IF(LEFT($A82,3)="icp",SUMIFS('BASE-ICP'!$K:$K,'BASE-ICP'!$A:$A,Capex!$A73,'BASE-ICP'!$B:$B,"setembro")/1000,"")),"")</f>
        <v>0</v>
      </c>
      <c r="CY82" s="427">
        <v>0</v>
      </c>
      <c r="CZ82" s="372"/>
      <c r="DA82" s="419"/>
      <c r="DB82" s="423">
        <f>IFERROR(IF(LEFT($A82,3)="Lcp",SUMIFS('BASE-LCP'!$K:$K,'BASE-LCP'!$A:$A,Capex!$A73,'BASE-LCP'!$B:$B,"outubro")/1000,IF(LEFT($A82,3)="icp",SUMIFS('BASE-ICP'!$K:$K,'BASE-ICP'!$A:$A,Capex!$A73,'BASE-ICP'!$B:$B,"outubro")/1000,"")),"")</f>
        <v>0</v>
      </c>
      <c r="DC82" s="427">
        <v>0</v>
      </c>
      <c r="DD82" s="372"/>
      <c r="DE82" s="419"/>
      <c r="DF82" s="423">
        <f>IFERROR(IF(LEFT($A82,3)="Lcp",SUMIFS('BASE-LCP'!$K:$K,'BASE-LCP'!$A:$A,Capex!$A73,'BASE-LCP'!$B:$B,"novembro")/1000,IF(LEFT($A82,3)="icp",SUMIFS('BASE-ICP'!$K:$K,'BASE-ICP'!$A:$A,Capex!$A73,'BASE-ICP'!$B:$B,"novembro")/1000,"")),"")</f>
        <v>0</v>
      </c>
      <c r="DG82" s="427">
        <v>0</v>
      </c>
      <c r="DH82" s="372"/>
      <c r="DI82" s="419"/>
      <c r="DJ82" s="423">
        <f>IFERROR(IF(LEFT($A82,3)="Lcp",SUMIFS('BASE-LCP'!$K:$K,'BASE-LCP'!$A:$A,Capex!$A73,'BASE-LCP'!$B:$B,"dezembro")/1000,IF(LEFT($A82,3)="icp",SUMIFS('BASE-ICP'!$K:$K,'BASE-ICP'!$A:$A,Capex!$A73,'BASE-ICP'!$B:$B,"dezembro")/1000,"")),"")</f>
        <v>0</v>
      </c>
      <c r="DK82" s="427">
        <v>0</v>
      </c>
      <c r="DL82" s="452">
        <f t="shared" si="51"/>
        <v>0</v>
      </c>
      <c r="DM82" s="374"/>
      <c r="DN82" s="374"/>
      <c r="DO82" s="374"/>
      <c r="DP82" s="374"/>
      <c r="DQ82" s="374"/>
      <c r="DR82" s="374"/>
      <c r="DS82" s="374"/>
      <c r="DT82" s="374"/>
      <c r="DU82" s="374"/>
      <c r="DV82" s="374"/>
      <c r="DW82" s="374"/>
      <c r="DX82" s="374"/>
      <c r="DY82" s="450"/>
      <c r="DZ82" s="374">
        <f t="shared" si="52"/>
        <v>0</v>
      </c>
      <c r="EA82" s="216">
        <f t="shared" si="53"/>
        <v>0</v>
      </c>
      <c r="EB82" s="320">
        <f t="shared" si="54"/>
        <v>0</v>
      </c>
      <c r="EC82" s="241">
        <f t="shared" si="55"/>
        <v>0</v>
      </c>
      <c r="ED82" s="241">
        <f t="shared" si="56"/>
        <v>0</v>
      </c>
      <c r="EE82" s="241">
        <f t="shared" si="57"/>
        <v>0</v>
      </c>
      <c r="EF82" s="241">
        <f t="shared" si="58"/>
        <v>0</v>
      </c>
      <c r="EG82" s="346">
        <f t="shared" si="59"/>
        <v>0</v>
      </c>
      <c r="EH82" s="445">
        <f t="shared" si="60"/>
        <v>0</v>
      </c>
      <c r="EI82" s="447">
        <f t="shared" si="61"/>
        <v>0</v>
      </c>
      <c r="EJ82" s="364">
        <f t="shared" si="62"/>
        <v>0</v>
      </c>
      <c r="EK82" s="365">
        <f t="shared" si="63"/>
        <v>0</v>
      </c>
      <c r="EL82" s="529">
        <f t="shared" si="64"/>
        <v>0</v>
      </c>
      <c r="EM82" s="530">
        <v>0</v>
      </c>
      <c r="EN82" s="530">
        <v>0</v>
      </c>
      <c r="EO82" s="530">
        <v>0</v>
      </c>
      <c r="EP82" s="530">
        <v>0</v>
      </c>
      <c r="EQ82" s="530">
        <v>0</v>
      </c>
      <c r="ER82" s="530">
        <v>0</v>
      </c>
      <c r="ES82" s="530">
        <v>0</v>
      </c>
      <c r="ET82" s="530">
        <v>0</v>
      </c>
      <c r="EU82" s="530">
        <v>0</v>
      </c>
      <c r="EV82" s="530">
        <v>0</v>
      </c>
      <c r="EW82" s="530">
        <v>0</v>
      </c>
      <c r="EX82" s="530">
        <v>0</v>
      </c>
      <c r="EY82" s="530">
        <f t="shared" si="65"/>
        <v>0</v>
      </c>
      <c r="EZ82" s="530">
        <f t="shared" si="66"/>
        <v>0</v>
      </c>
      <c r="FA82" s="530">
        <f t="shared" si="67"/>
        <v>0</v>
      </c>
      <c r="FB82" s="530">
        <f t="shared" si="68"/>
        <v>0</v>
      </c>
      <c r="FC82" s="384">
        <f>IFERROR(VLOOKUP(Capex!A73,BASE_558!D:R,8,FALSE)/1000,"")</f>
        <v>1296.2</v>
      </c>
      <c r="FD82" s="328">
        <f>IFERROR(VLOOKUP(Capex!A73,BASE_558!D:R,9,)/1000,"")</f>
        <v>1267.7092399999999</v>
      </c>
      <c r="FE82" s="328">
        <f>IFERROR(IF(LEFT(A82,3)="LCP",(VLOOKUP(Capex!A73,BASE_558!D:R,10,)/1000),SUMIFS('BASE ICP_PO_SC'!F:F,'BASE ICP_PO_SC'!A:A,Capex!A73,'BASE ICP_PO_SC'!E:E,"&lt;&gt;")/1000),"")</f>
        <v>0</v>
      </c>
      <c r="FF82" s="328">
        <f>IFERROR(IF(LEFT(A82,3)="LCP",(VLOOKUP(Capex!A73,BASE_558!D:R,11,)/1000),SUMIFS('BASE ICP_PO_SC'!F:F,'BASE ICP_PO_SC'!A:A,Capex!A73,'BASE ICP_PO_SC'!E:E,"")/1000),"")</f>
        <v>0</v>
      </c>
      <c r="FG82" s="328">
        <f>IFERROR(VLOOKUP(A82,BASE_558!D:R,13,FALSE)/1000,"")</f>
        <v>203.21110000000002</v>
      </c>
      <c r="FH82" s="328">
        <f>IFERROR(VLOOKUP(A82,BASE_558!D:R,15,FALSE)/1000,"")</f>
        <v>44.788899999999998</v>
      </c>
      <c r="FI82" s="547">
        <f t="shared" si="69"/>
        <v>0</v>
      </c>
      <c r="FJ82" s="547">
        <f t="shared" si="70"/>
        <v>0</v>
      </c>
      <c r="FK82" s="540">
        <f t="shared" si="71"/>
        <v>0</v>
      </c>
    </row>
    <row r="83" spans="1:167" s="23" customFormat="1" ht="24" customHeight="1">
      <c r="A83" s="84" t="s">
        <v>33</v>
      </c>
      <c r="B83" s="404"/>
      <c r="C83" s="404"/>
      <c r="D83" s="338" t="s">
        <v>2209</v>
      </c>
      <c r="E83" s="378"/>
      <c r="F83" s="310" t="s">
        <v>609</v>
      </c>
      <c r="G83" s="310" t="s">
        <v>9</v>
      </c>
      <c r="H83" s="338"/>
      <c r="I83" s="338"/>
      <c r="J83" s="338">
        <v>2017</v>
      </c>
      <c r="K83" s="316">
        <v>43087</v>
      </c>
      <c r="L83" s="317">
        <v>44272</v>
      </c>
      <c r="M83" s="409"/>
      <c r="N83" s="317">
        <f t="shared" si="38"/>
        <v>43999</v>
      </c>
      <c r="O83" s="317">
        <f t="shared" si="39"/>
        <v>44364</v>
      </c>
      <c r="P83" s="418" t="str">
        <f t="shared" si="72"/>
        <v>CRTD</v>
      </c>
      <c r="Q83" s="418" t="str">
        <f t="shared" si="72"/>
        <v>CRTD</v>
      </c>
      <c r="R83" s="418" t="str">
        <f t="shared" si="72"/>
        <v>CRTD</v>
      </c>
      <c r="S83" s="418" t="str">
        <f t="shared" si="72"/>
        <v>CRTD</v>
      </c>
      <c r="T83" s="418" t="str">
        <f t="shared" si="72"/>
        <v>CRTD</v>
      </c>
      <c r="U83" s="418" t="str">
        <f t="shared" si="72"/>
        <v>CRTD</v>
      </c>
      <c r="V83" s="418" t="str">
        <f t="shared" si="72"/>
        <v>CRTD</v>
      </c>
      <c r="W83" s="418" t="str">
        <f t="shared" si="72"/>
        <v>CRTD</v>
      </c>
      <c r="X83" s="418" t="str">
        <f t="shared" si="72"/>
        <v>CRTD</v>
      </c>
      <c r="Y83" s="418" t="str">
        <f t="shared" si="72"/>
        <v>CRTD</v>
      </c>
      <c r="Z83" s="418" t="str">
        <f t="shared" si="72"/>
        <v>CRTD</v>
      </c>
      <c r="AA83" s="418" t="str">
        <f t="shared" si="72"/>
        <v>CRTD</v>
      </c>
      <c r="AB83" s="317"/>
      <c r="AC83" s="309" t="s">
        <v>3931</v>
      </c>
      <c r="AD83" s="311" t="s">
        <v>222</v>
      </c>
      <c r="AE83" s="311"/>
      <c r="AF83" s="310" t="s">
        <v>6985</v>
      </c>
      <c r="AG83" s="310" t="s">
        <v>9083</v>
      </c>
      <c r="AH83" s="310" t="s">
        <v>34</v>
      </c>
      <c r="AI83" s="309" t="s">
        <v>188</v>
      </c>
      <c r="AJ83" s="6" t="s">
        <v>218</v>
      </c>
      <c r="AK83" s="6" t="str">
        <f t="shared" si="49"/>
        <v>IGUAL</v>
      </c>
      <c r="AL83" s="151" t="str">
        <f>IFERROR(IF(LEFT(A83,3)="LCP",VLOOKUP(A83,STATUS_SAP_LCP!B:C,2,FALSE),VLOOKUP(A83,STATUS_SAP_ICP!B:C,2,FALSE)),"NO BUDGET")</f>
        <v>CLSD BUDG AUC  AVAC  //  APPR BREL EXPL</v>
      </c>
      <c r="AM83" s="6" t="str">
        <f t="shared" si="48"/>
        <v>CLSD</v>
      </c>
      <c r="AN83" s="282" t="s">
        <v>9086</v>
      </c>
      <c r="AO83" s="493">
        <v>1</v>
      </c>
      <c r="AP83" s="499" t="s">
        <v>9607</v>
      </c>
      <c r="AQ83" s="465">
        <v>44272</v>
      </c>
      <c r="AR83" s="460"/>
      <c r="AS83" s="56">
        <v>1070.1851485216268</v>
      </c>
      <c r="AT83" s="185">
        <v>134.14262000000002</v>
      </c>
      <c r="AU83" s="318">
        <v>0</v>
      </c>
      <c r="AV83" s="223">
        <v>0</v>
      </c>
      <c r="AW83" s="318">
        <v>0</v>
      </c>
      <c r="AX83" s="223">
        <v>0</v>
      </c>
      <c r="AY83" s="318">
        <f t="shared" si="40"/>
        <v>0</v>
      </c>
      <c r="AZ83" s="223"/>
      <c r="BA83" s="318"/>
      <c r="BB83" s="519">
        <f t="shared" si="41"/>
        <v>0</v>
      </c>
      <c r="BC83" s="518"/>
      <c r="BD83" s="518"/>
      <c r="BE83" s="518"/>
      <c r="BF83" s="518"/>
      <c r="BG83" s="518"/>
      <c r="BH83" s="518"/>
      <c r="BI83" s="518"/>
      <c r="BJ83" s="518"/>
      <c r="BK83" s="518"/>
      <c r="BL83" s="518"/>
      <c r="BM83" s="518"/>
      <c r="BN83" s="518"/>
      <c r="BO83" s="367">
        <f t="shared" si="50"/>
        <v>0</v>
      </c>
      <c r="BP83" s="421"/>
      <c r="BQ83" s="422"/>
      <c r="BR83" s="423">
        <f>IFERROR(IF(LEFT($A83,3)="Lcp",SUMIFS('BASE-LCP'!$K:$K,'BASE-LCP'!$A:$A,Capex!$A74,'BASE-LCP'!$B:$B,"janeiro")/1000,IF(LEFT($A83,3)="icp",SUMIFS('BASE-ICP'!$K:$K,'BASE-ICP'!$A:$A,Capex!$A74,'BASE-ICP'!$B:$B,"janeiro")/1000,"")),"")</f>
        <v>0</v>
      </c>
      <c r="BS83" s="427">
        <v>0</v>
      </c>
      <c r="BT83" s="372">
        <v>0</v>
      </c>
      <c r="BU83" s="422"/>
      <c r="BV83" s="423">
        <f>IFERROR(IF(LEFT($A83,3)="Lcp",SUMIFS('BASE-LCP'!$K:$K,'BASE-LCP'!$A:$A,Capex!$A74,'BASE-LCP'!$B:$B,"fevereiro")/1000,IF(LEFT($A83,3)="icp",SUMIFS('BASE-ICP'!$K:$K,'BASE-ICP'!$A:$A,Capex!$A74,'BASE-ICP'!$B:$B,"fevereiro")/1000,"")),"")</f>
        <v>0</v>
      </c>
      <c r="BW83" s="427">
        <v>0</v>
      </c>
      <c r="BX83" s="372">
        <v>0</v>
      </c>
      <c r="BY83" s="419"/>
      <c r="BZ83" s="423">
        <f>IFERROR(IF(LEFT($A83,3)="Lcp",SUMIFS('BASE-LCP'!$K:$K,'BASE-LCP'!$A:$A,Capex!$A74,'BASE-LCP'!$B:$B,"março")/1000,IF(LEFT($A83,3)="icp",SUMIFS('BASE-ICP'!$K:$K,'BASE-ICP'!$A:$A,Capex!$A74,'BASE-ICP'!$B:$B,"março")/1000,"")),"")</f>
        <v>0</v>
      </c>
      <c r="CA83" s="427">
        <v>0</v>
      </c>
      <c r="CB83" s="372">
        <v>0</v>
      </c>
      <c r="CC83" s="422"/>
      <c r="CD83" s="423">
        <f>IFERROR(IF(LEFT($A83,3)="Lcp",SUMIFS('BASE-LCP'!$K:$K,'BASE-LCP'!$A:$A,Capex!$A74,'BASE-LCP'!$B:$B,"abril")/1000,IF(LEFT($A83,3)="icp",SUMIFS('BASE-ICP'!$K:$K,'BASE-ICP'!$A:$A,Capex!$A74,'BASE-ICP'!$B:$B,"abril")/1000,"")),"")</f>
        <v>0</v>
      </c>
      <c r="CE83" s="427">
        <v>0</v>
      </c>
      <c r="CF83" s="372">
        <v>0</v>
      </c>
      <c r="CG83" s="419"/>
      <c r="CH83" s="423">
        <v>0</v>
      </c>
      <c r="CI83" s="427">
        <v>0</v>
      </c>
      <c r="CJ83" s="372">
        <v>0</v>
      </c>
      <c r="CK83" s="419"/>
      <c r="CL83" s="423">
        <f>IFERROR(IF(LEFT($A83,3)="Lcp",SUMIFS('BASE-LCP'!$K:$K,'BASE-LCP'!$A:$A,Capex!$A74,'BASE-LCP'!$B:$B,"junho")/1000,IF(LEFT($A83,3)="icp",SUMIFS('BASE-ICP'!$K:$K,'BASE-ICP'!$A:$A,Capex!$A74,'BASE-ICP'!$B:$B,"junho")/1000,"")),"")</f>
        <v>0</v>
      </c>
      <c r="CM83" s="427">
        <v>0</v>
      </c>
      <c r="CN83" s="372"/>
      <c r="CO83" s="419"/>
      <c r="CP83" s="423">
        <f>IFERROR(IF(LEFT($A83,3)="Lcp",SUMIFS('BASE-LCP'!$K:$K,'BASE-LCP'!$A:$A,Capex!$A74,'BASE-LCP'!$B:$B,"julho")/1000,IF(LEFT($A83,3)="icp",SUMIFS('BASE-ICP'!$K:$K,'BASE-ICP'!$A:$A,Capex!$A74,'BASE-ICP'!$B:$B,"julho")/1000,"")),"")</f>
        <v>0</v>
      </c>
      <c r="CQ83" s="427">
        <v>0</v>
      </c>
      <c r="CR83" s="372"/>
      <c r="CS83" s="419"/>
      <c r="CT83" s="423">
        <f>IFERROR(IF(LEFT($A83,3)="Lcp",SUMIFS('BASE-LCP'!$K:$K,'BASE-LCP'!$A:$A,Capex!$A74,'BASE-LCP'!$B:$B,"agosto")/1000,IF(LEFT($A83,3)="icp",SUMIFS('BASE-ICP'!$K:$K,'BASE-ICP'!$A:$A,Capex!$A74,'BASE-ICP'!$B:$B,"agosto")/1000,"")),"")</f>
        <v>0</v>
      </c>
      <c r="CU83" s="427">
        <v>0</v>
      </c>
      <c r="CV83" s="372"/>
      <c r="CW83" s="419"/>
      <c r="CX83" s="423">
        <f>IFERROR(IF(LEFT($A83,3)="Lcp",SUMIFS('BASE-LCP'!$K:$K,'BASE-LCP'!$A:$A,Capex!$A74,'BASE-LCP'!$B:$B,"setembro")/1000,IF(LEFT($A83,3)="icp",SUMIFS('BASE-ICP'!$K:$K,'BASE-ICP'!$A:$A,Capex!$A74,'BASE-ICP'!$B:$B,"setembro")/1000,"")),"")</f>
        <v>0</v>
      </c>
      <c r="CY83" s="427">
        <v>0</v>
      </c>
      <c r="CZ83" s="372"/>
      <c r="DA83" s="419"/>
      <c r="DB83" s="423">
        <f>IFERROR(IF(LEFT($A83,3)="Lcp",SUMIFS('BASE-LCP'!$K:$K,'BASE-LCP'!$A:$A,Capex!$A74,'BASE-LCP'!$B:$B,"outubro")/1000,IF(LEFT($A83,3)="icp",SUMIFS('BASE-ICP'!$K:$K,'BASE-ICP'!$A:$A,Capex!$A74,'BASE-ICP'!$B:$B,"outubro")/1000,"")),"")</f>
        <v>0</v>
      </c>
      <c r="DC83" s="427">
        <v>0</v>
      </c>
      <c r="DD83" s="372"/>
      <c r="DE83" s="419"/>
      <c r="DF83" s="423">
        <f>IFERROR(IF(LEFT($A83,3)="Lcp",SUMIFS('BASE-LCP'!$K:$K,'BASE-LCP'!$A:$A,Capex!$A74,'BASE-LCP'!$B:$B,"novembro")/1000,IF(LEFT($A83,3)="icp",SUMIFS('BASE-ICP'!$K:$K,'BASE-ICP'!$A:$A,Capex!$A74,'BASE-ICP'!$B:$B,"novembro")/1000,"")),"")</f>
        <v>0</v>
      </c>
      <c r="DG83" s="427">
        <v>0</v>
      </c>
      <c r="DH83" s="372"/>
      <c r="DI83" s="419"/>
      <c r="DJ83" s="423">
        <f>IFERROR(IF(LEFT($A83,3)="Lcp",SUMIFS('BASE-LCP'!$K:$K,'BASE-LCP'!$A:$A,Capex!$A74,'BASE-LCP'!$B:$B,"dezembro")/1000,IF(LEFT($A83,3)="icp",SUMIFS('BASE-ICP'!$K:$K,'BASE-ICP'!$A:$A,Capex!$A74,'BASE-ICP'!$B:$B,"dezembro")/1000,"")),"")</f>
        <v>0</v>
      </c>
      <c r="DK83" s="427">
        <v>0</v>
      </c>
      <c r="DL83" s="452">
        <f t="shared" si="51"/>
        <v>0</v>
      </c>
      <c r="DM83" s="374"/>
      <c r="DN83" s="374"/>
      <c r="DO83" s="374"/>
      <c r="DP83" s="374"/>
      <c r="DQ83" s="374"/>
      <c r="DR83" s="374"/>
      <c r="DS83" s="374"/>
      <c r="DT83" s="374"/>
      <c r="DU83" s="374"/>
      <c r="DV83" s="374"/>
      <c r="DW83" s="374"/>
      <c r="DX83" s="374"/>
      <c r="DY83" s="450"/>
      <c r="DZ83" s="374">
        <f t="shared" si="52"/>
        <v>0</v>
      </c>
      <c r="EA83" s="216">
        <f t="shared" si="53"/>
        <v>0</v>
      </c>
      <c r="EB83" s="320">
        <f t="shared" si="54"/>
        <v>0</v>
      </c>
      <c r="EC83" s="241">
        <f t="shared" si="55"/>
        <v>0</v>
      </c>
      <c r="ED83" s="241">
        <f t="shared" si="56"/>
        <v>0</v>
      </c>
      <c r="EE83" s="241">
        <f t="shared" si="57"/>
        <v>0</v>
      </c>
      <c r="EF83" s="241">
        <f t="shared" si="58"/>
        <v>0</v>
      </c>
      <c r="EG83" s="346">
        <f t="shared" si="59"/>
        <v>0</v>
      </c>
      <c r="EH83" s="445">
        <f t="shared" si="60"/>
        <v>0</v>
      </c>
      <c r="EI83" s="447">
        <f t="shared" si="61"/>
        <v>0</v>
      </c>
      <c r="EJ83" s="364">
        <f t="shared" si="62"/>
        <v>0</v>
      </c>
      <c r="EK83" s="365">
        <f t="shared" si="63"/>
        <v>0</v>
      </c>
      <c r="EL83" s="529">
        <f t="shared" si="64"/>
        <v>0</v>
      </c>
      <c r="EM83" s="530">
        <v>0</v>
      </c>
      <c r="EN83" s="530">
        <v>0</v>
      </c>
      <c r="EO83" s="530">
        <v>0</v>
      </c>
      <c r="EP83" s="530">
        <v>0</v>
      </c>
      <c r="EQ83" s="530">
        <v>0</v>
      </c>
      <c r="ER83" s="530">
        <v>0</v>
      </c>
      <c r="ES83" s="530">
        <v>0</v>
      </c>
      <c r="ET83" s="530">
        <v>0</v>
      </c>
      <c r="EU83" s="530">
        <v>0</v>
      </c>
      <c r="EV83" s="530">
        <v>0</v>
      </c>
      <c r="EW83" s="530">
        <v>0</v>
      </c>
      <c r="EX83" s="530">
        <v>0</v>
      </c>
      <c r="EY83" s="530">
        <f t="shared" si="65"/>
        <v>0</v>
      </c>
      <c r="EZ83" s="530">
        <f t="shared" si="66"/>
        <v>0</v>
      </c>
      <c r="FA83" s="530">
        <f t="shared" si="67"/>
        <v>0</v>
      </c>
      <c r="FB83" s="530">
        <f t="shared" si="68"/>
        <v>0</v>
      </c>
      <c r="FC83" s="384">
        <f>IFERROR(VLOOKUP(Capex!A74,BASE_558!D:R,8,FALSE)/1000,"")</f>
        <v>63.1</v>
      </c>
      <c r="FD83" s="328">
        <f>IFERROR(VLOOKUP(Capex!A74,BASE_558!D:R,9,)/1000,"")</f>
        <v>0</v>
      </c>
      <c r="FE83" s="328">
        <f>IFERROR(IF(LEFT(A83,3)="LCP",(VLOOKUP(Capex!A74,BASE_558!D:R,10,)/1000),SUMIFS('BASE ICP_PO_SC'!F:F,'BASE ICP_PO_SC'!A:A,Capex!A74,'BASE ICP_PO_SC'!E:E,"&lt;&gt;")/1000),"")</f>
        <v>0</v>
      </c>
      <c r="FF83" s="328">
        <f>IFERROR(IF(LEFT(A83,3)="LCP",(VLOOKUP(Capex!A74,BASE_558!D:R,11,)/1000),SUMIFS('BASE ICP_PO_SC'!F:F,'BASE ICP_PO_SC'!A:A,Capex!A74,'BASE ICP_PO_SC'!E:E,"")/1000),"")</f>
        <v>0</v>
      </c>
      <c r="FG83" s="328">
        <f>IFERROR(VLOOKUP(A83,BASE_558!D:R,13,FALSE)/1000,"")</f>
        <v>2781.0119900000004</v>
      </c>
      <c r="FH83" s="328">
        <f>IFERROR(VLOOKUP(A83,BASE_558!D:R,15,FALSE)/1000,"")</f>
        <v>85.588009999999997</v>
      </c>
      <c r="FI83" s="547">
        <f t="shared" si="69"/>
        <v>0</v>
      </c>
      <c r="FJ83" s="547">
        <f t="shared" si="70"/>
        <v>0</v>
      </c>
      <c r="FK83" s="540">
        <f t="shared" si="71"/>
        <v>0</v>
      </c>
    </row>
    <row r="84" spans="1:167" s="23" customFormat="1" ht="24" customHeight="1">
      <c r="A84" s="84" t="s">
        <v>35</v>
      </c>
      <c r="B84" s="404"/>
      <c r="C84" s="404"/>
      <c r="D84" s="338" t="s">
        <v>2210</v>
      </c>
      <c r="E84" s="378"/>
      <c r="F84" s="5"/>
      <c r="G84" s="310" t="s">
        <v>9</v>
      </c>
      <c r="H84" s="338"/>
      <c r="I84" s="338"/>
      <c r="J84" s="338">
        <v>2017</v>
      </c>
      <c r="K84" s="316">
        <v>42964</v>
      </c>
      <c r="L84" s="317">
        <v>44176</v>
      </c>
      <c r="M84" s="409"/>
      <c r="N84" s="317">
        <f t="shared" si="38"/>
        <v>43876</v>
      </c>
      <c r="O84" s="317">
        <f t="shared" si="39"/>
        <v>44241</v>
      </c>
      <c r="P84" s="418" t="str">
        <f t="shared" si="72"/>
        <v>CRTD</v>
      </c>
      <c r="Q84" s="418" t="str">
        <f t="shared" si="72"/>
        <v>CRTD</v>
      </c>
      <c r="R84" s="418" t="str">
        <f t="shared" si="72"/>
        <v>CRTD</v>
      </c>
      <c r="S84" s="418" t="str">
        <f t="shared" si="72"/>
        <v>CRTD</v>
      </c>
      <c r="T84" s="418" t="str">
        <f t="shared" si="72"/>
        <v>CRTD</v>
      </c>
      <c r="U84" s="418" t="str">
        <f t="shared" si="72"/>
        <v>CRTD</v>
      </c>
      <c r="V84" s="418" t="str">
        <f t="shared" si="72"/>
        <v>CRTD</v>
      </c>
      <c r="W84" s="418" t="str">
        <f t="shared" si="72"/>
        <v>CRTD</v>
      </c>
      <c r="X84" s="418" t="str">
        <f t="shared" si="72"/>
        <v>CRTD</v>
      </c>
      <c r="Y84" s="418" t="str">
        <f t="shared" si="72"/>
        <v>CRTD</v>
      </c>
      <c r="Z84" s="418" t="str">
        <f t="shared" si="72"/>
        <v>CRTD</v>
      </c>
      <c r="AA84" s="418" t="str">
        <f t="shared" si="72"/>
        <v>CRTD</v>
      </c>
      <c r="AB84" s="317"/>
      <c r="AC84" s="309" t="s">
        <v>3932</v>
      </c>
      <c r="AD84" s="311" t="s">
        <v>224</v>
      </c>
      <c r="AE84" s="311"/>
      <c r="AF84" s="310" t="s">
        <v>6985</v>
      </c>
      <c r="AG84" s="310" t="s">
        <v>9083</v>
      </c>
      <c r="AH84" s="310" t="s">
        <v>36</v>
      </c>
      <c r="AI84" s="309" t="s">
        <v>187</v>
      </c>
      <c r="AJ84" s="6" t="s">
        <v>218</v>
      </c>
      <c r="AK84" s="6" t="str">
        <f t="shared" si="49"/>
        <v>IGUAL</v>
      </c>
      <c r="AL84" s="151" t="str">
        <f>IFERROR(IF(LEFT(A84,3)="LCP",VLOOKUP(A84,STATUS_SAP_LCP!B:C,2,FALSE),VLOOKUP(A84,STATUS_SAP_ICP!B:C,2,FALSE)),"NO BUDGET")</f>
        <v>CLSD BUDG AUC  AVAC  //  APPR BREL EXPL</v>
      </c>
      <c r="AM84" s="6" t="str">
        <f t="shared" si="48"/>
        <v>CLSD</v>
      </c>
      <c r="AN84" s="282" t="s">
        <v>9096</v>
      </c>
      <c r="AO84" s="493">
        <v>1</v>
      </c>
      <c r="AP84" s="499" t="s">
        <v>9607</v>
      </c>
      <c r="AQ84" s="465">
        <v>44176</v>
      </c>
      <c r="AR84" s="460"/>
      <c r="AS84" s="56">
        <v>35.333172788543564</v>
      </c>
      <c r="AT84" s="185">
        <v>0</v>
      </c>
      <c r="AU84" s="318">
        <v>0</v>
      </c>
      <c r="AV84" s="223">
        <v>0</v>
      </c>
      <c r="AW84" s="318">
        <v>0</v>
      </c>
      <c r="AX84" s="223">
        <v>0</v>
      </c>
      <c r="AY84" s="318">
        <f t="shared" si="40"/>
        <v>0</v>
      </c>
      <c r="AZ84" s="223"/>
      <c r="BA84" s="318"/>
      <c r="BB84" s="519">
        <f t="shared" si="41"/>
        <v>0</v>
      </c>
      <c r="BC84" s="518"/>
      <c r="BD84" s="518"/>
      <c r="BE84" s="518"/>
      <c r="BF84" s="518"/>
      <c r="BG84" s="518"/>
      <c r="BH84" s="518"/>
      <c r="BI84" s="518"/>
      <c r="BJ84" s="518"/>
      <c r="BK84" s="518"/>
      <c r="BL84" s="518"/>
      <c r="BM84" s="518"/>
      <c r="BN84" s="518"/>
      <c r="BO84" s="367">
        <f t="shared" si="50"/>
        <v>0</v>
      </c>
      <c r="BP84" s="421"/>
      <c r="BQ84" s="422"/>
      <c r="BR84" s="423">
        <f>IFERROR(IF(LEFT($A84,3)="Lcp",SUMIFS('BASE-LCP'!$K:$K,'BASE-LCP'!$A:$A,Capex!$A75,'BASE-LCP'!$B:$B,"janeiro")/1000,IF(LEFT($A84,3)="icp",SUMIFS('BASE-ICP'!$K:$K,'BASE-ICP'!$A:$A,Capex!$A75,'BASE-ICP'!$B:$B,"janeiro")/1000,"")),"")</f>
        <v>0</v>
      </c>
      <c r="BS84" s="427">
        <v>0</v>
      </c>
      <c r="BT84" s="372">
        <v>0</v>
      </c>
      <c r="BU84" s="422"/>
      <c r="BV84" s="423">
        <f>IFERROR(IF(LEFT($A84,3)="Lcp",SUMIFS('BASE-LCP'!$K:$K,'BASE-LCP'!$A:$A,Capex!$A75,'BASE-LCP'!$B:$B,"fevereiro")/1000,IF(LEFT($A84,3)="icp",SUMIFS('BASE-ICP'!$K:$K,'BASE-ICP'!$A:$A,Capex!$A75,'BASE-ICP'!$B:$B,"fevereiro")/1000,"")),"")</f>
        <v>0</v>
      </c>
      <c r="BW84" s="427">
        <v>0</v>
      </c>
      <c r="BX84" s="372">
        <v>0</v>
      </c>
      <c r="BY84" s="419"/>
      <c r="BZ84" s="423">
        <f>IFERROR(IF(LEFT($A84,3)="Lcp",SUMIFS('BASE-LCP'!$K:$K,'BASE-LCP'!$A:$A,Capex!$A75,'BASE-LCP'!$B:$B,"março")/1000,IF(LEFT($A84,3)="icp",SUMIFS('BASE-ICP'!$K:$K,'BASE-ICP'!$A:$A,Capex!$A75,'BASE-ICP'!$B:$B,"março")/1000,"")),"")</f>
        <v>0</v>
      </c>
      <c r="CA84" s="427">
        <v>0</v>
      </c>
      <c r="CB84" s="372">
        <v>0</v>
      </c>
      <c r="CC84" s="422"/>
      <c r="CD84" s="423">
        <f>IFERROR(IF(LEFT($A84,3)="Lcp",SUMIFS('BASE-LCP'!$K:$K,'BASE-LCP'!$A:$A,Capex!$A75,'BASE-LCP'!$B:$B,"abril")/1000,IF(LEFT($A84,3)="icp",SUMIFS('BASE-ICP'!$K:$K,'BASE-ICP'!$A:$A,Capex!$A75,'BASE-ICP'!$B:$B,"abril")/1000,"")),"")</f>
        <v>0</v>
      </c>
      <c r="CE84" s="427">
        <v>0</v>
      </c>
      <c r="CF84" s="372">
        <v>0</v>
      </c>
      <c r="CG84" s="419"/>
      <c r="CH84" s="423">
        <v>0</v>
      </c>
      <c r="CI84" s="427">
        <v>0</v>
      </c>
      <c r="CJ84" s="372">
        <v>0</v>
      </c>
      <c r="CK84" s="419"/>
      <c r="CL84" s="423">
        <f>IFERROR(IF(LEFT($A84,3)="Lcp",SUMIFS('BASE-LCP'!$K:$K,'BASE-LCP'!$A:$A,Capex!$A75,'BASE-LCP'!$B:$B,"junho")/1000,IF(LEFT($A84,3)="icp",SUMIFS('BASE-ICP'!$K:$K,'BASE-ICP'!$A:$A,Capex!$A75,'BASE-ICP'!$B:$B,"junho")/1000,"")),"")</f>
        <v>0</v>
      </c>
      <c r="CM84" s="427">
        <v>0</v>
      </c>
      <c r="CN84" s="372"/>
      <c r="CO84" s="419"/>
      <c r="CP84" s="423">
        <f>IFERROR(IF(LEFT($A84,3)="Lcp",SUMIFS('BASE-LCP'!$K:$K,'BASE-LCP'!$A:$A,Capex!$A75,'BASE-LCP'!$B:$B,"julho")/1000,IF(LEFT($A84,3)="icp",SUMIFS('BASE-ICP'!$K:$K,'BASE-ICP'!$A:$A,Capex!$A75,'BASE-ICP'!$B:$B,"julho")/1000,"")),"")</f>
        <v>0</v>
      </c>
      <c r="CQ84" s="427">
        <v>0</v>
      </c>
      <c r="CR84" s="372"/>
      <c r="CS84" s="419"/>
      <c r="CT84" s="423">
        <f>IFERROR(IF(LEFT($A84,3)="Lcp",SUMIFS('BASE-LCP'!$K:$K,'BASE-LCP'!$A:$A,Capex!$A75,'BASE-LCP'!$B:$B,"agosto")/1000,IF(LEFT($A84,3)="icp",SUMIFS('BASE-ICP'!$K:$K,'BASE-ICP'!$A:$A,Capex!$A75,'BASE-ICP'!$B:$B,"agosto")/1000,"")),"")</f>
        <v>0</v>
      </c>
      <c r="CU84" s="427">
        <v>0</v>
      </c>
      <c r="CV84" s="372"/>
      <c r="CW84" s="419"/>
      <c r="CX84" s="423">
        <f>IFERROR(IF(LEFT($A84,3)="Lcp",SUMIFS('BASE-LCP'!$K:$K,'BASE-LCP'!$A:$A,Capex!$A75,'BASE-LCP'!$B:$B,"setembro")/1000,IF(LEFT($A84,3)="icp",SUMIFS('BASE-ICP'!$K:$K,'BASE-ICP'!$A:$A,Capex!$A75,'BASE-ICP'!$B:$B,"setembro")/1000,"")),"")</f>
        <v>0</v>
      </c>
      <c r="CY84" s="427">
        <v>0</v>
      </c>
      <c r="CZ84" s="372"/>
      <c r="DA84" s="419"/>
      <c r="DB84" s="423">
        <f>IFERROR(IF(LEFT($A84,3)="Lcp",SUMIFS('BASE-LCP'!$K:$K,'BASE-LCP'!$A:$A,Capex!$A75,'BASE-LCP'!$B:$B,"outubro")/1000,IF(LEFT($A84,3)="icp",SUMIFS('BASE-ICP'!$K:$K,'BASE-ICP'!$A:$A,Capex!$A75,'BASE-ICP'!$B:$B,"outubro")/1000,"")),"")</f>
        <v>0</v>
      </c>
      <c r="DC84" s="427">
        <v>0</v>
      </c>
      <c r="DD84" s="372"/>
      <c r="DE84" s="419"/>
      <c r="DF84" s="423">
        <f>IFERROR(IF(LEFT($A84,3)="Lcp",SUMIFS('BASE-LCP'!$K:$K,'BASE-LCP'!$A:$A,Capex!$A75,'BASE-LCP'!$B:$B,"novembro")/1000,IF(LEFT($A84,3)="icp",SUMIFS('BASE-ICP'!$K:$K,'BASE-ICP'!$A:$A,Capex!$A75,'BASE-ICP'!$B:$B,"novembro")/1000,"")),"")</f>
        <v>0</v>
      </c>
      <c r="DG84" s="427">
        <v>0</v>
      </c>
      <c r="DH84" s="372"/>
      <c r="DI84" s="419"/>
      <c r="DJ84" s="423">
        <f>IFERROR(IF(LEFT($A84,3)="Lcp",SUMIFS('BASE-LCP'!$K:$K,'BASE-LCP'!$A:$A,Capex!$A75,'BASE-LCP'!$B:$B,"dezembro")/1000,IF(LEFT($A84,3)="icp",SUMIFS('BASE-ICP'!$K:$K,'BASE-ICP'!$A:$A,Capex!$A75,'BASE-ICP'!$B:$B,"dezembro")/1000,"")),"")</f>
        <v>0</v>
      </c>
      <c r="DK84" s="427">
        <v>0</v>
      </c>
      <c r="DL84" s="452">
        <f t="shared" si="51"/>
        <v>0</v>
      </c>
      <c r="DM84" s="374"/>
      <c r="DN84" s="374"/>
      <c r="DO84" s="374"/>
      <c r="DP84" s="374"/>
      <c r="DQ84" s="374"/>
      <c r="DR84" s="374"/>
      <c r="DS84" s="374"/>
      <c r="DT84" s="374"/>
      <c r="DU84" s="374"/>
      <c r="DV84" s="374"/>
      <c r="DW84" s="374"/>
      <c r="DX84" s="374"/>
      <c r="DY84" s="450"/>
      <c r="DZ84" s="374">
        <f t="shared" si="52"/>
        <v>0</v>
      </c>
      <c r="EA84" s="216">
        <f t="shared" si="53"/>
        <v>0</v>
      </c>
      <c r="EB84" s="320">
        <f t="shared" si="54"/>
        <v>0</v>
      </c>
      <c r="EC84" s="241">
        <f t="shared" si="55"/>
        <v>0</v>
      </c>
      <c r="ED84" s="241">
        <f t="shared" si="56"/>
        <v>0</v>
      </c>
      <c r="EE84" s="241">
        <f t="shared" si="57"/>
        <v>0</v>
      </c>
      <c r="EF84" s="241">
        <f t="shared" si="58"/>
        <v>0</v>
      </c>
      <c r="EG84" s="346">
        <f t="shared" si="59"/>
        <v>0</v>
      </c>
      <c r="EH84" s="445">
        <f t="shared" si="60"/>
        <v>0</v>
      </c>
      <c r="EI84" s="447">
        <f t="shared" si="61"/>
        <v>0</v>
      </c>
      <c r="EJ84" s="364">
        <f t="shared" si="62"/>
        <v>0</v>
      </c>
      <c r="EK84" s="365">
        <f t="shared" si="63"/>
        <v>0</v>
      </c>
      <c r="EL84" s="529">
        <f t="shared" si="64"/>
        <v>0</v>
      </c>
      <c r="EM84" s="530">
        <v>0</v>
      </c>
      <c r="EN84" s="530">
        <v>0</v>
      </c>
      <c r="EO84" s="530">
        <v>0</v>
      </c>
      <c r="EP84" s="530">
        <v>0</v>
      </c>
      <c r="EQ84" s="530">
        <v>0</v>
      </c>
      <c r="ER84" s="530">
        <v>0</v>
      </c>
      <c r="ES84" s="530">
        <v>0</v>
      </c>
      <c r="ET84" s="530">
        <v>0</v>
      </c>
      <c r="EU84" s="530">
        <v>0</v>
      </c>
      <c r="EV84" s="530">
        <v>0</v>
      </c>
      <c r="EW84" s="530">
        <v>0</v>
      </c>
      <c r="EX84" s="530">
        <v>0</v>
      </c>
      <c r="EY84" s="530">
        <f t="shared" si="65"/>
        <v>0</v>
      </c>
      <c r="EZ84" s="530">
        <f t="shared" si="66"/>
        <v>0</v>
      </c>
      <c r="FA84" s="530">
        <f t="shared" si="67"/>
        <v>0</v>
      </c>
      <c r="FB84" s="530">
        <f t="shared" si="68"/>
        <v>0</v>
      </c>
      <c r="FC84" s="384">
        <f>IFERROR(VLOOKUP(Capex!A75,BASE_558!D:R,8,FALSE)/1000,"")</f>
        <v>350</v>
      </c>
      <c r="FD84" s="328">
        <f>IFERROR(VLOOKUP(Capex!A75,BASE_558!D:R,9,)/1000,"")</f>
        <v>347.07238000000001</v>
      </c>
      <c r="FE84" s="328">
        <f>IFERROR(IF(LEFT(A84,3)="LCP",(VLOOKUP(Capex!A75,BASE_558!D:R,10,)/1000),SUMIFS('BASE ICP_PO_SC'!F:F,'BASE ICP_PO_SC'!A:A,Capex!A75,'BASE ICP_PO_SC'!E:E,"&lt;&gt;")/1000),"")</f>
        <v>0</v>
      </c>
      <c r="FF84" s="328">
        <f>IFERROR(IF(LEFT(A84,3)="LCP",(VLOOKUP(Capex!A75,BASE_558!D:R,11,)/1000),SUMIFS('BASE ICP_PO_SC'!F:F,'BASE ICP_PO_SC'!A:A,Capex!A75,'BASE ICP_PO_SC'!E:E,"")/1000),"")</f>
        <v>0</v>
      </c>
      <c r="FG84" s="328">
        <f>IFERROR(VLOOKUP(A84,BASE_558!D:R,13,FALSE)/1000,"")</f>
        <v>341.41795999999999</v>
      </c>
      <c r="FH84" s="328">
        <f>IFERROR(VLOOKUP(A84,BASE_558!D:R,15,FALSE)/1000,"")</f>
        <v>13.59904</v>
      </c>
      <c r="FI84" s="547">
        <f t="shared" si="69"/>
        <v>0</v>
      </c>
      <c r="FJ84" s="547">
        <f t="shared" si="70"/>
        <v>0</v>
      </c>
      <c r="FK84" s="540">
        <f t="shared" si="71"/>
        <v>0</v>
      </c>
    </row>
    <row r="85" spans="1:167" s="23" customFormat="1" ht="24" customHeight="1">
      <c r="A85" s="84" t="s">
        <v>37</v>
      </c>
      <c r="B85" s="404"/>
      <c r="C85" s="404"/>
      <c r="D85" s="338" t="s">
        <v>2211</v>
      </c>
      <c r="E85" s="378"/>
      <c r="F85" s="5"/>
      <c r="G85" s="310" t="s">
        <v>9</v>
      </c>
      <c r="H85" s="338"/>
      <c r="I85" s="338"/>
      <c r="J85" s="338">
        <v>2017</v>
      </c>
      <c r="K85" s="316">
        <v>42943</v>
      </c>
      <c r="L85" s="317">
        <v>44029</v>
      </c>
      <c r="M85" s="409"/>
      <c r="N85" s="317">
        <f t="shared" si="38"/>
        <v>43855</v>
      </c>
      <c r="O85" s="317">
        <f t="shared" si="39"/>
        <v>44220</v>
      </c>
      <c r="P85" s="418" t="str">
        <f t="shared" ref="P85:AA94" si="73">IF($N85="","N/A",IF($O85="","N/A",IF(P$2&lt;=$N85,"NÃO",IF($AJ85="REL ","SIM",IF(P$2&lt;$O85,"NÃO",IF($AJ85&lt;&gt;"CLSD","SIM","CRTD"))))))</f>
        <v>CRTD</v>
      </c>
      <c r="Q85" s="418" t="str">
        <f t="shared" si="73"/>
        <v>CRTD</v>
      </c>
      <c r="R85" s="418" t="str">
        <f t="shared" si="73"/>
        <v>CRTD</v>
      </c>
      <c r="S85" s="418" t="str">
        <f t="shared" si="73"/>
        <v>CRTD</v>
      </c>
      <c r="T85" s="418" t="str">
        <f t="shared" si="73"/>
        <v>CRTD</v>
      </c>
      <c r="U85" s="418" t="str">
        <f t="shared" si="73"/>
        <v>CRTD</v>
      </c>
      <c r="V85" s="418" t="str">
        <f t="shared" si="73"/>
        <v>CRTD</v>
      </c>
      <c r="W85" s="418" t="str">
        <f t="shared" si="73"/>
        <v>CRTD</v>
      </c>
      <c r="X85" s="418" t="str">
        <f t="shared" si="73"/>
        <v>CRTD</v>
      </c>
      <c r="Y85" s="418" t="str">
        <f t="shared" si="73"/>
        <v>CRTD</v>
      </c>
      <c r="Z85" s="418" t="str">
        <f t="shared" si="73"/>
        <v>CRTD</v>
      </c>
      <c r="AA85" s="418" t="str">
        <f t="shared" si="73"/>
        <v>CRTD</v>
      </c>
      <c r="AB85" s="317"/>
      <c r="AC85" s="309" t="s">
        <v>3931</v>
      </c>
      <c r="AD85" s="311" t="s">
        <v>223</v>
      </c>
      <c r="AE85" s="311"/>
      <c r="AF85" s="310" t="s">
        <v>6985</v>
      </c>
      <c r="AG85" s="310" t="s">
        <v>9083</v>
      </c>
      <c r="AH85" s="310" t="s">
        <v>38</v>
      </c>
      <c r="AI85" s="381" t="s">
        <v>188</v>
      </c>
      <c r="AJ85" s="6" t="s">
        <v>218</v>
      </c>
      <c r="AK85" s="6" t="str">
        <f t="shared" si="49"/>
        <v>IGUAL</v>
      </c>
      <c r="AL85" s="151" t="str">
        <f>IFERROR(IF(LEFT(A85,3)="LCP",VLOOKUP(A85,STATUS_SAP_LCP!B:C,2,FALSE),VLOOKUP(A85,STATUS_SAP_ICP!B:C,2,FALSE)),"NO BUDGET")</f>
        <v>CLSD BUDG AUC  AVAC  //  RJCD BREL EXPL</v>
      </c>
      <c r="AM85" s="6" t="str">
        <f t="shared" si="48"/>
        <v>CLSD</v>
      </c>
      <c r="AN85" s="282" t="s">
        <v>9096</v>
      </c>
      <c r="AO85" s="493">
        <v>1</v>
      </c>
      <c r="AP85" s="499" t="s">
        <v>9607</v>
      </c>
      <c r="AQ85" s="465">
        <v>44029</v>
      </c>
      <c r="AR85" s="460"/>
      <c r="AS85" s="56">
        <v>32.226922696860782</v>
      </c>
      <c r="AT85" s="185">
        <v>0</v>
      </c>
      <c r="AU85" s="318">
        <v>0</v>
      </c>
      <c r="AV85" s="223">
        <v>0</v>
      </c>
      <c r="AW85" s="318">
        <v>0</v>
      </c>
      <c r="AX85" s="223">
        <v>0</v>
      </c>
      <c r="AY85" s="318">
        <f t="shared" si="40"/>
        <v>0</v>
      </c>
      <c r="AZ85" s="223"/>
      <c r="BA85" s="318"/>
      <c r="BB85" s="519">
        <f t="shared" si="41"/>
        <v>0</v>
      </c>
      <c r="BC85" s="518"/>
      <c r="BD85" s="518"/>
      <c r="BE85" s="518"/>
      <c r="BF85" s="518"/>
      <c r="BG85" s="518"/>
      <c r="BH85" s="518"/>
      <c r="BI85" s="518"/>
      <c r="BJ85" s="518"/>
      <c r="BK85" s="518"/>
      <c r="BL85" s="518"/>
      <c r="BM85" s="518"/>
      <c r="BN85" s="518"/>
      <c r="BO85" s="367">
        <f t="shared" si="50"/>
        <v>0</v>
      </c>
      <c r="BP85" s="421"/>
      <c r="BQ85" s="422"/>
      <c r="BR85" s="423">
        <f>IFERROR(IF(LEFT($A85,3)="Lcp",SUMIFS('BASE-LCP'!$K:$K,'BASE-LCP'!$A:$A,Capex!$A76,'BASE-LCP'!$B:$B,"janeiro")/1000,IF(LEFT($A85,3)="icp",SUMIFS('BASE-ICP'!$K:$K,'BASE-ICP'!$A:$A,Capex!$A76,'BASE-ICP'!$B:$B,"janeiro")/1000,"")),"")</f>
        <v>0</v>
      </c>
      <c r="BS85" s="427">
        <v>0</v>
      </c>
      <c r="BT85" s="372">
        <v>0</v>
      </c>
      <c r="BU85" s="422"/>
      <c r="BV85" s="423">
        <f>IFERROR(IF(LEFT($A85,3)="Lcp",SUMIFS('BASE-LCP'!$K:$K,'BASE-LCP'!$A:$A,Capex!$A76,'BASE-LCP'!$B:$B,"fevereiro")/1000,IF(LEFT($A85,3)="icp",SUMIFS('BASE-ICP'!$K:$K,'BASE-ICP'!$A:$A,Capex!$A76,'BASE-ICP'!$B:$B,"fevereiro")/1000,"")),"")</f>
        <v>0</v>
      </c>
      <c r="BW85" s="427">
        <v>0</v>
      </c>
      <c r="BX85" s="372">
        <v>0</v>
      </c>
      <c r="BY85" s="419"/>
      <c r="BZ85" s="423">
        <f>IFERROR(IF(LEFT($A85,3)="Lcp",SUMIFS('BASE-LCP'!$K:$K,'BASE-LCP'!$A:$A,Capex!$A76,'BASE-LCP'!$B:$B,"março")/1000,IF(LEFT($A85,3)="icp",SUMIFS('BASE-ICP'!$K:$K,'BASE-ICP'!$A:$A,Capex!$A76,'BASE-ICP'!$B:$B,"março")/1000,"")),"")</f>
        <v>0</v>
      </c>
      <c r="CA85" s="427">
        <v>0</v>
      </c>
      <c r="CB85" s="372">
        <v>0</v>
      </c>
      <c r="CC85" s="422"/>
      <c r="CD85" s="423">
        <f>IFERROR(IF(LEFT($A85,3)="Lcp",SUMIFS('BASE-LCP'!$K:$K,'BASE-LCP'!$A:$A,Capex!$A76,'BASE-LCP'!$B:$B,"abril")/1000,IF(LEFT($A85,3)="icp",SUMIFS('BASE-ICP'!$K:$K,'BASE-ICP'!$A:$A,Capex!$A76,'BASE-ICP'!$B:$B,"abril")/1000,"")),"")</f>
        <v>0</v>
      </c>
      <c r="CE85" s="427">
        <v>0</v>
      </c>
      <c r="CF85" s="372">
        <v>0</v>
      </c>
      <c r="CG85" s="419"/>
      <c r="CH85" s="423">
        <v>0</v>
      </c>
      <c r="CI85" s="427">
        <v>0</v>
      </c>
      <c r="CJ85" s="372">
        <v>0</v>
      </c>
      <c r="CK85" s="419"/>
      <c r="CL85" s="423">
        <f>IFERROR(IF(LEFT($A85,3)="Lcp",SUMIFS('BASE-LCP'!$K:$K,'BASE-LCP'!$A:$A,Capex!$A76,'BASE-LCP'!$B:$B,"junho")/1000,IF(LEFT($A85,3)="icp",SUMIFS('BASE-ICP'!$K:$K,'BASE-ICP'!$A:$A,Capex!$A76,'BASE-ICP'!$B:$B,"junho")/1000,"")),"")</f>
        <v>0</v>
      </c>
      <c r="CM85" s="427">
        <v>0</v>
      </c>
      <c r="CN85" s="372"/>
      <c r="CO85" s="419"/>
      <c r="CP85" s="423">
        <f>IFERROR(IF(LEFT($A85,3)="Lcp",SUMIFS('BASE-LCP'!$K:$K,'BASE-LCP'!$A:$A,Capex!$A76,'BASE-LCP'!$B:$B,"julho")/1000,IF(LEFT($A85,3)="icp",SUMIFS('BASE-ICP'!$K:$K,'BASE-ICP'!$A:$A,Capex!$A76,'BASE-ICP'!$B:$B,"julho")/1000,"")),"")</f>
        <v>0</v>
      </c>
      <c r="CQ85" s="427">
        <v>0</v>
      </c>
      <c r="CR85" s="372"/>
      <c r="CS85" s="419"/>
      <c r="CT85" s="423">
        <f>IFERROR(IF(LEFT($A85,3)="Lcp",SUMIFS('BASE-LCP'!$K:$K,'BASE-LCP'!$A:$A,Capex!$A76,'BASE-LCP'!$B:$B,"agosto")/1000,IF(LEFT($A85,3)="icp",SUMIFS('BASE-ICP'!$K:$K,'BASE-ICP'!$A:$A,Capex!$A76,'BASE-ICP'!$B:$B,"agosto")/1000,"")),"")</f>
        <v>0</v>
      </c>
      <c r="CU85" s="427">
        <v>0</v>
      </c>
      <c r="CV85" s="372"/>
      <c r="CW85" s="419"/>
      <c r="CX85" s="423">
        <f>IFERROR(IF(LEFT($A85,3)="Lcp",SUMIFS('BASE-LCP'!$K:$K,'BASE-LCP'!$A:$A,Capex!$A76,'BASE-LCP'!$B:$B,"setembro")/1000,IF(LEFT($A85,3)="icp",SUMIFS('BASE-ICP'!$K:$K,'BASE-ICP'!$A:$A,Capex!$A76,'BASE-ICP'!$B:$B,"setembro")/1000,"")),"")</f>
        <v>0</v>
      </c>
      <c r="CY85" s="427">
        <v>0</v>
      </c>
      <c r="CZ85" s="372"/>
      <c r="DA85" s="419"/>
      <c r="DB85" s="423">
        <f>IFERROR(IF(LEFT($A85,3)="Lcp",SUMIFS('BASE-LCP'!$K:$K,'BASE-LCP'!$A:$A,Capex!$A76,'BASE-LCP'!$B:$B,"outubro")/1000,IF(LEFT($A85,3)="icp",SUMIFS('BASE-ICP'!$K:$K,'BASE-ICP'!$A:$A,Capex!$A76,'BASE-ICP'!$B:$B,"outubro")/1000,"")),"")</f>
        <v>0</v>
      </c>
      <c r="DC85" s="427">
        <v>0</v>
      </c>
      <c r="DD85" s="372"/>
      <c r="DE85" s="419"/>
      <c r="DF85" s="423">
        <f>IFERROR(IF(LEFT($A85,3)="Lcp",SUMIFS('BASE-LCP'!$K:$K,'BASE-LCP'!$A:$A,Capex!$A76,'BASE-LCP'!$B:$B,"novembro")/1000,IF(LEFT($A85,3)="icp",SUMIFS('BASE-ICP'!$K:$K,'BASE-ICP'!$A:$A,Capex!$A76,'BASE-ICP'!$B:$B,"novembro")/1000,"")),"")</f>
        <v>0</v>
      </c>
      <c r="DG85" s="427">
        <v>0</v>
      </c>
      <c r="DH85" s="372"/>
      <c r="DI85" s="419"/>
      <c r="DJ85" s="423">
        <f>IFERROR(IF(LEFT($A85,3)="Lcp",SUMIFS('BASE-LCP'!$K:$K,'BASE-LCP'!$A:$A,Capex!$A76,'BASE-LCP'!$B:$B,"dezembro")/1000,IF(LEFT($A85,3)="icp",SUMIFS('BASE-ICP'!$K:$K,'BASE-ICP'!$A:$A,Capex!$A76,'BASE-ICP'!$B:$B,"dezembro")/1000,"")),"")</f>
        <v>0</v>
      </c>
      <c r="DK85" s="427">
        <v>0</v>
      </c>
      <c r="DL85" s="452">
        <f t="shared" si="51"/>
        <v>0</v>
      </c>
      <c r="DM85" s="374"/>
      <c r="DN85" s="374"/>
      <c r="DO85" s="374"/>
      <c r="DP85" s="374"/>
      <c r="DQ85" s="374"/>
      <c r="DR85" s="374"/>
      <c r="DS85" s="374"/>
      <c r="DT85" s="374"/>
      <c r="DU85" s="374"/>
      <c r="DV85" s="374"/>
      <c r="DW85" s="374"/>
      <c r="DX85" s="374"/>
      <c r="DY85" s="450"/>
      <c r="DZ85" s="374">
        <f t="shared" si="52"/>
        <v>0</v>
      </c>
      <c r="EA85" s="216">
        <f t="shared" si="53"/>
        <v>0</v>
      </c>
      <c r="EB85" s="320">
        <f t="shared" si="54"/>
        <v>0</v>
      </c>
      <c r="EC85" s="241">
        <f t="shared" si="55"/>
        <v>0</v>
      </c>
      <c r="ED85" s="241">
        <f t="shared" si="56"/>
        <v>0</v>
      </c>
      <c r="EE85" s="241">
        <f t="shared" si="57"/>
        <v>0</v>
      </c>
      <c r="EF85" s="241">
        <f t="shared" si="58"/>
        <v>0</v>
      </c>
      <c r="EG85" s="346">
        <f t="shared" si="59"/>
        <v>0</v>
      </c>
      <c r="EH85" s="445">
        <f t="shared" si="60"/>
        <v>0</v>
      </c>
      <c r="EI85" s="447">
        <f t="shared" si="61"/>
        <v>0</v>
      </c>
      <c r="EJ85" s="364">
        <f t="shared" si="62"/>
        <v>0</v>
      </c>
      <c r="EK85" s="365">
        <f t="shared" si="63"/>
        <v>0</v>
      </c>
      <c r="EL85" s="529">
        <f t="shared" si="64"/>
        <v>0</v>
      </c>
      <c r="EM85" s="530">
        <v>0</v>
      </c>
      <c r="EN85" s="530">
        <v>0</v>
      </c>
      <c r="EO85" s="530">
        <v>0</v>
      </c>
      <c r="EP85" s="530">
        <v>0</v>
      </c>
      <c r="EQ85" s="530">
        <v>0</v>
      </c>
      <c r="ER85" s="530">
        <v>0</v>
      </c>
      <c r="ES85" s="530">
        <v>0</v>
      </c>
      <c r="ET85" s="530">
        <v>0</v>
      </c>
      <c r="EU85" s="530">
        <v>0</v>
      </c>
      <c r="EV85" s="530">
        <v>0</v>
      </c>
      <c r="EW85" s="530">
        <v>0</v>
      </c>
      <c r="EX85" s="530">
        <v>0</v>
      </c>
      <c r="EY85" s="530">
        <f t="shared" si="65"/>
        <v>0</v>
      </c>
      <c r="EZ85" s="530">
        <f t="shared" si="66"/>
        <v>0</v>
      </c>
      <c r="FA85" s="530">
        <f t="shared" si="67"/>
        <v>0</v>
      </c>
      <c r="FB85" s="530">
        <f t="shared" si="68"/>
        <v>0</v>
      </c>
      <c r="FC85" s="384">
        <f>IFERROR(VLOOKUP(Capex!A76,BASE_558!D:R,8,FALSE)/1000,"")</f>
        <v>770.1</v>
      </c>
      <c r="FD85" s="328">
        <f>IFERROR(VLOOKUP(Capex!A76,BASE_558!D:R,9,)/1000,"")</f>
        <v>744.72299999999996</v>
      </c>
      <c r="FE85" s="328">
        <f>IFERROR(IF(LEFT(A85,3)="LCP",(VLOOKUP(Capex!A76,BASE_558!D:R,10,)/1000),SUMIFS('BASE ICP_PO_SC'!F:F,'BASE ICP_PO_SC'!A:A,Capex!A76,'BASE ICP_PO_SC'!E:E,"&lt;&gt;")/1000),"")</f>
        <v>0</v>
      </c>
      <c r="FF85" s="328">
        <f>IFERROR(IF(LEFT(A85,3)="LCP",(VLOOKUP(Capex!A76,BASE_558!D:R,11,)/1000),SUMIFS('BASE ICP_PO_SC'!F:F,'BASE ICP_PO_SC'!A:A,Capex!A76,'BASE ICP_PO_SC'!E:E,"")/1000),"")</f>
        <v>1.7999999999999998E-4</v>
      </c>
      <c r="FG85" s="328">
        <f>IFERROR(VLOOKUP(A85,BASE_558!D:R,13,FALSE)/1000,"")</f>
        <v>450.6737</v>
      </c>
      <c r="FH85" s="328">
        <f>IFERROR(VLOOKUP(A85,BASE_558!D:R,15,FALSE)/1000,"")</f>
        <v>13.926299999999999</v>
      </c>
      <c r="FI85" s="547">
        <f t="shared" si="69"/>
        <v>0</v>
      </c>
      <c r="FJ85" s="547">
        <f t="shared" si="70"/>
        <v>0</v>
      </c>
      <c r="FK85" s="540">
        <f t="shared" si="71"/>
        <v>0</v>
      </c>
    </row>
    <row r="86" spans="1:167" s="23" customFormat="1" ht="24" customHeight="1">
      <c r="A86" s="84" t="s">
        <v>39</v>
      </c>
      <c r="B86" s="404"/>
      <c r="C86" s="404"/>
      <c r="D86" s="338" t="s">
        <v>2212</v>
      </c>
      <c r="E86" s="378"/>
      <c r="F86" s="5"/>
      <c r="G86" s="310" t="s">
        <v>9</v>
      </c>
      <c r="H86" s="338"/>
      <c r="I86" s="338"/>
      <c r="J86" s="338">
        <v>2017</v>
      </c>
      <c r="K86" s="316">
        <v>42943</v>
      </c>
      <c r="L86" s="317">
        <v>43500</v>
      </c>
      <c r="M86" s="409"/>
      <c r="N86" s="317">
        <f t="shared" si="38"/>
        <v>43855</v>
      </c>
      <c r="O86" s="317">
        <f t="shared" si="39"/>
        <v>44220</v>
      </c>
      <c r="P86" s="418" t="str">
        <f t="shared" si="73"/>
        <v>CRTD</v>
      </c>
      <c r="Q86" s="418" t="str">
        <f t="shared" si="73"/>
        <v>CRTD</v>
      </c>
      <c r="R86" s="418" t="str">
        <f t="shared" si="73"/>
        <v>CRTD</v>
      </c>
      <c r="S86" s="418" t="str">
        <f t="shared" si="73"/>
        <v>CRTD</v>
      </c>
      <c r="T86" s="418" t="str">
        <f t="shared" si="73"/>
        <v>CRTD</v>
      </c>
      <c r="U86" s="418" t="str">
        <f t="shared" si="73"/>
        <v>CRTD</v>
      </c>
      <c r="V86" s="418" t="str">
        <f t="shared" si="73"/>
        <v>CRTD</v>
      </c>
      <c r="W86" s="418" t="str">
        <f t="shared" si="73"/>
        <v>CRTD</v>
      </c>
      <c r="X86" s="418" t="str">
        <f t="shared" si="73"/>
        <v>CRTD</v>
      </c>
      <c r="Y86" s="418" t="str">
        <f t="shared" si="73"/>
        <v>CRTD</v>
      </c>
      <c r="Z86" s="418" t="str">
        <f t="shared" si="73"/>
        <v>CRTD</v>
      </c>
      <c r="AA86" s="418" t="str">
        <f t="shared" si="73"/>
        <v>CRTD</v>
      </c>
      <c r="AB86" s="317"/>
      <c r="AC86" s="309" t="s">
        <v>3932</v>
      </c>
      <c r="AD86" s="311" t="s">
        <v>224</v>
      </c>
      <c r="AE86" s="311"/>
      <c r="AF86" s="310" t="s">
        <v>6985</v>
      </c>
      <c r="AG86" s="310" t="s">
        <v>9083</v>
      </c>
      <c r="AH86" s="310" t="s">
        <v>40</v>
      </c>
      <c r="AI86" s="309" t="s">
        <v>187</v>
      </c>
      <c r="AJ86" s="6" t="s">
        <v>218</v>
      </c>
      <c r="AK86" s="6" t="str">
        <f t="shared" si="49"/>
        <v>IGUAL</v>
      </c>
      <c r="AL86" s="151" t="str">
        <f>IFERROR(IF(LEFT(A86,3)="LCP",VLOOKUP(A86,STATUS_SAP_LCP!B:C,2,FALSE),VLOOKUP(A86,STATUS_SAP_ICP!B:C,2,FALSE)),"NO BUDGET")</f>
        <v>CLSD BUDG AUC  AVAC  //  APPR BREL EXPL</v>
      </c>
      <c r="AM86" s="6" t="str">
        <f t="shared" si="48"/>
        <v>CLSD</v>
      </c>
      <c r="AN86" s="282" t="s">
        <v>9096</v>
      </c>
      <c r="AO86" s="493">
        <v>1</v>
      </c>
      <c r="AP86" s="499" t="s">
        <v>9607</v>
      </c>
      <c r="AQ86" s="465">
        <v>43500</v>
      </c>
      <c r="AR86" s="460"/>
      <c r="AS86" s="56">
        <v>0.16700000000000001</v>
      </c>
      <c r="AT86" s="185">
        <v>0</v>
      </c>
      <c r="AU86" s="318">
        <v>0</v>
      </c>
      <c r="AV86" s="223">
        <v>0</v>
      </c>
      <c r="AW86" s="318">
        <v>0</v>
      </c>
      <c r="AX86" s="223">
        <v>0</v>
      </c>
      <c r="AY86" s="318">
        <f t="shared" si="40"/>
        <v>0</v>
      </c>
      <c r="AZ86" s="223"/>
      <c r="BA86" s="318"/>
      <c r="BB86" s="519">
        <f t="shared" si="41"/>
        <v>0</v>
      </c>
      <c r="BC86" s="518"/>
      <c r="BD86" s="518"/>
      <c r="BE86" s="518"/>
      <c r="BF86" s="518"/>
      <c r="BG86" s="518"/>
      <c r="BH86" s="518"/>
      <c r="BI86" s="518"/>
      <c r="BJ86" s="518"/>
      <c r="BK86" s="518"/>
      <c r="BL86" s="518"/>
      <c r="BM86" s="518"/>
      <c r="BN86" s="518"/>
      <c r="BO86" s="367">
        <f t="shared" si="50"/>
        <v>0</v>
      </c>
      <c r="BP86" s="421"/>
      <c r="BQ86" s="422"/>
      <c r="BR86" s="423">
        <f>IFERROR(IF(LEFT($A86,3)="Lcp",SUMIFS('BASE-LCP'!$K:$K,'BASE-LCP'!$A:$A,Capex!$A77,'BASE-LCP'!$B:$B,"janeiro")/1000,IF(LEFT($A86,3)="icp",SUMIFS('BASE-ICP'!$K:$K,'BASE-ICP'!$A:$A,Capex!$A77,'BASE-ICP'!$B:$B,"janeiro")/1000,"")),"")</f>
        <v>0</v>
      </c>
      <c r="BS86" s="427">
        <v>0</v>
      </c>
      <c r="BT86" s="372">
        <v>0</v>
      </c>
      <c r="BU86" s="422"/>
      <c r="BV86" s="423">
        <f>IFERROR(IF(LEFT($A86,3)="Lcp",SUMIFS('BASE-LCP'!$K:$K,'BASE-LCP'!$A:$A,Capex!$A77,'BASE-LCP'!$B:$B,"fevereiro")/1000,IF(LEFT($A86,3)="icp",SUMIFS('BASE-ICP'!$K:$K,'BASE-ICP'!$A:$A,Capex!$A77,'BASE-ICP'!$B:$B,"fevereiro")/1000,"")),"")</f>
        <v>0</v>
      </c>
      <c r="BW86" s="427">
        <v>0</v>
      </c>
      <c r="BX86" s="372">
        <v>0</v>
      </c>
      <c r="BY86" s="419"/>
      <c r="BZ86" s="423">
        <f>IFERROR(IF(LEFT($A86,3)="Lcp",SUMIFS('BASE-LCP'!$K:$K,'BASE-LCP'!$A:$A,Capex!$A77,'BASE-LCP'!$B:$B,"março")/1000,IF(LEFT($A86,3)="icp",SUMIFS('BASE-ICP'!$K:$K,'BASE-ICP'!$A:$A,Capex!$A77,'BASE-ICP'!$B:$B,"março")/1000,"")),"")</f>
        <v>0</v>
      </c>
      <c r="CA86" s="427">
        <v>0</v>
      </c>
      <c r="CB86" s="372">
        <v>0</v>
      </c>
      <c r="CC86" s="422"/>
      <c r="CD86" s="423">
        <f>IFERROR(IF(LEFT($A86,3)="Lcp",SUMIFS('BASE-LCP'!$K:$K,'BASE-LCP'!$A:$A,Capex!$A77,'BASE-LCP'!$B:$B,"abril")/1000,IF(LEFT($A86,3)="icp",SUMIFS('BASE-ICP'!$K:$K,'BASE-ICP'!$A:$A,Capex!$A77,'BASE-ICP'!$B:$B,"abril")/1000,"")),"")</f>
        <v>0</v>
      </c>
      <c r="CE86" s="427">
        <v>0</v>
      </c>
      <c r="CF86" s="372">
        <v>0</v>
      </c>
      <c r="CG86" s="419"/>
      <c r="CH86" s="423">
        <v>0</v>
      </c>
      <c r="CI86" s="427">
        <v>0</v>
      </c>
      <c r="CJ86" s="372">
        <v>0</v>
      </c>
      <c r="CK86" s="419"/>
      <c r="CL86" s="423">
        <f>IFERROR(IF(LEFT($A86,3)="Lcp",SUMIFS('BASE-LCP'!$K:$K,'BASE-LCP'!$A:$A,Capex!$A77,'BASE-LCP'!$B:$B,"junho")/1000,IF(LEFT($A86,3)="icp",SUMIFS('BASE-ICP'!$K:$K,'BASE-ICP'!$A:$A,Capex!$A77,'BASE-ICP'!$B:$B,"junho")/1000,"")),"")</f>
        <v>0</v>
      </c>
      <c r="CM86" s="427">
        <v>0</v>
      </c>
      <c r="CN86" s="372"/>
      <c r="CO86" s="419"/>
      <c r="CP86" s="423">
        <f>IFERROR(IF(LEFT($A86,3)="Lcp",SUMIFS('BASE-LCP'!$K:$K,'BASE-LCP'!$A:$A,Capex!$A77,'BASE-LCP'!$B:$B,"julho")/1000,IF(LEFT($A86,3)="icp",SUMIFS('BASE-ICP'!$K:$K,'BASE-ICP'!$A:$A,Capex!$A77,'BASE-ICP'!$B:$B,"julho")/1000,"")),"")</f>
        <v>0</v>
      </c>
      <c r="CQ86" s="427">
        <v>0</v>
      </c>
      <c r="CR86" s="372"/>
      <c r="CS86" s="419"/>
      <c r="CT86" s="423">
        <f>IFERROR(IF(LEFT($A86,3)="Lcp",SUMIFS('BASE-LCP'!$K:$K,'BASE-LCP'!$A:$A,Capex!$A77,'BASE-LCP'!$B:$B,"agosto")/1000,IF(LEFT($A86,3)="icp",SUMIFS('BASE-ICP'!$K:$K,'BASE-ICP'!$A:$A,Capex!$A77,'BASE-ICP'!$B:$B,"agosto")/1000,"")),"")</f>
        <v>0</v>
      </c>
      <c r="CU86" s="427">
        <v>0</v>
      </c>
      <c r="CV86" s="372"/>
      <c r="CW86" s="419"/>
      <c r="CX86" s="423">
        <f>IFERROR(IF(LEFT($A86,3)="Lcp",SUMIFS('BASE-LCP'!$K:$K,'BASE-LCP'!$A:$A,Capex!$A77,'BASE-LCP'!$B:$B,"setembro")/1000,IF(LEFT($A86,3)="icp",SUMIFS('BASE-ICP'!$K:$K,'BASE-ICP'!$A:$A,Capex!$A77,'BASE-ICP'!$B:$B,"setembro")/1000,"")),"")</f>
        <v>0</v>
      </c>
      <c r="CY86" s="427">
        <v>0</v>
      </c>
      <c r="CZ86" s="372"/>
      <c r="DA86" s="419"/>
      <c r="DB86" s="423">
        <f>IFERROR(IF(LEFT($A86,3)="Lcp",SUMIFS('BASE-LCP'!$K:$K,'BASE-LCP'!$A:$A,Capex!$A77,'BASE-LCP'!$B:$B,"outubro")/1000,IF(LEFT($A86,3)="icp",SUMIFS('BASE-ICP'!$K:$K,'BASE-ICP'!$A:$A,Capex!$A77,'BASE-ICP'!$B:$B,"outubro")/1000,"")),"")</f>
        <v>0</v>
      </c>
      <c r="DC86" s="427">
        <v>0</v>
      </c>
      <c r="DD86" s="372"/>
      <c r="DE86" s="419"/>
      <c r="DF86" s="423">
        <f>IFERROR(IF(LEFT($A86,3)="Lcp",SUMIFS('BASE-LCP'!$K:$K,'BASE-LCP'!$A:$A,Capex!$A77,'BASE-LCP'!$B:$B,"novembro")/1000,IF(LEFT($A86,3)="icp",SUMIFS('BASE-ICP'!$K:$K,'BASE-ICP'!$A:$A,Capex!$A77,'BASE-ICP'!$B:$B,"novembro")/1000,"")),"")</f>
        <v>0</v>
      </c>
      <c r="DG86" s="427">
        <v>0</v>
      </c>
      <c r="DH86" s="372"/>
      <c r="DI86" s="419"/>
      <c r="DJ86" s="423">
        <f>IFERROR(IF(LEFT($A86,3)="Lcp",SUMIFS('BASE-LCP'!$K:$K,'BASE-LCP'!$A:$A,Capex!$A77,'BASE-LCP'!$B:$B,"dezembro")/1000,IF(LEFT($A86,3)="icp",SUMIFS('BASE-ICP'!$K:$K,'BASE-ICP'!$A:$A,Capex!$A77,'BASE-ICP'!$B:$B,"dezembro")/1000,"")),"")</f>
        <v>0</v>
      </c>
      <c r="DK86" s="427">
        <v>0</v>
      </c>
      <c r="DL86" s="452">
        <f t="shared" si="51"/>
        <v>0</v>
      </c>
      <c r="DM86" s="374"/>
      <c r="DN86" s="374"/>
      <c r="DO86" s="374"/>
      <c r="DP86" s="374"/>
      <c r="DQ86" s="374"/>
      <c r="DR86" s="374"/>
      <c r="DS86" s="374"/>
      <c r="DT86" s="374"/>
      <c r="DU86" s="374"/>
      <c r="DV86" s="374"/>
      <c r="DW86" s="374"/>
      <c r="DX86" s="374"/>
      <c r="DY86" s="450"/>
      <c r="DZ86" s="374">
        <f t="shared" si="52"/>
        <v>0</v>
      </c>
      <c r="EA86" s="216">
        <f t="shared" si="53"/>
        <v>0</v>
      </c>
      <c r="EB86" s="320">
        <f t="shared" si="54"/>
        <v>0</v>
      </c>
      <c r="EC86" s="241">
        <f t="shared" si="55"/>
        <v>0</v>
      </c>
      <c r="ED86" s="241">
        <f t="shared" si="56"/>
        <v>0</v>
      </c>
      <c r="EE86" s="241">
        <f t="shared" si="57"/>
        <v>0</v>
      </c>
      <c r="EF86" s="241">
        <f t="shared" si="58"/>
        <v>0</v>
      </c>
      <c r="EG86" s="346">
        <f t="shared" si="59"/>
        <v>0</v>
      </c>
      <c r="EH86" s="445">
        <f t="shared" si="60"/>
        <v>0</v>
      </c>
      <c r="EI86" s="447">
        <f t="shared" si="61"/>
        <v>0</v>
      </c>
      <c r="EJ86" s="364">
        <f t="shared" si="62"/>
        <v>0</v>
      </c>
      <c r="EK86" s="365">
        <f t="shared" si="63"/>
        <v>0</v>
      </c>
      <c r="EL86" s="529">
        <f t="shared" si="64"/>
        <v>0</v>
      </c>
      <c r="EM86" s="530">
        <v>0</v>
      </c>
      <c r="EN86" s="530">
        <v>0</v>
      </c>
      <c r="EO86" s="530">
        <v>0</v>
      </c>
      <c r="EP86" s="530">
        <v>0</v>
      </c>
      <c r="EQ86" s="530">
        <v>0</v>
      </c>
      <c r="ER86" s="530">
        <v>0</v>
      </c>
      <c r="ES86" s="530">
        <v>0</v>
      </c>
      <c r="ET86" s="530">
        <v>0</v>
      </c>
      <c r="EU86" s="530">
        <v>0</v>
      </c>
      <c r="EV86" s="530">
        <v>0</v>
      </c>
      <c r="EW86" s="530">
        <v>0</v>
      </c>
      <c r="EX86" s="530">
        <v>0</v>
      </c>
      <c r="EY86" s="530">
        <f t="shared" si="65"/>
        <v>0</v>
      </c>
      <c r="EZ86" s="530">
        <f t="shared" si="66"/>
        <v>0</v>
      </c>
      <c r="FA86" s="530">
        <f t="shared" si="67"/>
        <v>0</v>
      </c>
      <c r="FB86" s="530">
        <f t="shared" si="68"/>
        <v>0</v>
      </c>
      <c r="FC86" s="384">
        <f>IFERROR(VLOOKUP(Capex!A77,BASE_558!D:R,8,FALSE)/1000,"")</f>
        <v>352</v>
      </c>
      <c r="FD86" s="328">
        <f>IFERROR(VLOOKUP(Capex!A77,BASE_558!D:R,9,)/1000,"")</f>
        <v>347.31648999999999</v>
      </c>
      <c r="FE86" s="328">
        <f>IFERROR(IF(LEFT(A86,3)="LCP",(VLOOKUP(Capex!A77,BASE_558!D:R,10,)/1000),SUMIFS('BASE ICP_PO_SC'!F:F,'BASE ICP_PO_SC'!A:A,Capex!A77,'BASE ICP_PO_SC'!E:E,"&lt;&gt;")/1000),"")</f>
        <v>0</v>
      </c>
      <c r="FF86" s="328">
        <f>IFERROR(IF(LEFT(A86,3)="LCP",(VLOOKUP(Capex!A77,BASE_558!D:R,11,)/1000),SUMIFS('BASE ICP_PO_SC'!F:F,'BASE ICP_PO_SC'!A:A,Capex!A77,'BASE ICP_PO_SC'!E:E,"")/1000),"")</f>
        <v>0</v>
      </c>
      <c r="FG86" s="328">
        <f>IFERROR(VLOOKUP(A86,BASE_558!D:R,13,FALSE)/1000,"")</f>
        <v>196.42189000000002</v>
      </c>
      <c r="FH86" s="328">
        <f>IFERROR(VLOOKUP(A86,BASE_558!D:R,15,FALSE)/1000,"")</f>
        <v>1.5781099999999999</v>
      </c>
      <c r="FI86" s="547">
        <f t="shared" si="69"/>
        <v>0</v>
      </c>
      <c r="FJ86" s="547">
        <f t="shared" si="70"/>
        <v>0</v>
      </c>
      <c r="FK86" s="540">
        <f t="shared" si="71"/>
        <v>0</v>
      </c>
    </row>
    <row r="87" spans="1:167" s="23" customFormat="1" ht="24" customHeight="1">
      <c r="A87" s="84" t="s">
        <v>41</v>
      </c>
      <c r="B87" s="404"/>
      <c r="C87" s="404"/>
      <c r="D87" s="338" t="s">
        <v>1264</v>
      </c>
      <c r="E87" s="378"/>
      <c r="F87" s="5"/>
      <c r="G87" s="310" t="s">
        <v>9</v>
      </c>
      <c r="H87" s="338"/>
      <c r="I87" s="338"/>
      <c r="J87" s="338">
        <v>2017</v>
      </c>
      <c r="K87" s="316">
        <v>42979</v>
      </c>
      <c r="L87" s="317">
        <v>43719</v>
      </c>
      <c r="M87" s="409"/>
      <c r="N87" s="317">
        <f t="shared" si="38"/>
        <v>43891</v>
      </c>
      <c r="O87" s="317">
        <f t="shared" si="39"/>
        <v>44256</v>
      </c>
      <c r="P87" s="418" t="str">
        <f t="shared" si="73"/>
        <v>CRTD</v>
      </c>
      <c r="Q87" s="418" t="str">
        <f t="shared" si="73"/>
        <v>CRTD</v>
      </c>
      <c r="R87" s="418" t="str">
        <f t="shared" si="73"/>
        <v>CRTD</v>
      </c>
      <c r="S87" s="418" t="str">
        <f t="shared" si="73"/>
        <v>CRTD</v>
      </c>
      <c r="T87" s="418" t="str">
        <f t="shared" si="73"/>
        <v>CRTD</v>
      </c>
      <c r="U87" s="418" t="str">
        <f t="shared" si="73"/>
        <v>CRTD</v>
      </c>
      <c r="V87" s="418" t="str">
        <f t="shared" si="73"/>
        <v>CRTD</v>
      </c>
      <c r="W87" s="418" t="str">
        <f t="shared" si="73"/>
        <v>CRTD</v>
      </c>
      <c r="X87" s="418" t="str">
        <f t="shared" si="73"/>
        <v>CRTD</v>
      </c>
      <c r="Y87" s="418" t="str">
        <f t="shared" si="73"/>
        <v>CRTD</v>
      </c>
      <c r="Z87" s="418" t="str">
        <f t="shared" si="73"/>
        <v>CRTD</v>
      </c>
      <c r="AA87" s="418" t="str">
        <f t="shared" si="73"/>
        <v>CRTD</v>
      </c>
      <c r="AB87" s="317"/>
      <c r="AC87" s="309" t="s">
        <v>3930</v>
      </c>
      <c r="AD87" s="311"/>
      <c r="AE87" s="311"/>
      <c r="AF87" s="310" t="s">
        <v>6985</v>
      </c>
      <c r="AG87" s="310" t="s">
        <v>9083</v>
      </c>
      <c r="AH87" s="310" t="s">
        <v>3239</v>
      </c>
      <c r="AI87" s="381" t="s">
        <v>188</v>
      </c>
      <c r="AJ87" s="6" t="s">
        <v>218</v>
      </c>
      <c r="AK87" s="6" t="str">
        <f t="shared" si="49"/>
        <v>IGUAL</v>
      </c>
      <c r="AL87" s="151" t="str">
        <f>IFERROR(IF(LEFT(A87,3)="LCP",VLOOKUP(A87,STATUS_SAP_LCP!B:C,2,FALSE),VLOOKUP(A87,STATUS_SAP_ICP!B:C,2,FALSE)),"NO BUDGET")</f>
        <v>CLSD BUDG AUC  AVAC  //  APPR BREL EXPL</v>
      </c>
      <c r="AM87" s="6" t="str">
        <f t="shared" si="48"/>
        <v>CLSD</v>
      </c>
      <c r="AN87" s="282" t="s">
        <v>9087</v>
      </c>
      <c r="AO87" s="493">
        <v>1</v>
      </c>
      <c r="AP87" s="499" t="s">
        <v>9607</v>
      </c>
      <c r="AQ87" s="465">
        <v>43719</v>
      </c>
      <c r="AR87" s="460"/>
      <c r="AS87" s="56">
        <v>-2.6</v>
      </c>
      <c r="AT87" s="185">
        <v>0</v>
      </c>
      <c r="AU87" s="318">
        <v>0</v>
      </c>
      <c r="AV87" s="223">
        <v>0</v>
      </c>
      <c r="AW87" s="318">
        <v>0</v>
      </c>
      <c r="AX87" s="223">
        <v>0</v>
      </c>
      <c r="AY87" s="318">
        <f t="shared" si="40"/>
        <v>0</v>
      </c>
      <c r="AZ87" s="223"/>
      <c r="BA87" s="318"/>
      <c r="BB87" s="519">
        <f t="shared" si="41"/>
        <v>0</v>
      </c>
      <c r="BC87" s="518"/>
      <c r="BD87" s="518"/>
      <c r="BE87" s="518"/>
      <c r="BF87" s="518"/>
      <c r="BG87" s="518"/>
      <c r="BH87" s="518"/>
      <c r="BI87" s="518"/>
      <c r="BJ87" s="518"/>
      <c r="BK87" s="518"/>
      <c r="BL87" s="518"/>
      <c r="BM87" s="518"/>
      <c r="BN87" s="518"/>
      <c r="BO87" s="367">
        <f t="shared" si="50"/>
        <v>0</v>
      </c>
      <c r="BP87" s="421"/>
      <c r="BQ87" s="422"/>
      <c r="BR87" s="423">
        <f>IFERROR(IF(LEFT($A87,3)="Lcp",SUMIFS('BASE-LCP'!$K:$K,'BASE-LCP'!$A:$A,Capex!$A78,'BASE-LCP'!$B:$B,"janeiro")/1000,IF(LEFT($A87,3)="icp",SUMIFS('BASE-ICP'!$K:$K,'BASE-ICP'!$A:$A,Capex!$A78,'BASE-ICP'!$B:$B,"janeiro")/1000,"")),"")</f>
        <v>0</v>
      </c>
      <c r="BS87" s="427">
        <v>0</v>
      </c>
      <c r="BT87" s="372">
        <v>0</v>
      </c>
      <c r="BU87" s="422"/>
      <c r="BV87" s="423">
        <f>IFERROR(IF(LEFT($A87,3)="Lcp",SUMIFS('BASE-LCP'!$K:$K,'BASE-LCP'!$A:$A,Capex!$A78,'BASE-LCP'!$B:$B,"fevereiro")/1000,IF(LEFT($A87,3)="icp",SUMIFS('BASE-ICP'!$K:$K,'BASE-ICP'!$A:$A,Capex!$A78,'BASE-ICP'!$B:$B,"fevereiro")/1000,"")),"")</f>
        <v>0</v>
      </c>
      <c r="BW87" s="427">
        <v>0</v>
      </c>
      <c r="BX87" s="372">
        <v>0</v>
      </c>
      <c r="BY87" s="419"/>
      <c r="BZ87" s="423">
        <f>IFERROR(IF(LEFT($A87,3)="Lcp",SUMIFS('BASE-LCP'!$K:$K,'BASE-LCP'!$A:$A,Capex!$A78,'BASE-LCP'!$B:$B,"março")/1000,IF(LEFT($A87,3)="icp",SUMIFS('BASE-ICP'!$K:$K,'BASE-ICP'!$A:$A,Capex!$A78,'BASE-ICP'!$B:$B,"março")/1000,"")),"")</f>
        <v>0</v>
      </c>
      <c r="CA87" s="427">
        <v>0</v>
      </c>
      <c r="CB87" s="372">
        <v>0</v>
      </c>
      <c r="CC87" s="422"/>
      <c r="CD87" s="423">
        <f>IFERROR(IF(LEFT($A87,3)="Lcp",SUMIFS('BASE-LCP'!$K:$K,'BASE-LCP'!$A:$A,Capex!$A78,'BASE-LCP'!$B:$B,"abril")/1000,IF(LEFT($A87,3)="icp",SUMIFS('BASE-ICP'!$K:$K,'BASE-ICP'!$A:$A,Capex!$A78,'BASE-ICP'!$B:$B,"abril")/1000,"")),"")</f>
        <v>0</v>
      </c>
      <c r="CE87" s="427">
        <v>0</v>
      </c>
      <c r="CF87" s="372">
        <v>0</v>
      </c>
      <c r="CG87" s="419"/>
      <c r="CH87" s="423">
        <v>0</v>
      </c>
      <c r="CI87" s="427">
        <v>0</v>
      </c>
      <c r="CJ87" s="372">
        <v>0</v>
      </c>
      <c r="CK87" s="419"/>
      <c r="CL87" s="423">
        <f>IFERROR(IF(LEFT($A87,3)="Lcp",SUMIFS('BASE-LCP'!$K:$K,'BASE-LCP'!$A:$A,Capex!$A78,'BASE-LCP'!$B:$B,"junho")/1000,IF(LEFT($A87,3)="icp",SUMIFS('BASE-ICP'!$K:$K,'BASE-ICP'!$A:$A,Capex!$A78,'BASE-ICP'!$B:$B,"junho")/1000,"")),"")</f>
        <v>0</v>
      </c>
      <c r="CM87" s="427">
        <v>0</v>
      </c>
      <c r="CN87" s="372"/>
      <c r="CO87" s="419"/>
      <c r="CP87" s="423">
        <f>IFERROR(IF(LEFT($A87,3)="Lcp",SUMIFS('BASE-LCP'!$K:$K,'BASE-LCP'!$A:$A,Capex!$A78,'BASE-LCP'!$B:$B,"julho")/1000,IF(LEFT($A87,3)="icp",SUMIFS('BASE-ICP'!$K:$K,'BASE-ICP'!$A:$A,Capex!$A78,'BASE-ICP'!$B:$B,"julho")/1000,"")),"")</f>
        <v>0</v>
      </c>
      <c r="CQ87" s="427">
        <v>0</v>
      </c>
      <c r="CR87" s="372"/>
      <c r="CS87" s="419"/>
      <c r="CT87" s="423">
        <f>IFERROR(IF(LEFT($A87,3)="Lcp",SUMIFS('BASE-LCP'!$K:$K,'BASE-LCP'!$A:$A,Capex!$A78,'BASE-LCP'!$B:$B,"agosto")/1000,IF(LEFT($A87,3)="icp",SUMIFS('BASE-ICP'!$K:$K,'BASE-ICP'!$A:$A,Capex!$A78,'BASE-ICP'!$B:$B,"agosto")/1000,"")),"")</f>
        <v>0</v>
      </c>
      <c r="CU87" s="427">
        <v>0</v>
      </c>
      <c r="CV87" s="372"/>
      <c r="CW87" s="419"/>
      <c r="CX87" s="423">
        <f>IFERROR(IF(LEFT($A87,3)="Lcp",SUMIFS('BASE-LCP'!$K:$K,'BASE-LCP'!$A:$A,Capex!$A78,'BASE-LCP'!$B:$B,"setembro")/1000,IF(LEFT($A87,3)="icp",SUMIFS('BASE-ICP'!$K:$K,'BASE-ICP'!$A:$A,Capex!$A78,'BASE-ICP'!$B:$B,"setembro")/1000,"")),"")</f>
        <v>0</v>
      </c>
      <c r="CY87" s="427">
        <v>0</v>
      </c>
      <c r="CZ87" s="372"/>
      <c r="DA87" s="419"/>
      <c r="DB87" s="423">
        <f>IFERROR(IF(LEFT($A87,3)="Lcp",SUMIFS('BASE-LCP'!$K:$K,'BASE-LCP'!$A:$A,Capex!$A78,'BASE-LCP'!$B:$B,"outubro")/1000,IF(LEFT($A87,3)="icp",SUMIFS('BASE-ICP'!$K:$K,'BASE-ICP'!$A:$A,Capex!$A78,'BASE-ICP'!$B:$B,"outubro")/1000,"")),"")</f>
        <v>0</v>
      </c>
      <c r="DC87" s="427">
        <v>0</v>
      </c>
      <c r="DD87" s="372"/>
      <c r="DE87" s="419"/>
      <c r="DF87" s="423">
        <f>IFERROR(IF(LEFT($A87,3)="Lcp",SUMIFS('BASE-LCP'!$K:$K,'BASE-LCP'!$A:$A,Capex!$A78,'BASE-LCP'!$B:$B,"novembro")/1000,IF(LEFT($A87,3)="icp",SUMIFS('BASE-ICP'!$K:$K,'BASE-ICP'!$A:$A,Capex!$A78,'BASE-ICP'!$B:$B,"novembro")/1000,"")),"")</f>
        <v>0</v>
      </c>
      <c r="DG87" s="427">
        <v>0</v>
      </c>
      <c r="DH87" s="372"/>
      <c r="DI87" s="419"/>
      <c r="DJ87" s="423">
        <f>IFERROR(IF(LEFT($A87,3)="Lcp",SUMIFS('BASE-LCP'!$K:$K,'BASE-LCP'!$A:$A,Capex!$A78,'BASE-LCP'!$B:$B,"dezembro")/1000,IF(LEFT($A87,3)="icp",SUMIFS('BASE-ICP'!$K:$K,'BASE-ICP'!$A:$A,Capex!$A78,'BASE-ICP'!$B:$B,"dezembro")/1000,"")),"")</f>
        <v>0</v>
      </c>
      <c r="DK87" s="427">
        <v>0</v>
      </c>
      <c r="DL87" s="452">
        <f t="shared" si="51"/>
        <v>0</v>
      </c>
      <c r="DM87" s="374"/>
      <c r="DN87" s="374"/>
      <c r="DO87" s="374"/>
      <c r="DP87" s="374"/>
      <c r="DQ87" s="374"/>
      <c r="DR87" s="374"/>
      <c r="DS87" s="374"/>
      <c r="DT87" s="374"/>
      <c r="DU87" s="374"/>
      <c r="DV87" s="374"/>
      <c r="DW87" s="374"/>
      <c r="DX87" s="374"/>
      <c r="DY87" s="450"/>
      <c r="DZ87" s="374">
        <f t="shared" si="52"/>
        <v>0</v>
      </c>
      <c r="EA87" s="216">
        <f t="shared" si="53"/>
        <v>0</v>
      </c>
      <c r="EB87" s="320">
        <f t="shared" si="54"/>
        <v>0</v>
      </c>
      <c r="EC87" s="241">
        <f t="shared" si="55"/>
        <v>0</v>
      </c>
      <c r="ED87" s="241">
        <f t="shared" si="56"/>
        <v>0</v>
      </c>
      <c r="EE87" s="241">
        <f t="shared" si="57"/>
        <v>0</v>
      </c>
      <c r="EF87" s="241">
        <f t="shared" si="58"/>
        <v>0</v>
      </c>
      <c r="EG87" s="346">
        <f t="shared" si="59"/>
        <v>0</v>
      </c>
      <c r="EH87" s="445">
        <f t="shared" si="60"/>
        <v>0</v>
      </c>
      <c r="EI87" s="447">
        <f t="shared" si="61"/>
        <v>0</v>
      </c>
      <c r="EJ87" s="364">
        <f t="shared" si="62"/>
        <v>0</v>
      </c>
      <c r="EK87" s="365">
        <f t="shared" si="63"/>
        <v>0</v>
      </c>
      <c r="EL87" s="529">
        <f t="shared" si="64"/>
        <v>0</v>
      </c>
      <c r="EM87" s="530">
        <v>0</v>
      </c>
      <c r="EN87" s="530">
        <v>0</v>
      </c>
      <c r="EO87" s="530">
        <v>0</v>
      </c>
      <c r="EP87" s="530">
        <v>0</v>
      </c>
      <c r="EQ87" s="530">
        <v>0</v>
      </c>
      <c r="ER87" s="530">
        <v>0</v>
      </c>
      <c r="ES87" s="530">
        <v>0</v>
      </c>
      <c r="ET87" s="530">
        <v>0</v>
      </c>
      <c r="EU87" s="530">
        <v>0</v>
      </c>
      <c r="EV87" s="530">
        <v>0</v>
      </c>
      <c r="EW87" s="530">
        <v>0</v>
      </c>
      <c r="EX87" s="530">
        <v>0</v>
      </c>
      <c r="EY87" s="530">
        <f t="shared" si="65"/>
        <v>0</v>
      </c>
      <c r="EZ87" s="530">
        <f t="shared" si="66"/>
        <v>0</v>
      </c>
      <c r="FA87" s="530">
        <f t="shared" si="67"/>
        <v>0</v>
      </c>
      <c r="FB87" s="530">
        <f t="shared" si="68"/>
        <v>0</v>
      </c>
      <c r="FC87" s="384">
        <f>IFERROR(VLOOKUP(Capex!A78,BASE_558!D:R,8,FALSE)/1000,"")</f>
        <v>1338.9</v>
      </c>
      <c r="FD87" s="328">
        <f>IFERROR(VLOOKUP(Capex!A78,BASE_558!D:R,9,)/1000,"")</f>
        <v>1335.95245</v>
      </c>
      <c r="FE87" s="328">
        <f>IFERROR(IF(LEFT(A87,3)="LCP",(VLOOKUP(Capex!A78,BASE_558!D:R,10,)/1000),SUMIFS('BASE ICP_PO_SC'!F:F,'BASE ICP_PO_SC'!A:A,Capex!A78,'BASE ICP_PO_SC'!E:E,"&lt;&gt;")/1000),"")</f>
        <v>0</v>
      </c>
      <c r="FF87" s="328">
        <f>IFERROR(IF(LEFT(A87,3)="LCP",(VLOOKUP(Capex!A78,BASE_558!D:R,11,)/1000),SUMIFS('BASE ICP_PO_SC'!F:F,'BASE ICP_PO_SC'!A:A,Capex!A78,'BASE ICP_PO_SC'!E:E,"")/1000),"")</f>
        <v>0</v>
      </c>
      <c r="FG87" s="328">
        <f>IFERROR(VLOOKUP(A87,BASE_558!D:R,13,FALSE)/1000,"")</f>
        <v>217.42175</v>
      </c>
      <c r="FH87" s="328">
        <f>IFERROR(VLOOKUP(A87,BASE_558!D:R,15,FALSE)/1000,"")</f>
        <v>16.578250000000001</v>
      </c>
      <c r="FI87" s="547">
        <f t="shared" si="69"/>
        <v>0</v>
      </c>
      <c r="FJ87" s="547">
        <f t="shared" si="70"/>
        <v>0</v>
      </c>
      <c r="FK87" s="540">
        <f t="shared" si="71"/>
        <v>0</v>
      </c>
    </row>
    <row r="88" spans="1:167" s="23" customFormat="1" ht="24" customHeight="1">
      <c r="A88" s="84" t="s">
        <v>43</v>
      </c>
      <c r="B88" s="404"/>
      <c r="C88" s="404"/>
      <c r="D88" s="338" t="s">
        <v>1264</v>
      </c>
      <c r="E88" s="378"/>
      <c r="F88" s="5"/>
      <c r="G88" s="310" t="s">
        <v>9</v>
      </c>
      <c r="H88" s="338"/>
      <c r="I88" s="338"/>
      <c r="J88" s="338">
        <v>2017</v>
      </c>
      <c r="K88" s="316">
        <v>43027</v>
      </c>
      <c r="L88" s="317">
        <v>43588</v>
      </c>
      <c r="M88" s="409"/>
      <c r="N88" s="317">
        <f t="shared" si="38"/>
        <v>43939</v>
      </c>
      <c r="O88" s="317">
        <f t="shared" si="39"/>
        <v>44304</v>
      </c>
      <c r="P88" s="418" t="str">
        <f t="shared" si="73"/>
        <v>CRTD</v>
      </c>
      <c r="Q88" s="418" t="str">
        <f t="shared" si="73"/>
        <v>CRTD</v>
      </c>
      <c r="R88" s="418" t="str">
        <f t="shared" si="73"/>
        <v>CRTD</v>
      </c>
      <c r="S88" s="418" t="str">
        <f t="shared" si="73"/>
        <v>CRTD</v>
      </c>
      <c r="T88" s="418" t="str">
        <f t="shared" si="73"/>
        <v>CRTD</v>
      </c>
      <c r="U88" s="418" t="str">
        <f t="shared" si="73"/>
        <v>CRTD</v>
      </c>
      <c r="V88" s="418" t="str">
        <f t="shared" si="73"/>
        <v>CRTD</v>
      </c>
      <c r="W88" s="418" t="str">
        <f t="shared" si="73"/>
        <v>CRTD</v>
      </c>
      <c r="X88" s="418" t="str">
        <f t="shared" si="73"/>
        <v>CRTD</v>
      </c>
      <c r="Y88" s="418" t="str">
        <f t="shared" si="73"/>
        <v>CRTD</v>
      </c>
      <c r="Z88" s="418" t="str">
        <f t="shared" si="73"/>
        <v>CRTD</v>
      </c>
      <c r="AA88" s="418" t="str">
        <f t="shared" si="73"/>
        <v>CRTD</v>
      </c>
      <c r="AB88" s="317"/>
      <c r="AC88" s="309" t="s">
        <v>2508</v>
      </c>
      <c r="AD88" s="311" t="s">
        <v>223</v>
      </c>
      <c r="AE88" s="311"/>
      <c r="AF88" s="310" t="s">
        <v>6985</v>
      </c>
      <c r="AG88" s="310" t="s">
        <v>9083</v>
      </c>
      <c r="AH88" s="310" t="s">
        <v>3937</v>
      </c>
      <c r="AI88" s="309" t="s">
        <v>186</v>
      </c>
      <c r="AJ88" s="6" t="s">
        <v>218</v>
      </c>
      <c r="AK88" s="6" t="str">
        <f t="shared" si="49"/>
        <v>IGUAL</v>
      </c>
      <c r="AL88" s="151" t="str">
        <f>IFERROR(IF(LEFT(A88,3)="LCP",VLOOKUP(A88,STATUS_SAP_LCP!B:C,2,FALSE),VLOOKUP(A88,STATUS_SAP_ICP!B:C,2,FALSE)),"NO BUDGET")</f>
        <v>CLSD BUDG AUC  AVAC  //  APPR BREL EXPL</v>
      </c>
      <c r="AM88" s="6" t="str">
        <f t="shared" si="48"/>
        <v>CLSD</v>
      </c>
      <c r="AN88" s="282" t="s">
        <v>9087</v>
      </c>
      <c r="AO88" s="493">
        <v>1</v>
      </c>
      <c r="AP88" s="499" t="s">
        <v>9607</v>
      </c>
      <c r="AQ88" s="465">
        <v>43588</v>
      </c>
      <c r="AR88" s="460"/>
      <c r="AS88" s="56">
        <v>0</v>
      </c>
      <c r="AT88" s="185">
        <v>0</v>
      </c>
      <c r="AU88" s="318">
        <v>0</v>
      </c>
      <c r="AV88" s="223">
        <v>0</v>
      </c>
      <c r="AW88" s="318">
        <v>0</v>
      </c>
      <c r="AX88" s="223">
        <v>0</v>
      </c>
      <c r="AY88" s="318">
        <f t="shared" si="40"/>
        <v>0</v>
      </c>
      <c r="AZ88" s="223"/>
      <c r="BA88" s="318"/>
      <c r="BB88" s="519">
        <f t="shared" si="41"/>
        <v>0</v>
      </c>
      <c r="BC88" s="518"/>
      <c r="BD88" s="518"/>
      <c r="BE88" s="518"/>
      <c r="BF88" s="518"/>
      <c r="BG88" s="518"/>
      <c r="BH88" s="518"/>
      <c r="BI88" s="518"/>
      <c r="BJ88" s="518"/>
      <c r="BK88" s="518"/>
      <c r="BL88" s="518"/>
      <c r="BM88" s="518"/>
      <c r="BN88" s="518"/>
      <c r="BO88" s="367">
        <f t="shared" si="50"/>
        <v>0</v>
      </c>
      <c r="BP88" s="421"/>
      <c r="BQ88" s="422"/>
      <c r="BR88" s="423">
        <f>IFERROR(IF(LEFT($A88,3)="Lcp",SUMIFS('BASE-LCP'!$K:$K,'BASE-LCP'!$A:$A,Capex!$A79,'BASE-LCP'!$B:$B,"janeiro")/1000,IF(LEFT($A88,3)="icp",SUMIFS('BASE-ICP'!$K:$K,'BASE-ICP'!$A:$A,Capex!$A79,'BASE-ICP'!$B:$B,"janeiro")/1000,"")),"")</f>
        <v>0</v>
      </c>
      <c r="BS88" s="427">
        <v>0</v>
      </c>
      <c r="BT88" s="372">
        <v>0</v>
      </c>
      <c r="BU88" s="422"/>
      <c r="BV88" s="423">
        <f>IFERROR(IF(LEFT($A88,3)="Lcp",SUMIFS('BASE-LCP'!$K:$K,'BASE-LCP'!$A:$A,Capex!$A79,'BASE-LCP'!$B:$B,"fevereiro")/1000,IF(LEFT($A88,3)="icp",SUMIFS('BASE-ICP'!$K:$K,'BASE-ICP'!$A:$A,Capex!$A79,'BASE-ICP'!$B:$B,"fevereiro")/1000,"")),"")</f>
        <v>0</v>
      </c>
      <c r="BW88" s="427">
        <v>0</v>
      </c>
      <c r="BX88" s="372">
        <v>0</v>
      </c>
      <c r="BY88" s="419"/>
      <c r="BZ88" s="423">
        <f>IFERROR(IF(LEFT($A88,3)="Lcp",SUMIFS('BASE-LCP'!$K:$K,'BASE-LCP'!$A:$A,Capex!$A79,'BASE-LCP'!$B:$B,"março")/1000,IF(LEFT($A88,3)="icp",SUMIFS('BASE-ICP'!$K:$K,'BASE-ICP'!$A:$A,Capex!$A79,'BASE-ICP'!$B:$B,"março")/1000,"")),"")</f>
        <v>0</v>
      </c>
      <c r="CA88" s="427">
        <v>0</v>
      </c>
      <c r="CB88" s="372">
        <v>0</v>
      </c>
      <c r="CC88" s="422"/>
      <c r="CD88" s="423">
        <f>IFERROR(IF(LEFT($A88,3)="Lcp",SUMIFS('BASE-LCP'!$K:$K,'BASE-LCP'!$A:$A,Capex!$A79,'BASE-LCP'!$B:$B,"abril")/1000,IF(LEFT($A88,3)="icp",SUMIFS('BASE-ICP'!$K:$K,'BASE-ICP'!$A:$A,Capex!$A79,'BASE-ICP'!$B:$B,"abril")/1000,"")),"")</f>
        <v>0</v>
      </c>
      <c r="CE88" s="427">
        <v>0</v>
      </c>
      <c r="CF88" s="372">
        <v>0</v>
      </c>
      <c r="CG88" s="419"/>
      <c r="CH88" s="423">
        <v>0</v>
      </c>
      <c r="CI88" s="427">
        <v>0</v>
      </c>
      <c r="CJ88" s="372">
        <v>0</v>
      </c>
      <c r="CK88" s="419"/>
      <c r="CL88" s="423">
        <f>IFERROR(IF(LEFT($A88,3)="Lcp",SUMIFS('BASE-LCP'!$K:$K,'BASE-LCP'!$A:$A,Capex!$A79,'BASE-LCP'!$B:$B,"junho")/1000,IF(LEFT($A88,3)="icp",SUMIFS('BASE-ICP'!$K:$K,'BASE-ICP'!$A:$A,Capex!$A79,'BASE-ICP'!$B:$B,"junho")/1000,"")),"")</f>
        <v>0</v>
      </c>
      <c r="CM88" s="427">
        <v>0</v>
      </c>
      <c r="CN88" s="372"/>
      <c r="CO88" s="419"/>
      <c r="CP88" s="423">
        <f>IFERROR(IF(LEFT($A88,3)="Lcp",SUMIFS('BASE-LCP'!$K:$K,'BASE-LCP'!$A:$A,Capex!$A79,'BASE-LCP'!$B:$B,"julho")/1000,IF(LEFT($A88,3)="icp",SUMIFS('BASE-ICP'!$K:$K,'BASE-ICP'!$A:$A,Capex!$A79,'BASE-ICP'!$B:$B,"julho")/1000,"")),"")</f>
        <v>0</v>
      </c>
      <c r="CQ88" s="427">
        <v>0</v>
      </c>
      <c r="CR88" s="372"/>
      <c r="CS88" s="419"/>
      <c r="CT88" s="423">
        <f>IFERROR(IF(LEFT($A88,3)="Lcp",SUMIFS('BASE-LCP'!$K:$K,'BASE-LCP'!$A:$A,Capex!$A79,'BASE-LCP'!$B:$B,"agosto")/1000,IF(LEFT($A88,3)="icp",SUMIFS('BASE-ICP'!$K:$K,'BASE-ICP'!$A:$A,Capex!$A79,'BASE-ICP'!$B:$B,"agosto")/1000,"")),"")</f>
        <v>0</v>
      </c>
      <c r="CU88" s="427">
        <v>0</v>
      </c>
      <c r="CV88" s="372"/>
      <c r="CW88" s="419"/>
      <c r="CX88" s="423">
        <f>IFERROR(IF(LEFT($A88,3)="Lcp",SUMIFS('BASE-LCP'!$K:$K,'BASE-LCP'!$A:$A,Capex!$A79,'BASE-LCP'!$B:$B,"setembro")/1000,IF(LEFT($A88,3)="icp",SUMIFS('BASE-ICP'!$K:$K,'BASE-ICP'!$A:$A,Capex!$A79,'BASE-ICP'!$B:$B,"setembro")/1000,"")),"")</f>
        <v>0</v>
      </c>
      <c r="CY88" s="427">
        <v>0</v>
      </c>
      <c r="CZ88" s="372"/>
      <c r="DA88" s="419"/>
      <c r="DB88" s="423">
        <f>IFERROR(IF(LEFT($A88,3)="Lcp",SUMIFS('BASE-LCP'!$K:$K,'BASE-LCP'!$A:$A,Capex!$A79,'BASE-LCP'!$B:$B,"outubro")/1000,IF(LEFT($A88,3)="icp",SUMIFS('BASE-ICP'!$K:$K,'BASE-ICP'!$A:$A,Capex!$A79,'BASE-ICP'!$B:$B,"outubro")/1000,"")),"")</f>
        <v>0</v>
      </c>
      <c r="DC88" s="427">
        <v>0</v>
      </c>
      <c r="DD88" s="372"/>
      <c r="DE88" s="419"/>
      <c r="DF88" s="423">
        <f>IFERROR(IF(LEFT($A88,3)="Lcp",SUMIFS('BASE-LCP'!$K:$K,'BASE-LCP'!$A:$A,Capex!$A79,'BASE-LCP'!$B:$B,"novembro")/1000,IF(LEFT($A88,3)="icp",SUMIFS('BASE-ICP'!$K:$K,'BASE-ICP'!$A:$A,Capex!$A79,'BASE-ICP'!$B:$B,"novembro")/1000,"")),"")</f>
        <v>0</v>
      </c>
      <c r="DG88" s="427">
        <v>0</v>
      </c>
      <c r="DH88" s="372"/>
      <c r="DI88" s="419"/>
      <c r="DJ88" s="423">
        <f>IFERROR(IF(LEFT($A88,3)="Lcp",SUMIFS('BASE-LCP'!$K:$K,'BASE-LCP'!$A:$A,Capex!$A79,'BASE-LCP'!$B:$B,"dezembro")/1000,IF(LEFT($A88,3)="icp",SUMIFS('BASE-ICP'!$K:$K,'BASE-ICP'!$A:$A,Capex!$A79,'BASE-ICP'!$B:$B,"dezembro")/1000,"")),"")</f>
        <v>0</v>
      </c>
      <c r="DK88" s="427">
        <v>0</v>
      </c>
      <c r="DL88" s="452">
        <f t="shared" si="51"/>
        <v>0</v>
      </c>
      <c r="DM88" s="374"/>
      <c r="DN88" s="374"/>
      <c r="DO88" s="374"/>
      <c r="DP88" s="374"/>
      <c r="DQ88" s="374"/>
      <c r="DR88" s="374"/>
      <c r="DS88" s="374"/>
      <c r="DT88" s="374"/>
      <c r="DU88" s="374"/>
      <c r="DV88" s="374"/>
      <c r="DW88" s="374"/>
      <c r="DX88" s="374"/>
      <c r="DY88" s="450"/>
      <c r="DZ88" s="374">
        <f t="shared" si="52"/>
        <v>0</v>
      </c>
      <c r="EA88" s="216">
        <f t="shared" si="53"/>
        <v>0</v>
      </c>
      <c r="EB88" s="320">
        <f t="shared" si="54"/>
        <v>0</v>
      </c>
      <c r="EC88" s="241">
        <f t="shared" si="55"/>
        <v>0</v>
      </c>
      <c r="ED88" s="241">
        <f t="shared" si="56"/>
        <v>0</v>
      </c>
      <c r="EE88" s="241">
        <f t="shared" si="57"/>
        <v>0</v>
      </c>
      <c r="EF88" s="241">
        <f t="shared" si="58"/>
        <v>0</v>
      </c>
      <c r="EG88" s="346">
        <f t="shared" si="59"/>
        <v>0</v>
      </c>
      <c r="EH88" s="445">
        <f t="shared" si="60"/>
        <v>0</v>
      </c>
      <c r="EI88" s="447">
        <f t="shared" si="61"/>
        <v>0</v>
      </c>
      <c r="EJ88" s="364">
        <f t="shared" si="62"/>
        <v>0</v>
      </c>
      <c r="EK88" s="365">
        <f t="shared" si="63"/>
        <v>0</v>
      </c>
      <c r="EL88" s="529">
        <f t="shared" si="64"/>
        <v>0</v>
      </c>
      <c r="EM88" s="530">
        <v>0</v>
      </c>
      <c r="EN88" s="530">
        <v>0</v>
      </c>
      <c r="EO88" s="530">
        <v>0</v>
      </c>
      <c r="EP88" s="530">
        <v>0</v>
      </c>
      <c r="EQ88" s="530">
        <v>0</v>
      </c>
      <c r="ER88" s="530">
        <v>0</v>
      </c>
      <c r="ES88" s="530">
        <v>0</v>
      </c>
      <c r="ET88" s="530">
        <v>0</v>
      </c>
      <c r="EU88" s="530">
        <v>0</v>
      </c>
      <c r="EV88" s="530">
        <v>0</v>
      </c>
      <c r="EW88" s="530">
        <v>0</v>
      </c>
      <c r="EX88" s="530">
        <v>0</v>
      </c>
      <c r="EY88" s="530">
        <f t="shared" si="65"/>
        <v>0</v>
      </c>
      <c r="EZ88" s="530">
        <f t="shared" si="66"/>
        <v>0</v>
      </c>
      <c r="FA88" s="530">
        <f t="shared" si="67"/>
        <v>0</v>
      </c>
      <c r="FB88" s="530">
        <f t="shared" si="68"/>
        <v>0</v>
      </c>
      <c r="FC88" s="384">
        <f>IFERROR(VLOOKUP(Capex!A79,BASE_558!D:R,8,FALSE)/1000,"")</f>
        <v>513</v>
      </c>
      <c r="FD88" s="328">
        <f>IFERROR(VLOOKUP(Capex!A79,BASE_558!D:R,9,)/1000,"")</f>
        <v>486.74603000000002</v>
      </c>
      <c r="FE88" s="328">
        <f>IFERROR(IF(LEFT(A88,3)="LCP",(VLOOKUP(Capex!A79,BASE_558!D:R,10,)/1000),SUMIFS('BASE ICP_PO_SC'!F:F,'BASE ICP_PO_SC'!A:A,Capex!A79,'BASE ICP_PO_SC'!E:E,"&lt;&gt;")/1000),"")</f>
        <v>0</v>
      </c>
      <c r="FF88" s="328">
        <f>IFERROR(IF(LEFT(A88,3)="LCP",(VLOOKUP(Capex!A79,BASE_558!D:R,11,)/1000),SUMIFS('BASE ICP_PO_SC'!F:F,'BASE ICP_PO_SC'!A:A,Capex!A79,'BASE ICP_PO_SC'!E:E,"")/1000),"")</f>
        <v>0</v>
      </c>
      <c r="FG88" s="328">
        <f>IFERROR(VLOOKUP(A88,BASE_558!D:R,13,FALSE)/1000,"")</f>
        <v>62.697220000000002</v>
      </c>
      <c r="FH88" s="328">
        <f>IFERROR(VLOOKUP(A88,BASE_558!D:R,15,FALSE)/1000,"")</f>
        <v>5.3027799999999994</v>
      </c>
      <c r="FI88" s="547">
        <f t="shared" si="69"/>
        <v>0</v>
      </c>
      <c r="FJ88" s="547">
        <f t="shared" si="70"/>
        <v>0</v>
      </c>
      <c r="FK88" s="540">
        <f t="shared" si="71"/>
        <v>0</v>
      </c>
    </row>
    <row r="89" spans="1:167" s="23" customFormat="1" ht="24" customHeight="1">
      <c r="A89" s="84" t="s">
        <v>45</v>
      </c>
      <c r="B89" s="404"/>
      <c r="C89" s="404"/>
      <c r="D89" s="338" t="s">
        <v>892</v>
      </c>
      <c r="E89" s="378">
        <v>1450024</v>
      </c>
      <c r="F89" s="5"/>
      <c r="G89" s="310" t="s">
        <v>9</v>
      </c>
      <c r="H89" s="338"/>
      <c r="I89" s="338"/>
      <c r="J89" s="338">
        <v>2018</v>
      </c>
      <c r="K89" s="316">
        <v>43186</v>
      </c>
      <c r="L89" s="317">
        <v>44276</v>
      </c>
      <c r="M89" s="409"/>
      <c r="N89" s="317">
        <f t="shared" si="38"/>
        <v>44098</v>
      </c>
      <c r="O89" s="317">
        <f t="shared" si="39"/>
        <v>44463</v>
      </c>
      <c r="P89" s="418" t="str">
        <f t="shared" si="73"/>
        <v>CRTD</v>
      </c>
      <c r="Q89" s="418" t="str">
        <f t="shared" si="73"/>
        <v>CRTD</v>
      </c>
      <c r="R89" s="418" t="str">
        <f t="shared" si="73"/>
        <v>CRTD</v>
      </c>
      <c r="S89" s="418" t="str">
        <f t="shared" si="73"/>
        <v>CRTD</v>
      </c>
      <c r="T89" s="418" t="str">
        <f t="shared" si="73"/>
        <v>CRTD</v>
      </c>
      <c r="U89" s="418" t="str">
        <f t="shared" si="73"/>
        <v>CRTD</v>
      </c>
      <c r="V89" s="418" t="str">
        <f t="shared" si="73"/>
        <v>CRTD</v>
      </c>
      <c r="W89" s="418" t="str">
        <f t="shared" si="73"/>
        <v>CRTD</v>
      </c>
      <c r="X89" s="418" t="str">
        <f t="shared" si="73"/>
        <v>CRTD</v>
      </c>
      <c r="Y89" s="418" t="str">
        <f t="shared" si="73"/>
        <v>CRTD</v>
      </c>
      <c r="Z89" s="418" t="str">
        <f t="shared" si="73"/>
        <v>CRTD</v>
      </c>
      <c r="AA89" s="418" t="str">
        <f t="shared" si="73"/>
        <v>CRTD</v>
      </c>
      <c r="AB89" s="317"/>
      <c r="AC89" s="309" t="s">
        <v>3932</v>
      </c>
      <c r="AD89" s="311" t="s">
        <v>223</v>
      </c>
      <c r="AE89" s="379" t="s">
        <v>186</v>
      </c>
      <c r="AF89" s="310" t="s">
        <v>6985</v>
      </c>
      <c r="AG89" s="310" t="s">
        <v>9083</v>
      </c>
      <c r="AH89" s="310" t="s">
        <v>3240</v>
      </c>
      <c r="AI89" s="381" t="s">
        <v>186</v>
      </c>
      <c r="AJ89" s="6" t="s">
        <v>218</v>
      </c>
      <c r="AK89" s="6" t="str">
        <f t="shared" si="49"/>
        <v>IGUAL</v>
      </c>
      <c r="AL89" s="151" t="str">
        <f>IFERROR(IF(LEFT(A89,3)="LCP",VLOOKUP(A89,STATUS_SAP_LCP!B:C,2,FALSE),VLOOKUP(A89,STATUS_SAP_ICP!B:C,2,FALSE)),"NO BUDGET")</f>
        <v>CLSD BUDG AUC  AVAC  //  APPR BREL EXPL</v>
      </c>
      <c r="AM89" s="6" t="str">
        <f t="shared" si="48"/>
        <v>CLSD</v>
      </c>
      <c r="AN89" s="282" t="s">
        <v>9086</v>
      </c>
      <c r="AO89" s="493">
        <v>1</v>
      </c>
      <c r="AP89" s="499" t="s">
        <v>9607</v>
      </c>
      <c r="AQ89" s="465">
        <v>44276</v>
      </c>
      <c r="AR89" s="460"/>
      <c r="AS89" s="56">
        <v>1618.2744330234984</v>
      </c>
      <c r="AT89" s="185">
        <v>26.127699999999994</v>
      </c>
      <c r="AU89" s="318">
        <v>9.7633700000000001</v>
      </c>
      <c r="AV89" s="223">
        <v>0</v>
      </c>
      <c r="AW89" s="318">
        <v>0</v>
      </c>
      <c r="AX89" s="223">
        <v>0</v>
      </c>
      <c r="AY89" s="318">
        <f t="shared" si="40"/>
        <v>0</v>
      </c>
      <c r="AZ89" s="223"/>
      <c r="BA89" s="318"/>
      <c r="BB89" s="519">
        <f t="shared" si="41"/>
        <v>0</v>
      </c>
      <c r="BC89" s="518"/>
      <c r="BD89" s="518"/>
      <c r="BE89" s="518"/>
      <c r="BF89" s="518"/>
      <c r="BG89" s="518"/>
      <c r="BH89" s="518"/>
      <c r="BI89" s="518"/>
      <c r="BJ89" s="518"/>
      <c r="BK89" s="518"/>
      <c r="BL89" s="518"/>
      <c r="BM89" s="518"/>
      <c r="BN89" s="518"/>
      <c r="BO89" s="367">
        <f t="shared" si="50"/>
        <v>0</v>
      </c>
      <c r="BP89" s="421"/>
      <c r="BQ89" s="422"/>
      <c r="BR89" s="423">
        <f>IFERROR(IF(LEFT($A89,3)="Lcp",SUMIFS('BASE-LCP'!$K:$K,'BASE-LCP'!$A:$A,Capex!$A80,'BASE-LCP'!$B:$B,"janeiro")/1000,IF(LEFT($A89,3)="icp",SUMIFS('BASE-ICP'!$K:$K,'BASE-ICP'!$A:$A,Capex!$A80,'BASE-ICP'!$B:$B,"janeiro")/1000,"")),"")</f>
        <v>0</v>
      </c>
      <c r="BS89" s="427">
        <v>0</v>
      </c>
      <c r="BT89" s="372">
        <v>0</v>
      </c>
      <c r="BU89" s="422"/>
      <c r="BV89" s="423">
        <f>IFERROR(IF(LEFT($A89,3)="Lcp",SUMIFS('BASE-LCP'!$K:$K,'BASE-LCP'!$A:$A,Capex!$A80,'BASE-LCP'!$B:$B,"fevereiro")/1000,IF(LEFT($A89,3)="icp",SUMIFS('BASE-ICP'!$K:$K,'BASE-ICP'!$A:$A,Capex!$A80,'BASE-ICP'!$B:$B,"fevereiro")/1000,"")),"")</f>
        <v>0</v>
      </c>
      <c r="BW89" s="427">
        <v>0</v>
      </c>
      <c r="BX89" s="372">
        <v>0</v>
      </c>
      <c r="BY89" s="419"/>
      <c r="BZ89" s="423">
        <f>IFERROR(IF(LEFT($A89,3)="Lcp",SUMIFS('BASE-LCP'!$K:$K,'BASE-LCP'!$A:$A,Capex!$A80,'BASE-LCP'!$B:$B,"março")/1000,IF(LEFT($A89,3)="icp",SUMIFS('BASE-ICP'!$K:$K,'BASE-ICP'!$A:$A,Capex!$A80,'BASE-ICP'!$B:$B,"março")/1000,"")),"")</f>
        <v>0</v>
      </c>
      <c r="CA89" s="427">
        <v>0</v>
      </c>
      <c r="CB89" s="372">
        <v>0</v>
      </c>
      <c r="CC89" s="422"/>
      <c r="CD89" s="423">
        <f>IFERROR(IF(LEFT($A89,3)="Lcp",SUMIFS('BASE-LCP'!$K:$K,'BASE-LCP'!$A:$A,Capex!$A80,'BASE-LCP'!$B:$B,"abril")/1000,IF(LEFT($A89,3)="icp",SUMIFS('BASE-ICP'!$K:$K,'BASE-ICP'!$A:$A,Capex!$A80,'BASE-ICP'!$B:$B,"abril")/1000,"")),"")</f>
        <v>0</v>
      </c>
      <c r="CE89" s="427">
        <v>0</v>
      </c>
      <c r="CF89" s="372">
        <v>0</v>
      </c>
      <c r="CG89" s="419"/>
      <c r="CH89" s="423">
        <v>0</v>
      </c>
      <c r="CI89" s="427">
        <v>0</v>
      </c>
      <c r="CJ89" s="372">
        <v>0</v>
      </c>
      <c r="CK89" s="419"/>
      <c r="CL89" s="423">
        <f>IFERROR(IF(LEFT($A89,3)="Lcp",SUMIFS('BASE-LCP'!$K:$K,'BASE-LCP'!$A:$A,Capex!$A80,'BASE-LCP'!$B:$B,"junho")/1000,IF(LEFT($A89,3)="icp",SUMIFS('BASE-ICP'!$K:$K,'BASE-ICP'!$A:$A,Capex!$A80,'BASE-ICP'!$B:$B,"junho")/1000,"")),"")</f>
        <v>0</v>
      </c>
      <c r="CM89" s="427">
        <v>0</v>
      </c>
      <c r="CN89" s="372"/>
      <c r="CO89" s="419"/>
      <c r="CP89" s="423">
        <f>IFERROR(IF(LEFT($A89,3)="Lcp",SUMIFS('BASE-LCP'!$K:$K,'BASE-LCP'!$A:$A,Capex!$A80,'BASE-LCP'!$B:$B,"julho")/1000,IF(LEFT($A89,3)="icp",SUMIFS('BASE-ICP'!$K:$K,'BASE-ICP'!$A:$A,Capex!$A80,'BASE-ICP'!$B:$B,"julho")/1000,"")),"")</f>
        <v>0</v>
      </c>
      <c r="CQ89" s="427">
        <v>0</v>
      </c>
      <c r="CR89" s="372"/>
      <c r="CS89" s="419"/>
      <c r="CT89" s="423">
        <f>IFERROR(IF(LEFT($A89,3)="Lcp",SUMIFS('BASE-LCP'!$K:$K,'BASE-LCP'!$A:$A,Capex!$A80,'BASE-LCP'!$B:$B,"agosto")/1000,IF(LEFT($A89,3)="icp",SUMIFS('BASE-ICP'!$K:$K,'BASE-ICP'!$A:$A,Capex!$A80,'BASE-ICP'!$B:$B,"agosto")/1000,"")),"")</f>
        <v>0</v>
      </c>
      <c r="CU89" s="427">
        <v>0</v>
      </c>
      <c r="CV89" s="372"/>
      <c r="CW89" s="419"/>
      <c r="CX89" s="423">
        <f>IFERROR(IF(LEFT($A89,3)="Lcp",SUMIFS('BASE-LCP'!$K:$K,'BASE-LCP'!$A:$A,Capex!$A80,'BASE-LCP'!$B:$B,"setembro")/1000,IF(LEFT($A89,3)="icp",SUMIFS('BASE-ICP'!$K:$K,'BASE-ICP'!$A:$A,Capex!$A80,'BASE-ICP'!$B:$B,"setembro")/1000,"")),"")</f>
        <v>0</v>
      </c>
      <c r="CY89" s="427">
        <v>0</v>
      </c>
      <c r="CZ89" s="372"/>
      <c r="DA89" s="419"/>
      <c r="DB89" s="423">
        <f>IFERROR(IF(LEFT($A89,3)="Lcp",SUMIFS('BASE-LCP'!$K:$K,'BASE-LCP'!$A:$A,Capex!$A80,'BASE-LCP'!$B:$B,"outubro")/1000,IF(LEFT($A89,3)="icp",SUMIFS('BASE-ICP'!$K:$K,'BASE-ICP'!$A:$A,Capex!$A80,'BASE-ICP'!$B:$B,"outubro")/1000,"")),"")</f>
        <v>0</v>
      </c>
      <c r="DC89" s="427">
        <v>0</v>
      </c>
      <c r="DD89" s="372"/>
      <c r="DE89" s="419"/>
      <c r="DF89" s="423">
        <f>IFERROR(IF(LEFT($A89,3)="Lcp",SUMIFS('BASE-LCP'!$K:$K,'BASE-LCP'!$A:$A,Capex!$A80,'BASE-LCP'!$B:$B,"novembro")/1000,IF(LEFT($A89,3)="icp",SUMIFS('BASE-ICP'!$K:$K,'BASE-ICP'!$A:$A,Capex!$A80,'BASE-ICP'!$B:$B,"novembro")/1000,"")),"")</f>
        <v>0</v>
      </c>
      <c r="DG89" s="427">
        <v>0</v>
      </c>
      <c r="DH89" s="372"/>
      <c r="DI89" s="419"/>
      <c r="DJ89" s="423">
        <f>IFERROR(IF(LEFT($A89,3)="Lcp",SUMIFS('BASE-LCP'!$K:$K,'BASE-LCP'!$A:$A,Capex!$A80,'BASE-LCP'!$B:$B,"dezembro")/1000,IF(LEFT($A89,3)="icp",SUMIFS('BASE-ICP'!$K:$K,'BASE-ICP'!$A:$A,Capex!$A80,'BASE-ICP'!$B:$B,"dezembro")/1000,"")),"")</f>
        <v>0</v>
      </c>
      <c r="DK89" s="427">
        <v>0</v>
      </c>
      <c r="DL89" s="452">
        <f t="shared" si="51"/>
        <v>0</v>
      </c>
      <c r="DM89" s="374"/>
      <c r="DN89" s="374"/>
      <c r="DO89" s="374"/>
      <c r="DP89" s="374"/>
      <c r="DQ89" s="374"/>
      <c r="DR89" s="374"/>
      <c r="DS89" s="374"/>
      <c r="DT89" s="374"/>
      <c r="DU89" s="374"/>
      <c r="DV89" s="374"/>
      <c r="DW89" s="374"/>
      <c r="DX89" s="374"/>
      <c r="DY89" s="450"/>
      <c r="DZ89" s="374">
        <f t="shared" si="52"/>
        <v>0</v>
      </c>
      <c r="EA89" s="216">
        <f t="shared" si="53"/>
        <v>0</v>
      </c>
      <c r="EB89" s="320">
        <f t="shared" si="54"/>
        <v>0</v>
      </c>
      <c r="EC89" s="241">
        <f t="shared" si="55"/>
        <v>0</v>
      </c>
      <c r="ED89" s="241">
        <f t="shared" si="56"/>
        <v>0</v>
      </c>
      <c r="EE89" s="241">
        <f t="shared" si="57"/>
        <v>0</v>
      </c>
      <c r="EF89" s="241">
        <f t="shared" si="58"/>
        <v>0</v>
      </c>
      <c r="EG89" s="346">
        <f t="shared" si="59"/>
        <v>0</v>
      </c>
      <c r="EH89" s="445">
        <f t="shared" si="60"/>
        <v>0</v>
      </c>
      <c r="EI89" s="447">
        <f t="shared" si="61"/>
        <v>0</v>
      </c>
      <c r="EJ89" s="364">
        <f t="shared" si="62"/>
        <v>0</v>
      </c>
      <c r="EK89" s="365">
        <f t="shared" si="63"/>
        <v>0</v>
      </c>
      <c r="EL89" s="529">
        <f t="shared" si="64"/>
        <v>0</v>
      </c>
      <c r="EM89" s="530">
        <v>0</v>
      </c>
      <c r="EN89" s="530">
        <v>0</v>
      </c>
      <c r="EO89" s="530">
        <v>0</v>
      </c>
      <c r="EP89" s="530">
        <v>0</v>
      </c>
      <c r="EQ89" s="530">
        <v>0</v>
      </c>
      <c r="ER89" s="530">
        <v>0</v>
      </c>
      <c r="ES89" s="530">
        <v>0</v>
      </c>
      <c r="ET89" s="530">
        <v>0</v>
      </c>
      <c r="EU89" s="530">
        <v>0</v>
      </c>
      <c r="EV89" s="530">
        <v>0</v>
      </c>
      <c r="EW89" s="530">
        <v>0</v>
      </c>
      <c r="EX89" s="530">
        <v>0</v>
      </c>
      <c r="EY89" s="530">
        <f t="shared" si="65"/>
        <v>0</v>
      </c>
      <c r="EZ89" s="530">
        <f t="shared" si="66"/>
        <v>0</v>
      </c>
      <c r="FA89" s="530">
        <f t="shared" si="67"/>
        <v>0</v>
      </c>
      <c r="FB89" s="530">
        <f t="shared" si="68"/>
        <v>0</v>
      </c>
      <c r="FC89" s="384">
        <f>IFERROR(VLOOKUP(Capex!A80,BASE_558!D:R,8,FALSE)/1000,"")</f>
        <v>987.73099999999999</v>
      </c>
      <c r="FD89" s="328">
        <f>IFERROR(VLOOKUP(Capex!A80,BASE_558!D:R,9,)/1000,"")</f>
        <v>801.61338999999998</v>
      </c>
      <c r="FE89" s="328">
        <f>IFERROR(IF(LEFT(A89,3)="LCP",(VLOOKUP(Capex!A80,BASE_558!D:R,10,)/1000),SUMIFS('BASE ICP_PO_SC'!F:F,'BASE ICP_PO_SC'!A:A,Capex!A80,'BASE ICP_PO_SC'!E:E,"&lt;&gt;")/1000),"")</f>
        <v>0</v>
      </c>
      <c r="FF89" s="328">
        <f>IFERROR(IF(LEFT(A89,3)="LCP",(VLOOKUP(Capex!A80,BASE_558!D:R,11,)/1000),SUMIFS('BASE ICP_PO_SC'!F:F,'BASE ICP_PO_SC'!A:A,Capex!A80,'BASE ICP_PO_SC'!E:E,"")/1000),"")</f>
        <v>0</v>
      </c>
      <c r="FG89" s="328">
        <f>IFERROR(VLOOKUP(A89,BASE_558!D:R,13,FALSE)/1000,"")</f>
        <v>3328.79475</v>
      </c>
      <c r="FH89" s="328">
        <f>IFERROR(VLOOKUP(A89,BASE_558!D:R,15,FALSE)/1000,"")</f>
        <v>163.20525000000001</v>
      </c>
      <c r="FI89" s="547">
        <f t="shared" si="69"/>
        <v>0</v>
      </c>
      <c r="FJ89" s="547">
        <f t="shared" si="70"/>
        <v>0</v>
      </c>
      <c r="FK89" s="540">
        <f t="shared" si="71"/>
        <v>0</v>
      </c>
    </row>
    <row r="90" spans="1:167" s="23" customFormat="1" ht="24" customHeight="1">
      <c r="A90" s="84" t="s">
        <v>47</v>
      </c>
      <c r="B90" s="404"/>
      <c r="C90" s="404"/>
      <c r="D90" s="338" t="s">
        <v>2213</v>
      </c>
      <c r="E90" s="378">
        <v>1486809</v>
      </c>
      <c r="F90" s="5"/>
      <c r="G90" s="310" t="s">
        <v>9</v>
      </c>
      <c r="H90" s="338"/>
      <c r="I90" s="338"/>
      <c r="J90" s="338">
        <v>2018</v>
      </c>
      <c r="K90" s="316">
        <v>43090</v>
      </c>
      <c r="L90" s="317">
        <v>44276</v>
      </c>
      <c r="M90" s="409"/>
      <c r="N90" s="317">
        <f t="shared" si="38"/>
        <v>44002</v>
      </c>
      <c r="O90" s="317">
        <f t="shared" si="39"/>
        <v>44367</v>
      </c>
      <c r="P90" s="418" t="str">
        <f t="shared" si="73"/>
        <v>CRTD</v>
      </c>
      <c r="Q90" s="418" t="str">
        <f t="shared" si="73"/>
        <v>CRTD</v>
      </c>
      <c r="R90" s="418" t="str">
        <f t="shared" si="73"/>
        <v>CRTD</v>
      </c>
      <c r="S90" s="418" t="str">
        <f t="shared" si="73"/>
        <v>CRTD</v>
      </c>
      <c r="T90" s="418" t="str">
        <f t="shared" si="73"/>
        <v>CRTD</v>
      </c>
      <c r="U90" s="418" t="str">
        <f t="shared" si="73"/>
        <v>CRTD</v>
      </c>
      <c r="V90" s="418" t="str">
        <f t="shared" si="73"/>
        <v>CRTD</v>
      </c>
      <c r="W90" s="418" t="str">
        <f t="shared" si="73"/>
        <v>CRTD</v>
      </c>
      <c r="X90" s="418" t="str">
        <f t="shared" si="73"/>
        <v>CRTD</v>
      </c>
      <c r="Y90" s="418" t="str">
        <f t="shared" si="73"/>
        <v>CRTD</v>
      </c>
      <c r="Z90" s="418" t="str">
        <f t="shared" si="73"/>
        <v>CRTD</v>
      </c>
      <c r="AA90" s="418" t="str">
        <f t="shared" si="73"/>
        <v>CRTD</v>
      </c>
      <c r="AB90" s="317"/>
      <c r="AC90" s="309" t="s">
        <v>3930</v>
      </c>
      <c r="AD90" s="311"/>
      <c r="AE90" s="311"/>
      <c r="AF90" s="310" t="s">
        <v>6985</v>
      </c>
      <c r="AG90" s="310" t="s">
        <v>9083</v>
      </c>
      <c r="AH90" s="310" t="s">
        <v>48</v>
      </c>
      <c r="AI90" s="309" t="s">
        <v>188</v>
      </c>
      <c r="AJ90" s="6" t="s">
        <v>218</v>
      </c>
      <c r="AK90" s="6" t="str">
        <f t="shared" si="49"/>
        <v>IGUAL</v>
      </c>
      <c r="AL90" s="151" t="str">
        <f>IFERROR(IF(LEFT(A90,3)="LCP",VLOOKUP(A90,STATUS_SAP_LCP!B:C,2,FALSE),VLOOKUP(A90,STATUS_SAP_ICP!B:C,2,FALSE)),"NO BUDGET")</f>
        <v>CLSD BUDG AUC  AVAC  //  APPR BREL EXPL</v>
      </c>
      <c r="AM90" s="6" t="str">
        <f t="shared" si="48"/>
        <v>CLSD</v>
      </c>
      <c r="AN90" s="282" t="s">
        <v>9086</v>
      </c>
      <c r="AO90" s="493">
        <v>1</v>
      </c>
      <c r="AP90" s="499" t="s">
        <v>9607</v>
      </c>
      <c r="AQ90" s="465">
        <v>44276</v>
      </c>
      <c r="AR90" s="460"/>
      <c r="AS90" s="56">
        <v>840.84277365410708</v>
      </c>
      <c r="AT90" s="185">
        <v>154.31023999999999</v>
      </c>
      <c r="AU90" s="318">
        <v>6.4281500000000014</v>
      </c>
      <c r="AV90" s="223">
        <v>0</v>
      </c>
      <c r="AW90" s="318">
        <v>0</v>
      </c>
      <c r="AX90" s="223">
        <v>0</v>
      </c>
      <c r="AY90" s="318">
        <f t="shared" si="40"/>
        <v>0</v>
      </c>
      <c r="AZ90" s="223"/>
      <c r="BA90" s="318"/>
      <c r="BB90" s="519">
        <f t="shared" si="41"/>
        <v>0</v>
      </c>
      <c r="BC90" s="518"/>
      <c r="BD90" s="518"/>
      <c r="BE90" s="518"/>
      <c r="BF90" s="518"/>
      <c r="BG90" s="518"/>
      <c r="BH90" s="518"/>
      <c r="BI90" s="518"/>
      <c r="BJ90" s="518"/>
      <c r="BK90" s="518"/>
      <c r="BL90" s="518"/>
      <c r="BM90" s="518"/>
      <c r="BN90" s="518"/>
      <c r="BO90" s="367">
        <f t="shared" si="50"/>
        <v>0</v>
      </c>
      <c r="BP90" s="421"/>
      <c r="BQ90" s="422"/>
      <c r="BR90" s="423">
        <f>IFERROR(IF(LEFT($A90,3)="Lcp",SUMIFS('BASE-LCP'!$K:$K,'BASE-LCP'!$A:$A,Capex!$A81,'BASE-LCP'!$B:$B,"janeiro")/1000,IF(LEFT($A90,3)="icp",SUMIFS('BASE-ICP'!$K:$K,'BASE-ICP'!$A:$A,Capex!$A81,'BASE-ICP'!$B:$B,"janeiro")/1000,"")),"")</f>
        <v>0</v>
      </c>
      <c r="BS90" s="427">
        <v>0</v>
      </c>
      <c r="BT90" s="372">
        <v>0</v>
      </c>
      <c r="BU90" s="422"/>
      <c r="BV90" s="423">
        <f>IFERROR(IF(LEFT($A90,3)="Lcp",SUMIFS('BASE-LCP'!$K:$K,'BASE-LCP'!$A:$A,Capex!$A81,'BASE-LCP'!$B:$B,"fevereiro")/1000,IF(LEFT($A90,3)="icp",SUMIFS('BASE-ICP'!$K:$K,'BASE-ICP'!$A:$A,Capex!$A81,'BASE-ICP'!$B:$B,"fevereiro")/1000,"")),"")</f>
        <v>0</v>
      </c>
      <c r="BW90" s="427">
        <v>0</v>
      </c>
      <c r="BX90" s="372">
        <v>0</v>
      </c>
      <c r="BY90" s="419"/>
      <c r="BZ90" s="423">
        <f>IFERROR(IF(LEFT($A90,3)="Lcp",SUMIFS('BASE-LCP'!$K:$K,'BASE-LCP'!$A:$A,Capex!$A81,'BASE-LCP'!$B:$B,"março")/1000,IF(LEFT($A90,3)="icp",SUMIFS('BASE-ICP'!$K:$K,'BASE-ICP'!$A:$A,Capex!$A81,'BASE-ICP'!$B:$B,"março")/1000,"")),"")</f>
        <v>0</v>
      </c>
      <c r="CA90" s="427">
        <v>0</v>
      </c>
      <c r="CB90" s="372">
        <v>0</v>
      </c>
      <c r="CC90" s="422"/>
      <c r="CD90" s="423">
        <f>IFERROR(IF(LEFT($A90,3)="Lcp",SUMIFS('BASE-LCP'!$K:$K,'BASE-LCP'!$A:$A,Capex!$A81,'BASE-LCP'!$B:$B,"abril")/1000,IF(LEFT($A90,3)="icp",SUMIFS('BASE-ICP'!$K:$K,'BASE-ICP'!$A:$A,Capex!$A81,'BASE-ICP'!$B:$B,"abril")/1000,"")),"")</f>
        <v>0</v>
      </c>
      <c r="CE90" s="427">
        <v>0</v>
      </c>
      <c r="CF90" s="372">
        <v>0</v>
      </c>
      <c r="CG90" s="419"/>
      <c r="CH90" s="423">
        <v>0</v>
      </c>
      <c r="CI90" s="427">
        <v>0</v>
      </c>
      <c r="CJ90" s="372">
        <v>0</v>
      </c>
      <c r="CK90" s="419"/>
      <c r="CL90" s="423">
        <f>IFERROR(IF(LEFT($A90,3)="Lcp",SUMIFS('BASE-LCP'!$K:$K,'BASE-LCP'!$A:$A,Capex!$A81,'BASE-LCP'!$B:$B,"junho")/1000,IF(LEFT($A90,3)="icp",SUMIFS('BASE-ICP'!$K:$K,'BASE-ICP'!$A:$A,Capex!$A81,'BASE-ICP'!$B:$B,"junho")/1000,"")),"")</f>
        <v>0</v>
      </c>
      <c r="CM90" s="427">
        <v>0</v>
      </c>
      <c r="CN90" s="372"/>
      <c r="CO90" s="419"/>
      <c r="CP90" s="423">
        <f>IFERROR(IF(LEFT($A90,3)="Lcp",SUMIFS('BASE-LCP'!$K:$K,'BASE-LCP'!$A:$A,Capex!$A81,'BASE-LCP'!$B:$B,"julho")/1000,IF(LEFT($A90,3)="icp",SUMIFS('BASE-ICP'!$K:$K,'BASE-ICP'!$A:$A,Capex!$A81,'BASE-ICP'!$B:$B,"julho")/1000,"")),"")</f>
        <v>0</v>
      </c>
      <c r="CQ90" s="427">
        <v>0</v>
      </c>
      <c r="CR90" s="372"/>
      <c r="CS90" s="419"/>
      <c r="CT90" s="423">
        <f>IFERROR(IF(LEFT($A90,3)="Lcp",SUMIFS('BASE-LCP'!$K:$K,'BASE-LCP'!$A:$A,Capex!$A81,'BASE-LCP'!$B:$B,"agosto")/1000,IF(LEFT($A90,3)="icp",SUMIFS('BASE-ICP'!$K:$K,'BASE-ICP'!$A:$A,Capex!$A81,'BASE-ICP'!$B:$B,"agosto")/1000,"")),"")</f>
        <v>0</v>
      </c>
      <c r="CU90" s="427">
        <v>0</v>
      </c>
      <c r="CV90" s="372"/>
      <c r="CW90" s="419"/>
      <c r="CX90" s="423">
        <f>IFERROR(IF(LEFT($A90,3)="Lcp",SUMIFS('BASE-LCP'!$K:$K,'BASE-LCP'!$A:$A,Capex!$A81,'BASE-LCP'!$B:$B,"setembro")/1000,IF(LEFT($A90,3)="icp",SUMIFS('BASE-ICP'!$K:$K,'BASE-ICP'!$A:$A,Capex!$A81,'BASE-ICP'!$B:$B,"setembro")/1000,"")),"")</f>
        <v>0</v>
      </c>
      <c r="CY90" s="427">
        <v>0</v>
      </c>
      <c r="CZ90" s="372"/>
      <c r="DA90" s="419"/>
      <c r="DB90" s="423">
        <f>IFERROR(IF(LEFT($A90,3)="Lcp",SUMIFS('BASE-LCP'!$K:$K,'BASE-LCP'!$A:$A,Capex!$A81,'BASE-LCP'!$B:$B,"outubro")/1000,IF(LEFT($A90,3)="icp",SUMIFS('BASE-ICP'!$K:$K,'BASE-ICP'!$A:$A,Capex!$A81,'BASE-ICP'!$B:$B,"outubro")/1000,"")),"")</f>
        <v>0</v>
      </c>
      <c r="DC90" s="427">
        <v>0</v>
      </c>
      <c r="DD90" s="372"/>
      <c r="DE90" s="419"/>
      <c r="DF90" s="423">
        <f>IFERROR(IF(LEFT($A90,3)="Lcp",SUMIFS('BASE-LCP'!$K:$K,'BASE-LCP'!$A:$A,Capex!$A81,'BASE-LCP'!$B:$B,"novembro")/1000,IF(LEFT($A90,3)="icp",SUMIFS('BASE-ICP'!$K:$K,'BASE-ICP'!$A:$A,Capex!$A81,'BASE-ICP'!$B:$B,"novembro")/1000,"")),"")</f>
        <v>0</v>
      </c>
      <c r="DG90" s="427">
        <v>0</v>
      </c>
      <c r="DH90" s="372"/>
      <c r="DI90" s="419"/>
      <c r="DJ90" s="423">
        <f>IFERROR(IF(LEFT($A90,3)="Lcp",SUMIFS('BASE-LCP'!$K:$K,'BASE-LCP'!$A:$A,Capex!$A81,'BASE-LCP'!$B:$B,"dezembro")/1000,IF(LEFT($A90,3)="icp",SUMIFS('BASE-ICP'!$K:$K,'BASE-ICP'!$A:$A,Capex!$A81,'BASE-ICP'!$B:$B,"dezembro")/1000,"")),"")</f>
        <v>0</v>
      </c>
      <c r="DK90" s="427">
        <v>0</v>
      </c>
      <c r="DL90" s="452">
        <f t="shared" si="51"/>
        <v>0</v>
      </c>
      <c r="DM90" s="374"/>
      <c r="DN90" s="374"/>
      <c r="DO90" s="374"/>
      <c r="DP90" s="374"/>
      <c r="DQ90" s="374"/>
      <c r="DR90" s="374"/>
      <c r="DS90" s="374"/>
      <c r="DT90" s="374"/>
      <c r="DU90" s="374"/>
      <c r="DV90" s="374"/>
      <c r="DW90" s="374"/>
      <c r="DX90" s="374"/>
      <c r="DY90" s="450"/>
      <c r="DZ90" s="374">
        <f t="shared" si="52"/>
        <v>0</v>
      </c>
      <c r="EA90" s="216">
        <f t="shared" si="53"/>
        <v>0</v>
      </c>
      <c r="EB90" s="320">
        <f t="shared" si="54"/>
        <v>0</v>
      </c>
      <c r="EC90" s="241">
        <f t="shared" si="55"/>
        <v>0</v>
      </c>
      <c r="ED90" s="241">
        <f t="shared" si="56"/>
        <v>0</v>
      </c>
      <c r="EE90" s="241">
        <f t="shared" si="57"/>
        <v>0</v>
      </c>
      <c r="EF90" s="241">
        <f t="shared" si="58"/>
        <v>0</v>
      </c>
      <c r="EG90" s="346">
        <f t="shared" si="59"/>
        <v>0</v>
      </c>
      <c r="EH90" s="445">
        <f t="shared" si="60"/>
        <v>0</v>
      </c>
      <c r="EI90" s="447">
        <f t="shared" si="61"/>
        <v>0</v>
      </c>
      <c r="EJ90" s="364">
        <f t="shared" si="62"/>
        <v>0</v>
      </c>
      <c r="EK90" s="365">
        <f t="shared" si="63"/>
        <v>0</v>
      </c>
      <c r="EL90" s="529">
        <f t="shared" si="64"/>
        <v>0</v>
      </c>
      <c r="EM90" s="530">
        <v>0</v>
      </c>
      <c r="EN90" s="530">
        <v>0</v>
      </c>
      <c r="EO90" s="530">
        <v>0</v>
      </c>
      <c r="EP90" s="530">
        <v>0</v>
      </c>
      <c r="EQ90" s="530">
        <v>0</v>
      </c>
      <c r="ER90" s="530">
        <v>0</v>
      </c>
      <c r="ES90" s="530">
        <v>0</v>
      </c>
      <c r="ET90" s="530">
        <v>0</v>
      </c>
      <c r="EU90" s="530">
        <v>0</v>
      </c>
      <c r="EV90" s="530">
        <v>0</v>
      </c>
      <c r="EW90" s="530">
        <v>0</v>
      </c>
      <c r="EX90" s="530">
        <v>0</v>
      </c>
      <c r="EY90" s="530">
        <f t="shared" si="65"/>
        <v>0</v>
      </c>
      <c r="EZ90" s="530">
        <f t="shared" si="66"/>
        <v>0</v>
      </c>
      <c r="FA90" s="530">
        <f t="shared" si="67"/>
        <v>0</v>
      </c>
      <c r="FB90" s="530">
        <f t="shared" si="68"/>
        <v>0</v>
      </c>
      <c r="FC90" s="384">
        <f>IFERROR(VLOOKUP(Capex!A81,BASE_558!D:R,8,FALSE)/1000,"")</f>
        <v>713.3</v>
      </c>
      <c r="FD90" s="328">
        <f>IFERROR(VLOOKUP(Capex!A81,BASE_558!D:R,9,)/1000,"")</f>
        <v>659.17750000000001</v>
      </c>
      <c r="FE90" s="328">
        <f>IFERROR(IF(LEFT(A90,3)="LCP",(VLOOKUP(Capex!A81,BASE_558!D:R,10,)/1000),SUMIFS('BASE ICP_PO_SC'!F:F,'BASE ICP_PO_SC'!A:A,Capex!A81,'BASE ICP_PO_SC'!E:E,"&lt;&gt;")/1000),"")</f>
        <v>0</v>
      </c>
      <c r="FF90" s="328">
        <f>IFERROR(IF(LEFT(A90,3)="LCP",(VLOOKUP(Capex!A81,BASE_558!D:R,11,)/1000),SUMIFS('BASE ICP_PO_SC'!F:F,'BASE ICP_PO_SC'!A:A,Capex!A81,'BASE ICP_PO_SC'!E:E,"")/1000),"")</f>
        <v>0</v>
      </c>
      <c r="FG90" s="328">
        <f>IFERROR(VLOOKUP(A90,BASE_558!D:R,13,FALSE)/1000,"")</f>
        <v>3610.5725600000001</v>
      </c>
      <c r="FH90" s="328">
        <f>IFERROR(VLOOKUP(A90,BASE_558!D:R,15,FALSE)/1000,"")</f>
        <v>156.92743999999999</v>
      </c>
      <c r="FI90" s="547">
        <f t="shared" si="69"/>
        <v>0</v>
      </c>
      <c r="FJ90" s="547">
        <f t="shared" si="70"/>
        <v>0</v>
      </c>
      <c r="FK90" s="540">
        <f t="shared" si="71"/>
        <v>0</v>
      </c>
    </row>
    <row r="91" spans="1:167" s="23" customFormat="1" ht="24" customHeight="1">
      <c r="A91" s="84" t="s">
        <v>49</v>
      </c>
      <c r="B91" s="404"/>
      <c r="C91" s="404"/>
      <c r="D91" s="338" t="s">
        <v>2214</v>
      </c>
      <c r="E91" s="378"/>
      <c r="F91" s="5"/>
      <c r="G91" s="310" t="s">
        <v>9</v>
      </c>
      <c r="H91" s="338"/>
      <c r="I91" s="338"/>
      <c r="J91" s="338">
        <v>2018</v>
      </c>
      <c r="K91" s="316">
        <v>43137</v>
      </c>
      <c r="L91" s="317">
        <v>43972</v>
      </c>
      <c r="M91" s="409"/>
      <c r="N91" s="317">
        <f t="shared" si="38"/>
        <v>44049</v>
      </c>
      <c r="O91" s="317">
        <f t="shared" si="39"/>
        <v>44414</v>
      </c>
      <c r="P91" s="418" t="str">
        <f t="shared" si="73"/>
        <v>CRTD</v>
      </c>
      <c r="Q91" s="418" t="str">
        <f t="shared" si="73"/>
        <v>CRTD</v>
      </c>
      <c r="R91" s="418" t="str">
        <f t="shared" si="73"/>
        <v>CRTD</v>
      </c>
      <c r="S91" s="418" t="str">
        <f t="shared" si="73"/>
        <v>CRTD</v>
      </c>
      <c r="T91" s="418" t="str">
        <f t="shared" si="73"/>
        <v>CRTD</v>
      </c>
      <c r="U91" s="418" t="str">
        <f t="shared" si="73"/>
        <v>CRTD</v>
      </c>
      <c r="V91" s="418" t="str">
        <f t="shared" si="73"/>
        <v>CRTD</v>
      </c>
      <c r="W91" s="418" t="str">
        <f t="shared" si="73"/>
        <v>CRTD</v>
      </c>
      <c r="X91" s="418" t="str">
        <f t="shared" si="73"/>
        <v>CRTD</v>
      </c>
      <c r="Y91" s="418" t="str">
        <f t="shared" si="73"/>
        <v>CRTD</v>
      </c>
      <c r="Z91" s="418" t="str">
        <f t="shared" si="73"/>
        <v>CRTD</v>
      </c>
      <c r="AA91" s="418" t="str">
        <f t="shared" si="73"/>
        <v>CRTD</v>
      </c>
      <c r="AB91" s="317"/>
      <c r="AC91" s="309" t="s">
        <v>3932</v>
      </c>
      <c r="AD91" s="311" t="s">
        <v>222</v>
      </c>
      <c r="AE91" s="311"/>
      <c r="AF91" s="310" t="s">
        <v>6985</v>
      </c>
      <c r="AG91" s="310" t="s">
        <v>9083</v>
      </c>
      <c r="AH91" s="310" t="s">
        <v>50</v>
      </c>
      <c r="AI91" s="381" t="s">
        <v>187</v>
      </c>
      <c r="AJ91" s="6" t="s">
        <v>218</v>
      </c>
      <c r="AK91" s="6" t="str">
        <f t="shared" si="49"/>
        <v>IGUAL</v>
      </c>
      <c r="AL91" s="151" t="str">
        <f>IFERROR(IF(LEFT(A91,3)="LCP",VLOOKUP(A91,STATUS_SAP_LCP!B:C,2,FALSE),VLOOKUP(A91,STATUS_SAP_ICP!B:C,2,FALSE)),"NO BUDGET")</f>
        <v>CLSD BUDG AUC  AVAC  //  APPR BREL EXPL</v>
      </c>
      <c r="AM91" s="6" t="str">
        <f t="shared" si="48"/>
        <v>CLSD</v>
      </c>
      <c r="AN91" s="282" t="s">
        <v>9098</v>
      </c>
      <c r="AO91" s="493">
        <v>1</v>
      </c>
      <c r="AP91" s="499" t="s">
        <v>9607</v>
      </c>
      <c r="AQ91" s="465">
        <v>43972</v>
      </c>
      <c r="AR91" s="460"/>
      <c r="AS91" s="56">
        <v>216.93427830589269</v>
      </c>
      <c r="AT91" s="185">
        <v>0</v>
      </c>
      <c r="AU91" s="318">
        <v>0</v>
      </c>
      <c r="AV91" s="223">
        <v>0</v>
      </c>
      <c r="AW91" s="318">
        <v>0</v>
      </c>
      <c r="AX91" s="223">
        <v>0</v>
      </c>
      <c r="AY91" s="318">
        <f t="shared" si="40"/>
        <v>0</v>
      </c>
      <c r="AZ91" s="223"/>
      <c r="BA91" s="318"/>
      <c r="BB91" s="519">
        <f t="shared" si="41"/>
        <v>0</v>
      </c>
      <c r="BC91" s="518"/>
      <c r="BD91" s="518"/>
      <c r="BE91" s="518"/>
      <c r="BF91" s="518"/>
      <c r="BG91" s="518"/>
      <c r="BH91" s="518"/>
      <c r="BI91" s="518"/>
      <c r="BJ91" s="518"/>
      <c r="BK91" s="518"/>
      <c r="BL91" s="518"/>
      <c r="BM91" s="518"/>
      <c r="BN91" s="518"/>
      <c r="BO91" s="367">
        <f t="shared" si="50"/>
        <v>0</v>
      </c>
      <c r="BP91" s="421"/>
      <c r="BQ91" s="422"/>
      <c r="BR91" s="423">
        <f>IFERROR(IF(LEFT($A91,3)="Lcp",SUMIFS('BASE-LCP'!$K:$K,'BASE-LCP'!$A:$A,Capex!$A82,'BASE-LCP'!$B:$B,"janeiro")/1000,IF(LEFT($A91,3)="icp",SUMIFS('BASE-ICP'!$K:$K,'BASE-ICP'!$A:$A,Capex!$A82,'BASE-ICP'!$B:$B,"janeiro")/1000,"")),"")</f>
        <v>0</v>
      </c>
      <c r="BS91" s="427">
        <v>0</v>
      </c>
      <c r="BT91" s="372">
        <v>0</v>
      </c>
      <c r="BU91" s="422"/>
      <c r="BV91" s="423">
        <f>IFERROR(IF(LEFT($A91,3)="Lcp",SUMIFS('BASE-LCP'!$K:$K,'BASE-LCP'!$A:$A,Capex!$A82,'BASE-LCP'!$B:$B,"fevereiro")/1000,IF(LEFT($A91,3)="icp",SUMIFS('BASE-ICP'!$K:$K,'BASE-ICP'!$A:$A,Capex!$A82,'BASE-ICP'!$B:$B,"fevereiro")/1000,"")),"")</f>
        <v>0</v>
      </c>
      <c r="BW91" s="427">
        <v>0</v>
      </c>
      <c r="BX91" s="372">
        <v>0</v>
      </c>
      <c r="BY91" s="419"/>
      <c r="BZ91" s="423">
        <f>IFERROR(IF(LEFT($A91,3)="Lcp",SUMIFS('BASE-LCP'!$K:$K,'BASE-LCP'!$A:$A,Capex!$A82,'BASE-LCP'!$B:$B,"março")/1000,IF(LEFT($A91,3)="icp",SUMIFS('BASE-ICP'!$K:$K,'BASE-ICP'!$A:$A,Capex!$A82,'BASE-ICP'!$B:$B,"março")/1000,"")),"")</f>
        <v>0</v>
      </c>
      <c r="CA91" s="427">
        <v>0</v>
      </c>
      <c r="CB91" s="372">
        <v>0</v>
      </c>
      <c r="CC91" s="422"/>
      <c r="CD91" s="423">
        <f>IFERROR(IF(LEFT($A91,3)="Lcp",SUMIFS('BASE-LCP'!$K:$K,'BASE-LCP'!$A:$A,Capex!$A82,'BASE-LCP'!$B:$B,"abril")/1000,IF(LEFT($A91,3)="icp",SUMIFS('BASE-ICP'!$K:$K,'BASE-ICP'!$A:$A,Capex!$A82,'BASE-ICP'!$B:$B,"abril")/1000,"")),"")</f>
        <v>0</v>
      </c>
      <c r="CE91" s="427">
        <v>0</v>
      </c>
      <c r="CF91" s="372">
        <v>0</v>
      </c>
      <c r="CG91" s="419"/>
      <c r="CH91" s="423">
        <v>0</v>
      </c>
      <c r="CI91" s="427">
        <v>0</v>
      </c>
      <c r="CJ91" s="372">
        <v>0</v>
      </c>
      <c r="CK91" s="419"/>
      <c r="CL91" s="423">
        <f>IFERROR(IF(LEFT($A91,3)="Lcp",SUMIFS('BASE-LCP'!$K:$K,'BASE-LCP'!$A:$A,Capex!$A82,'BASE-LCP'!$B:$B,"junho")/1000,IF(LEFT($A91,3)="icp",SUMIFS('BASE-ICP'!$K:$K,'BASE-ICP'!$A:$A,Capex!$A82,'BASE-ICP'!$B:$B,"junho")/1000,"")),"")</f>
        <v>0</v>
      </c>
      <c r="CM91" s="427">
        <v>0</v>
      </c>
      <c r="CN91" s="372"/>
      <c r="CO91" s="419"/>
      <c r="CP91" s="423">
        <f>IFERROR(IF(LEFT($A91,3)="Lcp",SUMIFS('BASE-LCP'!$K:$K,'BASE-LCP'!$A:$A,Capex!$A82,'BASE-LCP'!$B:$B,"julho")/1000,IF(LEFT($A91,3)="icp",SUMIFS('BASE-ICP'!$K:$K,'BASE-ICP'!$A:$A,Capex!$A82,'BASE-ICP'!$B:$B,"julho")/1000,"")),"")</f>
        <v>0</v>
      </c>
      <c r="CQ91" s="427">
        <v>0</v>
      </c>
      <c r="CR91" s="372"/>
      <c r="CS91" s="419"/>
      <c r="CT91" s="423">
        <f>IFERROR(IF(LEFT($A91,3)="Lcp",SUMIFS('BASE-LCP'!$K:$K,'BASE-LCP'!$A:$A,Capex!$A82,'BASE-LCP'!$B:$B,"agosto")/1000,IF(LEFT($A91,3)="icp",SUMIFS('BASE-ICP'!$K:$K,'BASE-ICP'!$A:$A,Capex!$A82,'BASE-ICP'!$B:$B,"agosto")/1000,"")),"")</f>
        <v>0</v>
      </c>
      <c r="CU91" s="427">
        <v>0</v>
      </c>
      <c r="CV91" s="372"/>
      <c r="CW91" s="419"/>
      <c r="CX91" s="423">
        <f>IFERROR(IF(LEFT($A91,3)="Lcp",SUMIFS('BASE-LCP'!$K:$K,'BASE-LCP'!$A:$A,Capex!$A82,'BASE-LCP'!$B:$B,"setembro")/1000,IF(LEFT($A91,3)="icp",SUMIFS('BASE-ICP'!$K:$K,'BASE-ICP'!$A:$A,Capex!$A82,'BASE-ICP'!$B:$B,"setembro")/1000,"")),"")</f>
        <v>0</v>
      </c>
      <c r="CY91" s="427">
        <v>0</v>
      </c>
      <c r="CZ91" s="372"/>
      <c r="DA91" s="419"/>
      <c r="DB91" s="423">
        <f>IFERROR(IF(LEFT($A91,3)="Lcp",SUMIFS('BASE-LCP'!$K:$K,'BASE-LCP'!$A:$A,Capex!$A82,'BASE-LCP'!$B:$B,"outubro")/1000,IF(LEFT($A91,3)="icp",SUMIFS('BASE-ICP'!$K:$K,'BASE-ICP'!$A:$A,Capex!$A82,'BASE-ICP'!$B:$B,"outubro")/1000,"")),"")</f>
        <v>0</v>
      </c>
      <c r="DC91" s="427">
        <v>0</v>
      </c>
      <c r="DD91" s="372"/>
      <c r="DE91" s="419"/>
      <c r="DF91" s="423">
        <f>IFERROR(IF(LEFT($A91,3)="Lcp",SUMIFS('BASE-LCP'!$K:$K,'BASE-LCP'!$A:$A,Capex!$A82,'BASE-LCP'!$B:$B,"novembro")/1000,IF(LEFT($A91,3)="icp",SUMIFS('BASE-ICP'!$K:$K,'BASE-ICP'!$A:$A,Capex!$A82,'BASE-ICP'!$B:$B,"novembro")/1000,"")),"")</f>
        <v>0</v>
      </c>
      <c r="DG91" s="427">
        <v>0</v>
      </c>
      <c r="DH91" s="372"/>
      <c r="DI91" s="419"/>
      <c r="DJ91" s="423">
        <f>IFERROR(IF(LEFT($A91,3)="Lcp",SUMIFS('BASE-LCP'!$K:$K,'BASE-LCP'!$A:$A,Capex!$A82,'BASE-LCP'!$B:$B,"dezembro")/1000,IF(LEFT($A91,3)="icp",SUMIFS('BASE-ICP'!$K:$K,'BASE-ICP'!$A:$A,Capex!$A82,'BASE-ICP'!$B:$B,"dezembro")/1000,"")),"")</f>
        <v>0</v>
      </c>
      <c r="DK91" s="427">
        <v>0</v>
      </c>
      <c r="DL91" s="452">
        <f t="shared" si="51"/>
        <v>0</v>
      </c>
      <c r="DM91" s="374"/>
      <c r="DN91" s="374"/>
      <c r="DO91" s="374"/>
      <c r="DP91" s="374"/>
      <c r="DQ91" s="374"/>
      <c r="DR91" s="374"/>
      <c r="DS91" s="374"/>
      <c r="DT91" s="374"/>
      <c r="DU91" s="374"/>
      <c r="DV91" s="374"/>
      <c r="DW91" s="374"/>
      <c r="DX91" s="374"/>
      <c r="DY91" s="450"/>
      <c r="DZ91" s="374">
        <f t="shared" si="52"/>
        <v>0</v>
      </c>
      <c r="EA91" s="216">
        <f t="shared" si="53"/>
        <v>0</v>
      </c>
      <c r="EB91" s="320">
        <f t="shared" si="54"/>
        <v>0</v>
      </c>
      <c r="EC91" s="241">
        <f t="shared" si="55"/>
        <v>0</v>
      </c>
      <c r="ED91" s="241">
        <f t="shared" si="56"/>
        <v>0</v>
      </c>
      <c r="EE91" s="241">
        <f t="shared" si="57"/>
        <v>0</v>
      </c>
      <c r="EF91" s="241">
        <f t="shared" si="58"/>
        <v>0</v>
      </c>
      <c r="EG91" s="346">
        <f t="shared" si="59"/>
        <v>0</v>
      </c>
      <c r="EH91" s="445">
        <f t="shared" si="60"/>
        <v>0</v>
      </c>
      <c r="EI91" s="447">
        <f t="shared" si="61"/>
        <v>0</v>
      </c>
      <c r="EJ91" s="364">
        <f t="shared" si="62"/>
        <v>0</v>
      </c>
      <c r="EK91" s="365">
        <f t="shared" si="63"/>
        <v>0</v>
      </c>
      <c r="EL91" s="529">
        <f t="shared" si="64"/>
        <v>0</v>
      </c>
      <c r="EM91" s="530">
        <v>0</v>
      </c>
      <c r="EN91" s="530">
        <v>0</v>
      </c>
      <c r="EO91" s="530">
        <v>0</v>
      </c>
      <c r="EP91" s="530">
        <v>0</v>
      </c>
      <c r="EQ91" s="530">
        <v>0</v>
      </c>
      <c r="ER91" s="530">
        <v>0</v>
      </c>
      <c r="ES91" s="530">
        <v>0</v>
      </c>
      <c r="ET91" s="530">
        <v>0</v>
      </c>
      <c r="EU91" s="530">
        <v>0</v>
      </c>
      <c r="EV91" s="530">
        <v>0</v>
      </c>
      <c r="EW91" s="530">
        <v>0</v>
      </c>
      <c r="EX91" s="530">
        <v>0</v>
      </c>
      <c r="EY91" s="530">
        <f t="shared" si="65"/>
        <v>0</v>
      </c>
      <c r="EZ91" s="530">
        <f t="shared" si="66"/>
        <v>0</v>
      </c>
      <c r="FA91" s="530">
        <f t="shared" si="67"/>
        <v>0</v>
      </c>
      <c r="FB91" s="530">
        <f t="shared" si="68"/>
        <v>0</v>
      </c>
      <c r="FC91" s="384">
        <f>IFERROR(VLOOKUP(Capex!A82,BASE_558!D:R,8,FALSE)/1000,"")</f>
        <v>248</v>
      </c>
      <c r="FD91" s="328">
        <f>IFERROR(VLOOKUP(Capex!A82,BASE_558!D:R,9,)/1000,"")</f>
        <v>203.21110000000002</v>
      </c>
      <c r="FE91" s="328">
        <f>IFERROR(IF(LEFT(A91,3)="LCP",(VLOOKUP(Capex!A82,BASE_558!D:R,10,)/1000),SUMIFS('BASE ICP_PO_SC'!F:F,'BASE ICP_PO_SC'!A:A,Capex!A82,'BASE ICP_PO_SC'!E:E,"&lt;&gt;")/1000),"")</f>
        <v>0</v>
      </c>
      <c r="FF91" s="328">
        <f>IFERROR(IF(LEFT(A91,3)="LCP",(VLOOKUP(Capex!A82,BASE_558!D:R,11,)/1000),SUMIFS('BASE ICP_PO_SC'!F:F,'BASE ICP_PO_SC'!A:A,Capex!A82,'BASE ICP_PO_SC'!E:E,"")/1000),"")</f>
        <v>0</v>
      </c>
      <c r="FG91" s="328">
        <f>IFERROR(VLOOKUP(A91,BASE_558!D:R,13,FALSE)/1000,"")</f>
        <v>469.43390000000005</v>
      </c>
      <c r="FH91" s="328">
        <f>IFERROR(VLOOKUP(A91,BASE_558!D:R,15,FALSE)/1000,"")</f>
        <v>30.456099999999999</v>
      </c>
      <c r="FI91" s="547">
        <f t="shared" si="69"/>
        <v>0</v>
      </c>
      <c r="FJ91" s="547">
        <f t="shared" si="70"/>
        <v>0</v>
      </c>
      <c r="FK91" s="540">
        <f t="shared" si="71"/>
        <v>0</v>
      </c>
    </row>
    <row r="92" spans="1:167" s="23" customFormat="1" ht="28.5" customHeight="1">
      <c r="A92" s="84" t="s">
        <v>51</v>
      </c>
      <c r="B92" s="404"/>
      <c r="C92" s="404"/>
      <c r="D92" s="338" t="s">
        <v>2215</v>
      </c>
      <c r="E92" s="378"/>
      <c r="F92" s="5"/>
      <c r="G92" s="310" t="s">
        <v>9</v>
      </c>
      <c r="H92" s="338"/>
      <c r="I92" s="338"/>
      <c r="J92" s="338">
        <v>2018</v>
      </c>
      <c r="K92" s="316">
        <v>43115</v>
      </c>
      <c r="L92" s="317">
        <v>43822</v>
      </c>
      <c r="M92" s="409"/>
      <c r="N92" s="317">
        <f t="shared" ref="N92:N155" si="74">IF(K92+912=912,"",K92+912)</f>
        <v>44027</v>
      </c>
      <c r="O92" s="317">
        <f t="shared" ref="O92:O155" si="75">IF(K92+1277=1277,"",K92+1277)</f>
        <v>44392</v>
      </c>
      <c r="P92" s="418" t="str">
        <f t="shared" si="73"/>
        <v>CRTD</v>
      </c>
      <c r="Q92" s="418" t="str">
        <f t="shared" si="73"/>
        <v>CRTD</v>
      </c>
      <c r="R92" s="418" t="str">
        <f t="shared" si="73"/>
        <v>CRTD</v>
      </c>
      <c r="S92" s="418" t="str">
        <f t="shared" si="73"/>
        <v>CRTD</v>
      </c>
      <c r="T92" s="418" t="str">
        <f t="shared" si="73"/>
        <v>CRTD</v>
      </c>
      <c r="U92" s="418" t="str">
        <f t="shared" si="73"/>
        <v>CRTD</v>
      </c>
      <c r="V92" s="418" t="str">
        <f t="shared" si="73"/>
        <v>CRTD</v>
      </c>
      <c r="W92" s="418" t="str">
        <f t="shared" si="73"/>
        <v>CRTD</v>
      </c>
      <c r="X92" s="418" t="str">
        <f t="shared" si="73"/>
        <v>CRTD</v>
      </c>
      <c r="Y92" s="418" t="str">
        <f t="shared" si="73"/>
        <v>CRTD</v>
      </c>
      <c r="Z92" s="418" t="str">
        <f t="shared" si="73"/>
        <v>CRTD</v>
      </c>
      <c r="AA92" s="418" t="str">
        <f t="shared" si="73"/>
        <v>CRTD</v>
      </c>
      <c r="AB92" s="317"/>
      <c r="AC92" s="309" t="s">
        <v>3932</v>
      </c>
      <c r="AD92" s="311" t="s">
        <v>222</v>
      </c>
      <c r="AE92" s="311"/>
      <c r="AF92" s="310" t="s">
        <v>6985</v>
      </c>
      <c r="AG92" s="310" t="s">
        <v>9083</v>
      </c>
      <c r="AH92" s="310" t="s">
        <v>52</v>
      </c>
      <c r="AI92" s="309" t="s">
        <v>186</v>
      </c>
      <c r="AJ92" s="6" t="s">
        <v>218</v>
      </c>
      <c r="AK92" s="6" t="str">
        <f t="shared" si="49"/>
        <v>IGUAL</v>
      </c>
      <c r="AL92" s="151" t="str">
        <f>IFERROR(IF(LEFT(A92,3)="LCP",VLOOKUP(A92,STATUS_SAP_LCP!B:C,2,FALSE),VLOOKUP(A92,STATUS_SAP_ICP!B:C,2,FALSE)),"NO BUDGET")</f>
        <v>CLSD BUDG AUC  AVAC  //  APPR BREL EXPL</v>
      </c>
      <c r="AM92" s="6" t="str">
        <f t="shared" si="48"/>
        <v>CLSD</v>
      </c>
      <c r="AN92" s="282" t="s">
        <v>9093</v>
      </c>
      <c r="AO92" s="493">
        <v>1</v>
      </c>
      <c r="AP92" s="499" t="s">
        <v>9607</v>
      </c>
      <c r="AQ92" s="465">
        <v>43822</v>
      </c>
      <c r="AR92" s="460"/>
      <c r="AS92" s="56">
        <v>29.02616680231727</v>
      </c>
      <c r="AT92" s="185">
        <v>0</v>
      </c>
      <c r="AU92" s="318">
        <v>0</v>
      </c>
      <c r="AV92" s="223">
        <v>0</v>
      </c>
      <c r="AW92" s="318">
        <v>0</v>
      </c>
      <c r="AX92" s="223">
        <v>0</v>
      </c>
      <c r="AY92" s="318">
        <f t="shared" ref="AY92:AY155" si="76">BO92</f>
        <v>0</v>
      </c>
      <c r="AZ92" s="223"/>
      <c r="BA92" s="318"/>
      <c r="BB92" s="519">
        <f t="shared" ref="BB92:BB155" si="77">SUM(BC92:BN92)</f>
        <v>0</v>
      </c>
      <c r="BC92" s="518"/>
      <c r="BD92" s="518"/>
      <c r="BE92" s="518"/>
      <c r="BF92" s="518"/>
      <c r="BG92" s="518"/>
      <c r="BH92" s="518"/>
      <c r="BI92" s="518"/>
      <c r="BJ92" s="518"/>
      <c r="BK92" s="518"/>
      <c r="BL92" s="518"/>
      <c r="BM92" s="518"/>
      <c r="BN92" s="518"/>
      <c r="BO92" s="367">
        <f t="shared" si="50"/>
        <v>0</v>
      </c>
      <c r="BP92" s="421"/>
      <c r="BQ92" s="422"/>
      <c r="BR92" s="423">
        <f>IFERROR(IF(LEFT($A92,3)="Lcp",SUMIFS('BASE-LCP'!$K:$K,'BASE-LCP'!$A:$A,Capex!$A83,'BASE-LCP'!$B:$B,"janeiro")/1000,IF(LEFT($A92,3)="icp",SUMIFS('BASE-ICP'!$K:$K,'BASE-ICP'!$A:$A,Capex!$A83,'BASE-ICP'!$B:$B,"janeiro")/1000,"")),"")</f>
        <v>0</v>
      </c>
      <c r="BS92" s="427">
        <v>0</v>
      </c>
      <c r="BT92" s="372">
        <v>0</v>
      </c>
      <c r="BU92" s="422"/>
      <c r="BV92" s="423">
        <f>IFERROR(IF(LEFT($A92,3)="Lcp",SUMIFS('BASE-LCP'!$K:$K,'BASE-LCP'!$A:$A,Capex!$A83,'BASE-LCP'!$B:$B,"fevereiro")/1000,IF(LEFT($A92,3)="icp",SUMIFS('BASE-ICP'!$K:$K,'BASE-ICP'!$A:$A,Capex!$A83,'BASE-ICP'!$B:$B,"fevereiro")/1000,"")),"")</f>
        <v>0</v>
      </c>
      <c r="BW92" s="427">
        <v>0</v>
      </c>
      <c r="BX92" s="372">
        <v>0</v>
      </c>
      <c r="BY92" s="419"/>
      <c r="BZ92" s="423">
        <f>IFERROR(IF(LEFT($A92,3)="Lcp",SUMIFS('BASE-LCP'!$K:$K,'BASE-LCP'!$A:$A,Capex!$A83,'BASE-LCP'!$B:$B,"março")/1000,IF(LEFT($A92,3)="icp",SUMIFS('BASE-ICP'!$K:$K,'BASE-ICP'!$A:$A,Capex!$A83,'BASE-ICP'!$B:$B,"março")/1000,"")),"")</f>
        <v>0</v>
      </c>
      <c r="CA92" s="427">
        <v>0</v>
      </c>
      <c r="CB92" s="372">
        <v>0</v>
      </c>
      <c r="CC92" s="422"/>
      <c r="CD92" s="423">
        <f>IFERROR(IF(LEFT($A92,3)="Lcp",SUMIFS('BASE-LCP'!$K:$K,'BASE-LCP'!$A:$A,Capex!$A83,'BASE-LCP'!$B:$B,"abril")/1000,IF(LEFT($A92,3)="icp",SUMIFS('BASE-ICP'!$K:$K,'BASE-ICP'!$A:$A,Capex!$A83,'BASE-ICP'!$B:$B,"abril")/1000,"")),"")</f>
        <v>0</v>
      </c>
      <c r="CE92" s="427">
        <v>0</v>
      </c>
      <c r="CF92" s="372">
        <v>0</v>
      </c>
      <c r="CG92" s="419"/>
      <c r="CH92" s="423">
        <v>0</v>
      </c>
      <c r="CI92" s="427">
        <v>0</v>
      </c>
      <c r="CJ92" s="372">
        <v>0</v>
      </c>
      <c r="CK92" s="419"/>
      <c r="CL92" s="423">
        <f>IFERROR(IF(LEFT($A92,3)="Lcp",SUMIFS('BASE-LCP'!$K:$K,'BASE-LCP'!$A:$A,Capex!$A83,'BASE-LCP'!$B:$B,"junho")/1000,IF(LEFT($A92,3)="icp",SUMIFS('BASE-ICP'!$K:$K,'BASE-ICP'!$A:$A,Capex!$A83,'BASE-ICP'!$B:$B,"junho")/1000,"")),"")</f>
        <v>0</v>
      </c>
      <c r="CM92" s="427">
        <v>0</v>
      </c>
      <c r="CN92" s="372"/>
      <c r="CO92" s="419"/>
      <c r="CP92" s="423">
        <f>IFERROR(IF(LEFT($A92,3)="Lcp",SUMIFS('BASE-LCP'!$K:$K,'BASE-LCP'!$A:$A,Capex!$A83,'BASE-LCP'!$B:$B,"julho")/1000,IF(LEFT($A92,3)="icp",SUMIFS('BASE-ICP'!$K:$K,'BASE-ICP'!$A:$A,Capex!$A83,'BASE-ICP'!$B:$B,"julho")/1000,"")),"")</f>
        <v>0</v>
      </c>
      <c r="CQ92" s="427">
        <v>0</v>
      </c>
      <c r="CR92" s="372"/>
      <c r="CS92" s="419"/>
      <c r="CT92" s="423">
        <f>IFERROR(IF(LEFT($A92,3)="Lcp",SUMIFS('BASE-LCP'!$K:$K,'BASE-LCP'!$A:$A,Capex!$A83,'BASE-LCP'!$B:$B,"agosto")/1000,IF(LEFT($A92,3)="icp",SUMIFS('BASE-ICP'!$K:$K,'BASE-ICP'!$A:$A,Capex!$A83,'BASE-ICP'!$B:$B,"agosto")/1000,"")),"")</f>
        <v>0</v>
      </c>
      <c r="CU92" s="427">
        <v>0</v>
      </c>
      <c r="CV92" s="372"/>
      <c r="CW92" s="419"/>
      <c r="CX92" s="423">
        <f>IFERROR(IF(LEFT($A92,3)="Lcp",SUMIFS('BASE-LCP'!$K:$K,'BASE-LCP'!$A:$A,Capex!$A83,'BASE-LCP'!$B:$B,"setembro")/1000,IF(LEFT($A92,3)="icp",SUMIFS('BASE-ICP'!$K:$K,'BASE-ICP'!$A:$A,Capex!$A83,'BASE-ICP'!$B:$B,"setembro")/1000,"")),"")</f>
        <v>0</v>
      </c>
      <c r="CY92" s="427">
        <v>0</v>
      </c>
      <c r="CZ92" s="372"/>
      <c r="DA92" s="419"/>
      <c r="DB92" s="423">
        <f>IFERROR(IF(LEFT($A92,3)="Lcp",SUMIFS('BASE-LCP'!$K:$K,'BASE-LCP'!$A:$A,Capex!$A83,'BASE-LCP'!$B:$B,"outubro")/1000,IF(LEFT($A92,3)="icp",SUMIFS('BASE-ICP'!$K:$K,'BASE-ICP'!$A:$A,Capex!$A83,'BASE-ICP'!$B:$B,"outubro")/1000,"")),"")</f>
        <v>0</v>
      </c>
      <c r="DC92" s="427">
        <v>0</v>
      </c>
      <c r="DD92" s="372"/>
      <c r="DE92" s="419"/>
      <c r="DF92" s="423">
        <f>IFERROR(IF(LEFT($A92,3)="Lcp",SUMIFS('BASE-LCP'!$K:$K,'BASE-LCP'!$A:$A,Capex!$A83,'BASE-LCP'!$B:$B,"novembro")/1000,IF(LEFT($A92,3)="icp",SUMIFS('BASE-ICP'!$K:$K,'BASE-ICP'!$A:$A,Capex!$A83,'BASE-ICP'!$B:$B,"novembro")/1000,"")),"")</f>
        <v>0</v>
      </c>
      <c r="DG92" s="427">
        <v>0</v>
      </c>
      <c r="DH92" s="372"/>
      <c r="DI92" s="419"/>
      <c r="DJ92" s="423">
        <f>IFERROR(IF(LEFT($A92,3)="Lcp",SUMIFS('BASE-LCP'!$K:$K,'BASE-LCP'!$A:$A,Capex!$A83,'BASE-LCP'!$B:$B,"dezembro")/1000,IF(LEFT($A92,3)="icp",SUMIFS('BASE-ICP'!$K:$K,'BASE-ICP'!$A:$A,Capex!$A83,'BASE-ICP'!$B:$B,"dezembro")/1000,"")),"")</f>
        <v>0</v>
      </c>
      <c r="DK92" s="427">
        <v>0</v>
      </c>
      <c r="DL92" s="452">
        <f t="shared" si="51"/>
        <v>0</v>
      </c>
      <c r="DM92" s="374"/>
      <c r="DN92" s="374"/>
      <c r="DO92" s="374"/>
      <c r="DP92" s="374"/>
      <c r="DQ92" s="374"/>
      <c r="DR92" s="374"/>
      <c r="DS92" s="374"/>
      <c r="DT92" s="374"/>
      <c r="DU92" s="374"/>
      <c r="DV92" s="374"/>
      <c r="DW92" s="374"/>
      <c r="DX92" s="374"/>
      <c r="DY92" s="450"/>
      <c r="DZ92" s="374">
        <f t="shared" si="52"/>
        <v>0</v>
      </c>
      <c r="EA92" s="216">
        <f t="shared" si="53"/>
        <v>0</v>
      </c>
      <c r="EB92" s="320">
        <f t="shared" si="54"/>
        <v>0</v>
      </c>
      <c r="EC92" s="241">
        <f t="shared" si="55"/>
        <v>0</v>
      </c>
      <c r="ED92" s="241">
        <f t="shared" si="56"/>
        <v>0</v>
      </c>
      <c r="EE92" s="241">
        <f t="shared" si="57"/>
        <v>0</v>
      </c>
      <c r="EF92" s="241">
        <f t="shared" si="58"/>
        <v>0</v>
      </c>
      <c r="EG92" s="346">
        <f t="shared" si="59"/>
        <v>0</v>
      </c>
      <c r="EH92" s="445">
        <f t="shared" si="60"/>
        <v>0</v>
      </c>
      <c r="EI92" s="447">
        <f t="shared" si="61"/>
        <v>0</v>
      </c>
      <c r="EJ92" s="364">
        <f t="shared" si="62"/>
        <v>0</v>
      </c>
      <c r="EK92" s="365">
        <f t="shared" si="63"/>
        <v>0</v>
      </c>
      <c r="EL92" s="529">
        <f t="shared" si="64"/>
        <v>0</v>
      </c>
      <c r="EM92" s="530">
        <v>0</v>
      </c>
      <c r="EN92" s="530">
        <v>0</v>
      </c>
      <c r="EO92" s="530">
        <v>0</v>
      </c>
      <c r="EP92" s="530">
        <v>0</v>
      </c>
      <c r="EQ92" s="530">
        <v>0</v>
      </c>
      <c r="ER92" s="530">
        <v>0</v>
      </c>
      <c r="ES92" s="530">
        <v>0</v>
      </c>
      <c r="ET92" s="530">
        <v>0</v>
      </c>
      <c r="EU92" s="530">
        <v>0</v>
      </c>
      <c r="EV92" s="530">
        <v>0</v>
      </c>
      <c r="EW92" s="530">
        <v>0</v>
      </c>
      <c r="EX92" s="530">
        <v>0</v>
      </c>
      <c r="EY92" s="530">
        <f t="shared" si="65"/>
        <v>0</v>
      </c>
      <c r="EZ92" s="530">
        <f t="shared" si="66"/>
        <v>0</v>
      </c>
      <c r="FA92" s="530">
        <f t="shared" si="67"/>
        <v>0</v>
      </c>
      <c r="FB92" s="530">
        <f t="shared" si="68"/>
        <v>0</v>
      </c>
      <c r="FC92" s="384">
        <f>IFERROR(VLOOKUP(Capex!A83,BASE_558!D:R,8,FALSE)/1000,"")</f>
        <v>2866.6</v>
      </c>
      <c r="FD92" s="328">
        <f>IFERROR(VLOOKUP(Capex!A83,BASE_558!D:R,9,)/1000,"")</f>
        <v>2781.0119900000004</v>
      </c>
      <c r="FE92" s="328">
        <f>IFERROR(IF(LEFT(A92,3)="LCP",(VLOOKUP(Capex!A83,BASE_558!D:R,10,)/1000),SUMIFS('BASE ICP_PO_SC'!F:F,'BASE ICP_PO_SC'!A:A,Capex!A83,'BASE ICP_PO_SC'!E:E,"&lt;&gt;")/1000),"")</f>
        <v>0</v>
      </c>
      <c r="FF92" s="328">
        <f>IFERROR(IF(LEFT(A92,3)="LCP",(VLOOKUP(Capex!A83,BASE_558!D:R,11,)/1000),SUMIFS('BASE ICP_PO_SC'!F:F,'BASE ICP_PO_SC'!A:A,Capex!A83,'BASE ICP_PO_SC'!E:E,"")/1000),"")</f>
        <v>0</v>
      </c>
      <c r="FG92" s="328">
        <f>IFERROR(VLOOKUP(A92,BASE_558!D:R,13,FALSE)/1000,"")</f>
        <v>205.14036999999999</v>
      </c>
      <c r="FH92" s="328">
        <f>IFERROR(VLOOKUP(A92,BASE_558!D:R,15,FALSE)/1000,"")</f>
        <v>1.1596300000000002</v>
      </c>
      <c r="FI92" s="547">
        <f t="shared" si="69"/>
        <v>0</v>
      </c>
      <c r="FJ92" s="547">
        <f t="shared" si="70"/>
        <v>0</v>
      </c>
      <c r="FK92" s="540">
        <f t="shared" si="71"/>
        <v>0</v>
      </c>
    </row>
    <row r="93" spans="1:167" s="23" customFormat="1" ht="24" customHeight="1">
      <c r="A93" s="84" t="s">
        <v>53</v>
      </c>
      <c r="B93" s="404" t="s">
        <v>676</v>
      </c>
      <c r="C93" s="404"/>
      <c r="D93" s="338" t="s">
        <v>2216</v>
      </c>
      <c r="E93" s="378"/>
      <c r="F93" s="5"/>
      <c r="G93" s="310" t="s">
        <v>9</v>
      </c>
      <c r="H93" s="338"/>
      <c r="I93" s="338" t="s">
        <v>6</v>
      </c>
      <c r="J93" s="338">
        <v>2018</v>
      </c>
      <c r="K93" s="316">
        <v>43185</v>
      </c>
      <c r="L93" s="317">
        <v>44277</v>
      </c>
      <c r="M93" s="409"/>
      <c r="N93" s="317">
        <f t="shared" si="74"/>
        <v>44097</v>
      </c>
      <c r="O93" s="317">
        <f t="shared" si="75"/>
        <v>44462</v>
      </c>
      <c r="P93" s="418" t="str">
        <f t="shared" si="73"/>
        <v>CRTD</v>
      </c>
      <c r="Q93" s="418" t="str">
        <f t="shared" si="73"/>
        <v>CRTD</v>
      </c>
      <c r="R93" s="418" t="str">
        <f t="shared" si="73"/>
        <v>CRTD</v>
      </c>
      <c r="S93" s="418" t="str">
        <f t="shared" si="73"/>
        <v>CRTD</v>
      </c>
      <c r="T93" s="418" t="str">
        <f t="shared" si="73"/>
        <v>CRTD</v>
      </c>
      <c r="U93" s="418" t="str">
        <f t="shared" si="73"/>
        <v>CRTD</v>
      </c>
      <c r="V93" s="418" t="str">
        <f t="shared" si="73"/>
        <v>CRTD</v>
      </c>
      <c r="W93" s="418" t="str">
        <f t="shared" si="73"/>
        <v>CRTD</v>
      </c>
      <c r="X93" s="418" t="str">
        <f t="shared" si="73"/>
        <v>CRTD</v>
      </c>
      <c r="Y93" s="418" t="str">
        <f t="shared" si="73"/>
        <v>CRTD</v>
      </c>
      <c r="Z93" s="418" t="str">
        <f t="shared" si="73"/>
        <v>CRTD</v>
      </c>
      <c r="AA93" s="418" t="str">
        <f t="shared" si="73"/>
        <v>CRTD</v>
      </c>
      <c r="AB93" s="317"/>
      <c r="AC93" s="309" t="s">
        <v>3932</v>
      </c>
      <c r="AD93" s="311" t="s">
        <v>224</v>
      </c>
      <c r="AE93" s="311" t="s">
        <v>979</v>
      </c>
      <c r="AF93" s="310" t="s">
        <v>6985</v>
      </c>
      <c r="AG93" s="310" t="s">
        <v>9083</v>
      </c>
      <c r="AH93" s="310" t="s">
        <v>54</v>
      </c>
      <c r="AI93" s="309" t="s">
        <v>183</v>
      </c>
      <c r="AJ93" s="6" t="s">
        <v>218</v>
      </c>
      <c r="AK93" s="6" t="str">
        <f t="shared" si="49"/>
        <v>IGUAL</v>
      </c>
      <c r="AL93" s="151" t="str">
        <f>IFERROR(IF(LEFT(A93,3)="LCP",VLOOKUP(A93,STATUS_SAP_LCP!B:C,2,FALSE),VLOOKUP(A93,STATUS_SAP_ICP!B:C,2,FALSE)),"NO BUDGET")</f>
        <v>CLSD BUDG AUC  AVAC SETC  //  RJCD BREL EXPL</v>
      </c>
      <c r="AM93" s="6" t="str">
        <f t="shared" si="48"/>
        <v>CLSD</v>
      </c>
      <c r="AN93" s="282" t="s">
        <v>9096</v>
      </c>
      <c r="AO93" s="493">
        <v>1</v>
      </c>
      <c r="AP93" s="499" t="s">
        <v>9607</v>
      </c>
      <c r="AQ93" s="465">
        <v>44277</v>
      </c>
      <c r="AR93" s="460"/>
      <c r="AS93" s="56">
        <v>2023.9338151428246</v>
      </c>
      <c r="AT93" s="185">
        <v>260.41636000000005</v>
      </c>
      <c r="AU93" s="318">
        <v>54.710639999999998</v>
      </c>
      <c r="AV93" s="223">
        <v>0</v>
      </c>
      <c r="AW93" s="318">
        <v>0</v>
      </c>
      <c r="AX93" s="223">
        <v>0</v>
      </c>
      <c r="AY93" s="318">
        <f t="shared" si="76"/>
        <v>0</v>
      </c>
      <c r="AZ93" s="223"/>
      <c r="BA93" s="318"/>
      <c r="BB93" s="519">
        <f t="shared" si="77"/>
        <v>0</v>
      </c>
      <c r="BC93" s="518"/>
      <c r="BD93" s="518"/>
      <c r="BE93" s="518"/>
      <c r="BF93" s="518"/>
      <c r="BG93" s="518"/>
      <c r="BH93" s="518"/>
      <c r="BI93" s="518"/>
      <c r="BJ93" s="518"/>
      <c r="BK93" s="518"/>
      <c r="BL93" s="518"/>
      <c r="BM93" s="518"/>
      <c r="BN93" s="518"/>
      <c r="BO93" s="367">
        <f t="shared" si="50"/>
        <v>0</v>
      </c>
      <c r="BP93" s="421"/>
      <c r="BQ93" s="422"/>
      <c r="BR93" s="423">
        <f>IFERROR(IF(LEFT($A93,3)="Lcp",SUMIFS('BASE-LCP'!$K:$K,'BASE-LCP'!$A:$A,Capex!$A84,'BASE-LCP'!$B:$B,"janeiro")/1000,IF(LEFT($A93,3)="icp",SUMIFS('BASE-ICP'!$K:$K,'BASE-ICP'!$A:$A,Capex!$A84,'BASE-ICP'!$B:$B,"janeiro")/1000,"")),"")</f>
        <v>0</v>
      </c>
      <c r="BS93" s="427">
        <v>0</v>
      </c>
      <c r="BT93" s="372">
        <v>0</v>
      </c>
      <c r="BU93" s="422"/>
      <c r="BV93" s="423">
        <f>IFERROR(IF(LEFT($A93,3)="Lcp",SUMIFS('BASE-LCP'!$K:$K,'BASE-LCP'!$A:$A,Capex!$A84,'BASE-LCP'!$B:$B,"fevereiro")/1000,IF(LEFT($A93,3)="icp",SUMIFS('BASE-ICP'!$K:$K,'BASE-ICP'!$A:$A,Capex!$A84,'BASE-ICP'!$B:$B,"fevereiro")/1000,"")),"")</f>
        <v>0</v>
      </c>
      <c r="BW93" s="427">
        <v>0</v>
      </c>
      <c r="BX93" s="372">
        <v>0</v>
      </c>
      <c r="BY93" s="419"/>
      <c r="BZ93" s="423">
        <f>IFERROR(IF(LEFT($A93,3)="Lcp",SUMIFS('BASE-LCP'!$K:$K,'BASE-LCP'!$A:$A,Capex!$A84,'BASE-LCP'!$B:$B,"março")/1000,IF(LEFT($A93,3)="icp",SUMIFS('BASE-ICP'!$K:$K,'BASE-ICP'!$A:$A,Capex!$A84,'BASE-ICP'!$B:$B,"março")/1000,"")),"")</f>
        <v>0</v>
      </c>
      <c r="CA93" s="427">
        <v>0</v>
      </c>
      <c r="CB93" s="372">
        <v>0</v>
      </c>
      <c r="CC93" s="422"/>
      <c r="CD93" s="423">
        <f>IFERROR(IF(LEFT($A93,3)="Lcp",SUMIFS('BASE-LCP'!$K:$K,'BASE-LCP'!$A:$A,Capex!$A84,'BASE-LCP'!$B:$B,"abril")/1000,IF(LEFT($A93,3)="icp",SUMIFS('BASE-ICP'!$K:$K,'BASE-ICP'!$A:$A,Capex!$A84,'BASE-ICP'!$B:$B,"abril")/1000,"")),"")</f>
        <v>0</v>
      </c>
      <c r="CE93" s="427">
        <v>0</v>
      </c>
      <c r="CF93" s="372">
        <v>0</v>
      </c>
      <c r="CG93" s="419"/>
      <c r="CH93" s="423">
        <v>0</v>
      </c>
      <c r="CI93" s="427">
        <v>0</v>
      </c>
      <c r="CJ93" s="372">
        <v>0</v>
      </c>
      <c r="CK93" s="419"/>
      <c r="CL93" s="423">
        <f>IFERROR(IF(LEFT($A93,3)="Lcp",SUMIFS('BASE-LCP'!$K:$K,'BASE-LCP'!$A:$A,Capex!$A84,'BASE-LCP'!$B:$B,"junho")/1000,IF(LEFT($A93,3)="icp",SUMIFS('BASE-ICP'!$K:$K,'BASE-ICP'!$A:$A,Capex!$A84,'BASE-ICP'!$B:$B,"junho")/1000,"")),"")</f>
        <v>0</v>
      </c>
      <c r="CM93" s="427">
        <v>0</v>
      </c>
      <c r="CN93" s="372"/>
      <c r="CO93" s="419"/>
      <c r="CP93" s="423">
        <f>IFERROR(IF(LEFT($A93,3)="Lcp",SUMIFS('BASE-LCP'!$K:$K,'BASE-LCP'!$A:$A,Capex!$A84,'BASE-LCP'!$B:$B,"julho")/1000,IF(LEFT($A93,3)="icp",SUMIFS('BASE-ICP'!$K:$K,'BASE-ICP'!$A:$A,Capex!$A84,'BASE-ICP'!$B:$B,"julho")/1000,"")),"")</f>
        <v>0</v>
      </c>
      <c r="CQ93" s="427">
        <v>0</v>
      </c>
      <c r="CR93" s="372"/>
      <c r="CS93" s="419"/>
      <c r="CT93" s="423">
        <f>IFERROR(IF(LEFT($A93,3)="Lcp",SUMIFS('BASE-LCP'!$K:$K,'BASE-LCP'!$A:$A,Capex!$A84,'BASE-LCP'!$B:$B,"agosto")/1000,IF(LEFT($A93,3)="icp",SUMIFS('BASE-ICP'!$K:$K,'BASE-ICP'!$A:$A,Capex!$A84,'BASE-ICP'!$B:$B,"agosto")/1000,"")),"")</f>
        <v>0</v>
      </c>
      <c r="CU93" s="427">
        <v>0</v>
      </c>
      <c r="CV93" s="372"/>
      <c r="CW93" s="419"/>
      <c r="CX93" s="423">
        <f>IFERROR(IF(LEFT($A93,3)="Lcp",SUMIFS('BASE-LCP'!$K:$K,'BASE-LCP'!$A:$A,Capex!$A84,'BASE-LCP'!$B:$B,"setembro")/1000,IF(LEFT($A93,3)="icp",SUMIFS('BASE-ICP'!$K:$K,'BASE-ICP'!$A:$A,Capex!$A84,'BASE-ICP'!$B:$B,"setembro")/1000,"")),"")</f>
        <v>0</v>
      </c>
      <c r="CY93" s="427">
        <v>0</v>
      </c>
      <c r="CZ93" s="372"/>
      <c r="DA93" s="419"/>
      <c r="DB93" s="423">
        <f>IFERROR(IF(LEFT($A93,3)="Lcp",SUMIFS('BASE-LCP'!$K:$K,'BASE-LCP'!$A:$A,Capex!$A84,'BASE-LCP'!$B:$B,"outubro")/1000,IF(LEFT($A93,3)="icp",SUMIFS('BASE-ICP'!$K:$K,'BASE-ICP'!$A:$A,Capex!$A84,'BASE-ICP'!$B:$B,"outubro")/1000,"")),"")</f>
        <v>0</v>
      </c>
      <c r="DC93" s="427">
        <v>0</v>
      </c>
      <c r="DD93" s="372"/>
      <c r="DE93" s="419"/>
      <c r="DF93" s="423">
        <f>IFERROR(IF(LEFT($A93,3)="Lcp",SUMIFS('BASE-LCP'!$K:$K,'BASE-LCP'!$A:$A,Capex!$A84,'BASE-LCP'!$B:$B,"novembro")/1000,IF(LEFT($A93,3)="icp",SUMIFS('BASE-ICP'!$K:$K,'BASE-ICP'!$A:$A,Capex!$A84,'BASE-ICP'!$B:$B,"novembro")/1000,"")),"")</f>
        <v>0</v>
      </c>
      <c r="DG93" s="427">
        <v>0</v>
      </c>
      <c r="DH93" s="372"/>
      <c r="DI93" s="419"/>
      <c r="DJ93" s="423">
        <f>IFERROR(IF(LEFT($A93,3)="Lcp",SUMIFS('BASE-LCP'!$K:$K,'BASE-LCP'!$A:$A,Capex!$A84,'BASE-LCP'!$B:$B,"dezembro")/1000,IF(LEFT($A93,3)="icp",SUMIFS('BASE-ICP'!$K:$K,'BASE-ICP'!$A:$A,Capex!$A84,'BASE-ICP'!$B:$B,"dezembro")/1000,"")),"")</f>
        <v>0</v>
      </c>
      <c r="DK93" s="427">
        <v>0</v>
      </c>
      <c r="DL93" s="452">
        <f t="shared" si="51"/>
        <v>0</v>
      </c>
      <c r="DM93" s="374"/>
      <c r="DN93" s="374"/>
      <c r="DO93" s="374"/>
      <c r="DP93" s="374"/>
      <c r="DQ93" s="374"/>
      <c r="DR93" s="374"/>
      <c r="DS93" s="374"/>
      <c r="DT93" s="374"/>
      <c r="DU93" s="374"/>
      <c r="DV93" s="374"/>
      <c r="DW93" s="374"/>
      <c r="DX93" s="374"/>
      <c r="DY93" s="450"/>
      <c r="DZ93" s="374">
        <f t="shared" si="52"/>
        <v>0</v>
      </c>
      <c r="EA93" s="216">
        <f t="shared" si="53"/>
        <v>0</v>
      </c>
      <c r="EB93" s="320">
        <f t="shared" si="54"/>
        <v>0</v>
      </c>
      <c r="EC93" s="241">
        <f t="shared" si="55"/>
        <v>0</v>
      </c>
      <c r="ED93" s="241">
        <f t="shared" si="56"/>
        <v>0</v>
      </c>
      <c r="EE93" s="241">
        <f t="shared" si="57"/>
        <v>0</v>
      </c>
      <c r="EF93" s="241">
        <f t="shared" si="58"/>
        <v>0</v>
      </c>
      <c r="EG93" s="346">
        <f t="shared" si="59"/>
        <v>0</v>
      </c>
      <c r="EH93" s="445">
        <f t="shared" si="60"/>
        <v>0</v>
      </c>
      <c r="EI93" s="447">
        <f t="shared" si="61"/>
        <v>0</v>
      </c>
      <c r="EJ93" s="364">
        <f t="shared" si="62"/>
        <v>0</v>
      </c>
      <c r="EK93" s="365">
        <f t="shared" si="63"/>
        <v>0</v>
      </c>
      <c r="EL93" s="529">
        <f t="shared" si="64"/>
        <v>0</v>
      </c>
      <c r="EM93" s="530">
        <v>0</v>
      </c>
      <c r="EN93" s="530">
        <v>0</v>
      </c>
      <c r="EO93" s="530">
        <v>0</v>
      </c>
      <c r="EP93" s="530">
        <v>0</v>
      </c>
      <c r="EQ93" s="530">
        <v>0</v>
      </c>
      <c r="ER93" s="530">
        <v>0</v>
      </c>
      <c r="ES93" s="530">
        <v>0</v>
      </c>
      <c r="ET93" s="530">
        <v>0</v>
      </c>
      <c r="EU93" s="530">
        <v>0</v>
      </c>
      <c r="EV93" s="530">
        <v>0</v>
      </c>
      <c r="EW93" s="530">
        <v>0</v>
      </c>
      <c r="EX93" s="530">
        <v>0</v>
      </c>
      <c r="EY93" s="530">
        <f t="shared" si="65"/>
        <v>0</v>
      </c>
      <c r="EZ93" s="530">
        <f t="shared" si="66"/>
        <v>0</v>
      </c>
      <c r="FA93" s="530">
        <f t="shared" si="67"/>
        <v>0</v>
      </c>
      <c r="FB93" s="530">
        <f t="shared" si="68"/>
        <v>0</v>
      </c>
      <c r="FC93" s="384">
        <f>IFERROR(VLOOKUP(Capex!A84,BASE_558!D:R,8,FALSE)/1000,"")</f>
        <v>355.017</v>
      </c>
      <c r="FD93" s="328">
        <f>IFERROR(VLOOKUP(Capex!A84,BASE_558!D:R,9,)/1000,"")</f>
        <v>341.41795999999999</v>
      </c>
      <c r="FE93" s="328">
        <f>IFERROR(IF(LEFT(A93,3)="LCP",(VLOOKUP(Capex!A84,BASE_558!D:R,10,)/1000),SUMIFS('BASE ICP_PO_SC'!F:F,'BASE ICP_PO_SC'!A:A,Capex!A84,'BASE ICP_PO_SC'!E:E,"&lt;&gt;")/1000),"")</f>
        <v>0</v>
      </c>
      <c r="FF93" s="328">
        <f>IFERROR(IF(LEFT(A93,3)="LCP",(VLOOKUP(Capex!A84,BASE_558!D:R,11,)/1000),SUMIFS('BASE ICP_PO_SC'!F:F,'BASE ICP_PO_SC'!A:A,Capex!A84,'BASE ICP_PO_SC'!E:E,"")/1000),"")</f>
        <v>0</v>
      </c>
      <c r="FG93" s="328">
        <f>IFERROR(VLOOKUP(A93,BASE_558!D:R,13,FALSE)/1000,"")</f>
        <v>2734.63661</v>
      </c>
      <c r="FH93" s="328">
        <f>IFERROR(VLOOKUP(A93,BASE_558!D:R,15,FALSE)/1000,"")</f>
        <v>226.86339000000001</v>
      </c>
      <c r="FI93" s="547">
        <f t="shared" si="69"/>
        <v>0</v>
      </c>
      <c r="FJ93" s="547">
        <f t="shared" si="70"/>
        <v>0</v>
      </c>
      <c r="FK93" s="540">
        <f t="shared" si="71"/>
        <v>0</v>
      </c>
    </row>
    <row r="94" spans="1:167" s="23" customFormat="1" ht="24" customHeight="1">
      <c r="A94" s="84" t="s">
        <v>57</v>
      </c>
      <c r="B94" s="404"/>
      <c r="C94" s="404"/>
      <c r="D94" s="338" t="s">
        <v>903</v>
      </c>
      <c r="E94" s="378"/>
      <c r="F94" s="5"/>
      <c r="G94" s="310" t="s">
        <v>9</v>
      </c>
      <c r="H94" s="338"/>
      <c r="I94" s="338"/>
      <c r="J94" s="338">
        <v>2018</v>
      </c>
      <c r="K94" s="316">
        <v>43180</v>
      </c>
      <c r="L94" s="317">
        <v>43973</v>
      </c>
      <c r="M94" s="409"/>
      <c r="N94" s="317">
        <f t="shared" si="74"/>
        <v>44092</v>
      </c>
      <c r="O94" s="317">
        <f t="shared" si="75"/>
        <v>44457</v>
      </c>
      <c r="P94" s="418" t="str">
        <f t="shared" si="73"/>
        <v>CRTD</v>
      </c>
      <c r="Q94" s="418" t="str">
        <f t="shared" si="73"/>
        <v>CRTD</v>
      </c>
      <c r="R94" s="418" t="str">
        <f t="shared" si="73"/>
        <v>CRTD</v>
      </c>
      <c r="S94" s="418" t="str">
        <f t="shared" si="73"/>
        <v>CRTD</v>
      </c>
      <c r="T94" s="418" t="str">
        <f t="shared" si="73"/>
        <v>CRTD</v>
      </c>
      <c r="U94" s="418" t="str">
        <f t="shared" si="73"/>
        <v>CRTD</v>
      </c>
      <c r="V94" s="418" t="str">
        <f t="shared" si="73"/>
        <v>CRTD</v>
      </c>
      <c r="W94" s="418" t="str">
        <f t="shared" si="73"/>
        <v>CRTD</v>
      </c>
      <c r="X94" s="418" t="str">
        <f t="shared" si="73"/>
        <v>CRTD</v>
      </c>
      <c r="Y94" s="418" t="str">
        <f t="shared" si="73"/>
        <v>CRTD</v>
      </c>
      <c r="Z94" s="418" t="str">
        <f t="shared" si="73"/>
        <v>CRTD</v>
      </c>
      <c r="AA94" s="418" t="str">
        <f t="shared" si="73"/>
        <v>CRTD</v>
      </c>
      <c r="AB94" s="317"/>
      <c r="AC94" s="309" t="s">
        <v>3932</v>
      </c>
      <c r="AD94" s="311" t="s">
        <v>5</v>
      </c>
      <c r="AE94" s="311"/>
      <c r="AF94" s="310" t="s">
        <v>6985</v>
      </c>
      <c r="AG94" s="310" t="s">
        <v>9083</v>
      </c>
      <c r="AH94" s="310" t="s">
        <v>58</v>
      </c>
      <c r="AI94" s="309" t="s">
        <v>2255</v>
      </c>
      <c r="AJ94" s="6" t="s">
        <v>218</v>
      </c>
      <c r="AK94" s="6" t="str">
        <f t="shared" si="49"/>
        <v>IGUAL</v>
      </c>
      <c r="AL94" s="151" t="str">
        <f>IFERROR(IF(LEFT(A94,3)="LCP",VLOOKUP(A94,STATUS_SAP_LCP!B:C,2,FALSE),VLOOKUP(A94,STATUS_SAP_ICP!B:C,2,FALSE)),"NO BUDGET")</f>
        <v>CLSD BUDG AUC  AVAC  //  APPR BREL EXPL</v>
      </c>
      <c r="AM94" s="6" t="str">
        <f t="shared" si="48"/>
        <v>CLSD</v>
      </c>
      <c r="AN94" s="282" t="s">
        <v>9090</v>
      </c>
      <c r="AO94" s="493">
        <v>1</v>
      </c>
      <c r="AP94" s="499" t="s">
        <v>9607</v>
      </c>
      <c r="AQ94" s="465">
        <v>43973</v>
      </c>
      <c r="AR94" s="460"/>
      <c r="AS94" s="56">
        <v>377.77976762665605</v>
      </c>
      <c r="AT94" s="185">
        <v>7.0725299999999995</v>
      </c>
      <c r="AU94" s="318">
        <v>0</v>
      </c>
      <c r="AV94" s="223">
        <v>0</v>
      </c>
      <c r="AW94" s="318">
        <v>0</v>
      </c>
      <c r="AX94" s="223">
        <v>0</v>
      </c>
      <c r="AY94" s="318">
        <f t="shared" si="76"/>
        <v>0</v>
      </c>
      <c r="AZ94" s="223"/>
      <c r="BA94" s="318"/>
      <c r="BB94" s="519">
        <f t="shared" si="77"/>
        <v>0</v>
      </c>
      <c r="BC94" s="518"/>
      <c r="BD94" s="518"/>
      <c r="BE94" s="518"/>
      <c r="BF94" s="518"/>
      <c r="BG94" s="518"/>
      <c r="BH94" s="518"/>
      <c r="BI94" s="518"/>
      <c r="BJ94" s="518"/>
      <c r="BK94" s="518"/>
      <c r="BL94" s="518"/>
      <c r="BM94" s="518"/>
      <c r="BN94" s="518"/>
      <c r="BO94" s="367">
        <f t="shared" si="50"/>
        <v>0</v>
      </c>
      <c r="BP94" s="421"/>
      <c r="BQ94" s="422"/>
      <c r="BR94" s="423">
        <f>IFERROR(IF(LEFT($A94,3)="Lcp",SUMIFS('BASE-LCP'!$K:$K,'BASE-LCP'!$A:$A,Capex!$A85,'BASE-LCP'!$B:$B,"janeiro")/1000,IF(LEFT($A94,3)="icp",SUMIFS('BASE-ICP'!$K:$K,'BASE-ICP'!$A:$A,Capex!$A85,'BASE-ICP'!$B:$B,"janeiro")/1000,"")),"")</f>
        <v>0</v>
      </c>
      <c r="BS94" s="427">
        <v>0</v>
      </c>
      <c r="BT94" s="372">
        <v>0</v>
      </c>
      <c r="BU94" s="422"/>
      <c r="BV94" s="423">
        <f>IFERROR(IF(LEFT($A94,3)="Lcp",SUMIFS('BASE-LCP'!$K:$K,'BASE-LCP'!$A:$A,Capex!$A85,'BASE-LCP'!$B:$B,"fevereiro")/1000,IF(LEFT($A94,3)="icp",SUMIFS('BASE-ICP'!$K:$K,'BASE-ICP'!$A:$A,Capex!$A85,'BASE-ICP'!$B:$B,"fevereiro")/1000,"")),"")</f>
        <v>0</v>
      </c>
      <c r="BW94" s="427">
        <v>0</v>
      </c>
      <c r="BX94" s="372">
        <v>0</v>
      </c>
      <c r="BY94" s="419"/>
      <c r="BZ94" s="423">
        <f>IFERROR(IF(LEFT($A94,3)="Lcp",SUMIFS('BASE-LCP'!$K:$K,'BASE-LCP'!$A:$A,Capex!$A85,'BASE-LCP'!$B:$B,"março")/1000,IF(LEFT($A94,3)="icp",SUMIFS('BASE-ICP'!$K:$K,'BASE-ICP'!$A:$A,Capex!$A85,'BASE-ICP'!$B:$B,"março")/1000,"")),"")</f>
        <v>0</v>
      </c>
      <c r="CA94" s="427">
        <v>0</v>
      </c>
      <c r="CB94" s="372">
        <v>0</v>
      </c>
      <c r="CC94" s="422"/>
      <c r="CD94" s="423">
        <f>IFERROR(IF(LEFT($A94,3)="Lcp",SUMIFS('BASE-LCP'!$K:$K,'BASE-LCP'!$A:$A,Capex!$A85,'BASE-LCP'!$B:$B,"abril")/1000,IF(LEFT($A94,3)="icp",SUMIFS('BASE-ICP'!$K:$K,'BASE-ICP'!$A:$A,Capex!$A85,'BASE-ICP'!$B:$B,"abril")/1000,"")),"")</f>
        <v>0</v>
      </c>
      <c r="CE94" s="427">
        <v>0</v>
      </c>
      <c r="CF94" s="372">
        <v>0</v>
      </c>
      <c r="CG94" s="419"/>
      <c r="CH94" s="423">
        <v>0</v>
      </c>
      <c r="CI94" s="427">
        <v>0</v>
      </c>
      <c r="CJ94" s="372">
        <v>0</v>
      </c>
      <c r="CK94" s="419"/>
      <c r="CL94" s="423">
        <f>IFERROR(IF(LEFT($A94,3)="Lcp",SUMIFS('BASE-LCP'!$K:$K,'BASE-LCP'!$A:$A,Capex!$A85,'BASE-LCP'!$B:$B,"junho")/1000,IF(LEFT($A94,3)="icp",SUMIFS('BASE-ICP'!$K:$K,'BASE-ICP'!$A:$A,Capex!$A85,'BASE-ICP'!$B:$B,"junho")/1000,"")),"")</f>
        <v>0</v>
      </c>
      <c r="CM94" s="427">
        <v>0</v>
      </c>
      <c r="CN94" s="372"/>
      <c r="CO94" s="419"/>
      <c r="CP94" s="423">
        <f>IFERROR(IF(LEFT($A94,3)="Lcp",SUMIFS('BASE-LCP'!$K:$K,'BASE-LCP'!$A:$A,Capex!$A85,'BASE-LCP'!$B:$B,"julho")/1000,IF(LEFT($A94,3)="icp",SUMIFS('BASE-ICP'!$K:$K,'BASE-ICP'!$A:$A,Capex!$A85,'BASE-ICP'!$B:$B,"julho")/1000,"")),"")</f>
        <v>0</v>
      </c>
      <c r="CQ94" s="427">
        <v>0</v>
      </c>
      <c r="CR94" s="372"/>
      <c r="CS94" s="419"/>
      <c r="CT94" s="423">
        <f>IFERROR(IF(LEFT($A94,3)="Lcp",SUMIFS('BASE-LCP'!$K:$K,'BASE-LCP'!$A:$A,Capex!$A85,'BASE-LCP'!$B:$B,"agosto")/1000,IF(LEFT($A94,3)="icp",SUMIFS('BASE-ICP'!$K:$K,'BASE-ICP'!$A:$A,Capex!$A85,'BASE-ICP'!$B:$B,"agosto")/1000,"")),"")</f>
        <v>0</v>
      </c>
      <c r="CU94" s="427">
        <v>0</v>
      </c>
      <c r="CV94" s="372"/>
      <c r="CW94" s="419"/>
      <c r="CX94" s="423">
        <f>IFERROR(IF(LEFT($A94,3)="Lcp",SUMIFS('BASE-LCP'!$K:$K,'BASE-LCP'!$A:$A,Capex!$A85,'BASE-LCP'!$B:$B,"setembro")/1000,IF(LEFT($A94,3)="icp",SUMIFS('BASE-ICP'!$K:$K,'BASE-ICP'!$A:$A,Capex!$A85,'BASE-ICP'!$B:$B,"setembro")/1000,"")),"")</f>
        <v>0</v>
      </c>
      <c r="CY94" s="427">
        <v>0</v>
      </c>
      <c r="CZ94" s="372"/>
      <c r="DA94" s="419"/>
      <c r="DB94" s="423">
        <f>IFERROR(IF(LEFT($A94,3)="Lcp",SUMIFS('BASE-LCP'!$K:$K,'BASE-LCP'!$A:$A,Capex!$A85,'BASE-LCP'!$B:$B,"outubro")/1000,IF(LEFT($A94,3)="icp",SUMIFS('BASE-ICP'!$K:$K,'BASE-ICP'!$A:$A,Capex!$A85,'BASE-ICP'!$B:$B,"outubro")/1000,"")),"")</f>
        <v>0</v>
      </c>
      <c r="DC94" s="427">
        <v>0</v>
      </c>
      <c r="DD94" s="372"/>
      <c r="DE94" s="419"/>
      <c r="DF94" s="423">
        <f>IFERROR(IF(LEFT($A94,3)="Lcp",SUMIFS('BASE-LCP'!$K:$K,'BASE-LCP'!$A:$A,Capex!$A85,'BASE-LCP'!$B:$B,"novembro")/1000,IF(LEFT($A94,3)="icp",SUMIFS('BASE-ICP'!$K:$K,'BASE-ICP'!$A:$A,Capex!$A85,'BASE-ICP'!$B:$B,"novembro")/1000,"")),"")</f>
        <v>0</v>
      </c>
      <c r="DG94" s="427">
        <v>0</v>
      </c>
      <c r="DH94" s="372"/>
      <c r="DI94" s="419"/>
      <c r="DJ94" s="423">
        <f>IFERROR(IF(LEFT($A94,3)="Lcp",SUMIFS('BASE-LCP'!$K:$K,'BASE-LCP'!$A:$A,Capex!$A85,'BASE-LCP'!$B:$B,"dezembro")/1000,IF(LEFT($A94,3)="icp",SUMIFS('BASE-ICP'!$K:$K,'BASE-ICP'!$A:$A,Capex!$A85,'BASE-ICP'!$B:$B,"dezembro")/1000,"")),"")</f>
        <v>0</v>
      </c>
      <c r="DK94" s="427">
        <v>0</v>
      </c>
      <c r="DL94" s="452">
        <f t="shared" si="51"/>
        <v>0</v>
      </c>
      <c r="DM94" s="374"/>
      <c r="DN94" s="374"/>
      <c r="DO94" s="374"/>
      <c r="DP94" s="374"/>
      <c r="DQ94" s="374"/>
      <c r="DR94" s="374"/>
      <c r="DS94" s="374"/>
      <c r="DT94" s="374"/>
      <c r="DU94" s="374"/>
      <c r="DV94" s="374"/>
      <c r="DW94" s="374"/>
      <c r="DX94" s="374"/>
      <c r="DY94" s="450"/>
      <c r="DZ94" s="374">
        <f t="shared" si="52"/>
        <v>0</v>
      </c>
      <c r="EA94" s="216">
        <f t="shared" si="53"/>
        <v>0</v>
      </c>
      <c r="EB94" s="320">
        <f t="shared" si="54"/>
        <v>0</v>
      </c>
      <c r="EC94" s="241">
        <f t="shared" si="55"/>
        <v>0</v>
      </c>
      <c r="ED94" s="241">
        <f t="shared" si="56"/>
        <v>0</v>
      </c>
      <c r="EE94" s="241">
        <f t="shared" si="57"/>
        <v>0</v>
      </c>
      <c r="EF94" s="241">
        <f t="shared" si="58"/>
        <v>0</v>
      </c>
      <c r="EG94" s="346">
        <f t="shared" si="59"/>
        <v>0</v>
      </c>
      <c r="EH94" s="445">
        <f t="shared" si="60"/>
        <v>0</v>
      </c>
      <c r="EI94" s="447">
        <f t="shared" si="61"/>
        <v>0</v>
      </c>
      <c r="EJ94" s="364">
        <f t="shared" si="62"/>
        <v>0</v>
      </c>
      <c r="EK94" s="365">
        <f t="shared" si="63"/>
        <v>0</v>
      </c>
      <c r="EL94" s="529">
        <f t="shared" si="64"/>
        <v>0</v>
      </c>
      <c r="EM94" s="530">
        <v>0</v>
      </c>
      <c r="EN94" s="530">
        <v>0</v>
      </c>
      <c r="EO94" s="530">
        <v>0</v>
      </c>
      <c r="EP94" s="530">
        <v>0</v>
      </c>
      <c r="EQ94" s="530">
        <v>0</v>
      </c>
      <c r="ER94" s="530">
        <v>0</v>
      </c>
      <c r="ES94" s="530">
        <v>0</v>
      </c>
      <c r="ET94" s="530">
        <v>0</v>
      </c>
      <c r="EU94" s="530">
        <v>0</v>
      </c>
      <c r="EV94" s="530">
        <v>0</v>
      </c>
      <c r="EW94" s="530">
        <v>0</v>
      </c>
      <c r="EX94" s="530">
        <v>0</v>
      </c>
      <c r="EY94" s="530">
        <f t="shared" si="65"/>
        <v>0</v>
      </c>
      <c r="EZ94" s="530">
        <f t="shared" si="66"/>
        <v>0</v>
      </c>
      <c r="FA94" s="530">
        <f t="shared" si="67"/>
        <v>0</v>
      </c>
      <c r="FB94" s="530">
        <f t="shared" si="68"/>
        <v>0</v>
      </c>
      <c r="FC94" s="384">
        <f>IFERROR(VLOOKUP(Capex!A85,BASE_558!D:R,8,FALSE)/1000,"")</f>
        <v>464.6</v>
      </c>
      <c r="FD94" s="328">
        <f>IFERROR(VLOOKUP(Capex!A85,BASE_558!D:R,9,)/1000,"")</f>
        <v>450.6737</v>
      </c>
      <c r="FE94" s="328">
        <f>IFERROR(IF(LEFT(A94,3)="LCP",(VLOOKUP(Capex!A85,BASE_558!D:R,10,)/1000),SUMIFS('BASE ICP_PO_SC'!F:F,'BASE ICP_PO_SC'!A:A,Capex!A85,'BASE ICP_PO_SC'!E:E,"&lt;&gt;")/1000),"")</f>
        <v>0</v>
      </c>
      <c r="FF94" s="328">
        <f>IFERROR(IF(LEFT(A94,3)="LCP",(VLOOKUP(Capex!A85,BASE_558!D:R,11,)/1000),SUMIFS('BASE ICP_PO_SC'!F:F,'BASE ICP_PO_SC'!A:A,Capex!A85,'BASE ICP_PO_SC'!E:E,"")/1000),"")</f>
        <v>0</v>
      </c>
      <c r="FG94" s="328">
        <f>IFERROR(VLOOKUP(A94,BASE_558!D:R,13,FALSE)/1000,"")</f>
        <v>1422.4791299999999</v>
      </c>
      <c r="FH94" s="328">
        <f>IFERROR(VLOOKUP(A94,BASE_558!D:R,15,FALSE)/1000,"")</f>
        <v>3.7358699999999998</v>
      </c>
      <c r="FI94" s="547">
        <f t="shared" si="69"/>
        <v>0</v>
      </c>
      <c r="FJ94" s="547">
        <f t="shared" si="70"/>
        <v>0</v>
      </c>
      <c r="FK94" s="540">
        <f t="shared" si="71"/>
        <v>0</v>
      </c>
    </row>
    <row r="95" spans="1:167" s="23" customFormat="1" ht="24" customHeight="1">
      <c r="A95" s="84" t="s">
        <v>59</v>
      </c>
      <c r="B95" s="404"/>
      <c r="C95" s="404"/>
      <c r="D95" s="338" t="s">
        <v>904</v>
      </c>
      <c r="E95" s="378"/>
      <c r="F95" s="5"/>
      <c r="G95" s="310" t="s">
        <v>9</v>
      </c>
      <c r="H95" s="338"/>
      <c r="I95" s="338"/>
      <c r="J95" s="338">
        <v>2018</v>
      </c>
      <c r="K95" s="316">
        <v>43139</v>
      </c>
      <c r="L95" s="317">
        <v>44218</v>
      </c>
      <c r="M95" s="409"/>
      <c r="N95" s="317">
        <f t="shared" si="74"/>
        <v>44051</v>
      </c>
      <c r="O95" s="317">
        <f t="shared" si="75"/>
        <v>44416</v>
      </c>
      <c r="P95" s="418" t="str">
        <f t="shared" ref="P95:AA104" si="78">IF($N95="","N/A",IF($O95="","N/A",IF(P$2&lt;=$N95,"NÃO",IF($AJ95="REL ","SIM",IF(P$2&lt;$O95,"NÃO",IF($AJ95&lt;&gt;"CLSD","SIM","CRTD"))))))</f>
        <v>CRTD</v>
      </c>
      <c r="Q95" s="418" t="str">
        <f t="shared" si="78"/>
        <v>CRTD</v>
      </c>
      <c r="R95" s="418" t="str">
        <f t="shared" si="78"/>
        <v>CRTD</v>
      </c>
      <c r="S95" s="418" t="str">
        <f t="shared" si="78"/>
        <v>CRTD</v>
      </c>
      <c r="T95" s="418" t="str">
        <f t="shared" si="78"/>
        <v>CRTD</v>
      </c>
      <c r="U95" s="418" t="str">
        <f t="shared" si="78"/>
        <v>CRTD</v>
      </c>
      <c r="V95" s="418" t="str">
        <f t="shared" si="78"/>
        <v>CRTD</v>
      </c>
      <c r="W95" s="418" t="str">
        <f t="shared" si="78"/>
        <v>CRTD</v>
      </c>
      <c r="X95" s="418" t="str">
        <f t="shared" si="78"/>
        <v>CRTD</v>
      </c>
      <c r="Y95" s="418" t="str">
        <f t="shared" si="78"/>
        <v>CRTD</v>
      </c>
      <c r="Z95" s="418" t="str">
        <f t="shared" si="78"/>
        <v>CRTD</v>
      </c>
      <c r="AA95" s="418" t="str">
        <f t="shared" si="78"/>
        <v>CRTD</v>
      </c>
      <c r="AB95" s="317"/>
      <c r="AC95" s="309" t="s">
        <v>3932</v>
      </c>
      <c r="AD95" s="311" t="s">
        <v>5</v>
      </c>
      <c r="AE95" s="311"/>
      <c r="AF95" s="310" t="s">
        <v>6985</v>
      </c>
      <c r="AG95" s="310" t="s">
        <v>9083</v>
      </c>
      <c r="AH95" s="310" t="s">
        <v>60</v>
      </c>
      <c r="AI95" s="309" t="s">
        <v>187</v>
      </c>
      <c r="AJ95" s="6" t="s">
        <v>218</v>
      </c>
      <c r="AK95" s="6" t="str">
        <f t="shared" si="49"/>
        <v>IGUAL</v>
      </c>
      <c r="AL95" s="151" t="str">
        <f>IFERROR(IF(LEFT(A95,3)="LCP",VLOOKUP(A95,STATUS_SAP_LCP!B:C,2,FALSE),VLOOKUP(A95,STATUS_SAP_ICP!B:C,2,FALSE)),"NO BUDGET")</f>
        <v>CLSD BUDG AUC  AVAC  //  APPR BREL EXPL</v>
      </c>
      <c r="AM95" s="6" t="str">
        <f t="shared" si="48"/>
        <v>CLSD</v>
      </c>
      <c r="AN95" s="282" t="s">
        <v>9090</v>
      </c>
      <c r="AO95" s="493">
        <v>1</v>
      </c>
      <c r="AP95" s="499" t="s">
        <v>9607</v>
      </c>
      <c r="AQ95" s="465">
        <v>44218</v>
      </c>
      <c r="AR95" s="460"/>
      <c r="AS95" s="56">
        <v>65.352544928269793</v>
      </c>
      <c r="AT95" s="185">
        <v>0.59936</v>
      </c>
      <c r="AU95" s="318">
        <v>0</v>
      </c>
      <c r="AV95" s="223">
        <v>0</v>
      </c>
      <c r="AW95" s="318">
        <v>0</v>
      </c>
      <c r="AX95" s="223">
        <v>0</v>
      </c>
      <c r="AY95" s="318">
        <f t="shared" si="76"/>
        <v>0</v>
      </c>
      <c r="AZ95" s="223"/>
      <c r="BA95" s="318"/>
      <c r="BB95" s="519">
        <f t="shared" si="77"/>
        <v>0</v>
      </c>
      <c r="BC95" s="518"/>
      <c r="BD95" s="518"/>
      <c r="BE95" s="518"/>
      <c r="BF95" s="518"/>
      <c r="BG95" s="518"/>
      <c r="BH95" s="518"/>
      <c r="BI95" s="518"/>
      <c r="BJ95" s="518"/>
      <c r="BK95" s="518"/>
      <c r="BL95" s="518"/>
      <c r="BM95" s="518"/>
      <c r="BN95" s="518"/>
      <c r="BO95" s="367">
        <f t="shared" si="50"/>
        <v>0</v>
      </c>
      <c r="BP95" s="421"/>
      <c r="BQ95" s="422"/>
      <c r="BR95" s="423">
        <f>IFERROR(IF(LEFT($A95,3)="Lcp",SUMIFS('BASE-LCP'!$K:$K,'BASE-LCP'!$A:$A,Capex!$A86,'BASE-LCP'!$B:$B,"janeiro")/1000,IF(LEFT($A95,3)="icp",SUMIFS('BASE-ICP'!$K:$K,'BASE-ICP'!$A:$A,Capex!$A86,'BASE-ICP'!$B:$B,"janeiro")/1000,"")),"")</f>
        <v>0</v>
      </c>
      <c r="BS95" s="427">
        <v>0</v>
      </c>
      <c r="BT95" s="372">
        <v>0</v>
      </c>
      <c r="BU95" s="422"/>
      <c r="BV95" s="423">
        <f>IFERROR(IF(LEFT($A95,3)="Lcp",SUMIFS('BASE-LCP'!$K:$K,'BASE-LCP'!$A:$A,Capex!$A86,'BASE-LCP'!$B:$B,"fevereiro")/1000,IF(LEFT($A95,3)="icp",SUMIFS('BASE-ICP'!$K:$K,'BASE-ICP'!$A:$A,Capex!$A86,'BASE-ICP'!$B:$B,"fevereiro")/1000,"")),"")</f>
        <v>0</v>
      </c>
      <c r="BW95" s="427">
        <v>0</v>
      </c>
      <c r="BX95" s="372">
        <v>0</v>
      </c>
      <c r="BY95" s="419"/>
      <c r="BZ95" s="423">
        <f>IFERROR(IF(LEFT($A95,3)="Lcp",SUMIFS('BASE-LCP'!$K:$K,'BASE-LCP'!$A:$A,Capex!$A86,'BASE-LCP'!$B:$B,"março")/1000,IF(LEFT($A95,3)="icp",SUMIFS('BASE-ICP'!$K:$K,'BASE-ICP'!$A:$A,Capex!$A86,'BASE-ICP'!$B:$B,"março")/1000,"")),"")</f>
        <v>0</v>
      </c>
      <c r="CA95" s="427">
        <v>0</v>
      </c>
      <c r="CB95" s="372">
        <v>0</v>
      </c>
      <c r="CC95" s="422"/>
      <c r="CD95" s="423">
        <f>IFERROR(IF(LEFT($A95,3)="Lcp",SUMIFS('BASE-LCP'!$K:$K,'BASE-LCP'!$A:$A,Capex!$A86,'BASE-LCP'!$B:$B,"abril")/1000,IF(LEFT($A95,3)="icp",SUMIFS('BASE-ICP'!$K:$K,'BASE-ICP'!$A:$A,Capex!$A86,'BASE-ICP'!$B:$B,"abril")/1000,"")),"")</f>
        <v>0</v>
      </c>
      <c r="CE95" s="427">
        <v>0</v>
      </c>
      <c r="CF95" s="372">
        <v>0</v>
      </c>
      <c r="CG95" s="419"/>
      <c r="CH95" s="423">
        <v>0</v>
      </c>
      <c r="CI95" s="427">
        <v>0</v>
      </c>
      <c r="CJ95" s="372">
        <v>0</v>
      </c>
      <c r="CK95" s="419"/>
      <c r="CL95" s="423">
        <f>IFERROR(IF(LEFT($A95,3)="Lcp",SUMIFS('BASE-LCP'!$K:$K,'BASE-LCP'!$A:$A,Capex!$A86,'BASE-LCP'!$B:$B,"junho")/1000,IF(LEFT($A95,3)="icp",SUMIFS('BASE-ICP'!$K:$K,'BASE-ICP'!$A:$A,Capex!$A86,'BASE-ICP'!$B:$B,"junho")/1000,"")),"")</f>
        <v>0</v>
      </c>
      <c r="CM95" s="427">
        <v>0</v>
      </c>
      <c r="CN95" s="372"/>
      <c r="CO95" s="419"/>
      <c r="CP95" s="423">
        <f>IFERROR(IF(LEFT($A95,3)="Lcp",SUMIFS('BASE-LCP'!$K:$K,'BASE-LCP'!$A:$A,Capex!$A86,'BASE-LCP'!$B:$B,"julho")/1000,IF(LEFT($A95,3)="icp",SUMIFS('BASE-ICP'!$K:$K,'BASE-ICP'!$A:$A,Capex!$A86,'BASE-ICP'!$B:$B,"julho")/1000,"")),"")</f>
        <v>0</v>
      </c>
      <c r="CQ95" s="427">
        <v>0</v>
      </c>
      <c r="CR95" s="372"/>
      <c r="CS95" s="419"/>
      <c r="CT95" s="423">
        <f>IFERROR(IF(LEFT($A95,3)="Lcp",SUMIFS('BASE-LCP'!$K:$K,'BASE-LCP'!$A:$A,Capex!$A86,'BASE-LCP'!$B:$B,"agosto")/1000,IF(LEFT($A95,3)="icp",SUMIFS('BASE-ICP'!$K:$K,'BASE-ICP'!$A:$A,Capex!$A86,'BASE-ICP'!$B:$B,"agosto")/1000,"")),"")</f>
        <v>0</v>
      </c>
      <c r="CU95" s="427">
        <v>0</v>
      </c>
      <c r="CV95" s="372"/>
      <c r="CW95" s="419"/>
      <c r="CX95" s="423">
        <f>IFERROR(IF(LEFT($A95,3)="Lcp",SUMIFS('BASE-LCP'!$K:$K,'BASE-LCP'!$A:$A,Capex!$A86,'BASE-LCP'!$B:$B,"setembro")/1000,IF(LEFT($A95,3)="icp",SUMIFS('BASE-ICP'!$K:$K,'BASE-ICP'!$A:$A,Capex!$A86,'BASE-ICP'!$B:$B,"setembro")/1000,"")),"")</f>
        <v>0</v>
      </c>
      <c r="CY95" s="427">
        <v>0</v>
      </c>
      <c r="CZ95" s="372"/>
      <c r="DA95" s="419"/>
      <c r="DB95" s="423">
        <f>IFERROR(IF(LEFT($A95,3)="Lcp",SUMIFS('BASE-LCP'!$K:$K,'BASE-LCP'!$A:$A,Capex!$A86,'BASE-LCP'!$B:$B,"outubro")/1000,IF(LEFT($A95,3)="icp",SUMIFS('BASE-ICP'!$K:$K,'BASE-ICP'!$A:$A,Capex!$A86,'BASE-ICP'!$B:$B,"outubro")/1000,"")),"")</f>
        <v>0</v>
      </c>
      <c r="DC95" s="427">
        <v>0</v>
      </c>
      <c r="DD95" s="372"/>
      <c r="DE95" s="419"/>
      <c r="DF95" s="423">
        <f>IFERROR(IF(LEFT($A95,3)="Lcp",SUMIFS('BASE-LCP'!$K:$K,'BASE-LCP'!$A:$A,Capex!$A86,'BASE-LCP'!$B:$B,"novembro")/1000,IF(LEFT($A95,3)="icp",SUMIFS('BASE-ICP'!$K:$K,'BASE-ICP'!$A:$A,Capex!$A86,'BASE-ICP'!$B:$B,"novembro")/1000,"")),"")</f>
        <v>0</v>
      </c>
      <c r="DG95" s="427">
        <v>0</v>
      </c>
      <c r="DH95" s="372"/>
      <c r="DI95" s="419"/>
      <c r="DJ95" s="423">
        <f>IFERROR(IF(LEFT($A95,3)="Lcp",SUMIFS('BASE-LCP'!$K:$K,'BASE-LCP'!$A:$A,Capex!$A86,'BASE-LCP'!$B:$B,"dezembro")/1000,IF(LEFT($A95,3)="icp",SUMIFS('BASE-ICP'!$K:$K,'BASE-ICP'!$A:$A,Capex!$A86,'BASE-ICP'!$B:$B,"dezembro")/1000,"")),"")</f>
        <v>0</v>
      </c>
      <c r="DK95" s="427">
        <v>0</v>
      </c>
      <c r="DL95" s="452">
        <f t="shared" si="51"/>
        <v>0</v>
      </c>
      <c r="DM95" s="374"/>
      <c r="DN95" s="374"/>
      <c r="DO95" s="374"/>
      <c r="DP95" s="374"/>
      <c r="DQ95" s="374"/>
      <c r="DR95" s="374"/>
      <c r="DS95" s="374"/>
      <c r="DT95" s="374"/>
      <c r="DU95" s="374"/>
      <c r="DV95" s="374"/>
      <c r="DW95" s="374"/>
      <c r="DX95" s="374"/>
      <c r="DY95" s="450"/>
      <c r="DZ95" s="374">
        <f t="shared" si="52"/>
        <v>0</v>
      </c>
      <c r="EA95" s="216">
        <f t="shared" si="53"/>
        <v>0</v>
      </c>
      <c r="EB95" s="320">
        <f t="shared" si="54"/>
        <v>0</v>
      </c>
      <c r="EC95" s="241">
        <f t="shared" si="55"/>
        <v>0</v>
      </c>
      <c r="ED95" s="241">
        <f t="shared" si="56"/>
        <v>0</v>
      </c>
      <c r="EE95" s="241">
        <f t="shared" si="57"/>
        <v>0</v>
      </c>
      <c r="EF95" s="241">
        <f t="shared" si="58"/>
        <v>0</v>
      </c>
      <c r="EG95" s="346">
        <f t="shared" si="59"/>
        <v>0</v>
      </c>
      <c r="EH95" s="445">
        <f t="shared" si="60"/>
        <v>0</v>
      </c>
      <c r="EI95" s="447">
        <f t="shared" si="61"/>
        <v>0</v>
      </c>
      <c r="EJ95" s="364">
        <f t="shared" si="62"/>
        <v>0</v>
      </c>
      <c r="EK95" s="365">
        <f t="shared" si="63"/>
        <v>0</v>
      </c>
      <c r="EL95" s="529">
        <f t="shared" si="64"/>
        <v>0</v>
      </c>
      <c r="EM95" s="530">
        <v>0</v>
      </c>
      <c r="EN95" s="530">
        <v>0</v>
      </c>
      <c r="EO95" s="530">
        <v>0</v>
      </c>
      <c r="EP95" s="530">
        <v>0</v>
      </c>
      <c r="EQ95" s="530">
        <v>0</v>
      </c>
      <c r="ER95" s="530">
        <v>0</v>
      </c>
      <c r="ES95" s="530">
        <v>0</v>
      </c>
      <c r="ET95" s="530">
        <v>0</v>
      </c>
      <c r="EU95" s="530">
        <v>0</v>
      </c>
      <c r="EV95" s="530">
        <v>0</v>
      </c>
      <c r="EW95" s="530">
        <v>0</v>
      </c>
      <c r="EX95" s="530">
        <v>0</v>
      </c>
      <c r="EY95" s="530">
        <f t="shared" si="65"/>
        <v>0</v>
      </c>
      <c r="EZ95" s="530">
        <f t="shared" si="66"/>
        <v>0</v>
      </c>
      <c r="FA95" s="530">
        <f t="shared" si="67"/>
        <v>0</v>
      </c>
      <c r="FB95" s="530">
        <f t="shared" si="68"/>
        <v>0</v>
      </c>
      <c r="FC95" s="384">
        <f>IFERROR(VLOOKUP(Capex!A86,BASE_558!D:R,8,FALSE)/1000,"")</f>
        <v>198</v>
      </c>
      <c r="FD95" s="328">
        <f>IFERROR(VLOOKUP(Capex!A86,BASE_558!D:R,9,)/1000,"")</f>
        <v>196.42189000000002</v>
      </c>
      <c r="FE95" s="328">
        <f>IFERROR(IF(LEFT(A95,3)="LCP",(VLOOKUP(Capex!A86,BASE_558!D:R,10,)/1000),SUMIFS('BASE ICP_PO_SC'!F:F,'BASE ICP_PO_SC'!A:A,Capex!A86,'BASE ICP_PO_SC'!E:E,"&lt;&gt;")/1000),"")</f>
        <v>0</v>
      </c>
      <c r="FF95" s="328">
        <f>IFERROR(IF(LEFT(A95,3)="LCP",(VLOOKUP(Capex!A86,BASE_558!D:R,11,)/1000),SUMIFS('BASE ICP_PO_SC'!F:F,'BASE ICP_PO_SC'!A:A,Capex!A86,'BASE ICP_PO_SC'!E:E,"")/1000),"")</f>
        <v>0</v>
      </c>
      <c r="FG95" s="328">
        <f>IFERROR(VLOOKUP(A95,BASE_558!D:R,13,FALSE)/1000,"")</f>
        <v>225.2098</v>
      </c>
      <c r="FH95" s="328">
        <f>IFERROR(VLOOKUP(A95,BASE_558!D:R,15,FALSE)/1000,"")</f>
        <v>45.790199999999999</v>
      </c>
      <c r="FI95" s="547">
        <f t="shared" si="69"/>
        <v>0</v>
      </c>
      <c r="FJ95" s="547">
        <f t="shared" si="70"/>
        <v>0</v>
      </c>
      <c r="FK95" s="540">
        <f t="shared" si="71"/>
        <v>0</v>
      </c>
    </row>
    <row r="96" spans="1:167" s="23" customFormat="1" ht="24" customHeight="1">
      <c r="A96" s="84" t="s">
        <v>61</v>
      </c>
      <c r="B96" s="404"/>
      <c r="C96" s="404"/>
      <c r="D96" s="338" t="s">
        <v>905</v>
      </c>
      <c r="E96" s="378"/>
      <c r="F96" s="5"/>
      <c r="G96" s="310" t="s">
        <v>9</v>
      </c>
      <c r="H96" s="338"/>
      <c r="I96" s="338"/>
      <c r="J96" s="338">
        <v>2018</v>
      </c>
      <c r="K96" s="316">
        <v>43174</v>
      </c>
      <c r="L96" s="317">
        <v>43976</v>
      </c>
      <c r="M96" s="409"/>
      <c r="N96" s="317">
        <f t="shared" si="74"/>
        <v>44086</v>
      </c>
      <c r="O96" s="317">
        <f t="shared" si="75"/>
        <v>44451</v>
      </c>
      <c r="P96" s="418" t="str">
        <f t="shared" si="78"/>
        <v>CRTD</v>
      </c>
      <c r="Q96" s="418" t="str">
        <f t="shared" si="78"/>
        <v>CRTD</v>
      </c>
      <c r="R96" s="418" t="str">
        <f t="shared" si="78"/>
        <v>CRTD</v>
      </c>
      <c r="S96" s="418" t="str">
        <f t="shared" si="78"/>
        <v>CRTD</v>
      </c>
      <c r="T96" s="418" t="str">
        <f t="shared" si="78"/>
        <v>CRTD</v>
      </c>
      <c r="U96" s="418" t="str">
        <f t="shared" si="78"/>
        <v>CRTD</v>
      </c>
      <c r="V96" s="418" t="str">
        <f t="shared" si="78"/>
        <v>CRTD</v>
      </c>
      <c r="W96" s="418" t="str">
        <f t="shared" si="78"/>
        <v>CRTD</v>
      </c>
      <c r="X96" s="418" t="str">
        <f t="shared" si="78"/>
        <v>CRTD</v>
      </c>
      <c r="Y96" s="418" t="str">
        <f t="shared" si="78"/>
        <v>CRTD</v>
      </c>
      <c r="Z96" s="418" t="str">
        <f t="shared" si="78"/>
        <v>CRTD</v>
      </c>
      <c r="AA96" s="418" t="str">
        <f t="shared" si="78"/>
        <v>CRTD</v>
      </c>
      <c r="AB96" s="317"/>
      <c r="AC96" s="309" t="s">
        <v>3932</v>
      </c>
      <c r="AD96" s="311" t="s">
        <v>5</v>
      </c>
      <c r="AE96" s="311"/>
      <c r="AF96" s="310" t="s">
        <v>6985</v>
      </c>
      <c r="AG96" s="310" t="s">
        <v>9083</v>
      </c>
      <c r="AH96" s="310" t="s">
        <v>62</v>
      </c>
      <c r="AI96" s="309" t="s">
        <v>2255</v>
      </c>
      <c r="AJ96" s="6" t="s">
        <v>218</v>
      </c>
      <c r="AK96" s="6" t="str">
        <f t="shared" si="49"/>
        <v>IGUAL</v>
      </c>
      <c r="AL96" s="151" t="str">
        <f>IFERROR(IF(LEFT(A96,3)="LCP",VLOOKUP(A96,STATUS_SAP_LCP!B:C,2,FALSE),VLOOKUP(A96,STATUS_SAP_ICP!B:C,2,FALSE)),"NO BUDGET")</f>
        <v>CLSD BUDG AUC  AVAC  //  APPR BREL EXPL</v>
      </c>
      <c r="AM96" s="6" t="str">
        <f t="shared" si="48"/>
        <v>CLSD</v>
      </c>
      <c r="AN96" s="282" t="s">
        <v>9090</v>
      </c>
      <c r="AO96" s="493">
        <v>1</v>
      </c>
      <c r="AP96" s="499" t="s">
        <v>9607</v>
      </c>
      <c r="AQ96" s="465">
        <v>43976</v>
      </c>
      <c r="AR96" s="460"/>
      <c r="AS96" s="56">
        <v>71.77911440249683</v>
      </c>
      <c r="AT96" s="185">
        <v>9.1708499999999997</v>
      </c>
      <c r="AU96" s="318">
        <v>0</v>
      </c>
      <c r="AV96" s="223">
        <v>0</v>
      </c>
      <c r="AW96" s="318">
        <v>0</v>
      </c>
      <c r="AX96" s="223">
        <v>0</v>
      </c>
      <c r="AY96" s="318">
        <f t="shared" si="76"/>
        <v>0</v>
      </c>
      <c r="AZ96" s="223"/>
      <c r="BA96" s="318"/>
      <c r="BB96" s="519">
        <f t="shared" si="77"/>
        <v>0</v>
      </c>
      <c r="BC96" s="518"/>
      <c r="BD96" s="518"/>
      <c r="BE96" s="518"/>
      <c r="BF96" s="518"/>
      <c r="BG96" s="518"/>
      <c r="BH96" s="518"/>
      <c r="BI96" s="518"/>
      <c r="BJ96" s="518"/>
      <c r="BK96" s="518"/>
      <c r="BL96" s="518"/>
      <c r="BM96" s="518"/>
      <c r="BN96" s="518"/>
      <c r="BO96" s="367">
        <f t="shared" si="50"/>
        <v>0</v>
      </c>
      <c r="BP96" s="421"/>
      <c r="BQ96" s="422"/>
      <c r="BR96" s="423">
        <f>IFERROR(IF(LEFT($A96,3)="Lcp",SUMIFS('BASE-LCP'!$K:$K,'BASE-LCP'!$A:$A,Capex!$A87,'BASE-LCP'!$B:$B,"janeiro")/1000,IF(LEFT($A96,3)="icp",SUMIFS('BASE-ICP'!$K:$K,'BASE-ICP'!$A:$A,Capex!$A87,'BASE-ICP'!$B:$B,"janeiro")/1000,"")),"")</f>
        <v>0</v>
      </c>
      <c r="BS96" s="427">
        <v>0</v>
      </c>
      <c r="BT96" s="372">
        <v>0</v>
      </c>
      <c r="BU96" s="422"/>
      <c r="BV96" s="423">
        <f>IFERROR(IF(LEFT($A96,3)="Lcp",SUMIFS('BASE-LCP'!$K:$K,'BASE-LCP'!$A:$A,Capex!$A87,'BASE-LCP'!$B:$B,"fevereiro")/1000,IF(LEFT($A96,3)="icp",SUMIFS('BASE-ICP'!$K:$K,'BASE-ICP'!$A:$A,Capex!$A87,'BASE-ICP'!$B:$B,"fevereiro")/1000,"")),"")</f>
        <v>0</v>
      </c>
      <c r="BW96" s="427">
        <v>0</v>
      </c>
      <c r="BX96" s="372">
        <v>0</v>
      </c>
      <c r="BY96" s="419"/>
      <c r="BZ96" s="423">
        <f>IFERROR(IF(LEFT($A96,3)="Lcp",SUMIFS('BASE-LCP'!$K:$K,'BASE-LCP'!$A:$A,Capex!$A87,'BASE-LCP'!$B:$B,"março")/1000,IF(LEFT($A96,3)="icp",SUMIFS('BASE-ICP'!$K:$K,'BASE-ICP'!$A:$A,Capex!$A87,'BASE-ICP'!$B:$B,"março")/1000,"")),"")</f>
        <v>0</v>
      </c>
      <c r="CA96" s="427">
        <v>0</v>
      </c>
      <c r="CB96" s="372">
        <v>0</v>
      </c>
      <c r="CC96" s="422"/>
      <c r="CD96" s="423">
        <f>IFERROR(IF(LEFT($A96,3)="Lcp",SUMIFS('BASE-LCP'!$K:$K,'BASE-LCP'!$A:$A,Capex!$A87,'BASE-LCP'!$B:$B,"abril")/1000,IF(LEFT($A96,3)="icp",SUMIFS('BASE-ICP'!$K:$K,'BASE-ICP'!$A:$A,Capex!$A87,'BASE-ICP'!$B:$B,"abril")/1000,"")),"")</f>
        <v>0</v>
      </c>
      <c r="CE96" s="427">
        <v>0</v>
      </c>
      <c r="CF96" s="372">
        <v>0</v>
      </c>
      <c r="CG96" s="419"/>
      <c r="CH96" s="423">
        <v>0</v>
      </c>
      <c r="CI96" s="427">
        <v>0</v>
      </c>
      <c r="CJ96" s="372">
        <v>0</v>
      </c>
      <c r="CK96" s="419"/>
      <c r="CL96" s="423">
        <f>IFERROR(IF(LEFT($A96,3)="Lcp",SUMIFS('BASE-LCP'!$K:$K,'BASE-LCP'!$A:$A,Capex!$A87,'BASE-LCP'!$B:$B,"junho")/1000,IF(LEFT($A96,3)="icp",SUMIFS('BASE-ICP'!$K:$K,'BASE-ICP'!$A:$A,Capex!$A87,'BASE-ICP'!$B:$B,"junho")/1000,"")),"")</f>
        <v>0</v>
      </c>
      <c r="CM96" s="427">
        <v>0</v>
      </c>
      <c r="CN96" s="372"/>
      <c r="CO96" s="419"/>
      <c r="CP96" s="423">
        <f>IFERROR(IF(LEFT($A96,3)="Lcp",SUMIFS('BASE-LCP'!$K:$K,'BASE-LCP'!$A:$A,Capex!$A87,'BASE-LCP'!$B:$B,"julho")/1000,IF(LEFT($A96,3)="icp",SUMIFS('BASE-ICP'!$K:$K,'BASE-ICP'!$A:$A,Capex!$A87,'BASE-ICP'!$B:$B,"julho")/1000,"")),"")</f>
        <v>0</v>
      </c>
      <c r="CQ96" s="427">
        <v>0</v>
      </c>
      <c r="CR96" s="372"/>
      <c r="CS96" s="419"/>
      <c r="CT96" s="423">
        <f>IFERROR(IF(LEFT($A96,3)="Lcp",SUMIFS('BASE-LCP'!$K:$K,'BASE-LCP'!$A:$A,Capex!$A87,'BASE-LCP'!$B:$B,"agosto")/1000,IF(LEFT($A96,3)="icp",SUMIFS('BASE-ICP'!$K:$K,'BASE-ICP'!$A:$A,Capex!$A87,'BASE-ICP'!$B:$B,"agosto")/1000,"")),"")</f>
        <v>0</v>
      </c>
      <c r="CU96" s="427">
        <v>0</v>
      </c>
      <c r="CV96" s="372"/>
      <c r="CW96" s="419"/>
      <c r="CX96" s="423">
        <f>IFERROR(IF(LEFT($A96,3)="Lcp",SUMIFS('BASE-LCP'!$K:$K,'BASE-LCP'!$A:$A,Capex!$A87,'BASE-LCP'!$B:$B,"setembro")/1000,IF(LEFT($A96,3)="icp",SUMIFS('BASE-ICP'!$K:$K,'BASE-ICP'!$A:$A,Capex!$A87,'BASE-ICP'!$B:$B,"setembro")/1000,"")),"")</f>
        <v>0</v>
      </c>
      <c r="CY96" s="427">
        <v>0</v>
      </c>
      <c r="CZ96" s="372"/>
      <c r="DA96" s="419"/>
      <c r="DB96" s="423">
        <f>IFERROR(IF(LEFT($A96,3)="Lcp",SUMIFS('BASE-LCP'!$K:$K,'BASE-LCP'!$A:$A,Capex!$A87,'BASE-LCP'!$B:$B,"outubro")/1000,IF(LEFT($A96,3)="icp",SUMIFS('BASE-ICP'!$K:$K,'BASE-ICP'!$A:$A,Capex!$A87,'BASE-ICP'!$B:$B,"outubro")/1000,"")),"")</f>
        <v>0</v>
      </c>
      <c r="DC96" s="427">
        <v>0</v>
      </c>
      <c r="DD96" s="372"/>
      <c r="DE96" s="419"/>
      <c r="DF96" s="423">
        <f>IFERROR(IF(LEFT($A96,3)="Lcp",SUMIFS('BASE-LCP'!$K:$K,'BASE-LCP'!$A:$A,Capex!$A87,'BASE-LCP'!$B:$B,"novembro")/1000,IF(LEFT($A96,3)="icp",SUMIFS('BASE-ICP'!$K:$K,'BASE-ICP'!$A:$A,Capex!$A87,'BASE-ICP'!$B:$B,"novembro")/1000,"")),"")</f>
        <v>0</v>
      </c>
      <c r="DG96" s="427">
        <v>0</v>
      </c>
      <c r="DH96" s="372"/>
      <c r="DI96" s="419"/>
      <c r="DJ96" s="423">
        <f>IFERROR(IF(LEFT($A96,3)="Lcp",SUMIFS('BASE-LCP'!$K:$K,'BASE-LCP'!$A:$A,Capex!$A87,'BASE-LCP'!$B:$B,"dezembro")/1000,IF(LEFT($A96,3)="icp",SUMIFS('BASE-ICP'!$K:$K,'BASE-ICP'!$A:$A,Capex!$A87,'BASE-ICP'!$B:$B,"dezembro")/1000,"")),"")</f>
        <v>0</v>
      </c>
      <c r="DK96" s="427">
        <v>0</v>
      </c>
      <c r="DL96" s="452">
        <f t="shared" si="51"/>
        <v>0</v>
      </c>
      <c r="DM96" s="374"/>
      <c r="DN96" s="374"/>
      <c r="DO96" s="374"/>
      <c r="DP96" s="374"/>
      <c r="DQ96" s="374"/>
      <c r="DR96" s="374"/>
      <c r="DS96" s="374"/>
      <c r="DT96" s="374"/>
      <c r="DU96" s="374"/>
      <c r="DV96" s="374"/>
      <c r="DW96" s="374"/>
      <c r="DX96" s="374"/>
      <c r="DY96" s="450"/>
      <c r="DZ96" s="374">
        <f t="shared" si="52"/>
        <v>0</v>
      </c>
      <c r="EA96" s="216">
        <f t="shared" si="53"/>
        <v>0</v>
      </c>
      <c r="EB96" s="320">
        <f t="shared" si="54"/>
        <v>0</v>
      </c>
      <c r="EC96" s="241">
        <f t="shared" si="55"/>
        <v>0</v>
      </c>
      <c r="ED96" s="241">
        <f t="shared" si="56"/>
        <v>0</v>
      </c>
      <c r="EE96" s="241">
        <f t="shared" si="57"/>
        <v>0</v>
      </c>
      <c r="EF96" s="241">
        <f t="shared" si="58"/>
        <v>0</v>
      </c>
      <c r="EG96" s="346">
        <f t="shared" si="59"/>
        <v>0</v>
      </c>
      <c r="EH96" s="445">
        <f t="shared" si="60"/>
        <v>0</v>
      </c>
      <c r="EI96" s="447">
        <f t="shared" si="61"/>
        <v>0</v>
      </c>
      <c r="EJ96" s="364">
        <f t="shared" si="62"/>
        <v>0</v>
      </c>
      <c r="EK96" s="365">
        <f t="shared" si="63"/>
        <v>0</v>
      </c>
      <c r="EL96" s="529">
        <f t="shared" si="64"/>
        <v>0</v>
      </c>
      <c r="EM96" s="530">
        <v>0</v>
      </c>
      <c r="EN96" s="530">
        <v>0</v>
      </c>
      <c r="EO96" s="530">
        <v>0</v>
      </c>
      <c r="EP96" s="530">
        <v>0</v>
      </c>
      <c r="EQ96" s="530">
        <v>0</v>
      </c>
      <c r="ER96" s="530">
        <v>0</v>
      </c>
      <c r="ES96" s="530">
        <v>0</v>
      </c>
      <c r="ET96" s="530">
        <v>0</v>
      </c>
      <c r="EU96" s="530">
        <v>0</v>
      </c>
      <c r="EV96" s="530">
        <v>0</v>
      </c>
      <c r="EW96" s="530">
        <v>0</v>
      </c>
      <c r="EX96" s="530">
        <v>0</v>
      </c>
      <c r="EY96" s="530">
        <f t="shared" si="65"/>
        <v>0</v>
      </c>
      <c r="EZ96" s="530">
        <f t="shared" si="66"/>
        <v>0</v>
      </c>
      <c r="FA96" s="530">
        <f t="shared" si="67"/>
        <v>0</v>
      </c>
      <c r="FB96" s="530">
        <f t="shared" si="68"/>
        <v>0</v>
      </c>
      <c r="FC96" s="384">
        <f>IFERROR(VLOOKUP(Capex!A87,BASE_558!D:R,8,FALSE)/1000,"")</f>
        <v>234</v>
      </c>
      <c r="FD96" s="328">
        <f>IFERROR(VLOOKUP(Capex!A87,BASE_558!D:R,9,)/1000,"")</f>
        <v>217.42175</v>
      </c>
      <c r="FE96" s="328">
        <f>IFERROR(IF(LEFT(A96,3)="LCP",(VLOOKUP(Capex!A87,BASE_558!D:R,10,)/1000),SUMIFS('BASE ICP_PO_SC'!F:F,'BASE ICP_PO_SC'!A:A,Capex!A87,'BASE ICP_PO_SC'!E:E,"&lt;&gt;")/1000),"")</f>
        <v>0</v>
      </c>
      <c r="FF96" s="328">
        <f>IFERROR(IF(LEFT(A96,3)="LCP",(VLOOKUP(Capex!A87,BASE_558!D:R,11,)/1000),SUMIFS('BASE ICP_PO_SC'!F:F,'BASE ICP_PO_SC'!A:A,Capex!A87,'BASE ICP_PO_SC'!E:E,"")/1000),"")</f>
        <v>0</v>
      </c>
      <c r="FG96" s="328">
        <f>IFERROR(VLOOKUP(A96,BASE_558!D:R,13,FALSE)/1000,"")</f>
        <v>424.08559000000002</v>
      </c>
      <c r="FH96" s="328">
        <f>IFERROR(VLOOKUP(A96,BASE_558!D:R,15,FALSE)/1000,"")</f>
        <v>29.91441</v>
      </c>
      <c r="FI96" s="547">
        <f t="shared" si="69"/>
        <v>0</v>
      </c>
      <c r="FJ96" s="547">
        <f t="shared" si="70"/>
        <v>0</v>
      </c>
      <c r="FK96" s="540">
        <f t="shared" si="71"/>
        <v>0</v>
      </c>
    </row>
    <row r="97" spans="1:167" s="23" customFormat="1" ht="24" customHeight="1">
      <c r="A97" s="84" t="s">
        <v>108</v>
      </c>
      <c r="B97" s="404"/>
      <c r="C97" s="404"/>
      <c r="D97" s="338" t="s">
        <v>2217</v>
      </c>
      <c r="E97" s="378"/>
      <c r="F97" s="5"/>
      <c r="G97" s="310" t="s">
        <v>9</v>
      </c>
      <c r="H97" s="338"/>
      <c r="I97" s="338"/>
      <c r="J97" s="338">
        <v>2018</v>
      </c>
      <c r="K97" s="316">
        <v>43241</v>
      </c>
      <c r="L97" s="317">
        <v>44221</v>
      </c>
      <c r="M97" s="409"/>
      <c r="N97" s="317">
        <f t="shared" si="74"/>
        <v>44153</v>
      </c>
      <c r="O97" s="317">
        <f t="shared" si="75"/>
        <v>44518</v>
      </c>
      <c r="P97" s="418" t="str">
        <f t="shared" si="78"/>
        <v>CRTD</v>
      </c>
      <c r="Q97" s="418" t="str">
        <f t="shared" si="78"/>
        <v>CRTD</v>
      </c>
      <c r="R97" s="418" t="str">
        <f t="shared" si="78"/>
        <v>CRTD</v>
      </c>
      <c r="S97" s="418" t="str">
        <f t="shared" si="78"/>
        <v>CRTD</v>
      </c>
      <c r="T97" s="418" t="str">
        <f t="shared" si="78"/>
        <v>CRTD</v>
      </c>
      <c r="U97" s="418" t="str">
        <f t="shared" si="78"/>
        <v>CRTD</v>
      </c>
      <c r="V97" s="418" t="str">
        <f t="shared" si="78"/>
        <v>CRTD</v>
      </c>
      <c r="W97" s="418" t="str">
        <f t="shared" si="78"/>
        <v>CRTD</v>
      </c>
      <c r="X97" s="418" t="str">
        <f t="shared" si="78"/>
        <v>CRTD</v>
      </c>
      <c r="Y97" s="418" t="str">
        <f t="shared" si="78"/>
        <v>CRTD</v>
      </c>
      <c r="Z97" s="418" t="str">
        <f t="shared" si="78"/>
        <v>CRTD</v>
      </c>
      <c r="AA97" s="418" t="str">
        <f t="shared" si="78"/>
        <v>CRTD</v>
      </c>
      <c r="AB97" s="317"/>
      <c r="AC97" s="309" t="s">
        <v>3932</v>
      </c>
      <c r="AD97" s="311" t="s">
        <v>224</v>
      </c>
      <c r="AE97" s="311"/>
      <c r="AF97" s="310" t="s">
        <v>6985</v>
      </c>
      <c r="AG97" s="310" t="s">
        <v>9083</v>
      </c>
      <c r="AH97" s="310" t="s">
        <v>109</v>
      </c>
      <c r="AI97" s="309" t="s">
        <v>187</v>
      </c>
      <c r="AJ97" s="6" t="s">
        <v>218</v>
      </c>
      <c r="AK97" s="6" t="str">
        <f t="shared" si="49"/>
        <v>IGUAL</v>
      </c>
      <c r="AL97" s="151" t="str">
        <f>IFERROR(IF(LEFT(A97,3)="LCP",VLOOKUP(A97,STATUS_SAP_LCP!B:C,2,FALSE),VLOOKUP(A97,STATUS_SAP_ICP!B:C,2,FALSE)),"NO BUDGET")</f>
        <v>CLSD BUDG AUC  AVAC  //  APPR BREL EXPL</v>
      </c>
      <c r="AM97" s="6" t="str">
        <f t="shared" si="48"/>
        <v>CLSD</v>
      </c>
      <c r="AN97" s="282" t="s">
        <v>9096</v>
      </c>
      <c r="AO97" s="493">
        <v>1</v>
      </c>
      <c r="AP97" s="499" t="s">
        <v>9607</v>
      </c>
      <c r="AQ97" s="465">
        <v>44221</v>
      </c>
      <c r="AR97" s="460"/>
      <c r="AS97" s="56">
        <v>35.516774734354165</v>
      </c>
      <c r="AT97" s="185">
        <v>0.31917000000000001</v>
      </c>
      <c r="AU97" s="318">
        <v>0</v>
      </c>
      <c r="AV97" s="223">
        <v>0</v>
      </c>
      <c r="AW97" s="318">
        <v>0</v>
      </c>
      <c r="AX97" s="223">
        <v>0</v>
      </c>
      <c r="AY97" s="318">
        <f t="shared" si="76"/>
        <v>0</v>
      </c>
      <c r="AZ97" s="223"/>
      <c r="BA97" s="318"/>
      <c r="BB97" s="519">
        <f t="shared" si="77"/>
        <v>0</v>
      </c>
      <c r="BC97" s="518"/>
      <c r="BD97" s="518"/>
      <c r="BE97" s="518"/>
      <c r="BF97" s="518"/>
      <c r="BG97" s="518"/>
      <c r="BH97" s="518"/>
      <c r="BI97" s="518"/>
      <c r="BJ97" s="518"/>
      <c r="BK97" s="518"/>
      <c r="BL97" s="518"/>
      <c r="BM97" s="518"/>
      <c r="BN97" s="518"/>
      <c r="BO97" s="367">
        <f t="shared" si="50"/>
        <v>0</v>
      </c>
      <c r="BP97" s="421"/>
      <c r="BQ97" s="422"/>
      <c r="BR97" s="423">
        <f>IFERROR(IF(LEFT($A97,3)="Lcp",SUMIFS('BASE-LCP'!$K:$K,'BASE-LCP'!$A:$A,Capex!$A88,'BASE-LCP'!$B:$B,"janeiro")/1000,IF(LEFT($A97,3)="icp",SUMIFS('BASE-ICP'!$K:$K,'BASE-ICP'!$A:$A,Capex!$A88,'BASE-ICP'!$B:$B,"janeiro")/1000,"")),"")</f>
        <v>0</v>
      </c>
      <c r="BS97" s="427">
        <v>0</v>
      </c>
      <c r="BT97" s="372">
        <v>0</v>
      </c>
      <c r="BU97" s="422"/>
      <c r="BV97" s="423">
        <f>IFERROR(IF(LEFT($A97,3)="Lcp",SUMIFS('BASE-LCP'!$K:$K,'BASE-LCP'!$A:$A,Capex!$A88,'BASE-LCP'!$B:$B,"fevereiro")/1000,IF(LEFT($A97,3)="icp",SUMIFS('BASE-ICP'!$K:$K,'BASE-ICP'!$A:$A,Capex!$A88,'BASE-ICP'!$B:$B,"fevereiro")/1000,"")),"")</f>
        <v>0</v>
      </c>
      <c r="BW97" s="427">
        <v>0</v>
      </c>
      <c r="BX97" s="372">
        <v>0</v>
      </c>
      <c r="BY97" s="419"/>
      <c r="BZ97" s="423">
        <f>IFERROR(IF(LEFT($A97,3)="Lcp",SUMIFS('BASE-LCP'!$K:$K,'BASE-LCP'!$A:$A,Capex!$A88,'BASE-LCP'!$B:$B,"março")/1000,IF(LEFT($A97,3)="icp",SUMIFS('BASE-ICP'!$K:$K,'BASE-ICP'!$A:$A,Capex!$A88,'BASE-ICP'!$B:$B,"março")/1000,"")),"")</f>
        <v>0</v>
      </c>
      <c r="CA97" s="427">
        <v>0</v>
      </c>
      <c r="CB97" s="372">
        <v>0</v>
      </c>
      <c r="CC97" s="422"/>
      <c r="CD97" s="423">
        <f>IFERROR(IF(LEFT($A97,3)="Lcp",SUMIFS('BASE-LCP'!$K:$K,'BASE-LCP'!$A:$A,Capex!$A88,'BASE-LCP'!$B:$B,"abril")/1000,IF(LEFT($A97,3)="icp",SUMIFS('BASE-ICP'!$K:$K,'BASE-ICP'!$A:$A,Capex!$A88,'BASE-ICP'!$B:$B,"abril")/1000,"")),"")</f>
        <v>0</v>
      </c>
      <c r="CE97" s="427">
        <v>0</v>
      </c>
      <c r="CF97" s="372">
        <v>0</v>
      </c>
      <c r="CG97" s="419"/>
      <c r="CH97" s="423">
        <v>0</v>
      </c>
      <c r="CI97" s="427">
        <v>0</v>
      </c>
      <c r="CJ97" s="372">
        <v>0</v>
      </c>
      <c r="CK97" s="419"/>
      <c r="CL97" s="423">
        <f>IFERROR(IF(LEFT($A97,3)="Lcp",SUMIFS('BASE-LCP'!$K:$K,'BASE-LCP'!$A:$A,Capex!$A88,'BASE-LCP'!$B:$B,"junho")/1000,IF(LEFT($A97,3)="icp",SUMIFS('BASE-ICP'!$K:$K,'BASE-ICP'!$A:$A,Capex!$A88,'BASE-ICP'!$B:$B,"junho")/1000,"")),"")</f>
        <v>0</v>
      </c>
      <c r="CM97" s="427">
        <v>0</v>
      </c>
      <c r="CN97" s="372"/>
      <c r="CO97" s="419"/>
      <c r="CP97" s="423">
        <f>IFERROR(IF(LEFT($A97,3)="Lcp",SUMIFS('BASE-LCP'!$K:$K,'BASE-LCP'!$A:$A,Capex!$A88,'BASE-LCP'!$B:$B,"julho")/1000,IF(LEFT($A97,3)="icp",SUMIFS('BASE-ICP'!$K:$K,'BASE-ICP'!$A:$A,Capex!$A88,'BASE-ICP'!$B:$B,"julho")/1000,"")),"")</f>
        <v>0</v>
      </c>
      <c r="CQ97" s="427">
        <v>0</v>
      </c>
      <c r="CR97" s="372"/>
      <c r="CS97" s="419"/>
      <c r="CT97" s="423">
        <f>IFERROR(IF(LEFT($A97,3)="Lcp",SUMIFS('BASE-LCP'!$K:$K,'BASE-LCP'!$A:$A,Capex!$A88,'BASE-LCP'!$B:$B,"agosto")/1000,IF(LEFT($A97,3)="icp",SUMIFS('BASE-ICP'!$K:$K,'BASE-ICP'!$A:$A,Capex!$A88,'BASE-ICP'!$B:$B,"agosto")/1000,"")),"")</f>
        <v>0</v>
      </c>
      <c r="CU97" s="427">
        <v>0</v>
      </c>
      <c r="CV97" s="372"/>
      <c r="CW97" s="419"/>
      <c r="CX97" s="423">
        <f>IFERROR(IF(LEFT($A97,3)="Lcp",SUMIFS('BASE-LCP'!$K:$K,'BASE-LCP'!$A:$A,Capex!$A88,'BASE-LCP'!$B:$B,"setembro")/1000,IF(LEFT($A97,3)="icp",SUMIFS('BASE-ICP'!$K:$K,'BASE-ICP'!$A:$A,Capex!$A88,'BASE-ICP'!$B:$B,"setembro")/1000,"")),"")</f>
        <v>0</v>
      </c>
      <c r="CY97" s="427">
        <v>0</v>
      </c>
      <c r="CZ97" s="372"/>
      <c r="DA97" s="419"/>
      <c r="DB97" s="423">
        <f>IFERROR(IF(LEFT($A97,3)="Lcp",SUMIFS('BASE-LCP'!$K:$K,'BASE-LCP'!$A:$A,Capex!$A88,'BASE-LCP'!$B:$B,"outubro")/1000,IF(LEFT($A97,3)="icp",SUMIFS('BASE-ICP'!$K:$K,'BASE-ICP'!$A:$A,Capex!$A88,'BASE-ICP'!$B:$B,"outubro")/1000,"")),"")</f>
        <v>0</v>
      </c>
      <c r="DC97" s="427">
        <v>0</v>
      </c>
      <c r="DD97" s="372"/>
      <c r="DE97" s="419"/>
      <c r="DF97" s="423">
        <f>IFERROR(IF(LEFT($A97,3)="Lcp",SUMIFS('BASE-LCP'!$K:$K,'BASE-LCP'!$A:$A,Capex!$A88,'BASE-LCP'!$B:$B,"novembro")/1000,IF(LEFT($A97,3)="icp",SUMIFS('BASE-ICP'!$K:$K,'BASE-ICP'!$A:$A,Capex!$A88,'BASE-ICP'!$B:$B,"novembro")/1000,"")),"")</f>
        <v>0</v>
      </c>
      <c r="DG97" s="427">
        <v>0</v>
      </c>
      <c r="DH97" s="372"/>
      <c r="DI97" s="419"/>
      <c r="DJ97" s="423">
        <f>IFERROR(IF(LEFT($A97,3)="Lcp",SUMIFS('BASE-LCP'!$K:$K,'BASE-LCP'!$A:$A,Capex!$A88,'BASE-LCP'!$B:$B,"dezembro")/1000,IF(LEFT($A97,3)="icp",SUMIFS('BASE-ICP'!$K:$K,'BASE-ICP'!$A:$A,Capex!$A88,'BASE-ICP'!$B:$B,"dezembro")/1000,"")),"")</f>
        <v>0</v>
      </c>
      <c r="DK97" s="427">
        <v>0</v>
      </c>
      <c r="DL97" s="452">
        <f t="shared" si="51"/>
        <v>0</v>
      </c>
      <c r="DM97" s="374"/>
      <c r="DN97" s="374"/>
      <c r="DO97" s="374"/>
      <c r="DP97" s="374"/>
      <c r="DQ97" s="374"/>
      <c r="DR97" s="374"/>
      <c r="DS97" s="374"/>
      <c r="DT97" s="374"/>
      <c r="DU97" s="374"/>
      <c r="DV97" s="374"/>
      <c r="DW97" s="374"/>
      <c r="DX97" s="374"/>
      <c r="DY97" s="450"/>
      <c r="DZ97" s="374">
        <f t="shared" si="52"/>
        <v>0</v>
      </c>
      <c r="EA97" s="216">
        <f t="shared" si="53"/>
        <v>0</v>
      </c>
      <c r="EB97" s="320">
        <f t="shared" si="54"/>
        <v>0</v>
      </c>
      <c r="EC97" s="241">
        <f t="shared" si="55"/>
        <v>0</v>
      </c>
      <c r="ED97" s="241">
        <f t="shared" si="56"/>
        <v>0</v>
      </c>
      <c r="EE97" s="241">
        <f t="shared" si="57"/>
        <v>0</v>
      </c>
      <c r="EF97" s="241">
        <f t="shared" si="58"/>
        <v>0</v>
      </c>
      <c r="EG97" s="346">
        <f t="shared" si="59"/>
        <v>0</v>
      </c>
      <c r="EH97" s="445">
        <f t="shared" si="60"/>
        <v>0</v>
      </c>
      <c r="EI97" s="447">
        <f t="shared" si="61"/>
        <v>0</v>
      </c>
      <c r="EJ97" s="364">
        <f t="shared" si="62"/>
        <v>0</v>
      </c>
      <c r="EK97" s="365">
        <f t="shared" si="63"/>
        <v>0</v>
      </c>
      <c r="EL97" s="529">
        <f t="shared" si="64"/>
        <v>0</v>
      </c>
      <c r="EM97" s="530">
        <v>0</v>
      </c>
      <c r="EN97" s="530">
        <v>0</v>
      </c>
      <c r="EO97" s="530">
        <v>0</v>
      </c>
      <c r="EP97" s="530">
        <v>0</v>
      </c>
      <c r="EQ97" s="530">
        <v>0</v>
      </c>
      <c r="ER97" s="530">
        <v>0</v>
      </c>
      <c r="ES97" s="530">
        <v>0</v>
      </c>
      <c r="ET97" s="530">
        <v>0</v>
      </c>
      <c r="EU97" s="530">
        <v>0</v>
      </c>
      <c r="EV97" s="530">
        <v>0</v>
      </c>
      <c r="EW97" s="530">
        <v>0</v>
      </c>
      <c r="EX97" s="530">
        <v>0</v>
      </c>
      <c r="EY97" s="530">
        <f t="shared" si="65"/>
        <v>0</v>
      </c>
      <c r="EZ97" s="530">
        <f t="shared" si="66"/>
        <v>0</v>
      </c>
      <c r="FA97" s="530">
        <f t="shared" si="67"/>
        <v>0</v>
      </c>
      <c r="FB97" s="530">
        <f t="shared" si="68"/>
        <v>0</v>
      </c>
      <c r="FC97" s="384">
        <f>IFERROR(VLOOKUP(Capex!A88,BASE_558!D:R,8,FALSE)/1000,"")</f>
        <v>68</v>
      </c>
      <c r="FD97" s="328">
        <f>IFERROR(VLOOKUP(Capex!A88,BASE_558!D:R,9,)/1000,"")</f>
        <v>62.697220000000002</v>
      </c>
      <c r="FE97" s="328">
        <f>IFERROR(IF(LEFT(A97,3)="LCP",(VLOOKUP(Capex!A88,BASE_558!D:R,10,)/1000),SUMIFS('BASE ICP_PO_SC'!F:F,'BASE ICP_PO_SC'!A:A,Capex!A88,'BASE ICP_PO_SC'!E:E,"&lt;&gt;")/1000),"")</f>
        <v>0</v>
      </c>
      <c r="FF97" s="328">
        <f>IFERROR(IF(LEFT(A97,3)="LCP",(VLOOKUP(Capex!A88,BASE_558!D:R,11,)/1000),SUMIFS('BASE ICP_PO_SC'!F:F,'BASE ICP_PO_SC'!A:A,Capex!A88,'BASE ICP_PO_SC'!E:E,"")/1000),"")</f>
        <v>0</v>
      </c>
      <c r="FG97" s="328">
        <f>IFERROR(VLOOKUP(A97,BASE_558!D:R,13,FALSE)/1000,"")</f>
        <v>156.63091</v>
      </c>
      <c r="FH97" s="328">
        <f>IFERROR(VLOOKUP(A97,BASE_558!D:R,15,FALSE)/1000,"")</f>
        <v>3.3690900000000004</v>
      </c>
      <c r="FI97" s="547">
        <f t="shared" si="69"/>
        <v>0</v>
      </c>
      <c r="FJ97" s="547">
        <f t="shared" si="70"/>
        <v>0</v>
      </c>
      <c r="FK97" s="540">
        <f t="shared" si="71"/>
        <v>0</v>
      </c>
    </row>
    <row r="98" spans="1:167" s="23" customFormat="1" ht="24" customHeight="1">
      <c r="A98" s="84" t="s">
        <v>73</v>
      </c>
      <c r="B98" s="404"/>
      <c r="C98" s="404"/>
      <c r="D98" s="338" t="s">
        <v>7185</v>
      </c>
      <c r="E98" s="380"/>
      <c r="F98" s="5"/>
      <c r="G98" s="310" t="s">
        <v>9</v>
      </c>
      <c r="H98" s="338"/>
      <c r="I98" s="338" t="s">
        <v>2650</v>
      </c>
      <c r="J98" s="338">
        <v>2018</v>
      </c>
      <c r="K98" s="316">
        <v>43174</v>
      </c>
      <c r="L98" s="317">
        <v>43633</v>
      </c>
      <c r="M98" s="409"/>
      <c r="N98" s="317">
        <f t="shared" si="74"/>
        <v>44086</v>
      </c>
      <c r="O98" s="317">
        <f t="shared" si="75"/>
        <v>44451</v>
      </c>
      <c r="P98" s="418" t="str">
        <f t="shared" si="78"/>
        <v>CRTD</v>
      </c>
      <c r="Q98" s="418" t="str">
        <f t="shared" si="78"/>
        <v>CRTD</v>
      </c>
      <c r="R98" s="418" t="str">
        <f t="shared" si="78"/>
        <v>CRTD</v>
      </c>
      <c r="S98" s="418" t="str">
        <f t="shared" si="78"/>
        <v>CRTD</v>
      </c>
      <c r="T98" s="418" t="str">
        <f t="shared" si="78"/>
        <v>CRTD</v>
      </c>
      <c r="U98" s="418" t="str">
        <f t="shared" si="78"/>
        <v>CRTD</v>
      </c>
      <c r="V98" s="418" t="str">
        <f t="shared" si="78"/>
        <v>CRTD</v>
      </c>
      <c r="W98" s="418" t="str">
        <f t="shared" si="78"/>
        <v>CRTD</v>
      </c>
      <c r="X98" s="418" t="str">
        <f t="shared" si="78"/>
        <v>CRTD</v>
      </c>
      <c r="Y98" s="418" t="str">
        <f t="shared" si="78"/>
        <v>CRTD</v>
      </c>
      <c r="Z98" s="418" t="str">
        <f t="shared" si="78"/>
        <v>CRTD</v>
      </c>
      <c r="AA98" s="418" t="str">
        <f t="shared" si="78"/>
        <v>CRTD</v>
      </c>
      <c r="AB98" s="317"/>
      <c r="AC98" s="309" t="s">
        <v>3932</v>
      </c>
      <c r="AD98" s="311" t="s">
        <v>223</v>
      </c>
      <c r="AE98" s="311"/>
      <c r="AF98" s="310" t="s">
        <v>6985</v>
      </c>
      <c r="AG98" s="310" t="s">
        <v>9083</v>
      </c>
      <c r="AH98" s="310" t="s">
        <v>74</v>
      </c>
      <c r="AI98" s="381" t="s">
        <v>2255</v>
      </c>
      <c r="AJ98" s="6" t="s">
        <v>218</v>
      </c>
      <c r="AK98" s="6" t="str">
        <f t="shared" si="49"/>
        <v>IGUAL</v>
      </c>
      <c r="AL98" s="151" t="str">
        <f>IFERROR(IF(LEFT(A98,3)="LCP",VLOOKUP(A98,STATUS_SAP_LCP!B:C,2,FALSE),VLOOKUP(A98,STATUS_SAP_ICP!B:C,2,FALSE)),"NO BUDGET")</f>
        <v>CLSD BUDG AUC  AVAC  //  APPR BREL EXPL</v>
      </c>
      <c r="AM98" s="6" t="str">
        <f t="shared" si="48"/>
        <v>CLSD</v>
      </c>
      <c r="AN98" s="282" t="s">
        <v>197</v>
      </c>
      <c r="AO98" s="493">
        <v>1</v>
      </c>
      <c r="AP98" s="499" t="s">
        <v>9607</v>
      </c>
      <c r="AQ98" s="465">
        <v>43633</v>
      </c>
      <c r="AR98" s="460"/>
      <c r="AS98" s="56">
        <v>9.8458202427928718</v>
      </c>
      <c r="AT98" s="185">
        <v>0</v>
      </c>
      <c r="AU98" s="318">
        <v>0</v>
      </c>
      <c r="AV98" s="223">
        <v>0</v>
      </c>
      <c r="AW98" s="318">
        <v>0</v>
      </c>
      <c r="AX98" s="223">
        <v>0</v>
      </c>
      <c r="AY98" s="318">
        <f t="shared" si="76"/>
        <v>0</v>
      </c>
      <c r="AZ98" s="223"/>
      <c r="BA98" s="318"/>
      <c r="BB98" s="519">
        <f t="shared" si="77"/>
        <v>0</v>
      </c>
      <c r="BC98" s="518"/>
      <c r="BD98" s="518"/>
      <c r="BE98" s="518"/>
      <c r="BF98" s="518"/>
      <c r="BG98" s="518"/>
      <c r="BH98" s="518"/>
      <c r="BI98" s="518"/>
      <c r="BJ98" s="518"/>
      <c r="BK98" s="518"/>
      <c r="BL98" s="518"/>
      <c r="BM98" s="518"/>
      <c r="BN98" s="518"/>
      <c r="BO98" s="367">
        <f t="shared" si="50"/>
        <v>0</v>
      </c>
      <c r="BP98" s="421"/>
      <c r="BQ98" s="422"/>
      <c r="BR98" s="423">
        <f>IFERROR(IF(LEFT($A98,3)="Lcp",SUMIFS('BASE-LCP'!$K:$K,'BASE-LCP'!$A:$A,Capex!$A89,'BASE-LCP'!$B:$B,"janeiro")/1000,IF(LEFT($A98,3)="icp",SUMIFS('BASE-ICP'!$K:$K,'BASE-ICP'!$A:$A,Capex!$A89,'BASE-ICP'!$B:$B,"janeiro")/1000,"")),"")</f>
        <v>0</v>
      </c>
      <c r="BS98" s="427">
        <v>0</v>
      </c>
      <c r="BT98" s="372">
        <v>0</v>
      </c>
      <c r="BU98" s="422"/>
      <c r="BV98" s="423">
        <f>IFERROR(IF(LEFT($A98,3)="Lcp",SUMIFS('BASE-LCP'!$K:$K,'BASE-LCP'!$A:$A,Capex!$A89,'BASE-LCP'!$B:$B,"fevereiro")/1000,IF(LEFT($A98,3)="icp",SUMIFS('BASE-ICP'!$K:$K,'BASE-ICP'!$A:$A,Capex!$A89,'BASE-ICP'!$B:$B,"fevereiro")/1000,"")),"")</f>
        <v>0</v>
      </c>
      <c r="BW98" s="427">
        <v>0</v>
      </c>
      <c r="BX98" s="372">
        <v>0</v>
      </c>
      <c r="BY98" s="419"/>
      <c r="BZ98" s="423">
        <f>IFERROR(IF(LEFT($A98,3)="Lcp",SUMIFS('BASE-LCP'!$K:$K,'BASE-LCP'!$A:$A,Capex!$A89,'BASE-LCP'!$B:$B,"março")/1000,IF(LEFT($A98,3)="icp",SUMIFS('BASE-ICP'!$K:$K,'BASE-ICP'!$A:$A,Capex!$A89,'BASE-ICP'!$B:$B,"março")/1000,"")),"")</f>
        <v>0</v>
      </c>
      <c r="CA98" s="427">
        <v>0</v>
      </c>
      <c r="CB98" s="372">
        <v>0</v>
      </c>
      <c r="CC98" s="422"/>
      <c r="CD98" s="423">
        <f>IFERROR(IF(LEFT($A98,3)="Lcp",SUMIFS('BASE-LCP'!$K:$K,'BASE-LCP'!$A:$A,Capex!$A89,'BASE-LCP'!$B:$B,"abril")/1000,IF(LEFT($A98,3)="icp",SUMIFS('BASE-ICP'!$K:$K,'BASE-ICP'!$A:$A,Capex!$A89,'BASE-ICP'!$B:$B,"abril")/1000,"")),"")</f>
        <v>0</v>
      </c>
      <c r="CE98" s="427">
        <v>0</v>
      </c>
      <c r="CF98" s="372">
        <v>0</v>
      </c>
      <c r="CG98" s="419"/>
      <c r="CH98" s="423">
        <v>0</v>
      </c>
      <c r="CI98" s="427">
        <v>0</v>
      </c>
      <c r="CJ98" s="372">
        <v>0</v>
      </c>
      <c r="CK98" s="419"/>
      <c r="CL98" s="423">
        <f>IFERROR(IF(LEFT($A98,3)="Lcp",SUMIFS('BASE-LCP'!$K:$K,'BASE-LCP'!$A:$A,Capex!$A89,'BASE-LCP'!$B:$B,"junho")/1000,IF(LEFT($A98,3)="icp",SUMIFS('BASE-ICP'!$K:$K,'BASE-ICP'!$A:$A,Capex!$A89,'BASE-ICP'!$B:$B,"junho")/1000,"")),"")</f>
        <v>0</v>
      </c>
      <c r="CM98" s="427">
        <v>0</v>
      </c>
      <c r="CN98" s="372"/>
      <c r="CO98" s="419"/>
      <c r="CP98" s="423">
        <f>IFERROR(IF(LEFT($A98,3)="Lcp",SUMIFS('BASE-LCP'!$K:$K,'BASE-LCP'!$A:$A,Capex!$A89,'BASE-LCP'!$B:$B,"julho")/1000,IF(LEFT($A98,3)="icp",SUMIFS('BASE-ICP'!$K:$K,'BASE-ICP'!$A:$A,Capex!$A89,'BASE-ICP'!$B:$B,"julho")/1000,"")),"")</f>
        <v>0</v>
      </c>
      <c r="CQ98" s="427">
        <v>0</v>
      </c>
      <c r="CR98" s="372"/>
      <c r="CS98" s="419"/>
      <c r="CT98" s="423">
        <f>IFERROR(IF(LEFT($A98,3)="Lcp",SUMIFS('BASE-LCP'!$K:$K,'BASE-LCP'!$A:$A,Capex!$A89,'BASE-LCP'!$B:$B,"agosto")/1000,IF(LEFT($A98,3)="icp",SUMIFS('BASE-ICP'!$K:$K,'BASE-ICP'!$A:$A,Capex!$A89,'BASE-ICP'!$B:$B,"agosto")/1000,"")),"")</f>
        <v>0</v>
      </c>
      <c r="CU98" s="427">
        <v>0</v>
      </c>
      <c r="CV98" s="372"/>
      <c r="CW98" s="419"/>
      <c r="CX98" s="423">
        <f>IFERROR(IF(LEFT($A98,3)="Lcp",SUMIFS('BASE-LCP'!$K:$K,'BASE-LCP'!$A:$A,Capex!$A89,'BASE-LCP'!$B:$B,"setembro")/1000,IF(LEFT($A98,3)="icp",SUMIFS('BASE-ICP'!$K:$K,'BASE-ICP'!$A:$A,Capex!$A89,'BASE-ICP'!$B:$B,"setembro")/1000,"")),"")</f>
        <v>0</v>
      </c>
      <c r="CY98" s="427">
        <v>0</v>
      </c>
      <c r="CZ98" s="372"/>
      <c r="DA98" s="419"/>
      <c r="DB98" s="423">
        <f>IFERROR(IF(LEFT($A98,3)="Lcp",SUMIFS('BASE-LCP'!$K:$K,'BASE-LCP'!$A:$A,Capex!$A89,'BASE-LCP'!$B:$B,"outubro")/1000,IF(LEFT($A98,3)="icp",SUMIFS('BASE-ICP'!$K:$K,'BASE-ICP'!$A:$A,Capex!$A89,'BASE-ICP'!$B:$B,"outubro")/1000,"")),"")</f>
        <v>0</v>
      </c>
      <c r="DC98" s="427">
        <v>0</v>
      </c>
      <c r="DD98" s="372"/>
      <c r="DE98" s="419"/>
      <c r="DF98" s="423">
        <f>IFERROR(IF(LEFT($A98,3)="Lcp",SUMIFS('BASE-LCP'!$K:$K,'BASE-LCP'!$A:$A,Capex!$A89,'BASE-LCP'!$B:$B,"novembro")/1000,IF(LEFT($A98,3)="icp",SUMIFS('BASE-ICP'!$K:$K,'BASE-ICP'!$A:$A,Capex!$A89,'BASE-ICP'!$B:$B,"novembro")/1000,"")),"")</f>
        <v>0</v>
      </c>
      <c r="DG98" s="427">
        <v>0</v>
      </c>
      <c r="DH98" s="372"/>
      <c r="DI98" s="419"/>
      <c r="DJ98" s="423">
        <f>IFERROR(IF(LEFT($A98,3)="Lcp",SUMIFS('BASE-LCP'!$K:$K,'BASE-LCP'!$A:$A,Capex!$A89,'BASE-LCP'!$B:$B,"dezembro")/1000,IF(LEFT($A98,3)="icp",SUMIFS('BASE-ICP'!$K:$K,'BASE-ICP'!$A:$A,Capex!$A89,'BASE-ICP'!$B:$B,"dezembro")/1000,"")),"")</f>
        <v>0</v>
      </c>
      <c r="DK98" s="427">
        <v>0</v>
      </c>
      <c r="DL98" s="452">
        <f t="shared" si="51"/>
        <v>0</v>
      </c>
      <c r="DM98" s="374"/>
      <c r="DN98" s="374"/>
      <c r="DO98" s="374"/>
      <c r="DP98" s="374"/>
      <c r="DQ98" s="374"/>
      <c r="DR98" s="374"/>
      <c r="DS98" s="374"/>
      <c r="DT98" s="374"/>
      <c r="DU98" s="374"/>
      <c r="DV98" s="374"/>
      <c r="DW98" s="374"/>
      <c r="DX98" s="374"/>
      <c r="DY98" s="450"/>
      <c r="DZ98" s="374">
        <f t="shared" si="52"/>
        <v>0</v>
      </c>
      <c r="EA98" s="216">
        <f t="shared" si="53"/>
        <v>0</v>
      </c>
      <c r="EB98" s="320">
        <f t="shared" si="54"/>
        <v>0</v>
      </c>
      <c r="EC98" s="241">
        <f t="shared" si="55"/>
        <v>0</v>
      </c>
      <c r="ED98" s="241">
        <f t="shared" si="56"/>
        <v>0</v>
      </c>
      <c r="EE98" s="241">
        <f t="shared" si="57"/>
        <v>0</v>
      </c>
      <c r="EF98" s="241">
        <f t="shared" si="58"/>
        <v>0</v>
      </c>
      <c r="EG98" s="346">
        <f t="shared" si="59"/>
        <v>0</v>
      </c>
      <c r="EH98" s="445">
        <f t="shared" si="60"/>
        <v>0</v>
      </c>
      <c r="EI98" s="447">
        <f t="shared" si="61"/>
        <v>0</v>
      </c>
      <c r="EJ98" s="364">
        <f t="shared" si="62"/>
        <v>0</v>
      </c>
      <c r="EK98" s="365">
        <f t="shared" si="63"/>
        <v>0</v>
      </c>
      <c r="EL98" s="529">
        <f t="shared" si="64"/>
        <v>0</v>
      </c>
      <c r="EM98" s="530">
        <v>0</v>
      </c>
      <c r="EN98" s="530">
        <v>0</v>
      </c>
      <c r="EO98" s="530">
        <v>0</v>
      </c>
      <c r="EP98" s="530">
        <v>0</v>
      </c>
      <c r="EQ98" s="530">
        <v>0</v>
      </c>
      <c r="ER98" s="530">
        <v>0</v>
      </c>
      <c r="ES98" s="530">
        <v>0</v>
      </c>
      <c r="ET98" s="530">
        <v>0</v>
      </c>
      <c r="EU98" s="530">
        <v>0</v>
      </c>
      <c r="EV98" s="530">
        <v>0</v>
      </c>
      <c r="EW98" s="530">
        <v>0</v>
      </c>
      <c r="EX98" s="530">
        <v>0</v>
      </c>
      <c r="EY98" s="530">
        <f t="shared" si="65"/>
        <v>0</v>
      </c>
      <c r="EZ98" s="530">
        <f t="shared" si="66"/>
        <v>0</v>
      </c>
      <c r="FA98" s="530">
        <f t="shared" si="67"/>
        <v>0</v>
      </c>
      <c r="FB98" s="530">
        <f t="shared" si="68"/>
        <v>0</v>
      </c>
      <c r="FC98" s="384">
        <f>IFERROR(VLOOKUP(Capex!A89,BASE_558!D:R,8,FALSE)/1000,"")</f>
        <v>3492</v>
      </c>
      <c r="FD98" s="328">
        <f>IFERROR(VLOOKUP(Capex!A89,BASE_558!D:R,9,)/1000,"")</f>
        <v>3328.79475</v>
      </c>
      <c r="FE98" s="328">
        <f>IFERROR(IF(LEFT(A98,3)="LCP",(VLOOKUP(Capex!A89,BASE_558!D:R,10,)/1000),SUMIFS('BASE ICP_PO_SC'!F:F,'BASE ICP_PO_SC'!A:A,Capex!A89,'BASE ICP_PO_SC'!E:E,"&lt;&gt;")/1000),"")</f>
        <v>0</v>
      </c>
      <c r="FF98" s="328">
        <f>IFERROR(IF(LEFT(A98,3)="LCP",(VLOOKUP(Capex!A89,BASE_558!D:R,11,)/1000),SUMIFS('BASE ICP_PO_SC'!F:F,'BASE ICP_PO_SC'!A:A,Capex!A89,'BASE ICP_PO_SC'!E:E,"")/1000),"")</f>
        <v>0</v>
      </c>
      <c r="FG98" s="328">
        <f>IFERROR(VLOOKUP(A98,BASE_558!D:R,13,FALSE)/1000,"")</f>
        <v>1152.578</v>
      </c>
      <c r="FH98" s="328">
        <f>IFERROR(VLOOKUP(A98,BASE_558!D:R,15,FALSE)/1000,"")</f>
        <v>59.421999999999997</v>
      </c>
      <c r="FI98" s="547">
        <f t="shared" si="69"/>
        <v>0</v>
      </c>
      <c r="FJ98" s="547">
        <f t="shared" si="70"/>
        <v>0</v>
      </c>
      <c r="FK98" s="540">
        <f t="shared" si="71"/>
        <v>0</v>
      </c>
    </row>
    <row r="99" spans="1:167" s="23" customFormat="1" ht="24" customHeight="1">
      <c r="A99" s="84" t="s">
        <v>69</v>
      </c>
      <c r="B99" s="404"/>
      <c r="C99" s="404"/>
      <c r="D99" s="338" t="s">
        <v>2218</v>
      </c>
      <c r="E99" s="378"/>
      <c r="F99" s="5"/>
      <c r="G99" s="310" t="s">
        <v>9</v>
      </c>
      <c r="H99" s="338"/>
      <c r="I99" s="338"/>
      <c r="J99" s="338">
        <v>2018</v>
      </c>
      <c r="K99" s="316">
        <v>43277</v>
      </c>
      <c r="L99" s="317">
        <v>43822</v>
      </c>
      <c r="M99" s="409"/>
      <c r="N99" s="317">
        <f t="shared" si="74"/>
        <v>44189</v>
      </c>
      <c r="O99" s="317">
        <f t="shared" si="75"/>
        <v>44554</v>
      </c>
      <c r="P99" s="418" t="str">
        <f t="shared" si="78"/>
        <v>CRTD</v>
      </c>
      <c r="Q99" s="418" t="str">
        <f t="shared" si="78"/>
        <v>CRTD</v>
      </c>
      <c r="R99" s="418" t="str">
        <f t="shared" si="78"/>
        <v>CRTD</v>
      </c>
      <c r="S99" s="418" t="str">
        <f t="shared" si="78"/>
        <v>CRTD</v>
      </c>
      <c r="T99" s="418" t="str">
        <f t="shared" si="78"/>
        <v>CRTD</v>
      </c>
      <c r="U99" s="418" t="str">
        <f t="shared" si="78"/>
        <v>CRTD</v>
      </c>
      <c r="V99" s="418" t="str">
        <f t="shared" si="78"/>
        <v>CRTD</v>
      </c>
      <c r="W99" s="418" t="str">
        <f t="shared" si="78"/>
        <v>CRTD</v>
      </c>
      <c r="X99" s="418" t="str">
        <f t="shared" si="78"/>
        <v>CRTD</v>
      </c>
      <c r="Y99" s="418" t="str">
        <f t="shared" si="78"/>
        <v>CRTD</v>
      </c>
      <c r="Z99" s="418" t="str">
        <f t="shared" si="78"/>
        <v>CRTD</v>
      </c>
      <c r="AA99" s="418" t="str">
        <f t="shared" si="78"/>
        <v>CRTD</v>
      </c>
      <c r="AB99" s="317"/>
      <c r="AC99" s="309" t="s">
        <v>3932</v>
      </c>
      <c r="AD99" s="311" t="s">
        <v>5</v>
      </c>
      <c r="AE99" s="311"/>
      <c r="AF99" s="310" t="s">
        <v>6985</v>
      </c>
      <c r="AG99" s="310" t="s">
        <v>9083</v>
      </c>
      <c r="AH99" s="310" t="s">
        <v>70</v>
      </c>
      <c r="AI99" s="309" t="s">
        <v>185</v>
      </c>
      <c r="AJ99" s="6" t="s">
        <v>218</v>
      </c>
      <c r="AK99" s="6" t="str">
        <f t="shared" si="49"/>
        <v>IGUAL</v>
      </c>
      <c r="AL99" s="151" t="str">
        <f>IFERROR(IF(LEFT(A99,3)="LCP",VLOOKUP(A99,STATUS_SAP_LCP!B:C,2,FALSE),VLOOKUP(A99,STATUS_SAP_ICP!B:C,2,FALSE)),"NO BUDGET")</f>
        <v>CLSD BUDG AUC  AVAC  //  APPR BREL EXPL</v>
      </c>
      <c r="AM99" s="6" t="str">
        <f t="shared" si="48"/>
        <v>CLSD</v>
      </c>
      <c r="AN99" s="282" t="s">
        <v>9092</v>
      </c>
      <c r="AO99" s="493">
        <v>1</v>
      </c>
      <c r="AP99" s="499" t="s">
        <v>9607</v>
      </c>
      <c r="AQ99" s="465">
        <v>43822</v>
      </c>
      <c r="AR99" s="460"/>
      <c r="AS99" s="56">
        <v>56.425967044372896</v>
      </c>
      <c r="AT99" s="185">
        <v>0</v>
      </c>
      <c r="AU99" s="318">
        <v>0</v>
      </c>
      <c r="AV99" s="223">
        <v>0</v>
      </c>
      <c r="AW99" s="318">
        <v>0</v>
      </c>
      <c r="AX99" s="223">
        <v>0</v>
      </c>
      <c r="AY99" s="318">
        <f t="shared" si="76"/>
        <v>0</v>
      </c>
      <c r="AZ99" s="223"/>
      <c r="BA99" s="318"/>
      <c r="BB99" s="519">
        <f t="shared" si="77"/>
        <v>0</v>
      </c>
      <c r="BC99" s="518"/>
      <c r="BD99" s="518"/>
      <c r="BE99" s="518"/>
      <c r="BF99" s="518"/>
      <c r="BG99" s="518"/>
      <c r="BH99" s="518"/>
      <c r="BI99" s="518"/>
      <c r="BJ99" s="518"/>
      <c r="BK99" s="518"/>
      <c r="BL99" s="518"/>
      <c r="BM99" s="518"/>
      <c r="BN99" s="518"/>
      <c r="BO99" s="367">
        <f t="shared" si="50"/>
        <v>0</v>
      </c>
      <c r="BP99" s="421"/>
      <c r="BQ99" s="422"/>
      <c r="BR99" s="423">
        <f>IFERROR(IF(LEFT($A99,3)="Lcp",SUMIFS('BASE-LCP'!$K:$K,'BASE-LCP'!$A:$A,Capex!$A90,'BASE-LCP'!$B:$B,"janeiro")/1000,IF(LEFT($A99,3)="icp",SUMIFS('BASE-ICP'!$K:$K,'BASE-ICP'!$A:$A,Capex!$A90,'BASE-ICP'!$B:$B,"janeiro")/1000,"")),"")</f>
        <v>0</v>
      </c>
      <c r="BS99" s="427">
        <v>0</v>
      </c>
      <c r="BT99" s="372">
        <v>0</v>
      </c>
      <c r="BU99" s="422"/>
      <c r="BV99" s="423">
        <f>IFERROR(IF(LEFT($A99,3)="Lcp",SUMIFS('BASE-LCP'!$K:$K,'BASE-LCP'!$A:$A,Capex!$A90,'BASE-LCP'!$B:$B,"fevereiro")/1000,IF(LEFT($A99,3)="icp",SUMIFS('BASE-ICP'!$K:$K,'BASE-ICP'!$A:$A,Capex!$A90,'BASE-ICP'!$B:$B,"fevereiro")/1000,"")),"")</f>
        <v>0</v>
      </c>
      <c r="BW99" s="427">
        <v>0</v>
      </c>
      <c r="BX99" s="372">
        <v>0</v>
      </c>
      <c r="BY99" s="419"/>
      <c r="BZ99" s="423">
        <f>IFERROR(IF(LEFT($A99,3)="Lcp",SUMIFS('BASE-LCP'!$K:$K,'BASE-LCP'!$A:$A,Capex!$A90,'BASE-LCP'!$B:$B,"março")/1000,IF(LEFT($A99,3)="icp",SUMIFS('BASE-ICP'!$K:$K,'BASE-ICP'!$A:$A,Capex!$A90,'BASE-ICP'!$B:$B,"março")/1000,"")),"")</f>
        <v>0</v>
      </c>
      <c r="CA99" s="427">
        <v>0</v>
      </c>
      <c r="CB99" s="372">
        <v>0</v>
      </c>
      <c r="CC99" s="422"/>
      <c r="CD99" s="423">
        <f>IFERROR(IF(LEFT($A99,3)="Lcp",SUMIFS('BASE-LCP'!$K:$K,'BASE-LCP'!$A:$A,Capex!$A90,'BASE-LCP'!$B:$B,"abril")/1000,IF(LEFT($A99,3)="icp",SUMIFS('BASE-ICP'!$K:$K,'BASE-ICP'!$A:$A,Capex!$A90,'BASE-ICP'!$B:$B,"abril")/1000,"")),"")</f>
        <v>0</v>
      </c>
      <c r="CE99" s="427">
        <v>0</v>
      </c>
      <c r="CF99" s="372">
        <v>0</v>
      </c>
      <c r="CG99" s="419"/>
      <c r="CH99" s="423">
        <v>0</v>
      </c>
      <c r="CI99" s="427">
        <v>0</v>
      </c>
      <c r="CJ99" s="372">
        <v>0</v>
      </c>
      <c r="CK99" s="419"/>
      <c r="CL99" s="423">
        <f>IFERROR(IF(LEFT($A99,3)="Lcp",SUMIFS('BASE-LCP'!$K:$K,'BASE-LCP'!$A:$A,Capex!$A90,'BASE-LCP'!$B:$B,"junho")/1000,IF(LEFT($A99,3)="icp",SUMIFS('BASE-ICP'!$K:$K,'BASE-ICP'!$A:$A,Capex!$A90,'BASE-ICP'!$B:$B,"junho")/1000,"")),"")</f>
        <v>0</v>
      </c>
      <c r="CM99" s="427">
        <v>0</v>
      </c>
      <c r="CN99" s="372"/>
      <c r="CO99" s="419"/>
      <c r="CP99" s="423">
        <f>IFERROR(IF(LEFT($A99,3)="Lcp",SUMIFS('BASE-LCP'!$K:$K,'BASE-LCP'!$A:$A,Capex!$A90,'BASE-LCP'!$B:$B,"julho")/1000,IF(LEFT($A99,3)="icp",SUMIFS('BASE-ICP'!$K:$K,'BASE-ICP'!$A:$A,Capex!$A90,'BASE-ICP'!$B:$B,"julho")/1000,"")),"")</f>
        <v>0</v>
      </c>
      <c r="CQ99" s="427">
        <v>0</v>
      </c>
      <c r="CR99" s="372"/>
      <c r="CS99" s="419"/>
      <c r="CT99" s="423">
        <f>IFERROR(IF(LEFT($A99,3)="Lcp",SUMIFS('BASE-LCP'!$K:$K,'BASE-LCP'!$A:$A,Capex!$A90,'BASE-LCP'!$B:$B,"agosto")/1000,IF(LEFT($A99,3)="icp",SUMIFS('BASE-ICP'!$K:$K,'BASE-ICP'!$A:$A,Capex!$A90,'BASE-ICP'!$B:$B,"agosto")/1000,"")),"")</f>
        <v>0</v>
      </c>
      <c r="CU99" s="427">
        <v>0</v>
      </c>
      <c r="CV99" s="372"/>
      <c r="CW99" s="419"/>
      <c r="CX99" s="423">
        <f>IFERROR(IF(LEFT($A99,3)="Lcp",SUMIFS('BASE-LCP'!$K:$K,'BASE-LCP'!$A:$A,Capex!$A90,'BASE-LCP'!$B:$B,"setembro")/1000,IF(LEFT($A99,3)="icp",SUMIFS('BASE-ICP'!$K:$K,'BASE-ICP'!$A:$A,Capex!$A90,'BASE-ICP'!$B:$B,"setembro")/1000,"")),"")</f>
        <v>0</v>
      </c>
      <c r="CY99" s="427">
        <v>0</v>
      </c>
      <c r="CZ99" s="372"/>
      <c r="DA99" s="419"/>
      <c r="DB99" s="423">
        <f>IFERROR(IF(LEFT($A99,3)="Lcp",SUMIFS('BASE-LCP'!$K:$K,'BASE-LCP'!$A:$A,Capex!$A90,'BASE-LCP'!$B:$B,"outubro")/1000,IF(LEFT($A99,3)="icp",SUMIFS('BASE-ICP'!$K:$K,'BASE-ICP'!$A:$A,Capex!$A90,'BASE-ICP'!$B:$B,"outubro")/1000,"")),"")</f>
        <v>0</v>
      </c>
      <c r="DC99" s="427">
        <v>0</v>
      </c>
      <c r="DD99" s="372"/>
      <c r="DE99" s="419"/>
      <c r="DF99" s="423">
        <f>IFERROR(IF(LEFT($A99,3)="Lcp",SUMIFS('BASE-LCP'!$K:$K,'BASE-LCP'!$A:$A,Capex!$A90,'BASE-LCP'!$B:$B,"novembro")/1000,IF(LEFT($A99,3)="icp",SUMIFS('BASE-ICP'!$K:$K,'BASE-ICP'!$A:$A,Capex!$A90,'BASE-ICP'!$B:$B,"novembro")/1000,"")),"")</f>
        <v>0</v>
      </c>
      <c r="DG99" s="427">
        <v>0</v>
      </c>
      <c r="DH99" s="372"/>
      <c r="DI99" s="419"/>
      <c r="DJ99" s="423">
        <f>IFERROR(IF(LEFT($A99,3)="Lcp",SUMIFS('BASE-LCP'!$K:$K,'BASE-LCP'!$A:$A,Capex!$A90,'BASE-LCP'!$B:$B,"dezembro")/1000,IF(LEFT($A99,3)="icp",SUMIFS('BASE-ICP'!$K:$K,'BASE-ICP'!$A:$A,Capex!$A90,'BASE-ICP'!$B:$B,"dezembro")/1000,"")),"")</f>
        <v>0</v>
      </c>
      <c r="DK99" s="427">
        <v>0</v>
      </c>
      <c r="DL99" s="452">
        <f t="shared" si="51"/>
        <v>0</v>
      </c>
      <c r="DM99" s="374"/>
      <c r="DN99" s="374"/>
      <c r="DO99" s="374"/>
      <c r="DP99" s="374"/>
      <c r="DQ99" s="374"/>
      <c r="DR99" s="374"/>
      <c r="DS99" s="374"/>
      <c r="DT99" s="374"/>
      <c r="DU99" s="374"/>
      <c r="DV99" s="374"/>
      <c r="DW99" s="374"/>
      <c r="DX99" s="374"/>
      <c r="DY99" s="450"/>
      <c r="DZ99" s="374">
        <f t="shared" si="52"/>
        <v>0</v>
      </c>
      <c r="EA99" s="216">
        <f t="shared" si="53"/>
        <v>0</v>
      </c>
      <c r="EB99" s="320">
        <f t="shared" si="54"/>
        <v>0</v>
      </c>
      <c r="EC99" s="241">
        <f t="shared" si="55"/>
        <v>0</v>
      </c>
      <c r="ED99" s="241">
        <f t="shared" si="56"/>
        <v>0</v>
      </c>
      <c r="EE99" s="241">
        <f t="shared" si="57"/>
        <v>0</v>
      </c>
      <c r="EF99" s="241">
        <f t="shared" si="58"/>
        <v>0</v>
      </c>
      <c r="EG99" s="346">
        <f t="shared" si="59"/>
        <v>0</v>
      </c>
      <c r="EH99" s="445">
        <f t="shared" si="60"/>
        <v>0</v>
      </c>
      <c r="EI99" s="447">
        <f t="shared" si="61"/>
        <v>0</v>
      </c>
      <c r="EJ99" s="364">
        <f t="shared" si="62"/>
        <v>0</v>
      </c>
      <c r="EK99" s="365">
        <f t="shared" si="63"/>
        <v>0</v>
      </c>
      <c r="EL99" s="529">
        <f t="shared" si="64"/>
        <v>0</v>
      </c>
      <c r="EM99" s="530">
        <v>0</v>
      </c>
      <c r="EN99" s="530">
        <v>0</v>
      </c>
      <c r="EO99" s="530">
        <v>0</v>
      </c>
      <c r="EP99" s="530">
        <v>0</v>
      </c>
      <c r="EQ99" s="530">
        <v>0</v>
      </c>
      <c r="ER99" s="530">
        <v>0</v>
      </c>
      <c r="ES99" s="530">
        <v>0</v>
      </c>
      <c r="ET99" s="530">
        <v>0</v>
      </c>
      <c r="EU99" s="530">
        <v>0</v>
      </c>
      <c r="EV99" s="530">
        <v>0</v>
      </c>
      <c r="EW99" s="530">
        <v>0</v>
      </c>
      <c r="EX99" s="530">
        <v>0</v>
      </c>
      <c r="EY99" s="530">
        <f t="shared" si="65"/>
        <v>0</v>
      </c>
      <c r="EZ99" s="530">
        <f t="shared" si="66"/>
        <v>0</v>
      </c>
      <c r="FA99" s="530">
        <f t="shared" si="67"/>
        <v>0</v>
      </c>
      <c r="FB99" s="530">
        <f t="shared" si="68"/>
        <v>0</v>
      </c>
      <c r="FC99" s="384">
        <f>IFERROR(VLOOKUP(Capex!A90,BASE_558!D:R,8,FALSE)/1000,"")</f>
        <v>3767.5</v>
      </c>
      <c r="FD99" s="328">
        <f>IFERROR(VLOOKUP(Capex!A90,BASE_558!D:R,9,)/1000,"")</f>
        <v>3610.5725600000001</v>
      </c>
      <c r="FE99" s="328">
        <f>IFERROR(IF(LEFT(A99,3)="LCP",(VLOOKUP(Capex!A90,BASE_558!D:R,10,)/1000),SUMIFS('BASE ICP_PO_SC'!F:F,'BASE ICP_PO_SC'!A:A,Capex!A90,'BASE ICP_PO_SC'!E:E,"&lt;&gt;")/1000),"")</f>
        <v>0</v>
      </c>
      <c r="FF99" s="328">
        <f>IFERROR(IF(LEFT(A99,3)="LCP",(VLOOKUP(Capex!A90,BASE_558!D:R,11,)/1000),SUMIFS('BASE ICP_PO_SC'!F:F,'BASE ICP_PO_SC'!A:A,Capex!A90,'BASE ICP_PO_SC'!E:E,"")/1000),"")</f>
        <v>0</v>
      </c>
      <c r="FG99" s="328">
        <f>IFERROR(VLOOKUP(A99,BASE_558!D:R,13,FALSE)/1000,"")</f>
        <v>206.34142</v>
      </c>
      <c r="FH99" s="328">
        <f>IFERROR(VLOOKUP(A99,BASE_558!D:R,15,FALSE)/1000,"")</f>
        <v>8.5800000000000008E-3</v>
      </c>
      <c r="FI99" s="547">
        <f t="shared" si="69"/>
        <v>0</v>
      </c>
      <c r="FJ99" s="547">
        <f t="shared" si="70"/>
        <v>0</v>
      </c>
      <c r="FK99" s="540">
        <f t="shared" si="71"/>
        <v>0</v>
      </c>
    </row>
    <row r="100" spans="1:167" s="23" customFormat="1" ht="24" customHeight="1">
      <c r="A100" s="84" t="s">
        <v>75</v>
      </c>
      <c r="B100" s="404"/>
      <c r="C100" s="404"/>
      <c r="D100" s="338" t="s">
        <v>906</v>
      </c>
      <c r="E100" s="378"/>
      <c r="F100" s="5"/>
      <c r="G100" s="310" t="s">
        <v>9</v>
      </c>
      <c r="H100" s="338"/>
      <c r="I100" s="338"/>
      <c r="J100" s="338">
        <v>2018</v>
      </c>
      <c r="K100" s="316">
        <v>43223</v>
      </c>
      <c r="L100" s="317">
        <v>43980</v>
      </c>
      <c r="M100" s="409"/>
      <c r="N100" s="317">
        <f t="shared" si="74"/>
        <v>44135</v>
      </c>
      <c r="O100" s="317">
        <f t="shared" si="75"/>
        <v>44500</v>
      </c>
      <c r="P100" s="418" t="str">
        <f t="shared" si="78"/>
        <v>CRTD</v>
      </c>
      <c r="Q100" s="418" t="str">
        <f t="shared" si="78"/>
        <v>CRTD</v>
      </c>
      <c r="R100" s="418" t="str">
        <f t="shared" si="78"/>
        <v>CRTD</v>
      </c>
      <c r="S100" s="418" t="str">
        <f t="shared" si="78"/>
        <v>CRTD</v>
      </c>
      <c r="T100" s="418" t="str">
        <f t="shared" si="78"/>
        <v>CRTD</v>
      </c>
      <c r="U100" s="418" t="str">
        <f t="shared" si="78"/>
        <v>CRTD</v>
      </c>
      <c r="V100" s="418" t="str">
        <f t="shared" si="78"/>
        <v>CRTD</v>
      </c>
      <c r="W100" s="418" t="str">
        <f t="shared" si="78"/>
        <v>CRTD</v>
      </c>
      <c r="X100" s="418" t="str">
        <f t="shared" si="78"/>
        <v>CRTD</v>
      </c>
      <c r="Y100" s="418" t="str">
        <f t="shared" si="78"/>
        <v>CRTD</v>
      </c>
      <c r="Z100" s="418" t="str">
        <f t="shared" si="78"/>
        <v>CRTD</v>
      </c>
      <c r="AA100" s="418" t="str">
        <f t="shared" si="78"/>
        <v>CRTD</v>
      </c>
      <c r="AB100" s="317"/>
      <c r="AC100" s="309" t="s">
        <v>3932</v>
      </c>
      <c r="AD100" s="311" t="s">
        <v>5</v>
      </c>
      <c r="AE100" s="311"/>
      <c r="AF100" s="310" t="s">
        <v>6985</v>
      </c>
      <c r="AG100" s="310" t="s">
        <v>9083</v>
      </c>
      <c r="AH100" s="310" t="s">
        <v>76</v>
      </c>
      <c r="AI100" s="381" t="s">
        <v>2255</v>
      </c>
      <c r="AJ100" s="6" t="s">
        <v>218</v>
      </c>
      <c r="AK100" s="6" t="str">
        <f t="shared" si="49"/>
        <v>IGUAL</v>
      </c>
      <c r="AL100" s="151" t="str">
        <f>IFERROR(IF(LEFT(A100,3)="LCP",VLOOKUP(A100,STATUS_SAP_LCP!B:C,2,FALSE),VLOOKUP(A100,STATUS_SAP_ICP!B:C,2,FALSE)),"NO BUDGET")</f>
        <v>CLSD BUDG AUC  AVAC  //  APPR BREL EXPL</v>
      </c>
      <c r="AM100" s="6" t="str">
        <f t="shared" si="48"/>
        <v>CLSD</v>
      </c>
      <c r="AN100" s="282" t="s">
        <v>9090</v>
      </c>
      <c r="AO100" s="493">
        <v>1</v>
      </c>
      <c r="AP100" s="499" t="s">
        <v>9607</v>
      </c>
      <c r="AQ100" s="465">
        <v>43980</v>
      </c>
      <c r="AR100" s="460"/>
      <c r="AS100" s="56">
        <v>30.990005630733656</v>
      </c>
      <c r="AT100" s="185">
        <v>0</v>
      </c>
      <c r="AU100" s="318">
        <v>0</v>
      </c>
      <c r="AV100" s="223">
        <v>0</v>
      </c>
      <c r="AW100" s="318">
        <v>0</v>
      </c>
      <c r="AX100" s="223">
        <v>0</v>
      </c>
      <c r="AY100" s="318">
        <f t="shared" si="76"/>
        <v>0</v>
      </c>
      <c r="AZ100" s="223"/>
      <c r="BA100" s="318"/>
      <c r="BB100" s="519">
        <f t="shared" si="77"/>
        <v>0</v>
      </c>
      <c r="BC100" s="518"/>
      <c r="BD100" s="518"/>
      <c r="BE100" s="518"/>
      <c r="BF100" s="518"/>
      <c r="BG100" s="518"/>
      <c r="BH100" s="518"/>
      <c r="BI100" s="518"/>
      <c r="BJ100" s="518"/>
      <c r="BK100" s="518"/>
      <c r="BL100" s="518"/>
      <c r="BM100" s="518"/>
      <c r="BN100" s="518"/>
      <c r="BO100" s="367">
        <f t="shared" si="50"/>
        <v>0</v>
      </c>
      <c r="BP100" s="421"/>
      <c r="BQ100" s="422"/>
      <c r="BR100" s="423">
        <f>IFERROR(IF(LEFT($A100,3)="Lcp",SUMIFS('BASE-LCP'!$K:$K,'BASE-LCP'!$A:$A,Capex!$A91,'BASE-LCP'!$B:$B,"janeiro")/1000,IF(LEFT($A100,3)="icp",SUMIFS('BASE-ICP'!$K:$K,'BASE-ICP'!$A:$A,Capex!$A91,'BASE-ICP'!$B:$B,"janeiro")/1000,"")),"")</f>
        <v>0</v>
      </c>
      <c r="BS100" s="427">
        <v>0</v>
      </c>
      <c r="BT100" s="372">
        <v>0</v>
      </c>
      <c r="BU100" s="422"/>
      <c r="BV100" s="423">
        <f>IFERROR(IF(LEFT($A100,3)="Lcp",SUMIFS('BASE-LCP'!$K:$K,'BASE-LCP'!$A:$A,Capex!$A91,'BASE-LCP'!$B:$B,"fevereiro")/1000,IF(LEFT($A100,3)="icp",SUMIFS('BASE-ICP'!$K:$K,'BASE-ICP'!$A:$A,Capex!$A91,'BASE-ICP'!$B:$B,"fevereiro")/1000,"")),"")</f>
        <v>0</v>
      </c>
      <c r="BW100" s="427">
        <v>0</v>
      </c>
      <c r="BX100" s="372">
        <v>0</v>
      </c>
      <c r="BY100" s="419"/>
      <c r="BZ100" s="423">
        <f>IFERROR(IF(LEFT($A100,3)="Lcp",SUMIFS('BASE-LCP'!$K:$K,'BASE-LCP'!$A:$A,Capex!$A91,'BASE-LCP'!$B:$B,"março")/1000,IF(LEFT($A100,3)="icp",SUMIFS('BASE-ICP'!$K:$K,'BASE-ICP'!$A:$A,Capex!$A91,'BASE-ICP'!$B:$B,"março")/1000,"")),"")</f>
        <v>0</v>
      </c>
      <c r="CA100" s="427">
        <v>0</v>
      </c>
      <c r="CB100" s="372">
        <v>0</v>
      </c>
      <c r="CC100" s="422"/>
      <c r="CD100" s="423">
        <f>IFERROR(IF(LEFT($A100,3)="Lcp",SUMIFS('BASE-LCP'!$K:$K,'BASE-LCP'!$A:$A,Capex!$A91,'BASE-LCP'!$B:$B,"abril")/1000,IF(LEFT($A100,3)="icp",SUMIFS('BASE-ICP'!$K:$K,'BASE-ICP'!$A:$A,Capex!$A91,'BASE-ICP'!$B:$B,"abril")/1000,"")),"")</f>
        <v>0</v>
      </c>
      <c r="CE100" s="427">
        <v>0</v>
      </c>
      <c r="CF100" s="372">
        <v>0</v>
      </c>
      <c r="CG100" s="419"/>
      <c r="CH100" s="423">
        <v>0</v>
      </c>
      <c r="CI100" s="427">
        <v>0</v>
      </c>
      <c r="CJ100" s="372">
        <v>0</v>
      </c>
      <c r="CK100" s="419"/>
      <c r="CL100" s="423">
        <f>IFERROR(IF(LEFT($A100,3)="Lcp",SUMIFS('BASE-LCP'!$K:$K,'BASE-LCP'!$A:$A,Capex!$A91,'BASE-LCP'!$B:$B,"junho")/1000,IF(LEFT($A100,3)="icp",SUMIFS('BASE-ICP'!$K:$K,'BASE-ICP'!$A:$A,Capex!$A91,'BASE-ICP'!$B:$B,"junho")/1000,"")),"")</f>
        <v>0</v>
      </c>
      <c r="CM100" s="427">
        <v>0</v>
      </c>
      <c r="CN100" s="372"/>
      <c r="CO100" s="419"/>
      <c r="CP100" s="423">
        <f>IFERROR(IF(LEFT($A100,3)="Lcp",SUMIFS('BASE-LCP'!$K:$K,'BASE-LCP'!$A:$A,Capex!$A91,'BASE-LCP'!$B:$B,"julho")/1000,IF(LEFT($A100,3)="icp",SUMIFS('BASE-ICP'!$K:$K,'BASE-ICP'!$A:$A,Capex!$A91,'BASE-ICP'!$B:$B,"julho")/1000,"")),"")</f>
        <v>0</v>
      </c>
      <c r="CQ100" s="427">
        <v>0</v>
      </c>
      <c r="CR100" s="372"/>
      <c r="CS100" s="419"/>
      <c r="CT100" s="423">
        <f>IFERROR(IF(LEFT($A100,3)="Lcp",SUMIFS('BASE-LCP'!$K:$K,'BASE-LCP'!$A:$A,Capex!$A91,'BASE-LCP'!$B:$B,"agosto")/1000,IF(LEFT($A100,3)="icp",SUMIFS('BASE-ICP'!$K:$K,'BASE-ICP'!$A:$A,Capex!$A91,'BASE-ICP'!$B:$B,"agosto")/1000,"")),"")</f>
        <v>0</v>
      </c>
      <c r="CU100" s="427">
        <v>0</v>
      </c>
      <c r="CV100" s="372"/>
      <c r="CW100" s="419"/>
      <c r="CX100" s="423">
        <f>IFERROR(IF(LEFT($A100,3)="Lcp",SUMIFS('BASE-LCP'!$K:$K,'BASE-LCP'!$A:$A,Capex!$A91,'BASE-LCP'!$B:$B,"setembro")/1000,IF(LEFT($A100,3)="icp",SUMIFS('BASE-ICP'!$K:$K,'BASE-ICP'!$A:$A,Capex!$A91,'BASE-ICP'!$B:$B,"setembro")/1000,"")),"")</f>
        <v>0</v>
      </c>
      <c r="CY100" s="427">
        <v>0</v>
      </c>
      <c r="CZ100" s="372"/>
      <c r="DA100" s="419"/>
      <c r="DB100" s="423">
        <f>IFERROR(IF(LEFT($A100,3)="Lcp",SUMIFS('BASE-LCP'!$K:$K,'BASE-LCP'!$A:$A,Capex!$A91,'BASE-LCP'!$B:$B,"outubro")/1000,IF(LEFT($A100,3)="icp",SUMIFS('BASE-ICP'!$K:$K,'BASE-ICP'!$A:$A,Capex!$A91,'BASE-ICP'!$B:$B,"outubro")/1000,"")),"")</f>
        <v>0</v>
      </c>
      <c r="DC100" s="427">
        <v>0</v>
      </c>
      <c r="DD100" s="372"/>
      <c r="DE100" s="419"/>
      <c r="DF100" s="423">
        <f>IFERROR(IF(LEFT($A100,3)="Lcp",SUMIFS('BASE-LCP'!$K:$K,'BASE-LCP'!$A:$A,Capex!$A91,'BASE-LCP'!$B:$B,"novembro")/1000,IF(LEFT($A100,3)="icp",SUMIFS('BASE-ICP'!$K:$K,'BASE-ICP'!$A:$A,Capex!$A91,'BASE-ICP'!$B:$B,"novembro")/1000,"")),"")</f>
        <v>0</v>
      </c>
      <c r="DG100" s="427">
        <v>0</v>
      </c>
      <c r="DH100" s="372"/>
      <c r="DI100" s="419"/>
      <c r="DJ100" s="423">
        <f>IFERROR(IF(LEFT($A100,3)="Lcp",SUMIFS('BASE-LCP'!$K:$K,'BASE-LCP'!$A:$A,Capex!$A91,'BASE-LCP'!$B:$B,"dezembro")/1000,IF(LEFT($A100,3)="icp",SUMIFS('BASE-ICP'!$K:$K,'BASE-ICP'!$A:$A,Capex!$A91,'BASE-ICP'!$B:$B,"dezembro")/1000,"")),"")</f>
        <v>0</v>
      </c>
      <c r="DK100" s="427">
        <v>0</v>
      </c>
      <c r="DL100" s="452">
        <f t="shared" si="51"/>
        <v>0</v>
      </c>
      <c r="DM100" s="374"/>
      <c r="DN100" s="374"/>
      <c r="DO100" s="374"/>
      <c r="DP100" s="374"/>
      <c r="DQ100" s="374"/>
      <c r="DR100" s="374"/>
      <c r="DS100" s="374"/>
      <c r="DT100" s="374"/>
      <c r="DU100" s="374"/>
      <c r="DV100" s="374"/>
      <c r="DW100" s="374"/>
      <c r="DX100" s="374"/>
      <c r="DY100" s="450"/>
      <c r="DZ100" s="374">
        <f t="shared" si="52"/>
        <v>0</v>
      </c>
      <c r="EA100" s="216">
        <f t="shared" si="53"/>
        <v>0</v>
      </c>
      <c r="EB100" s="320">
        <f t="shared" si="54"/>
        <v>0</v>
      </c>
      <c r="EC100" s="241">
        <f t="shared" si="55"/>
        <v>0</v>
      </c>
      <c r="ED100" s="241">
        <f t="shared" si="56"/>
        <v>0</v>
      </c>
      <c r="EE100" s="241">
        <f t="shared" si="57"/>
        <v>0</v>
      </c>
      <c r="EF100" s="241">
        <f t="shared" si="58"/>
        <v>0</v>
      </c>
      <c r="EG100" s="346">
        <f t="shared" si="59"/>
        <v>0</v>
      </c>
      <c r="EH100" s="445">
        <f t="shared" si="60"/>
        <v>0</v>
      </c>
      <c r="EI100" s="447">
        <f t="shared" si="61"/>
        <v>0</v>
      </c>
      <c r="EJ100" s="364">
        <f t="shared" si="62"/>
        <v>0</v>
      </c>
      <c r="EK100" s="365">
        <f t="shared" si="63"/>
        <v>0</v>
      </c>
      <c r="EL100" s="529">
        <f t="shared" si="64"/>
        <v>0</v>
      </c>
      <c r="EM100" s="530">
        <v>0</v>
      </c>
      <c r="EN100" s="530">
        <v>0</v>
      </c>
      <c r="EO100" s="530">
        <v>0</v>
      </c>
      <c r="EP100" s="530">
        <v>0</v>
      </c>
      <c r="EQ100" s="530">
        <v>0</v>
      </c>
      <c r="ER100" s="530">
        <v>0</v>
      </c>
      <c r="ES100" s="530">
        <v>0</v>
      </c>
      <c r="ET100" s="530">
        <v>0</v>
      </c>
      <c r="EU100" s="530">
        <v>0</v>
      </c>
      <c r="EV100" s="530">
        <v>0</v>
      </c>
      <c r="EW100" s="530">
        <v>0</v>
      </c>
      <c r="EX100" s="530">
        <v>0</v>
      </c>
      <c r="EY100" s="530">
        <f t="shared" si="65"/>
        <v>0</v>
      </c>
      <c r="EZ100" s="530">
        <f t="shared" si="66"/>
        <v>0</v>
      </c>
      <c r="FA100" s="530">
        <f t="shared" si="67"/>
        <v>0</v>
      </c>
      <c r="FB100" s="530">
        <f t="shared" si="68"/>
        <v>0</v>
      </c>
      <c r="FC100" s="384">
        <f>IFERROR(VLOOKUP(Capex!A91,BASE_558!D:R,8,FALSE)/1000,"")</f>
        <v>499.89</v>
      </c>
      <c r="FD100" s="328">
        <f>IFERROR(VLOOKUP(Capex!A91,BASE_558!D:R,9,)/1000,"")</f>
        <v>469.43390000000005</v>
      </c>
      <c r="FE100" s="328">
        <f>IFERROR(IF(LEFT(A100,3)="LCP",(VLOOKUP(Capex!A91,BASE_558!D:R,10,)/1000),SUMIFS('BASE ICP_PO_SC'!F:F,'BASE ICP_PO_SC'!A:A,Capex!A91,'BASE ICP_PO_SC'!E:E,"&lt;&gt;")/1000),"")</f>
        <v>0</v>
      </c>
      <c r="FF100" s="328">
        <f>IFERROR(IF(LEFT(A100,3)="LCP",(VLOOKUP(Capex!A91,BASE_558!D:R,11,)/1000),SUMIFS('BASE ICP_PO_SC'!F:F,'BASE ICP_PO_SC'!A:A,Capex!A91,'BASE ICP_PO_SC'!E:E,"")/1000),"")</f>
        <v>0</v>
      </c>
      <c r="FG100" s="328">
        <f>IFERROR(VLOOKUP(A100,BASE_558!D:R,13,FALSE)/1000,"")</f>
        <v>179.23054999999999</v>
      </c>
      <c r="FH100" s="328">
        <f>IFERROR(VLOOKUP(A100,BASE_558!D:R,15,FALSE)/1000,"")</f>
        <v>7.8694499999999996</v>
      </c>
      <c r="FI100" s="547">
        <f t="shared" si="69"/>
        <v>0</v>
      </c>
      <c r="FJ100" s="547">
        <f t="shared" si="70"/>
        <v>0</v>
      </c>
      <c r="FK100" s="540">
        <f t="shared" si="71"/>
        <v>0</v>
      </c>
    </row>
    <row r="101" spans="1:167" s="23" customFormat="1" ht="24" customHeight="1">
      <c r="A101" s="84" t="s">
        <v>81</v>
      </c>
      <c r="B101" s="404"/>
      <c r="C101" s="404"/>
      <c r="D101" s="338" t="s">
        <v>2211</v>
      </c>
      <c r="E101" s="378"/>
      <c r="F101" s="5"/>
      <c r="G101" s="310" t="s">
        <v>9</v>
      </c>
      <c r="H101" s="338"/>
      <c r="I101" s="338"/>
      <c r="J101" s="338">
        <v>2018</v>
      </c>
      <c r="K101" s="316">
        <v>43209</v>
      </c>
      <c r="L101" s="317">
        <v>43587</v>
      </c>
      <c r="M101" s="409"/>
      <c r="N101" s="317">
        <f t="shared" si="74"/>
        <v>44121</v>
      </c>
      <c r="O101" s="317">
        <f t="shared" si="75"/>
        <v>44486</v>
      </c>
      <c r="P101" s="418" t="str">
        <f t="shared" si="78"/>
        <v>CRTD</v>
      </c>
      <c r="Q101" s="418" t="str">
        <f t="shared" si="78"/>
        <v>CRTD</v>
      </c>
      <c r="R101" s="418" t="str">
        <f t="shared" si="78"/>
        <v>CRTD</v>
      </c>
      <c r="S101" s="418" t="str">
        <f t="shared" si="78"/>
        <v>CRTD</v>
      </c>
      <c r="T101" s="418" t="str">
        <f t="shared" si="78"/>
        <v>CRTD</v>
      </c>
      <c r="U101" s="418" t="str">
        <f t="shared" si="78"/>
        <v>CRTD</v>
      </c>
      <c r="V101" s="418" t="str">
        <f t="shared" si="78"/>
        <v>CRTD</v>
      </c>
      <c r="W101" s="418" t="str">
        <f t="shared" si="78"/>
        <v>CRTD</v>
      </c>
      <c r="X101" s="418" t="str">
        <f t="shared" si="78"/>
        <v>CRTD</v>
      </c>
      <c r="Y101" s="418" t="str">
        <f t="shared" si="78"/>
        <v>CRTD</v>
      </c>
      <c r="Z101" s="418" t="str">
        <f t="shared" si="78"/>
        <v>CRTD</v>
      </c>
      <c r="AA101" s="418" t="str">
        <f t="shared" si="78"/>
        <v>CRTD</v>
      </c>
      <c r="AB101" s="317"/>
      <c r="AC101" s="309" t="s">
        <v>3931</v>
      </c>
      <c r="AD101" s="311" t="s">
        <v>223</v>
      </c>
      <c r="AE101" s="311"/>
      <c r="AF101" s="310" t="s">
        <v>6985</v>
      </c>
      <c r="AG101" s="310" t="s">
        <v>9083</v>
      </c>
      <c r="AH101" s="310" t="s">
        <v>3241</v>
      </c>
      <c r="AI101" s="381" t="s">
        <v>188</v>
      </c>
      <c r="AJ101" s="6" t="s">
        <v>218</v>
      </c>
      <c r="AK101" s="6" t="str">
        <f t="shared" si="49"/>
        <v>IGUAL</v>
      </c>
      <c r="AL101" s="151" t="str">
        <f>IFERROR(IF(LEFT(A101,3)="LCP",VLOOKUP(A101,STATUS_SAP_LCP!B:C,2,FALSE),VLOOKUP(A101,STATUS_SAP_ICP!B:C,2,FALSE)),"NO BUDGET")</f>
        <v>CLSD BUDG AUC  AVAC  //  APPR BREL EXPL</v>
      </c>
      <c r="AM101" s="6" t="str">
        <f t="shared" si="48"/>
        <v>CLSD</v>
      </c>
      <c r="AN101" s="282" t="s">
        <v>9096</v>
      </c>
      <c r="AO101" s="493">
        <v>1</v>
      </c>
      <c r="AP101" s="499" t="s">
        <v>9607</v>
      </c>
      <c r="AQ101" s="465">
        <v>43587</v>
      </c>
      <c r="AR101" s="460"/>
      <c r="AS101" s="56">
        <v>15.969999999999999</v>
      </c>
      <c r="AT101" s="185">
        <v>0</v>
      </c>
      <c r="AU101" s="318">
        <v>0</v>
      </c>
      <c r="AV101" s="223">
        <v>0</v>
      </c>
      <c r="AW101" s="318">
        <v>0</v>
      </c>
      <c r="AX101" s="223">
        <v>0</v>
      </c>
      <c r="AY101" s="318">
        <f t="shared" si="76"/>
        <v>0</v>
      </c>
      <c r="AZ101" s="223"/>
      <c r="BA101" s="318"/>
      <c r="BB101" s="519">
        <f t="shared" si="77"/>
        <v>0</v>
      </c>
      <c r="BC101" s="518"/>
      <c r="BD101" s="518"/>
      <c r="BE101" s="518"/>
      <c r="BF101" s="518"/>
      <c r="BG101" s="518"/>
      <c r="BH101" s="518"/>
      <c r="BI101" s="518"/>
      <c r="BJ101" s="518"/>
      <c r="BK101" s="518"/>
      <c r="BL101" s="518"/>
      <c r="BM101" s="518"/>
      <c r="BN101" s="518"/>
      <c r="BO101" s="367">
        <f t="shared" si="50"/>
        <v>0</v>
      </c>
      <c r="BP101" s="421"/>
      <c r="BQ101" s="422"/>
      <c r="BR101" s="423">
        <f>IFERROR(IF(LEFT($A101,3)="Lcp",SUMIFS('BASE-LCP'!$K:$K,'BASE-LCP'!$A:$A,Capex!$A92,'BASE-LCP'!$B:$B,"janeiro")/1000,IF(LEFT($A101,3)="icp",SUMIFS('BASE-ICP'!$K:$K,'BASE-ICP'!$A:$A,Capex!$A92,'BASE-ICP'!$B:$B,"janeiro")/1000,"")),"")</f>
        <v>0</v>
      </c>
      <c r="BS101" s="427">
        <v>0</v>
      </c>
      <c r="BT101" s="372">
        <v>0</v>
      </c>
      <c r="BU101" s="422"/>
      <c r="BV101" s="423">
        <f>IFERROR(IF(LEFT($A101,3)="Lcp",SUMIFS('BASE-LCP'!$K:$K,'BASE-LCP'!$A:$A,Capex!$A92,'BASE-LCP'!$B:$B,"fevereiro")/1000,IF(LEFT($A101,3)="icp",SUMIFS('BASE-ICP'!$K:$K,'BASE-ICP'!$A:$A,Capex!$A92,'BASE-ICP'!$B:$B,"fevereiro")/1000,"")),"")</f>
        <v>0</v>
      </c>
      <c r="BW101" s="427">
        <v>0</v>
      </c>
      <c r="BX101" s="372">
        <v>0</v>
      </c>
      <c r="BY101" s="419"/>
      <c r="BZ101" s="423">
        <f>IFERROR(IF(LEFT($A101,3)="Lcp",SUMIFS('BASE-LCP'!$K:$K,'BASE-LCP'!$A:$A,Capex!$A92,'BASE-LCP'!$B:$B,"março")/1000,IF(LEFT($A101,3)="icp",SUMIFS('BASE-ICP'!$K:$K,'BASE-ICP'!$A:$A,Capex!$A92,'BASE-ICP'!$B:$B,"março")/1000,"")),"")</f>
        <v>0</v>
      </c>
      <c r="CA101" s="427">
        <v>0</v>
      </c>
      <c r="CB101" s="372">
        <v>0</v>
      </c>
      <c r="CC101" s="422"/>
      <c r="CD101" s="423">
        <f>IFERROR(IF(LEFT($A101,3)="Lcp",SUMIFS('BASE-LCP'!$K:$K,'BASE-LCP'!$A:$A,Capex!$A92,'BASE-LCP'!$B:$B,"abril")/1000,IF(LEFT($A101,3)="icp",SUMIFS('BASE-ICP'!$K:$K,'BASE-ICP'!$A:$A,Capex!$A92,'BASE-ICP'!$B:$B,"abril")/1000,"")),"")</f>
        <v>0</v>
      </c>
      <c r="CE101" s="427">
        <v>0</v>
      </c>
      <c r="CF101" s="372">
        <v>0</v>
      </c>
      <c r="CG101" s="419"/>
      <c r="CH101" s="423">
        <v>0</v>
      </c>
      <c r="CI101" s="427">
        <v>0</v>
      </c>
      <c r="CJ101" s="372">
        <v>0</v>
      </c>
      <c r="CK101" s="419"/>
      <c r="CL101" s="423">
        <f>IFERROR(IF(LEFT($A101,3)="Lcp",SUMIFS('BASE-LCP'!$K:$K,'BASE-LCP'!$A:$A,Capex!$A92,'BASE-LCP'!$B:$B,"junho")/1000,IF(LEFT($A101,3)="icp",SUMIFS('BASE-ICP'!$K:$K,'BASE-ICP'!$A:$A,Capex!$A92,'BASE-ICP'!$B:$B,"junho")/1000,"")),"")</f>
        <v>0</v>
      </c>
      <c r="CM101" s="427">
        <v>0</v>
      </c>
      <c r="CN101" s="372"/>
      <c r="CO101" s="419"/>
      <c r="CP101" s="423">
        <f>IFERROR(IF(LEFT($A101,3)="Lcp",SUMIFS('BASE-LCP'!$K:$K,'BASE-LCP'!$A:$A,Capex!$A92,'BASE-LCP'!$B:$B,"julho")/1000,IF(LEFT($A101,3)="icp",SUMIFS('BASE-ICP'!$K:$K,'BASE-ICP'!$A:$A,Capex!$A92,'BASE-ICP'!$B:$B,"julho")/1000,"")),"")</f>
        <v>0</v>
      </c>
      <c r="CQ101" s="427">
        <v>0</v>
      </c>
      <c r="CR101" s="372"/>
      <c r="CS101" s="419"/>
      <c r="CT101" s="423">
        <f>IFERROR(IF(LEFT($A101,3)="Lcp",SUMIFS('BASE-LCP'!$K:$K,'BASE-LCP'!$A:$A,Capex!$A92,'BASE-LCP'!$B:$B,"agosto")/1000,IF(LEFT($A101,3)="icp",SUMIFS('BASE-ICP'!$K:$K,'BASE-ICP'!$A:$A,Capex!$A92,'BASE-ICP'!$B:$B,"agosto")/1000,"")),"")</f>
        <v>0</v>
      </c>
      <c r="CU101" s="427">
        <v>0</v>
      </c>
      <c r="CV101" s="372"/>
      <c r="CW101" s="419"/>
      <c r="CX101" s="423">
        <f>IFERROR(IF(LEFT($A101,3)="Lcp",SUMIFS('BASE-LCP'!$K:$K,'BASE-LCP'!$A:$A,Capex!$A92,'BASE-LCP'!$B:$B,"setembro")/1000,IF(LEFT($A101,3)="icp",SUMIFS('BASE-ICP'!$K:$K,'BASE-ICP'!$A:$A,Capex!$A92,'BASE-ICP'!$B:$B,"setembro")/1000,"")),"")</f>
        <v>0</v>
      </c>
      <c r="CY101" s="427">
        <v>0</v>
      </c>
      <c r="CZ101" s="372"/>
      <c r="DA101" s="419"/>
      <c r="DB101" s="423">
        <f>IFERROR(IF(LEFT($A101,3)="Lcp",SUMIFS('BASE-LCP'!$K:$K,'BASE-LCP'!$A:$A,Capex!$A92,'BASE-LCP'!$B:$B,"outubro")/1000,IF(LEFT($A101,3)="icp",SUMIFS('BASE-ICP'!$K:$K,'BASE-ICP'!$A:$A,Capex!$A92,'BASE-ICP'!$B:$B,"outubro")/1000,"")),"")</f>
        <v>0</v>
      </c>
      <c r="DC101" s="427">
        <v>0</v>
      </c>
      <c r="DD101" s="372"/>
      <c r="DE101" s="419"/>
      <c r="DF101" s="423">
        <f>IFERROR(IF(LEFT($A101,3)="Lcp",SUMIFS('BASE-LCP'!$K:$K,'BASE-LCP'!$A:$A,Capex!$A92,'BASE-LCP'!$B:$B,"novembro")/1000,IF(LEFT($A101,3)="icp",SUMIFS('BASE-ICP'!$K:$K,'BASE-ICP'!$A:$A,Capex!$A92,'BASE-ICP'!$B:$B,"novembro")/1000,"")),"")</f>
        <v>0</v>
      </c>
      <c r="DG101" s="427">
        <v>0</v>
      </c>
      <c r="DH101" s="372"/>
      <c r="DI101" s="419"/>
      <c r="DJ101" s="423">
        <f>IFERROR(IF(LEFT($A101,3)="Lcp",SUMIFS('BASE-LCP'!$K:$K,'BASE-LCP'!$A:$A,Capex!$A92,'BASE-LCP'!$B:$B,"dezembro")/1000,IF(LEFT($A101,3)="icp",SUMIFS('BASE-ICP'!$K:$K,'BASE-ICP'!$A:$A,Capex!$A92,'BASE-ICP'!$B:$B,"dezembro")/1000,"")),"")</f>
        <v>0</v>
      </c>
      <c r="DK101" s="427">
        <v>0</v>
      </c>
      <c r="DL101" s="452">
        <f t="shared" si="51"/>
        <v>0</v>
      </c>
      <c r="DM101" s="374"/>
      <c r="DN101" s="374"/>
      <c r="DO101" s="374"/>
      <c r="DP101" s="374"/>
      <c r="DQ101" s="374"/>
      <c r="DR101" s="374"/>
      <c r="DS101" s="374"/>
      <c r="DT101" s="374"/>
      <c r="DU101" s="374"/>
      <c r="DV101" s="374"/>
      <c r="DW101" s="374"/>
      <c r="DX101" s="374"/>
      <c r="DY101" s="450"/>
      <c r="DZ101" s="374">
        <f t="shared" si="52"/>
        <v>0</v>
      </c>
      <c r="EA101" s="216">
        <f t="shared" si="53"/>
        <v>0</v>
      </c>
      <c r="EB101" s="320">
        <f t="shared" si="54"/>
        <v>0</v>
      </c>
      <c r="EC101" s="241">
        <f t="shared" si="55"/>
        <v>0</v>
      </c>
      <c r="ED101" s="241">
        <f t="shared" si="56"/>
        <v>0</v>
      </c>
      <c r="EE101" s="241">
        <f t="shared" si="57"/>
        <v>0</v>
      </c>
      <c r="EF101" s="241">
        <f t="shared" si="58"/>
        <v>0</v>
      </c>
      <c r="EG101" s="346">
        <f t="shared" si="59"/>
        <v>0</v>
      </c>
      <c r="EH101" s="445">
        <f t="shared" si="60"/>
        <v>0</v>
      </c>
      <c r="EI101" s="447">
        <f t="shared" si="61"/>
        <v>0</v>
      </c>
      <c r="EJ101" s="364">
        <f t="shared" si="62"/>
        <v>0</v>
      </c>
      <c r="EK101" s="365">
        <f t="shared" si="63"/>
        <v>0</v>
      </c>
      <c r="EL101" s="529">
        <f t="shared" si="64"/>
        <v>0</v>
      </c>
      <c r="EM101" s="530">
        <v>0</v>
      </c>
      <c r="EN101" s="530">
        <v>0</v>
      </c>
      <c r="EO101" s="530">
        <v>0</v>
      </c>
      <c r="EP101" s="530">
        <v>0</v>
      </c>
      <c r="EQ101" s="530">
        <v>0</v>
      </c>
      <c r="ER101" s="530">
        <v>0</v>
      </c>
      <c r="ES101" s="530">
        <v>0</v>
      </c>
      <c r="ET101" s="530">
        <v>0</v>
      </c>
      <c r="EU101" s="530">
        <v>0</v>
      </c>
      <c r="EV101" s="530">
        <v>0</v>
      </c>
      <c r="EW101" s="530">
        <v>0</v>
      </c>
      <c r="EX101" s="530">
        <v>0</v>
      </c>
      <c r="EY101" s="530">
        <f t="shared" si="65"/>
        <v>0</v>
      </c>
      <c r="EZ101" s="530">
        <f t="shared" si="66"/>
        <v>0</v>
      </c>
      <c r="FA101" s="530">
        <f t="shared" si="67"/>
        <v>0</v>
      </c>
      <c r="FB101" s="530">
        <f t="shared" si="68"/>
        <v>0</v>
      </c>
      <c r="FC101" s="384">
        <f>IFERROR(VLOOKUP(Capex!A92,BASE_558!D:R,8,FALSE)/1000,"")</f>
        <v>206.3</v>
      </c>
      <c r="FD101" s="328">
        <f>IFERROR(VLOOKUP(Capex!A92,BASE_558!D:R,9,)/1000,"")</f>
        <v>205.14036999999999</v>
      </c>
      <c r="FE101" s="328">
        <f>IFERROR(IF(LEFT(A101,3)="LCP",(VLOOKUP(Capex!A92,BASE_558!D:R,10,)/1000),SUMIFS('BASE ICP_PO_SC'!F:F,'BASE ICP_PO_SC'!A:A,Capex!A92,'BASE ICP_PO_SC'!E:E,"&lt;&gt;")/1000),"")</f>
        <v>0</v>
      </c>
      <c r="FF101" s="328">
        <f>IFERROR(IF(LEFT(A101,3)="LCP",(VLOOKUP(Capex!A92,BASE_558!D:R,11,)/1000),SUMIFS('BASE ICP_PO_SC'!F:F,'BASE ICP_PO_SC'!A:A,Capex!A92,'BASE ICP_PO_SC'!E:E,"")/1000),"")</f>
        <v>0</v>
      </c>
      <c r="FG101" s="328">
        <f>IFERROR(VLOOKUP(A101,BASE_558!D:R,13,FALSE)/1000,"")</f>
        <v>101.47055999999999</v>
      </c>
      <c r="FH101" s="328">
        <f>IFERROR(VLOOKUP(A101,BASE_558!D:R,15,FALSE)/1000,"")</f>
        <v>10.629440000000001</v>
      </c>
      <c r="FI101" s="547">
        <f t="shared" si="69"/>
        <v>0</v>
      </c>
      <c r="FJ101" s="547">
        <f t="shared" si="70"/>
        <v>0</v>
      </c>
      <c r="FK101" s="540">
        <f t="shared" si="71"/>
        <v>0</v>
      </c>
    </row>
    <row r="102" spans="1:167" s="23" customFormat="1" ht="24" customHeight="1">
      <c r="A102" s="84" t="s">
        <v>65</v>
      </c>
      <c r="B102" s="404"/>
      <c r="C102" s="404"/>
      <c r="D102" s="338" t="s">
        <v>907</v>
      </c>
      <c r="E102" s="378"/>
      <c r="F102" s="5"/>
      <c r="G102" s="310" t="s">
        <v>9</v>
      </c>
      <c r="H102" s="338"/>
      <c r="I102" s="338"/>
      <c r="J102" s="338">
        <v>2018</v>
      </c>
      <c r="K102" s="316">
        <v>43238</v>
      </c>
      <c r="L102" s="317">
        <v>43752</v>
      </c>
      <c r="M102" s="409"/>
      <c r="N102" s="317">
        <f t="shared" si="74"/>
        <v>44150</v>
      </c>
      <c r="O102" s="317">
        <f t="shared" si="75"/>
        <v>44515</v>
      </c>
      <c r="P102" s="418" t="str">
        <f t="shared" si="78"/>
        <v>CRTD</v>
      </c>
      <c r="Q102" s="418" t="str">
        <f t="shared" si="78"/>
        <v>CRTD</v>
      </c>
      <c r="R102" s="418" t="str">
        <f t="shared" si="78"/>
        <v>CRTD</v>
      </c>
      <c r="S102" s="418" t="str">
        <f t="shared" si="78"/>
        <v>CRTD</v>
      </c>
      <c r="T102" s="418" t="str">
        <f t="shared" si="78"/>
        <v>CRTD</v>
      </c>
      <c r="U102" s="418" t="str">
        <f t="shared" si="78"/>
        <v>CRTD</v>
      </c>
      <c r="V102" s="418" t="str">
        <f t="shared" si="78"/>
        <v>CRTD</v>
      </c>
      <c r="W102" s="418" t="str">
        <f t="shared" si="78"/>
        <v>CRTD</v>
      </c>
      <c r="X102" s="418" t="str">
        <f t="shared" si="78"/>
        <v>CRTD</v>
      </c>
      <c r="Y102" s="418" t="str">
        <f t="shared" si="78"/>
        <v>CRTD</v>
      </c>
      <c r="Z102" s="418" t="str">
        <f t="shared" si="78"/>
        <v>CRTD</v>
      </c>
      <c r="AA102" s="418" t="str">
        <f t="shared" si="78"/>
        <v>CRTD</v>
      </c>
      <c r="AB102" s="317"/>
      <c r="AC102" s="309" t="s">
        <v>3932</v>
      </c>
      <c r="AD102" s="311" t="s">
        <v>5</v>
      </c>
      <c r="AE102" s="311"/>
      <c r="AF102" s="310" t="s">
        <v>6985</v>
      </c>
      <c r="AG102" s="310" t="s">
        <v>9083</v>
      </c>
      <c r="AH102" s="310" t="s">
        <v>2817</v>
      </c>
      <c r="AI102" s="309" t="s">
        <v>186</v>
      </c>
      <c r="AJ102" s="6" t="s">
        <v>218</v>
      </c>
      <c r="AK102" s="6" t="str">
        <f t="shared" si="49"/>
        <v>IGUAL</v>
      </c>
      <c r="AL102" s="151" t="str">
        <f>IFERROR(IF(LEFT(A102,3)="LCP",VLOOKUP(A102,STATUS_SAP_LCP!B:C,2,FALSE),VLOOKUP(A102,STATUS_SAP_ICP!B:C,2,FALSE)),"NO BUDGET")</f>
        <v>CLSD BUDG AUC  AVAC  //  RJCD BREL EXPL</v>
      </c>
      <c r="AM102" s="6" t="str">
        <f t="shared" si="48"/>
        <v>CLSD</v>
      </c>
      <c r="AN102" s="282" t="s">
        <v>9085</v>
      </c>
      <c r="AO102" s="493">
        <v>1</v>
      </c>
      <c r="AP102" s="499" t="s">
        <v>9607</v>
      </c>
      <c r="AQ102" s="465">
        <v>43752</v>
      </c>
      <c r="AR102" s="460"/>
      <c r="AS102" s="56">
        <v>6.6329747048568874</v>
      </c>
      <c r="AT102" s="185">
        <v>0</v>
      </c>
      <c r="AU102" s="318">
        <v>0</v>
      </c>
      <c r="AV102" s="223">
        <v>0</v>
      </c>
      <c r="AW102" s="318">
        <v>0</v>
      </c>
      <c r="AX102" s="223">
        <v>0</v>
      </c>
      <c r="AY102" s="318">
        <f t="shared" si="76"/>
        <v>0</v>
      </c>
      <c r="AZ102" s="223"/>
      <c r="BA102" s="318"/>
      <c r="BB102" s="519">
        <f t="shared" si="77"/>
        <v>0</v>
      </c>
      <c r="BC102" s="518"/>
      <c r="BD102" s="518"/>
      <c r="BE102" s="518"/>
      <c r="BF102" s="518"/>
      <c r="BG102" s="518"/>
      <c r="BH102" s="518"/>
      <c r="BI102" s="518"/>
      <c r="BJ102" s="518"/>
      <c r="BK102" s="518"/>
      <c r="BL102" s="518"/>
      <c r="BM102" s="518"/>
      <c r="BN102" s="518"/>
      <c r="BO102" s="367">
        <f t="shared" si="50"/>
        <v>0</v>
      </c>
      <c r="BP102" s="421"/>
      <c r="BQ102" s="422"/>
      <c r="BR102" s="423">
        <f>IFERROR(IF(LEFT($A102,3)="Lcp",SUMIFS('BASE-LCP'!$K:$K,'BASE-LCP'!$A:$A,Capex!$A93,'BASE-LCP'!$B:$B,"janeiro")/1000,IF(LEFT($A102,3)="icp",SUMIFS('BASE-ICP'!$K:$K,'BASE-ICP'!$A:$A,Capex!$A93,'BASE-ICP'!$B:$B,"janeiro")/1000,"")),"")</f>
        <v>0</v>
      </c>
      <c r="BS102" s="427">
        <v>0</v>
      </c>
      <c r="BT102" s="372">
        <v>0</v>
      </c>
      <c r="BU102" s="422"/>
      <c r="BV102" s="423">
        <f>IFERROR(IF(LEFT($A102,3)="Lcp",SUMIFS('BASE-LCP'!$K:$K,'BASE-LCP'!$A:$A,Capex!$A93,'BASE-LCP'!$B:$B,"fevereiro")/1000,IF(LEFT($A102,3)="icp",SUMIFS('BASE-ICP'!$K:$K,'BASE-ICP'!$A:$A,Capex!$A93,'BASE-ICP'!$B:$B,"fevereiro")/1000,"")),"")</f>
        <v>0</v>
      </c>
      <c r="BW102" s="427">
        <v>0</v>
      </c>
      <c r="BX102" s="372">
        <v>0</v>
      </c>
      <c r="BY102" s="419"/>
      <c r="BZ102" s="423">
        <f>IFERROR(IF(LEFT($A102,3)="Lcp",SUMIFS('BASE-LCP'!$K:$K,'BASE-LCP'!$A:$A,Capex!$A93,'BASE-LCP'!$B:$B,"março")/1000,IF(LEFT($A102,3)="icp",SUMIFS('BASE-ICP'!$K:$K,'BASE-ICP'!$A:$A,Capex!$A93,'BASE-ICP'!$B:$B,"março")/1000,"")),"")</f>
        <v>0</v>
      </c>
      <c r="CA102" s="427">
        <v>0</v>
      </c>
      <c r="CB102" s="372">
        <v>0</v>
      </c>
      <c r="CC102" s="422"/>
      <c r="CD102" s="423">
        <f>IFERROR(IF(LEFT($A102,3)="Lcp",SUMIFS('BASE-LCP'!$K:$K,'BASE-LCP'!$A:$A,Capex!$A93,'BASE-LCP'!$B:$B,"abril")/1000,IF(LEFT($A102,3)="icp",SUMIFS('BASE-ICP'!$K:$K,'BASE-ICP'!$A:$A,Capex!$A93,'BASE-ICP'!$B:$B,"abril")/1000,"")),"")</f>
        <v>0</v>
      </c>
      <c r="CE102" s="427">
        <v>0</v>
      </c>
      <c r="CF102" s="372">
        <v>0</v>
      </c>
      <c r="CG102" s="419"/>
      <c r="CH102" s="423">
        <v>0</v>
      </c>
      <c r="CI102" s="427">
        <v>0</v>
      </c>
      <c r="CJ102" s="372">
        <v>0</v>
      </c>
      <c r="CK102" s="419"/>
      <c r="CL102" s="423">
        <f>IFERROR(IF(LEFT($A102,3)="Lcp",SUMIFS('BASE-LCP'!$K:$K,'BASE-LCP'!$A:$A,Capex!$A93,'BASE-LCP'!$B:$B,"junho")/1000,IF(LEFT($A102,3)="icp",SUMIFS('BASE-ICP'!$K:$K,'BASE-ICP'!$A:$A,Capex!$A93,'BASE-ICP'!$B:$B,"junho")/1000,"")),"")</f>
        <v>0</v>
      </c>
      <c r="CM102" s="427">
        <v>0</v>
      </c>
      <c r="CN102" s="372"/>
      <c r="CO102" s="419"/>
      <c r="CP102" s="423">
        <f>IFERROR(IF(LEFT($A102,3)="Lcp",SUMIFS('BASE-LCP'!$K:$K,'BASE-LCP'!$A:$A,Capex!$A93,'BASE-LCP'!$B:$B,"julho")/1000,IF(LEFT($A102,3)="icp",SUMIFS('BASE-ICP'!$K:$K,'BASE-ICP'!$A:$A,Capex!$A93,'BASE-ICP'!$B:$B,"julho")/1000,"")),"")</f>
        <v>0</v>
      </c>
      <c r="CQ102" s="427">
        <v>0</v>
      </c>
      <c r="CR102" s="372"/>
      <c r="CS102" s="419"/>
      <c r="CT102" s="423">
        <f>IFERROR(IF(LEFT($A102,3)="Lcp",SUMIFS('BASE-LCP'!$K:$K,'BASE-LCP'!$A:$A,Capex!$A93,'BASE-LCP'!$B:$B,"agosto")/1000,IF(LEFT($A102,3)="icp",SUMIFS('BASE-ICP'!$K:$K,'BASE-ICP'!$A:$A,Capex!$A93,'BASE-ICP'!$B:$B,"agosto")/1000,"")),"")</f>
        <v>0</v>
      </c>
      <c r="CU102" s="427">
        <v>0</v>
      </c>
      <c r="CV102" s="372"/>
      <c r="CW102" s="419"/>
      <c r="CX102" s="423">
        <f>IFERROR(IF(LEFT($A102,3)="Lcp",SUMIFS('BASE-LCP'!$K:$K,'BASE-LCP'!$A:$A,Capex!$A93,'BASE-LCP'!$B:$B,"setembro")/1000,IF(LEFT($A102,3)="icp",SUMIFS('BASE-ICP'!$K:$K,'BASE-ICP'!$A:$A,Capex!$A93,'BASE-ICP'!$B:$B,"setembro")/1000,"")),"")</f>
        <v>0</v>
      </c>
      <c r="CY102" s="427">
        <v>0</v>
      </c>
      <c r="CZ102" s="372"/>
      <c r="DA102" s="419"/>
      <c r="DB102" s="423">
        <f>IFERROR(IF(LEFT($A102,3)="Lcp",SUMIFS('BASE-LCP'!$K:$K,'BASE-LCP'!$A:$A,Capex!$A93,'BASE-LCP'!$B:$B,"outubro")/1000,IF(LEFT($A102,3)="icp",SUMIFS('BASE-ICP'!$K:$K,'BASE-ICP'!$A:$A,Capex!$A93,'BASE-ICP'!$B:$B,"outubro")/1000,"")),"")</f>
        <v>0</v>
      </c>
      <c r="DC102" s="427">
        <v>0</v>
      </c>
      <c r="DD102" s="372"/>
      <c r="DE102" s="419"/>
      <c r="DF102" s="423">
        <f>IFERROR(IF(LEFT($A102,3)="Lcp",SUMIFS('BASE-LCP'!$K:$K,'BASE-LCP'!$A:$A,Capex!$A93,'BASE-LCP'!$B:$B,"novembro")/1000,IF(LEFT($A102,3)="icp",SUMIFS('BASE-ICP'!$K:$K,'BASE-ICP'!$A:$A,Capex!$A93,'BASE-ICP'!$B:$B,"novembro")/1000,"")),"")</f>
        <v>0</v>
      </c>
      <c r="DG102" s="427">
        <v>0</v>
      </c>
      <c r="DH102" s="372"/>
      <c r="DI102" s="419"/>
      <c r="DJ102" s="423">
        <f>IFERROR(IF(LEFT($A102,3)="Lcp",SUMIFS('BASE-LCP'!$K:$K,'BASE-LCP'!$A:$A,Capex!$A93,'BASE-LCP'!$B:$B,"dezembro")/1000,IF(LEFT($A102,3)="icp",SUMIFS('BASE-ICP'!$K:$K,'BASE-ICP'!$A:$A,Capex!$A93,'BASE-ICP'!$B:$B,"dezembro")/1000,"")),"")</f>
        <v>0</v>
      </c>
      <c r="DK102" s="427">
        <v>0</v>
      </c>
      <c r="DL102" s="452">
        <f t="shared" si="51"/>
        <v>0</v>
      </c>
      <c r="DM102" s="374"/>
      <c r="DN102" s="374"/>
      <c r="DO102" s="374"/>
      <c r="DP102" s="374"/>
      <c r="DQ102" s="374"/>
      <c r="DR102" s="374"/>
      <c r="DS102" s="374"/>
      <c r="DT102" s="374"/>
      <c r="DU102" s="374"/>
      <c r="DV102" s="374"/>
      <c r="DW102" s="374"/>
      <c r="DX102" s="374"/>
      <c r="DY102" s="450"/>
      <c r="DZ102" s="374">
        <f t="shared" si="52"/>
        <v>0</v>
      </c>
      <c r="EA102" s="216">
        <f t="shared" si="53"/>
        <v>0</v>
      </c>
      <c r="EB102" s="320">
        <f t="shared" si="54"/>
        <v>0</v>
      </c>
      <c r="EC102" s="241">
        <f t="shared" si="55"/>
        <v>0</v>
      </c>
      <c r="ED102" s="241">
        <f t="shared" si="56"/>
        <v>0</v>
      </c>
      <c r="EE102" s="241">
        <f t="shared" si="57"/>
        <v>0</v>
      </c>
      <c r="EF102" s="241">
        <f t="shared" si="58"/>
        <v>0</v>
      </c>
      <c r="EG102" s="346">
        <f t="shared" si="59"/>
        <v>0</v>
      </c>
      <c r="EH102" s="445">
        <f t="shared" si="60"/>
        <v>0</v>
      </c>
      <c r="EI102" s="447">
        <f t="shared" si="61"/>
        <v>0</v>
      </c>
      <c r="EJ102" s="364">
        <f t="shared" si="62"/>
        <v>0</v>
      </c>
      <c r="EK102" s="365">
        <f t="shared" si="63"/>
        <v>0</v>
      </c>
      <c r="EL102" s="529">
        <f t="shared" si="64"/>
        <v>0</v>
      </c>
      <c r="EM102" s="530">
        <v>0</v>
      </c>
      <c r="EN102" s="530">
        <v>0</v>
      </c>
      <c r="EO102" s="530">
        <v>0</v>
      </c>
      <c r="EP102" s="530">
        <v>0</v>
      </c>
      <c r="EQ102" s="530">
        <v>0</v>
      </c>
      <c r="ER102" s="530">
        <v>0</v>
      </c>
      <c r="ES102" s="530">
        <v>0</v>
      </c>
      <c r="ET102" s="530">
        <v>0</v>
      </c>
      <c r="EU102" s="530">
        <v>0</v>
      </c>
      <c r="EV102" s="530">
        <v>0</v>
      </c>
      <c r="EW102" s="530">
        <v>0</v>
      </c>
      <c r="EX102" s="530">
        <v>0</v>
      </c>
      <c r="EY102" s="530">
        <f t="shared" si="65"/>
        <v>0</v>
      </c>
      <c r="EZ102" s="530">
        <f t="shared" si="66"/>
        <v>0</v>
      </c>
      <c r="FA102" s="530">
        <f t="shared" si="67"/>
        <v>0</v>
      </c>
      <c r="FB102" s="530">
        <f t="shared" si="68"/>
        <v>0</v>
      </c>
      <c r="FC102" s="384">
        <f>IFERROR(VLOOKUP(Capex!A93,BASE_558!D:R,8,FALSE)/1000,"")</f>
        <v>2961.5</v>
      </c>
      <c r="FD102" s="328">
        <f>IFERROR(VLOOKUP(Capex!A93,BASE_558!D:R,9,)/1000,"")</f>
        <v>2734.63661</v>
      </c>
      <c r="FE102" s="328">
        <f>IFERROR(IF(LEFT(A102,3)="LCP",(VLOOKUP(Capex!A93,BASE_558!D:R,10,)/1000),SUMIFS('BASE ICP_PO_SC'!F:F,'BASE ICP_PO_SC'!A:A,Capex!A93,'BASE ICP_PO_SC'!E:E,"&lt;&gt;")/1000),"")</f>
        <v>0</v>
      </c>
      <c r="FF102" s="328">
        <f>IFERROR(IF(LEFT(A102,3)="LCP",(VLOOKUP(Capex!A93,BASE_558!D:R,11,)/1000),SUMIFS('BASE ICP_PO_SC'!F:F,'BASE ICP_PO_SC'!A:A,Capex!A93,'BASE ICP_PO_SC'!E:E,"")/1000),"")</f>
        <v>0</v>
      </c>
      <c r="FG102" s="328">
        <f>IFERROR(VLOOKUP(A102,BASE_558!D:R,13,FALSE)/1000,"")</f>
        <v>65.735699999999994</v>
      </c>
      <c r="FH102" s="328">
        <f>IFERROR(VLOOKUP(A102,BASE_558!D:R,15,FALSE)/1000,"")</f>
        <v>2.7643</v>
      </c>
      <c r="FI102" s="547">
        <f t="shared" si="69"/>
        <v>0</v>
      </c>
      <c r="FJ102" s="547">
        <f t="shared" si="70"/>
        <v>0</v>
      </c>
      <c r="FK102" s="540">
        <f t="shared" si="71"/>
        <v>0</v>
      </c>
    </row>
    <row r="103" spans="1:167" s="23" customFormat="1" ht="24" customHeight="1">
      <c r="A103" s="84" t="s">
        <v>102</v>
      </c>
      <c r="B103" s="404"/>
      <c r="C103" s="404"/>
      <c r="D103" s="338" t="s">
        <v>908</v>
      </c>
      <c r="E103" s="378"/>
      <c r="F103" s="5"/>
      <c r="G103" s="310" t="s">
        <v>9</v>
      </c>
      <c r="H103" s="338"/>
      <c r="I103" s="338"/>
      <c r="J103" s="338">
        <v>2018</v>
      </c>
      <c r="K103" s="316">
        <v>43391</v>
      </c>
      <c r="L103" s="317">
        <v>43822</v>
      </c>
      <c r="M103" s="409"/>
      <c r="N103" s="317">
        <f t="shared" si="74"/>
        <v>44303</v>
      </c>
      <c r="O103" s="317">
        <f t="shared" si="75"/>
        <v>44668</v>
      </c>
      <c r="P103" s="418" t="str">
        <f t="shared" si="78"/>
        <v>CRTD</v>
      </c>
      <c r="Q103" s="418" t="str">
        <f t="shared" si="78"/>
        <v>CRTD</v>
      </c>
      <c r="R103" s="418" t="str">
        <f t="shared" si="78"/>
        <v>CRTD</v>
      </c>
      <c r="S103" s="418" t="str">
        <f t="shared" si="78"/>
        <v>CRTD</v>
      </c>
      <c r="T103" s="418" t="str">
        <f t="shared" si="78"/>
        <v>CRTD</v>
      </c>
      <c r="U103" s="418" t="str">
        <f t="shared" si="78"/>
        <v>CRTD</v>
      </c>
      <c r="V103" s="418" t="str">
        <f t="shared" si="78"/>
        <v>CRTD</v>
      </c>
      <c r="W103" s="418" t="str">
        <f t="shared" si="78"/>
        <v>CRTD</v>
      </c>
      <c r="X103" s="418" t="str">
        <f t="shared" si="78"/>
        <v>CRTD</v>
      </c>
      <c r="Y103" s="418" t="str">
        <f t="shared" si="78"/>
        <v>CRTD</v>
      </c>
      <c r="Z103" s="418" t="str">
        <f t="shared" si="78"/>
        <v>CRTD</v>
      </c>
      <c r="AA103" s="418" t="str">
        <f t="shared" si="78"/>
        <v>CRTD</v>
      </c>
      <c r="AB103" s="317"/>
      <c r="AC103" s="309" t="s">
        <v>3931</v>
      </c>
      <c r="AD103" s="311" t="s">
        <v>223</v>
      </c>
      <c r="AE103" s="311"/>
      <c r="AF103" s="310" t="s">
        <v>6985</v>
      </c>
      <c r="AG103" s="310" t="s">
        <v>9083</v>
      </c>
      <c r="AH103" s="310" t="s">
        <v>2818</v>
      </c>
      <c r="AI103" s="309" t="s">
        <v>188</v>
      </c>
      <c r="AJ103" s="6" t="s">
        <v>218</v>
      </c>
      <c r="AK103" s="6" t="str">
        <f t="shared" si="49"/>
        <v>IGUAL</v>
      </c>
      <c r="AL103" s="151" t="str">
        <f>IFERROR(IF(LEFT(A103,3)="LCP",VLOOKUP(A103,STATUS_SAP_LCP!B:C,2,FALSE),VLOOKUP(A103,STATUS_SAP_ICP!B:C,2,FALSE)),"NO BUDGET")</f>
        <v>CLSD BUDG AUC  AVAC  //  APPR BREL EXPL</v>
      </c>
      <c r="AM103" s="6" t="str">
        <f t="shared" si="48"/>
        <v>CLSD</v>
      </c>
      <c r="AN103" s="282" t="s">
        <v>9085</v>
      </c>
      <c r="AO103" s="493">
        <v>1</v>
      </c>
      <c r="AP103" s="499" t="s">
        <v>9607</v>
      </c>
      <c r="AQ103" s="465">
        <v>43822</v>
      </c>
      <c r="AR103" s="460"/>
      <c r="AS103" s="56">
        <v>29.452737101063164</v>
      </c>
      <c r="AT103" s="185">
        <v>0</v>
      </c>
      <c r="AU103" s="318">
        <v>0</v>
      </c>
      <c r="AV103" s="223">
        <v>0</v>
      </c>
      <c r="AW103" s="318">
        <v>0</v>
      </c>
      <c r="AX103" s="223">
        <v>0</v>
      </c>
      <c r="AY103" s="318">
        <f t="shared" si="76"/>
        <v>0</v>
      </c>
      <c r="AZ103" s="223"/>
      <c r="BA103" s="318"/>
      <c r="BB103" s="519">
        <f t="shared" si="77"/>
        <v>0</v>
      </c>
      <c r="BC103" s="518"/>
      <c r="BD103" s="518"/>
      <c r="BE103" s="518"/>
      <c r="BF103" s="518"/>
      <c r="BG103" s="518"/>
      <c r="BH103" s="518"/>
      <c r="BI103" s="518"/>
      <c r="BJ103" s="518"/>
      <c r="BK103" s="518"/>
      <c r="BL103" s="518"/>
      <c r="BM103" s="518"/>
      <c r="BN103" s="518"/>
      <c r="BO103" s="367">
        <f t="shared" si="50"/>
        <v>0</v>
      </c>
      <c r="BP103" s="421"/>
      <c r="BQ103" s="422"/>
      <c r="BR103" s="423">
        <f>IFERROR(IF(LEFT($A103,3)="Lcp",SUMIFS('BASE-LCP'!$K:$K,'BASE-LCP'!$A:$A,Capex!$A94,'BASE-LCP'!$B:$B,"janeiro")/1000,IF(LEFT($A103,3)="icp",SUMIFS('BASE-ICP'!$K:$K,'BASE-ICP'!$A:$A,Capex!$A94,'BASE-ICP'!$B:$B,"janeiro")/1000,"")),"")</f>
        <v>0</v>
      </c>
      <c r="BS103" s="427">
        <v>0</v>
      </c>
      <c r="BT103" s="372">
        <v>0</v>
      </c>
      <c r="BU103" s="422"/>
      <c r="BV103" s="423">
        <f>IFERROR(IF(LEFT($A103,3)="Lcp",SUMIFS('BASE-LCP'!$K:$K,'BASE-LCP'!$A:$A,Capex!$A94,'BASE-LCP'!$B:$B,"fevereiro")/1000,IF(LEFT($A103,3)="icp",SUMIFS('BASE-ICP'!$K:$K,'BASE-ICP'!$A:$A,Capex!$A94,'BASE-ICP'!$B:$B,"fevereiro")/1000,"")),"")</f>
        <v>0</v>
      </c>
      <c r="BW103" s="427">
        <v>0</v>
      </c>
      <c r="BX103" s="372">
        <v>0</v>
      </c>
      <c r="BY103" s="419"/>
      <c r="BZ103" s="423">
        <f>IFERROR(IF(LEFT($A103,3)="Lcp",SUMIFS('BASE-LCP'!$K:$K,'BASE-LCP'!$A:$A,Capex!$A94,'BASE-LCP'!$B:$B,"março")/1000,IF(LEFT($A103,3)="icp",SUMIFS('BASE-ICP'!$K:$K,'BASE-ICP'!$A:$A,Capex!$A94,'BASE-ICP'!$B:$B,"março")/1000,"")),"")</f>
        <v>0</v>
      </c>
      <c r="CA103" s="427">
        <v>0</v>
      </c>
      <c r="CB103" s="372">
        <v>0</v>
      </c>
      <c r="CC103" s="422"/>
      <c r="CD103" s="423">
        <f>IFERROR(IF(LEFT($A103,3)="Lcp",SUMIFS('BASE-LCP'!$K:$K,'BASE-LCP'!$A:$A,Capex!$A94,'BASE-LCP'!$B:$B,"abril")/1000,IF(LEFT($A103,3)="icp",SUMIFS('BASE-ICP'!$K:$K,'BASE-ICP'!$A:$A,Capex!$A94,'BASE-ICP'!$B:$B,"abril")/1000,"")),"")</f>
        <v>0</v>
      </c>
      <c r="CE103" s="427">
        <v>0</v>
      </c>
      <c r="CF103" s="372">
        <v>0</v>
      </c>
      <c r="CG103" s="419"/>
      <c r="CH103" s="423">
        <v>0</v>
      </c>
      <c r="CI103" s="427">
        <v>0</v>
      </c>
      <c r="CJ103" s="372">
        <v>0</v>
      </c>
      <c r="CK103" s="419"/>
      <c r="CL103" s="423">
        <f>IFERROR(IF(LEFT($A103,3)="Lcp",SUMIFS('BASE-LCP'!$K:$K,'BASE-LCP'!$A:$A,Capex!$A94,'BASE-LCP'!$B:$B,"junho")/1000,IF(LEFT($A103,3)="icp",SUMIFS('BASE-ICP'!$K:$K,'BASE-ICP'!$A:$A,Capex!$A94,'BASE-ICP'!$B:$B,"junho")/1000,"")),"")</f>
        <v>0</v>
      </c>
      <c r="CM103" s="427">
        <v>0</v>
      </c>
      <c r="CN103" s="372"/>
      <c r="CO103" s="419"/>
      <c r="CP103" s="423">
        <f>IFERROR(IF(LEFT($A103,3)="Lcp",SUMIFS('BASE-LCP'!$K:$K,'BASE-LCP'!$A:$A,Capex!$A94,'BASE-LCP'!$B:$B,"julho")/1000,IF(LEFT($A103,3)="icp",SUMIFS('BASE-ICP'!$K:$K,'BASE-ICP'!$A:$A,Capex!$A94,'BASE-ICP'!$B:$B,"julho")/1000,"")),"")</f>
        <v>0</v>
      </c>
      <c r="CQ103" s="427">
        <v>0</v>
      </c>
      <c r="CR103" s="372"/>
      <c r="CS103" s="419"/>
      <c r="CT103" s="423">
        <f>IFERROR(IF(LEFT($A103,3)="Lcp",SUMIFS('BASE-LCP'!$K:$K,'BASE-LCP'!$A:$A,Capex!$A94,'BASE-LCP'!$B:$B,"agosto")/1000,IF(LEFT($A103,3)="icp",SUMIFS('BASE-ICP'!$K:$K,'BASE-ICP'!$A:$A,Capex!$A94,'BASE-ICP'!$B:$B,"agosto")/1000,"")),"")</f>
        <v>0</v>
      </c>
      <c r="CU103" s="427">
        <v>0</v>
      </c>
      <c r="CV103" s="372"/>
      <c r="CW103" s="419"/>
      <c r="CX103" s="423">
        <f>IFERROR(IF(LEFT($A103,3)="Lcp",SUMIFS('BASE-LCP'!$K:$K,'BASE-LCP'!$A:$A,Capex!$A94,'BASE-LCP'!$B:$B,"setembro")/1000,IF(LEFT($A103,3)="icp",SUMIFS('BASE-ICP'!$K:$K,'BASE-ICP'!$A:$A,Capex!$A94,'BASE-ICP'!$B:$B,"setembro")/1000,"")),"")</f>
        <v>0</v>
      </c>
      <c r="CY103" s="427">
        <v>0</v>
      </c>
      <c r="CZ103" s="372"/>
      <c r="DA103" s="419"/>
      <c r="DB103" s="423">
        <f>IFERROR(IF(LEFT($A103,3)="Lcp",SUMIFS('BASE-LCP'!$K:$K,'BASE-LCP'!$A:$A,Capex!$A94,'BASE-LCP'!$B:$B,"outubro")/1000,IF(LEFT($A103,3)="icp",SUMIFS('BASE-ICP'!$K:$K,'BASE-ICP'!$A:$A,Capex!$A94,'BASE-ICP'!$B:$B,"outubro")/1000,"")),"")</f>
        <v>0</v>
      </c>
      <c r="DC103" s="427">
        <v>0</v>
      </c>
      <c r="DD103" s="372"/>
      <c r="DE103" s="419"/>
      <c r="DF103" s="423">
        <f>IFERROR(IF(LEFT($A103,3)="Lcp",SUMIFS('BASE-LCP'!$K:$K,'BASE-LCP'!$A:$A,Capex!$A94,'BASE-LCP'!$B:$B,"novembro")/1000,IF(LEFT($A103,3)="icp",SUMIFS('BASE-ICP'!$K:$K,'BASE-ICP'!$A:$A,Capex!$A94,'BASE-ICP'!$B:$B,"novembro")/1000,"")),"")</f>
        <v>0</v>
      </c>
      <c r="DG103" s="427">
        <v>0</v>
      </c>
      <c r="DH103" s="372"/>
      <c r="DI103" s="419"/>
      <c r="DJ103" s="423">
        <f>IFERROR(IF(LEFT($A103,3)="Lcp",SUMIFS('BASE-LCP'!$K:$K,'BASE-LCP'!$A:$A,Capex!$A94,'BASE-LCP'!$B:$B,"dezembro")/1000,IF(LEFT($A103,3)="icp",SUMIFS('BASE-ICP'!$K:$K,'BASE-ICP'!$A:$A,Capex!$A94,'BASE-ICP'!$B:$B,"dezembro")/1000,"")),"")</f>
        <v>0</v>
      </c>
      <c r="DK103" s="427">
        <v>0</v>
      </c>
      <c r="DL103" s="452">
        <f t="shared" si="51"/>
        <v>0</v>
      </c>
      <c r="DM103" s="374">
        <v>0</v>
      </c>
      <c r="DN103" s="374">
        <v>0</v>
      </c>
      <c r="DO103" s="374"/>
      <c r="DP103" s="374"/>
      <c r="DQ103" s="374"/>
      <c r="DR103" s="374"/>
      <c r="DS103" s="374"/>
      <c r="DT103" s="374"/>
      <c r="DU103" s="374"/>
      <c r="DV103" s="374"/>
      <c r="DW103" s="374"/>
      <c r="DX103" s="374"/>
      <c r="DY103" s="450"/>
      <c r="DZ103" s="374">
        <f t="shared" si="52"/>
        <v>0</v>
      </c>
      <c r="EA103" s="216">
        <f t="shared" si="53"/>
        <v>0</v>
      </c>
      <c r="EB103" s="320">
        <f t="shared" si="54"/>
        <v>0</v>
      </c>
      <c r="EC103" s="241">
        <f t="shared" si="55"/>
        <v>0</v>
      </c>
      <c r="ED103" s="241">
        <f t="shared" si="56"/>
        <v>0</v>
      </c>
      <c r="EE103" s="241">
        <f t="shared" si="57"/>
        <v>0</v>
      </c>
      <c r="EF103" s="241">
        <f t="shared" si="58"/>
        <v>0</v>
      </c>
      <c r="EG103" s="346">
        <f t="shared" si="59"/>
        <v>0</v>
      </c>
      <c r="EH103" s="445">
        <f t="shared" si="60"/>
        <v>0</v>
      </c>
      <c r="EI103" s="447">
        <f t="shared" si="61"/>
        <v>0</v>
      </c>
      <c r="EJ103" s="364">
        <f t="shared" si="62"/>
        <v>0</v>
      </c>
      <c r="EK103" s="365">
        <f t="shared" si="63"/>
        <v>0</v>
      </c>
      <c r="EL103" s="529">
        <f t="shared" si="64"/>
        <v>0</v>
      </c>
      <c r="EM103" s="530">
        <v>0</v>
      </c>
      <c r="EN103" s="530">
        <v>0</v>
      </c>
      <c r="EO103" s="530">
        <v>0</v>
      </c>
      <c r="EP103" s="530">
        <v>0</v>
      </c>
      <c r="EQ103" s="530">
        <v>0</v>
      </c>
      <c r="ER103" s="530">
        <v>0</v>
      </c>
      <c r="ES103" s="530">
        <v>0</v>
      </c>
      <c r="ET103" s="530">
        <v>0</v>
      </c>
      <c r="EU103" s="530">
        <v>0</v>
      </c>
      <c r="EV103" s="530">
        <v>0</v>
      </c>
      <c r="EW103" s="530">
        <v>0</v>
      </c>
      <c r="EX103" s="530">
        <v>0</v>
      </c>
      <c r="EY103" s="530">
        <f t="shared" si="65"/>
        <v>0</v>
      </c>
      <c r="EZ103" s="530">
        <f t="shared" si="66"/>
        <v>0</v>
      </c>
      <c r="FA103" s="530">
        <f t="shared" si="67"/>
        <v>0</v>
      </c>
      <c r="FB103" s="530">
        <f t="shared" si="68"/>
        <v>0</v>
      </c>
      <c r="FC103" s="384">
        <f>IFERROR(VLOOKUP(Capex!A94,BASE_558!D:R,8,FALSE)/1000,"")</f>
        <v>1426.2149999999999</v>
      </c>
      <c r="FD103" s="328">
        <f>IFERROR(VLOOKUP(Capex!A94,BASE_558!D:R,9,)/1000,"")</f>
        <v>1422.4791299999999</v>
      </c>
      <c r="FE103" s="328">
        <f>IFERROR(IF(LEFT(A103,3)="LCP",(VLOOKUP(Capex!A94,BASE_558!D:R,10,)/1000),SUMIFS('BASE ICP_PO_SC'!F:F,'BASE ICP_PO_SC'!A:A,Capex!A94,'BASE ICP_PO_SC'!E:E,"&lt;&gt;")/1000),"")</f>
        <v>0</v>
      </c>
      <c r="FF103" s="328">
        <f>IFERROR(IF(LEFT(A103,3)="LCP",(VLOOKUP(Capex!A94,BASE_558!D:R,11,)/1000),SUMIFS('BASE ICP_PO_SC'!F:F,'BASE ICP_PO_SC'!A:A,Capex!A94,'BASE ICP_PO_SC'!E:E,"")/1000),"")</f>
        <v>0</v>
      </c>
      <c r="FG103" s="328">
        <f>IFERROR(VLOOKUP(A103,BASE_558!D:R,13,FALSE)/1000,"")</f>
        <v>55.890910000000005</v>
      </c>
      <c r="FH103" s="328">
        <f>IFERROR(VLOOKUP(A103,BASE_558!D:R,15,FALSE)/1000,"")</f>
        <v>0.75909000000000004</v>
      </c>
      <c r="FI103" s="547">
        <f t="shared" si="69"/>
        <v>0</v>
      </c>
      <c r="FJ103" s="547">
        <f t="shared" si="70"/>
        <v>0</v>
      </c>
      <c r="FK103" s="540">
        <f t="shared" si="71"/>
        <v>0</v>
      </c>
    </row>
    <row r="104" spans="1:167" s="23" customFormat="1" ht="24" customHeight="1">
      <c r="A104" s="84" t="s">
        <v>63</v>
      </c>
      <c r="B104" s="404" t="s">
        <v>677</v>
      </c>
      <c r="C104" s="404"/>
      <c r="D104" s="338" t="s">
        <v>2219</v>
      </c>
      <c r="E104" s="378"/>
      <c r="F104" s="5"/>
      <c r="G104" s="310" t="s">
        <v>9</v>
      </c>
      <c r="H104" s="338"/>
      <c r="I104" s="338"/>
      <c r="J104" s="338">
        <v>2018</v>
      </c>
      <c r="K104" s="316">
        <v>43411</v>
      </c>
      <c r="L104" s="317">
        <v>44277</v>
      </c>
      <c r="M104" s="409"/>
      <c r="N104" s="317">
        <f t="shared" si="74"/>
        <v>44323</v>
      </c>
      <c r="O104" s="317">
        <f t="shared" si="75"/>
        <v>44688</v>
      </c>
      <c r="P104" s="418" t="str">
        <f t="shared" si="78"/>
        <v>CRTD</v>
      </c>
      <c r="Q104" s="418" t="str">
        <f t="shared" si="78"/>
        <v>CRTD</v>
      </c>
      <c r="R104" s="418" t="str">
        <f t="shared" si="78"/>
        <v>CRTD</v>
      </c>
      <c r="S104" s="418" t="str">
        <f t="shared" si="78"/>
        <v>CRTD</v>
      </c>
      <c r="T104" s="418" t="str">
        <f t="shared" si="78"/>
        <v>CRTD</v>
      </c>
      <c r="U104" s="418" t="str">
        <f t="shared" si="78"/>
        <v>CRTD</v>
      </c>
      <c r="V104" s="418" t="str">
        <f t="shared" si="78"/>
        <v>CRTD</v>
      </c>
      <c r="W104" s="418" t="str">
        <f t="shared" si="78"/>
        <v>CRTD</v>
      </c>
      <c r="X104" s="418" t="str">
        <f t="shared" si="78"/>
        <v>CRTD</v>
      </c>
      <c r="Y104" s="418" t="str">
        <f t="shared" si="78"/>
        <v>CRTD</v>
      </c>
      <c r="Z104" s="418" t="str">
        <f t="shared" si="78"/>
        <v>CRTD</v>
      </c>
      <c r="AA104" s="418" t="str">
        <f t="shared" si="78"/>
        <v>CRTD</v>
      </c>
      <c r="AB104" s="317"/>
      <c r="AC104" s="309" t="s">
        <v>3932</v>
      </c>
      <c r="AD104" s="311" t="s">
        <v>222</v>
      </c>
      <c r="AE104" s="379" t="s">
        <v>958</v>
      </c>
      <c r="AF104" s="310" t="s">
        <v>6985</v>
      </c>
      <c r="AG104" s="310" t="s">
        <v>9083</v>
      </c>
      <c r="AH104" s="310" t="s">
        <v>64</v>
      </c>
      <c r="AI104" s="309" t="s">
        <v>183</v>
      </c>
      <c r="AJ104" s="6" t="s">
        <v>218</v>
      </c>
      <c r="AK104" s="6" t="str">
        <f t="shared" si="49"/>
        <v>IGUAL</v>
      </c>
      <c r="AL104" s="151" t="str">
        <f>IFERROR(IF(LEFT(A104,3)="LCP",VLOOKUP(A104,STATUS_SAP_LCP!B:C,2,FALSE),VLOOKUP(A104,STATUS_SAP_ICP!B:C,2,FALSE)),"NO BUDGET")</f>
        <v>CLSD BUDG AUC  AVAC SETC  //  RJCD BREL EXPL</v>
      </c>
      <c r="AM104" s="6" t="str">
        <f t="shared" si="48"/>
        <v>CLSD</v>
      </c>
      <c r="AN104" s="282" t="s">
        <v>9098</v>
      </c>
      <c r="AO104" s="493">
        <v>1</v>
      </c>
      <c r="AP104" s="499" t="s">
        <v>9607</v>
      </c>
      <c r="AQ104" s="465">
        <v>44277</v>
      </c>
      <c r="AR104" s="460"/>
      <c r="AS104" s="56">
        <v>6188.7674221895677</v>
      </c>
      <c r="AT104" s="185">
        <v>671.83029999999997</v>
      </c>
      <c r="AU104" s="318">
        <v>31.987700000000004</v>
      </c>
      <c r="AV104" s="223">
        <v>0</v>
      </c>
      <c r="AW104" s="318">
        <v>0</v>
      </c>
      <c r="AX104" s="223">
        <v>0</v>
      </c>
      <c r="AY104" s="318">
        <f t="shared" si="76"/>
        <v>0</v>
      </c>
      <c r="AZ104" s="223"/>
      <c r="BA104" s="318"/>
      <c r="BB104" s="519">
        <f t="shared" si="77"/>
        <v>0</v>
      </c>
      <c r="BC104" s="518"/>
      <c r="BD104" s="518"/>
      <c r="BE104" s="518"/>
      <c r="BF104" s="518"/>
      <c r="BG104" s="518"/>
      <c r="BH104" s="518"/>
      <c r="BI104" s="518"/>
      <c r="BJ104" s="518"/>
      <c r="BK104" s="518"/>
      <c r="BL104" s="518"/>
      <c r="BM104" s="518"/>
      <c r="BN104" s="518"/>
      <c r="BO104" s="367">
        <f t="shared" si="50"/>
        <v>0</v>
      </c>
      <c r="BP104" s="421"/>
      <c r="BQ104" s="422"/>
      <c r="BR104" s="423">
        <f>IFERROR(IF(LEFT($A104,3)="Lcp",SUMIFS('BASE-LCP'!$K:$K,'BASE-LCP'!$A:$A,Capex!$A95,'BASE-LCP'!$B:$B,"janeiro")/1000,IF(LEFT($A104,3)="icp",SUMIFS('BASE-ICP'!$K:$K,'BASE-ICP'!$A:$A,Capex!$A95,'BASE-ICP'!$B:$B,"janeiro")/1000,"")),"")</f>
        <v>0</v>
      </c>
      <c r="BS104" s="427">
        <v>0</v>
      </c>
      <c r="BT104" s="372">
        <v>0</v>
      </c>
      <c r="BU104" s="422"/>
      <c r="BV104" s="423">
        <f>IFERROR(IF(LEFT($A104,3)="Lcp",SUMIFS('BASE-LCP'!$K:$K,'BASE-LCP'!$A:$A,Capex!$A95,'BASE-LCP'!$B:$B,"fevereiro")/1000,IF(LEFT($A104,3)="icp",SUMIFS('BASE-ICP'!$K:$K,'BASE-ICP'!$A:$A,Capex!$A95,'BASE-ICP'!$B:$B,"fevereiro")/1000,"")),"")</f>
        <v>0</v>
      </c>
      <c r="BW104" s="427">
        <v>0</v>
      </c>
      <c r="BX104" s="372">
        <v>0</v>
      </c>
      <c r="BY104" s="419"/>
      <c r="BZ104" s="423">
        <f>IFERROR(IF(LEFT($A104,3)="Lcp",SUMIFS('BASE-LCP'!$K:$K,'BASE-LCP'!$A:$A,Capex!$A95,'BASE-LCP'!$B:$B,"março")/1000,IF(LEFT($A104,3)="icp",SUMIFS('BASE-ICP'!$K:$K,'BASE-ICP'!$A:$A,Capex!$A95,'BASE-ICP'!$B:$B,"março")/1000,"")),"")</f>
        <v>0</v>
      </c>
      <c r="CA104" s="427">
        <v>0</v>
      </c>
      <c r="CB104" s="372">
        <v>0</v>
      </c>
      <c r="CC104" s="422"/>
      <c r="CD104" s="423">
        <f>IFERROR(IF(LEFT($A104,3)="Lcp",SUMIFS('BASE-LCP'!$K:$K,'BASE-LCP'!$A:$A,Capex!$A95,'BASE-LCP'!$B:$B,"abril")/1000,IF(LEFT($A104,3)="icp",SUMIFS('BASE-ICP'!$K:$K,'BASE-ICP'!$A:$A,Capex!$A95,'BASE-ICP'!$B:$B,"abril")/1000,"")),"")</f>
        <v>0</v>
      </c>
      <c r="CE104" s="427">
        <v>0</v>
      </c>
      <c r="CF104" s="372">
        <v>0</v>
      </c>
      <c r="CG104" s="419"/>
      <c r="CH104" s="423">
        <v>0</v>
      </c>
      <c r="CI104" s="427">
        <v>0</v>
      </c>
      <c r="CJ104" s="372">
        <v>0</v>
      </c>
      <c r="CK104" s="419"/>
      <c r="CL104" s="423">
        <f>IFERROR(IF(LEFT($A104,3)="Lcp",SUMIFS('BASE-LCP'!$K:$K,'BASE-LCP'!$A:$A,Capex!$A95,'BASE-LCP'!$B:$B,"junho")/1000,IF(LEFT($A104,3)="icp",SUMIFS('BASE-ICP'!$K:$K,'BASE-ICP'!$A:$A,Capex!$A95,'BASE-ICP'!$B:$B,"junho")/1000,"")),"")</f>
        <v>0</v>
      </c>
      <c r="CM104" s="427">
        <v>0</v>
      </c>
      <c r="CN104" s="372"/>
      <c r="CO104" s="419"/>
      <c r="CP104" s="423">
        <f>IFERROR(IF(LEFT($A104,3)="Lcp",SUMIFS('BASE-LCP'!$K:$K,'BASE-LCP'!$A:$A,Capex!$A95,'BASE-LCP'!$B:$B,"julho")/1000,IF(LEFT($A104,3)="icp",SUMIFS('BASE-ICP'!$K:$K,'BASE-ICP'!$A:$A,Capex!$A95,'BASE-ICP'!$B:$B,"julho")/1000,"")),"")</f>
        <v>0</v>
      </c>
      <c r="CQ104" s="427">
        <v>0</v>
      </c>
      <c r="CR104" s="372"/>
      <c r="CS104" s="419"/>
      <c r="CT104" s="423">
        <f>IFERROR(IF(LEFT($A104,3)="Lcp",SUMIFS('BASE-LCP'!$K:$K,'BASE-LCP'!$A:$A,Capex!$A95,'BASE-LCP'!$B:$B,"agosto")/1000,IF(LEFT($A104,3)="icp",SUMIFS('BASE-ICP'!$K:$K,'BASE-ICP'!$A:$A,Capex!$A95,'BASE-ICP'!$B:$B,"agosto")/1000,"")),"")</f>
        <v>0</v>
      </c>
      <c r="CU104" s="427">
        <v>0</v>
      </c>
      <c r="CV104" s="372"/>
      <c r="CW104" s="419"/>
      <c r="CX104" s="423">
        <f>IFERROR(IF(LEFT($A104,3)="Lcp",SUMIFS('BASE-LCP'!$K:$K,'BASE-LCP'!$A:$A,Capex!$A95,'BASE-LCP'!$B:$B,"setembro")/1000,IF(LEFT($A104,3)="icp",SUMIFS('BASE-ICP'!$K:$K,'BASE-ICP'!$A:$A,Capex!$A95,'BASE-ICP'!$B:$B,"setembro")/1000,"")),"")</f>
        <v>0</v>
      </c>
      <c r="CY104" s="427">
        <v>0</v>
      </c>
      <c r="CZ104" s="372"/>
      <c r="DA104" s="419"/>
      <c r="DB104" s="423">
        <f>IFERROR(IF(LEFT($A104,3)="Lcp",SUMIFS('BASE-LCP'!$K:$K,'BASE-LCP'!$A:$A,Capex!$A95,'BASE-LCP'!$B:$B,"outubro")/1000,IF(LEFT($A104,3)="icp",SUMIFS('BASE-ICP'!$K:$K,'BASE-ICP'!$A:$A,Capex!$A95,'BASE-ICP'!$B:$B,"outubro")/1000,"")),"")</f>
        <v>0</v>
      </c>
      <c r="DC104" s="427">
        <v>0</v>
      </c>
      <c r="DD104" s="372"/>
      <c r="DE104" s="419"/>
      <c r="DF104" s="423">
        <f>IFERROR(IF(LEFT($A104,3)="Lcp",SUMIFS('BASE-LCP'!$K:$K,'BASE-LCP'!$A:$A,Capex!$A95,'BASE-LCP'!$B:$B,"novembro")/1000,IF(LEFT($A104,3)="icp",SUMIFS('BASE-ICP'!$K:$K,'BASE-ICP'!$A:$A,Capex!$A95,'BASE-ICP'!$B:$B,"novembro")/1000,"")),"")</f>
        <v>0</v>
      </c>
      <c r="DG104" s="427">
        <v>0</v>
      </c>
      <c r="DH104" s="372"/>
      <c r="DI104" s="419"/>
      <c r="DJ104" s="423">
        <f>IFERROR(IF(LEFT($A104,3)="Lcp",SUMIFS('BASE-LCP'!$K:$K,'BASE-LCP'!$A:$A,Capex!$A95,'BASE-LCP'!$B:$B,"dezembro")/1000,IF(LEFT($A104,3)="icp",SUMIFS('BASE-ICP'!$K:$K,'BASE-ICP'!$A:$A,Capex!$A95,'BASE-ICP'!$B:$B,"dezembro")/1000,"")),"")</f>
        <v>0</v>
      </c>
      <c r="DK104" s="427">
        <v>0</v>
      </c>
      <c r="DL104" s="452">
        <f t="shared" si="51"/>
        <v>0</v>
      </c>
      <c r="DM104" s="374"/>
      <c r="DN104" s="374"/>
      <c r="DO104" s="374"/>
      <c r="DP104" s="374"/>
      <c r="DQ104" s="374"/>
      <c r="DR104" s="374"/>
      <c r="DS104" s="374"/>
      <c r="DT104" s="374"/>
      <c r="DU104" s="374"/>
      <c r="DV104" s="374"/>
      <c r="DW104" s="374"/>
      <c r="DX104" s="374"/>
      <c r="DY104" s="450"/>
      <c r="DZ104" s="374">
        <f t="shared" si="52"/>
        <v>0</v>
      </c>
      <c r="EA104" s="216">
        <f t="shared" si="53"/>
        <v>0</v>
      </c>
      <c r="EB104" s="320">
        <f t="shared" si="54"/>
        <v>0</v>
      </c>
      <c r="EC104" s="241">
        <f t="shared" si="55"/>
        <v>0</v>
      </c>
      <c r="ED104" s="241">
        <f t="shared" si="56"/>
        <v>0</v>
      </c>
      <c r="EE104" s="241">
        <f t="shared" si="57"/>
        <v>0</v>
      </c>
      <c r="EF104" s="241">
        <f t="shared" si="58"/>
        <v>0</v>
      </c>
      <c r="EG104" s="346">
        <f t="shared" si="59"/>
        <v>0</v>
      </c>
      <c r="EH104" s="445">
        <f t="shared" si="60"/>
        <v>0</v>
      </c>
      <c r="EI104" s="447">
        <f t="shared" si="61"/>
        <v>0</v>
      </c>
      <c r="EJ104" s="364">
        <f t="shared" si="62"/>
        <v>0</v>
      </c>
      <c r="EK104" s="365">
        <f t="shared" si="63"/>
        <v>0</v>
      </c>
      <c r="EL104" s="529">
        <f t="shared" si="64"/>
        <v>0</v>
      </c>
      <c r="EM104" s="530">
        <v>0</v>
      </c>
      <c r="EN104" s="530">
        <v>0</v>
      </c>
      <c r="EO104" s="530">
        <v>0</v>
      </c>
      <c r="EP104" s="530">
        <v>0</v>
      </c>
      <c r="EQ104" s="530">
        <v>0</v>
      </c>
      <c r="ER104" s="530">
        <v>0</v>
      </c>
      <c r="ES104" s="530">
        <v>0</v>
      </c>
      <c r="ET104" s="530">
        <v>0</v>
      </c>
      <c r="EU104" s="530">
        <v>0</v>
      </c>
      <c r="EV104" s="530">
        <v>0</v>
      </c>
      <c r="EW104" s="530">
        <v>0</v>
      </c>
      <c r="EX104" s="530">
        <v>0</v>
      </c>
      <c r="EY104" s="530">
        <f t="shared" si="65"/>
        <v>0</v>
      </c>
      <c r="EZ104" s="530">
        <f t="shared" si="66"/>
        <v>0</v>
      </c>
      <c r="FA104" s="530">
        <f t="shared" si="67"/>
        <v>0</v>
      </c>
      <c r="FB104" s="530">
        <f t="shared" si="68"/>
        <v>0</v>
      </c>
      <c r="FC104" s="384">
        <f>IFERROR(VLOOKUP(Capex!A95,BASE_558!D:R,8,FALSE)/1000,"")</f>
        <v>271</v>
      </c>
      <c r="FD104" s="328">
        <f>IFERROR(VLOOKUP(Capex!A95,BASE_558!D:R,9,)/1000,"")</f>
        <v>225.2098</v>
      </c>
      <c r="FE104" s="328">
        <f>IFERROR(IF(LEFT(A104,3)="LCP",(VLOOKUP(Capex!A95,BASE_558!D:R,10,)/1000),SUMIFS('BASE ICP_PO_SC'!F:F,'BASE ICP_PO_SC'!A:A,Capex!A95,'BASE ICP_PO_SC'!E:E,"&lt;&gt;")/1000),"")</f>
        <v>0</v>
      </c>
      <c r="FF104" s="328">
        <f>IFERROR(IF(LEFT(A104,3)="LCP",(VLOOKUP(Capex!A95,BASE_558!D:R,11,)/1000),SUMIFS('BASE ICP_PO_SC'!F:F,'BASE ICP_PO_SC'!A:A,Capex!A95,'BASE ICP_PO_SC'!E:E,"")/1000),"")</f>
        <v>0</v>
      </c>
      <c r="FG104" s="328">
        <f>IFERROR(VLOOKUP(A104,BASE_558!D:R,13,FALSE)/1000,"")</f>
        <v>6927.7916699999996</v>
      </c>
      <c r="FH104" s="328">
        <f>IFERROR(VLOOKUP(A104,BASE_558!D:R,15,FALSE)/1000,"")</f>
        <v>3291.1903299999999</v>
      </c>
      <c r="FI104" s="547">
        <f t="shared" si="69"/>
        <v>0</v>
      </c>
      <c r="FJ104" s="547">
        <f t="shared" si="70"/>
        <v>0</v>
      </c>
      <c r="FK104" s="540">
        <f t="shared" si="71"/>
        <v>0</v>
      </c>
    </row>
    <row r="105" spans="1:167" s="23" customFormat="1" ht="24" customHeight="1">
      <c r="A105" s="84" t="s">
        <v>106</v>
      </c>
      <c r="B105" s="404"/>
      <c r="C105" s="404"/>
      <c r="D105" s="338" t="s">
        <v>995</v>
      </c>
      <c r="E105" s="378">
        <v>1784196</v>
      </c>
      <c r="F105" s="310" t="s">
        <v>609</v>
      </c>
      <c r="G105" s="310" t="s">
        <v>9</v>
      </c>
      <c r="H105" s="338"/>
      <c r="I105" s="338"/>
      <c r="J105" s="338">
        <v>2018</v>
      </c>
      <c r="K105" s="316">
        <v>43329</v>
      </c>
      <c r="L105" s="317">
        <v>44277</v>
      </c>
      <c r="M105" s="409"/>
      <c r="N105" s="317">
        <f t="shared" si="74"/>
        <v>44241</v>
      </c>
      <c r="O105" s="317">
        <f t="shared" si="75"/>
        <v>44606</v>
      </c>
      <c r="P105" s="418" t="str">
        <f t="shared" ref="P105:AA114" si="79">IF($N105="","N/A",IF($O105="","N/A",IF(P$2&lt;=$N105,"NÃO",IF($AJ105="REL ","SIM",IF(P$2&lt;$O105,"NÃO",IF($AJ105&lt;&gt;"CLSD","SIM","CRTD"))))))</f>
        <v>CRTD</v>
      </c>
      <c r="Q105" s="418" t="str">
        <f t="shared" si="79"/>
        <v>CRTD</v>
      </c>
      <c r="R105" s="418" t="str">
        <f t="shared" si="79"/>
        <v>CRTD</v>
      </c>
      <c r="S105" s="418" t="str">
        <f t="shared" si="79"/>
        <v>CRTD</v>
      </c>
      <c r="T105" s="418" t="str">
        <f t="shared" si="79"/>
        <v>CRTD</v>
      </c>
      <c r="U105" s="418" t="str">
        <f t="shared" si="79"/>
        <v>CRTD</v>
      </c>
      <c r="V105" s="418" t="str">
        <f t="shared" si="79"/>
        <v>CRTD</v>
      </c>
      <c r="W105" s="418" t="str">
        <f t="shared" si="79"/>
        <v>CRTD</v>
      </c>
      <c r="X105" s="418" t="str">
        <f t="shared" si="79"/>
        <v>CRTD</v>
      </c>
      <c r="Y105" s="418" t="str">
        <f t="shared" si="79"/>
        <v>CRTD</v>
      </c>
      <c r="Z105" s="418" t="str">
        <f t="shared" si="79"/>
        <v>CRTD</v>
      </c>
      <c r="AA105" s="418" t="str">
        <f t="shared" si="79"/>
        <v>CRTD</v>
      </c>
      <c r="AB105" s="317"/>
      <c r="AC105" s="309" t="s">
        <v>3930</v>
      </c>
      <c r="AD105" s="311"/>
      <c r="AE105" s="311"/>
      <c r="AF105" s="310" t="s">
        <v>6985</v>
      </c>
      <c r="AG105" s="310" t="s">
        <v>9083</v>
      </c>
      <c r="AH105" s="310" t="s">
        <v>107</v>
      </c>
      <c r="AI105" s="381" t="s">
        <v>188</v>
      </c>
      <c r="AJ105" s="6" t="s">
        <v>218</v>
      </c>
      <c r="AK105" s="6" t="str">
        <f t="shared" si="49"/>
        <v>IGUAL</v>
      </c>
      <c r="AL105" s="151" t="str">
        <f>IFERROR(IF(LEFT(A105,3)="LCP",VLOOKUP(A105,STATUS_SAP_LCP!B:C,2,FALSE),VLOOKUP(A105,STATUS_SAP_ICP!B:C,2,FALSE)),"NO BUDGET")</f>
        <v>CLSD BUDG AUC  AVAC  //  APPR BREL EXPL</v>
      </c>
      <c r="AM105" s="6" t="str">
        <f t="shared" si="48"/>
        <v>CLSD</v>
      </c>
      <c r="AN105" s="282" t="s">
        <v>9086</v>
      </c>
      <c r="AO105" s="493">
        <v>1</v>
      </c>
      <c r="AP105" s="499" t="s">
        <v>9607</v>
      </c>
      <c r="AQ105" s="465">
        <v>44277</v>
      </c>
      <c r="AR105" s="460"/>
      <c r="AS105" s="56">
        <v>2414.5148795100281</v>
      </c>
      <c r="AT105" s="185">
        <v>104.82816999999999</v>
      </c>
      <c r="AU105" s="318">
        <v>-0.75345000000000084</v>
      </c>
      <c r="AV105" s="223">
        <v>0</v>
      </c>
      <c r="AW105" s="318">
        <v>0</v>
      </c>
      <c r="AX105" s="223">
        <v>0</v>
      </c>
      <c r="AY105" s="318">
        <f t="shared" si="76"/>
        <v>0</v>
      </c>
      <c r="AZ105" s="223"/>
      <c r="BA105" s="318"/>
      <c r="BB105" s="519">
        <f t="shared" si="77"/>
        <v>0</v>
      </c>
      <c r="BC105" s="518"/>
      <c r="BD105" s="518"/>
      <c r="BE105" s="518"/>
      <c r="BF105" s="518"/>
      <c r="BG105" s="518"/>
      <c r="BH105" s="518"/>
      <c r="BI105" s="518"/>
      <c r="BJ105" s="518"/>
      <c r="BK105" s="518"/>
      <c r="BL105" s="518"/>
      <c r="BM105" s="518"/>
      <c r="BN105" s="518"/>
      <c r="BO105" s="367">
        <f t="shared" si="50"/>
        <v>0</v>
      </c>
      <c r="BP105" s="421"/>
      <c r="BQ105" s="422"/>
      <c r="BR105" s="423">
        <f>IFERROR(IF(LEFT($A105,3)="Lcp",SUMIFS('BASE-LCP'!$K:$K,'BASE-LCP'!$A:$A,Capex!$A96,'BASE-LCP'!$B:$B,"janeiro")/1000,IF(LEFT($A105,3)="icp",SUMIFS('BASE-ICP'!$K:$K,'BASE-ICP'!$A:$A,Capex!$A96,'BASE-ICP'!$B:$B,"janeiro")/1000,"")),"")</f>
        <v>0</v>
      </c>
      <c r="BS105" s="427">
        <v>0</v>
      </c>
      <c r="BT105" s="372">
        <v>0</v>
      </c>
      <c r="BU105" s="422"/>
      <c r="BV105" s="423">
        <f>IFERROR(IF(LEFT($A105,3)="Lcp",SUMIFS('BASE-LCP'!$K:$K,'BASE-LCP'!$A:$A,Capex!$A96,'BASE-LCP'!$B:$B,"fevereiro")/1000,IF(LEFT($A105,3)="icp",SUMIFS('BASE-ICP'!$K:$K,'BASE-ICP'!$A:$A,Capex!$A96,'BASE-ICP'!$B:$B,"fevereiro")/1000,"")),"")</f>
        <v>0</v>
      </c>
      <c r="BW105" s="427">
        <v>0</v>
      </c>
      <c r="BX105" s="372">
        <v>0</v>
      </c>
      <c r="BY105" s="419"/>
      <c r="BZ105" s="423">
        <f>IFERROR(IF(LEFT($A105,3)="Lcp",SUMIFS('BASE-LCP'!$K:$K,'BASE-LCP'!$A:$A,Capex!$A96,'BASE-LCP'!$B:$B,"março")/1000,IF(LEFT($A105,3)="icp",SUMIFS('BASE-ICP'!$K:$K,'BASE-ICP'!$A:$A,Capex!$A96,'BASE-ICP'!$B:$B,"março")/1000,"")),"")</f>
        <v>0</v>
      </c>
      <c r="CA105" s="427">
        <v>0</v>
      </c>
      <c r="CB105" s="372">
        <v>0</v>
      </c>
      <c r="CC105" s="422"/>
      <c r="CD105" s="423">
        <f>IFERROR(IF(LEFT($A105,3)="Lcp",SUMIFS('BASE-LCP'!$K:$K,'BASE-LCP'!$A:$A,Capex!$A96,'BASE-LCP'!$B:$B,"abril")/1000,IF(LEFT($A105,3)="icp",SUMIFS('BASE-ICP'!$K:$K,'BASE-ICP'!$A:$A,Capex!$A96,'BASE-ICP'!$B:$B,"abril")/1000,"")),"")</f>
        <v>0</v>
      </c>
      <c r="CE105" s="427">
        <v>0</v>
      </c>
      <c r="CF105" s="372">
        <v>0</v>
      </c>
      <c r="CG105" s="419"/>
      <c r="CH105" s="423">
        <v>0</v>
      </c>
      <c r="CI105" s="427">
        <v>0</v>
      </c>
      <c r="CJ105" s="372">
        <v>0</v>
      </c>
      <c r="CK105" s="419"/>
      <c r="CL105" s="423">
        <f>IFERROR(IF(LEFT($A105,3)="Lcp",SUMIFS('BASE-LCP'!$K:$K,'BASE-LCP'!$A:$A,Capex!$A96,'BASE-LCP'!$B:$B,"junho")/1000,IF(LEFT($A105,3)="icp",SUMIFS('BASE-ICP'!$K:$K,'BASE-ICP'!$A:$A,Capex!$A96,'BASE-ICP'!$B:$B,"junho")/1000,"")),"")</f>
        <v>0</v>
      </c>
      <c r="CM105" s="427">
        <v>0</v>
      </c>
      <c r="CN105" s="372"/>
      <c r="CO105" s="419"/>
      <c r="CP105" s="423">
        <f>IFERROR(IF(LEFT($A105,3)="Lcp",SUMIFS('BASE-LCP'!$K:$K,'BASE-LCP'!$A:$A,Capex!$A96,'BASE-LCP'!$B:$B,"julho")/1000,IF(LEFT($A105,3)="icp",SUMIFS('BASE-ICP'!$K:$K,'BASE-ICP'!$A:$A,Capex!$A96,'BASE-ICP'!$B:$B,"julho")/1000,"")),"")</f>
        <v>0</v>
      </c>
      <c r="CQ105" s="427">
        <v>0</v>
      </c>
      <c r="CR105" s="372"/>
      <c r="CS105" s="419"/>
      <c r="CT105" s="423">
        <f>IFERROR(IF(LEFT($A105,3)="Lcp",SUMIFS('BASE-LCP'!$K:$K,'BASE-LCP'!$A:$A,Capex!$A96,'BASE-LCP'!$B:$B,"agosto")/1000,IF(LEFT($A105,3)="icp",SUMIFS('BASE-ICP'!$K:$K,'BASE-ICP'!$A:$A,Capex!$A96,'BASE-ICP'!$B:$B,"agosto")/1000,"")),"")</f>
        <v>0</v>
      </c>
      <c r="CU105" s="427">
        <v>0</v>
      </c>
      <c r="CV105" s="372"/>
      <c r="CW105" s="419"/>
      <c r="CX105" s="423">
        <f>IFERROR(IF(LEFT($A105,3)="Lcp",SUMIFS('BASE-LCP'!$K:$K,'BASE-LCP'!$A:$A,Capex!$A96,'BASE-LCP'!$B:$B,"setembro")/1000,IF(LEFT($A105,3)="icp",SUMIFS('BASE-ICP'!$K:$K,'BASE-ICP'!$A:$A,Capex!$A96,'BASE-ICP'!$B:$B,"setembro")/1000,"")),"")</f>
        <v>0</v>
      </c>
      <c r="CY105" s="427">
        <v>0</v>
      </c>
      <c r="CZ105" s="372"/>
      <c r="DA105" s="419"/>
      <c r="DB105" s="423">
        <f>IFERROR(IF(LEFT($A105,3)="Lcp",SUMIFS('BASE-LCP'!$K:$K,'BASE-LCP'!$A:$A,Capex!$A96,'BASE-LCP'!$B:$B,"outubro")/1000,IF(LEFT($A105,3)="icp",SUMIFS('BASE-ICP'!$K:$K,'BASE-ICP'!$A:$A,Capex!$A96,'BASE-ICP'!$B:$B,"outubro")/1000,"")),"")</f>
        <v>0</v>
      </c>
      <c r="DC105" s="427">
        <v>0</v>
      </c>
      <c r="DD105" s="372"/>
      <c r="DE105" s="419"/>
      <c r="DF105" s="423">
        <f>IFERROR(IF(LEFT($A105,3)="Lcp",SUMIFS('BASE-LCP'!$K:$K,'BASE-LCP'!$A:$A,Capex!$A96,'BASE-LCP'!$B:$B,"novembro")/1000,IF(LEFT($A105,3)="icp",SUMIFS('BASE-ICP'!$K:$K,'BASE-ICP'!$A:$A,Capex!$A96,'BASE-ICP'!$B:$B,"novembro")/1000,"")),"")</f>
        <v>0</v>
      </c>
      <c r="DG105" s="427">
        <v>0</v>
      </c>
      <c r="DH105" s="372"/>
      <c r="DI105" s="419"/>
      <c r="DJ105" s="423">
        <f>IFERROR(IF(LEFT($A105,3)="Lcp",SUMIFS('BASE-LCP'!$K:$K,'BASE-LCP'!$A:$A,Capex!$A96,'BASE-LCP'!$B:$B,"dezembro")/1000,IF(LEFT($A105,3)="icp",SUMIFS('BASE-ICP'!$K:$K,'BASE-ICP'!$A:$A,Capex!$A96,'BASE-ICP'!$B:$B,"dezembro")/1000,"")),"")</f>
        <v>0</v>
      </c>
      <c r="DK105" s="427">
        <v>0</v>
      </c>
      <c r="DL105" s="452">
        <f t="shared" si="51"/>
        <v>0</v>
      </c>
      <c r="DM105" s="374"/>
      <c r="DN105" s="374"/>
      <c r="DO105" s="374"/>
      <c r="DP105" s="374"/>
      <c r="DQ105" s="374"/>
      <c r="DR105" s="374"/>
      <c r="DS105" s="374"/>
      <c r="DT105" s="374"/>
      <c r="DU105" s="374"/>
      <c r="DV105" s="374"/>
      <c r="DW105" s="374"/>
      <c r="DX105" s="374"/>
      <c r="DY105" s="450"/>
      <c r="DZ105" s="374">
        <f t="shared" si="52"/>
        <v>0</v>
      </c>
      <c r="EA105" s="216">
        <f t="shared" si="53"/>
        <v>0</v>
      </c>
      <c r="EB105" s="320">
        <f t="shared" si="54"/>
        <v>0</v>
      </c>
      <c r="EC105" s="241">
        <f t="shared" si="55"/>
        <v>0</v>
      </c>
      <c r="ED105" s="241">
        <f t="shared" si="56"/>
        <v>0</v>
      </c>
      <c r="EE105" s="241">
        <f t="shared" si="57"/>
        <v>0</v>
      </c>
      <c r="EF105" s="241">
        <f t="shared" si="58"/>
        <v>0</v>
      </c>
      <c r="EG105" s="346">
        <f t="shared" si="59"/>
        <v>0</v>
      </c>
      <c r="EH105" s="445">
        <f t="shared" si="60"/>
        <v>0</v>
      </c>
      <c r="EI105" s="447">
        <f t="shared" si="61"/>
        <v>0</v>
      </c>
      <c r="EJ105" s="364">
        <f t="shared" si="62"/>
        <v>0</v>
      </c>
      <c r="EK105" s="365">
        <f t="shared" si="63"/>
        <v>0</v>
      </c>
      <c r="EL105" s="529">
        <f t="shared" si="64"/>
        <v>0</v>
      </c>
      <c r="EM105" s="530">
        <v>0</v>
      </c>
      <c r="EN105" s="530">
        <v>0</v>
      </c>
      <c r="EO105" s="530">
        <v>0</v>
      </c>
      <c r="EP105" s="530">
        <v>0</v>
      </c>
      <c r="EQ105" s="530">
        <v>0</v>
      </c>
      <c r="ER105" s="530">
        <v>0</v>
      </c>
      <c r="ES105" s="530">
        <v>0</v>
      </c>
      <c r="ET105" s="530">
        <v>0</v>
      </c>
      <c r="EU105" s="530">
        <v>0</v>
      </c>
      <c r="EV105" s="530">
        <v>0</v>
      </c>
      <c r="EW105" s="530">
        <v>0</v>
      </c>
      <c r="EX105" s="530">
        <v>0</v>
      </c>
      <c r="EY105" s="530">
        <f t="shared" si="65"/>
        <v>0</v>
      </c>
      <c r="EZ105" s="530">
        <f t="shared" si="66"/>
        <v>0</v>
      </c>
      <c r="FA105" s="530">
        <f t="shared" si="67"/>
        <v>0</v>
      </c>
      <c r="FB105" s="530">
        <f t="shared" si="68"/>
        <v>0</v>
      </c>
      <c r="FC105" s="384">
        <f>IFERROR(VLOOKUP(Capex!A96,BASE_558!D:R,8,FALSE)/1000,"")</f>
        <v>454</v>
      </c>
      <c r="FD105" s="328">
        <f>IFERROR(VLOOKUP(Capex!A96,BASE_558!D:R,9,)/1000,"")</f>
        <v>424.08559000000002</v>
      </c>
      <c r="FE105" s="328">
        <f>IFERROR(IF(LEFT(A105,3)="LCP",(VLOOKUP(Capex!A96,BASE_558!D:R,10,)/1000),SUMIFS('BASE ICP_PO_SC'!F:F,'BASE ICP_PO_SC'!A:A,Capex!A96,'BASE ICP_PO_SC'!E:E,"&lt;&gt;")/1000),"")</f>
        <v>0</v>
      </c>
      <c r="FF105" s="328">
        <f>IFERROR(IF(LEFT(A105,3)="LCP",(VLOOKUP(Capex!A96,BASE_558!D:R,11,)/1000),SUMIFS('BASE ICP_PO_SC'!F:F,'BASE ICP_PO_SC'!A:A,Capex!A96,'BASE ICP_PO_SC'!E:E,"")/1000),"")</f>
        <v>0</v>
      </c>
      <c r="FG105" s="328">
        <f>IFERROR(VLOOKUP(A105,BASE_558!D:R,13,FALSE)/1000,"")</f>
        <v>5094.01865</v>
      </c>
      <c r="FH105" s="328">
        <f>IFERROR(VLOOKUP(A105,BASE_558!D:R,15,FALSE)/1000,"")</f>
        <v>768.98135000000002</v>
      </c>
      <c r="FI105" s="547">
        <f t="shared" si="69"/>
        <v>0</v>
      </c>
      <c r="FJ105" s="547">
        <f t="shared" si="70"/>
        <v>0</v>
      </c>
      <c r="FK105" s="540">
        <f t="shared" si="71"/>
        <v>0</v>
      </c>
    </row>
    <row r="106" spans="1:167" s="23" customFormat="1" ht="24" customHeight="1">
      <c r="A106" s="84" t="s">
        <v>104</v>
      </c>
      <c r="B106" s="404"/>
      <c r="C106" s="404"/>
      <c r="D106" s="338" t="s">
        <v>909</v>
      </c>
      <c r="E106" s="378"/>
      <c r="F106" s="5"/>
      <c r="G106" s="310" t="s">
        <v>9</v>
      </c>
      <c r="H106" s="338"/>
      <c r="I106" s="338"/>
      <c r="J106" s="338">
        <v>2018</v>
      </c>
      <c r="K106" s="316">
        <v>43199</v>
      </c>
      <c r="L106" s="317">
        <v>43549</v>
      </c>
      <c r="M106" s="409"/>
      <c r="N106" s="317">
        <f t="shared" si="74"/>
        <v>44111</v>
      </c>
      <c r="O106" s="317">
        <f t="shared" si="75"/>
        <v>44476</v>
      </c>
      <c r="P106" s="418" t="str">
        <f t="shared" si="79"/>
        <v>CRTD</v>
      </c>
      <c r="Q106" s="418" t="str">
        <f t="shared" si="79"/>
        <v>CRTD</v>
      </c>
      <c r="R106" s="418" t="str">
        <f t="shared" si="79"/>
        <v>CRTD</v>
      </c>
      <c r="S106" s="418" t="str">
        <f t="shared" si="79"/>
        <v>CRTD</v>
      </c>
      <c r="T106" s="418" t="str">
        <f t="shared" si="79"/>
        <v>CRTD</v>
      </c>
      <c r="U106" s="418" t="str">
        <f t="shared" si="79"/>
        <v>CRTD</v>
      </c>
      <c r="V106" s="418" t="str">
        <f t="shared" si="79"/>
        <v>CRTD</v>
      </c>
      <c r="W106" s="418" t="str">
        <f t="shared" si="79"/>
        <v>CRTD</v>
      </c>
      <c r="X106" s="418" t="str">
        <f t="shared" si="79"/>
        <v>CRTD</v>
      </c>
      <c r="Y106" s="418" t="str">
        <f t="shared" si="79"/>
        <v>CRTD</v>
      </c>
      <c r="Z106" s="418" t="str">
        <f t="shared" si="79"/>
        <v>CRTD</v>
      </c>
      <c r="AA106" s="418" t="str">
        <f t="shared" si="79"/>
        <v>CRTD</v>
      </c>
      <c r="AB106" s="317"/>
      <c r="AC106" s="309" t="s">
        <v>3932</v>
      </c>
      <c r="AD106" s="311" t="s">
        <v>223</v>
      </c>
      <c r="AE106" s="311"/>
      <c r="AF106" s="310" t="s">
        <v>6985</v>
      </c>
      <c r="AG106" s="310" t="s">
        <v>9083</v>
      </c>
      <c r="AH106" s="310" t="s">
        <v>105</v>
      </c>
      <c r="AI106" s="381" t="s">
        <v>316</v>
      </c>
      <c r="AJ106" s="6" t="s">
        <v>218</v>
      </c>
      <c r="AK106" s="6" t="str">
        <f t="shared" si="49"/>
        <v>IGUAL</v>
      </c>
      <c r="AL106" s="151" t="str">
        <f>IFERROR(IF(LEFT(A106,3)="LCP",VLOOKUP(A106,STATUS_SAP_LCP!B:C,2,FALSE),VLOOKUP(A106,STATUS_SAP_ICP!B:C,2,FALSE)),"NO BUDGET")</f>
        <v>CLSD BUDG AUC  AVAC  //  APPR BREL EXPL</v>
      </c>
      <c r="AM106" s="6" t="str">
        <f t="shared" si="48"/>
        <v>CLSD</v>
      </c>
      <c r="AN106" s="282" t="s">
        <v>9085</v>
      </c>
      <c r="AO106" s="493">
        <v>1</v>
      </c>
      <c r="AP106" s="499" t="s">
        <v>9607</v>
      </c>
      <c r="AQ106" s="465">
        <v>43549</v>
      </c>
      <c r="AR106" s="460"/>
      <c r="AS106" s="56">
        <v>1.2499999999999998</v>
      </c>
      <c r="AT106" s="185">
        <v>0</v>
      </c>
      <c r="AU106" s="318">
        <v>0</v>
      </c>
      <c r="AV106" s="223">
        <v>0</v>
      </c>
      <c r="AW106" s="318">
        <v>0</v>
      </c>
      <c r="AX106" s="223">
        <v>0</v>
      </c>
      <c r="AY106" s="318">
        <f t="shared" si="76"/>
        <v>0</v>
      </c>
      <c r="AZ106" s="223"/>
      <c r="BA106" s="318"/>
      <c r="BB106" s="519">
        <f t="shared" si="77"/>
        <v>0</v>
      </c>
      <c r="BC106" s="518"/>
      <c r="BD106" s="518"/>
      <c r="BE106" s="518"/>
      <c r="BF106" s="518"/>
      <c r="BG106" s="518"/>
      <c r="BH106" s="518"/>
      <c r="BI106" s="518"/>
      <c r="BJ106" s="518"/>
      <c r="BK106" s="518"/>
      <c r="BL106" s="518"/>
      <c r="BM106" s="518"/>
      <c r="BN106" s="518"/>
      <c r="BO106" s="367">
        <f t="shared" si="50"/>
        <v>0</v>
      </c>
      <c r="BP106" s="421"/>
      <c r="BQ106" s="422"/>
      <c r="BR106" s="423">
        <f>IFERROR(IF(LEFT($A106,3)="Lcp",SUMIFS('BASE-LCP'!$K:$K,'BASE-LCP'!$A:$A,Capex!$A97,'BASE-LCP'!$B:$B,"janeiro")/1000,IF(LEFT($A106,3)="icp",SUMIFS('BASE-ICP'!$K:$K,'BASE-ICP'!$A:$A,Capex!$A97,'BASE-ICP'!$B:$B,"janeiro")/1000,"")),"")</f>
        <v>0</v>
      </c>
      <c r="BS106" s="427">
        <v>0</v>
      </c>
      <c r="BT106" s="372">
        <v>0</v>
      </c>
      <c r="BU106" s="422"/>
      <c r="BV106" s="423">
        <f>IFERROR(IF(LEFT($A106,3)="Lcp",SUMIFS('BASE-LCP'!$K:$K,'BASE-LCP'!$A:$A,Capex!$A97,'BASE-LCP'!$B:$B,"fevereiro")/1000,IF(LEFT($A106,3)="icp",SUMIFS('BASE-ICP'!$K:$K,'BASE-ICP'!$A:$A,Capex!$A97,'BASE-ICP'!$B:$B,"fevereiro")/1000,"")),"")</f>
        <v>0</v>
      </c>
      <c r="BW106" s="427">
        <v>0</v>
      </c>
      <c r="BX106" s="372">
        <v>0</v>
      </c>
      <c r="BY106" s="419"/>
      <c r="BZ106" s="423">
        <f>IFERROR(IF(LEFT($A106,3)="Lcp",SUMIFS('BASE-LCP'!$K:$K,'BASE-LCP'!$A:$A,Capex!$A97,'BASE-LCP'!$B:$B,"março")/1000,IF(LEFT($A106,3)="icp",SUMIFS('BASE-ICP'!$K:$K,'BASE-ICP'!$A:$A,Capex!$A97,'BASE-ICP'!$B:$B,"março")/1000,"")),"")</f>
        <v>0</v>
      </c>
      <c r="CA106" s="427">
        <v>0</v>
      </c>
      <c r="CB106" s="372">
        <v>0</v>
      </c>
      <c r="CC106" s="422"/>
      <c r="CD106" s="423">
        <f>IFERROR(IF(LEFT($A106,3)="Lcp",SUMIFS('BASE-LCP'!$K:$K,'BASE-LCP'!$A:$A,Capex!$A97,'BASE-LCP'!$B:$B,"abril")/1000,IF(LEFT($A106,3)="icp",SUMIFS('BASE-ICP'!$K:$K,'BASE-ICP'!$A:$A,Capex!$A97,'BASE-ICP'!$B:$B,"abril")/1000,"")),"")</f>
        <v>0</v>
      </c>
      <c r="CE106" s="427">
        <v>0</v>
      </c>
      <c r="CF106" s="372">
        <v>0</v>
      </c>
      <c r="CG106" s="419"/>
      <c r="CH106" s="423">
        <v>0</v>
      </c>
      <c r="CI106" s="427">
        <v>0</v>
      </c>
      <c r="CJ106" s="372">
        <v>0</v>
      </c>
      <c r="CK106" s="419"/>
      <c r="CL106" s="423">
        <f>IFERROR(IF(LEFT($A106,3)="Lcp",SUMIFS('BASE-LCP'!$K:$K,'BASE-LCP'!$A:$A,Capex!$A97,'BASE-LCP'!$B:$B,"junho")/1000,IF(LEFT($A106,3)="icp",SUMIFS('BASE-ICP'!$K:$K,'BASE-ICP'!$A:$A,Capex!$A97,'BASE-ICP'!$B:$B,"junho")/1000,"")),"")</f>
        <v>0</v>
      </c>
      <c r="CM106" s="427">
        <v>0</v>
      </c>
      <c r="CN106" s="372"/>
      <c r="CO106" s="419"/>
      <c r="CP106" s="423">
        <f>IFERROR(IF(LEFT($A106,3)="Lcp",SUMIFS('BASE-LCP'!$K:$K,'BASE-LCP'!$A:$A,Capex!$A97,'BASE-LCP'!$B:$B,"julho")/1000,IF(LEFT($A106,3)="icp",SUMIFS('BASE-ICP'!$K:$K,'BASE-ICP'!$A:$A,Capex!$A97,'BASE-ICP'!$B:$B,"julho")/1000,"")),"")</f>
        <v>0</v>
      </c>
      <c r="CQ106" s="427">
        <v>0</v>
      </c>
      <c r="CR106" s="372"/>
      <c r="CS106" s="419"/>
      <c r="CT106" s="423">
        <f>IFERROR(IF(LEFT($A106,3)="Lcp",SUMIFS('BASE-LCP'!$K:$K,'BASE-LCP'!$A:$A,Capex!$A97,'BASE-LCP'!$B:$B,"agosto")/1000,IF(LEFT($A106,3)="icp",SUMIFS('BASE-ICP'!$K:$K,'BASE-ICP'!$A:$A,Capex!$A97,'BASE-ICP'!$B:$B,"agosto")/1000,"")),"")</f>
        <v>0</v>
      </c>
      <c r="CU106" s="427">
        <v>0</v>
      </c>
      <c r="CV106" s="372"/>
      <c r="CW106" s="419"/>
      <c r="CX106" s="423">
        <f>IFERROR(IF(LEFT($A106,3)="Lcp",SUMIFS('BASE-LCP'!$K:$K,'BASE-LCP'!$A:$A,Capex!$A97,'BASE-LCP'!$B:$B,"setembro")/1000,IF(LEFT($A106,3)="icp",SUMIFS('BASE-ICP'!$K:$K,'BASE-ICP'!$A:$A,Capex!$A97,'BASE-ICP'!$B:$B,"setembro")/1000,"")),"")</f>
        <v>0</v>
      </c>
      <c r="CY106" s="427">
        <v>0</v>
      </c>
      <c r="CZ106" s="372"/>
      <c r="DA106" s="419"/>
      <c r="DB106" s="423">
        <f>IFERROR(IF(LEFT($A106,3)="Lcp",SUMIFS('BASE-LCP'!$K:$K,'BASE-LCP'!$A:$A,Capex!$A97,'BASE-LCP'!$B:$B,"outubro")/1000,IF(LEFT($A106,3)="icp",SUMIFS('BASE-ICP'!$K:$K,'BASE-ICP'!$A:$A,Capex!$A97,'BASE-ICP'!$B:$B,"outubro")/1000,"")),"")</f>
        <v>0</v>
      </c>
      <c r="DC106" s="427">
        <v>0</v>
      </c>
      <c r="DD106" s="372"/>
      <c r="DE106" s="419"/>
      <c r="DF106" s="423">
        <f>IFERROR(IF(LEFT($A106,3)="Lcp",SUMIFS('BASE-LCP'!$K:$K,'BASE-LCP'!$A:$A,Capex!$A97,'BASE-LCP'!$B:$B,"novembro")/1000,IF(LEFT($A106,3)="icp",SUMIFS('BASE-ICP'!$K:$K,'BASE-ICP'!$A:$A,Capex!$A97,'BASE-ICP'!$B:$B,"novembro")/1000,"")),"")</f>
        <v>0</v>
      </c>
      <c r="DG106" s="427">
        <v>0</v>
      </c>
      <c r="DH106" s="372"/>
      <c r="DI106" s="419"/>
      <c r="DJ106" s="423">
        <f>IFERROR(IF(LEFT($A106,3)="Lcp",SUMIFS('BASE-LCP'!$K:$K,'BASE-LCP'!$A:$A,Capex!$A97,'BASE-LCP'!$B:$B,"dezembro")/1000,IF(LEFT($A106,3)="icp",SUMIFS('BASE-ICP'!$K:$K,'BASE-ICP'!$A:$A,Capex!$A97,'BASE-ICP'!$B:$B,"dezembro")/1000,"")),"")</f>
        <v>0</v>
      </c>
      <c r="DK106" s="427">
        <v>0</v>
      </c>
      <c r="DL106" s="452">
        <f t="shared" si="51"/>
        <v>0</v>
      </c>
      <c r="DM106" s="374"/>
      <c r="DN106" s="374"/>
      <c r="DO106" s="374"/>
      <c r="DP106" s="374"/>
      <c r="DQ106" s="374"/>
      <c r="DR106" s="374"/>
      <c r="DS106" s="374"/>
      <c r="DT106" s="374"/>
      <c r="DU106" s="374"/>
      <c r="DV106" s="374"/>
      <c r="DW106" s="374"/>
      <c r="DX106" s="374"/>
      <c r="DY106" s="450"/>
      <c r="DZ106" s="374">
        <f t="shared" si="52"/>
        <v>0</v>
      </c>
      <c r="EA106" s="216">
        <f t="shared" si="53"/>
        <v>0</v>
      </c>
      <c r="EB106" s="320">
        <f t="shared" si="54"/>
        <v>0</v>
      </c>
      <c r="EC106" s="241">
        <f t="shared" si="55"/>
        <v>0</v>
      </c>
      <c r="ED106" s="241">
        <f t="shared" si="56"/>
        <v>0</v>
      </c>
      <c r="EE106" s="241">
        <f t="shared" si="57"/>
        <v>0</v>
      </c>
      <c r="EF106" s="241">
        <f t="shared" si="58"/>
        <v>0</v>
      </c>
      <c r="EG106" s="346">
        <f t="shared" si="59"/>
        <v>0</v>
      </c>
      <c r="EH106" s="445">
        <f t="shared" si="60"/>
        <v>0</v>
      </c>
      <c r="EI106" s="447">
        <f t="shared" si="61"/>
        <v>0</v>
      </c>
      <c r="EJ106" s="364">
        <f t="shared" si="62"/>
        <v>0</v>
      </c>
      <c r="EK106" s="365">
        <f t="shared" si="63"/>
        <v>0</v>
      </c>
      <c r="EL106" s="529">
        <f t="shared" si="64"/>
        <v>0</v>
      </c>
      <c r="EM106" s="530">
        <v>0</v>
      </c>
      <c r="EN106" s="530">
        <v>0</v>
      </c>
      <c r="EO106" s="530">
        <v>0</v>
      </c>
      <c r="EP106" s="530">
        <v>0</v>
      </c>
      <c r="EQ106" s="530">
        <v>0</v>
      </c>
      <c r="ER106" s="530">
        <v>0</v>
      </c>
      <c r="ES106" s="530">
        <v>0</v>
      </c>
      <c r="ET106" s="530">
        <v>0</v>
      </c>
      <c r="EU106" s="530">
        <v>0</v>
      </c>
      <c r="EV106" s="530">
        <v>0</v>
      </c>
      <c r="EW106" s="530">
        <v>0</v>
      </c>
      <c r="EX106" s="530">
        <v>0</v>
      </c>
      <c r="EY106" s="530">
        <f t="shared" si="65"/>
        <v>0</v>
      </c>
      <c r="EZ106" s="530">
        <f t="shared" si="66"/>
        <v>0</v>
      </c>
      <c r="FA106" s="530">
        <f t="shared" si="67"/>
        <v>0</v>
      </c>
      <c r="FB106" s="530">
        <f t="shared" si="68"/>
        <v>0</v>
      </c>
      <c r="FC106" s="384">
        <f>IFERROR(VLOOKUP(Capex!A97,BASE_558!D:R,8,FALSE)/1000,"")</f>
        <v>160</v>
      </c>
      <c r="FD106" s="328">
        <f>IFERROR(VLOOKUP(Capex!A97,BASE_558!D:R,9,)/1000,"")</f>
        <v>156.63091</v>
      </c>
      <c r="FE106" s="328">
        <f>IFERROR(IF(LEFT(A106,3)="LCP",(VLOOKUP(Capex!A97,BASE_558!D:R,10,)/1000),SUMIFS('BASE ICP_PO_SC'!F:F,'BASE ICP_PO_SC'!A:A,Capex!A97,'BASE ICP_PO_SC'!E:E,"&lt;&gt;")/1000),"")</f>
        <v>0</v>
      </c>
      <c r="FF106" s="328">
        <f>IFERROR(IF(LEFT(A106,3)="LCP",(VLOOKUP(Capex!A97,BASE_558!D:R,11,)/1000),SUMIFS('BASE ICP_PO_SC'!F:F,'BASE ICP_PO_SC'!A:A,Capex!A97,'BASE ICP_PO_SC'!E:E,"")/1000),"")</f>
        <v>0</v>
      </c>
      <c r="FG106" s="328">
        <f>IFERROR(VLOOKUP(A106,BASE_558!D:R,13,FALSE)/1000,"")</f>
        <v>186.17610000000002</v>
      </c>
      <c r="FH106" s="328">
        <f>IFERROR(VLOOKUP(A106,BASE_558!D:R,15,FALSE)/1000,"")</f>
        <v>25.623900000000003</v>
      </c>
      <c r="FI106" s="547">
        <f t="shared" si="69"/>
        <v>0</v>
      </c>
      <c r="FJ106" s="547">
        <f t="shared" si="70"/>
        <v>0</v>
      </c>
      <c r="FK106" s="540">
        <f t="shared" si="71"/>
        <v>0</v>
      </c>
    </row>
    <row r="107" spans="1:167" s="23" customFormat="1" ht="24" customHeight="1">
      <c r="A107" s="84" t="s">
        <v>95</v>
      </c>
      <c r="B107" s="404"/>
      <c r="C107" s="404"/>
      <c r="D107" s="338" t="s">
        <v>911</v>
      </c>
      <c r="E107" s="378"/>
      <c r="F107" s="5"/>
      <c r="G107" s="310" t="s">
        <v>9</v>
      </c>
      <c r="H107" s="338"/>
      <c r="I107" s="338"/>
      <c r="J107" s="338">
        <v>2018</v>
      </c>
      <c r="K107" s="316">
        <v>43390</v>
      </c>
      <c r="L107" s="317">
        <v>43980</v>
      </c>
      <c r="M107" s="409"/>
      <c r="N107" s="317">
        <f t="shared" si="74"/>
        <v>44302</v>
      </c>
      <c r="O107" s="317">
        <f t="shared" si="75"/>
        <v>44667</v>
      </c>
      <c r="P107" s="418" t="str">
        <f t="shared" si="79"/>
        <v>CRTD</v>
      </c>
      <c r="Q107" s="418" t="str">
        <f t="shared" si="79"/>
        <v>CRTD</v>
      </c>
      <c r="R107" s="418" t="str">
        <f t="shared" si="79"/>
        <v>CRTD</v>
      </c>
      <c r="S107" s="418" t="str">
        <f t="shared" si="79"/>
        <v>CRTD</v>
      </c>
      <c r="T107" s="418" t="str">
        <f t="shared" si="79"/>
        <v>CRTD</v>
      </c>
      <c r="U107" s="418" t="str">
        <f t="shared" si="79"/>
        <v>CRTD</v>
      </c>
      <c r="V107" s="418" t="str">
        <f t="shared" si="79"/>
        <v>CRTD</v>
      </c>
      <c r="W107" s="418" t="str">
        <f t="shared" si="79"/>
        <v>CRTD</v>
      </c>
      <c r="X107" s="418" t="str">
        <f t="shared" si="79"/>
        <v>CRTD</v>
      </c>
      <c r="Y107" s="418" t="str">
        <f t="shared" si="79"/>
        <v>CRTD</v>
      </c>
      <c r="Z107" s="418" t="str">
        <f t="shared" si="79"/>
        <v>CRTD</v>
      </c>
      <c r="AA107" s="418" t="str">
        <f t="shared" si="79"/>
        <v>CRTD</v>
      </c>
      <c r="AB107" s="317"/>
      <c r="AC107" s="309" t="s">
        <v>2508</v>
      </c>
      <c r="AD107" s="311" t="s">
        <v>223</v>
      </c>
      <c r="AE107" s="311"/>
      <c r="AF107" s="310" t="s">
        <v>6985</v>
      </c>
      <c r="AG107" s="310" t="s">
        <v>9083</v>
      </c>
      <c r="AH107" s="310" t="s">
        <v>96</v>
      </c>
      <c r="AI107" s="309" t="s">
        <v>2255</v>
      </c>
      <c r="AJ107" s="6" t="s">
        <v>218</v>
      </c>
      <c r="AK107" s="6" t="str">
        <f t="shared" si="49"/>
        <v>IGUAL</v>
      </c>
      <c r="AL107" s="151" t="str">
        <f>IFERROR(IF(LEFT(A107,3)="LCP",VLOOKUP(A107,STATUS_SAP_LCP!B:C,2,FALSE),VLOOKUP(A107,STATUS_SAP_ICP!B:C,2,FALSE)),"NO BUDGET")</f>
        <v>CLSD BUDG AUC  AVAC  //  APPR BREL EXPL</v>
      </c>
      <c r="AM107" s="6" t="str">
        <f t="shared" si="48"/>
        <v>CLSD</v>
      </c>
      <c r="AN107" s="282" t="s">
        <v>9087</v>
      </c>
      <c r="AO107" s="493">
        <v>1</v>
      </c>
      <c r="AP107" s="499" t="s">
        <v>9607</v>
      </c>
      <c r="AQ107" s="465">
        <v>43980</v>
      </c>
      <c r="AR107" s="460"/>
      <c r="AS107" s="56">
        <v>80.38149614993543</v>
      </c>
      <c r="AT107" s="185">
        <v>1.49E-3</v>
      </c>
      <c r="AU107" s="318">
        <v>0</v>
      </c>
      <c r="AV107" s="223">
        <v>0</v>
      </c>
      <c r="AW107" s="318">
        <v>0</v>
      </c>
      <c r="AX107" s="223">
        <v>0</v>
      </c>
      <c r="AY107" s="318">
        <f t="shared" si="76"/>
        <v>0</v>
      </c>
      <c r="AZ107" s="223"/>
      <c r="BA107" s="318"/>
      <c r="BB107" s="519">
        <f t="shared" si="77"/>
        <v>0</v>
      </c>
      <c r="BC107" s="518"/>
      <c r="BD107" s="518"/>
      <c r="BE107" s="518"/>
      <c r="BF107" s="518"/>
      <c r="BG107" s="518"/>
      <c r="BH107" s="518"/>
      <c r="BI107" s="518"/>
      <c r="BJ107" s="518"/>
      <c r="BK107" s="518"/>
      <c r="BL107" s="518"/>
      <c r="BM107" s="518"/>
      <c r="BN107" s="518"/>
      <c r="BO107" s="367">
        <f t="shared" si="50"/>
        <v>0</v>
      </c>
      <c r="BP107" s="421"/>
      <c r="BQ107" s="422"/>
      <c r="BR107" s="423">
        <f>IFERROR(IF(LEFT($A107,3)="Lcp",SUMIFS('BASE-LCP'!$K:$K,'BASE-LCP'!$A:$A,Capex!$A98,'BASE-LCP'!$B:$B,"janeiro")/1000,IF(LEFT($A107,3)="icp",SUMIFS('BASE-ICP'!$K:$K,'BASE-ICP'!$A:$A,Capex!$A98,'BASE-ICP'!$B:$B,"janeiro")/1000,"")),"")</f>
        <v>0</v>
      </c>
      <c r="BS107" s="427">
        <v>0</v>
      </c>
      <c r="BT107" s="372">
        <v>0</v>
      </c>
      <c r="BU107" s="422"/>
      <c r="BV107" s="423">
        <f>IFERROR(IF(LEFT($A107,3)="Lcp",SUMIFS('BASE-LCP'!$K:$K,'BASE-LCP'!$A:$A,Capex!$A98,'BASE-LCP'!$B:$B,"fevereiro")/1000,IF(LEFT($A107,3)="icp",SUMIFS('BASE-ICP'!$K:$K,'BASE-ICP'!$A:$A,Capex!$A98,'BASE-ICP'!$B:$B,"fevereiro")/1000,"")),"")</f>
        <v>0</v>
      </c>
      <c r="BW107" s="427">
        <v>0</v>
      </c>
      <c r="BX107" s="372">
        <v>0</v>
      </c>
      <c r="BY107" s="419"/>
      <c r="BZ107" s="423">
        <f>IFERROR(IF(LEFT($A107,3)="Lcp",SUMIFS('BASE-LCP'!$K:$K,'BASE-LCP'!$A:$A,Capex!$A98,'BASE-LCP'!$B:$B,"março")/1000,IF(LEFT($A107,3)="icp",SUMIFS('BASE-ICP'!$K:$K,'BASE-ICP'!$A:$A,Capex!$A98,'BASE-ICP'!$B:$B,"março")/1000,"")),"")</f>
        <v>0</v>
      </c>
      <c r="CA107" s="427">
        <v>0</v>
      </c>
      <c r="CB107" s="372">
        <v>0</v>
      </c>
      <c r="CC107" s="422"/>
      <c r="CD107" s="423">
        <f>IFERROR(IF(LEFT($A107,3)="Lcp",SUMIFS('BASE-LCP'!$K:$K,'BASE-LCP'!$A:$A,Capex!$A98,'BASE-LCP'!$B:$B,"abril")/1000,IF(LEFT($A107,3)="icp",SUMIFS('BASE-ICP'!$K:$K,'BASE-ICP'!$A:$A,Capex!$A98,'BASE-ICP'!$B:$B,"abril")/1000,"")),"")</f>
        <v>0</v>
      </c>
      <c r="CE107" s="427">
        <v>0</v>
      </c>
      <c r="CF107" s="372">
        <v>0</v>
      </c>
      <c r="CG107" s="419"/>
      <c r="CH107" s="423">
        <v>0</v>
      </c>
      <c r="CI107" s="427">
        <v>0</v>
      </c>
      <c r="CJ107" s="372">
        <v>0</v>
      </c>
      <c r="CK107" s="419"/>
      <c r="CL107" s="423">
        <f>IFERROR(IF(LEFT($A107,3)="Lcp",SUMIFS('BASE-LCP'!$K:$K,'BASE-LCP'!$A:$A,Capex!$A98,'BASE-LCP'!$B:$B,"junho")/1000,IF(LEFT($A107,3)="icp",SUMIFS('BASE-ICP'!$K:$K,'BASE-ICP'!$A:$A,Capex!$A98,'BASE-ICP'!$B:$B,"junho")/1000,"")),"")</f>
        <v>0</v>
      </c>
      <c r="CM107" s="427">
        <v>0</v>
      </c>
      <c r="CN107" s="372"/>
      <c r="CO107" s="419"/>
      <c r="CP107" s="423">
        <f>IFERROR(IF(LEFT($A107,3)="Lcp",SUMIFS('BASE-LCP'!$K:$K,'BASE-LCP'!$A:$A,Capex!$A98,'BASE-LCP'!$B:$B,"julho")/1000,IF(LEFT($A107,3)="icp",SUMIFS('BASE-ICP'!$K:$K,'BASE-ICP'!$A:$A,Capex!$A98,'BASE-ICP'!$B:$B,"julho")/1000,"")),"")</f>
        <v>0</v>
      </c>
      <c r="CQ107" s="427">
        <v>0</v>
      </c>
      <c r="CR107" s="372"/>
      <c r="CS107" s="419"/>
      <c r="CT107" s="423">
        <f>IFERROR(IF(LEFT($A107,3)="Lcp",SUMIFS('BASE-LCP'!$K:$K,'BASE-LCP'!$A:$A,Capex!$A98,'BASE-LCP'!$B:$B,"agosto")/1000,IF(LEFT($A107,3)="icp",SUMIFS('BASE-ICP'!$K:$K,'BASE-ICP'!$A:$A,Capex!$A98,'BASE-ICP'!$B:$B,"agosto")/1000,"")),"")</f>
        <v>0</v>
      </c>
      <c r="CU107" s="427">
        <v>0</v>
      </c>
      <c r="CV107" s="372"/>
      <c r="CW107" s="419"/>
      <c r="CX107" s="423">
        <f>IFERROR(IF(LEFT($A107,3)="Lcp",SUMIFS('BASE-LCP'!$K:$K,'BASE-LCP'!$A:$A,Capex!$A98,'BASE-LCP'!$B:$B,"setembro")/1000,IF(LEFT($A107,3)="icp",SUMIFS('BASE-ICP'!$K:$K,'BASE-ICP'!$A:$A,Capex!$A98,'BASE-ICP'!$B:$B,"setembro")/1000,"")),"")</f>
        <v>0</v>
      </c>
      <c r="CY107" s="427">
        <v>0</v>
      </c>
      <c r="CZ107" s="372"/>
      <c r="DA107" s="419"/>
      <c r="DB107" s="423">
        <f>IFERROR(IF(LEFT($A107,3)="Lcp",SUMIFS('BASE-LCP'!$K:$K,'BASE-LCP'!$A:$A,Capex!$A98,'BASE-LCP'!$B:$B,"outubro")/1000,IF(LEFT($A107,3)="icp",SUMIFS('BASE-ICP'!$K:$K,'BASE-ICP'!$A:$A,Capex!$A98,'BASE-ICP'!$B:$B,"outubro")/1000,"")),"")</f>
        <v>0</v>
      </c>
      <c r="DC107" s="427">
        <v>0</v>
      </c>
      <c r="DD107" s="372"/>
      <c r="DE107" s="419"/>
      <c r="DF107" s="423">
        <f>IFERROR(IF(LEFT($A107,3)="Lcp",SUMIFS('BASE-LCP'!$K:$K,'BASE-LCP'!$A:$A,Capex!$A98,'BASE-LCP'!$B:$B,"novembro")/1000,IF(LEFT($A107,3)="icp",SUMIFS('BASE-ICP'!$K:$K,'BASE-ICP'!$A:$A,Capex!$A98,'BASE-ICP'!$B:$B,"novembro")/1000,"")),"")</f>
        <v>0</v>
      </c>
      <c r="DG107" s="427">
        <v>0</v>
      </c>
      <c r="DH107" s="372"/>
      <c r="DI107" s="419"/>
      <c r="DJ107" s="423">
        <f>IFERROR(IF(LEFT($A107,3)="Lcp",SUMIFS('BASE-LCP'!$K:$K,'BASE-LCP'!$A:$A,Capex!$A98,'BASE-LCP'!$B:$B,"dezembro")/1000,IF(LEFT($A107,3)="icp",SUMIFS('BASE-ICP'!$K:$K,'BASE-ICP'!$A:$A,Capex!$A98,'BASE-ICP'!$B:$B,"dezembro")/1000,"")),"")</f>
        <v>0</v>
      </c>
      <c r="DK107" s="427">
        <v>0</v>
      </c>
      <c r="DL107" s="452">
        <f t="shared" si="51"/>
        <v>0</v>
      </c>
      <c r="DM107" s="374"/>
      <c r="DN107" s="374"/>
      <c r="DO107" s="374"/>
      <c r="DP107" s="374"/>
      <c r="DQ107" s="374"/>
      <c r="DR107" s="374"/>
      <c r="DS107" s="374"/>
      <c r="DT107" s="374"/>
      <c r="DU107" s="374"/>
      <c r="DV107" s="374"/>
      <c r="DW107" s="374"/>
      <c r="DX107" s="374"/>
      <c r="DY107" s="450"/>
      <c r="DZ107" s="374">
        <f t="shared" si="52"/>
        <v>0</v>
      </c>
      <c r="EA107" s="216">
        <f t="shared" si="53"/>
        <v>0</v>
      </c>
      <c r="EB107" s="320">
        <f t="shared" si="54"/>
        <v>0</v>
      </c>
      <c r="EC107" s="241">
        <f t="shared" si="55"/>
        <v>0</v>
      </c>
      <c r="ED107" s="241">
        <f t="shared" si="56"/>
        <v>0</v>
      </c>
      <c r="EE107" s="241">
        <f t="shared" si="57"/>
        <v>0</v>
      </c>
      <c r="EF107" s="241">
        <f t="shared" si="58"/>
        <v>0</v>
      </c>
      <c r="EG107" s="346">
        <f t="shared" si="59"/>
        <v>0</v>
      </c>
      <c r="EH107" s="445">
        <f t="shared" si="60"/>
        <v>0</v>
      </c>
      <c r="EI107" s="447">
        <f t="shared" si="61"/>
        <v>0</v>
      </c>
      <c r="EJ107" s="364">
        <f t="shared" si="62"/>
        <v>0</v>
      </c>
      <c r="EK107" s="365">
        <f t="shared" si="63"/>
        <v>0</v>
      </c>
      <c r="EL107" s="529">
        <f t="shared" si="64"/>
        <v>0</v>
      </c>
      <c r="EM107" s="530">
        <v>0</v>
      </c>
      <c r="EN107" s="530">
        <v>0</v>
      </c>
      <c r="EO107" s="530">
        <v>0</v>
      </c>
      <c r="EP107" s="530">
        <v>0</v>
      </c>
      <c r="EQ107" s="530">
        <v>0</v>
      </c>
      <c r="ER107" s="530">
        <v>0</v>
      </c>
      <c r="ES107" s="530">
        <v>0</v>
      </c>
      <c r="ET107" s="530">
        <v>0</v>
      </c>
      <c r="EU107" s="530">
        <v>0</v>
      </c>
      <c r="EV107" s="530">
        <v>0</v>
      </c>
      <c r="EW107" s="530">
        <v>0</v>
      </c>
      <c r="EX107" s="530">
        <v>0</v>
      </c>
      <c r="EY107" s="530">
        <f t="shared" si="65"/>
        <v>0</v>
      </c>
      <c r="EZ107" s="530">
        <f t="shared" si="66"/>
        <v>0</v>
      </c>
      <c r="FA107" s="530">
        <f t="shared" si="67"/>
        <v>0</v>
      </c>
      <c r="FB107" s="530">
        <f t="shared" si="68"/>
        <v>0</v>
      </c>
      <c r="FC107" s="384">
        <f>IFERROR(VLOOKUP(Capex!A98,BASE_558!D:R,8,FALSE)/1000,"")</f>
        <v>1212</v>
      </c>
      <c r="FD107" s="328">
        <f>IFERROR(VLOOKUP(Capex!A98,BASE_558!D:R,9,)/1000,"")</f>
        <v>1152.578</v>
      </c>
      <c r="FE107" s="328">
        <f>IFERROR(IF(LEFT(A107,3)="LCP",(VLOOKUP(Capex!A98,BASE_558!D:R,10,)/1000),SUMIFS('BASE ICP_PO_SC'!F:F,'BASE ICP_PO_SC'!A:A,Capex!A98,'BASE ICP_PO_SC'!E:E,"&lt;&gt;")/1000),"")</f>
        <v>0</v>
      </c>
      <c r="FF107" s="328">
        <f>IFERROR(IF(LEFT(A107,3)="LCP",(VLOOKUP(Capex!A98,BASE_558!D:R,11,)/1000),SUMIFS('BASE ICP_PO_SC'!F:F,'BASE ICP_PO_SC'!A:A,Capex!A98,'BASE ICP_PO_SC'!E:E,"")/1000),"")</f>
        <v>0</v>
      </c>
      <c r="FG107" s="328">
        <f>IFERROR(VLOOKUP(A107,BASE_558!D:R,13,FALSE)/1000,"")</f>
        <v>203.58141000000001</v>
      </c>
      <c r="FH107" s="328">
        <f>IFERROR(VLOOKUP(A107,BASE_558!D:R,15,FALSE)/1000,"")</f>
        <v>8.3185900000000004</v>
      </c>
      <c r="FI107" s="547">
        <f t="shared" si="69"/>
        <v>0</v>
      </c>
      <c r="FJ107" s="547">
        <f t="shared" si="70"/>
        <v>0</v>
      </c>
      <c r="FK107" s="540">
        <f t="shared" si="71"/>
        <v>0</v>
      </c>
    </row>
    <row r="108" spans="1:167" s="23" customFormat="1" ht="24" customHeight="1">
      <c r="A108" s="84" t="s">
        <v>79</v>
      </c>
      <c r="B108" s="404"/>
      <c r="C108" s="404"/>
      <c r="D108" s="338" t="s">
        <v>890</v>
      </c>
      <c r="E108" s="378"/>
      <c r="F108" s="310" t="s">
        <v>609</v>
      </c>
      <c r="G108" s="310" t="s">
        <v>9</v>
      </c>
      <c r="H108" s="338"/>
      <c r="I108" s="338"/>
      <c r="J108" s="338">
        <v>2018</v>
      </c>
      <c r="K108" s="316">
        <v>43277</v>
      </c>
      <c r="L108" s="317">
        <v>44375</v>
      </c>
      <c r="M108" s="409"/>
      <c r="N108" s="317">
        <f t="shared" si="74"/>
        <v>44189</v>
      </c>
      <c r="O108" s="317">
        <f t="shared" si="75"/>
        <v>44554</v>
      </c>
      <c r="P108" s="418" t="str">
        <f t="shared" si="79"/>
        <v>CRTD</v>
      </c>
      <c r="Q108" s="418" t="str">
        <f t="shared" si="79"/>
        <v>CRTD</v>
      </c>
      <c r="R108" s="418" t="str">
        <f t="shared" si="79"/>
        <v>CRTD</v>
      </c>
      <c r="S108" s="418" t="str">
        <f t="shared" si="79"/>
        <v>CRTD</v>
      </c>
      <c r="T108" s="418" t="str">
        <f t="shared" si="79"/>
        <v>CRTD</v>
      </c>
      <c r="U108" s="418" t="str">
        <f t="shared" si="79"/>
        <v>CRTD</v>
      </c>
      <c r="V108" s="418" t="str">
        <f t="shared" si="79"/>
        <v>CRTD</v>
      </c>
      <c r="W108" s="418" t="str">
        <f t="shared" si="79"/>
        <v>CRTD</v>
      </c>
      <c r="X108" s="418" t="str">
        <f t="shared" si="79"/>
        <v>CRTD</v>
      </c>
      <c r="Y108" s="418" t="str">
        <f t="shared" si="79"/>
        <v>CRTD</v>
      </c>
      <c r="Z108" s="418" t="str">
        <f t="shared" si="79"/>
        <v>CRTD</v>
      </c>
      <c r="AA108" s="418" t="str">
        <f t="shared" si="79"/>
        <v>CRTD</v>
      </c>
      <c r="AB108" s="317"/>
      <c r="AC108" s="309" t="s">
        <v>3932</v>
      </c>
      <c r="AD108" s="311" t="s">
        <v>5</v>
      </c>
      <c r="AE108" s="311" t="s">
        <v>952</v>
      </c>
      <c r="AF108" s="310" t="s">
        <v>6985</v>
      </c>
      <c r="AG108" s="310" t="s">
        <v>9083</v>
      </c>
      <c r="AH108" s="310" t="s">
        <v>80</v>
      </c>
      <c r="AI108" s="309" t="s">
        <v>316</v>
      </c>
      <c r="AJ108" s="6" t="s">
        <v>218</v>
      </c>
      <c r="AK108" s="6" t="str">
        <f t="shared" si="49"/>
        <v>IGUAL</v>
      </c>
      <c r="AL108" s="151" t="str">
        <f>IFERROR(IF(LEFT(A108,3)="LCP",VLOOKUP(A108,STATUS_SAP_LCP!B:C,2,FALSE),VLOOKUP(A108,STATUS_SAP_ICP!B:C,2,FALSE)),"NO BUDGET")</f>
        <v>CLSD BUDG AUC  AVAC  //  APPR BREL EXPL</v>
      </c>
      <c r="AM108" s="6" t="str">
        <f t="shared" si="48"/>
        <v>CLSD</v>
      </c>
      <c r="AN108" s="282" t="s">
        <v>9090</v>
      </c>
      <c r="AO108" s="493">
        <v>1</v>
      </c>
      <c r="AP108" s="499" t="s">
        <v>9607</v>
      </c>
      <c r="AQ108" s="465">
        <v>44375</v>
      </c>
      <c r="AR108" s="460"/>
      <c r="AS108" s="56">
        <v>71.908068172110077</v>
      </c>
      <c r="AT108" s="185">
        <v>9.8375799999999991</v>
      </c>
      <c r="AU108" s="318">
        <v>24.617419999999999</v>
      </c>
      <c r="AV108" s="223">
        <v>0</v>
      </c>
      <c r="AW108" s="318">
        <v>0</v>
      </c>
      <c r="AX108" s="223">
        <v>0</v>
      </c>
      <c r="AY108" s="318">
        <f t="shared" si="76"/>
        <v>0</v>
      </c>
      <c r="AZ108" s="223"/>
      <c r="BA108" s="318"/>
      <c r="BB108" s="519">
        <f t="shared" si="77"/>
        <v>0</v>
      </c>
      <c r="BC108" s="518"/>
      <c r="BD108" s="518"/>
      <c r="BE108" s="518"/>
      <c r="BF108" s="518"/>
      <c r="BG108" s="518"/>
      <c r="BH108" s="518"/>
      <c r="BI108" s="518"/>
      <c r="BJ108" s="518"/>
      <c r="BK108" s="518"/>
      <c r="BL108" s="518"/>
      <c r="BM108" s="518"/>
      <c r="BN108" s="518"/>
      <c r="BO108" s="367">
        <f t="shared" si="50"/>
        <v>0</v>
      </c>
      <c r="BP108" s="421"/>
      <c r="BQ108" s="422"/>
      <c r="BR108" s="423">
        <f>IFERROR(IF(LEFT($A108,3)="Lcp",SUMIFS('BASE-LCP'!$K:$K,'BASE-LCP'!$A:$A,Capex!$A99,'BASE-LCP'!$B:$B,"janeiro")/1000,IF(LEFT($A108,3)="icp",SUMIFS('BASE-ICP'!$K:$K,'BASE-ICP'!$A:$A,Capex!$A99,'BASE-ICP'!$B:$B,"janeiro")/1000,"")),"")</f>
        <v>0</v>
      </c>
      <c r="BS108" s="427">
        <v>0</v>
      </c>
      <c r="BT108" s="372">
        <v>0</v>
      </c>
      <c r="BU108" s="422"/>
      <c r="BV108" s="423">
        <f>IFERROR(IF(LEFT($A108,3)="Lcp",SUMIFS('BASE-LCP'!$K:$K,'BASE-LCP'!$A:$A,Capex!$A99,'BASE-LCP'!$B:$B,"fevereiro")/1000,IF(LEFT($A108,3)="icp",SUMIFS('BASE-ICP'!$K:$K,'BASE-ICP'!$A:$A,Capex!$A99,'BASE-ICP'!$B:$B,"fevereiro")/1000,"")),"")</f>
        <v>0</v>
      </c>
      <c r="BW108" s="427">
        <v>0</v>
      </c>
      <c r="BX108" s="372">
        <v>0</v>
      </c>
      <c r="BY108" s="419"/>
      <c r="BZ108" s="423">
        <f>IFERROR(IF(LEFT($A108,3)="Lcp",SUMIFS('BASE-LCP'!$K:$K,'BASE-LCP'!$A:$A,Capex!$A99,'BASE-LCP'!$B:$B,"março")/1000,IF(LEFT($A108,3)="icp",SUMIFS('BASE-ICP'!$K:$K,'BASE-ICP'!$A:$A,Capex!$A99,'BASE-ICP'!$B:$B,"março")/1000,"")),"")</f>
        <v>0</v>
      </c>
      <c r="CA108" s="427">
        <v>0</v>
      </c>
      <c r="CB108" s="372">
        <v>0</v>
      </c>
      <c r="CC108" s="422"/>
      <c r="CD108" s="423">
        <f>IFERROR(IF(LEFT($A108,3)="Lcp",SUMIFS('BASE-LCP'!$K:$K,'BASE-LCP'!$A:$A,Capex!$A99,'BASE-LCP'!$B:$B,"abril")/1000,IF(LEFT($A108,3)="icp",SUMIFS('BASE-ICP'!$K:$K,'BASE-ICP'!$A:$A,Capex!$A99,'BASE-ICP'!$B:$B,"abril")/1000,"")),"")</f>
        <v>0</v>
      </c>
      <c r="CE108" s="427">
        <v>0</v>
      </c>
      <c r="CF108" s="372">
        <v>0</v>
      </c>
      <c r="CG108" s="419"/>
      <c r="CH108" s="423">
        <v>0</v>
      </c>
      <c r="CI108" s="427">
        <v>0</v>
      </c>
      <c r="CJ108" s="372">
        <v>0</v>
      </c>
      <c r="CK108" s="419"/>
      <c r="CL108" s="423">
        <f>IFERROR(IF(LEFT($A108,3)="Lcp",SUMIFS('BASE-LCP'!$K:$K,'BASE-LCP'!$A:$A,Capex!$A99,'BASE-LCP'!$B:$B,"junho")/1000,IF(LEFT($A108,3)="icp",SUMIFS('BASE-ICP'!$K:$K,'BASE-ICP'!$A:$A,Capex!$A99,'BASE-ICP'!$B:$B,"junho")/1000,"")),"")</f>
        <v>0</v>
      </c>
      <c r="CM108" s="427">
        <v>0</v>
      </c>
      <c r="CN108" s="372"/>
      <c r="CO108" s="419"/>
      <c r="CP108" s="423">
        <f>IFERROR(IF(LEFT($A108,3)="Lcp",SUMIFS('BASE-LCP'!$K:$K,'BASE-LCP'!$A:$A,Capex!$A99,'BASE-LCP'!$B:$B,"julho")/1000,IF(LEFT($A108,3)="icp",SUMIFS('BASE-ICP'!$K:$K,'BASE-ICP'!$A:$A,Capex!$A99,'BASE-ICP'!$B:$B,"julho")/1000,"")),"")</f>
        <v>0</v>
      </c>
      <c r="CQ108" s="427">
        <v>0</v>
      </c>
      <c r="CR108" s="372"/>
      <c r="CS108" s="419"/>
      <c r="CT108" s="423">
        <f>IFERROR(IF(LEFT($A108,3)="Lcp",SUMIFS('BASE-LCP'!$K:$K,'BASE-LCP'!$A:$A,Capex!$A99,'BASE-LCP'!$B:$B,"agosto")/1000,IF(LEFT($A108,3)="icp",SUMIFS('BASE-ICP'!$K:$K,'BASE-ICP'!$A:$A,Capex!$A99,'BASE-ICP'!$B:$B,"agosto")/1000,"")),"")</f>
        <v>0</v>
      </c>
      <c r="CU108" s="427">
        <v>0</v>
      </c>
      <c r="CV108" s="372"/>
      <c r="CW108" s="419"/>
      <c r="CX108" s="423">
        <f>IFERROR(IF(LEFT($A108,3)="Lcp",SUMIFS('BASE-LCP'!$K:$K,'BASE-LCP'!$A:$A,Capex!$A99,'BASE-LCP'!$B:$B,"setembro")/1000,IF(LEFT($A108,3)="icp",SUMIFS('BASE-ICP'!$K:$K,'BASE-ICP'!$A:$A,Capex!$A99,'BASE-ICP'!$B:$B,"setembro")/1000,"")),"")</f>
        <v>0</v>
      </c>
      <c r="CY108" s="427">
        <v>0</v>
      </c>
      <c r="CZ108" s="372"/>
      <c r="DA108" s="419"/>
      <c r="DB108" s="423">
        <f>IFERROR(IF(LEFT($A108,3)="Lcp",SUMIFS('BASE-LCP'!$K:$K,'BASE-LCP'!$A:$A,Capex!$A99,'BASE-LCP'!$B:$B,"outubro")/1000,IF(LEFT($A108,3)="icp",SUMIFS('BASE-ICP'!$K:$K,'BASE-ICP'!$A:$A,Capex!$A99,'BASE-ICP'!$B:$B,"outubro")/1000,"")),"")</f>
        <v>0</v>
      </c>
      <c r="DC108" s="427">
        <v>0</v>
      </c>
      <c r="DD108" s="372"/>
      <c r="DE108" s="419"/>
      <c r="DF108" s="423">
        <f>IFERROR(IF(LEFT($A108,3)="Lcp",SUMIFS('BASE-LCP'!$K:$K,'BASE-LCP'!$A:$A,Capex!$A99,'BASE-LCP'!$B:$B,"novembro")/1000,IF(LEFT($A108,3)="icp",SUMIFS('BASE-ICP'!$K:$K,'BASE-ICP'!$A:$A,Capex!$A99,'BASE-ICP'!$B:$B,"novembro")/1000,"")),"")</f>
        <v>0</v>
      </c>
      <c r="DG108" s="427">
        <v>0</v>
      </c>
      <c r="DH108" s="372"/>
      <c r="DI108" s="419"/>
      <c r="DJ108" s="423">
        <f>IFERROR(IF(LEFT($A108,3)="Lcp",SUMIFS('BASE-LCP'!$K:$K,'BASE-LCP'!$A:$A,Capex!$A99,'BASE-LCP'!$B:$B,"dezembro")/1000,IF(LEFT($A108,3)="icp",SUMIFS('BASE-ICP'!$K:$K,'BASE-ICP'!$A:$A,Capex!$A99,'BASE-ICP'!$B:$B,"dezembro")/1000,"")),"")</f>
        <v>0</v>
      </c>
      <c r="DK108" s="427">
        <v>0</v>
      </c>
      <c r="DL108" s="452">
        <f t="shared" si="51"/>
        <v>0</v>
      </c>
      <c r="DM108" s="374"/>
      <c r="DN108" s="374"/>
      <c r="DO108" s="374"/>
      <c r="DP108" s="374"/>
      <c r="DQ108" s="374"/>
      <c r="DR108" s="374"/>
      <c r="DS108" s="374"/>
      <c r="DT108" s="374"/>
      <c r="DU108" s="374"/>
      <c r="DV108" s="374"/>
      <c r="DW108" s="374"/>
      <c r="DX108" s="374"/>
      <c r="DY108" s="450"/>
      <c r="DZ108" s="374">
        <f t="shared" si="52"/>
        <v>0</v>
      </c>
      <c r="EA108" s="216">
        <f t="shared" si="53"/>
        <v>0</v>
      </c>
      <c r="EB108" s="320">
        <f t="shared" si="54"/>
        <v>0</v>
      </c>
      <c r="EC108" s="241">
        <f t="shared" si="55"/>
        <v>0</v>
      </c>
      <c r="ED108" s="241">
        <f t="shared" si="56"/>
        <v>0</v>
      </c>
      <c r="EE108" s="241">
        <f t="shared" si="57"/>
        <v>0</v>
      </c>
      <c r="EF108" s="241">
        <f t="shared" si="58"/>
        <v>0</v>
      </c>
      <c r="EG108" s="346">
        <f t="shared" si="59"/>
        <v>0</v>
      </c>
      <c r="EH108" s="445">
        <f t="shared" si="60"/>
        <v>0</v>
      </c>
      <c r="EI108" s="447">
        <f t="shared" si="61"/>
        <v>0</v>
      </c>
      <c r="EJ108" s="364">
        <f t="shared" si="62"/>
        <v>0</v>
      </c>
      <c r="EK108" s="365">
        <f t="shared" si="63"/>
        <v>0</v>
      </c>
      <c r="EL108" s="529">
        <f t="shared" si="64"/>
        <v>0</v>
      </c>
      <c r="EM108" s="530">
        <v>0</v>
      </c>
      <c r="EN108" s="530">
        <v>0</v>
      </c>
      <c r="EO108" s="530">
        <v>0</v>
      </c>
      <c r="EP108" s="530">
        <v>0</v>
      </c>
      <c r="EQ108" s="530">
        <v>0</v>
      </c>
      <c r="ER108" s="530">
        <v>0</v>
      </c>
      <c r="ES108" s="530">
        <v>0</v>
      </c>
      <c r="ET108" s="530">
        <v>0</v>
      </c>
      <c r="EU108" s="530">
        <v>0</v>
      </c>
      <c r="EV108" s="530">
        <v>0</v>
      </c>
      <c r="EW108" s="530">
        <v>0</v>
      </c>
      <c r="EX108" s="530">
        <v>0</v>
      </c>
      <c r="EY108" s="530">
        <f t="shared" si="65"/>
        <v>0</v>
      </c>
      <c r="EZ108" s="530">
        <f t="shared" si="66"/>
        <v>0</v>
      </c>
      <c r="FA108" s="530">
        <f t="shared" si="67"/>
        <v>0</v>
      </c>
      <c r="FB108" s="530">
        <f t="shared" si="68"/>
        <v>0</v>
      </c>
      <c r="FC108" s="384">
        <f>IFERROR(VLOOKUP(Capex!A99,BASE_558!D:R,8,FALSE)/1000,"")</f>
        <v>206.35</v>
      </c>
      <c r="FD108" s="328">
        <f>IFERROR(VLOOKUP(Capex!A99,BASE_558!D:R,9,)/1000,"")</f>
        <v>206.34142</v>
      </c>
      <c r="FE108" s="328">
        <f>IFERROR(IF(LEFT(A108,3)="LCP",(VLOOKUP(Capex!A99,BASE_558!D:R,10,)/1000),SUMIFS('BASE ICP_PO_SC'!F:F,'BASE ICP_PO_SC'!A:A,Capex!A99,'BASE ICP_PO_SC'!E:E,"&lt;&gt;")/1000),"")</f>
        <v>0</v>
      </c>
      <c r="FF108" s="328">
        <f>IFERROR(IF(LEFT(A108,3)="LCP",(VLOOKUP(Capex!A99,BASE_558!D:R,11,)/1000),SUMIFS('BASE ICP_PO_SC'!F:F,'BASE ICP_PO_SC'!A:A,Capex!A99,'BASE ICP_PO_SC'!E:E,"")/1000),"")</f>
        <v>0</v>
      </c>
      <c r="FG108" s="328">
        <f>IFERROR(VLOOKUP(A108,BASE_558!D:R,13,FALSE)/1000,"")</f>
        <v>259.93617999999998</v>
      </c>
      <c r="FH108" s="328">
        <f>IFERROR(VLOOKUP(A108,BASE_558!D:R,15,FALSE)/1000,"")</f>
        <v>36.06382</v>
      </c>
      <c r="FI108" s="547">
        <f t="shared" si="69"/>
        <v>0</v>
      </c>
      <c r="FJ108" s="547">
        <f t="shared" si="70"/>
        <v>0</v>
      </c>
      <c r="FK108" s="540">
        <f t="shared" si="71"/>
        <v>0</v>
      </c>
    </row>
    <row r="109" spans="1:167" s="23" customFormat="1" ht="24" customHeight="1">
      <c r="A109" s="84" t="s">
        <v>112</v>
      </c>
      <c r="B109" s="404"/>
      <c r="C109" s="404"/>
      <c r="D109" s="338" t="s">
        <v>912</v>
      </c>
      <c r="E109" s="378"/>
      <c r="F109" s="5"/>
      <c r="G109" s="310" t="s">
        <v>9</v>
      </c>
      <c r="H109" s="338"/>
      <c r="I109" s="338"/>
      <c r="J109" s="338">
        <v>2018</v>
      </c>
      <c r="K109" s="316">
        <v>43251</v>
      </c>
      <c r="L109" s="317">
        <v>43976</v>
      </c>
      <c r="M109" s="409"/>
      <c r="N109" s="317">
        <f t="shared" si="74"/>
        <v>44163</v>
      </c>
      <c r="O109" s="317">
        <f t="shared" si="75"/>
        <v>44528</v>
      </c>
      <c r="P109" s="418" t="str">
        <f t="shared" si="79"/>
        <v>CRTD</v>
      </c>
      <c r="Q109" s="418" t="str">
        <f t="shared" si="79"/>
        <v>CRTD</v>
      </c>
      <c r="R109" s="418" t="str">
        <f t="shared" si="79"/>
        <v>CRTD</v>
      </c>
      <c r="S109" s="418" t="str">
        <f t="shared" si="79"/>
        <v>CRTD</v>
      </c>
      <c r="T109" s="418" t="str">
        <f t="shared" si="79"/>
        <v>CRTD</v>
      </c>
      <c r="U109" s="418" t="str">
        <f t="shared" si="79"/>
        <v>CRTD</v>
      </c>
      <c r="V109" s="418" t="str">
        <f t="shared" si="79"/>
        <v>CRTD</v>
      </c>
      <c r="W109" s="418" t="str">
        <f t="shared" si="79"/>
        <v>CRTD</v>
      </c>
      <c r="X109" s="418" t="str">
        <f t="shared" si="79"/>
        <v>CRTD</v>
      </c>
      <c r="Y109" s="418" t="str">
        <f t="shared" si="79"/>
        <v>CRTD</v>
      </c>
      <c r="Z109" s="418" t="str">
        <f t="shared" si="79"/>
        <v>CRTD</v>
      </c>
      <c r="AA109" s="418" t="str">
        <f t="shared" si="79"/>
        <v>CRTD</v>
      </c>
      <c r="AB109" s="317"/>
      <c r="AC109" s="309" t="s">
        <v>3932</v>
      </c>
      <c r="AD109" s="311" t="s">
        <v>5</v>
      </c>
      <c r="AE109" s="311"/>
      <c r="AF109" s="310" t="s">
        <v>6985</v>
      </c>
      <c r="AG109" s="310" t="s">
        <v>9083</v>
      </c>
      <c r="AH109" s="310" t="s">
        <v>3242</v>
      </c>
      <c r="AI109" s="309" t="s">
        <v>2255</v>
      </c>
      <c r="AJ109" s="6" t="s">
        <v>218</v>
      </c>
      <c r="AK109" s="6" t="str">
        <f t="shared" si="49"/>
        <v>IGUAL</v>
      </c>
      <c r="AL109" s="151" t="str">
        <f>IFERROR(IF(LEFT(A109,3)="LCP",VLOOKUP(A109,STATUS_SAP_LCP!B:C,2,FALSE),VLOOKUP(A109,STATUS_SAP_ICP!B:C,2,FALSE)),"NO BUDGET")</f>
        <v>CLSD BUDG AUC  AVAC  //  RJCD BREL EXPL</v>
      </c>
      <c r="AM109" s="6" t="str">
        <f t="shared" si="48"/>
        <v>CLSD</v>
      </c>
      <c r="AN109" s="282" t="s">
        <v>9090</v>
      </c>
      <c r="AO109" s="493">
        <v>1</v>
      </c>
      <c r="AP109" s="499" t="s">
        <v>9607</v>
      </c>
      <c r="AQ109" s="465">
        <v>43976</v>
      </c>
      <c r="AR109" s="460"/>
      <c r="AS109" s="56">
        <v>41.285357932312024</v>
      </c>
      <c r="AT109" s="185">
        <v>19.769860000000001</v>
      </c>
      <c r="AU109" s="318">
        <v>0</v>
      </c>
      <c r="AV109" s="223">
        <v>0</v>
      </c>
      <c r="AW109" s="318">
        <v>0</v>
      </c>
      <c r="AX109" s="223">
        <v>0</v>
      </c>
      <c r="AY109" s="318">
        <f t="shared" si="76"/>
        <v>0</v>
      </c>
      <c r="AZ109" s="223"/>
      <c r="BA109" s="318"/>
      <c r="BB109" s="519">
        <f t="shared" si="77"/>
        <v>0</v>
      </c>
      <c r="BC109" s="518"/>
      <c r="BD109" s="518"/>
      <c r="BE109" s="518"/>
      <c r="BF109" s="518"/>
      <c r="BG109" s="518"/>
      <c r="BH109" s="518"/>
      <c r="BI109" s="518"/>
      <c r="BJ109" s="518"/>
      <c r="BK109" s="518"/>
      <c r="BL109" s="518"/>
      <c r="BM109" s="518"/>
      <c r="BN109" s="518"/>
      <c r="BO109" s="367">
        <f t="shared" si="50"/>
        <v>0</v>
      </c>
      <c r="BP109" s="421"/>
      <c r="BQ109" s="422"/>
      <c r="BR109" s="423">
        <f>IFERROR(IF(LEFT($A109,3)="Lcp",SUMIFS('BASE-LCP'!$K:$K,'BASE-LCP'!$A:$A,Capex!$A100,'BASE-LCP'!$B:$B,"janeiro")/1000,IF(LEFT($A109,3)="icp",SUMIFS('BASE-ICP'!$K:$K,'BASE-ICP'!$A:$A,Capex!$A100,'BASE-ICP'!$B:$B,"janeiro")/1000,"")),"")</f>
        <v>0</v>
      </c>
      <c r="BS109" s="427">
        <v>0</v>
      </c>
      <c r="BT109" s="372">
        <v>0</v>
      </c>
      <c r="BU109" s="422"/>
      <c r="BV109" s="423">
        <f>IFERROR(IF(LEFT($A109,3)="Lcp",SUMIFS('BASE-LCP'!$K:$K,'BASE-LCP'!$A:$A,Capex!$A100,'BASE-LCP'!$B:$B,"fevereiro")/1000,IF(LEFT($A109,3)="icp",SUMIFS('BASE-ICP'!$K:$K,'BASE-ICP'!$A:$A,Capex!$A100,'BASE-ICP'!$B:$B,"fevereiro")/1000,"")),"")</f>
        <v>0</v>
      </c>
      <c r="BW109" s="427">
        <v>0</v>
      </c>
      <c r="BX109" s="372">
        <v>0</v>
      </c>
      <c r="BY109" s="419"/>
      <c r="BZ109" s="423">
        <f>IFERROR(IF(LEFT($A109,3)="Lcp",SUMIFS('BASE-LCP'!$K:$K,'BASE-LCP'!$A:$A,Capex!$A100,'BASE-LCP'!$B:$B,"março")/1000,IF(LEFT($A109,3)="icp",SUMIFS('BASE-ICP'!$K:$K,'BASE-ICP'!$A:$A,Capex!$A100,'BASE-ICP'!$B:$B,"março")/1000,"")),"")</f>
        <v>0</v>
      </c>
      <c r="CA109" s="427">
        <v>0</v>
      </c>
      <c r="CB109" s="372">
        <v>0</v>
      </c>
      <c r="CC109" s="422"/>
      <c r="CD109" s="423">
        <f>IFERROR(IF(LEFT($A109,3)="Lcp",SUMIFS('BASE-LCP'!$K:$K,'BASE-LCP'!$A:$A,Capex!$A100,'BASE-LCP'!$B:$B,"abril")/1000,IF(LEFT($A109,3)="icp",SUMIFS('BASE-ICP'!$K:$K,'BASE-ICP'!$A:$A,Capex!$A100,'BASE-ICP'!$B:$B,"abril")/1000,"")),"")</f>
        <v>0</v>
      </c>
      <c r="CE109" s="427">
        <v>0</v>
      </c>
      <c r="CF109" s="372">
        <v>0</v>
      </c>
      <c r="CG109" s="419"/>
      <c r="CH109" s="423">
        <v>0</v>
      </c>
      <c r="CI109" s="427">
        <v>0</v>
      </c>
      <c r="CJ109" s="372">
        <v>0</v>
      </c>
      <c r="CK109" s="419"/>
      <c r="CL109" s="423">
        <f>IFERROR(IF(LEFT($A109,3)="Lcp",SUMIFS('BASE-LCP'!$K:$K,'BASE-LCP'!$A:$A,Capex!$A100,'BASE-LCP'!$B:$B,"junho")/1000,IF(LEFT($A109,3)="icp",SUMIFS('BASE-ICP'!$K:$K,'BASE-ICP'!$A:$A,Capex!$A100,'BASE-ICP'!$B:$B,"junho")/1000,"")),"")</f>
        <v>0</v>
      </c>
      <c r="CM109" s="427">
        <v>0</v>
      </c>
      <c r="CN109" s="372"/>
      <c r="CO109" s="419"/>
      <c r="CP109" s="423">
        <f>IFERROR(IF(LEFT($A109,3)="Lcp",SUMIFS('BASE-LCP'!$K:$K,'BASE-LCP'!$A:$A,Capex!$A100,'BASE-LCP'!$B:$B,"julho")/1000,IF(LEFT($A109,3)="icp",SUMIFS('BASE-ICP'!$K:$K,'BASE-ICP'!$A:$A,Capex!$A100,'BASE-ICP'!$B:$B,"julho")/1000,"")),"")</f>
        <v>0</v>
      </c>
      <c r="CQ109" s="427">
        <v>0</v>
      </c>
      <c r="CR109" s="372"/>
      <c r="CS109" s="419"/>
      <c r="CT109" s="423">
        <f>IFERROR(IF(LEFT($A109,3)="Lcp",SUMIFS('BASE-LCP'!$K:$K,'BASE-LCP'!$A:$A,Capex!$A100,'BASE-LCP'!$B:$B,"agosto")/1000,IF(LEFT($A109,3)="icp",SUMIFS('BASE-ICP'!$K:$K,'BASE-ICP'!$A:$A,Capex!$A100,'BASE-ICP'!$B:$B,"agosto")/1000,"")),"")</f>
        <v>0</v>
      </c>
      <c r="CU109" s="427">
        <v>0</v>
      </c>
      <c r="CV109" s="372"/>
      <c r="CW109" s="419"/>
      <c r="CX109" s="423">
        <f>IFERROR(IF(LEFT($A109,3)="Lcp",SUMIFS('BASE-LCP'!$K:$K,'BASE-LCP'!$A:$A,Capex!$A100,'BASE-LCP'!$B:$B,"setembro")/1000,IF(LEFT($A109,3)="icp",SUMIFS('BASE-ICP'!$K:$K,'BASE-ICP'!$A:$A,Capex!$A100,'BASE-ICP'!$B:$B,"setembro")/1000,"")),"")</f>
        <v>0</v>
      </c>
      <c r="CY109" s="427">
        <v>0</v>
      </c>
      <c r="CZ109" s="372"/>
      <c r="DA109" s="419"/>
      <c r="DB109" s="423">
        <f>IFERROR(IF(LEFT($A109,3)="Lcp",SUMIFS('BASE-LCP'!$K:$K,'BASE-LCP'!$A:$A,Capex!$A100,'BASE-LCP'!$B:$B,"outubro")/1000,IF(LEFT($A109,3)="icp",SUMIFS('BASE-ICP'!$K:$K,'BASE-ICP'!$A:$A,Capex!$A100,'BASE-ICP'!$B:$B,"outubro")/1000,"")),"")</f>
        <v>0</v>
      </c>
      <c r="DC109" s="427">
        <v>0</v>
      </c>
      <c r="DD109" s="372"/>
      <c r="DE109" s="419"/>
      <c r="DF109" s="423">
        <f>IFERROR(IF(LEFT($A109,3)="Lcp",SUMIFS('BASE-LCP'!$K:$K,'BASE-LCP'!$A:$A,Capex!$A100,'BASE-LCP'!$B:$B,"novembro")/1000,IF(LEFT($A109,3)="icp",SUMIFS('BASE-ICP'!$K:$K,'BASE-ICP'!$A:$A,Capex!$A100,'BASE-ICP'!$B:$B,"novembro")/1000,"")),"")</f>
        <v>0</v>
      </c>
      <c r="DG109" s="427">
        <v>0</v>
      </c>
      <c r="DH109" s="372"/>
      <c r="DI109" s="419"/>
      <c r="DJ109" s="423">
        <f>IFERROR(IF(LEFT($A109,3)="Lcp",SUMIFS('BASE-LCP'!$K:$K,'BASE-LCP'!$A:$A,Capex!$A100,'BASE-LCP'!$B:$B,"dezembro")/1000,IF(LEFT($A109,3)="icp",SUMIFS('BASE-ICP'!$K:$K,'BASE-ICP'!$A:$A,Capex!$A100,'BASE-ICP'!$B:$B,"dezembro")/1000,"")),"")</f>
        <v>0</v>
      </c>
      <c r="DK109" s="427">
        <v>0</v>
      </c>
      <c r="DL109" s="452">
        <f t="shared" si="51"/>
        <v>0</v>
      </c>
      <c r="DM109" s="374"/>
      <c r="DN109" s="374"/>
      <c r="DO109" s="374"/>
      <c r="DP109" s="374"/>
      <c r="DQ109" s="374"/>
      <c r="DR109" s="374"/>
      <c r="DS109" s="374"/>
      <c r="DT109" s="374"/>
      <c r="DU109" s="374"/>
      <c r="DV109" s="374"/>
      <c r="DW109" s="374"/>
      <c r="DX109" s="374"/>
      <c r="DY109" s="450"/>
      <c r="DZ109" s="374">
        <f t="shared" si="52"/>
        <v>0</v>
      </c>
      <c r="EA109" s="216">
        <f t="shared" si="53"/>
        <v>0</v>
      </c>
      <c r="EB109" s="320">
        <f t="shared" si="54"/>
        <v>0</v>
      </c>
      <c r="EC109" s="241">
        <f t="shared" si="55"/>
        <v>0</v>
      </c>
      <c r="ED109" s="241">
        <f t="shared" si="56"/>
        <v>0</v>
      </c>
      <c r="EE109" s="241">
        <f t="shared" si="57"/>
        <v>0</v>
      </c>
      <c r="EF109" s="241">
        <f t="shared" si="58"/>
        <v>0</v>
      </c>
      <c r="EG109" s="346">
        <f t="shared" si="59"/>
        <v>0</v>
      </c>
      <c r="EH109" s="445">
        <f t="shared" si="60"/>
        <v>0</v>
      </c>
      <c r="EI109" s="447">
        <f t="shared" si="61"/>
        <v>0</v>
      </c>
      <c r="EJ109" s="364">
        <f t="shared" si="62"/>
        <v>0</v>
      </c>
      <c r="EK109" s="365">
        <f t="shared" si="63"/>
        <v>0</v>
      </c>
      <c r="EL109" s="529">
        <f t="shared" si="64"/>
        <v>0</v>
      </c>
      <c r="EM109" s="530">
        <v>0</v>
      </c>
      <c r="EN109" s="530">
        <v>0</v>
      </c>
      <c r="EO109" s="530">
        <v>0</v>
      </c>
      <c r="EP109" s="530">
        <v>0</v>
      </c>
      <c r="EQ109" s="530">
        <v>0</v>
      </c>
      <c r="ER109" s="530">
        <v>0</v>
      </c>
      <c r="ES109" s="530">
        <v>0</v>
      </c>
      <c r="ET109" s="530">
        <v>0</v>
      </c>
      <c r="EU109" s="530">
        <v>0</v>
      </c>
      <c r="EV109" s="530">
        <v>0</v>
      </c>
      <c r="EW109" s="530">
        <v>0</v>
      </c>
      <c r="EX109" s="530">
        <v>0</v>
      </c>
      <c r="EY109" s="530">
        <f t="shared" si="65"/>
        <v>0</v>
      </c>
      <c r="EZ109" s="530">
        <f t="shared" si="66"/>
        <v>0</v>
      </c>
      <c r="FA109" s="530">
        <f t="shared" si="67"/>
        <v>0</v>
      </c>
      <c r="FB109" s="530">
        <f t="shared" si="68"/>
        <v>0</v>
      </c>
      <c r="FC109" s="384">
        <f>IFERROR(VLOOKUP(Capex!A100,BASE_558!D:R,8,FALSE)/1000,"")</f>
        <v>187.1</v>
      </c>
      <c r="FD109" s="328">
        <f>IFERROR(VLOOKUP(Capex!A100,BASE_558!D:R,9,)/1000,"")</f>
        <v>179.23054999999999</v>
      </c>
      <c r="FE109" s="328">
        <f>IFERROR(IF(LEFT(A109,3)="LCP",(VLOOKUP(Capex!A100,BASE_558!D:R,10,)/1000),SUMIFS('BASE ICP_PO_SC'!F:F,'BASE ICP_PO_SC'!A:A,Capex!A100,'BASE ICP_PO_SC'!E:E,"&lt;&gt;")/1000),"")</f>
        <v>0</v>
      </c>
      <c r="FF109" s="328">
        <f>IFERROR(IF(LEFT(A109,3)="LCP",(VLOOKUP(Capex!A100,BASE_558!D:R,11,)/1000),SUMIFS('BASE ICP_PO_SC'!F:F,'BASE ICP_PO_SC'!A:A,Capex!A100,'BASE ICP_PO_SC'!E:E,"")/1000),"")</f>
        <v>0</v>
      </c>
      <c r="FG109" s="328">
        <f>IFERROR(VLOOKUP(A109,BASE_558!D:R,13,FALSE)/1000,"")</f>
        <v>255.62375</v>
      </c>
      <c r="FH109" s="328">
        <f>IFERROR(VLOOKUP(A109,BASE_558!D:R,15,FALSE)/1000,"")</f>
        <v>20.332249999999998</v>
      </c>
      <c r="FI109" s="547">
        <f t="shared" si="69"/>
        <v>0</v>
      </c>
      <c r="FJ109" s="547">
        <f t="shared" si="70"/>
        <v>0</v>
      </c>
      <c r="FK109" s="540">
        <f t="shared" si="71"/>
        <v>0</v>
      </c>
    </row>
    <row r="110" spans="1:167" s="23" customFormat="1" ht="24" customHeight="1">
      <c r="A110" s="84" t="s">
        <v>97</v>
      </c>
      <c r="B110" s="404"/>
      <c r="C110" s="404"/>
      <c r="D110" s="338" t="s">
        <v>1264</v>
      </c>
      <c r="E110" s="378"/>
      <c r="F110" s="5"/>
      <c r="G110" s="310" t="s">
        <v>9</v>
      </c>
      <c r="H110" s="338"/>
      <c r="I110" s="338"/>
      <c r="J110" s="338">
        <v>2018</v>
      </c>
      <c r="K110" s="316">
        <v>43300</v>
      </c>
      <c r="L110" s="317">
        <v>43588</v>
      </c>
      <c r="M110" s="409"/>
      <c r="N110" s="317">
        <f t="shared" si="74"/>
        <v>44212</v>
      </c>
      <c r="O110" s="317">
        <f t="shared" si="75"/>
        <v>44577</v>
      </c>
      <c r="P110" s="418" t="str">
        <f t="shared" si="79"/>
        <v>CRTD</v>
      </c>
      <c r="Q110" s="418" t="str">
        <f t="shared" si="79"/>
        <v>CRTD</v>
      </c>
      <c r="R110" s="418" t="str">
        <f t="shared" si="79"/>
        <v>CRTD</v>
      </c>
      <c r="S110" s="418" t="str">
        <f t="shared" si="79"/>
        <v>CRTD</v>
      </c>
      <c r="T110" s="418" t="str">
        <f t="shared" si="79"/>
        <v>CRTD</v>
      </c>
      <c r="U110" s="418" t="str">
        <f t="shared" si="79"/>
        <v>CRTD</v>
      </c>
      <c r="V110" s="418" t="str">
        <f t="shared" si="79"/>
        <v>CRTD</v>
      </c>
      <c r="W110" s="418" t="str">
        <f t="shared" si="79"/>
        <v>CRTD</v>
      </c>
      <c r="X110" s="418" t="str">
        <f t="shared" si="79"/>
        <v>CRTD</v>
      </c>
      <c r="Y110" s="418" t="str">
        <f t="shared" si="79"/>
        <v>CRTD</v>
      </c>
      <c r="Z110" s="418" t="str">
        <f t="shared" si="79"/>
        <v>CRTD</v>
      </c>
      <c r="AA110" s="418" t="str">
        <f t="shared" si="79"/>
        <v>CRTD</v>
      </c>
      <c r="AB110" s="317"/>
      <c r="AC110" s="309" t="s">
        <v>2508</v>
      </c>
      <c r="AD110" s="311" t="s">
        <v>223</v>
      </c>
      <c r="AE110" s="311"/>
      <c r="AF110" s="310" t="s">
        <v>6985</v>
      </c>
      <c r="AG110" s="310" t="s">
        <v>9083</v>
      </c>
      <c r="AH110" s="310" t="s">
        <v>98</v>
      </c>
      <c r="AI110" s="309" t="s">
        <v>2255</v>
      </c>
      <c r="AJ110" s="6" t="s">
        <v>218</v>
      </c>
      <c r="AK110" s="6" t="str">
        <f t="shared" si="49"/>
        <v>IGUAL</v>
      </c>
      <c r="AL110" s="151" t="str">
        <f>IFERROR(IF(LEFT(A110,3)="LCP",VLOOKUP(A110,STATUS_SAP_LCP!B:C,2,FALSE),VLOOKUP(A110,STATUS_SAP_ICP!B:C,2,FALSE)),"NO BUDGET")</f>
        <v>CLSD BUDG AUC  AVAC  //  APPR BREL EXPL</v>
      </c>
      <c r="AM110" s="6" t="str">
        <f t="shared" si="48"/>
        <v>CLSD</v>
      </c>
      <c r="AN110" s="282" t="s">
        <v>9087</v>
      </c>
      <c r="AO110" s="493">
        <v>1</v>
      </c>
      <c r="AP110" s="499" t="s">
        <v>9607</v>
      </c>
      <c r="AQ110" s="465">
        <v>43588</v>
      </c>
      <c r="AR110" s="460"/>
      <c r="AS110" s="56">
        <v>-1.3</v>
      </c>
      <c r="AT110" s="185">
        <v>0</v>
      </c>
      <c r="AU110" s="318">
        <v>0</v>
      </c>
      <c r="AV110" s="223">
        <v>0</v>
      </c>
      <c r="AW110" s="318">
        <v>0</v>
      </c>
      <c r="AX110" s="223">
        <v>0</v>
      </c>
      <c r="AY110" s="318">
        <f t="shared" si="76"/>
        <v>0</v>
      </c>
      <c r="AZ110" s="223"/>
      <c r="BA110" s="318"/>
      <c r="BB110" s="519">
        <f t="shared" si="77"/>
        <v>0</v>
      </c>
      <c r="BC110" s="518"/>
      <c r="BD110" s="518"/>
      <c r="BE110" s="518"/>
      <c r="BF110" s="518"/>
      <c r="BG110" s="518"/>
      <c r="BH110" s="518"/>
      <c r="BI110" s="518"/>
      <c r="BJ110" s="518"/>
      <c r="BK110" s="518"/>
      <c r="BL110" s="518"/>
      <c r="BM110" s="518"/>
      <c r="BN110" s="518"/>
      <c r="BO110" s="367">
        <f t="shared" si="50"/>
        <v>0</v>
      </c>
      <c r="BP110" s="421"/>
      <c r="BQ110" s="422"/>
      <c r="BR110" s="423">
        <f>IFERROR(IF(LEFT($A110,3)="Lcp",SUMIFS('BASE-LCP'!$K:$K,'BASE-LCP'!$A:$A,Capex!$A101,'BASE-LCP'!$B:$B,"janeiro")/1000,IF(LEFT($A110,3)="icp",SUMIFS('BASE-ICP'!$K:$K,'BASE-ICP'!$A:$A,Capex!$A101,'BASE-ICP'!$B:$B,"janeiro")/1000,"")),"")</f>
        <v>0</v>
      </c>
      <c r="BS110" s="427">
        <v>0</v>
      </c>
      <c r="BT110" s="372">
        <v>0</v>
      </c>
      <c r="BU110" s="422"/>
      <c r="BV110" s="423">
        <f>IFERROR(IF(LEFT($A110,3)="Lcp",SUMIFS('BASE-LCP'!$K:$K,'BASE-LCP'!$A:$A,Capex!$A101,'BASE-LCP'!$B:$B,"fevereiro")/1000,IF(LEFT($A110,3)="icp",SUMIFS('BASE-ICP'!$K:$K,'BASE-ICP'!$A:$A,Capex!$A101,'BASE-ICP'!$B:$B,"fevereiro")/1000,"")),"")</f>
        <v>0</v>
      </c>
      <c r="BW110" s="427">
        <v>0</v>
      </c>
      <c r="BX110" s="372">
        <v>0</v>
      </c>
      <c r="BY110" s="419"/>
      <c r="BZ110" s="423">
        <f>IFERROR(IF(LEFT($A110,3)="Lcp",SUMIFS('BASE-LCP'!$K:$K,'BASE-LCP'!$A:$A,Capex!$A101,'BASE-LCP'!$B:$B,"março")/1000,IF(LEFT($A110,3)="icp",SUMIFS('BASE-ICP'!$K:$K,'BASE-ICP'!$A:$A,Capex!$A101,'BASE-ICP'!$B:$B,"março")/1000,"")),"")</f>
        <v>0</v>
      </c>
      <c r="CA110" s="427">
        <v>0</v>
      </c>
      <c r="CB110" s="372">
        <v>0</v>
      </c>
      <c r="CC110" s="422"/>
      <c r="CD110" s="423">
        <f>IFERROR(IF(LEFT($A110,3)="Lcp",SUMIFS('BASE-LCP'!$K:$K,'BASE-LCP'!$A:$A,Capex!$A101,'BASE-LCP'!$B:$B,"abril")/1000,IF(LEFT($A110,3)="icp",SUMIFS('BASE-ICP'!$K:$K,'BASE-ICP'!$A:$A,Capex!$A101,'BASE-ICP'!$B:$B,"abril")/1000,"")),"")</f>
        <v>0</v>
      </c>
      <c r="CE110" s="427">
        <v>0</v>
      </c>
      <c r="CF110" s="372">
        <v>0</v>
      </c>
      <c r="CG110" s="419"/>
      <c r="CH110" s="423">
        <v>0</v>
      </c>
      <c r="CI110" s="427">
        <v>0</v>
      </c>
      <c r="CJ110" s="372">
        <v>0</v>
      </c>
      <c r="CK110" s="419"/>
      <c r="CL110" s="423">
        <f>IFERROR(IF(LEFT($A110,3)="Lcp",SUMIFS('BASE-LCP'!$K:$K,'BASE-LCP'!$A:$A,Capex!$A101,'BASE-LCP'!$B:$B,"junho")/1000,IF(LEFT($A110,3)="icp",SUMIFS('BASE-ICP'!$K:$K,'BASE-ICP'!$A:$A,Capex!$A101,'BASE-ICP'!$B:$B,"junho")/1000,"")),"")</f>
        <v>0</v>
      </c>
      <c r="CM110" s="427">
        <v>0</v>
      </c>
      <c r="CN110" s="372"/>
      <c r="CO110" s="419"/>
      <c r="CP110" s="423">
        <f>IFERROR(IF(LEFT($A110,3)="Lcp",SUMIFS('BASE-LCP'!$K:$K,'BASE-LCP'!$A:$A,Capex!$A101,'BASE-LCP'!$B:$B,"julho")/1000,IF(LEFT($A110,3)="icp",SUMIFS('BASE-ICP'!$K:$K,'BASE-ICP'!$A:$A,Capex!$A101,'BASE-ICP'!$B:$B,"julho")/1000,"")),"")</f>
        <v>0</v>
      </c>
      <c r="CQ110" s="427">
        <v>0</v>
      </c>
      <c r="CR110" s="372"/>
      <c r="CS110" s="419"/>
      <c r="CT110" s="423">
        <f>IFERROR(IF(LEFT($A110,3)="Lcp",SUMIFS('BASE-LCP'!$K:$K,'BASE-LCP'!$A:$A,Capex!$A101,'BASE-LCP'!$B:$B,"agosto")/1000,IF(LEFT($A110,3)="icp",SUMIFS('BASE-ICP'!$K:$K,'BASE-ICP'!$A:$A,Capex!$A101,'BASE-ICP'!$B:$B,"agosto")/1000,"")),"")</f>
        <v>0</v>
      </c>
      <c r="CU110" s="427">
        <v>0</v>
      </c>
      <c r="CV110" s="372"/>
      <c r="CW110" s="419"/>
      <c r="CX110" s="423">
        <f>IFERROR(IF(LEFT($A110,3)="Lcp",SUMIFS('BASE-LCP'!$K:$K,'BASE-LCP'!$A:$A,Capex!$A101,'BASE-LCP'!$B:$B,"setembro")/1000,IF(LEFT($A110,3)="icp",SUMIFS('BASE-ICP'!$K:$K,'BASE-ICP'!$A:$A,Capex!$A101,'BASE-ICP'!$B:$B,"setembro")/1000,"")),"")</f>
        <v>0</v>
      </c>
      <c r="CY110" s="427">
        <v>0</v>
      </c>
      <c r="CZ110" s="372"/>
      <c r="DA110" s="419"/>
      <c r="DB110" s="423">
        <f>IFERROR(IF(LEFT($A110,3)="Lcp",SUMIFS('BASE-LCP'!$K:$K,'BASE-LCP'!$A:$A,Capex!$A101,'BASE-LCP'!$B:$B,"outubro")/1000,IF(LEFT($A110,3)="icp",SUMIFS('BASE-ICP'!$K:$K,'BASE-ICP'!$A:$A,Capex!$A101,'BASE-ICP'!$B:$B,"outubro")/1000,"")),"")</f>
        <v>0</v>
      </c>
      <c r="DC110" s="427">
        <v>0</v>
      </c>
      <c r="DD110" s="372"/>
      <c r="DE110" s="419"/>
      <c r="DF110" s="423">
        <f>IFERROR(IF(LEFT($A110,3)="Lcp",SUMIFS('BASE-LCP'!$K:$K,'BASE-LCP'!$A:$A,Capex!$A101,'BASE-LCP'!$B:$B,"novembro")/1000,IF(LEFT($A110,3)="icp",SUMIFS('BASE-ICP'!$K:$K,'BASE-ICP'!$A:$A,Capex!$A101,'BASE-ICP'!$B:$B,"novembro")/1000,"")),"")</f>
        <v>0</v>
      </c>
      <c r="DG110" s="427">
        <v>0</v>
      </c>
      <c r="DH110" s="372"/>
      <c r="DI110" s="419"/>
      <c r="DJ110" s="423">
        <f>IFERROR(IF(LEFT($A110,3)="Lcp",SUMIFS('BASE-LCP'!$K:$K,'BASE-LCP'!$A:$A,Capex!$A101,'BASE-LCP'!$B:$B,"dezembro")/1000,IF(LEFT($A110,3)="icp",SUMIFS('BASE-ICP'!$K:$K,'BASE-ICP'!$A:$A,Capex!$A101,'BASE-ICP'!$B:$B,"dezembro")/1000,"")),"")</f>
        <v>0</v>
      </c>
      <c r="DK110" s="427">
        <v>0</v>
      </c>
      <c r="DL110" s="452">
        <f t="shared" si="51"/>
        <v>0</v>
      </c>
      <c r="DM110" s="374"/>
      <c r="DN110" s="374"/>
      <c r="DO110" s="374"/>
      <c r="DP110" s="374"/>
      <c r="DQ110" s="374"/>
      <c r="DR110" s="374"/>
      <c r="DS110" s="374"/>
      <c r="DT110" s="374"/>
      <c r="DU110" s="374"/>
      <c r="DV110" s="374"/>
      <c r="DW110" s="374"/>
      <c r="DX110" s="374"/>
      <c r="DY110" s="450"/>
      <c r="DZ110" s="374">
        <f t="shared" si="52"/>
        <v>0</v>
      </c>
      <c r="EA110" s="216">
        <f t="shared" si="53"/>
        <v>0</v>
      </c>
      <c r="EB110" s="320">
        <f t="shared" si="54"/>
        <v>0</v>
      </c>
      <c r="EC110" s="241">
        <f t="shared" si="55"/>
        <v>0</v>
      </c>
      <c r="ED110" s="241">
        <f t="shared" si="56"/>
        <v>0</v>
      </c>
      <c r="EE110" s="241">
        <f t="shared" si="57"/>
        <v>0</v>
      </c>
      <c r="EF110" s="241">
        <f t="shared" si="58"/>
        <v>0</v>
      </c>
      <c r="EG110" s="346">
        <f t="shared" si="59"/>
        <v>0</v>
      </c>
      <c r="EH110" s="445">
        <f t="shared" si="60"/>
        <v>0</v>
      </c>
      <c r="EI110" s="447">
        <f t="shared" si="61"/>
        <v>0</v>
      </c>
      <c r="EJ110" s="364">
        <f t="shared" si="62"/>
        <v>0</v>
      </c>
      <c r="EK110" s="365">
        <f t="shared" si="63"/>
        <v>0</v>
      </c>
      <c r="EL110" s="529">
        <f t="shared" si="64"/>
        <v>0</v>
      </c>
      <c r="EM110" s="530">
        <v>0</v>
      </c>
      <c r="EN110" s="530">
        <v>0</v>
      </c>
      <c r="EO110" s="530">
        <v>0</v>
      </c>
      <c r="EP110" s="530">
        <v>0</v>
      </c>
      <c r="EQ110" s="530">
        <v>0</v>
      </c>
      <c r="ER110" s="530">
        <v>0</v>
      </c>
      <c r="ES110" s="530">
        <v>0</v>
      </c>
      <c r="ET110" s="530">
        <v>0</v>
      </c>
      <c r="EU110" s="530">
        <v>0</v>
      </c>
      <c r="EV110" s="530">
        <v>0</v>
      </c>
      <c r="EW110" s="530">
        <v>0</v>
      </c>
      <c r="EX110" s="530">
        <v>0</v>
      </c>
      <c r="EY110" s="530">
        <f t="shared" si="65"/>
        <v>0</v>
      </c>
      <c r="EZ110" s="530">
        <f t="shared" si="66"/>
        <v>0</v>
      </c>
      <c r="FA110" s="530">
        <f t="shared" si="67"/>
        <v>0</v>
      </c>
      <c r="FB110" s="530">
        <f t="shared" si="68"/>
        <v>0</v>
      </c>
      <c r="FC110" s="384">
        <f>IFERROR(VLOOKUP(Capex!A101,BASE_558!D:R,8,FALSE)/1000,"")</f>
        <v>112.1</v>
      </c>
      <c r="FD110" s="328">
        <f>IFERROR(VLOOKUP(Capex!A101,BASE_558!D:R,9,)/1000,"")</f>
        <v>101.47055999999999</v>
      </c>
      <c r="FE110" s="328">
        <f>IFERROR(IF(LEFT(A110,3)="LCP",(VLOOKUP(Capex!A101,BASE_558!D:R,10,)/1000),SUMIFS('BASE ICP_PO_SC'!F:F,'BASE ICP_PO_SC'!A:A,Capex!A101,'BASE ICP_PO_SC'!E:E,"&lt;&gt;")/1000),"")</f>
        <v>0</v>
      </c>
      <c r="FF110" s="328">
        <f>IFERROR(IF(LEFT(A110,3)="LCP",(VLOOKUP(Capex!A101,BASE_558!D:R,11,)/1000),SUMIFS('BASE ICP_PO_SC'!F:F,'BASE ICP_PO_SC'!A:A,Capex!A101,'BASE ICP_PO_SC'!E:E,"")/1000),"")</f>
        <v>0</v>
      </c>
      <c r="FG110" s="328">
        <f>IFERROR(VLOOKUP(A110,BASE_558!D:R,13,FALSE)/1000,"")</f>
        <v>66.357460000000003</v>
      </c>
      <c r="FH110" s="328">
        <f>IFERROR(VLOOKUP(A110,BASE_558!D:R,15,FALSE)/1000,"")</f>
        <v>8.6425400000000003</v>
      </c>
      <c r="FI110" s="547">
        <f t="shared" si="69"/>
        <v>0</v>
      </c>
      <c r="FJ110" s="547">
        <f t="shared" si="70"/>
        <v>0</v>
      </c>
      <c r="FK110" s="540">
        <f t="shared" si="71"/>
        <v>0</v>
      </c>
    </row>
    <row r="111" spans="1:167" s="23" customFormat="1" ht="24" customHeight="1">
      <c r="A111" s="84" t="s">
        <v>67</v>
      </c>
      <c r="B111" s="404"/>
      <c r="C111" s="404"/>
      <c r="D111" s="338" t="s">
        <v>2220</v>
      </c>
      <c r="E111" s="378"/>
      <c r="F111" s="5"/>
      <c r="G111" s="310" t="s">
        <v>9</v>
      </c>
      <c r="H111" s="338"/>
      <c r="I111" s="338"/>
      <c r="J111" s="338">
        <v>2018</v>
      </c>
      <c r="K111" s="316">
        <v>43238</v>
      </c>
      <c r="L111" s="317">
        <v>43871</v>
      </c>
      <c r="M111" s="409"/>
      <c r="N111" s="317">
        <f t="shared" si="74"/>
        <v>44150</v>
      </c>
      <c r="O111" s="317">
        <f t="shared" si="75"/>
        <v>44515</v>
      </c>
      <c r="P111" s="418" t="str">
        <f t="shared" si="79"/>
        <v>CRTD</v>
      </c>
      <c r="Q111" s="418" t="str">
        <f t="shared" si="79"/>
        <v>CRTD</v>
      </c>
      <c r="R111" s="418" t="str">
        <f t="shared" si="79"/>
        <v>CRTD</v>
      </c>
      <c r="S111" s="418" t="str">
        <f t="shared" si="79"/>
        <v>CRTD</v>
      </c>
      <c r="T111" s="418" t="str">
        <f t="shared" si="79"/>
        <v>CRTD</v>
      </c>
      <c r="U111" s="418" t="str">
        <f t="shared" si="79"/>
        <v>CRTD</v>
      </c>
      <c r="V111" s="418" t="str">
        <f t="shared" si="79"/>
        <v>CRTD</v>
      </c>
      <c r="W111" s="418" t="str">
        <f t="shared" si="79"/>
        <v>CRTD</v>
      </c>
      <c r="X111" s="418" t="str">
        <f t="shared" si="79"/>
        <v>CRTD</v>
      </c>
      <c r="Y111" s="418" t="str">
        <f t="shared" si="79"/>
        <v>CRTD</v>
      </c>
      <c r="Z111" s="418" t="str">
        <f t="shared" si="79"/>
        <v>CRTD</v>
      </c>
      <c r="AA111" s="418" t="str">
        <f t="shared" si="79"/>
        <v>CRTD</v>
      </c>
      <c r="AB111" s="317"/>
      <c r="AC111" s="309" t="s">
        <v>3932</v>
      </c>
      <c r="AD111" s="311" t="s">
        <v>224</v>
      </c>
      <c r="AE111" s="311"/>
      <c r="AF111" s="310" t="s">
        <v>6985</v>
      </c>
      <c r="AG111" s="310" t="s">
        <v>9083</v>
      </c>
      <c r="AH111" s="310" t="s">
        <v>68</v>
      </c>
      <c r="AI111" s="309" t="s">
        <v>185</v>
      </c>
      <c r="AJ111" s="6" t="s">
        <v>218</v>
      </c>
      <c r="AK111" s="6" t="str">
        <f t="shared" si="49"/>
        <v>IGUAL</v>
      </c>
      <c r="AL111" s="151" t="str">
        <f>IFERROR(IF(LEFT(A111,3)="LCP",VLOOKUP(A111,STATUS_SAP_LCP!B:C,2,FALSE),VLOOKUP(A111,STATUS_SAP_ICP!B:C,2,FALSE)),"NO BUDGET")</f>
        <v>CLSD BUDG AUC  AVAC  //  APPR BREL EXPL</v>
      </c>
      <c r="AM111" s="6" t="str">
        <f t="shared" si="48"/>
        <v>CLSD</v>
      </c>
      <c r="AN111" s="282" t="s">
        <v>9096</v>
      </c>
      <c r="AO111" s="493">
        <v>1</v>
      </c>
      <c r="AP111" s="499" t="s">
        <v>9607</v>
      </c>
      <c r="AQ111" s="465">
        <v>43871</v>
      </c>
      <c r="AR111" s="460"/>
      <c r="AS111" s="56">
        <v>100.7238212826081</v>
      </c>
      <c r="AT111" s="185">
        <v>0</v>
      </c>
      <c r="AU111" s="318">
        <v>0</v>
      </c>
      <c r="AV111" s="223">
        <v>0</v>
      </c>
      <c r="AW111" s="318">
        <v>0</v>
      </c>
      <c r="AX111" s="223">
        <v>0</v>
      </c>
      <c r="AY111" s="318">
        <f t="shared" si="76"/>
        <v>0</v>
      </c>
      <c r="AZ111" s="223"/>
      <c r="BA111" s="318"/>
      <c r="BB111" s="519">
        <f t="shared" si="77"/>
        <v>0</v>
      </c>
      <c r="BC111" s="518"/>
      <c r="BD111" s="518"/>
      <c r="BE111" s="518"/>
      <c r="BF111" s="518"/>
      <c r="BG111" s="518"/>
      <c r="BH111" s="518"/>
      <c r="BI111" s="518"/>
      <c r="BJ111" s="518"/>
      <c r="BK111" s="518"/>
      <c r="BL111" s="518"/>
      <c r="BM111" s="518"/>
      <c r="BN111" s="518"/>
      <c r="BO111" s="367">
        <f t="shared" si="50"/>
        <v>0</v>
      </c>
      <c r="BP111" s="421"/>
      <c r="BQ111" s="422"/>
      <c r="BR111" s="423">
        <f>IFERROR(IF(LEFT($A111,3)="Lcp",SUMIFS('BASE-LCP'!$K:$K,'BASE-LCP'!$A:$A,Capex!$A102,'BASE-LCP'!$B:$B,"janeiro")/1000,IF(LEFT($A111,3)="icp",SUMIFS('BASE-ICP'!$K:$K,'BASE-ICP'!$A:$A,Capex!$A102,'BASE-ICP'!$B:$B,"janeiro")/1000,"")),"")</f>
        <v>0</v>
      </c>
      <c r="BS111" s="427">
        <v>0</v>
      </c>
      <c r="BT111" s="372">
        <v>0</v>
      </c>
      <c r="BU111" s="422"/>
      <c r="BV111" s="423">
        <f>IFERROR(IF(LEFT($A111,3)="Lcp",SUMIFS('BASE-LCP'!$K:$K,'BASE-LCP'!$A:$A,Capex!$A102,'BASE-LCP'!$B:$B,"fevereiro")/1000,IF(LEFT($A111,3)="icp",SUMIFS('BASE-ICP'!$K:$K,'BASE-ICP'!$A:$A,Capex!$A102,'BASE-ICP'!$B:$B,"fevereiro")/1000,"")),"")</f>
        <v>0</v>
      </c>
      <c r="BW111" s="427">
        <v>0</v>
      </c>
      <c r="BX111" s="372">
        <v>0</v>
      </c>
      <c r="BY111" s="419"/>
      <c r="BZ111" s="423">
        <f>IFERROR(IF(LEFT($A111,3)="Lcp",SUMIFS('BASE-LCP'!$K:$K,'BASE-LCP'!$A:$A,Capex!$A102,'BASE-LCP'!$B:$B,"março")/1000,IF(LEFT($A111,3)="icp",SUMIFS('BASE-ICP'!$K:$K,'BASE-ICP'!$A:$A,Capex!$A102,'BASE-ICP'!$B:$B,"março")/1000,"")),"")</f>
        <v>0</v>
      </c>
      <c r="CA111" s="427">
        <v>0</v>
      </c>
      <c r="CB111" s="372">
        <v>0</v>
      </c>
      <c r="CC111" s="422"/>
      <c r="CD111" s="423">
        <f>IFERROR(IF(LEFT($A111,3)="Lcp",SUMIFS('BASE-LCP'!$K:$K,'BASE-LCP'!$A:$A,Capex!$A102,'BASE-LCP'!$B:$B,"abril")/1000,IF(LEFT($A111,3)="icp",SUMIFS('BASE-ICP'!$K:$K,'BASE-ICP'!$A:$A,Capex!$A102,'BASE-ICP'!$B:$B,"abril")/1000,"")),"")</f>
        <v>0</v>
      </c>
      <c r="CE111" s="427">
        <v>0</v>
      </c>
      <c r="CF111" s="372">
        <v>0</v>
      </c>
      <c r="CG111" s="419"/>
      <c r="CH111" s="423">
        <v>0</v>
      </c>
      <c r="CI111" s="427">
        <v>0</v>
      </c>
      <c r="CJ111" s="372">
        <v>0</v>
      </c>
      <c r="CK111" s="419"/>
      <c r="CL111" s="423">
        <f>IFERROR(IF(LEFT($A111,3)="Lcp",SUMIFS('BASE-LCP'!$K:$K,'BASE-LCP'!$A:$A,Capex!$A102,'BASE-LCP'!$B:$B,"junho")/1000,IF(LEFT($A111,3)="icp",SUMIFS('BASE-ICP'!$K:$K,'BASE-ICP'!$A:$A,Capex!$A102,'BASE-ICP'!$B:$B,"junho")/1000,"")),"")</f>
        <v>0</v>
      </c>
      <c r="CM111" s="427">
        <v>0</v>
      </c>
      <c r="CN111" s="372"/>
      <c r="CO111" s="419"/>
      <c r="CP111" s="423">
        <f>IFERROR(IF(LEFT($A111,3)="Lcp",SUMIFS('BASE-LCP'!$K:$K,'BASE-LCP'!$A:$A,Capex!$A102,'BASE-LCP'!$B:$B,"julho")/1000,IF(LEFT($A111,3)="icp",SUMIFS('BASE-ICP'!$K:$K,'BASE-ICP'!$A:$A,Capex!$A102,'BASE-ICP'!$B:$B,"julho")/1000,"")),"")</f>
        <v>0</v>
      </c>
      <c r="CQ111" s="427">
        <v>0</v>
      </c>
      <c r="CR111" s="372"/>
      <c r="CS111" s="419"/>
      <c r="CT111" s="423">
        <f>IFERROR(IF(LEFT($A111,3)="Lcp",SUMIFS('BASE-LCP'!$K:$K,'BASE-LCP'!$A:$A,Capex!$A102,'BASE-LCP'!$B:$B,"agosto")/1000,IF(LEFT($A111,3)="icp",SUMIFS('BASE-ICP'!$K:$K,'BASE-ICP'!$A:$A,Capex!$A102,'BASE-ICP'!$B:$B,"agosto")/1000,"")),"")</f>
        <v>0</v>
      </c>
      <c r="CU111" s="427">
        <v>0</v>
      </c>
      <c r="CV111" s="372"/>
      <c r="CW111" s="419"/>
      <c r="CX111" s="423">
        <f>IFERROR(IF(LEFT($A111,3)="Lcp",SUMIFS('BASE-LCP'!$K:$K,'BASE-LCP'!$A:$A,Capex!$A102,'BASE-LCP'!$B:$B,"setembro")/1000,IF(LEFT($A111,3)="icp",SUMIFS('BASE-ICP'!$K:$K,'BASE-ICP'!$A:$A,Capex!$A102,'BASE-ICP'!$B:$B,"setembro")/1000,"")),"")</f>
        <v>0</v>
      </c>
      <c r="CY111" s="427">
        <v>0</v>
      </c>
      <c r="CZ111" s="372"/>
      <c r="DA111" s="419"/>
      <c r="DB111" s="423">
        <f>IFERROR(IF(LEFT($A111,3)="Lcp",SUMIFS('BASE-LCP'!$K:$K,'BASE-LCP'!$A:$A,Capex!$A102,'BASE-LCP'!$B:$B,"outubro")/1000,IF(LEFT($A111,3)="icp",SUMIFS('BASE-ICP'!$K:$K,'BASE-ICP'!$A:$A,Capex!$A102,'BASE-ICP'!$B:$B,"outubro")/1000,"")),"")</f>
        <v>0</v>
      </c>
      <c r="DC111" s="427">
        <v>0</v>
      </c>
      <c r="DD111" s="372"/>
      <c r="DE111" s="419"/>
      <c r="DF111" s="423">
        <f>IFERROR(IF(LEFT($A111,3)="Lcp",SUMIFS('BASE-LCP'!$K:$K,'BASE-LCP'!$A:$A,Capex!$A102,'BASE-LCP'!$B:$B,"novembro")/1000,IF(LEFT($A111,3)="icp",SUMIFS('BASE-ICP'!$K:$K,'BASE-ICP'!$A:$A,Capex!$A102,'BASE-ICP'!$B:$B,"novembro")/1000,"")),"")</f>
        <v>0</v>
      </c>
      <c r="DG111" s="427">
        <v>0</v>
      </c>
      <c r="DH111" s="372"/>
      <c r="DI111" s="419"/>
      <c r="DJ111" s="423">
        <f>IFERROR(IF(LEFT($A111,3)="Lcp",SUMIFS('BASE-LCP'!$K:$K,'BASE-LCP'!$A:$A,Capex!$A102,'BASE-LCP'!$B:$B,"dezembro")/1000,IF(LEFT($A111,3)="icp",SUMIFS('BASE-ICP'!$K:$K,'BASE-ICP'!$A:$A,Capex!$A102,'BASE-ICP'!$B:$B,"dezembro")/1000,"")),"")</f>
        <v>0</v>
      </c>
      <c r="DK111" s="427">
        <v>0</v>
      </c>
      <c r="DL111" s="452">
        <f t="shared" si="51"/>
        <v>0</v>
      </c>
      <c r="DM111" s="374"/>
      <c r="DN111" s="374"/>
      <c r="DO111" s="374"/>
      <c r="DP111" s="374"/>
      <c r="DQ111" s="374"/>
      <c r="DR111" s="374"/>
      <c r="DS111" s="374"/>
      <c r="DT111" s="374"/>
      <c r="DU111" s="374"/>
      <c r="DV111" s="374"/>
      <c r="DW111" s="374"/>
      <c r="DX111" s="374"/>
      <c r="DY111" s="450"/>
      <c r="DZ111" s="374">
        <f t="shared" si="52"/>
        <v>0</v>
      </c>
      <c r="EA111" s="216">
        <f t="shared" si="53"/>
        <v>0</v>
      </c>
      <c r="EB111" s="320">
        <f t="shared" si="54"/>
        <v>0</v>
      </c>
      <c r="EC111" s="241">
        <f t="shared" si="55"/>
        <v>0</v>
      </c>
      <c r="ED111" s="241">
        <f t="shared" si="56"/>
        <v>0</v>
      </c>
      <c r="EE111" s="241">
        <f t="shared" si="57"/>
        <v>0</v>
      </c>
      <c r="EF111" s="241">
        <f t="shared" si="58"/>
        <v>0</v>
      </c>
      <c r="EG111" s="346">
        <f t="shared" si="59"/>
        <v>0</v>
      </c>
      <c r="EH111" s="445">
        <f t="shared" si="60"/>
        <v>0</v>
      </c>
      <c r="EI111" s="447">
        <f t="shared" si="61"/>
        <v>0</v>
      </c>
      <c r="EJ111" s="364">
        <f t="shared" si="62"/>
        <v>0</v>
      </c>
      <c r="EK111" s="365">
        <f t="shared" si="63"/>
        <v>0</v>
      </c>
      <c r="EL111" s="529">
        <f t="shared" si="64"/>
        <v>0</v>
      </c>
      <c r="EM111" s="530">
        <v>0</v>
      </c>
      <c r="EN111" s="530">
        <v>0</v>
      </c>
      <c r="EO111" s="530">
        <v>0</v>
      </c>
      <c r="EP111" s="530">
        <v>0</v>
      </c>
      <c r="EQ111" s="530">
        <v>0</v>
      </c>
      <c r="ER111" s="530">
        <v>0</v>
      </c>
      <c r="ES111" s="530">
        <v>0</v>
      </c>
      <c r="ET111" s="530">
        <v>0</v>
      </c>
      <c r="EU111" s="530">
        <v>0</v>
      </c>
      <c r="EV111" s="530">
        <v>0</v>
      </c>
      <c r="EW111" s="530">
        <v>0</v>
      </c>
      <c r="EX111" s="530">
        <v>0</v>
      </c>
      <c r="EY111" s="530">
        <f t="shared" si="65"/>
        <v>0</v>
      </c>
      <c r="EZ111" s="530">
        <f t="shared" si="66"/>
        <v>0</v>
      </c>
      <c r="FA111" s="530">
        <f t="shared" si="67"/>
        <v>0</v>
      </c>
      <c r="FB111" s="530">
        <f t="shared" si="68"/>
        <v>0</v>
      </c>
      <c r="FC111" s="384">
        <f>IFERROR(VLOOKUP(Capex!A102,BASE_558!D:R,8,FALSE)/1000,"")</f>
        <v>68.5</v>
      </c>
      <c r="FD111" s="328">
        <f>IFERROR(VLOOKUP(Capex!A102,BASE_558!D:R,9,)/1000,"")</f>
        <v>65.735699999999994</v>
      </c>
      <c r="FE111" s="328">
        <f>IFERROR(IF(LEFT(A111,3)="LCP",(VLOOKUP(Capex!A102,BASE_558!D:R,10,)/1000),SUMIFS('BASE ICP_PO_SC'!F:F,'BASE ICP_PO_SC'!A:A,Capex!A102,'BASE ICP_PO_SC'!E:E,"&lt;&gt;")/1000),"")</f>
        <v>0</v>
      </c>
      <c r="FF111" s="328">
        <f>IFERROR(IF(LEFT(A111,3)="LCP",(VLOOKUP(Capex!A102,BASE_558!D:R,11,)/1000),SUMIFS('BASE ICP_PO_SC'!F:F,'BASE ICP_PO_SC'!A:A,Capex!A102,'BASE ICP_PO_SC'!E:E,"")/1000),"")</f>
        <v>0</v>
      </c>
      <c r="FG111" s="328">
        <f>IFERROR(VLOOKUP(A111,BASE_558!D:R,13,FALSE)/1000,"")</f>
        <v>103.48542999999999</v>
      </c>
      <c r="FH111" s="328">
        <f>IFERROR(VLOOKUP(A111,BASE_558!D:R,15,FALSE)/1000,"")</f>
        <v>13.094569999999999</v>
      </c>
      <c r="FI111" s="547">
        <f t="shared" si="69"/>
        <v>0</v>
      </c>
      <c r="FJ111" s="547">
        <f t="shared" si="70"/>
        <v>0</v>
      </c>
      <c r="FK111" s="540">
        <f t="shared" si="71"/>
        <v>0</v>
      </c>
    </row>
    <row r="112" spans="1:167" s="23" customFormat="1" ht="24" customHeight="1">
      <c r="A112" s="84" t="s">
        <v>93</v>
      </c>
      <c r="B112" s="404"/>
      <c r="C112" s="404"/>
      <c r="D112" s="338" t="s">
        <v>913</v>
      </c>
      <c r="E112" s="378"/>
      <c r="F112" s="5"/>
      <c r="G112" s="310" t="s">
        <v>9</v>
      </c>
      <c r="H112" s="338"/>
      <c r="I112" s="338"/>
      <c r="J112" s="338">
        <v>2018</v>
      </c>
      <c r="K112" s="316">
        <v>43293</v>
      </c>
      <c r="L112" s="317">
        <v>44218</v>
      </c>
      <c r="M112" s="409"/>
      <c r="N112" s="317">
        <f t="shared" si="74"/>
        <v>44205</v>
      </c>
      <c r="O112" s="317">
        <f t="shared" si="75"/>
        <v>44570</v>
      </c>
      <c r="P112" s="418" t="str">
        <f t="shared" si="79"/>
        <v>CRTD</v>
      </c>
      <c r="Q112" s="418" t="str">
        <f t="shared" si="79"/>
        <v>CRTD</v>
      </c>
      <c r="R112" s="418" t="str">
        <f t="shared" si="79"/>
        <v>CRTD</v>
      </c>
      <c r="S112" s="418" t="str">
        <f t="shared" si="79"/>
        <v>CRTD</v>
      </c>
      <c r="T112" s="418" t="str">
        <f t="shared" si="79"/>
        <v>CRTD</v>
      </c>
      <c r="U112" s="418" t="str">
        <f t="shared" si="79"/>
        <v>CRTD</v>
      </c>
      <c r="V112" s="418" t="str">
        <f t="shared" si="79"/>
        <v>CRTD</v>
      </c>
      <c r="W112" s="418" t="str">
        <f t="shared" si="79"/>
        <v>CRTD</v>
      </c>
      <c r="X112" s="418" t="str">
        <f t="shared" si="79"/>
        <v>CRTD</v>
      </c>
      <c r="Y112" s="418" t="str">
        <f t="shared" si="79"/>
        <v>CRTD</v>
      </c>
      <c r="Z112" s="418" t="str">
        <f t="shared" si="79"/>
        <v>CRTD</v>
      </c>
      <c r="AA112" s="418" t="str">
        <f t="shared" si="79"/>
        <v>CRTD</v>
      </c>
      <c r="AB112" s="317"/>
      <c r="AC112" s="309" t="s">
        <v>2508</v>
      </c>
      <c r="AD112" s="311" t="s">
        <v>223</v>
      </c>
      <c r="AE112" s="311"/>
      <c r="AF112" s="310" t="s">
        <v>6985</v>
      </c>
      <c r="AG112" s="310" t="s">
        <v>9083</v>
      </c>
      <c r="AH112" s="310" t="s">
        <v>94</v>
      </c>
      <c r="AI112" s="309" t="s">
        <v>186</v>
      </c>
      <c r="AJ112" s="6" t="s">
        <v>218</v>
      </c>
      <c r="AK112" s="6" t="str">
        <f t="shared" si="49"/>
        <v>IGUAL</v>
      </c>
      <c r="AL112" s="151" t="str">
        <f>IFERROR(IF(LEFT(A112,3)="LCP",VLOOKUP(A112,STATUS_SAP_LCP!B:C,2,FALSE),VLOOKUP(A112,STATUS_SAP_ICP!B:C,2,FALSE)),"NO BUDGET")</f>
        <v>CLSD BUDG AUC  AVAC  //  APPR BREL EXPL</v>
      </c>
      <c r="AM112" s="6" t="str">
        <f t="shared" si="48"/>
        <v>CLSD</v>
      </c>
      <c r="AN112" s="282" t="s">
        <v>9087</v>
      </c>
      <c r="AO112" s="493">
        <v>1</v>
      </c>
      <c r="AP112" s="499" t="s">
        <v>9607</v>
      </c>
      <c r="AQ112" s="465">
        <v>44218</v>
      </c>
      <c r="AR112" s="460"/>
      <c r="AS112" s="56">
        <v>27.903765605009657</v>
      </c>
      <c r="AT112" s="185">
        <v>0</v>
      </c>
      <c r="AU112" s="318">
        <v>0</v>
      </c>
      <c r="AV112" s="223">
        <v>0</v>
      </c>
      <c r="AW112" s="318">
        <v>0</v>
      </c>
      <c r="AX112" s="223">
        <v>0</v>
      </c>
      <c r="AY112" s="318">
        <f t="shared" si="76"/>
        <v>0</v>
      </c>
      <c r="AZ112" s="223"/>
      <c r="BA112" s="318"/>
      <c r="BB112" s="519">
        <f t="shared" si="77"/>
        <v>0</v>
      </c>
      <c r="BC112" s="518"/>
      <c r="BD112" s="518"/>
      <c r="BE112" s="518"/>
      <c r="BF112" s="518"/>
      <c r="BG112" s="518"/>
      <c r="BH112" s="518"/>
      <c r="BI112" s="518"/>
      <c r="BJ112" s="518"/>
      <c r="BK112" s="518"/>
      <c r="BL112" s="518"/>
      <c r="BM112" s="518"/>
      <c r="BN112" s="518"/>
      <c r="BO112" s="367">
        <f t="shared" si="50"/>
        <v>0</v>
      </c>
      <c r="BP112" s="421"/>
      <c r="BQ112" s="422"/>
      <c r="BR112" s="423">
        <f>IFERROR(IF(LEFT($A112,3)="Lcp",SUMIFS('BASE-LCP'!$K:$K,'BASE-LCP'!$A:$A,Capex!$A103,'BASE-LCP'!$B:$B,"janeiro")/1000,IF(LEFT($A112,3)="icp",SUMIFS('BASE-ICP'!$K:$K,'BASE-ICP'!$A:$A,Capex!$A103,'BASE-ICP'!$B:$B,"janeiro")/1000,"")),"")</f>
        <v>0</v>
      </c>
      <c r="BS112" s="427">
        <v>0</v>
      </c>
      <c r="BT112" s="372">
        <v>0</v>
      </c>
      <c r="BU112" s="422"/>
      <c r="BV112" s="423">
        <f>IFERROR(IF(LEFT($A112,3)="Lcp",SUMIFS('BASE-LCP'!$K:$K,'BASE-LCP'!$A:$A,Capex!$A103,'BASE-LCP'!$B:$B,"fevereiro")/1000,IF(LEFT($A112,3)="icp",SUMIFS('BASE-ICP'!$K:$K,'BASE-ICP'!$A:$A,Capex!$A103,'BASE-ICP'!$B:$B,"fevereiro")/1000,"")),"")</f>
        <v>0</v>
      </c>
      <c r="BW112" s="427">
        <v>0</v>
      </c>
      <c r="BX112" s="372">
        <v>0</v>
      </c>
      <c r="BY112" s="419"/>
      <c r="BZ112" s="423">
        <f>IFERROR(IF(LEFT($A112,3)="Lcp",SUMIFS('BASE-LCP'!$K:$K,'BASE-LCP'!$A:$A,Capex!$A103,'BASE-LCP'!$B:$B,"março")/1000,IF(LEFT($A112,3)="icp",SUMIFS('BASE-ICP'!$K:$K,'BASE-ICP'!$A:$A,Capex!$A103,'BASE-ICP'!$B:$B,"março")/1000,"")),"")</f>
        <v>0</v>
      </c>
      <c r="CA112" s="427">
        <v>0</v>
      </c>
      <c r="CB112" s="372">
        <v>0</v>
      </c>
      <c r="CC112" s="422"/>
      <c r="CD112" s="423">
        <f>IFERROR(IF(LEFT($A112,3)="Lcp",SUMIFS('BASE-LCP'!$K:$K,'BASE-LCP'!$A:$A,Capex!$A103,'BASE-LCP'!$B:$B,"abril")/1000,IF(LEFT($A112,3)="icp",SUMIFS('BASE-ICP'!$K:$K,'BASE-ICP'!$A:$A,Capex!$A103,'BASE-ICP'!$B:$B,"abril")/1000,"")),"")</f>
        <v>0</v>
      </c>
      <c r="CE112" s="427">
        <v>0</v>
      </c>
      <c r="CF112" s="372">
        <v>0</v>
      </c>
      <c r="CG112" s="419"/>
      <c r="CH112" s="423">
        <v>0</v>
      </c>
      <c r="CI112" s="427">
        <v>0</v>
      </c>
      <c r="CJ112" s="372">
        <v>0</v>
      </c>
      <c r="CK112" s="419"/>
      <c r="CL112" s="423">
        <f>IFERROR(IF(LEFT($A112,3)="Lcp",SUMIFS('BASE-LCP'!$K:$K,'BASE-LCP'!$A:$A,Capex!$A103,'BASE-LCP'!$B:$B,"junho")/1000,IF(LEFT($A112,3)="icp",SUMIFS('BASE-ICP'!$K:$K,'BASE-ICP'!$A:$A,Capex!$A103,'BASE-ICP'!$B:$B,"junho")/1000,"")),"")</f>
        <v>0</v>
      </c>
      <c r="CM112" s="427">
        <v>0</v>
      </c>
      <c r="CN112" s="372"/>
      <c r="CO112" s="419"/>
      <c r="CP112" s="423">
        <f>IFERROR(IF(LEFT($A112,3)="Lcp",SUMIFS('BASE-LCP'!$K:$K,'BASE-LCP'!$A:$A,Capex!$A103,'BASE-LCP'!$B:$B,"julho")/1000,IF(LEFT($A112,3)="icp",SUMIFS('BASE-ICP'!$K:$K,'BASE-ICP'!$A:$A,Capex!$A103,'BASE-ICP'!$B:$B,"julho")/1000,"")),"")</f>
        <v>0</v>
      </c>
      <c r="CQ112" s="427">
        <v>0</v>
      </c>
      <c r="CR112" s="372"/>
      <c r="CS112" s="419"/>
      <c r="CT112" s="423">
        <f>IFERROR(IF(LEFT($A112,3)="Lcp",SUMIFS('BASE-LCP'!$K:$K,'BASE-LCP'!$A:$A,Capex!$A103,'BASE-LCP'!$B:$B,"agosto")/1000,IF(LEFT($A112,3)="icp",SUMIFS('BASE-ICP'!$K:$K,'BASE-ICP'!$A:$A,Capex!$A103,'BASE-ICP'!$B:$B,"agosto")/1000,"")),"")</f>
        <v>0</v>
      </c>
      <c r="CU112" s="427">
        <v>0</v>
      </c>
      <c r="CV112" s="372"/>
      <c r="CW112" s="419"/>
      <c r="CX112" s="423">
        <f>IFERROR(IF(LEFT($A112,3)="Lcp",SUMIFS('BASE-LCP'!$K:$K,'BASE-LCP'!$A:$A,Capex!$A103,'BASE-LCP'!$B:$B,"setembro")/1000,IF(LEFT($A112,3)="icp",SUMIFS('BASE-ICP'!$K:$K,'BASE-ICP'!$A:$A,Capex!$A103,'BASE-ICP'!$B:$B,"setembro")/1000,"")),"")</f>
        <v>0</v>
      </c>
      <c r="CY112" s="427">
        <v>0</v>
      </c>
      <c r="CZ112" s="372"/>
      <c r="DA112" s="419"/>
      <c r="DB112" s="423">
        <f>IFERROR(IF(LEFT($A112,3)="Lcp",SUMIFS('BASE-LCP'!$K:$K,'BASE-LCP'!$A:$A,Capex!$A103,'BASE-LCP'!$B:$B,"outubro")/1000,IF(LEFT($A112,3)="icp",SUMIFS('BASE-ICP'!$K:$K,'BASE-ICP'!$A:$A,Capex!$A103,'BASE-ICP'!$B:$B,"outubro")/1000,"")),"")</f>
        <v>0</v>
      </c>
      <c r="DC112" s="427">
        <v>0</v>
      </c>
      <c r="DD112" s="372"/>
      <c r="DE112" s="419"/>
      <c r="DF112" s="423">
        <f>IFERROR(IF(LEFT($A112,3)="Lcp",SUMIFS('BASE-LCP'!$K:$K,'BASE-LCP'!$A:$A,Capex!$A103,'BASE-LCP'!$B:$B,"novembro")/1000,IF(LEFT($A112,3)="icp",SUMIFS('BASE-ICP'!$K:$K,'BASE-ICP'!$A:$A,Capex!$A103,'BASE-ICP'!$B:$B,"novembro")/1000,"")),"")</f>
        <v>0</v>
      </c>
      <c r="DG112" s="427">
        <v>0</v>
      </c>
      <c r="DH112" s="372"/>
      <c r="DI112" s="419"/>
      <c r="DJ112" s="423">
        <f>IFERROR(IF(LEFT($A112,3)="Lcp",SUMIFS('BASE-LCP'!$K:$K,'BASE-LCP'!$A:$A,Capex!$A103,'BASE-LCP'!$B:$B,"dezembro")/1000,IF(LEFT($A112,3)="icp",SUMIFS('BASE-ICP'!$K:$K,'BASE-ICP'!$A:$A,Capex!$A103,'BASE-ICP'!$B:$B,"dezembro")/1000,"")),"")</f>
        <v>0</v>
      </c>
      <c r="DK112" s="427">
        <v>0</v>
      </c>
      <c r="DL112" s="452">
        <f t="shared" si="51"/>
        <v>0</v>
      </c>
      <c r="DM112" s="374"/>
      <c r="DN112" s="374"/>
      <c r="DO112" s="374"/>
      <c r="DP112" s="374"/>
      <c r="DQ112" s="374"/>
      <c r="DR112" s="374"/>
      <c r="DS112" s="374"/>
      <c r="DT112" s="374"/>
      <c r="DU112" s="374"/>
      <c r="DV112" s="374"/>
      <c r="DW112" s="374"/>
      <c r="DX112" s="374"/>
      <c r="DY112" s="450"/>
      <c r="DZ112" s="374">
        <f t="shared" si="52"/>
        <v>0</v>
      </c>
      <c r="EA112" s="216">
        <f t="shared" si="53"/>
        <v>0</v>
      </c>
      <c r="EB112" s="320">
        <f t="shared" si="54"/>
        <v>0</v>
      </c>
      <c r="EC112" s="241">
        <f t="shared" si="55"/>
        <v>0</v>
      </c>
      <c r="ED112" s="241">
        <f t="shared" si="56"/>
        <v>0</v>
      </c>
      <c r="EE112" s="241">
        <f t="shared" si="57"/>
        <v>0</v>
      </c>
      <c r="EF112" s="241">
        <f t="shared" si="58"/>
        <v>0</v>
      </c>
      <c r="EG112" s="346">
        <f t="shared" si="59"/>
        <v>0</v>
      </c>
      <c r="EH112" s="445">
        <f t="shared" si="60"/>
        <v>0</v>
      </c>
      <c r="EI112" s="447">
        <f t="shared" si="61"/>
        <v>0</v>
      </c>
      <c r="EJ112" s="364">
        <f t="shared" si="62"/>
        <v>0</v>
      </c>
      <c r="EK112" s="365">
        <f t="shared" si="63"/>
        <v>0</v>
      </c>
      <c r="EL112" s="529">
        <f t="shared" si="64"/>
        <v>0</v>
      </c>
      <c r="EM112" s="530">
        <v>0</v>
      </c>
      <c r="EN112" s="530">
        <v>0</v>
      </c>
      <c r="EO112" s="530">
        <v>0</v>
      </c>
      <c r="EP112" s="530">
        <v>0</v>
      </c>
      <c r="EQ112" s="530">
        <v>0</v>
      </c>
      <c r="ER112" s="530">
        <v>0</v>
      </c>
      <c r="ES112" s="530">
        <v>0</v>
      </c>
      <c r="ET112" s="530">
        <v>0</v>
      </c>
      <c r="EU112" s="530">
        <v>0</v>
      </c>
      <c r="EV112" s="530">
        <v>0</v>
      </c>
      <c r="EW112" s="530">
        <v>0</v>
      </c>
      <c r="EX112" s="530">
        <v>0</v>
      </c>
      <c r="EY112" s="530">
        <f t="shared" si="65"/>
        <v>0</v>
      </c>
      <c r="EZ112" s="530">
        <f t="shared" si="66"/>
        <v>0</v>
      </c>
      <c r="FA112" s="530">
        <f t="shared" si="67"/>
        <v>0</v>
      </c>
      <c r="FB112" s="530">
        <f t="shared" si="68"/>
        <v>0</v>
      </c>
      <c r="FC112" s="384">
        <f>IFERROR(VLOOKUP(Capex!A103,BASE_558!D:R,8,FALSE)/1000,"")</f>
        <v>56.65</v>
      </c>
      <c r="FD112" s="328">
        <f>IFERROR(VLOOKUP(Capex!A103,BASE_558!D:R,9,)/1000,"")</f>
        <v>55.890910000000005</v>
      </c>
      <c r="FE112" s="328">
        <f>IFERROR(IF(LEFT(A112,3)="LCP",(VLOOKUP(Capex!A103,BASE_558!D:R,10,)/1000),SUMIFS('BASE ICP_PO_SC'!F:F,'BASE ICP_PO_SC'!A:A,Capex!A103,'BASE ICP_PO_SC'!E:E,"&lt;&gt;")/1000),"")</f>
        <v>0</v>
      </c>
      <c r="FF112" s="328">
        <f>IFERROR(IF(LEFT(A112,3)="LCP",(VLOOKUP(Capex!A103,BASE_558!D:R,11,)/1000),SUMIFS('BASE ICP_PO_SC'!F:F,'BASE ICP_PO_SC'!A:A,Capex!A103,'BASE ICP_PO_SC'!E:E,"")/1000),"")</f>
        <v>0</v>
      </c>
      <c r="FG112" s="328">
        <f>IFERROR(VLOOKUP(A112,BASE_558!D:R,13,FALSE)/1000,"")</f>
        <v>91.053139999999999</v>
      </c>
      <c r="FH112" s="328">
        <f>IFERROR(VLOOKUP(A112,BASE_558!D:R,15,FALSE)/1000,"")</f>
        <v>8.0468599999999988</v>
      </c>
      <c r="FI112" s="547">
        <f t="shared" si="69"/>
        <v>0</v>
      </c>
      <c r="FJ112" s="547">
        <f t="shared" si="70"/>
        <v>0</v>
      </c>
      <c r="FK112" s="540">
        <f t="shared" si="71"/>
        <v>0</v>
      </c>
    </row>
    <row r="113" spans="1:167" s="23" customFormat="1" ht="24" customHeight="1">
      <c r="A113" s="84" t="s">
        <v>100</v>
      </c>
      <c r="B113" s="404"/>
      <c r="C113" s="404"/>
      <c r="D113" s="338" t="s">
        <v>914</v>
      </c>
      <c r="E113" s="378"/>
      <c r="F113" s="5"/>
      <c r="G113" s="310" t="s">
        <v>9</v>
      </c>
      <c r="H113" s="338"/>
      <c r="I113" s="338"/>
      <c r="J113" s="338">
        <v>2018</v>
      </c>
      <c r="K113" s="316">
        <v>43398</v>
      </c>
      <c r="L113" s="317">
        <v>43984</v>
      </c>
      <c r="M113" s="409"/>
      <c r="N113" s="317">
        <f t="shared" si="74"/>
        <v>44310</v>
      </c>
      <c r="O113" s="317">
        <f t="shared" si="75"/>
        <v>44675</v>
      </c>
      <c r="P113" s="418" t="str">
        <f t="shared" si="79"/>
        <v>CRTD</v>
      </c>
      <c r="Q113" s="418" t="str">
        <f t="shared" si="79"/>
        <v>CRTD</v>
      </c>
      <c r="R113" s="418" t="str">
        <f t="shared" si="79"/>
        <v>CRTD</v>
      </c>
      <c r="S113" s="418" t="str">
        <f t="shared" si="79"/>
        <v>CRTD</v>
      </c>
      <c r="T113" s="418" t="str">
        <f t="shared" si="79"/>
        <v>CRTD</v>
      </c>
      <c r="U113" s="418" t="str">
        <f t="shared" si="79"/>
        <v>CRTD</v>
      </c>
      <c r="V113" s="418" t="str">
        <f t="shared" si="79"/>
        <v>CRTD</v>
      </c>
      <c r="W113" s="418" t="str">
        <f t="shared" si="79"/>
        <v>CRTD</v>
      </c>
      <c r="X113" s="418" t="str">
        <f t="shared" si="79"/>
        <v>CRTD</v>
      </c>
      <c r="Y113" s="418" t="str">
        <f t="shared" si="79"/>
        <v>CRTD</v>
      </c>
      <c r="Z113" s="418" t="str">
        <f t="shared" si="79"/>
        <v>CRTD</v>
      </c>
      <c r="AA113" s="418" t="str">
        <f t="shared" si="79"/>
        <v>CRTD</v>
      </c>
      <c r="AB113" s="317"/>
      <c r="AC113" s="309" t="s">
        <v>3931</v>
      </c>
      <c r="AD113" s="311" t="s">
        <v>223</v>
      </c>
      <c r="AE113" s="311"/>
      <c r="AF113" s="310" t="s">
        <v>6985</v>
      </c>
      <c r="AG113" s="310" t="s">
        <v>9083</v>
      </c>
      <c r="AH113" s="310" t="s">
        <v>3243</v>
      </c>
      <c r="AI113" s="309" t="s">
        <v>188</v>
      </c>
      <c r="AJ113" s="6" t="s">
        <v>218</v>
      </c>
      <c r="AK113" s="6" t="str">
        <f t="shared" si="49"/>
        <v>IGUAL</v>
      </c>
      <c r="AL113" s="151" t="str">
        <f>IFERROR(IF(LEFT(A113,3)="LCP",VLOOKUP(A113,STATUS_SAP_LCP!B:C,2,FALSE),VLOOKUP(A113,STATUS_SAP_ICP!B:C,2,FALSE)),"NO BUDGET")</f>
        <v>CLSD BUDG AUC  AVAC  //  APPR BREL EXPL</v>
      </c>
      <c r="AM113" s="6" t="str">
        <f t="shared" si="48"/>
        <v>CLSD</v>
      </c>
      <c r="AN113" s="282" t="s">
        <v>9085</v>
      </c>
      <c r="AO113" s="493">
        <v>1</v>
      </c>
      <c r="AP113" s="499" t="s">
        <v>9607</v>
      </c>
      <c r="AQ113" s="465">
        <v>43984</v>
      </c>
      <c r="AR113" s="460"/>
      <c r="AS113" s="56">
        <v>69.169354645568532</v>
      </c>
      <c r="AT113" s="185">
        <v>0</v>
      </c>
      <c r="AU113" s="318">
        <v>0</v>
      </c>
      <c r="AV113" s="223">
        <v>0</v>
      </c>
      <c r="AW113" s="318">
        <v>0</v>
      </c>
      <c r="AX113" s="223">
        <v>0</v>
      </c>
      <c r="AY113" s="318">
        <f t="shared" si="76"/>
        <v>0</v>
      </c>
      <c r="AZ113" s="223"/>
      <c r="BA113" s="318"/>
      <c r="BB113" s="519">
        <f t="shared" si="77"/>
        <v>0</v>
      </c>
      <c r="BC113" s="518"/>
      <c r="BD113" s="518"/>
      <c r="BE113" s="518"/>
      <c r="BF113" s="518"/>
      <c r="BG113" s="518"/>
      <c r="BH113" s="518"/>
      <c r="BI113" s="518"/>
      <c r="BJ113" s="518"/>
      <c r="BK113" s="518"/>
      <c r="BL113" s="518"/>
      <c r="BM113" s="518"/>
      <c r="BN113" s="518"/>
      <c r="BO113" s="367">
        <f t="shared" si="50"/>
        <v>0</v>
      </c>
      <c r="BP113" s="421"/>
      <c r="BQ113" s="422"/>
      <c r="BR113" s="423">
        <f>IFERROR(IF(LEFT($A113,3)="Lcp",SUMIFS('BASE-LCP'!$K:$K,'BASE-LCP'!$A:$A,Capex!$A104,'BASE-LCP'!$B:$B,"janeiro")/1000,IF(LEFT($A113,3)="icp",SUMIFS('BASE-ICP'!$K:$K,'BASE-ICP'!$A:$A,Capex!$A104,'BASE-ICP'!$B:$B,"janeiro")/1000,"")),"")</f>
        <v>0</v>
      </c>
      <c r="BS113" s="427">
        <v>0</v>
      </c>
      <c r="BT113" s="372">
        <v>0</v>
      </c>
      <c r="BU113" s="422"/>
      <c r="BV113" s="423">
        <f>IFERROR(IF(LEFT($A113,3)="Lcp",SUMIFS('BASE-LCP'!$K:$K,'BASE-LCP'!$A:$A,Capex!$A104,'BASE-LCP'!$B:$B,"fevereiro")/1000,IF(LEFT($A113,3)="icp",SUMIFS('BASE-ICP'!$K:$K,'BASE-ICP'!$A:$A,Capex!$A104,'BASE-ICP'!$B:$B,"fevereiro")/1000,"")),"")</f>
        <v>0</v>
      </c>
      <c r="BW113" s="427">
        <v>0</v>
      </c>
      <c r="BX113" s="372">
        <v>0</v>
      </c>
      <c r="BY113" s="419"/>
      <c r="BZ113" s="423">
        <f>IFERROR(IF(LEFT($A113,3)="Lcp",SUMIFS('BASE-LCP'!$K:$K,'BASE-LCP'!$A:$A,Capex!$A104,'BASE-LCP'!$B:$B,"março")/1000,IF(LEFT($A113,3)="icp",SUMIFS('BASE-ICP'!$K:$K,'BASE-ICP'!$A:$A,Capex!$A104,'BASE-ICP'!$B:$B,"março")/1000,"")),"")</f>
        <v>0</v>
      </c>
      <c r="CA113" s="427">
        <v>0</v>
      </c>
      <c r="CB113" s="372">
        <v>0</v>
      </c>
      <c r="CC113" s="422"/>
      <c r="CD113" s="423">
        <f>IFERROR(IF(LEFT($A113,3)="Lcp",SUMIFS('BASE-LCP'!$K:$K,'BASE-LCP'!$A:$A,Capex!$A104,'BASE-LCP'!$B:$B,"abril")/1000,IF(LEFT($A113,3)="icp",SUMIFS('BASE-ICP'!$K:$K,'BASE-ICP'!$A:$A,Capex!$A104,'BASE-ICP'!$B:$B,"abril")/1000,"")),"")</f>
        <v>0</v>
      </c>
      <c r="CE113" s="427">
        <v>0</v>
      </c>
      <c r="CF113" s="372">
        <v>0</v>
      </c>
      <c r="CG113" s="419"/>
      <c r="CH113" s="423">
        <v>0</v>
      </c>
      <c r="CI113" s="427">
        <v>0</v>
      </c>
      <c r="CJ113" s="372">
        <v>0</v>
      </c>
      <c r="CK113" s="419"/>
      <c r="CL113" s="423">
        <f>IFERROR(IF(LEFT($A113,3)="Lcp",SUMIFS('BASE-LCP'!$K:$K,'BASE-LCP'!$A:$A,Capex!$A104,'BASE-LCP'!$B:$B,"junho")/1000,IF(LEFT($A113,3)="icp",SUMIFS('BASE-ICP'!$K:$K,'BASE-ICP'!$A:$A,Capex!$A104,'BASE-ICP'!$B:$B,"junho")/1000,"")),"")</f>
        <v>0</v>
      </c>
      <c r="CM113" s="427">
        <v>0</v>
      </c>
      <c r="CN113" s="372"/>
      <c r="CO113" s="419"/>
      <c r="CP113" s="423">
        <f>IFERROR(IF(LEFT($A113,3)="Lcp",SUMIFS('BASE-LCP'!$K:$K,'BASE-LCP'!$A:$A,Capex!$A104,'BASE-LCP'!$B:$B,"julho")/1000,IF(LEFT($A113,3)="icp",SUMIFS('BASE-ICP'!$K:$K,'BASE-ICP'!$A:$A,Capex!$A104,'BASE-ICP'!$B:$B,"julho")/1000,"")),"")</f>
        <v>0</v>
      </c>
      <c r="CQ113" s="427">
        <v>0</v>
      </c>
      <c r="CR113" s="372"/>
      <c r="CS113" s="419"/>
      <c r="CT113" s="423">
        <f>IFERROR(IF(LEFT($A113,3)="Lcp",SUMIFS('BASE-LCP'!$K:$K,'BASE-LCP'!$A:$A,Capex!$A104,'BASE-LCP'!$B:$B,"agosto")/1000,IF(LEFT($A113,3)="icp",SUMIFS('BASE-ICP'!$K:$K,'BASE-ICP'!$A:$A,Capex!$A104,'BASE-ICP'!$B:$B,"agosto")/1000,"")),"")</f>
        <v>0</v>
      </c>
      <c r="CU113" s="427">
        <v>0</v>
      </c>
      <c r="CV113" s="372"/>
      <c r="CW113" s="419"/>
      <c r="CX113" s="423">
        <f>IFERROR(IF(LEFT($A113,3)="Lcp",SUMIFS('BASE-LCP'!$K:$K,'BASE-LCP'!$A:$A,Capex!$A104,'BASE-LCP'!$B:$B,"setembro")/1000,IF(LEFT($A113,3)="icp",SUMIFS('BASE-ICP'!$K:$K,'BASE-ICP'!$A:$A,Capex!$A104,'BASE-ICP'!$B:$B,"setembro")/1000,"")),"")</f>
        <v>0</v>
      </c>
      <c r="CY113" s="427">
        <v>0</v>
      </c>
      <c r="CZ113" s="372"/>
      <c r="DA113" s="419"/>
      <c r="DB113" s="423">
        <f>IFERROR(IF(LEFT($A113,3)="Lcp",SUMIFS('BASE-LCP'!$K:$K,'BASE-LCP'!$A:$A,Capex!$A104,'BASE-LCP'!$B:$B,"outubro")/1000,IF(LEFT($A113,3)="icp",SUMIFS('BASE-ICP'!$K:$K,'BASE-ICP'!$A:$A,Capex!$A104,'BASE-ICP'!$B:$B,"outubro")/1000,"")),"")</f>
        <v>0</v>
      </c>
      <c r="DC113" s="427">
        <v>0</v>
      </c>
      <c r="DD113" s="372"/>
      <c r="DE113" s="419"/>
      <c r="DF113" s="423">
        <f>IFERROR(IF(LEFT($A113,3)="Lcp",SUMIFS('BASE-LCP'!$K:$K,'BASE-LCP'!$A:$A,Capex!$A104,'BASE-LCP'!$B:$B,"novembro")/1000,IF(LEFT($A113,3)="icp",SUMIFS('BASE-ICP'!$K:$K,'BASE-ICP'!$A:$A,Capex!$A104,'BASE-ICP'!$B:$B,"novembro")/1000,"")),"")</f>
        <v>0</v>
      </c>
      <c r="DG113" s="427">
        <v>0</v>
      </c>
      <c r="DH113" s="372"/>
      <c r="DI113" s="419"/>
      <c r="DJ113" s="423">
        <f>IFERROR(IF(LEFT($A113,3)="Lcp",SUMIFS('BASE-LCP'!$K:$K,'BASE-LCP'!$A:$A,Capex!$A104,'BASE-LCP'!$B:$B,"dezembro")/1000,IF(LEFT($A113,3)="icp",SUMIFS('BASE-ICP'!$K:$K,'BASE-ICP'!$A:$A,Capex!$A104,'BASE-ICP'!$B:$B,"dezembro")/1000,"")),"")</f>
        <v>0</v>
      </c>
      <c r="DK113" s="427">
        <v>0</v>
      </c>
      <c r="DL113" s="452">
        <f t="shared" si="51"/>
        <v>0</v>
      </c>
      <c r="DM113" s="374"/>
      <c r="DN113" s="374"/>
      <c r="DO113" s="374"/>
      <c r="DP113" s="374"/>
      <c r="DQ113" s="374"/>
      <c r="DR113" s="374"/>
      <c r="DS113" s="374"/>
      <c r="DT113" s="374"/>
      <c r="DU113" s="374"/>
      <c r="DV113" s="374"/>
      <c r="DW113" s="374"/>
      <c r="DX113" s="374"/>
      <c r="DY113" s="450"/>
      <c r="DZ113" s="374">
        <f t="shared" si="52"/>
        <v>0</v>
      </c>
      <c r="EA113" s="216">
        <f t="shared" si="53"/>
        <v>0</v>
      </c>
      <c r="EB113" s="320">
        <f t="shared" si="54"/>
        <v>0</v>
      </c>
      <c r="EC113" s="241">
        <f t="shared" si="55"/>
        <v>0</v>
      </c>
      <c r="ED113" s="241">
        <f t="shared" si="56"/>
        <v>0</v>
      </c>
      <c r="EE113" s="241">
        <f t="shared" si="57"/>
        <v>0</v>
      </c>
      <c r="EF113" s="241">
        <f t="shared" si="58"/>
        <v>0</v>
      </c>
      <c r="EG113" s="346">
        <f t="shared" si="59"/>
        <v>0</v>
      </c>
      <c r="EH113" s="445">
        <f t="shared" si="60"/>
        <v>0</v>
      </c>
      <c r="EI113" s="447">
        <f t="shared" si="61"/>
        <v>0</v>
      </c>
      <c r="EJ113" s="364">
        <f t="shared" si="62"/>
        <v>0</v>
      </c>
      <c r="EK113" s="365">
        <f t="shared" si="63"/>
        <v>0</v>
      </c>
      <c r="EL113" s="529">
        <f t="shared" si="64"/>
        <v>0</v>
      </c>
      <c r="EM113" s="530">
        <v>0</v>
      </c>
      <c r="EN113" s="530">
        <v>0</v>
      </c>
      <c r="EO113" s="530">
        <v>0</v>
      </c>
      <c r="EP113" s="530">
        <v>0</v>
      </c>
      <c r="EQ113" s="530">
        <v>0</v>
      </c>
      <c r="ER113" s="530">
        <v>0</v>
      </c>
      <c r="ES113" s="530">
        <v>0</v>
      </c>
      <c r="ET113" s="530">
        <v>0</v>
      </c>
      <c r="EU113" s="530">
        <v>0</v>
      </c>
      <c r="EV113" s="530">
        <v>0</v>
      </c>
      <c r="EW113" s="530">
        <v>0</v>
      </c>
      <c r="EX113" s="530">
        <v>0</v>
      </c>
      <c r="EY113" s="530">
        <f t="shared" si="65"/>
        <v>0</v>
      </c>
      <c r="EZ113" s="530">
        <f t="shared" si="66"/>
        <v>0</v>
      </c>
      <c r="FA113" s="530">
        <f t="shared" si="67"/>
        <v>0</v>
      </c>
      <c r="FB113" s="530">
        <f t="shared" si="68"/>
        <v>0</v>
      </c>
      <c r="FC113" s="384">
        <f>IFERROR(VLOOKUP(Capex!A104,BASE_558!D:R,8,FALSE)/1000,"")</f>
        <v>10218.982</v>
      </c>
      <c r="FD113" s="328">
        <f>IFERROR(VLOOKUP(Capex!A104,BASE_558!D:R,9,)/1000,"")</f>
        <v>6927.7916699999996</v>
      </c>
      <c r="FE113" s="328">
        <f>IFERROR(IF(LEFT(A113,3)="LCP",(VLOOKUP(Capex!A104,BASE_558!D:R,10,)/1000),SUMIFS('BASE ICP_PO_SC'!F:F,'BASE ICP_PO_SC'!A:A,Capex!A104,'BASE ICP_PO_SC'!E:E,"&lt;&gt;")/1000),"")</f>
        <v>0</v>
      </c>
      <c r="FF113" s="328">
        <f>IFERROR(IF(LEFT(A113,3)="LCP",(VLOOKUP(Capex!A104,BASE_558!D:R,11,)/1000),SUMIFS('BASE ICP_PO_SC'!F:F,'BASE ICP_PO_SC'!A:A,Capex!A104,'BASE ICP_PO_SC'!E:E,"")/1000),"")</f>
        <v>0</v>
      </c>
      <c r="FG113" s="328">
        <f>IFERROR(VLOOKUP(A113,BASE_558!D:R,13,FALSE)/1000,"")</f>
        <v>104.37603999999999</v>
      </c>
      <c r="FH113" s="328">
        <f>IFERROR(VLOOKUP(A113,BASE_558!D:R,15,FALSE)/1000,"")</f>
        <v>7.3739600000000003</v>
      </c>
      <c r="FI113" s="547">
        <f t="shared" si="69"/>
        <v>0</v>
      </c>
      <c r="FJ113" s="547">
        <f t="shared" si="70"/>
        <v>0</v>
      </c>
      <c r="FK113" s="540">
        <f t="shared" si="71"/>
        <v>0</v>
      </c>
    </row>
    <row r="114" spans="1:167" s="23" customFormat="1" ht="24" customHeight="1">
      <c r="A114" s="84" t="s">
        <v>114</v>
      </c>
      <c r="B114" s="404"/>
      <c r="C114" s="404"/>
      <c r="D114" s="338" t="s">
        <v>2221</v>
      </c>
      <c r="E114" s="378"/>
      <c r="F114" s="5"/>
      <c r="G114" s="310" t="s">
        <v>9</v>
      </c>
      <c r="H114" s="338"/>
      <c r="I114" s="338"/>
      <c r="J114" s="338">
        <v>2018</v>
      </c>
      <c r="K114" s="316">
        <v>43244</v>
      </c>
      <c r="L114" s="317">
        <v>43769</v>
      </c>
      <c r="M114" s="409"/>
      <c r="N114" s="317">
        <f t="shared" si="74"/>
        <v>44156</v>
      </c>
      <c r="O114" s="317">
        <f t="shared" si="75"/>
        <v>44521</v>
      </c>
      <c r="P114" s="418" t="str">
        <f t="shared" si="79"/>
        <v>CRTD</v>
      </c>
      <c r="Q114" s="418" t="str">
        <f t="shared" si="79"/>
        <v>CRTD</v>
      </c>
      <c r="R114" s="418" t="str">
        <f t="shared" si="79"/>
        <v>CRTD</v>
      </c>
      <c r="S114" s="418" t="str">
        <f t="shared" si="79"/>
        <v>CRTD</v>
      </c>
      <c r="T114" s="418" t="str">
        <f t="shared" si="79"/>
        <v>CRTD</v>
      </c>
      <c r="U114" s="418" t="str">
        <f t="shared" si="79"/>
        <v>CRTD</v>
      </c>
      <c r="V114" s="418" t="str">
        <f t="shared" si="79"/>
        <v>CRTD</v>
      </c>
      <c r="W114" s="418" t="str">
        <f t="shared" si="79"/>
        <v>CRTD</v>
      </c>
      <c r="X114" s="418" t="str">
        <f t="shared" si="79"/>
        <v>CRTD</v>
      </c>
      <c r="Y114" s="418" t="str">
        <f t="shared" si="79"/>
        <v>CRTD</v>
      </c>
      <c r="Z114" s="418" t="str">
        <f t="shared" si="79"/>
        <v>CRTD</v>
      </c>
      <c r="AA114" s="418" t="str">
        <f t="shared" si="79"/>
        <v>CRTD</v>
      </c>
      <c r="AB114" s="317"/>
      <c r="AC114" s="309" t="s">
        <v>3932</v>
      </c>
      <c r="AD114" s="311" t="s">
        <v>223</v>
      </c>
      <c r="AE114" s="311"/>
      <c r="AF114" s="310" t="s">
        <v>6985</v>
      </c>
      <c r="AG114" s="310" t="s">
        <v>9083</v>
      </c>
      <c r="AH114" s="310" t="s">
        <v>468</v>
      </c>
      <c r="AI114" s="309" t="s">
        <v>2255</v>
      </c>
      <c r="AJ114" s="6" t="s">
        <v>218</v>
      </c>
      <c r="AK114" s="6" t="str">
        <f t="shared" si="49"/>
        <v>IGUAL</v>
      </c>
      <c r="AL114" s="151" t="str">
        <f>IFERROR(IF(LEFT(A114,3)="LCP",VLOOKUP(A114,STATUS_SAP_LCP!B:C,2,FALSE),VLOOKUP(A114,STATUS_SAP_ICP!B:C,2,FALSE)),"NO BUDGET")</f>
        <v>CLSD BUDG AUC  AVAC  //  RJCD BREL EXPL</v>
      </c>
      <c r="AM114" s="6" t="str">
        <f t="shared" si="48"/>
        <v>CLSD</v>
      </c>
      <c r="AN114" s="282" t="s">
        <v>9091</v>
      </c>
      <c r="AO114" s="493">
        <v>1</v>
      </c>
      <c r="AP114" s="499" t="s">
        <v>9607</v>
      </c>
      <c r="AQ114" s="465">
        <v>43769</v>
      </c>
      <c r="AR114" s="460"/>
      <c r="AS114" s="56">
        <v>0.79999999999999993</v>
      </c>
      <c r="AT114" s="185">
        <v>0</v>
      </c>
      <c r="AU114" s="318">
        <v>0</v>
      </c>
      <c r="AV114" s="223">
        <v>0</v>
      </c>
      <c r="AW114" s="318">
        <v>0</v>
      </c>
      <c r="AX114" s="223">
        <v>0</v>
      </c>
      <c r="AY114" s="318">
        <f t="shared" si="76"/>
        <v>0</v>
      </c>
      <c r="AZ114" s="223"/>
      <c r="BA114" s="318"/>
      <c r="BB114" s="519">
        <f t="shared" si="77"/>
        <v>0</v>
      </c>
      <c r="BC114" s="518"/>
      <c r="BD114" s="518"/>
      <c r="BE114" s="518"/>
      <c r="BF114" s="518"/>
      <c r="BG114" s="518"/>
      <c r="BH114" s="518"/>
      <c r="BI114" s="518"/>
      <c r="BJ114" s="518"/>
      <c r="BK114" s="518"/>
      <c r="BL114" s="518"/>
      <c r="BM114" s="518"/>
      <c r="BN114" s="518"/>
      <c r="BO114" s="367">
        <f t="shared" si="50"/>
        <v>0</v>
      </c>
      <c r="BP114" s="421"/>
      <c r="BQ114" s="422"/>
      <c r="BR114" s="423">
        <f>IFERROR(IF(LEFT($A114,3)="Lcp",SUMIFS('BASE-LCP'!$K:$K,'BASE-LCP'!$A:$A,Capex!$A105,'BASE-LCP'!$B:$B,"janeiro")/1000,IF(LEFT($A114,3)="icp",SUMIFS('BASE-ICP'!$K:$K,'BASE-ICP'!$A:$A,Capex!$A105,'BASE-ICP'!$B:$B,"janeiro")/1000,"")),"")</f>
        <v>0</v>
      </c>
      <c r="BS114" s="427">
        <v>0</v>
      </c>
      <c r="BT114" s="372">
        <v>0</v>
      </c>
      <c r="BU114" s="422"/>
      <c r="BV114" s="423">
        <f>IFERROR(IF(LEFT($A114,3)="Lcp",SUMIFS('BASE-LCP'!$K:$K,'BASE-LCP'!$A:$A,Capex!$A105,'BASE-LCP'!$B:$B,"fevereiro")/1000,IF(LEFT($A114,3)="icp",SUMIFS('BASE-ICP'!$K:$K,'BASE-ICP'!$A:$A,Capex!$A105,'BASE-ICP'!$B:$B,"fevereiro")/1000,"")),"")</f>
        <v>0</v>
      </c>
      <c r="BW114" s="427">
        <v>0</v>
      </c>
      <c r="BX114" s="372">
        <v>0</v>
      </c>
      <c r="BY114" s="419"/>
      <c r="BZ114" s="423">
        <f>IFERROR(IF(LEFT($A114,3)="Lcp",SUMIFS('BASE-LCP'!$K:$K,'BASE-LCP'!$A:$A,Capex!$A105,'BASE-LCP'!$B:$B,"março")/1000,IF(LEFT($A114,3)="icp",SUMIFS('BASE-ICP'!$K:$K,'BASE-ICP'!$A:$A,Capex!$A105,'BASE-ICP'!$B:$B,"março")/1000,"")),"")</f>
        <v>0</v>
      </c>
      <c r="CA114" s="427">
        <v>0</v>
      </c>
      <c r="CB114" s="372">
        <v>0</v>
      </c>
      <c r="CC114" s="422"/>
      <c r="CD114" s="423">
        <f>IFERROR(IF(LEFT($A114,3)="Lcp",SUMIFS('BASE-LCP'!$K:$K,'BASE-LCP'!$A:$A,Capex!$A105,'BASE-LCP'!$B:$B,"abril")/1000,IF(LEFT($A114,3)="icp",SUMIFS('BASE-ICP'!$K:$K,'BASE-ICP'!$A:$A,Capex!$A105,'BASE-ICP'!$B:$B,"abril")/1000,"")),"")</f>
        <v>0</v>
      </c>
      <c r="CE114" s="427">
        <v>0</v>
      </c>
      <c r="CF114" s="372">
        <v>0</v>
      </c>
      <c r="CG114" s="419"/>
      <c r="CH114" s="423">
        <v>0</v>
      </c>
      <c r="CI114" s="427">
        <v>0</v>
      </c>
      <c r="CJ114" s="372">
        <v>0</v>
      </c>
      <c r="CK114" s="419"/>
      <c r="CL114" s="423">
        <f>IFERROR(IF(LEFT($A114,3)="Lcp",SUMIFS('BASE-LCP'!$K:$K,'BASE-LCP'!$A:$A,Capex!$A105,'BASE-LCP'!$B:$B,"junho")/1000,IF(LEFT($A114,3)="icp",SUMIFS('BASE-ICP'!$K:$K,'BASE-ICP'!$A:$A,Capex!$A105,'BASE-ICP'!$B:$B,"junho")/1000,"")),"")</f>
        <v>0</v>
      </c>
      <c r="CM114" s="427">
        <v>0</v>
      </c>
      <c r="CN114" s="372"/>
      <c r="CO114" s="419"/>
      <c r="CP114" s="423">
        <f>IFERROR(IF(LEFT($A114,3)="Lcp",SUMIFS('BASE-LCP'!$K:$K,'BASE-LCP'!$A:$A,Capex!$A105,'BASE-LCP'!$B:$B,"julho")/1000,IF(LEFT($A114,3)="icp",SUMIFS('BASE-ICP'!$K:$K,'BASE-ICP'!$A:$A,Capex!$A105,'BASE-ICP'!$B:$B,"julho")/1000,"")),"")</f>
        <v>0</v>
      </c>
      <c r="CQ114" s="427">
        <v>0</v>
      </c>
      <c r="CR114" s="372"/>
      <c r="CS114" s="419"/>
      <c r="CT114" s="423">
        <f>IFERROR(IF(LEFT($A114,3)="Lcp",SUMIFS('BASE-LCP'!$K:$K,'BASE-LCP'!$A:$A,Capex!$A105,'BASE-LCP'!$B:$B,"agosto")/1000,IF(LEFT($A114,3)="icp",SUMIFS('BASE-ICP'!$K:$K,'BASE-ICP'!$A:$A,Capex!$A105,'BASE-ICP'!$B:$B,"agosto")/1000,"")),"")</f>
        <v>0</v>
      </c>
      <c r="CU114" s="427">
        <v>0</v>
      </c>
      <c r="CV114" s="372"/>
      <c r="CW114" s="419"/>
      <c r="CX114" s="423">
        <f>IFERROR(IF(LEFT($A114,3)="Lcp",SUMIFS('BASE-LCP'!$K:$K,'BASE-LCP'!$A:$A,Capex!$A105,'BASE-LCP'!$B:$B,"setembro")/1000,IF(LEFT($A114,3)="icp",SUMIFS('BASE-ICP'!$K:$K,'BASE-ICP'!$A:$A,Capex!$A105,'BASE-ICP'!$B:$B,"setembro")/1000,"")),"")</f>
        <v>0</v>
      </c>
      <c r="CY114" s="427">
        <v>0</v>
      </c>
      <c r="CZ114" s="372"/>
      <c r="DA114" s="419"/>
      <c r="DB114" s="423">
        <f>IFERROR(IF(LEFT($A114,3)="Lcp",SUMIFS('BASE-LCP'!$K:$K,'BASE-LCP'!$A:$A,Capex!$A105,'BASE-LCP'!$B:$B,"outubro")/1000,IF(LEFT($A114,3)="icp",SUMIFS('BASE-ICP'!$K:$K,'BASE-ICP'!$A:$A,Capex!$A105,'BASE-ICP'!$B:$B,"outubro")/1000,"")),"")</f>
        <v>0</v>
      </c>
      <c r="DC114" s="427">
        <v>0</v>
      </c>
      <c r="DD114" s="372"/>
      <c r="DE114" s="419"/>
      <c r="DF114" s="423">
        <f>IFERROR(IF(LEFT($A114,3)="Lcp",SUMIFS('BASE-LCP'!$K:$K,'BASE-LCP'!$A:$A,Capex!$A105,'BASE-LCP'!$B:$B,"novembro")/1000,IF(LEFT($A114,3)="icp",SUMIFS('BASE-ICP'!$K:$K,'BASE-ICP'!$A:$A,Capex!$A105,'BASE-ICP'!$B:$B,"novembro")/1000,"")),"")</f>
        <v>0</v>
      </c>
      <c r="DG114" s="427">
        <v>0</v>
      </c>
      <c r="DH114" s="372"/>
      <c r="DI114" s="419"/>
      <c r="DJ114" s="423">
        <f>IFERROR(IF(LEFT($A114,3)="Lcp",SUMIFS('BASE-LCP'!$K:$K,'BASE-LCP'!$A:$A,Capex!$A105,'BASE-LCP'!$B:$B,"dezembro")/1000,IF(LEFT($A114,3)="icp",SUMIFS('BASE-ICP'!$K:$K,'BASE-ICP'!$A:$A,Capex!$A105,'BASE-ICP'!$B:$B,"dezembro")/1000,"")),"")</f>
        <v>0</v>
      </c>
      <c r="DK114" s="427">
        <v>0</v>
      </c>
      <c r="DL114" s="452">
        <f t="shared" si="51"/>
        <v>0</v>
      </c>
      <c r="DM114" s="374"/>
      <c r="DN114" s="374"/>
      <c r="DO114" s="374"/>
      <c r="DP114" s="374"/>
      <c r="DQ114" s="374"/>
      <c r="DR114" s="374"/>
      <c r="DS114" s="374"/>
      <c r="DT114" s="374"/>
      <c r="DU114" s="374"/>
      <c r="DV114" s="374"/>
      <c r="DW114" s="374"/>
      <c r="DX114" s="374"/>
      <c r="DY114" s="450"/>
      <c r="DZ114" s="374">
        <f t="shared" si="52"/>
        <v>0</v>
      </c>
      <c r="EA114" s="216">
        <f t="shared" si="53"/>
        <v>0</v>
      </c>
      <c r="EB114" s="320">
        <f t="shared" si="54"/>
        <v>0</v>
      </c>
      <c r="EC114" s="241">
        <f t="shared" si="55"/>
        <v>0</v>
      </c>
      <c r="ED114" s="241">
        <f t="shared" si="56"/>
        <v>0</v>
      </c>
      <c r="EE114" s="241">
        <f t="shared" si="57"/>
        <v>0</v>
      </c>
      <c r="EF114" s="241">
        <f t="shared" si="58"/>
        <v>0</v>
      </c>
      <c r="EG114" s="346">
        <f t="shared" si="59"/>
        <v>0</v>
      </c>
      <c r="EH114" s="445">
        <f t="shared" si="60"/>
        <v>0</v>
      </c>
      <c r="EI114" s="447">
        <f t="shared" si="61"/>
        <v>0</v>
      </c>
      <c r="EJ114" s="364">
        <f t="shared" si="62"/>
        <v>0</v>
      </c>
      <c r="EK114" s="365">
        <f t="shared" si="63"/>
        <v>0</v>
      </c>
      <c r="EL114" s="529">
        <f t="shared" si="64"/>
        <v>0</v>
      </c>
      <c r="EM114" s="530">
        <v>0</v>
      </c>
      <c r="EN114" s="530">
        <v>0</v>
      </c>
      <c r="EO114" s="530">
        <v>0</v>
      </c>
      <c r="EP114" s="530">
        <v>0</v>
      </c>
      <c r="EQ114" s="530">
        <v>0</v>
      </c>
      <c r="ER114" s="530">
        <v>0</v>
      </c>
      <c r="ES114" s="530">
        <v>0</v>
      </c>
      <c r="ET114" s="530">
        <v>0</v>
      </c>
      <c r="EU114" s="530">
        <v>0</v>
      </c>
      <c r="EV114" s="530">
        <v>0</v>
      </c>
      <c r="EW114" s="530">
        <v>0</v>
      </c>
      <c r="EX114" s="530">
        <v>0</v>
      </c>
      <c r="EY114" s="530">
        <f t="shared" si="65"/>
        <v>0</v>
      </c>
      <c r="EZ114" s="530">
        <f t="shared" si="66"/>
        <v>0</v>
      </c>
      <c r="FA114" s="530">
        <f t="shared" si="67"/>
        <v>0</v>
      </c>
      <c r="FB114" s="530">
        <f t="shared" si="68"/>
        <v>0</v>
      </c>
      <c r="FC114" s="384">
        <f>IFERROR(VLOOKUP(Capex!A105,BASE_558!D:R,8,FALSE)/1000,"")</f>
        <v>5863</v>
      </c>
      <c r="FD114" s="328">
        <f>IFERROR(VLOOKUP(Capex!A105,BASE_558!D:R,9,)/1000,"")</f>
        <v>5094.01865</v>
      </c>
      <c r="FE114" s="328">
        <f>IFERROR(IF(LEFT(A114,3)="LCP",(VLOOKUP(Capex!A105,BASE_558!D:R,10,)/1000),SUMIFS('BASE ICP_PO_SC'!F:F,'BASE ICP_PO_SC'!A:A,Capex!A105,'BASE ICP_PO_SC'!E:E,"&lt;&gt;")/1000),"")</f>
        <v>0</v>
      </c>
      <c r="FF114" s="328">
        <f>IFERROR(IF(LEFT(A114,3)="LCP",(VLOOKUP(Capex!A105,BASE_558!D:R,11,)/1000),SUMIFS('BASE ICP_PO_SC'!F:F,'BASE ICP_PO_SC'!A:A,Capex!A105,'BASE ICP_PO_SC'!E:E,"")/1000),"")</f>
        <v>0</v>
      </c>
      <c r="FG114" s="328">
        <f>IFERROR(VLOOKUP(A114,BASE_558!D:R,13,FALSE)/1000,"")</f>
        <v>62.25497</v>
      </c>
      <c r="FH114" s="328">
        <f>IFERROR(VLOOKUP(A114,BASE_558!D:R,15,FALSE)/1000,"")</f>
        <v>2.44503</v>
      </c>
      <c r="FI114" s="547">
        <f t="shared" si="69"/>
        <v>0</v>
      </c>
      <c r="FJ114" s="547">
        <f t="shared" si="70"/>
        <v>0</v>
      </c>
      <c r="FK114" s="540">
        <f t="shared" si="71"/>
        <v>0</v>
      </c>
    </row>
    <row r="115" spans="1:167" s="23" customFormat="1" ht="24" customHeight="1">
      <c r="A115" s="84" t="s">
        <v>115</v>
      </c>
      <c r="B115" s="404"/>
      <c r="C115" s="404"/>
      <c r="D115" s="338" t="s">
        <v>886</v>
      </c>
      <c r="E115" s="378"/>
      <c r="F115" s="310" t="s">
        <v>609</v>
      </c>
      <c r="G115" s="310" t="s">
        <v>9</v>
      </c>
      <c r="H115" s="338"/>
      <c r="I115" s="338"/>
      <c r="J115" s="338">
        <v>2018</v>
      </c>
      <c r="K115" s="316">
        <v>43425</v>
      </c>
      <c r="L115" s="317">
        <v>44375</v>
      </c>
      <c r="M115" s="409"/>
      <c r="N115" s="317">
        <f t="shared" si="74"/>
        <v>44337</v>
      </c>
      <c r="O115" s="317">
        <f t="shared" si="75"/>
        <v>44702</v>
      </c>
      <c r="P115" s="418" t="str">
        <f t="shared" ref="P115:AA124" si="80">IF($N115="","N/A",IF($O115="","N/A",IF(P$2&lt;=$N115,"NÃO",IF($AJ115="REL ","SIM",IF(P$2&lt;$O115,"NÃO",IF($AJ115&lt;&gt;"CLSD","SIM","CRTD"))))))</f>
        <v>CRTD</v>
      </c>
      <c r="Q115" s="418" t="str">
        <f t="shared" si="80"/>
        <v>CRTD</v>
      </c>
      <c r="R115" s="418" t="str">
        <f t="shared" si="80"/>
        <v>CRTD</v>
      </c>
      <c r="S115" s="418" t="str">
        <f t="shared" si="80"/>
        <v>CRTD</v>
      </c>
      <c r="T115" s="418" t="str">
        <f t="shared" si="80"/>
        <v>CRTD</v>
      </c>
      <c r="U115" s="418" t="str">
        <f t="shared" si="80"/>
        <v>CRTD</v>
      </c>
      <c r="V115" s="418" t="str">
        <f t="shared" si="80"/>
        <v>CRTD</v>
      </c>
      <c r="W115" s="418" t="str">
        <f t="shared" si="80"/>
        <v>CRTD</v>
      </c>
      <c r="X115" s="418" t="str">
        <f t="shared" si="80"/>
        <v>CRTD</v>
      </c>
      <c r="Y115" s="418" t="str">
        <f t="shared" si="80"/>
        <v>CRTD</v>
      </c>
      <c r="Z115" s="418" t="str">
        <f t="shared" si="80"/>
        <v>CRTD</v>
      </c>
      <c r="AA115" s="418" t="str">
        <f t="shared" si="80"/>
        <v>CRTD</v>
      </c>
      <c r="AB115" s="317"/>
      <c r="AC115" s="309" t="s">
        <v>3932</v>
      </c>
      <c r="AD115" s="311" t="s">
        <v>222</v>
      </c>
      <c r="AE115" s="311" t="s">
        <v>972</v>
      </c>
      <c r="AF115" s="310" t="s">
        <v>6985</v>
      </c>
      <c r="AG115" s="310" t="s">
        <v>9083</v>
      </c>
      <c r="AH115" s="310" t="s">
        <v>116</v>
      </c>
      <c r="AI115" s="309" t="s">
        <v>2255</v>
      </c>
      <c r="AJ115" s="6" t="s">
        <v>218</v>
      </c>
      <c r="AK115" s="6" t="str">
        <f t="shared" si="49"/>
        <v>IGUAL</v>
      </c>
      <c r="AL115" s="151" t="str">
        <f>IFERROR(IF(LEFT(A115,3)="LCP",VLOOKUP(A115,STATUS_SAP_LCP!B:C,2,FALSE),VLOOKUP(A115,STATUS_SAP_ICP!B:C,2,FALSE)),"NO BUDGET")</f>
        <v>CLSD BUDG AUC  AVAC  //  APPR BREL EXPL</v>
      </c>
      <c r="AM115" s="6" t="str">
        <f t="shared" si="48"/>
        <v>CLSD</v>
      </c>
      <c r="AN115" s="282" t="s">
        <v>9090</v>
      </c>
      <c r="AO115" s="493">
        <v>1</v>
      </c>
      <c r="AP115" s="499" t="s">
        <v>9607</v>
      </c>
      <c r="AQ115" s="465">
        <v>44375</v>
      </c>
      <c r="AR115" s="460"/>
      <c r="AS115" s="56">
        <v>110.37460955622434</v>
      </c>
      <c r="AT115" s="185">
        <v>51.89443</v>
      </c>
      <c r="AU115" s="318">
        <v>38.555669999999999</v>
      </c>
      <c r="AV115" s="223">
        <v>0</v>
      </c>
      <c r="AW115" s="318">
        <v>0</v>
      </c>
      <c r="AX115" s="223">
        <v>0</v>
      </c>
      <c r="AY115" s="318">
        <f t="shared" si="76"/>
        <v>0</v>
      </c>
      <c r="AZ115" s="223"/>
      <c r="BA115" s="318"/>
      <c r="BB115" s="519">
        <f t="shared" si="77"/>
        <v>0</v>
      </c>
      <c r="BC115" s="518"/>
      <c r="BD115" s="518"/>
      <c r="BE115" s="518"/>
      <c r="BF115" s="518"/>
      <c r="BG115" s="518"/>
      <c r="BH115" s="518"/>
      <c r="BI115" s="518"/>
      <c r="BJ115" s="518"/>
      <c r="BK115" s="518"/>
      <c r="BL115" s="518"/>
      <c r="BM115" s="518"/>
      <c r="BN115" s="518"/>
      <c r="BO115" s="367">
        <f t="shared" si="50"/>
        <v>0</v>
      </c>
      <c r="BP115" s="421"/>
      <c r="BQ115" s="422"/>
      <c r="BR115" s="423">
        <f>IFERROR(IF(LEFT($A115,3)="Lcp",SUMIFS('BASE-LCP'!$K:$K,'BASE-LCP'!$A:$A,Capex!$A106,'BASE-LCP'!$B:$B,"janeiro")/1000,IF(LEFT($A115,3)="icp",SUMIFS('BASE-ICP'!$K:$K,'BASE-ICP'!$A:$A,Capex!$A106,'BASE-ICP'!$B:$B,"janeiro")/1000,"")),"")</f>
        <v>0</v>
      </c>
      <c r="BS115" s="427">
        <v>0</v>
      </c>
      <c r="BT115" s="372">
        <v>0</v>
      </c>
      <c r="BU115" s="422"/>
      <c r="BV115" s="423">
        <f>IFERROR(IF(LEFT($A115,3)="Lcp",SUMIFS('BASE-LCP'!$K:$K,'BASE-LCP'!$A:$A,Capex!$A106,'BASE-LCP'!$B:$B,"fevereiro")/1000,IF(LEFT($A115,3)="icp",SUMIFS('BASE-ICP'!$K:$K,'BASE-ICP'!$A:$A,Capex!$A106,'BASE-ICP'!$B:$B,"fevereiro")/1000,"")),"")</f>
        <v>0</v>
      </c>
      <c r="BW115" s="427">
        <v>0</v>
      </c>
      <c r="BX115" s="372">
        <v>0</v>
      </c>
      <c r="BY115" s="419"/>
      <c r="BZ115" s="423">
        <f>IFERROR(IF(LEFT($A115,3)="Lcp",SUMIFS('BASE-LCP'!$K:$K,'BASE-LCP'!$A:$A,Capex!$A106,'BASE-LCP'!$B:$B,"março")/1000,IF(LEFT($A115,3)="icp",SUMIFS('BASE-ICP'!$K:$K,'BASE-ICP'!$A:$A,Capex!$A106,'BASE-ICP'!$B:$B,"março")/1000,"")),"")</f>
        <v>0</v>
      </c>
      <c r="CA115" s="427">
        <v>0</v>
      </c>
      <c r="CB115" s="372">
        <v>0</v>
      </c>
      <c r="CC115" s="422"/>
      <c r="CD115" s="423">
        <f>IFERROR(IF(LEFT($A115,3)="Lcp",SUMIFS('BASE-LCP'!$K:$K,'BASE-LCP'!$A:$A,Capex!$A106,'BASE-LCP'!$B:$B,"abril")/1000,IF(LEFT($A115,3)="icp",SUMIFS('BASE-ICP'!$K:$K,'BASE-ICP'!$A:$A,Capex!$A106,'BASE-ICP'!$B:$B,"abril")/1000,"")),"")</f>
        <v>0</v>
      </c>
      <c r="CE115" s="427">
        <v>0</v>
      </c>
      <c r="CF115" s="372">
        <v>0</v>
      </c>
      <c r="CG115" s="419"/>
      <c r="CH115" s="423">
        <v>0</v>
      </c>
      <c r="CI115" s="427">
        <v>0</v>
      </c>
      <c r="CJ115" s="372">
        <v>0</v>
      </c>
      <c r="CK115" s="419"/>
      <c r="CL115" s="423">
        <f>IFERROR(IF(LEFT($A115,3)="Lcp",SUMIFS('BASE-LCP'!$K:$K,'BASE-LCP'!$A:$A,Capex!$A106,'BASE-LCP'!$B:$B,"junho")/1000,IF(LEFT($A115,3)="icp",SUMIFS('BASE-ICP'!$K:$K,'BASE-ICP'!$A:$A,Capex!$A106,'BASE-ICP'!$B:$B,"junho")/1000,"")),"")</f>
        <v>0</v>
      </c>
      <c r="CM115" s="427">
        <v>0</v>
      </c>
      <c r="CN115" s="372"/>
      <c r="CO115" s="419"/>
      <c r="CP115" s="423">
        <f>IFERROR(IF(LEFT($A115,3)="Lcp",SUMIFS('BASE-LCP'!$K:$K,'BASE-LCP'!$A:$A,Capex!$A106,'BASE-LCP'!$B:$B,"julho")/1000,IF(LEFT($A115,3)="icp",SUMIFS('BASE-ICP'!$K:$K,'BASE-ICP'!$A:$A,Capex!$A106,'BASE-ICP'!$B:$B,"julho")/1000,"")),"")</f>
        <v>0</v>
      </c>
      <c r="CQ115" s="427">
        <v>0</v>
      </c>
      <c r="CR115" s="372"/>
      <c r="CS115" s="419"/>
      <c r="CT115" s="423">
        <f>IFERROR(IF(LEFT($A115,3)="Lcp",SUMIFS('BASE-LCP'!$K:$K,'BASE-LCP'!$A:$A,Capex!$A106,'BASE-LCP'!$B:$B,"agosto")/1000,IF(LEFT($A115,3)="icp",SUMIFS('BASE-ICP'!$K:$K,'BASE-ICP'!$A:$A,Capex!$A106,'BASE-ICP'!$B:$B,"agosto")/1000,"")),"")</f>
        <v>0</v>
      </c>
      <c r="CU115" s="427">
        <v>0</v>
      </c>
      <c r="CV115" s="372"/>
      <c r="CW115" s="419"/>
      <c r="CX115" s="423">
        <f>IFERROR(IF(LEFT($A115,3)="Lcp",SUMIFS('BASE-LCP'!$K:$K,'BASE-LCP'!$A:$A,Capex!$A106,'BASE-LCP'!$B:$B,"setembro")/1000,IF(LEFT($A115,3)="icp",SUMIFS('BASE-ICP'!$K:$K,'BASE-ICP'!$A:$A,Capex!$A106,'BASE-ICP'!$B:$B,"setembro")/1000,"")),"")</f>
        <v>0</v>
      </c>
      <c r="CY115" s="427">
        <v>0</v>
      </c>
      <c r="CZ115" s="372"/>
      <c r="DA115" s="419"/>
      <c r="DB115" s="423">
        <f>IFERROR(IF(LEFT($A115,3)="Lcp",SUMIFS('BASE-LCP'!$K:$K,'BASE-LCP'!$A:$A,Capex!$A106,'BASE-LCP'!$B:$B,"outubro")/1000,IF(LEFT($A115,3)="icp",SUMIFS('BASE-ICP'!$K:$K,'BASE-ICP'!$A:$A,Capex!$A106,'BASE-ICP'!$B:$B,"outubro")/1000,"")),"")</f>
        <v>0</v>
      </c>
      <c r="DC115" s="427">
        <v>0</v>
      </c>
      <c r="DD115" s="372"/>
      <c r="DE115" s="419"/>
      <c r="DF115" s="423">
        <f>IFERROR(IF(LEFT($A115,3)="Lcp",SUMIFS('BASE-LCP'!$K:$K,'BASE-LCP'!$A:$A,Capex!$A106,'BASE-LCP'!$B:$B,"novembro")/1000,IF(LEFT($A115,3)="icp",SUMIFS('BASE-ICP'!$K:$K,'BASE-ICP'!$A:$A,Capex!$A106,'BASE-ICP'!$B:$B,"novembro")/1000,"")),"")</f>
        <v>0</v>
      </c>
      <c r="DG115" s="427">
        <v>0</v>
      </c>
      <c r="DH115" s="372"/>
      <c r="DI115" s="419"/>
      <c r="DJ115" s="423">
        <f>IFERROR(IF(LEFT($A115,3)="Lcp",SUMIFS('BASE-LCP'!$K:$K,'BASE-LCP'!$A:$A,Capex!$A106,'BASE-LCP'!$B:$B,"dezembro")/1000,IF(LEFT($A115,3)="icp",SUMIFS('BASE-ICP'!$K:$K,'BASE-ICP'!$A:$A,Capex!$A106,'BASE-ICP'!$B:$B,"dezembro")/1000,"")),"")</f>
        <v>0</v>
      </c>
      <c r="DK115" s="427">
        <v>0</v>
      </c>
      <c r="DL115" s="452">
        <f t="shared" si="51"/>
        <v>0</v>
      </c>
      <c r="DM115" s="374"/>
      <c r="DN115" s="374"/>
      <c r="DO115" s="374"/>
      <c r="DP115" s="374"/>
      <c r="DQ115" s="374"/>
      <c r="DR115" s="374"/>
      <c r="DS115" s="374"/>
      <c r="DT115" s="374"/>
      <c r="DU115" s="374"/>
      <c r="DV115" s="374"/>
      <c r="DW115" s="374"/>
      <c r="DX115" s="374"/>
      <c r="DY115" s="450"/>
      <c r="DZ115" s="374">
        <f t="shared" si="52"/>
        <v>0</v>
      </c>
      <c r="EA115" s="216">
        <f t="shared" si="53"/>
        <v>0</v>
      </c>
      <c r="EB115" s="320">
        <f t="shared" si="54"/>
        <v>0</v>
      </c>
      <c r="EC115" s="241">
        <f t="shared" si="55"/>
        <v>0</v>
      </c>
      <c r="ED115" s="241">
        <f t="shared" si="56"/>
        <v>0</v>
      </c>
      <c r="EE115" s="241">
        <f t="shared" si="57"/>
        <v>0</v>
      </c>
      <c r="EF115" s="241">
        <f t="shared" si="58"/>
        <v>0</v>
      </c>
      <c r="EG115" s="346">
        <f t="shared" si="59"/>
        <v>0</v>
      </c>
      <c r="EH115" s="445">
        <f t="shared" si="60"/>
        <v>0</v>
      </c>
      <c r="EI115" s="447">
        <f t="shared" si="61"/>
        <v>0</v>
      </c>
      <c r="EJ115" s="364">
        <f t="shared" si="62"/>
        <v>0</v>
      </c>
      <c r="EK115" s="365">
        <f t="shared" si="63"/>
        <v>0</v>
      </c>
      <c r="EL115" s="529">
        <f t="shared" si="64"/>
        <v>0</v>
      </c>
      <c r="EM115" s="530">
        <v>0</v>
      </c>
      <c r="EN115" s="530">
        <v>0</v>
      </c>
      <c r="EO115" s="530">
        <v>0</v>
      </c>
      <c r="EP115" s="530">
        <v>0</v>
      </c>
      <c r="EQ115" s="530">
        <v>0</v>
      </c>
      <c r="ER115" s="530">
        <v>0</v>
      </c>
      <c r="ES115" s="530">
        <v>0</v>
      </c>
      <c r="ET115" s="530">
        <v>0</v>
      </c>
      <c r="EU115" s="530">
        <v>0</v>
      </c>
      <c r="EV115" s="530">
        <v>0</v>
      </c>
      <c r="EW115" s="530">
        <v>0</v>
      </c>
      <c r="EX115" s="530">
        <v>0</v>
      </c>
      <c r="EY115" s="530">
        <f t="shared" si="65"/>
        <v>0</v>
      </c>
      <c r="EZ115" s="530">
        <f t="shared" si="66"/>
        <v>0</v>
      </c>
      <c r="FA115" s="530">
        <f t="shared" si="67"/>
        <v>0</v>
      </c>
      <c r="FB115" s="530">
        <f t="shared" si="68"/>
        <v>0</v>
      </c>
      <c r="FC115" s="384">
        <f>IFERROR(VLOOKUP(Capex!A106,BASE_558!D:R,8,FALSE)/1000,"")</f>
        <v>211.8</v>
      </c>
      <c r="FD115" s="328">
        <f>IFERROR(VLOOKUP(Capex!A106,BASE_558!D:R,9,)/1000,"")</f>
        <v>186.17610000000002</v>
      </c>
      <c r="FE115" s="328">
        <f>IFERROR(IF(LEFT(A115,3)="LCP",(VLOOKUP(Capex!A106,BASE_558!D:R,10,)/1000),SUMIFS('BASE ICP_PO_SC'!F:F,'BASE ICP_PO_SC'!A:A,Capex!A106,'BASE ICP_PO_SC'!E:E,"&lt;&gt;")/1000),"")</f>
        <v>0</v>
      </c>
      <c r="FF115" s="328">
        <f>IFERROR(IF(LEFT(A115,3)="LCP",(VLOOKUP(Capex!A106,BASE_558!D:R,11,)/1000),SUMIFS('BASE ICP_PO_SC'!F:F,'BASE ICP_PO_SC'!A:A,Capex!A106,'BASE ICP_PO_SC'!E:E,"")/1000),"")</f>
        <v>0</v>
      </c>
      <c r="FG115" s="328">
        <f>IFERROR(VLOOKUP(A115,BASE_558!D:R,13,FALSE)/1000,"")</f>
        <v>200.9049</v>
      </c>
      <c r="FH115" s="328">
        <f>IFERROR(VLOOKUP(A115,BASE_558!D:R,15,FALSE)/1000,"")</f>
        <v>66.895099999999999</v>
      </c>
      <c r="FI115" s="547">
        <f t="shared" si="69"/>
        <v>0</v>
      </c>
      <c r="FJ115" s="547">
        <f t="shared" si="70"/>
        <v>0</v>
      </c>
      <c r="FK115" s="540">
        <f t="shared" si="71"/>
        <v>0</v>
      </c>
    </row>
    <row r="116" spans="1:167" s="23" customFormat="1" ht="24" customHeight="1">
      <c r="A116" s="84" t="s">
        <v>71</v>
      </c>
      <c r="B116" s="404"/>
      <c r="C116" s="404"/>
      <c r="D116" s="338" t="s">
        <v>2222</v>
      </c>
      <c r="E116" s="378"/>
      <c r="F116" s="5"/>
      <c r="G116" s="310" t="s">
        <v>9</v>
      </c>
      <c r="H116" s="338"/>
      <c r="I116" s="338"/>
      <c r="J116" s="338">
        <v>2018</v>
      </c>
      <c r="K116" s="316">
        <v>43329</v>
      </c>
      <c r="L116" s="317">
        <v>44223</v>
      </c>
      <c r="M116" s="409"/>
      <c r="N116" s="317">
        <f t="shared" si="74"/>
        <v>44241</v>
      </c>
      <c r="O116" s="317">
        <f t="shared" si="75"/>
        <v>44606</v>
      </c>
      <c r="P116" s="418" t="str">
        <f t="shared" si="80"/>
        <v>CRTD</v>
      </c>
      <c r="Q116" s="418" t="str">
        <f t="shared" si="80"/>
        <v>CRTD</v>
      </c>
      <c r="R116" s="418" t="str">
        <f t="shared" si="80"/>
        <v>CRTD</v>
      </c>
      <c r="S116" s="418" t="str">
        <f t="shared" si="80"/>
        <v>CRTD</v>
      </c>
      <c r="T116" s="418" t="str">
        <f t="shared" si="80"/>
        <v>CRTD</v>
      </c>
      <c r="U116" s="418" t="str">
        <f t="shared" si="80"/>
        <v>CRTD</v>
      </c>
      <c r="V116" s="418" t="str">
        <f t="shared" si="80"/>
        <v>CRTD</v>
      </c>
      <c r="W116" s="418" t="str">
        <f t="shared" si="80"/>
        <v>CRTD</v>
      </c>
      <c r="X116" s="418" t="str">
        <f t="shared" si="80"/>
        <v>CRTD</v>
      </c>
      <c r="Y116" s="418" t="str">
        <f t="shared" si="80"/>
        <v>CRTD</v>
      </c>
      <c r="Z116" s="418" t="str">
        <f t="shared" si="80"/>
        <v>CRTD</v>
      </c>
      <c r="AA116" s="418" t="str">
        <f t="shared" si="80"/>
        <v>CRTD</v>
      </c>
      <c r="AB116" s="317"/>
      <c r="AC116" s="309" t="s">
        <v>3932</v>
      </c>
      <c r="AD116" s="311" t="s">
        <v>5</v>
      </c>
      <c r="AE116" s="311"/>
      <c r="AF116" s="310" t="s">
        <v>6985</v>
      </c>
      <c r="AG116" s="310" t="s">
        <v>9083</v>
      </c>
      <c r="AH116" s="310" t="s">
        <v>72</v>
      </c>
      <c r="AI116" s="309" t="s">
        <v>185</v>
      </c>
      <c r="AJ116" s="6" t="s">
        <v>218</v>
      </c>
      <c r="AK116" s="6" t="str">
        <f t="shared" si="49"/>
        <v>IGUAL</v>
      </c>
      <c r="AL116" s="151" t="str">
        <f>IFERROR(IF(LEFT(A116,3)="LCP",VLOOKUP(A116,STATUS_SAP_LCP!B:C,2,FALSE),VLOOKUP(A116,STATUS_SAP_ICP!B:C,2,FALSE)),"NO BUDGET")</f>
        <v>CLSD BUDG AUC  AVAC  //  RJCD BREL EXPL</v>
      </c>
      <c r="AM116" s="6" t="str">
        <f t="shared" si="48"/>
        <v>CLSD</v>
      </c>
      <c r="AN116" s="282" t="s">
        <v>9092</v>
      </c>
      <c r="AO116" s="493">
        <v>1</v>
      </c>
      <c r="AP116" s="499" t="s">
        <v>9607</v>
      </c>
      <c r="AQ116" s="465">
        <v>44223</v>
      </c>
      <c r="AR116" s="460"/>
      <c r="AS116" s="56">
        <v>230.22216148789255</v>
      </c>
      <c r="AT116" s="185">
        <v>15.674819999999999</v>
      </c>
      <c r="AU116" s="318">
        <v>0</v>
      </c>
      <c r="AV116" s="223">
        <v>0</v>
      </c>
      <c r="AW116" s="318">
        <v>0</v>
      </c>
      <c r="AX116" s="223">
        <v>0</v>
      </c>
      <c r="AY116" s="318">
        <f t="shared" si="76"/>
        <v>0</v>
      </c>
      <c r="AZ116" s="223"/>
      <c r="BA116" s="318"/>
      <c r="BB116" s="519">
        <f t="shared" si="77"/>
        <v>0</v>
      </c>
      <c r="BC116" s="518"/>
      <c r="BD116" s="518"/>
      <c r="BE116" s="518"/>
      <c r="BF116" s="518"/>
      <c r="BG116" s="518"/>
      <c r="BH116" s="518"/>
      <c r="BI116" s="518"/>
      <c r="BJ116" s="518"/>
      <c r="BK116" s="518"/>
      <c r="BL116" s="518"/>
      <c r="BM116" s="518"/>
      <c r="BN116" s="518"/>
      <c r="BO116" s="367">
        <f t="shared" si="50"/>
        <v>0</v>
      </c>
      <c r="BP116" s="421"/>
      <c r="BQ116" s="422"/>
      <c r="BR116" s="423">
        <f>IFERROR(IF(LEFT($A116,3)="Lcp",SUMIFS('BASE-LCP'!$K:$K,'BASE-LCP'!$A:$A,Capex!$A107,'BASE-LCP'!$B:$B,"janeiro")/1000,IF(LEFT($A116,3)="icp",SUMIFS('BASE-ICP'!$K:$K,'BASE-ICP'!$A:$A,Capex!$A107,'BASE-ICP'!$B:$B,"janeiro")/1000,"")),"")</f>
        <v>0</v>
      </c>
      <c r="BS116" s="427">
        <v>0</v>
      </c>
      <c r="BT116" s="372">
        <v>0</v>
      </c>
      <c r="BU116" s="422"/>
      <c r="BV116" s="423">
        <f>IFERROR(IF(LEFT($A116,3)="Lcp",SUMIFS('BASE-LCP'!$K:$K,'BASE-LCP'!$A:$A,Capex!$A107,'BASE-LCP'!$B:$B,"fevereiro")/1000,IF(LEFT($A116,3)="icp",SUMIFS('BASE-ICP'!$K:$K,'BASE-ICP'!$A:$A,Capex!$A107,'BASE-ICP'!$B:$B,"fevereiro")/1000,"")),"")</f>
        <v>0</v>
      </c>
      <c r="BW116" s="427">
        <v>0</v>
      </c>
      <c r="BX116" s="372">
        <v>0</v>
      </c>
      <c r="BY116" s="419"/>
      <c r="BZ116" s="423">
        <f>IFERROR(IF(LEFT($A116,3)="Lcp",SUMIFS('BASE-LCP'!$K:$K,'BASE-LCP'!$A:$A,Capex!$A107,'BASE-LCP'!$B:$B,"março")/1000,IF(LEFT($A116,3)="icp",SUMIFS('BASE-ICP'!$K:$K,'BASE-ICP'!$A:$A,Capex!$A107,'BASE-ICP'!$B:$B,"março")/1000,"")),"")</f>
        <v>0</v>
      </c>
      <c r="CA116" s="427">
        <v>0</v>
      </c>
      <c r="CB116" s="372">
        <v>0</v>
      </c>
      <c r="CC116" s="422"/>
      <c r="CD116" s="423">
        <f>IFERROR(IF(LEFT($A116,3)="Lcp",SUMIFS('BASE-LCP'!$K:$K,'BASE-LCP'!$A:$A,Capex!$A107,'BASE-LCP'!$B:$B,"abril")/1000,IF(LEFT($A116,3)="icp",SUMIFS('BASE-ICP'!$K:$K,'BASE-ICP'!$A:$A,Capex!$A107,'BASE-ICP'!$B:$B,"abril")/1000,"")),"")</f>
        <v>0</v>
      </c>
      <c r="CE116" s="427">
        <v>0</v>
      </c>
      <c r="CF116" s="372">
        <v>0</v>
      </c>
      <c r="CG116" s="419"/>
      <c r="CH116" s="423">
        <v>0</v>
      </c>
      <c r="CI116" s="427">
        <v>0</v>
      </c>
      <c r="CJ116" s="372">
        <v>0</v>
      </c>
      <c r="CK116" s="419"/>
      <c r="CL116" s="423">
        <f>IFERROR(IF(LEFT($A116,3)="Lcp",SUMIFS('BASE-LCP'!$K:$K,'BASE-LCP'!$A:$A,Capex!$A107,'BASE-LCP'!$B:$B,"junho")/1000,IF(LEFT($A116,3)="icp",SUMIFS('BASE-ICP'!$K:$K,'BASE-ICP'!$A:$A,Capex!$A107,'BASE-ICP'!$B:$B,"junho")/1000,"")),"")</f>
        <v>0</v>
      </c>
      <c r="CM116" s="427">
        <v>0</v>
      </c>
      <c r="CN116" s="372"/>
      <c r="CO116" s="419"/>
      <c r="CP116" s="423">
        <f>IFERROR(IF(LEFT($A116,3)="Lcp",SUMIFS('BASE-LCP'!$K:$K,'BASE-LCP'!$A:$A,Capex!$A107,'BASE-LCP'!$B:$B,"julho")/1000,IF(LEFT($A116,3)="icp",SUMIFS('BASE-ICP'!$K:$K,'BASE-ICP'!$A:$A,Capex!$A107,'BASE-ICP'!$B:$B,"julho")/1000,"")),"")</f>
        <v>0</v>
      </c>
      <c r="CQ116" s="427">
        <v>0</v>
      </c>
      <c r="CR116" s="372"/>
      <c r="CS116" s="419"/>
      <c r="CT116" s="423">
        <f>IFERROR(IF(LEFT($A116,3)="Lcp",SUMIFS('BASE-LCP'!$K:$K,'BASE-LCP'!$A:$A,Capex!$A107,'BASE-LCP'!$B:$B,"agosto")/1000,IF(LEFT($A116,3)="icp",SUMIFS('BASE-ICP'!$K:$K,'BASE-ICP'!$A:$A,Capex!$A107,'BASE-ICP'!$B:$B,"agosto")/1000,"")),"")</f>
        <v>0</v>
      </c>
      <c r="CU116" s="427">
        <v>0</v>
      </c>
      <c r="CV116" s="372"/>
      <c r="CW116" s="419"/>
      <c r="CX116" s="423">
        <f>IFERROR(IF(LEFT($A116,3)="Lcp",SUMIFS('BASE-LCP'!$K:$K,'BASE-LCP'!$A:$A,Capex!$A107,'BASE-LCP'!$B:$B,"setembro")/1000,IF(LEFT($A116,3)="icp",SUMIFS('BASE-ICP'!$K:$K,'BASE-ICP'!$A:$A,Capex!$A107,'BASE-ICP'!$B:$B,"setembro")/1000,"")),"")</f>
        <v>0</v>
      </c>
      <c r="CY116" s="427">
        <v>0</v>
      </c>
      <c r="CZ116" s="372"/>
      <c r="DA116" s="419"/>
      <c r="DB116" s="423">
        <f>IFERROR(IF(LEFT($A116,3)="Lcp",SUMIFS('BASE-LCP'!$K:$K,'BASE-LCP'!$A:$A,Capex!$A107,'BASE-LCP'!$B:$B,"outubro")/1000,IF(LEFT($A116,3)="icp",SUMIFS('BASE-ICP'!$K:$K,'BASE-ICP'!$A:$A,Capex!$A107,'BASE-ICP'!$B:$B,"outubro")/1000,"")),"")</f>
        <v>0</v>
      </c>
      <c r="DC116" s="427">
        <v>0</v>
      </c>
      <c r="DD116" s="372"/>
      <c r="DE116" s="419"/>
      <c r="DF116" s="423">
        <f>IFERROR(IF(LEFT($A116,3)="Lcp",SUMIFS('BASE-LCP'!$K:$K,'BASE-LCP'!$A:$A,Capex!$A107,'BASE-LCP'!$B:$B,"novembro")/1000,IF(LEFT($A116,3)="icp",SUMIFS('BASE-ICP'!$K:$K,'BASE-ICP'!$A:$A,Capex!$A107,'BASE-ICP'!$B:$B,"novembro")/1000,"")),"")</f>
        <v>0</v>
      </c>
      <c r="DG116" s="427">
        <v>0</v>
      </c>
      <c r="DH116" s="372"/>
      <c r="DI116" s="419"/>
      <c r="DJ116" s="423">
        <f>IFERROR(IF(LEFT($A116,3)="Lcp",SUMIFS('BASE-LCP'!$K:$K,'BASE-LCP'!$A:$A,Capex!$A107,'BASE-LCP'!$B:$B,"dezembro")/1000,IF(LEFT($A116,3)="icp",SUMIFS('BASE-ICP'!$K:$K,'BASE-ICP'!$A:$A,Capex!$A107,'BASE-ICP'!$B:$B,"dezembro")/1000,"")),"")</f>
        <v>0</v>
      </c>
      <c r="DK116" s="427">
        <v>0</v>
      </c>
      <c r="DL116" s="452">
        <f t="shared" si="51"/>
        <v>0</v>
      </c>
      <c r="DM116" s="374"/>
      <c r="DN116" s="374"/>
      <c r="DO116" s="374"/>
      <c r="DP116" s="374"/>
      <c r="DQ116" s="374"/>
      <c r="DR116" s="374"/>
      <c r="DS116" s="374"/>
      <c r="DT116" s="374"/>
      <c r="DU116" s="374"/>
      <c r="DV116" s="374"/>
      <c r="DW116" s="374"/>
      <c r="DX116" s="374"/>
      <c r="DY116" s="450"/>
      <c r="DZ116" s="374">
        <f t="shared" si="52"/>
        <v>0</v>
      </c>
      <c r="EA116" s="216">
        <f t="shared" si="53"/>
        <v>0</v>
      </c>
      <c r="EB116" s="320">
        <f t="shared" si="54"/>
        <v>0</v>
      </c>
      <c r="EC116" s="241">
        <f t="shared" si="55"/>
        <v>0</v>
      </c>
      <c r="ED116" s="241">
        <f t="shared" si="56"/>
        <v>0</v>
      </c>
      <c r="EE116" s="241">
        <f t="shared" si="57"/>
        <v>0</v>
      </c>
      <c r="EF116" s="241">
        <f t="shared" si="58"/>
        <v>0</v>
      </c>
      <c r="EG116" s="346">
        <f t="shared" si="59"/>
        <v>0</v>
      </c>
      <c r="EH116" s="445">
        <f t="shared" si="60"/>
        <v>0</v>
      </c>
      <c r="EI116" s="447">
        <f t="shared" si="61"/>
        <v>0</v>
      </c>
      <c r="EJ116" s="364">
        <f t="shared" si="62"/>
        <v>0</v>
      </c>
      <c r="EK116" s="365">
        <f t="shared" si="63"/>
        <v>0</v>
      </c>
      <c r="EL116" s="529">
        <f t="shared" si="64"/>
        <v>0</v>
      </c>
      <c r="EM116" s="530">
        <v>0</v>
      </c>
      <c r="EN116" s="530">
        <v>0</v>
      </c>
      <c r="EO116" s="530">
        <v>0</v>
      </c>
      <c r="EP116" s="530">
        <v>0</v>
      </c>
      <c r="EQ116" s="530">
        <v>0</v>
      </c>
      <c r="ER116" s="530">
        <v>0</v>
      </c>
      <c r="ES116" s="530">
        <v>0</v>
      </c>
      <c r="ET116" s="530">
        <v>0</v>
      </c>
      <c r="EU116" s="530">
        <v>0</v>
      </c>
      <c r="EV116" s="530">
        <v>0</v>
      </c>
      <c r="EW116" s="530">
        <v>0</v>
      </c>
      <c r="EX116" s="530">
        <v>0</v>
      </c>
      <c r="EY116" s="530">
        <f t="shared" si="65"/>
        <v>0</v>
      </c>
      <c r="EZ116" s="530">
        <f t="shared" si="66"/>
        <v>0</v>
      </c>
      <c r="FA116" s="530">
        <f t="shared" si="67"/>
        <v>0</v>
      </c>
      <c r="FB116" s="530">
        <f t="shared" si="68"/>
        <v>0</v>
      </c>
      <c r="FC116" s="384">
        <f>IFERROR(VLOOKUP(Capex!A107,BASE_558!D:R,8,FALSE)/1000,"")</f>
        <v>211.9</v>
      </c>
      <c r="FD116" s="328">
        <f>IFERROR(VLOOKUP(Capex!A107,BASE_558!D:R,9,)/1000,"")</f>
        <v>203.58141000000001</v>
      </c>
      <c r="FE116" s="328">
        <f>IFERROR(IF(LEFT(A116,3)="LCP",(VLOOKUP(Capex!A107,BASE_558!D:R,10,)/1000),SUMIFS('BASE ICP_PO_SC'!F:F,'BASE ICP_PO_SC'!A:A,Capex!A107,'BASE ICP_PO_SC'!E:E,"&lt;&gt;")/1000),"")</f>
        <v>0</v>
      </c>
      <c r="FF116" s="328">
        <f>IFERROR(IF(LEFT(A116,3)="LCP",(VLOOKUP(Capex!A107,BASE_558!D:R,11,)/1000),SUMIFS('BASE ICP_PO_SC'!F:F,'BASE ICP_PO_SC'!A:A,Capex!A107,'BASE ICP_PO_SC'!E:E,"")/1000),"")</f>
        <v>0</v>
      </c>
      <c r="FG116" s="328">
        <f>IFERROR(VLOOKUP(A116,BASE_558!D:R,13,FALSE)/1000,"")</f>
        <v>328.54374999999999</v>
      </c>
      <c r="FH116" s="328">
        <f>IFERROR(VLOOKUP(A116,BASE_558!D:R,15,FALSE)/1000,"")</f>
        <v>1.20625</v>
      </c>
      <c r="FI116" s="547">
        <f t="shared" si="69"/>
        <v>0</v>
      </c>
      <c r="FJ116" s="547">
        <f t="shared" si="70"/>
        <v>0</v>
      </c>
      <c r="FK116" s="540">
        <f t="shared" si="71"/>
        <v>0</v>
      </c>
    </row>
    <row r="117" spans="1:167" s="23" customFormat="1" ht="24" customHeight="1">
      <c r="A117" s="84" t="s">
        <v>117</v>
      </c>
      <c r="B117" s="404"/>
      <c r="C117" s="404"/>
      <c r="D117" s="338" t="s">
        <v>2223</v>
      </c>
      <c r="E117" s="378"/>
      <c r="F117" s="5"/>
      <c r="G117" s="310" t="s">
        <v>9</v>
      </c>
      <c r="H117" s="338"/>
      <c r="I117" s="338"/>
      <c r="J117" s="338">
        <v>2018</v>
      </c>
      <c r="K117" s="316">
        <v>43335</v>
      </c>
      <c r="L117" s="317">
        <v>44147</v>
      </c>
      <c r="M117" s="409"/>
      <c r="N117" s="317">
        <f t="shared" si="74"/>
        <v>44247</v>
      </c>
      <c r="O117" s="317">
        <f t="shared" si="75"/>
        <v>44612</v>
      </c>
      <c r="P117" s="418" t="str">
        <f t="shared" si="80"/>
        <v>CRTD</v>
      </c>
      <c r="Q117" s="418" t="str">
        <f t="shared" si="80"/>
        <v>CRTD</v>
      </c>
      <c r="R117" s="418" t="str">
        <f t="shared" si="80"/>
        <v>CRTD</v>
      </c>
      <c r="S117" s="418" t="str">
        <f t="shared" si="80"/>
        <v>CRTD</v>
      </c>
      <c r="T117" s="418" t="str">
        <f t="shared" si="80"/>
        <v>CRTD</v>
      </c>
      <c r="U117" s="418" t="str">
        <f t="shared" si="80"/>
        <v>CRTD</v>
      </c>
      <c r="V117" s="418" t="str">
        <f t="shared" si="80"/>
        <v>CRTD</v>
      </c>
      <c r="W117" s="418" t="str">
        <f t="shared" si="80"/>
        <v>CRTD</v>
      </c>
      <c r="X117" s="418" t="str">
        <f t="shared" si="80"/>
        <v>CRTD</v>
      </c>
      <c r="Y117" s="418" t="str">
        <f t="shared" si="80"/>
        <v>CRTD</v>
      </c>
      <c r="Z117" s="418" t="str">
        <f t="shared" si="80"/>
        <v>CRTD</v>
      </c>
      <c r="AA117" s="418" t="str">
        <f t="shared" si="80"/>
        <v>CRTD</v>
      </c>
      <c r="AB117" s="317"/>
      <c r="AC117" s="309" t="s">
        <v>3932</v>
      </c>
      <c r="AD117" s="311" t="s">
        <v>223</v>
      </c>
      <c r="AE117" s="311"/>
      <c r="AF117" s="310" t="s">
        <v>6985</v>
      </c>
      <c r="AG117" s="310" t="s">
        <v>9083</v>
      </c>
      <c r="AH117" s="310" t="s">
        <v>118</v>
      </c>
      <c r="AI117" s="309" t="s">
        <v>185</v>
      </c>
      <c r="AJ117" s="6" t="s">
        <v>218</v>
      </c>
      <c r="AK117" s="6" t="str">
        <f t="shared" si="49"/>
        <v>IGUAL</v>
      </c>
      <c r="AL117" s="151" t="str">
        <f>IFERROR(IF(LEFT(A117,3)="LCP",VLOOKUP(A117,STATUS_SAP_LCP!B:C,2,FALSE),VLOOKUP(A117,STATUS_SAP_ICP!B:C,2,FALSE)),"NO BUDGET")</f>
        <v>CLSD BUDG AUC  AVAC  //  APPR BREL EXPL</v>
      </c>
      <c r="AM117" s="6" t="str">
        <f t="shared" si="48"/>
        <v>CLSD</v>
      </c>
      <c r="AN117" s="282" t="s">
        <v>9092</v>
      </c>
      <c r="AO117" s="493">
        <v>1</v>
      </c>
      <c r="AP117" s="499" t="s">
        <v>9607</v>
      </c>
      <c r="AQ117" s="465">
        <v>44147</v>
      </c>
      <c r="AR117" s="460"/>
      <c r="AS117" s="56">
        <v>251.16824517898462</v>
      </c>
      <c r="AT117" s="185">
        <v>2.0255199999999998</v>
      </c>
      <c r="AU117" s="318">
        <v>0</v>
      </c>
      <c r="AV117" s="223">
        <v>0</v>
      </c>
      <c r="AW117" s="318">
        <v>0</v>
      </c>
      <c r="AX117" s="223">
        <v>0</v>
      </c>
      <c r="AY117" s="318">
        <f t="shared" si="76"/>
        <v>0</v>
      </c>
      <c r="AZ117" s="223"/>
      <c r="BA117" s="318"/>
      <c r="BB117" s="519">
        <f t="shared" si="77"/>
        <v>0</v>
      </c>
      <c r="BC117" s="518"/>
      <c r="BD117" s="518"/>
      <c r="BE117" s="518"/>
      <c r="BF117" s="518"/>
      <c r="BG117" s="518"/>
      <c r="BH117" s="518"/>
      <c r="BI117" s="518"/>
      <c r="BJ117" s="518"/>
      <c r="BK117" s="518"/>
      <c r="BL117" s="518"/>
      <c r="BM117" s="518"/>
      <c r="BN117" s="518"/>
      <c r="BO117" s="367">
        <f t="shared" si="50"/>
        <v>0</v>
      </c>
      <c r="BP117" s="421"/>
      <c r="BQ117" s="422"/>
      <c r="BR117" s="423">
        <f>IFERROR(IF(LEFT($A117,3)="Lcp",SUMIFS('BASE-LCP'!$K:$K,'BASE-LCP'!$A:$A,Capex!$A108,'BASE-LCP'!$B:$B,"janeiro")/1000,IF(LEFT($A117,3)="icp",SUMIFS('BASE-ICP'!$K:$K,'BASE-ICP'!$A:$A,Capex!$A108,'BASE-ICP'!$B:$B,"janeiro")/1000,"")),"")</f>
        <v>0</v>
      </c>
      <c r="BS117" s="427">
        <v>0</v>
      </c>
      <c r="BT117" s="372">
        <v>0</v>
      </c>
      <c r="BU117" s="422"/>
      <c r="BV117" s="423">
        <f>IFERROR(IF(LEFT($A117,3)="Lcp",SUMIFS('BASE-LCP'!$K:$K,'BASE-LCP'!$A:$A,Capex!$A108,'BASE-LCP'!$B:$B,"fevereiro")/1000,IF(LEFT($A117,3)="icp",SUMIFS('BASE-ICP'!$K:$K,'BASE-ICP'!$A:$A,Capex!$A108,'BASE-ICP'!$B:$B,"fevereiro")/1000,"")),"")</f>
        <v>0</v>
      </c>
      <c r="BW117" s="427">
        <v>0</v>
      </c>
      <c r="BX117" s="372">
        <v>0</v>
      </c>
      <c r="BY117" s="419"/>
      <c r="BZ117" s="423">
        <f>IFERROR(IF(LEFT($A117,3)="Lcp",SUMIFS('BASE-LCP'!$K:$K,'BASE-LCP'!$A:$A,Capex!$A108,'BASE-LCP'!$B:$B,"março")/1000,IF(LEFT($A117,3)="icp",SUMIFS('BASE-ICP'!$K:$K,'BASE-ICP'!$A:$A,Capex!$A108,'BASE-ICP'!$B:$B,"março")/1000,"")),"")</f>
        <v>0</v>
      </c>
      <c r="CA117" s="427">
        <v>0</v>
      </c>
      <c r="CB117" s="372">
        <v>0</v>
      </c>
      <c r="CC117" s="422"/>
      <c r="CD117" s="423">
        <f>IFERROR(IF(LEFT($A117,3)="Lcp",SUMIFS('BASE-LCP'!$K:$K,'BASE-LCP'!$A:$A,Capex!$A108,'BASE-LCP'!$B:$B,"abril")/1000,IF(LEFT($A117,3)="icp",SUMIFS('BASE-ICP'!$K:$K,'BASE-ICP'!$A:$A,Capex!$A108,'BASE-ICP'!$B:$B,"abril")/1000,"")),"")</f>
        <v>0</v>
      </c>
      <c r="CE117" s="427">
        <v>0</v>
      </c>
      <c r="CF117" s="372">
        <v>0</v>
      </c>
      <c r="CG117" s="419"/>
      <c r="CH117" s="423">
        <v>0</v>
      </c>
      <c r="CI117" s="427">
        <v>0</v>
      </c>
      <c r="CJ117" s="372">
        <v>0</v>
      </c>
      <c r="CK117" s="419"/>
      <c r="CL117" s="423">
        <f>IFERROR(IF(LEFT($A117,3)="Lcp",SUMIFS('BASE-LCP'!$K:$K,'BASE-LCP'!$A:$A,Capex!$A108,'BASE-LCP'!$B:$B,"junho")/1000,IF(LEFT($A117,3)="icp",SUMIFS('BASE-ICP'!$K:$K,'BASE-ICP'!$A:$A,Capex!$A108,'BASE-ICP'!$B:$B,"junho")/1000,"")),"")</f>
        <v>0</v>
      </c>
      <c r="CM117" s="427">
        <v>0</v>
      </c>
      <c r="CN117" s="372"/>
      <c r="CO117" s="419"/>
      <c r="CP117" s="423">
        <f>IFERROR(IF(LEFT($A117,3)="Lcp",SUMIFS('BASE-LCP'!$K:$K,'BASE-LCP'!$A:$A,Capex!$A108,'BASE-LCP'!$B:$B,"julho")/1000,IF(LEFT($A117,3)="icp",SUMIFS('BASE-ICP'!$K:$K,'BASE-ICP'!$A:$A,Capex!$A108,'BASE-ICP'!$B:$B,"julho")/1000,"")),"")</f>
        <v>0</v>
      </c>
      <c r="CQ117" s="427">
        <v>0</v>
      </c>
      <c r="CR117" s="372"/>
      <c r="CS117" s="419"/>
      <c r="CT117" s="423">
        <f>IFERROR(IF(LEFT($A117,3)="Lcp",SUMIFS('BASE-LCP'!$K:$K,'BASE-LCP'!$A:$A,Capex!$A108,'BASE-LCP'!$B:$B,"agosto")/1000,IF(LEFT($A117,3)="icp",SUMIFS('BASE-ICP'!$K:$K,'BASE-ICP'!$A:$A,Capex!$A108,'BASE-ICP'!$B:$B,"agosto")/1000,"")),"")</f>
        <v>0</v>
      </c>
      <c r="CU117" s="427">
        <v>0</v>
      </c>
      <c r="CV117" s="372"/>
      <c r="CW117" s="419"/>
      <c r="CX117" s="423">
        <f>IFERROR(IF(LEFT($A117,3)="Lcp",SUMIFS('BASE-LCP'!$K:$K,'BASE-LCP'!$A:$A,Capex!$A108,'BASE-LCP'!$B:$B,"setembro")/1000,IF(LEFT($A117,3)="icp",SUMIFS('BASE-ICP'!$K:$K,'BASE-ICP'!$A:$A,Capex!$A108,'BASE-ICP'!$B:$B,"setembro")/1000,"")),"")</f>
        <v>0</v>
      </c>
      <c r="CY117" s="427">
        <v>0</v>
      </c>
      <c r="CZ117" s="372"/>
      <c r="DA117" s="419"/>
      <c r="DB117" s="423">
        <f>IFERROR(IF(LEFT($A117,3)="Lcp",SUMIFS('BASE-LCP'!$K:$K,'BASE-LCP'!$A:$A,Capex!$A108,'BASE-LCP'!$B:$B,"outubro")/1000,IF(LEFT($A117,3)="icp",SUMIFS('BASE-ICP'!$K:$K,'BASE-ICP'!$A:$A,Capex!$A108,'BASE-ICP'!$B:$B,"outubro")/1000,"")),"")</f>
        <v>0</v>
      </c>
      <c r="DC117" s="427">
        <v>0</v>
      </c>
      <c r="DD117" s="372"/>
      <c r="DE117" s="419"/>
      <c r="DF117" s="423">
        <f>IFERROR(IF(LEFT($A117,3)="Lcp",SUMIFS('BASE-LCP'!$K:$K,'BASE-LCP'!$A:$A,Capex!$A108,'BASE-LCP'!$B:$B,"novembro")/1000,IF(LEFT($A117,3)="icp",SUMIFS('BASE-ICP'!$K:$K,'BASE-ICP'!$A:$A,Capex!$A108,'BASE-ICP'!$B:$B,"novembro")/1000,"")),"")</f>
        <v>0</v>
      </c>
      <c r="DG117" s="427">
        <v>0</v>
      </c>
      <c r="DH117" s="372"/>
      <c r="DI117" s="419"/>
      <c r="DJ117" s="423">
        <f>IFERROR(IF(LEFT($A117,3)="Lcp",SUMIFS('BASE-LCP'!$K:$K,'BASE-LCP'!$A:$A,Capex!$A108,'BASE-LCP'!$B:$B,"dezembro")/1000,IF(LEFT($A117,3)="icp",SUMIFS('BASE-ICP'!$K:$K,'BASE-ICP'!$A:$A,Capex!$A108,'BASE-ICP'!$B:$B,"dezembro")/1000,"")),"")</f>
        <v>0</v>
      </c>
      <c r="DK117" s="427">
        <v>0</v>
      </c>
      <c r="DL117" s="452">
        <f t="shared" si="51"/>
        <v>0</v>
      </c>
      <c r="DM117" s="374"/>
      <c r="DN117" s="374"/>
      <c r="DO117" s="374"/>
      <c r="DP117" s="374"/>
      <c r="DQ117" s="374"/>
      <c r="DR117" s="374"/>
      <c r="DS117" s="374"/>
      <c r="DT117" s="374"/>
      <c r="DU117" s="374"/>
      <c r="DV117" s="374"/>
      <c r="DW117" s="374"/>
      <c r="DX117" s="374"/>
      <c r="DY117" s="450"/>
      <c r="DZ117" s="374">
        <f t="shared" si="52"/>
        <v>0</v>
      </c>
      <c r="EA117" s="216">
        <f t="shared" si="53"/>
        <v>0</v>
      </c>
      <c r="EB117" s="320">
        <f t="shared" si="54"/>
        <v>0</v>
      </c>
      <c r="EC117" s="241">
        <f t="shared" si="55"/>
        <v>0</v>
      </c>
      <c r="ED117" s="241">
        <f t="shared" si="56"/>
        <v>0</v>
      </c>
      <c r="EE117" s="241">
        <f t="shared" si="57"/>
        <v>0</v>
      </c>
      <c r="EF117" s="241">
        <f t="shared" si="58"/>
        <v>0</v>
      </c>
      <c r="EG117" s="346">
        <f t="shared" si="59"/>
        <v>0</v>
      </c>
      <c r="EH117" s="445">
        <f t="shared" si="60"/>
        <v>0</v>
      </c>
      <c r="EI117" s="447">
        <f t="shared" si="61"/>
        <v>0</v>
      </c>
      <c r="EJ117" s="364">
        <f t="shared" si="62"/>
        <v>0</v>
      </c>
      <c r="EK117" s="365">
        <f t="shared" si="63"/>
        <v>0</v>
      </c>
      <c r="EL117" s="529">
        <f t="shared" si="64"/>
        <v>0</v>
      </c>
      <c r="EM117" s="530">
        <v>0</v>
      </c>
      <c r="EN117" s="530">
        <v>0</v>
      </c>
      <c r="EO117" s="530">
        <v>0</v>
      </c>
      <c r="EP117" s="530">
        <v>0</v>
      </c>
      <c r="EQ117" s="530">
        <v>0</v>
      </c>
      <c r="ER117" s="530">
        <v>0</v>
      </c>
      <c r="ES117" s="530">
        <v>0</v>
      </c>
      <c r="ET117" s="530">
        <v>0</v>
      </c>
      <c r="EU117" s="530">
        <v>0</v>
      </c>
      <c r="EV117" s="530">
        <v>0</v>
      </c>
      <c r="EW117" s="530">
        <v>0</v>
      </c>
      <c r="EX117" s="530">
        <v>0</v>
      </c>
      <c r="EY117" s="530">
        <f t="shared" si="65"/>
        <v>0</v>
      </c>
      <c r="EZ117" s="530">
        <f t="shared" si="66"/>
        <v>0</v>
      </c>
      <c r="FA117" s="530">
        <f t="shared" si="67"/>
        <v>0</v>
      </c>
      <c r="FB117" s="530">
        <f t="shared" si="68"/>
        <v>0</v>
      </c>
      <c r="FC117" s="384">
        <f>IFERROR(VLOOKUP(Capex!A108,BASE_558!D:R,8,FALSE)/1000,"")</f>
        <v>296</v>
      </c>
      <c r="FD117" s="328">
        <f>IFERROR(VLOOKUP(Capex!A108,BASE_558!D:R,9,)/1000,"")</f>
        <v>259.93617999999998</v>
      </c>
      <c r="FE117" s="328">
        <f>IFERROR(IF(LEFT(A117,3)="LCP",(VLOOKUP(Capex!A108,BASE_558!D:R,10,)/1000),SUMIFS('BASE ICP_PO_SC'!F:F,'BASE ICP_PO_SC'!A:A,Capex!A108,'BASE ICP_PO_SC'!E:E,"&lt;&gt;")/1000),"")</f>
        <v>0</v>
      </c>
      <c r="FF117" s="328">
        <f>IFERROR(IF(LEFT(A117,3)="LCP",(VLOOKUP(Capex!A108,BASE_558!D:R,11,)/1000),SUMIFS('BASE ICP_PO_SC'!F:F,'BASE ICP_PO_SC'!A:A,Capex!A108,'BASE ICP_PO_SC'!E:E,"")/1000),"")</f>
        <v>0</v>
      </c>
      <c r="FG117" s="328">
        <f>IFERROR(VLOOKUP(A117,BASE_558!D:R,13,FALSE)/1000,"")</f>
        <v>338.57531</v>
      </c>
      <c r="FH117" s="328">
        <f>IFERROR(VLOOKUP(A117,BASE_558!D:R,15,FALSE)/1000,"")</f>
        <v>0</v>
      </c>
      <c r="FI117" s="547">
        <f t="shared" si="69"/>
        <v>0</v>
      </c>
      <c r="FJ117" s="547">
        <f t="shared" si="70"/>
        <v>0</v>
      </c>
      <c r="FK117" s="540">
        <f t="shared" si="71"/>
        <v>0</v>
      </c>
    </row>
    <row r="118" spans="1:167" s="23" customFormat="1" ht="24" customHeight="1">
      <c r="A118" s="84" t="s">
        <v>89</v>
      </c>
      <c r="B118" s="404"/>
      <c r="C118" s="404"/>
      <c r="D118" s="338" t="s">
        <v>866</v>
      </c>
      <c r="E118" s="378"/>
      <c r="F118" s="5"/>
      <c r="G118" s="310" t="s">
        <v>9</v>
      </c>
      <c r="H118" s="338"/>
      <c r="I118" s="338"/>
      <c r="J118" s="338">
        <v>2018</v>
      </c>
      <c r="K118" s="316">
        <v>43390</v>
      </c>
      <c r="L118" s="317">
        <v>44405</v>
      </c>
      <c r="M118" s="409"/>
      <c r="N118" s="317">
        <f t="shared" si="74"/>
        <v>44302</v>
      </c>
      <c r="O118" s="317">
        <f t="shared" si="75"/>
        <v>44667</v>
      </c>
      <c r="P118" s="418" t="str">
        <f t="shared" si="80"/>
        <v>CRTD</v>
      </c>
      <c r="Q118" s="418" t="str">
        <f t="shared" si="80"/>
        <v>CRTD</v>
      </c>
      <c r="R118" s="418" t="str">
        <f t="shared" si="80"/>
        <v>CRTD</v>
      </c>
      <c r="S118" s="418" t="str">
        <f t="shared" si="80"/>
        <v>CRTD</v>
      </c>
      <c r="T118" s="418" t="str">
        <f t="shared" si="80"/>
        <v>CRTD</v>
      </c>
      <c r="U118" s="418" t="str">
        <f t="shared" si="80"/>
        <v>CRTD</v>
      </c>
      <c r="V118" s="418" t="str">
        <f t="shared" si="80"/>
        <v>CRTD</v>
      </c>
      <c r="W118" s="418" t="str">
        <f t="shared" si="80"/>
        <v>CRTD</v>
      </c>
      <c r="X118" s="418" t="str">
        <f t="shared" si="80"/>
        <v>CRTD</v>
      </c>
      <c r="Y118" s="418" t="str">
        <f t="shared" si="80"/>
        <v>CRTD</v>
      </c>
      <c r="Z118" s="418" t="str">
        <f t="shared" si="80"/>
        <v>CRTD</v>
      </c>
      <c r="AA118" s="418" t="str">
        <f t="shared" si="80"/>
        <v>CRTD</v>
      </c>
      <c r="AB118" s="317"/>
      <c r="AC118" s="309" t="s">
        <v>2508</v>
      </c>
      <c r="AD118" s="311" t="s">
        <v>223</v>
      </c>
      <c r="AE118" s="311"/>
      <c r="AF118" s="310" t="s">
        <v>6985</v>
      </c>
      <c r="AG118" s="310" t="s">
        <v>9083</v>
      </c>
      <c r="AH118" s="310" t="s">
        <v>3933</v>
      </c>
      <c r="AI118" s="309" t="s">
        <v>188</v>
      </c>
      <c r="AJ118" s="6" t="s">
        <v>218</v>
      </c>
      <c r="AK118" s="6" t="str">
        <f t="shared" si="49"/>
        <v>IGUAL</v>
      </c>
      <c r="AL118" s="151" t="str">
        <f>IFERROR(IF(LEFT(A118,3)="LCP",VLOOKUP(A118,STATUS_SAP_LCP!B:C,2,FALSE),VLOOKUP(A118,STATUS_SAP_ICP!B:C,2,FALSE)),"NO BUDGET")</f>
        <v>CLSD BUDG AUC  AVAC  //  RJCD BREL EXPL</v>
      </c>
      <c r="AM118" s="6" t="str">
        <f t="shared" si="48"/>
        <v>CLSD</v>
      </c>
      <c r="AN118" s="282" t="s">
        <v>9087</v>
      </c>
      <c r="AO118" s="493">
        <v>1</v>
      </c>
      <c r="AP118" s="499" t="s">
        <v>9607</v>
      </c>
      <c r="AQ118" s="465">
        <v>44405</v>
      </c>
      <c r="AR118" s="460"/>
      <c r="AS118" s="56">
        <v>3.38</v>
      </c>
      <c r="AT118" s="185">
        <v>1.94608</v>
      </c>
      <c r="AU118" s="318">
        <v>312.45179999999999</v>
      </c>
      <c r="AV118" s="223">
        <v>0</v>
      </c>
      <c r="AW118" s="318">
        <v>0</v>
      </c>
      <c r="AX118" s="223">
        <v>0</v>
      </c>
      <c r="AY118" s="318">
        <f t="shared" si="76"/>
        <v>0</v>
      </c>
      <c r="AZ118" s="223"/>
      <c r="BA118" s="318"/>
      <c r="BB118" s="519">
        <f t="shared" si="77"/>
        <v>0</v>
      </c>
      <c r="BC118" s="518"/>
      <c r="BD118" s="518"/>
      <c r="BE118" s="518"/>
      <c r="BF118" s="518"/>
      <c r="BG118" s="518"/>
      <c r="BH118" s="518"/>
      <c r="BI118" s="518"/>
      <c r="BJ118" s="518"/>
      <c r="BK118" s="518"/>
      <c r="BL118" s="518"/>
      <c r="BM118" s="518"/>
      <c r="BN118" s="518"/>
      <c r="BO118" s="367">
        <f t="shared" si="50"/>
        <v>0</v>
      </c>
      <c r="BP118" s="421"/>
      <c r="BQ118" s="422"/>
      <c r="BR118" s="423">
        <f>IFERROR(IF(LEFT($A118,3)="Lcp",SUMIFS('BASE-LCP'!$K:$K,'BASE-LCP'!$A:$A,Capex!$A109,'BASE-LCP'!$B:$B,"janeiro")/1000,IF(LEFT($A118,3)="icp",SUMIFS('BASE-ICP'!$K:$K,'BASE-ICP'!$A:$A,Capex!$A109,'BASE-ICP'!$B:$B,"janeiro")/1000,"")),"")</f>
        <v>0</v>
      </c>
      <c r="BS118" s="427">
        <v>0</v>
      </c>
      <c r="BT118" s="372">
        <v>0</v>
      </c>
      <c r="BU118" s="422"/>
      <c r="BV118" s="423">
        <f>IFERROR(IF(LEFT($A118,3)="Lcp",SUMIFS('BASE-LCP'!$K:$K,'BASE-LCP'!$A:$A,Capex!$A109,'BASE-LCP'!$B:$B,"fevereiro")/1000,IF(LEFT($A118,3)="icp",SUMIFS('BASE-ICP'!$K:$K,'BASE-ICP'!$A:$A,Capex!$A109,'BASE-ICP'!$B:$B,"fevereiro")/1000,"")),"")</f>
        <v>0</v>
      </c>
      <c r="BW118" s="427">
        <v>0</v>
      </c>
      <c r="BX118" s="372">
        <v>0</v>
      </c>
      <c r="BY118" s="419"/>
      <c r="BZ118" s="423">
        <f>IFERROR(IF(LEFT($A118,3)="Lcp",SUMIFS('BASE-LCP'!$K:$K,'BASE-LCP'!$A:$A,Capex!$A109,'BASE-LCP'!$B:$B,"março")/1000,IF(LEFT($A118,3)="icp",SUMIFS('BASE-ICP'!$K:$K,'BASE-ICP'!$A:$A,Capex!$A109,'BASE-ICP'!$B:$B,"março")/1000,"")),"")</f>
        <v>0</v>
      </c>
      <c r="CA118" s="427">
        <v>0</v>
      </c>
      <c r="CB118" s="372">
        <v>0</v>
      </c>
      <c r="CC118" s="422"/>
      <c r="CD118" s="423">
        <f>IFERROR(IF(LEFT($A118,3)="Lcp",SUMIFS('BASE-LCP'!$K:$K,'BASE-LCP'!$A:$A,Capex!$A109,'BASE-LCP'!$B:$B,"abril")/1000,IF(LEFT($A118,3)="icp",SUMIFS('BASE-ICP'!$K:$K,'BASE-ICP'!$A:$A,Capex!$A109,'BASE-ICP'!$B:$B,"abril")/1000,"")),"")</f>
        <v>0</v>
      </c>
      <c r="CE118" s="427">
        <v>0</v>
      </c>
      <c r="CF118" s="372">
        <v>0</v>
      </c>
      <c r="CG118" s="419"/>
      <c r="CH118" s="423">
        <v>0</v>
      </c>
      <c r="CI118" s="427">
        <v>0</v>
      </c>
      <c r="CJ118" s="372">
        <v>0</v>
      </c>
      <c r="CK118" s="419"/>
      <c r="CL118" s="423">
        <f>IFERROR(IF(LEFT($A118,3)="Lcp",SUMIFS('BASE-LCP'!$K:$K,'BASE-LCP'!$A:$A,Capex!$A109,'BASE-LCP'!$B:$B,"junho")/1000,IF(LEFT($A118,3)="icp",SUMIFS('BASE-ICP'!$K:$K,'BASE-ICP'!$A:$A,Capex!$A109,'BASE-ICP'!$B:$B,"junho")/1000,"")),"")</f>
        <v>0</v>
      </c>
      <c r="CM118" s="427">
        <v>0</v>
      </c>
      <c r="CN118" s="372"/>
      <c r="CO118" s="419"/>
      <c r="CP118" s="423">
        <f>IFERROR(IF(LEFT($A118,3)="Lcp",SUMIFS('BASE-LCP'!$K:$K,'BASE-LCP'!$A:$A,Capex!$A109,'BASE-LCP'!$B:$B,"julho")/1000,IF(LEFT($A118,3)="icp",SUMIFS('BASE-ICP'!$K:$K,'BASE-ICP'!$A:$A,Capex!$A109,'BASE-ICP'!$B:$B,"julho")/1000,"")),"")</f>
        <v>0</v>
      </c>
      <c r="CQ118" s="427">
        <v>0</v>
      </c>
      <c r="CR118" s="372"/>
      <c r="CS118" s="419"/>
      <c r="CT118" s="423">
        <f>IFERROR(IF(LEFT($A118,3)="Lcp",SUMIFS('BASE-LCP'!$K:$K,'BASE-LCP'!$A:$A,Capex!$A109,'BASE-LCP'!$B:$B,"agosto")/1000,IF(LEFT($A118,3)="icp",SUMIFS('BASE-ICP'!$K:$K,'BASE-ICP'!$A:$A,Capex!$A109,'BASE-ICP'!$B:$B,"agosto")/1000,"")),"")</f>
        <v>0</v>
      </c>
      <c r="CU118" s="427">
        <v>0</v>
      </c>
      <c r="CV118" s="372"/>
      <c r="CW118" s="419"/>
      <c r="CX118" s="423">
        <f>IFERROR(IF(LEFT($A118,3)="Lcp",SUMIFS('BASE-LCP'!$K:$K,'BASE-LCP'!$A:$A,Capex!$A109,'BASE-LCP'!$B:$B,"setembro")/1000,IF(LEFT($A118,3)="icp",SUMIFS('BASE-ICP'!$K:$K,'BASE-ICP'!$A:$A,Capex!$A109,'BASE-ICP'!$B:$B,"setembro")/1000,"")),"")</f>
        <v>0</v>
      </c>
      <c r="CY118" s="427">
        <v>0</v>
      </c>
      <c r="CZ118" s="372"/>
      <c r="DA118" s="419"/>
      <c r="DB118" s="423">
        <f>IFERROR(IF(LEFT($A118,3)="Lcp",SUMIFS('BASE-LCP'!$K:$K,'BASE-LCP'!$A:$A,Capex!$A109,'BASE-LCP'!$B:$B,"outubro")/1000,IF(LEFT($A118,3)="icp",SUMIFS('BASE-ICP'!$K:$K,'BASE-ICP'!$A:$A,Capex!$A109,'BASE-ICP'!$B:$B,"outubro")/1000,"")),"")</f>
        <v>0</v>
      </c>
      <c r="DC118" s="427">
        <v>0</v>
      </c>
      <c r="DD118" s="372"/>
      <c r="DE118" s="419"/>
      <c r="DF118" s="423">
        <f>IFERROR(IF(LEFT($A118,3)="Lcp",SUMIFS('BASE-LCP'!$K:$K,'BASE-LCP'!$A:$A,Capex!$A109,'BASE-LCP'!$B:$B,"novembro")/1000,IF(LEFT($A118,3)="icp",SUMIFS('BASE-ICP'!$K:$K,'BASE-ICP'!$A:$A,Capex!$A109,'BASE-ICP'!$B:$B,"novembro")/1000,"")),"")</f>
        <v>0</v>
      </c>
      <c r="DG118" s="427">
        <v>0</v>
      </c>
      <c r="DH118" s="372"/>
      <c r="DI118" s="419"/>
      <c r="DJ118" s="423">
        <f>IFERROR(IF(LEFT($A118,3)="Lcp",SUMIFS('BASE-LCP'!$K:$K,'BASE-LCP'!$A:$A,Capex!$A109,'BASE-LCP'!$B:$B,"dezembro")/1000,IF(LEFT($A118,3)="icp",SUMIFS('BASE-ICP'!$K:$K,'BASE-ICP'!$A:$A,Capex!$A109,'BASE-ICP'!$B:$B,"dezembro")/1000,"")),"")</f>
        <v>0</v>
      </c>
      <c r="DK118" s="427">
        <v>0</v>
      </c>
      <c r="DL118" s="452">
        <f t="shared" si="51"/>
        <v>0</v>
      </c>
      <c r="DM118" s="374"/>
      <c r="DN118" s="374"/>
      <c r="DO118" s="374"/>
      <c r="DP118" s="374"/>
      <c r="DQ118" s="374"/>
      <c r="DR118" s="374"/>
      <c r="DS118" s="374"/>
      <c r="DT118" s="374"/>
      <c r="DU118" s="374"/>
      <c r="DV118" s="374"/>
      <c r="DW118" s="374"/>
      <c r="DX118" s="374"/>
      <c r="DY118" s="450"/>
      <c r="DZ118" s="374">
        <f t="shared" si="52"/>
        <v>0</v>
      </c>
      <c r="EA118" s="216">
        <f t="shared" si="53"/>
        <v>0</v>
      </c>
      <c r="EB118" s="320">
        <f t="shared" si="54"/>
        <v>0</v>
      </c>
      <c r="EC118" s="241">
        <f t="shared" si="55"/>
        <v>0</v>
      </c>
      <c r="ED118" s="241">
        <f t="shared" si="56"/>
        <v>0</v>
      </c>
      <c r="EE118" s="241">
        <f t="shared" si="57"/>
        <v>0</v>
      </c>
      <c r="EF118" s="241">
        <f t="shared" si="58"/>
        <v>0</v>
      </c>
      <c r="EG118" s="346">
        <f t="shared" si="59"/>
        <v>0</v>
      </c>
      <c r="EH118" s="445">
        <f t="shared" si="60"/>
        <v>0</v>
      </c>
      <c r="EI118" s="447">
        <f t="shared" si="61"/>
        <v>0</v>
      </c>
      <c r="EJ118" s="364">
        <f t="shared" si="62"/>
        <v>0</v>
      </c>
      <c r="EK118" s="365">
        <f t="shared" si="63"/>
        <v>0</v>
      </c>
      <c r="EL118" s="529">
        <f t="shared" si="64"/>
        <v>0</v>
      </c>
      <c r="EM118" s="530">
        <v>0</v>
      </c>
      <c r="EN118" s="530">
        <v>0</v>
      </c>
      <c r="EO118" s="530">
        <v>0</v>
      </c>
      <c r="EP118" s="530">
        <v>0</v>
      </c>
      <c r="EQ118" s="530">
        <v>0</v>
      </c>
      <c r="ER118" s="530">
        <v>0</v>
      </c>
      <c r="ES118" s="530">
        <v>0</v>
      </c>
      <c r="ET118" s="530">
        <v>0</v>
      </c>
      <c r="EU118" s="530">
        <v>0</v>
      </c>
      <c r="EV118" s="530">
        <v>0</v>
      </c>
      <c r="EW118" s="530">
        <v>0</v>
      </c>
      <c r="EX118" s="530">
        <v>0</v>
      </c>
      <c r="EY118" s="530">
        <f t="shared" si="65"/>
        <v>0</v>
      </c>
      <c r="EZ118" s="530">
        <f t="shared" si="66"/>
        <v>0</v>
      </c>
      <c r="FA118" s="530">
        <f t="shared" si="67"/>
        <v>0</v>
      </c>
      <c r="FB118" s="530">
        <f t="shared" si="68"/>
        <v>0</v>
      </c>
      <c r="FC118" s="384">
        <f>IFERROR(VLOOKUP(Capex!A109,BASE_558!D:R,8,FALSE)/1000,"")</f>
        <v>275.95600000000002</v>
      </c>
      <c r="FD118" s="328">
        <f>IFERROR(VLOOKUP(Capex!A109,BASE_558!D:R,9,)/1000,"")</f>
        <v>255.62375</v>
      </c>
      <c r="FE118" s="328">
        <f>IFERROR(IF(LEFT(A118,3)="LCP",(VLOOKUP(Capex!A109,BASE_558!D:R,10,)/1000),SUMIFS('BASE ICP_PO_SC'!F:F,'BASE ICP_PO_SC'!A:A,Capex!A109,'BASE ICP_PO_SC'!E:E,"&lt;&gt;")/1000),"")</f>
        <v>0</v>
      </c>
      <c r="FF118" s="328">
        <f>IFERROR(IF(LEFT(A118,3)="LCP",(VLOOKUP(Capex!A109,BASE_558!D:R,11,)/1000),SUMIFS('BASE ICP_PO_SC'!F:F,'BASE ICP_PO_SC'!A:A,Capex!A109,'BASE ICP_PO_SC'!E:E,"")/1000),"")</f>
        <v>0</v>
      </c>
      <c r="FG118" s="328">
        <f>IFERROR(VLOOKUP(A118,BASE_558!D:R,13,FALSE)/1000,"")</f>
        <v>323.37511999999998</v>
      </c>
      <c r="FH118" s="328">
        <f>IFERROR(VLOOKUP(A118,BASE_558!D:R,15,FALSE)/1000,"")</f>
        <v>64.294879999999992</v>
      </c>
      <c r="FI118" s="547">
        <f t="shared" si="69"/>
        <v>0</v>
      </c>
      <c r="FJ118" s="547">
        <f t="shared" si="70"/>
        <v>0</v>
      </c>
      <c r="FK118" s="540">
        <f t="shared" si="71"/>
        <v>0</v>
      </c>
    </row>
    <row r="119" spans="1:167" s="23" customFormat="1" ht="24" customHeight="1">
      <c r="A119" s="84" t="s">
        <v>119</v>
      </c>
      <c r="B119" s="404"/>
      <c r="C119" s="404"/>
      <c r="D119" s="338" t="s">
        <v>2224</v>
      </c>
      <c r="E119" s="378"/>
      <c r="F119" s="5"/>
      <c r="G119" s="310" t="s">
        <v>9</v>
      </c>
      <c r="H119" s="338"/>
      <c r="I119" s="338"/>
      <c r="J119" s="338">
        <v>2018</v>
      </c>
      <c r="K119" s="316">
        <v>43432</v>
      </c>
      <c r="L119" s="317">
        <v>44277</v>
      </c>
      <c r="M119" s="409"/>
      <c r="N119" s="317">
        <f t="shared" si="74"/>
        <v>44344</v>
      </c>
      <c r="O119" s="317">
        <f t="shared" si="75"/>
        <v>44709</v>
      </c>
      <c r="P119" s="418" t="str">
        <f t="shared" si="80"/>
        <v>CRTD</v>
      </c>
      <c r="Q119" s="418" t="str">
        <f t="shared" si="80"/>
        <v>CRTD</v>
      </c>
      <c r="R119" s="418" t="str">
        <f t="shared" si="80"/>
        <v>CRTD</v>
      </c>
      <c r="S119" s="418" t="str">
        <f t="shared" si="80"/>
        <v>CRTD</v>
      </c>
      <c r="T119" s="418" t="str">
        <f t="shared" si="80"/>
        <v>CRTD</v>
      </c>
      <c r="U119" s="418" t="str">
        <f t="shared" si="80"/>
        <v>CRTD</v>
      </c>
      <c r="V119" s="418" t="str">
        <f t="shared" si="80"/>
        <v>CRTD</v>
      </c>
      <c r="W119" s="418" t="str">
        <f t="shared" si="80"/>
        <v>CRTD</v>
      </c>
      <c r="X119" s="418" t="str">
        <f t="shared" si="80"/>
        <v>CRTD</v>
      </c>
      <c r="Y119" s="418" t="str">
        <f t="shared" si="80"/>
        <v>CRTD</v>
      </c>
      <c r="Z119" s="418" t="str">
        <f t="shared" si="80"/>
        <v>CRTD</v>
      </c>
      <c r="AA119" s="418" t="str">
        <f t="shared" si="80"/>
        <v>CRTD</v>
      </c>
      <c r="AB119" s="317"/>
      <c r="AC119" s="309" t="s">
        <v>3932</v>
      </c>
      <c r="AD119" s="311" t="s">
        <v>982</v>
      </c>
      <c r="AE119" s="311" t="s">
        <v>953</v>
      </c>
      <c r="AF119" s="310" t="s">
        <v>6985</v>
      </c>
      <c r="AG119" s="310" t="s">
        <v>9083</v>
      </c>
      <c r="AH119" s="310" t="s">
        <v>120</v>
      </c>
      <c r="AI119" s="309" t="s">
        <v>185</v>
      </c>
      <c r="AJ119" s="6" t="s">
        <v>218</v>
      </c>
      <c r="AK119" s="6" t="str">
        <f t="shared" si="49"/>
        <v>IGUAL</v>
      </c>
      <c r="AL119" s="151" t="str">
        <f>IFERROR(IF(LEFT(A119,3)="LCP",VLOOKUP(A119,STATUS_SAP_LCP!B:C,2,FALSE),VLOOKUP(A119,STATUS_SAP_ICP!B:C,2,FALSE)),"NO BUDGET")</f>
        <v>CLSD BUDG AUC  AVAC SETC  //  APPR BREL EXPL</v>
      </c>
      <c r="AM119" s="6" t="str">
        <f t="shared" si="48"/>
        <v>CLSD</v>
      </c>
      <c r="AN119" s="282" t="s">
        <v>9092</v>
      </c>
      <c r="AO119" s="493">
        <v>1</v>
      </c>
      <c r="AP119" s="499" t="s">
        <v>9607</v>
      </c>
      <c r="AQ119" s="465">
        <v>44277</v>
      </c>
      <c r="AR119" s="460"/>
      <c r="AS119" s="56">
        <v>160.49593191927877</v>
      </c>
      <c r="AT119" s="185">
        <v>46.599429999999998</v>
      </c>
      <c r="AU119" s="318">
        <v>0.32969000000000004</v>
      </c>
      <c r="AV119" s="223">
        <v>0</v>
      </c>
      <c r="AW119" s="318">
        <v>0</v>
      </c>
      <c r="AX119" s="223">
        <v>0</v>
      </c>
      <c r="AY119" s="318">
        <f t="shared" si="76"/>
        <v>0</v>
      </c>
      <c r="AZ119" s="223"/>
      <c r="BA119" s="318"/>
      <c r="BB119" s="519">
        <f t="shared" si="77"/>
        <v>0</v>
      </c>
      <c r="BC119" s="518"/>
      <c r="BD119" s="518"/>
      <c r="BE119" s="518"/>
      <c r="BF119" s="518"/>
      <c r="BG119" s="518"/>
      <c r="BH119" s="518"/>
      <c r="BI119" s="518"/>
      <c r="BJ119" s="518"/>
      <c r="BK119" s="518"/>
      <c r="BL119" s="518"/>
      <c r="BM119" s="518"/>
      <c r="BN119" s="518"/>
      <c r="BO119" s="367">
        <f t="shared" si="50"/>
        <v>0</v>
      </c>
      <c r="BP119" s="421"/>
      <c r="BQ119" s="422"/>
      <c r="BR119" s="423">
        <f>IFERROR(IF(LEFT($A119,3)="Lcp",SUMIFS('BASE-LCP'!$K:$K,'BASE-LCP'!$A:$A,Capex!$A110,'BASE-LCP'!$B:$B,"janeiro")/1000,IF(LEFT($A119,3)="icp",SUMIFS('BASE-ICP'!$K:$K,'BASE-ICP'!$A:$A,Capex!$A110,'BASE-ICP'!$B:$B,"janeiro")/1000,"")),"")</f>
        <v>0</v>
      </c>
      <c r="BS119" s="427">
        <v>0</v>
      </c>
      <c r="BT119" s="372">
        <v>0</v>
      </c>
      <c r="BU119" s="422"/>
      <c r="BV119" s="423">
        <f>IFERROR(IF(LEFT($A119,3)="Lcp",SUMIFS('BASE-LCP'!$K:$K,'BASE-LCP'!$A:$A,Capex!$A110,'BASE-LCP'!$B:$B,"fevereiro")/1000,IF(LEFT($A119,3)="icp",SUMIFS('BASE-ICP'!$K:$K,'BASE-ICP'!$A:$A,Capex!$A110,'BASE-ICP'!$B:$B,"fevereiro")/1000,"")),"")</f>
        <v>0</v>
      </c>
      <c r="BW119" s="427">
        <v>0</v>
      </c>
      <c r="BX119" s="372">
        <v>0</v>
      </c>
      <c r="BY119" s="419"/>
      <c r="BZ119" s="423">
        <f>IFERROR(IF(LEFT($A119,3)="Lcp",SUMIFS('BASE-LCP'!$K:$K,'BASE-LCP'!$A:$A,Capex!$A110,'BASE-LCP'!$B:$B,"março")/1000,IF(LEFT($A119,3)="icp",SUMIFS('BASE-ICP'!$K:$K,'BASE-ICP'!$A:$A,Capex!$A110,'BASE-ICP'!$B:$B,"março")/1000,"")),"")</f>
        <v>0</v>
      </c>
      <c r="CA119" s="427">
        <v>0</v>
      </c>
      <c r="CB119" s="372">
        <v>0</v>
      </c>
      <c r="CC119" s="422"/>
      <c r="CD119" s="423">
        <f>IFERROR(IF(LEFT($A119,3)="Lcp",SUMIFS('BASE-LCP'!$K:$K,'BASE-LCP'!$A:$A,Capex!$A110,'BASE-LCP'!$B:$B,"abril")/1000,IF(LEFT($A119,3)="icp",SUMIFS('BASE-ICP'!$K:$K,'BASE-ICP'!$A:$A,Capex!$A110,'BASE-ICP'!$B:$B,"abril")/1000,"")),"")</f>
        <v>0</v>
      </c>
      <c r="CE119" s="427">
        <v>0</v>
      </c>
      <c r="CF119" s="372">
        <v>0</v>
      </c>
      <c r="CG119" s="419"/>
      <c r="CH119" s="423">
        <v>0</v>
      </c>
      <c r="CI119" s="427">
        <v>0</v>
      </c>
      <c r="CJ119" s="372">
        <v>0</v>
      </c>
      <c r="CK119" s="419"/>
      <c r="CL119" s="423">
        <f>IFERROR(IF(LEFT($A119,3)="Lcp",SUMIFS('BASE-LCP'!$K:$K,'BASE-LCP'!$A:$A,Capex!$A110,'BASE-LCP'!$B:$B,"junho")/1000,IF(LEFT($A119,3)="icp",SUMIFS('BASE-ICP'!$K:$K,'BASE-ICP'!$A:$A,Capex!$A110,'BASE-ICP'!$B:$B,"junho")/1000,"")),"")</f>
        <v>0</v>
      </c>
      <c r="CM119" s="427">
        <v>0</v>
      </c>
      <c r="CN119" s="372"/>
      <c r="CO119" s="419"/>
      <c r="CP119" s="423">
        <f>IFERROR(IF(LEFT($A119,3)="Lcp",SUMIFS('BASE-LCP'!$K:$K,'BASE-LCP'!$A:$A,Capex!$A110,'BASE-LCP'!$B:$B,"julho")/1000,IF(LEFT($A119,3)="icp",SUMIFS('BASE-ICP'!$K:$K,'BASE-ICP'!$A:$A,Capex!$A110,'BASE-ICP'!$B:$B,"julho")/1000,"")),"")</f>
        <v>0</v>
      </c>
      <c r="CQ119" s="427">
        <v>0</v>
      </c>
      <c r="CR119" s="372"/>
      <c r="CS119" s="419"/>
      <c r="CT119" s="423">
        <f>IFERROR(IF(LEFT($A119,3)="Lcp",SUMIFS('BASE-LCP'!$K:$K,'BASE-LCP'!$A:$A,Capex!$A110,'BASE-LCP'!$B:$B,"agosto")/1000,IF(LEFT($A119,3)="icp",SUMIFS('BASE-ICP'!$K:$K,'BASE-ICP'!$A:$A,Capex!$A110,'BASE-ICP'!$B:$B,"agosto")/1000,"")),"")</f>
        <v>0</v>
      </c>
      <c r="CU119" s="427">
        <v>0</v>
      </c>
      <c r="CV119" s="372"/>
      <c r="CW119" s="419"/>
      <c r="CX119" s="423">
        <f>IFERROR(IF(LEFT($A119,3)="Lcp",SUMIFS('BASE-LCP'!$K:$K,'BASE-LCP'!$A:$A,Capex!$A110,'BASE-LCP'!$B:$B,"setembro")/1000,IF(LEFT($A119,3)="icp",SUMIFS('BASE-ICP'!$K:$K,'BASE-ICP'!$A:$A,Capex!$A110,'BASE-ICP'!$B:$B,"setembro")/1000,"")),"")</f>
        <v>0</v>
      </c>
      <c r="CY119" s="427">
        <v>0</v>
      </c>
      <c r="CZ119" s="372"/>
      <c r="DA119" s="419"/>
      <c r="DB119" s="423">
        <f>IFERROR(IF(LEFT($A119,3)="Lcp",SUMIFS('BASE-LCP'!$K:$K,'BASE-LCP'!$A:$A,Capex!$A110,'BASE-LCP'!$B:$B,"outubro")/1000,IF(LEFT($A119,3)="icp",SUMIFS('BASE-ICP'!$K:$K,'BASE-ICP'!$A:$A,Capex!$A110,'BASE-ICP'!$B:$B,"outubro")/1000,"")),"")</f>
        <v>0</v>
      </c>
      <c r="DC119" s="427">
        <v>0</v>
      </c>
      <c r="DD119" s="372"/>
      <c r="DE119" s="419"/>
      <c r="DF119" s="423">
        <f>IFERROR(IF(LEFT($A119,3)="Lcp",SUMIFS('BASE-LCP'!$K:$K,'BASE-LCP'!$A:$A,Capex!$A110,'BASE-LCP'!$B:$B,"novembro")/1000,IF(LEFT($A119,3)="icp",SUMIFS('BASE-ICP'!$K:$K,'BASE-ICP'!$A:$A,Capex!$A110,'BASE-ICP'!$B:$B,"novembro")/1000,"")),"")</f>
        <v>0</v>
      </c>
      <c r="DG119" s="427">
        <v>0</v>
      </c>
      <c r="DH119" s="372"/>
      <c r="DI119" s="419"/>
      <c r="DJ119" s="423">
        <f>IFERROR(IF(LEFT($A119,3)="Lcp",SUMIFS('BASE-LCP'!$K:$K,'BASE-LCP'!$A:$A,Capex!$A110,'BASE-LCP'!$B:$B,"dezembro")/1000,IF(LEFT($A119,3)="icp",SUMIFS('BASE-ICP'!$K:$K,'BASE-ICP'!$A:$A,Capex!$A110,'BASE-ICP'!$B:$B,"dezembro")/1000,"")),"")</f>
        <v>0</v>
      </c>
      <c r="DK119" s="427">
        <v>0</v>
      </c>
      <c r="DL119" s="452">
        <f t="shared" si="51"/>
        <v>0</v>
      </c>
      <c r="DM119" s="374"/>
      <c r="DN119" s="374"/>
      <c r="DO119" s="374"/>
      <c r="DP119" s="374"/>
      <c r="DQ119" s="374"/>
      <c r="DR119" s="374"/>
      <c r="DS119" s="374"/>
      <c r="DT119" s="374"/>
      <c r="DU119" s="374"/>
      <c r="DV119" s="374"/>
      <c r="DW119" s="374"/>
      <c r="DX119" s="374"/>
      <c r="DY119" s="450"/>
      <c r="DZ119" s="374">
        <f t="shared" si="52"/>
        <v>0</v>
      </c>
      <c r="EA119" s="216">
        <f t="shared" si="53"/>
        <v>0</v>
      </c>
      <c r="EB119" s="320">
        <f t="shared" si="54"/>
        <v>0</v>
      </c>
      <c r="EC119" s="241">
        <f t="shared" si="55"/>
        <v>0</v>
      </c>
      <c r="ED119" s="241">
        <f t="shared" si="56"/>
        <v>0</v>
      </c>
      <c r="EE119" s="241">
        <f t="shared" si="57"/>
        <v>0</v>
      </c>
      <c r="EF119" s="241">
        <f t="shared" si="58"/>
        <v>0</v>
      </c>
      <c r="EG119" s="346">
        <f t="shared" si="59"/>
        <v>0</v>
      </c>
      <c r="EH119" s="445">
        <f t="shared" si="60"/>
        <v>0</v>
      </c>
      <c r="EI119" s="447">
        <f t="shared" si="61"/>
        <v>0</v>
      </c>
      <c r="EJ119" s="364">
        <f t="shared" si="62"/>
        <v>0</v>
      </c>
      <c r="EK119" s="365">
        <f t="shared" si="63"/>
        <v>0</v>
      </c>
      <c r="EL119" s="529">
        <f t="shared" si="64"/>
        <v>0</v>
      </c>
      <c r="EM119" s="530">
        <v>0</v>
      </c>
      <c r="EN119" s="530">
        <v>0</v>
      </c>
      <c r="EO119" s="530">
        <v>0</v>
      </c>
      <c r="EP119" s="530">
        <v>0</v>
      </c>
      <c r="EQ119" s="530">
        <v>0</v>
      </c>
      <c r="ER119" s="530">
        <v>0</v>
      </c>
      <c r="ES119" s="530">
        <v>0</v>
      </c>
      <c r="ET119" s="530">
        <v>0</v>
      </c>
      <c r="EU119" s="530">
        <v>0</v>
      </c>
      <c r="EV119" s="530">
        <v>0</v>
      </c>
      <c r="EW119" s="530">
        <v>0</v>
      </c>
      <c r="EX119" s="530">
        <v>0</v>
      </c>
      <c r="EY119" s="530">
        <f t="shared" si="65"/>
        <v>0</v>
      </c>
      <c r="EZ119" s="530">
        <f t="shared" si="66"/>
        <v>0</v>
      </c>
      <c r="FA119" s="530">
        <f t="shared" si="67"/>
        <v>0</v>
      </c>
      <c r="FB119" s="530">
        <f t="shared" si="68"/>
        <v>0</v>
      </c>
      <c r="FC119" s="384">
        <f>IFERROR(VLOOKUP(Capex!A110,BASE_558!D:R,8,FALSE)/1000,"")</f>
        <v>75</v>
      </c>
      <c r="FD119" s="328">
        <f>IFERROR(VLOOKUP(Capex!A110,BASE_558!D:R,9,)/1000,"")</f>
        <v>66.357460000000003</v>
      </c>
      <c r="FE119" s="328">
        <f>IFERROR(IF(LEFT(A119,3)="LCP",(VLOOKUP(Capex!A110,BASE_558!D:R,10,)/1000),SUMIFS('BASE ICP_PO_SC'!F:F,'BASE ICP_PO_SC'!A:A,Capex!A110,'BASE ICP_PO_SC'!E:E,"&lt;&gt;")/1000),"")</f>
        <v>0</v>
      </c>
      <c r="FF119" s="328">
        <f>IFERROR(IF(LEFT(A119,3)="LCP",(VLOOKUP(Capex!A110,BASE_558!D:R,11,)/1000),SUMIFS('BASE ICP_PO_SC'!F:F,'BASE ICP_PO_SC'!A:A,Capex!A110,'BASE ICP_PO_SC'!E:E,"")/1000),"")</f>
        <v>0</v>
      </c>
      <c r="FG119" s="328">
        <f>IFERROR(VLOOKUP(A119,BASE_558!D:R,13,FALSE)/1000,"")</f>
        <v>207.5797</v>
      </c>
      <c r="FH119" s="328">
        <f>IFERROR(VLOOKUP(A119,BASE_558!D:R,15,FALSE)/1000,"")</f>
        <v>5.4203000000000001</v>
      </c>
      <c r="FI119" s="547">
        <f t="shared" si="69"/>
        <v>0</v>
      </c>
      <c r="FJ119" s="547">
        <f t="shared" si="70"/>
        <v>0</v>
      </c>
      <c r="FK119" s="540">
        <f t="shared" si="71"/>
        <v>0</v>
      </c>
    </row>
    <row r="120" spans="1:167" s="23" customFormat="1" ht="24" customHeight="1">
      <c r="A120" s="84" t="s">
        <v>121</v>
      </c>
      <c r="B120" s="404"/>
      <c r="C120" s="404"/>
      <c r="D120" s="338" t="s">
        <v>2225</v>
      </c>
      <c r="E120" s="378"/>
      <c r="F120" s="5"/>
      <c r="G120" s="310" t="s">
        <v>9</v>
      </c>
      <c r="H120" s="338"/>
      <c r="I120" s="338"/>
      <c r="J120" s="338">
        <v>2018</v>
      </c>
      <c r="K120" s="316">
        <v>43375</v>
      </c>
      <c r="L120" s="317">
        <v>44277</v>
      </c>
      <c r="M120" s="409"/>
      <c r="N120" s="317">
        <f t="shared" si="74"/>
        <v>44287</v>
      </c>
      <c r="O120" s="317">
        <f t="shared" si="75"/>
        <v>44652</v>
      </c>
      <c r="P120" s="418" t="str">
        <f t="shared" si="80"/>
        <v>CRTD</v>
      </c>
      <c r="Q120" s="418" t="str">
        <f t="shared" si="80"/>
        <v>CRTD</v>
      </c>
      <c r="R120" s="418" t="str">
        <f t="shared" si="80"/>
        <v>CRTD</v>
      </c>
      <c r="S120" s="418" t="str">
        <f t="shared" si="80"/>
        <v>CRTD</v>
      </c>
      <c r="T120" s="418" t="str">
        <f t="shared" si="80"/>
        <v>CRTD</v>
      </c>
      <c r="U120" s="418" t="str">
        <f t="shared" si="80"/>
        <v>CRTD</v>
      </c>
      <c r="V120" s="418" t="str">
        <f t="shared" si="80"/>
        <v>CRTD</v>
      </c>
      <c r="W120" s="418" t="str">
        <f t="shared" si="80"/>
        <v>CRTD</v>
      </c>
      <c r="X120" s="418" t="str">
        <f t="shared" si="80"/>
        <v>CRTD</v>
      </c>
      <c r="Y120" s="418" t="str">
        <f t="shared" si="80"/>
        <v>CRTD</v>
      </c>
      <c r="Z120" s="418" t="str">
        <f t="shared" si="80"/>
        <v>CRTD</v>
      </c>
      <c r="AA120" s="418" t="str">
        <f t="shared" si="80"/>
        <v>CRTD</v>
      </c>
      <c r="AB120" s="317"/>
      <c r="AC120" s="309" t="s">
        <v>3932</v>
      </c>
      <c r="AD120" s="311" t="s">
        <v>982</v>
      </c>
      <c r="AE120" s="379" t="s">
        <v>953</v>
      </c>
      <c r="AF120" s="310" t="s">
        <v>6985</v>
      </c>
      <c r="AG120" s="310" t="s">
        <v>9083</v>
      </c>
      <c r="AH120" s="310" t="s">
        <v>122</v>
      </c>
      <c r="AI120" s="309" t="s">
        <v>185</v>
      </c>
      <c r="AJ120" s="6" t="s">
        <v>218</v>
      </c>
      <c r="AK120" s="6" t="str">
        <f t="shared" si="49"/>
        <v>IGUAL</v>
      </c>
      <c r="AL120" s="151" t="str">
        <f>IFERROR(IF(LEFT(A120,3)="LCP",VLOOKUP(A120,STATUS_SAP_LCP!B:C,2,FALSE),VLOOKUP(A120,STATUS_SAP_ICP!B:C,2,FALSE)),"NO BUDGET")</f>
        <v>CLSD BUDG AUC  AVAC  //  RJCD BREL EXPL</v>
      </c>
      <c r="AM120" s="6" t="str">
        <f t="shared" si="48"/>
        <v>CLSD</v>
      </c>
      <c r="AN120" s="282" t="s">
        <v>9092</v>
      </c>
      <c r="AO120" s="493">
        <v>1</v>
      </c>
      <c r="AP120" s="499" t="s">
        <v>9607</v>
      </c>
      <c r="AQ120" s="465">
        <v>44277</v>
      </c>
      <c r="AR120" s="460"/>
      <c r="AS120" s="56">
        <v>885.01100068635753</v>
      </c>
      <c r="AT120" s="185">
        <v>58.194440000000007</v>
      </c>
      <c r="AU120" s="318">
        <v>1.3027899999999999</v>
      </c>
      <c r="AV120" s="223">
        <v>0</v>
      </c>
      <c r="AW120" s="318">
        <v>0</v>
      </c>
      <c r="AX120" s="223">
        <v>0</v>
      </c>
      <c r="AY120" s="318">
        <f t="shared" si="76"/>
        <v>0</v>
      </c>
      <c r="AZ120" s="223"/>
      <c r="BA120" s="318"/>
      <c r="BB120" s="519">
        <f t="shared" si="77"/>
        <v>0</v>
      </c>
      <c r="BC120" s="518"/>
      <c r="BD120" s="518"/>
      <c r="BE120" s="518"/>
      <c r="BF120" s="518"/>
      <c r="BG120" s="518"/>
      <c r="BH120" s="518"/>
      <c r="BI120" s="518"/>
      <c r="BJ120" s="518"/>
      <c r="BK120" s="518"/>
      <c r="BL120" s="518"/>
      <c r="BM120" s="518"/>
      <c r="BN120" s="518"/>
      <c r="BO120" s="367">
        <f t="shared" si="50"/>
        <v>0</v>
      </c>
      <c r="BP120" s="421"/>
      <c r="BQ120" s="422"/>
      <c r="BR120" s="423">
        <f>IFERROR(IF(LEFT($A120,3)="Lcp",SUMIFS('BASE-LCP'!$K:$K,'BASE-LCP'!$A:$A,Capex!$A111,'BASE-LCP'!$B:$B,"janeiro")/1000,IF(LEFT($A120,3)="icp",SUMIFS('BASE-ICP'!$K:$K,'BASE-ICP'!$A:$A,Capex!$A111,'BASE-ICP'!$B:$B,"janeiro")/1000,"")),"")</f>
        <v>0</v>
      </c>
      <c r="BS120" s="427">
        <v>0</v>
      </c>
      <c r="BT120" s="372">
        <v>0</v>
      </c>
      <c r="BU120" s="422"/>
      <c r="BV120" s="423">
        <f>IFERROR(IF(LEFT($A120,3)="Lcp",SUMIFS('BASE-LCP'!$K:$K,'BASE-LCP'!$A:$A,Capex!$A111,'BASE-LCP'!$B:$B,"fevereiro")/1000,IF(LEFT($A120,3)="icp",SUMIFS('BASE-ICP'!$K:$K,'BASE-ICP'!$A:$A,Capex!$A111,'BASE-ICP'!$B:$B,"fevereiro")/1000,"")),"")</f>
        <v>0</v>
      </c>
      <c r="BW120" s="427">
        <v>0</v>
      </c>
      <c r="BX120" s="372">
        <v>0</v>
      </c>
      <c r="BY120" s="419"/>
      <c r="BZ120" s="423">
        <f>IFERROR(IF(LEFT($A120,3)="Lcp",SUMIFS('BASE-LCP'!$K:$K,'BASE-LCP'!$A:$A,Capex!$A111,'BASE-LCP'!$B:$B,"março")/1000,IF(LEFT($A120,3)="icp",SUMIFS('BASE-ICP'!$K:$K,'BASE-ICP'!$A:$A,Capex!$A111,'BASE-ICP'!$B:$B,"março")/1000,"")),"")</f>
        <v>0</v>
      </c>
      <c r="CA120" s="427">
        <v>0</v>
      </c>
      <c r="CB120" s="372">
        <v>0</v>
      </c>
      <c r="CC120" s="422"/>
      <c r="CD120" s="423">
        <f>IFERROR(IF(LEFT($A120,3)="Lcp",SUMIFS('BASE-LCP'!$K:$K,'BASE-LCP'!$A:$A,Capex!$A111,'BASE-LCP'!$B:$B,"abril")/1000,IF(LEFT($A120,3)="icp",SUMIFS('BASE-ICP'!$K:$K,'BASE-ICP'!$A:$A,Capex!$A111,'BASE-ICP'!$B:$B,"abril")/1000,"")),"")</f>
        <v>0</v>
      </c>
      <c r="CE120" s="427">
        <v>0</v>
      </c>
      <c r="CF120" s="372">
        <v>0</v>
      </c>
      <c r="CG120" s="419"/>
      <c r="CH120" s="423">
        <v>0</v>
      </c>
      <c r="CI120" s="427">
        <v>0</v>
      </c>
      <c r="CJ120" s="372">
        <v>0</v>
      </c>
      <c r="CK120" s="419"/>
      <c r="CL120" s="423">
        <f>IFERROR(IF(LEFT($A120,3)="Lcp",SUMIFS('BASE-LCP'!$K:$K,'BASE-LCP'!$A:$A,Capex!$A111,'BASE-LCP'!$B:$B,"junho")/1000,IF(LEFT($A120,3)="icp",SUMIFS('BASE-ICP'!$K:$K,'BASE-ICP'!$A:$A,Capex!$A111,'BASE-ICP'!$B:$B,"junho")/1000,"")),"")</f>
        <v>0</v>
      </c>
      <c r="CM120" s="427">
        <v>0</v>
      </c>
      <c r="CN120" s="372"/>
      <c r="CO120" s="419"/>
      <c r="CP120" s="423">
        <f>IFERROR(IF(LEFT($A120,3)="Lcp",SUMIFS('BASE-LCP'!$K:$K,'BASE-LCP'!$A:$A,Capex!$A111,'BASE-LCP'!$B:$B,"julho")/1000,IF(LEFT($A120,3)="icp",SUMIFS('BASE-ICP'!$K:$K,'BASE-ICP'!$A:$A,Capex!$A111,'BASE-ICP'!$B:$B,"julho")/1000,"")),"")</f>
        <v>0</v>
      </c>
      <c r="CQ120" s="427">
        <v>0</v>
      </c>
      <c r="CR120" s="372"/>
      <c r="CS120" s="419"/>
      <c r="CT120" s="423">
        <f>IFERROR(IF(LEFT($A120,3)="Lcp",SUMIFS('BASE-LCP'!$K:$K,'BASE-LCP'!$A:$A,Capex!$A111,'BASE-LCP'!$B:$B,"agosto")/1000,IF(LEFT($A120,3)="icp",SUMIFS('BASE-ICP'!$K:$K,'BASE-ICP'!$A:$A,Capex!$A111,'BASE-ICP'!$B:$B,"agosto")/1000,"")),"")</f>
        <v>0</v>
      </c>
      <c r="CU120" s="427">
        <v>0</v>
      </c>
      <c r="CV120" s="372"/>
      <c r="CW120" s="419"/>
      <c r="CX120" s="423">
        <f>IFERROR(IF(LEFT($A120,3)="Lcp",SUMIFS('BASE-LCP'!$K:$K,'BASE-LCP'!$A:$A,Capex!$A111,'BASE-LCP'!$B:$B,"setembro")/1000,IF(LEFT($A120,3)="icp",SUMIFS('BASE-ICP'!$K:$K,'BASE-ICP'!$A:$A,Capex!$A111,'BASE-ICP'!$B:$B,"setembro")/1000,"")),"")</f>
        <v>0</v>
      </c>
      <c r="CY120" s="427">
        <v>0</v>
      </c>
      <c r="CZ120" s="372"/>
      <c r="DA120" s="419"/>
      <c r="DB120" s="423">
        <f>IFERROR(IF(LEFT($A120,3)="Lcp",SUMIFS('BASE-LCP'!$K:$K,'BASE-LCP'!$A:$A,Capex!$A111,'BASE-LCP'!$B:$B,"outubro")/1000,IF(LEFT($A120,3)="icp",SUMIFS('BASE-ICP'!$K:$K,'BASE-ICP'!$A:$A,Capex!$A111,'BASE-ICP'!$B:$B,"outubro")/1000,"")),"")</f>
        <v>0</v>
      </c>
      <c r="DC120" s="427">
        <v>0</v>
      </c>
      <c r="DD120" s="372"/>
      <c r="DE120" s="419"/>
      <c r="DF120" s="423">
        <f>IFERROR(IF(LEFT($A120,3)="Lcp",SUMIFS('BASE-LCP'!$K:$K,'BASE-LCP'!$A:$A,Capex!$A111,'BASE-LCP'!$B:$B,"novembro")/1000,IF(LEFT($A120,3)="icp",SUMIFS('BASE-ICP'!$K:$K,'BASE-ICP'!$A:$A,Capex!$A111,'BASE-ICP'!$B:$B,"novembro")/1000,"")),"")</f>
        <v>0</v>
      </c>
      <c r="DG120" s="427">
        <v>0</v>
      </c>
      <c r="DH120" s="372"/>
      <c r="DI120" s="419"/>
      <c r="DJ120" s="423">
        <f>IFERROR(IF(LEFT($A120,3)="Lcp",SUMIFS('BASE-LCP'!$K:$K,'BASE-LCP'!$A:$A,Capex!$A111,'BASE-LCP'!$B:$B,"dezembro")/1000,IF(LEFT($A120,3)="icp",SUMIFS('BASE-ICP'!$K:$K,'BASE-ICP'!$A:$A,Capex!$A111,'BASE-ICP'!$B:$B,"dezembro")/1000,"")),"")</f>
        <v>0</v>
      </c>
      <c r="DK120" s="427">
        <v>0</v>
      </c>
      <c r="DL120" s="452">
        <f t="shared" si="51"/>
        <v>0</v>
      </c>
      <c r="DM120" s="374"/>
      <c r="DN120" s="374"/>
      <c r="DO120" s="374"/>
      <c r="DP120" s="374"/>
      <c r="DQ120" s="374"/>
      <c r="DR120" s="374"/>
      <c r="DS120" s="374"/>
      <c r="DT120" s="374"/>
      <c r="DU120" s="374"/>
      <c r="DV120" s="374"/>
      <c r="DW120" s="374"/>
      <c r="DX120" s="374"/>
      <c r="DY120" s="450"/>
      <c r="DZ120" s="374">
        <f t="shared" si="52"/>
        <v>0</v>
      </c>
      <c r="EA120" s="216">
        <f t="shared" si="53"/>
        <v>0</v>
      </c>
      <c r="EB120" s="320">
        <f t="shared" si="54"/>
        <v>0</v>
      </c>
      <c r="EC120" s="241">
        <f t="shared" si="55"/>
        <v>0</v>
      </c>
      <c r="ED120" s="241">
        <f t="shared" si="56"/>
        <v>0</v>
      </c>
      <c r="EE120" s="241">
        <f t="shared" si="57"/>
        <v>0</v>
      </c>
      <c r="EF120" s="241">
        <f t="shared" si="58"/>
        <v>0</v>
      </c>
      <c r="EG120" s="346">
        <f t="shared" si="59"/>
        <v>0</v>
      </c>
      <c r="EH120" s="445">
        <f t="shared" si="60"/>
        <v>0</v>
      </c>
      <c r="EI120" s="447">
        <f t="shared" si="61"/>
        <v>0</v>
      </c>
      <c r="EJ120" s="364">
        <f t="shared" si="62"/>
        <v>0</v>
      </c>
      <c r="EK120" s="365">
        <f t="shared" si="63"/>
        <v>0</v>
      </c>
      <c r="EL120" s="529">
        <f t="shared" si="64"/>
        <v>0</v>
      </c>
      <c r="EM120" s="530">
        <v>0</v>
      </c>
      <c r="EN120" s="530">
        <v>0</v>
      </c>
      <c r="EO120" s="530">
        <v>0</v>
      </c>
      <c r="EP120" s="530">
        <v>0</v>
      </c>
      <c r="EQ120" s="530">
        <v>0</v>
      </c>
      <c r="ER120" s="530">
        <v>0</v>
      </c>
      <c r="ES120" s="530">
        <v>0</v>
      </c>
      <c r="ET120" s="530">
        <v>0</v>
      </c>
      <c r="EU120" s="530">
        <v>0</v>
      </c>
      <c r="EV120" s="530">
        <v>0</v>
      </c>
      <c r="EW120" s="530">
        <v>0</v>
      </c>
      <c r="EX120" s="530">
        <v>0</v>
      </c>
      <c r="EY120" s="530">
        <f t="shared" si="65"/>
        <v>0</v>
      </c>
      <c r="EZ120" s="530">
        <f t="shared" si="66"/>
        <v>0</v>
      </c>
      <c r="FA120" s="530">
        <f t="shared" si="67"/>
        <v>0</v>
      </c>
      <c r="FB120" s="530">
        <f t="shared" si="68"/>
        <v>0</v>
      </c>
      <c r="FC120" s="384">
        <f>IFERROR(VLOOKUP(Capex!A111,BASE_558!D:R,8,FALSE)/1000,"")</f>
        <v>116.58</v>
      </c>
      <c r="FD120" s="328">
        <f>IFERROR(VLOOKUP(Capex!A111,BASE_558!D:R,9,)/1000,"")</f>
        <v>103.48542999999999</v>
      </c>
      <c r="FE120" s="328">
        <f>IFERROR(IF(LEFT(A120,3)="LCP",(VLOOKUP(Capex!A111,BASE_558!D:R,10,)/1000),SUMIFS('BASE ICP_PO_SC'!F:F,'BASE ICP_PO_SC'!A:A,Capex!A111,'BASE ICP_PO_SC'!E:E,"&lt;&gt;")/1000),"")</f>
        <v>0</v>
      </c>
      <c r="FF120" s="328">
        <f>IFERROR(IF(LEFT(A120,3)="LCP",(VLOOKUP(Capex!A111,BASE_558!D:R,11,)/1000),SUMIFS('BASE ICP_PO_SC'!F:F,'BASE ICP_PO_SC'!A:A,Capex!A111,'BASE ICP_PO_SC'!E:E,"")/1000),"")</f>
        <v>0</v>
      </c>
      <c r="FG120" s="328">
        <f>IFERROR(VLOOKUP(A120,BASE_558!D:R,13,FALSE)/1000,"")</f>
        <v>1314.9529499999999</v>
      </c>
      <c r="FH120" s="328">
        <f>IFERROR(VLOOKUP(A120,BASE_558!D:R,15,FALSE)/1000,"")</f>
        <v>11.912049999999999</v>
      </c>
      <c r="FI120" s="547">
        <f t="shared" si="69"/>
        <v>0</v>
      </c>
      <c r="FJ120" s="547">
        <f t="shared" si="70"/>
        <v>0</v>
      </c>
      <c r="FK120" s="540">
        <f t="shared" si="71"/>
        <v>0</v>
      </c>
    </row>
    <row r="121" spans="1:167" s="23" customFormat="1" ht="24" customHeight="1">
      <c r="A121" s="84" t="s">
        <v>125</v>
      </c>
      <c r="B121" s="404"/>
      <c r="C121" s="404"/>
      <c r="D121" s="338" t="s">
        <v>900</v>
      </c>
      <c r="E121" s="378"/>
      <c r="F121" s="5"/>
      <c r="G121" s="310" t="s">
        <v>9</v>
      </c>
      <c r="H121" s="338"/>
      <c r="I121" s="338"/>
      <c r="J121" s="338">
        <v>2018</v>
      </c>
      <c r="K121" s="316">
        <v>43328</v>
      </c>
      <c r="L121" s="317">
        <v>43872</v>
      </c>
      <c r="M121" s="409"/>
      <c r="N121" s="317">
        <f t="shared" si="74"/>
        <v>44240</v>
      </c>
      <c r="O121" s="317">
        <f t="shared" si="75"/>
        <v>44605</v>
      </c>
      <c r="P121" s="418" t="str">
        <f t="shared" si="80"/>
        <v>CRTD</v>
      </c>
      <c r="Q121" s="418" t="str">
        <f t="shared" si="80"/>
        <v>CRTD</v>
      </c>
      <c r="R121" s="418" t="str">
        <f t="shared" si="80"/>
        <v>CRTD</v>
      </c>
      <c r="S121" s="418" t="str">
        <f t="shared" si="80"/>
        <v>CRTD</v>
      </c>
      <c r="T121" s="418" t="str">
        <f t="shared" si="80"/>
        <v>CRTD</v>
      </c>
      <c r="U121" s="418" t="str">
        <f t="shared" si="80"/>
        <v>CRTD</v>
      </c>
      <c r="V121" s="418" t="str">
        <f t="shared" si="80"/>
        <v>CRTD</v>
      </c>
      <c r="W121" s="418" t="str">
        <f t="shared" si="80"/>
        <v>CRTD</v>
      </c>
      <c r="X121" s="418" t="str">
        <f t="shared" si="80"/>
        <v>CRTD</v>
      </c>
      <c r="Y121" s="418" t="str">
        <f t="shared" si="80"/>
        <v>CRTD</v>
      </c>
      <c r="Z121" s="418" t="str">
        <f t="shared" si="80"/>
        <v>CRTD</v>
      </c>
      <c r="AA121" s="418" t="str">
        <f t="shared" si="80"/>
        <v>CRTD</v>
      </c>
      <c r="AB121" s="317"/>
      <c r="AC121" s="309" t="s">
        <v>3932</v>
      </c>
      <c r="AD121" s="311" t="s">
        <v>223</v>
      </c>
      <c r="AE121" s="311"/>
      <c r="AF121" s="310" t="s">
        <v>6985</v>
      </c>
      <c r="AG121" s="310" t="s">
        <v>9083</v>
      </c>
      <c r="AH121" s="310" t="s">
        <v>6975</v>
      </c>
      <c r="AI121" s="381" t="s">
        <v>186</v>
      </c>
      <c r="AJ121" s="6" t="s">
        <v>218</v>
      </c>
      <c r="AK121" s="6" t="str">
        <f t="shared" si="49"/>
        <v>IGUAL</v>
      </c>
      <c r="AL121" s="151" t="str">
        <f>IFERROR(IF(LEFT(A121,3)="LCP",VLOOKUP(A121,STATUS_SAP_LCP!B:C,2,FALSE),VLOOKUP(A121,STATUS_SAP_ICP!B:C,2,FALSE)),"NO BUDGET")</f>
        <v>CLSD BUDG AUC  AVAC  //  RJCD BREL EXPL</v>
      </c>
      <c r="AM121" s="6" t="str">
        <f t="shared" si="48"/>
        <v>CLSD</v>
      </c>
      <c r="AN121" s="282" t="s">
        <v>9096</v>
      </c>
      <c r="AO121" s="493">
        <v>1</v>
      </c>
      <c r="AP121" s="499" t="s">
        <v>9607</v>
      </c>
      <c r="AQ121" s="465">
        <v>43872</v>
      </c>
      <c r="AR121" s="460"/>
      <c r="AS121" s="56">
        <v>136.40128039558789</v>
      </c>
      <c r="AT121" s="185">
        <v>0</v>
      </c>
      <c r="AU121" s="318">
        <v>0</v>
      </c>
      <c r="AV121" s="223">
        <v>0</v>
      </c>
      <c r="AW121" s="318">
        <v>0</v>
      </c>
      <c r="AX121" s="223">
        <v>0</v>
      </c>
      <c r="AY121" s="318">
        <f t="shared" si="76"/>
        <v>0</v>
      </c>
      <c r="AZ121" s="223"/>
      <c r="BA121" s="318"/>
      <c r="BB121" s="519">
        <f t="shared" si="77"/>
        <v>0</v>
      </c>
      <c r="BC121" s="518"/>
      <c r="BD121" s="518"/>
      <c r="BE121" s="518"/>
      <c r="BF121" s="518"/>
      <c r="BG121" s="518"/>
      <c r="BH121" s="518"/>
      <c r="BI121" s="518"/>
      <c r="BJ121" s="518"/>
      <c r="BK121" s="518"/>
      <c r="BL121" s="518"/>
      <c r="BM121" s="518"/>
      <c r="BN121" s="518"/>
      <c r="BO121" s="367">
        <f t="shared" si="50"/>
        <v>0</v>
      </c>
      <c r="BP121" s="421"/>
      <c r="BQ121" s="422"/>
      <c r="BR121" s="423">
        <f>IFERROR(IF(LEFT($A121,3)="Lcp",SUMIFS('BASE-LCP'!$K:$K,'BASE-LCP'!$A:$A,Capex!$A112,'BASE-LCP'!$B:$B,"janeiro")/1000,IF(LEFT($A121,3)="icp",SUMIFS('BASE-ICP'!$K:$K,'BASE-ICP'!$A:$A,Capex!$A112,'BASE-ICP'!$B:$B,"janeiro")/1000,"")),"")</f>
        <v>0</v>
      </c>
      <c r="BS121" s="427">
        <v>0</v>
      </c>
      <c r="BT121" s="372">
        <v>0</v>
      </c>
      <c r="BU121" s="422"/>
      <c r="BV121" s="423">
        <f>IFERROR(IF(LEFT($A121,3)="Lcp",SUMIFS('BASE-LCP'!$K:$K,'BASE-LCP'!$A:$A,Capex!$A112,'BASE-LCP'!$B:$B,"fevereiro")/1000,IF(LEFT($A121,3)="icp",SUMIFS('BASE-ICP'!$K:$K,'BASE-ICP'!$A:$A,Capex!$A112,'BASE-ICP'!$B:$B,"fevereiro")/1000,"")),"")</f>
        <v>0</v>
      </c>
      <c r="BW121" s="427">
        <v>0</v>
      </c>
      <c r="BX121" s="372">
        <v>0</v>
      </c>
      <c r="BY121" s="419"/>
      <c r="BZ121" s="423">
        <f>IFERROR(IF(LEFT($A121,3)="Lcp",SUMIFS('BASE-LCP'!$K:$K,'BASE-LCP'!$A:$A,Capex!$A112,'BASE-LCP'!$B:$B,"março")/1000,IF(LEFT($A121,3)="icp",SUMIFS('BASE-ICP'!$K:$K,'BASE-ICP'!$A:$A,Capex!$A112,'BASE-ICP'!$B:$B,"março")/1000,"")),"")</f>
        <v>0</v>
      </c>
      <c r="CA121" s="427">
        <v>0</v>
      </c>
      <c r="CB121" s="372">
        <v>0</v>
      </c>
      <c r="CC121" s="422"/>
      <c r="CD121" s="423">
        <f>IFERROR(IF(LEFT($A121,3)="Lcp",SUMIFS('BASE-LCP'!$K:$K,'BASE-LCP'!$A:$A,Capex!$A112,'BASE-LCP'!$B:$B,"abril")/1000,IF(LEFT($A121,3)="icp",SUMIFS('BASE-ICP'!$K:$K,'BASE-ICP'!$A:$A,Capex!$A112,'BASE-ICP'!$B:$B,"abril")/1000,"")),"")</f>
        <v>0</v>
      </c>
      <c r="CE121" s="427">
        <v>0</v>
      </c>
      <c r="CF121" s="372">
        <v>0</v>
      </c>
      <c r="CG121" s="419"/>
      <c r="CH121" s="423">
        <v>0</v>
      </c>
      <c r="CI121" s="427">
        <v>0</v>
      </c>
      <c r="CJ121" s="372">
        <v>0</v>
      </c>
      <c r="CK121" s="419"/>
      <c r="CL121" s="423">
        <f>IFERROR(IF(LEFT($A121,3)="Lcp",SUMIFS('BASE-LCP'!$K:$K,'BASE-LCP'!$A:$A,Capex!$A112,'BASE-LCP'!$B:$B,"junho")/1000,IF(LEFT($A121,3)="icp",SUMIFS('BASE-ICP'!$K:$K,'BASE-ICP'!$A:$A,Capex!$A112,'BASE-ICP'!$B:$B,"junho")/1000,"")),"")</f>
        <v>0</v>
      </c>
      <c r="CM121" s="427">
        <v>0</v>
      </c>
      <c r="CN121" s="372"/>
      <c r="CO121" s="419"/>
      <c r="CP121" s="423">
        <f>IFERROR(IF(LEFT($A121,3)="Lcp",SUMIFS('BASE-LCP'!$K:$K,'BASE-LCP'!$A:$A,Capex!$A112,'BASE-LCP'!$B:$B,"julho")/1000,IF(LEFT($A121,3)="icp",SUMIFS('BASE-ICP'!$K:$K,'BASE-ICP'!$A:$A,Capex!$A112,'BASE-ICP'!$B:$B,"julho")/1000,"")),"")</f>
        <v>0</v>
      </c>
      <c r="CQ121" s="427">
        <v>0</v>
      </c>
      <c r="CR121" s="372"/>
      <c r="CS121" s="419"/>
      <c r="CT121" s="423">
        <f>IFERROR(IF(LEFT($A121,3)="Lcp",SUMIFS('BASE-LCP'!$K:$K,'BASE-LCP'!$A:$A,Capex!$A112,'BASE-LCP'!$B:$B,"agosto")/1000,IF(LEFT($A121,3)="icp",SUMIFS('BASE-ICP'!$K:$K,'BASE-ICP'!$A:$A,Capex!$A112,'BASE-ICP'!$B:$B,"agosto")/1000,"")),"")</f>
        <v>0</v>
      </c>
      <c r="CU121" s="427">
        <v>0</v>
      </c>
      <c r="CV121" s="372"/>
      <c r="CW121" s="419"/>
      <c r="CX121" s="423">
        <f>IFERROR(IF(LEFT($A121,3)="Lcp",SUMIFS('BASE-LCP'!$K:$K,'BASE-LCP'!$A:$A,Capex!$A112,'BASE-LCP'!$B:$B,"setembro")/1000,IF(LEFT($A121,3)="icp",SUMIFS('BASE-ICP'!$K:$K,'BASE-ICP'!$A:$A,Capex!$A112,'BASE-ICP'!$B:$B,"setembro")/1000,"")),"")</f>
        <v>0</v>
      </c>
      <c r="CY121" s="427">
        <v>0</v>
      </c>
      <c r="CZ121" s="372"/>
      <c r="DA121" s="419"/>
      <c r="DB121" s="423">
        <f>IFERROR(IF(LEFT($A121,3)="Lcp",SUMIFS('BASE-LCP'!$K:$K,'BASE-LCP'!$A:$A,Capex!$A112,'BASE-LCP'!$B:$B,"outubro")/1000,IF(LEFT($A121,3)="icp",SUMIFS('BASE-ICP'!$K:$K,'BASE-ICP'!$A:$A,Capex!$A112,'BASE-ICP'!$B:$B,"outubro")/1000,"")),"")</f>
        <v>0</v>
      </c>
      <c r="DC121" s="427">
        <v>0</v>
      </c>
      <c r="DD121" s="372"/>
      <c r="DE121" s="419"/>
      <c r="DF121" s="423">
        <f>IFERROR(IF(LEFT($A121,3)="Lcp",SUMIFS('BASE-LCP'!$K:$K,'BASE-LCP'!$A:$A,Capex!$A112,'BASE-LCP'!$B:$B,"novembro")/1000,IF(LEFT($A121,3)="icp",SUMIFS('BASE-ICP'!$K:$K,'BASE-ICP'!$A:$A,Capex!$A112,'BASE-ICP'!$B:$B,"novembro")/1000,"")),"")</f>
        <v>0</v>
      </c>
      <c r="DG121" s="427">
        <v>0</v>
      </c>
      <c r="DH121" s="372"/>
      <c r="DI121" s="419"/>
      <c r="DJ121" s="423">
        <f>IFERROR(IF(LEFT($A121,3)="Lcp",SUMIFS('BASE-LCP'!$K:$K,'BASE-LCP'!$A:$A,Capex!$A112,'BASE-LCP'!$B:$B,"dezembro")/1000,IF(LEFT($A121,3)="icp",SUMIFS('BASE-ICP'!$K:$K,'BASE-ICP'!$A:$A,Capex!$A112,'BASE-ICP'!$B:$B,"dezembro")/1000,"")),"")</f>
        <v>0</v>
      </c>
      <c r="DK121" s="427">
        <v>0</v>
      </c>
      <c r="DL121" s="452">
        <f t="shared" si="51"/>
        <v>0</v>
      </c>
      <c r="DM121" s="374"/>
      <c r="DN121" s="374"/>
      <c r="DO121" s="374"/>
      <c r="DP121" s="374"/>
      <c r="DQ121" s="374"/>
      <c r="DR121" s="374"/>
      <c r="DS121" s="374"/>
      <c r="DT121" s="374"/>
      <c r="DU121" s="374"/>
      <c r="DV121" s="374"/>
      <c r="DW121" s="374"/>
      <c r="DX121" s="374"/>
      <c r="DY121" s="450"/>
      <c r="DZ121" s="374">
        <f t="shared" si="52"/>
        <v>0</v>
      </c>
      <c r="EA121" s="216">
        <f t="shared" si="53"/>
        <v>0</v>
      </c>
      <c r="EB121" s="320">
        <f t="shared" si="54"/>
        <v>0</v>
      </c>
      <c r="EC121" s="241">
        <f t="shared" si="55"/>
        <v>0</v>
      </c>
      <c r="ED121" s="241">
        <f t="shared" si="56"/>
        <v>0</v>
      </c>
      <c r="EE121" s="241">
        <f t="shared" si="57"/>
        <v>0</v>
      </c>
      <c r="EF121" s="241">
        <f t="shared" si="58"/>
        <v>0</v>
      </c>
      <c r="EG121" s="346">
        <f t="shared" si="59"/>
        <v>0</v>
      </c>
      <c r="EH121" s="445">
        <f t="shared" si="60"/>
        <v>0</v>
      </c>
      <c r="EI121" s="447">
        <f t="shared" si="61"/>
        <v>0</v>
      </c>
      <c r="EJ121" s="364">
        <f t="shared" si="62"/>
        <v>0</v>
      </c>
      <c r="EK121" s="365">
        <f t="shared" si="63"/>
        <v>0</v>
      </c>
      <c r="EL121" s="529">
        <f t="shared" si="64"/>
        <v>0</v>
      </c>
      <c r="EM121" s="530">
        <v>0</v>
      </c>
      <c r="EN121" s="530">
        <v>0</v>
      </c>
      <c r="EO121" s="530">
        <v>0</v>
      </c>
      <c r="EP121" s="530">
        <v>0</v>
      </c>
      <c r="EQ121" s="530">
        <v>0</v>
      </c>
      <c r="ER121" s="530">
        <v>0</v>
      </c>
      <c r="ES121" s="530">
        <v>0</v>
      </c>
      <c r="ET121" s="530">
        <v>0</v>
      </c>
      <c r="EU121" s="530">
        <v>0</v>
      </c>
      <c r="EV121" s="530">
        <v>0</v>
      </c>
      <c r="EW121" s="530">
        <v>0</v>
      </c>
      <c r="EX121" s="530">
        <v>0</v>
      </c>
      <c r="EY121" s="530">
        <f t="shared" si="65"/>
        <v>0</v>
      </c>
      <c r="EZ121" s="530">
        <f t="shared" si="66"/>
        <v>0</v>
      </c>
      <c r="FA121" s="530">
        <f t="shared" si="67"/>
        <v>0</v>
      </c>
      <c r="FB121" s="530">
        <f t="shared" si="68"/>
        <v>0</v>
      </c>
      <c r="FC121" s="384">
        <f>IFERROR(VLOOKUP(Capex!A112,BASE_558!D:R,8,FALSE)/1000,"")</f>
        <v>99.1</v>
      </c>
      <c r="FD121" s="328">
        <f>IFERROR(VLOOKUP(Capex!A112,BASE_558!D:R,9,)/1000,"")</f>
        <v>91.053139999999999</v>
      </c>
      <c r="FE121" s="328">
        <f>IFERROR(IF(LEFT(A121,3)="LCP",(VLOOKUP(Capex!A112,BASE_558!D:R,10,)/1000),SUMIFS('BASE ICP_PO_SC'!F:F,'BASE ICP_PO_SC'!A:A,Capex!A112,'BASE ICP_PO_SC'!E:E,"&lt;&gt;")/1000),"")</f>
        <v>0</v>
      </c>
      <c r="FF121" s="328">
        <f>IFERROR(IF(LEFT(A121,3)="LCP",(VLOOKUP(Capex!A112,BASE_558!D:R,11,)/1000),SUMIFS('BASE ICP_PO_SC'!F:F,'BASE ICP_PO_SC'!A:A,Capex!A112,'BASE ICP_PO_SC'!E:E,"")/1000),"")</f>
        <v>0</v>
      </c>
      <c r="FG121" s="328">
        <f>IFERROR(VLOOKUP(A121,BASE_558!D:R,13,FALSE)/1000,"")</f>
        <v>233.93749</v>
      </c>
      <c r="FH121" s="328">
        <f>IFERROR(VLOOKUP(A121,BASE_558!D:R,15,FALSE)/1000,"")</f>
        <v>6.0625100000000005</v>
      </c>
      <c r="FI121" s="547">
        <f t="shared" si="69"/>
        <v>0</v>
      </c>
      <c r="FJ121" s="547">
        <f t="shared" si="70"/>
        <v>0</v>
      </c>
      <c r="FK121" s="540">
        <f t="shared" si="71"/>
        <v>0</v>
      </c>
    </row>
    <row r="122" spans="1:167" s="23" customFormat="1" ht="24" customHeight="1">
      <c r="A122" s="84" t="s">
        <v>127</v>
      </c>
      <c r="B122" s="404"/>
      <c r="C122" s="404"/>
      <c r="D122" s="338" t="s">
        <v>885</v>
      </c>
      <c r="E122" s="378"/>
      <c r="F122" s="5"/>
      <c r="G122" s="310" t="s">
        <v>9</v>
      </c>
      <c r="H122" s="338"/>
      <c r="I122" s="338"/>
      <c r="J122" s="338">
        <v>2018</v>
      </c>
      <c r="K122" s="316">
        <v>43390</v>
      </c>
      <c r="L122" s="317">
        <v>44371</v>
      </c>
      <c r="M122" s="409"/>
      <c r="N122" s="317">
        <f t="shared" si="74"/>
        <v>44302</v>
      </c>
      <c r="O122" s="317">
        <f t="shared" si="75"/>
        <v>44667</v>
      </c>
      <c r="P122" s="418" t="str">
        <f t="shared" si="80"/>
        <v>CRTD</v>
      </c>
      <c r="Q122" s="418" t="str">
        <f t="shared" si="80"/>
        <v>CRTD</v>
      </c>
      <c r="R122" s="418" t="str">
        <f t="shared" si="80"/>
        <v>CRTD</v>
      </c>
      <c r="S122" s="418" t="str">
        <f t="shared" si="80"/>
        <v>CRTD</v>
      </c>
      <c r="T122" s="418" t="str">
        <f t="shared" si="80"/>
        <v>CRTD</v>
      </c>
      <c r="U122" s="418" t="str">
        <f t="shared" si="80"/>
        <v>CRTD</v>
      </c>
      <c r="V122" s="418" t="str">
        <f t="shared" si="80"/>
        <v>CRTD</v>
      </c>
      <c r="W122" s="418" t="str">
        <f t="shared" si="80"/>
        <v>CRTD</v>
      </c>
      <c r="X122" s="418" t="str">
        <f t="shared" si="80"/>
        <v>CRTD</v>
      </c>
      <c r="Y122" s="418" t="str">
        <f t="shared" si="80"/>
        <v>CRTD</v>
      </c>
      <c r="Z122" s="418" t="str">
        <f t="shared" si="80"/>
        <v>CRTD</v>
      </c>
      <c r="AA122" s="418" t="str">
        <f t="shared" si="80"/>
        <v>CRTD</v>
      </c>
      <c r="AB122" s="317"/>
      <c r="AC122" s="309" t="s">
        <v>3932</v>
      </c>
      <c r="AD122" s="311" t="s">
        <v>224</v>
      </c>
      <c r="AE122" s="311" t="s">
        <v>979</v>
      </c>
      <c r="AF122" s="310" t="s">
        <v>6985</v>
      </c>
      <c r="AG122" s="310" t="s">
        <v>9083</v>
      </c>
      <c r="AH122" s="310" t="s">
        <v>3244</v>
      </c>
      <c r="AI122" s="309" t="s">
        <v>186</v>
      </c>
      <c r="AJ122" s="6" t="s">
        <v>218</v>
      </c>
      <c r="AK122" s="6" t="str">
        <f t="shared" si="49"/>
        <v>IGUAL</v>
      </c>
      <c r="AL122" s="151" t="str">
        <f>IFERROR(IF(LEFT(A122,3)="LCP",VLOOKUP(A122,STATUS_SAP_LCP!B:C,2,FALSE),VLOOKUP(A122,STATUS_SAP_ICP!B:C,2,FALSE)),"NO BUDGET")</f>
        <v>CLSD BUDG AUC  AVAC  //  RJCD BREL EXPL</v>
      </c>
      <c r="AM122" s="6" t="str">
        <f t="shared" si="48"/>
        <v>CLSD</v>
      </c>
      <c r="AN122" s="282" t="s">
        <v>9096</v>
      </c>
      <c r="AO122" s="493">
        <v>1</v>
      </c>
      <c r="AP122" s="499" t="s">
        <v>9607</v>
      </c>
      <c r="AQ122" s="465">
        <v>44371</v>
      </c>
      <c r="AR122" s="460"/>
      <c r="AS122" s="56">
        <v>226.30791068793809</v>
      </c>
      <c r="AT122" s="185">
        <v>142.49306999999999</v>
      </c>
      <c r="AU122" s="318">
        <v>40.768479999999997</v>
      </c>
      <c r="AV122" s="223">
        <v>0</v>
      </c>
      <c r="AW122" s="318">
        <v>0</v>
      </c>
      <c r="AX122" s="223">
        <v>0</v>
      </c>
      <c r="AY122" s="318">
        <f t="shared" si="76"/>
        <v>0</v>
      </c>
      <c r="AZ122" s="223"/>
      <c r="BA122" s="318"/>
      <c r="BB122" s="519">
        <f t="shared" si="77"/>
        <v>0</v>
      </c>
      <c r="BC122" s="518"/>
      <c r="BD122" s="518"/>
      <c r="BE122" s="518"/>
      <c r="BF122" s="518"/>
      <c r="BG122" s="518"/>
      <c r="BH122" s="518"/>
      <c r="BI122" s="518"/>
      <c r="BJ122" s="518"/>
      <c r="BK122" s="518"/>
      <c r="BL122" s="518"/>
      <c r="BM122" s="518"/>
      <c r="BN122" s="518"/>
      <c r="BO122" s="367">
        <f t="shared" si="50"/>
        <v>0</v>
      </c>
      <c r="BP122" s="421"/>
      <c r="BQ122" s="422"/>
      <c r="BR122" s="423">
        <f>IFERROR(IF(LEFT($A122,3)="Lcp",SUMIFS('BASE-LCP'!$K:$K,'BASE-LCP'!$A:$A,Capex!$A113,'BASE-LCP'!$B:$B,"janeiro")/1000,IF(LEFT($A122,3)="icp",SUMIFS('BASE-ICP'!$K:$K,'BASE-ICP'!$A:$A,Capex!$A113,'BASE-ICP'!$B:$B,"janeiro")/1000,"")),"")</f>
        <v>0</v>
      </c>
      <c r="BS122" s="427">
        <v>0</v>
      </c>
      <c r="BT122" s="372">
        <v>0</v>
      </c>
      <c r="BU122" s="422"/>
      <c r="BV122" s="423">
        <f>IFERROR(IF(LEFT($A122,3)="Lcp",SUMIFS('BASE-LCP'!$K:$K,'BASE-LCP'!$A:$A,Capex!$A113,'BASE-LCP'!$B:$B,"fevereiro")/1000,IF(LEFT($A122,3)="icp",SUMIFS('BASE-ICP'!$K:$K,'BASE-ICP'!$A:$A,Capex!$A113,'BASE-ICP'!$B:$B,"fevereiro")/1000,"")),"")</f>
        <v>0</v>
      </c>
      <c r="BW122" s="427">
        <v>0</v>
      </c>
      <c r="BX122" s="372">
        <v>0</v>
      </c>
      <c r="BY122" s="419"/>
      <c r="BZ122" s="423">
        <f>IFERROR(IF(LEFT($A122,3)="Lcp",SUMIFS('BASE-LCP'!$K:$K,'BASE-LCP'!$A:$A,Capex!$A113,'BASE-LCP'!$B:$B,"março")/1000,IF(LEFT($A122,3)="icp",SUMIFS('BASE-ICP'!$K:$K,'BASE-ICP'!$A:$A,Capex!$A113,'BASE-ICP'!$B:$B,"março")/1000,"")),"")</f>
        <v>0</v>
      </c>
      <c r="CA122" s="427">
        <v>0</v>
      </c>
      <c r="CB122" s="372">
        <v>0</v>
      </c>
      <c r="CC122" s="422"/>
      <c r="CD122" s="423">
        <f>IFERROR(IF(LEFT($A122,3)="Lcp",SUMIFS('BASE-LCP'!$K:$K,'BASE-LCP'!$A:$A,Capex!$A113,'BASE-LCP'!$B:$B,"abril")/1000,IF(LEFT($A122,3)="icp",SUMIFS('BASE-ICP'!$K:$K,'BASE-ICP'!$A:$A,Capex!$A113,'BASE-ICP'!$B:$B,"abril")/1000,"")),"")</f>
        <v>0</v>
      </c>
      <c r="CE122" s="427">
        <v>0</v>
      </c>
      <c r="CF122" s="372">
        <v>0</v>
      </c>
      <c r="CG122" s="419"/>
      <c r="CH122" s="423">
        <v>0</v>
      </c>
      <c r="CI122" s="427">
        <v>0</v>
      </c>
      <c r="CJ122" s="372">
        <v>0</v>
      </c>
      <c r="CK122" s="419"/>
      <c r="CL122" s="423">
        <f>IFERROR(IF(LEFT($A122,3)="Lcp",SUMIFS('BASE-LCP'!$K:$K,'BASE-LCP'!$A:$A,Capex!$A113,'BASE-LCP'!$B:$B,"junho")/1000,IF(LEFT($A122,3)="icp",SUMIFS('BASE-ICP'!$K:$K,'BASE-ICP'!$A:$A,Capex!$A113,'BASE-ICP'!$B:$B,"junho")/1000,"")),"")</f>
        <v>0</v>
      </c>
      <c r="CM122" s="427">
        <v>0</v>
      </c>
      <c r="CN122" s="372"/>
      <c r="CO122" s="419"/>
      <c r="CP122" s="423">
        <f>IFERROR(IF(LEFT($A122,3)="Lcp",SUMIFS('BASE-LCP'!$K:$K,'BASE-LCP'!$A:$A,Capex!$A113,'BASE-LCP'!$B:$B,"julho")/1000,IF(LEFT($A122,3)="icp",SUMIFS('BASE-ICP'!$K:$K,'BASE-ICP'!$A:$A,Capex!$A113,'BASE-ICP'!$B:$B,"julho")/1000,"")),"")</f>
        <v>0</v>
      </c>
      <c r="CQ122" s="427">
        <v>0</v>
      </c>
      <c r="CR122" s="372"/>
      <c r="CS122" s="419"/>
      <c r="CT122" s="423">
        <f>IFERROR(IF(LEFT($A122,3)="Lcp",SUMIFS('BASE-LCP'!$K:$K,'BASE-LCP'!$A:$A,Capex!$A113,'BASE-LCP'!$B:$B,"agosto")/1000,IF(LEFT($A122,3)="icp",SUMIFS('BASE-ICP'!$K:$K,'BASE-ICP'!$A:$A,Capex!$A113,'BASE-ICP'!$B:$B,"agosto")/1000,"")),"")</f>
        <v>0</v>
      </c>
      <c r="CU122" s="427">
        <v>0</v>
      </c>
      <c r="CV122" s="372"/>
      <c r="CW122" s="419"/>
      <c r="CX122" s="423">
        <f>IFERROR(IF(LEFT($A122,3)="Lcp",SUMIFS('BASE-LCP'!$K:$K,'BASE-LCP'!$A:$A,Capex!$A113,'BASE-LCP'!$B:$B,"setembro")/1000,IF(LEFT($A122,3)="icp",SUMIFS('BASE-ICP'!$K:$K,'BASE-ICP'!$A:$A,Capex!$A113,'BASE-ICP'!$B:$B,"setembro")/1000,"")),"")</f>
        <v>0</v>
      </c>
      <c r="CY122" s="427">
        <v>0</v>
      </c>
      <c r="CZ122" s="372"/>
      <c r="DA122" s="419"/>
      <c r="DB122" s="423">
        <f>IFERROR(IF(LEFT($A122,3)="Lcp",SUMIFS('BASE-LCP'!$K:$K,'BASE-LCP'!$A:$A,Capex!$A113,'BASE-LCP'!$B:$B,"outubro")/1000,IF(LEFT($A122,3)="icp",SUMIFS('BASE-ICP'!$K:$K,'BASE-ICP'!$A:$A,Capex!$A113,'BASE-ICP'!$B:$B,"outubro")/1000,"")),"")</f>
        <v>0</v>
      </c>
      <c r="DC122" s="427">
        <v>0</v>
      </c>
      <c r="DD122" s="372"/>
      <c r="DE122" s="419"/>
      <c r="DF122" s="423">
        <f>IFERROR(IF(LEFT($A122,3)="Lcp",SUMIFS('BASE-LCP'!$K:$K,'BASE-LCP'!$A:$A,Capex!$A113,'BASE-LCP'!$B:$B,"novembro")/1000,IF(LEFT($A122,3)="icp",SUMIFS('BASE-ICP'!$K:$K,'BASE-ICP'!$A:$A,Capex!$A113,'BASE-ICP'!$B:$B,"novembro")/1000,"")),"")</f>
        <v>0</v>
      </c>
      <c r="DG122" s="427">
        <v>0</v>
      </c>
      <c r="DH122" s="372"/>
      <c r="DI122" s="419"/>
      <c r="DJ122" s="423">
        <f>IFERROR(IF(LEFT($A122,3)="Lcp",SUMIFS('BASE-LCP'!$K:$K,'BASE-LCP'!$A:$A,Capex!$A113,'BASE-LCP'!$B:$B,"dezembro")/1000,IF(LEFT($A122,3)="icp",SUMIFS('BASE-ICP'!$K:$K,'BASE-ICP'!$A:$A,Capex!$A113,'BASE-ICP'!$B:$B,"dezembro")/1000,"")),"")</f>
        <v>0</v>
      </c>
      <c r="DK122" s="427">
        <v>0</v>
      </c>
      <c r="DL122" s="452">
        <f t="shared" si="51"/>
        <v>0</v>
      </c>
      <c r="DM122" s="374"/>
      <c r="DN122" s="374"/>
      <c r="DO122" s="374"/>
      <c r="DP122" s="374"/>
      <c r="DQ122" s="374"/>
      <c r="DR122" s="374"/>
      <c r="DS122" s="374"/>
      <c r="DT122" s="374"/>
      <c r="DU122" s="374"/>
      <c r="DV122" s="374"/>
      <c r="DW122" s="374"/>
      <c r="DX122" s="374"/>
      <c r="DY122" s="450"/>
      <c r="DZ122" s="374">
        <f t="shared" si="52"/>
        <v>0</v>
      </c>
      <c r="EA122" s="216">
        <f t="shared" si="53"/>
        <v>0</v>
      </c>
      <c r="EB122" s="320">
        <f t="shared" si="54"/>
        <v>0</v>
      </c>
      <c r="EC122" s="241">
        <f t="shared" si="55"/>
        <v>0</v>
      </c>
      <c r="ED122" s="241">
        <f t="shared" si="56"/>
        <v>0</v>
      </c>
      <c r="EE122" s="241">
        <f t="shared" si="57"/>
        <v>0</v>
      </c>
      <c r="EF122" s="241">
        <f t="shared" si="58"/>
        <v>0</v>
      </c>
      <c r="EG122" s="346">
        <f t="shared" si="59"/>
        <v>0</v>
      </c>
      <c r="EH122" s="445">
        <f t="shared" si="60"/>
        <v>0</v>
      </c>
      <c r="EI122" s="447">
        <f t="shared" si="61"/>
        <v>0</v>
      </c>
      <c r="EJ122" s="364">
        <f t="shared" si="62"/>
        <v>0</v>
      </c>
      <c r="EK122" s="365">
        <f t="shared" si="63"/>
        <v>0</v>
      </c>
      <c r="EL122" s="529">
        <f t="shared" si="64"/>
        <v>0</v>
      </c>
      <c r="EM122" s="530">
        <v>0</v>
      </c>
      <c r="EN122" s="530">
        <v>0</v>
      </c>
      <c r="EO122" s="530">
        <v>0</v>
      </c>
      <c r="EP122" s="530">
        <v>0</v>
      </c>
      <c r="EQ122" s="530">
        <v>0</v>
      </c>
      <c r="ER122" s="530">
        <v>0</v>
      </c>
      <c r="ES122" s="530">
        <v>0</v>
      </c>
      <c r="ET122" s="530">
        <v>0</v>
      </c>
      <c r="EU122" s="530">
        <v>0</v>
      </c>
      <c r="EV122" s="530">
        <v>0</v>
      </c>
      <c r="EW122" s="530">
        <v>0</v>
      </c>
      <c r="EX122" s="530">
        <v>0</v>
      </c>
      <c r="EY122" s="530">
        <f t="shared" si="65"/>
        <v>0</v>
      </c>
      <c r="EZ122" s="530">
        <f t="shared" si="66"/>
        <v>0</v>
      </c>
      <c r="FA122" s="530">
        <f t="shared" si="67"/>
        <v>0</v>
      </c>
      <c r="FB122" s="530">
        <f t="shared" si="68"/>
        <v>0</v>
      </c>
      <c r="FC122" s="384">
        <f>IFERROR(VLOOKUP(Capex!A113,BASE_558!D:R,8,FALSE)/1000,"")</f>
        <v>111.75</v>
      </c>
      <c r="FD122" s="328">
        <f>IFERROR(VLOOKUP(Capex!A113,BASE_558!D:R,9,)/1000,"")</f>
        <v>104.37603999999999</v>
      </c>
      <c r="FE122" s="328">
        <f>IFERROR(IF(LEFT(A122,3)="LCP",(VLOOKUP(Capex!A113,BASE_558!D:R,10,)/1000),SUMIFS('BASE ICP_PO_SC'!F:F,'BASE ICP_PO_SC'!A:A,Capex!A113,'BASE ICP_PO_SC'!E:E,"&lt;&gt;")/1000),"")</f>
        <v>0</v>
      </c>
      <c r="FF122" s="328">
        <f>IFERROR(IF(LEFT(A122,3)="LCP",(VLOOKUP(Capex!A113,BASE_558!D:R,11,)/1000),SUMIFS('BASE ICP_PO_SC'!F:F,'BASE ICP_PO_SC'!A:A,Capex!A113,'BASE ICP_PO_SC'!E:E,"")/1000),"")</f>
        <v>0</v>
      </c>
      <c r="FG122" s="328">
        <f>IFERROR(VLOOKUP(A122,BASE_558!D:R,13,FALSE)/1000,"")</f>
        <v>409.64359999999999</v>
      </c>
      <c r="FH122" s="328">
        <f>IFERROR(VLOOKUP(A122,BASE_558!D:R,15,FALSE)/1000,"")</f>
        <v>64.032399999999996</v>
      </c>
      <c r="FI122" s="547">
        <f t="shared" si="69"/>
        <v>0</v>
      </c>
      <c r="FJ122" s="547">
        <f t="shared" si="70"/>
        <v>0</v>
      </c>
      <c r="FK122" s="540">
        <f t="shared" si="71"/>
        <v>0</v>
      </c>
    </row>
    <row r="123" spans="1:167" s="23" customFormat="1" ht="24" customHeight="1">
      <c r="A123" s="84" t="s">
        <v>91</v>
      </c>
      <c r="B123" s="404"/>
      <c r="C123" s="404"/>
      <c r="D123" s="338" t="s">
        <v>899</v>
      </c>
      <c r="E123" s="378"/>
      <c r="F123" s="5"/>
      <c r="G123" s="310" t="s">
        <v>9</v>
      </c>
      <c r="H123" s="338"/>
      <c r="I123" s="338"/>
      <c r="J123" s="338">
        <v>2018</v>
      </c>
      <c r="K123" s="316">
        <v>43328</v>
      </c>
      <c r="L123" s="317">
        <v>44277</v>
      </c>
      <c r="M123" s="409"/>
      <c r="N123" s="317">
        <f t="shared" si="74"/>
        <v>44240</v>
      </c>
      <c r="O123" s="317">
        <f t="shared" si="75"/>
        <v>44605</v>
      </c>
      <c r="P123" s="418" t="str">
        <f t="shared" si="80"/>
        <v>CRTD</v>
      </c>
      <c r="Q123" s="418" t="str">
        <f t="shared" si="80"/>
        <v>CRTD</v>
      </c>
      <c r="R123" s="418" t="str">
        <f t="shared" si="80"/>
        <v>CRTD</v>
      </c>
      <c r="S123" s="418" t="str">
        <f t="shared" si="80"/>
        <v>CRTD</v>
      </c>
      <c r="T123" s="418" t="str">
        <f t="shared" si="80"/>
        <v>CRTD</v>
      </c>
      <c r="U123" s="418" t="str">
        <f t="shared" si="80"/>
        <v>CRTD</v>
      </c>
      <c r="V123" s="418" t="str">
        <f t="shared" si="80"/>
        <v>CRTD</v>
      </c>
      <c r="W123" s="418" t="str">
        <f t="shared" si="80"/>
        <v>CRTD</v>
      </c>
      <c r="X123" s="418" t="str">
        <f t="shared" si="80"/>
        <v>CRTD</v>
      </c>
      <c r="Y123" s="418" t="str">
        <f t="shared" si="80"/>
        <v>CRTD</v>
      </c>
      <c r="Z123" s="418" t="str">
        <f t="shared" si="80"/>
        <v>CRTD</v>
      </c>
      <c r="AA123" s="418" t="str">
        <f t="shared" si="80"/>
        <v>CRTD</v>
      </c>
      <c r="AB123" s="317"/>
      <c r="AC123" s="309" t="s">
        <v>2508</v>
      </c>
      <c r="AD123" s="311" t="s">
        <v>223</v>
      </c>
      <c r="AE123" s="311"/>
      <c r="AF123" s="310" t="s">
        <v>6985</v>
      </c>
      <c r="AG123" s="310" t="s">
        <v>9083</v>
      </c>
      <c r="AH123" s="310" t="s">
        <v>3934</v>
      </c>
      <c r="AI123" s="309" t="s">
        <v>188</v>
      </c>
      <c r="AJ123" s="6" t="s">
        <v>218</v>
      </c>
      <c r="AK123" s="6" t="str">
        <f t="shared" si="49"/>
        <v>IGUAL</v>
      </c>
      <c r="AL123" s="151" t="str">
        <f>IFERROR(IF(LEFT(A123,3)="LCP",VLOOKUP(A123,STATUS_SAP_LCP!B:C,2,FALSE),VLOOKUP(A123,STATUS_SAP_ICP!B:C,2,FALSE)),"NO BUDGET")</f>
        <v>CLSD BUDG AUC  AVAC  //  APPR BREL EXPL</v>
      </c>
      <c r="AM123" s="6" t="str">
        <f t="shared" si="48"/>
        <v>CLSD</v>
      </c>
      <c r="AN123" s="282" t="s">
        <v>9087</v>
      </c>
      <c r="AO123" s="493">
        <v>1</v>
      </c>
      <c r="AP123" s="499" t="s">
        <v>9607</v>
      </c>
      <c r="AQ123" s="465">
        <v>44277</v>
      </c>
      <c r="AR123" s="460"/>
      <c r="AS123" s="56">
        <v>40.887903618015933</v>
      </c>
      <c r="AT123" s="185">
        <v>26.214960000000005</v>
      </c>
      <c r="AU123" s="318">
        <v>0</v>
      </c>
      <c r="AV123" s="223">
        <v>0</v>
      </c>
      <c r="AW123" s="318">
        <v>0</v>
      </c>
      <c r="AX123" s="223">
        <v>0</v>
      </c>
      <c r="AY123" s="318">
        <f t="shared" si="76"/>
        <v>0</v>
      </c>
      <c r="AZ123" s="223"/>
      <c r="BA123" s="318"/>
      <c r="BB123" s="519">
        <f t="shared" si="77"/>
        <v>0</v>
      </c>
      <c r="BC123" s="518"/>
      <c r="BD123" s="518"/>
      <c r="BE123" s="518"/>
      <c r="BF123" s="518"/>
      <c r="BG123" s="518"/>
      <c r="BH123" s="518"/>
      <c r="BI123" s="518"/>
      <c r="BJ123" s="518"/>
      <c r="BK123" s="518"/>
      <c r="BL123" s="518"/>
      <c r="BM123" s="518"/>
      <c r="BN123" s="518"/>
      <c r="BO123" s="367">
        <f t="shared" si="50"/>
        <v>0</v>
      </c>
      <c r="BP123" s="421"/>
      <c r="BQ123" s="422"/>
      <c r="BR123" s="423">
        <f>IFERROR(IF(LEFT($A123,3)="Lcp",SUMIFS('BASE-LCP'!$K:$K,'BASE-LCP'!$A:$A,Capex!$A114,'BASE-LCP'!$B:$B,"janeiro")/1000,IF(LEFT($A123,3)="icp",SUMIFS('BASE-ICP'!$K:$K,'BASE-ICP'!$A:$A,Capex!$A114,'BASE-ICP'!$B:$B,"janeiro")/1000,"")),"")</f>
        <v>0</v>
      </c>
      <c r="BS123" s="427">
        <v>0</v>
      </c>
      <c r="BT123" s="372">
        <v>0</v>
      </c>
      <c r="BU123" s="422"/>
      <c r="BV123" s="423">
        <f>IFERROR(IF(LEFT($A123,3)="Lcp",SUMIFS('BASE-LCP'!$K:$K,'BASE-LCP'!$A:$A,Capex!$A114,'BASE-LCP'!$B:$B,"fevereiro")/1000,IF(LEFT($A123,3)="icp",SUMIFS('BASE-ICP'!$K:$K,'BASE-ICP'!$A:$A,Capex!$A114,'BASE-ICP'!$B:$B,"fevereiro")/1000,"")),"")</f>
        <v>0</v>
      </c>
      <c r="BW123" s="427">
        <v>0</v>
      </c>
      <c r="BX123" s="372">
        <v>0</v>
      </c>
      <c r="BY123" s="419"/>
      <c r="BZ123" s="423">
        <f>IFERROR(IF(LEFT($A123,3)="Lcp",SUMIFS('BASE-LCP'!$K:$K,'BASE-LCP'!$A:$A,Capex!$A114,'BASE-LCP'!$B:$B,"março")/1000,IF(LEFT($A123,3)="icp",SUMIFS('BASE-ICP'!$K:$K,'BASE-ICP'!$A:$A,Capex!$A114,'BASE-ICP'!$B:$B,"março")/1000,"")),"")</f>
        <v>0</v>
      </c>
      <c r="CA123" s="427">
        <v>0</v>
      </c>
      <c r="CB123" s="372">
        <v>0</v>
      </c>
      <c r="CC123" s="422"/>
      <c r="CD123" s="423">
        <f>IFERROR(IF(LEFT($A123,3)="Lcp",SUMIFS('BASE-LCP'!$K:$K,'BASE-LCP'!$A:$A,Capex!$A114,'BASE-LCP'!$B:$B,"abril")/1000,IF(LEFT($A123,3)="icp",SUMIFS('BASE-ICP'!$K:$K,'BASE-ICP'!$A:$A,Capex!$A114,'BASE-ICP'!$B:$B,"abril")/1000,"")),"")</f>
        <v>0</v>
      </c>
      <c r="CE123" s="427">
        <v>0</v>
      </c>
      <c r="CF123" s="372">
        <v>0</v>
      </c>
      <c r="CG123" s="419"/>
      <c r="CH123" s="423">
        <v>0</v>
      </c>
      <c r="CI123" s="427">
        <v>0</v>
      </c>
      <c r="CJ123" s="372">
        <v>0</v>
      </c>
      <c r="CK123" s="419"/>
      <c r="CL123" s="423">
        <f>IFERROR(IF(LEFT($A123,3)="Lcp",SUMIFS('BASE-LCP'!$K:$K,'BASE-LCP'!$A:$A,Capex!$A114,'BASE-LCP'!$B:$B,"junho")/1000,IF(LEFT($A123,3)="icp",SUMIFS('BASE-ICP'!$K:$K,'BASE-ICP'!$A:$A,Capex!$A114,'BASE-ICP'!$B:$B,"junho")/1000,"")),"")</f>
        <v>0</v>
      </c>
      <c r="CM123" s="427">
        <v>0</v>
      </c>
      <c r="CN123" s="372"/>
      <c r="CO123" s="419"/>
      <c r="CP123" s="423">
        <f>IFERROR(IF(LEFT($A123,3)="Lcp",SUMIFS('BASE-LCP'!$K:$K,'BASE-LCP'!$A:$A,Capex!$A114,'BASE-LCP'!$B:$B,"julho")/1000,IF(LEFT($A123,3)="icp",SUMIFS('BASE-ICP'!$K:$K,'BASE-ICP'!$A:$A,Capex!$A114,'BASE-ICP'!$B:$B,"julho")/1000,"")),"")</f>
        <v>0</v>
      </c>
      <c r="CQ123" s="427">
        <v>0</v>
      </c>
      <c r="CR123" s="372"/>
      <c r="CS123" s="419"/>
      <c r="CT123" s="423">
        <f>IFERROR(IF(LEFT($A123,3)="Lcp",SUMIFS('BASE-LCP'!$K:$K,'BASE-LCP'!$A:$A,Capex!$A114,'BASE-LCP'!$B:$B,"agosto")/1000,IF(LEFT($A123,3)="icp",SUMIFS('BASE-ICP'!$K:$K,'BASE-ICP'!$A:$A,Capex!$A114,'BASE-ICP'!$B:$B,"agosto")/1000,"")),"")</f>
        <v>0</v>
      </c>
      <c r="CU123" s="427">
        <v>0</v>
      </c>
      <c r="CV123" s="372"/>
      <c r="CW123" s="419"/>
      <c r="CX123" s="423">
        <f>IFERROR(IF(LEFT($A123,3)="Lcp",SUMIFS('BASE-LCP'!$K:$K,'BASE-LCP'!$A:$A,Capex!$A114,'BASE-LCP'!$B:$B,"setembro")/1000,IF(LEFT($A123,3)="icp",SUMIFS('BASE-ICP'!$K:$K,'BASE-ICP'!$A:$A,Capex!$A114,'BASE-ICP'!$B:$B,"setembro")/1000,"")),"")</f>
        <v>0</v>
      </c>
      <c r="CY123" s="427">
        <v>0</v>
      </c>
      <c r="CZ123" s="372"/>
      <c r="DA123" s="419"/>
      <c r="DB123" s="423">
        <f>IFERROR(IF(LEFT($A123,3)="Lcp",SUMIFS('BASE-LCP'!$K:$K,'BASE-LCP'!$A:$A,Capex!$A114,'BASE-LCP'!$B:$B,"outubro")/1000,IF(LEFT($A123,3)="icp",SUMIFS('BASE-ICP'!$K:$K,'BASE-ICP'!$A:$A,Capex!$A114,'BASE-ICP'!$B:$B,"outubro")/1000,"")),"")</f>
        <v>0</v>
      </c>
      <c r="DC123" s="427">
        <v>0</v>
      </c>
      <c r="DD123" s="372"/>
      <c r="DE123" s="419"/>
      <c r="DF123" s="423">
        <f>IFERROR(IF(LEFT($A123,3)="Lcp",SUMIFS('BASE-LCP'!$K:$K,'BASE-LCP'!$A:$A,Capex!$A114,'BASE-LCP'!$B:$B,"novembro")/1000,IF(LEFT($A123,3)="icp",SUMIFS('BASE-ICP'!$K:$K,'BASE-ICP'!$A:$A,Capex!$A114,'BASE-ICP'!$B:$B,"novembro")/1000,"")),"")</f>
        <v>0</v>
      </c>
      <c r="DG123" s="427">
        <v>0</v>
      </c>
      <c r="DH123" s="372"/>
      <c r="DI123" s="419"/>
      <c r="DJ123" s="423">
        <f>IFERROR(IF(LEFT($A123,3)="Lcp",SUMIFS('BASE-LCP'!$K:$K,'BASE-LCP'!$A:$A,Capex!$A114,'BASE-LCP'!$B:$B,"dezembro")/1000,IF(LEFT($A123,3)="icp",SUMIFS('BASE-ICP'!$K:$K,'BASE-ICP'!$A:$A,Capex!$A114,'BASE-ICP'!$B:$B,"dezembro")/1000,"")),"")</f>
        <v>0</v>
      </c>
      <c r="DK123" s="427">
        <v>0</v>
      </c>
      <c r="DL123" s="452">
        <f t="shared" si="51"/>
        <v>0</v>
      </c>
      <c r="DM123" s="374"/>
      <c r="DN123" s="374"/>
      <c r="DO123" s="374"/>
      <c r="DP123" s="374"/>
      <c r="DQ123" s="374"/>
      <c r="DR123" s="374"/>
      <c r="DS123" s="374"/>
      <c r="DT123" s="374"/>
      <c r="DU123" s="374"/>
      <c r="DV123" s="374"/>
      <c r="DW123" s="374"/>
      <c r="DX123" s="374"/>
      <c r="DY123" s="450"/>
      <c r="DZ123" s="374">
        <f t="shared" si="52"/>
        <v>0</v>
      </c>
      <c r="EA123" s="216">
        <f t="shared" si="53"/>
        <v>0</v>
      </c>
      <c r="EB123" s="320">
        <f t="shared" si="54"/>
        <v>0</v>
      </c>
      <c r="EC123" s="241">
        <f t="shared" si="55"/>
        <v>0</v>
      </c>
      <c r="ED123" s="241">
        <f t="shared" si="56"/>
        <v>0</v>
      </c>
      <c r="EE123" s="241">
        <f t="shared" si="57"/>
        <v>0</v>
      </c>
      <c r="EF123" s="241">
        <f t="shared" si="58"/>
        <v>0</v>
      </c>
      <c r="EG123" s="346">
        <f t="shared" si="59"/>
        <v>0</v>
      </c>
      <c r="EH123" s="445">
        <f t="shared" si="60"/>
        <v>0</v>
      </c>
      <c r="EI123" s="447">
        <f t="shared" si="61"/>
        <v>0</v>
      </c>
      <c r="EJ123" s="364">
        <f t="shared" si="62"/>
        <v>0</v>
      </c>
      <c r="EK123" s="365">
        <f t="shared" si="63"/>
        <v>0</v>
      </c>
      <c r="EL123" s="529">
        <f t="shared" si="64"/>
        <v>0</v>
      </c>
      <c r="EM123" s="530">
        <v>0</v>
      </c>
      <c r="EN123" s="530">
        <v>0</v>
      </c>
      <c r="EO123" s="530">
        <v>0</v>
      </c>
      <c r="EP123" s="530">
        <v>0</v>
      </c>
      <c r="EQ123" s="530">
        <v>0</v>
      </c>
      <c r="ER123" s="530">
        <v>0</v>
      </c>
      <c r="ES123" s="530">
        <v>0</v>
      </c>
      <c r="ET123" s="530">
        <v>0</v>
      </c>
      <c r="EU123" s="530">
        <v>0</v>
      </c>
      <c r="EV123" s="530">
        <v>0</v>
      </c>
      <c r="EW123" s="530">
        <v>0</v>
      </c>
      <c r="EX123" s="530">
        <v>0</v>
      </c>
      <c r="EY123" s="530">
        <f t="shared" si="65"/>
        <v>0</v>
      </c>
      <c r="EZ123" s="530">
        <f t="shared" si="66"/>
        <v>0</v>
      </c>
      <c r="FA123" s="530">
        <f t="shared" si="67"/>
        <v>0</v>
      </c>
      <c r="FB123" s="530">
        <f t="shared" si="68"/>
        <v>0</v>
      </c>
      <c r="FC123" s="384">
        <f>IFERROR(VLOOKUP(Capex!A114,BASE_558!D:R,8,FALSE)/1000,"")</f>
        <v>64.7</v>
      </c>
      <c r="FD123" s="328">
        <f>IFERROR(VLOOKUP(Capex!A114,BASE_558!D:R,9,)/1000,"")</f>
        <v>62.25497</v>
      </c>
      <c r="FE123" s="328">
        <f>IFERROR(IF(LEFT(A123,3)="LCP",(VLOOKUP(Capex!A114,BASE_558!D:R,10,)/1000),SUMIFS('BASE ICP_PO_SC'!F:F,'BASE ICP_PO_SC'!A:A,Capex!A114,'BASE ICP_PO_SC'!E:E,"&lt;&gt;")/1000),"")</f>
        <v>0</v>
      </c>
      <c r="FF123" s="328">
        <f>IFERROR(IF(LEFT(A123,3)="LCP",(VLOOKUP(Capex!A114,BASE_558!D:R,11,)/1000),SUMIFS('BASE ICP_PO_SC'!F:F,'BASE ICP_PO_SC'!A:A,Capex!A114,'BASE ICP_PO_SC'!E:E,"")/1000),"")</f>
        <v>0</v>
      </c>
      <c r="FG123" s="328">
        <f>IFERROR(VLOOKUP(A123,BASE_558!D:R,13,FALSE)/1000,"")</f>
        <v>67.885159999999999</v>
      </c>
      <c r="FH123" s="328">
        <f>IFERROR(VLOOKUP(A123,BASE_558!D:R,15,FALSE)/1000,"")</f>
        <v>9.9148399999999999</v>
      </c>
      <c r="FI123" s="547">
        <f t="shared" si="69"/>
        <v>0</v>
      </c>
      <c r="FJ123" s="547">
        <f t="shared" si="70"/>
        <v>0</v>
      </c>
      <c r="FK123" s="540">
        <f t="shared" si="71"/>
        <v>0</v>
      </c>
    </row>
    <row r="124" spans="1:167" s="23" customFormat="1" ht="24" customHeight="1">
      <c r="A124" s="84" t="s">
        <v>87</v>
      </c>
      <c r="B124" s="404"/>
      <c r="C124" s="404"/>
      <c r="D124" s="338" t="s">
        <v>915</v>
      </c>
      <c r="E124" s="378"/>
      <c r="F124" s="5"/>
      <c r="G124" s="310" t="s">
        <v>9</v>
      </c>
      <c r="H124" s="338"/>
      <c r="I124" s="338"/>
      <c r="J124" s="338">
        <v>2018</v>
      </c>
      <c r="K124" s="316">
        <v>43390</v>
      </c>
      <c r="L124" s="317">
        <v>43851</v>
      </c>
      <c r="M124" s="409"/>
      <c r="N124" s="317">
        <f t="shared" si="74"/>
        <v>44302</v>
      </c>
      <c r="O124" s="317">
        <f t="shared" si="75"/>
        <v>44667</v>
      </c>
      <c r="P124" s="418" t="str">
        <f t="shared" si="80"/>
        <v>CRTD</v>
      </c>
      <c r="Q124" s="418" t="str">
        <f t="shared" si="80"/>
        <v>CRTD</v>
      </c>
      <c r="R124" s="418" t="str">
        <f t="shared" si="80"/>
        <v>CRTD</v>
      </c>
      <c r="S124" s="418" t="str">
        <f t="shared" si="80"/>
        <v>CRTD</v>
      </c>
      <c r="T124" s="418" t="str">
        <f t="shared" si="80"/>
        <v>CRTD</v>
      </c>
      <c r="U124" s="418" t="str">
        <f t="shared" si="80"/>
        <v>CRTD</v>
      </c>
      <c r="V124" s="418" t="str">
        <f t="shared" si="80"/>
        <v>CRTD</v>
      </c>
      <c r="W124" s="418" t="str">
        <f t="shared" si="80"/>
        <v>CRTD</v>
      </c>
      <c r="X124" s="418" t="str">
        <f t="shared" si="80"/>
        <v>CRTD</v>
      </c>
      <c r="Y124" s="418" t="str">
        <f t="shared" si="80"/>
        <v>CRTD</v>
      </c>
      <c r="Z124" s="418" t="str">
        <f t="shared" si="80"/>
        <v>CRTD</v>
      </c>
      <c r="AA124" s="418" t="str">
        <f t="shared" si="80"/>
        <v>CRTD</v>
      </c>
      <c r="AB124" s="317"/>
      <c r="AC124" s="309" t="s">
        <v>2508</v>
      </c>
      <c r="AD124" s="311" t="s">
        <v>223</v>
      </c>
      <c r="AE124" s="311"/>
      <c r="AF124" s="310" t="s">
        <v>6985</v>
      </c>
      <c r="AG124" s="310" t="s">
        <v>9083</v>
      </c>
      <c r="AH124" s="310" t="s">
        <v>6976</v>
      </c>
      <c r="AI124" s="309" t="s">
        <v>186</v>
      </c>
      <c r="AJ124" s="6" t="s">
        <v>218</v>
      </c>
      <c r="AK124" s="6" t="str">
        <f t="shared" si="49"/>
        <v>IGUAL</v>
      </c>
      <c r="AL124" s="151" t="str">
        <f>IFERROR(IF(LEFT(A124,3)="LCP",VLOOKUP(A124,STATUS_SAP_LCP!B:C,2,FALSE),VLOOKUP(A124,STATUS_SAP_ICP!B:C,2,FALSE)),"NO BUDGET")</f>
        <v>CLSD BUDG AUC  AVAC  //  APPR BREL EXPL</v>
      </c>
      <c r="AM124" s="6" t="str">
        <f t="shared" si="48"/>
        <v>CLSD</v>
      </c>
      <c r="AN124" s="282" t="s">
        <v>9087</v>
      </c>
      <c r="AO124" s="493">
        <v>1</v>
      </c>
      <c r="AP124" s="499" t="s">
        <v>9607</v>
      </c>
      <c r="AQ124" s="465">
        <v>43851</v>
      </c>
      <c r="AR124" s="460"/>
      <c r="AS124" s="56">
        <v>21.582529571970742</v>
      </c>
      <c r="AT124" s="185">
        <v>0</v>
      </c>
      <c r="AU124" s="318">
        <v>0</v>
      </c>
      <c r="AV124" s="223">
        <v>0</v>
      </c>
      <c r="AW124" s="318">
        <v>0</v>
      </c>
      <c r="AX124" s="223">
        <v>0</v>
      </c>
      <c r="AY124" s="318">
        <f t="shared" si="76"/>
        <v>0</v>
      </c>
      <c r="AZ124" s="223"/>
      <c r="BA124" s="318"/>
      <c r="BB124" s="519">
        <f t="shared" si="77"/>
        <v>0</v>
      </c>
      <c r="BC124" s="518"/>
      <c r="BD124" s="518"/>
      <c r="BE124" s="518"/>
      <c r="BF124" s="518"/>
      <c r="BG124" s="518"/>
      <c r="BH124" s="518"/>
      <c r="BI124" s="518"/>
      <c r="BJ124" s="518"/>
      <c r="BK124" s="518"/>
      <c r="BL124" s="518"/>
      <c r="BM124" s="518"/>
      <c r="BN124" s="518"/>
      <c r="BO124" s="367">
        <f t="shared" si="50"/>
        <v>0</v>
      </c>
      <c r="BP124" s="421"/>
      <c r="BQ124" s="422"/>
      <c r="BR124" s="423">
        <f>IFERROR(IF(LEFT($A124,3)="Lcp",SUMIFS('BASE-LCP'!$K:$K,'BASE-LCP'!$A:$A,Capex!$A115,'BASE-LCP'!$B:$B,"janeiro")/1000,IF(LEFT($A124,3)="icp",SUMIFS('BASE-ICP'!$K:$K,'BASE-ICP'!$A:$A,Capex!$A115,'BASE-ICP'!$B:$B,"janeiro")/1000,"")),"")</f>
        <v>0</v>
      </c>
      <c r="BS124" s="427">
        <v>0</v>
      </c>
      <c r="BT124" s="372">
        <v>0</v>
      </c>
      <c r="BU124" s="422"/>
      <c r="BV124" s="423">
        <f>IFERROR(IF(LEFT($A124,3)="Lcp",SUMIFS('BASE-LCP'!$K:$K,'BASE-LCP'!$A:$A,Capex!$A115,'BASE-LCP'!$B:$B,"fevereiro")/1000,IF(LEFT($A124,3)="icp",SUMIFS('BASE-ICP'!$K:$K,'BASE-ICP'!$A:$A,Capex!$A115,'BASE-ICP'!$B:$B,"fevereiro")/1000,"")),"")</f>
        <v>0</v>
      </c>
      <c r="BW124" s="427">
        <v>0</v>
      </c>
      <c r="BX124" s="372">
        <v>0</v>
      </c>
      <c r="BY124" s="419"/>
      <c r="BZ124" s="423">
        <f>IFERROR(IF(LEFT($A124,3)="Lcp",SUMIFS('BASE-LCP'!$K:$K,'BASE-LCP'!$A:$A,Capex!$A115,'BASE-LCP'!$B:$B,"março")/1000,IF(LEFT($A124,3)="icp",SUMIFS('BASE-ICP'!$K:$K,'BASE-ICP'!$A:$A,Capex!$A115,'BASE-ICP'!$B:$B,"março")/1000,"")),"")</f>
        <v>0</v>
      </c>
      <c r="CA124" s="427">
        <v>0</v>
      </c>
      <c r="CB124" s="372">
        <v>0</v>
      </c>
      <c r="CC124" s="422"/>
      <c r="CD124" s="423">
        <f>IFERROR(IF(LEFT($A124,3)="Lcp",SUMIFS('BASE-LCP'!$K:$K,'BASE-LCP'!$A:$A,Capex!$A115,'BASE-LCP'!$B:$B,"abril")/1000,IF(LEFT($A124,3)="icp",SUMIFS('BASE-ICP'!$K:$K,'BASE-ICP'!$A:$A,Capex!$A115,'BASE-ICP'!$B:$B,"abril")/1000,"")),"")</f>
        <v>0</v>
      </c>
      <c r="CE124" s="427">
        <v>0</v>
      </c>
      <c r="CF124" s="372">
        <v>0</v>
      </c>
      <c r="CG124" s="419"/>
      <c r="CH124" s="423">
        <v>0</v>
      </c>
      <c r="CI124" s="427">
        <v>0</v>
      </c>
      <c r="CJ124" s="372">
        <v>0</v>
      </c>
      <c r="CK124" s="419"/>
      <c r="CL124" s="423">
        <f>IFERROR(IF(LEFT($A124,3)="Lcp",SUMIFS('BASE-LCP'!$K:$K,'BASE-LCP'!$A:$A,Capex!$A115,'BASE-LCP'!$B:$B,"junho")/1000,IF(LEFT($A124,3)="icp",SUMIFS('BASE-ICP'!$K:$K,'BASE-ICP'!$A:$A,Capex!$A115,'BASE-ICP'!$B:$B,"junho")/1000,"")),"")</f>
        <v>0</v>
      </c>
      <c r="CM124" s="427">
        <v>0</v>
      </c>
      <c r="CN124" s="372"/>
      <c r="CO124" s="419"/>
      <c r="CP124" s="423">
        <f>IFERROR(IF(LEFT($A124,3)="Lcp",SUMIFS('BASE-LCP'!$K:$K,'BASE-LCP'!$A:$A,Capex!$A115,'BASE-LCP'!$B:$B,"julho")/1000,IF(LEFT($A124,3)="icp",SUMIFS('BASE-ICP'!$K:$K,'BASE-ICP'!$A:$A,Capex!$A115,'BASE-ICP'!$B:$B,"julho")/1000,"")),"")</f>
        <v>0</v>
      </c>
      <c r="CQ124" s="427">
        <v>0</v>
      </c>
      <c r="CR124" s="372"/>
      <c r="CS124" s="419"/>
      <c r="CT124" s="423">
        <f>IFERROR(IF(LEFT($A124,3)="Lcp",SUMIFS('BASE-LCP'!$K:$K,'BASE-LCP'!$A:$A,Capex!$A115,'BASE-LCP'!$B:$B,"agosto")/1000,IF(LEFT($A124,3)="icp",SUMIFS('BASE-ICP'!$K:$K,'BASE-ICP'!$A:$A,Capex!$A115,'BASE-ICP'!$B:$B,"agosto")/1000,"")),"")</f>
        <v>0</v>
      </c>
      <c r="CU124" s="427">
        <v>0</v>
      </c>
      <c r="CV124" s="372"/>
      <c r="CW124" s="419"/>
      <c r="CX124" s="423">
        <f>IFERROR(IF(LEFT($A124,3)="Lcp",SUMIFS('BASE-LCP'!$K:$K,'BASE-LCP'!$A:$A,Capex!$A115,'BASE-LCP'!$B:$B,"setembro")/1000,IF(LEFT($A124,3)="icp",SUMIFS('BASE-ICP'!$K:$K,'BASE-ICP'!$A:$A,Capex!$A115,'BASE-ICP'!$B:$B,"setembro")/1000,"")),"")</f>
        <v>0</v>
      </c>
      <c r="CY124" s="427">
        <v>0</v>
      </c>
      <c r="CZ124" s="372"/>
      <c r="DA124" s="419"/>
      <c r="DB124" s="423">
        <f>IFERROR(IF(LEFT($A124,3)="Lcp",SUMIFS('BASE-LCP'!$K:$K,'BASE-LCP'!$A:$A,Capex!$A115,'BASE-LCP'!$B:$B,"outubro")/1000,IF(LEFT($A124,3)="icp",SUMIFS('BASE-ICP'!$K:$K,'BASE-ICP'!$A:$A,Capex!$A115,'BASE-ICP'!$B:$B,"outubro")/1000,"")),"")</f>
        <v>0</v>
      </c>
      <c r="DC124" s="427">
        <v>0</v>
      </c>
      <c r="DD124" s="372"/>
      <c r="DE124" s="419"/>
      <c r="DF124" s="423">
        <f>IFERROR(IF(LEFT($A124,3)="Lcp",SUMIFS('BASE-LCP'!$K:$K,'BASE-LCP'!$A:$A,Capex!$A115,'BASE-LCP'!$B:$B,"novembro")/1000,IF(LEFT($A124,3)="icp",SUMIFS('BASE-ICP'!$K:$K,'BASE-ICP'!$A:$A,Capex!$A115,'BASE-ICP'!$B:$B,"novembro")/1000,"")),"")</f>
        <v>0</v>
      </c>
      <c r="DG124" s="427">
        <v>0</v>
      </c>
      <c r="DH124" s="372"/>
      <c r="DI124" s="419"/>
      <c r="DJ124" s="423">
        <f>IFERROR(IF(LEFT($A124,3)="Lcp",SUMIFS('BASE-LCP'!$K:$K,'BASE-LCP'!$A:$A,Capex!$A115,'BASE-LCP'!$B:$B,"dezembro")/1000,IF(LEFT($A124,3)="icp",SUMIFS('BASE-ICP'!$K:$K,'BASE-ICP'!$A:$A,Capex!$A115,'BASE-ICP'!$B:$B,"dezembro")/1000,"")),"")</f>
        <v>0</v>
      </c>
      <c r="DK124" s="427">
        <v>0</v>
      </c>
      <c r="DL124" s="452">
        <f t="shared" si="51"/>
        <v>0</v>
      </c>
      <c r="DM124" s="374"/>
      <c r="DN124" s="374"/>
      <c r="DO124" s="374"/>
      <c r="DP124" s="374"/>
      <c r="DQ124" s="374"/>
      <c r="DR124" s="374"/>
      <c r="DS124" s="374"/>
      <c r="DT124" s="374"/>
      <c r="DU124" s="374"/>
      <c r="DV124" s="374"/>
      <c r="DW124" s="374"/>
      <c r="DX124" s="374"/>
      <c r="DY124" s="450"/>
      <c r="DZ124" s="374">
        <f t="shared" si="52"/>
        <v>0</v>
      </c>
      <c r="EA124" s="216">
        <f t="shared" si="53"/>
        <v>0</v>
      </c>
      <c r="EB124" s="320">
        <f t="shared" si="54"/>
        <v>0</v>
      </c>
      <c r="EC124" s="241">
        <f t="shared" si="55"/>
        <v>0</v>
      </c>
      <c r="ED124" s="241">
        <f t="shared" si="56"/>
        <v>0</v>
      </c>
      <c r="EE124" s="241">
        <f t="shared" si="57"/>
        <v>0</v>
      </c>
      <c r="EF124" s="241">
        <f t="shared" si="58"/>
        <v>0</v>
      </c>
      <c r="EG124" s="346">
        <f t="shared" si="59"/>
        <v>0</v>
      </c>
      <c r="EH124" s="445">
        <f t="shared" si="60"/>
        <v>0</v>
      </c>
      <c r="EI124" s="447">
        <f t="shared" si="61"/>
        <v>0</v>
      </c>
      <c r="EJ124" s="364">
        <f t="shared" si="62"/>
        <v>0</v>
      </c>
      <c r="EK124" s="365">
        <f t="shared" si="63"/>
        <v>0</v>
      </c>
      <c r="EL124" s="529">
        <f t="shared" si="64"/>
        <v>0</v>
      </c>
      <c r="EM124" s="530">
        <v>0</v>
      </c>
      <c r="EN124" s="530">
        <v>0</v>
      </c>
      <c r="EO124" s="530">
        <v>0</v>
      </c>
      <c r="EP124" s="530">
        <v>0</v>
      </c>
      <c r="EQ124" s="530">
        <v>0</v>
      </c>
      <c r="ER124" s="530">
        <v>0</v>
      </c>
      <c r="ES124" s="530">
        <v>0</v>
      </c>
      <c r="ET124" s="530">
        <v>0</v>
      </c>
      <c r="EU124" s="530">
        <v>0</v>
      </c>
      <c r="EV124" s="530">
        <v>0</v>
      </c>
      <c r="EW124" s="530">
        <v>0</v>
      </c>
      <c r="EX124" s="530">
        <v>0</v>
      </c>
      <c r="EY124" s="530">
        <f t="shared" si="65"/>
        <v>0</v>
      </c>
      <c r="EZ124" s="530">
        <f t="shared" si="66"/>
        <v>0</v>
      </c>
      <c r="FA124" s="530">
        <f t="shared" si="67"/>
        <v>0</v>
      </c>
      <c r="FB124" s="530">
        <f t="shared" si="68"/>
        <v>0</v>
      </c>
      <c r="FC124" s="384">
        <f>IFERROR(VLOOKUP(Capex!A115,BASE_558!D:R,8,FALSE)/1000,"")</f>
        <v>267.8</v>
      </c>
      <c r="FD124" s="328">
        <f>IFERROR(VLOOKUP(Capex!A115,BASE_558!D:R,9,)/1000,"")</f>
        <v>200.9049</v>
      </c>
      <c r="FE124" s="328">
        <f>IFERROR(IF(LEFT(A124,3)="LCP",(VLOOKUP(Capex!A115,BASE_558!D:R,10,)/1000),SUMIFS('BASE ICP_PO_SC'!F:F,'BASE ICP_PO_SC'!A:A,Capex!A115,'BASE ICP_PO_SC'!E:E,"&lt;&gt;")/1000),"")</f>
        <v>0</v>
      </c>
      <c r="FF124" s="328">
        <f>IFERROR(IF(LEFT(A124,3)="LCP",(VLOOKUP(Capex!A115,BASE_558!D:R,11,)/1000),SUMIFS('BASE ICP_PO_SC'!F:F,'BASE ICP_PO_SC'!A:A,Capex!A115,'BASE ICP_PO_SC'!E:E,"")/1000),"")</f>
        <v>0</v>
      </c>
      <c r="FG124" s="328">
        <f>IFERROR(VLOOKUP(A124,BASE_558!D:R,13,FALSE)/1000,"")</f>
        <v>16.617819999999998</v>
      </c>
      <c r="FH124" s="328">
        <f>IFERROR(VLOOKUP(A124,BASE_558!D:R,15,FALSE)/1000,"")</f>
        <v>128.53217999999998</v>
      </c>
      <c r="FI124" s="547">
        <f t="shared" si="69"/>
        <v>0</v>
      </c>
      <c r="FJ124" s="547">
        <f t="shared" si="70"/>
        <v>0</v>
      </c>
      <c r="FK124" s="540">
        <f t="shared" si="71"/>
        <v>0</v>
      </c>
    </row>
    <row r="125" spans="1:167" s="23" customFormat="1" ht="24" customHeight="1">
      <c r="A125" s="84" t="s">
        <v>123</v>
      </c>
      <c r="B125" s="404"/>
      <c r="C125" s="404"/>
      <c r="D125" s="338" t="s">
        <v>916</v>
      </c>
      <c r="E125" s="378">
        <v>457281</v>
      </c>
      <c r="F125" s="5"/>
      <c r="G125" s="310" t="s">
        <v>9</v>
      </c>
      <c r="H125" s="338"/>
      <c r="I125" s="338"/>
      <c r="J125" s="338">
        <v>2018</v>
      </c>
      <c r="K125" s="316">
        <v>43405</v>
      </c>
      <c r="L125" s="317">
        <v>44019</v>
      </c>
      <c r="M125" s="409"/>
      <c r="N125" s="317">
        <f t="shared" si="74"/>
        <v>44317</v>
      </c>
      <c r="O125" s="317">
        <f t="shared" si="75"/>
        <v>44682</v>
      </c>
      <c r="P125" s="418" t="str">
        <f t="shared" ref="P125:AA134" si="81">IF($N125="","N/A",IF($O125="","N/A",IF(P$2&lt;=$N125,"NÃO",IF($AJ125="REL ","SIM",IF(P$2&lt;$O125,"NÃO",IF($AJ125&lt;&gt;"CLSD","SIM","CRTD"))))))</f>
        <v>CRTD</v>
      </c>
      <c r="Q125" s="418" t="str">
        <f t="shared" si="81"/>
        <v>CRTD</v>
      </c>
      <c r="R125" s="418" t="str">
        <f t="shared" si="81"/>
        <v>CRTD</v>
      </c>
      <c r="S125" s="418" t="str">
        <f t="shared" si="81"/>
        <v>CRTD</v>
      </c>
      <c r="T125" s="418" t="str">
        <f t="shared" si="81"/>
        <v>CRTD</v>
      </c>
      <c r="U125" s="418" t="str">
        <f t="shared" si="81"/>
        <v>CRTD</v>
      </c>
      <c r="V125" s="418" t="str">
        <f t="shared" si="81"/>
        <v>CRTD</v>
      </c>
      <c r="W125" s="418" t="str">
        <f t="shared" si="81"/>
        <v>CRTD</v>
      </c>
      <c r="X125" s="418" t="str">
        <f t="shared" si="81"/>
        <v>CRTD</v>
      </c>
      <c r="Y125" s="418" t="str">
        <f t="shared" si="81"/>
        <v>CRTD</v>
      </c>
      <c r="Z125" s="418" t="str">
        <f t="shared" si="81"/>
        <v>CRTD</v>
      </c>
      <c r="AA125" s="418" t="str">
        <f t="shared" si="81"/>
        <v>CRTD</v>
      </c>
      <c r="AB125" s="317"/>
      <c r="AC125" s="309" t="s">
        <v>3932</v>
      </c>
      <c r="AD125" s="311" t="s">
        <v>223</v>
      </c>
      <c r="AE125" s="311"/>
      <c r="AF125" s="310" t="s">
        <v>6985</v>
      </c>
      <c r="AG125" s="310" t="s">
        <v>9083</v>
      </c>
      <c r="AH125" s="310" t="s">
        <v>221</v>
      </c>
      <c r="AI125" s="309" t="s">
        <v>186</v>
      </c>
      <c r="AJ125" s="6" t="s">
        <v>218</v>
      </c>
      <c r="AK125" s="6" t="str">
        <f t="shared" si="49"/>
        <v>IGUAL</v>
      </c>
      <c r="AL125" s="151" t="str">
        <f>IFERROR(IF(LEFT(A125,3)="LCP",VLOOKUP(A125,STATUS_SAP_LCP!B:C,2,FALSE),VLOOKUP(A125,STATUS_SAP_ICP!B:C,2,FALSE)),"NO BUDGET")</f>
        <v>CLSD BUDG AUC  AVAC  //  APPR BREL EXPL</v>
      </c>
      <c r="AM125" s="6" t="str">
        <f t="shared" si="48"/>
        <v>CLSD</v>
      </c>
      <c r="AN125" s="282" t="s">
        <v>9091</v>
      </c>
      <c r="AO125" s="493">
        <v>1</v>
      </c>
      <c r="AP125" s="499" t="s">
        <v>9607</v>
      </c>
      <c r="AQ125" s="465">
        <v>44019</v>
      </c>
      <c r="AR125" s="460"/>
      <c r="AS125" s="56">
        <v>100.49417791974089</v>
      </c>
      <c r="AT125" s="185">
        <v>1.0650200000000001</v>
      </c>
      <c r="AU125" s="318">
        <v>0</v>
      </c>
      <c r="AV125" s="223">
        <v>0</v>
      </c>
      <c r="AW125" s="318">
        <v>0</v>
      </c>
      <c r="AX125" s="223">
        <v>0</v>
      </c>
      <c r="AY125" s="318">
        <f t="shared" si="76"/>
        <v>0</v>
      </c>
      <c r="AZ125" s="223"/>
      <c r="BA125" s="318"/>
      <c r="BB125" s="519">
        <f t="shared" si="77"/>
        <v>0</v>
      </c>
      <c r="BC125" s="518"/>
      <c r="BD125" s="518"/>
      <c r="BE125" s="518"/>
      <c r="BF125" s="518"/>
      <c r="BG125" s="518"/>
      <c r="BH125" s="518"/>
      <c r="BI125" s="518"/>
      <c r="BJ125" s="518"/>
      <c r="BK125" s="518"/>
      <c r="BL125" s="518"/>
      <c r="BM125" s="518"/>
      <c r="BN125" s="518"/>
      <c r="BO125" s="367">
        <f t="shared" si="50"/>
        <v>0</v>
      </c>
      <c r="BP125" s="421"/>
      <c r="BQ125" s="422"/>
      <c r="BR125" s="423">
        <f>IFERROR(IF(LEFT($A125,3)="Lcp",SUMIFS('BASE-LCP'!$K:$K,'BASE-LCP'!$A:$A,Capex!$A116,'BASE-LCP'!$B:$B,"janeiro")/1000,IF(LEFT($A125,3)="icp",SUMIFS('BASE-ICP'!$K:$K,'BASE-ICP'!$A:$A,Capex!$A116,'BASE-ICP'!$B:$B,"janeiro")/1000,"")),"")</f>
        <v>0</v>
      </c>
      <c r="BS125" s="427">
        <v>0</v>
      </c>
      <c r="BT125" s="372">
        <v>0</v>
      </c>
      <c r="BU125" s="422"/>
      <c r="BV125" s="423">
        <f>IFERROR(IF(LEFT($A125,3)="Lcp",SUMIFS('BASE-LCP'!$K:$K,'BASE-LCP'!$A:$A,Capex!$A116,'BASE-LCP'!$B:$B,"fevereiro")/1000,IF(LEFT($A125,3)="icp",SUMIFS('BASE-ICP'!$K:$K,'BASE-ICP'!$A:$A,Capex!$A116,'BASE-ICP'!$B:$B,"fevereiro")/1000,"")),"")</f>
        <v>0</v>
      </c>
      <c r="BW125" s="427">
        <v>0</v>
      </c>
      <c r="BX125" s="372">
        <v>0</v>
      </c>
      <c r="BY125" s="419"/>
      <c r="BZ125" s="423">
        <f>IFERROR(IF(LEFT($A125,3)="Lcp",SUMIFS('BASE-LCP'!$K:$K,'BASE-LCP'!$A:$A,Capex!$A116,'BASE-LCP'!$B:$B,"março")/1000,IF(LEFT($A125,3)="icp",SUMIFS('BASE-ICP'!$K:$K,'BASE-ICP'!$A:$A,Capex!$A116,'BASE-ICP'!$B:$B,"março")/1000,"")),"")</f>
        <v>0</v>
      </c>
      <c r="CA125" s="427">
        <v>0</v>
      </c>
      <c r="CB125" s="372">
        <v>0</v>
      </c>
      <c r="CC125" s="422"/>
      <c r="CD125" s="423">
        <f>IFERROR(IF(LEFT($A125,3)="Lcp",SUMIFS('BASE-LCP'!$K:$K,'BASE-LCP'!$A:$A,Capex!$A116,'BASE-LCP'!$B:$B,"abril")/1000,IF(LEFT($A125,3)="icp",SUMIFS('BASE-ICP'!$K:$K,'BASE-ICP'!$A:$A,Capex!$A116,'BASE-ICP'!$B:$B,"abril")/1000,"")),"")</f>
        <v>0</v>
      </c>
      <c r="CE125" s="427">
        <v>0</v>
      </c>
      <c r="CF125" s="372">
        <v>0</v>
      </c>
      <c r="CG125" s="419"/>
      <c r="CH125" s="423">
        <v>0</v>
      </c>
      <c r="CI125" s="427">
        <v>0</v>
      </c>
      <c r="CJ125" s="372">
        <v>0</v>
      </c>
      <c r="CK125" s="419"/>
      <c r="CL125" s="423">
        <f>IFERROR(IF(LEFT($A125,3)="Lcp",SUMIFS('BASE-LCP'!$K:$K,'BASE-LCP'!$A:$A,Capex!$A116,'BASE-LCP'!$B:$B,"junho")/1000,IF(LEFT($A125,3)="icp",SUMIFS('BASE-ICP'!$K:$K,'BASE-ICP'!$A:$A,Capex!$A116,'BASE-ICP'!$B:$B,"junho")/1000,"")),"")</f>
        <v>0</v>
      </c>
      <c r="CM125" s="427">
        <v>0</v>
      </c>
      <c r="CN125" s="372"/>
      <c r="CO125" s="419"/>
      <c r="CP125" s="423">
        <f>IFERROR(IF(LEFT($A125,3)="Lcp",SUMIFS('BASE-LCP'!$K:$K,'BASE-LCP'!$A:$A,Capex!$A116,'BASE-LCP'!$B:$B,"julho")/1000,IF(LEFT($A125,3)="icp",SUMIFS('BASE-ICP'!$K:$K,'BASE-ICP'!$A:$A,Capex!$A116,'BASE-ICP'!$B:$B,"julho")/1000,"")),"")</f>
        <v>0</v>
      </c>
      <c r="CQ125" s="427">
        <v>0</v>
      </c>
      <c r="CR125" s="372"/>
      <c r="CS125" s="419"/>
      <c r="CT125" s="423">
        <f>IFERROR(IF(LEFT($A125,3)="Lcp",SUMIFS('BASE-LCP'!$K:$K,'BASE-LCP'!$A:$A,Capex!$A116,'BASE-LCP'!$B:$B,"agosto")/1000,IF(LEFT($A125,3)="icp",SUMIFS('BASE-ICP'!$K:$K,'BASE-ICP'!$A:$A,Capex!$A116,'BASE-ICP'!$B:$B,"agosto")/1000,"")),"")</f>
        <v>0</v>
      </c>
      <c r="CU125" s="427">
        <v>0</v>
      </c>
      <c r="CV125" s="372"/>
      <c r="CW125" s="419"/>
      <c r="CX125" s="423">
        <f>IFERROR(IF(LEFT($A125,3)="Lcp",SUMIFS('BASE-LCP'!$K:$K,'BASE-LCP'!$A:$A,Capex!$A116,'BASE-LCP'!$B:$B,"setembro")/1000,IF(LEFT($A125,3)="icp",SUMIFS('BASE-ICP'!$K:$K,'BASE-ICP'!$A:$A,Capex!$A116,'BASE-ICP'!$B:$B,"setembro")/1000,"")),"")</f>
        <v>0</v>
      </c>
      <c r="CY125" s="427">
        <v>0</v>
      </c>
      <c r="CZ125" s="372"/>
      <c r="DA125" s="419"/>
      <c r="DB125" s="423">
        <f>IFERROR(IF(LEFT($A125,3)="Lcp",SUMIFS('BASE-LCP'!$K:$K,'BASE-LCP'!$A:$A,Capex!$A116,'BASE-LCP'!$B:$B,"outubro")/1000,IF(LEFT($A125,3)="icp",SUMIFS('BASE-ICP'!$K:$K,'BASE-ICP'!$A:$A,Capex!$A116,'BASE-ICP'!$B:$B,"outubro")/1000,"")),"")</f>
        <v>0</v>
      </c>
      <c r="DC125" s="427">
        <v>0</v>
      </c>
      <c r="DD125" s="372"/>
      <c r="DE125" s="419"/>
      <c r="DF125" s="423">
        <f>IFERROR(IF(LEFT($A125,3)="Lcp",SUMIFS('BASE-LCP'!$K:$K,'BASE-LCP'!$A:$A,Capex!$A116,'BASE-LCP'!$B:$B,"novembro")/1000,IF(LEFT($A125,3)="icp",SUMIFS('BASE-ICP'!$K:$K,'BASE-ICP'!$A:$A,Capex!$A116,'BASE-ICP'!$B:$B,"novembro")/1000,"")),"")</f>
        <v>0</v>
      </c>
      <c r="DG125" s="427">
        <v>0</v>
      </c>
      <c r="DH125" s="372"/>
      <c r="DI125" s="419"/>
      <c r="DJ125" s="423">
        <f>IFERROR(IF(LEFT($A125,3)="Lcp",SUMIFS('BASE-LCP'!$K:$K,'BASE-LCP'!$A:$A,Capex!$A116,'BASE-LCP'!$B:$B,"dezembro")/1000,IF(LEFT($A125,3)="icp",SUMIFS('BASE-ICP'!$K:$K,'BASE-ICP'!$A:$A,Capex!$A116,'BASE-ICP'!$B:$B,"dezembro")/1000,"")),"")</f>
        <v>0</v>
      </c>
      <c r="DK125" s="427">
        <v>0</v>
      </c>
      <c r="DL125" s="452">
        <f t="shared" si="51"/>
        <v>0</v>
      </c>
      <c r="DM125" s="374"/>
      <c r="DN125" s="374"/>
      <c r="DO125" s="374"/>
      <c r="DP125" s="374"/>
      <c r="DQ125" s="374"/>
      <c r="DR125" s="374"/>
      <c r="DS125" s="374"/>
      <c r="DT125" s="374"/>
      <c r="DU125" s="374"/>
      <c r="DV125" s="374"/>
      <c r="DW125" s="374"/>
      <c r="DX125" s="374"/>
      <c r="DY125" s="450"/>
      <c r="DZ125" s="374">
        <f t="shared" si="52"/>
        <v>0</v>
      </c>
      <c r="EA125" s="216">
        <f t="shared" si="53"/>
        <v>0</v>
      </c>
      <c r="EB125" s="320">
        <f t="shared" si="54"/>
        <v>0</v>
      </c>
      <c r="EC125" s="241">
        <f t="shared" si="55"/>
        <v>0</v>
      </c>
      <c r="ED125" s="241">
        <f t="shared" si="56"/>
        <v>0</v>
      </c>
      <c r="EE125" s="241">
        <f t="shared" si="57"/>
        <v>0</v>
      </c>
      <c r="EF125" s="241">
        <f t="shared" si="58"/>
        <v>0</v>
      </c>
      <c r="EG125" s="346">
        <f t="shared" si="59"/>
        <v>0</v>
      </c>
      <c r="EH125" s="445">
        <f t="shared" si="60"/>
        <v>0</v>
      </c>
      <c r="EI125" s="447">
        <f t="shared" si="61"/>
        <v>0</v>
      </c>
      <c r="EJ125" s="364">
        <f t="shared" si="62"/>
        <v>0</v>
      </c>
      <c r="EK125" s="365">
        <f t="shared" si="63"/>
        <v>0</v>
      </c>
      <c r="EL125" s="529">
        <f t="shared" si="64"/>
        <v>0</v>
      </c>
      <c r="EM125" s="530">
        <v>0</v>
      </c>
      <c r="EN125" s="530">
        <v>0</v>
      </c>
      <c r="EO125" s="530">
        <v>0</v>
      </c>
      <c r="EP125" s="530">
        <v>0</v>
      </c>
      <c r="EQ125" s="530">
        <v>0</v>
      </c>
      <c r="ER125" s="530">
        <v>0</v>
      </c>
      <c r="ES125" s="530">
        <v>0</v>
      </c>
      <c r="ET125" s="530">
        <v>0</v>
      </c>
      <c r="EU125" s="530">
        <v>0</v>
      </c>
      <c r="EV125" s="530">
        <v>0</v>
      </c>
      <c r="EW125" s="530">
        <v>0</v>
      </c>
      <c r="EX125" s="530">
        <v>0</v>
      </c>
      <c r="EY125" s="530">
        <f t="shared" si="65"/>
        <v>0</v>
      </c>
      <c r="EZ125" s="530">
        <f t="shared" si="66"/>
        <v>0</v>
      </c>
      <c r="FA125" s="530">
        <f t="shared" si="67"/>
        <v>0</v>
      </c>
      <c r="FB125" s="530">
        <f t="shared" si="68"/>
        <v>0</v>
      </c>
      <c r="FC125" s="384">
        <f>IFERROR(VLOOKUP(Capex!A116,BASE_558!D:R,8,FALSE)/1000,"")</f>
        <v>329.75</v>
      </c>
      <c r="FD125" s="328">
        <f>IFERROR(VLOOKUP(Capex!A116,BASE_558!D:R,9,)/1000,"")</f>
        <v>328.54374999999999</v>
      </c>
      <c r="FE125" s="328">
        <f>IFERROR(IF(LEFT(A125,3)="LCP",(VLOOKUP(Capex!A116,BASE_558!D:R,10,)/1000),SUMIFS('BASE ICP_PO_SC'!F:F,'BASE ICP_PO_SC'!A:A,Capex!A116,'BASE ICP_PO_SC'!E:E,"&lt;&gt;")/1000),"")</f>
        <v>0</v>
      </c>
      <c r="FF125" s="328">
        <f>IFERROR(IF(LEFT(A125,3)="LCP",(VLOOKUP(Capex!A116,BASE_558!D:R,11,)/1000),SUMIFS('BASE ICP_PO_SC'!F:F,'BASE ICP_PO_SC'!A:A,Capex!A116,'BASE ICP_PO_SC'!E:E,"")/1000),"")</f>
        <v>0</v>
      </c>
      <c r="FG125" s="328">
        <f>IFERROR(VLOOKUP(A125,BASE_558!D:R,13,FALSE)/1000,"")</f>
        <v>102.42585000000001</v>
      </c>
      <c r="FH125" s="328">
        <f>IFERROR(VLOOKUP(A125,BASE_558!D:R,15,FALSE)/1000,"")</f>
        <v>6.5741499999999995</v>
      </c>
      <c r="FI125" s="547">
        <f t="shared" si="69"/>
        <v>0</v>
      </c>
      <c r="FJ125" s="547">
        <f t="shared" si="70"/>
        <v>0</v>
      </c>
      <c r="FK125" s="540">
        <f t="shared" si="71"/>
        <v>0</v>
      </c>
    </row>
    <row r="126" spans="1:167" s="23" customFormat="1" ht="24" customHeight="1">
      <c r="A126" s="84" t="s">
        <v>85</v>
      </c>
      <c r="B126" s="404"/>
      <c r="C126" s="404"/>
      <c r="D126" s="338" t="s">
        <v>1264</v>
      </c>
      <c r="E126" s="378"/>
      <c r="F126" s="5"/>
      <c r="G126" s="310" t="s">
        <v>9</v>
      </c>
      <c r="H126" s="338"/>
      <c r="I126" s="338"/>
      <c r="J126" s="338">
        <v>2018</v>
      </c>
      <c r="K126" s="316">
        <v>43335</v>
      </c>
      <c r="L126" s="317">
        <v>43588</v>
      </c>
      <c r="M126" s="409"/>
      <c r="N126" s="317">
        <f t="shared" si="74"/>
        <v>44247</v>
      </c>
      <c r="O126" s="317">
        <f t="shared" si="75"/>
        <v>44612</v>
      </c>
      <c r="P126" s="418" t="str">
        <f t="shared" si="81"/>
        <v>CRTD</v>
      </c>
      <c r="Q126" s="418" t="str">
        <f t="shared" si="81"/>
        <v>CRTD</v>
      </c>
      <c r="R126" s="418" t="str">
        <f t="shared" si="81"/>
        <v>CRTD</v>
      </c>
      <c r="S126" s="418" t="str">
        <f t="shared" si="81"/>
        <v>CRTD</v>
      </c>
      <c r="T126" s="418" t="str">
        <f t="shared" si="81"/>
        <v>CRTD</v>
      </c>
      <c r="U126" s="418" t="str">
        <f t="shared" si="81"/>
        <v>CRTD</v>
      </c>
      <c r="V126" s="418" t="str">
        <f t="shared" si="81"/>
        <v>CRTD</v>
      </c>
      <c r="W126" s="418" t="str">
        <f t="shared" si="81"/>
        <v>CRTD</v>
      </c>
      <c r="X126" s="418" t="str">
        <f t="shared" si="81"/>
        <v>CRTD</v>
      </c>
      <c r="Y126" s="418" t="str">
        <f t="shared" si="81"/>
        <v>CRTD</v>
      </c>
      <c r="Z126" s="418" t="str">
        <f t="shared" si="81"/>
        <v>CRTD</v>
      </c>
      <c r="AA126" s="418" t="str">
        <f t="shared" si="81"/>
        <v>CRTD</v>
      </c>
      <c r="AB126" s="317"/>
      <c r="AC126" s="309" t="s">
        <v>3930</v>
      </c>
      <c r="AD126" s="311"/>
      <c r="AE126" s="311"/>
      <c r="AF126" s="310" t="s">
        <v>6985</v>
      </c>
      <c r="AG126" s="310" t="s">
        <v>9083</v>
      </c>
      <c r="AH126" s="310" t="s">
        <v>2819</v>
      </c>
      <c r="AI126" s="381" t="s">
        <v>188</v>
      </c>
      <c r="AJ126" s="6" t="s">
        <v>218</v>
      </c>
      <c r="AK126" s="6" t="str">
        <f t="shared" si="49"/>
        <v>IGUAL</v>
      </c>
      <c r="AL126" s="151" t="str">
        <f>IFERROR(IF(LEFT(A126,3)="LCP",VLOOKUP(A126,STATUS_SAP_LCP!B:C,2,FALSE),VLOOKUP(A126,STATUS_SAP_ICP!B:C,2,FALSE)),"NO BUDGET")</f>
        <v>CLSD BUDG AUC  AVAC  //  APPR BREL EXPL</v>
      </c>
      <c r="AM126" s="6" t="str">
        <f t="shared" si="48"/>
        <v>CLSD</v>
      </c>
      <c r="AN126" s="282" t="s">
        <v>9087</v>
      </c>
      <c r="AO126" s="493">
        <v>1</v>
      </c>
      <c r="AP126" s="499" t="s">
        <v>9607</v>
      </c>
      <c r="AQ126" s="465">
        <v>43588</v>
      </c>
      <c r="AR126" s="460"/>
      <c r="AS126" s="56">
        <v>-0.73</v>
      </c>
      <c r="AT126" s="185">
        <v>0</v>
      </c>
      <c r="AU126" s="318">
        <v>0</v>
      </c>
      <c r="AV126" s="223">
        <v>0</v>
      </c>
      <c r="AW126" s="318">
        <v>0</v>
      </c>
      <c r="AX126" s="223">
        <v>0</v>
      </c>
      <c r="AY126" s="318">
        <f t="shared" si="76"/>
        <v>0</v>
      </c>
      <c r="AZ126" s="223"/>
      <c r="BA126" s="318"/>
      <c r="BB126" s="519">
        <f t="shared" si="77"/>
        <v>0</v>
      </c>
      <c r="BC126" s="518"/>
      <c r="BD126" s="518"/>
      <c r="BE126" s="518"/>
      <c r="BF126" s="518"/>
      <c r="BG126" s="518"/>
      <c r="BH126" s="518"/>
      <c r="BI126" s="518"/>
      <c r="BJ126" s="518"/>
      <c r="BK126" s="518"/>
      <c r="BL126" s="518"/>
      <c r="BM126" s="518"/>
      <c r="BN126" s="518"/>
      <c r="BO126" s="367">
        <f t="shared" si="50"/>
        <v>0</v>
      </c>
      <c r="BP126" s="421"/>
      <c r="BQ126" s="422"/>
      <c r="BR126" s="423">
        <f>IFERROR(IF(LEFT($A126,3)="Lcp",SUMIFS('BASE-LCP'!$K:$K,'BASE-LCP'!$A:$A,Capex!$A117,'BASE-LCP'!$B:$B,"janeiro")/1000,IF(LEFT($A126,3)="icp",SUMIFS('BASE-ICP'!$K:$K,'BASE-ICP'!$A:$A,Capex!$A117,'BASE-ICP'!$B:$B,"janeiro")/1000,"")),"")</f>
        <v>0</v>
      </c>
      <c r="BS126" s="427">
        <v>0</v>
      </c>
      <c r="BT126" s="372">
        <v>0</v>
      </c>
      <c r="BU126" s="422"/>
      <c r="BV126" s="423">
        <f>IFERROR(IF(LEFT($A126,3)="Lcp",SUMIFS('BASE-LCP'!$K:$K,'BASE-LCP'!$A:$A,Capex!$A117,'BASE-LCP'!$B:$B,"fevereiro")/1000,IF(LEFT($A126,3)="icp",SUMIFS('BASE-ICP'!$K:$K,'BASE-ICP'!$A:$A,Capex!$A117,'BASE-ICP'!$B:$B,"fevereiro")/1000,"")),"")</f>
        <v>0</v>
      </c>
      <c r="BW126" s="427">
        <v>0</v>
      </c>
      <c r="BX126" s="372">
        <v>0</v>
      </c>
      <c r="BY126" s="419"/>
      <c r="BZ126" s="423">
        <f>IFERROR(IF(LEFT($A126,3)="Lcp",SUMIFS('BASE-LCP'!$K:$K,'BASE-LCP'!$A:$A,Capex!$A117,'BASE-LCP'!$B:$B,"março")/1000,IF(LEFT($A126,3)="icp",SUMIFS('BASE-ICP'!$K:$K,'BASE-ICP'!$A:$A,Capex!$A117,'BASE-ICP'!$B:$B,"março")/1000,"")),"")</f>
        <v>0</v>
      </c>
      <c r="CA126" s="427">
        <v>0</v>
      </c>
      <c r="CB126" s="372">
        <v>0</v>
      </c>
      <c r="CC126" s="422"/>
      <c r="CD126" s="423">
        <f>IFERROR(IF(LEFT($A126,3)="Lcp",SUMIFS('BASE-LCP'!$K:$K,'BASE-LCP'!$A:$A,Capex!$A117,'BASE-LCP'!$B:$B,"abril")/1000,IF(LEFT($A126,3)="icp",SUMIFS('BASE-ICP'!$K:$K,'BASE-ICP'!$A:$A,Capex!$A117,'BASE-ICP'!$B:$B,"abril")/1000,"")),"")</f>
        <v>0</v>
      </c>
      <c r="CE126" s="427">
        <v>0</v>
      </c>
      <c r="CF126" s="372">
        <v>0</v>
      </c>
      <c r="CG126" s="419"/>
      <c r="CH126" s="423">
        <v>0</v>
      </c>
      <c r="CI126" s="427">
        <v>0</v>
      </c>
      <c r="CJ126" s="372">
        <v>0</v>
      </c>
      <c r="CK126" s="419"/>
      <c r="CL126" s="423">
        <f>IFERROR(IF(LEFT($A126,3)="Lcp",SUMIFS('BASE-LCP'!$K:$K,'BASE-LCP'!$A:$A,Capex!$A117,'BASE-LCP'!$B:$B,"junho")/1000,IF(LEFT($A126,3)="icp",SUMIFS('BASE-ICP'!$K:$K,'BASE-ICP'!$A:$A,Capex!$A117,'BASE-ICP'!$B:$B,"junho")/1000,"")),"")</f>
        <v>0</v>
      </c>
      <c r="CM126" s="427">
        <v>0</v>
      </c>
      <c r="CN126" s="372"/>
      <c r="CO126" s="419"/>
      <c r="CP126" s="423">
        <f>IFERROR(IF(LEFT($A126,3)="Lcp",SUMIFS('BASE-LCP'!$K:$K,'BASE-LCP'!$A:$A,Capex!$A117,'BASE-LCP'!$B:$B,"julho")/1000,IF(LEFT($A126,3)="icp",SUMIFS('BASE-ICP'!$K:$K,'BASE-ICP'!$A:$A,Capex!$A117,'BASE-ICP'!$B:$B,"julho")/1000,"")),"")</f>
        <v>0</v>
      </c>
      <c r="CQ126" s="427">
        <v>0</v>
      </c>
      <c r="CR126" s="372"/>
      <c r="CS126" s="419"/>
      <c r="CT126" s="423">
        <f>IFERROR(IF(LEFT($A126,3)="Lcp",SUMIFS('BASE-LCP'!$K:$K,'BASE-LCP'!$A:$A,Capex!$A117,'BASE-LCP'!$B:$B,"agosto")/1000,IF(LEFT($A126,3)="icp",SUMIFS('BASE-ICP'!$K:$K,'BASE-ICP'!$A:$A,Capex!$A117,'BASE-ICP'!$B:$B,"agosto")/1000,"")),"")</f>
        <v>0</v>
      </c>
      <c r="CU126" s="427">
        <v>0</v>
      </c>
      <c r="CV126" s="372"/>
      <c r="CW126" s="419"/>
      <c r="CX126" s="423">
        <f>IFERROR(IF(LEFT($A126,3)="Lcp",SUMIFS('BASE-LCP'!$K:$K,'BASE-LCP'!$A:$A,Capex!$A117,'BASE-LCP'!$B:$B,"setembro")/1000,IF(LEFT($A126,3)="icp",SUMIFS('BASE-ICP'!$K:$K,'BASE-ICP'!$A:$A,Capex!$A117,'BASE-ICP'!$B:$B,"setembro")/1000,"")),"")</f>
        <v>0</v>
      </c>
      <c r="CY126" s="427">
        <v>0</v>
      </c>
      <c r="CZ126" s="372"/>
      <c r="DA126" s="419"/>
      <c r="DB126" s="423">
        <f>IFERROR(IF(LEFT($A126,3)="Lcp",SUMIFS('BASE-LCP'!$K:$K,'BASE-LCP'!$A:$A,Capex!$A117,'BASE-LCP'!$B:$B,"outubro")/1000,IF(LEFT($A126,3)="icp",SUMIFS('BASE-ICP'!$K:$K,'BASE-ICP'!$A:$A,Capex!$A117,'BASE-ICP'!$B:$B,"outubro")/1000,"")),"")</f>
        <v>0</v>
      </c>
      <c r="DC126" s="427">
        <v>0</v>
      </c>
      <c r="DD126" s="372"/>
      <c r="DE126" s="419"/>
      <c r="DF126" s="423">
        <f>IFERROR(IF(LEFT($A126,3)="Lcp",SUMIFS('BASE-LCP'!$K:$K,'BASE-LCP'!$A:$A,Capex!$A117,'BASE-LCP'!$B:$B,"novembro")/1000,IF(LEFT($A126,3)="icp",SUMIFS('BASE-ICP'!$K:$K,'BASE-ICP'!$A:$A,Capex!$A117,'BASE-ICP'!$B:$B,"novembro")/1000,"")),"")</f>
        <v>0</v>
      </c>
      <c r="DG126" s="427">
        <v>0</v>
      </c>
      <c r="DH126" s="372"/>
      <c r="DI126" s="419"/>
      <c r="DJ126" s="423">
        <f>IFERROR(IF(LEFT($A126,3)="Lcp",SUMIFS('BASE-LCP'!$K:$K,'BASE-LCP'!$A:$A,Capex!$A117,'BASE-LCP'!$B:$B,"dezembro")/1000,IF(LEFT($A126,3)="icp",SUMIFS('BASE-ICP'!$K:$K,'BASE-ICP'!$A:$A,Capex!$A117,'BASE-ICP'!$B:$B,"dezembro")/1000,"")),"")</f>
        <v>0</v>
      </c>
      <c r="DK126" s="427">
        <v>0</v>
      </c>
      <c r="DL126" s="452">
        <f t="shared" si="51"/>
        <v>0</v>
      </c>
      <c r="DM126" s="374"/>
      <c r="DN126" s="374"/>
      <c r="DO126" s="374"/>
      <c r="DP126" s="374"/>
      <c r="DQ126" s="374"/>
      <c r="DR126" s="374"/>
      <c r="DS126" s="374"/>
      <c r="DT126" s="374"/>
      <c r="DU126" s="374"/>
      <c r="DV126" s="374"/>
      <c r="DW126" s="374"/>
      <c r="DX126" s="374"/>
      <c r="DY126" s="450"/>
      <c r="DZ126" s="374">
        <f t="shared" si="52"/>
        <v>0</v>
      </c>
      <c r="EA126" s="216">
        <f t="shared" si="53"/>
        <v>0</v>
      </c>
      <c r="EB126" s="320">
        <f t="shared" si="54"/>
        <v>0</v>
      </c>
      <c r="EC126" s="241">
        <f t="shared" si="55"/>
        <v>0</v>
      </c>
      <c r="ED126" s="241">
        <f t="shared" si="56"/>
        <v>0</v>
      </c>
      <c r="EE126" s="241">
        <f t="shared" si="57"/>
        <v>0</v>
      </c>
      <c r="EF126" s="241">
        <f t="shared" si="58"/>
        <v>0</v>
      </c>
      <c r="EG126" s="346">
        <f t="shared" si="59"/>
        <v>0</v>
      </c>
      <c r="EH126" s="445">
        <f t="shared" si="60"/>
        <v>0</v>
      </c>
      <c r="EI126" s="447">
        <f t="shared" si="61"/>
        <v>0</v>
      </c>
      <c r="EJ126" s="364">
        <f t="shared" si="62"/>
        <v>0</v>
      </c>
      <c r="EK126" s="365">
        <f t="shared" si="63"/>
        <v>0</v>
      </c>
      <c r="EL126" s="529">
        <f t="shared" si="64"/>
        <v>0</v>
      </c>
      <c r="EM126" s="530">
        <v>0</v>
      </c>
      <c r="EN126" s="530">
        <v>0</v>
      </c>
      <c r="EO126" s="530">
        <v>0</v>
      </c>
      <c r="EP126" s="530">
        <v>0</v>
      </c>
      <c r="EQ126" s="530">
        <v>0</v>
      </c>
      <c r="ER126" s="530">
        <v>0</v>
      </c>
      <c r="ES126" s="530">
        <v>0</v>
      </c>
      <c r="ET126" s="530">
        <v>0</v>
      </c>
      <c r="EU126" s="530">
        <v>0</v>
      </c>
      <c r="EV126" s="530">
        <v>0</v>
      </c>
      <c r="EW126" s="530">
        <v>0</v>
      </c>
      <c r="EX126" s="530">
        <v>0</v>
      </c>
      <c r="EY126" s="530">
        <f t="shared" si="65"/>
        <v>0</v>
      </c>
      <c r="EZ126" s="530">
        <f t="shared" si="66"/>
        <v>0</v>
      </c>
      <c r="FA126" s="530">
        <f t="shared" si="67"/>
        <v>0</v>
      </c>
      <c r="FB126" s="530">
        <f t="shared" si="68"/>
        <v>0</v>
      </c>
      <c r="FC126" s="384">
        <f>IFERROR(VLOOKUP(Capex!A117,BASE_558!D:R,8,FALSE)/1000,"")</f>
        <v>338.57531</v>
      </c>
      <c r="FD126" s="328">
        <f>IFERROR(VLOOKUP(Capex!A117,BASE_558!D:R,9,)/1000,"")</f>
        <v>338.57531</v>
      </c>
      <c r="FE126" s="328">
        <f>IFERROR(IF(LEFT(A126,3)="LCP",(VLOOKUP(Capex!A117,BASE_558!D:R,10,)/1000),SUMIFS('BASE ICP_PO_SC'!F:F,'BASE ICP_PO_SC'!A:A,Capex!A117,'BASE ICP_PO_SC'!E:E,"&lt;&gt;")/1000),"")</f>
        <v>0</v>
      </c>
      <c r="FF126" s="328">
        <f>IFERROR(IF(LEFT(A126,3)="LCP",(VLOOKUP(Capex!A117,BASE_558!D:R,11,)/1000),SUMIFS('BASE ICP_PO_SC'!F:F,'BASE ICP_PO_SC'!A:A,Capex!A117,'BASE ICP_PO_SC'!E:E,"")/1000),"")</f>
        <v>0</v>
      </c>
      <c r="FG126" s="328">
        <f>IFERROR(VLOOKUP(A126,BASE_558!D:R,13,FALSE)/1000,"")</f>
        <v>23.357099999999999</v>
      </c>
      <c r="FH126" s="328">
        <f>IFERROR(VLOOKUP(A126,BASE_558!D:R,15,FALSE)/1000,"")</f>
        <v>51.142900000000004</v>
      </c>
      <c r="FI126" s="547">
        <f t="shared" si="69"/>
        <v>0</v>
      </c>
      <c r="FJ126" s="547">
        <f t="shared" si="70"/>
        <v>0</v>
      </c>
      <c r="FK126" s="540">
        <f t="shared" si="71"/>
        <v>0</v>
      </c>
    </row>
    <row r="127" spans="1:167" s="23" customFormat="1" ht="24" customHeight="1">
      <c r="A127" s="84" t="s">
        <v>129</v>
      </c>
      <c r="B127" s="404"/>
      <c r="C127" s="404"/>
      <c r="D127" s="338" t="s">
        <v>887</v>
      </c>
      <c r="E127" s="378">
        <v>2252277</v>
      </c>
      <c r="F127" s="5"/>
      <c r="G127" s="310" t="s">
        <v>9</v>
      </c>
      <c r="H127" s="338"/>
      <c r="I127" s="338"/>
      <c r="J127" s="338">
        <v>2018</v>
      </c>
      <c r="K127" s="316">
        <v>43352</v>
      </c>
      <c r="L127" s="317">
        <v>44375</v>
      </c>
      <c r="M127" s="409"/>
      <c r="N127" s="317">
        <f t="shared" si="74"/>
        <v>44264</v>
      </c>
      <c r="O127" s="317">
        <f t="shared" si="75"/>
        <v>44629</v>
      </c>
      <c r="P127" s="418" t="str">
        <f t="shared" si="81"/>
        <v>CRTD</v>
      </c>
      <c r="Q127" s="418" t="str">
        <f t="shared" si="81"/>
        <v>CRTD</v>
      </c>
      <c r="R127" s="418" t="str">
        <f t="shared" si="81"/>
        <v>CRTD</v>
      </c>
      <c r="S127" s="418" t="str">
        <f t="shared" si="81"/>
        <v>CRTD</v>
      </c>
      <c r="T127" s="418" t="str">
        <f t="shared" si="81"/>
        <v>CRTD</v>
      </c>
      <c r="U127" s="418" t="str">
        <f t="shared" si="81"/>
        <v>CRTD</v>
      </c>
      <c r="V127" s="418" t="str">
        <f t="shared" si="81"/>
        <v>CRTD</v>
      </c>
      <c r="W127" s="418" t="str">
        <f t="shared" si="81"/>
        <v>CRTD</v>
      </c>
      <c r="X127" s="418" t="str">
        <f t="shared" si="81"/>
        <v>CRTD</v>
      </c>
      <c r="Y127" s="418" t="str">
        <f t="shared" si="81"/>
        <v>CRTD</v>
      </c>
      <c r="Z127" s="418" t="str">
        <f t="shared" si="81"/>
        <v>CRTD</v>
      </c>
      <c r="AA127" s="418" t="str">
        <f t="shared" si="81"/>
        <v>CRTD</v>
      </c>
      <c r="AB127" s="317"/>
      <c r="AC127" s="309" t="s">
        <v>3932</v>
      </c>
      <c r="AD127" s="311" t="s">
        <v>5</v>
      </c>
      <c r="AE127" s="311" t="s">
        <v>961</v>
      </c>
      <c r="AF127" s="310" t="s">
        <v>6985</v>
      </c>
      <c r="AG127" s="310" t="s">
        <v>9083</v>
      </c>
      <c r="AH127" s="310" t="s">
        <v>130</v>
      </c>
      <c r="AI127" s="309" t="s">
        <v>316</v>
      </c>
      <c r="AJ127" s="6" t="s">
        <v>218</v>
      </c>
      <c r="AK127" s="6" t="str">
        <f t="shared" si="49"/>
        <v>IGUAL</v>
      </c>
      <c r="AL127" s="151" t="str">
        <f>IFERROR(IF(LEFT(A127,3)="LCP",VLOOKUP(A127,STATUS_SAP_LCP!B:C,2,FALSE),VLOOKUP(A127,STATUS_SAP_ICP!B:C,2,FALSE)),"NO BUDGET")</f>
        <v>CLSD BUDG AUC  AVAC SETC  //  APPR BREL EXPL</v>
      </c>
      <c r="AM127" s="6" t="str">
        <f t="shared" si="48"/>
        <v>CLSD</v>
      </c>
      <c r="AN127" s="282" t="s">
        <v>9090</v>
      </c>
      <c r="AO127" s="562">
        <v>1</v>
      </c>
      <c r="AP127" s="499" t="s">
        <v>9607</v>
      </c>
      <c r="AQ127" s="465">
        <v>44375</v>
      </c>
      <c r="AR127" s="460"/>
      <c r="AS127" s="56">
        <v>68.276246646392039</v>
      </c>
      <c r="AT127" s="185">
        <v>227.70453000000001</v>
      </c>
      <c r="AU127" s="318">
        <v>47.411870000000008</v>
      </c>
      <c r="AV127" s="223">
        <v>0</v>
      </c>
      <c r="AW127" s="318">
        <v>0</v>
      </c>
      <c r="AX127" s="223">
        <v>0</v>
      </c>
      <c r="AY127" s="318">
        <f t="shared" si="76"/>
        <v>0</v>
      </c>
      <c r="AZ127" s="223"/>
      <c r="BA127" s="318"/>
      <c r="BB127" s="519">
        <f t="shared" si="77"/>
        <v>0</v>
      </c>
      <c r="BC127" s="518"/>
      <c r="BD127" s="518"/>
      <c r="BE127" s="518"/>
      <c r="BF127" s="518"/>
      <c r="BG127" s="518"/>
      <c r="BH127" s="518"/>
      <c r="BI127" s="518"/>
      <c r="BJ127" s="518"/>
      <c r="BK127" s="518"/>
      <c r="BL127" s="518"/>
      <c r="BM127" s="518"/>
      <c r="BN127" s="518"/>
      <c r="BO127" s="367">
        <f t="shared" si="50"/>
        <v>0</v>
      </c>
      <c r="BP127" s="421"/>
      <c r="BQ127" s="422"/>
      <c r="BR127" s="423">
        <f>IFERROR(IF(LEFT($A127,3)="Lcp",SUMIFS('BASE-LCP'!$K:$K,'BASE-LCP'!$A:$A,Capex!$A118,'BASE-LCP'!$B:$B,"janeiro")/1000,IF(LEFT($A127,3)="icp",SUMIFS('BASE-ICP'!$K:$K,'BASE-ICP'!$A:$A,Capex!$A118,'BASE-ICP'!$B:$B,"janeiro")/1000,"")),"")</f>
        <v>0</v>
      </c>
      <c r="BS127" s="427">
        <v>0</v>
      </c>
      <c r="BT127" s="372">
        <v>0</v>
      </c>
      <c r="BU127" s="422"/>
      <c r="BV127" s="423">
        <f>IFERROR(IF(LEFT($A127,3)="Lcp",SUMIFS('BASE-LCP'!$K:$K,'BASE-LCP'!$A:$A,Capex!$A118,'BASE-LCP'!$B:$B,"fevereiro")/1000,IF(LEFT($A127,3)="icp",SUMIFS('BASE-ICP'!$K:$K,'BASE-ICP'!$A:$A,Capex!$A118,'BASE-ICP'!$B:$B,"fevereiro")/1000,"")),"")</f>
        <v>0</v>
      </c>
      <c r="BW127" s="427">
        <v>0</v>
      </c>
      <c r="BX127" s="372">
        <v>0</v>
      </c>
      <c r="BY127" s="419"/>
      <c r="BZ127" s="423">
        <f>IFERROR(IF(LEFT($A127,3)="Lcp",SUMIFS('BASE-LCP'!$K:$K,'BASE-LCP'!$A:$A,Capex!$A118,'BASE-LCP'!$B:$B,"março")/1000,IF(LEFT($A127,3)="icp",SUMIFS('BASE-ICP'!$K:$K,'BASE-ICP'!$A:$A,Capex!$A118,'BASE-ICP'!$B:$B,"março")/1000,"")),"")</f>
        <v>0</v>
      </c>
      <c r="CA127" s="427">
        <v>0</v>
      </c>
      <c r="CB127" s="372">
        <v>0</v>
      </c>
      <c r="CC127" s="422"/>
      <c r="CD127" s="423">
        <f>IFERROR(IF(LEFT($A127,3)="Lcp",SUMIFS('BASE-LCP'!$K:$K,'BASE-LCP'!$A:$A,Capex!$A118,'BASE-LCP'!$B:$B,"abril")/1000,IF(LEFT($A127,3)="icp",SUMIFS('BASE-ICP'!$K:$K,'BASE-ICP'!$A:$A,Capex!$A118,'BASE-ICP'!$B:$B,"abril")/1000,"")),"")</f>
        <v>0</v>
      </c>
      <c r="CE127" s="427">
        <v>0</v>
      </c>
      <c r="CF127" s="372">
        <v>0</v>
      </c>
      <c r="CG127" s="419"/>
      <c r="CH127" s="423">
        <v>0</v>
      </c>
      <c r="CI127" s="427">
        <v>0</v>
      </c>
      <c r="CJ127" s="372">
        <v>0</v>
      </c>
      <c r="CK127" s="419"/>
      <c r="CL127" s="423">
        <f>IFERROR(IF(LEFT($A127,3)="Lcp",SUMIFS('BASE-LCP'!$K:$K,'BASE-LCP'!$A:$A,Capex!$A118,'BASE-LCP'!$B:$B,"junho")/1000,IF(LEFT($A127,3)="icp",SUMIFS('BASE-ICP'!$K:$K,'BASE-ICP'!$A:$A,Capex!$A118,'BASE-ICP'!$B:$B,"junho")/1000,"")),"")</f>
        <v>0</v>
      </c>
      <c r="CM127" s="427">
        <v>0</v>
      </c>
      <c r="CN127" s="372"/>
      <c r="CO127" s="419"/>
      <c r="CP127" s="423">
        <f>IFERROR(IF(LEFT($A127,3)="Lcp",SUMIFS('BASE-LCP'!$K:$K,'BASE-LCP'!$A:$A,Capex!$A118,'BASE-LCP'!$B:$B,"julho")/1000,IF(LEFT($A127,3)="icp",SUMIFS('BASE-ICP'!$K:$K,'BASE-ICP'!$A:$A,Capex!$A118,'BASE-ICP'!$B:$B,"julho")/1000,"")),"")</f>
        <v>0</v>
      </c>
      <c r="CQ127" s="427">
        <v>0</v>
      </c>
      <c r="CR127" s="372"/>
      <c r="CS127" s="419"/>
      <c r="CT127" s="423">
        <f>IFERROR(IF(LEFT($A127,3)="Lcp",SUMIFS('BASE-LCP'!$K:$K,'BASE-LCP'!$A:$A,Capex!$A118,'BASE-LCP'!$B:$B,"agosto")/1000,IF(LEFT($A127,3)="icp",SUMIFS('BASE-ICP'!$K:$K,'BASE-ICP'!$A:$A,Capex!$A118,'BASE-ICP'!$B:$B,"agosto")/1000,"")),"")</f>
        <v>0</v>
      </c>
      <c r="CU127" s="427">
        <v>0</v>
      </c>
      <c r="CV127" s="372"/>
      <c r="CW127" s="419"/>
      <c r="CX127" s="423">
        <f>IFERROR(IF(LEFT($A127,3)="Lcp",SUMIFS('BASE-LCP'!$K:$K,'BASE-LCP'!$A:$A,Capex!$A118,'BASE-LCP'!$B:$B,"setembro")/1000,IF(LEFT($A127,3)="icp",SUMIFS('BASE-ICP'!$K:$K,'BASE-ICP'!$A:$A,Capex!$A118,'BASE-ICP'!$B:$B,"setembro")/1000,"")),"")</f>
        <v>0</v>
      </c>
      <c r="CY127" s="427">
        <v>0</v>
      </c>
      <c r="CZ127" s="372"/>
      <c r="DA127" s="419"/>
      <c r="DB127" s="423">
        <f>IFERROR(IF(LEFT($A127,3)="Lcp",SUMIFS('BASE-LCP'!$K:$K,'BASE-LCP'!$A:$A,Capex!$A118,'BASE-LCP'!$B:$B,"outubro")/1000,IF(LEFT($A127,3)="icp",SUMIFS('BASE-ICP'!$K:$K,'BASE-ICP'!$A:$A,Capex!$A118,'BASE-ICP'!$B:$B,"outubro")/1000,"")),"")</f>
        <v>0</v>
      </c>
      <c r="DC127" s="427">
        <v>0</v>
      </c>
      <c r="DD127" s="372"/>
      <c r="DE127" s="419"/>
      <c r="DF127" s="423">
        <f>IFERROR(IF(LEFT($A127,3)="Lcp",SUMIFS('BASE-LCP'!$K:$K,'BASE-LCP'!$A:$A,Capex!$A118,'BASE-LCP'!$B:$B,"novembro")/1000,IF(LEFT($A127,3)="icp",SUMIFS('BASE-ICP'!$K:$K,'BASE-ICP'!$A:$A,Capex!$A118,'BASE-ICP'!$B:$B,"novembro")/1000,"")),"")</f>
        <v>0</v>
      </c>
      <c r="DG127" s="427">
        <v>0</v>
      </c>
      <c r="DH127" s="372"/>
      <c r="DI127" s="419"/>
      <c r="DJ127" s="423">
        <f>IFERROR(IF(LEFT($A127,3)="Lcp",SUMIFS('BASE-LCP'!$K:$K,'BASE-LCP'!$A:$A,Capex!$A118,'BASE-LCP'!$B:$B,"dezembro")/1000,IF(LEFT($A127,3)="icp",SUMIFS('BASE-ICP'!$K:$K,'BASE-ICP'!$A:$A,Capex!$A118,'BASE-ICP'!$B:$B,"dezembro")/1000,"")),"")</f>
        <v>0</v>
      </c>
      <c r="DK127" s="427">
        <v>0</v>
      </c>
      <c r="DL127" s="452">
        <f t="shared" si="51"/>
        <v>0</v>
      </c>
      <c r="DM127" s="374"/>
      <c r="DN127" s="374"/>
      <c r="DO127" s="374"/>
      <c r="DP127" s="374"/>
      <c r="DQ127" s="374"/>
      <c r="DR127" s="374"/>
      <c r="DS127" s="374"/>
      <c r="DT127" s="374"/>
      <c r="DU127" s="374"/>
      <c r="DV127" s="374"/>
      <c r="DW127" s="374"/>
      <c r="DX127" s="374"/>
      <c r="DY127" s="450"/>
      <c r="DZ127" s="374">
        <f t="shared" si="52"/>
        <v>0</v>
      </c>
      <c r="EA127" s="216">
        <f t="shared" si="53"/>
        <v>0</v>
      </c>
      <c r="EB127" s="320">
        <f t="shared" si="54"/>
        <v>0</v>
      </c>
      <c r="EC127" s="241">
        <f t="shared" si="55"/>
        <v>0</v>
      </c>
      <c r="ED127" s="241">
        <f t="shared" si="56"/>
        <v>0</v>
      </c>
      <c r="EE127" s="241">
        <f t="shared" si="57"/>
        <v>0</v>
      </c>
      <c r="EF127" s="241">
        <f t="shared" si="58"/>
        <v>0</v>
      </c>
      <c r="EG127" s="346">
        <f t="shared" si="59"/>
        <v>0</v>
      </c>
      <c r="EH127" s="445">
        <f t="shared" si="60"/>
        <v>0</v>
      </c>
      <c r="EI127" s="447">
        <f t="shared" si="61"/>
        <v>0</v>
      </c>
      <c r="EJ127" s="364">
        <f t="shared" si="62"/>
        <v>0</v>
      </c>
      <c r="EK127" s="365">
        <f t="shared" si="63"/>
        <v>0</v>
      </c>
      <c r="EL127" s="529">
        <f t="shared" si="64"/>
        <v>0</v>
      </c>
      <c r="EM127" s="530">
        <v>0</v>
      </c>
      <c r="EN127" s="530">
        <v>0</v>
      </c>
      <c r="EO127" s="530">
        <v>0</v>
      </c>
      <c r="EP127" s="530">
        <v>0</v>
      </c>
      <c r="EQ127" s="530">
        <v>0</v>
      </c>
      <c r="ER127" s="530">
        <v>0</v>
      </c>
      <c r="ES127" s="530">
        <v>0</v>
      </c>
      <c r="ET127" s="530">
        <v>0</v>
      </c>
      <c r="EU127" s="530">
        <v>0</v>
      </c>
      <c r="EV127" s="530">
        <v>0</v>
      </c>
      <c r="EW127" s="530">
        <v>0</v>
      </c>
      <c r="EX127" s="530">
        <v>0</v>
      </c>
      <c r="EY127" s="530">
        <f t="shared" si="65"/>
        <v>0</v>
      </c>
      <c r="EZ127" s="530">
        <f t="shared" si="66"/>
        <v>0</v>
      </c>
      <c r="FA127" s="530">
        <f t="shared" si="67"/>
        <v>0</v>
      </c>
      <c r="FB127" s="530">
        <f t="shared" si="68"/>
        <v>0</v>
      </c>
      <c r="FC127" s="384">
        <f>IFERROR(VLOOKUP(Capex!A118,BASE_558!D:R,8,FALSE)/1000,"")</f>
        <v>387.67</v>
      </c>
      <c r="FD127" s="328">
        <f>IFERROR(VLOOKUP(Capex!A118,BASE_558!D:R,9,)/1000,"")</f>
        <v>323.37511999999998</v>
      </c>
      <c r="FE127" s="328">
        <f>IFERROR(IF(LEFT(A127,3)="LCP",(VLOOKUP(Capex!A118,BASE_558!D:R,10,)/1000),SUMIFS('BASE ICP_PO_SC'!F:F,'BASE ICP_PO_SC'!A:A,Capex!A118,'BASE ICP_PO_SC'!E:E,"&lt;&gt;")/1000),"")</f>
        <v>0</v>
      </c>
      <c r="FF127" s="328">
        <f>IFERROR(IF(LEFT(A127,3)="LCP",(VLOOKUP(Capex!A118,BASE_558!D:R,11,)/1000),SUMIFS('BASE ICP_PO_SC'!F:F,'BASE ICP_PO_SC'!A:A,Capex!A118,'BASE ICP_PO_SC'!E:E,"")/1000),"")</f>
        <v>0</v>
      </c>
      <c r="FG127" s="328">
        <f>IFERROR(VLOOKUP(A127,BASE_558!D:R,13,FALSE)/1000,"")</f>
        <v>343.89090999999996</v>
      </c>
      <c r="FH127" s="328">
        <f>IFERROR(VLOOKUP(A127,BASE_558!D:R,15,FALSE)/1000,"")</f>
        <v>46.333089999999999</v>
      </c>
      <c r="FI127" s="547">
        <f t="shared" si="69"/>
        <v>0</v>
      </c>
      <c r="FJ127" s="547">
        <f t="shared" si="70"/>
        <v>0</v>
      </c>
      <c r="FK127" s="540">
        <f t="shared" si="71"/>
        <v>0</v>
      </c>
    </row>
    <row r="128" spans="1:167" s="23" customFormat="1" ht="24" customHeight="1">
      <c r="A128" s="84" t="s">
        <v>131</v>
      </c>
      <c r="B128" s="404"/>
      <c r="C128" s="404"/>
      <c r="D128" s="338" t="s">
        <v>917</v>
      </c>
      <c r="E128" s="378"/>
      <c r="F128" s="5"/>
      <c r="G128" s="310" t="s">
        <v>9</v>
      </c>
      <c r="H128" s="338"/>
      <c r="I128" s="338"/>
      <c r="J128" s="338">
        <v>2018</v>
      </c>
      <c r="K128" s="316">
        <v>43356</v>
      </c>
      <c r="L128" s="317">
        <v>43727</v>
      </c>
      <c r="M128" s="409"/>
      <c r="N128" s="317">
        <f t="shared" si="74"/>
        <v>44268</v>
      </c>
      <c r="O128" s="317">
        <f t="shared" si="75"/>
        <v>44633</v>
      </c>
      <c r="P128" s="418" t="str">
        <f t="shared" si="81"/>
        <v>CRTD</v>
      </c>
      <c r="Q128" s="418" t="str">
        <f t="shared" si="81"/>
        <v>CRTD</v>
      </c>
      <c r="R128" s="418" t="str">
        <f t="shared" si="81"/>
        <v>CRTD</v>
      </c>
      <c r="S128" s="418" t="str">
        <f t="shared" si="81"/>
        <v>CRTD</v>
      </c>
      <c r="T128" s="418" t="str">
        <f t="shared" si="81"/>
        <v>CRTD</v>
      </c>
      <c r="U128" s="418" t="str">
        <f t="shared" si="81"/>
        <v>CRTD</v>
      </c>
      <c r="V128" s="418" t="str">
        <f t="shared" si="81"/>
        <v>CRTD</v>
      </c>
      <c r="W128" s="418" t="str">
        <f t="shared" si="81"/>
        <v>CRTD</v>
      </c>
      <c r="X128" s="418" t="str">
        <f t="shared" si="81"/>
        <v>CRTD</v>
      </c>
      <c r="Y128" s="418" t="str">
        <f t="shared" si="81"/>
        <v>CRTD</v>
      </c>
      <c r="Z128" s="418" t="str">
        <f t="shared" si="81"/>
        <v>CRTD</v>
      </c>
      <c r="AA128" s="418" t="str">
        <f t="shared" si="81"/>
        <v>CRTD</v>
      </c>
      <c r="AB128" s="317"/>
      <c r="AC128" s="309" t="s">
        <v>3932</v>
      </c>
      <c r="AD128" s="311" t="s">
        <v>222</v>
      </c>
      <c r="AE128" s="311"/>
      <c r="AF128" s="310" t="s">
        <v>6985</v>
      </c>
      <c r="AG128" s="310" t="s">
        <v>9083</v>
      </c>
      <c r="AH128" s="310" t="s">
        <v>132</v>
      </c>
      <c r="AI128" s="309" t="s">
        <v>186</v>
      </c>
      <c r="AJ128" s="6" t="s">
        <v>218</v>
      </c>
      <c r="AK128" s="6" t="str">
        <f t="shared" si="49"/>
        <v>IGUAL</v>
      </c>
      <c r="AL128" s="151" t="str">
        <f>IFERROR(IF(LEFT(A128,3)="LCP",VLOOKUP(A128,STATUS_SAP_LCP!B:C,2,FALSE),VLOOKUP(A128,STATUS_SAP_ICP!B:C,2,FALSE)),"NO BUDGET")</f>
        <v>CLSD BUDG AUC  AVAC  //  APPR BREL EXPL</v>
      </c>
      <c r="AM128" s="6" t="str">
        <f t="shared" si="48"/>
        <v>CLSD</v>
      </c>
      <c r="AN128" s="282" t="s">
        <v>9098</v>
      </c>
      <c r="AO128" s="493">
        <v>1</v>
      </c>
      <c r="AP128" s="499" t="s">
        <v>9607</v>
      </c>
      <c r="AQ128" s="465">
        <v>43727</v>
      </c>
      <c r="AR128" s="460"/>
      <c r="AS128" s="56">
        <v>0.16999999999999993</v>
      </c>
      <c r="AT128" s="185">
        <v>0</v>
      </c>
      <c r="AU128" s="318">
        <v>0</v>
      </c>
      <c r="AV128" s="223">
        <v>0</v>
      </c>
      <c r="AW128" s="318">
        <v>0</v>
      </c>
      <c r="AX128" s="223">
        <v>0</v>
      </c>
      <c r="AY128" s="318">
        <f t="shared" si="76"/>
        <v>0</v>
      </c>
      <c r="AZ128" s="223"/>
      <c r="BA128" s="318"/>
      <c r="BB128" s="519">
        <f t="shared" si="77"/>
        <v>0</v>
      </c>
      <c r="BC128" s="518"/>
      <c r="BD128" s="518"/>
      <c r="BE128" s="518"/>
      <c r="BF128" s="518"/>
      <c r="BG128" s="518"/>
      <c r="BH128" s="518"/>
      <c r="BI128" s="518"/>
      <c r="BJ128" s="518"/>
      <c r="BK128" s="518"/>
      <c r="BL128" s="518"/>
      <c r="BM128" s="518"/>
      <c r="BN128" s="518"/>
      <c r="BO128" s="367">
        <f t="shared" si="50"/>
        <v>0</v>
      </c>
      <c r="BP128" s="421"/>
      <c r="BQ128" s="422"/>
      <c r="BR128" s="423">
        <f>IFERROR(IF(LEFT($A128,3)="Lcp",SUMIFS('BASE-LCP'!$K:$K,'BASE-LCP'!$A:$A,Capex!$A119,'BASE-LCP'!$B:$B,"janeiro")/1000,IF(LEFT($A128,3)="icp",SUMIFS('BASE-ICP'!$K:$K,'BASE-ICP'!$A:$A,Capex!$A119,'BASE-ICP'!$B:$B,"janeiro")/1000,"")),"")</f>
        <v>0</v>
      </c>
      <c r="BS128" s="427">
        <v>0</v>
      </c>
      <c r="BT128" s="372">
        <v>0</v>
      </c>
      <c r="BU128" s="422"/>
      <c r="BV128" s="423">
        <f>IFERROR(IF(LEFT($A128,3)="Lcp",SUMIFS('BASE-LCP'!$K:$K,'BASE-LCP'!$A:$A,Capex!$A119,'BASE-LCP'!$B:$B,"fevereiro")/1000,IF(LEFT($A128,3)="icp",SUMIFS('BASE-ICP'!$K:$K,'BASE-ICP'!$A:$A,Capex!$A119,'BASE-ICP'!$B:$B,"fevereiro")/1000,"")),"")</f>
        <v>0</v>
      </c>
      <c r="BW128" s="427">
        <v>0</v>
      </c>
      <c r="BX128" s="372">
        <v>0</v>
      </c>
      <c r="BY128" s="419"/>
      <c r="BZ128" s="423">
        <f>IFERROR(IF(LEFT($A128,3)="Lcp",SUMIFS('BASE-LCP'!$K:$K,'BASE-LCP'!$A:$A,Capex!$A119,'BASE-LCP'!$B:$B,"março")/1000,IF(LEFT($A128,3)="icp",SUMIFS('BASE-ICP'!$K:$K,'BASE-ICP'!$A:$A,Capex!$A119,'BASE-ICP'!$B:$B,"março")/1000,"")),"")</f>
        <v>0</v>
      </c>
      <c r="CA128" s="427">
        <v>0</v>
      </c>
      <c r="CB128" s="372">
        <v>0</v>
      </c>
      <c r="CC128" s="422"/>
      <c r="CD128" s="423">
        <f>IFERROR(IF(LEFT($A128,3)="Lcp",SUMIFS('BASE-LCP'!$K:$K,'BASE-LCP'!$A:$A,Capex!$A119,'BASE-LCP'!$B:$B,"abril")/1000,IF(LEFT($A128,3)="icp",SUMIFS('BASE-ICP'!$K:$K,'BASE-ICP'!$A:$A,Capex!$A119,'BASE-ICP'!$B:$B,"abril")/1000,"")),"")</f>
        <v>0</v>
      </c>
      <c r="CE128" s="427">
        <v>0</v>
      </c>
      <c r="CF128" s="372">
        <v>0</v>
      </c>
      <c r="CG128" s="419"/>
      <c r="CH128" s="423">
        <v>0</v>
      </c>
      <c r="CI128" s="427">
        <v>0</v>
      </c>
      <c r="CJ128" s="372">
        <v>0</v>
      </c>
      <c r="CK128" s="419"/>
      <c r="CL128" s="423">
        <f>IFERROR(IF(LEFT($A128,3)="Lcp",SUMIFS('BASE-LCP'!$K:$K,'BASE-LCP'!$A:$A,Capex!$A119,'BASE-LCP'!$B:$B,"junho")/1000,IF(LEFT($A128,3)="icp",SUMIFS('BASE-ICP'!$K:$K,'BASE-ICP'!$A:$A,Capex!$A119,'BASE-ICP'!$B:$B,"junho")/1000,"")),"")</f>
        <v>0</v>
      </c>
      <c r="CM128" s="427">
        <v>0</v>
      </c>
      <c r="CN128" s="372"/>
      <c r="CO128" s="419"/>
      <c r="CP128" s="423">
        <f>IFERROR(IF(LEFT($A128,3)="Lcp",SUMIFS('BASE-LCP'!$K:$K,'BASE-LCP'!$A:$A,Capex!$A119,'BASE-LCP'!$B:$B,"julho")/1000,IF(LEFT($A128,3)="icp",SUMIFS('BASE-ICP'!$K:$K,'BASE-ICP'!$A:$A,Capex!$A119,'BASE-ICP'!$B:$B,"julho")/1000,"")),"")</f>
        <v>0</v>
      </c>
      <c r="CQ128" s="427">
        <v>0</v>
      </c>
      <c r="CR128" s="372"/>
      <c r="CS128" s="419"/>
      <c r="CT128" s="423">
        <f>IFERROR(IF(LEFT($A128,3)="Lcp",SUMIFS('BASE-LCP'!$K:$K,'BASE-LCP'!$A:$A,Capex!$A119,'BASE-LCP'!$B:$B,"agosto")/1000,IF(LEFT($A128,3)="icp",SUMIFS('BASE-ICP'!$K:$K,'BASE-ICP'!$A:$A,Capex!$A119,'BASE-ICP'!$B:$B,"agosto")/1000,"")),"")</f>
        <v>0</v>
      </c>
      <c r="CU128" s="427">
        <v>0</v>
      </c>
      <c r="CV128" s="372"/>
      <c r="CW128" s="419"/>
      <c r="CX128" s="423">
        <f>IFERROR(IF(LEFT($A128,3)="Lcp",SUMIFS('BASE-LCP'!$K:$K,'BASE-LCP'!$A:$A,Capex!$A119,'BASE-LCP'!$B:$B,"setembro")/1000,IF(LEFT($A128,3)="icp",SUMIFS('BASE-ICP'!$K:$K,'BASE-ICP'!$A:$A,Capex!$A119,'BASE-ICP'!$B:$B,"setembro")/1000,"")),"")</f>
        <v>0</v>
      </c>
      <c r="CY128" s="427">
        <v>0</v>
      </c>
      <c r="CZ128" s="372"/>
      <c r="DA128" s="419"/>
      <c r="DB128" s="423">
        <f>IFERROR(IF(LEFT($A128,3)="Lcp",SUMIFS('BASE-LCP'!$K:$K,'BASE-LCP'!$A:$A,Capex!$A119,'BASE-LCP'!$B:$B,"outubro")/1000,IF(LEFT($A128,3)="icp",SUMIFS('BASE-ICP'!$K:$K,'BASE-ICP'!$A:$A,Capex!$A119,'BASE-ICP'!$B:$B,"outubro")/1000,"")),"")</f>
        <v>0</v>
      </c>
      <c r="DC128" s="427">
        <v>0</v>
      </c>
      <c r="DD128" s="372"/>
      <c r="DE128" s="419"/>
      <c r="DF128" s="423">
        <f>IFERROR(IF(LEFT($A128,3)="Lcp",SUMIFS('BASE-LCP'!$K:$K,'BASE-LCP'!$A:$A,Capex!$A119,'BASE-LCP'!$B:$B,"novembro")/1000,IF(LEFT($A128,3)="icp",SUMIFS('BASE-ICP'!$K:$K,'BASE-ICP'!$A:$A,Capex!$A119,'BASE-ICP'!$B:$B,"novembro")/1000,"")),"")</f>
        <v>0</v>
      </c>
      <c r="DG128" s="427">
        <v>0</v>
      </c>
      <c r="DH128" s="372"/>
      <c r="DI128" s="419"/>
      <c r="DJ128" s="423">
        <f>IFERROR(IF(LEFT($A128,3)="Lcp",SUMIFS('BASE-LCP'!$K:$K,'BASE-LCP'!$A:$A,Capex!$A119,'BASE-LCP'!$B:$B,"dezembro")/1000,IF(LEFT($A128,3)="icp",SUMIFS('BASE-ICP'!$K:$K,'BASE-ICP'!$A:$A,Capex!$A119,'BASE-ICP'!$B:$B,"dezembro")/1000,"")),"")</f>
        <v>0</v>
      </c>
      <c r="DK128" s="427">
        <v>0</v>
      </c>
      <c r="DL128" s="452">
        <f t="shared" si="51"/>
        <v>0</v>
      </c>
      <c r="DM128" s="374"/>
      <c r="DN128" s="374"/>
      <c r="DO128" s="374"/>
      <c r="DP128" s="374"/>
      <c r="DQ128" s="374"/>
      <c r="DR128" s="374"/>
      <c r="DS128" s="374"/>
      <c r="DT128" s="374"/>
      <c r="DU128" s="374"/>
      <c r="DV128" s="374"/>
      <c r="DW128" s="374"/>
      <c r="DX128" s="374"/>
      <c r="DY128" s="450"/>
      <c r="DZ128" s="374">
        <f t="shared" si="52"/>
        <v>0</v>
      </c>
      <c r="EA128" s="216">
        <f t="shared" si="53"/>
        <v>0</v>
      </c>
      <c r="EB128" s="320">
        <f t="shared" si="54"/>
        <v>0</v>
      </c>
      <c r="EC128" s="241">
        <f t="shared" si="55"/>
        <v>0</v>
      </c>
      <c r="ED128" s="241">
        <f t="shared" si="56"/>
        <v>0</v>
      </c>
      <c r="EE128" s="241">
        <f t="shared" si="57"/>
        <v>0</v>
      </c>
      <c r="EF128" s="241">
        <f t="shared" si="58"/>
        <v>0</v>
      </c>
      <c r="EG128" s="346">
        <f t="shared" si="59"/>
        <v>0</v>
      </c>
      <c r="EH128" s="445">
        <f t="shared" si="60"/>
        <v>0</v>
      </c>
      <c r="EI128" s="447">
        <f t="shared" si="61"/>
        <v>0</v>
      </c>
      <c r="EJ128" s="364">
        <f t="shared" si="62"/>
        <v>0</v>
      </c>
      <c r="EK128" s="365">
        <f t="shared" si="63"/>
        <v>0</v>
      </c>
      <c r="EL128" s="529">
        <f t="shared" si="64"/>
        <v>0</v>
      </c>
      <c r="EM128" s="530">
        <v>0</v>
      </c>
      <c r="EN128" s="530">
        <v>0</v>
      </c>
      <c r="EO128" s="530">
        <v>0</v>
      </c>
      <c r="EP128" s="530">
        <v>0</v>
      </c>
      <c r="EQ128" s="530">
        <v>0</v>
      </c>
      <c r="ER128" s="530">
        <v>0</v>
      </c>
      <c r="ES128" s="530">
        <v>0</v>
      </c>
      <c r="ET128" s="530">
        <v>0</v>
      </c>
      <c r="EU128" s="530">
        <v>0</v>
      </c>
      <c r="EV128" s="530">
        <v>0</v>
      </c>
      <c r="EW128" s="530">
        <v>0</v>
      </c>
      <c r="EX128" s="530">
        <v>0</v>
      </c>
      <c r="EY128" s="530">
        <f t="shared" si="65"/>
        <v>0</v>
      </c>
      <c r="EZ128" s="530">
        <f t="shared" si="66"/>
        <v>0</v>
      </c>
      <c r="FA128" s="530">
        <f t="shared" si="67"/>
        <v>0</v>
      </c>
      <c r="FB128" s="530">
        <f t="shared" si="68"/>
        <v>0</v>
      </c>
      <c r="FC128" s="384">
        <f>IFERROR(VLOOKUP(Capex!A119,BASE_558!D:R,8,FALSE)/1000,"")</f>
        <v>213</v>
      </c>
      <c r="FD128" s="328">
        <f>IFERROR(VLOOKUP(Capex!A119,BASE_558!D:R,9,)/1000,"")</f>
        <v>207.5797</v>
      </c>
      <c r="FE128" s="328">
        <f>IFERROR(IF(LEFT(A128,3)="LCP",(VLOOKUP(Capex!A119,BASE_558!D:R,10,)/1000),SUMIFS('BASE ICP_PO_SC'!F:F,'BASE ICP_PO_SC'!A:A,Capex!A119,'BASE ICP_PO_SC'!E:E,"&lt;&gt;")/1000),"")</f>
        <v>0</v>
      </c>
      <c r="FF128" s="328">
        <f>IFERROR(IF(LEFT(A128,3)="LCP",(VLOOKUP(Capex!A119,BASE_558!D:R,11,)/1000),SUMIFS('BASE ICP_PO_SC'!F:F,'BASE ICP_PO_SC'!A:A,Capex!A119,'BASE ICP_PO_SC'!E:E,"")/1000),"")</f>
        <v>0</v>
      </c>
      <c r="FG128" s="328">
        <f>IFERROR(VLOOKUP(A128,BASE_558!D:R,13,FALSE)/1000,"")</f>
        <v>92.515219999999999</v>
      </c>
      <c r="FH128" s="328">
        <f>IFERROR(VLOOKUP(A128,BASE_558!D:R,15,FALSE)/1000,"")</f>
        <v>13.89978</v>
      </c>
      <c r="FI128" s="547">
        <f t="shared" si="69"/>
        <v>0</v>
      </c>
      <c r="FJ128" s="547">
        <f t="shared" si="70"/>
        <v>0</v>
      </c>
      <c r="FK128" s="540">
        <f t="shared" si="71"/>
        <v>0</v>
      </c>
    </row>
    <row r="129" spans="1:167" s="23" customFormat="1" ht="24" customHeight="1">
      <c r="A129" s="84" t="s">
        <v>133</v>
      </c>
      <c r="B129" s="404"/>
      <c r="C129" s="404"/>
      <c r="D129" s="338" t="s">
        <v>896</v>
      </c>
      <c r="E129" s="378"/>
      <c r="F129" s="5"/>
      <c r="G129" s="310" t="s">
        <v>9</v>
      </c>
      <c r="H129" s="338"/>
      <c r="I129" s="338"/>
      <c r="J129" s="338">
        <v>2018</v>
      </c>
      <c r="K129" s="316">
        <v>43420</v>
      </c>
      <c r="L129" s="317">
        <v>44277</v>
      </c>
      <c r="M129" s="409"/>
      <c r="N129" s="317">
        <f t="shared" si="74"/>
        <v>44332</v>
      </c>
      <c r="O129" s="317">
        <f t="shared" si="75"/>
        <v>44697</v>
      </c>
      <c r="P129" s="418" t="str">
        <f t="shared" si="81"/>
        <v>CRTD</v>
      </c>
      <c r="Q129" s="418" t="str">
        <f t="shared" si="81"/>
        <v>CRTD</v>
      </c>
      <c r="R129" s="418" t="str">
        <f t="shared" si="81"/>
        <v>CRTD</v>
      </c>
      <c r="S129" s="418" t="str">
        <f t="shared" si="81"/>
        <v>CRTD</v>
      </c>
      <c r="T129" s="418" t="str">
        <f t="shared" si="81"/>
        <v>CRTD</v>
      </c>
      <c r="U129" s="418" t="str">
        <f t="shared" si="81"/>
        <v>CRTD</v>
      </c>
      <c r="V129" s="418" t="str">
        <f t="shared" si="81"/>
        <v>CRTD</v>
      </c>
      <c r="W129" s="418" t="str">
        <f t="shared" si="81"/>
        <v>CRTD</v>
      </c>
      <c r="X129" s="418" t="str">
        <f t="shared" si="81"/>
        <v>CRTD</v>
      </c>
      <c r="Y129" s="418" t="str">
        <f t="shared" si="81"/>
        <v>CRTD</v>
      </c>
      <c r="Z129" s="418" t="str">
        <f t="shared" si="81"/>
        <v>CRTD</v>
      </c>
      <c r="AA129" s="418" t="str">
        <f t="shared" si="81"/>
        <v>CRTD</v>
      </c>
      <c r="AB129" s="317"/>
      <c r="AC129" s="309" t="s">
        <v>3932</v>
      </c>
      <c r="AD129" s="311" t="s">
        <v>222</v>
      </c>
      <c r="AE129" s="311" t="s">
        <v>958</v>
      </c>
      <c r="AF129" s="310" t="s">
        <v>6985</v>
      </c>
      <c r="AG129" s="310" t="s">
        <v>9083</v>
      </c>
      <c r="AH129" s="310" t="s">
        <v>3245</v>
      </c>
      <c r="AI129" s="381" t="s">
        <v>186</v>
      </c>
      <c r="AJ129" s="6" t="s">
        <v>218</v>
      </c>
      <c r="AK129" s="6" t="str">
        <f t="shared" si="49"/>
        <v>IGUAL</v>
      </c>
      <c r="AL129" s="151" t="str">
        <f>IFERROR(IF(LEFT(A129,3)="LCP",VLOOKUP(A129,STATUS_SAP_LCP!B:C,2,FALSE),VLOOKUP(A129,STATUS_SAP_ICP!B:C,2,FALSE)),"NO BUDGET")</f>
        <v>CLSD BUDG AUC  AVAC  //  RJCD BREL EXPL</v>
      </c>
      <c r="AM129" s="6" t="str">
        <f t="shared" si="48"/>
        <v>CLSD</v>
      </c>
      <c r="AN129" s="282" t="s">
        <v>9096</v>
      </c>
      <c r="AO129" s="493">
        <v>1</v>
      </c>
      <c r="AP129" s="499" t="s">
        <v>9607</v>
      </c>
      <c r="AQ129" s="465">
        <v>44277</v>
      </c>
      <c r="AR129" s="460"/>
      <c r="AS129" s="56">
        <v>112.39148137934281</v>
      </c>
      <c r="AT129" s="185">
        <v>37.823080000000004</v>
      </c>
      <c r="AU129" s="318">
        <v>2.815700000000001</v>
      </c>
      <c r="AV129" s="223">
        <v>0</v>
      </c>
      <c r="AW129" s="318">
        <v>0</v>
      </c>
      <c r="AX129" s="223">
        <v>0</v>
      </c>
      <c r="AY129" s="318">
        <f t="shared" si="76"/>
        <v>0</v>
      </c>
      <c r="AZ129" s="223"/>
      <c r="BA129" s="318"/>
      <c r="BB129" s="519">
        <f t="shared" si="77"/>
        <v>0</v>
      </c>
      <c r="BC129" s="518"/>
      <c r="BD129" s="518"/>
      <c r="BE129" s="518"/>
      <c r="BF129" s="518"/>
      <c r="BG129" s="518"/>
      <c r="BH129" s="518"/>
      <c r="BI129" s="518"/>
      <c r="BJ129" s="518"/>
      <c r="BK129" s="518"/>
      <c r="BL129" s="518"/>
      <c r="BM129" s="518"/>
      <c r="BN129" s="518"/>
      <c r="BO129" s="367">
        <f t="shared" si="50"/>
        <v>0</v>
      </c>
      <c r="BP129" s="421"/>
      <c r="BQ129" s="422"/>
      <c r="BR129" s="423">
        <f>IFERROR(IF(LEFT($A129,3)="Lcp",SUMIFS('BASE-LCP'!$K:$K,'BASE-LCP'!$A:$A,Capex!$A120,'BASE-LCP'!$B:$B,"janeiro")/1000,IF(LEFT($A129,3)="icp",SUMIFS('BASE-ICP'!$K:$K,'BASE-ICP'!$A:$A,Capex!$A120,'BASE-ICP'!$B:$B,"janeiro")/1000,"")),"")</f>
        <v>0</v>
      </c>
      <c r="BS129" s="427">
        <v>0</v>
      </c>
      <c r="BT129" s="372">
        <v>0</v>
      </c>
      <c r="BU129" s="422"/>
      <c r="BV129" s="423">
        <f>IFERROR(IF(LEFT($A129,3)="Lcp",SUMIFS('BASE-LCP'!$K:$K,'BASE-LCP'!$A:$A,Capex!$A120,'BASE-LCP'!$B:$B,"fevereiro")/1000,IF(LEFT($A129,3)="icp",SUMIFS('BASE-ICP'!$K:$K,'BASE-ICP'!$A:$A,Capex!$A120,'BASE-ICP'!$B:$B,"fevereiro")/1000,"")),"")</f>
        <v>0</v>
      </c>
      <c r="BW129" s="427">
        <v>0</v>
      </c>
      <c r="BX129" s="372">
        <v>0</v>
      </c>
      <c r="BY129" s="419"/>
      <c r="BZ129" s="423">
        <f>IFERROR(IF(LEFT($A129,3)="Lcp",SUMIFS('BASE-LCP'!$K:$K,'BASE-LCP'!$A:$A,Capex!$A120,'BASE-LCP'!$B:$B,"março")/1000,IF(LEFT($A129,3)="icp",SUMIFS('BASE-ICP'!$K:$K,'BASE-ICP'!$A:$A,Capex!$A120,'BASE-ICP'!$B:$B,"março")/1000,"")),"")</f>
        <v>0</v>
      </c>
      <c r="CA129" s="427">
        <v>0</v>
      </c>
      <c r="CB129" s="372">
        <v>0</v>
      </c>
      <c r="CC129" s="422"/>
      <c r="CD129" s="423">
        <f>IFERROR(IF(LEFT($A129,3)="Lcp",SUMIFS('BASE-LCP'!$K:$K,'BASE-LCP'!$A:$A,Capex!$A120,'BASE-LCP'!$B:$B,"abril")/1000,IF(LEFT($A129,3)="icp",SUMIFS('BASE-ICP'!$K:$K,'BASE-ICP'!$A:$A,Capex!$A120,'BASE-ICP'!$B:$B,"abril")/1000,"")),"")</f>
        <v>0</v>
      </c>
      <c r="CE129" s="427">
        <v>0</v>
      </c>
      <c r="CF129" s="372">
        <v>0</v>
      </c>
      <c r="CG129" s="419"/>
      <c r="CH129" s="423">
        <v>0</v>
      </c>
      <c r="CI129" s="427">
        <v>0</v>
      </c>
      <c r="CJ129" s="372">
        <v>0</v>
      </c>
      <c r="CK129" s="419"/>
      <c r="CL129" s="423">
        <f>IFERROR(IF(LEFT($A129,3)="Lcp",SUMIFS('BASE-LCP'!$K:$K,'BASE-LCP'!$A:$A,Capex!$A120,'BASE-LCP'!$B:$B,"junho")/1000,IF(LEFT($A129,3)="icp",SUMIFS('BASE-ICP'!$K:$K,'BASE-ICP'!$A:$A,Capex!$A120,'BASE-ICP'!$B:$B,"junho")/1000,"")),"")</f>
        <v>0</v>
      </c>
      <c r="CM129" s="427">
        <v>0</v>
      </c>
      <c r="CN129" s="372"/>
      <c r="CO129" s="419"/>
      <c r="CP129" s="423">
        <f>IFERROR(IF(LEFT($A129,3)="Lcp",SUMIFS('BASE-LCP'!$K:$K,'BASE-LCP'!$A:$A,Capex!$A120,'BASE-LCP'!$B:$B,"julho")/1000,IF(LEFT($A129,3)="icp",SUMIFS('BASE-ICP'!$K:$K,'BASE-ICP'!$A:$A,Capex!$A120,'BASE-ICP'!$B:$B,"julho")/1000,"")),"")</f>
        <v>0</v>
      </c>
      <c r="CQ129" s="427">
        <v>0</v>
      </c>
      <c r="CR129" s="372"/>
      <c r="CS129" s="419"/>
      <c r="CT129" s="423">
        <f>IFERROR(IF(LEFT($A129,3)="Lcp",SUMIFS('BASE-LCP'!$K:$K,'BASE-LCP'!$A:$A,Capex!$A120,'BASE-LCP'!$B:$B,"agosto")/1000,IF(LEFT($A129,3)="icp",SUMIFS('BASE-ICP'!$K:$K,'BASE-ICP'!$A:$A,Capex!$A120,'BASE-ICP'!$B:$B,"agosto")/1000,"")),"")</f>
        <v>0</v>
      </c>
      <c r="CU129" s="427">
        <v>0</v>
      </c>
      <c r="CV129" s="372"/>
      <c r="CW129" s="419"/>
      <c r="CX129" s="423">
        <f>IFERROR(IF(LEFT($A129,3)="Lcp",SUMIFS('BASE-LCP'!$K:$K,'BASE-LCP'!$A:$A,Capex!$A120,'BASE-LCP'!$B:$B,"setembro")/1000,IF(LEFT($A129,3)="icp",SUMIFS('BASE-ICP'!$K:$K,'BASE-ICP'!$A:$A,Capex!$A120,'BASE-ICP'!$B:$B,"setembro")/1000,"")),"")</f>
        <v>0</v>
      </c>
      <c r="CY129" s="427">
        <v>0</v>
      </c>
      <c r="CZ129" s="372"/>
      <c r="DA129" s="419"/>
      <c r="DB129" s="423">
        <f>IFERROR(IF(LEFT($A129,3)="Lcp",SUMIFS('BASE-LCP'!$K:$K,'BASE-LCP'!$A:$A,Capex!$A120,'BASE-LCP'!$B:$B,"outubro")/1000,IF(LEFT($A129,3)="icp",SUMIFS('BASE-ICP'!$K:$K,'BASE-ICP'!$A:$A,Capex!$A120,'BASE-ICP'!$B:$B,"outubro")/1000,"")),"")</f>
        <v>0</v>
      </c>
      <c r="DC129" s="427">
        <v>0</v>
      </c>
      <c r="DD129" s="372"/>
      <c r="DE129" s="419"/>
      <c r="DF129" s="423">
        <f>IFERROR(IF(LEFT($A129,3)="Lcp",SUMIFS('BASE-LCP'!$K:$K,'BASE-LCP'!$A:$A,Capex!$A120,'BASE-LCP'!$B:$B,"novembro")/1000,IF(LEFT($A129,3)="icp",SUMIFS('BASE-ICP'!$K:$K,'BASE-ICP'!$A:$A,Capex!$A120,'BASE-ICP'!$B:$B,"novembro")/1000,"")),"")</f>
        <v>0</v>
      </c>
      <c r="DG129" s="427">
        <v>0</v>
      </c>
      <c r="DH129" s="372"/>
      <c r="DI129" s="419"/>
      <c r="DJ129" s="423">
        <f>IFERROR(IF(LEFT($A129,3)="Lcp",SUMIFS('BASE-LCP'!$K:$K,'BASE-LCP'!$A:$A,Capex!$A120,'BASE-LCP'!$B:$B,"dezembro")/1000,IF(LEFT($A129,3)="icp",SUMIFS('BASE-ICP'!$K:$K,'BASE-ICP'!$A:$A,Capex!$A120,'BASE-ICP'!$B:$B,"dezembro")/1000,"")),"")</f>
        <v>0</v>
      </c>
      <c r="DK129" s="427">
        <v>0</v>
      </c>
      <c r="DL129" s="452">
        <f t="shared" si="51"/>
        <v>0</v>
      </c>
      <c r="DM129" s="374"/>
      <c r="DN129" s="374"/>
      <c r="DO129" s="374"/>
      <c r="DP129" s="374"/>
      <c r="DQ129" s="374"/>
      <c r="DR129" s="374"/>
      <c r="DS129" s="374"/>
      <c r="DT129" s="374"/>
      <c r="DU129" s="374"/>
      <c r="DV129" s="374"/>
      <c r="DW129" s="374"/>
      <c r="DX129" s="374"/>
      <c r="DY129" s="450"/>
      <c r="DZ129" s="374">
        <f t="shared" si="52"/>
        <v>0</v>
      </c>
      <c r="EA129" s="216">
        <f t="shared" si="53"/>
        <v>0</v>
      </c>
      <c r="EB129" s="320">
        <f t="shared" si="54"/>
        <v>0</v>
      </c>
      <c r="EC129" s="241">
        <f t="shared" si="55"/>
        <v>0</v>
      </c>
      <c r="ED129" s="241">
        <f t="shared" si="56"/>
        <v>0</v>
      </c>
      <c r="EE129" s="241">
        <f t="shared" si="57"/>
        <v>0</v>
      </c>
      <c r="EF129" s="241">
        <f t="shared" si="58"/>
        <v>0</v>
      </c>
      <c r="EG129" s="346">
        <f t="shared" si="59"/>
        <v>0</v>
      </c>
      <c r="EH129" s="445">
        <f t="shared" si="60"/>
        <v>0</v>
      </c>
      <c r="EI129" s="447">
        <f t="shared" si="61"/>
        <v>0</v>
      </c>
      <c r="EJ129" s="364">
        <f t="shared" si="62"/>
        <v>0</v>
      </c>
      <c r="EK129" s="365">
        <f t="shared" si="63"/>
        <v>0</v>
      </c>
      <c r="EL129" s="529">
        <f t="shared" si="64"/>
        <v>0</v>
      </c>
      <c r="EM129" s="530">
        <v>0</v>
      </c>
      <c r="EN129" s="530">
        <v>0</v>
      </c>
      <c r="EO129" s="530">
        <v>0</v>
      </c>
      <c r="EP129" s="530">
        <v>0</v>
      </c>
      <c r="EQ129" s="530">
        <v>0</v>
      </c>
      <c r="ER129" s="530">
        <v>0</v>
      </c>
      <c r="ES129" s="530">
        <v>0</v>
      </c>
      <c r="ET129" s="530">
        <v>0</v>
      </c>
      <c r="EU129" s="530">
        <v>0</v>
      </c>
      <c r="EV129" s="530">
        <v>0</v>
      </c>
      <c r="EW129" s="530">
        <v>0</v>
      </c>
      <c r="EX129" s="530">
        <v>0</v>
      </c>
      <c r="EY129" s="530">
        <f t="shared" si="65"/>
        <v>0</v>
      </c>
      <c r="EZ129" s="530">
        <f t="shared" si="66"/>
        <v>0</v>
      </c>
      <c r="FA129" s="530">
        <f t="shared" si="67"/>
        <v>0</v>
      </c>
      <c r="FB129" s="530">
        <f t="shared" si="68"/>
        <v>0</v>
      </c>
      <c r="FC129" s="384">
        <f>IFERROR(VLOOKUP(Capex!A120,BASE_558!D:R,8,FALSE)/1000,"")</f>
        <v>1326.865</v>
      </c>
      <c r="FD129" s="328">
        <f>IFERROR(VLOOKUP(Capex!A120,BASE_558!D:R,9,)/1000,"")</f>
        <v>1314.9529499999999</v>
      </c>
      <c r="FE129" s="328">
        <f>IFERROR(IF(LEFT(A129,3)="LCP",(VLOOKUP(Capex!A120,BASE_558!D:R,10,)/1000),SUMIFS('BASE ICP_PO_SC'!F:F,'BASE ICP_PO_SC'!A:A,Capex!A120,'BASE ICP_PO_SC'!E:E,"&lt;&gt;")/1000),"")</f>
        <v>0</v>
      </c>
      <c r="FF129" s="328">
        <f>IFERROR(IF(LEFT(A129,3)="LCP",(VLOOKUP(Capex!A120,BASE_558!D:R,11,)/1000),SUMIFS('BASE ICP_PO_SC'!F:F,'BASE ICP_PO_SC'!A:A,Capex!A120,'BASE ICP_PO_SC'!E:E,"")/1000),"")</f>
        <v>0</v>
      </c>
      <c r="FG129" s="328">
        <f>IFERROR(VLOOKUP(A129,BASE_558!D:R,13,FALSE)/1000,"")</f>
        <v>235.98642000000001</v>
      </c>
      <c r="FH129" s="328">
        <f>IFERROR(VLOOKUP(A129,BASE_558!D:R,15,FALSE)/1000,"")</f>
        <v>6.7635800000000001</v>
      </c>
      <c r="FI129" s="547">
        <f t="shared" si="69"/>
        <v>0</v>
      </c>
      <c r="FJ129" s="547">
        <f t="shared" si="70"/>
        <v>0</v>
      </c>
      <c r="FK129" s="540">
        <f t="shared" si="71"/>
        <v>0</v>
      </c>
    </row>
    <row r="130" spans="1:167" s="23" customFormat="1" ht="24" customHeight="1">
      <c r="A130" s="84" t="s">
        <v>135</v>
      </c>
      <c r="B130" s="404"/>
      <c r="C130" s="404"/>
      <c r="D130" s="338" t="s">
        <v>891</v>
      </c>
      <c r="E130" s="378"/>
      <c r="F130" s="310" t="s">
        <v>609</v>
      </c>
      <c r="G130" s="310" t="s">
        <v>9</v>
      </c>
      <c r="H130" s="338"/>
      <c r="I130" s="338"/>
      <c r="J130" s="338">
        <v>2018</v>
      </c>
      <c r="K130" s="316">
        <v>43381</v>
      </c>
      <c r="L130" s="317">
        <v>44281</v>
      </c>
      <c r="M130" s="409"/>
      <c r="N130" s="317">
        <f t="shared" si="74"/>
        <v>44293</v>
      </c>
      <c r="O130" s="317">
        <f t="shared" si="75"/>
        <v>44658</v>
      </c>
      <c r="P130" s="418" t="str">
        <f t="shared" si="81"/>
        <v>CRTD</v>
      </c>
      <c r="Q130" s="418" t="str">
        <f t="shared" si="81"/>
        <v>CRTD</v>
      </c>
      <c r="R130" s="418" t="str">
        <f t="shared" si="81"/>
        <v>CRTD</v>
      </c>
      <c r="S130" s="418" t="str">
        <f t="shared" si="81"/>
        <v>CRTD</v>
      </c>
      <c r="T130" s="418" t="str">
        <f t="shared" si="81"/>
        <v>CRTD</v>
      </c>
      <c r="U130" s="418" t="str">
        <f t="shared" si="81"/>
        <v>CRTD</v>
      </c>
      <c r="V130" s="418" t="str">
        <f t="shared" si="81"/>
        <v>CRTD</v>
      </c>
      <c r="W130" s="418" t="str">
        <f t="shared" si="81"/>
        <v>CRTD</v>
      </c>
      <c r="X130" s="418" t="str">
        <f t="shared" si="81"/>
        <v>CRTD</v>
      </c>
      <c r="Y130" s="418" t="str">
        <f t="shared" si="81"/>
        <v>CRTD</v>
      </c>
      <c r="Z130" s="418" t="str">
        <f t="shared" si="81"/>
        <v>CRTD</v>
      </c>
      <c r="AA130" s="418" t="str">
        <f t="shared" si="81"/>
        <v>CRTD</v>
      </c>
      <c r="AB130" s="317"/>
      <c r="AC130" s="309" t="s">
        <v>3932</v>
      </c>
      <c r="AD130" s="311" t="s">
        <v>5</v>
      </c>
      <c r="AE130" s="311" t="s">
        <v>952</v>
      </c>
      <c r="AF130" s="310" t="s">
        <v>6985</v>
      </c>
      <c r="AG130" s="310" t="s">
        <v>9083</v>
      </c>
      <c r="AH130" s="310" t="s">
        <v>136</v>
      </c>
      <c r="AI130" s="381" t="s">
        <v>2255</v>
      </c>
      <c r="AJ130" s="6" t="s">
        <v>218</v>
      </c>
      <c r="AK130" s="6" t="str">
        <f t="shared" si="49"/>
        <v>IGUAL</v>
      </c>
      <c r="AL130" s="151" t="str">
        <f>IFERROR(IF(LEFT(A130,3)="LCP",VLOOKUP(A130,STATUS_SAP_LCP!B:C,2,FALSE),VLOOKUP(A130,STATUS_SAP_ICP!B:C,2,FALSE)),"NO BUDGET")</f>
        <v>CLSD BUDG AUC  AVAC  //  APPR BREL EXPL</v>
      </c>
      <c r="AM130" s="6" t="str">
        <f t="shared" ref="AM130:AM193" si="82">IF(LEFT(AL130,4)="PREL","REL ",IF(LEFT(AL130,9)="NO BUDGET","NO BUDGET",LEFT(AL130,4)))</f>
        <v>CLSD</v>
      </c>
      <c r="AN130" s="282" t="s">
        <v>9090</v>
      </c>
      <c r="AO130" s="493">
        <v>1</v>
      </c>
      <c r="AP130" s="499" t="s">
        <v>9607</v>
      </c>
      <c r="AQ130" s="465">
        <v>44281</v>
      </c>
      <c r="AR130" s="460"/>
      <c r="AS130" s="56">
        <v>600.66446841782408</v>
      </c>
      <c r="AT130" s="185">
        <v>103.32557</v>
      </c>
      <c r="AU130" s="318">
        <v>13.032300000000001</v>
      </c>
      <c r="AV130" s="223">
        <v>0</v>
      </c>
      <c r="AW130" s="318">
        <v>0</v>
      </c>
      <c r="AX130" s="223">
        <v>0</v>
      </c>
      <c r="AY130" s="318">
        <f t="shared" si="76"/>
        <v>0</v>
      </c>
      <c r="AZ130" s="223"/>
      <c r="BA130" s="318"/>
      <c r="BB130" s="519">
        <f t="shared" si="77"/>
        <v>0</v>
      </c>
      <c r="BC130" s="518"/>
      <c r="BD130" s="518"/>
      <c r="BE130" s="518"/>
      <c r="BF130" s="518"/>
      <c r="BG130" s="518"/>
      <c r="BH130" s="518"/>
      <c r="BI130" s="518"/>
      <c r="BJ130" s="518"/>
      <c r="BK130" s="518"/>
      <c r="BL130" s="518"/>
      <c r="BM130" s="518"/>
      <c r="BN130" s="518"/>
      <c r="BO130" s="367">
        <f t="shared" si="50"/>
        <v>0</v>
      </c>
      <c r="BP130" s="421"/>
      <c r="BQ130" s="422"/>
      <c r="BR130" s="423">
        <f>IFERROR(IF(LEFT($A130,3)="Lcp",SUMIFS('BASE-LCP'!$K:$K,'BASE-LCP'!$A:$A,Capex!$A121,'BASE-LCP'!$B:$B,"janeiro")/1000,IF(LEFT($A130,3)="icp",SUMIFS('BASE-ICP'!$K:$K,'BASE-ICP'!$A:$A,Capex!$A121,'BASE-ICP'!$B:$B,"janeiro")/1000,"")),"")</f>
        <v>0</v>
      </c>
      <c r="BS130" s="427">
        <v>0</v>
      </c>
      <c r="BT130" s="372">
        <v>0</v>
      </c>
      <c r="BU130" s="422"/>
      <c r="BV130" s="423">
        <f>IFERROR(IF(LEFT($A130,3)="Lcp",SUMIFS('BASE-LCP'!$K:$K,'BASE-LCP'!$A:$A,Capex!$A121,'BASE-LCP'!$B:$B,"fevereiro")/1000,IF(LEFT($A130,3)="icp",SUMIFS('BASE-ICP'!$K:$K,'BASE-ICP'!$A:$A,Capex!$A121,'BASE-ICP'!$B:$B,"fevereiro")/1000,"")),"")</f>
        <v>0</v>
      </c>
      <c r="BW130" s="427">
        <v>0</v>
      </c>
      <c r="BX130" s="372">
        <v>0</v>
      </c>
      <c r="BY130" s="419"/>
      <c r="BZ130" s="423">
        <f>IFERROR(IF(LEFT($A130,3)="Lcp",SUMIFS('BASE-LCP'!$K:$K,'BASE-LCP'!$A:$A,Capex!$A121,'BASE-LCP'!$B:$B,"março")/1000,IF(LEFT($A130,3)="icp",SUMIFS('BASE-ICP'!$K:$K,'BASE-ICP'!$A:$A,Capex!$A121,'BASE-ICP'!$B:$B,"março")/1000,"")),"")</f>
        <v>0</v>
      </c>
      <c r="CA130" s="427">
        <v>0</v>
      </c>
      <c r="CB130" s="372">
        <v>0</v>
      </c>
      <c r="CC130" s="422"/>
      <c r="CD130" s="423">
        <f>IFERROR(IF(LEFT($A130,3)="Lcp",SUMIFS('BASE-LCP'!$K:$K,'BASE-LCP'!$A:$A,Capex!$A121,'BASE-LCP'!$B:$B,"abril")/1000,IF(LEFT($A130,3)="icp",SUMIFS('BASE-ICP'!$K:$K,'BASE-ICP'!$A:$A,Capex!$A121,'BASE-ICP'!$B:$B,"abril")/1000,"")),"")</f>
        <v>0</v>
      </c>
      <c r="CE130" s="427">
        <v>0</v>
      </c>
      <c r="CF130" s="372">
        <v>0</v>
      </c>
      <c r="CG130" s="419"/>
      <c r="CH130" s="423">
        <v>0</v>
      </c>
      <c r="CI130" s="427">
        <v>0</v>
      </c>
      <c r="CJ130" s="372">
        <v>0</v>
      </c>
      <c r="CK130" s="419"/>
      <c r="CL130" s="423">
        <f>IFERROR(IF(LEFT($A130,3)="Lcp",SUMIFS('BASE-LCP'!$K:$K,'BASE-LCP'!$A:$A,Capex!$A121,'BASE-LCP'!$B:$B,"junho")/1000,IF(LEFT($A130,3)="icp",SUMIFS('BASE-ICP'!$K:$K,'BASE-ICP'!$A:$A,Capex!$A121,'BASE-ICP'!$B:$B,"junho")/1000,"")),"")</f>
        <v>0</v>
      </c>
      <c r="CM130" s="427">
        <v>0</v>
      </c>
      <c r="CN130" s="372"/>
      <c r="CO130" s="419"/>
      <c r="CP130" s="423">
        <f>IFERROR(IF(LEFT($A130,3)="Lcp",SUMIFS('BASE-LCP'!$K:$K,'BASE-LCP'!$A:$A,Capex!$A121,'BASE-LCP'!$B:$B,"julho")/1000,IF(LEFT($A130,3)="icp",SUMIFS('BASE-ICP'!$K:$K,'BASE-ICP'!$A:$A,Capex!$A121,'BASE-ICP'!$B:$B,"julho")/1000,"")),"")</f>
        <v>0</v>
      </c>
      <c r="CQ130" s="427">
        <v>0</v>
      </c>
      <c r="CR130" s="372"/>
      <c r="CS130" s="419"/>
      <c r="CT130" s="423">
        <f>IFERROR(IF(LEFT($A130,3)="Lcp",SUMIFS('BASE-LCP'!$K:$K,'BASE-LCP'!$A:$A,Capex!$A121,'BASE-LCP'!$B:$B,"agosto")/1000,IF(LEFT($A130,3)="icp",SUMIFS('BASE-ICP'!$K:$K,'BASE-ICP'!$A:$A,Capex!$A121,'BASE-ICP'!$B:$B,"agosto")/1000,"")),"")</f>
        <v>0</v>
      </c>
      <c r="CU130" s="427">
        <v>0</v>
      </c>
      <c r="CV130" s="372"/>
      <c r="CW130" s="419"/>
      <c r="CX130" s="423">
        <f>IFERROR(IF(LEFT($A130,3)="Lcp",SUMIFS('BASE-LCP'!$K:$K,'BASE-LCP'!$A:$A,Capex!$A121,'BASE-LCP'!$B:$B,"setembro")/1000,IF(LEFT($A130,3)="icp",SUMIFS('BASE-ICP'!$K:$K,'BASE-ICP'!$A:$A,Capex!$A121,'BASE-ICP'!$B:$B,"setembro")/1000,"")),"")</f>
        <v>0</v>
      </c>
      <c r="CY130" s="427">
        <v>0</v>
      </c>
      <c r="CZ130" s="372"/>
      <c r="DA130" s="419"/>
      <c r="DB130" s="423">
        <f>IFERROR(IF(LEFT($A130,3)="Lcp",SUMIFS('BASE-LCP'!$K:$K,'BASE-LCP'!$A:$A,Capex!$A121,'BASE-LCP'!$B:$B,"outubro")/1000,IF(LEFT($A130,3)="icp",SUMIFS('BASE-ICP'!$K:$K,'BASE-ICP'!$A:$A,Capex!$A121,'BASE-ICP'!$B:$B,"outubro")/1000,"")),"")</f>
        <v>0</v>
      </c>
      <c r="DC130" s="427">
        <v>0</v>
      </c>
      <c r="DD130" s="372"/>
      <c r="DE130" s="419"/>
      <c r="DF130" s="423">
        <f>IFERROR(IF(LEFT($A130,3)="Lcp",SUMIFS('BASE-LCP'!$K:$K,'BASE-LCP'!$A:$A,Capex!$A121,'BASE-LCP'!$B:$B,"novembro")/1000,IF(LEFT($A130,3)="icp",SUMIFS('BASE-ICP'!$K:$K,'BASE-ICP'!$A:$A,Capex!$A121,'BASE-ICP'!$B:$B,"novembro")/1000,"")),"")</f>
        <v>0</v>
      </c>
      <c r="DG130" s="427">
        <v>0</v>
      </c>
      <c r="DH130" s="372"/>
      <c r="DI130" s="419"/>
      <c r="DJ130" s="423">
        <f>IFERROR(IF(LEFT($A130,3)="Lcp",SUMIFS('BASE-LCP'!$K:$K,'BASE-LCP'!$A:$A,Capex!$A121,'BASE-LCP'!$B:$B,"dezembro")/1000,IF(LEFT($A130,3)="icp",SUMIFS('BASE-ICP'!$K:$K,'BASE-ICP'!$A:$A,Capex!$A121,'BASE-ICP'!$B:$B,"dezembro")/1000,"")),"")</f>
        <v>0</v>
      </c>
      <c r="DK130" s="427">
        <v>0</v>
      </c>
      <c r="DL130" s="452">
        <f t="shared" si="51"/>
        <v>0</v>
      </c>
      <c r="DM130" s="374"/>
      <c r="DN130" s="374"/>
      <c r="DO130" s="374"/>
      <c r="DP130" s="374"/>
      <c r="DQ130" s="374"/>
      <c r="DR130" s="374"/>
      <c r="DS130" s="374"/>
      <c r="DT130" s="374"/>
      <c r="DU130" s="374"/>
      <c r="DV130" s="374"/>
      <c r="DW130" s="374"/>
      <c r="DX130" s="374"/>
      <c r="DY130" s="450"/>
      <c r="DZ130" s="374">
        <f t="shared" si="52"/>
        <v>0</v>
      </c>
      <c r="EA130" s="216">
        <f t="shared" si="53"/>
        <v>0</v>
      </c>
      <c r="EB130" s="320">
        <f t="shared" si="54"/>
        <v>0</v>
      </c>
      <c r="EC130" s="241">
        <f t="shared" si="55"/>
        <v>0</v>
      </c>
      <c r="ED130" s="241">
        <f t="shared" si="56"/>
        <v>0</v>
      </c>
      <c r="EE130" s="241">
        <f t="shared" si="57"/>
        <v>0</v>
      </c>
      <c r="EF130" s="241">
        <f t="shared" si="58"/>
        <v>0</v>
      </c>
      <c r="EG130" s="346">
        <f t="shared" si="59"/>
        <v>0</v>
      </c>
      <c r="EH130" s="445">
        <f t="shared" si="60"/>
        <v>0</v>
      </c>
      <c r="EI130" s="447">
        <f t="shared" si="61"/>
        <v>0</v>
      </c>
      <c r="EJ130" s="364">
        <f t="shared" si="62"/>
        <v>0</v>
      </c>
      <c r="EK130" s="365">
        <f t="shared" si="63"/>
        <v>0</v>
      </c>
      <c r="EL130" s="529">
        <f t="shared" si="64"/>
        <v>0</v>
      </c>
      <c r="EM130" s="530">
        <v>0</v>
      </c>
      <c r="EN130" s="530">
        <v>0</v>
      </c>
      <c r="EO130" s="530">
        <v>0</v>
      </c>
      <c r="EP130" s="530">
        <v>0</v>
      </c>
      <c r="EQ130" s="530">
        <v>0</v>
      </c>
      <c r="ER130" s="530">
        <v>0</v>
      </c>
      <c r="ES130" s="530">
        <v>0</v>
      </c>
      <c r="ET130" s="530">
        <v>0</v>
      </c>
      <c r="EU130" s="530">
        <v>0</v>
      </c>
      <c r="EV130" s="530">
        <v>0</v>
      </c>
      <c r="EW130" s="530">
        <v>0</v>
      </c>
      <c r="EX130" s="530">
        <v>0</v>
      </c>
      <c r="EY130" s="530">
        <f t="shared" si="65"/>
        <v>0</v>
      </c>
      <c r="EZ130" s="530">
        <f t="shared" si="66"/>
        <v>0</v>
      </c>
      <c r="FA130" s="530">
        <f t="shared" si="67"/>
        <v>0</v>
      </c>
      <c r="FB130" s="530">
        <f t="shared" si="68"/>
        <v>0</v>
      </c>
      <c r="FC130" s="384">
        <f>IFERROR(VLOOKUP(Capex!A121,BASE_558!D:R,8,FALSE)/1000,"")</f>
        <v>240</v>
      </c>
      <c r="FD130" s="328">
        <f>IFERROR(VLOOKUP(Capex!A121,BASE_558!D:R,9,)/1000,"")</f>
        <v>233.93749</v>
      </c>
      <c r="FE130" s="328">
        <f>IFERROR(IF(LEFT(A130,3)="LCP",(VLOOKUP(Capex!A121,BASE_558!D:R,10,)/1000),SUMIFS('BASE ICP_PO_SC'!F:F,'BASE ICP_PO_SC'!A:A,Capex!A121,'BASE ICP_PO_SC'!E:E,"&lt;&gt;")/1000),"")</f>
        <v>0</v>
      </c>
      <c r="FF130" s="328">
        <f>IFERROR(IF(LEFT(A130,3)="LCP",(VLOOKUP(Capex!A121,BASE_558!D:R,11,)/1000),SUMIFS('BASE ICP_PO_SC'!F:F,'BASE ICP_PO_SC'!A:A,Capex!A121,'BASE ICP_PO_SC'!E:E,"")/1000),"")</f>
        <v>0</v>
      </c>
      <c r="FG130" s="328">
        <f>IFERROR(VLOOKUP(A130,BASE_558!D:R,13,FALSE)/1000,"")</f>
        <v>749.76486</v>
      </c>
      <c r="FH130" s="328">
        <f>IFERROR(VLOOKUP(A130,BASE_558!D:R,15,FALSE)/1000,"")</f>
        <v>33.535139999999998</v>
      </c>
      <c r="FI130" s="547">
        <f t="shared" si="69"/>
        <v>0</v>
      </c>
      <c r="FJ130" s="547">
        <f t="shared" si="70"/>
        <v>0</v>
      </c>
      <c r="FK130" s="540">
        <f t="shared" si="71"/>
        <v>0</v>
      </c>
    </row>
    <row r="131" spans="1:167" s="23" customFormat="1" ht="24" customHeight="1">
      <c r="A131" s="84" t="s">
        <v>137</v>
      </c>
      <c r="B131" s="404"/>
      <c r="C131" s="404"/>
      <c r="D131" s="338" t="s">
        <v>918</v>
      </c>
      <c r="E131" s="378"/>
      <c r="F131" s="310" t="s">
        <v>609</v>
      </c>
      <c r="G131" s="310" t="s">
        <v>9</v>
      </c>
      <c r="H131" s="338"/>
      <c r="I131" s="338"/>
      <c r="J131" s="338">
        <v>2018</v>
      </c>
      <c r="K131" s="316">
        <v>43415</v>
      </c>
      <c r="L131" s="317">
        <v>44279</v>
      </c>
      <c r="M131" s="409"/>
      <c r="N131" s="317">
        <f t="shared" si="74"/>
        <v>44327</v>
      </c>
      <c r="O131" s="317">
        <f t="shared" si="75"/>
        <v>44692</v>
      </c>
      <c r="P131" s="418" t="str">
        <f t="shared" si="81"/>
        <v>CRTD</v>
      </c>
      <c r="Q131" s="418" t="str">
        <f t="shared" si="81"/>
        <v>CRTD</v>
      </c>
      <c r="R131" s="418" t="str">
        <f t="shared" si="81"/>
        <v>CRTD</v>
      </c>
      <c r="S131" s="418" t="str">
        <f t="shared" si="81"/>
        <v>CRTD</v>
      </c>
      <c r="T131" s="418" t="str">
        <f t="shared" si="81"/>
        <v>CRTD</v>
      </c>
      <c r="U131" s="418" t="str">
        <f t="shared" si="81"/>
        <v>CRTD</v>
      </c>
      <c r="V131" s="418" t="str">
        <f t="shared" si="81"/>
        <v>CRTD</v>
      </c>
      <c r="W131" s="418" t="str">
        <f t="shared" si="81"/>
        <v>CRTD</v>
      </c>
      <c r="X131" s="418" t="str">
        <f t="shared" si="81"/>
        <v>CRTD</v>
      </c>
      <c r="Y131" s="418" t="str">
        <f t="shared" si="81"/>
        <v>CRTD</v>
      </c>
      <c r="Z131" s="418" t="str">
        <f t="shared" si="81"/>
        <v>CRTD</v>
      </c>
      <c r="AA131" s="418" t="str">
        <f t="shared" si="81"/>
        <v>CRTD</v>
      </c>
      <c r="AB131" s="317"/>
      <c r="AC131" s="309" t="s">
        <v>3932</v>
      </c>
      <c r="AD131" s="311" t="s">
        <v>223</v>
      </c>
      <c r="AE131" s="311"/>
      <c r="AF131" s="310" t="s">
        <v>6985</v>
      </c>
      <c r="AG131" s="310" t="s">
        <v>9083</v>
      </c>
      <c r="AH131" s="310" t="s">
        <v>3246</v>
      </c>
      <c r="AI131" s="309" t="s">
        <v>186</v>
      </c>
      <c r="AJ131" s="6" t="s">
        <v>218</v>
      </c>
      <c r="AK131" s="6" t="str">
        <f t="shared" si="49"/>
        <v>IGUAL</v>
      </c>
      <c r="AL131" s="151" t="str">
        <f>IFERROR(IF(LEFT(A131,3)="LCP",VLOOKUP(A131,STATUS_SAP_LCP!B:C,2,FALSE),VLOOKUP(A131,STATUS_SAP_ICP!B:C,2,FALSE)),"NO BUDGET")</f>
        <v>CLSD BUDG AUC  AVAC  //  APPR BREL EXPL</v>
      </c>
      <c r="AM131" s="6" t="str">
        <f t="shared" si="82"/>
        <v>CLSD</v>
      </c>
      <c r="AN131" s="282" t="s">
        <v>9096</v>
      </c>
      <c r="AO131" s="493">
        <v>1</v>
      </c>
      <c r="AP131" s="499" t="s">
        <v>9607</v>
      </c>
      <c r="AQ131" s="465">
        <v>44279</v>
      </c>
      <c r="AR131" s="460"/>
      <c r="AS131" s="56">
        <v>186.02572000000001</v>
      </c>
      <c r="AT131" s="185">
        <v>75.347679999999997</v>
      </c>
      <c r="AU131" s="318">
        <v>0</v>
      </c>
      <c r="AV131" s="223">
        <v>0</v>
      </c>
      <c r="AW131" s="318">
        <v>0</v>
      </c>
      <c r="AX131" s="223">
        <v>0</v>
      </c>
      <c r="AY131" s="318">
        <f t="shared" si="76"/>
        <v>0</v>
      </c>
      <c r="AZ131" s="223"/>
      <c r="BA131" s="318"/>
      <c r="BB131" s="519">
        <f t="shared" si="77"/>
        <v>0</v>
      </c>
      <c r="BC131" s="518"/>
      <c r="BD131" s="518"/>
      <c r="BE131" s="518"/>
      <c r="BF131" s="518"/>
      <c r="BG131" s="518"/>
      <c r="BH131" s="518"/>
      <c r="BI131" s="518"/>
      <c r="BJ131" s="518"/>
      <c r="BK131" s="518"/>
      <c r="BL131" s="518"/>
      <c r="BM131" s="518"/>
      <c r="BN131" s="518"/>
      <c r="BO131" s="367">
        <f t="shared" si="50"/>
        <v>0</v>
      </c>
      <c r="BP131" s="421"/>
      <c r="BQ131" s="422"/>
      <c r="BR131" s="423">
        <f>IFERROR(IF(LEFT($A131,3)="Lcp",SUMIFS('BASE-LCP'!$K:$K,'BASE-LCP'!$A:$A,Capex!$A122,'BASE-LCP'!$B:$B,"janeiro")/1000,IF(LEFT($A131,3)="icp",SUMIFS('BASE-ICP'!$K:$K,'BASE-ICP'!$A:$A,Capex!$A122,'BASE-ICP'!$B:$B,"janeiro")/1000,"")),"")</f>
        <v>0</v>
      </c>
      <c r="BS131" s="427">
        <v>0</v>
      </c>
      <c r="BT131" s="372">
        <v>0</v>
      </c>
      <c r="BU131" s="422"/>
      <c r="BV131" s="423">
        <f>IFERROR(IF(LEFT($A131,3)="Lcp",SUMIFS('BASE-LCP'!$K:$K,'BASE-LCP'!$A:$A,Capex!$A122,'BASE-LCP'!$B:$B,"fevereiro")/1000,IF(LEFT($A131,3)="icp",SUMIFS('BASE-ICP'!$K:$K,'BASE-ICP'!$A:$A,Capex!$A122,'BASE-ICP'!$B:$B,"fevereiro")/1000,"")),"")</f>
        <v>0</v>
      </c>
      <c r="BW131" s="427">
        <v>0</v>
      </c>
      <c r="BX131" s="372">
        <v>0</v>
      </c>
      <c r="BY131" s="419"/>
      <c r="BZ131" s="423">
        <f>IFERROR(IF(LEFT($A131,3)="Lcp",SUMIFS('BASE-LCP'!$K:$K,'BASE-LCP'!$A:$A,Capex!$A122,'BASE-LCP'!$B:$B,"março")/1000,IF(LEFT($A131,3)="icp",SUMIFS('BASE-ICP'!$K:$K,'BASE-ICP'!$A:$A,Capex!$A122,'BASE-ICP'!$B:$B,"março")/1000,"")),"")</f>
        <v>0</v>
      </c>
      <c r="CA131" s="427">
        <v>0</v>
      </c>
      <c r="CB131" s="372">
        <v>0</v>
      </c>
      <c r="CC131" s="422"/>
      <c r="CD131" s="423">
        <f>IFERROR(IF(LEFT($A131,3)="Lcp",SUMIFS('BASE-LCP'!$K:$K,'BASE-LCP'!$A:$A,Capex!$A122,'BASE-LCP'!$B:$B,"abril")/1000,IF(LEFT($A131,3)="icp",SUMIFS('BASE-ICP'!$K:$K,'BASE-ICP'!$A:$A,Capex!$A122,'BASE-ICP'!$B:$B,"abril")/1000,"")),"")</f>
        <v>0</v>
      </c>
      <c r="CE131" s="427">
        <v>0</v>
      </c>
      <c r="CF131" s="372">
        <v>0</v>
      </c>
      <c r="CG131" s="419"/>
      <c r="CH131" s="423">
        <v>0</v>
      </c>
      <c r="CI131" s="427">
        <v>0</v>
      </c>
      <c r="CJ131" s="372">
        <v>0</v>
      </c>
      <c r="CK131" s="419"/>
      <c r="CL131" s="423">
        <f>IFERROR(IF(LEFT($A131,3)="Lcp",SUMIFS('BASE-LCP'!$K:$K,'BASE-LCP'!$A:$A,Capex!$A122,'BASE-LCP'!$B:$B,"junho")/1000,IF(LEFT($A131,3)="icp",SUMIFS('BASE-ICP'!$K:$K,'BASE-ICP'!$A:$A,Capex!$A122,'BASE-ICP'!$B:$B,"junho")/1000,"")),"")</f>
        <v>0</v>
      </c>
      <c r="CM131" s="427">
        <v>0</v>
      </c>
      <c r="CN131" s="372"/>
      <c r="CO131" s="419"/>
      <c r="CP131" s="423">
        <f>IFERROR(IF(LEFT($A131,3)="Lcp",SUMIFS('BASE-LCP'!$K:$K,'BASE-LCP'!$A:$A,Capex!$A122,'BASE-LCP'!$B:$B,"julho")/1000,IF(LEFT($A131,3)="icp",SUMIFS('BASE-ICP'!$K:$K,'BASE-ICP'!$A:$A,Capex!$A122,'BASE-ICP'!$B:$B,"julho")/1000,"")),"")</f>
        <v>0</v>
      </c>
      <c r="CQ131" s="427">
        <v>0</v>
      </c>
      <c r="CR131" s="372"/>
      <c r="CS131" s="419"/>
      <c r="CT131" s="423">
        <f>IFERROR(IF(LEFT($A131,3)="Lcp",SUMIFS('BASE-LCP'!$K:$K,'BASE-LCP'!$A:$A,Capex!$A122,'BASE-LCP'!$B:$B,"agosto")/1000,IF(LEFT($A131,3)="icp",SUMIFS('BASE-ICP'!$K:$K,'BASE-ICP'!$A:$A,Capex!$A122,'BASE-ICP'!$B:$B,"agosto")/1000,"")),"")</f>
        <v>0</v>
      </c>
      <c r="CU131" s="427">
        <v>0</v>
      </c>
      <c r="CV131" s="372"/>
      <c r="CW131" s="419"/>
      <c r="CX131" s="423">
        <f>IFERROR(IF(LEFT($A131,3)="Lcp",SUMIFS('BASE-LCP'!$K:$K,'BASE-LCP'!$A:$A,Capex!$A122,'BASE-LCP'!$B:$B,"setembro")/1000,IF(LEFT($A131,3)="icp",SUMIFS('BASE-ICP'!$K:$K,'BASE-ICP'!$A:$A,Capex!$A122,'BASE-ICP'!$B:$B,"setembro")/1000,"")),"")</f>
        <v>0</v>
      </c>
      <c r="CY131" s="427">
        <v>0</v>
      </c>
      <c r="CZ131" s="372"/>
      <c r="DA131" s="419"/>
      <c r="DB131" s="423">
        <f>IFERROR(IF(LEFT($A131,3)="Lcp",SUMIFS('BASE-LCP'!$K:$K,'BASE-LCP'!$A:$A,Capex!$A122,'BASE-LCP'!$B:$B,"outubro")/1000,IF(LEFT($A131,3)="icp",SUMIFS('BASE-ICP'!$K:$K,'BASE-ICP'!$A:$A,Capex!$A122,'BASE-ICP'!$B:$B,"outubro")/1000,"")),"")</f>
        <v>0</v>
      </c>
      <c r="DC131" s="427">
        <v>0</v>
      </c>
      <c r="DD131" s="372"/>
      <c r="DE131" s="419"/>
      <c r="DF131" s="423">
        <f>IFERROR(IF(LEFT($A131,3)="Lcp",SUMIFS('BASE-LCP'!$K:$K,'BASE-LCP'!$A:$A,Capex!$A122,'BASE-LCP'!$B:$B,"novembro")/1000,IF(LEFT($A131,3)="icp",SUMIFS('BASE-ICP'!$K:$K,'BASE-ICP'!$A:$A,Capex!$A122,'BASE-ICP'!$B:$B,"novembro")/1000,"")),"")</f>
        <v>0</v>
      </c>
      <c r="DG131" s="427">
        <v>0</v>
      </c>
      <c r="DH131" s="372"/>
      <c r="DI131" s="419"/>
      <c r="DJ131" s="423">
        <f>IFERROR(IF(LEFT($A131,3)="Lcp",SUMIFS('BASE-LCP'!$K:$K,'BASE-LCP'!$A:$A,Capex!$A122,'BASE-LCP'!$B:$B,"dezembro")/1000,IF(LEFT($A131,3)="icp",SUMIFS('BASE-ICP'!$K:$K,'BASE-ICP'!$A:$A,Capex!$A122,'BASE-ICP'!$B:$B,"dezembro")/1000,"")),"")</f>
        <v>0</v>
      </c>
      <c r="DK131" s="427">
        <v>0</v>
      </c>
      <c r="DL131" s="452">
        <f t="shared" si="51"/>
        <v>0</v>
      </c>
      <c r="DM131" s="374"/>
      <c r="DN131" s="374"/>
      <c r="DO131" s="374"/>
      <c r="DP131" s="374"/>
      <c r="DQ131" s="374"/>
      <c r="DR131" s="374"/>
      <c r="DS131" s="374"/>
      <c r="DT131" s="374"/>
      <c r="DU131" s="374"/>
      <c r="DV131" s="374"/>
      <c r="DW131" s="374"/>
      <c r="DX131" s="374"/>
      <c r="DY131" s="450"/>
      <c r="DZ131" s="374">
        <f t="shared" si="52"/>
        <v>0</v>
      </c>
      <c r="EA131" s="216">
        <f t="shared" si="53"/>
        <v>0</v>
      </c>
      <c r="EB131" s="320">
        <f t="shared" si="54"/>
        <v>0</v>
      </c>
      <c r="EC131" s="241">
        <f t="shared" si="55"/>
        <v>0</v>
      </c>
      <c r="ED131" s="241">
        <f t="shared" si="56"/>
        <v>0</v>
      </c>
      <c r="EE131" s="241">
        <f t="shared" si="57"/>
        <v>0</v>
      </c>
      <c r="EF131" s="241">
        <f t="shared" si="58"/>
        <v>0</v>
      </c>
      <c r="EG131" s="346">
        <f t="shared" si="59"/>
        <v>0</v>
      </c>
      <c r="EH131" s="445">
        <f t="shared" si="60"/>
        <v>0</v>
      </c>
      <c r="EI131" s="447">
        <f t="shared" si="61"/>
        <v>0</v>
      </c>
      <c r="EJ131" s="364">
        <f t="shared" si="62"/>
        <v>0</v>
      </c>
      <c r="EK131" s="365">
        <f t="shared" si="63"/>
        <v>0</v>
      </c>
      <c r="EL131" s="529">
        <f t="shared" si="64"/>
        <v>0</v>
      </c>
      <c r="EM131" s="530">
        <v>0</v>
      </c>
      <c r="EN131" s="530">
        <v>0</v>
      </c>
      <c r="EO131" s="530">
        <v>0</v>
      </c>
      <c r="EP131" s="530">
        <v>0</v>
      </c>
      <c r="EQ131" s="530">
        <v>0</v>
      </c>
      <c r="ER131" s="530">
        <v>0</v>
      </c>
      <c r="ES131" s="530">
        <v>0</v>
      </c>
      <c r="ET131" s="530">
        <v>0</v>
      </c>
      <c r="EU131" s="530">
        <v>0</v>
      </c>
      <c r="EV131" s="530">
        <v>0</v>
      </c>
      <c r="EW131" s="530">
        <v>0</v>
      </c>
      <c r="EX131" s="530">
        <v>0</v>
      </c>
      <c r="EY131" s="530">
        <f t="shared" si="65"/>
        <v>0</v>
      </c>
      <c r="EZ131" s="530">
        <f t="shared" si="66"/>
        <v>0</v>
      </c>
      <c r="FA131" s="530">
        <f t="shared" si="67"/>
        <v>0</v>
      </c>
      <c r="FB131" s="530">
        <f t="shared" si="68"/>
        <v>0</v>
      </c>
      <c r="FC131" s="384">
        <f>IFERROR(VLOOKUP(Capex!A122,BASE_558!D:R,8,FALSE)/1000,"")</f>
        <v>473.67599999999999</v>
      </c>
      <c r="FD131" s="328">
        <f>IFERROR(VLOOKUP(Capex!A122,BASE_558!D:R,9,)/1000,"")</f>
        <v>409.64359999999999</v>
      </c>
      <c r="FE131" s="328">
        <f>IFERROR(IF(LEFT(A131,3)="LCP",(VLOOKUP(Capex!A122,BASE_558!D:R,10,)/1000),SUMIFS('BASE ICP_PO_SC'!F:F,'BASE ICP_PO_SC'!A:A,Capex!A122,'BASE ICP_PO_SC'!E:E,"&lt;&gt;")/1000),"")</f>
        <v>0</v>
      </c>
      <c r="FF131" s="328">
        <f>IFERROR(IF(LEFT(A131,3)="LCP",(VLOOKUP(Capex!A122,BASE_558!D:R,11,)/1000),SUMIFS('BASE ICP_PO_SC'!F:F,'BASE ICP_PO_SC'!A:A,Capex!A122,'BASE ICP_PO_SC'!E:E,"")/1000),"")</f>
        <v>0</v>
      </c>
      <c r="FG131" s="328">
        <f>IFERROR(VLOOKUP(A131,BASE_558!D:R,13,FALSE)/1000,"")</f>
        <v>261.3734</v>
      </c>
      <c r="FH131" s="328">
        <f>IFERROR(VLOOKUP(A131,BASE_558!D:R,15,FALSE)/1000,"")</f>
        <v>299.22659999999996</v>
      </c>
      <c r="FI131" s="547">
        <f t="shared" si="69"/>
        <v>0</v>
      </c>
      <c r="FJ131" s="547">
        <f t="shared" si="70"/>
        <v>0</v>
      </c>
      <c r="FK131" s="540">
        <f t="shared" si="71"/>
        <v>0</v>
      </c>
    </row>
    <row r="132" spans="1:167" s="23" customFormat="1" ht="24" customHeight="1">
      <c r="A132" s="84" t="s">
        <v>83</v>
      </c>
      <c r="B132" s="404"/>
      <c r="C132" s="404"/>
      <c r="D132" s="338" t="s">
        <v>2226</v>
      </c>
      <c r="E132" s="378"/>
      <c r="F132" s="5"/>
      <c r="G132" s="310" t="s">
        <v>9</v>
      </c>
      <c r="H132" s="338"/>
      <c r="I132" s="338"/>
      <c r="J132" s="338">
        <v>2018</v>
      </c>
      <c r="K132" s="316">
        <v>43413</v>
      </c>
      <c r="L132" s="317">
        <v>44218</v>
      </c>
      <c r="M132" s="409"/>
      <c r="N132" s="317">
        <f t="shared" si="74"/>
        <v>44325</v>
      </c>
      <c r="O132" s="317">
        <f t="shared" si="75"/>
        <v>44690</v>
      </c>
      <c r="P132" s="418" t="str">
        <f t="shared" si="81"/>
        <v>CRTD</v>
      </c>
      <c r="Q132" s="418" t="str">
        <f t="shared" si="81"/>
        <v>CRTD</v>
      </c>
      <c r="R132" s="418" t="str">
        <f t="shared" si="81"/>
        <v>CRTD</v>
      </c>
      <c r="S132" s="418" t="str">
        <f t="shared" si="81"/>
        <v>CRTD</v>
      </c>
      <c r="T132" s="418" t="str">
        <f t="shared" si="81"/>
        <v>CRTD</v>
      </c>
      <c r="U132" s="418" t="str">
        <f t="shared" si="81"/>
        <v>CRTD</v>
      </c>
      <c r="V132" s="418" t="str">
        <f t="shared" si="81"/>
        <v>CRTD</v>
      </c>
      <c r="W132" s="418" t="str">
        <f t="shared" si="81"/>
        <v>CRTD</v>
      </c>
      <c r="X132" s="418" t="str">
        <f t="shared" si="81"/>
        <v>CRTD</v>
      </c>
      <c r="Y132" s="418" t="str">
        <f t="shared" si="81"/>
        <v>CRTD</v>
      </c>
      <c r="Z132" s="418" t="str">
        <f t="shared" si="81"/>
        <v>CRTD</v>
      </c>
      <c r="AA132" s="418" t="str">
        <f t="shared" si="81"/>
        <v>CRTD</v>
      </c>
      <c r="AB132" s="317"/>
      <c r="AC132" s="309" t="s">
        <v>3931</v>
      </c>
      <c r="AD132" s="311" t="s">
        <v>222</v>
      </c>
      <c r="AE132" s="311"/>
      <c r="AF132" s="310" t="s">
        <v>6985</v>
      </c>
      <c r="AG132" s="310" t="s">
        <v>9083</v>
      </c>
      <c r="AH132" s="310" t="s">
        <v>84</v>
      </c>
      <c r="AI132" s="381" t="s">
        <v>188</v>
      </c>
      <c r="AJ132" s="6" t="s">
        <v>218</v>
      </c>
      <c r="AK132" s="6" t="str">
        <f t="shared" si="49"/>
        <v>IGUAL</v>
      </c>
      <c r="AL132" s="151" t="str">
        <f>IFERROR(IF(LEFT(A132,3)="LCP",VLOOKUP(A132,STATUS_SAP_LCP!B:C,2,FALSE),VLOOKUP(A132,STATUS_SAP_ICP!B:C,2,FALSE)),"NO BUDGET")</f>
        <v>CLSD BUDG AUC  AVAC  //  APPR BREL EXPL</v>
      </c>
      <c r="AM132" s="6" t="str">
        <f t="shared" si="82"/>
        <v>CLSD</v>
      </c>
      <c r="AN132" s="282" t="s">
        <v>9092</v>
      </c>
      <c r="AO132" s="493">
        <v>1</v>
      </c>
      <c r="AP132" s="499" t="s">
        <v>9607</v>
      </c>
      <c r="AQ132" s="465">
        <v>44218</v>
      </c>
      <c r="AR132" s="460"/>
      <c r="AS132" s="56">
        <v>23.467699999999997</v>
      </c>
      <c r="AT132" s="185">
        <v>1.8438999999999999</v>
      </c>
      <c r="AU132" s="318">
        <v>0</v>
      </c>
      <c r="AV132" s="223">
        <v>0</v>
      </c>
      <c r="AW132" s="318">
        <v>0</v>
      </c>
      <c r="AX132" s="223">
        <v>0</v>
      </c>
      <c r="AY132" s="318">
        <f t="shared" si="76"/>
        <v>0</v>
      </c>
      <c r="AZ132" s="223"/>
      <c r="BA132" s="318"/>
      <c r="BB132" s="519">
        <f t="shared" si="77"/>
        <v>0</v>
      </c>
      <c r="BC132" s="518"/>
      <c r="BD132" s="518"/>
      <c r="BE132" s="518"/>
      <c r="BF132" s="518"/>
      <c r="BG132" s="518"/>
      <c r="BH132" s="518"/>
      <c r="BI132" s="518"/>
      <c r="BJ132" s="518"/>
      <c r="BK132" s="518"/>
      <c r="BL132" s="518"/>
      <c r="BM132" s="518"/>
      <c r="BN132" s="518"/>
      <c r="BO132" s="367">
        <f t="shared" si="50"/>
        <v>0</v>
      </c>
      <c r="BP132" s="421"/>
      <c r="BQ132" s="422"/>
      <c r="BR132" s="423">
        <f>IFERROR(IF(LEFT($A132,3)="Lcp",SUMIFS('BASE-LCP'!$K:$K,'BASE-LCP'!$A:$A,Capex!$A123,'BASE-LCP'!$B:$B,"janeiro")/1000,IF(LEFT($A132,3)="icp",SUMIFS('BASE-ICP'!$K:$K,'BASE-ICP'!$A:$A,Capex!$A123,'BASE-ICP'!$B:$B,"janeiro")/1000,"")),"")</f>
        <v>0</v>
      </c>
      <c r="BS132" s="427">
        <v>0</v>
      </c>
      <c r="BT132" s="372">
        <v>0</v>
      </c>
      <c r="BU132" s="422"/>
      <c r="BV132" s="423">
        <f>IFERROR(IF(LEFT($A132,3)="Lcp",SUMIFS('BASE-LCP'!$K:$K,'BASE-LCP'!$A:$A,Capex!$A123,'BASE-LCP'!$B:$B,"fevereiro")/1000,IF(LEFT($A132,3)="icp",SUMIFS('BASE-ICP'!$K:$K,'BASE-ICP'!$A:$A,Capex!$A123,'BASE-ICP'!$B:$B,"fevereiro")/1000,"")),"")</f>
        <v>0</v>
      </c>
      <c r="BW132" s="427">
        <v>0</v>
      </c>
      <c r="BX132" s="372">
        <v>0</v>
      </c>
      <c r="BY132" s="419"/>
      <c r="BZ132" s="423">
        <f>IFERROR(IF(LEFT($A132,3)="Lcp",SUMIFS('BASE-LCP'!$K:$K,'BASE-LCP'!$A:$A,Capex!$A123,'BASE-LCP'!$B:$B,"março")/1000,IF(LEFT($A132,3)="icp",SUMIFS('BASE-ICP'!$K:$K,'BASE-ICP'!$A:$A,Capex!$A123,'BASE-ICP'!$B:$B,"março")/1000,"")),"")</f>
        <v>0</v>
      </c>
      <c r="CA132" s="427">
        <v>0</v>
      </c>
      <c r="CB132" s="372">
        <v>0</v>
      </c>
      <c r="CC132" s="422"/>
      <c r="CD132" s="423">
        <f>IFERROR(IF(LEFT($A132,3)="Lcp",SUMIFS('BASE-LCP'!$K:$K,'BASE-LCP'!$A:$A,Capex!$A123,'BASE-LCP'!$B:$B,"abril")/1000,IF(LEFT($A132,3)="icp",SUMIFS('BASE-ICP'!$K:$K,'BASE-ICP'!$A:$A,Capex!$A123,'BASE-ICP'!$B:$B,"abril")/1000,"")),"")</f>
        <v>0</v>
      </c>
      <c r="CE132" s="427">
        <v>0</v>
      </c>
      <c r="CF132" s="372">
        <v>0</v>
      </c>
      <c r="CG132" s="419"/>
      <c r="CH132" s="423">
        <v>0</v>
      </c>
      <c r="CI132" s="427">
        <v>0</v>
      </c>
      <c r="CJ132" s="372">
        <v>0</v>
      </c>
      <c r="CK132" s="419"/>
      <c r="CL132" s="423">
        <f>IFERROR(IF(LEFT($A132,3)="Lcp",SUMIFS('BASE-LCP'!$K:$K,'BASE-LCP'!$A:$A,Capex!$A123,'BASE-LCP'!$B:$B,"junho")/1000,IF(LEFT($A132,3)="icp",SUMIFS('BASE-ICP'!$K:$K,'BASE-ICP'!$A:$A,Capex!$A123,'BASE-ICP'!$B:$B,"junho")/1000,"")),"")</f>
        <v>0</v>
      </c>
      <c r="CM132" s="427">
        <v>0</v>
      </c>
      <c r="CN132" s="372"/>
      <c r="CO132" s="419"/>
      <c r="CP132" s="423">
        <f>IFERROR(IF(LEFT($A132,3)="Lcp",SUMIFS('BASE-LCP'!$K:$K,'BASE-LCP'!$A:$A,Capex!$A123,'BASE-LCP'!$B:$B,"julho")/1000,IF(LEFT($A132,3)="icp",SUMIFS('BASE-ICP'!$K:$K,'BASE-ICP'!$A:$A,Capex!$A123,'BASE-ICP'!$B:$B,"julho")/1000,"")),"")</f>
        <v>0</v>
      </c>
      <c r="CQ132" s="427">
        <v>0</v>
      </c>
      <c r="CR132" s="372"/>
      <c r="CS132" s="419"/>
      <c r="CT132" s="423">
        <f>IFERROR(IF(LEFT($A132,3)="Lcp",SUMIFS('BASE-LCP'!$K:$K,'BASE-LCP'!$A:$A,Capex!$A123,'BASE-LCP'!$B:$B,"agosto")/1000,IF(LEFT($A132,3)="icp",SUMIFS('BASE-ICP'!$K:$K,'BASE-ICP'!$A:$A,Capex!$A123,'BASE-ICP'!$B:$B,"agosto")/1000,"")),"")</f>
        <v>0</v>
      </c>
      <c r="CU132" s="427">
        <v>0</v>
      </c>
      <c r="CV132" s="372"/>
      <c r="CW132" s="419"/>
      <c r="CX132" s="423">
        <f>IFERROR(IF(LEFT($A132,3)="Lcp",SUMIFS('BASE-LCP'!$K:$K,'BASE-LCP'!$A:$A,Capex!$A123,'BASE-LCP'!$B:$B,"setembro")/1000,IF(LEFT($A132,3)="icp",SUMIFS('BASE-ICP'!$K:$K,'BASE-ICP'!$A:$A,Capex!$A123,'BASE-ICP'!$B:$B,"setembro")/1000,"")),"")</f>
        <v>0</v>
      </c>
      <c r="CY132" s="427">
        <v>0</v>
      </c>
      <c r="CZ132" s="372"/>
      <c r="DA132" s="419"/>
      <c r="DB132" s="423">
        <f>IFERROR(IF(LEFT($A132,3)="Lcp",SUMIFS('BASE-LCP'!$K:$K,'BASE-LCP'!$A:$A,Capex!$A123,'BASE-LCP'!$B:$B,"outubro")/1000,IF(LEFT($A132,3)="icp",SUMIFS('BASE-ICP'!$K:$K,'BASE-ICP'!$A:$A,Capex!$A123,'BASE-ICP'!$B:$B,"outubro")/1000,"")),"")</f>
        <v>0</v>
      </c>
      <c r="DC132" s="427">
        <v>0</v>
      </c>
      <c r="DD132" s="372"/>
      <c r="DE132" s="419"/>
      <c r="DF132" s="423">
        <f>IFERROR(IF(LEFT($A132,3)="Lcp",SUMIFS('BASE-LCP'!$K:$K,'BASE-LCP'!$A:$A,Capex!$A123,'BASE-LCP'!$B:$B,"novembro")/1000,IF(LEFT($A132,3)="icp",SUMIFS('BASE-ICP'!$K:$K,'BASE-ICP'!$A:$A,Capex!$A123,'BASE-ICP'!$B:$B,"novembro")/1000,"")),"")</f>
        <v>0</v>
      </c>
      <c r="DG132" s="427">
        <v>0</v>
      </c>
      <c r="DH132" s="372"/>
      <c r="DI132" s="419"/>
      <c r="DJ132" s="423">
        <f>IFERROR(IF(LEFT($A132,3)="Lcp",SUMIFS('BASE-LCP'!$K:$K,'BASE-LCP'!$A:$A,Capex!$A123,'BASE-LCP'!$B:$B,"dezembro")/1000,IF(LEFT($A132,3)="icp",SUMIFS('BASE-ICP'!$K:$K,'BASE-ICP'!$A:$A,Capex!$A123,'BASE-ICP'!$B:$B,"dezembro")/1000,"")),"")</f>
        <v>0</v>
      </c>
      <c r="DK132" s="427">
        <v>0</v>
      </c>
      <c r="DL132" s="452">
        <f t="shared" si="51"/>
        <v>0</v>
      </c>
      <c r="DM132" s="374"/>
      <c r="DN132" s="374"/>
      <c r="DO132" s="374"/>
      <c r="DP132" s="374"/>
      <c r="DQ132" s="374"/>
      <c r="DR132" s="374"/>
      <c r="DS132" s="374"/>
      <c r="DT132" s="374"/>
      <c r="DU132" s="374"/>
      <c r="DV132" s="374"/>
      <c r="DW132" s="374"/>
      <c r="DX132" s="374"/>
      <c r="DY132" s="450"/>
      <c r="DZ132" s="374">
        <f t="shared" si="52"/>
        <v>0</v>
      </c>
      <c r="EA132" s="216">
        <f t="shared" si="53"/>
        <v>0</v>
      </c>
      <c r="EB132" s="320">
        <f t="shared" si="54"/>
        <v>0</v>
      </c>
      <c r="EC132" s="241">
        <f t="shared" si="55"/>
        <v>0</v>
      </c>
      <c r="ED132" s="241">
        <f t="shared" si="56"/>
        <v>0</v>
      </c>
      <c r="EE132" s="241">
        <f t="shared" si="57"/>
        <v>0</v>
      </c>
      <c r="EF132" s="241">
        <f t="shared" si="58"/>
        <v>0</v>
      </c>
      <c r="EG132" s="346">
        <f t="shared" si="59"/>
        <v>0</v>
      </c>
      <c r="EH132" s="445">
        <f t="shared" si="60"/>
        <v>0</v>
      </c>
      <c r="EI132" s="447">
        <f t="shared" si="61"/>
        <v>0</v>
      </c>
      <c r="EJ132" s="364">
        <f t="shared" si="62"/>
        <v>0</v>
      </c>
      <c r="EK132" s="365">
        <f t="shared" si="63"/>
        <v>0</v>
      </c>
      <c r="EL132" s="529">
        <f t="shared" si="64"/>
        <v>0</v>
      </c>
      <c r="EM132" s="530">
        <v>0</v>
      </c>
      <c r="EN132" s="530">
        <v>0</v>
      </c>
      <c r="EO132" s="530">
        <v>0</v>
      </c>
      <c r="EP132" s="530">
        <v>0</v>
      </c>
      <c r="EQ132" s="530">
        <v>0</v>
      </c>
      <c r="ER132" s="530">
        <v>0</v>
      </c>
      <c r="ES132" s="530">
        <v>0</v>
      </c>
      <c r="ET132" s="530">
        <v>0</v>
      </c>
      <c r="EU132" s="530">
        <v>0</v>
      </c>
      <c r="EV132" s="530">
        <v>0</v>
      </c>
      <c r="EW132" s="530">
        <v>0</v>
      </c>
      <c r="EX132" s="530">
        <v>0</v>
      </c>
      <c r="EY132" s="530">
        <f t="shared" si="65"/>
        <v>0</v>
      </c>
      <c r="EZ132" s="530">
        <f t="shared" si="66"/>
        <v>0</v>
      </c>
      <c r="FA132" s="530">
        <f t="shared" si="67"/>
        <v>0</v>
      </c>
      <c r="FB132" s="530">
        <f t="shared" si="68"/>
        <v>0</v>
      </c>
      <c r="FC132" s="384">
        <f>IFERROR(VLOOKUP(Capex!A123,BASE_558!D:R,8,FALSE)/1000,"")</f>
        <v>77.8</v>
      </c>
      <c r="FD132" s="328">
        <f>IFERROR(VLOOKUP(Capex!A123,BASE_558!D:R,9,)/1000,"")</f>
        <v>67.885159999999999</v>
      </c>
      <c r="FE132" s="328">
        <f>IFERROR(IF(LEFT(A132,3)="LCP",(VLOOKUP(Capex!A123,BASE_558!D:R,10,)/1000),SUMIFS('BASE ICP_PO_SC'!F:F,'BASE ICP_PO_SC'!A:A,Capex!A123,'BASE ICP_PO_SC'!E:E,"&lt;&gt;")/1000),"")</f>
        <v>0</v>
      </c>
      <c r="FF132" s="328">
        <f>IFERROR(IF(LEFT(A132,3)="LCP",(VLOOKUP(Capex!A123,BASE_558!D:R,11,)/1000),SUMIFS('BASE ICP_PO_SC'!F:F,'BASE ICP_PO_SC'!A:A,Capex!A123,'BASE ICP_PO_SC'!E:E,"")/1000),"")</f>
        <v>0</v>
      </c>
      <c r="FG132" s="328">
        <f>IFERROR(VLOOKUP(A132,BASE_558!D:R,13,FALSE)/1000,"")</f>
        <v>38.428539999999998</v>
      </c>
      <c r="FH132" s="328">
        <f>IFERROR(VLOOKUP(A132,BASE_558!D:R,15,FALSE)/1000,"")</f>
        <v>0.20846000000000001</v>
      </c>
      <c r="FI132" s="547">
        <f t="shared" si="69"/>
        <v>0</v>
      </c>
      <c r="FJ132" s="547">
        <f t="shared" si="70"/>
        <v>0</v>
      </c>
      <c r="FK132" s="540">
        <f t="shared" si="71"/>
        <v>0</v>
      </c>
    </row>
    <row r="133" spans="1:167" s="23" customFormat="1" ht="24" customHeight="1">
      <c r="A133" s="84" t="s">
        <v>141</v>
      </c>
      <c r="B133" s="404"/>
      <c r="C133" s="404"/>
      <c r="D133" s="338" t="s">
        <v>2227</v>
      </c>
      <c r="E133" s="378"/>
      <c r="F133" s="5"/>
      <c r="G133" s="310" t="s">
        <v>9</v>
      </c>
      <c r="H133" s="338"/>
      <c r="I133" s="338"/>
      <c r="J133" s="338">
        <v>2019</v>
      </c>
      <c r="K133" s="316">
        <v>43441</v>
      </c>
      <c r="L133" s="317">
        <v>44077</v>
      </c>
      <c r="M133" s="409"/>
      <c r="N133" s="317">
        <f t="shared" si="74"/>
        <v>44353</v>
      </c>
      <c r="O133" s="317">
        <f t="shared" si="75"/>
        <v>44718</v>
      </c>
      <c r="P133" s="418" t="str">
        <f t="shared" si="81"/>
        <v>CRTD</v>
      </c>
      <c r="Q133" s="418" t="str">
        <f t="shared" si="81"/>
        <v>CRTD</v>
      </c>
      <c r="R133" s="418" t="str">
        <f t="shared" si="81"/>
        <v>CRTD</v>
      </c>
      <c r="S133" s="418" t="str">
        <f t="shared" si="81"/>
        <v>CRTD</v>
      </c>
      <c r="T133" s="418" t="str">
        <f t="shared" si="81"/>
        <v>CRTD</v>
      </c>
      <c r="U133" s="418" t="str">
        <f t="shared" si="81"/>
        <v>CRTD</v>
      </c>
      <c r="V133" s="418" t="str">
        <f t="shared" si="81"/>
        <v>CRTD</v>
      </c>
      <c r="W133" s="418" t="str">
        <f t="shared" si="81"/>
        <v>CRTD</v>
      </c>
      <c r="X133" s="418" t="str">
        <f t="shared" si="81"/>
        <v>CRTD</v>
      </c>
      <c r="Y133" s="418" t="str">
        <f t="shared" si="81"/>
        <v>CRTD</v>
      </c>
      <c r="Z133" s="418" t="str">
        <f t="shared" si="81"/>
        <v>CRTD</v>
      </c>
      <c r="AA133" s="418" t="str">
        <f t="shared" si="81"/>
        <v>CRTD</v>
      </c>
      <c r="AB133" s="317"/>
      <c r="AC133" s="309" t="s">
        <v>3931</v>
      </c>
      <c r="AD133" s="311" t="s">
        <v>223</v>
      </c>
      <c r="AE133" s="311"/>
      <c r="AF133" s="310" t="s">
        <v>6985</v>
      </c>
      <c r="AG133" s="310" t="s">
        <v>9083</v>
      </c>
      <c r="AH133" s="310" t="s">
        <v>142</v>
      </c>
      <c r="AI133" s="309" t="s">
        <v>188</v>
      </c>
      <c r="AJ133" s="6" t="s">
        <v>218</v>
      </c>
      <c r="AK133" s="6" t="str">
        <f t="shared" ref="AK133:AK196" si="83">IF(AJ133&lt;&gt;AM133,"DIFERENTE","IGUAL")</f>
        <v>IGUAL</v>
      </c>
      <c r="AL133" s="151" t="str">
        <f>IFERROR(IF(LEFT(A133,3)="LCP",VLOOKUP(A133,STATUS_SAP_LCP!B:C,2,FALSE),VLOOKUP(A133,STATUS_SAP_ICP!B:C,2,FALSE)),"NO BUDGET")</f>
        <v>CLSD BUDG AUC  AVAC  //  APPR BREL EXPL</v>
      </c>
      <c r="AM133" s="6" t="str">
        <f t="shared" si="82"/>
        <v>CLSD</v>
      </c>
      <c r="AN133" s="282" t="s">
        <v>9086</v>
      </c>
      <c r="AO133" s="493">
        <v>1</v>
      </c>
      <c r="AP133" s="499" t="s">
        <v>9607</v>
      </c>
      <c r="AQ133" s="465">
        <v>44077</v>
      </c>
      <c r="AR133" s="460"/>
      <c r="AS133" s="56">
        <v>163.36076691151069</v>
      </c>
      <c r="AT133" s="185">
        <v>8.7749100000000002</v>
      </c>
      <c r="AU133" s="318">
        <v>0</v>
      </c>
      <c r="AV133" s="223">
        <v>0</v>
      </c>
      <c r="AW133" s="318">
        <v>0</v>
      </c>
      <c r="AX133" s="223">
        <v>0</v>
      </c>
      <c r="AY133" s="318">
        <f t="shared" si="76"/>
        <v>0</v>
      </c>
      <c r="AZ133" s="223"/>
      <c r="BA133" s="318"/>
      <c r="BB133" s="519">
        <f t="shared" si="77"/>
        <v>0</v>
      </c>
      <c r="BC133" s="518"/>
      <c r="BD133" s="518"/>
      <c r="BE133" s="518"/>
      <c r="BF133" s="518"/>
      <c r="BG133" s="518"/>
      <c r="BH133" s="518"/>
      <c r="BI133" s="518"/>
      <c r="BJ133" s="518"/>
      <c r="BK133" s="518"/>
      <c r="BL133" s="518"/>
      <c r="BM133" s="518"/>
      <c r="BN133" s="518"/>
      <c r="BO133" s="367">
        <f t="shared" ref="BO133:BO196" si="84">SUM(BS133,BW133,CA133,CE133,CI133,CM133,CQ133,CU133,CY133,DC133,DG133,DK133)</f>
        <v>0</v>
      </c>
      <c r="BP133" s="421"/>
      <c r="BQ133" s="422"/>
      <c r="BR133" s="423">
        <f>IFERROR(IF(LEFT($A133,3)="Lcp",SUMIFS('BASE-LCP'!$K:$K,'BASE-LCP'!$A:$A,Capex!$A124,'BASE-LCP'!$B:$B,"janeiro")/1000,IF(LEFT($A133,3)="icp",SUMIFS('BASE-ICP'!$K:$K,'BASE-ICP'!$A:$A,Capex!$A124,'BASE-ICP'!$B:$B,"janeiro")/1000,"")),"")</f>
        <v>0</v>
      </c>
      <c r="BS133" s="427">
        <v>0</v>
      </c>
      <c r="BT133" s="372">
        <v>0</v>
      </c>
      <c r="BU133" s="422"/>
      <c r="BV133" s="423">
        <f>IFERROR(IF(LEFT($A133,3)="Lcp",SUMIFS('BASE-LCP'!$K:$K,'BASE-LCP'!$A:$A,Capex!$A124,'BASE-LCP'!$B:$B,"fevereiro")/1000,IF(LEFT($A133,3)="icp",SUMIFS('BASE-ICP'!$K:$K,'BASE-ICP'!$A:$A,Capex!$A124,'BASE-ICP'!$B:$B,"fevereiro")/1000,"")),"")</f>
        <v>0</v>
      </c>
      <c r="BW133" s="427">
        <v>0</v>
      </c>
      <c r="BX133" s="372">
        <v>0</v>
      </c>
      <c r="BY133" s="419"/>
      <c r="BZ133" s="423">
        <f>IFERROR(IF(LEFT($A133,3)="Lcp",SUMIFS('BASE-LCP'!$K:$K,'BASE-LCP'!$A:$A,Capex!$A124,'BASE-LCP'!$B:$B,"março")/1000,IF(LEFT($A133,3)="icp",SUMIFS('BASE-ICP'!$K:$K,'BASE-ICP'!$A:$A,Capex!$A124,'BASE-ICP'!$B:$B,"março")/1000,"")),"")</f>
        <v>0</v>
      </c>
      <c r="CA133" s="427">
        <v>0</v>
      </c>
      <c r="CB133" s="372">
        <v>0</v>
      </c>
      <c r="CC133" s="422"/>
      <c r="CD133" s="423">
        <f>IFERROR(IF(LEFT($A133,3)="Lcp",SUMIFS('BASE-LCP'!$K:$K,'BASE-LCP'!$A:$A,Capex!$A124,'BASE-LCP'!$B:$B,"abril")/1000,IF(LEFT($A133,3)="icp",SUMIFS('BASE-ICP'!$K:$K,'BASE-ICP'!$A:$A,Capex!$A124,'BASE-ICP'!$B:$B,"abril")/1000,"")),"")</f>
        <v>0</v>
      </c>
      <c r="CE133" s="427">
        <v>0</v>
      </c>
      <c r="CF133" s="372">
        <v>0</v>
      </c>
      <c r="CG133" s="419"/>
      <c r="CH133" s="423">
        <v>0</v>
      </c>
      <c r="CI133" s="427">
        <v>0</v>
      </c>
      <c r="CJ133" s="372">
        <v>0</v>
      </c>
      <c r="CK133" s="419"/>
      <c r="CL133" s="423">
        <f>IFERROR(IF(LEFT($A133,3)="Lcp",SUMIFS('BASE-LCP'!$K:$K,'BASE-LCP'!$A:$A,Capex!$A124,'BASE-LCP'!$B:$B,"junho")/1000,IF(LEFT($A133,3)="icp",SUMIFS('BASE-ICP'!$K:$K,'BASE-ICP'!$A:$A,Capex!$A124,'BASE-ICP'!$B:$B,"junho")/1000,"")),"")</f>
        <v>0</v>
      </c>
      <c r="CM133" s="427">
        <v>0</v>
      </c>
      <c r="CN133" s="372"/>
      <c r="CO133" s="419"/>
      <c r="CP133" s="423">
        <f>IFERROR(IF(LEFT($A133,3)="Lcp",SUMIFS('BASE-LCP'!$K:$K,'BASE-LCP'!$A:$A,Capex!$A124,'BASE-LCP'!$B:$B,"julho")/1000,IF(LEFT($A133,3)="icp",SUMIFS('BASE-ICP'!$K:$K,'BASE-ICP'!$A:$A,Capex!$A124,'BASE-ICP'!$B:$B,"julho")/1000,"")),"")</f>
        <v>0</v>
      </c>
      <c r="CQ133" s="427">
        <v>0</v>
      </c>
      <c r="CR133" s="372"/>
      <c r="CS133" s="419"/>
      <c r="CT133" s="423">
        <f>IFERROR(IF(LEFT($A133,3)="Lcp",SUMIFS('BASE-LCP'!$K:$K,'BASE-LCP'!$A:$A,Capex!$A124,'BASE-LCP'!$B:$B,"agosto")/1000,IF(LEFT($A133,3)="icp",SUMIFS('BASE-ICP'!$K:$K,'BASE-ICP'!$A:$A,Capex!$A124,'BASE-ICP'!$B:$B,"agosto")/1000,"")),"")</f>
        <v>0</v>
      </c>
      <c r="CU133" s="427">
        <v>0</v>
      </c>
      <c r="CV133" s="372"/>
      <c r="CW133" s="419"/>
      <c r="CX133" s="423">
        <f>IFERROR(IF(LEFT($A133,3)="Lcp",SUMIFS('BASE-LCP'!$K:$K,'BASE-LCP'!$A:$A,Capex!$A124,'BASE-LCP'!$B:$B,"setembro")/1000,IF(LEFT($A133,3)="icp",SUMIFS('BASE-ICP'!$K:$K,'BASE-ICP'!$A:$A,Capex!$A124,'BASE-ICP'!$B:$B,"setembro")/1000,"")),"")</f>
        <v>0</v>
      </c>
      <c r="CY133" s="427">
        <v>0</v>
      </c>
      <c r="CZ133" s="372"/>
      <c r="DA133" s="419"/>
      <c r="DB133" s="423">
        <f>IFERROR(IF(LEFT($A133,3)="Lcp",SUMIFS('BASE-LCP'!$K:$K,'BASE-LCP'!$A:$A,Capex!$A124,'BASE-LCP'!$B:$B,"outubro")/1000,IF(LEFT($A133,3)="icp",SUMIFS('BASE-ICP'!$K:$K,'BASE-ICP'!$A:$A,Capex!$A124,'BASE-ICP'!$B:$B,"outubro")/1000,"")),"")</f>
        <v>0</v>
      </c>
      <c r="DC133" s="427">
        <v>0</v>
      </c>
      <c r="DD133" s="372"/>
      <c r="DE133" s="419"/>
      <c r="DF133" s="423">
        <f>IFERROR(IF(LEFT($A133,3)="Lcp",SUMIFS('BASE-LCP'!$K:$K,'BASE-LCP'!$A:$A,Capex!$A124,'BASE-LCP'!$B:$B,"novembro")/1000,IF(LEFT($A133,3)="icp",SUMIFS('BASE-ICP'!$K:$K,'BASE-ICP'!$A:$A,Capex!$A124,'BASE-ICP'!$B:$B,"novembro")/1000,"")),"")</f>
        <v>0</v>
      </c>
      <c r="DG133" s="427">
        <v>0</v>
      </c>
      <c r="DH133" s="372"/>
      <c r="DI133" s="419"/>
      <c r="DJ133" s="423">
        <f>IFERROR(IF(LEFT($A133,3)="Lcp",SUMIFS('BASE-LCP'!$K:$K,'BASE-LCP'!$A:$A,Capex!$A124,'BASE-LCP'!$B:$B,"dezembro")/1000,IF(LEFT($A133,3)="icp",SUMIFS('BASE-ICP'!$K:$K,'BASE-ICP'!$A:$A,Capex!$A124,'BASE-ICP'!$B:$B,"dezembro")/1000,"")),"")</f>
        <v>0</v>
      </c>
      <c r="DK133" s="427">
        <v>0</v>
      </c>
      <c r="DL133" s="452">
        <f t="shared" ref="DL133:DL196" si="85">SUM(DM133:DX133)</f>
        <v>0</v>
      </c>
      <c r="DM133" s="374"/>
      <c r="DN133" s="374"/>
      <c r="DO133" s="374"/>
      <c r="DP133" s="374"/>
      <c r="DQ133" s="374"/>
      <c r="DR133" s="374"/>
      <c r="DS133" s="374"/>
      <c r="DT133" s="374"/>
      <c r="DU133" s="374"/>
      <c r="DV133" s="374"/>
      <c r="DW133" s="374"/>
      <c r="DX133" s="374"/>
      <c r="DY133" s="450"/>
      <c r="DZ133" s="374">
        <f t="shared" ref="DZ133:DZ196" si="86">SUM(DL133,DY133)</f>
        <v>0</v>
      </c>
      <c r="EA133" s="216">
        <f t="shared" ref="EA133:EA196" si="87">CM133-CJ133</f>
        <v>0</v>
      </c>
      <c r="EB133" s="320">
        <f t="shared" ref="EB133:EB196" si="88">CL133-CM133</f>
        <v>0</v>
      </c>
      <c r="EC133" s="241">
        <f t="shared" ref="EC133:EC196" si="89">SUM(BS133,BW133,CA133)</f>
        <v>0</v>
      </c>
      <c r="ED133" s="241">
        <f t="shared" ref="ED133:ED196" si="90">SUM(CE133,CI133,CM133)</f>
        <v>0</v>
      </c>
      <c r="EE133" s="241">
        <f t="shared" ref="EE133:EE196" si="91">SUM(CQ133,CU133,CY133)</f>
        <v>0</v>
      </c>
      <c r="EF133" s="241">
        <f t="shared" ref="EF133:EF196" si="92">SUM(DC133,DG133,DK133)</f>
        <v>0</v>
      </c>
      <c r="EG133" s="346">
        <f t="shared" ref="EG133:EG196" si="93">BO133-BB133</f>
        <v>0</v>
      </c>
      <c r="EH133" s="445">
        <f t="shared" ref="EH133:EH196" si="94">CF133</f>
        <v>0</v>
      </c>
      <c r="EI133" s="447">
        <f t="shared" ref="EI133:EI196" si="95">CH133</f>
        <v>0</v>
      </c>
      <c r="EJ133" s="364">
        <f t="shared" ref="EJ133:EJ196" si="96">SUM(BS133,BW133,CA133,CE133,CI133,CL133)</f>
        <v>0</v>
      </c>
      <c r="EK133" s="365">
        <f t="shared" ref="EK133:EK196" si="97">BO133-EJ133</f>
        <v>0</v>
      </c>
      <c r="EL133" s="529">
        <f t="shared" ref="EL133:EL196" si="98">SUM(EM133:EX133)</f>
        <v>0</v>
      </c>
      <c r="EM133" s="530">
        <v>0</v>
      </c>
      <c r="EN133" s="530">
        <v>0</v>
      </c>
      <c r="EO133" s="530">
        <v>0</v>
      </c>
      <c r="EP133" s="530">
        <v>0</v>
      </c>
      <c r="EQ133" s="530">
        <v>0</v>
      </c>
      <c r="ER133" s="530">
        <v>0</v>
      </c>
      <c r="ES133" s="530">
        <v>0</v>
      </c>
      <c r="ET133" s="530">
        <v>0</v>
      </c>
      <c r="EU133" s="530">
        <v>0</v>
      </c>
      <c r="EV133" s="530">
        <v>0</v>
      </c>
      <c r="EW133" s="530">
        <v>0</v>
      </c>
      <c r="EX133" s="530">
        <v>0</v>
      </c>
      <c r="EY133" s="530">
        <f t="shared" ref="EY133:EY196" si="99">SUM(EM133:EO133)</f>
        <v>0</v>
      </c>
      <c r="EZ133" s="530">
        <f t="shared" ref="EZ133:EZ196" si="100">SUM(EP133:ER133)</f>
        <v>0</v>
      </c>
      <c r="FA133" s="530">
        <f t="shared" ref="FA133:FA196" si="101">SUM(ES133:EU133)</f>
        <v>0</v>
      </c>
      <c r="FB133" s="530">
        <f t="shared" ref="FB133:FB196" si="102">SUM(EV133:EX133)</f>
        <v>0</v>
      </c>
      <c r="FC133" s="384">
        <f>IFERROR(VLOOKUP(Capex!A124,BASE_558!D:R,8,FALSE)/1000,"")</f>
        <v>145.15</v>
      </c>
      <c r="FD133" s="328">
        <f>IFERROR(VLOOKUP(Capex!A124,BASE_558!D:R,9,)/1000,"")</f>
        <v>16.617819999999998</v>
      </c>
      <c r="FE133" s="328">
        <f>IFERROR(IF(LEFT(A133,3)="LCP",(VLOOKUP(Capex!A124,BASE_558!D:R,10,)/1000),SUMIFS('BASE ICP_PO_SC'!F:F,'BASE ICP_PO_SC'!A:A,Capex!A124,'BASE ICP_PO_SC'!E:E,"&lt;&gt;")/1000),"")</f>
        <v>0</v>
      </c>
      <c r="FF133" s="328">
        <f>IFERROR(IF(LEFT(A133,3)="LCP",(VLOOKUP(Capex!A124,BASE_558!D:R,11,)/1000),SUMIFS('BASE ICP_PO_SC'!F:F,'BASE ICP_PO_SC'!A:A,Capex!A124,'BASE ICP_PO_SC'!E:E,"")/1000),"")</f>
        <v>0</v>
      </c>
      <c r="FG133" s="328">
        <f>IFERROR(VLOOKUP(A133,BASE_558!D:R,13,FALSE)/1000,"")</f>
        <v>171.84076999999999</v>
      </c>
      <c r="FH133" s="328">
        <f>IFERROR(VLOOKUP(A133,BASE_558!D:R,15,FALSE)/1000,"")</f>
        <v>19.130230000000001</v>
      </c>
      <c r="FI133" s="547">
        <f t="shared" ref="FI133:FI196" si="103">EZ133-ED133</f>
        <v>0</v>
      </c>
      <c r="FJ133" s="547">
        <f t="shared" ref="FJ133:FJ196" si="104">FA133-EE133</f>
        <v>0</v>
      </c>
      <c r="FK133" s="540">
        <f t="shared" ref="FK133:FK196" si="105">FB133-EF133</f>
        <v>0</v>
      </c>
    </row>
    <row r="134" spans="1:167" s="23" customFormat="1" ht="24" customHeight="1">
      <c r="A134" s="84" t="s">
        <v>139</v>
      </c>
      <c r="B134" s="404"/>
      <c r="C134" s="404"/>
      <c r="D134" s="338" t="s">
        <v>919</v>
      </c>
      <c r="E134" s="378">
        <v>941377</v>
      </c>
      <c r="F134" s="5"/>
      <c r="G134" s="310" t="s">
        <v>9</v>
      </c>
      <c r="H134" s="338"/>
      <c r="I134" s="338"/>
      <c r="J134" s="338">
        <v>2019</v>
      </c>
      <c r="K134" s="316">
        <v>43487</v>
      </c>
      <c r="L134" s="317">
        <v>44225</v>
      </c>
      <c r="M134" s="409"/>
      <c r="N134" s="317">
        <f t="shared" si="74"/>
        <v>44399</v>
      </c>
      <c r="O134" s="317">
        <f t="shared" si="75"/>
        <v>44764</v>
      </c>
      <c r="P134" s="418" t="str">
        <f t="shared" si="81"/>
        <v>CRTD</v>
      </c>
      <c r="Q134" s="418" t="str">
        <f t="shared" si="81"/>
        <v>CRTD</v>
      </c>
      <c r="R134" s="418" t="str">
        <f t="shared" si="81"/>
        <v>CRTD</v>
      </c>
      <c r="S134" s="418" t="str">
        <f t="shared" si="81"/>
        <v>CRTD</v>
      </c>
      <c r="T134" s="418" t="str">
        <f t="shared" si="81"/>
        <v>CRTD</v>
      </c>
      <c r="U134" s="418" t="str">
        <f t="shared" si="81"/>
        <v>CRTD</v>
      </c>
      <c r="V134" s="418" t="str">
        <f t="shared" si="81"/>
        <v>CRTD</v>
      </c>
      <c r="W134" s="418" t="str">
        <f t="shared" si="81"/>
        <v>CRTD</v>
      </c>
      <c r="X134" s="418" t="str">
        <f t="shared" si="81"/>
        <v>CRTD</v>
      </c>
      <c r="Y134" s="418" t="str">
        <f t="shared" si="81"/>
        <v>CRTD</v>
      </c>
      <c r="Z134" s="418" t="str">
        <f t="shared" si="81"/>
        <v>CRTD</v>
      </c>
      <c r="AA134" s="418" t="str">
        <f t="shared" si="81"/>
        <v>CRTD</v>
      </c>
      <c r="AB134" s="317"/>
      <c r="AC134" s="309" t="s">
        <v>3932</v>
      </c>
      <c r="AD134" s="311" t="s">
        <v>5</v>
      </c>
      <c r="AE134" s="311"/>
      <c r="AF134" s="310" t="s">
        <v>6985</v>
      </c>
      <c r="AG134" s="310" t="s">
        <v>9083</v>
      </c>
      <c r="AH134" s="310" t="s">
        <v>140</v>
      </c>
      <c r="AI134" s="381" t="s">
        <v>316</v>
      </c>
      <c r="AJ134" s="6" t="s">
        <v>218</v>
      </c>
      <c r="AK134" s="6" t="str">
        <f t="shared" si="83"/>
        <v>IGUAL</v>
      </c>
      <c r="AL134" s="151" t="str">
        <f>IFERROR(IF(LEFT(A134,3)="LCP",VLOOKUP(A134,STATUS_SAP_LCP!B:C,2,FALSE),VLOOKUP(A134,STATUS_SAP_ICP!B:C,2,FALSE)),"NO BUDGET")</f>
        <v>CLSD BUDG AUC  AVAC  //  APPR BREL EXPL</v>
      </c>
      <c r="AM134" s="6" t="str">
        <f t="shared" si="82"/>
        <v>CLSD</v>
      </c>
      <c r="AN134" s="282" t="s">
        <v>9085</v>
      </c>
      <c r="AO134" s="493">
        <v>1</v>
      </c>
      <c r="AP134" s="499" t="s">
        <v>9607</v>
      </c>
      <c r="AQ134" s="465">
        <v>44225</v>
      </c>
      <c r="AR134" s="460"/>
      <c r="AS134" s="56">
        <v>26.972379479793418</v>
      </c>
      <c r="AT134" s="185">
        <v>14.369390000000001</v>
      </c>
      <c r="AU134" s="318">
        <v>0</v>
      </c>
      <c r="AV134" s="223">
        <v>0</v>
      </c>
      <c r="AW134" s="318">
        <v>0</v>
      </c>
      <c r="AX134" s="223">
        <v>0</v>
      </c>
      <c r="AY134" s="318">
        <f t="shared" si="76"/>
        <v>0</v>
      </c>
      <c r="AZ134" s="223"/>
      <c r="BA134" s="318"/>
      <c r="BB134" s="519">
        <f t="shared" si="77"/>
        <v>0</v>
      </c>
      <c r="BC134" s="518"/>
      <c r="BD134" s="518"/>
      <c r="BE134" s="518"/>
      <c r="BF134" s="518"/>
      <c r="BG134" s="518"/>
      <c r="BH134" s="518"/>
      <c r="BI134" s="518"/>
      <c r="BJ134" s="518"/>
      <c r="BK134" s="518"/>
      <c r="BL134" s="518"/>
      <c r="BM134" s="518"/>
      <c r="BN134" s="518"/>
      <c r="BO134" s="367">
        <f t="shared" si="84"/>
        <v>0</v>
      </c>
      <c r="BP134" s="421"/>
      <c r="BQ134" s="422"/>
      <c r="BR134" s="423">
        <f>IFERROR(IF(LEFT($A134,3)="Lcp",SUMIFS('BASE-LCP'!$K:$K,'BASE-LCP'!$A:$A,Capex!$A125,'BASE-LCP'!$B:$B,"janeiro")/1000,IF(LEFT($A134,3)="icp",SUMIFS('BASE-ICP'!$K:$K,'BASE-ICP'!$A:$A,Capex!$A125,'BASE-ICP'!$B:$B,"janeiro")/1000,"")),"")</f>
        <v>0</v>
      </c>
      <c r="BS134" s="427">
        <v>0</v>
      </c>
      <c r="BT134" s="372">
        <v>0</v>
      </c>
      <c r="BU134" s="422"/>
      <c r="BV134" s="423">
        <f>IFERROR(IF(LEFT($A134,3)="Lcp",SUMIFS('BASE-LCP'!$K:$K,'BASE-LCP'!$A:$A,Capex!$A125,'BASE-LCP'!$B:$B,"fevereiro")/1000,IF(LEFT($A134,3)="icp",SUMIFS('BASE-ICP'!$K:$K,'BASE-ICP'!$A:$A,Capex!$A125,'BASE-ICP'!$B:$B,"fevereiro")/1000,"")),"")</f>
        <v>0</v>
      </c>
      <c r="BW134" s="427">
        <v>0</v>
      </c>
      <c r="BX134" s="372">
        <v>0</v>
      </c>
      <c r="BY134" s="419"/>
      <c r="BZ134" s="423">
        <f>IFERROR(IF(LEFT($A134,3)="Lcp",SUMIFS('BASE-LCP'!$K:$K,'BASE-LCP'!$A:$A,Capex!$A125,'BASE-LCP'!$B:$B,"março")/1000,IF(LEFT($A134,3)="icp",SUMIFS('BASE-ICP'!$K:$K,'BASE-ICP'!$A:$A,Capex!$A125,'BASE-ICP'!$B:$B,"março")/1000,"")),"")</f>
        <v>0</v>
      </c>
      <c r="CA134" s="427">
        <v>0</v>
      </c>
      <c r="CB134" s="372">
        <v>0</v>
      </c>
      <c r="CC134" s="422"/>
      <c r="CD134" s="423">
        <f>IFERROR(IF(LEFT($A134,3)="Lcp",SUMIFS('BASE-LCP'!$K:$K,'BASE-LCP'!$A:$A,Capex!$A125,'BASE-LCP'!$B:$B,"abril")/1000,IF(LEFT($A134,3)="icp",SUMIFS('BASE-ICP'!$K:$K,'BASE-ICP'!$A:$A,Capex!$A125,'BASE-ICP'!$B:$B,"abril")/1000,"")),"")</f>
        <v>0</v>
      </c>
      <c r="CE134" s="427">
        <v>0</v>
      </c>
      <c r="CF134" s="372">
        <v>0</v>
      </c>
      <c r="CG134" s="419"/>
      <c r="CH134" s="423">
        <v>0</v>
      </c>
      <c r="CI134" s="427">
        <v>0</v>
      </c>
      <c r="CJ134" s="372">
        <v>0</v>
      </c>
      <c r="CK134" s="419"/>
      <c r="CL134" s="423">
        <f>IFERROR(IF(LEFT($A134,3)="Lcp",SUMIFS('BASE-LCP'!$K:$K,'BASE-LCP'!$A:$A,Capex!$A125,'BASE-LCP'!$B:$B,"junho")/1000,IF(LEFT($A134,3)="icp",SUMIFS('BASE-ICP'!$K:$K,'BASE-ICP'!$A:$A,Capex!$A125,'BASE-ICP'!$B:$B,"junho")/1000,"")),"")</f>
        <v>0</v>
      </c>
      <c r="CM134" s="427">
        <v>0</v>
      </c>
      <c r="CN134" s="372"/>
      <c r="CO134" s="419"/>
      <c r="CP134" s="423">
        <f>IFERROR(IF(LEFT($A134,3)="Lcp",SUMIFS('BASE-LCP'!$K:$K,'BASE-LCP'!$A:$A,Capex!$A125,'BASE-LCP'!$B:$B,"julho")/1000,IF(LEFT($A134,3)="icp",SUMIFS('BASE-ICP'!$K:$K,'BASE-ICP'!$A:$A,Capex!$A125,'BASE-ICP'!$B:$B,"julho")/1000,"")),"")</f>
        <v>0</v>
      </c>
      <c r="CQ134" s="427">
        <v>0</v>
      </c>
      <c r="CR134" s="372"/>
      <c r="CS134" s="419"/>
      <c r="CT134" s="423">
        <f>IFERROR(IF(LEFT($A134,3)="Lcp",SUMIFS('BASE-LCP'!$K:$K,'BASE-LCP'!$A:$A,Capex!$A125,'BASE-LCP'!$B:$B,"agosto")/1000,IF(LEFT($A134,3)="icp",SUMIFS('BASE-ICP'!$K:$K,'BASE-ICP'!$A:$A,Capex!$A125,'BASE-ICP'!$B:$B,"agosto")/1000,"")),"")</f>
        <v>0</v>
      </c>
      <c r="CU134" s="427">
        <v>0</v>
      </c>
      <c r="CV134" s="372"/>
      <c r="CW134" s="419"/>
      <c r="CX134" s="423">
        <f>IFERROR(IF(LEFT($A134,3)="Lcp",SUMIFS('BASE-LCP'!$K:$K,'BASE-LCP'!$A:$A,Capex!$A125,'BASE-LCP'!$B:$B,"setembro")/1000,IF(LEFT($A134,3)="icp",SUMIFS('BASE-ICP'!$K:$K,'BASE-ICP'!$A:$A,Capex!$A125,'BASE-ICP'!$B:$B,"setembro")/1000,"")),"")</f>
        <v>0</v>
      </c>
      <c r="CY134" s="427">
        <v>0</v>
      </c>
      <c r="CZ134" s="372"/>
      <c r="DA134" s="419"/>
      <c r="DB134" s="423">
        <f>IFERROR(IF(LEFT($A134,3)="Lcp",SUMIFS('BASE-LCP'!$K:$K,'BASE-LCP'!$A:$A,Capex!$A125,'BASE-LCP'!$B:$B,"outubro")/1000,IF(LEFT($A134,3)="icp",SUMIFS('BASE-ICP'!$K:$K,'BASE-ICP'!$A:$A,Capex!$A125,'BASE-ICP'!$B:$B,"outubro")/1000,"")),"")</f>
        <v>0</v>
      </c>
      <c r="DC134" s="427">
        <v>0</v>
      </c>
      <c r="DD134" s="372"/>
      <c r="DE134" s="419"/>
      <c r="DF134" s="423">
        <f>IFERROR(IF(LEFT($A134,3)="Lcp",SUMIFS('BASE-LCP'!$K:$K,'BASE-LCP'!$A:$A,Capex!$A125,'BASE-LCP'!$B:$B,"novembro")/1000,IF(LEFT($A134,3)="icp",SUMIFS('BASE-ICP'!$K:$K,'BASE-ICP'!$A:$A,Capex!$A125,'BASE-ICP'!$B:$B,"novembro")/1000,"")),"")</f>
        <v>0</v>
      </c>
      <c r="DG134" s="427">
        <v>0</v>
      </c>
      <c r="DH134" s="372"/>
      <c r="DI134" s="419"/>
      <c r="DJ134" s="423">
        <f>IFERROR(IF(LEFT($A134,3)="Lcp",SUMIFS('BASE-LCP'!$K:$K,'BASE-LCP'!$A:$A,Capex!$A125,'BASE-LCP'!$B:$B,"dezembro")/1000,IF(LEFT($A134,3)="icp",SUMIFS('BASE-ICP'!$K:$K,'BASE-ICP'!$A:$A,Capex!$A125,'BASE-ICP'!$B:$B,"dezembro")/1000,"")),"")</f>
        <v>0</v>
      </c>
      <c r="DK134" s="427">
        <v>0</v>
      </c>
      <c r="DL134" s="452">
        <f t="shared" si="85"/>
        <v>0</v>
      </c>
      <c r="DM134" s="374"/>
      <c r="DN134" s="374"/>
      <c r="DO134" s="374"/>
      <c r="DP134" s="374"/>
      <c r="DQ134" s="374"/>
      <c r="DR134" s="374"/>
      <c r="DS134" s="374"/>
      <c r="DT134" s="374"/>
      <c r="DU134" s="374"/>
      <c r="DV134" s="374"/>
      <c r="DW134" s="374"/>
      <c r="DX134" s="374"/>
      <c r="DY134" s="450"/>
      <c r="DZ134" s="374">
        <f t="shared" si="86"/>
        <v>0</v>
      </c>
      <c r="EA134" s="216">
        <f t="shared" si="87"/>
        <v>0</v>
      </c>
      <c r="EB134" s="320">
        <f t="shared" si="88"/>
        <v>0</v>
      </c>
      <c r="EC134" s="241">
        <f t="shared" si="89"/>
        <v>0</v>
      </c>
      <c r="ED134" s="241">
        <f t="shared" si="90"/>
        <v>0</v>
      </c>
      <c r="EE134" s="241">
        <f t="shared" si="91"/>
        <v>0</v>
      </c>
      <c r="EF134" s="241">
        <f t="shared" si="92"/>
        <v>0</v>
      </c>
      <c r="EG134" s="346">
        <f t="shared" si="93"/>
        <v>0</v>
      </c>
      <c r="EH134" s="445">
        <f t="shared" si="94"/>
        <v>0</v>
      </c>
      <c r="EI134" s="447">
        <f t="shared" si="95"/>
        <v>0</v>
      </c>
      <c r="EJ134" s="364">
        <f t="shared" si="96"/>
        <v>0</v>
      </c>
      <c r="EK134" s="365">
        <f t="shared" si="97"/>
        <v>0</v>
      </c>
      <c r="EL134" s="529">
        <f t="shared" si="98"/>
        <v>0</v>
      </c>
      <c r="EM134" s="530">
        <v>0</v>
      </c>
      <c r="EN134" s="530">
        <v>0</v>
      </c>
      <c r="EO134" s="530">
        <v>0</v>
      </c>
      <c r="EP134" s="530">
        <v>0</v>
      </c>
      <c r="EQ134" s="530">
        <v>0</v>
      </c>
      <c r="ER134" s="530">
        <v>0</v>
      </c>
      <c r="ES134" s="530">
        <v>0</v>
      </c>
      <c r="ET134" s="530">
        <v>0</v>
      </c>
      <c r="EU134" s="530">
        <v>0</v>
      </c>
      <c r="EV134" s="530">
        <v>0</v>
      </c>
      <c r="EW134" s="530">
        <v>0</v>
      </c>
      <c r="EX134" s="530">
        <v>0</v>
      </c>
      <c r="EY134" s="530">
        <f t="shared" si="99"/>
        <v>0</v>
      </c>
      <c r="EZ134" s="530">
        <f t="shared" si="100"/>
        <v>0</v>
      </c>
      <c r="FA134" s="530">
        <f t="shared" si="101"/>
        <v>0</v>
      </c>
      <c r="FB134" s="530">
        <f t="shared" si="102"/>
        <v>0</v>
      </c>
      <c r="FC134" s="384">
        <f>IFERROR(VLOOKUP(Capex!A125,BASE_558!D:R,8,FALSE)/1000,"")</f>
        <v>109</v>
      </c>
      <c r="FD134" s="328">
        <f>IFERROR(VLOOKUP(Capex!A125,BASE_558!D:R,9,)/1000,"")</f>
        <v>102.42585000000001</v>
      </c>
      <c r="FE134" s="328">
        <f>IFERROR(IF(LEFT(A134,3)="LCP",(VLOOKUP(Capex!A125,BASE_558!D:R,10,)/1000),SUMIFS('BASE ICP_PO_SC'!F:F,'BASE ICP_PO_SC'!A:A,Capex!A125,'BASE ICP_PO_SC'!E:E,"&lt;&gt;")/1000),"")</f>
        <v>0</v>
      </c>
      <c r="FF134" s="328">
        <f>IFERROR(IF(LEFT(A134,3)="LCP",(VLOOKUP(Capex!A125,BASE_558!D:R,11,)/1000),SUMIFS('BASE ICP_PO_SC'!F:F,'BASE ICP_PO_SC'!A:A,Capex!A125,'BASE ICP_PO_SC'!E:E,"")/1000),"")</f>
        <v>0</v>
      </c>
      <c r="FG134" s="328">
        <f>IFERROR(VLOOKUP(A134,BASE_558!D:R,13,FALSE)/1000,"")</f>
        <v>41.443289999999998</v>
      </c>
      <c r="FH134" s="328">
        <f>IFERROR(VLOOKUP(A134,BASE_558!D:R,15,FALSE)/1000,"")</f>
        <v>15.556709999999999</v>
      </c>
      <c r="FI134" s="547">
        <f t="shared" si="103"/>
        <v>0</v>
      </c>
      <c r="FJ134" s="547">
        <f t="shared" si="104"/>
        <v>0</v>
      </c>
      <c r="FK134" s="540">
        <f t="shared" si="105"/>
        <v>0</v>
      </c>
    </row>
    <row r="135" spans="1:167" s="23" customFormat="1" ht="24" customHeight="1">
      <c r="A135" s="84" t="s">
        <v>146</v>
      </c>
      <c r="B135" s="404"/>
      <c r="C135" s="404"/>
      <c r="D135" s="338" t="s">
        <v>3332</v>
      </c>
      <c r="E135" s="378">
        <v>965303</v>
      </c>
      <c r="F135" s="5"/>
      <c r="G135" s="310" t="s">
        <v>9</v>
      </c>
      <c r="H135" s="338"/>
      <c r="I135" s="338" t="s">
        <v>2650</v>
      </c>
      <c r="J135" s="338">
        <v>2019</v>
      </c>
      <c r="K135" s="316">
        <v>43516</v>
      </c>
      <c r="L135" s="317">
        <v>43887</v>
      </c>
      <c r="M135" s="409"/>
      <c r="N135" s="317">
        <f t="shared" si="74"/>
        <v>44428</v>
      </c>
      <c r="O135" s="317">
        <f t="shared" si="75"/>
        <v>44793</v>
      </c>
      <c r="P135" s="418" t="str">
        <f t="shared" ref="P135:AA144" si="106">IF($N135="","N/A",IF($O135="","N/A",IF(P$2&lt;=$N135,"NÃO",IF($AJ135="REL ","SIM",IF(P$2&lt;$O135,"NÃO",IF($AJ135&lt;&gt;"CLSD","SIM","CRTD"))))))</f>
        <v>CRTD</v>
      </c>
      <c r="Q135" s="418" t="str">
        <f t="shared" si="106"/>
        <v>CRTD</v>
      </c>
      <c r="R135" s="418" t="str">
        <f t="shared" si="106"/>
        <v>CRTD</v>
      </c>
      <c r="S135" s="418" t="str">
        <f t="shared" si="106"/>
        <v>CRTD</v>
      </c>
      <c r="T135" s="418" t="str">
        <f t="shared" si="106"/>
        <v>CRTD</v>
      </c>
      <c r="U135" s="418" t="str">
        <f t="shared" si="106"/>
        <v>CRTD</v>
      </c>
      <c r="V135" s="418" t="str">
        <f t="shared" si="106"/>
        <v>CRTD</v>
      </c>
      <c r="W135" s="418" t="str">
        <f t="shared" si="106"/>
        <v>CRTD</v>
      </c>
      <c r="X135" s="418" t="str">
        <f t="shared" si="106"/>
        <v>CRTD</v>
      </c>
      <c r="Y135" s="418" t="str">
        <f t="shared" si="106"/>
        <v>CRTD</v>
      </c>
      <c r="Z135" s="418" t="str">
        <f t="shared" si="106"/>
        <v>CRTD</v>
      </c>
      <c r="AA135" s="418" t="str">
        <f t="shared" si="106"/>
        <v>CRTD</v>
      </c>
      <c r="AB135" s="317"/>
      <c r="AC135" s="309" t="s">
        <v>3932</v>
      </c>
      <c r="AD135" s="311" t="s">
        <v>223</v>
      </c>
      <c r="AE135" s="311"/>
      <c r="AF135" s="310" t="s">
        <v>6985</v>
      </c>
      <c r="AG135" s="310" t="s">
        <v>9083</v>
      </c>
      <c r="AH135" s="310" t="s">
        <v>74</v>
      </c>
      <c r="AI135" s="309" t="s">
        <v>2255</v>
      </c>
      <c r="AJ135" s="6" t="s">
        <v>218</v>
      </c>
      <c r="AK135" s="6" t="str">
        <f t="shared" si="83"/>
        <v>IGUAL</v>
      </c>
      <c r="AL135" s="151" t="str">
        <f>IFERROR(IF(LEFT(A135,3)="LCP",VLOOKUP(A135,STATUS_SAP_LCP!B:C,2,FALSE),VLOOKUP(A135,STATUS_SAP_ICP!B:C,2,FALSE)),"NO BUDGET")</f>
        <v>CLSD BUDG AUC  AVAC  //  APPR BREL EXPL</v>
      </c>
      <c r="AM135" s="6" t="str">
        <f t="shared" si="82"/>
        <v>CLSD</v>
      </c>
      <c r="AN135" s="282" t="s">
        <v>197</v>
      </c>
      <c r="AO135" s="493">
        <v>1</v>
      </c>
      <c r="AP135" s="499" t="s">
        <v>9607</v>
      </c>
      <c r="AQ135" s="465">
        <v>43887</v>
      </c>
      <c r="AR135" s="460"/>
      <c r="AS135" s="56">
        <v>1160.0741096721715</v>
      </c>
      <c r="AT135" s="185">
        <v>36.197289999999995</v>
      </c>
      <c r="AU135" s="318">
        <v>0</v>
      </c>
      <c r="AV135" s="223">
        <v>0</v>
      </c>
      <c r="AW135" s="318">
        <v>0</v>
      </c>
      <c r="AX135" s="223">
        <v>0</v>
      </c>
      <c r="AY135" s="318">
        <f t="shared" si="76"/>
        <v>0</v>
      </c>
      <c r="AZ135" s="223"/>
      <c r="BA135" s="318"/>
      <c r="BB135" s="519">
        <f t="shared" si="77"/>
        <v>0</v>
      </c>
      <c r="BC135" s="518"/>
      <c r="BD135" s="518"/>
      <c r="BE135" s="518"/>
      <c r="BF135" s="518"/>
      <c r="BG135" s="518"/>
      <c r="BH135" s="518"/>
      <c r="BI135" s="518"/>
      <c r="BJ135" s="518"/>
      <c r="BK135" s="518"/>
      <c r="BL135" s="518"/>
      <c r="BM135" s="518"/>
      <c r="BN135" s="518"/>
      <c r="BO135" s="367">
        <f t="shared" si="84"/>
        <v>0</v>
      </c>
      <c r="BP135" s="421"/>
      <c r="BQ135" s="422"/>
      <c r="BR135" s="423">
        <f>IFERROR(IF(LEFT($A135,3)="Lcp",SUMIFS('BASE-LCP'!$K:$K,'BASE-LCP'!$A:$A,Capex!$A126,'BASE-LCP'!$B:$B,"janeiro")/1000,IF(LEFT($A135,3)="icp",SUMIFS('BASE-ICP'!$K:$K,'BASE-ICP'!$A:$A,Capex!$A126,'BASE-ICP'!$B:$B,"janeiro")/1000,"")),"")</f>
        <v>0</v>
      </c>
      <c r="BS135" s="427">
        <v>0</v>
      </c>
      <c r="BT135" s="372">
        <v>0</v>
      </c>
      <c r="BU135" s="422"/>
      <c r="BV135" s="423">
        <f>IFERROR(IF(LEFT($A135,3)="Lcp",SUMIFS('BASE-LCP'!$K:$K,'BASE-LCP'!$A:$A,Capex!$A126,'BASE-LCP'!$B:$B,"fevereiro")/1000,IF(LEFT($A135,3)="icp",SUMIFS('BASE-ICP'!$K:$K,'BASE-ICP'!$A:$A,Capex!$A126,'BASE-ICP'!$B:$B,"fevereiro")/1000,"")),"")</f>
        <v>0</v>
      </c>
      <c r="BW135" s="427">
        <v>0</v>
      </c>
      <c r="BX135" s="372">
        <v>0</v>
      </c>
      <c r="BY135" s="419"/>
      <c r="BZ135" s="423">
        <f>IFERROR(IF(LEFT($A135,3)="Lcp",SUMIFS('BASE-LCP'!$K:$K,'BASE-LCP'!$A:$A,Capex!$A126,'BASE-LCP'!$B:$B,"março")/1000,IF(LEFT($A135,3)="icp",SUMIFS('BASE-ICP'!$K:$K,'BASE-ICP'!$A:$A,Capex!$A126,'BASE-ICP'!$B:$B,"março")/1000,"")),"")</f>
        <v>0</v>
      </c>
      <c r="CA135" s="427">
        <v>0</v>
      </c>
      <c r="CB135" s="372">
        <v>0</v>
      </c>
      <c r="CC135" s="422"/>
      <c r="CD135" s="423">
        <f>IFERROR(IF(LEFT($A135,3)="Lcp",SUMIFS('BASE-LCP'!$K:$K,'BASE-LCP'!$A:$A,Capex!$A126,'BASE-LCP'!$B:$B,"abril")/1000,IF(LEFT($A135,3)="icp",SUMIFS('BASE-ICP'!$K:$K,'BASE-ICP'!$A:$A,Capex!$A126,'BASE-ICP'!$B:$B,"abril")/1000,"")),"")</f>
        <v>0</v>
      </c>
      <c r="CE135" s="427">
        <v>0</v>
      </c>
      <c r="CF135" s="372">
        <v>0</v>
      </c>
      <c r="CG135" s="419"/>
      <c r="CH135" s="423">
        <v>0</v>
      </c>
      <c r="CI135" s="427">
        <v>0</v>
      </c>
      <c r="CJ135" s="372">
        <v>0</v>
      </c>
      <c r="CK135" s="419"/>
      <c r="CL135" s="423">
        <f>IFERROR(IF(LEFT($A135,3)="Lcp",SUMIFS('BASE-LCP'!$K:$K,'BASE-LCP'!$A:$A,Capex!$A126,'BASE-LCP'!$B:$B,"junho")/1000,IF(LEFT($A135,3)="icp",SUMIFS('BASE-ICP'!$K:$K,'BASE-ICP'!$A:$A,Capex!$A126,'BASE-ICP'!$B:$B,"junho")/1000,"")),"")</f>
        <v>0</v>
      </c>
      <c r="CM135" s="427">
        <v>0</v>
      </c>
      <c r="CN135" s="372"/>
      <c r="CO135" s="419"/>
      <c r="CP135" s="423">
        <f>IFERROR(IF(LEFT($A135,3)="Lcp",SUMIFS('BASE-LCP'!$K:$K,'BASE-LCP'!$A:$A,Capex!$A126,'BASE-LCP'!$B:$B,"julho")/1000,IF(LEFT($A135,3)="icp",SUMIFS('BASE-ICP'!$K:$K,'BASE-ICP'!$A:$A,Capex!$A126,'BASE-ICP'!$B:$B,"julho")/1000,"")),"")</f>
        <v>0</v>
      </c>
      <c r="CQ135" s="427">
        <v>0</v>
      </c>
      <c r="CR135" s="372"/>
      <c r="CS135" s="419"/>
      <c r="CT135" s="423">
        <f>IFERROR(IF(LEFT($A135,3)="Lcp",SUMIFS('BASE-LCP'!$K:$K,'BASE-LCP'!$A:$A,Capex!$A126,'BASE-LCP'!$B:$B,"agosto")/1000,IF(LEFT($A135,3)="icp",SUMIFS('BASE-ICP'!$K:$K,'BASE-ICP'!$A:$A,Capex!$A126,'BASE-ICP'!$B:$B,"agosto")/1000,"")),"")</f>
        <v>0</v>
      </c>
      <c r="CU135" s="427">
        <v>0</v>
      </c>
      <c r="CV135" s="372"/>
      <c r="CW135" s="419"/>
      <c r="CX135" s="423">
        <f>IFERROR(IF(LEFT($A135,3)="Lcp",SUMIFS('BASE-LCP'!$K:$K,'BASE-LCP'!$A:$A,Capex!$A126,'BASE-LCP'!$B:$B,"setembro")/1000,IF(LEFT($A135,3)="icp",SUMIFS('BASE-ICP'!$K:$K,'BASE-ICP'!$A:$A,Capex!$A126,'BASE-ICP'!$B:$B,"setembro")/1000,"")),"")</f>
        <v>0</v>
      </c>
      <c r="CY135" s="427">
        <v>0</v>
      </c>
      <c r="CZ135" s="372"/>
      <c r="DA135" s="419"/>
      <c r="DB135" s="423">
        <f>IFERROR(IF(LEFT($A135,3)="Lcp",SUMIFS('BASE-LCP'!$K:$K,'BASE-LCP'!$A:$A,Capex!$A126,'BASE-LCP'!$B:$B,"outubro")/1000,IF(LEFT($A135,3)="icp",SUMIFS('BASE-ICP'!$K:$K,'BASE-ICP'!$A:$A,Capex!$A126,'BASE-ICP'!$B:$B,"outubro")/1000,"")),"")</f>
        <v>0</v>
      </c>
      <c r="DC135" s="427">
        <v>0</v>
      </c>
      <c r="DD135" s="372"/>
      <c r="DE135" s="419"/>
      <c r="DF135" s="423">
        <f>IFERROR(IF(LEFT($A135,3)="Lcp",SUMIFS('BASE-LCP'!$K:$K,'BASE-LCP'!$A:$A,Capex!$A126,'BASE-LCP'!$B:$B,"novembro")/1000,IF(LEFT($A135,3)="icp",SUMIFS('BASE-ICP'!$K:$K,'BASE-ICP'!$A:$A,Capex!$A126,'BASE-ICP'!$B:$B,"novembro")/1000,"")),"")</f>
        <v>0</v>
      </c>
      <c r="DG135" s="427">
        <v>0</v>
      </c>
      <c r="DH135" s="372"/>
      <c r="DI135" s="419"/>
      <c r="DJ135" s="423">
        <f>IFERROR(IF(LEFT($A135,3)="Lcp",SUMIFS('BASE-LCP'!$K:$K,'BASE-LCP'!$A:$A,Capex!$A126,'BASE-LCP'!$B:$B,"dezembro")/1000,IF(LEFT($A135,3)="icp",SUMIFS('BASE-ICP'!$K:$K,'BASE-ICP'!$A:$A,Capex!$A126,'BASE-ICP'!$B:$B,"dezembro")/1000,"")),"")</f>
        <v>0</v>
      </c>
      <c r="DK135" s="427">
        <v>0</v>
      </c>
      <c r="DL135" s="452">
        <f t="shared" si="85"/>
        <v>0</v>
      </c>
      <c r="DM135" s="374"/>
      <c r="DN135" s="374"/>
      <c r="DO135" s="374"/>
      <c r="DP135" s="374"/>
      <c r="DQ135" s="374"/>
      <c r="DR135" s="374"/>
      <c r="DS135" s="374"/>
      <c r="DT135" s="374"/>
      <c r="DU135" s="374"/>
      <c r="DV135" s="374"/>
      <c r="DW135" s="374"/>
      <c r="DX135" s="374"/>
      <c r="DY135" s="450"/>
      <c r="DZ135" s="374">
        <f t="shared" si="86"/>
        <v>0</v>
      </c>
      <c r="EA135" s="216">
        <f t="shared" si="87"/>
        <v>0</v>
      </c>
      <c r="EB135" s="320">
        <f t="shared" si="88"/>
        <v>0</v>
      </c>
      <c r="EC135" s="241">
        <f t="shared" si="89"/>
        <v>0</v>
      </c>
      <c r="ED135" s="241">
        <f t="shared" si="90"/>
        <v>0</v>
      </c>
      <c r="EE135" s="241">
        <f t="shared" si="91"/>
        <v>0</v>
      </c>
      <c r="EF135" s="241">
        <f t="shared" si="92"/>
        <v>0</v>
      </c>
      <c r="EG135" s="346">
        <f t="shared" si="93"/>
        <v>0</v>
      </c>
      <c r="EH135" s="445">
        <f t="shared" si="94"/>
        <v>0</v>
      </c>
      <c r="EI135" s="447">
        <f t="shared" si="95"/>
        <v>0</v>
      </c>
      <c r="EJ135" s="364">
        <f t="shared" si="96"/>
        <v>0</v>
      </c>
      <c r="EK135" s="365">
        <f t="shared" si="97"/>
        <v>0</v>
      </c>
      <c r="EL135" s="529">
        <f t="shared" si="98"/>
        <v>0</v>
      </c>
      <c r="EM135" s="530">
        <v>0</v>
      </c>
      <c r="EN135" s="530">
        <v>0</v>
      </c>
      <c r="EO135" s="530">
        <v>0</v>
      </c>
      <c r="EP135" s="530">
        <v>0</v>
      </c>
      <c r="EQ135" s="530">
        <v>0</v>
      </c>
      <c r="ER135" s="530">
        <v>0</v>
      </c>
      <c r="ES135" s="530">
        <v>0</v>
      </c>
      <c r="ET135" s="530">
        <v>0</v>
      </c>
      <c r="EU135" s="530">
        <v>0</v>
      </c>
      <c r="EV135" s="530">
        <v>0</v>
      </c>
      <c r="EW135" s="530">
        <v>0</v>
      </c>
      <c r="EX135" s="530">
        <v>0</v>
      </c>
      <c r="EY135" s="530">
        <f t="shared" si="99"/>
        <v>0</v>
      </c>
      <c r="EZ135" s="530">
        <f t="shared" si="100"/>
        <v>0</v>
      </c>
      <c r="FA135" s="530">
        <f t="shared" si="101"/>
        <v>0</v>
      </c>
      <c r="FB135" s="530">
        <f t="shared" si="102"/>
        <v>0</v>
      </c>
      <c r="FC135" s="384">
        <f>IFERROR(VLOOKUP(Capex!A126,BASE_558!D:R,8,FALSE)/1000,"")</f>
        <v>74.5</v>
      </c>
      <c r="FD135" s="328">
        <f>IFERROR(VLOOKUP(Capex!A126,BASE_558!D:R,9,)/1000,"")</f>
        <v>23.357099999999999</v>
      </c>
      <c r="FE135" s="328">
        <f>IFERROR(IF(LEFT(A135,3)="LCP",(VLOOKUP(Capex!A126,BASE_558!D:R,10,)/1000),SUMIFS('BASE ICP_PO_SC'!F:F,'BASE ICP_PO_SC'!A:A,Capex!A126,'BASE ICP_PO_SC'!E:E,"&lt;&gt;")/1000),"")</f>
        <v>0</v>
      </c>
      <c r="FF135" s="328">
        <f>IFERROR(IF(LEFT(A135,3)="LCP",(VLOOKUP(Capex!A126,BASE_558!D:R,11,)/1000),SUMIFS('BASE ICP_PO_SC'!F:F,'BASE ICP_PO_SC'!A:A,Capex!A126,'BASE ICP_PO_SC'!E:E,"")/1000),"")</f>
        <v>0</v>
      </c>
      <c r="FG135" s="328">
        <f>IFERROR(VLOOKUP(A135,BASE_558!D:R,13,FALSE)/1000,"")</f>
        <v>1197.4070099999999</v>
      </c>
      <c r="FH135" s="328">
        <f>IFERROR(VLOOKUP(A135,BASE_558!D:R,15,FALSE)/1000,"")</f>
        <v>38.59299</v>
      </c>
      <c r="FI135" s="547">
        <f t="shared" si="103"/>
        <v>0</v>
      </c>
      <c r="FJ135" s="547">
        <f t="shared" si="104"/>
        <v>0</v>
      </c>
      <c r="FK135" s="540">
        <f t="shared" si="105"/>
        <v>0</v>
      </c>
    </row>
    <row r="136" spans="1:167" s="23" customFormat="1" ht="24" customHeight="1">
      <c r="A136" s="84" t="s">
        <v>77</v>
      </c>
      <c r="B136" s="404"/>
      <c r="C136" s="404"/>
      <c r="D136" s="338" t="s">
        <v>876</v>
      </c>
      <c r="E136" s="378">
        <v>992289</v>
      </c>
      <c r="F136" s="310" t="s">
        <v>609</v>
      </c>
      <c r="G136" s="310" t="s">
        <v>9</v>
      </c>
      <c r="H136" s="338" t="s">
        <v>6</v>
      </c>
      <c r="I136" s="338" t="s">
        <v>2650</v>
      </c>
      <c r="J136" s="338">
        <v>2019</v>
      </c>
      <c r="K136" s="351">
        <v>43551</v>
      </c>
      <c r="L136" s="317"/>
      <c r="M136" s="409"/>
      <c r="N136" s="317">
        <f t="shared" si="74"/>
        <v>44463</v>
      </c>
      <c r="O136" s="317">
        <f t="shared" si="75"/>
        <v>44828</v>
      </c>
      <c r="P136" s="418" t="str">
        <f t="shared" si="106"/>
        <v>SIM</v>
      </c>
      <c r="Q136" s="418" t="str">
        <f t="shared" si="106"/>
        <v>SIM</v>
      </c>
      <c r="R136" s="418" t="str">
        <f t="shared" si="106"/>
        <v>SIM</v>
      </c>
      <c r="S136" s="418" t="str">
        <f t="shared" si="106"/>
        <v>SIM</v>
      </c>
      <c r="T136" s="418" t="str">
        <f t="shared" si="106"/>
        <v>SIM</v>
      </c>
      <c r="U136" s="418" t="str">
        <f t="shared" si="106"/>
        <v>SIM</v>
      </c>
      <c r="V136" s="418" t="str">
        <f t="shared" si="106"/>
        <v>SIM</v>
      </c>
      <c r="W136" s="418" t="str">
        <f t="shared" si="106"/>
        <v>SIM</v>
      </c>
      <c r="X136" s="418" t="str">
        <f t="shared" si="106"/>
        <v>SIM</v>
      </c>
      <c r="Y136" s="418" t="str">
        <f t="shared" si="106"/>
        <v>SIM</v>
      </c>
      <c r="Z136" s="418" t="str">
        <f t="shared" si="106"/>
        <v>SIM</v>
      </c>
      <c r="AA136" s="418" t="str">
        <f t="shared" si="106"/>
        <v>SIM</v>
      </c>
      <c r="AB136" s="317"/>
      <c r="AC136" s="309" t="s">
        <v>3932</v>
      </c>
      <c r="AD136" s="311" t="s">
        <v>5</v>
      </c>
      <c r="AE136" s="311" t="s">
        <v>952</v>
      </c>
      <c r="AF136" s="310" t="s">
        <v>6985</v>
      </c>
      <c r="AG136" s="310" t="s">
        <v>2259</v>
      </c>
      <c r="AH136" s="310" t="s">
        <v>78</v>
      </c>
      <c r="AI136" s="381" t="s">
        <v>187</v>
      </c>
      <c r="AJ136" s="6" t="s">
        <v>6786</v>
      </c>
      <c r="AK136" s="6" t="str">
        <f t="shared" si="83"/>
        <v>IGUAL</v>
      </c>
      <c r="AL136" s="151" t="str">
        <f>IFERROR(IF(LEFT(A136,3)="LCP",VLOOKUP(A136,STATUS_SAP_LCP!B:C,2,FALSE),VLOOKUP(A136,STATUS_SAP_ICP!B:C,2,FALSE)),"NO BUDGET")</f>
        <v>REL  BUDG AUC  AVAC  //  APPR BREL INPL</v>
      </c>
      <c r="AM136" s="6" t="str">
        <f t="shared" si="82"/>
        <v xml:space="preserve">REL </v>
      </c>
      <c r="AN136" s="160" t="s">
        <v>2505</v>
      </c>
      <c r="AO136" s="563"/>
      <c r="AP136" s="499" t="s">
        <v>5299</v>
      </c>
      <c r="AQ136" s="465">
        <v>46203</v>
      </c>
      <c r="AR136" s="460"/>
      <c r="AS136" s="56">
        <v>49.085639999999998</v>
      </c>
      <c r="AT136" s="185">
        <v>44.27908</v>
      </c>
      <c r="AU136" s="318">
        <v>118.87317999999999</v>
      </c>
      <c r="AV136" s="223">
        <v>79.562549999999987</v>
      </c>
      <c r="AW136" s="318">
        <v>17.795359999999999</v>
      </c>
      <c r="AX136" s="223">
        <v>0</v>
      </c>
      <c r="AY136" s="318">
        <f t="shared" si="76"/>
        <v>0</v>
      </c>
      <c r="AZ136" s="223"/>
      <c r="BA136" s="318"/>
      <c r="BB136" s="519">
        <f t="shared" si="77"/>
        <v>0</v>
      </c>
      <c r="BC136" s="518">
        <v>0</v>
      </c>
      <c r="BD136" s="518">
        <v>0</v>
      </c>
      <c r="BE136" s="518">
        <v>0</v>
      </c>
      <c r="BF136" s="518">
        <v>0</v>
      </c>
      <c r="BG136" s="518">
        <v>0</v>
      </c>
      <c r="BH136" s="518">
        <v>0</v>
      </c>
      <c r="BI136" s="518">
        <v>0</v>
      </c>
      <c r="BJ136" s="518">
        <v>0</v>
      </c>
      <c r="BK136" s="518">
        <v>0</v>
      </c>
      <c r="BL136" s="518">
        <v>0</v>
      </c>
      <c r="BM136" s="518">
        <v>0</v>
      </c>
      <c r="BN136" s="518">
        <v>0</v>
      </c>
      <c r="BO136" s="367">
        <f t="shared" si="84"/>
        <v>0</v>
      </c>
      <c r="BP136" s="421">
        <v>0</v>
      </c>
      <c r="BQ136" s="422"/>
      <c r="BR136" s="423">
        <f>IFERROR(IF(LEFT($A136,3)="Lcp",SUMIFS('BASE-LCP'!$K:$K,'BASE-LCP'!$A:$A,Capex!$A127,'BASE-LCP'!$B:$B,"janeiro")/1000,IF(LEFT($A136,3)="icp",SUMIFS('BASE-ICP'!$K:$K,'BASE-ICP'!$A:$A,Capex!$A127,'BASE-ICP'!$B:$B,"janeiro")/1000,"")),"")</f>
        <v>0</v>
      </c>
      <c r="BS136" s="427">
        <v>0</v>
      </c>
      <c r="BT136" s="372">
        <v>0</v>
      </c>
      <c r="BU136" s="422"/>
      <c r="BV136" s="423">
        <f>IFERROR(IF(LEFT($A136,3)="Lcp",SUMIFS('BASE-LCP'!$K:$K,'BASE-LCP'!$A:$A,Capex!$A127,'BASE-LCP'!$B:$B,"fevereiro")/1000,IF(LEFT($A136,3)="icp",SUMIFS('BASE-ICP'!$K:$K,'BASE-ICP'!$A:$A,Capex!$A127,'BASE-ICP'!$B:$B,"fevereiro")/1000,"")),"")</f>
        <v>0</v>
      </c>
      <c r="BW136" s="427">
        <v>0</v>
      </c>
      <c r="BX136" s="372">
        <v>0</v>
      </c>
      <c r="BY136" s="419"/>
      <c r="BZ136" s="423">
        <f>IFERROR(IF(LEFT($A136,3)="Lcp",SUMIFS('BASE-LCP'!$K:$K,'BASE-LCP'!$A:$A,Capex!$A127,'BASE-LCP'!$B:$B,"março")/1000,IF(LEFT($A136,3)="icp",SUMIFS('BASE-ICP'!$K:$K,'BASE-ICP'!$A:$A,Capex!$A127,'BASE-ICP'!$B:$B,"março")/1000,"")),"")</f>
        <v>0</v>
      </c>
      <c r="CA136" s="427">
        <v>0</v>
      </c>
      <c r="CB136" s="372">
        <v>0</v>
      </c>
      <c r="CC136" s="422"/>
      <c r="CD136" s="423">
        <f>IFERROR(IF(LEFT($A136,3)="Lcp",SUMIFS('BASE-LCP'!$K:$K,'BASE-LCP'!$A:$A,Capex!$A127,'BASE-LCP'!$B:$B,"abril")/1000,IF(LEFT($A136,3)="icp",SUMIFS('BASE-ICP'!$K:$K,'BASE-ICP'!$A:$A,Capex!$A127,'BASE-ICP'!$B:$B,"abril")/1000,"")),"")</f>
        <v>0</v>
      </c>
      <c r="CE136" s="427">
        <v>0</v>
      </c>
      <c r="CF136" s="372">
        <v>0</v>
      </c>
      <c r="CG136" s="419"/>
      <c r="CH136" s="423">
        <v>0</v>
      </c>
      <c r="CI136" s="427">
        <v>0</v>
      </c>
      <c r="CJ136" s="372">
        <v>0</v>
      </c>
      <c r="CK136" s="419"/>
      <c r="CL136" s="423">
        <f>IFERROR(IF(LEFT($A136,3)="Lcp",SUMIFS('BASE-LCP'!$K:$K,'BASE-LCP'!$A:$A,Capex!$A127,'BASE-LCP'!$B:$B,"junho")/1000,IF(LEFT($A136,3)="icp",SUMIFS('BASE-ICP'!$K:$K,'BASE-ICP'!$A:$A,Capex!$A127,'BASE-ICP'!$B:$B,"junho")/1000,"")),"")</f>
        <v>0</v>
      </c>
      <c r="CM136" s="427">
        <v>0</v>
      </c>
      <c r="CN136" s="372"/>
      <c r="CO136" s="419"/>
      <c r="CP136" s="423">
        <f>IFERROR(IF(LEFT($A136,3)="Lcp",SUMIFS('BASE-LCP'!$K:$K,'BASE-LCP'!$A:$A,Capex!$A127,'BASE-LCP'!$B:$B,"julho")/1000,IF(LEFT($A136,3)="icp",SUMIFS('BASE-ICP'!$K:$K,'BASE-ICP'!$A:$A,Capex!$A127,'BASE-ICP'!$B:$B,"julho")/1000,"")),"")</f>
        <v>0</v>
      </c>
      <c r="CQ136" s="427">
        <v>0</v>
      </c>
      <c r="CR136" s="372"/>
      <c r="CS136" s="419"/>
      <c r="CT136" s="423">
        <f>IFERROR(IF(LEFT($A136,3)="Lcp",SUMIFS('BASE-LCP'!$K:$K,'BASE-LCP'!$A:$A,Capex!$A127,'BASE-LCP'!$B:$B,"agosto")/1000,IF(LEFT($A136,3)="icp",SUMIFS('BASE-ICP'!$K:$K,'BASE-ICP'!$A:$A,Capex!$A127,'BASE-ICP'!$B:$B,"agosto")/1000,"")),"")</f>
        <v>0</v>
      </c>
      <c r="CU136" s="427">
        <v>0</v>
      </c>
      <c r="CV136" s="372"/>
      <c r="CW136" s="419"/>
      <c r="CX136" s="423">
        <f>IFERROR(IF(LEFT($A136,3)="Lcp",SUMIFS('BASE-LCP'!$K:$K,'BASE-LCP'!$A:$A,Capex!$A127,'BASE-LCP'!$B:$B,"setembro")/1000,IF(LEFT($A136,3)="icp",SUMIFS('BASE-ICP'!$K:$K,'BASE-ICP'!$A:$A,Capex!$A127,'BASE-ICP'!$B:$B,"setembro")/1000,"")),"")</f>
        <v>0</v>
      </c>
      <c r="CY136" s="427">
        <v>0</v>
      </c>
      <c r="CZ136" s="372"/>
      <c r="DA136" s="419"/>
      <c r="DB136" s="423">
        <f>IFERROR(IF(LEFT($A136,3)="Lcp",SUMIFS('BASE-LCP'!$K:$K,'BASE-LCP'!$A:$A,Capex!$A127,'BASE-LCP'!$B:$B,"outubro")/1000,IF(LEFT($A136,3)="icp",SUMIFS('BASE-ICP'!$K:$K,'BASE-ICP'!$A:$A,Capex!$A127,'BASE-ICP'!$B:$B,"outubro")/1000,"")),"")</f>
        <v>0</v>
      </c>
      <c r="DC136" s="427">
        <v>0</v>
      </c>
      <c r="DD136" s="372"/>
      <c r="DE136" s="419"/>
      <c r="DF136" s="423">
        <f>IFERROR(IF(LEFT($A136,3)="Lcp",SUMIFS('BASE-LCP'!$K:$K,'BASE-LCP'!$A:$A,Capex!$A127,'BASE-LCP'!$B:$B,"novembro")/1000,IF(LEFT($A136,3)="icp",SUMIFS('BASE-ICP'!$K:$K,'BASE-ICP'!$A:$A,Capex!$A127,'BASE-ICP'!$B:$B,"novembro")/1000,"")),"")</f>
        <v>0</v>
      </c>
      <c r="DG136" s="427">
        <v>0</v>
      </c>
      <c r="DH136" s="372"/>
      <c r="DI136" s="419"/>
      <c r="DJ136" s="423">
        <f>IFERROR(IF(LEFT($A136,3)="Lcp",SUMIFS('BASE-LCP'!$K:$K,'BASE-LCP'!$A:$A,Capex!$A127,'BASE-LCP'!$B:$B,"dezembro")/1000,IF(LEFT($A136,3)="icp",SUMIFS('BASE-ICP'!$K:$K,'BASE-ICP'!$A:$A,Capex!$A127,'BASE-ICP'!$B:$B,"dezembro")/1000,"")),"")</f>
        <v>0</v>
      </c>
      <c r="DK136" s="427">
        <v>0</v>
      </c>
      <c r="DL136" s="452">
        <f t="shared" si="85"/>
        <v>60</v>
      </c>
      <c r="DM136" s="374"/>
      <c r="DN136" s="374">
        <v>60</v>
      </c>
      <c r="DO136" s="374"/>
      <c r="DP136" s="374"/>
      <c r="DQ136" s="374"/>
      <c r="DR136" s="374"/>
      <c r="DS136" s="374"/>
      <c r="DT136" s="374"/>
      <c r="DU136" s="374"/>
      <c r="DV136" s="374"/>
      <c r="DW136" s="374"/>
      <c r="DX136" s="374"/>
      <c r="DY136" s="450"/>
      <c r="DZ136" s="374">
        <f t="shared" si="86"/>
        <v>60</v>
      </c>
      <c r="EA136" s="216">
        <f t="shared" si="87"/>
        <v>0</v>
      </c>
      <c r="EB136" s="320">
        <f t="shared" si="88"/>
        <v>0</v>
      </c>
      <c r="EC136" s="241">
        <f t="shared" si="89"/>
        <v>0</v>
      </c>
      <c r="ED136" s="241">
        <f t="shared" si="90"/>
        <v>0</v>
      </c>
      <c r="EE136" s="241">
        <f t="shared" si="91"/>
        <v>0</v>
      </c>
      <c r="EF136" s="241">
        <f t="shared" si="92"/>
        <v>0</v>
      </c>
      <c r="EG136" s="346">
        <f t="shared" si="93"/>
        <v>0</v>
      </c>
      <c r="EH136" s="445">
        <f t="shared" si="94"/>
        <v>0</v>
      </c>
      <c r="EI136" s="447">
        <f t="shared" si="95"/>
        <v>0</v>
      </c>
      <c r="EJ136" s="364">
        <f t="shared" si="96"/>
        <v>0</v>
      </c>
      <c r="EK136" s="365">
        <f t="shared" si="97"/>
        <v>0</v>
      </c>
      <c r="EL136" s="529">
        <f t="shared" si="98"/>
        <v>0</v>
      </c>
      <c r="EM136" s="530">
        <v>0</v>
      </c>
      <c r="EN136" s="530">
        <v>0</v>
      </c>
      <c r="EO136" s="530">
        <v>0</v>
      </c>
      <c r="EP136" s="530">
        <v>0</v>
      </c>
      <c r="EQ136" s="530">
        <v>0</v>
      </c>
      <c r="ER136" s="530">
        <v>0</v>
      </c>
      <c r="ES136" s="530">
        <v>0</v>
      </c>
      <c r="ET136" s="530">
        <v>0</v>
      </c>
      <c r="EU136" s="530">
        <v>0</v>
      </c>
      <c r="EV136" s="530">
        <v>0</v>
      </c>
      <c r="EW136" s="530">
        <v>0</v>
      </c>
      <c r="EX136" s="530">
        <v>0</v>
      </c>
      <c r="EY136" s="530">
        <f t="shared" si="99"/>
        <v>0</v>
      </c>
      <c r="EZ136" s="530">
        <f t="shared" si="100"/>
        <v>0</v>
      </c>
      <c r="FA136" s="530">
        <f t="shared" si="101"/>
        <v>0</v>
      </c>
      <c r="FB136" s="530">
        <f t="shared" si="102"/>
        <v>0</v>
      </c>
      <c r="FC136" s="384">
        <f>IFERROR(VLOOKUP(Capex!A127,BASE_558!D:R,8,FALSE)/1000,"")</f>
        <v>390.22399999999999</v>
      </c>
      <c r="FD136" s="328">
        <f>IFERROR(VLOOKUP(Capex!A127,BASE_558!D:R,9,)/1000,"")</f>
        <v>343.89090999999996</v>
      </c>
      <c r="FE136" s="328">
        <f>IFERROR(IF(LEFT(A136,3)="LCP",(VLOOKUP(Capex!A127,BASE_558!D:R,10,)/1000),SUMIFS('BASE ICP_PO_SC'!F:F,'BASE ICP_PO_SC'!A:A,Capex!A127,'BASE ICP_PO_SC'!E:E,"&lt;&gt;")/1000),"")</f>
        <v>0</v>
      </c>
      <c r="FF136" s="328">
        <f>IFERROR(IF(LEFT(A136,3)="LCP",(VLOOKUP(Capex!A127,BASE_558!D:R,11,)/1000),SUMIFS('BASE ICP_PO_SC'!F:F,'BASE ICP_PO_SC'!A:A,Capex!A127,'BASE ICP_PO_SC'!E:E,"")/1000),"")</f>
        <v>0</v>
      </c>
      <c r="FG136" s="328">
        <f>IFERROR(VLOOKUP(A136,BASE_558!D:R,13,FALSE)/1000,"")</f>
        <v>319.56376</v>
      </c>
      <c r="FH136" s="328">
        <f>IFERROR(VLOOKUP(A136,BASE_558!D:R,15,FALSE)/1000,"")</f>
        <v>52.43224</v>
      </c>
      <c r="FI136" s="547">
        <f t="shared" si="103"/>
        <v>0</v>
      </c>
      <c r="FJ136" s="547">
        <f t="shared" si="104"/>
        <v>0</v>
      </c>
      <c r="FK136" s="540">
        <f t="shared" si="105"/>
        <v>0</v>
      </c>
    </row>
    <row r="137" spans="1:167" s="23" customFormat="1" ht="24" customHeight="1">
      <c r="A137" s="84" t="s">
        <v>149</v>
      </c>
      <c r="B137" s="404"/>
      <c r="C137" s="404"/>
      <c r="D137" s="338" t="s">
        <v>920</v>
      </c>
      <c r="E137" s="378">
        <v>1303242</v>
      </c>
      <c r="F137" s="5"/>
      <c r="G137" s="310" t="s">
        <v>9</v>
      </c>
      <c r="H137" s="338"/>
      <c r="I137" s="338"/>
      <c r="J137" s="338">
        <v>2019</v>
      </c>
      <c r="K137" s="316">
        <v>43545</v>
      </c>
      <c r="L137" s="317">
        <v>43882</v>
      </c>
      <c r="M137" s="409"/>
      <c r="N137" s="317">
        <f t="shared" si="74"/>
        <v>44457</v>
      </c>
      <c r="O137" s="317">
        <f t="shared" si="75"/>
        <v>44822</v>
      </c>
      <c r="P137" s="418" t="str">
        <f t="shared" si="106"/>
        <v>CRTD</v>
      </c>
      <c r="Q137" s="418" t="str">
        <f t="shared" si="106"/>
        <v>CRTD</v>
      </c>
      <c r="R137" s="418" t="str">
        <f t="shared" si="106"/>
        <v>CRTD</v>
      </c>
      <c r="S137" s="418" t="str">
        <f t="shared" si="106"/>
        <v>CRTD</v>
      </c>
      <c r="T137" s="418" t="str">
        <f t="shared" si="106"/>
        <v>CRTD</v>
      </c>
      <c r="U137" s="418" t="str">
        <f t="shared" si="106"/>
        <v>CRTD</v>
      </c>
      <c r="V137" s="418" t="str">
        <f t="shared" si="106"/>
        <v>CRTD</v>
      </c>
      <c r="W137" s="418" t="str">
        <f t="shared" si="106"/>
        <v>CRTD</v>
      </c>
      <c r="X137" s="418" t="str">
        <f t="shared" si="106"/>
        <v>CRTD</v>
      </c>
      <c r="Y137" s="418" t="str">
        <f t="shared" si="106"/>
        <v>CRTD</v>
      </c>
      <c r="Z137" s="418" t="str">
        <f t="shared" si="106"/>
        <v>CRTD</v>
      </c>
      <c r="AA137" s="418" t="str">
        <f t="shared" si="106"/>
        <v>CRTD</v>
      </c>
      <c r="AB137" s="317"/>
      <c r="AC137" s="309" t="s">
        <v>3931</v>
      </c>
      <c r="AD137" s="311" t="s">
        <v>223</v>
      </c>
      <c r="AE137" s="311"/>
      <c r="AF137" s="310" t="s">
        <v>6985</v>
      </c>
      <c r="AG137" s="310" t="s">
        <v>9083</v>
      </c>
      <c r="AH137" s="310" t="s">
        <v>150</v>
      </c>
      <c r="AI137" s="309" t="s">
        <v>188</v>
      </c>
      <c r="AJ137" s="6" t="s">
        <v>218</v>
      </c>
      <c r="AK137" s="6" t="str">
        <f t="shared" si="83"/>
        <v>IGUAL</v>
      </c>
      <c r="AL137" s="151" t="str">
        <f>IFERROR(IF(LEFT(A137,3)="LCP",VLOOKUP(A137,STATUS_SAP_LCP!B:C,2,FALSE),VLOOKUP(A137,STATUS_SAP_ICP!B:C,2,FALSE)),"NO BUDGET")</f>
        <v>CLSD BUDG AUC  AVAC  //  RJCD BREL EXPL</v>
      </c>
      <c r="AM137" s="6" t="str">
        <f t="shared" si="82"/>
        <v>CLSD</v>
      </c>
      <c r="AN137" s="282" t="s">
        <v>9085</v>
      </c>
      <c r="AO137" s="493">
        <v>1</v>
      </c>
      <c r="AP137" s="499" t="s">
        <v>9607</v>
      </c>
      <c r="AQ137" s="465">
        <v>43882</v>
      </c>
      <c r="AR137" s="460"/>
      <c r="AS137" s="56">
        <v>16.68366</v>
      </c>
      <c r="AT137" s="185">
        <v>5.8299999999994467E-3</v>
      </c>
      <c r="AU137" s="318">
        <v>0</v>
      </c>
      <c r="AV137" s="223">
        <v>0</v>
      </c>
      <c r="AW137" s="318">
        <v>0</v>
      </c>
      <c r="AX137" s="223">
        <v>0</v>
      </c>
      <c r="AY137" s="318">
        <f t="shared" si="76"/>
        <v>0</v>
      </c>
      <c r="AZ137" s="223"/>
      <c r="BA137" s="318"/>
      <c r="BB137" s="519">
        <f t="shared" si="77"/>
        <v>0</v>
      </c>
      <c r="BC137" s="518"/>
      <c r="BD137" s="518"/>
      <c r="BE137" s="518"/>
      <c r="BF137" s="518"/>
      <c r="BG137" s="518"/>
      <c r="BH137" s="518"/>
      <c r="BI137" s="518"/>
      <c r="BJ137" s="518"/>
      <c r="BK137" s="518"/>
      <c r="BL137" s="518"/>
      <c r="BM137" s="518"/>
      <c r="BN137" s="518"/>
      <c r="BO137" s="367">
        <f t="shared" si="84"/>
        <v>0</v>
      </c>
      <c r="BP137" s="421"/>
      <c r="BQ137" s="422"/>
      <c r="BR137" s="423">
        <f>IFERROR(IF(LEFT($A137,3)="Lcp",SUMIFS('BASE-LCP'!$K:$K,'BASE-LCP'!$A:$A,Capex!$A128,'BASE-LCP'!$B:$B,"janeiro")/1000,IF(LEFT($A137,3)="icp",SUMIFS('BASE-ICP'!$K:$K,'BASE-ICP'!$A:$A,Capex!$A128,'BASE-ICP'!$B:$B,"janeiro")/1000,"")),"")</f>
        <v>0</v>
      </c>
      <c r="BS137" s="427">
        <v>0</v>
      </c>
      <c r="BT137" s="372">
        <v>0</v>
      </c>
      <c r="BU137" s="422"/>
      <c r="BV137" s="423">
        <f>IFERROR(IF(LEFT($A137,3)="Lcp",SUMIFS('BASE-LCP'!$K:$K,'BASE-LCP'!$A:$A,Capex!$A128,'BASE-LCP'!$B:$B,"fevereiro")/1000,IF(LEFT($A137,3)="icp",SUMIFS('BASE-ICP'!$K:$K,'BASE-ICP'!$A:$A,Capex!$A128,'BASE-ICP'!$B:$B,"fevereiro")/1000,"")),"")</f>
        <v>0</v>
      </c>
      <c r="BW137" s="427">
        <v>0</v>
      </c>
      <c r="BX137" s="372">
        <v>0</v>
      </c>
      <c r="BY137" s="419"/>
      <c r="BZ137" s="423">
        <f>IFERROR(IF(LEFT($A137,3)="Lcp",SUMIFS('BASE-LCP'!$K:$K,'BASE-LCP'!$A:$A,Capex!$A128,'BASE-LCP'!$B:$B,"março")/1000,IF(LEFT($A137,3)="icp",SUMIFS('BASE-ICP'!$K:$K,'BASE-ICP'!$A:$A,Capex!$A128,'BASE-ICP'!$B:$B,"março")/1000,"")),"")</f>
        <v>0</v>
      </c>
      <c r="CA137" s="427">
        <v>0</v>
      </c>
      <c r="CB137" s="372">
        <v>0</v>
      </c>
      <c r="CC137" s="422"/>
      <c r="CD137" s="423">
        <f>IFERROR(IF(LEFT($A137,3)="Lcp",SUMIFS('BASE-LCP'!$K:$K,'BASE-LCP'!$A:$A,Capex!$A128,'BASE-LCP'!$B:$B,"abril")/1000,IF(LEFT($A137,3)="icp",SUMIFS('BASE-ICP'!$K:$K,'BASE-ICP'!$A:$A,Capex!$A128,'BASE-ICP'!$B:$B,"abril")/1000,"")),"")</f>
        <v>0</v>
      </c>
      <c r="CE137" s="427">
        <v>0</v>
      </c>
      <c r="CF137" s="372">
        <v>0</v>
      </c>
      <c r="CG137" s="419"/>
      <c r="CH137" s="423">
        <v>0</v>
      </c>
      <c r="CI137" s="427">
        <v>0</v>
      </c>
      <c r="CJ137" s="372">
        <v>0</v>
      </c>
      <c r="CK137" s="419"/>
      <c r="CL137" s="423">
        <f>IFERROR(IF(LEFT($A137,3)="Lcp",SUMIFS('BASE-LCP'!$K:$K,'BASE-LCP'!$A:$A,Capex!$A128,'BASE-LCP'!$B:$B,"junho")/1000,IF(LEFT($A137,3)="icp",SUMIFS('BASE-ICP'!$K:$K,'BASE-ICP'!$A:$A,Capex!$A128,'BASE-ICP'!$B:$B,"junho")/1000,"")),"")</f>
        <v>0</v>
      </c>
      <c r="CM137" s="427">
        <v>0</v>
      </c>
      <c r="CN137" s="372"/>
      <c r="CO137" s="419"/>
      <c r="CP137" s="423">
        <f>IFERROR(IF(LEFT($A137,3)="Lcp",SUMIFS('BASE-LCP'!$K:$K,'BASE-LCP'!$A:$A,Capex!$A128,'BASE-LCP'!$B:$B,"julho")/1000,IF(LEFT($A137,3)="icp",SUMIFS('BASE-ICP'!$K:$K,'BASE-ICP'!$A:$A,Capex!$A128,'BASE-ICP'!$B:$B,"julho")/1000,"")),"")</f>
        <v>0</v>
      </c>
      <c r="CQ137" s="427">
        <v>0</v>
      </c>
      <c r="CR137" s="372"/>
      <c r="CS137" s="419"/>
      <c r="CT137" s="423">
        <f>IFERROR(IF(LEFT($A137,3)="Lcp",SUMIFS('BASE-LCP'!$K:$K,'BASE-LCP'!$A:$A,Capex!$A128,'BASE-LCP'!$B:$B,"agosto")/1000,IF(LEFT($A137,3)="icp",SUMIFS('BASE-ICP'!$K:$K,'BASE-ICP'!$A:$A,Capex!$A128,'BASE-ICP'!$B:$B,"agosto")/1000,"")),"")</f>
        <v>0</v>
      </c>
      <c r="CU137" s="427">
        <v>0</v>
      </c>
      <c r="CV137" s="372"/>
      <c r="CW137" s="419"/>
      <c r="CX137" s="423">
        <f>IFERROR(IF(LEFT($A137,3)="Lcp",SUMIFS('BASE-LCP'!$K:$K,'BASE-LCP'!$A:$A,Capex!$A128,'BASE-LCP'!$B:$B,"setembro")/1000,IF(LEFT($A137,3)="icp",SUMIFS('BASE-ICP'!$K:$K,'BASE-ICP'!$A:$A,Capex!$A128,'BASE-ICP'!$B:$B,"setembro")/1000,"")),"")</f>
        <v>0</v>
      </c>
      <c r="CY137" s="427">
        <v>0</v>
      </c>
      <c r="CZ137" s="372"/>
      <c r="DA137" s="419"/>
      <c r="DB137" s="423">
        <f>IFERROR(IF(LEFT($A137,3)="Lcp",SUMIFS('BASE-LCP'!$K:$K,'BASE-LCP'!$A:$A,Capex!$A128,'BASE-LCP'!$B:$B,"outubro")/1000,IF(LEFT($A137,3)="icp",SUMIFS('BASE-ICP'!$K:$K,'BASE-ICP'!$A:$A,Capex!$A128,'BASE-ICP'!$B:$B,"outubro")/1000,"")),"")</f>
        <v>0</v>
      </c>
      <c r="DC137" s="427">
        <v>0</v>
      </c>
      <c r="DD137" s="372"/>
      <c r="DE137" s="419"/>
      <c r="DF137" s="423">
        <f>IFERROR(IF(LEFT($A137,3)="Lcp",SUMIFS('BASE-LCP'!$K:$K,'BASE-LCP'!$A:$A,Capex!$A128,'BASE-LCP'!$B:$B,"novembro")/1000,IF(LEFT($A137,3)="icp",SUMIFS('BASE-ICP'!$K:$K,'BASE-ICP'!$A:$A,Capex!$A128,'BASE-ICP'!$B:$B,"novembro")/1000,"")),"")</f>
        <v>0</v>
      </c>
      <c r="DG137" s="427">
        <v>0</v>
      </c>
      <c r="DH137" s="372"/>
      <c r="DI137" s="419"/>
      <c r="DJ137" s="423">
        <f>IFERROR(IF(LEFT($A137,3)="Lcp",SUMIFS('BASE-LCP'!$K:$K,'BASE-LCP'!$A:$A,Capex!$A128,'BASE-LCP'!$B:$B,"dezembro")/1000,IF(LEFT($A137,3)="icp",SUMIFS('BASE-ICP'!$K:$K,'BASE-ICP'!$A:$A,Capex!$A128,'BASE-ICP'!$B:$B,"dezembro")/1000,"")),"")</f>
        <v>0</v>
      </c>
      <c r="DK137" s="427">
        <v>0</v>
      </c>
      <c r="DL137" s="452">
        <f t="shared" si="85"/>
        <v>0</v>
      </c>
      <c r="DM137" s="374"/>
      <c r="DN137" s="374"/>
      <c r="DO137" s="374"/>
      <c r="DP137" s="374"/>
      <c r="DQ137" s="374"/>
      <c r="DR137" s="374"/>
      <c r="DS137" s="374"/>
      <c r="DT137" s="374"/>
      <c r="DU137" s="374"/>
      <c r="DV137" s="374"/>
      <c r="DW137" s="374"/>
      <c r="DX137" s="374"/>
      <c r="DY137" s="450"/>
      <c r="DZ137" s="374">
        <f t="shared" si="86"/>
        <v>0</v>
      </c>
      <c r="EA137" s="216">
        <f t="shared" si="87"/>
        <v>0</v>
      </c>
      <c r="EB137" s="320">
        <f t="shared" si="88"/>
        <v>0</v>
      </c>
      <c r="EC137" s="241">
        <f t="shared" si="89"/>
        <v>0</v>
      </c>
      <c r="ED137" s="241">
        <f t="shared" si="90"/>
        <v>0</v>
      </c>
      <c r="EE137" s="241">
        <f t="shared" si="91"/>
        <v>0</v>
      </c>
      <c r="EF137" s="241">
        <f t="shared" si="92"/>
        <v>0</v>
      </c>
      <c r="EG137" s="346">
        <f t="shared" si="93"/>
        <v>0</v>
      </c>
      <c r="EH137" s="445">
        <f t="shared" si="94"/>
        <v>0</v>
      </c>
      <c r="EI137" s="447">
        <f t="shared" si="95"/>
        <v>0</v>
      </c>
      <c r="EJ137" s="364">
        <f t="shared" si="96"/>
        <v>0</v>
      </c>
      <c r="EK137" s="365">
        <f t="shared" si="97"/>
        <v>0</v>
      </c>
      <c r="EL137" s="529">
        <f t="shared" si="98"/>
        <v>0</v>
      </c>
      <c r="EM137" s="530">
        <v>0</v>
      </c>
      <c r="EN137" s="530">
        <v>0</v>
      </c>
      <c r="EO137" s="530">
        <v>0</v>
      </c>
      <c r="EP137" s="530">
        <v>0</v>
      </c>
      <c r="EQ137" s="530">
        <v>0</v>
      </c>
      <c r="ER137" s="530">
        <v>0</v>
      </c>
      <c r="ES137" s="530">
        <v>0</v>
      </c>
      <c r="ET137" s="530">
        <v>0</v>
      </c>
      <c r="EU137" s="530">
        <v>0</v>
      </c>
      <c r="EV137" s="530">
        <v>0</v>
      </c>
      <c r="EW137" s="530">
        <v>0</v>
      </c>
      <c r="EX137" s="530">
        <v>0</v>
      </c>
      <c r="EY137" s="530">
        <f t="shared" si="99"/>
        <v>0</v>
      </c>
      <c r="EZ137" s="530">
        <f t="shared" si="100"/>
        <v>0</v>
      </c>
      <c r="FA137" s="530">
        <f t="shared" si="101"/>
        <v>0</v>
      </c>
      <c r="FB137" s="530">
        <f t="shared" si="102"/>
        <v>0</v>
      </c>
      <c r="FC137" s="384">
        <f>IFERROR(VLOOKUP(Capex!A128,BASE_558!D:R,8,FALSE)/1000,"")</f>
        <v>106.41500000000001</v>
      </c>
      <c r="FD137" s="328">
        <f>IFERROR(VLOOKUP(Capex!A128,BASE_558!D:R,9,)/1000,"")</f>
        <v>92.515219999999999</v>
      </c>
      <c r="FE137" s="328">
        <f>IFERROR(IF(LEFT(A137,3)="LCP",(VLOOKUP(Capex!A128,BASE_558!D:R,10,)/1000),SUMIFS('BASE ICP_PO_SC'!F:F,'BASE ICP_PO_SC'!A:A,Capex!A128,'BASE ICP_PO_SC'!E:E,"&lt;&gt;")/1000),"")</f>
        <v>0</v>
      </c>
      <c r="FF137" s="328">
        <f>IFERROR(IF(LEFT(A137,3)="LCP",(VLOOKUP(Capex!A128,BASE_558!D:R,11,)/1000),SUMIFS('BASE ICP_PO_SC'!F:F,'BASE ICP_PO_SC'!A:A,Capex!A128,'BASE ICP_PO_SC'!E:E,"")/1000),"")</f>
        <v>0</v>
      </c>
      <c r="FG137" s="328">
        <f>IFERROR(VLOOKUP(A137,BASE_558!D:R,13,FALSE)/1000,"")</f>
        <v>16.689490000000003</v>
      </c>
      <c r="FH137" s="328">
        <f>IFERROR(VLOOKUP(A137,BASE_558!D:R,15,FALSE)/1000,"")</f>
        <v>9.51051</v>
      </c>
      <c r="FI137" s="547">
        <f t="shared" si="103"/>
        <v>0</v>
      </c>
      <c r="FJ137" s="547">
        <f t="shared" si="104"/>
        <v>0</v>
      </c>
      <c r="FK137" s="540">
        <f t="shared" si="105"/>
        <v>0</v>
      </c>
    </row>
    <row r="138" spans="1:167" s="23" customFormat="1" ht="24" customHeight="1">
      <c r="A138" s="84" t="s">
        <v>147</v>
      </c>
      <c r="B138" s="404"/>
      <c r="C138" s="404"/>
      <c r="D138" s="338" t="s">
        <v>1264</v>
      </c>
      <c r="E138" s="378">
        <v>1302696</v>
      </c>
      <c r="F138" s="5"/>
      <c r="G138" s="310" t="s">
        <v>9</v>
      </c>
      <c r="H138" s="338"/>
      <c r="I138" s="338"/>
      <c r="J138" s="338">
        <v>2019</v>
      </c>
      <c r="K138" s="316">
        <v>43538</v>
      </c>
      <c r="L138" s="317">
        <v>43966</v>
      </c>
      <c r="M138" s="409"/>
      <c r="N138" s="317">
        <f t="shared" si="74"/>
        <v>44450</v>
      </c>
      <c r="O138" s="317">
        <f t="shared" si="75"/>
        <v>44815</v>
      </c>
      <c r="P138" s="418" t="str">
        <f t="shared" si="106"/>
        <v>CRTD</v>
      </c>
      <c r="Q138" s="418" t="str">
        <f t="shared" si="106"/>
        <v>CRTD</v>
      </c>
      <c r="R138" s="418" t="str">
        <f t="shared" si="106"/>
        <v>CRTD</v>
      </c>
      <c r="S138" s="418" t="str">
        <f t="shared" si="106"/>
        <v>CRTD</v>
      </c>
      <c r="T138" s="418" t="str">
        <f t="shared" si="106"/>
        <v>CRTD</v>
      </c>
      <c r="U138" s="418" t="str">
        <f t="shared" si="106"/>
        <v>CRTD</v>
      </c>
      <c r="V138" s="418" t="str">
        <f t="shared" si="106"/>
        <v>CRTD</v>
      </c>
      <c r="W138" s="418" t="str">
        <f t="shared" si="106"/>
        <v>CRTD</v>
      </c>
      <c r="X138" s="418" t="str">
        <f t="shared" si="106"/>
        <v>CRTD</v>
      </c>
      <c r="Y138" s="418" t="str">
        <f t="shared" si="106"/>
        <v>CRTD</v>
      </c>
      <c r="Z138" s="418" t="str">
        <f t="shared" si="106"/>
        <v>CRTD</v>
      </c>
      <c r="AA138" s="418" t="str">
        <f t="shared" si="106"/>
        <v>CRTD</v>
      </c>
      <c r="AB138" s="317"/>
      <c r="AC138" s="309" t="s">
        <v>2508</v>
      </c>
      <c r="AD138" s="311" t="s">
        <v>223</v>
      </c>
      <c r="AE138" s="311"/>
      <c r="AF138" s="310" t="s">
        <v>6985</v>
      </c>
      <c r="AG138" s="310" t="s">
        <v>9083</v>
      </c>
      <c r="AH138" s="310" t="s">
        <v>98</v>
      </c>
      <c r="AI138" s="309" t="s">
        <v>2255</v>
      </c>
      <c r="AJ138" s="6" t="s">
        <v>218</v>
      </c>
      <c r="AK138" s="6" t="str">
        <f t="shared" si="83"/>
        <v>IGUAL</v>
      </c>
      <c r="AL138" s="151" t="str">
        <f>IFERROR(IF(LEFT(A138,3)="LCP",VLOOKUP(A138,STATUS_SAP_LCP!B:C,2,FALSE),VLOOKUP(A138,STATUS_SAP_ICP!B:C,2,FALSE)),"NO BUDGET")</f>
        <v>CLSD BUDG AUC  AVAC  //  APPR BREL EXPL</v>
      </c>
      <c r="AM138" s="6" t="str">
        <f t="shared" si="82"/>
        <v>CLSD</v>
      </c>
      <c r="AN138" s="282" t="s">
        <v>9087</v>
      </c>
      <c r="AO138" s="493">
        <v>1</v>
      </c>
      <c r="AP138" s="499" t="s">
        <v>9607</v>
      </c>
      <c r="AQ138" s="465">
        <v>43966</v>
      </c>
      <c r="AR138" s="460"/>
      <c r="AS138" s="56">
        <v>63.970759999999999</v>
      </c>
      <c r="AT138" s="185">
        <v>0</v>
      </c>
      <c r="AU138" s="318">
        <v>0</v>
      </c>
      <c r="AV138" s="223">
        <v>0</v>
      </c>
      <c r="AW138" s="318">
        <v>0</v>
      </c>
      <c r="AX138" s="223">
        <v>0</v>
      </c>
      <c r="AY138" s="318">
        <f t="shared" si="76"/>
        <v>0</v>
      </c>
      <c r="AZ138" s="223"/>
      <c r="BA138" s="318"/>
      <c r="BB138" s="519">
        <f t="shared" si="77"/>
        <v>0</v>
      </c>
      <c r="BC138" s="518"/>
      <c r="BD138" s="518"/>
      <c r="BE138" s="518"/>
      <c r="BF138" s="518"/>
      <c r="BG138" s="518"/>
      <c r="BH138" s="518"/>
      <c r="BI138" s="518"/>
      <c r="BJ138" s="518"/>
      <c r="BK138" s="518"/>
      <c r="BL138" s="518"/>
      <c r="BM138" s="518"/>
      <c r="BN138" s="518"/>
      <c r="BO138" s="367">
        <f t="shared" si="84"/>
        <v>0</v>
      </c>
      <c r="BP138" s="421"/>
      <c r="BQ138" s="422"/>
      <c r="BR138" s="423">
        <f>IFERROR(IF(LEFT($A138,3)="Lcp",SUMIFS('BASE-LCP'!$K:$K,'BASE-LCP'!$A:$A,Capex!$A129,'BASE-LCP'!$B:$B,"janeiro")/1000,IF(LEFT($A138,3)="icp",SUMIFS('BASE-ICP'!$K:$K,'BASE-ICP'!$A:$A,Capex!$A129,'BASE-ICP'!$B:$B,"janeiro")/1000,"")),"")</f>
        <v>0</v>
      </c>
      <c r="BS138" s="427">
        <v>0</v>
      </c>
      <c r="BT138" s="372">
        <v>0</v>
      </c>
      <c r="BU138" s="422"/>
      <c r="BV138" s="423">
        <f>IFERROR(IF(LEFT($A138,3)="Lcp",SUMIFS('BASE-LCP'!$K:$K,'BASE-LCP'!$A:$A,Capex!$A129,'BASE-LCP'!$B:$B,"fevereiro")/1000,IF(LEFT($A138,3)="icp",SUMIFS('BASE-ICP'!$K:$K,'BASE-ICP'!$A:$A,Capex!$A129,'BASE-ICP'!$B:$B,"fevereiro")/1000,"")),"")</f>
        <v>0</v>
      </c>
      <c r="BW138" s="427">
        <v>0</v>
      </c>
      <c r="BX138" s="372">
        <v>0</v>
      </c>
      <c r="BY138" s="419"/>
      <c r="BZ138" s="423">
        <f>IFERROR(IF(LEFT($A138,3)="Lcp",SUMIFS('BASE-LCP'!$K:$K,'BASE-LCP'!$A:$A,Capex!$A129,'BASE-LCP'!$B:$B,"março")/1000,IF(LEFT($A138,3)="icp",SUMIFS('BASE-ICP'!$K:$K,'BASE-ICP'!$A:$A,Capex!$A129,'BASE-ICP'!$B:$B,"março")/1000,"")),"")</f>
        <v>0</v>
      </c>
      <c r="CA138" s="427">
        <v>0</v>
      </c>
      <c r="CB138" s="372">
        <v>0</v>
      </c>
      <c r="CC138" s="422"/>
      <c r="CD138" s="423">
        <f>IFERROR(IF(LEFT($A138,3)="Lcp",SUMIFS('BASE-LCP'!$K:$K,'BASE-LCP'!$A:$A,Capex!$A129,'BASE-LCP'!$B:$B,"abril")/1000,IF(LEFT($A138,3)="icp",SUMIFS('BASE-ICP'!$K:$K,'BASE-ICP'!$A:$A,Capex!$A129,'BASE-ICP'!$B:$B,"abril")/1000,"")),"")</f>
        <v>0</v>
      </c>
      <c r="CE138" s="427">
        <v>0</v>
      </c>
      <c r="CF138" s="372">
        <v>0</v>
      </c>
      <c r="CG138" s="419"/>
      <c r="CH138" s="423">
        <v>0</v>
      </c>
      <c r="CI138" s="427">
        <v>0</v>
      </c>
      <c r="CJ138" s="372">
        <v>0</v>
      </c>
      <c r="CK138" s="419"/>
      <c r="CL138" s="423">
        <f>IFERROR(IF(LEFT($A138,3)="Lcp",SUMIFS('BASE-LCP'!$K:$K,'BASE-LCP'!$A:$A,Capex!$A129,'BASE-LCP'!$B:$B,"junho")/1000,IF(LEFT($A138,3)="icp",SUMIFS('BASE-ICP'!$K:$K,'BASE-ICP'!$A:$A,Capex!$A129,'BASE-ICP'!$B:$B,"junho")/1000,"")),"")</f>
        <v>0</v>
      </c>
      <c r="CM138" s="427">
        <v>0</v>
      </c>
      <c r="CN138" s="372"/>
      <c r="CO138" s="419"/>
      <c r="CP138" s="423">
        <f>IFERROR(IF(LEFT($A138,3)="Lcp",SUMIFS('BASE-LCP'!$K:$K,'BASE-LCP'!$A:$A,Capex!$A129,'BASE-LCP'!$B:$B,"julho")/1000,IF(LEFT($A138,3)="icp",SUMIFS('BASE-ICP'!$K:$K,'BASE-ICP'!$A:$A,Capex!$A129,'BASE-ICP'!$B:$B,"julho")/1000,"")),"")</f>
        <v>0</v>
      </c>
      <c r="CQ138" s="427">
        <v>0</v>
      </c>
      <c r="CR138" s="372"/>
      <c r="CS138" s="419"/>
      <c r="CT138" s="423">
        <f>IFERROR(IF(LEFT($A138,3)="Lcp",SUMIFS('BASE-LCP'!$K:$K,'BASE-LCP'!$A:$A,Capex!$A129,'BASE-LCP'!$B:$B,"agosto")/1000,IF(LEFT($A138,3)="icp",SUMIFS('BASE-ICP'!$K:$K,'BASE-ICP'!$A:$A,Capex!$A129,'BASE-ICP'!$B:$B,"agosto")/1000,"")),"")</f>
        <v>0</v>
      </c>
      <c r="CU138" s="427">
        <v>0</v>
      </c>
      <c r="CV138" s="372"/>
      <c r="CW138" s="419"/>
      <c r="CX138" s="423">
        <f>IFERROR(IF(LEFT($A138,3)="Lcp",SUMIFS('BASE-LCP'!$K:$K,'BASE-LCP'!$A:$A,Capex!$A129,'BASE-LCP'!$B:$B,"setembro")/1000,IF(LEFT($A138,3)="icp",SUMIFS('BASE-ICP'!$K:$K,'BASE-ICP'!$A:$A,Capex!$A129,'BASE-ICP'!$B:$B,"setembro")/1000,"")),"")</f>
        <v>0</v>
      </c>
      <c r="CY138" s="427">
        <v>0</v>
      </c>
      <c r="CZ138" s="372"/>
      <c r="DA138" s="419"/>
      <c r="DB138" s="423">
        <f>IFERROR(IF(LEFT($A138,3)="Lcp",SUMIFS('BASE-LCP'!$K:$K,'BASE-LCP'!$A:$A,Capex!$A129,'BASE-LCP'!$B:$B,"outubro")/1000,IF(LEFT($A138,3)="icp",SUMIFS('BASE-ICP'!$K:$K,'BASE-ICP'!$A:$A,Capex!$A129,'BASE-ICP'!$B:$B,"outubro")/1000,"")),"")</f>
        <v>0</v>
      </c>
      <c r="DC138" s="427">
        <v>0</v>
      </c>
      <c r="DD138" s="372"/>
      <c r="DE138" s="419"/>
      <c r="DF138" s="423">
        <f>IFERROR(IF(LEFT($A138,3)="Lcp",SUMIFS('BASE-LCP'!$K:$K,'BASE-LCP'!$A:$A,Capex!$A129,'BASE-LCP'!$B:$B,"novembro")/1000,IF(LEFT($A138,3)="icp",SUMIFS('BASE-ICP'!$K:$K,'BASE-ICP'!$A:$A,Capex!$A129,'BASE-ICP'!$B:$B,"novembro")/1000,"")),"")</f>
        <v>0</v>
      </c>
      <c r="DG138" s="427">
        <v>0</v>
      </c>
      <c r="DH138" s="372"/>
      <c r="DI138" s="419"/>
      <c r="DJ138" s="423">
        <f>IFERROR(IF(LEFT($A138,3)="Lcp",SUMIFS('BASE-LCP'!$K:$K,'BASE-LCP'!$A:$A,Capex!$A129,'BASE-LCP'!$B:$B,"dezembro")/1000,IF(LEFT($A138,3)="icp",SUMIFS('BASE-ICP'!$K:$K,'BASE-ICP'!$A:$A,Capex!$A129,'BASE-ICP'!$B:$B,"dezembro")/1000,"")),"")</f>
        <v>0</v>
      </c>
      <c r="DK138" s="427">
        <v>0</v>
      </c>
      <c r="DL138" s="452">
        <f t="shared" si="85"/>
        <v>0</v>
      </c>
      <c r="DM138" s="374"/>
      <c r="DN138" s="374"/>
      <c r="DO138" s="374"/>
      <c r="DP138" s="374"/>
      <c r="DQ138" s="374"/>
      <c r="DR138" s="374"/>
      <c r="DS138" s="374"/>
      <c r="DT138" s="374"/>
      <c r="DU138" s="374"/>
      <c r="DV138" s="374"/>
      <c r="DW138" s="374"/>
      <c r="DX138" s="374"/>
      <c r="DY138" s="450"/>
      <c r="DZ138" s="374">
        <f t="shared" si="86"/>
        <v>0</v>
      </c>
      <c r="EA138" s="216">
        <f t="shared" si="87"/>
        <v>0</v>
      </c>
      <c r="EB138" s="320">
        <f t="shared" si="88"/>
        <v>0</v>
      </c>
      <c r="EC138" s="241">
        <f t="shared" si="89"/>
        <v>0</v>
      </c>
      <c r="ED138" s="241">
        <f t="shared" si="90"/>
        <v>0</v>
      </c>
      <c r="EE138" s="241">
        <f t="shared" si="91"/>
        <v>0</v>
      </c>
      <c r="EF138" s="241">
        <f t="shared" si="92"/>
        <v>0</v>
      </c>
      <c r="EG138" s="346">
        <f t="shared" si="93"/>
        <v>0</v>
      </c>
      <c r="EH138" s="445">
        <f t="shared" si="94"/>
        <v>0</v>
      </c>
      <c r="EI138" s="447">
        <f t="shared" si="95"/>
        <v>0</v>
      </c>
      <c r="EJ138" s="364">
        <f t="shared" si="96"/>
        <v>0</v>
      </c>
      <c r="EK138" s="365">
        <f t="shared" si="97"/>
        <v>0</v>
      </c>
      <c r="EL138" s="529">
        <f t="shared" si="98"/>
        <v>0</v>
      </c>
      <c r="EM138" s="530">
        <v>0</v>
      </c>
      <c r="EN138" s="530">
        <v>0</v>
      </c>
      <c r="EO138" s="530">
        <v>0</v>
      </c>
      <c r="EP138" s="530">
        <v>0</v>
      </c>
      <c r="EQ138" s="530">
        <v>0</v>
      </c>
      <c r="ER138" s="530">
        <v>0</v>
      </c>
      <c r="ES138" s="530">
        <v>0</v>
      </c>
      <c r="ET138" s="530">
        <v>0</v>
      </c>
      <c r="EU138" s="530">
        <v>0</v>
      </c>
      <c r="EV138" s="530">
        <v>0</v>
      </c>
      <c r="EW138" s="530">
        <v>0</v>
      </c>
      <c r="EX138" s="530">
        <v>0</v>
      </c>
      <c r="EY138" s="530">
        <f t="shared" si="99"/>
        <v>0</v>
      </c>
      <c r="EZ138" s="530">
        <f t="shared" si="100"/>
        <v>0</v>
      </c>
      <c r="FA138" s="530">
        <f t="shared" si="101"/>
        <v>0</v>
      </c>
      <c r="FB138" s="530">
        <f t="shared" si="102"/>
        <v>0</v>
      </c>
      <c r="FC138" s="384">
        <f>IFERROR(VLOOKUP(Capex!A129,BASE_558!D:R,8,FALSE)/1000,"")</f>
        <v>242.75</v>
      </c>
      <c r="FD138" s="328">
        <f>IFERROR(VLOOKUP(Capex!A129,BASE_558!D:R,9,)/1000,"")</f>
        <v>235.98642000000001</v>
      </c>
      <c r="FE138" s="328">
        <f>IFERROR(IF(LEFT(A138,3)="LCP",(VLOOKUP(Capex!A129,BASE_558!D:R,10,)/1000),SUMIFS('BASE ICP_PO_SC'!F:F,'BASE ICP_PO_SC'!A:A,Capex!A129,'BASE ICP_PO_SC'!E:E,"&lt;&gt;")/1000),"")</f>
        <v>0</v>
      </c>
      <c r="FF138" s="328">
        <f>IFERROR(IF(LEFT(A138,3)="LCP",(VLOOKUP(Capex!A129,BASE_558!D:R,11,)/1000),SUMIFS('BASE ICP_PO_SC'!F:F,'BASE ICP_PO_SC'!A:A,Capex!A129,'BASE ICP_PO_SC'!E:E,"")/1000),"")</f>
        <v>0</v>
      </c>
      <c r="FG138" s="328">
        <f>IFERROR(VLOOKUP(A138,BASE_558!D:R,13,FALSE)/1000,"")</f>
        <v>63.970759999999999</v>
      </c>
      <c r="FH138" s="328">
        <f>IFERROR(VLOOKUP(A138,BASE_558!D:R,15,FALSE)/1000,"")</f>
        <v>11.02924</v>
      </c>
      <c r="FI138" s="547">
        <f t="shared" si="103"/>
        <v>0</v>
      </c>
      <c r="FJ138" s="547">
        <f t="shared" si="104"/>
        <v>0</v>
      </c>
      <c r="FK138" s="540">
        <f t="shared" si="105"/>
        <v>0</v>
      </c>
    </row>
    <row r="139" spans="1:167" s="23" customFormat="1" ht="24" customHeight="1">
      <c r="A139" s="84" t="s">
        <v>155</v>
      </c>
      <c r="B139" s="404"/>
      <c r="C139" s="404"/>
      <c r="D139" s="338" t="s">
        <v>877</v>
      </c>
      <c r="E139" s="378">
        <v>1653298</v>
      </c>
      <c r="F139" s="5"/>
      <c r="G139" s="310" t="s">
        <v>9</v>
      </c>
      <c r="H139" s="338"/>
      <c r="I139" s="338"/>
      <c r="J139" s="338">
        <v>2019</v>
      </c>
      <c r="K139" s="316">
        <v>43655</v>
      </c>
      <c r="L139" s="317">
        <v>44466</v>
      </c>
      <c r="M139" s="409"/>
      <c r="N139" s="317">
        <f t="shared" si="74"/>
        <v>44567</v>
      </c>
      <c r="O139" s="317">
        <f t="shared" si="75"/>
        <v>44932</v>
      </c>
      <c r="P139" s="418" t="str">
        <f t="shared" si="106"/>
        <v>CRTD</v>
      </c>
      <c r="Q139" s="418" t="str">
        <f t="shared" si="106"/>
        <v>CRTD</v>
      </c>
      <c r="R139" s="418" t="str">
        <f t="shared" si="106"/>
        <v>CRTD</v>
      </c>
      <c r="S139" s="418" t="str">
        <f t="shared" si="106"/>
        <v>CRTD</v>
      </c>
      <c r="T139" s="418" t="str">
        <f t="shared" si="106"/>
        <v>CRTD</v>
      </c>
      <c r="U139" s="418" t="str">
        <f t="shared" si="106"/>
        <v>CRTD</v>
      </c>
      <c r="V139" s="418" t="str">
        <f t="shared" si="106"/>
        <v>CRTD</v>
      </c>
      <c r="W139" s="418" t="str">
        <f t="shared" si="106"/>
        <v>CRTD</v>
      </c>
      <c r="X139" s="418" t="str">
        <f t="shared" si="106"/>
        <v>CRTD</v>
      </c>
      <c r="Y139" s="418" t="str">
        <f t="shared" si="106"/>
        <v>CRTD</v>
      </c>
      <c r="Z139" s="418" t="str">
        <f t="shared" si="106"/>
        <v>CRTD</v>
      </c>
      <c r="AA139" s="418" t="str">
        <f t="shared" si="106"/>
        <v>CRTD</v>
      </c>
      <c r="AB139" s="317"/>
      <c r="AC139" s="309" t="s">
        <v>3932</v>
      </c>
      <c r="AD139" s="311" t="s">
        <v>5</v>
      </c>
      <c r="AE139" s="311" t="s">
        <v>961</v>
      </c>
      <c r="AF139" s="310" t="s">
        <v>6985</v>
      </c>
      <c r="AG139" s="310" t="s">
        <v>9083</v>
      </c>
      <c r="AH139" s="310" t="s">
        <v>156</v>
      </c>
      <c r="AI139" s="381" t="s">
        <v>2255</v>
      </c>
      <c r="AJ139" s="6" t="s">
        <v>218</v>
      </c>
      <c r="AK139" s="6" t="str">
        <f t="shared" si="83"/>
        <v>IGUAL</v>
      </c>
      <c r="AL139" s="151" t="str">
        <f>IFERROR(IF(LEFT(A139,3)="LCP",VLOOKUP(A139,STATUS_SAP_LCP!B:C,2,FALSE),VLOOKUP(A139,STATUS_SAP_ICP!B:C,2,FALSE)),"NO BUDGET")</f>
        <v>CLSD BUDG AUC  AVAC  //  APPR BREL EXPL</v>
      </c>
      <c r="AM139" s="6" t="str">
        <f t="shared" si="82"/>
        <v>CLSD</v>
      </c>
      <c r="AN139" s="282" t="s">
        <v>9090</v>
      </c>
      <c r="AO139" s="493">
        <v>1</v>
      </c>
      <c r="AP139" s="499" t="s">
        <v>9607</v>
      </c>
      <c r="AQ139" s="465">
        <v>44466</v>
      </c>
      <c r="AR139" s="460"/>
      <c r="AS139" s="56">
        <v>125.52296000000003</v>
      </c>
      <c r="AT139" s="185">
        <v>55.08766</v>
      </c>
      <c r="AU139" s="318">
        <v>48.692160000000001</v>
      </c>
      <c r="AV139" s="223">
        <v>0</v>
      </c>
      <c r="AW139" s="318">
        <v>0</v>
      </c>
      <c r="AX139" s="223">
        <v>0</v>
      </c>
      <c r="AY139" s="318">
        <f t="shared" si="76"/>
        <v>0</v>
      </c>
      <c r="AZ139" s="223"/>
      <c r="BA139" s="318"/>
      <c r="BB139" s="519">
        <f t="shared" si="77"/>
        <v>0</v>
      </c>
      <c r="BC139" s="518"/>
      <c r="BD139" s="518"/>
      <c r="BE139" s="518"/>
      <c r="BF139" s="518"/>
      <c r="BG139" s="518"/>
      <c r="BH139" s="518"/>
      <c r="BI139" s="518"/>
      <c r="BJ139" s="518"/>
      <c r="BK139" s="518"/>
      <c r="BL139" s="518"/>
      <c r="BM139" s="518"/>
      <c r="BN139" s="518"/>
      <c r="BO139" s="367">
        <f t="shared" si="84"/>
        <v>0</v>
      </c>
      <c r="BP139" s="421"/>
      <c r="BQ139" s="422"/>
      <c r="BR139" s="423">
        <f>IFERROR(IF(LEFT($A139,3)="Lcp",SUMIFS('BASE-LCP'!$K:$K,'BASE-LCP'!$A:$A,Capex!$A130,'BASE-LCP'!$B:$B,"janeiro")/1000,IF(LEFT($A139,3)="icp",SUMIFS('BASE-ICP'!$K:$K,'BASE-ICP'!$A:$A,Capex!$A130,'BASE-ICP'!$B:$B,"janeiro")/1000,"")),"")</f>
        <v>0</v>
      </c>
      <c r="BS139" s="427">
        <v>0</v>
      </c>
      <c r="BT139" s="372">
        <v>0</v>
      </c>
      <c r="BU139" s="422"/>
      <c r="BV139" s="423">
        <f>IFERROR(IF(LEFT($A139,3)="Lcp",SUMIFS('BASE-LCP'!$K:$K,'BASE-LCP'!$A:$A,Capex!$A130,'BASE-LCP'!$B:$B,"fevereiro")/1000,IF(LEFT($A139,3)="icp",SUMIFS('BASE-ICP'!$K:$K,'BASE-ICP'!$A:$A,Capex!$A130,'BASE-ICP'!$B:$B,"fevereiro")/1000,"")),"")</f>
        <v>0</v>
      </c>
      <c r="BW139" s="427">
        <v>0</v>
      </c>
      <c r="BX139" s="372">
        <v>0</v>
      </c>
      <c r="BY139" s="419"/>
      <c r="BZ139" s="423">
        <f>IFERROR(IF(LEFT($A139,3)="Lcp",SUMIFS('BASE-LCP'!$K:$K,'BASE-LCP'!$A:$A,Capex!$A130,'BASE-LCP'!$B:$B,"março")/1000,IF(LEFT($A139,3)="icp",SUMIFS('BASE-ICP'!$K:$K,'BASE-ICP'!$A:$A,Capex!$A130,'BASE-ICP'!$B:$B,"março")/1000,"")),"")</f>
        <v>0</v>
      </c>
      <c r="CA139" s="427">
        <v>0</v>
      </c>
      <c r="CB139" s="372">
        <v>0</v>
      </c>
      <c r="CC139" s="422"/>
      <c r="CD139" s="423">
        <f>IFERROR(IF(LEFT($A139,3)="Lcp",SUMIFS('BASE-LCP'!$K:$K,'BASE-LCP'!$A:$A,Capex!$A130,'BASE-LCP'!$B:$B,"abril")/1000,IF(LEFT($A139,3)="icp",SUMIFS('BASE-ICP'!$K:$K,'BASE-ICP'!$A:$A,Capex!$A130,'BASE-ICP'!$B:$B,"abril")/1000,"")),"")</f>
        <v>0</v>
      </c>
      <c r="CE139" s="427">
        <v>0</v>
      </c>
      <c r="CF139" s="372">
        <v>0</v>
      </c>
      <c r="CG139" s="419"/>
      <c r="CH139" s="423">
        <v>0</v>
      </c>
      <c r="CI139" s="427">
        <v>0</v>
      </c>
      <c r="CJ139" s="372">
        <v>0</v>
      </c>
      <c r="CK139" s="419"/>
      <c r="CL139" s="423">
        <f>IFERROR(IF(LEFT($A139,3)="Lcp",SUMIFS('BASE-LCP'!$K:$K,'BASE-LCP'!$A:$A,Capex!$A130,'BASE-LCP'!$B:$B,"junho")/1000,IF(LEFT($A139,3)="icp",SUMIFS('BASE-ICP'!$K:$K,'BASE-ICP'!$A:$A,Capex!$A130,'BASE-ICP'!$B:$B,"junho")/1000,"")),"")</f>
        <v>0</v>
      </c>
      <c r="CM139" s="427">
        <v>0</v>
      </c>
      <c r="CN139" s="372"/>
      <c r="CO139" s="419"/>
      <c r="CP139" s="423">
        <f>IFERROR(IF(LEFT($A139,3)="Lcp",SUMIFS('BASE-LCP'!$K:$K,'BASE-LCP'!$A:$A,Capex!$A130,'BASE-LCP'!$B:$B,"julho")/1000,IF(LEFT($A139,3)="icp",SUMIFS('BASE-ICP'!$K:$K,'BASE-ICP'!$A:$A,Capex!$A130,'BASE-ICP'!$B:$B,"julho")/1000,"")),"")</f>
        <v>0</v>
      </c>
      <c r="CQ139" s="427">
        <v>0</v>
      </c>
      <c r="CR139" s="372"/>
      <c r="CS139" s="419"/>
      <c r="CT139" s="423">
        <f>IFERROR(IF(LEFT($A139,3)="Lcp",SUMIFS('BASE-LCP'!$K:$K,'BASE-LCP'!$A:$A,Capex!$A130,'BASE-LCP'!$B:$B,"agosto")/1000,IF(LEFT($A139,3)="icp",SUMIFS('BASE-ICP'!$K:$K,'BASE-ICP'!$A:$A,Capex!$A130,'BASE-ICP'!$B:$B,"agosto")/1000,"")),"")</f>
        <v>0</v>
      </c>
      <c r="CU139" s="427">
        <v>0</v>
      </c>
      <c r="CV139" s="372"/>
      <c r="CW139" s="419"/>
      <c r="CX139" s="423">
        <f>IFERROR(IF(LEFT($A139,3)="Lcp",SUMIFS('BASE-LCP'!$K:$K,'BASE-LCP'!$A:$A,Capex!$A130,'BASE-LCP'!$B:$B,"setembro")/1000,IF(LEFT($A139,3)="icp",SUMIFS('BASE-ICP'!$K:$K,'BASE-ICP'!$A:$A,Capex!$A130,'BASE-ICP'!$B:$B,"setembro")/1000,"")),"")</f>
        <v>0</v>
      </c>
      <c r="CY139" s="427">
        <v>0</v>
      </c>
      <c r="CZ139" s="372"/>
      <c r="DA139" s="419"/>
      <c r="DB139" s="423">
        <f>IFERROR(IF(LEFT($A139,3)="Lcp",SUMIFS('BASE-LCP'!$K:$K,'BASE-LCP'!$A:$A,Capex!$A130,'BASE-LCP'!$B:$B,"outubro")/1000,IF(LEFT($A139,3)="icp",SUMIFS('BASE-ICP'!$K:$K,'BASE-ICP'!$A:$A,Capex!$A130,'BASE-ICP'!$B:$B,"outubro")/1000,"")),"")</f>
        <v>0</v>
      </c>
      <c r="DC139" s="427">
        <v>0</v>
      </c>
      <c r="DD139" s="372"/>
      <c r="DE139" s="419"/>
      <c r="DF139" s="423">
        <f>IFERROR(IF(LEFT($A139,3)="Lcp",SUMIFS('BASE-LCP'!$K:$K,'BASE-LCP'!$A:$A,Capex!$A130,'BASE-LCP'!$B:$B,"novembro")/1000,IF(LEFT($A139,3)="icp",SUMIFS('BASE-ICP'!$K:$K,'BASE-ICP'!$A:$A,Capex!$A130,'BASE-ICP'!$B:$B,"novembro")/1000,"")),"")</f>
        <v>0</v>
      </c>
      <c r="DG139" s="427">
        <v>0</v>
      </c>
      <c r="DH139" s="372"/>
      <c r="DI139" s="419"/>
      <c r="DJ139" s="423">
        <f>IFERROR(IF(LEFT($A139,3)="Lcp",SUMIFS('BASE-LCP'!$K:$K,'BASE-LCP'!$A:$A,Capex!$A130,'BASE-LCP'!$B:$B,"dezembro")/1000,IF(LEFT($A139,3)="icp",SUMIFS('BASE-ICP'!$K:$K,'BASE-ICP'!$A:$A,Capex!$A130,'BASE-ICP'!$B:$B,"dezembro")/1000,"")),"")</f>
        <v>0</v>
      </c>
      <c r="DK139" s="427">
        <v>0</v>
      </c>
      <c r="DL139" s="452">
        <f t="shared" si="85"/>
        <v>0</v>
      </c>
      <c r="DM139" s="374"/>
      <c r="DN139" s="374"/>
      <c r="DO139" s="374"/>
      <c r="DP139" s="374"/>
      <c r="DQ139" s="374"/>
      <c r="DR139" s="374"/>
      <c r="DS139" s="374"/>
      <c r="DT139" s="374"/>
      <c r="DU139" s="374"/>
      <c r="DV139" s="374"/>
      <c r="DW139" s="374"/>
      <c r="DX139" s="374"/>
      <c r="DY139" s="450"/>
      <c r="DZ139" s="374">
        <f t="shared" si="86"/>
        <v>0</v>
      </c>
      <c r="EA139" s="216">
        <f t="shared" si="87"/>
        <v>0</v>
      </c>
      <c r="EB139" s="320">
        <f t="shared" si="88"/>
        <v>0</v>
      </c>
      <c r="EC139" s="241">
        <f t="shared" si="89"/>
        <v>0</v>
      </c>
      <c r="ED139" s="241">
        <f t="shared" si="90"/>
        <v>0</v>
      </c>
      <c r="EE139" s="241">
        <f t="shared" si="91"/>
        <v>0</v>
      </c>
      <c r="EF139" s="241">
        <f t="shared" si="92"/>
        <v>0</v>
      </c>
      <c r="EG139" s="346">
        <f t="shared" si="93"/>
        <v>0</v>
      </c>
      <c r="EH139" s="445">
        <f t="shared" si="94"/>
        <v>0</v>
      </c>
      <c r="EI139" s="447">
        <f t="shared" si="95"/>
        <v>0</v>
      </c>
      <c r="EJ139" s="364">
        <f t="shared" si="96"/>
        <v>0</v>
      </c>
      <c r="EK139" s="365">
        <f t="shared" si="97"/>
        <v>0</v>
      </c>
      <c r="EL139" s="529">
        <f t="shared" si="98"/>
        <v>0</v>
      </c>
      <c r="EM139" s="530">
        <v>0</v>
      </c>
      <c r="EN139" s="530">
        <v>0</v>
      </c>
      <c r="EO139" s="530">
        <v>0</v>
      </c>
      <c r="EP139" s="530">
        <v>0</v>
      </c>
      <c r="EQ139" s="530">
        <v>0</v>
      </c>
      <c r="ER139" s="530">
        <v>0</v>
      </c>
      <c r="ES139" s="530">
        <v>0</v>
      </c>
      <c r="ET139" s="530">
        <v>0</v>
      </c>
      <c r="EU139" s="530">
        <v>0</v>
      </c>
      <c r="EV139" s="530">
        <v>0</v>
      </c>
      <c r="EW139" s="530">
        <v>0</v>
      </c>
      <c r="EX139" s="530">
        <v>0</v>
      </c>
      <c r="EY139" s="530">
        <f t="shared" si="99"/>
        <v>0</v>
      </c>
      <c r="EZ139" s="530">
        <f t="shared" si="100"/>
        <v>0</v>
      </c>
      <c r="FA139" s="530">
        <f t="shared" si="101"/>
        <v>0</v>
      </c>
      <c r="FB139" s="530">
        <f t="shared" si="102"/>
        <v>0</v>
      </c>
      <c r="FC139" s="384">
        <f>IFERROR(VLOOKUP(Capex!A130,BASE_558!D:R,8,FALSE)/1000,"")</f>
        <v>783.3</v>
      </c>
      <c r="FD139" s="328">
        <f>IFERROR(VLOOKUP(Capex!A130,BASE_558!D:R,9,)/1000,"")</f>
        <v>749.76486</v>
      </c>
      <c r="FE139" s="328">
        <f>IFERROR(IF(LEFT(A139,3)="LCP",(VLOOKUP(Capex!A130,BASE_558!D:R,10,)/1000),SUMIFS('BASE ICP_PO_SC'!F:F,'BASE ICP_PO_SC'!A:A,Capex!A130,'BASE ICP_PO_SC'!E:E,"&lt;&gt;")/1000),"")</f>
        <v>0</v>
      </c>
      <c r="FF139" s="328">
        <f>IFERROR(IF(LEFT(A139,3)="LCP",(VLOOKUP(Capex!A130,BASE_558!D:R,11,)/1000),SUMIFS('BASE ICP_PO_SC'!F:F,'BASE ICP_PO_SC'!A:A,Capex!A130,'BASE ICP_PO_SC'!E:E,"")/1000),"")</f>
        <v>0</v>
      </c>
      <c r="FG139" s="328">
        <f>IFERROR(VLOOKUP(A139,BASE_558!D:R,13,FALSE)/1000,"")</f>
        <v>229.30278000000001</v>
      </c>
      <c r="FH139" s="328">
        <f>IFERROR(VLOOKUP(A139,BASE_558!D:R,15,FALSE)/1000,"")</f>
        <v>146.41622000000001</v>
      </c>
      <c r="FI139" s="547">
        <f t="shared" si="103"/>
        <v>0</v>
      </c>
      <c r="FJ139" s="547">
        <f t="shared" si="104"/>
        <v>0</v>
      </c>
      <c r="FK139" s="540">
        <f t="shared" si="105"/>
        <v>0</v>
      </c>
    </row>
    <row r="140" spans="1:167" s="23" customFormat="1" ht="24" customHeight="1">
      <c r="A140" s="84" t="s">
        <v>157</v>
      </c>
      <c r="B140" s="404"/>
      <c r="C140" s="404"/>
      <c r="D140" s="338" t="s">
        <v>870</v>
      </c>
      <c r="E140" s="378">
        <v>1400773</v>
      </c>
      <c r="F140" s="5"/>
      <c r="G140" s="310" t="s">
        <v>9</v>
      </c>
      <c r="H140" s="338"/>
      <c r="I140" s="338"/>
      <c r="J140" s="338">
        <v>2019</v>
      </c>
      <c r="K140" s="316">
        <v>43609</v>
      </c>
      <c r="L140" s="317">
        <v>44558</v>
      </c>
      <c r="M140" s="409"/>
      <c r="N140" s="317">
        <f t="shared" si="74"/>
        <v>44521</v>
      </c>
      <c r="O140" s="317">
        <f t="shared" si="75"/>
        <v>44886</v>
      </c>
      <c r="P140" s="418" t="str">
        <f t="shared" si="106"/>
        <v>CRTD</v>
      </c>
      <c r="Q140" s="418" t="str">
        <f t="shared" si="106"/>
        <v>CRTD</v>
      </c>
      <c r="R140" s="418" t="str">
        <f t="shared" si="106"/>
        <v>CRTD</v>
      </c>
      <c r="S140" s="418" t="str">
        <f t="shared" si="106"/>
        <v>CRTD</v>
      </c>
      <c r="T140" s="418" t="str">
        <f t="shared" si="106"/>
        <v>CRTD</v>
      </c>
      <c r="U140" s="418" t="str">
        <f t="shared" si="106"/>
        <v>CRTD</v>
      </c>
      <c r="V140" s="418" t="str">
        <f t="shared" si="106"/>
        <v>CRTD</v>
      </c>
      <c r="W140" s="418" t="str">
        <f t="shared" si="106"/>
        <v>CRTD</v>
      </c>
      <c r="X140" s="418" t="str">
        <f t="shared" si="106"/>
        <v>CRTD</v>
      </c>
      <c r="Y140" s="418" t="str">
        <f t="shared" si="106"/>
        <v>CRTD</v>
      </c>
      <c r="Z140" s="418" t="str">
        <f t="shared" si="106"/>
        <v>CRTD</v>
      </c>
      <c r="AA140" s="418" t="str">
        <f t="shared" si="106"/>
        <v>CRTD</v>
      </c>
      <c r="AB140" s="317"/>
      <c r="AC140" s="309" t="s">
        <v>3932</v>
      </c>
      <c r="AD140" s="311" t="s">
        <v>222</v>
      </c>
      <c r="AE140" s="311" t="s">
        <v>958</v>
      </c>
      <c r="AF140" s="310" t="s">
        <v>6985</v>
      </c>
      <c r="AG140" s="310" t="s">
        <v>9083</v>
      </c>
      <c r="AH140" s="310" t="s">
        <v>158</v>
      </c>
      <c r="AI140" s="309" t="s">
        <v>186</v>
      </c>
      <c r="AJ140" s="6" t="s">
        <v>218</v>
      </c>
      <c r="AK140" s="6" t="str">
        <f t="shared" si="83"/>
        <v>IGUAL</v>
      </c>
      <c r="AL140" s="151" t="str">
        <f>IFERROR(IF(LEFT(A140,3)="LCP",VLOOKUP(A140,STATUS_SAP_LCP!B:C,2,FALSE),VLOOKUP(A140,STATUS_SAP_ICP!B:C,2,FALSE)),"NO BUDGET")</f>
        <v>CLSD BUDG AUC  AVAC  //  APPR BREL EXPL</v>
      </c>
      <c r="AM140" s="6" t="str">
        <f t="shared" si="82"/>
        <v>CLSD</v>
      </c>
      <c r="AN140" s="282" t="s">
        <v>9096</v>
      </c>
      <c r="AO140" s="493">
        <v>1</v>
      </c>
      <c r="AP140" s="499" t="s">
        <v>9607</v>
      </c>
      <c r="AQ140" s="465">
        <v>44558</v>
      </c>
      <c r="AR140" s="460"/>
      <c r="AS140" s="56">
        <v>0</v>
      </c>
      <c r="AT140" s="185">
        <v>38.172020000000003</v>
      </c>
      <c r="AU140" s="318">
        <v>233.02572000000001</v>
      </c>
      <c r="AV140" s="223">
        <v>0</v>
      </c>
      <c r="AW140" s="318">
        <v>0</v>
      </c>
      <c r="AX140" s="223">
        <v>0</v>
      </c>
      <c r="AY140" s="318">
        <f t="shared" si="76"/>
        <v>0</v>
      </c>
      <c r="AZ140" s="223"/>
      <c r="BA140" s="318"/>
      <c r="BB140" s="519">
        <f t="shared" si="77"/>
        <v>0</v>
      </c>
      <c r="BC140" s="518"/>
      <c r="BD140" s="518"/>
      <c r="BE140" s="518"/>
      <c r="BF140" s="518"/>
      <c r="BG140" s="518"/>
      <c r="BH140" s="518"/>
      <c r="BI140" s="518"/>
      <c r="BJ140" s="518"/>
      <c r="BK140" s="518"/>
      <c r="BL140" s="518"/>
      <c r="BM140" s="518"/>
      <c r="BN140" s="518"/>
      <c r="BO140" s="367">
        <f t="shared" si="84"/>
        <v>0</v>
      </c>
      <c r="BP140" s="421"/>
      <c r="BQ140" s="422"/>
      <c r="BR140" s="423">
        <f>IFERROR(IF(LEFT($A140,3)="Lcp",SUMIFS('BASE-LCP'!$K:$K,'BASE-LCP'!$A:$A,Capex!$A131,'BASE-LCP'!$B:$B,"janeiro")/1000,IF(LEFT($A140,3)="icp",SUMIFS('BASE-ICP'!$K:$K,'BASE-ICP'!$A:$A,Capex!$A131,'BASE-ICP'!$B:$B,"janeiro")/1000,"")),"")</f>
        <v>0</v>
      </c>
      <c r="BS140" s="427">
        <v>0</v>
      </c>
      <c r="BT140" s="372">
        <v>0</v>
      </c>
      <c r="BU140" s="422"/>
      <c r="BV140" s="423">
        <f>IFERROR(IF(LEFT($A140,3)="Lcp",SUMIFS('BASE-LCP'!$K:$K,'BASE-LCP'!$A:$A,Capex!$A131,'BASE-LCP'!$B:$B,"fevereiro")/1000,IF(LEFT($A140,3)="icp",SUMIFS('BASE-ICP'!$K:$K,'BASE-ICP'!$A:$A,Capex!$A131,'BASE-ICP'!$B:$B,"fevereiro")/1000,"")),"")</f>
        <v>0</v>
      </c>
      <c r="BW140" s="427">
        <v>0</v>
      </c>
      <c r="BX140" s="372">
        <v>0</v>
      </c>
      <c r="BY140" s="419"/>
      <c r="BZ140" s="423">
        <f>IFERROR(IF(LEFT($A140,3)="Lcp",SUMIFS('BASE-LCP'!$K:$K,'BASE-LCP'!$A:$A,Capex!$A131,'BASE-LCP'!$B:$B,"março")/1000,IF(LEFT($A140,3)="icp",SUMIFS('BASE-ICP'!$K:$K,'BASE-ICP'!$A:$A,Capex!$A131,'BASE-ICP'!$B:$B,"março")/1000,"")),"")</f>
        <v>0</v>
      </c>
      <c r="CA140" s="427">
        <v>0</v>
      </c>
      <c r="CB140" s="372">
        <v>0</v>
      </c>
      <c r="CC140" s="422"/>
      <c r="CD140" s="423">
        <f>IFERROR(IF(LEFT($A140,3)="Lcp",SUMIFS('BASE-LCP'!$K:$K,'BASE-LCP'!$A:$A,Capex!$A131,'BASE-LCP'!$B:$B,"abril")/1000,IF(LEFT($A140,3)="icp",SUMIFS('BASE-ICP'!$K:$K,'BASE-ICP'!$A:$A,Capex!$A131,'BASE-ICP'!$B:$B,"abril")/1000,"")),"")</f>
        <v>0</v>
      </c>
      <c r="CE140" s="427">
        <v>0</v>
      </c>
      <c r="CF140" s="372">
        <v>0</v>
      </c>
      <c r="CG140" s="419"/>
      <c r="CH140" s="423">
        <v>0</v>
      </c>
      <c r="CI140" s="427">
        <v>0</v>
      </c>
      <c r="CJ140" s="372">
        <v>0</v>
      </c>
      <c r="CK140" s="419"/>
      <c r="CL140" s="423">
        <f>IFERROR(IF(LEFT($A140,3)="Lcp",SUMIFS('BASE-LCP'!$K:$K,'BASE-LCP'!$A:$A,Capex!$A131,'BASE-LCP'!$B:$B,"junho")/1000,IF(LEFT($A140,3)="icp",SUMIFS('BASE-ICP'!$K:$K,'BASE-ICP'!$A:$A,Capex!$A131,'BASE-ICP'!$B:$B,"junho")/1000,"")),"")</f>
        <v>0</v>
      </c>
      <c r="CM140" s="427">
        <v>0</v>
      </c>
      <c r="CN140" s="372"/>
      <c r="CO140" s="419"/>
      <c r="CP140" s="423">
        <f>IFERROR(IF(LEFT($A140,3)="Lcp",SUMIFS('BASE-LCP'!$K:$K,'BASE-LCP'!$A:$A,Capex!$A131,'BASE-LCP'!$B:$B,"julho")/1000,IF(LEFT($A140,3)="icp",SUMIFS('BASE-ICP'!$K:$K,'BASE-ICP'!$A:$A,Capex!$A131,'BASE-ICP'!$B:$B,"julho")/1000,"")),"")</f>
        <v>0</v>
      </c>
      <c r="CQ140" s="427">
        <v>0</v>
      </c>
      <c r="CR140" s="372"/>
      <c r="CS140" s="419"/>
      <c r="CT140" s="423">
        <f>IFERROR(IF(LEFT($A140,3)="Lcp",SUMIFS('BASE-LCP'!$K:$K,'BASE-LCP'!$A:$A,Capex!$A131,'BASE-LCP'!$B:$B,"agosto")/1000,IF(LEFT($A140,3)="icp",SUMIFS('BASE-ICP'!$K:$K,'BASE-ICP'!$A:$A,Capex!$A131,'BASE-ICP'!$B:$B,"agosto")/1000,"")),"")</f>
        <v>0</v>
      </c>
      <c r="CU140" s="427">
        <v>0</v>
      </c>
      <c r="CV140" s="372"/>
      <c r="CW140" s="419"/>
      <c r="CX140" s="423">
        <f>IFERROR(IF(LEFT($A140,3)="Lcp",SUMIFS('BASE-LCP'!$K:$K,'BASE-LCP'!$A:$A,Capex!$A131,'BASE-LCP'!$B:$B,"setembro")/1000,IF(LEFT($A140,3)="icp",SUMIFS('BASE-ICP'!$K:$K,'BASE-ICP'!$A:$A,Capex!$A131,'BASE-ICP'!$B:$B,"setembro")/1000,"")),"")</f>
        <v>0</v>
      </c>
      <c r="CY140" s="427">
        <v>0</v>
      </c>
      <c r="CZ140" s="372"/>
      <c r="DA140" s="419"/>
      <c r="DB140" s="423">
        <f>IFERROR(IF(LEFT($A140,3)="Lcp",SUMIFS('BASE-LCP'!$K:$K,'BASE-LCP'!$A:$A,Capex!$A131,'BASE-LCP'!$B:$B,"outubro")/1000,IF(LEFT($A140,3)="icp",SUMIFS('BASE-ICP'!$K:$K,'BASE-ICP'!$A:$A,Capex!$A131,'BASE-ICP'!$B:$B,"outubro")/1000,"")),"")</f>
        <v>0</v>
      </c>
      <c r="DC140" s="427">
        <v>0</v>
      </c>
      <c r="DD140" s="372"/>
      <c r="DE140" s="419"/>
      <c r="DF140" s="423">
        <f>IFERROR(IF(LEFT($A140,3)="Lcp",SUMIFS('BASE-LCP'!$K:$K,'BASE-LCP'!$A:$A,Capex!$A131,'BASE-LCP'!$B:$B,"novembro")/1000,IF(LEFT($A140,3)="icp",SUMIFS('BASE-ICP'!$K:$K,'BASE-ICP'!$A:$A,Capex!$A131,'BASE-ICP'!$B:$B,"novembro")/1000,"")),"")</f>
        <v>0</v>
      </c>
      <c r="DG140" s="427">
        <v>0</v>
      </c>
      <c r="DH140" s="372"/>
      <c r="DI140" s="419"/>
      <c r="DJ140" s="423">
        <f>IFERROR(IF(LEFT($A140,3)="Lcp",SUMIFS('BASE-LCP'!$K:$K,'BASE-LCP'!$A:$A,Capex!$A131,'BASE-LCP'!$B:$B,"dezembro")/1000,IF(LEFT($A140,3)="icp",SUMIFS('BASE-ICP'!$K:$K,'BASE-ICP'!$A:$A,Capex!$A131,'BASE-ICP'!$B:$B,"dezembro")/1000,"")),"")</f>
        <v>0</v>
      </c>
      <c r="DK140" s="427">
        <v>0</v>
      </c>
      <c r="DL140" s="452">
        <f t="shared" si="85"/>
        <v>0</v>
      </c>
      <c r="DM140" s="374"/>
      <c r="DN140" s="374"/>
      <c r="DO140" s="374"/>
      <c r="DP140" s="374"/>
      <c r="DQ140" s="374"/>
      <c r="DR140" s="374"/>
      <c r="DS140" s="374"/>
      <c r="DT140" s="374"/>
      <c r="DU140" s="374"/>
      <c r="DV140" s="374"/>
      <c r="DW140" s="374"/>
      <c r="DX140" s="374"/>
      <c r="DY140" s="450"/>
      <c r="DZ140" s="374">
        <f t="shared" si="86"/>
        <v>0</v>
      </c>
      <c r="EA140" s="216">
        <f t="shared" si="87"/>
        <v>0</v>
      </c>
      <c r="EB140" s="320">
        <f t="shared" si="88"/>
        <v>0</v>
      </c>
      <c r="EC140" s="241">
        <f t="shared" si="89"/>
        <v>0</v>
      </c>
      <c r="ED140" s="241">
        <f t="shared" si="90"/>
        <v>0</v>
      </c>
      <c r="EE140" s="241">
        <f t="shared" si="91"/>
        <v>0</v>
      </c>
      <c r="EF140" s="241">
        <f t="shared" si="92"/>
        <v>0</v>
      </c>
      <c r="EG140" s="346">
        <f t="shared" si="93"/>
        <v>0</v>
      </c>
      <c r="EH140" s="445">
        <f t="shared" si="94"/>
        <v>0</v>
      </c>
      <c r="EI140" s="447">
        <f t="shared" si="95"/>
        <v>0</v>
      </c>
      <c r="EJ140" s="364">
        <f t="shared" si="96"/>
        <v>0</v>
      </c>
      <c r="EK140" s="365">
        <f t="shared" si="97"/>
        <v>0</v>
      </c>
      <c r="EL140" s="529">
        <f t="shared" si="98"/>
        <v>0</v>
      </c>
      <c r="EM140" s="530">
        <v>0</v>
      </c>
      <c r="EN140" s="530">
        <v>0</v>
      </c>
      <c r="EO140" s="530">
        <v>0</v>
      </c>
      <c r="EP140" s="530">
        <v>0</v>
      </c>
      <c r="EQ140" s="530">
        <v>0</v>
      </c>
      <c r="ER140" s="530">
        <v>0</v>
      </c>
      <c r="ES140" s="530">
        <v>0</v>
      </c>
      <c r="ET140" s="530">
        <v>0</v>
      </c>
      <c r="EU140" s="530">
        <v>0</v>
      </c>
      <c r="EV140" s="530">
        <v>0</v>
      </c>
      <c r="EW140" s="530">
        <v>0</v>
      </c>
      <c r="EX140" s="530">
        <v>0</v>
      </c>
      <c r="EY140" s="530">
        <f t="shared" si="99"/>
        <v>0</v>
      </c>
      <c r="EZ140" s="530">
        <f t="shared" si="100"/>
        <v>0</v>
      </c>
      <c r="FA140" s="530">
        <f t="shared" si="101"/>
        <v>0</v>
      </c>
      <c r="FB140" s="530">
        <f t="shared" si="102"/>
        <v>0</v>
      </c>
      <c r="FC140" s="384">
        <f>IFERROR(VLOOKUP(Capex!A131,BASE_558!D:R,8,FALSE)/1000,"")</f>
        <v>560.6</v>
      </c>
      <c r="FD140" s="328">
        <f>IFERROR(VLOOKUP(Capex!A131,BASE_558!D:R,9,)/1000,"")</f>
        <v>261.3734</v>
      </c>
      <c r="FE140" s="328">
        <f>IFERROR(IF(LEFT(A140,3)="LCP",(VLOOKUP(Capex!A131,BASE_558!D:R,10,)/1000),SUMIFS('BASE ICP_PO_SC'!F:F,'BASE ICP_PO_SC'!A:A,Capex!A131,'BASE ICP_PO_SC'!E:E,"&lt;&gt;")/1000),"")</f>
        <v>0</v>
      </c>
      <c r="FF140" s="328">
        <f>IFERROR(IF(LEFT(A140,3)="LCP",(VLOOKUP(Capex!A131,BASE_558!D:R,11,)/1000),SUMIFS('BASE ICP_PO_SC'!F:F,'BASE ICP_PO_SC'!A:A,Capex!A131,'BASE ICP_PO_SC'!E:E,"")/1000),"")</f>
        <v>0</v>
      </c>
      <c r="FG140" s="328">
        <f>IFERROR(VLOOKUP(A140,BASE_558!D:R,13,FALSE)/1000,"")</f>
        <v>271.19774000000001</v>
      </c>
      <c r="FH140" s="328">
        <f>IFERROR(VLOOKUP(A140,BASE_558!D:R,15,FALSE)/1000,"")</f>
        <v>101.60272999999999</v>
      </c>
      <c r="FI140" s="547">
        <f t="shared" si="103"/>
        <v>0</v>
      </c>
      <c r="FJ140" s="547">
        <f t="shared" si="104"/>
        <v>0</v>
      </c>
      <c r="FK140" s="540">
        <f t="shared" si="105"/>
        <v>0</v>
      </c>
    </row>
    <row r="141" spans="1:167" s="23" customFormat="1" ht="24" customHeight="1">
      <c r="A141" s="84" t="s">
        <v>163</v>
      </c>
      <c r="B141" s="404"/>
      <c r="C141" s="404"/>
      <c r="D141" s="338" t="s">
        <v>2228</v>
      </c>
      <c r="E141" s="378">
        <v>1401193</v>
      </c>
      <c r="F141" s="5"/>
      <c r="G141" s="310" t="s">
        <v>9</v>
      </c>
      <c r="H141" s="338"/>
      <c r="I141" s="338"/>
      <c r="J141" s="338">
        <v>2019</v>
      </c>
      <c r="K141" s="316">
        <v>43585</v>
      </c>
      <c r="L141" s="317">
        <v>43641</v>
      </c>
      <c r="M141" s="409"/>
      <c r="N141" s="317">
        <f t="shared" si="74"/>
        <v>44497</v>
      </c>
      <c r="O141" s="317">
        <f t="shared" si="75"/>
        <v>44862</v>
      </c>
      <c r="P141" s="418" t="str">
        <f t="shared" si="106"/>
        <v>CRTD</v>
      </c>
      <c r="Q141" s="418" t="str">
        <f t="shared" si="106"/>
        <v>CRTD</v>
      </c>
      <c r="R141" s="418" t="str">
        <f t="shared" si="106"/>
        <v>CRTD</v>
      </c>
      <c r="S141" s="418" t="str">
        <f t="shared" si="106"/>
        <v>CRTD</v>
      </c>
      <c r="T141" s="418" t="str">
        <f t="shared" si="106"/>
        <v>CRTD</v>
      </c>
      <c r="U141" s="418" t="str">
        <f t="shared" si="106"/>
        <v>CRTD</v>
      </c>
      <c r="V141" s="418" t="str">
        <f t="shared" si="106"/>
        <v>CRTD</v>
      </c>
      <c r="W141" s="418" t="str">
        <f t="shared" si="106"/>
        <v>CRTD</v>
      </c>
      <c r="X141" s="418" t="str">
        <f t="shared" si="106"/>
        <v>CRTD</v>
      </c>
      <c r="Y141" s="418" t="str">
        <f t="shared" si="106"/>
        <v>CRTD</v>
      </c>
      <c r="Z141" s="418" t="str">
        <f t="shared" si="106"/>
        <v>CRTD</v>
      </c>
      <c r="AA141" s="418" t="str">
        <f t="shared" si="106"/>
        <v>CRTD</v>
      </c>
      <c r="AB141" s="317"/>
      <c r="AC141" s="309" t="s">
        <v>3932</v>
      </c>
      <c r="AD141" s="311" t="s">
        <v>5</v>
      </c>
      <c r="AE141" s="311"/>
      <c r="AF141" s="310" t="s">
        <v>6985</v>
      </c>
      <c r="AG141" s="310" t="s">
        <v>9083</v>
      </c>
      <c r="AH141" s="310" t="s">
        <v>164</v>
      </c>
      <c r="AI141" s="309" t="s">
        <v>2255</v>
      </c>
      <c r="AJ141" s="6" t="s">
        <v>218</v>
      </c>
      <c r="AK141" s="6" t="str">
        <f t="shared" si="83"/>
        <v>IGUAL</v>
      </c>
      <c r="AL141" s="151" t="str">
        <f>IFERROR(IF(LEFT(A141,3)="LCP",VLOOKUP(A141,STATUS_SAP_LCP!B:C,2,FALSE),VLOOKUP(A141,STATUS_SAP_ICP!B:C,2,FALSE)),"NO BUDGET")</f>
        <v>CLSD BUDG AUC  AVAC  //  RJCD BREL EXPL</v>
      </c>
      <c r="AM141" s="6" t="str">
        <f t="shared" si="82"/>
        <v>CLSD</v>
      </c>
      <c r="AN141" s="282" t="s">
        <v>9092</v>
      </c>
      <c r="AO141" s="493">
        <v>1</v>
      </c>
      <c r="AP141" s="499" t="s">
        <v>9607</v>
      </c>
      <c r="AQ141" s="465">
        <v>43641</v>
      </c>
      <c r="AR141" s="460"/>
      <c r="AS141" s="56">
        <v>59.082582250483831</v>
      </c>
      <c r="AT141" s="185">
        <v>0</v>
      </c>
      <c r="AU141" s="318">
        <v>0</v>
      </c>
      <c r="AV141" s="223">
        <v>0</v>
      </c>
      <c r="AW141" s="318">
        <v>0</v>
      </c>
      <c r="AX141" s="223">
        <v>0</v>
      </c>
      <c r="AY141" s="318">
        <f t="shared" si="76"/>
        <v>0</v>
      </c>
      <c r="AZ141" s="223"/>
      <c r="BA141" s="318"/>
      <c r="BB141" s="519">
        <f t="shared" si="77"/>
        <v>0</v>
      </c>
      <c r="BC141" s="518"/>
      <c r="BD141" s="518"/>
      <c r="BE141" s="518"/>
      <c r="BF141" s="518"/>
      <c r="BG141" s="518"/>
      <c r="BH141" s="518"/>
      <c r="BI141" s="518"/>
      <c r="BJ141" s="518"/>
      <c r="BK141" s="518"/>
      <c r="BL141" s="518"/>
      <c r="BM141" s="518"/>
      <c r="BN141" s="518"/>
      <c r="BO141" s="367">
        <f t="shared" si="84"/>
        <v>0</v>
      </c>
      <c r="BP141" s="421"/>
      <c r="BQ141" s="422"/>
      <c r="BR141" s="423">
        <f>IFERROR(IF(LEFT($A141,3)="Lcp",SUMIFS('BASE-LCP'!$K:$K,'BASE-LCP'!$A:$A,Capex!$A132,'BASE-LCP'!$B:$B,"janeiro")/1000,IF(LEFT($A141,3)="icp",SUMIFS('BASE-ICP'!$K:$K,'BASE-ICP'!$A:$A,Capex!$A132,'BASE-ICP'!$B:$B,"janeiro")/1000,"")),"")</f>
        <v>0</v>
      </c>
      <c r="BS141" s="427">
        <v>0</v>
      </c>
      <c r="BT141" s="372">
        <v>0</v>
      </c>
      <c r="BU141" s="422"/>
      <c r="BV141" s="423">
        <f>IFERROR(IF(LEFT($A141,3)="Lcp",SUMIFS('BASE-LCP'!$K:$K,'BASE-LCP'!$A:$A,Capex!$A132,'BASE-LCP'!$B:$B,"fevereiro")/1000,IF(LEFT($A141,3)="icp",SUMIFS('BASE-ICP'!$K:$K,'BASE-ICP'!$A:$A,Capex!$A132,'BASE-ICP'!$B:$B,"fevereiro")/1000,"")),"")</f>
        <v>0</v>
      </c>
      <c r="BW141" s="427">
        <v>0</v>
      </c>
      <c r="BX141" s="372">
        <v>0</v>
      </c>
      <c r="BY141" s="419"/>
      <c r="BZ141" s="423">
        <f>IFERROR(IF(LEFT($A141,3)="Lcp",SUMIFS('BASE-LCP'!$K:$K,'BASE-LCP'!$A:$A,Capex!$A132,'BASE-LCP'!$B:$B,"março")/1000,IF(LEFT($A141,3)="icp",SUMIFS('BASE-ICP'!$K:$K,'BASE-ICP'!$A:$A,Capex!$A132,'BASE-ICP'!$B:$B,"março")/1000,"")),"")</f>
        <v>0</v>
      </c>
      <c r="CA141" s="427">
        <v>0</v>
      </c>
      <c r="CB141" s="372">
        <v>0</v>
      </c>
      <c r="CC141" s="422"/>
      <c r="CD141" s="423">
        <f>IFERROR(IF(LEFT($A141,3)="Lcp",SUMIFS('BASE-LCP'!$K:$K,'BASE-LCP'!$A:$A,Capex!$A132,'BASE-LCP'!$B:$B,"abril")/1000,IF(LEFT($A141,3)="icp",SUMIFS('BASE-ICP'!$K:$K,'BASE-ICP'!$A:$A,Capex!$A132,'BASE-ICP'!$B:$B,"abril")/1000,"")),"")</f>
        <v>0</v>
      </c>
      <c r="CE141" s="427">
        <v>0</v>
      </c>
      <c r="CF141" s="372">
        <v>0</v>
      </c>
      <c r="CG141" s="419"/>
      <c r="CH141" s="423">
        <v>0</v>
      </c>
      <c r="CI141" s="427">
        <v>0</v>
      </c>
      <c r="CJ141" s="372">
        <v>0</v>
      </c>
      <c r="CK141" s="419"/>
      <c r="CL141" s="423">
        <f>IFERROR(IF(LEFT($A141,3)="Lcp",SUMIFS('BASE-LCP'!$K:$K,'BASE-LCP'!$A:$A,Capex!$A132,'BASE-LCP'!$B:$B,"junho")/1000,IF(LEFT($A141,3)="icp",SUMIFS('BASE-ICP'!$K:$K,'BASE-ICP'!$A:$A,Capex!$A132,'BASE-ICP'!$B:$B,"junho")/1000,"")),"")</f>
        <v>0</v>
      </c>
      <c r="CM141" s="427">
        <v>0</v>
      </c>
      <c r="CN141" s="372"/>
      <c r="CO141" s="419"/>
      <c r="CP141" s="423">
        <f>IFERROR(IF(LEFT($A141,3)="Lcp",SUMIFS('BASE-LCP'!$K:$K,'BASE-LCP'!$A:$A,Capex!$A132,'BASE-LCP'!$B:$B,"julho")/1000,IF(LEFT($A141,3)="icp",SUMIFS('BASE-ICP'!$K:$K,'BASE-ICP'!$A:$A,Capex!$A132,'BASE-ICP'!$B:$B,"julho")/1000,"")),"")</f>
        <v>0</v>
      </c>
      <c r="CQ141" s="427">
        <v>0</v>
      </c>
      <c r="CR141" s="372"/>
      <c r="CS141" s="419"/>
      <c r="CT141" s="423">
        <f>IFERROR(IF(LEFT($A141,3)="Lcp",SUMIFS('BASE-LCP'!$K:$K,'BASE-LCP'!$A:$A,Capex!$A132,'BASE-LCP'!$B:$B,"agosto")/1000,IF(LEFT($A141,3)="icp",SUMIFS('BASE-ICP'!$K:$K,'BASE-ICP'!$A:$A,Capex!$A132,'BASE-ICP'!$B:$B,"agosto")/1000,"")),"")</f>
        <v>0</v>
      </c>
      <c r="CU141" s="427">
        <v>0</v>
      </c>
      <c r="CV141" s="372"/>
      <c r="CW141" s="419"/>
      <c r="CX141" s="423">
        <f>IFERROR(IF(LEFT($A141,3)="Lcp",SUMIFS('BASE-LCP'!$K:$K,'BASE-LCP'!$A:$A,Capex!$A132,'BASE-LCP'!$B:$B,"setembro")/1000,IF(LEFT($A141,3)="icp",SUMIFS('BASE-ICP'!$K:$K,'BASE-ICP'!$A:$A,Capex!$A132,'BASE-ICP'!$B:$B,"setembro")/1000,"")),"")</f>
        <v>0</v>
      </c>
      <c r="CY141" s="427">
        <v>0</v>
      </c>
      <c r="CZ141" s="372"/>
      <c r="DA141" s="419"/>
      <c r="DB141" s="423">
        <f>IFERROR(IF(LEFT($A141,3)="Lcp",SUMIFS('BASE-LCP'!$K:$K,'BASE-LCP'!$A:$A,Capex!$A132,'BASE-LCP'!$B:$B,"outubro")/1000,IF(LEFT($A141,3)="icp",SUMIFS('BASE-ICP'!$K:$K,'BASE-ICP'!$A:$A,Capex!$A132,'BASE-ICP'!$B:$B,"outubro")/1000,"")),"")</f>
        <v>0</v>
      </c>
      <c r="DC141" s="427">
        <v>0</v>
      </c>
      <c r="DD141" s="372"/>
      <c r="DE141" s="419"/>
      <c r="DF141" s="423">
        <f>IFERROR(IF(LEFT($A141,3)="Lcp",SUMIFS('BASE-LCP'!$K:$K,'BASE-LCP'!$A:$A,Capex!$A132,'BASE-LCP'!$B:$B,"novembro")/1000,IF(LEFT($A141,3)="icp",SUMIFS('BASE-ICP'!$K:$K,'BASE-ICP'!$A:$A,Capex!$A132,'BASE-ICP'!$B:$B,"novembro")/1000,"")),"")</f>
        <v>0</v>
      </c>
      <c r="DG141" s="427">
        <v>0</v>
      </c>
      <c r="DH141" s="372"/>
      <c r="DI141" s="419"/>
      <c r="DJ141" s="423">
        <f>IFERROR(IF(LEFT($A141,3)="Lcp",SUMIFS('BASE-LCP'!$K:$K,'BASE-LCP'!$A:$A,Capex!$A132,'BASE-LCP'!$B:$B,"dezembro")/1000,IF(LEFT($A141,3)="icp",SUMIFS('BASE-ICP'!$K:$K,'BASE-ICP'!$A:$A,Capex!$A132,'BASE-ICP'!$B:$B,"dezembro")/1000,"")),"")</f>
        <v>0</v>
      </c>
      <c r="DK141" s="427">
        <v>0</v>
      </c>
      <c r="DL141" s="452">
        <f t="shared" si="85"/>
        <v>0</v>
      </c>
      <c r="DM141" s="374"/>
      <c r="DN141" s="374"/>
      <c r="DO141" s="374"/>
      <c r="DP141" s="374"/>
      <c r="DQ141" s="374"/>
      <c r="DR141" s="374"/>
      <c r="DS141" s="374"/>
      <c r="DT141" s="374"/>
      <c r="DU141" s="374"/>
      <c r="DV141" s="374"/>
      <c r="DW141" s="374"/>
      <c r="DX141" s="374"/>
      <c r="DY141" s="450"/>
      <c r="DZ141" s="374">
        <f t="shared" si="86"/>
        <v>0</v>
      </c>
      <c r="EA141" s="216">
        <f t="shared" si="87"/>
        <v>0</v>
      </c>
      <c r="EB141" s="320">
        <f t="shared" si="88"/>
        <v>0</v>
      </c>
      <c r="EC141" s="241">
        <f t="shared" si="89"/>
        <v>0</v>
      </c>
      <c r="ED141" s="241">
        <f t="shared" si="90"/>
        <v>0</v>
      </c>
      <c r="EE141" s="241">
        <f t="shared" si="91"/>
        <v>0</v>
      </c>
      <c r="EF141" s="241">
        <f t="shared" si="92"/>
        <v>0</v>
      </c>
      <c r="EG141" s="346">
        <f t="shared" si="93"/>
        <v>0</v>
      </c>
      <c r="EH141" s="445">
        <f t="shared" si="94"/>
        <v>0</v>
      </c>
      <c r="EI141" s="447">
        <f t="shared" si="95"/>
        <v>0</v>
      </c>
      <c r="EJ141" s="364">
        <f t="shared" si="96"/>
        <v>0</v>
      </c>
      <c r="EK141" s="365">
        <f t="shared" si="97"/>
        <v>0</v>
      </c>
      <c r="EL141" s="529">
        <f t="shared" si="98"/>
        <v>0</v>
      </c>
      <c r="EM141" s="530">
        <v>0</v>
      </c>
      <c r="EN141" s="530">
        <v>0</v>
      </c>
      <c r="EO141" s="530">
        <v>0</v>
      </c>
      <c r="EP141" s="530">
        <v>0</v>
      </c>
      <c r="EQ141" s="530">
        <v>0</v>
      </c>
      <c r="ER141" s="530">
        <v>0</v>
      </c>
      <c r="ES141" s="530">
        <v>0</v>
      </c>
      <c r="ET141" s="530">
        <v>0</v>
      </c>
      <c r="EU141" s="530">
        <v>0</v>
      </c>
      <c r="EV141" s="530">
        <v>0</v>
      </c>
      <c r="EW141" s="530">
        <v>0</v>
      </c>
      <c r="EX141" s="530">
        <v>0</v>
      </c>
      <c r="EY141" s="530">
        <f t="shared" si="99"/>
        <v>0</v>
      </c>
      <c r="EZ141" s="530">
        <f t="shared" si="100"/>
        <v>0</v>
      </c>
      <c r="FA141" s="530">
        <f t="shared" si="101"/>
        <v>0</v>
      </c>
      <c r="FB141" s="530">
        <f t="shared" si="102"/>
        <v>0</v>
      </c>
      <c r="FC141" s="384">
        <f>IFERROR(VLOOKUP(Capex!A132,BASE_558!D:R,8,FALSE)/1000,"")</f>
        <v>38.637</v>
      </c>
      <c r="FD141" s="328">
        <f>IFERROR(VLOOKUP(Capex!A132,BASE_558!D:R,9,)/1000,"")</f>
        <v>38.428539999999998</v>
      </c>
      <c r="FE141" s="328">
        <f>IFERROR(IF(LEFT(A141,3)="LCP",(VLOOKUP(Capex!A132,BASE_558!D:R,10,)/1000),SUMIFS('BASE ICP_PO_SC'!F:F,'BASE ICP_PO_SC'!A:A,Capex!A132,'BASE ICP_PO_SC'!E:E,"&lt;&gt;")/1000),"")</f>
        <v>0</v>
      </c>
      <c r="FF141" s="328">
        <f>IFERROR(IF(LEFT(A141,3)="LCP",(VLOOKUP(Capex!A132,BASE_558!D:R,11,)/1000),SUMIFS('BASE ICP_PO_SC'!F:F,'BASE ICP_PO_SC'!A:A,Capex!A132,'BASE ICP_PO_SC'!E:E,"")/1000),"")</f>
        <v>0</v>
      </c>
      <c r="FG141" s="328">
        <f>IFERROR(VLOOKUP(A141,BASE_558!D:R,13,FALSE)/1000,"")</f>
        <v>59.684779999999996</v>
      </c>
      <c r="FH141" s="328">
        <f>IFERROR(VLOOKUP(A141,BASE_558!D:R,15,FALSE)/1000,"")</f>
        <v>30.165220000000001</v>
      </c>
      <c r="FI141" s="547">
        <f t="shared" si="103"/>
        <v>0</v>
      </c>
      <c r="FJ141" s="547">
        <f t="shared" si="104"/>
        <v>0</v>
      </c>
      <c r="FK141" s="540">
        <f t="shared" si="105"/>
        <v>0</v>
      </c>
    </row>
    <row r="142" spans="1:167" s="23" customFormat="1" ht="24" customHeight="1">
      <c r="A142" s="84" t="s">
        <v>153</v>
      </c>
      <c r="B142" s="404"/>
      <c r="C142" s="404"/>
      <c r="D142" s="338" t="s">
        <v>1264</v>
      </c>
      <c r="E142" s="378">
        <v>1361619</v>
      </c>
      <c r="F142" s="5"/>
      <c r="G142" s="310" t="s">
        <v>9</v>
      </c>
      <c r="H142" s="338"/>
      <c r="I142" s="338"/>
      <c r="J142" s="338">
        <v>2019</v>
      </c>
      <c r="K142" s="316">
        <v>43608</v>
      </c>
      <c r="L142" s="317">
        <v>43966</v>
      </c>
      <c r="M142" s="409"/>
      <c r="N142" s="317">
        <f t="shared" si="74"/>
        <v>44520</v>
      </c>
      <c r="O142" s="317">
        <f t="shared" si="75"/>
        <v>44885</v>
      </c>
      <c r="P142" s="418" t="str">
        <f t="shared" si="106"/>
        <v>CRTD</v>
      </c>
      <c r="Q142" s="418" t="str">
        <f t="shared" si="106"/>
        <v>CRTD</v>
      </c>
      <c r="R142" s="418" t="str">
        <f t="shared" si="106"/>
        <v>CRTD</v>
      </c>
      <c r="S142" s="418" t="str">
        <f t="shared" si="106"/>
        <v>CRTD</v>
      </c>
      <c r="T142" s="418" t="str">
        <f t="shared" si="106"/>
        <v>CRTD</v>
      </c>
      <c r="U142" s="418" t="str">
        <f t="shared" si="106"/>
        <v>CRTD</v>
      </c>
      <c r="V142" s="418" t="str">
        <f t="shared" si="106"/>
        <v>CRTD</v>
      </c>
      <c r="W142" s="418" t="str">
        <f t="shared" si="106"/>
        <v>CRTD</v>
      </c>
      <c r="X142" s="418" t="str">
        <f t="shared" si="106"/>
        <v>CRTD</v>
      </c>
      <c r="Y142" s="418" t="str">
        <f t="shared" si="106"/>
        <v>CRTD</v>
      </c>
      <c r="Z142" s="418" t="str">
        <f t="shared" si="106"/>
        <v>CRTD</v>
      </c>
      <c r="AA142" s="418" t="str">
        <f t="shared" si="106"/>
        <v>CRTD</v>
      </c>
      <c r="AB142" s="317"/>
      <c r="AC142" s="309" t="s">
        <v>3930</v>
      </c>
      <c r="AD142" s="311"/>
      <c r="AE142" s="311"/>
      <c r="AF142" s="310" t="s">
        <v>6985</v>
      </c>
      <c r="AG142" s="310" t="s">
        <v>9083</v>
      </c>
      <c r="AH142" s="310" t="s">
        <v>2820</v>
      </c>
      <c r="AI142" s="309" t="s">
        <v>188</v>
      </c>
      <c r="AJ142" s="6" t="s">
        <v>218</v>
      </c>
      <c r="AK142" s="6" t="str">
        <f t="shared" si="83"/>
        <v>IGUAL</v>
      </c>
      <c r="AL142" s="151" t="str">
        <f>IFERROR(IF(LEFT(A142,3)="LCP",VLOOKUP(A142,STATUS_SAP_LCP!B:C,2,FALSE),VLOOKUP(A142,STATUS_SAP_ICP!B:C,2,FALSE)),"NO BUDGET")</f>
        <v>CLSD BUDG AVAC  //  APPR BNRL EXPL</v>
      </c>
      <c r="AM142" s="6" t="str">
        <f t="shared" si="82"/>
        <v>CLSD</v>
      </c>
      <c r="AN142" s="282" t="s">
        <v>9087</v>
      </c>
      <c r="AO142" s="493">
        <v>1</v>
      </c>
      <c r="AP142" s="499" t="s">
        <v>9607</v>
      </c>
      <c r="AQ142" s="465">
        <v>43966</v>
      </c>
      <c r="AR142" s="460"/>
      <c r="AS142" s="56">
        <v>27.52054</v>
      </c>
      <c r="AT142" s="185">
        <v>28.5871</v>
      </c>
      <c r="AU142" s="318">
        <v>0</v>
      </c>
      <c r="AV142" s="223">
        <v>0</v>
      </c>
      <c r="AW142" s="318">
        <v>0</v>
      </c>
      <c r="AX142" s="223">
        <v>0</v>
      </c>
      <c r="AY142" s="318">
        <f t="shared" si="76"/>
        <v>0</v>
      </c>
      <c r="AZ142" s="223"/>
      <c r="BA142" s="318"/>
      <c r="BB142" s="519">
        <f t="shared" si="77"/>
        <v>0</v>
      </c>
      <c r="BC142" s="518"/>
      <c r="BD142" s="518"/>
      <c r="BE142" s="518"/>
      <c r="BF142" s="518"/>
      <c r="BG142" s="518"/>
      <c r="BH142" s="518"/>
      <c r="BI142" s="518"/>
      <c r="BJ142" s="518"/>
      <c r="BK142" s="518"/>
      <c r="BL142" s="518"/>
      <c r="BM142" s="518"/>
      <c r="BN142" s="518"/>
      <c r="BO142" s="367">
        <f t="shared" si="84"/>
        <v>0</v>
      </c>
      <c r="BP142" s="421"/>
      <c r="BQ142" s="422"/>
      <c r="BR142" s="423">
        <f>IFERROR(IF(LEFT($A142,3)="Lcp",SUMIFS('BASE-LCP'!$K:$K,'BASE-LCP'!$A:$A,Capex!$A133,'BASE-LCP'!$B:$B,"janeiro")/1000,IF(LEFT($A142,3)="icp",SUMIFS('BASE-ICP'!$K:$K,'BASE-ICP'!$A:$A,Capex!$A133,'BASE-ICP'!$B:$B,"janeiro")/1000,"")),"")</f>
        <v>0</v>
      </c>
      <c r="BS142" s="427">
        <v>0</v>
      </c>
      <c r="BT142" s="372">
        <v>0</v>
      </c>
      <c r="BU142" s="422"/>
      <c r="BV142" s="423">
        <f>IFERROR(IF(LEFT($A142,3)="Lcp",SUMIFS('BASE-LCP'!$K:$K,'BASE-LCP'!$A:$A,Capex!$A133,'BASE-LCP'!$B:$B,"fevereiro")/1000,IF(LEFT($A142,3)="icp",SUMIFS('BASE-ICP'!$K:$K,'BASE-ICP'!$A:$A,Capex!$A133,'BASE-ICP'!$B:$B,"fevereiro")/1000,"")),"")</f>
        <v>0</v>
      </c>
      <c r="BW142" s="427">
        <v>0</v>
      </c>
      <c r="BX142" s="372">
        <v>0</v>
      </c>
      <c r="BY142" s="419"/>
      <c r="BZ142" s="423">
        <f>IFERROR(IF(LEFT($A142,3)="Lcp",SUMIFS('BASE-LCP'!$K:$K,'BASE-LCP'!$A:$A,Capex!$A133,'BASE-LCP'!$B:$B,"março")/1000,IF(LEFT($A142,3)="icp",SUMIFS('BASE-ICP'!$K:$K,'BASE-ICP'!$A:$A,Capex!$A133,'BASE-ICP'!$B:$B,"março")/1000,"")),"")</f>
        <v>0</v>
      </c>
      <c r="CA142" s="427">
        <v>0</v>
      </c>
      <c r="CB142" s="372">
        <v>0</v>
      </c>
      <c r="CC142" s="422"/>
      <c r="CD142" s="423">
        <f>IFERROR(IF(LEFT($A142,3)="Lcp",SUMIFS('BASE-LCP'!$K:$K,'BASE-LCP'!$A:$A,Capex!$A133,'BASE-LCP'!$B:$B,"abril")/1000,IF(LEFT($A142,3)="icp",SUMIFS('BASE-ICP'!$K:$K,'BASE-ICP'!$A:$A,Capex!$A133,'BASE-ICP'!$B:$B,"abril")/1000,"")),"")</f>
        <v>0</v>
      </c>
      <c r="CE142" s="427">
        <v>0</v>
      </c>
      <c r="CF142" s="372">
        <v>0</v>
      </c>
      <c r="CG142" s="419"/>
      <c r="CH142" s="423">
        <v>0</v>
      </c>
      <c r="CI142" s="427">
        <v>0</v>
      </c>
      <c r="CJ142" s="372">
        <v>0</v>
      </c>
      <c r="CK142" s="419"/>
      <c r="CL142" s="423">
        <f>IFERROR(IF(LEFT($A142,3)="Lcp",SUMIFS('BASE-LCP'!$K:$K,'BASE-LCP'!$A:$A,Capex!$A133,'BASE-LCP'!$B:$B,"junho")/1000,IF(LEFT($A142,3)="icp",SUMIFS('BASE-ICP'!$K:$K,'BASE-ICP'!$A:$A,Capex!$A133,'BASE-ICP'!$B:$B,"junho")/1000,"")),"")</f>
        <v>0</v>
      </c>
      <c r="CM142" s="427">
        <v>0</v>
      </c>
      <c r="CN142" s="372"/>
      <c r="CO142" s="419"/>
      <c r="CP142" s="423">
        <f>IFERROR(IF(LEFT($A142,3)="Lcp",SUMIFS('BASE-LCP'!$K:$K,'BASE-LCP'!$A:$A,Capex!$A133,'BASE-LCP'!$B:$B,"julho")/1000,IF(LEFT($A142,3)="icp",SUMIFS('BASE-ICP'!$K:$K,'BASE-ICP'!$A:$A,Capex!$A133,'BASE-ICP'!$B:$B,"julho")/1000,"")),"")</f>
        <v>0</v>
      </c>
      <c r="CQ142" s="427">
        <v>0</v>
      </c>
      <c r="CR142" s="372"/>
      <c r="CS142" s="419"/>
      <c r="CT142" s="423">
        <f>IFERROR(IF(LEFT($A142,3)="Lcp",SUMIFS('BASE-LCP'!$K:$K,'BASE-LCP'!$A:$A,Capex!$A133,'BASE-LCP'!$B:$B,"agosto")/1000,IF(LEFT($A142,3)="icp",SUMIFS('BASE-ICP'!$K:$K,'BASE-ICP'!$A:$A,Capex!$A133,'BASE-ICP'!$B:$B,"agosto")/1000,"")),"")</f>
        <v>0</v>
      </c>
      <c r="CU142" s="427">
        <v>0</v>
      </c>
      <c r="CV142" s="372"/>
      <c r="CW142" s="419"/>
      <c r="CX142" s="423">
        <f>IFERROR(IF(LEFT($A142,3)="Lcp",SUMIFS('BASE-LCP'!$K:$K,'BASE-LCP'!$A:$A,Capex!$A133,'BASE-LCP'!$B:$B,"setembro")/1000,IF(LEFT($A142,3)="icp",SUMIFS('BASE-ICP'!$K:$K,'BASE-ICP'!$A:$A,Capex!$A133,'BASE-ICP'!$B:$B,"setembro")/1000,"")),"")</f>
        <v>0</v>
      </c>
      <c r="CY142" s="427">
        <v>0</v>
      </c>
      <c r="CZ142" s="372"/>
      <c r="DA142" s="419"/>
      <c r="DB142" s="423">
        <f>IFERROR(IF(LEFT($A142,3)="Lcp",SUMIFS('BASE-LCP'!$K:$K,'BASE-LCP'!$A:$A,Capex!$A133,'BASE-LCP'!$B:$B,"outubro")/1000,IF(LEFT($A142,3)="icp",SUMIFS('BASE-ICP'!$K:$K,'BASE-ICP'!$A:$A,Capex!$A133,'BASE-ICP'!$B:$B,"outubro")/1000,"")),"")</f>
        <v>0</v>
      </c>
      <c r="DC142" s="427">
        <v>0</v>
      </c>
      <c r="DD142" s="372"/>
      <c r="DE142" s="419"/>
      <c r="DF142" s="423">
        <f>IFERROR(IF(LEFT($A142,3)="Lcp",SUMIFS('BASE-LCP'!$K:$K,'BASE-LCP'!$A:$A,Capex!$A133,'BASE-LCP'!$B:$B,"novembro")/1000,IF(LEFT($A142,3)="icp",SUMIFS('BASE-ICP'!$K:$K,'BASE-ICP'!$A:$A,Capex!$A133,'BASE-ICP'!$B:$B,"novembro")/1000,"")),"")</f>
        <v>0</v>
      </c>
      <c r="DG142" s="427">
        <v>0</v>
      </c>
      <c r="DH142" s="372"/>
      <c r="DI142" s="419"/>
      <c r="DJ142" s="423">
        <f>IFERROR(IF(LEFT($A142,3)="Lcp",SUMIFS('BASE-LCP'!$K:$K,'BASE-LCP'!$A:$A,Capex!$A133,'BASE-LCP'!$B:$B,"dezembro")/1000,IF(LEFT($A142,3)="icp",SUMIFS('BASE-ICP'!$K:$K,'BASE-ICP'!$A:$A,Capex!$A133,'BASE-ICP'!$B:$B,"dezembro")/1000,"")),"")</f>
        <v>0</v>
      </c>
      <c r="DK142" s="427">
        <v>0</v>
      </c>
      <c r="DL142" s="452">
        <f t="shared" si="85"/>
        <v>0</v>
      </c>
      <c r="DM142" s="374"/>
      <c r="DN142" s="374"/>
      <c r="DO142" s="374"/>
      <c r="DP142" s="374"/>
      <c r="DQ142" s="374"/>
      <c r="DR142" s="374"/>
      <c r="DS142" s="374"/>
      <c r="DT142" s="374"/>
      <c r="DU142" s="374"/>
      <c r="DV142" s="374"/>
      <c r="DW142" s="374"/>
      <c r="DX142" s="374"/>
      <c r="DY142" s="450"/>
      <c r="DZ142" s="374">
        <f t="shared" si="86"/>
        <v>0</v>
      </c>
      <c r="EA142" s="216">
        <f t="shared" si="87"/>
        <v>0</v>
      </c>
      <c r="EB142" s="320">
        <f t="shared" si="88"/>
        <v>0</v>
      </c>
      <c r="EC142" s="241">
        <f t="shared" si="89"/>
        <v>0</v>
      </c>
      <c r="ED142" s="241">
        <f t="shared" si="90"/>
        <v>0</v>
      </c>
      <c r="EE142" s="241">
        <f t="shared" si="91"/>
        <v>0</v>
      </c>
      <c r="EF142" s="241">
        <f t="shared" si="92"/>
        <v>0</v>
      </c>
      <c r="EG142" s="346">
        <f t="shared" si="93"/>
        <v>0</v>
      </c>
      <c r="EH142" s="445">
        <f t="shared" si="94"/>
        <v>0</v>
      </c>
      <c r="EI142" s="447">
        <f t="shared" si="95"/>
        <v>0</v>
      </c>
      <c r="EJ142" s="364">
        <f t="shared" si="96"/>
        <v>0</v>
      </c>
      <c r="EK142" s="365">
        <f t="shared" si="97"/>
        <v>0</v>
      </c>
      <c r="EL142" s="529">
        <f t="shared" si="98"/>
        <v>0</v>
      </c>
      <c r="EM142" s="530">
        <v>0</v>
      </c>
      <c r="EN142" s="530">
        <v>0</v>
      </c>
      <c r="EO142" s="530">
        <v>0</v>
      </c>
      <c r="EP142" s="530">
        <v>0</v>
      </c>
      <c r="EQ142" s="530">
        <v>0</v>
      </c>
      <c r="ER142" s="530">
        <v>0</v>
      </c>
      <c r="ES142" s="530">
        <v>0</v>
      </c>
      <c r="ET142" s="530">
        <v>0</v>
      </c>
      <c r="EU142" s="530">
        <v>0</v>
      </c>
      <c r="EV142" s="530">
        <v>0</v>
      </c>
      <c r="EW142" s="530">
        <v>0</v>
      </c>
      <c r="EX142" s="530">
        <v>0</v>
      </c>
      <c r="EY142" s="530">
        <f t="shared" si="99"/>
        <v>0</v>
      </c>
      <c r="EZ142" s="530">
        <f t="shared" si="100"/>
        <v>0</v>
      </c>
      <c r="FA142" s="530">
        <f t="shared" si="101"/>
        <v>0</v>
      </c>
      <c r="FB142" s="530">
        <f t="shared" si="102"/>
        <v>0</v>
      </c>
      <c r="FC142" s="384">
        <f>IFERROR(VLOOKUP(Capex!A133,BASE_558!D:R,8,FALSE)/1000,"")</f>
        <v>190.971</v>
      </c>
      <c r="FD142" s="328">
        <f>IFERROR(VLOOKUP(Capex!A133,BASE_558!D:R,9,)/1000,"")</f>
        <v>171.84076999999999</v>
      </c>
      <c r="FE142" s="328">
        <f>IFERROR(IF(LEFT(A142,3)="LCP",(VLOOKUP(Capex!A133,BASE_558!D:R,10,)/1000),SUMIFS('BASE ICP_PO_SC'!F:F,'BASE ICP_PO_SC'!A:A,Capex!A133,'BASE ICP_PO_SC'!E:E,"&lt;&gt;")/1000),"")</f>
        <v>0</v>
      </c>
      <c r="FF142" s="328">
        <f>IFERROR(IF(LEFT(A142,3)="LCP",(VLOOKUP(Capex!A133,BASE_558!D:R,11,)/1000),SUMIFS('BASE ICP_PO_SC'!F:F,'BASE ICP_PO_SC'!A:A,Capex!A133,'BASE ICP_PO_SC'!E:E,"")/1000),"")</f>
        <v>0</v>
      </c>
      <c r="FG142" s="328">
        <f>IFERROR(VLOOKUP(A142,BASE_558!D:R,13,FALSE)/1000,"")</f>
        <v>56.107639999999996</v>
      </c>
      <c r="FH142" s="328">
        <f>IFERROR(VLOOKUP(A142,BASE_558!D:R,15,FALSE)/1000,"")</f>
        <v>18.89236</v>
      </c>
      <c r="FI142" s="547">
        <f t="shared" si="103"/>
        <v>0</v>
      </c>
      <c r="FJ142" s="547">
        <f t="shared" si="104"/>
        <v>0</v>
      </c>
      <c r="FK142" s="540">
        <f t="shared" si="105"/>
        <v>0</v>
      </c>
    </row>
    <row r="143" spans="1:167" s="23" customFormat="1" ht="24" customHeight="1">
      <c r="A143" s="84" t="s">
        <v>167</v>
      </c>
      <c r="B143" s="404"/>
      <c r="C143" s="404"/>
      <c r="D143" s="338" t="s">
        <v>925</v>
      </c>
      <c r="E143" s="378">
        <v>1457603</v>
      </c>
      <c r="F143" s="310" t="s">
        <v>609</v>
      </c>
      <c r="G143" s="310" t="s">
        <v>9</v>
      </c>
      <c r="H143" s="338"/>
      <c r="I143" s="338"/>
      <c r="J143" s="338">
        <v>2019</v>
      </c>
      <c r="K143" s="316">
        <v>43602</v>
      </c>
      <c r="L143" s="317">
        <v>44244</v>
      </c>
      <c r="M143" s="409"/>
      <c r="N143" s="317">
        <f t="shared" si="74"/>
        <v>44514</v>
      </c>
      <c r="O143" s="317">
        <f t="shared" si="75"/>
        <v>44879</v>
      </c>
      <c r="P143" s="418" t="str">
        <f t="shared" si="106"/>
        <v>CRTD</v>
      </c>
      <c r="Q143" s="418" t="str">
        <f t="shared" si="106"/>
        <v>CRTD</v>
      </c>
      <c r="R143" s="418" t="str">
        <f t="shared" si="106"/>
        <v>CRTD</v>
      </c>
      <c r="S143" s="418" t="str">
        <f t="shared" si="106"/>
        <v>CRTD</v>
      </c>
      <c r="T143" s="418" t="str">
        <f t="shared" si="106"/>
        <v>CRTD</v>
      </c>
      <c r="U143" s="418" t="str">
        <f t="shared" si="106"/>
        <v>CRTD</v>
      </c>
      <c r="V143" s="418" t="str">
        <f t="shared" si="106"/>
        <v>CRTD</v>
      </c>
      <c r="W143" s="418" t="str">
        <f t="shared" si="106"/>
        <v>CRTD</v>
      </c>
      <c r="X143" s="418" t="str">
        <f t="shared" si="106"/>
        <v>CRTD</v>
      </c>
      <c r="Y143" s="418" t="str">
        <f t="shared" si="106"/>
        <v>CRTD</v>
      </c>
      <c r="Z143" s="418" t="str">
        <f t="shared" si="106"/>
        <v>CRTD</v>
      </c>
      <c r="AA143" s="418" t="str">
        <f t="shared" si="106"/>
        <v>CRTD</v>
      </c>
      <c r="AB143" s="317"/>
      <c r="AC143" s="309" t="s">
        <v>3932</v>
      </c>
      <c r="AD143" s="311" t="s">
        <v>5</v>
      </c>
      <c r="AE143" s="311" t="s">
        <v>952</v>
      </c>
      <c r="AF143" s="310" t="s">
        <v>6985</v>
      </c>
      <c r="AG143" s="310" t="s">
        <v>9083</v>
      </c>
      <c r="AH143" s="310" t="s">
        <v>168</v>
      </c>
      <c r="AI143" s="309" t="s">
        <v>2255</v>
      </c>
      <c r="AJ143" s="6" t="s">
        <v>218</v>
      </c>
      <c r="AK143" s="6" t="str">
        <f t="shared" si="83"/>
        <v>IGUAL</v>
      </c>
      <c r="AL143" s="151" t="str">
        <f>IFERROR(IF(LEFT(A143,3)="LCP",VLOOKUP(A143,STATUS_SAP_LCP!B:C,2,FALSE),VLOOKUP(A143,STATUS_SAP_ICP!B:C,2,FALSE)),"NO BUDGET")</f>
        <v>CLSD BUDG AUC  AVAC  //  APPR BREL EXPL</v>
      </c>
      <c r="AM143" s="6" t="str">
        <f t="shared" si="82"/>
        <v>CLSD</v>
      </c>
      <c r="AN143" s="282" t="s">
        <v>9085</v>
      </c>
      <c r="AO143" s="493">
        <v>1</v>
      </c>
      <c r="AP143" s="499" t="s">
        <v>9607</v>
      </c>
      <c r="AQ143" s="465">
        <v>44244</v>
      </c>
      <c r="AR143" s="460"/>
      <c r="AS143" s="56">
        <v>381.2656563214461</v>
      </c>
      <c r="AT143" s="185">
        <v>767.33153000000004</v>
      </c>
      <c r="AU143" s="318">
        <v>-1.7347234759768071E-18</v>
      </c>
      <c r="AV143" s="223">
        <v>0</v>
      </c>
      <c r="AW143" s="318">
        <v>0</v>
      </c>
      <c r="AX143" s="223">
        <v>0</v>
      </c>
      <c r="AY143" s="318">
        <f t="shared" si="76"/>
        <v>0</v>
      </c>
      <c r="AZ143" s="223"/>
      <c r="BA143" s="318"/>
      <c r="BB143" s="519">
        <f t="shared" si="77"/>
        <v>0</v>
      </c>
      <c r="BC143" s="518"/>
      <c r="BD143" s="518"/>
      <c r="BE143" s="518"/>
      <c r="BF143" s="518"/>
      <c r="BG143" s="518"/>
      <c r="BH143" s="518"/>
      <c r="BI143" s="518"/>
      <c r="BJ143" s="518"/>
      <c r="BK143" s="518"/>
      <c r="BL143" s="518"/>
      <c r="BM143" s="518"/>
      <c r="BN143" s="518"/>
      <c r="BO143" s="367">
        <f t="shared" si="84"/>
        <v>0</v>
      </c>
      <c r="BP143" s="421"/>
      <c r="BQ143" s="422"/>
      <c r="BR143" s="423">
        <f>IFERROR(IF(LEFT($A143,3)="Lcp",SUMIFS('BASE-LCP'!$K:$K,'BASE-LCP'!$A:$A,Capex!$A134,'BASE-LCP'!$B:$B,"janeiro")/1000,IF(LEFT($A143,3)="icp",SUMIFS('BASE-ICP'!$K:$K,'BASE-ICP'!$A:$A,Capex!$A134,'BASE-ICP'!$B:$B,"janeiro")/1000,"")),"")</f>
        <v>0</v>
      </c>
      <c r="BS143" s="427">
        <v>0</v>
      </c>
      <c r="BT143" s="372">
        <v>0</v>
      </c>
      <c r="BU143" s="422"/>
      <c r="BV143" s="423">
        <f>IFERROR(IF(LEFT($A143,3)="Lcp",SUMIFS('BASE-LCP'!$K:$K,'BASE-LCP'!$A:$A,Capex!$A134,'BASE-LCP'!$B:$B,"fevereiro")/1000,IF(LEFT($A143,3)="icp",SUMIFS('BASE-ICP'!$K:$K,'BASE-ICP'!$A:$A,Capex!$A134,'BASE-ICP'!$B:$B,"fevereiro")/1000,"")),"")</f>
        <v>0</v>
      </c>
      <c r="BW143" s="427">
        <v>0</v>
      </c>
      <c r="BX143" s="372">
        <v>0</v>
      </c>
      <c r="BY143" s="419"/>
      <c r="BZ143" s="423">
        <f>IFERROR(IF(LEFT($A143,3)="Lcp",SUMIFS('BASE-LCP'!$K:$K,'BASE-LCP'!$A:$A,Capex!$A134,'BASE-LCP'!$B:$B,"março")/1000,IF(LEFT($A143,3)="icp",SUMIFS('BASE-ICP'!$K:$K,'BASE-ICP'!$A:$A,Capex!$A134,'BASE-ICP'!$B:$B,"março")/1000,"")),"")</f>
        <v>0</v>
      </c>
      <c r="CA143" s="427">
        <v>0</v>
      </c>
      <c r="CB143" s="372">
        <v>0</v>
      </c>
      <c r="CC143" s="422"/>
      <c r="CD143" s="423">
        <f>IFERROR(IF(LEFT($A143,3)="Lcp",SUMIFS('BASE-LCP'!$K:$K,'BASE-LCP'!$A:$A,Capex!$A134,'BASE-LCP'!$B:$B,"abril")/1000,IF(LEFT($A143,3)="icp",SUMIFS('BASE-ICP'!$K:$K,'BASE-ICP'!$A:$A,Capex!$A134,'BASE-ICP'!$B:$B,"abril")/1000,"")),"")</f>
        <v>0</v>
      </c>
      <c r="CE143" s="427">
        <v>0</v>
      </c>
      <c r="CF143" s="372">
        <v>0</v>
      </c>
      <c r="CG143" s="419"/>
      <c r="CH143" s="423">
        <v>0</v>
      </c>
      <c r="CI143" s="427">
        <v>0</v>
      </c>
      <c r="CJ143" s="372">
        <v>0</v>
      </c>
      <c r="CK143" s="419"/>
      <c r="CL143" s="423">
        <f>IFERROR(IF(LEFT($A143,3)="Lcp",SUMIFS('BASE-LCP'!$K:$K,'BASE-LCP'!$A:$A,Capex!$A134,'BASE-LCP'!$B:$B,"junho")/1000,IF(LEFT($A143,3)="icp",SUMIFS('BASE-ICP'!$K:$K,'BASE-ICP'!$A:$A,Capex!$A134,'BASE-ICP'!$B:$B,"junho")/1000,"")),"")</f>
        <v>0</v>
      </c>
      <c r="CM143" s="427">
        <v>0</v>
      </c>
      <c r="CN143" s="372"/>
      <c r="CO143" s="419"/>
      <c r="CP143" s="423">
        <f>IFERROR(IF(LEFT($A143,3)="Lcp",SUMIFS('BASE-LCP'!$K:$K,'BASE-LCP'!$A:$A,Capex!$A134,'BASE-LCP'!$B:$B,"julho")/1000,IF(LEFT($A143,3)="icp",SUMIFS('BASE-ICP'!$K:$K,'BASE-ICP'!$A:$A,Capex!$A134,'BASE-ICP'!$B:$B,"julho")/1000,"")),"")</f>
        <v>0</v>
      </c>
      <c r="CQ143" s="427">
        <v>0</v>
      </c>
      <c r="CR143" s="372"/>
      <c r="CS143" s="419"/>
      <c r="CT143" s="423">
        <f>IFERROR(IF(LEFT($A143,3)="Lcp",SUMIFS('BASE-LCP'!$K:$K,'BASE-LCP'!$A:$A,Capex!$A134,'BASE-LCP'!$B:$B,"agosto")/1000,IF(LEFT($A143,3)="icp",SUMIFS('BASE-ICP'!$K:$K,'BASE-ICP'!$A:$A,Capex!$A134,'BASE-ICP'!$B:$B,"agosto")/1000,"")),"")</f>
        <v>0</v>
      </c>
      <c r="CU143" s="427">
        <v>0</v>
      </c>
      <c r="CV143" s="372"/>
      <c r="CW143" s="419"/>
      <c r="CX143" s="423">
        <f>IFERROR(IF(LEFT($A143,3)="Lcp",SUMIFS('BASE-LCP'!$K:$K,'BASE-LCP'!$A:$A,Capex!$A134,'BASE-LCP'!$B:$B,"setembro")/1000,IF(LEFT($A143,3)="icp",SUMIFS('BASE-ICP'!$K:$K,'BASE-ICP'!$A:$A,Capex!$A134,'BASE-ICP'!$B:$B,"setembro")/1000,"")),"")</f>
        <v>0</v>
      </c>
      <c r="CY143" s="427">
        <v>0</v>
      </c>
      <c r="CZ143" s="372"/>
      <c r="DA143" s="419"/>
      <c r="DB143" s="423">
        <f>IFERROR(IF(LEFT($A143,3)="Lcp",SUMIFS('BASE-LCP'!$K:$K,'BASE-LCP'!$A:$A,Capex!$A134,'BASE-LCP'!$B:$B,"outubro")/1000,IF(LEFT($A143,3)="icp",SUMIFS('BASE-ICP'!$K:$K,'BASE-ICP'!$A:$A,Capex!$A134,'BASE-ICP'!$B:$B,"outubro")/1000,"")),"")</f>
        <v>0</v>
      </c>
      <c r="DC143" s="427">
        <v>0</v>
      </c>
      <c r="DD143" s="372"/>
      <c r="DE143" s="419"/>
      <c r="DF143" s="423">
        <f>IFERROR(IF(LEFT($A143,3)="Lcp",SUMIFS('BASE-LCP'!$K:$K,'BASE-LCP'!$A:$A,Capex!$A134,'BASE-LCP'!$B:$B,"novembro")/1000,IF(LEFT($A143,3)="icp",SUMIFS('BASE-ICP'!$K:$K,'BASE-ICP'!$A:$A,Capex!$A134,'BASE-ICP'!$B:$B,"novembro")/1000,"")),"")</f>
        <v>0</v>
      </c>
      <c r="DG143" s="427">
        <v>0</v>
      </c>
      <c r="DH143" s="372"/>
      <c r="DI143" s="419"/>
      <c r="DJ143" s="423">
        <f>IFERROR(IF(LEFT($A143,3)="Lcp",SUMIFS('BASE-LCP'!$K:$K,'BASE-LCP'!$A:$A,Capex!$A134,'BASE-LCP'!$B:$B,"dezembro")/1000,IF(LEFT($A143,3)="icp",SUMIFS('BASE-ICP'!$K:$K,'BASE-ICP'!$A:$A,Capex!$A134,'BASE-ICP'!$B:$B,"dezembro")/1000,"")),"")</f>
        <v>0</v>
      </c>
      <c r="DK143" s="427">
        <v>0</v>
      </c>
      <c r="DL143" s="452">
        <f t="shared" si="85"/>
        <v>0</v>
      </c>
      <c r="DM143" s="374"/>
      <c r="DN143" s="374"/>
      <c r="DO143" s="374"/>
      <c r="DP143" s="374"/>
      <c r="DQ143" s="374"/>
      <c r="DR143" s="374"/>
      <c r="DS143" s="374"/>
      <c r="DT143" s="374"/>
      <c r="DU143" s="374"/>
      <c r="DV143" s="374"/>
      <c r="DW143" s="374"/>
      <c r="DX143" s="374"/>
      <c r="DY143" s="450"/>
      <c r="DZ143" s="374">
        <f t="shared" si="86"/>
        <v>0</v>
      </c>
      <c r="EA143" s="216">
        <f t="shared" si="87"/>
        <v>0</v>
      </c>
      <c r="EB143" s="320">
        <f t="shared" si="88"/>
        <v>0</v>
      </c>
      <c r="EC143" s="241">
        <f t="shared" si="89"/>
        <v>0</v>
      </c>
      <c r="ED143" s="241">
        <f t="shared" si="90"/>
        <v>0</v>
      </c>
      <c r="EE143" s="241">
        <f t="shared" si="91"/>
        <v>0</v>
      </c>
      <c r="EF143" s="241">
        <f t="shared" si="92"/>
        <v>0</v>
      </c>
      <c r="EG143" s="346">
        <f t="shared" si="93"/>
        <v>0</v>
      </c>
      <c r="EH143" s="445">
        <f t="shared" si="94"/>
        <v>0</v>
      </c>
      <c r="EI143" s="447">
        <f t="shared" si="95"/>
        <v>0</v>
      </c>
      <c r="EJ143" s="364">
        <f t="shared" si="96"/>
        <v>0</v>
      </c>
      <c r="EK143" s="365">
        <f t="shared" si="97"/>
        <v>0</v>
      </c>
      <c r="EL143" s="529">
        <f t="shared" si="98"/>
        <v>0</v>
      </c>
      <c r="EM143" s="530">
        <v>0</v>
      </c>
      <c r="EN143" s="530">
        <v>0</v>
      </c>
      <c r="EO143" s="530">
        <v>0</v>
      </c>
      <c r="EP143" s="530">
        <v>0</v>
      </c>
      <c r="EQ143" s="530">
        <v>0</v>
      </c>
      <c r="ER143" s="530">
        <v>0</v>
      </c>
      <c r="ES143" s="530">
        <v>0</v>
      </c>
      <c r="ET143" s="530">
        <v>0</v>
      </c>
      <c r="EU143" s="530">
        <v>0</v>
      </c>
      <c r="EV143" s="530">
        <v>0</v>
      </c>
      <c r="EW143" s="530">
        <v>0</v>
      </c>
      <c r="EX143" s="530">
        <v>0</v>
      </c>
      <c r="EY143" s="530">
        <f t="shared" si="99"/>
        <v>0</v>
      </c>
      <c r="EZ143" s="530">
        <f t="shared" si="100"/>
        <v>0</v>
      </c>
      <c r="FA143" s="530">
        <f t="shared" si="101"/>
        <v>0</v>
      </c>
      <c r="FB143" s="530">
        <f t="shared" si="102"/>
        <v>0</v>
      </c>
      <c r="FC143" s="384">
        <f>IFERROR(VLOOKUP(Capex!A134,BASE_558!D:R,8,FALSE)/1000,"")</f>
        <v>57</v>
      </c>
      <c r="FD143" s="328">
        <f>IFERROR(VLOOKUP(Capex!A134,BASE_558!D:R,9,)/1000,"")</f>
        <v>41.443289999999998</v>
      </c>
      <c r="FE143" s="328">
        <f>IFERROR(IF(LEFT(A143,3)="LCP",(VLOOKUP(Capex!A134,BASE_558!D:R,10,)/1000),SUMIFS('BASE ICP_PO_SC'!F:F,'BASE ICP_PO_SC'!A:A,Capex!A134,'BASE ICP_PO_SC'!E:E,"&lt;&gt;")/1000),"")</f>
        <v>0</v>
      </c>
      <c r="FF143" s="328">
        <f>IFERROR(IF(LEFT(A143,3)="LCP",(VLOOKUP(Capex!A134,BASE_558!D:R,11,)/1000),SUMIFS('BASE ICP_PO_SC'!F:F,'BASE ICP_PO_SC'!A:A,Capex!A134,'BASE ICP_PO_SC'!E:E,"")/1000),"")</f>
        <v>0</v>
      </c>
      <c r="FG143" s="328">
        <f>IFERROR(VLOOKUP(A143,BASE_558!D:R,13,FALSE)/1000,"")</f>
        <v>1150.0130800000002</v>
      </c>
      <c r="FH143" s="328">
        <f>IFERROR(VLOOKUP(A143,BASE_558!D:R,15,FALSE)/1000,"")</f>
        <v>525.61692000000005</v>
      </c>
      <c r="FI143" s="547">
        <f t="shared" si="103"/>
        <v>0</v>
      </c>
      <c r="FJ143" s="547">
        <f t="shared" si="104"/>
        <v>0</v>
      </c>
      <c r="FK143" s="540">
        <f t="shared" si="105"/>
        <v>0</v>
      </c>
    </row>
    <row r="144" spans="1:167" s="23" customFormat="1" ht="24" customHeight="1">
      <c r="A144" s="84" t="s">
        <v>151</v>
      </c>
      <c r="B144" s="404"/>
      <c r="C144" s="404"/>
      <c r="D144" s="338" t="s">
        <v>2229</v>
      </c>
      <c r="E144" s="378">
        <v>2082187</v>
      </c>
      <c r="F144" s="310" t="s">
        <v>609</v>
      </c>
      <c r="G144" s="310" t="s">
        <v>9</v>
      </c>
      <c r="H144" s="338"/>
      <c r="I144" s="338"/>
      <c r="J144" s="338">
        <v>2019</v>
      </c>
      <c r="K144" s="316">
        <v>43706</v>
      </c>
      <c r="L144" s="317">
        <v>44225</v>
      </c>
      <c r="M144" s="409"/>
      <c r="N144" s="317">
        <f t="shared" si="74"/>
        <v>44618</v>
      </c>
      <c r="O144" s="317">
        <f t="shared" si="75"/>
        <v>44983</v>
      </c>
      <c r="P144" s="418" t="str">
        <f t="shared" si="106"/>
        <v>CRTD</v>
      </c>
      <c r="Q144" s="418" t="str">
        <f t="shared" si="106"/>
        <v>CRTD</v>
      </c>
      <c r="R144" s="418" t="str">
        <f t="shared" si="106"/>
        <v>CRTD</v>
      </c>
      <c r="S144" s="418" t="str">
        <f t="shared" si="106"/>
        <v>CRTD</v>
      </c>
      <c r="T144" s="418" t="str">
        <f t="shared" si="106"/>
        <v>CRTD</v>
      </c>
      <c r="U144" s="418" t="str">
        <f t="shared" si="106"/>
        <v>CRTD</v>
      </c>
      <c r="V144" s="418" t="str">
        <f t="shared" si="106"/>
        <v>CRTD</v>
      </c>
      <c r="W144" s="418" t="str">
        <f t="shared" si="106"/>
        <v>CRTD</v>
      </c>
      <c r="X144" s="418" t="str">
        <f t="shared" si="106"/>
        <v>CRTD</v>
      </c>
      <c r="Y144" s="418" t="str">
        <f t="shared" si="106"/>
        <v>CRTD</v>
      </c>
      <c r="Z144" s="418" t="str">
        <f t="shared" si="106"/>
        <v>CRTD</v>
      </c>
      <c r="AA144" s="418" t="str">
        <f t="shared" si="106"/>
        <v>CRTD</v>
      </c>
      <c r="AB144" s="317"/>
      <c r="AC144" s="309" t="s">
        <v>3931</v>
      </c>
      <c r="AD144" s="311" t="s">
        <v>223</v>
      </c>
      <c r="AE144" s="311"/>
      <c r="AF144" s="310" t="s">
        <v>6985</v>
      </c>
      <c r="AG144" s="310" t="s">
        <v>9083</v>
      </c>
      <c r="AH144" s="310" t="s">
        <v>152</v>
      </c>
      <c r="AI144" s="309" t="s">
        <v>188</v>
      </c>
      <c r="AJ144" s="6" t="s">
        <v>218</v>
      </c>
      <c r="AK144" s="6" t="str">
        <f t="shared" si="83"/>
        <v>IGUAL</v>
      </c>
      <c r="AL144" s="151" t="str">
        <f>IFERROR(IF(LEFT(A144,3)="LCP",VLOOKUP(A144,STATUS_SAP_LCP!B:C,2,FALSE),VLOOKUP(A144,STATUS_SAP_ICP!B:C,2,FALSE)),"NO BUDGET")</f>
        <v>CLSD BUDG AUC  AVAC  //  SUPP BREL EXPL</v>
      </c>
      <c r="AM144" s="6" t="str">
        <f t="shared" si="82"/>
        <v>CLSD</v>
      </c>
      <c r="AN144" s="282" t="s">
        <v>9096</v>
      </c>
      <c r="AO144" s="493">
        <v>1</v>
      </c>
      <c r="AP144" s="499" t="s">
        <v>9607</v>
      </c>
      <c r="AQ144" s="465">
        <v>44225</v>
      </c>
      <c r="AR144" s="460"/>
      <c r="AS144" s="56">
        <v>382.68</v>
      </c>
      <c r="AT144" s="185">
        <v>26.11234</v>
      </c>
      <c r="AU144" s="318">
        <v>0</v>
      </c>
      <c r="AV144" s="223">
        <v>0</v>
      </c>
      <c r="AW144" s="318">
        <v>0</v>
      </c>
      <c r="AX144" s="223">
        <v>0</v>
      </c>
      <c r="AY144" s="318">
        <f t="shared" si="76"/>
        <v>0</v>
      </c>
      <c r="AZ144" s="223"/>
      <c r="BA144" s="318"/>
      <c r="BB144" s="519">
        <f t="shared" si="77"/>
        <v>0</v>
      </c>
      <c r="BC144" s="518"/>
      <c r="BD144" s="518"/>
      <c r="BE144" s="518"/>
      <c r="BF144" s="518"/>
      <c r="BG144" s="518"/>
      <c r="BH144" s="518"/>
      <c r="BI144" s="518"/>
      <c r="BJ144" s="518"/>
      <c r="BK144" s="518"/>
      <c r="BL144" s="518"/>
      <c r="BM144" s="518"/>
      <c r="BN144" s="518"/>
      <c r="BO144" s="367">
        <f t="shared" si="84"/>
        <v>0</v>
      </c>
      <c r="BP144" s="421"/>
      <c r="BQ144" s="422"/>
      <c r="BR144" s="423">
        <f>IFERROR(IF(LEFT($A144,3)="Lcp",SUMIFS('BASE-LCP'!$K:$K,'BASE-LCP'!$A:$A,Capex!$A135,'BASE-LCP'!$B:$B,"janeiro")/1000,IF(LEFT($A144,3)="icp",SUMIFS('BASE-ICP'!$K:$K,'BASE-ICP'!$A:$A,Capex!$A135,'BASE-ICP'!$B:$B,"janeiro")/1000,"")),"")</f>
        <v>0</v>
      </c>
      <c r="BS144" s="427">
        <v>0</v>
      </c>
      <c r="BT144" s="372">
        <v>0</v>
      </c>
      <c r="BU144" s="422"/>
      <c r="BV144" s="423">
        <f>IFERROR(IF(LEFT($A144,3)="Lcp",SUMIFS('BASE-LCP'!$K:$K,'BASE-LCP'!$A:$A,Capex!$A135,'BASE-LCP'!$B:$B,"fevereiro")/1000,IF(LEFT($A144,3)="icp",SUMIFS('BASE-ICP'!$K:$K,'BASE-ICP'!$A:$A,Capex!$A135,'BASE-ICP'!$B:$B,"fevereiro")/1000,"")),"")</f>
        <v>0</v>
      </c>
      <c r="BW144" s="427">
        <v>0</v>
      </c>
      <c r="BX144" s="372">
        <v>0</v>
      </c>
      <c r="BY144" s="419"/>
      <c r="BZ144" s="423">
        <f>IFERROR(IF(LEFT($A144,3)="Lcp",SUMIFS('BASE-LCP'!$K:$K,'BASE-LCP'!$A:$A,Capex!$A135,'BASE-LCP'!$B:$B,"março")/1000,IF(LEFT($A144,3)="icp",SUMIFS('BASE-ICP'!$K:$K,'BASE-ICP'!$A:$A,Capex!$A135,'BASE-ICP'!$B:$B,"março")/1000,"")),"")</f>
        <v>0</v>
      </c>
      <c r="CA144" s="427">
        <v>0</v>
      </c>
      <c r="CB144" s="372">
        <v>0</v>
      </c>
      <c r="CC144" s="422"/>
      <c r="CD144" s="423">
        <f>IFERROR(IF(LEFT($A144,3)="Lcp",SUMIFS('BASE-LCP'!$K:$K,'BASE-LCP'!$A:$A,Capex!$A135,'BASE-LCP'!$B:$B,"abril")/1000,IF(LEFT($A144,3)="icp",SUMIFS('BASE-ICP'!$K:$K,'BASE-ICP'!$A:$A,Capex!$A135,'BASE-ICP'!$B:$B,"abril")/1000,"")),"")</f>
        <v>0</v>
      </c>
      <c r="CE144" s="427">
        <v>0</v>
      </c>
      <c r="CF144" s="372">
        <v>0</v>
      </c>
      <c r="CG144" s="419"/>
      <c r="CH144" s="423">
        <v>0</v>
      </c>
      <c r="CI144" s="427">
        <v>0</v>
      </c>
      <c r="CJ144" s="372">
        <v>0</v>
      </c>
      <c r="CK144" s="419"/>
      <c r="CL144" s="423">
        <f>IFERROR(IF(LEFT($A144,3)="Lcp",SUMIFS('BASE-LCP'!$K:$K,'BASE-LCP'!$A:$A,Capex!$A135,'BASE-LCP'!$B:$B,"junho")/1000,IF(LEFT($A144,3)="icp",SUMIFS('BASE-ICP'!$K:$K,'BASE-ICP'!$A:$A,Capex!$A135,'BASE-ICP'!$B:$B,"junho")/1000,"")),"")</f>
        <v>0</v>
      </c>
      <c r="CM144" s="427">
        <v>0</v>
      </c>
      <c r="CN144" s="372"/>
      <c r="CO144" s="419"/>
      <c r="CP144" s="423">
        <f>IFERROR(IF(LEFT($A144,3)="Lcp",SUMIFS('BASE-LCP'!$K:$K,'BASE-LCP'!$A:$A,Capex!$A135,'BASE-LCP'!$B:$B,"julho")/1000,IF(LEFT($A144,3)="icp",SUMIFS('BASE-ICP'!$K:$K,'BASE-ICP'!$A:$A,Capex!$A135,'BASE-ICP'!$B:$B,"julho")/1000,"")),"")</f>
        <v>0</v>
      </c>
      <c r="CQ144" s="427">
        <v>0</v>
      </c>
      <c r="CR144" s="372"/>
      <c r="CS144" s="419"/>
      <c r="CT144" s="423">
        <f>IFERROR(IF(LEFT($A144,3)="Lcp",SUMIFS('BASE-LCP'!$K:$K,'BASE-LCP'!$A:$A,Capex!$A135,'BASE-LCP'!$B:$B,"agosto")/1000,IF(LEFT($A144,3)="icp",SUMIFS('BASE-ICP'!$K:$K,'BASE-ICP'!$A:$A,Capex!$A135,'BASE-ICP'!$B:$B,"agosto")/1000,"")),"")</f>
        <v>0</v>
      </c>
      <c r="CU144" s="427">
        <v>0</v>
      </c>
      <c r="CV144" s="372"/>
      <c r="CW144" s="419"/>
      <c r="CX144" s="423">
        <f>IFERROR(IF(LEFT($A144,3)="Lcp",SUMIFS('BASE-LCP'!$K:$K,'BASE-LCP'!$A:$A,Capex!$A135,'BASE-LCP'!$B:$B,"setembro")/1000,IF(LEFT($A144,3)="icp",SUMIFS('BASE-ICP'!$K:$K,'BASE-ICP'!$A:$A,Capex!$A135,'BASE-ICP'!$B:$B,"setembro")/1000,"")),"")</f>
        <v>0</v>
      </c>
      <c r="CY144" s="427">
        <v>0</v>
      </c>
      <c r="CZ144" s="372"/>
      <c r="DA144" s="419"/>
      <c r="DB144" s="423">
        <f>IFERROR(IF(LEFT($A144,3)="Lcp",SUMIFS('BASE-LCP'!$K:$K,'BASE-LCP'!$A:$A,Capex!$A135,'BASE-LCP'!$B:$B,"outubro")/1000,IF(LEFT($A144,3)="icp",SUMIFS('BASE-ICP'!$K:$K,'BASE-ICP'!$A:$A,Capex!$A135,'BASE-ICP'!$B:$B,"outubro")/1000,"")),"")</f>
        <v>0</v>
      </c>
      <c r="DC144" s="427">
        <v>0</v>
      </c>
      <c r="DD144" s="372"/>
      <c r="DE144" s="419"/>
      <c r="DF144" s="423">
        <f>IFERROR(IF(LEFT($A144,3)="Lcp",SUMIFS('BASE-LCP'!$K:$K,'BASE-LCP'!$A:$A,Capex!$A135,'BASE-LCP'!$B:$B,"novembro")/1000,IF(LEFT($A144,3)="icp",SUMIFS('BASE-ICP'!$K:$K,'BASE-ICP'!$A:$A,Capex!$A135,'BASE-ICP'!$B:$B,"novembro")/1000,"")),"")</f>
        <v>0</v>
      </c>
      <c r="DG144" s="427">
        <v>0</v>
      </c>
      <c r="DH144" s="372"/>
      <c r="DI144" s="419"/>
      <c r="DJ144" s="423">
        <f>IFERROR(IF(LEFT($A144,3)="Lcp",SUMIFS('BASE-LCP'!$K:$K,'BASE-LCP'!$A:$A,Capex!$A135,'BASE-LCP'!$B:$B,"dezembro")/1000,IF(LEFT($A144,3)="icp",SUMIFS('BASE-ICP'!$K:$K,'BASE-ICP'!$A:$A,Capex!$A135,'BASE-ICP'!$B:$B,"dezembro")/1000,"")),"")</f>
        <v>0</v>
      </c>
      <c r="DK144" s="427">
        <v>0</v>
      </c>
      <c r="DL144" s="452">
        <f t="shared" si="85"/>
        <v>0</v>
      </c>
      <c r="DM144" s="374"/>
      <c r="DN144" s="374"/>
      <c r="DO144" s="374"/>
      <c r="DP144" s="374"/>
      <c r="DQ144" s="374"/>
      <c r="DR144" s="374"/>
      <c r="DS144" s="374"/>
      <c r="DT144" s="374"/>
      <c r="DU144" s="374"/>
      <c r="DV144" s="374"/>
      <c r="DW144" s="374"/>
      <c r="DX144" s="374"/>
      <c r="DY144" s="450"/>
      <c r="DZ144" s="374">
        <f t="shared" si="86"/>
        <v>0</v>
      </c>
      <c r="EA144" s="216">
        <f t="shared" si="87"/>
        <v>0</v>
      </c>
      <c r="EB144" s="320">
        <f t="shared" si="88"/>
        <v>0</v>
      </c>
      <c r="EC144" s="241">
        <f t="shared" si="89"/>
        <v>0</v>
      </c>
      <c r="ED144" s="241">
        <f t="shared" si="90"/>
        <v>0</v>
      </c>
      <c r="EE144" s="241">
        <f t="shared" si="91"/>
        <v>0</v>
      </c>
      <c r="EF144" s="241">
        <f t="shared" si="92"/>
        <v>0</v>
      </c>
      <c r="EG144" s="346">
        <f t="shared" si="93"/>
        <v>0</v>
      </c>
      <c r="EH144" s="445">
        <f t="shared" si="94"/>
        <v>0</v>
      </c>
      <c r="EI144" s="447">
        <f t="shared" si="95"/>
        <v>0</v>
      </c>
      <c r="EJ144" s="364">
        <f t="shared" si="96"/>
        <v>0</v>
      </c>
      <c r="EK144" s="365">
        <f t="shared" si="97"/>
        <v>0</v>
      </c>
      <c r="EL144" s="529">
        <f t="shared" si="98"/>
        <v>0</v>
      </c>
      <c r="EM144" s="530">
        <v>0</v>
      </c>
      <c r="EN144" s="530">
        <v>0</v>
      </c>
      <c r="EO144" s="530">
        <v>0</v>
      </c>
      <c r="EP144" s="530">
        <v>0</v>
      </c>
      <c r="EQ144" s="530">
        <v>0</v>
      </c>
      <c r="ER144" s="530">
        <v>0</v>
      </c>
      <c r="ES144" s="530">
        <v>0</v>
      </c>
      <c r="ET144" s="530">
        <v>0</v>
      </c>
      <c r="EU144" s="530">
        <v>0</v>
      </c>
      <c r="EV144" s="530">
        <v>0</v>
      </c>
      <c r="EW144" s="530">
        <v>0</v>
      </c>
      <c r="EX144" s="530">
        <v>0</v>
      </c>
      <c r="EY144" s="530">
        <f t="shared" si="99"/>
        <v>0</v>
      </c>
      <c r="EZ144" s="530">
        <f t="shared" si="100"/>
        <v>0</v>
      </c>
      <c r="FA144" s="530">
        <f t="shared" si="101"/>
        <v>0</v>
      </c>
      <c r="FB144" s="530">
        <f t="shared" si="102"/>
        <v>0</v>
      </c>
      <c r="FC144" s="384">
        <f>IFERROR(VLOOKUP(Capex!A135,BASE_558!D:R,8,FALSE)/1000,"")</f>
        <v>1236</v>
      </c>
      <c r="FD144" s="328">
        <f>IFERROR(VLOOKUP(Capex!A135,BASE_558!D:R,9,)/1000,"")</f>
        <v>1197.4070099999999</v>
      </c>
      <c r="FE144" s="328">
        <f>IFERROR(IF(LEFT(A144,3)="LCP",(VLOOKUP(Capex!A135,BASE_558!D:R,10,)/1000),SUMIFS('BASE ICP_PO_SC'!F:F,'BASE ICP_PO_SC'!A:A,Capex!A135,'BASE ICP_PO_SC'!E:E,"&lt;&gt;")/1000),"")</f>
        <v>0</v>
      </c>
      <c r="FF144" s="328">
        <f>IFERROR(IF(LEFT(A144,3)="LCP",(VLOOKUP(Capex!A135,BASE_558!D:R,11,)/1000),SUMIFS('BASE ICP_PO_SC'!F:F,'BASE ICP_PO_SC'!A:A,Capex!A135,'BASE ICP_PO_SC'!E:E,"")/1000),"")</f>
        <v>0</v>
      </c>
      <c r="FG144" s="328">
        <f>IFERROR(VLOOKUP(A144,BASE_558!D:R,13,FALSE)/1000,"")</f>
        <v>115.48541</v>
      </c>
      <c r="FH144" s="328">
        <f>IFERROR(VLOOKUP(A144,BASE_558!D:R,15,FALSE)/1000,"")</f>
        <v>24.514590000000002</v>
      </c>
      <c r="FI144" s="547">
        <f t="shared" si="103"/>
        <v>0</v>
      </c>
      <c r="FJ144" s="547">
        <f t="shared" si="104"/>
        <v>0</v>
      </c>
      <c r="FK144" s="540">
        <f t="shared" si="105"/>
        <v>0</v>
      </c>
    </row>
    <row r="145" spans="1:167" s="23" customFormat="1" ht="24" customHeight="1">
      <c r="A145" s="84" t="s">
        <v>165</v>
      </c>
      <c r="B145" s="404" t="s">
        <v>686</v>
      </c>
      <c r="C145" s="404"/>
      <c r="D145" s="338" t="s">
        <v>2230</v>
      </c>
      <c r="E145" s="378">
        <v>1588840</v>
      </c>
      <c r="F145" s="5"/>
      <c r="G145" s="310" t="s">
        <v>9</v>
      </c>
      <c r="H145" s="338"/>
      <c r="I145" s="338"/>
      <c r="J145" s="338">
        <v>2019</v>
      </c>
      <c r="K145" s="316">
        <v>43644</v>
      </c>
      <c r="L145" s="317">
        <v>44315</v>
      </c>
      <c r="M145" s="409"/>
      <c r="N145" s="317">
        <f t="shared" si="74"/>
        <v>44556</v>
      </c>
      <c r="O145" s="317">
        <f t="shared" si="75"/>
        <v>44921</v>
      </c>
      <c r="P145" s="418" t="str">
        <f t="shared" ref="P145:AA154" si="107">IF($N145="","N/A",IF($O145="","N/A",IF(P$2&lt;=$N145,"NÃO",IF($AJ145="REL ","SIM",IF(P$2&lt;$O145,"NÃO",IF($AJ145&lt;&gt;"CLSD","SIM","CRTD"))))))</f>
        <v>CRTD</v>
      </c>
      <c r="Q145" s="418" t="str">
        <f t="shared" si="107"/>
        <v>CRTD</v>
      </c>
      <c r="R145" s="418" t="str">
        <f t="shared" si="107"/>
        <v>CRTD</v>
      </c>
      <c r="S145" s="418" t="str">
        <f t="shared" si="107"/>
        <v>CRTD</v>
      </c>
      <c r="T145" s="418" t="str">
        <f t="shared" si="107"/>
        <v>CRTD</v>
      </c>
      <c r="U145" s="418" t="str">
        <f t="shared" si="107"/>
        <v>CRTD</v>
      </c>
      <c r="V145" s="418" t="str">
        <f t="shared" si="107"/>
        <v>CRTD</v>
      </c>
      <c r="W145" s="418" t="str">
        <f t="shared" si="107"/>
        <v>CRTD</v>
      </c>
      <c r="X145" s="418" t="str">
        <f t="shared" si="107"/>
        <v>CRTD</v>
      </c>
      <c r="Y145" s="418" t="str">
        <f t="shared" si="107"/>
        <v>CRTD</v>
      </c>
      <c r="Z145" s="418" t="str">
        <f t="shared" si="107"/>
        <v>CRTD</v>
      </c>
      <c r="AA145" s="418" t="str">
        <f t="shared" si="107"/>
        <v>CRTD</v>
      </c>
      <c r="AB145" s="317"/>
      <c r="AC145" s="309" t="s">
        <v>3932</v>
      </c>
      <c r="AD145" s="311" t="s">
        <v>222</v>
      </c>
      <c r="AE145" s="311" t="s">
        <v>965</v>
      </c>
      <c r="AF145" s="310" t="s">
        <v>6985</v>
      </c>
      <c r="AG145" s="310" t="s">
        <v>9083</v>
      </c>
      <c r="AH145" s="310" t="s">
        <v>2821</v>
      </c>
      <c r="AI145" s="381" t="s">
        <v>2255</v>
      </c>
      <c r="AJ145" s="6" t="s">
        <v>218</v>
      </c>
      <c r="AK145" s="6" t="str">
        <f t="shared" si="83"/>
        <v>IGUAL</v>
      </c>
      <c r="AL145" s="151" t="str">
        <f>IFERROR(IF(LEFT(A145,3)="LCP",VLOOKUP(A145,STATUS_SAP_LCP!B:C,2,FALSE),VLOOKUP(A145,STATUS_SAP_ICP!B:C,2,FALSE)),"NO BUDGET")</f>
        <v>CLSD BUDG AUC  AVAC  //  APPR BREL EXPL</v>
      </c>
      <c r="AM145" s="6" t="str">
        <f t="shared" si="82"/>
        <v>CLSD</v>
      </c>
      <c r="AN145" s="282" t="s">
        <v>9098</v>
      </c>
      <c r="AO145" s="493">
        <v>1</v>
      </c>
      <c r="AP145" s="499" t="s">
        <v>9607</v>
      </c>
      <c r="AQ145" s="465">
        <v>44315</v>
      </c>
      <c r="AR145" s="460"/>
      <c r="AS145" s="56">
        <v>0</v>
      </c>
      <c r="AT145" s="185">
        <v>326.75173999999998</v>
      </c>
      <c r="AU145" s="318">
        <v>-26.880880000000001</v>
      </c>
      <c r="AV145" s="223">
        <v>0</v>
      </c>
      <c r="AW145" s="318">
        <v>0</v>
      </c>
      <c r="AX145" s="223">
        <v>0</v>
      </c>
      <c r="AY145" s="318">
        <f t="shared" si="76"/>
        <v>0</v>
      </c>
      <c r="AZ145" s="223"/>
      <c r="BA145" s="318"/>
      <c r="BB145" s="519">
        <f t="shared" si="77"/>
        <v>0</v>
      </c>
      <c r="BC145" s="518"/>
      <c r="BD145" s="518"/>
      <c r="BE145" s="518"/>
      <c r="BF145" s="518"/>
      <c r="BG145" s="518"/>
      <c r="BH145" s="518"/>
      <c r="BI145" s="518"/>
      <c r="BJ145" s="518"/>
      <c r="BK145" s="518"/>
      <c r="BL145" s="518"/>
      <c r="BM145" s="518"/>
      <c r="BN145" s="518"/>
      <c r="BO145" s="367">
        <f t="shared" si="84"/>
        <v>0</v>
      </c>
      <c r="BP145" s="421"/>
      <c r="BQ145" s="422"/>
      <c r="BR145" s="423">
        <f>IFERROR(IF(LEFT($A145,3)="Lcp",SUMIFS('BASE-LCP'!$K:$K,'BASE-LCP'!$A:$A,Capex!$A136,'BASE-LCP'!$B:$B,"janeiro")/1000,IF(LEFT($A145,3)="icp",SUMIFS('BASE-ICP'!$K:$K,'BASE-ICP'!$A:$A,Capex!$A136,'BASE-ICP'!$B:$B,"janeiro")/1000,"")),"")</f>
        <v>0</v>
      </c>
      <c r="BS145" s="427">
        <v>0</v>
      </c>
      <c r="BT145" s="372">
        <v>0</v>
      </c>
      <c r="BU145" s="422"/>
      <c r="BV145" s="423">
        <f>IFERROR(IF(LEFT($A145,3)="Lcp",SUMIFS('BASE-LCP'!$K:$K,'BASE-LCP'!$A:$A,Capex!$A136,'BASE-LCP'!$B:$B,"fevereiro")/1000,IF(LEFT($A145,3)="icp",SUMIFS('BASE-ICP'!$K:$K,'BASE-ICP'!$A:$A,Capex!$A136,'BASE-ICP'!$B:$B,"fevereiro")/1000,"")),"")</f>
        <v>0</v>
      </c>
      <c r="BW145" s="427">
        <v>0</v>
      </c>
      <c r="BX145" s="372">
        <v>0</v>
      </c>
      <c r="BY145" s="419"/>
      <c r="BZ145" s="423">
        <f>IFERROR(IF(LEFT($A145,3)="Lcp",SUMIFS('BASE-LCP'!$K:$K,'BASE-LCP'!$A:$A,Capex!$A136,'BASE-LCP'!$B:$B,"março")/1000,IF(LEFT($A145,3)="icp",SUMIFS('BASE-ICP'!$K:$K,'BASE-ICP'!$A:$A,Capex!$A136,'BASE-ICP'!$B:$B,"março")/1000,"")),"")</f>
        <v>0</v>
      </c>
      <c r="CA145" s="427">
        <v>0</v>
      </c>
      <c r="CB145" s="372">
        <v>0</v>
      </c>
      <c r="CC145" s="422"/>
      <c r="CD145" s="423">
        <f>IFERROR(IF(LEFT($A145,3)="Lcp",SUMIFS('BASE-LCP'!$K:$K,'BASE-LCP'!$A:$A,Capex!$A136,'BASE-LCP'!$B:$B,"abril")/1000,IF(LEFT($A145,3)="icp",SUMIFS('BASE-ICP'!$K:$K,'BASE-ICP'!$A:$A,Capex!$A136,'BASE-ICP'!$B:$B,"abril")/1000,"")),"")</f>
        <v>0</v>
      </c>
      <c r="CE145" s="427">
        <v>0</v>
      </c>
      <c r="CF145" s="372">
        <v>0</v>
      </c>
      <c r="CG145" s="419"/>
      <c r="CH145" s="423">
        <v>0</v>
      </c>
      <c r="CI145" s="427">
        <v>0</v>
      </c>
      <c r="CJ145" s="372">
        <v>0</v>
      </c>
      <c r="CK145" s="419"/>
      <c r="CL145" s="423">
        <f>IFERROR(IF(LEFT($A145,3)="Lcp",SUMIFS('BASE-LCP'!$K:$K,'BASE-LCP'!$A:$A,Capex!$A136,'BASE-LCP'!$B:$B,"junho")/1000,IF(LEFT($A145,3)="icp",SUMIFS('BASE-ICP'!$K:$K,'BASE-ICP'!$A:$A,Capex!$A136,'BASE-ICP'!$B:$B,"junho")/1000,"")),"")</f>
        <v>0</v>
      </c>
      <c r="CM145" s="427">
        <v>0</v>
      </c>
      <c r="CN145" s="372"/>
      <c r="CO145" s="419"/>
      <c r="CP145" s="423">
        <f>IFERROR(IF(LEFT($A145,3)="Lcp",SUMIFS('BASE-LCP'!$K:$K,'BASE-LCP'!$A:$A,Capex!$A136,'BASE-LCP'!$B:$B,"julho")/1000,IF(LEFT($A145,3)="icp",SUMIFS('BASE-ICP'!$K:$K,'BASE-ICP'!$A:$A,Capex!$A136,'BASE-ICP'!$B:$B,"julho")/1000,"")),"")</f>
        <v>0</v>
      </c>
      <c r="CQ145" s="427">
        <v>0</v>
      </c>
      <c r="CR145" s="372"/>
      <c r="CS145" s="419"/>
      <c r="CT145" s="423">
        <f>IFERROR(IF(LEFT($A145,3)="Lcp",SUMIFS('BASE-LCP'!$K:$K,'BASE-LCP'!$A:$A,Capex!$A136,'BASE-LCP'!$B:$B,"agosto")/1000,IF(LEFT($A145,3)="icp",SUMIFS('BASE-ICP'!$K:$K,'BASE-ICP'!$A:$A,Capex!$A136,'BASE-ICP'!$B:$B,"agosto")/1000,"")),"")</f>
        <v>0</v>
      </c>
      <c r="CU145" s="427">
        <v>0</v>
      </c>
      <c r="CV145" s="372"/>
      <c r="CW145" s="419"/>
      <c r="CX145" s="423">
        <f>IFERROR(IF(LEFT($A145,3)="Lcp",SUMIFS('BASE-LCP'!$K:$K,'BASE-LCP'!$A:$A,Capex!$A136,'BASE-LCP'!$B:$B,"setembro")/1000,IF(LEFT($A145,3)="icp",SUMIFS('BASE-ICP'!$K:$K,'BASE-ICP'!$A:$A,Capex!$A136,'BASE-ICP'!$B:$B,"setembro")/1000,"")),"")</f>
        <v>0</v>
      </c>
      <c r="CY145" s="427">
        <v>0</v>
      </c>
      <c r="CZ145" s="372"/>
      <c r="DA145" s="419"/>
      <c r="DB145" s="423">
        <f>IFERROR(IF(LEFT($A145,3)="Lcp",SUMIFS('BASE-LCP'!$K:$K,'BASE-LCP'!$A:$A,Capex!$A136,'BASE-LCP'!$B:$B,"outubro")/1000,IF(LEFT($A145,3)="icp",SUMIFS('BASE-ICP'!$K:$K,'BASE-ICP'!$A:$A,Capex!$A136,'BASE-ICP'!$B:$B,"outubro")/1000,"")),"")</f>
        <v>0</v>
      </c>
      <c r="DC145" s="427">
        <v>0</v>
      </c>
      <c r="DD145" s="372"/>
      <c r="DE145" s="419"/>
      <c r="DF145" s="423">
        <f>IFERROR(IF(LEFT($A145,3)="Lcp",SUMIFS('BASE-LCP'!$K:$K,'BASE-LCP'!$A:$A,Capex!$A136,'BASE-LCP'!$B:$B,"novembro")/1000,IF(LEFT($A145,3)="icp",SUMIFS('BASE-ICP'!$K:$K,'BASE-ICP'!$A:$A,Capex!$A136,'BASE-ICP'!$B:$B,"novembro")/1000,"")),"")</f>
        <v>0</v>
      </c>
      <c r="DG145" s="427">
        <v>0</v>
      </c>
      <c r="DH145" s="372"/>
      <c r="DI145" s="419"/>
      <c r="DJ145" s="423">
        <f>IFERROR(IF(LEFT($A145,3)="Lcp",SUMIFS('BASE-LCP'!$K:$K,'BASE-LCP'!$A:$A,Capex!$A136,'BASE-LCP'!$B:$B,"dezembro")/1000,IF(LEFT($A145,3)="icp",SUMIFS('BASE-ICP'!$K:$K,'BASE-ICP'!$A:$A,Capex!$A136,'BASE-ICP'!$B:$B,"dezembro")/1000,"")),"")</f>
        <v>0</v>
      </c>
      <c r="DK145" s="427">
        <v>0</v>
      </c>
      <c r="DL145" s="452">
        <f t="shared" si="85"/>
        <v>0</v>
      </c>
      <c r="DM145" s="374"/>
      <c r="DN145" s="374"/>
      <c r="DO145" s="374"/>
      <c r="DP145" s="374"/>
      <c r="DQ145" s="374"/>
      <c r="DR145" s="374"/>
      <c r="DS145" s="374"/>
      <c r="DT145" s="374"/>
      <c r="DU145" s="374"/>
      <c r="DV145" s="374"/>
      <c r="DW145" s="374"/>
      <c r="DX145" s="374"/>
      <c r="DY145" s="450"/>
      <c r="DZ145" s="374">
        <f t="shared" si="86"/>
        <v>0</v>
      </c>
      <c r="EA145" s="216">
        <f t="shared" si="87"/>
        <v>0</v>
      </c>
      <c r="EB145" s="320">
        <f t="shared" si="88"/>
        <v>0</v>
      </c>
      <c r="EC145" s="241">
        <f t="shared" si="89"/>
        <v>0</v>
      </c>
      <c r="ED145" s="241">
        <f t="shared" si="90"/>
        <v>0</v>
      </c>
      <c r="EE145" s="241">
        <f t="shared" si="91"/>
        <v>0</v>
      </c>
      <c r="EF145" s="241">
        <f t="shared" si="92"/>
        <v>0</v>
      </c>
      <c r="EG145" s="346">
        <f t="shared" si="93"/>
        <v>0</v>
      </c>
      <c r="EH145" s="445">
        <f t="shared" si="94"/>
        <v>0</v>
      </c>
      <c r="EI145" s="447">
        <f t="shared" si="95"/>
        <v>0</v>
      </c>
      <c r="EJ145" s="364">
        <f t="shared" si="96"/>
        <v>0</v>
      </c>
      <c r="EK145" s="365">
        <f t="shared" si="97"/>
        <v>0</v>
      </c>
      <c r="EL145" s="529">
        <f t="shared" si="98"/>
        <v>0</v>
      </c>
      <c r="EM145" s="530">
        <v>0</v>
      </c>
      <c r="EN145" s="530">
        <v>0</v>
      </c>
      <c r="EO145" s="530">
        <v>0</v>
      </c>
      <c r="EP145" s="530">
        <v>0</v>
      </c>
      <c r="EQ145" s="530">
        <v>0</v>
      </c>
      <c r="ER145" s="530">
        <v>0</v>
      </c>
      <c r="ES145" s="530">
        <v>0</v>
      </c>
      <c r="ET145" s="530">
        <v>0</v>
      </c>
      <c r="EU145" s="530">
        <v>0</v>
      </c>
      <c r="EV145" s="530">
        <v>0</v>
      </c>
      <c r="EW145" s="530">
        <v>0</v>
      </c>
      <c r="EX145" s="530">
        <v>0</v>
      </c>
      <c r="EY145" s="530">
        <f t="shared" si="99"/>
        <v>0</v>
      </c>
      <c r="EZ145" s="530">
        <f t="shared" si="100"/>
        <v>0</v>
      </c>
      <c r="FA145" s="530">
        <f t="shared" si="101"/>
        <v>0</v>
      </c>
      <c r="FB145" s="530">
        <f t="shared" si="102"/>
        <v>0</v>
      </c>
      <c r="FC145" s="384">
        <f>IFERROR(VLOOKUP(Capex!A136,BASE_558!D:R,8,FALSE)/1000,"")</f>
        <v>371.99599999999998</v>
      </c>
      <c r="FD145" s="328">
        <f>IFERROR(VLOOKUP(Capex!A136,BASE_558!D:R,9,)/1000,"")</f>
        <v>309.58535999999998</v>
      </c>
      <c r="FE145" s="328">
        <f>IFERROR(IF(LEFT(A145,3)="LCP",(VLOOKUP(Capex!A136,BASE_558!D:R,10,)/1000),SUMIFS('BASE ICP_PO_SC'!F:F,'BASE ICP_PO_SC'!A:A,Capex!A136,'BASE ICP_PO_SC'!E:E,"&lt;&gt;")/1000),"")</f>
        <v>8.0089899999999989</v>
      </c>
      <c r="FF145" s="328">
        <f>IFERROR(IF(LEFT(A145,3)="LCP",(VLOOKUP(Capex!A136,BASE_558!D:R,11,)/1000),SUMIFS('BASE ICP_PO_SC'!F:F,'BASE ICP_PO_SC'!A:A,Capex!A136,'BASE ICP_PO_SC'!E:E,"")/1000),"")</f>
        <v>1.9694100000000001</v>
      </c>
      <c r="FG145" s="328">
        <f>IFERROR(VLOOKUP(A145,BASE_558!D:R,13,FALSE)/1000,"")</f>
        <v>299.87085999999999</v>
      </c>
      <c r="FH145" s="328">
        <f>IFERROR(VLOOKUP(A145,BASE_558!D:R,15,FALSE)/1000,"")</f>
        <v>85.829139999999995</v>
      </c>
      <c r="FI145" s="547">
        <f t="shared" si="103"/>
        <v>0</v>
      </c>
      <c r="FJ145" s="547">
        <f t="shared" si="104"/>
        <v>0</v>
      </c>
      <c r="FK145" s="540">
        <f t="shared" si="105"/>
        <v>0</v>
      </c>
    </row>
    <row r="146" spans="1:167" s="23" customFormat="1" ht="24" customHeight="1">
      <c r="A146" s="84" t="s">
        <v>169</v>
      </c>
      <c r="B146" s="404"/>
      <c r="C146" s="404"/>
      <c r="D146" s="338" t="s">
        <v>921</v>
      </c>
      <c r="E146" s="378">
        <v>1584552</v>
      </c>
      <c r="F146" s="5"/>
      <c r="G146" s="310" t="s">
        <v>9</v>
      </c>
      <c r="H146" s="338"/>
      <c r="I146" s="338"/>
      <c r="J146" s="338">
        <v>2019</v>
      </c>
      <c r="K146" s="316">
        <v>43635</v>
      </c>
      <c r="L146" s="317">
        <v>44225</v>
      </c>
      <c r="M146" s="409"/>
      <c r="N146" s="317">
        <f t="shared" si="74"/>
        <v>44547</v>
      </c>
      <c r="O146" s="317">
        <f t="shared" si="75"/>
        <v>44912</v>
      </c>
      <c r="P146" s="418" t="str">
        <f t="shared" si="107"/>
        <v>CRTD</v>
      </c>
      <c r="Q146" s="418" t="str">
        <f t="shared" si="107"/>
        <v>CRTD</v>
      </c>
      <c r="R146" s="418" t="str">
        <f t="shared" si="107"/>
        <v>CRTD</v>
      </c>
      <c r="S146" s="418" t="str">
        <f t="shared" si="107"/>
        <v>CRTD</v>
      </c>
      <c r="T146" s="418" t="str">
        <f t="shared" si="107"/>
        <v>CRTD</v>
      </c>
      <c r="U146" s="418" t="str">
        <f t="shared" si="107"/>
        <v>CRTD</v>
      </c>
      <c r="V146" s="418" t="str">
        <f t="shared" si="107"/>
        <v>CRTD</v>
      </c>
      <c r="W146" s="418" t="str">
        <f t="shared" si="107"/>
        <v>CRTD</v>
      </c>
      <c r="X146" s="418" t="str">
        <f t="shared" si="107"/>
        <v>CRTD</v>
      </c>
      <c r="Y146" s="418" t="str">
        <f t="shared" si="107"/>
        <v>CRTD</v>
      </c>
      <c r="Z146" s="418" t="str">
        <f t="shared" si="107"/>
        <v>CRTD</v>
      </c>
      <c r="AA146" s="418" t="str">
        <f t="shared" si="107"/>
        <v>CRTD</v>
      </c>
      <c r="AB146" s="317"/>
      <c r="AC146" s="309" t="s">
        <v>3932</v>
      </c>
      <c r="AD146" s="311" t="s">
        <v>224</v>
      </c>
      <c r="AE146" s="311"/>
      <c r="AF146" s="310" t="s">
        <v>6985</v>
      </c>
      <c r="AG146" s="310" t="s">
        <v>9083</v>
      </c>
      <c r="AH146" s="310" t="s">
        <v>170</v>
      </c>
      <c r="AI146" s="309" t="s">
        <v>186</v>
      </c>
      <c r="AJ146" s="6" t="s">
        <v>218</v>
      </c>
      <c r="AK146" s="6" t="str">
        <f t="shared" si="83"/>
        <v>IGUAL</v>
      </c>
      <c r="AL146" s="151" t="str">
        <f>IFERROR(IF(LEFT(A146,3)="LCP",VLOOKUP(A146,STATUS_SAP_LCP!B:C,2,FALSE),VLOOKUP(A146,STATUS_SAP_ICP!B:C,2,FALSE)),"NO BUDGET")</f>
        <v>CLSD BUDG AUC  AVAC  //  APPR BREL EXPL</v>
      </c>
      <c r="AM146" s="6" t="str">
        <f t="shared" si="82"/>
        <v>CLSD</v>
      </c>
      <c r="AN146" s="282" t="s">
        <v>9096</v>
      </c>
      <c r="AO146" s="493">
        <v>1</v>
      </c>
      <c r="AP146" s="499" t="s">
        <v>9607</v>
      </c>
      <c r="AQ146" s="465">
        <v>44225</v>
      </c>
      <c r="AR146" s="460"/>
      <c r="AS146" s="56">
        <v>0.90276000000000001</v>
      </c>
      <c r="AT146" s="185">
        <v>10.3965</v>
      </c>
      <c r="AU146" s="318">
        <v>0</v>
      </c>
      <c r="AV146" s="223">
        <v>0</v>
      </c>
      <c r="AW146" s="318">
        <v>0</v>
      </c>
      <c r="AX146" s="223">
        <v>0</v>
      </c>
      <c r="AY146" s="318">
        <f t="shared" si="76"/>
        <v>0</v>
      </c>
      <c r="AZ146" s="223"/>
      <c r="BA146" s="318"/>
      <c r="BB146" s="519">
        <f t="shared" si="77"/>
        <v>0</v>
      </c>
      <c r="BC146" s="518"/>
      <c r="BD146" s="518"/>
      <c r="BE146" s="518"/>
      <c r="BF146" s="518"/>
      <c r="BG146" s="518"/>
      <c r="BH146" s="518"/>
      <c r="BI146" s="518"/>
      <c r="BJ146" s="518"/>
      <c r="BK146" s="518"/>
      <c r="BL146" s="518"/>
      <c r="BM146" s="518"/>
      <c r="BN146" s="518"/>
      <c r="BO146" s="367">
        <f t="shared" si="84"/>
        <v>0</v>
      </c>
      <c r="BP146" s="421"/>
      <c r="BQ146" s="422"/>
      <c r="BR146" s="423">
        <f>IFERROR(IF(LEFT($A146,3)="Lcp",SUMIFS('BASE-LCP'!$K:$K,'BASE-LCP'!$A:$A,Capex!$A137,'BASE-LCP'!$B:$B,"janeiro")/1000,IF(LEFT($A146,3)="icp",SUMIFS('BASE-ICP'!$K:$K,'BASE-ICP'!$A:$A,Capex!$A137,'BASE-ICP'!$B:$B,"janeiro")/1000,"")),"")</f>
        <v>0</v>
      </c>
      <c r="BS146" s="427">
        <v>0</v>
      </c>
      <c r="BT146" s="372">
        <v>0</v>
      </c>
      <c r="BU146" s="422"/>
      <c r="BV146" s="423">
        <f>IFERROR(IF(LEFT($A146,3)="Lcp",SUMIFS('BASE-LCP'!$K:$K,'BASE-LCP'!$A:$A,Capex!$A137,'BASE-LCP'!$B:$B,"fevereiro")/1000,IF(LEFT($A146,3)="icp",SUMIFS('BASE-ICP'!$K:$K,'BASE-ICP'!$A:$A,Capex!$A137,'BASE-ICP'!$B:$B,"fevereiro")/1000,"")),"")</f>
        <v>0</v>
      </c>
      <c r="BW146" s="427">
        <v>0</v>
      </c>
      <c r="BX146" s="372">
        <v>0</v>
      </c>
      <c r="BY146" s="419"/>
      <c r="BZ146" s="423">
        <f>IFERROR(IF(LEFT($A146,3)="Lcp",SUMIFS('BASE-LCP'!$K:$K,'BASE-LCP'!$A:$A,Capex!$A137,'BASE-LCP'!$B:$B,"março")/1000,IF(LEFT($A146,3)="icp",SUMIFS('BASE-ICP'!$K:$K,'BASE-ICP'!$A:$A,Capex!$A137,'BASE-ICP'!$B:$B,"março")/1000,"")),"")</f>
        <v>0</v>
      </c>
      <c r="CA146" s="427">
        <v>0</v>
      </c>
      <c r="CB146" s="372">
        <v>0</v>
      </c>
      <c r="CC146" s="422"/>
      <c r="CD146" s="423">
        <f>IFERROR(IF(LEFT($A146,3)="Lcp",SUMIFS('BASE-LCP'!$K:$K,'BASE-LCP'!$A:$A,Capex!$A137,'BASE-LCP'!$B:$B,"abril")/1000,IF(LEFT($A146,3)="icp",SUMIFS('BASE-ICP'!$K:$K,'BASE-ICP'!$A:$A,Capex!$A137,'BASE-ICP'!$B:$B,"abril")/1000,"")),"")</f>
        <v>0</v>
      </c>
      <c r="CE146" s="427">
        <v>0</v>
      </c>
      <c r="CF146" s="372">
        <v>0</v>
      </c>
      <c r="CG146" s="419"/>
      <c r="CH146" s="423">
        <v>0</v>
      </c>
      <c r="CI146" s="427">
        <v>0</v>
      </c>
      <c r="CJ146" s="372">
        <v>0</v>
      </c>
      <c r="CK146" s="419"/>
      <c r="CL146" s="423">
        <f>IFERROR(IF(LEFT($A146,3)="Lcp",SUMIFS('BASE-LCP'!$K:$K,'BASE-LCP'!$A:$A,Capex!$A137,'BASE-LCP'!$B:$B,"junho")/1000,IF(LEFT($A146,3)="icp",SUMIFS('BASE-ICP'!$K:$K,'BASE-ICP'!$A:$A,Capex!$A137,'BASE-ICP'!$B:$B,"junho")/1000,"")),"")</f>
        <v>0</v>
      </c>
      <c r="CM146" s="427">
        <v>0</v>
      </c>
      <c r="CN146" s="372"/>
      <c r="CO146" s="419"/>
      <c r="CP146" s="423">
        <f>IFERROR(IF(LEFT($A146,3)="Lcp",SUMIFS('BASE-LCP'!$K:$K,'BASE-LCP'!$A:$A,Capex!$A137,'BASE-LCP'!$B:$B,"julho")/1000,IF(LEFT($A146,3)="icp",SUMIFS('BASE-ICP'!$K:$K,'BASE-ICP'!$A:$A,Capex!$A137,'BASE-ICP'!$B:$B,"julho")/1000,"")),"")</f>
        <v>0</v>
      </c>
      <c r="CQ146" s="427">
        <v>0</v>
      </c>
      <c r="CR146" s="372"/>
      <c r="CS146" s="419"/>
      <c r="CT146" s="423">
        <f>IFERROR(IF(LEFT($A146,3)="Lcp",SUMIFS('BASE-LCP'!$K:$K,'BASE-LCP'!$A:$A,Capex!$A137,'BASE-LCP'!$B:$B,"agosto")/1000,IF(LEFT($A146,3)="icp",SUMIFS('BASE-ICP'!$K:$K,'BASE-ICP'!$A:$A,Capex!$A137,'BASE-ICP'!$B:$B,"agosto")/1000,"")),"")</f>
        <v>0</v>
      </c>
      <c r="CU146" s="427">
        <v>0</v>
      </c>
      <c r="CV146" s="372"/>
      <c r="CW146" s="419"/>
      <c r="CX146" s="423">
        <f>IFERROR(IF(LEFT($A146,3)="Lcp",SUMIFS('BASE-LCP'!$K:$K,'BASE-LCP'!$A:$A,Capex!$A137,'BASE-LCP'!$B:$B,"setembro")/1000,IF(LEFT($A146,3)="icp",SUMIFS('BASE-ICP'!$K:$K,'BASE-ICP'!$A:$A,Capex!$A137,'BASE-ICP'!$B:$B,"setembro")/1000,"")),"")</f>
        <v>0</v>
      </c>
      <c r="CY146" s="427">
        <v>0</v>
      </c>
      <c r="CZ146" s="372"/>
      <c r="DA146" s="419"/>
      <c r="DB146" s="423">
        <f>IFERROR(IF(LEFT($A146,3)="Lcp",SUMIFS('BASE-LCP'!$K:$K,'BASE-LCP'!$A:$A,Capex!$A137,'BASE-LCP'!$B:$B,"outubro")/1000,IF(LEFT($A146,3)="icp",SUMIFS('BASE-ICP'!$K:$K,'BASE-ICP'!$A:$A,Capex!$A137,'BASE-ICP'!$B:$B,"outubro")/1000,"")),"")</f>
        <v>0</v>
      </c>
      <c r="DC146" s="427">
        <v>0</v>
      </c>
      <c r="DD146" s="372"/>
      <c r="DE146" s="419"/>
      <c r="DF146" s="423">
        <f>IFERROR(IF(LEFT($A146,3)="Lcp",SUMIFS('BASE-LCP'!$K:$K,'BASE-LCP'!$A:$A,Capex!$A137,'BASE-LCP'!$B:$B,"novembro")/1000,IF(LEFT($A146,3)="icp",SUMIFS('BASE-ICP'!$K:$K,'BASE-ICP'!$A:$A,Capex!$A137,'BASE-ICP'!$B:$B,"novembro")/1000,"")),"")</f>
        <v>0</v>
      </c>
      <c r="DG146" s="427">
        <v>0</v>
      </c>
      <c r="DH146" s="372"/>
      <c r="DI146" s="419"/>
      <c r="DJ146" s="423">
        <f>IFERROR(IF(LEFT($A146,3)="Lcp",SUMIFS('BASE-LCP'!$K:$K,'BASE-LCP'!$A:$A,Capex!$A137,'BASE-LCP'!$B:$B,"dezembro")/1000,IF(LEFT($A146,3)="icp",SUMIFS('BASE-ICP'!$K:$K,'BASE-ICP'!$A:$A,Capex!$A137,'BASE-ICP'!$B:$B,"dezembro")/1000,"")),"")</f>
        <v>0</v>
      </c>
      <c r="DK146" s="427">
        <v>0</v>
      </c>
      <c r="DL146" s="452">
        <f t="shared" si="85"/>
        <v>0</v>
      </c>
      <c r="DM146" s="374"/>
      <c r="DN146" s="374"/>
      <c r="DO146" s="374"/>
      <c r="DP146" s="374"/>
      <c r="DQ146" s="374"/>
      <c r="DR146" s="374"/>
      <c r="DS146" s="374"/>
      <c r="DT146" s="374"/>
      <c r="DU146" s="374"/>
      <c r="DV146" s="374"/>
      <c r="DW146" s="374"/>
      <c r="DX146" s="374"/>
      <c r="DY146" s="450"/>
      <c r="DZ146" s="374">
        <f t="shared" si="86"/>
        <v>0</v>
      </c>
      <c r="EA146" s="216">
        <f t="shared" si="87"/>
        <v>0</v>
      </c>
      <c r="EB146" s="320">
        <f t="shared" si="88"/>
        <v>0</v>
      </c>
      <c r="EC146" s="241">
        <f t="shared" si="89"/>
        <v>0</v>
      </c>
      <c r="ED146" s="241">
        <f t="shared" si="90"/>
        <v>0</v>
      </c>
      <c r="EE146" s="241">
        <f t="shared" si="91"/>
        <v>0</v>
      </c>
      <c r="EF146" s="241">
        <f t="shared" si="92"/>
        <v>0</v>
      </c>
      <c r="EG146" s="346">
        <f t="shared" si="93"/>
        <v>0</v>
      </c>
      <c r="EH146" s="445">
        <f t="shared" si="94"/>
        <v>0</v>
      </c>
      <c r="EI146" s="447">
        <f t="shared" si="95"/>
        <v>0</v>
      </c>
      <c r="EJ146" s="364">
        <f t="shared" si="96"/>
        <v>0</v>
      </c>
      <c r="EK146" s="365">
        <f t="shared" si="97"/>
        <v>0</v>
      </c>
      <c r="EL146" s="529">
        <f t="shared" si="98"/>
        <v>0</v>
      </c>
      <c r="EM146" s="530">
        <v>0</v>
      </c>
      <c r="EN146" s="530">
        <v>0</v>
      </c>
      <c r="EO146" s="530">
        <v>0</v>
      </c>
      <c r="EP146" s="530">
        <v>0</v>
      </c>
      <c r="EQ146" s="530">
        <v>0</v>
      </c>
      <c r="ER146" s="530">
        <v>0</v>
      </c>
      <c r="ES146" s="530">
        <v>0</v>
      </c>
      <c r="ET146" s="530">
        <v>0</v>
      </c>
      <c r="EU146" s="530">
        <v>0</v>
      </c>
      <c r="EV146" s="530">
        <v>0</v>
      </c>
      <c r="EW146" s="530">
        <v>0</v>
      </c>
      <c r="EX146" s="530">
        <v>0</v>
      </c>
      <c r="EY146" s="530">
        <f t="shared" si="99"/>
        <v>0</v>
      </c>
      <c r="EZ146" s="530">
        <f t="shared" si="100"/>
        <v>0</v>
      </c>
      <c r="FA146" s="530">
        <f t="shared" si="101"/>
        <v>0</v>
      </c>
      <c r="FB146" s="530">
        <f t="shared" si="102"/>
        <v>0</v>
      </c>
      <c r="FC146" s="384">
        <f>IFERROR(VLOOKUP(Capex!A137,BASE_558!D:R,8,FALSE)/1000,"")</f>
        <v>26.2</v>
      </c>
      <c r="FD146" s="328">
        <f>IFERROR(VLOOKUP(Capex!A137,BASE_558!D:R,9,)/1000,"")</f>
        <v>16.689490000000003</v>
      </c>
      <c r="FE146" s="328">
        <f>IFERROR(IF(LEFT(A146,3)="LCP",(VLOOKUP(Capex!A137,BASE_558!D:R,10,)/1000),SUMIFS('BASE ICP_PO_SC'!F:F,'BASE ICP_PO_SC'!A:A,Capex!A137,'BASE ICP_PO_SC'!E:E,"&lt;&gt;")/1000),"")</f>
        <v>0</v>
      </c>
      <c r="FF146" s="328">
        <f>IFERROR(IF(LEFT(A146,3)="LCP",(VLOOKUP(Capex!A137,BASE_558!D:R,11,)/1000),SUMIFS('BASE ICP_PO_SC'!F:F,'BASE ICP_PO_SC'!A:A,Capex!A137,'BASE ICP_PO_SC'!E:E,"")/1000),"")</f>
        <v>0</v>
      </c>
      <c r="FG146" s="328">
        <f>IFERROR(VLOOKUP(A146,BASE_558!D:R,13,FALSE)/1000,"")</f>
        <v>11.29926</v>
      </c>
      <c r="FH146" s="328">
        <f>IFERROR(VLOOKUP(A146,BASE_558!D:R,15,FALSE)/1000,"")</f>
        <v>0.20074</v>
      </c>
      <c r="FI146" s="547">
        <f t="shared" si="103"/>
        <v>0</v>
      </c>
      <c r="FJ146" s="547">
        <f t="shared" si="104"/>
        <v>0</v>
      </c>
      <c r="FK146" s="540">
        <f t="shared" si="105"/>
        <v>0</v>
      </c>
    </row>
    <row r="147" spans="1:167" s="23" customFormat="1" ht="24" customHeight="1">
      <c r="A147" s="84" t="s">
        <v>173</v>
      </c>
      <c r="B147" s="404"/>
      <c r="C147" s="404"/>
      <c r="D147" s="338" t="s">
        <v>894</v>
      </c>
      <c r="E147" s="378">
        <v>1677555</v>
      </c>
      <c r="F147" s="5"/>
      <c r="G147" s="310" t="s">
        <v>9</v>
      </c>
      <c r="H147" s="338"/>
      <c r="I147" s="338"/>
      <c r="J147" s="338">
        <v>2019</v>
      </c>
      <c r="K147" s="316">
        <v>43635</v>
      </c>
      <c r="L147" s="317">
        <v>44343</v>
      </c>
      <c r="M147" s="409"/>
      <c r="N147" s="317">
        <f t="shared" si="74"/>
        <v>44547</v>
      </c>
      <c r="O147" s="317">
        <f t="shared" si="75"/>
        <v>44912</v>
      </c>
      <c r="P147" s="418" t="str">
        <f t="shared" si="107"/>
        <v>CRTD</v>
      </c>
      <c r="Q147" s="418" t="str">
        <f t="shared" si="107"/>
        <v>CRTD</v>
      </c>
      <c r="R147" s="418" t="str">
        <f t="shared" si="107"/>
        <v>CRTD</v>
      </c>
      <c r="S147" s="418" t="str">
        <f t="shared" si="107"/>
        <v>CRTD</v>
      </c>
      <c r="T147" s="418" t="str">
        <f t="shared" si="107"/>
        <v>CRTD</v>
      </c>
      <c r="U147" s="418" t="str">
        <f t="shared" si="107"/>
        <v>CRTD</v>
      </c>
      <c r="V147" s="418" t="str">
        <f t="shared" si="107"/>
        <v>CRTD</v>
      </c>
      <c r="W147" s="418" t="str">
        <f t="shared" si="107"/>
        <v>CRTD</v>
      </c>
      <c r="X147" s="418" t="str">
        <f t="shared" si="107"/>
        <v>CRTD</v>
      </c>
      <c r="Y147" s="418" t="str">
        <f t="shared" si="107"/>
        <v>CRTD</v>
      </c>
      <c r="Z147" s="418" t="str">
        <f t="shared" si="107"/>
        <v>CRTD</v>
      </c>
      <c r="AA147" s="418" t="str">
        <f t="shared" si="107"/>
        <v>CRTD</v>
      </c>
      <c r="AB147" s="317"/>
      <c r="AC147" s="309" t="s">
        <v>3932</v>
      </c>
      <c r="AD147" s="311" t="s">
        <v>222</v>
      </c>
      <c r="AE147" s="311" t="s">
        <v>965</v>
      </c>
      <c r="AF147" s="310" t="s">
        <v>6985</v>
      </c>
      <c r="AG147" s="310" t="s">
        <v>9083</v>
      </c>
      <c r="AH147" s="310" t="s">
        <v>174</v>
      </c>
      <c r="AI147" s="381" t="s">
        <v>316</v>
      </c>
      <c r="AJ147" s="6" t="s">
        <v>218</v>
      </c>
      <c r="AK147" s="6" t="str">
        <f t="shared" si="83"/>
        <v>IGUAL</v>
      </c>
      <c r="AL147" s="151" t="str">
        <f>IFERROR(IF(LEFT(A147,3)="LCP",VLOOKUP(A147,STATUS_SAP_LCP!B:C,2,FALSE),VLOOKUP(A147,STATUS_SAP_ICP!B:C,2,FALSE)),"NO BUDGET")</f>
        <v>CLSD BUDG AUC  AVAC  //  APPR BREL EXPL</v>
      </c>
      <c r="AM147" s="6" t="str">
        <f t="shared" si="82"/>
        <v>CLSD</v>
      </c>
      <c r="AN147" s="282" t="s">
        <v>9093</v>
      </c>
      <c r="AO147" s="493">
        <v>1</v>
      </c>
      <c r="AP147" s="499" t="s">
        <v>9607</v>
      </c>
      <c r="AQ147" s="465">
        <v>44343</v>
      </c>
      <c r="AR147" s="460"/>
      <c r="AS147" s="56">
        <v>23.122390000000003</v>
      </c>
      <c r="AT147" s="185">
        <v>26.880130000000001</v>
      </c>
      <c r="AU147" s="318">
        <v>4.6605600000000003</v>
      </c>
      <c r="AV147" s="223">
        <v>0</v>
      </c>
      <c r="AW147" s="318">
        <v>0</v>
      </c>
      <c r="AX147" s="223">
        <v>0</v>
      </c>
      <c r="AY147" s="318">
        <f t="shared" si="76"/>
        <v>0</v>
      </c>
      <c r="AZ147" s="223"/>
      <c r="BA147" s="318"/>
      <c r="BB147" s="519">
        <f t="shared" si="77"/>
        <v>0</v>
      </c>
      <c r="BC147" s="518"/>
      <c r="BD147" s="518"/>
      <c r="BE147" s="518"/>
      <c r="BF147" s="518"/>
      <c r="BG147" s="518"/>
      <c r="BH147" s="518"/>
      <c r="BI147" s="518"/>
      <c r="BJ147" s="518"/>
      <c r="BK147" s="518"/>
      <c r="BL147" s="518"/>
      <c r="BM147" s="518"/>
      <c r="BN147" s="518"/>
      <c r="BO147" s="367">
        <f t="shared" si="84"/>
        <v>0</v>
      </c>
      <c r="BP147" s="421"/>
      <c r="BQ147" s="422"/>
      <c r="BR147" s="423">
        <f>IFERROR(IF(LEFT($A147,3)="Lcp",SUMIFS('BASE-LCP'!$K:$K,'BASE-LCP'!$A:$A,Capex!$A138,'BASE-LCP'!$B:$B,"janeiro")/1000,IF(LEFT($A147,3)="icp",SUMIFS('BASE-ICP'!$K:$K,'BASE-ICP'!$A:$A,Capex!$A138,'BASE-ICP'!$B:$B,"janeiro")/1000,"")),"")</f>
        <v>0</v>
      </c>
      <c r="BS147" s="427">
        <v>0</v>
      </c>
      <c r="BT147" s="372">
        <v>0</v>
      </c>
      <c r="BU147" s="422"/>
      <c r="BV147" s="423">
        <f>IFERROR(IF(LEFT($A147,3)="Lcp",SUMIFS('BASE-LCP'!$K:$K,'BASE-LCP'!$A:$A,Capex!$A138,'BASE-LCP'!$B:$B,"fevereiro")/1000,IF(LEFT($A147,3)="icp",SUMIFS('BASE-ICP'!$K:$K,'BASE-ICP'!$A:$A,Capex!$A138,'BASE-ICP'!$B:$B,"fevereiro")/1000,"")),"")</f>
        <v>0</v>
      </c>
      <c r="BW147" s="427">
        <v>0</v>
      </c>
      <c r="BX147" s="372">
        <v>0</v>
      </c>
      <c r="BY147" s="419"/>
      <c r="BZ147" s="423">
        <f>IFERROR(IF(LEFT($A147,3)="Lcp",SUMIFS('BASE-LCP'!$K:$K,'BASE-LCP'!$A:$A,Capex!$A138,'BASE-LCP'!$B:$B,"março")/1000,IF(LEFT($A147,3)="icp",SUMIFS('BASE-ICP'!$K:$K,'BASE-ICP'!$A:$A,Capex!$A138,'BASE-ICP'!$B:$B,"março")/1000,"")),"")</f>
        <v>0</v>
      </c>
      <c r="CA147" s="427">
        <v>0</v>
      </c>
      <c r="CB147" s="372">
        <v>0</v>
      </c>
      <c r="CC147" s="422"/>
      <c r="CD147" s="423">
        <f>IFERROR(IF(LEFT($A147,3)="Lcp",SUMIFS('BASE-LCP'!$K:$K,'BASE-LCP'!$A:$A,Capex!$A138,'BASE-LCP'!$B:$B,"abril")/1000,IF(LEFT($A147,3)="icp",SUMIFS('BASE-ICP'!$K:$K,'BASE-ICP'!$A:$A,Capex!$A138,'BASE-ICP'!$B:$B,"abril")/1000,"")),"")</f>
        <v>0</v>
      </c>
      <c r="CE147" s="427">
        <v>0</v>
      </c>
      <c r="CF147" s="372">
        <v>0</v>
      </c>
      <c r="CG147" s="419"/>
      <c r="CH147" s="423">
        <v>0</v>
      </c>
      <c r="CI147" s="427">
        <v>0</v>
      </c>
      <c r="CJ147" s="372">
        <v>0</v>
      </c>
      <c r="CK147" s="419"/>
      <c r="CL147" s="423">
        <f>IFERROR(IF(LEFT($A147,3)="Lcp",SUMIFS('BASE-LCP'!$K:$K,'BASE-LCP'!$A:$A,Capex!$A138,'BASE-LCP'!$B:$B,"junho")/1000,IF(LEFT($A147,3)="icp",SUMIFS('BASE-ICP'!$K:$K,'BASE-ICP'!$A:$A,Capex!$A138,'BASE-ICP'!$B:$B,"junho")/1000,"")),"")</f>
        <v>0</v>
      </c>
      <c r="CM147" s="427">
        <v>0</v>
      </c>
      <c r="CN147" s="372"/>
      <c r="CO147" s="419"/>
      <c r="CP147" s="423">
        <f>IFERROR(IF(LEFT($A147,3)="Lcp",SUMIFS('BASE-LCP'!$K:$K,'BASE-LCP'!$A:$A,Capex!$A138,'BASE-LCP'!$B:$B,"julho")/1000,IF(LEFT($A147,3)="icp",SUMIFS('BASE-ICP'!$K:$K,'BASE-ICP'!$A:$A,Capex!$A138,'BASE-ICP'!$B:$B,"julho")/1000,"")),"")</f>
        <v>0</v>
      </c>
      <c r="CQ147" s="427">
        <v>0</v>
      </c>
      <c r="CR147" s="372"/>
      <c r="CS147" s="419"/>
      <c r="CT147" s="423">
        <f>IFERROR(IF(LEFT($A147,3)="Lcp",SUMIFS('BASE-LCP'!$K:$K,'BASE-LCP'!$A:$A,Capex!$A138,'BASE-LCP'!$B:$B,"agosto")/1000,IF(LEFT($A147,3)="icp",SUMIFS('BASE-ICP'!$K:$K,'BASE-ICP'!$A:$A,Capex!$A138,'BASE-ICP'!$B:$B,"agosto")/1000,"")),"")</f>
        <v>0</v>
      </c>
      <c r="CU147" s="427">
        <v>0</v>
      </c>
      <c r="CV147" s="372"/>
      <c r="CW147" s="419"/>
      <c r="CX147" s="423">
        <f>IFERROR(IF(LEFT($A147,3)="Lcp",SUMIFS('BASE-LCP'!$K:$K,'BASE-LCP'!$A:$A,Capex!$A138,'BASE-LCP'!$B:$B,"setembro")/1000,IF(LEFT($A147,3)="icp",SUMIFS('BASE-ICP'!$K:$K,'BASE-ICP'!$A:$A,Capex!$A138,'BASE-ICP'!$B:$B,"setembro")/1000,"")),"")</f>
        <v>0</v>
      </c>
      <c r="CY147" s="427">
        <v>0</v>
      </c>
      <c r="CZ147" s="372"/>
      <c r="DA147" s="419"/>
      <c r="DB147" s="423">
        <f>IFERROR(IF(LEFT($A147,3)="Lcp",SUMIFS('BASE-LCP'!$K:$K,'BASE-LCP'!$A:$A,Capex!$A138,'BASE-LCP'!$B:$B,"outubro")/1000,IF(LEFT($A147,3)="icp",SUMIFS('BASE-ICP'!$K:$K,'BASE-ICP'!$A:$A,Capex!$A138,'BASE-ICP'!$B:$B,"outubro")/1000,"")),"")</f>
        <v>0</v>
      </c>
      <c r="DC147" s="427">
        <v>0</v>
      </c>
      <c r="DD147" s="372"/>
      <c r="DE147" s="419"/>
      <c r="DF147" s="423">
        <f>IFERROR(IF(LEFT($A147,3)="Lcp",SUMIFS('BASE-LCP'!$K:$K,'BASE-LCP'!$A:$A,Capex!$A138,'BASE-LCP'!$B:$B,"novembro")/1000,IF(LEFT($A147,3)="icp",SUMIFS('BASE-ICP'!$K:$K,'BASE-ICP'!$A:$A,Capex!$A138,'BASE-ICP'!$B:$B,"novembro")/1000,"")),"")</f>
        <v>0</v>
      </c>
      <c r="DG147" s="427">
        <v>0</v>
      </c>
      <c r="DH147" s="372"/>
      <c r="DI147" s="419"/>
      <c r="DJ147" s="423">
        <f>IFERROR(IF(LEFT($A147,3)="Lcp",SUMIFS('BASE-LCP'!$K:$K,'BASE-LCP'!$A:$A,Capex!$A138,'BASE-LCP'!$B:$B,"dezembro")/1000,IF(LEFT($A147,3)="icp",SUMIFS('BASE-ICP'!$K:$K,'BASE-ICP'!$A:$A,Capex!$A138,'BASE-ICP'!$B:$B,"dezembro")/1000,"")),"")</f>
        <v>0</v>
      </c>
      <c r="DK147" s="427">
        <v>0</v>
      </c>
      <c r="DL147" s="452">
        <f t="shared" si="85"/>
        <v>0</v>
      </c>
      <c r="DM147" s="374"/>
      <c r="DN147" s="374"/>
      <c r="DO147" s="374"/>
      <c r="DP147" s="374"/>
      <c r="DQ147" s="374"/>
      <c r="DR147" s="374"/>
      <c r="DS147" s="374"/>
      <c r="DT147" s="374"/>
      <c r="DU147" s="374"/>
      <c r="DV147" s="374"/>
      <c r="DW147" s="374"/>
      <c r="DX147" s="374"/>
      <c r="DY147" s="450"/>
      <c r="DZ147" s="374">
        <f t="shared" si="86"/>
        <v>0</v>
      </c>
      <c r="EA147" s="216">
        <f t="shared" si="87"/>
        <v>0</v>
      </c>
      <c r="EB147" s="320">
        <f t="shared" si="88"/>
        <v>0</v>
      </c>
      <c r="EC147" s="241">
        <f t="shared" si="89"/>
        <v>0</v>
      </c>
      <c r="ED147" s="241">
        <f t="shared" si="90"/>
        <v>0</v>
      </c>
      <c r="EE147" s="241">
        <f t="shared" si="91"/>
        <v>0</v>
      </c>
      <c r="EF147" s="241">
        <f t="shared" si="92"/>
        <v>0</v>
      </c>
      <c r="EG147" s="346">
        <f t="shared" si="93"/>
        <v>0</v>
      </c>
      <c r="EH147" s="445">
        <f t="shared" si="94"/>
        <v>0</v>
      </c>
      <c r="EI147" s="447">
        <f t="shared" si="95"/>
        <v>0</v>
      </c>
      <c r="EJ147" s="364">
        <f t="shared" si="96"/>
        <v>0</v>
      </c>
      <c r="EK147" s="365">
        <f t="shared" si="97"/>
        <v>0</v>
      </c>
      <c r="EL147" s="529">
        <f t="shared" si="98"/>
        <v>0</v>
      </c>
      <c r="EM147" s="530">
        <v>0</v>
      </c>
      <c r="EN147" s="530">
        <v>0</v>
      </c>
      <c r="EO147" s="530">
        <v>0</v>
      </c>
      <c r="EP147" s="530">
        <v>0</v>
      </c>
      <c r="EQ147" s="530">
        <v>0</v>
      </c>
      <c r="ER147" s="530">
        <v>0</v>
      </c>
      <c r="ES147" s="530">
        <v>0</v>
      </c>
      <c r="ET147" s="530">
        <v>0</v>
      </c>
      <c r="EU147" s="530">
        <v>0</v>
      </c>
      <c r="EV147" s="530">
        <v>0</v>
      </c>
      <c r="EW147" s="530">
        <v>0</v>
      </c>
      <c r="EX147" s="530">
        <v>0</v>
      </c>
      <c r="EY147" s="530">
        <f t="shared" si="99"/>
        <v>0</v>
      </c>
      <c r="EZ147" s="530">
        <f t="shared" si="100"/>
        <v>0</v>
      </c>
      <c r="FA147" s="530">
        <f t="shared" si="101"/>
        <v>0</v>
      </c>
      <c r="FB147" s="530">
        <f t="shared" si="102"/>
        <v>0</v>
      </c>
      <c r="FC147" s="384">
        <f>IFERROR(VLOOKUP(Capex!A138,BASE_558!D:R,8,FALSE)/1000,"")</f>
        <v>75</v>
      </c>
      <c r="FD147" s="328">
        <f>IFERROR(VLOOKUP(Capex!A138,BASE_558!D:R,9,)/1000,"")</f>
        <v>63.970759999999999</v>
      </c>
      <c r="FE147" s="328">
        <f>IFERROR(IF(LEFT(A147,3)="LCP",(VLOOKUP(Capex!A138,BASE_558!D:R,10,)/1000),SUMIFS('BASE ICP_PO_SC'!F:F,'BASE ICP_PO_SC'!A:A,Capex!A138,'BASE ICP_PO_SC'!E:E,"&lt;&gt;")/1000),"")</f>
        <v>0</v>
      </c>
      <c r="FF147" s="328">
        <f>IFERROR(IF(LEFT(A147,3)="LCP",(VLOOKUP(Capex!A138,BASE_558!D:R,11,)/1000),SUMIFS('BASE ICP_PO_SC'!F:F,'BASE ICP_PO_SC'!A:A,Capex!A138,'BASE ICP_PO_SC'!E:E,"")/1000),"")</f>
        <v>0</v>
      </c>
      <c r="FG147" s="328">
        <f>IFERROR(VLOOKUP(A147,BASE_558!D:R,13,FALSE)/1000,"")</f>
        <v>54.663080000000001</v>
      </c>
      <c r="FH147" s="328">
        <f>IFERROR(VLOOKUP(A147,BASE_558!D:R,15,FALSE)/1000,"")</f>
        <v>12.836919999999999</v>
      </c>
      <c r="FI147" s="547">
        <f t="shared" si="103"/>
        <v>0</v>
      </c>
      <c r="FJ147" s="547">
        <f t="shared" si="104"/>
        <v>0</v>
      </c>
      <c r="FK147" s="540">
        <f t="shared" si="105"/>
        <v>0</v>
      </c>
    </row>
    <row r="148" spans="1:167" s="23" customFormat="1" ht="24" customHeight="1">
      <c r="A148" s="84" t="s">
        <v>171</v>
      </c>
      <c r="B148" s="404"/>
      <c r="C148" s="404"/>
      <c r="D148" s="338" t="s">
        <v>2231</v>
      </c>
      <c r="E148" s="378">
        <v>1670990</v>
      </c>
      <c r="F148" s="5"/>
      <c r="G148" s="310" t="s">
        <v>9</v>
      </c>
      <c r="H148" s="338"/>
      <c r="I148" s="338"/>
      <c r="J148" s="338">
        <v>2019</v>
      </c>
      <c r="K148" s="316">
        <v>43635</v>
      </c>
      <c r="L148" s="317">
        <v>43976</v>
      </c>
      <c r="M148" s="409"/>
      <c r="N148" s="317">
        <f t="shared" si="74"/>
        <v>44547</v>
      </c>
      <c r="O148" s="317">
        <f t="shared" si="75"/>
        <v>44912</v>
      </c>
      <c r="P148" s="418" t="str">
        <f t="shared" si="107"/>
        <v>CRTD</v>
      </c>
      <c r="Q148" s="418" t="str">
        <f t="shared" si="107"/>
        <v>CRTD</v>
      </c>
      <c r="R148" s="418" t="str">
        <f t="shared" si="107"/>
        <v>CRTD</v>
      </c>
      <c r="S148" s="418" t="str">
        <f t="shared" si="107"/>
        <v>CRTD</v>
      </c>
      <c r="T148" s="418" t="str">
        <f t="shared" si="107"/>
        <v>CRTD</v>
      </c>
      <c r="U148" s="418" t="str">
        <f t="shared" si="107"/>
        <v>CRTD</v>
      </c>
      <c r="V148" s="418" t="str">
        <f t="shared" si="107"/>
        <v>CRTD</v>
      </c>
      <c r="W148" s="418" t="str">
        <f t="shared" si="107"/>
        <v>CRTD</v>
      </c>
      <c r="X148" s="418" t="str">
        <f t="shared" si="107"/>
        <v>CRTD</v>
      </c>
      <c r="Y148" s="418" t="str">
        <f t="shared" si="107"/>
        <v>CRTD</v>
      </c>
      <c r="Z148" s="418" t="str">
        <f t="shared" si="107"/>
        <v>CRTD</v>
      </c>
      <c r="AA148" s="418" t="str">
        <f t="shared" si="107"/>
        <v>CRTD</v>
      </c>
      <c r="AB148" s="317"/>
      <c r="AC148" s="309" t="s">
        <v>3932</v>
      </c>
      <c r="AD148" s="311" t="s">
        <v>223</v>
      </c>
      <c r="AE148" s="311"/>
      <c r="AF148" s="310" t="s">
        <v>6985</v>
      </c>
      <c r="AG148" s="310" t="s">
        <v>9083</v>
      </c>
      <c r="AH148" s="310" t="s">
        <v>172</v>
      </c>
      <c r="AI148" s="381" t="s">
        <v>2255</v>
      </c>
      <c r="AJ148" s="6" t="s">
        <v>218</v>
      </c>
      <c r="AK148" s="6" t="str">
        <f t="shared" si="83"/>
        <v>IGUAL</v>
      </c>
      <c r="AL148" s="151" t="str">
        <f>IFERROR(IF(LEFT(A148,3)="LCP",VLOOKUP(A148,STATUS_SAP_LCP!B:C,2,FALSE),VLOOKUP(A148,STATUS_SAP_ICP!B:C,2,FALSE)),"NO BUDGET")</f>
        <v>CLSD BUDG AUC  AVAC  //  APPR BREL EXPL</v>
      </c>
      <c r="AM148" s="6" t="str">
        <f t="shared" si="82"/>
        <v>CLSD</v>
      </c>
      <c r="AN148" s="282" t="s">
        <v>9092</v>
      </c>
      <c r="AO148" s="493">
        <v>1</v>
      </c>
      <c r="AP148" s="499" t="s">
        <v>9607</v>
      </c>
      <c r="AQ148" s="465">
        <v>43976</v>
      </c>
      <c r="AR148" s="460"/>
      <c r="AS148" s="56">
        <v>59.200770000000006</v>
      </c>
      <c r="AT148" s="185">
        <v>10.644819999999999</v>
      </c>
      <c r="AU148" s="318">
        <v>0</v>
      </c>
      <c r="AV148" s="223">
        <v>0</v>
      </c>
      <c r="AW148" s="318">
        <v>0</v>
      </c>
      <c r="AX148" s="223">
        <v>0</v>
      </c>
      <c r="AY148" s="318">
        <f t="shared" si="76"/>
        <v>0</v>
      </c>
      <c r="AZ148" s="223"/>
      <c r="BA148" s="318"/>
      <c r="BB148" s="519">
        <f t="shared" si="77"/>
        <v>0</v>
      </c>
      <c r="BC148" s="518"/>
      <c r="BD148" s="518"/>
      <c r="BE148" s="518"/>
      <c r="BF148" s="518"/>
      <c r="BG148" s="518"/>
      <c r="BH148" s="518"/>
      <c r="BI148" s="518"/>
      <c r="BJ148" s="518"/>
      <c r="BK148" s="518"/>
      <c r="BL148" s="518"/>
      <c r="BM148" s="518"/>
      <c r="BN148" s="518"/>
      <c r="BO148" s="367">
        <f t="shared" si="84"/>
        <v>0</v>
      </c>
      <c r="BP148" s="421"/>
      <c r="BQ148" s="422"/>
      <c r="BR148" s="423">
        <f>IFERROR(IF(LEFT($A148,3)="Lcp",SUMIFS('BASE-LCP'!$K:$K,'BASE-LCP'!$A:$A,Capex!$A139,'BASE-LCP'!$B:$B,"janeiro")/1000,IF(LEFT($A148,3)="icp",SUMIFS('BASE-ICP'!$K:$K,'BASE-ICP'!$A:$A,Capex!$A139,'BASE-ICP'!$B:$B,"janeiro")/1000,"")),"")</f>
        <v>0</v>
      </c>
      <c r="BS148" s="427">
        <v>0</v>
      </c>
      <c r="BT148" s="372">
        <v>0</v>
      </c>
      <c r="BU148" s="422"/>
      <c r="BV148" s="423">
        <f>IFERROR(IF(LEFT($A148,3)="Lcp",SUMIFS('BASE-LCP'!$K:$K,'BASE-LCP'!$A:$A,Capex!$A139,'BASE-LCP'!$B:$B,"fevereiro")/1000,IF(LEFT($A148,3)="icp",SUMIFS('BASE-ICP'!$K:$K,'BASE-ICP'!$A:$A,Capex!$A139,'BASE-ICP'!$B:$B,"fevereiro")/1000,"")),"")</f>
        <v>0</v>
      </c>
      <c r="BW148" s="427">
        <v>0</v>
      </c>
      <c r="BX148" s="372">
        <v>0</v>
      </c>
      <c r="BY148" s="419"/>
      <c r="BZ148" s="423">
        <f>IFERROR(IF(LEFT($A148,3)="Lcp",SUMIFS('BASE-LCP'!$K:$K,'BASE-LCP'!$A:$A,Capex!$A139,'BASE-LCP'!$B:$B,"março")/1000,IF(LEFT($A148,3)="icp",SUMIFS('BASE-ICP'!$K:$K,'BASE-ICP'!$A:$A,Capex!$A139,'BASE-ICP'!$B:$B,"março")/1000,"")),"")</f>
        <v>0</v>
      </c>
      <c r="CA148" s="427">
        <v>0</v>
      </c>
      <c r="CB148" s="372">
        <v>0</v>
      </c>
      <c r="CC148" s="422"/>
      <c r="CD148" s="423">
        <f>IFERROR(IF(LEFT($A148,3)="Lcp",SUMIFS('BASE-LCP'!$K:$K,'BASE-LCP'!$A:$A,Capex!$A139,'BASE-LCP'!$B:$B,"abril")/1000,IF(LEFT($A148,3)="icp",SUMIFS('BASE-ICP'!$K:$K,'BASE-ICP'!$A:$A,Capex!$A139,'BASE-ICP'!$B:$B,"abril")/1000,"")),"")</f>
        <v>0</v>
      </c>
      <c r="CE148" s="427">
        <v>0</v>
      </c>
      <c r="CF148" s="372">
        <v>0</v>
      </c>
      <c r="CG148" s="419"/>
      <c r="CH148" s="423">
        <v>0</v>
      </c>
      <c r="CI148" s="427">
        <v>0</v>
      </c>
      <c r="CJ148" s="372">
        <v>0</v>
      </c>
      <c r="CK148" s="419"/>
      <c r="CL148" s="423">
        <f>IFERROR(IF(LEFT($A148,3)="Lcp",SUMIFS('BASE-LCP'!$K:$K,'BASE-LCP'!$A:$A,Capex!$A139,'BASE-LCP'!$B:$B,"junho")/1000,IF(LEFT($A148,3)="icp",SUMIFS('BASE-ICP'!$K:$K,'BASE-ICP'!$A:$A,Capex!$A139,'BASE-ICP'!$B:$B,"junho")/1000,"")),"")</f>
        <v>0</v>
      </c>
      <c r="CM148" s="427">
        <v>0</v>
      </c>
      <c r="CN148" s="372"/>
      <c r="CO148" s="419"/>
      <c r="CP148" s="423">
        <f>IFERROR(IF(LEFT($A148,3)="Lcp",SUMIFS('BASE-LCP'!$K:$K,'BASE-LCP'!$A:$A,Capex!$A139,'BASE-LCP'!$B:$B,"julho")/1000,IF(LEFT($A148,3)="icp",SUMIFS('BASE-ICP'!$K:$K,'BASE-ICP'!$A:$A,Capex!$A139,'BASE-ICP'!$B:$B,"julho")/1000,"")),"")</f>
        <v>0</v>
      </c>
      <c r="CQ148" s="427">
        <v>0</v>
      </c>
      <c r="CR148" s="372"/>
      <c r="CS148" s="419"/>
      <c r="CT148" s="423">
        <f>IFERROR(IF(LEFT($A148,3)="Lcp",SUMIFS('BASE-LCP'!$K:$K,'BASE-LCP'!$A:$A,Capex!$A139,'BASE-LCP'!$B:$B,"agosto")/1000,IF(LEFT($A148,3)="icp",SUMIFS('BASE-ICP'!$K:$K,'BASE-ICP'!$A:$A,Capex!$A139,'BASE-ICP'!$B:$B,"agosto")/1000,"")),"")</f>
        <v>0</v>
      </c>
      <c r="CU148" s="427">
        <v>0</v>
      </c>
      <c r="CV148" s="372"/>
      <c r="CW148" s="419"/>
      <c r="CX148" s="423">
        <f>IFERROR(IF(LEFT($A148,3)="Lcp",SUMIFS('BASE-LCP'!$K:$K,'BASE-LCP'!$A:$A,Capex!$A139,'BASE-LCP'!$B:$B,"setembro")/1000,IF(LEFT($A148,3)="icp",SUMIFS('BASE-ICP'!$K:$K,'BASE-ICP'!$A:$A,Capex!$A139,'BASE-ICP'!$B:$B,"setembro")/1000,"")),"")</f>
        <v>0</v>
      </c>
      <c r="CY148" s="427">
        <v>0</v>
      </c>
      <c r="CZ148" s="372"/>
      <c r="DA148" s="419"/>
      <c r="DB148" s="423">
        <f>IFERROR(IF(LEFT($A148,3)="Lcp",SUMIFS('BASE-LCP'!$K:$K,'BASE-LCP'!$A:$A,Capex!$A139,'BASE-LCP'!$B:$B,"outubro")/1000,IF(LEFT($A148,3)="icp",SUMIFS('BASE-ICP'!$K:$K,'BASE-ICP'!$A:$A,Capex!$A139,'BASE-ICP'!$B:$B,"outubro")/1000,"")),"")</f>
        <v>0</v>
      </c>
      <c r="DC148" s="427">
        <v>0</v>
      </c>
      <c r="DD148" s="372"/>
      <c r="DE148" s="419"/>
      <c r="DF148" s="423">
        <f>IFERROR(IF(LEFT($A148,3)="Lcp",SUMIFS('BASE-LCP'!$K:$K,'BASE-LCP'!$A:$A,Capex!$A139,'BASE-LCP'!$B:$B,"novembro")/1000,IF(LEFT($A148,3)="icp",SUMIFS('BASE-ICP'!$K:$K,'BASE-ICP'!$A:$A,Capex!$A139,'BASE-ICP'!$B:$B,"novembro")/1000,"")),"")</f>
        <v>0</v>
      </c>
      <c r="DG148" s="427">
        <v>0</v>
      </c>
      <c r="DH148" s="372"/>
      <c r="DI148" s="419"/>
      <c r="DJ148" s="423">
        <f>IFERROR(IF(LEFT($A148,3)="Lcp",SUMIFS('BASE-LCP'!$K:$K,'BASE-LCP'!$A:$A,Capex!$A139,'BASE-LCP'!$B:$B,"dezembro")/1000,IF(LEFT($A148,3)="icp",SUMIFS('BASE-ICP'!$K:$K,'BASE-ICP'!$A:$A,Capex!$A139,'BASE-ICP'!$B:$B,"dezembro")/1000,"")),"")</f>
        <v>0</v>
      </c>
      <c r="DK148" s="427">
        <v>0</v>
      </c>
      <c r="DL148" s="452">
        <f t="shared" si="85"/>
        <v>0</v>
      </c>
      <c r="DM148" s="374"/>
      <c r="DN148" s="374"/>
      <c r="DO148" s="374"/>
      <c r="DP148" s="374"/>
      <c r="DQ148" s="374"/>
      <c r="DR148" s="374"/>
      <c r="DS148" s="374"/>
      <c r="DT148" s="374"/>
      <c r="DU148" s="374"/>
      <c r="DV148" s="374"/>
      <c r="DW148" s="374"/>
      <c r="DX148" s="374"/>
      <c r="DY148" s="450"/>
      <c r="DZ148" s="374">
        <f t="shared" si="86"/>
        <v>0</v>
      </c>
      <c r="EA148" s="216">
        <f t="shared" si="87"/>
        <v>0</v>
      </c>
      <c r="EB148" s="320">
        <f t="shared" si="88"/>
        <v>0</v>
      </c>
      <c r="EC148" s="241">
        <f t="shared" si="89"/>
        <v>0</v>
      </c>
      <c r="ED148" s="241">
        <f t="shared" si="90"/>
        <v>0</v>
      </c>
      <c r="EE148" s="241">
        <f t="shared" si="91"/>
        <v>0</v>
      </c>
      <c r="EF148" s="241">
        <f t="shared" si="92"/>
        <v>0</v>
      </c>
      <c r="EG148" s="346">
        <f t="shared" si="93"/>
        <v>0</v>
      </c>
      <c r="EH148" s="445">
        <f t="shared" si="94"/>
        <v>0</v>
      </c>
      <c r="EI148" s="447">
        <f t="shared" si="95"/>
        <v>0</v>
      </c>
      <c r="EJ148" s="364">
        <f t="shared" si="96"/>
        <v>0</v>
      </c>
      <c r="EK148" s="365">
        <f t="shared" si="97"/>
        <v>0</v>
      </c>
      <c r="EL148" s="529">
        <f t="shared" si="98"/>
        <v>0</v>
      </c>
      <c r="EM148" s="530">
        <v>0</v>
      </c>
      <c r="EN148" s="530">
        <v>0</v>
      </c>
      <c r="EO148" s="530">
        <v>0</v>
      </c>
      <c r="EP148" s="530">
        <v>0</v>
      </c>
      <c r="EQ148" s="530">
        <v>0</v>
      </c>
      <c r="ER148" s="530">
        <v>0</v>
      </c>
      <c r="ES148" s="530">
        <v>0</v>
      </c>
      <c r="ET148" s="530">
        <v>0</v>
      </c>
      <c r="EU148" s="530">
        <v>0</v>
      </c>
      <c r="EV148" s="530">
        <v>0</v>
      </c>
      <c r="EW148" s="530">
        <v>0</v>
      </c>
      <c r="EX148" s="530">
        <v>0</v>
      </c>
      <c r="EY148" s="530">
        <f t="shared" si="99"/>
        <v>0</v>
      </c>
      <c r="EZ148" s="530">
        <f t="shared" si="100"/>
        <v>0</v>
      </c>
      <c r="FA148" s="530">
        <f t="shared" si="101"/>
        <v>0</v>
      </c>
      <c r="FB148" s="530">
        <f t="shared" si="102"/>
        <v>0</v>
      </c>
      <c r="FC148" s="384">
        <f>IFERROR(VLOOKUP(Capex!A139,BASE_558!D:R,8,FALSE)/1000,"")</f>
        <v>375.71899999999999</v>
      </c>
      <c r="FD148" s="328">
        <f>IFERROR(VLOOKUP(Capex!A139,BASE_558!D:R,9,)/1000,"")</f>
        <v>229.30278000000001</v>
      </c>
      <c r="FE148" s="328">
        <f>IFERROR(IF(LEFT(A148,3)="LCP",(VLOOKUP(Capex!A139,BASE_558!D:R,10,)/1000),SUMIFS('BASE ICP_PO_SC'!F:F,'BASE ICP_PO_SC'!A:A,Capex!A139,'BASE ICP_PO_SC'!E:E,"&lt;&gt;")/1000),"")</f>
        <v>0</v>
      </c>
      <c r="FF148" s="328">
        <f>IFERROR(IF(LEFT(A148,3)="LCP",(VLOOKUP(Capex!A139,BASE_558!D:R,11,)/1000),SUMIFS('BASE ICP_PO_SC'!F:F,'BASE ICP_PO_SC'!A:A,Capex!A139,'BASE ICP_PO_SC'!E:E,"")/1000),"")</f>
        <v>0</v>
      </c>
      <c r="FG148" s="328">
        <f>IFERROR(VLOOKUP(A148,BASE_558!D:R,13,FALSE)/1000,"")</f>
        <v>69.845590000000001</v>
      </c>
      <c r="FH148" s="328">
        <f>IFERROR(VLOOKUP(A148,BASE_558!D:R,15,FALSE)/1000,"")</f>
        <v>15.15441</v>
      </c>
      <c r="FI148" s="547">
        <f t="shared" si="103"/>
        <v>0</v>
      </c>
      <c r="FJ148" s="547">
        <f t="shared" si="104"/>
        <v>0</v>
      </c>
      <c r="FK148" s="540">
        <f t="shared" si="105"/>
        <v>0</v>
      </c>
    </row>
    <row r="149" spans="1:167" s="23" customFormat="1" ht="24" customHeight="1">
      <c r="A149" s="84" t="s">
        <v>175</v>
      </c>
      <c r="B149" s="404"/>
      <c r="C149" s="404"/>
      <c r="D149" s="338" t="s">
        <v>916</v>
      </c>
      <c r="E149" s="378">
        <v>1920845</v>
      </c>
      <c r="F149" s="5"/>
      <c r="G149" s="310" t="s">
        <v>9</v>
      </c>
      <c r="H149" s="338"/>
      <c r="I149" s="338"/>
      <c r="J149" s="338">
        <v>2019</v>
      </c>
      <c r="K149" s="316">
        <v>43676</v>
      </c>
      <c r="L149" s="317">
        <v>44225</v>
      </c>
      <c r="M149" s="409"/>
      <c r="N149" s="317">
        <f t="shared" si="74"/>
        <v>44588</v>
      </c>
      <c r="O149" s="317">
        <f t="shared" si="75"/>
        <v>44953</v>
      </c>
      <c r="P149" s="418" t="str">
        <f t="shared" si="107"/>
        <v>CRTD</v>
      </c>
      <c r="Q149" s="418" t="str">
        <f t="shared" si="107"/>
        <v>CRTD</v>
      </c>
      <c r="R149" s="418" t="str">
        <f t="shared" si="107"/>
        <v>CRTD</v>
      </c>
      <c r="S149" s="418" t="str">
        <f t="shared" si="107"/>
        <v>CRTD</v>
      </c>
      <c r="T149" s="418" t="str">
        <f t="shared" si="107"/>
        <v>CRTD</v>
      </c>
      <c r="U149" s="418" t="str">
        <f t="shared" si="107"/>
        <v>CRTD</v>
      </c>
      <c r="V149" s="418" t="str">
        <f t="shared" si="107"/>
        <v>CRTD</v>
      </c>
      <c r="W149" s="418" t="str">
        <f t="shared" si="107"/>
        <v>CRTD</v>
      </c>
      <c r="X149" s="418" t="str">
        <f t="shared" si="107"/>
        <v>CRTD</v>
      </c>
      <c r="Y149" s="418" t="str">
        <f t="shared" si="107"/>
        <v>CRTD</v>
      </c>
      <c r="Z149" s="418" t="str">
        <f t="shared" si="107"/>
        <v>CRTD</v>
      </c>
      <c r="AA149" s="418" t="str">
        <f t="shared" si="107"/>
        <v>CRTD</v>
      </c>
      <c r="AB149" s="317"/>
      <c r="AC149" s="309" t="s">
        <v>3932</v>
      </c>
      <c r="AD149" s="311" t="s">
        <v>223</v>
      </c>
      <c r="AE149" s="311"/>
      <c r="AF149" s="310" t="s">
        <v>6985</v>
      </c>
      <c r="AG149" s="310" t="s">
        <v>9083</v>
      </c>
      <c r="AH149" s="310" t="s">
        <v>124</v>
      </c>
      <c r="AI149" s="309" t="s">
        <v>186</v>
      </c>
      <c r="AJ149" s="6" t="s">
        <v>218</v>
      </c>
      <c r="AK149" s="6" t="str">
        <f t="shared" si="83"/>
        <v>IGUAL</v>
      </c>
      <c r="AL149" s="151" t="str">
        <f>IFERROR(IF(LEFT(A149,3)="LCP",VLOOKUP(A149,STATUS_SAP_LCP!B:C,2,FALSE),VLOOKUP(A149,STATUS_SAP_ICP!B:C,2,FALSE)),"NO BUDGET")</f>
        <v>CLSD BUDG AUC  AVAC  //  APPR BREL EXPL</v>
      </c>
      <c r="AM149" s="6" t="str">
        <f t="shared" si="82"/>
        <v>CLSD</v>
      </c>
      <c r="AN149" s="282" t="s">
        <v>9086</v>
      </c>
      <c r="AO149" s="493">
        <v>1</v>
      </c>
      <c r="AP149" s="499" t="s">
        <v>9607</v>
      </c>
      <c r="AQ149" s="465">
        <v>44225</v>
      </c>
      <c r="AR149" s="460"/>
      <c r="AS149" s="56">
        <v>85.744000000000014</v>
      </c>
      <c r="AT149" s="185">
        <v>0.59535999999999945</v>
      </c>
      <c r="AU149" s="318">
        <v>0</v>
      </c>
      <c r="AV149" s="223">
        <v>0</v>
      </c>
      <c r="AW149" s="318">
        <v>0</v>
      </c>
      <c r="AX149" s="223">
        <v>0</v>
      </c>
      <c r="AY149" s="318">
        <f t="shared" si="76"/>
        <v>0</v>
      </c>
      <c r="AZ149" s="223"/>
      <c r="BA149" s="318"/>
      <c r="BB149" s="519">
        <f t="shared" si="77"/>
        <v>0</v>
      </c>
      <c r="BC149" s="518"/>
      <c r="BD149" s="518"/>
      <c r="BE149" s="518"/>
      <c r="BF149" s="518"/>
      <c r="BG149" s="518"/>
      <c r="BH149" s="518"/>
      <c r="BI149" s="518"/>
      <c r="BJ149" s="518"/>
      <c r="BK149" s="518"/>
      <c r="BL149" s="518"/>
      <c r="BM149" s="518"/>
      <c r="BN149" s="518"/>
      <c r="BO149" s="367">
        <f t="shared" si="84"/>
        <v>0</v>
      </c>
      <c r="BP149" s="421"/>
      <c r="BQ149" s="422"/>
      <c r="BR149" s="423">
        <f>IFERROR(IF(LEFT($A149,3)="Lcp",SUMIFS('BASE-LCP'!$K:$K,'BASE-LCP'!$A:$A,Capex!$A140,'BASE-LCP'!$B:$B,"janeiro")/1000,IF(LEFT($A149,3)="icp",SUMIFS('BASE-ICP'!$K:$K,'BASE-ICP'!$A:$A,Capex!$A140,'BASE-ICP'!$B:$B,"janeiro")/1000,"")),"")</f>
        <v>0</v>
      </c>
      <c r="BS149" s="427">
        <v>0</v>
      </c>
      <c r="BT149" s="372">
        <v>0</v>
      </c>
      <c r="BU149" s="422"/>
      <c r="BV149" s="423">
        <f>IFERROR(IF(LEFT($A149,3)="Lcp",SUMIFS('BASE-LCP'!$K:$K,'BASE-LCP'!$A:$A,Capex!$A140,'BASE-LCP'!$B:$B,"fevereiro")/1000,IF(LEFT($A149,3)="icp",SUMIFS('BASE-ICP'!$K:$K,'BASE-ICP'!$A:$A,Capex!$A140,'BASE-ICP'!$B:$B,"fevereiro")/1000,"")),"")</f>
        <v>0</v>
      </c>
      <c r="BW149" s="427">
        <v>0</v>
      </c>
      <c r="BX149" s="372">
        <v>0</v>
      </c>
      <c r="BY149" s="419"/>
      <c r="BZ149" s="423">
        <f>IFERROR(IF(LEFT($A149,3)="Lcp",SUMIFS('BASE-LCP'!$K:$K,'BASE-LCP'!$A:$A,Capex!$A140,'BASE-LCP'!$B:$B,"março")/1000,IF(LEFT($A149,3)="icp",SUMIFS('BASE-ICP'!$K:$K,'BASE-ICP'!$A:$A,Capex!$A140,'BASE-ICP'!$B:$B,"março")/1000,"")),"")</f>
        <v>0</v>
      </c>
      <c r="CA149" s="427">
        <v>0</v>
      </c>
      <c r="CB149" s="372">
        <v>0</v>
      </c>
      <c r="CC149" s="422"/>
      <c r="CD149" s="423">
        <f>IFERROR(IF(LEFT($A149,3)="Lcp",SUMIFS('BASE-LCP'!$K:$K,'BASE-LCP'!$A:$A,Capex!$A140,'BASE-LCP'!$B:$B,"abril")/1000,IF(LEFT($A149,3)="icp",SUMIFS('BASE-ICP'!$K:$K,'BASE-ICP'!$A:$A,Capex!$A140,'BASE-ICP'!$B:$B,"abril")/1000,"")),"")</f>
        <v>0</v>
      </c>
      <c r="CE149" s="427">
        <v>0</v>
      </c>
      <c r="CF149" s="372">
        <v>0</v>
      </c>
      <c r="CG149" s="419"/>
      <c r="CH149" s="423">
        <v>0</v>
      </c>
      <c r="CI149" s="427">
        <v>0</v>
      </c>
      <c r="CJ149" s="372">
        <v>0</v>
      </c>
      <c r="CK149" s="419"/>
      <c r="CL149" s="423">
        <f>IFERROR(IF(LEFT($A149,3)="Lcp",SUMIFS('BASE-LCP'!$K:$K,'BASE-LCP'!$A:$A,Capex!$A140,'BASE-LCP'!$B:$B,"junho")/1000,IF(LEFT($A149,3)="icp",SUMIFS('BASE-ICP'!$K:$K,'BASE-ICP'!$A:$A,Capex!$A140,'BASE-ICP'!$B:$B,"junho")/1000,"")),"")</f>
        <v>0</v>
      </c>
      <c r="CM149" s="427">
        <v>0</v>
      </c>
      <c r="CN149" s="372"/>
      <c r="CO149" s="419"/>
      <c r="CP149" s="423">
        <f>IFERROR(IF(LEFT($A149,3)="Lcp",SUMIFS('BASE-LCP'!$K:$K,'BASE-LCP'!$A:$A,Capex!$A140,'BASE-LCP'!$B:$B,"julho")/1000,IF(LEFT($A149,3)="icp",SUMIFS('BASE-ICP'!$K:$K,'BASE-ICP'!$A:$A,Capex!$A140,'BASE-ICP'!$B:$B,"julho")/1000,"")),"")</f>
        <v>0</v>
      </c>
      <c r="CQ149" s="427">
        <v>0</v>
      </c>
      <c r="CR149" s="372"/>
      <c r="CS149" s="419"/>
      <c r="CT149" s="423">
        <f>IFERROR(IF(LEFT($A149,3)="Lcp",SUMIFS('BASE-LCP'!$K:$K,'BASE-LCP'!$A:$A,Capex!$A140,'BASE-LCP'!$B:$B,"agosto")/1000,IF(LEFT($A149,3)="icp",SUMIFS('BASE-ICP'!$K:$K,'BASE-ICP'!$A:$A,Capex!$A140,'BASE-ICP'!$B:$B,"agosto")/1000,"")),"")</f>
        <v>0</v>
      </c>
      <c r="CU149" s="427">
        <v>0</v>
      </c>
      <c r="CV149" s="372"/>
      <c r="CW149" s="419"/>
      <c r="CX149" s="423">
        <f>IFERROR(IF(LEFT($A149,3)="Lcp",SUMIFS('BASE-LCP'!$K:$K,'BASE-LCP'!$A:$A,Capex!$A140,'BASE-LCP'!$B:$B,"setembro")/1000,IF(LEFT($A149,3)="icp",SUMIFS('BASE-ICP'!$K:$K,'BASE-ICP'!$A:$A,Capex!$A140,'BASE-ICP'!$B:$B,"setembro")/1000,"")),"")</f>
        <v>0</v>
      </c>
      <c r="CY149" s="427">
        <v>0</v>
      </c>
      <c r="CZ149" s="372"/>
      <c r="DA149" s="419"/>
      <c r="DB149" s="423">
        <f>IFERROR(IF(LEFT($A149,3)="Lcp",SUMIFS('BASE-LCP'!$K:$K,'BASE-LCP'!$A:$A,Capex!$A140,'BASE-LCP'!$B:$B,"outubro")/1000,IF(LEFT($A149,3)="icp",SUMIFS('BASE-ICP'!$K:$K,'BASE-ICP'!$A:$A,Capex!$A140,'BASE-ICP'!$B:$B,"outubro")/1000,"")),"")</f>
        <v>0</v>
      </c>
      <c r="DC149" s="427">
        <v>0</v>
      </c>
      <c r="DD149" s="372"/>
      <c r="DE149" s="419"/>
      <c r="DF149" s="423">
        <f>IFERROR(IF(LEFT($A149,3)="Lcp",SUMIFS('BASE-LCP'!$K:$K,'BASE-LCP'!$A:$A,Capex!$A140,'BASE-LCP'!$B:$B,"novembro")/1000,IF(LEFT($A149,3)="icp",SUMIFS('BASE-ICP'!$K:$K,'BASE-ICP'!$A:$A,Capex!$A140,'BASE-ICP'!$B:$B,"novembro")/1000,"")),"")</f>
        <v>0</v>
      </c>
      <c r="DG149" s="427">
        <v>0</v>
      </c>
      <c r="DH149" s="372"/>
      <c r="DI149" s="419"/>
      <c r="DJ149" s="423">
        <f>IFERROR(IF(LEFT($A149,3)="Lcp",SUMIFS('BASE-LCP'!$K:$K,'BASE-LCP'!$A:$A,Capex!$A140,'BASE-LCP'!$B:$B,"dezembro")/1000,IF(LEFT($A149,3)="icp",SUMIFS('BASE-ICP'!$K:$K,'BASE-ICP'!$A:$A,Capex!$A140,'BASE-ICP'!$B:$B,"dezembro")/1000,"")),"")</f>
        <v>0</v>
      </c>
      <c r="DK149" s="427">
        <v>0</v>
      </c>
      <c r="DL149" s="452">
        <f t="shared" si="85"/>
        <v>0</v>
      </c>
      <c r="DM149" s="374"/>
      <c r="DN149" s="374"/>
      <c r="DO149" s="374"/>
      <c r="DP149" s="374"/>
      <c r="DQ149" s="374"/>
      <c r="DR149" s="374"/>
      <c r="DS149" s="374"/>
      <c r="DT149" s="374"/>
      <c r="DU149" s="374"/>
      <c r="DV149" s="374"/>
      <c r="DW149" s="374"/>
      <c r="DX149" s="374"/>
      <c r="DY149" s="450"/>
      <c r="DZ149" s="374">
        <f t="shared" si="86"/>
        <v>0</v>
      </c>
      <c r="EA149" s="216">
        <f t="shared" si="87"/>
        <v>0</v>
      </c>
      <c r="EB149" s="320">
        <f t="shared" si="88"/>
        <v>0</v>
      </c>
      <c r="EC149" s="241">
        <f t="shared" si="89"/>
        <v>0</v>
      </c>
      <c r="ED149" s="241">
        <f t="shared" si="90"/>
        <v>0</v>
      </c>
      <c r="EE149" s="241">
        <f t="shared" si="91"/>
        <v>0</v>
      </c>
      <c r="EF149" s="241">
        <f t="shared" si="92"/>
        <v>0</v>
      </c>
      <c r="EG149" s="346">
        <f t="shared" si="93"/>
        <v>0</v>
      </c>
      <c r="EH149" s="445">
        <f t="shared" si="94"/>
        <v>0</v>
      </c>
      <c r="EI149" s="447">
        <f t="shared" si="95"/>
        <v>0</v>
      </c>
      <c r="EJ149" s="364">
        <f t="shared" si="96"/>
        <v>0</v>
      </c>
      <c r="EK149" s="365">
        <f t="shared" si="97"/>
        <v>0</v>
      </c>
      <c r="EL149" s="529">
        <f t="shared" si="98"/>
        <v>0</v>
      </c>
      <c r="EM149" s="530">
        <v>0</v>
      </c>
      <c r="EN149" s="530">
        <v>0</v>
      </c>
      <c r="EO149" s="530">
        <v>0</v>
      </c>
      <c r="EP149" s="530">
        <v>0</v>
      </c>
      <c r="EQ149" s="530">
        <v>0</v>
      </c>
      <c r="ER149" s="530">
        <v>0</v>
      </c>
      <c r="ES149" s="530">
        <v>0</v>
      </c>
      <c r="ET149" s="530">
        <v>0</v>
      </c>
      <c r="EU149" s="530">
        <v>0</v>
      </c>
      <c r="EV149" s="530">
        <v>0</v>
      </c>
      <c r="EW149" s="530">
        <v>0</v>
      </c>
      <c r="EX149" s="530">
        <v>0</v>
      </c>
      <c r="EY149" s="530">
        <f t="shared" si="99"/>
        <v>0</v>
      </c>
      <c r="EZ149" s="530">
        <f t="shared" si="100"/>
        <v>0</v>
      </c>
      <c r="FA149" s="530">
        <f t="shared" si="101"/>
        <v>0</v>
      </c>
      <c r="FB149" s="530">
        <f t="shared" si="102"/>
        <v>0</v>
      </c>
      <c r="FC149" s="384">
        <f>IFERROR(VLOOKUP(Capex!A140,BASE_558!D:R,8,FALSE)/1000,"")</f>
        <v>372.80046999999996</v>
      </c>
      <c r="FD149" s="328">
        <f>IFERROR(VLOOKUP(Capex!A140,BASE_558!D:R,9,)/1000,"")</f>
        <v>271.19774000000001</v>
      </c>
      <c r="FE149" s="328">
        <f>IFERROR(IF(LEFT(A149,3)="LCP",(VLOOKUP(Capex!A140,BASE_558!D:R,10,)/1000),SUMIFS('BASE ICP_PO_SC'!F:F,'BASE ICP_PO_SC'!A:A,Capex!A140,'BASE ICP_PO_SC'!E:E,"&lt;&gt;")/1000),"")</f>
        <v>0</v>
      </c>
      <c r="FF149" s="328">
        <f>IFERROR(IF(LEFT(A149,3)="LCP",(VLOOKUP(Capex!A140,BASE_558!D:R,11,)/1000),SUMIFS('BASE ICP_PO_SC'!F:F,'BASE ICP_PO_SC'!A:A,Capex!A140,'BASE ICP_PO_SC'!E:E,"")/1000),"")</f>
        <v>0</v>
      </c>
      <c r="FG149" s="328">
        <f>IFERROR(VLOOKUP(A149,BASE_558!D:R,13,FALSE)/1000,"")</f>
        <v>86.339359999999999</v>
      </c>
      <c r="FH149" s="328">
        <f>IFERROR(VLOOKUP(A149,BASE_558!D:R,15,FALSE)/1000,"")</f>
        <v>9.9606399999999997</v>
      </c>
      <c r="FI149" s="547">
        <f t="shared" si="103"/>
        <v>0</v>
      </c>
      <c r="FJ149" s="547">
        <f t="shared" si="104"/>
        <v>0</v>
      </c>
      <c r="FK149" s="540">
        <f t="shared" si="105"/>
        <v>0</v>
      </c>
    </row>
    <row r="150" spans="1:167" s="23" customFormat="1" ht="24" customHeight="1">
      <c r="A150" s="84" t="s">
        <v>208</v>
      </c>
      <c r="B150" s="404"/>
      <c r="C150" s="404"/>
      <c r="D150" s="338" t="s">
        <v>2232</v>
      </c>
      <c r="E150" s="378">
        <v>1883734</v>
      </c>
      <c r="F150" s="5"/>
      <c r="G150" s="310" t="s">
        <v>9</v>
      </c>
      <c r="H150" s="338"/>
      <c r="I150" s="338" t="s">
        <v>6</v>
      </c>
      <c r="J150" s="338">
        <v>2019</v>
      </c>
      <c r="K150" s="316">
        <v>43679</v>
      </c>
      <c r="L150" s="317">
        <v>44427</v>
      </c>
      <c r="M150" s="409"/>
      <c r="N150" s="317">
        <f t="shared" si="74"/>
        <v>44591</v>
      </c>
      <c r="O150" s="317">
        <f t="shared" si="75"/>
        <v>44956</v>
      </c>
      <c r="P150" s="418" t="str">
        <f t="shared" si="107"/>
        <v>CRTD</v>
      </c>
      <c r="Q150" s="418" t="str">
        <f t="shared" si="107"/>
        <v>CRTD</v>
      </c>
      <c r="R150" s="418" t="str">
        <f t="shared" si="107"/>
        <v>CRTD</v>
      </c>
      <c r="S150" s="418" t="str">
        <f t="shared" si="107"/>
        <v>CRTD</v>
      </c>
      <c r="T150" s="418" t="str">
        <f t="shared" si="107"/>
        <v>CRTD</v>
      </c>
      <c r="U150" s="418" t="str">
        <f t="shared" si="107"/>
        <v>CRTD</v>
      </c>
      <c r="V150" s="418" t="str">
        <f t="shared" si="107"/>
        <v>CRTD</v>
      </c>
      <c r="W150" s="418" t="str">
        <f t="shared" si="107"/>
        <v>CRTD</v>
      </c>
      <c r="X150" s="418" t="str">
        <f t="shared" si="107"/>
        <v>CRTD</v>
      </c>
      <c r="Y150" s="418" t="str">
        <f t="shared" si="107"/>
        <v>CRTD</v>
      </c>
      <c r="Z150" s="418" t="str">
        <f t="shared" si="107"/>
        <v>CRTD</v>
      </c>
      <c r="AA150" s="418" t="str">
        <f t="shared" si="107"/>
        <v>CRTD</v>
      </c>
      <c r="AB150" s="317"/>
      <c r="AC150" s="309" t="s">
        <v>3931</v>
      </c>
      <c r="AD150" s="311" t="s">
        <v>223</v>
      </c>
      <c r="AE150" s="311"/>
      <c r="AF150" s="310" t="s">
        <v>6985</v>
      </c>
      <c r="AG150" s="310" t="s">
        <v>9083</v>
      </c>
      <c r="AH150" s="310" t="s">
        <v>209</v>
      </c>
      <c r="AI150" s="309" t="s">
        <v>188</v>
      </c>
      <c r="AJ150" s="6" t="s">
        <v>218</v>
      </c>
      <c r="AK150" s="6" t="str">
        <f t="shared" si="83"/>
        <v>IGUAL</v>
      </c>
      <c r="AL150" s="151" t="str">
        <f>IFERROR(IF(LEFT(A150,3)="LCP",VLOOKUP(A150,STATUS_SAP_LCP!B:C,2,FALSE),VLOOKUP(A150,STATUS_SAP_ICP!B:C,2,FALSE)),"NO BUDGET")</f>
        <v>CLSD BUDG AUC  AVAC  //  APPR BREL EXPL</v>
      </c>
      <c r="AM150" s="6" t="str">
        <f t="shared" si="82"/>
        <v>CLSD</v>
      </c>
      <c r="AN150" s="282" t="s">
        <v>9096</v>
      </c>
      <c r="AO150" s="493">
        <v>1</v>
      </c>
      <c r="AP150" s="499" t="s">
        <v>9607</v>
      </c>
      <c r="AQ150" s="465">
        <v>44427</v>
      </c>
      <c r="AR150" s="460"/>
      <c r="AS150" s="56">
        <v>23.08418</v>
      </c>
      <c r="AT150" s="185">
        <v>699.36725000000001</v>
      </c>
      <c r="AU150" s="318">
        <v>18.663270000000001</v>
      </c>
      <c r="AV150" s="223">
        <v>0</v>
      </c>
      <c r="AW150" s="318">
        <v>0</v>
      </c>
      <c r="AX150" s="223">
        <v>0</v>
      </c>
      <c r="AY150" s="318">
        <f t="shared" si="76"/>
        <v>0</v>
      </c>
      <c r="AZ150" s="223"/>
      <c r="BA150" s="318"/>
      <c r="BB150" s="519">
        <f t="shared" si="77"/>
        <v>0</v>
      </c>
      <c r="BC150" s="518"/>
      <c r="BD150" s="518"/>
      <c r="BE150" s="518"/>
      <c r="BF150" s="518"/>
      <c r="BG150" s="518"/>
      <c r="BH150" s="518"/>
      <c r="BI150" s="518"/>
      <c r="BJ150" s="518"/>
      <c r="BK150" s="518"/>
      <c r="BL150" s="518"/>
      <c r="BM150" s="518"/>
      <c r="BN150" s="518"/>
      <c r="BO150" s="367">
        <f t="shared" si="84"/>
        <v>0</v>
      </c>
      <c r="BP150" s="421"/>
      <c r="BQ150" s="422"/>
      <c r="BR150" s="423">
        <f>IFERROR(IF(LEFT($A150,3)="Lcp",SUMIFS('BASE-LCP'!$K:$K,'BASE-LCP'!$A:$A,Capex!$A141,'BASE-LCP'!$B:$B,"janeiro")/1000,IF(LEFT($A150,3)="icp",SUMIFS('BASE-ICP'!$K:$K,'BASE-ICP'!$A:$A,Capex!$A141,'BASE-ICP'!$B:$B,"janeiro")/1000,"")),"")</f>
        <v>0</v>
      </c>
      <c r="BS150" s="427">
        <v>0</v>
      </c>
      <c r="BT150" s="372">
        <v>0</v>
      </c>
      <c r="BU150" s="422"/>
      <c r="BV150" s="423">
        <f>IFERROR(IF(LEFT($A150,3)="Lcp",SUMIFS('BASE-LCP'!$K:$K,'BASE-LCP'!$A:$A,Capex!$A141,'BASE-LCP'!$B:$B,"fevereiro")/1000,IF(LEFT($A150,3)="icp",SUMIFS('BASE-ICP'!$K:$K,'BASE-ICP'!$A:$A,Capex!$A141,'BASE-ICP'!$B:$B,"fevereiro")/1000,"")),"")</f>
        <v>0</v>
      </c>
      <c r="BW150" s="427">
        <v>0</v>
      </c>
      <c r="BX150" s="372">
        <v>0</v>
      </c>
      <c r="BY150" s="419"/>
      <c r="BZ150" s="423">
        <f>IFERROR(IF(LEFT($A150,3)="Lcp",SUMIFS('BASE-LCP'!$K:$K,'BASE-LCP'!$A:$A,Capex!$A141,'BASE-LCP'!$B:$B,"março")/1000,IF(LEFT($A150,3)="icp",SUMIFS('BASE-ICP'!$K:$K,'BASE-ICP'!$A:$A,Capex!$A141,'BASE-ICP'!$B:$B,"março")/1000,"")),"")</f>
        <v>0</v>
      </c>
      <c r="CA150" s="427">
        <v>0</v>
      </c>
      <c r="CB150" s="372">
        <v>0</v>
      </c>
      <c r="CC150" s="422"/>
      <c r="CD150" s="423">
        <f>IFERROR(IF(LEFT($A150,3)="Lcp",SUMIFS('BASE-LCP'!$K:$K,'BASE-LCP'!$A:$A,Capex!$A141,'BASE-LCP'!$B:$B,"abril")/1000,IF(LEFT($A150,3)="icp",SUMIFS('BASE-ICP'!$K:$K,'BASE-ICP'!$A:$A,Capex!$A141,'BASE-ICP'!$B:$B,"abril")/1000,"")),"")</f>
        <v>0</v>
      </c>
      <c r="CE150" s="427">
        <v>0</v>
      </c>
      <c r="CF150" s="372">
        <v>0</v>
      </c>
      <c r="CG150" s="419"/>
      <c r="CH150" s="423">
        <v>0</v>
      </c>
      <c r="CI150" s="427">
        <v>0</v>
      </c>
      <c r="CJ150" s="372">
        <v>0</v>
      </c>
      <c r="CK150" s="419"/>
      <c r="CL150" s="423">
        <f>IFERROR(IF(LEFT($A150,3)="Lcp",SUMIFS('BASE-LCP'!$K:$K,'BASE-LCP'!$A:$A,Capex!$A141,'BASE-LCP'!$B:$B,"junho")/1000,IF(LEFT($A150,3)="icp",SUMIFS('BASE-ICP'!$K:$K,'BASE-ICP'!$A:$A,Capex!$A141,'BASE-ICP'!$B:$B,"junho")/1000,"")),"")</f>
        <v>0</v>
      </c>
      <c r="CM150" s="427">
        <v>0</v>
      </c>
      <c r="CN150" s="372"/>
      <c r="CO150" s="419"/>
      <c r="CP150" s="423">
        <f>IFERROR(IF(LEFT($A150,3)="Lcp",SUMIFS('BASE-LCP'!$K:$K,'BASE-LCP'!$A:$A,Capex!$A141,'BASE-LCP'!$B:$B,"julho")/1000,IF(LEFT($A150,3)="icp",SUMIFS('BASE-ICP'!$K:$K,'BASE-ICP'!$A:$A,Capex!$A141,'BASE-ICP'!$B:$B,"julho")/1000,"")),"")</f>
        <v>0</v>
      </c>
      <c r="CQ150" s="427">
        <v>0</v>
      </c>
      <c r="CR150" s="372"/>
      <c r="CS150" s="419"/>
      <c r="CT150" s="423">
        <f>IFERROR(IF(LEFT($A150,3)="Lcp",SUMIFS('BASE-LCP'!$K:$K,'BASE-LCP'!$A:$A,Capex!$A141,'BASE-LCP'!$B:$B,"agosto")/1000,IF(LEFT($A150,3)="icp",SUMIFS('BASE-ICP'!$K:$K,'BASE-ICP'!$A:$A,Capex!$A141,'BASE-ICP'!$B:$B,"agosto")/1000,"")),"")</f>
        <v>0</v>
      </c>
      <c r="CU150" s="427">
        <v>0</v>
      </c>
      <c r="CV150" s="372"/>
      <c r="CW150" s="419"/>
      <c r="CX150" s="423">
        <f>IFERROR(IF(LEFT($A150,3)="Lcp",SUMIFS('BASE-LCP'!$K:$K,'BASE-LCP'!$A:$A,Capex!$A141,'BASE-LCP'!$B:$B,"setembro")/1000,IF(LEFT($A150,3)="icp",SUMIFS('BASE-ICP'!$K:$K,'BASE-ICP'!$A:$A,Capex!$A141,'BASE-ICP'!$B:$B,"setembro")/1000,"")),"")</f>
        <v>0</v>
      </c>
      <c r="CY150" s="427">
        <v>0</v>
      </c>
      <c r="CZ150" s="372"/>
      <c r="DA150" s="419"/>
      <c r="DB150" s="423">
        <f>IFERROR(IF(LEFT($A150,3)="Lcp",SUMIFS('BASE-LCP'!$K:$K,'BASE-LCP'!$A:$A,Capex!$A141,'BASE-LCP'!$B:$B,"outubro")/1000,IF(LEFT($A150,3)="icp",SUMIFS('BASE-ICP'!$K:$K,'BASE-ICP'!$A:$A,Capex!$A141,'BASE-ICP'!$B:$B,"outubro")/1000,"")),"")</f>
        <v>0</v>
      </c>
      <c r="DC150" s="427">
        <v>0</v>
      </c>
      <c r="DD150" s="372"/>
      <c r="DE150" s="419"/>
      <c r="DF150" s="423">
        <f>IFERROR(IF(LEFT($A150,3)="Lcp",SUMIFS('BASE-LCP'!$K:$K,'BASE-LCP'!$A:$A,Capex!$A141,'BASE-LCP'!$B:$B,"novembro")/1000,IF(LEFT($A150,3)="icp",SUMIFS('BASE-ICP'!$K:$K,'BASE-ICP'!$A:$A,Capex!$A141,'BASE-ICP'!$B:$B,"novembro")/1000,"")),"")</f>
        <v>0</v>
      </c>
      <c r="DG150" s="427">
        <v>0</v>
      </c>
      <c r="DH150" s="372"/>
      <c r="DI150" s="419"/>
      <c r="DJ150" s="423">
        <f>IFERROR(IF(LEFT($A150,3)="Lcp",SUMIFS('BASE-LCP'!$K:$K,'BASE-LCP'!$A:$A,Capex!$A141,'BASE-LCP'!$B:$B,"dezembro")/1000,IF(LEFT($A150,3)="icp",SUMIFS('BASE-ICP'!$K:$K,'BASE-ICP'!$A:$A,Capex!$A141,'BASE-ICP'!$B:$B,"dezembro")/1000,"")),"")</f>
        <v>0</v>
      </c>
      <c r="DK150" s="427">
        <v>0</v>
      </c>
      <c r="DL150" s="452">
        <f t="shared" si="85"/>
        <v>0</v>
      </c>
      <c r="DM150" s="374"/>
      <c r="DN150" s="374"/>
      <c r="DO150" s="374"/>
      <c r="DP150" s="374"/>
      <c r="DQ150" s="374"/>
      <c r="DR150" s="374"/>
      <c r="DS150" s="374"/>
      <c r="DT150" s="374"/>
      <c r="DU150" s="374"/>
      <c r="DV150" s="374"/>
      <c r="DW150" s="374"/>
      <c r="DX150" s="374"/>
      <c r="DY150" s="450"/>
      <c r="DZ150" s="374">
        <f t="shared" si="86"/>
        <v>0</v>
      </c>
      <c r="EA150" s="216">
        <f t="shared" si="87"/>
        <v>0</v>
      </c>
      <c r="EB150" s="320">
        <f t="shared" si="88"/>
        <v>0</v>
      </c>
      <c r="EC150" s="241">
        <f t="shared" si="89"/>
        <v>0</v>
      </c>
      <c r="ED150" s="241">
        <f t="shared" si="90"/>
        <v>0</v>
      </c>
      <c r="EE150" s="241">
        <f t="shared" si="91"/>
        <v>0</v>
      </c>
      <c r="EF150" s="241">
        <f t="shared" si="92"/>
        <v>0</v>
      </c>
      <c r="EG150" s="346">
        <f t="shared" si="93"/>
        <v>0</v>
      </c>
      <c r="EH150" s="445">
        <f t="shared" si="94"/>
        <v>0</v>
      </c>
      <c r="EI150" s="447">
        <f t="shared" si="95"/>
        <v>0</v>
      </c>
      <c r="EJ150" s="364">
        <f t="shared" si="96"/>
        <v>0</v>
      </c>
      <c r="EK150" s="365">
        <f t="shared" si="97"/>
        <v>0</v>
      </c>
      <c r="EL150" s="529">
        <f t="shared" si="98"/>
        <v>0</v>
      </c>
      <c r="EM150" s="530">
        <v>0</v>
      </c>
      <c r="EN150" s="530">
        <v>0</v>
      </c>
      <c r="EO150" s="530">
        <v>0</v>
      </c>
      <c r="EP150" s="530">
        <v>0</v>
      </c>
      <c r="EQ150" s="530">
        <v>0</v>
      </c>
      <c r="ER150" s="530">
        <v>0</v>
      </c>
      <c r="ES150" s="530">
        <v>0</v>
      </c>
      <c r="ET150" s="530">
        <v>0</v>
      </c>
      <c r="EU150" s="530">
        <v>0</v>
      </c>
      <c r="EV150" s="530">
        <v>0</v>
      </c>
      <c r="EW150" s="530">
        <v>0</v>
      </c>
      <c r="EX150" s="530">
        <v>0</v>
      </c>
      <c r="EY150" s="530">
        <f t="shared" si="99"/>
        <v>0</v>
      </c>
      <c r="EZ150" s="530">
        <f t="shared" si="100"/>
        <v>0</v>
      </c>
      <c r="FA150" s="530">
        <f t="shared" si="101"/>
        <v>0</v>
      </c>
      <c r="FB150" s="530">
        <f t="shared" si="102"/>
        <v>0</v>
      </c>
      <c r="FC150" s="384">
        <f>IFERROR(VLOOKUP(Capex!A141,BASE_558!D:R,8,FALSE)/1000,"")</f>
        <v>89.85</v>
      </c>
      <c r="FD150" s="328">
        <f>IFERROR(VLOOKUP(Capex!A141,BASE_558!D:R,9,)/1000,"")</f>
        <v>59.684779999999996</v>
      </c>
      <c r="FE150" s="328">
        <f>IFERROR(IF(LEFT(A150,3)="LCP",(VLOOKUP(Capex!A141,BASE_558!D:R,10,)/1000),SUMIFS('BASE ICP_PO_SC'!F:F,'BASE ICP_PO_SC'!A:A,Capex!A141,'BASE ICP_PO_SC'!E:E,"&lt;&gt;")/1000),"")</f>
        <v>0</v>
      </c>
      <c r="FF150" s="328">
        <f>IFERROR(IF(LEFT(A150,3)="LCP",(VLOOKUP(Capex!A141,BASE_558!D:R,11,)/1000),SUMIFS('BASE ICP_PO_SC'!F:F,'BASE ICP_PO_SC'!A:A,Capex!A141,'BASE ICP_PO_SC'!E:E,"")/1000),"")</f>
        <v>0</v>
      </c>
      <c r="FG150" s="328">
        <f>IFERROR(VLOOKUP(A150,BASE_558!D:R,13,FALSE)/1000,"")</f>
        <v>741.11469999999997</v>
      </c>
      <c r="FH150" s="328">
        <f>IFERROR(VLOOKUP(A150,BASE_558!D:R,15,FALSE)/1000,"")</f>
        <v>103.10844999999999</v>
      </c>
      <c r="FI150" s="547">
        <f t="shared" si="103"/>
        <v>0</v>
      </c>
      <c r="FJ150" s="547">
        <f t="shared" si="104"/>
        <v>0</v>
      </c>
      <c r="FK150" s="540">
        <f t="shared" si="105"/>
        <v>0</v>
      </c>
    </row>
    <row r="151" spans="1:167" s="23" customFormat="1" ht="24" customHeight="1">
      <c r="A151" s="84" t="s">
        <v>205</v>
      </c>
      <c r="B151" s="404"/>
      <c r="C151" s="404"/>
      <c r="D151" s="338" t="s">
        <v>1264</v>
      </c>
      <c r="E151" s="378">
        <v>1904716</v>
      </c>
      <c r="F151" s="5"/>
      <c r="G151" s="310" t="s">
        <v>9</v>
      </c>
      <c r="H151" s="338"/>
      <c r="I151" s="338"/>
      <c r="J151" s="338">
        <v>2019</v>
      </c>
      <c r="K151" s="316">
        <v>43668</v>
      </c>
      <c r="L151" s="317">
        <v>44029</v>
      </c>
      <c r="M151" s="409"/>
      <c r="N151" s="317">
        <f t="shared" si="74"/>
        <v>44580</v>
      </c>
      <c r="O151" s="317">
        <f t="shared" si="75"/>
        <v>44945</v>
      </c>
      <c r="P151" s="418" t="str">
        <f t="shared" si="107"/>
        <v>CRTD</v>
      </c>
      <c r="Q151" s="418" t="str">
        <f t="shared" si="107"/>
        <v>CRTD</v>
      </c>
      <c r="R151" s="418" t="str">
        <f t="shared" si="107"/>
        <v>CRTD</v>
      </c>
      <c r="S151" s="418" t="str">
        <f t="shared" si="107"/>
        <v>CRTD</v>
      </c>
      <c r="T151" s="418" t="str">
        <f t="shared" si="107"/>
        <v>CRTD</v>
      </c>
      <c r="U151" s="418" t="str">
        <f t="shared" si="107"/>
        <v>CRTD</v>
      </c>
      <c r="V151" s="418" t="str">
        <f t="shared" si="107"/>
        <v>CRTD</v>
      </c>
      <c r="W151" s="418" t="str">
        <f t="shared" si="107"/>
        <v>CRTD</v>
      </c>
      <c r="X151" s="418" t="str">
        <f t="shared" si="107"/>
        <v>CRTD</v>
      </c>
      <c r="Y151" s="418" t="str">
        <f t="shared" si="107"/>
        <v>CRTD</v>
      </c>
      <c r="Z151" s="418" t="str">
        <f t="shared" si="107"/>
        <v>CRTD</v>
      </c>
      <c r="AA151" s="418" t="str">
        <f t="shared" si="107"/>
        <v>CRTD</v>
      </c>
      <c r="AB151" s="317"/>
      <c r="AC151" s="309" t="s">
        <v>3931</v>
      </c>
      <c r="AD151" s="311" t="s">
        <v>223</v>
      </c>
      <c r="AE151" s="311"/>
      <c r="AF151" s="310" t="s">
        <v>6985</v>
      </c>
      <c r="AG151" s="310" t="s">
        <v>9083</v>
      </c>
      <c r="AH151" s="310" t="s">
        <v>204</v>
      </c>
      <c r="AI151" s="309" t="s">
        <v>188</v>
      </c>
      <c r="AJ151" s="6" t="s">
        <v>218</v>
      </c>
      <c r="AK151" s="6" t="str">
        <f t="shared" si="83"/>
        <v>IGUAL</v>
      </c>
      <c r="AL151" s="151" t="str">
        <f>IFERROR(IF(LEFT(A151,3)="LCP",VLOOKUP(A151,STATUS_SAP_LCP!B:C,2,FALSE),VLOOKUP(A151,STATUS_SAP_ICP!B:C,2,FALSE)),"NO BUDGET")</f>
        <v>CLSD BUDG ISBD AUC  AVAC  //  APPR BREL EXPL</v>
      </c>
      <c r="AM151" s="6" t="str">
        <f t="shared" si="82"/>
        <v>CLSD</v>
      </c>
      <c r="AN151" s="282" t="s">
        <v>9087</v>
      </c>
      <c r="AO151" s="493">
        <v>1</v>
      </c>
      <c r="AP151" s="499" t="s">
        <v>9607</v>
      </c>
      <c r="AQ151" s="465">
        <v>44029</v>
      </c>
      <c r="AR151" s="460"/>
      <c r="AS151" s="56">
        <v>15.10722</v>
      </c>
      <c r="AT151" s="185">
        <v>0</v>
      </c>
      <c r="AU151" s="318">
        <v>0</v>
      </c>
      <c r="AV151" s="223">
        <v>0</v>
      </c>
      <c r="AW151" s="318">
        <v>0</v>
      </c>
      <c r="AX151" s="223">
        <v>0</v>
      </c>
      <c r="AY151" s="318">
        <f t="shared" si="76"/>
        <v>0</v>
      </c>
      <c r="AZ151" s="223"/>
      <c r="BA151" s="318"/>
      <c r="BB151" s="519">
        <f t="shared" si="77"/>
        <v>0</v>
      </c>
      <c r="BC151" s="518"/>
      <c r="BD151" s="518"/>
      <c r="BE151" s="518"/>
      <c r="BF151" s="518"/>
      <c r="BG151" s="518"/>
      <c r="BH151" s="518"/>
      <c r="BI151" s="518"/>
      <c r="BJ151" s="518"/>
      <c r="BK151" s="518"/>
      <c r="BL151" s="518"/>
      <c r="BM151" s="518"/>
      <c r="BN151" s="518"/>
      <c r="BO151" s="367">
        <f t="shared" si="84"/>
        <v>0</v>
      </c>
      <c r="BP151" s="421"/>
      <c r="BQ151" s="422"/>
      <c r="BR151" s="423">
        <f>IFERROR(IF(LEFT($A151,3)="Lcp",SUMIFS('BASE-LCP'!$K:$K,'BASE-LCP'!$A:$A,Capex!$A142,'BASE-LCP'!$B:$B,"janeiro")/1000,IF(LEFT($A151,3)="icp",SUMIFS('BASE-ICP'!$K:$K,'BASE-ICP'!$A:$A,Capex!$A142,'BASE-ICP'!$B:$B,"janeiro")/1000,"")),"")</f>
        <v>0</v>
      </c>
      <c r="BS151" s="427">
        <v>0</v>
      </c>
      <c r="BT151" s="372">
        <v>0</v>
      </c>
      <c r="BU151" s="422"/>
      <c r="BV151" s="423">
        <f>IFERROR(IF(LEFT($A151,3)="Lcp",SUMIFS('BASE-LCP'!$K:$K,'BASE-LCP'!$A:$A,Capex!$A142,'BASE-LCP'!$B:$B,"fevereiro")/1000,IF(LEFT($A151,3)="icp",SUMIFS('BASE-ICP'!$K:$K,'BASE-ICP'!$A:$A,Capex!$A142,'BASE-ICP'!$B:$B,"fevereiro")/1000,"")),"")</f>
        <v>0</v>
      </c>
      <c r="BW151" s="427">
        <v>0</v>
      </c>
      <c r="BX151" s="372">
        <v>0</v>
      </c>
      <c r="BY151" s="419"/>
      <c r="BZ151" s="423">
        <f>IFERROR(IF(LEFT($A151,3)="Lcp",SUMIFS('BASE-LCP'!$K:$K,'BASE-LCP'!$A:$A,Capex!$A142,'BASE-LCP'!$B:$B,"março")/1000,IF(LEFT($A151,3)="icp",SUMIFS('BASE-ICP'!$K:$K,'BASE-ICP'!$A:$A,Capex!$A142,'BASE-ICP'!$B:$B,"março")/1000,"")),"")</f>
        <v>0</v>
      </c>
      <c r="CA151" s="427">
        <v>0</v>
      </c>
      <c r="CB151" s="372">
        <v>0</v>
      </c>
      <c r="CC151" s="422"/>
      <c r="CD151" s="423">
        <f>IFERROR(IF(LEFT($A151,3)="Lcp",SUMIFS('BASE-LCP'!$K:$K,'BASE-LCP'!$A:$A,Capex!$A142,'BASE-LCP'!$B:$B,"abril")/1000,IF(LEFT($A151,3)="icp",SUMIFS('BASE-ICP'!$K:$K,'BASE-ICP'!$A:$A,Capex!$A142,'BASE-ICP'!$B:$B,"abril")/1000,"")),"")</f>
        <v>0</v>
      </c>
      <c r="CE151" s="427">
        <v>0</v>
      </c>
      <c r="CF151" s="372">
        <v>0</v>
      </c>
      <c r="CG151" s="419"/>
      <c r="CH151" s="423">
        <v>0</v>
      </c>
      <c r="CI151" s="427">
        <v>0</v>
      </c>
      <c r="CJ151" s="372">
        <v>0</v>
      </c>
      <c r="CK151" s="419"/>
      <c r="CL151" s="423">
        <f>IFERROR(IF(LEFT($A151,3)="Lcp",SUMIFS('BASE-LCP'!$K:$K,'BASE-LCP'!$A:$A,Capex!$A142,'BASE-LCP'!$B:$B,"junho")/1000,IF(LEFT($A151,3)="icp",SUMIFS('BASE-ICP'!$K:$K,'BASE-ICP'!$A:$A,Capex!$A142,'BASE-ICP'!$B:$B,"junho")/1000,"")),"")</f>
        <v>0</v>
      </c>
      <c r="CM151" s="427">
        <v>0</v>
      </c>
      <c r="CN151" s="372"/>
      <c r="CO151" s="419"/>
      <c r="CP151" s="423">
        <f>IFERROR(IF(LEFT($A151,3)="Lcp",SUMIFS('BASE-LCP'!$K:$K,'BASE-LCP'!$A:$A,Capex!$A142,'BASE-LCP'!$B:$B,"julho")/1000,IF(LEFT($A151,3)="icp",SUMIFS('BASE-ICP'!$K:$K,'BASE-ICP'!$A:$A,Capex!$A142,'BASE-ICP'!$B:$B,"julho")/1000,"")),"")</f>
        <v>0</v>
      </c>
      <c r="CQ151" s="427">
        <v>0</v>
      </c>
      <c r="CR151" s="372"/>
      <c r="CS151" s="419"/>
      <c r="CT151" s="423">
        <f>IFERROR(IF(LEFT($A151,3)="Lcp",SUMIFS('BASE-LCP'!$K:$K,'BASE-LCP'!$A:$A,Capex!$A142,'BASE-LCP'!$B:$B,"agosto")/1000,IF(LEFT($A151,3)="icp",SUMIFS('BASE-ICP'!$K:$K,'BASE-ICP'!$A:$A,Capex!$A142,'BASE-ICP'!$B:$B,"agosto")/1000,"")),"")</f>
        <v>0</v>
      </c>
      <c r="CU151" s="427">
        <v>0</v>
      </c>
      <c r="CV151" s="372"/>
      <c r="CW151" s="419"/>
      <c r="CX151" s="423">
        <f>IFERROR(IF(LEFT($A151,3)="Lcp",SUMIFS('BASE-LCP'!$K:$K,'BASE-LCP'!$A:$A,Capex!$A142,'BASE-LCP'!$B:$B,"setembro")/1000,IF(LEFT($A151,3)="icp",SUMIFS('BASE-ICP'!$K:$K,'BASE-ICP'!$A:$A,Capex!$A142,'BASE-ICP'!$B:$B,"setembro")/1000,"")),"")</f>
        <v>0</v>
      </c>
      <c r="CY151" s="427">
        <v>0</v>
      </c>
      <c r="CZ151" s="372"/>
      <c r="DA151" s="419"/>
      <c r="DB151" s="423">
        <f>IFERROR(IF(LEFT($A151,3)="Lcp",SUMIFS('BASE-LCP'!$K:$K,'BASE-LCP'!$A:$A,Capex!$A142,'BASE-LCP'!$B:$B,"outubro")/1000,IF(LEFT($A151,3)="icp",SUMIFS('BASE-ICP'!$K:$K,'BASE-ICP'!$A:$A,Capex!$A142,'BASE-ICP'!$B:$B,"outubro")/1000,"")),"")</f>
        <v>0</v>
      </c>
      <c r="DC151" s="427">
        <v>0</v>
      </c>
      <c r="DD151" s="372"/>
      <c r="DE151" s="419"/>
      <c r="DF151" s="423">
        <f>IFERROR(IF(LEFT($A151,3)="Lcp",SUMIFS('BASE-LCP'!$K:$K,'BASE-LCP'!$A:$A,Capex!$A142,'BASE-LCP'!$B:$B,"novembro")/1000,IF(LEFT($A151,3)="icp",SUMIFS('BASE-ICP'!$K:$K,'BASE-ICP'!$A:$A,Capex!$A142,'BASE-ICP'!$B:$B,"novembro")/1000,"")),"")</f>
        <v>0</v>
      </c>
      <c r="DG151" s="427">
        <v>0</v>
      </c>
      <c r="DH151" s="372"/>
      <c r="DI151" s="419"/>
      <c r="DJ151" s="423">
        <f>IFERROR(IF(LEFT($A151,3)="Lcp",SUMIFS('BASE-LCP'!$K:$K,'BASE-LCP'!$A:$A,Capex!$A142,'BASE-LCP'!$B:$B,"dezembro")/1000,IF(LEFT($A151,3)="icp",SUMIFS('BASE-ICP'!$K:$K,'BASE-ICP'!$A:$A,Capex!$A142,'BASE-ICP'!$B:$B,"dezembro")/1000,"")),"")</f>
        <v>0</v>
      </c>
      <c r="DK151" s="427">
        <v>0</v>
      </c>
      <c r="DL151" s="452">
        <f t="shared" si="85"/>
        <v>0</v>
      </c>
      <c r="DM151" s="374"/>
      <c r="DN151" s="374"/>
      <c r="DO151" s="374"/>
      <c r="DP151" s="374"/>
      <c r="DQ151" s="374"/>
      <c r="DR151" s="374"/>
      <c r="DS151" s="374"/>
      <c r="DT151" s="374"/>
      <c r="DU151" s="374"/>
      <c r="DV151" s="374"/>
      <c r="DW151" s="374"/>
      <c r="DX151" s="374"/>
      <c r="DY151" s="450"/>
      <c r="DZ151" s="374">
        <f t="shared" si="86"/>
        <v>0</v>
      </c>
      <c r="EA151" s="216">
        <f t="shared" si="87"/>
        <v>0</v>
      </c>
      <c r="EB151" s="320">
        <f t="shared" si="88"/>
        <v>0</v>
      </c>
      <c r="EC151" s="241">
        <f t="shared" si="89"/>
        <v>0</v>
      </c>
      <c r="ED151" s="241">
        <f t="shared" si="90"/>
        <v>0</v>
      </c>
      <c r="EE151" s="241">
        <f t="shared" si="91"/>
        <v>0</v>
      </c>
      <c r="EF151" s="241">
        <f t="shared" si="92"/>
        <v>0</v>
      </c>
      <c r="EG151" s="346">
        <f t="shared" si="93"/>
        <v>0</v>
      </c>
      <c r="EH151" s="445">
        <f t="shared" si="94"/>
        <v>0</v>
      </c>
      <c r="EI151" s="447">
        <f t="shared" si="95"/>
        <v>0</v>
      </c>
      <c r="EJ151" s="364">
        <f t="shared" si="96"/>
        <v>0</v>
      </c>
      <c r="EK151" s="365">
        <f t="shared" si="97"/>
        <v>0</v>
      </c>
      <c r="EL151" s="529">
        <f t="shared" si="98"/>
        <v>0</v>
      </c>
      <c r="EM151" s="530">
        <v>0</v>
      </c>
      <c r="EN151" s="530">
        <v>0</v>
      </c>
      <c r="EO151" s="530">
        <v>0</v>
      </c>
      <c r="EP151" s="530">
        <v>0</v>
      </c>
      <c r="EQ151" s="530">
        <v>0</v>
      </c>
      <c r="ER151" s="530">
        <v>0</v>
      </c>
      <c r="ES151" s="530">
        <v>0</v>
      </c>
      <c r="ET151" s="530">
        <v>0</v>
      </c>
      <c r="EU151" s="530">
        <v>0</v>
      </c>
      <c r="EV151" s="530">
        <v>0</v>
      </c>
      <c r="EW151" s="530">
        <v>0</v>
      </c>
      <c r="EX151" s="530">
        <v>0</v>
      </c>
      <c r="EY151" s="530">
        <f t="shared" si="99"/>
        <v>0</v>
      </c>
      <c r="EZ151" s="530">
        <f t="shared" si="100"/>
        <v>0</v>
      </c>
      <c r="FA151" s="530">
        <f t="shared" si="101"/>
        <v>0</v>
      </c>
      <c r="FB151" s="530">
        <f t="shared" si="102"/>
        <v>0</v>
      </c>
      <c r="FC151" s="384">
        <f>IFERROR(VLOOKUP(Capex!A142,BASE_558!D:R,8,FALSE)/1000,"")</f>
        <v>75</v>
      </c>
      <c r="FD151" s="328">
        <f>IFERROR(VLOOKUP(Capex!A142,BASE_558!D:R,9,)/1000,"")</f>
        <v>56.107639999999996</v>
      </c>
      <c r="FE151" s="328">
        <f>IFERROR(IF(LEFT(A151,3)="LCP",(VLOOKUP(Capex!A142,BASE_558!D:R,10,)/1000),SUMIFS('BASE ICP_PO_SC'!F:F,'BASE ICP_PO_SC'!A:A,Capex!A142,'BASE ICP_PO_SC'!E:E,"&lt;&gt;")/1000),"")</f>
        <v>0</v>
      </c>
      <c r="FF151" s="328">
        <f>IFERROR(IF(LEFT(A151,3)="LCP",(VLOOKUP(Capex!A142,BASE_558!D:R,11,)/1000),SUMIFS('BASE ICP_PO_SC'!F:F,'BASE ICP_PO_SC'!A:A,Capex!A142,'BASE ICP_PO_SC'!E:E,"")/1000),"")</f>
        <v>0</v>
      </c>
      <c r="FG151" s="328">
        <f>IFERROR(VLOOKUP(A151,BASE_558!D:R,13,FALSE)/1000,"")</f>
        <v>15.10722</v>
      </c>
      <c r="FH151" s="328">
        <f>IFERROR(VLOOKUP(A151,BASE_558!D:R,15,FALSE)/1000,"")</f>
        <v>0.49278</v>
      </c>
      <c r="FI151" s="547">
        <f t="shared" si="103"/>
        <v>0</v>
      </c>
      <c r="FJ151" s="547">
        <f t="shared" si="104"/>
        <v>0</v>
      </c>
      <c r="FK151" s="540">
        <f t="shared" si="105"/>
        <v>0</v>
      </c>
    </row>
    <row r="152" spans="1:167" s="23" customFormat="1" ht="24" customHeight="1">
      <c r="A152" s="84" t="s">
        <v>206</v>
      </c>
      <c r="B152" s="404"/>
      <c r="C152" s="404"/>
      <c r="D152" s="338" t="s">
        <v>2233</v>
      </c>
      <c r="E152" s="378">
        <v>2272070</v>
      </c>
      <c r="F152" s="5"/>
      <c r="G152" s="310" t="s">
        <v>9</v>
      </c>
      <c r="H152" s="338"/>
      <c r="I152" s="338" t="s">
        <v>6</v>
      </c>
      <c r="J152" s="338">
        <v>2019</v>
      </c>
      <c r="K152" s="316">
        <v>43753</v>
      </c>
      <c r="L152" s="317">
        <v>44343</v>
      </c>
      <c r="M152" s="409"/>
      <c r="N152" s="317">
        <f t="shared" si="74"/>
        <v>44665</v>
      </c>
      <c r="O152" s="317">
        <f t="shared" si="75"/>
        <v>45030</v>
      </c>
      <c r="P152" s="418" t="str">
        <f t="shared" si="107"/>
        <v>CRTD</v>
      </c>
      <c r="Q152" s="418" t="str">
        <f t="shared" si="107"/>
        <v>CRTD</v>
      </c>
      <c r="R152" s="418" t="str">
        <f t="shared" si="107"/>
        <v>CRTD</v>
      </c>
      <c r="S152" s="418" t="str">
        <f t="shared" si="107"/>
        <v>CRTD</v>
      </c>
      <c r="T152" s="418" t="str">
        <f t="shared" si="107"/>
        <v>CRTD</v>
      </c>
      <c r="U152" s="418" t="str">
        <f t="shared" si="107"/>
        <v>CRTD</v>
      </c>
      <c r="V152" s="418" t="str">
        <f t="shared" si="107"/>
        <v>CRTD</v>
      </c>
      <c r="W152" s="418" t="str">
        <f t="shared" si="107"/>
        <v>CRTD</v>
      </c>
      <c r="X152" s="418" t="str">
        <f t="shared" si="107"/>
        <v>CRTD</v>
      </c>
      <c r="Y152" s="418" t="str">
        <f t="shared" si="107"/>
        <v>CRTD</v>
      </c>
      <c r="Z152" s="418" t="str">
        <f t="shared" si="107"/>
        <v>CRTD</v>
      </c>
      <c r="AA152" s="418" t="str">
        <f t="shared" si="107"/>
        <v>CRTD</v>
      </c>
      <c r="AB152" s="317"/>
      <c r="AC152" s="309" t="s">
        <v>3930</v>
      </c>
      <c r="AD152" s="311"/>
      <c r="AE152" s="311"/>
      <c r="AF152" s="310" t="s">
        <v>6985</v>
      </c>
      <c r="AG152" s="310" t="s">
        <v>9083</v>
      </c>
      <c r="AH152" s="310" t="s">
        <v>207</v>
      </c>
      <c r="AI152" s="381" t="s">
        <v>188</v>
      </c>
      <c r="AJ152" s="6" t="s">
        <v>218</v>
      </c>
      <c r="AK152" s="6" t="str">
        <f t="shared" si="83"/>
        <v>IGUAL</v>
      </c>
      <c r="AL152" s="151" t="str">
        <f>IFERROR(IF(LEFT(A152,3)="LCP",VLOOKUP(A152,STATUS_SAP_LCP!B:C,2,FALSE),VLOOKUP(A152,STATUS_SAP_ICP!B:C,2,FALSE)),"NO BUDGET")</f>
        <v>CLSD BUDG AUC  AVAC  //  APPR BREL EXPL</v>
      </c>
      <c r="AM152" s="6" t="str">
        <f t="shared" si="82"/>
        <v>CLSD</v>
      </c>
      <c r="AN152" s="282" t="s">
        <v>9096</v>
      </c>
      <c r="AO152" s="493">
        <v>1</v>
      </c>
      <c r="AP152" s="499" t="s">
        <v>9607</v>
      </c>
      <c r="AQ152" s="465">
        <v>44343</v>
      </c>
      <c r="AR152" s="460"/>
      <c r="AS152" s="56">
        <v>0</v>
      </c>
      <c r="AT152" s="185">
        <v>310.05028000000004</v>
      </c>
      <c r="AU152" s="318">
        <v>2.9714299999999998</v>
      </c>
      <c r="AV152" s="223">
        <v>0</v>
      </c>
      <c r="AW152" s="318">
        <v>0</v>
      </c>
      <c r="AX152" s="223">
        <v>0</v>
      </c>
      <c r="AY152" s="318">
        <f t="shared" si="76"/>
        <v>0</v>
      </c>
      <c r="AZ152" s="223"/>
      <c r="BA152" s="318"/>
      <c r="BB152" s="519">
        <f t="shared" si="77"/>
        <v>0</v>
      </c>
      <c r="BC152" s="518"/>
      <c r="BD152" s="518"/>
      <c r="BE152" s="518"/>
      <c r="BF152" s="518"/>
      <c r="BG152" s="518"/>
      <c r="BH152" s="518"/>
      <c r="BI152" s="518"/>
      <c r="BJ152" s="518"/>
      <c r="BK152" s="518"/>
      <c r="BL152" s="518"/>
      <c r="BM152" s="518"/>
      <c r="BN152" s="518"/>
      <c r="BO152" s="367">
        <f t="shared" si="84"/>
        <v>0</v>
      </c>
      <c r="BP152" s="421"/>
      <c r="BQ152" s="422"/>
      <c r="BR152" s="423">
        <f>IFERROR(IF(LEFT($A152,3)="Lcp",SUMIFS('BASE-LCP'!$K:$K,'BASE-LCP'!$A:$A,Capex!$A143,'BASE-LCP'!$B:$B,"janeiro")/1000,IF(LEFT($A152,3)="icp",SUMIFS('BASE-ICP'!$K:$K,'BASE-ICP'!$A:$A,Capex!$A143,'BASE-ICP'!$B:$B,"janeiro")/1000,"")),"")</f>
        <v>0</v>
      </c>
      <c r="BS152" s="427">
        <v>0</v>
      </c>
      <c r="BT152" s="372">
        <v>0</v>
      </c>
      <c r="BU152" s="422"/>
      <c r="BV152" s="423">
        <f>IFERROR(IF(LEFT($A152,3)="Lcp",SUMIFS('BASE-LCP'!$K:$K,'BASE-LCP'!$A:$A,Capex!$A143,'BASE-LCP'!$B:$B,"fevereiro")/1000,IF(LEFT($A152,3)="icp",SUMIFS('BASE-ICP'!$K:$K,'BASE-ICP'!$A:$A,Capex!$A143,'BASE-ICP'!$B:$B,"fevereiro")/1000,"")),"")</f>
        <v>0</v>
      </c>
      <c r="BW152" s="427">
        <v>0</v>
      </c>
      <c r="BX152" s="372">
        <v>0</v>
      </c>
      <c r="BY152" s="419"/>
      <c r="BZ152" s="423">
        <f>IFERROR(IF(LEFT($A152,3)="Lcp",SUMIFS('BASE-LCP'!$K:$K,'BASE-LCP'!$A:$A,Capex!$A143,'BASE-LCP'!$B:$B,"março")/1000,IF(LEFT($A152,3)="icp",SUMIFS('BASE-ICP'!$K:$K,'BASE-ICP'!$A:$A,Capex!$A143,'BASE-ICP'!$B:$B,"março")/1000,"")),"")</f>
        <v>0</v>
      </c>
      <c r="CA152" s="427">
        <v>0</v>
      </c>
      <c r="CB152" s="372">
        <v>0</v>
      </c>
      <c r="CC152" s="422"/>
      <c r="CD152" s="423">
        <f>IFERROR(IF(LEFT($A152,3)="Lcp",SUMIFS('BASE-LCP'!$K:$K,'BASE-LCP'!$A:$A,Capex!$A143,'BASE-LCP'!$B:$B,"abril")/1000,IF(LEFT($A152,3)="icp",SUMIFS('BASE-ICP'!$K:$K,'BASE-ICP'!$A:$A,Capex!$A143,'BASE-ICP'!$B:$B,"abril")/1000,"")),"")</f>
        <v>0</v>
      </c>
      <c r="CE152" s="427">
        <v>0</v>
      </c>
      <c r="CF152" s="372">
        <v>0</v>
      </c>
      <c r="CG152" s="419"/>
      <c r="CH152" s="423">
        <v>0</v>
      </c>
      <c r="CI152" s="427">
        <v>0</v>
      </c>
      <c r="CJ152" s="372">
        <v>0</v>
      </c>
      <c r="CK152" s="419"/>
      <c r="CL152" s="423">
        <f>IFERROR(IF(LEFT($A152,3)="Lcp",SUMIFS('BASE-LCP'!$K:$K,'BASE-LCP'!$A:$A,Capex!$A143,'BASE-LCP'!$B:$B,"junho")/1000,IF(LEFT($A152,3)="icp",SUMIFS('BASE-ICP'!$K:$K,'BASE-ICP'!$A:$A,Capex!$A143,'BASE-ICP'!$B:$B,"junho")/1000,"")),"")</f>
        <v>0</v>
      </c>
      <c r="CM152" s="427">
        <v>0</v>
      </c>
      <c r="CN152" s="372"/>
      <c r="CO152" s="419"/>
      <c r="CP152" s="423">
        <f>IFERROR(IF(LEFT($A152,3)="Lcp",SUMIFS('BASE-LCP'!$K:$K,'BASE-LCP'!$A:$A,Capex!$A143,'BASE-LCP'!$B:$B,"julho")/1000,IF(LEFT($A152,3)="icp",SUMIFS('BASE-ICP'!$K:$K,'BASE-ICP'!$A:$A,Capex!$A143,'BASE-ICP'!$B:$B,"julho")/1000,"")),"")</f>
        <v>0</v>
      </c>
      <c r="CQ152" s="427">
        <v>0</v>
      </c>
      <c r="CR152" s="372"/>
      <c r="CS152" s="419"/>
      <c r="CT152" s="423">
        <f>IFERROR(IF(LEFT($A152,3)="Lcp",SUMIFS('BASE-LCP'!$K:$K,'BASE-LCP'!$A:$A,Capex!$A143,'BASE-LCP'!$B:$B,"agosto")/1000,IF(LEFT($A152,3)="icp",SUMIFS('BASE-ICP'!$K:$K,'BASE-ICP'!$A:$A,Capex!$A143,'BASE-ICP'!$B:$B,"agosto")/1000,"")),"")</f>
        <v>0</v>
      </c>
      <c r="CU152" s="427">
        <v>0</v>
      </c>
      <c r="CV152" s="372"/>
      <c r="CW152" s="419"/>
      <c r="CX152" s="423">
        <f>IFERROR(IF(LEFT($A152,3)="Lcp",SUMIFS('BASE-LCP'!$K:$K,'BASE-LCP'!$A:$A,Capex!$A143,'BASE-LCP'!$B:$B,"setembro")/1000,IF(LEFT($A152,3)="icp",SUMIFS('BASE-ICP'!$K:$K,'BASE-ICP'!$A:$A,Capex!$A143,'BASE-ICP'!$B:$B,"setembro")/1000,"")),"")</f>
        <v>0</v>
      </c>
      <c r="CY152" s="427">
        <v>0</v>
      </c>
      <c r="CZ152" s="372"/>
      <c r="DA152" s="419"/>
      <c r="DB152" s="423">
        <f>IFERROR(IF(LEFT($A152,3)="Lcp",SUMIFS('BASE-LCP'!$K:$K,'BASE-LCP'!$A:$A,Capex!$A143,'BASE-LCP'!$B:$B,"outubro")/1000,IF(LEFT($A152,3)="icp",SUMIFS('BASE-ICP'!$K:$K,'BASE-ICP'!$A:$A,Capex!$A143,'BASE-ICP'!$B:$B,"outubro")/1000,"")),"")</f>
        <v>0</v>
      </c>
      <c r="DC152" s="427">
        <v>0</v>
      </c>
      <c r="DD152" s="372"/>
      <c r="DE152" s="419"/>
      <c r="DF152" s="423">
        <f>IFERROR(IF(LEFT($A152,3)="Lcp",SUMIFS('BASE-LCP'!$K:$K,'BASE-LCP'!$A:$A,Capex!$A143,'BASE-LCP'!$B:$B,"novembro")/1000,IF(LEFT($A152,3)="icp",SUMIFS('BASE-ICP'!$K:$K,'BASE-ICP'!$A:$A,Capex!$A143,'BASE-ICP'!$B:$B,"novembro")/1000,"")),"")</f>
        <v>0</v>
      </c>
      <c r="DG152" s="427">
        <v>0</v>
      </c>
      <c r="DH152" s="372"/>
      <c r="DI152" s="419"/>
      <c r="DJ152" s="423">
        <f>IFERROR(IF(LEFT($A152,3)="Lcp",SUMIFS('BASE-LCP'!$K:$K,'BASE-LCP'!$A:$A,Capex!$A143,'BASE-LCP'!$B:$B,"dezembro")/1000,IF(LEFT($A152,3)="icp",SUMIFS('BASE-ICP'!$K:$K,'BASE-ICP'!$A:$A,Capex!$A143,'BASE-ICP'!$B:$B,"dezembro")/1000,"")),"")</f>
        <v>0</v>
      </c>
      <c r="DK152" s="427">
        <v>0</v>
      </c>
      <c r="DL152" s="452">
        <f t="shared" si="85"/>
        <v>0</v>
      </c>
      <c r="DM152" s="374"/>
      <c r="DN152" s="374"/>
      <c r="DO152" s="374"/>
      <c r="DP152" s="374"/>
      <c r="DQ152" s="374"/>
      <c r="DR152" s="374"/>
      <c r="DS152" s="374"/>
      <c r="DT152" s="374"/>
      <c r="DU152" s="374"/>
      <c r="DV152" s="374"/>
      <c r="DW152" s="374"/>
      <c r="DX152" s="374"/>
      <c r="DY152" s="450"/>
      <c r="DZ152" s="374">
        <f t="shared" si="86"/>
        <v>0</v>
      </c>
      <c r="EA152" s="216">
        <f t="shared" si="87"/>
        <v>0</v>
      </c>
      <c r="EB152" s="320">
        <f t="shared" si="88"/>
        <v>0</v>
      </c>
      <c r="EC152" s="241">
        <f t="shared" si="89"/>
        <v>0</v>
      </c>
      <c r="ED152" s="241">
        <f t="shared" si="90"/>
        <v>0</v>
      </c>
      <c r="EE152" s="241">
        <f t="shared" si="91"/>
        <v>0</v>
      </c>
      <c r="EF152" s="241">
        <f t="shared" si="92"/>
        <v>0</v>
      </c>
      <c r="EG152" s="346">
        <f t="shared" si="93"/>
        <v>0</v>
      </c>
      <c r="EH152" s="445">
        <f t="shared" si="94"/>
        <v>0</v>
      </c>
      <c r="EI152" s="447">
        <f t="shared" si="95"/>
        <v>0</v>
      </c>
      <c r="EJ152" s="364">
        <f t="shared" si="96"/>
        <v>0</v>
      </c>
      <c r="EK152" s="365">
        <f t="shared" si="97"/>
        <v>0</v>
      </c>
      <c r="EL152" s="529">
        <f t="shared" si="98"/>
        <v>0</v>
      </c>
      <c r="EM152" s="530">
        <v>0</v>
      </c>
      <c r="EN152" s="530">
        <v>0</v>
      </c>
      <c r="EO152" s="530">
        <v>0</v>
      </c>
      <c r="EP152" s="530">
        <v>0</v>
      </c>
      <c r="EQ152" s="530">
        <v>0</v>
      </c>
      <c r="ER152" s="530">
        <v>0</v>
      </c>
      <c r="ES152" s="530">
        <v>0</v>
      </c>
      <c r="ET152" s="530">
        <v>0</v>
      </c>
      <c r="EU152" s="530">
        <v>0</v>
      </c>
      <c r="EV152" s="530">
        <v>0</v>
      </c>
      <c r="EW152" s="530">
        <v>0</v>
      </c>
      <c r="EX152" s="530">
        <v>0</v>
      </c>
      <c r="EY152" s="530">
        <f t="shared" si="99"/>
        <v>0</v>
      </c>
      <c r="EZ152" s="530">
        <f t="shared" si="100"/>
        <v>0</v>
      </c>
      <c r="FA152" s="530">
        <f t="shared" si="101"/>
        <v>0</v>
      </c>
      <c r="FB152" s="530">
        <f t="shared" si="102"/>
        <v>0</v>
      </c>
      <c r="FC152" s="384">
        <f>IFERROR(VLOOKUP(Capex!A143,BASE_558!D:R,8,FALSE)/1000,"")</f>
        <v>1675.63</v>
      </c>
      <c r="FD152" s="328">
        <f>IFERROR(VLOOKUP(Capex!A143,BASE_558!D:R,9,)/1000,"")</f>
        <v>1150.0130800000002</v>
      </c>
      <c r="FE152" s="328">
        <f>IFERROR(IF(LEFT(A152,3)="LCP",(VLOOKUP(Capex!A143,BASE_558!D:R,10,)/1000),SUMIFS('BASE ICP_PO_SC'!F:F,'BASE ICP_PO_SC'!A:A,Capex!A143,'BASE ICP_PO_SC'!E:E,"&lt;&gt;")/1000),"")</f>
        <v>0</v>
      </c>
      <c r="FF152" s="328">
        <f>IFERROR(IF(LEFT(A152,3)="LCP",(VLOOKUP(Capex!A143,BASE_558!D:R,11,)/1000),SUMIFS('BASE ICP_PO_SC'!F:F,'BASE ICP_PO_SC'!A:A,Capex!A143,'BASE ICP_PO_SC'!E:E,"")/1000),"")</f>
        <v>0</v>
      </c>
      <c r="FG152" s="328">
        <f>IFERROR(VLOOKUP(A152,BASE_558!D:R,13,FALSE)/1000,"")</f>
        <v>313.02171000000004</v>
      </c>
      <c r="FH152" s="328">
        <f>IFERROR(VLOOKUP(A152,BASE_558!D:R,15,FALSE)/1000,"")</f>
        <v>114.79872999999999</v>
      </c>
      <c r="FI152" s="547">
        <f t="shared" si="103"/>
        <v>0</v>
      </c>
      <c r="FJ152" s="547">
        <f t="shared" si="104"/>
        <v>0</v>
      </c>
      <c r="FK152" s="540">
        <f t="shared" si="105"/>
        <v>0</v>
      </c>
    </row>
    <row r="153" spans="1:167" s="23" customFormat="1" ht="24" customHeight="1">
      <c r="A153" s="84" t="s">
        <v>201</v>
      </c>
      <c r="B153" s="404"/>
      <c r="C153" s="404"/>
      <c r="D153" s="338" t="s">
        <v>873</v>
      </c>
      <c r="E153" s="378">
        <v>2082380</v>
      </c>
      <c r="F153" s="5"/>
      <c r="G153" s="310" t="s">
        <v>9</v>
      </c>
      <c r="H153" s="338"/>
      <c r="I153" s="338"/>
      <c r="J153" s="338">
        <v>2019</v>
      </c>
      <c r="K153" s="316">
        <v>43700</v>
      </c>
      <c r="L153" s="317">
        <v>44427</v>
      </c>
      <c r="M153" s="409"/>
      <c r="N153" s="317">
        <f t="shared" si="74"/>
        <v>44612</v>
      </c>
      <c r="O153" s="317">
        <f t="shared" si="75"/>
        <v>44977</v>
      </c>
      <c r="P153" s="418" t="str">
        <f t="shared" si="107"/>
        <v>CRTD</v>
      </c>
      <c r="Q153" s="418" t="str">
        <f t="shared" si="107"/>
        <v>CRTD</v>
      </c>
      <c r="R153" s="418" t="str">
        <f t="shared" si="107"/>
        <v>CRTD</v>
      </c>
      <c r="S153" s="418" t="str">
        <f t="shared" si="107"/>
        <v>CRTD</v>
      </c>
      <c r="T153" s="418" t="str">
        <f t="shared" si="107"/>
        <v>CRTD</v>
      </c>
      <c r="U153" s="418" t="str">
        <f t="shared" si="107"/>
        <v>CRTD</v>
      </c>
      <c r="V153" s="418" t="str">
        <f t="shared" si="107"/>
        <v>CRTD</v>
      </c>
      <c r="W153" s="418" t="str">
        <f t="shared" si="107"/>
        <v>CRTD</v>
      </c>
      <c r="X153" s="418" t="str">
        <f t="shared" si="107"/>
        <v>CRTD</v>
      </c>
      <c r="Y153" s="418" t="str">
        <f t="shared" si="107"/>
        <v>CRTD</v>
      </c>
      <c r="Z153" s="418" t="str">
        <f t="shared" si="107"/>
        <v>CRTD</v>
      </c>
      <c r="AA153" s="418" t="str">
        <f t="shared" si="107"/>
        <v>CRTD</v>
      </c>
      <c r="AB153" s="317"/>
      <c r="AC153" s="309" t="s">
        <v>3932</v>
      </c>
      <c r="AD153" s="311" t="s">
        <v>5</v>
      </c>
      <c r="AE153" s="311" t="s">
        <v>951</v>
      </c>
      <c r="AF153" s="310" t="s">
        <v>6985</v>
      </c>
      <c r="AG153" s="310" t="s">
        <v>9083</v>
      </c>
      <c r="AH153" s="310" t="s">
        <v>3247</v>
      </c>
      <c r="AI153" s="309" t="s">
        <v>316</v>
      </c>
      <c r="AJ153" s="6" t="s">
        <v>218</v>
      </c>
      <c r="AK153" s="6" t="str">
        <f t="shared" si="83"/>
        <v>IGUAL</v>
      </c>
      <c r="AL153" s="151" t="str">
        <f>IFERROR(IF(LEFT(A153,3)="LCP",VLOOKUP(A153,STATUS_SAP_LCP!B:C,2,FALSE),VLOOKUP(A153,STATUS_SAP_ICP!B:C,2,FALSE)),"NO BUDGET")</f>
        <v>CLSD BUDG AUC  AVAC  //  APPR BREL EXPL</v>
      </c>
      <c r="AM153" s="6" t="str">
        <f t="shared" si="82"/>
        <v>CLSD</v>
      </c>
      <c r="AN153" s="282" t="s">
        <v>9090</v>
      </c>
      <c r="AO153" s="493">
        <v>1</v>
      </c>
      <c r="AP153" s="499" t="s">
        <v>9607</v>
      </c>
      <c r="AQ153" s="465">
        <v>44427</v>
      </c>
      <c r="AR153" s="460"/>
      <c r="AS153" s="56">
        <v>78.383870000000002</v>
      </c>
      <c r="AT153" s="185">
        <v>360.27114000000006</v>
      </c>
      <c r="AU153" s="318">
        <v>128.45499000000001</v>
      </c>
      <c r="AV153" s="223">
        <v>0</v>
      </c>
      <c r="AW153" s="318">
        <v>0</v>
      </c>
      <c r="AX153" s="223">
        <v>0</v>
      </c>
      <c r="AY153" s="318">
        <f t="shared" si="76"/>
        <v>0</v>
      </c>
      <c r="AZ153" s="223"/>
      <c r="BA153" s="318"/>
      <c r="BB153" s="519">
        <f t="shared" si="77"/>
        <v>0</v>
      </c>
      <c r="BC153" s="518"/>
      <c r="BD153" s="518"/>
      <c r="BE153" s="518"/>
      <c r="BF153" s="518"/>
      <c r="BG153" s="518"/>
      <c r="BH153" s="518"/>
      <c r="BI153" s="518"/>
      <c r="BJ153" s="518"/>
      <c r="BK153" s="518"/>
      <c r="BL153" s="518"/>
      <c r="BM153" s="518"/>
      <c r="BN153" s="518"/>
      <c r="BO153" s="367">
        <f t="shared" si="84"/>
        <v>0</v>
      </c>
      <c r="BP153" s="421"/>
      <c r="BQ153" s="422"/>
      <c r="BR153" s="423">
        <f>IFERROR(IF(LEFT($A153,3)="Lcp",SUMIFS('BASE-LCP'!$K:$K,'BASE-LCP'!$A:$A,Capex!$A144,'BASE-LCP'!$B:$B,"janeiro")/1000,IF(LEFT($A153,3)="icp",SUMIFS('BASE-ICP'!$K:$K,'BASE-ICP'!$A:$A,Capex!$A144,'BASE-ICP'!$B:$B,"janeiro")/1000,"")),"")</f>
        <v>0</v>
      </c>
      <c r="BS153" s="427">
        <v>0</v>
      </c>
      <c r="BT153" s="372">
        <v>0</v>
      </c>
      <c r="BU153" s="422"/>
      <c r="BV153" s="423">
        <f>IFERROR(IF(LEFT($A153,3)="Lcp",SUMIFS('BASE-LCP'!$K:$K,'BASE-LCP'!$A:$A,Capex!$A144,'BASE-LCP'!$B:$B,"fevereiro")/1000,IF(LEFT($A153,3)="icp",SUMIFS('BASE-ICP'!$K:$K,'BASE-ICP'!$A:$A,Capex!$A144,'BASE-ICP'!$B:$B,"fevereiro")/1000,"")),"")</f>
        <v>0</v>
      </c>
      <c r="BW153" s="427">
        <v>0</v>
      </c>
      <c r="BX153" s="372">
        <v>0</v>
      </c>
      <c r="BY153" s="419"/>
      <c r="BZ153" s="423">
        <f>IFERROR(IF(LEFT($A153,3)="Lcp",SUMIFS('BASE-LCP'!$K:$K,'BASE-LCP'!$A:$A,Capex!$A144,'BASE-LCP'!$B:$B,"março")/1000,IF(LEFT($A153,3)="icp",SUMIFS('BASE-ICP'!$K:$K,'BASE-ICP'!$A:$A,Capex!$A144,'BASE-ICP'!$B:$B,"março")/1000,"")),"")</f>
        <v>0</v>
      </c>
      <c r="CA153" s="427">
        <v>0</v>
      </c>
      <c r="CB153" s="372">
        <v>0</v>
      </c>
      <c r="CC153" s="422"/>
      <c r="CD153" s="423">
        <f>IFERROR(IF(LEFT($A153,3)="Lcp",SUMIFS('BASE-LCP'!$K:$K,'BASE-LCP'!$A:$A,Capex!$A144,'BASE-LCP'!$B:$B,"abril")/1000,IF(LEFT($A153,3)="icp",SUMIFS('BASE-ICP'!$K:$K,'BASE-ICP'!$A:$A,Capex!$A144,'BASE-ICP'!$B:$B,"abril")/1000,"")),"")</f>
        <v>0</v>
      </c>
      <c r="CE153" s="427">
        <v>0</v>
      </c>
      <c r="CF153" s="372">
        <v>0</v>
      </c>
      <c r="CG153" s="419"/>
      <c r="CH153" s="423">
        <v>0</v>
      </c>
      <c r="CI153" s="427">
        <v>0</v>
      </c>
      <c r="CJ153" s="372">
        <v>0</v>
      </c>
      <c r="CK153" s="419"/>
      <c r="CL153" s="423">
        <f>IFERROR(IF(LEFT($A153,3)="Lcp",SUMIFS('BASE-LCP'!$K:$K,'BASE-LCP'!$A:$A,Capex!$A144,'BASE-LCP'!$B:$B,"junho")/1000,IF(LEFT($A153,3)="icp",SUMIFS('BASE-ICP'!$K:$K,'BASE-ICP'!$A:$A,Capex!$A144,'BASE-ICP'!$B:$B,"junho")/1000,"")),"")</f>
        <v>0</v>
      </c>
      <c r="CM153" s="427">
        <v>0</v>
      </c>
      <c r="CN153" s="372"/>
      <c r="CO153" s="419"/>
      <c r="CP153" s="423">
        <f>IFERROR(IF(LEFT($A153,3)="Lcp",SUMIFS('BASE-LCP'!$K:$K,'BASE-LCP'!$A:$A,Capex!$A144,'BASE-LCP'!$B:$B,"julho")/1000,IF(LEFT($A153,3)="icp",SUMIFS('BASE-ICP'!$K:$K,'BASE-ICP'!$A:$A,Capex!$A144,'BASE-ICP'!$B:$B,"julho")/1000,"")),"")</f>
        <v>0</v>
      </c>
      <c r="CQ153" s="427">
        <v>0</v>
      </c>
      <c r="CR153" s="372"/>
      <c r="CS153" s="419"/>
      <c r="CT153" s="423">
        <f>IFERROR(IF(LEFT($A153,3)="Lcp",SUMIFS('BASE-LCP'!$K:$K,'BASE-LCP'!$A:$A,Capex!$A144,'BASE-LCP'!$B:$B,"agosto")/1000,IF(LEFT($A153,3)="icp",SUMIFS('BASE-ICP'!$K:$K,'BASE-ICP'!$A:$A,Capex!$A144,'BASE-ICP'!$B:$B,"agosto")/1000,"")),"")</f>
        <v>0</v>
      </c>
      <c r="CU153" s="427">
        <v>0</v>
      </c>
      <c r="CV153" s="372"/>
      <c r="CW153" s="419"/>
      <c r="CX153" s="423">
        <f>IFERROR(IF(LEFT($A153,3)="Lcp",SUMIFS('BASE-LCP'!$K:$K,'BASE-LCP'!$A:$A,Capex!$A144,'BASE-LCP'!$B:$B,"setembro")/1000,IF(LEFT($A153,3)="icp",SUMIFS('BASE-ICP'!$K:$K,'BASE-ICP'!$A:$A,Capex!$A144,'BASE-ICP'!$B:$B,"setembro")/1000,"")),"")</f>
        <v>0</v>
      </c>
      <c r="CY153" s="427">
        <v>0</v>
      </c>
      <c r="CZ153" s="372"/>
      <c r="DA153" s="419"/>
      <c r="DB153" s="423">
        <f>IFERROR(IF(LEFT($A153,3)="Lcp",SUMIFS('BASE-LCP'!$K:$K,'BASE-LCP'!$A:$A,Capex!$A144,'BASE-LCP'!$B:$B,"outubro")/1000,IF(LEFT($A153,3)="icp",SUMIFS('BASE-ICP'!$K:$K,'BASE-ICP'!$A:$A,Capex!$A144,'BASE-ICP'!$B:$B,"outubro")/1000,"")),"")</f>
        <v>0</v>
      </c>
      <c r="DC153" s="427">
        <v>0</v>
      </c>
      <c r="DD153" s="372"/>
      <c r="DE153" s="419"/>
      <c r="DF153" s="423">
        <f>IFERROR(IF(LEFT($A153,3)="Lcp",SUMIFS('BASE-LCP'!$K:$K,'BASE-LCP'!$A:$A,Capex!$A144,'BASE-LCP'!$B:$B,"novembro")/1000,IF(LEFT($A153,3)="icp",SUMIFS('BASE-ICP'!$K:$K,'BASE-ICP'!$A:$A,Capex!$A144,'BASE-ICP'!$B:$B,"novembro")/1000,"")),"")</f>
        <v>0</v>
      </c>
      <c r="DG153" s="427">
        <v>0</v>
      </c>
      <c r="DH153" s="372"/>
      <c r="DI153" s="419"/>
      <c r="DJ153" s="423">
        <f>IFERROR(IF(LEFT($A153,3)="Lcp",SUMIFS('BASE-LCP'!$K:$K,'BASE-LCP'!$A:$A,Capex!$A144,'BASE-LCP'!$B:$B,"dezembro")/1000,IF(LEFT($A153,3)="icp",SUMIFS('BASE-ICP'!$K:$K,'BASE-ICP'!$A:$A,Capex!$A144,'BASE-ICP'!$B:$B,"dezembro")/1000,"")),"")</f>
        <v>0</v>
      </c>
      <c r="DK153" s="427">
        <v>0</v>
      </c>
      <c r="DL153" s="452">
        <f t="shared" si="85"/>
        <v>0</v>
      </c>
      <c r="DM153" s="374"/>
      <c r="DN153" s="374"/>
      <c r="DO153" s="374"/>
      <c r="DP153" s="374"/>
      <c r="DQ153" s="374"/>
      <c r="DR153" s="374"/>
      <c r="DS153" s="374"/>
      <c r="DT153" s="374"/>
      <c r="DU153" s="374"/>
      <c r="DV153" s="374"/>
      <c r="DW153" s="374"/>
      <c r="DX153" s="374"/>
      <c r="DY153" s="450"/>
      <c r="DZ153" s="374">
        <f t="shared" si="86"/>
        <v>0</v>
      </c>
      <c r="EA153" s="216">
        <f t="shared" si="87"/>
        <v>0</v>
      </c>
      <c r="EB153" s="320">
        <f t="shared" si="88"/>
        <v>0</v>
      </c>
      <c r="EC153" s="241">
        <f t="shared" si="89"/>
        <v>0</v>
      </c>
      <c r="ED153" s="241">
        <f t="shared" si="90"/>
        <v>0</v>
      </c>
      <c r="EE153" s="241">
        <f t="shared" si="91"/>
        <v>0</v>
      </c>
      <c r="EF153" s="241">
        <f t="shared" si="92"/>
        <v>0</v>
      </c>
      <c r="EG153" s="346">
        <f t="shared" si="93"/>
        <v>0</v>
      </c>
      <c r="EH153" s="445">
        <f t="shared" si="94"/>
        <v>0</v>
      </c>
      <c r="EI153" s="447">
        <f t="shared" si="95"/>
        <v>0</v>
      </c>
      <c r="EJ153" s="364">
        <f t="shared" si="96"/>
        <v>0</v>
      </c>
      <c r="EK153" s="365">
        <f t="shared" si="97"/>
        <v>0</v>
      </c>
      <c r="EL153" s="529">
        <f t="shared" si="98"/>
        <v>0</v>
      </c>
      <c r="EM153" s="530">
        <v>0</v>
      </c>
      <c r="EN153" s="530">
        <v>0</v>
      </c>
      <c r="EO153" s="530">
        <v>0</v>
      </c>
      <c r="EP153" s="530">
        <v>0</v>
      </c>
      <c r="EQ153" s="530">
        <v>0</v>
      </c>
      <c r="ER153" s="530">
        <v>0</v>
      </c>
      <c r="ES153" s="530">
        <v>0</v>
      </c>
      <c r="ET153" s="530">
        <v>0</v>
      </c>
      <c r="EU153" s="530">
        <v>0</v>
      </c>
      <c r="EV153" s="530">
        <v>0</v>
      </c>
      <c r="EW153" s="530">
        <v>0</v>
      </c>
      <c r="EX153" s="530">
        <v>0</v>
      </c>
      <c r="EY153" s="530">
        <f t="shared" si="99"/>
        <v>0</v>
      </c>
      <c r="EZ153" s="530">
        <f t="shared" si="100"/>
        <v>0</v>
      </c>
      <c r="FA153" s="530">
        <f t="shared" si="101"/>
        <v>0</v>
      </c>
      <c r="FB153" s="530">
        <f t="shared" si="102"/>
        <v>0</v>
      </c>
      <c r="FC153" s="384">
        <f>IFERROR(VLOOKUP(Capex!A144,BASE_558!D:R,8,FALSE)/1000,"")</f>
        <v>140</v>
      </c>
      <c r="FD153" s="328">
        <f>IFERROR(VLOOKUP(Capex!A144,BASE_558!D:R,9,)/1000,"")</f>
        <v>115.48541</v>
      </c>
      <c r="FE153" s="328">
        <f>IFERROR(IF(LEFT(A153,3)="LCP",(VLOOKUP(Capex!A144,BASE_558!D:R,10,)/1000),SUMIFS('BASE ICP_PO_SC'!F:F,'BASE ICP_PO_SC'!A:A,Capex!A144,'BASE ICP_PO_SC'!E:E,"&lt;&gt;")/1000),"")</f>
        <v>0</v>
      </c>
      <c r="FF153" s="328">
        <f>IFERROR(IF(LEFT(A153,3)="LCP",(VLOOKUP(Capex!A144,BASE_558!D:R,11,)/1000),SUMIFS('BASE ICP_PO_SC'!F:F,'BASE ICP_PO_SC'!A:A,Capex!A144,'BASE ICP_PO_SC'!E:E,"")/1000),"")</f>
        <v>0</v>
      </c>
      <c r="FG153" s="328">
        <f>IFERROR(VLOOKUP(A153,BASE_558!D:R,13,FALSE)/1000,"")</f>
        <v>567.11</v>
      </c>
      <c r="FH153" s="328">
        <f>IFERROR(VLOOKUP(A153,BASE_558!D:R,15,FALSE)/1000,"")</f>
        <v>49.299790000000002</v>
      </c>
      <c r="FI153" s="547">
        <f t="shared" si="103"/>
        <v>0</v>
      </c>
      <c r="FJ153" s="547">
        <f t="shared" si="104"/>
        <v>0</v>
      </c>
      <c r="FK153" s="540">
        <f t="shared" si="105"/>
        <v>0</v>
      </c>
    </row>
    <row r="154" spans="1:167" s="23" customFormat="1" ht="24" customHeight="1">
      <c r="A154" s="84" t="s">
        <v>199</v>
      </c>
      <c r="B154" s="404"/>
      <c r="C154" s="404"/>
      <c r="D154" s="338" t="s">
        <v>922</v>
      </c>
      <c r="E154" s="378">
        <v>1920524</v>
      </c>
      <c r="F154" s="5"/>
      <c r="G154" s="310" t="s">
        <v>9</v>
      </c>
      <c r="H154" s="338"/>
      <c r="I154" s="338"/>
      <c r="J154" s="338">
        <v>2019</v>
      </c>
      <c r="K154" s="316">
        <v>43676</v>
      </c>
      <c r="L154" s="317">
        <v>44029</v>
      </c>
      <c r="M154" s="409"/>
      <c r="N154" s="317">
        <f t="shared" si="74"/>
        <v>44588</v>
      </c>
      <c r="O154" s="317">
        <f t="shared" si="75"/>
        <v>44953</v>
      </c>
      <c r="P154" s="418" t="str">
        <f t="shared" si="107"/>
        <v>CRTD</v>
      </c>
      <c r="Q154" s="418" t="str">
        <f t="shared" si="107"/>
        <v>CRTD</v>
      </c>
      <c r="R154" s="418" t="str">
        <f t="shared" si="107"/>
        <v>CRTD</v>
      </c>
      <c r="S154" s="418" t="str">
        <f t="shared" si="107"/>
        <v>CRTD</v>
      </c>
      <c r="T154" s="418" t="str">
        <f t="shared" si="107"/>
        <v>CRTD</v>
      </c>
      <c r="U154" s="418" t="str">
        <f t="shared" si="107"/>
        <v>CRTD</v>
      </c>
      <c r="V154" s="418" t="str">
        <f t="shared" si="107"/>
        <v>CRTD</v>
      </c>
      <c r="W154" s="418" t="str">
        <f t="shared" si="107"/>
        <v>CRTD</v>
      </c>
      <c r="X154" s="418" t="str">
        <f t="shared" si="107"/>
        <v>CRTD</v>
      </c>
      <c r="Y154" s="418" t="str">
        <f t="shared" si="107"/>
        <v>CRTD</v>
      </c>
      <c r="Z154" s="418" t="str">
        <f t="shared" si="107"/>
        <v>CRTD</v>
      </c>
      <c r="AA154" s="418" t="str">
        <f t="shared" si="107"/>
        <v>CRTD</v>
      </c>
      <c r="AB154" s="317"/>
      <c r="AC154" s="309" t="s">
        <v>2508</v>
      </c>
      <c r="AD154" s="311" t="s">
        <v>223</v>
      </c>
      <c r="AE154" s="311"/>
      <c r="AF154" s="310" t="s">
        <v>6985</v>
      </c>
      <c r="AG154" s="310" t="s">
        <v>9083</v>
      </c>
      <c r="AH154" s="310" t="s">
        <v>198</v>
      </c>
      <c r="AI154" s="309" t="s">
        <v>2255</v>
      </c>
      <c r="AJ154" s="6" t="s">
        <v>218</v>
      </c>
      <c r="AK154" s="6" t="str">
        <f t="shared" si="83"/>
        <v>IGUAL</v>
      </c>
      <c r="AL154" s="151" t="str">
        <f>IFERROR(IF(LEFT(A154,3)="LCP",VLOOKUP(A154,STATUS_SAP_LCP!B:C,2,FALSE),VLOOKUP(A154,STATUS_SAP_ICP!B:C,2,FALSE)),"NO BUDGET")</f>
        <v>CLSD BUDG AUC  AVAC  //  APPR BREL EXPL</v>
      </c>
      <c r="AM154" s="6" t="str">
        <f t="shared" si="82"/>
        <v>CLSD</v>
      </c>
      <c r="AN154" s="282" t="s">
        <v>9087</v>
      </c>
      <c r="AO154" s="493">
        <v>1</v>
      </c>
      <c r="AP154" s="499" t="s">
        <v>9607</v>
      </c>
      <c r="AQ154" s="465">
        <v>44029</v>
      </c>
      <c r="AR154" s="460"/>
      <c r="AS154" s="56">
        <v>20.149589999999996</v>
      </c>
      <c r="AT154" s="185">
        <v>0</v>
      </c>
      <c r="AU154" s="318">
        <v>0</v>
      </c>
      <c r="AV154" s="223">
        <v>0</v>
      </c>
      <c r="AW154" s="318">
        <v>0</v>
      </c>
      <c r="AX154" s="223">
        <v>0</v>
      </c>
      <c r="AY154" s="318">
        <f t="shared" si="76"/>
        <v>0</v>
      </c>
      <c r="AZ154" s="223"/>
      <c r="BA154" s="318"/>
      <c r="BB154" s="519">
        <f t="shared" si="77"/>
        <v>0</v>
      </c>
      <c r="BC154" s="518"/>
      <c r="BD154" s="518"/>
      <c r="BE154" s="518"/>
      <c r="BF154" s="518"/>
      <c r="BG154" s="518"/>
      <c r="BH154" s="518"/>
      <c r="BI154" s="518"/>
      <c r="BJ154" s="518"/>
      <c r="BK154" s="518"/>
      <c r="BL154" s="518"/>
      <c r="BM154" s="518"/>
      <c r="BN154" s="518"/>
      <c r="BO154" s="367">
        <f t="shared" si="84"/>
        <v>0</v>
      </c>
      <c r="BP154" s="421"/>
      <c r="BQ154" s="422"/>
      <c r="BR154" s="423">
        <f>IFERROR(IF(LEFT($A154,3)="Lcp",SUMIFS('BASE-LCP'!$K:$K,'BASE-LCP'!$A:$A,Capex!$A145,'BASE-LCP'!$B:$B,"janeiro")/1000,IF(LEFT($A154,3)="icp",SUMIFS('BASE-ICP'!$K:$K,'BASE-ICP'!$A:$A,Capex!$A145,'BASE-ICP'!$B:$B,"janeiro")/1000,"")),"")</f>
        <v>0</v>
      </c>
      <c r="BS154" s="427">
        <v>0</v>
      </c>
      <c r="BT154" s="372">
        <v>0</v>
      </c>
      <c r="BU154" s="422"/>
      <c r="BV154" s="423">
        <f>IFERROR(IF(LEFT($A154,3)="Lcp",SUMIFS('BASE-LCP'!$K:$K,'BASE-LCP'!$A:$A,Capex!$A145,'BASE-LCP'!$B:$B,"fevereiro")/1000,IF(LEFT($A154,3)="icp",SUMIFS('BASE-ICP'!$K:$K,'BASE-ICP'!$A:$A,Capex!$A145,'BASE-ICP'!$B:$B,"fevereiro")/1000,"")),"")</f>
        <v>0</v>
      </c>
      <c r="BW154" s="427">
        <v>0</v>
      </c>
      <c r="BX154" s="372">
        <v>0</v>
      </c>
      <c r="BY154" s="419"/>
      <c r="BZ154" s="423">
        <f>IFERROR(IF(LEFT($A154,3)="Lcp",SUMIFS('BASE-LCP'!$K:$K,'BASE-LCP'!$A:$A,Capex!$A145,'BASE-LCP'!$B:$B,"março")/1000,IF(LEFT($A154,3)="icp",SUMIFS('BASE-ICP'!$K:$K,'BASE-ICP'!$A:$A,Capex!$A145,'BASE-ICP'!$B:$B,"março")/1000,"")),"")</f>
        <v>0</v>
      </c>
      <c r="CA154" s="427">
        <v>0</v>
      </c>
      <c r="CB154" s="372">
        <v>0</v>
      </c>
      <c r="CC154" s="422"/>
      <c r="CD154" s="423">
        <f>IFERROR(IF(LEFT($A154,3)="Lcp",SUMIFS('BASE-LCP'!$K:$K,'BASE-LCP'!$A:$A,Capex!$A145,'BASE-LCP'!$B:$B,"abril")/1000,IF(LEFT($A154,3)="icp",SUMIFS('BASE-ICP'!$K:$K,'BASE-ICP'!$A:$A,Capex!$A145,'BASE-ICP'!$B:$B,"abril")/1000,"")),"")</f>
        <v>0</v>
      </c>
      <c r="CE154" s="427">
        <v>0</v>
      </c>
      <c r="CF154" s="372">
        <v>0</v>
      </c>
      <c r="CG154" s="419"/>
      <c r="CH154" s="423">
        <v>0</v>
      </c>
      <c r="CI154" s="427">
        <v>0</v>
      </c>
      <c r="CJ154" s="372">
        <v>0</v>
      </c>
      <c r="CK154" s="419"/>
      <c r="CL154" s="423">
        <f>IFERROR(IF(LEFT($A154,3)="Lcp",SUMIFS('BASE-LCP'!$K:$K,'BASE-LCP'!$A:$A,Capex!$A145,'BASE-LCP'!$B:$B,"junho")/1000,IF(LEFT($A154,3)="icp",SUMIFS('BASE-ICP'!$K:$K,'BASE-ICP'!$A:$A,Capex!$A145,'BASE-ICP'!$B:$B,"junho")/1000,"")),"")</f>
        <v>0</v>
      </c>
      <c r="CM154" s="427">
        <v>0</v>
      </c>
      <c r="CN154" s="372"/>
      <c r="CO154" s="419"/>
      <c r="CP154" s="423">
        <f>IFERROR(IF(LEFT($A154,3)="Lcp",SUMIFS('BASE-LCP'!$K:$K,'BASE-LCP'!$A:$A,Capex!$A145,'BASE-LCP'!$B:$B,"julho")/1000,IF(LEFT($A154,3)="icp",SUMIFS('BASE-ICP'!$K:$K,'BASE-ICP'!$A:$A,Capex!$A145,'BASE-ICP'!$B:$B,"julho")/1000,"")),"")</f>
        <v>0</v>
      </c>
      <c r="CQ154" s="427">
        <v>0</v>
      </c>
      <c r="CR154" s="372"/>
      <c r="CS154" s="419"/>
      <c r="CT154" s="423">
        <f>IFERROR(IF(LEFT($A154,3)="Lcp",SUMIFS('BASE-LCP'!$K:$K,'BASE-LCP'!$A:$A,Capex!$A145,'BASE-LCP'!$B:$B,"agosto")/1000,IF(LEFT($A154,3)="icp",SUMIFS('BASE-ICP'!$K:$K,'BASE-ICP'!$A:$A,Capex!$A145,'BASE-ICP'!$B:$B,"agosto")/1000,"")),"")</f>
        <v>0</v>
      </c>
      <c r="CU154" s="427">
        <v>0</v>
      </c>
      <c r="CV154" s="372"/>
      <c r="CW154" s="419"/>
      <c r="CX154" s="423">
        <f>IFERROR(IF(LEFT($A154,3)="Lcp",SUMIFS('BASE-LCP'!$K:$K,'BASE-LCP'!$A:$A,Capex!$A145,'BASE-LCP'!$B:$B,"setembro")/1000,IF(LEFT($A154,3)="icp",SUMIFS('BASE-ICP'!$K:$K,'BASE-ICP'!$A:$A,Capex!$A145,'BASE-ICP'!$B:$B,"setembro")/1000,"")),"")</f>
        <v>0</v>
      </c>
      <c r="CY154" s="427">
        <v>0</v>
      </c>
      <c r="CZ154" s="372"/>
      <c r="DA154" s="419"/>
      <c r="DB154" s="423">
        <f>IFERROR(IF(LEFT($A154,3)="Lcp",SUMIFS('BASE-LCP'!$K:$K,'BASE-LCP'!$A:$A,Capex!$A145,'BASE-LCP'!$B:$B,"outubro")/1000,IF(LEFT($A154,3)="icp",SUMIFS('BASE-ICP'!$K:$K,'BASE-ICP'!$A:$A,Capex!$A145,'BASE-ICP'!$B:$B,"outubro")/1000,"")),"")</f>
        <v>0</v>
      </c>
      <c r="DC154" s="427">
        <v>0</v>
      </c>
      <c r="DD154" s="372"/>
      <c r="DE154" s="419"/>
      <c r="DF154" s="423">
        <f>IFERROR(IF(LEFT($A154,3)="Lcp",SUMIFS('BASE-LCP'!$K:$K,'BASE-LCP'!$A:$A,Capex!$A145,'BASE-LCP'!$B:$B,"novembro")/1000,IF(LEFT($A154,3)="icp",SUMIFS('BASE-ICP'!$K:$K,'BASE-ICP'!$A:$A,Capex!$A145,'BASE-ICP'!$B:$B,"novembro")/1000,"")),"")</f>
        <v>0</v>
      </c>
      <c r="DG154" s="427">
        <v>0</v>
      </c>
      <c r="DH154" s="372"/>
      <c r="DI154" s="419"/>
      <c r="DJ154" s="423">
        <f>IFERROR(IF(LEFT($A154,3)="Lcp",SUMIFS('BASE-LCP'!$K:$K,'BASE-LCP'!$A:$A,Capex!$A145,'BASE-LCP'!$B:$B,"dezembro")/1000,IF(LEFT($A154,3)="icp",SUMIFS('BASE-ICP'!$K:$K,'BASE-ICP'!$A:$A,Capex!$A145,'BASE-ICP'!$B:$B,"dezembro")/1000,"")),"")</f>
        <v>0</v>
      </c>
      <c r="DK154" s="427">
        <v>0</v>
      </c>
      <c r="DL154" s="452">
        <f t="shared" si="85"/>
        <v>0</v>
      </c>
      <c r="DM154" s="374"/>
      <c r="DN154" s="374"/>
      <c r="DO154" s="374"/>
      <c r="DP154" s="374"/>
      <c r="DQ154" s="374"/>
      <c r="DR154" s="374"/>
      <c r="DS154" s="374"/>
      <c r="DT154" s="374"/>
      <c r="DU154" s="374"/>
      <c r="DV154" s="374"/>
      <c r="DW154" s="374"/>
      <c r="DX154" s="374"/>
      <c r="DY154" s="450"/>
      <c r="DZ154" s="374">
        <f t="shared" si="86"/>
        <v>0</v>
      </c>
      <c r="EA154" s="216">
        <f t="shared" si="87"/>
        <v>0</v>
      </c>
      <c r="EB154" s="320">
        <f t="shared" si="88"/>
        <v>0</v>
      </c>
      <c r="EC154" s="241">
        <f t="shared" si="89"/>
        <v>0</v>
      </c>
      <c r="ED154" s="241">
        <f t="shared" si="90"/>
        <v>0</v>
      </c>
      <c r="EE154" s="241">
        <f t="shared" si="91"/>
        <v>0</v>
      </c>
      <c r="EF154" s="241">
        <f t="shared" si="92"/>
        <v>0</v>
      </c>
      <c r="EG154" s="346">
        <f t="shared" si="93"/>
        <v>0</v>
      </c>
      <c r="EH154" s="445">
        <f t="shared" si="94"/>
        <v>0</v>
      </c>
      <c r="EI154" s="447">
        <f t="shared" si="95"/>
        <v>0</v>
      </c>
      <c r="EJ154" s="364">
        <f t="shared" si="96"/>
        <v>0</v>
      </c>
      <c r="EK154" s="365">
        <f t="shared" si="97"/>
        <v>0</v>
      </c>
      <c r="EL154" s="529">
        <f t="shared" si="98"/>
        <v>0</v>
      </c>
      <c r="EM154" s="530">
        <v>0</v>
      </c>
      <c r="EN154" s="530">
        <v>0</v>
      </c>
      <c r="EO154" s="530">
        <v>0</v>
      </c>
      <c r="EP154" s="530">
        <v>0</v>
      </c>
      <c r="EQ154" s="530">
        <v>0</v>
      </c>
      <c r="ER154" s="530">
        <v>0</v>
      </c>
      <c r="ES154" s="530">
        <v>0</v>
      </c>
      <c r="ET154" s="530">
        <v>0</v>
      </c>
      <c r="EU154" s="530">
        <v>0</v>
      </c>
      <c r="EV154" s="530">
        <v>0</v>
      </c>
      <c r="EW154" s="530">
        <v>0</v>
      </c>
      <c r="EX154" s="530">
        <v>0</v>
      </c>
      <c r="EY154" s="530">
        <f t="shared" si="99"/>
        <v>0</v>
      </c>
      <c r="EZ154" s="530">
        <f t="shared" si="100"/>
        <v>0</v>
      </c>
      <c r="FA154" s="530">
        <f t="shared" si="101"/>
        <v>0</v>
      </c>
      <c r="FB154" s="530">
        <f t="shared" si="102"/>
        <v>0</v>
      </c>
      <c r="FC154" s="384">
        <f>IFERROR(VLOOKUP(Capex!A145,BASE_558!D:R,8,FALSE)/1000,"")</f>
        <v>385.7</v>
      </c>
      <c r="FD154" s="328">
        <f>IFERROR(VLOOKUP(Capex!A145,BASE_558!D:R,9,)/1000,"")</f>
        <v>299.87085999999999</v>
      </c>
      <c r="FE154" s="328">
        <f>IFERROR(IF(LEFT(A154,3)="LCP",(VLOOKUP(Capex!A145,BASE_558!D:R,10,)/1000),SUMIFS('BASE ICP_PO_SC'!F:F,'BASE ICP_PO_SC'!A:A,Capex!A145,'BASE ICP_PO_SC'!E:E,"&lt;&gt;")/1000),"")</f>
        <v>0</v>
      </c>
      <c r="FF154" s="328">
        <f>IFERROR(IF(LEFT(A154,3)="LCP",(VLOOKUP(Capex!A145,BASE_558!D:R,11,)/1000),SUMIFS('BASE ICP_PO_SC'!F:F,'BASE ICP_PO_SC'!A:A,Capex!A145,'BASE ICP_PO_SC'!E:E,"")/1000),"")</f>
        <v>0</v>
      </c>
      <c r="FG154" s="328">
        <f>IFERROR(VLOOKUP(A154,BASE_558!D:R,13,FALSE)/1000,"")</f>
        <v>20.14959</v>
      </c>
      <c r="FH154" s="328">
        <f>IFERROR(VLOOKUP(A154,BASE_558!D:R,15,FALSE)/1000,"")</f>
        <v>46.850410000000004</v>
      </c>
      <c r="FI154" s="547">
        <f t="shared" si="103"/>
        <v>0</v>
      </c>
      <c r="FJ154" s="547">
        <f t="shared" si="104"/>
        <v>0</v>
      </c>
      <c r="FK154" s="540">
        <f t="shared" si="105"/>
        <v>0</v>
      </c>
    </row>
    <row r="155" spans="1:167" s="23" customFormat="1" ht="24" customHeight="1">
      <c r="A155" s="84" t="s">
        <v>203</v>
      </c>
      <c r="B155" s="404"/>
      <c r="C155" s="404"/>
      <c r="D155" s="338" t="s">
        <v>930</v>
      </c>
      <c r="E155" s="378">
        <v>1917345</v>
      </c>
      <c r="F155" s="5"/>
      <c r="G155" s="310" t="s">
        <v>9</v>
      </c>
      <c r="H155" s="338"/>
      <c r="I155" s="338"/>
      <c r="J155" s="338">
        <v>2019</v>
      </c>
      <c r="K155" s="316">
        <v>43676</v>
      </c>
      <c r="L155" s="317">
        <v>44372</v>
      </c>
      <c r="M155" s="409"/>
      <c r="N155" s="317">
        <f t="shared" si="74"/>
        <v>44588</v>
      </c>
      <c r="O155" s="317">
        <f t="shared" si="75"/>
        <v>44953</v>
      </c>
      <c r="P155" s="418" t="str">
        <f t="shared" ref="P155:AA164" si="108">IF($N155="","N/A",IF($O155="","N/A",IF(P$2&lt;=$N155,"NÃO",IF($AJ155="REL ","SIM",IF(P$2&lt;$O155,"NÃO",IF($AJ155&lt;&gt;"CLSD","SIM","CRTD"))))))</f>
        <v>CRTD</v>
      </c>
      <c r="Q155" s="418" t="str">
        <f t="shared" si="108"/>
        <v>CRTD</v>
      </c>
      <c r="R155" s="418" t="str">
        <f t="shared" si="108"/>
        <v>CRTD</v>
      </c>
      <c r="S155" s="418" t="str">
        <f t="shared" si="108"/>
        <v>CRTD</v>
      </c>
      <c r="T155" s="418" t="str">
        <f t="shared" si="108"/>
        <v>CRTD</v>
      </c>
      <c r="U155" s="418" t="str">
        <f t="shared" si="108"/>
        <v>CRTD</v>
      </c>
      <c r="V155" s="418" t="str">
        <f t="shared" si="108"/>
        <v>CRTD</v>
      </c>
      <c r="W155" s="418" t="str">
        <f t="shared" si="108"/>
        <v>CRTD</v>
      </c>
      <c r="X155" s="418" t="str">
        <f t="shared" si="108"/>
        <v>CRTD</v>
      </c>
      <c r="Y155" s="418" t="str">
        <f t="shared" si="108"/>
        <v>CRTD</v>
      </c>
      <c r="Z155" s="418" t="str">
        <f t="shared" si="108"/>
        <v>CRTD</v>
      </c>
      <c r="AA155" s="418" t="str">
        <f t="shared" si="108"/>
        <v>CRTD</v>
      </c>
      <c r="AB155" s="317"/>
      <c r="AC155" s="309" t="s">
        <v>3932</v>
      </c>
      <c r="AD155" s="311" t="s">
        <v>5</v>
      </c>
      <c r="AE155" s="311" t="s">
        <v>952</v>
      </c>
      <c r="AF155" s="310" t="s">
        <v>6985</v>
      </c>
      <c r="AG155" s="310" t="s">
        <v>9083</v>
      </c>
      <c r="AH155" s="310" t="s">
        <v>202</v>
      </c>
      <c r="AI155" s="309" t="s">
        <v>316</v>
      </c>
      <c r="AJ155" s="6" t="s">
        <v>218</v>
      </c>
      <c r="AK155" s="6" t="str">
        <f t="shared" si="83"/>
        <v>IGUAL</v>
      </c>
      <c r="AL155" s="151" t="str">
        <f>IFERROR(IF(LEFT(A155,3)="LCP",VLOOKUP(A155,STATUS_SAP_LCP!B:C,2,FALSE),VLOOKUP(A155,STATUS_SAP_ICP!B:C,2,FALSE)),"NO BUDGET")</f>
        <v>CLSD BUDG AUC  AVAC  //  APPR BREL EXPL</v>
      </c>
      <c r="AM155" s="6" t="str">
        <f t="shared" si="82"/>
        <v>CLSD</v>
      </c>
      <c r="AN155" s="282" t="s">
        <v>9085</v>
      </c>
      <c r="AO155" s="493">
        <v>1</v>
      </c>
      <c r="AP155" s="499" t="s">
        <v>9607</v>
      </c>
      <c r="AQ155" s="465">
        <v>44372</v>
      </c>
      <c r="AR155" s="460"/>
      <c r="AS155" s="56">
        <v>1.56802</v>
      </c>
      <c r="AT155" s="185">
        <v>0</v>
      </c>
      <c r="AU155" s="318">
        <v>-1.56802</v>
      </c>
      <c r="AV155" s="223">
        <v>0</v>
      </c>
      <c r="AW155" s="318">
        <v>0</v>
      </c>
      <c r="AX155" s="223">
        <v>0</v>
      </c>
      <c r="AY155" s="318">
        <f t="shared" si="76"/>
        <v>0</v>
      </c>
      <c r="AZ155" s="223"/>
      <c r="BA155" s="318"/>
      <c r="BB155" s="519">
        <f t="shared" si="77"/>
        <v>0</v>
      </c>
      <c r="BC155" s="518"/>
      <c r="BD155" s="518"/>
      <c r="BE155" s="518"/>
      <c r="BF155" s="518"/>
      <c r="BG155" s="518"/>
      <c r="BH155" s="518"/>
      <c r="BI155" s="518"/>
      <c r="BJ155" s="518"/>
      <c r="BK155" s="518"/>
      <c r="BL155" s="518"/>
      <c r="BM155" s="518"/>
      <c r="BN155" s="518"/>
      <c r="BO155" s="367">
        <f t="shared" si="84"/>
        <v>0</v>
      </c>
      <c r="BP155" s="421"/>
      <c r="BQ155" s="422"/>
      <c r="BR155" s="423">
        <f>IFERROR(IF(LEFT($A155,3)="Lcp",SUMIFS('BASE-LCP'!$K:$K,'BASE-LCP'!$A:$A,Capex!$A146,'BASE-LCP'!$B:$B,"janeiro")/1000,IF(LEFT($A155,3)="icp",SUMIFS('BASE-ICP'!$K:$K,'BASE-ICP'!$A:$A,Capex!$A146,'BASE-ICP'!$B:$B,"janeiro")/1000,"")),"")</f>
        <v>0</v>
      </c>
      <c r="BS155" s="427">
        <v>0</v>
      </c>
      <c r="BT155" s="372">
        <v>0</v>
      </c>
      <c r="BU155" s="422"/>
      <c r="BV155" s="423">
        <f>IFERROR(IF(LEFT($A155,3)="Lcp",SUMIFS('BASE-LCP'!$K:$K,'BASE-LCP'!$A:$A,Capex!$A146,'BASE-LCP'!$B:$B,"fevereiro")/1000,IF(LEFT($A155,3)="icp",SUMIFS('BASE-ICP'!$K:$K,'BASE-ICP'!$A:$A,Capex!$A146,'BASE-ICP'!$B:$B,"fevereiro")/1000,"")),"")</f>
        <v>0</v>
      </c>
      <c r="BW155" s="427">
        <v>0</v>
      </c>
      <c r="BX155" s="372">
        <v>0</v>
      </c>
      <c r="BY155" s="419"/>
      <c r="BZ155" s="423">
        <f>IFERROR(IF(LEFT($A155,3)="Lcp",SUMIFS('BASE-LCP'!$K:$K,'BASE-LCP'!$A:$A,Capex!$A146,'BASE-LCP'!$B:$B,"março")/1000,IF(LEFT($A155,3)="icp",SUMIFS('BASE-ICP'!$K:$K,'BASE-ICP'!$A:$A,Capex!$A146,'BASE-ICP'!$B:$B,"março")/1000,"")),"")</f>
        <v>0</v>
      </c>
      <c r="CA155" s="427">
        <v>0</v>
      </c>
      <c r="CB155" s="372">
        <v>0</v>
      </c>
      <c r="CC155" s="422"/>
      <c r="CD155" s="423">
        <f>IFERROR(IF(LEFT($A155,3)="Lcp",SUMIFS('BASE-LCP'!$K:$K,'BASE-LCP'!$A:$A,Capex!$A146,'BASE-LCP'!$B:$B,"abril")/1000,IF(LEFT($A155,3)="icp",SUMIFS('BASE-ICP'!$K:$K,'BASE-ICP'!$A:$A,Capex!$A146,'BASE-ICP'!$B:$B,"abril")/1000,"")),"")</f>
        <v>0</v>
      </c>
      <c r="CE155" s="427">
        <v>0</v>
      </c>
      <c r="CF155" s="372">
        <v>0</v>
      </c>
      <c r="CG155" s="419"/>
      <c r="CH155" s="423">
        <v>0</v>
      </c>
      <c r="CI155" s="427">
        <v>0</v>
      </c>
      <c r="CJ155" s="372">
        <v>0</v>
      </c>
      <c r="CK155" s="419"/>
      <c r="CL155" s="423">
        <f>IFERROR(IF(LEFT($A155,3)="Lcp",SUMIFS('BASE-LCP'!$K:$K,'BASE-LCP'!$A:$A,Capex!$A146,'BASE-LCP'!$B:$B,"junho")/1000,IF(LEFT($A155,3)="icp",SUMIFS('BASE-ICP'!$K:$K,'BASE-ICP'!$A:$A,Capex!$A146,'BASE-ICP'!$B:$B,"junho")/1000,"")),"")</f>
        <v>0</v>
      </c>
      <c r="CM155" s="427">
        <v>0</v>
      </c>
      <c r="CN155" s="372"/>
      <c r="CO155" s="419"/>
      <c r="CP155" s="423">
        <f>IFERROR(IF(LEFT($A155,3)="Lcp",SUMIFS('BASE-LCP'!$K:$K,'BASE-LCP'!$A:$A,Capex!$A146,'BASE-LCP'!$B:$B,"julho")/1000,IF(LEFT($A155,3)="icp",SUMIFS('BASE-ICP'!$K:$K,'BASE-ICP'!$A:$A,Capex!$A146,'BASE-ICP'!$B:$B,"julho")/1000,"")),"")</f>
        <v>0</v>
      </c>
      <c r="CQ155" s="427">
        <v>0</v>
      </c>
      <c r="CR155" s="372"/>
      <c r="CS155" s="419"/>
      <c r="CT155" s="423">
        <f>IFERROR(IF(LEFT($A155,3)="Lcp",SUMIFS('BASE-LCP'!$K:$K,'BASE-LCP'!$A:$A,Capex!$A146,'BASE-LCP'!$B:$B,"agosto")/1000,IF(LEFT($A155,3)="icp",SUMIFS('BASE-ICP'!$K:$K,'BASE-ICP'!$A:$A,Capex!$A146,'BASE-ICP'!$B:$B,"agosto")/1000,"")),"")</f>
        <v>0</v>
      </c>
      <c r="CU155" s="427">
        <v>0</v>
      </c>
      <c r="CV155" s="372"/>
      <c r="CW155" s="419"/>
      <c r="CX155" s="423">
        <f>IFERROR(IF(LEFT($A155,3)="Lcp",SUMIFS('BASE-LCP'!$K:$K,'BASE-LCP'!$A:$A,Capex!$A146,'BASE-LCP'!$B:$B,"setembro")/1000,IF(LEFT($A155,3)="icp",SUMIFS('BASE-ICP'!$K:$K,'BASE-ICP'!$A:$A,Capex!$A146,'BASE-ICP'!$B:$B,"setembro")/1000,"")),"")</f>
        <v>0</v>
      </c>
      <c r="CY155" s="427">
        <v>0</v>
      </c>
      <c r="CZ155" s="372"/>
      <c r="DA155" s="419"/>
      <c r="DB155" s="423">
        <f>IFERROR(IF(LEFT($A155,3)="Lcp",SUMIFS('BASE-LCP'!$K:$K,'BASE-LCP'!$A:$A,Capex!$A146,'BASE-LCP'!$B:$B,"outubro")/1000,IF(LEFT($A155,3)="icp",SUMIFS('BASE-ICP'!$K:$K,'BASE-ICP'!$A:$A,Capex!$A146,'BASE-ICP'!$B:$B,"outubro")/1000,"")),"")</f>
        <v>0</v>
      </c>
      <c r="DC155" s="427">
        <v>0</v>
      </c>
      <c r="DD155" s="372"/>
      <c r="DE155" s="419"/>
      <c r="DF155" s="423">
        <f>IFERROR(IF(LEFT($A155,3)="Lcp",SUMIFS('BASE-LCP'!$K:$K,'BASE-LCP'!$A:$A,Capex!$A146,'BASE-LCP'!$B:$B,"novembro")/1000,IF(LEFT($A155,3)="icp",SUMIFS('BASE-ICP'!$K:$K,'BASE-ICP'!$A:$A,Capex!$A146,'BASE-ICP'!$B:$B,"novembro")/1000,"")),"")</f>
        <v>0</v>
      </c>
      <c r="DG155" s="427">
        <v>0</v>
      </c>
      <c r="DH155" s="372"/>
      <c r="DI155" s="419"/>
      <c r="DJ155" s="423">
        <f>IFERROR(IF(LEFT($A155,3)="Lcp",SUMIFS('BASE-LCP'!$K:$K,'BASE-LCP'!$A:$A,Capex!$A146,'BASE-LCP'!$B:$B,"dezembro")/1000,IF(LEFT($A155,3)="icp",SUMIFS('BASE-ICP'!$K:$K,'BASE-ICP'!$A:$A,Capex!$A146,'BASE-ICP'!$B:$B,"dezembro")/1000,"")),"")</f>
        <v>0</v>
      </c>
      <c r="DK155" s="427">
        <v>0</v>
      </c>
      <c r="DL155" s="452">
        <f t="shared" si="85"/>
        <v>0</v>
      </c>
      <c r="DM155" s="374"/>
      <c r="DN155" s="374"/>
      <c r="DO155" s="374"/>
      <c r="DP155" s="374"/>
      <c r="DQ155" s="374"/>
      <c r="DR155" s="374"/>
      <c r="DS155" s="374"/>
      <c r="DT155" s="374"/>
      <c r="DU155" s="374"/>
      <c r="DV155" s="374"/>
      <c r="DW155" s="374"/>
      <c r="DX155" s="374"/>
      <c r="DY155" s="450"/>
      <c r="DZ155" s="374">
        <f t="shared" si="86"/>
        <v>0</v>
      </c>
      <c r="EA155" s="216">
        <f t="shared" si="87"/>
        <v>0</v>
      </c>
      <c r="EB155" s="320">
        <f t="shared" si="88"/>
        <v>0</v>
      </c>
      <c r="EC155" s="241">
        <f t="shared" si="89"/>
        <v>0</v>
      </c>
      <c r="ED155" s="241">
        <f t="shared" si="90"/>
        <v>0</v>
      </c>
      <c r="EE155" s="241">
        <f t="shared" si="91"/>
        <v>0</v>
      </c>
      <c r="EF155" s="241">
        <f t="shared" si="92"/>
        <v>0</v>
      </c>
      <c r="EG155" s="346">
        <f t="shared" si="93"/>
        <v>0</v>
      </c>
      <c r="EH155" s="445">
        <f t="shared" si="94"/>
        <v>0</v>
      </c>
      <c r="EI155" s="447">
        <f t="shared" si="95"/>
        <v>0</v>
      </c>
      <c r="EJ155" s="364">
        <f t="shared" si="96"/>
        <v>0</v>
      </c>
      <c r="EK155" s="365">
        <f t="shared" si="97"/>
        <v>0</v>
      </c>
      <c r="EL155" s="529">
        <f t="shared" si="98"/>
        <v>0</v>
      </c>
      <c r="EM155" s="530">
        <v>0</v>
      </c>
      <c r="EN155" s="530">
        <v>0</v>
      </c>
      <c r="EO155" s="530">
        <v>0</v>
      </c>
      <c r="EP155" s="530">
        <v>0</v>
      </c>
      <c r="EQ155" s="530">
        <v>0</v>
      </c>
      <c r="ER155" s="530">
        <v>0</v>
      </c>
      <c r="ES155" s="530">
        <v>0</v>
      </c>
      <c r="ET155" s="530">
        <v>0</v>
      </c>
      <c r="EU155" s="530">
        <v>0</v>
      </c>
      <c r="EV155" s="530">
        <v>0</v>
      </c>
      <c r="EW155" s="530">
        <v>0</v>
      </c>
      <c r="EX155" s="530">
        <v>0</v>
      </c>
      <c r="EY155" s="530">
        <f t="shared" si="99"/>
        <v>0</v>
      </c>
      <c r="EZ155" s="530">
        <f t="shared" si="100"/>
        <v>0</v>
      </c>
      <c r="FA155" s="530">
        <f t="shared" si="101"/>
        <v>0</v>
      </c>
      <c r="FB155" s="530">
        <f t="shared" si="102"/>
        <v>0</v>
      </c>
      <c r="FC155" s="384">
        <f>IFERROR(VLOOKUP(Capex!A146,BASE_558!D:R,8,FALSE)/1000,"")</f>
        <v>11.5</v>
      </c>
      <c r="FD155" s="328">
        <f>IFERROR(VLOOKUP(Capex!A146,BASE_558!D:R,9,)/1000,"")</f>
        <v>11.29926</v>
      </c>
      <c r="FE155" s="328">
        <f>IFERROR(IF(LEFT(A155,3)="LCP",(VLOOKUP(Capex!A146,BASE_558!D:R,10,)/1000),SUMIFS('BASE ICP_PO_SC'!F:F,'BASE ICP_PO_SC'!A:A,Capex!A146,'BASE ICP_PO_SC'!E:E,"&lt;&gt;")/1000),"")</f>
        <v>0</v>
      </c>
      <c r="FF155" s="328">
        <f>IFERROR(IF(LEFT(A155,3)="LCP",(VLOOKUP(Capex!A146,BASE_558!D:R,11,)/1000),SUMIFS('BASE ICP_PO_SC'!F:F,'BASE ICP_PO_SC'!A:A,Capex!A146,'BASE ICP_PO_SC'!E:E,"")/1000),"")</f>
        <v>0</v>
      </c>
      <c r="FG155" s="328">
        <f>IFERROR(VLOOKUP(A155,BASE_558!D:R,13,FALSE)/1000,"")</f>
        <v>0</v>
      </c>
      <c r="FH155" s="328">
        <f>IFERROR(VLOOKUP(A155,BASE_558!D:R,15,FALSE)/1000,"")</f>
        <v>90.5</v>
      </c>
      <c r="FI155" s="547">
        <f t="shared" si="103"/>
        <v>0</v>
      </c>
      <c r="FJ155" s="547">
        <f t="shared" si="104"/>
        <v>0</v>
      </c>
      <c r="FK155" s="540">
        <f t="shared" si="105"/>
        <v>0</v>
      </c>
    </row>
    <row r="156" spans="1:167" s="23" customFormat="1" ht="24" customHeight="1">
      <c r="A156" s="84" t="s">
        <v>210</v>
      </c>
      <c r="B156" s="404"/>
      <c r="C156" s="404"/>
      <c r="D156" s="338" t="s">
        <v>923</v>
      </c>
      <c r="E156" s="378">
        <v>1958617</v>
      </c>
      <c r="F156" s="310" t="s">
        <v>609</v>
      </c>
      <c r="G156" s="310" t="s">
        <v>9</v>
      </c>
      <c r="H156" s="338"/>
      <c r="I156" s="338"/>
      <c r="J156" s="338">
        <v>2019</v>
      </c>
      <c r="K156" s="316">
        <v>43698</v>
      </c>
      <c r="L156" s="317">
        <v>44225</v>
      </c>
      <c r="M156" s="409"/>
      <c r="N156" s="317">
        <f t="shared" ref="N156:N219" si="109">IF(K156+912=912,"",K156+912)</f>
        <v>44610</v>
      </c>
      <c r="O156" s="317">
        <f t="shared" ref="O156:O219" si="110">IF(K156+1277=1277,"",K156+1277)</f>
        <v>44975</v>
      </c>
      <c r="P156" s="418" t="str">
        <f t="shared" si="108"/>
        <v>CRTD</v>
      </c>
      <c r="Q156" s="418" t="str">
        <f t="shared" si="108"/>
        <v>CRTD</v>
      </c>
      <c r="R156" s="418" t="str">
        <f t="shared" si="108"/>
        <v>CRTD</v>
      </c>
      <c r="S156" s="418" t="str">
        <f t="shared" si="108"/>
        <v>CRTD</v>
      </c>
      <c r="T156" s="418" t="str">
        <f t="shared" si="108"/>
        <v>CRTD</v>
      </c>
      <c r="U156" s="418" t="str">
        <f t="shared" si="108"/>
        <v>CRTD</v>
      </c>
      <c r="V156" s="418" t="str">
        <f t="shared" si="108"/>
        <v>CRTD</v>
      </c>
      <c r="W156" s="418" t="str">
        <f t="shared" si="108"/>
        <v>CRTD</v>
      </c>
      <c r="X156" s="418" t="str">
        <f t="shared" si="108"/>
        <v>CRTD</v>
      </c>
      <c r="Y156" s="418" t="str">
        <f t="shared" si="108"/>
        <v>CRTD</v>
      </c>
      <c r="Z156" s="418" t="str">
        <f t="shared" si="108"/>
        <v>CRTD</v>
      </c>
      <c r="AA156" s="418" t="str">
        <f t="shared" si="108"/>
        <v>CRTD</v>
      </c>
      <c r="AB156" s="317"/>
      <c r="AC156" s="309" t="s">
        <v>3932</v>
      </c>
      <c r="AD156" s="311" t="s">
        <v>224</v>
      </c>
      <c r="AE156" s="311"/>
      <c r="AF156" s="310" t="s">
        <v>6985</v>
      </c>
      <c r="AG156" s="310" t="s">
        <v>9083</v>
      </c>
      <c r="AH156" s="310" t="s">
        <v>211</v>
      </c>
      <c r="AI156" s="309" t="s">
        <v>2255</v>
      </c>
      <c r="AJ156" s="6" t="s">
        <v>218</v>
      </c>
      <c r="AK156" s="6" t="str">
        <f t="shared" si="83"/>
        <v>IGUAL</v>
      </c>
      <c r="AL156" s="151" t="str">
        <f>IFERROR(IF(LEFT(A156,3)="LCP",VLOOKUP(A156,STATUS_SAP_LCP!B:C,2,FALSE),VLOOKUP(A156,STATUS_SAP_ICP!B:C,2,FALSE)),"NO BUDGET")</f>
        <v>CLSD BUDG AUC  AVAC  //  APPR BREL EXPL</v>
      </c>
      <c r="AM156" s="6" t="str">
        <f t="shared" si="82"/>
        <v>CLSD</v>
      </c>
      <c r="AN156" s="282" t="s">
        <v>9090</v>
      </c>
      <c r="AO156" s="493">
        <v>1</v>
      </c>
      <c r="AP156" s="499" t="s">
        <v>9607</v>
      </c>
      <c r="AQ156" s="465">
        <v>44225</v>
      </c>
      <c r="AR156" s="460"/>
      <c r="AS156" s="56">
        <v>96.045529999999999</v>
      </c>
      <c r="AT156" s="185">
        <v>36.824869999999997</v>
      </c>
      <c r="AU156" s="318">
        <v>0</v>
      </c>
      <c r="AV156" s="223">
        <v>0</v>
      </c>
      <c r="AW156" s="318">
        <v>0</v>
      </c>
      <c r="AX156" s="223">
        <v>0</v>
      </c>
      <c r="AY156" s="318">
        <f t="shared" ref="AY156:AY219" si="111">BO156</f>
        <v>0</v>
      </c>
      <c r="AZ156" s="223"/>
      <c r="BA156" s="318"/>
      <c r="BB156" s="519">
        <f t="shared" ref="BB156:BB219" si="112">SUM(BC156:BN156)</f>
        <v>0</v>
      </c>
      <c r="BC156" s="518"/>
      <c r="BD156" s="518"/>
      <c r="BE156" s="518"/>
      <c r="BF156" s="518"/>
      <c r="BG156" s="518"/>
      <c r="BH156" s="518"/>
      <c r="BI156" s="518"/>
      <c r="BJ156" s="518"/>
      <c r="BK156" s="518"/>
      <c r="BL156" s="518"/>
      <c r="BM156" s="518"/>
      <c r="BN156" s="518"/>
      <c r="BO156" s="367">
        <f t="shared" si="84"/>
        <v>0</v>
      </c>
      <c r="BP156" s="421"/>
      <c r="BQ156" s="422"/>
      <c r="BR156" s="423">
        <f>IFERROR(IF(LEFT($A156,3)="Lcp",SUMIFS('BASE-LCP'!$K:$K,'BASE-LCP'!$A:$A,Capex!$A147,'BASE-LCP'!$B:$B,"janeiro")/1000,IF(LEFT($A156,3)="icp",SUMIFS('BASE-ICP'!$K:$K,'BASE-ICP'!$A:$A,Capex!$A147,'BASE-ICP'!$B:$B,"janeiro")/1000,"")),"")</f>
        <v>0</v>
      </c>
      <c r="BS156" s="427">
        <v>0</v>
      </c>
      <c r="BT156" s="372">
        <v>0</v>
      </c>
      <c r="BU156" s="422"/>
      <c r="BV156" s="423">
        <f>IFERROR(IF(LEFT($A156,3)="Lcp",SUMIFS('BASE-LCP'!$K:$K,'BASE-LCP'!$A:$A,Capex!$A147,'BASE-LCP'!$B:$B,"fevereiro")/1000,IF(LEFT($A156,3)="icp",SUMIFS('BASE-ICP'!$K:$K,'BASE-ICP'!$A:$A,Capex!$A147,'BASE-ICP'!$B:$B,"fevereiro")/1000,"")),"")</f>
        <v>0</v>
      </c>
      <c r="BW156" s="427">
        <v>0</v>
      </c>
      <c r="BX156" s="372">
        <v>0</v>
      </c>
      <c r="BY156" s="419"/>
      <c r="BZ156" s="423">
        <f>IFERROR(IF(LEFT($A156,3)="Lcp",SUMIFS('BASE-LCP'!$K:$K,'BASE-LCP'!$A:$A,Capex!$A147,'BASE-LCP'!$B:$B,"março")/1000,IF(LEFT($A156,3)="icp",SUMIFS('BASE-ICP'!$K:$K,'BASE-ICP'!$A:$A,Capex!$A147,'BASE-ICP'!$B:$B,"março")/1000,"")),"")</f>
        <v>0</v>
      </c>
      <c r="CA156" s="427">
        <v>0</v>
      </c>
      <c r="CB156" s="372">
        <v>0</v>
      </c>
      <c r="CC156" s="422"/>
      <c r="CD156" s="423">
        <f>IFERROR(IF(LEFT($A156,3)="Lcp",SUMIFS('BASE-LCP'!$K:$K,'BASE-LCP'!$A:$A,Capex!$A147,'BASE-LCP'!$B:$B,"abril")/1000,IF(LEFT($A156,3)="icp",SUMIFS('BASE-ICP'!$K:$K,'BASE-ICP'!$A:$A,Capex!$A147,'BASE-ICP'!$B:$B,"abril")/1000,"")),"")</f>
        <v>0</v>
      </c>
      <c r="CE156" s="427">
        <v>0</v>
      </c>
      <c r="CF156" s="372">
        <v>0</v>
      </c>
      <c r="CG156" s="419"/>
      <c r="CH156" s="423">
        <v>0</v>
      </c>
      <c r="CI156" s="427">
        <v>0</v>
      </c>
      <c r="CJ156" s="372">
        <v>0</v>
      </c>
      <c r="CK156" s="419"/>
      <c r="CL156" s="423">
        <f>IFERROR(IF(LEFT($A156,3)="Lcp",SUMIFS('BASE-LCP'!$K:$K,'BASE-LCP'!$A:$A,Capex!$A147,'BASE-LCP'!$B:$B,"junho")/1000,IF(LEFT($A156,3)="icp",SUMIFS('BASE-ICP'!$K:$K,'BASE-ICP'!$A:$A,Capex!$A147,'BASE-ICP'!$B:$B,"junho")/1000,"")),"")</f>
        <v>0</v>
      </c>
      <c r="CM156" s="427">
        <v>0</v>
      </c>
      <c r="CN156" s="372"/>
      <c r="CO156" s="419"/>
      <c r="CP156" s="423">
        <f>IFERROR(IF(LEFT($A156,3)="Lcp",SUMIFS('BASE-LCP'!$K:$K,'BASE-LCP'!$A:$A,Capex!$A147,'BASE-LCP'!$B:$B,"julho")/1000,IF(LEFT($A156,3)="icp",SUMIFS('BASE-ICP'!$K:$K,'BASE-ICP'!$A:$A,Capex!$A147,'BASE-ICP'!$B:$B,"julho")/1000,"")),"")</f>
        <v>0</v>
      </c>
      <c r="CQ156" s="427">
        <v>0</v>
      </c>
      <c r="CR156" s="372"/>
      <c r="CS156" s="419"/>
      <c r="CT156" s="423">
        <f>IFERROR(IF(LEFT($A156,3)="Lcp",SUMIFS('BASE-LCP'!$K:$K,'BASE-LCP'!$A:$A,Capex!$A147,'BASE-LCP'!$B:$B,"agosto")/1000,IF(LEFT($A156,3)="icp",SUMIFS('BASE-ICP'!$K:$K,'BASE-ICP'!$A:$A,Capex!$A147,'BASE-ICP'!$B:$B,"agosto")/1000,"")),"")</f>
        <v>0</v>
      </c>
      <c r="CU156" s="427">
        <v>0</v>
      </c>
      <c r="CV156" s="372"/>
      <c r="CW156" s="419"/>
      <c r="CX156" s="423">
        <f>IFERROR(IF(LEFT($A156,3)="Lcp",SUMIFS('BASE-LCP'!$K:$K,'BASE-LCP'!$A:$A,Capex!$A147,'BASE-LCP'!$B:$B,"setembro")/1000,IF(LEFT($A156,3)="icp",SUMIFS('BASE-ICP'!$K:$K,'BASE-ICP'!$A:$A,Capex!$A147,'BASE-ICP'!$B:$B,"setembro")/1000,"")),"")</f>
        <v>0</v>
      </c>
      <c r="CY156" s="427">
        <v>0</v>
      </c>
      <c r="CZ156" s="372"/>
      <c r="DA156" s="419"/>
      <c r="DB156" s="423">
        <f>IFERROR(IF(LEFT($A156,3)="Lcp",SUMIFS('BASE-LCP'!$K:$K,'BASE-LCP'!$A:$A,Capex!$A147,'BASE-LCP'!$B:$B,"outubro")/1000,IF(LEFT($A156,3)="icp",SUMIFS('BASE-ICP'!$K:$K,'BASE-ICP'!$A:$A,Capex!$A147,'BASE-ICP'!$B:$B,"outubro")/1000,"")),"")</f>
        <v>0</v>
      </c>
      <c r="DC156" s="427">
        <v>0</v>
      </c>
      <c r="DD156" s="372"/>
      <c r="DE156" s="419"/>
      <c r="DF156" s="423">
        <f>IFERROR(IF(LEFT($A156,3)="Lcp",SUMIFS('BASE-LCP'!$K:$K,'BASE-LCP'!$A:$A,Capex!$A147,'BASE-LCP'!$B:$B,"novembro")/1000,IF(LEFT($A156,3)="icp",SUMIFS('BASE-ICP'!$K:$K,'BASE-ICP'!$A:$A,Capex!$A147,'BASE-ICP'!$B:$B,"novembro")/1000,"")),"")</f>
        <v>0</v>
      </c>
      <c r="DG156" s="427">
        <v>0</v>
      </c>
      <c r="DH156" s="372"/>
      <c r="DI156" s="419"/>
      <c r="DJ156" s="423">
        <f>IFERROR(IF(LEFT($A156,3)="Lcp",SUMIFS('BASE-LCP'!$K:$K,'BASE-LCP'!$A:$A,Capex!$A147,'BASE-LCP'!$B:$B,"dezembro")/1000,IF(LEFT($A156,3)="icp",SUMIFS('BASE-ICP'!$K:$K,'BASE-ICP'!$A:$A,Capex!$A147,'BASE-ICP'!$B:$B,"dezembro")/1000,"")),"")</f>
        <v>0</v>
      </c>
      <c r="DK156" s="427">
        <v>0</v>
      </c>
      <c r="DL156" s="452">
        <f t="shared" si="85"/>
        <v>0</v>
      </c>
      <c r="DM156" s="374"/>
      <c r="DN156" s="374"/>
      <c r="DO156" s="374"/>
      <c r="DP156" s="374"/>
      <c r="DQ156" s="374"/>
      <c r="DR156" s="374"/>
      <c r="DS156" s="374"/>
      <c r="DT156" s="374"/>
      <c r="DU156" s="374"/>
      <c r="DV156" s="374"/>
      <c r="DW156" s="374"/>
      <c r="DX156" s="374"/>
      <c r="DY156" s="450"/>
      <c r="DZ156" s="374">
        <f t="shared" si="86"/>
        <v>0</v>
      </c>
      <c r="EA156" s="216">
        <f t="shared" si="87"/>
        <v>0</v>
      </c>
      <c r="EB156" s="320">
        <f t="shared" si="88"/>
        <v>0</v>
      </c>
      <c r="EC156" s="241">
        <f t="shared" si="89"/>
        <v>0</v>
      </c>
      <c r="ED156" s="241">
        <f t="shared" si="90"/>
        <v>0</v>
      </c>
      <c r="EE156" s="241">
        <f t="shared" si="91"/>
        <v>0</v>
      </c>
      <c r="EF156" s="241">
        <f t="shared" si="92"/>
        <v>0</v>
      </c>
      <c r="EG156" s="346">
        <f t="shared" si="93"/>
        <v>0</v>
      </c>
      <c r="EH156" s="445">
        <f t="shared" si="94"/>
        <v>0</v>
      </c>
      <c r="EI156" s="447">
        <f t="shared" si="95"/>
        <v>0</v>
      </c>
      <c r="EJ156" s="364">
        <f t="shared" si="96"/>
        <v>0</v>
      </c>
      <c r="EK156" s="365">
        <f t="shared" si="97"/>
        <v>0</v>
      </c>
      <c r="EL156" s="529">
        <f t="shared" si="98"/>
        <v>0</v>
      </c>
      <c r="EM156" s="530">
        <v>0</v>
      </c>
      <c r="EN156" s="530">
        <v>0</v>
      </c>
      <c r="EO156" s="530">
        <v>0</v>
      </c>
      <c r="EP156" s="530">
        <v>0</v>
      </c>
      <c r="EQ156" s="530">
        <v>0</v>
      </c>
      <c r="ER156" s="530">
        <v>0</v>
      </c>
      <c r="ES156" s="530">
        <v>0</v>
      </c>
      <c r="ET156" s="530">
        <v>0</v>
      </c>
      <c r="EU156" s="530">
        <v>0</v>
      </c>
      <c r="EV156" s="530">
        <v>0</v>
      </c>
      <c r="EW156" s="530">
        <v>0</v>
      </c>
      <c r="EX156" s="530">
        <v>0</v>
      </c>
      <c r="EY156" s="530">
        <f t="shared" si="99"/>
        <v>0</v>
      </c>
      <c r="EZ156" s="530">
        <f t="shared" si="100"/>
        <v>0</v>
      </c>
      <c r="FA156" s="530">
        <f t="shared" si="101"/>
        <v>0</v>
      </c>
      <c r="FB156" s="530">
        <f t="shared" si="102"/>
        <v>0</v>
      </c>
      <c r="FC156" s="384">
        <f>IFERROR(VLOOKUP(Capex!A147,BASE_558!D:R,8,FALSE)/1000,"")</f>
        <v>67.5</v>
      </c>
      <c r="FD156" s="328">
        <f>IFERROR(VLOOKUP(Capex!A147,BASE_558!D:R,9,)/1000,"")</f>
        <v>54.663080000000001</v>
      </c>
      <c r="FE156" s="328">
        <f>IFERROR(IF(LEFT(A156,3)="LCP",(VLOOKUP(Capex!A147,BASE_558!D:R,10,)/1000),SUMIFS('BASE ICP_PO_SC'!F:F,'BASE ICP_PO_SC'!A:A,Capex!A147,'BASE ICP_PO_SC'!E:E,"&lt;&gt;")/1000),"")</f>
        <v>0</v>
      </c>
      <c r="FF156" s="328">
        <f>IFERROR(IF(LEFT(A156,3)="LCP",(VLOOKUP(Capex!A147,BASE_558!D:R,11,)/1000),SUMIFS('BASE ICP_PO_SC'!F:F,'BASE ICP_PO_SC'!A:A,Capex!A147,'BASE ICP_PO_SC'!E:E,"")/1000),"")</f>
        <v>0</v>
      </c>
      <c r="FG156" s="328">
        <f>IFERROR(VLOOKUP(A156,BASE_558!D:R,13,FALSE)/1000,"")</f>
        <v>132.87039999999999</v>
      </c>
      <c r="FH156" s="328">
        <f>IFERROR(VLOOKUP(A156,BASE_558!D:R,15,FALSE)/1000,"")</f>
        <v>24.329599999999999</v>
      </c>
      <c r="FI156" s="547">
        <f t="shared" si="103"/>
        <v>0</v>
      </c>
      <c r="FJ156" s="547">
        <f t="shared" si="104"/>
        <v>0</v>
      </c>
      <c r="FK156" s="540">
        <f t="shared" si="105"/>
        <v>0</v>
      </c>
    </row>
    <row r="157" spans="1:167" s="23" customFormat="1" ht="24" customHeight="1">
      <c r="A157" s="84" t="s">
        <v>215</v>
      </c>
      <c r="B157" s="404"/>
      <c r="C157" s="404"/>
      <c r="D157" s="338" t="s">
        <v>2234</v>
      </c>
      <c r="E157" s="378">
        <v>1985371</v>
      </c>
      <c r="F157" s="310" t="s">
        <v>609</v>
      </c>
      <c r="G157" s="310" t="s">
        <v>9</v>
      </c>
      <c r="H157" s="338"/>
      <c r="I157" s="338"/>
      <c r="J157" s="338">
        <v>2019</v>
      </c>
      <c r="K157" s="316">
        <v>43703</v>
      </c>
      <c r="L157" s="317">
        <v>44528</v>
      </c>
      <c r="M157" s="409"/>
      <c r="N157" s="317">
        <f t="shared" si="109"/>
        <v>44615</v>
      </c>
      <c r="O157" s="317">
        <f t="shared" si="110"/>
        <v>44980</v>
      </c>
      <c r="P157" s="418" t="str">
        <f t="shared" si="108"/>
        <v>CRTD</v>
      </c>
      <c r="Q157" s="418" t="str">
        <f t="shared" si="108"/>
        <v>CRTD</v>
      </c>
      <c r="R157" s="418" t="str">
        <f t="shared" si="108"/>
        <v>CRTD</v>
      </c>
      <c r="S157" s="418" t="str">
        <f t="shared" si="108"/>
        <v>CRTD</v>
      </c>
      <c r="T157" s="418" t="str">
        <f t="shared" si="108"/>
        <v>CRTD</v>
      </c>
      <c r="U157" s="418" t="str">
        <f t="shared" si="108"/>
        <v>CRTD</v>
      </c>
      <c r="V157" s="418" t="str">
        <f t="shared" si="108"/>
        <v>CRTD</v>
      </c>
      <c r="W157" s="418" t="str">
        <f t="shared" si="108"/>
        <v>CRTD</v>
      </c>
      <c r="X157" s="418" t="str">
        <f t="shared" si="108"/>
        <v>CRTD</v>
      </c>
      <c r="Y157" s="418" t="str">
        <f t="shared" si="108"/>
        <v>CRTD</v>
      </c>
      <c r="Z157" s="418" t="str">
        <f t="shared" si="108"/>
        <v>CRTD</v>
      </c>
      <c r="AA157" s="418" t="str">
        <f t="shared" si="108"/>
        <v>CRTD</v>
      </c>
      <c r="AB157" s="317"/>
      <c r="AC157" s="309" t="s">
        <v>3932</v>
      </c>
      <c r="AD157" s="311" t="s">
        <v>224</v>
      </c>
      <c r="AE157" s="311" t="s">
        <v>965</v>
      </c>
      <c r="AF157" s="310" t="s">
        <v>6985</v>
      </c>
      <c r="AG157" s="310" t="s">
        <v>9083</v>
      </c>
      <c r="AH157" s="310" t="s">
        <v>214</v>
      </c>
      <c r="AI157" s="381" t="s">
        <v>2255</v>
      </c>
      <c r="AJ157" s="6" t="s">
        <v>218</v>
      </c>
      <c r="AK157" s="6" t="str">
        <f t="shared" si="83"/>
        <v>IGUAL</v>
      </c>
      <c r="AL157" s="151" t="str">
        <f>IFERROR(IF(LEFT(A157,3)="LCP",VLOOKUP(A157,STATUS_SAP_LCP!B:C,2,FALSE),VLOOKUP(A157,STATUS_SAP_ICP!B:C,2,FALSE)),"NO BUDGET")</f>
        <v>CLSD BUDG AUC  AVAC  //  APPR BREL EXPL</v>
      </c>
      <c r="AM157" s="6" t="str">
        <f t="shared" si="82"/>
        <v>CLSD</v>
      </c>
      <c r="AN157" s="282" t="s">
        <v>9098</v>
      </c>
      <c r="AO157" s="493">
        <v>1</v>
      </c>
      <c r="AP157" s="499" t="s">
        <v>9607</v>
      </c>
      <c r="AQ157" s="465">
        <v>44528</v>
      </c>
      <c r="AR157" s="460"/>
      <c r="AS157" s="56">
        <v>200.25262000000004</v>
      </c>
      <c r="AT157" s="185">
        <v>49.251629999999999</v>
      </c>
      <c r="AU157" s="318">
        <v>34.42745</v>
      </c>
      <c r="AV157" s="223">
        <v>0</v>
      </c>
      <c r="AW157" s="318">
        <v>22.35989</v>
      </c>
      <c r="AX157" s="223">
        <v>0</v>
      </c>
      <c r="AY157" s="318">
        <f t="shared" si="111"/>
        <v>0</v>
      </c>
      <c r="AZ157" s="223"/>
      <c r="BA157" s="318"/>
      <c r="BB157" s="519">
        <f t="shared" si="112"/>
        <v>0</v>
      </c>
      <c r="BC157" s="518"/>
      <c r="BD157" s="518"/>
      <c r="BE157" s="518"/>
      <c r="BF157" s="518"/>
      <c r="BG157" s="518"/>
      <c r="BH157" s="518"/>
      <c r="BI157" s="518"/>
      <c r="BJ157" s="518"/>
      <c r="BK157" s="518"/>
      <c r="BL157" s="518"/>
      <c r="BM157" s="518"/>
      <c r="BN157" s="518"/>
      <c r="BO157" s="367">
        <f t="shared" si="84"/>
        <v>0</v>
      </c>
      <c r="BP157" s="421"/>
      <c r="BQ157" s="422"/>
      <c r="BR157" s="423">
        <f>IFERROR(IF(LEFT($A157,3)="Lcp",SUMIFS('BASE-LCP'!$K:$K,'BASE-LCP'!$A:$A,Capex!$A148,'BASE-LCP'!$B:$B,"janeiro")/1000,IF(LEFT($A157,3)="icp",SUMIFS('BASE-ICP'!$K:$K,'BASE-ICP'!$A:$A,Capex!$A148,'BASE-ICP'!$B:$B,"janeiro")/1000,"")),"")</f>
        <v>0</v>
      </c>
      <c r="BS157" s="427">
        <v>0</v>
      </c>
      <c r="BT157" s="372">
        <v>0</v>
      </c>
      <c r="BU157" s="422"/>
      <c r="BV157" s="423">
        <f>IFERROR(IF(LEFT($A157,3)="Lcp",SUMIFS('BASE-LCP'!$K:$K,'BASE-LCP'!$A:$A,Capex!$A148,'BASE-LCP'!$B:$B,"fevereiro")/1000,IF(LEFT($A157,3)="icp",SUMIFS('BASE-ICP'!$K:$K,'BASE-ICP'!$A:$A,Capex!$A148,'BASE-ICP'!$B:$B,"fevereiro")/1000,"")),"")</f>
        <v>0</v>
      </c>
      <c r="BW157" s="427">
        <v>0</v>
      </c>
      <c r="BX157" s="372">
        <v>0</v>
      </c>
      <c r="BY157" s="419"/>
      <c r="BZ157" s="423">
        <f>IFERROR(IF(LEFT($A157,3)="Lcp",SUMIFS('BASE-LCP'!$K:$K,'BASE-LCP'!$A:$A,Capex!$A148,'BASE-LCP'!$B:$B,"março")/1000,IF(LEFT($A157,3)="icp",SUMIFS('BASE-ICP'!$K:$K,'BASE-ICP'!$A:$A,Capex!$A148,'BASE-ICP'!$B:$B,"março")/1000,"")),"")</f>
        <v>0</v>
      </c>
      <c r="CA157" s="427">
        <v>0</v>
      </c>
      <c r="CB157" s="372">
        <v>0</v>
      </c>
      <c r="CC157" s="422"/>
      <c r="CD157" s="423">
        <f>IFERROR(IF(LEFT($A157,3)="Lcp",SUMIFS('BASE-LCP'!$K:$K,'BASE-LCP'!$A:$A,Capex!$A148,'BASE-LCP'!$B:$B,"abril")/1000,IF(LEFT($A157,3)="icp",SUMIFS('BASE-ICP'!$K:$K,'BASE-ICP'!$A:$A,Capex!$A148,'BASE-ICP'!$B:$B,"abril")/1000,"")),"")</f>
        <v>0</v>
      </c>
      <c r="CE157" s="427">
        <v>0</v>
      </c>
      <c r="CF157" s="372">
        <v>0</v>
      </c>
      <c r="CG157" s="419"/>
      <c r="CH157" s="423">
        <v>0</v>
      </c>
      <c r="CI157" s="427">
        <v>0</v>
      </c>
      <c r="CJ157" s="372">
        <v>0</v>
      </c>
      <c r="CK157" s="419"/>
      <c r="CL157" s="423">
        <f>IFERROR(IF(LEFT($A157,3)="Lcp",SUMIFS('BASE-LCP'!$K:$K,'BASE-LCP'!$A:$A,Capex!$A148,'BASE-LCP'!$B:$B,"junho")/1000,IF(LEFT($A157,3)="icp",SUMIFS('BASE-ICP'!$K:$K,'BASE-ICP'!$A:$A,Capex!$A148,'BASE-ICP'!$B:$B,"junho")/1000,"")),"")</f>
        <v>0</v>
      </c>
      <c r="CM157" s="427">
        <v>0</v>
      </c>
      <c r="CN157" s="372"/>
      <c r="CO157" s="419"/>
      <c r="CP157" s="423">
        <f>IFERROR(IF(LEFT($A157,3)="Lcp",SUMIFS('BASE-LCP'!$K:$K,'BASE-LCP'!$A:$A,Capex!$A148,'BASE-LCP'!$B:$B,"julho")/1000,IF(LEFT($A157,3)="icp",SUMIFS('BASE-ICP'!$K:$K,'BASE-ICP'!$A:$A,Capex!$A148,'BASE-ICP'!$B:$B,"julho")/1000,"")),"")</f>
        <v>0</v>
      </c>
      <c r="CQ157" s="427">
        <v>0</v>
      </c>
      <c r="CR157" s="372"/>
      <c r="CS157" s="419"/>
      <c r="CT157" s="423">
        <f>IFERROR(IF(LEFT($A157,3)="Lcp",SUMIFS('BASE-LCP'!$K:$K,'BASE-LCP'!$A:$A,Capex!$A148,'BASE-LCP'!$B:$B,"agosto")/1000,IF(LEFT($A157,3)="icp",SUMIFS('BASE-ICP'!$K:$K,'BASE-ICP'!$A:$A,Capex!$A148,'BASE-ICP'!$B:$B,"agosto")/1000,"")),"")</f>
        <v>0</v>
      </c>
      <c r="CU157" s="427">
        <v>0</v>
      </c>
      <c r="CV157" s="372"/>
      <c r="CW157" s="419"/>
      <c r="CX157" s="423">
        <f>IFERROR(IF(LEFT($A157,3)="Lcp",SUMIFS('BASE-LCP'!$K:$K,'BASE-LCP'!$A:$A,Capex!$A148,'BASE-LCP'!$B:$B,"setembro")/1000,IF(LEFT($A157,3)="icp",SUMIFS('BASE-ICP'!$K:$K,'BASE-ICP'!$A:$A,Capex!$A148,'BASE-ICP'!$B:$B,"setembro")/1000,"")),"")</f>
        <v>0</v>
      </c>
      <c r="CY157" s="427">
        <v>0</v>
      </c>
      <c r="CZ157" s="372"/>
      <c r="DA157" s="419"/>
      <c r="DB157" s="423">
        <f>IFERROR(IF(LEFT($A157,3)="Lcp",SUMIFS('BASE-LCP'!$K:$K,'BASE-LCP'!$A:$A,Capex!$A148,'BASE-LCP'!$B:$B,"outubro")/1000,IF(LEFT($A157,3)="icp",SUMIFS('BASE-ICP'!$K:$K,'BASE-ICP'!$A:$A,Capex!$A148,'BASE-ICP'!$B:$B,"outubro")/1000,"")),"")</f>
        <v>0</v>
      </c>
      <c r="DC157" s="427">
        <v>0</v>
      </c>
      <c r="DD157" s="372"/>
      <c r="DE157" s="419"/>
      <c r="DF157" s="423">
        <f>IFERROR(IF(LEFT($A157,3)="Lcp",SUMIFS('BASE-LCP'!$K:$K,'BASE-LCP'!$A:$A,Capex!$A148,'BASE-LCP'!$B:$B,"novembro")/1000,IF(LEFT($A157,3)="icp",SUMIFS('BASE-ICP'!$K:$K,'BASE-ICP'!$A:$A,Capex!$A148,'BASE-ICP'!$B:$B,"novembro")/1000,"")),"")</f>
        <v>0</v>
      </c>
      <c r="DG157" s="427">
        <v>0</v>
      </c>
      <c r="DH157" s="372"/>
      <c r="DI157" s="419"/>
      <c r="DJ157" s="423">
        <f>IFERROR(IF(LEFT($A157,3)="Lcp",SUMIFS('BASE-LCP'!$K:$K,'BASE-LCP'!$A:$A,Capex!$A148,'BASE-LCP'!$B:$B,"dezembro")/1000,IF(LEFT($A157,3)="icp",SUMIFS('BASE-ICP'!$K:$K,'BASE-ICP'!$A:$A,Capex!$A148,'BASE-ICP'!$B:$B,"dezembro")/1000,"")),"")</f>
        <v>0</v>
      </c>
      <c r="DK157" s="427">
        <v>0</v>
      </c>
      <c r="DL157" s="452">
        <f t="shared" si="85"/>
        <v>0</v>
      </c>
      <c r="DM157" s="374"/>
      <c r="DN157" s="374"/>
      <c r="DO157" s="374"/>
      <c r="DP157" s="374"/>
      <c r="DQ157" s="374"/>
      <c r="DR157" s="374"/>
      <c r="DS157" s="374"/>
      <c r="DT157" s="374"/>
      <c r="DU157" s="374"/>
      <c r="DV157" s="374"/>
      <c r="DW157" s="374"/>
      <c r="DX157" s="374"/>
      <c r="DY157" s="450"/>
      <c r="DZ157" s="374">
        <f t="shared" si="86"/>
        <v>0</v>
      </c>
      <c r="EA157" s="216">
        <f t="shared" si="87"/>
        <v>0</v>
      </c>
      <c r="EB157" s="320">
        <f t="shared" si="88"/>
        <v>0</v>
      </c>
      <c r="EC157" s="241">
        <f t="shared" si="89"/>
        <v>0</v>
      </c>
      <c r="ED157" s="241">
        <f t="shared" si="90"/>
        <v>0</v>
      </c>
      <c r="EE157" s="241">
        <f t="shared" si="91"/>
        <v>0</v>
      </c>
      <c r="EF157" s="241">
        <f t="shared" si="92"/>
        <v>0</v>
      </c>
      <c r="EG157" s="346">
        <f t="shared" si="93"/>
        <v>0</v>
      </c>
      <c r="EH157" s="445">
        <f t="shared" si="94"/>
        <v>0</v>
      </c>
      <c r="EI157" s="447">
        <f t="shared" si="95"/>
        <v>0</v>
      </c>
      <c r="EJ157" s="364">
        <f t="shared" si="96"/>
        <v>0</v>
      </c>
      <c r="EK157" s="365">
        <f t="shared" si="97"/>
        <v>0</v>
      </c>
      <c r="EL157" s="529">
        <f t="shared" si="98"/>
        <v>0</v>
      </c>
      <c r="EM157" s="530">
        <v>0</v>
      </c>
      <c r="EN157" s="530">
        <v>0</v>
      </c>
      <c r="EO157" s="530">
        <v>0</v>
      </c>
      <c r="EP157" s="530">
        <v>0</v>
      </c>
      <c r="EQ157" s="530">
        <v>0</v>
      </c>
      <c r="ER157" s="530">
        <v>0</v>
      </c>
      <c r="ES157" s="530">
        <v>0</v>
      </c>
      <c r="ET157" s="530">
        <v>0</v>
      </c>
      <c r="EU157" s="530">
        <v>0</v>
      </c>
      <c r="EV157" s="530">
        <v>0</v>
      </c>
      <c r="EW157" s="530">
        <v>0</v>
      </c>
      <c r="EX157" s="530">
        <v>0</v>
      </c>
      <c r="EY157" s="530">
        <f t="shared" si="99"/>
        <v>0</v>
      </c>
      <c r="EZ157" s="530">
        <f t="shared" si="100"/>
        <v>0</v>
      </c>
      <c r="FA157" s="530">
        <f t="shared" si="101"/>
        <v>0</v>
      </c>
      <c r="FB157" s="530">
        <f t="shared" si="102"/>
        <v>0</v>
      </c>
      <c r="FC157" s="384">
        <f>IFERROR(VLOOKUP(Capex!A148,BASE_558!D:R,8,FALSE)/1000,"")</f>
        <v>85</v>
      </c>
      <c r="FD157" s="328">
        <f>IFERROR(VLOOKUP(Capex!A148,BASE_558!D:R,9,)/1000,"")</f>
        <v>69.845590000000001</v>
      </c>
      <c r="FE157" s="328">
        <f>IFERROR(IF(LEFT(A157,3)="LCP",(VLOOKUP(Capex!A148,BASE_558!D:R,10,)/1000),SUMIFS('BASE ICP_PO_SC'!F:F,'BASE ICP_PO_SC'!A:A,Capex!A148,'BASE ICP_PO_SC'!E:E,"&lt;&gt;")/1000),"")</f>
        <v>0</v>
      </c>
      <c r="FF157" s="328">
        <f>IFERROR(IF(LEFT(A157,3)="LCP",(VLOOKUP(Capex!A148,BASE_558!D:R,11,)/1000),SUMIFS('BASE ICP_PO_SC'!F:F,'BASE ICP_PO_SC'!A:A,Capex!A148,'BASE ICP_PO_SC'!E:E,"")/1000),"")</f>
        <v>0</v>
      </c>
      <c r="FG157" s="328">
        <f>IFERROR(VLOOKUP(A157,BASE_558!D:R,13,FALSE)/1000,"")</f>
        <v>306.29159000000004</v>
      </c>
      <c r="FH157" s="328">
        <f>IFERROR(VLOOKUP(A157,BASE_558!D:R,15,FALSE)/1000,"")</f>
        <v>0.74841000000000002</v>
      </c>
      <c r="FI157" s="547">
        <f t="shared" si="103"/>
        <v>0</v>
      </c>
      <c r="FJ157" s="547">
        <f t="shared" si="104"/>
        <v>0</v>
      </c>
      <c r="FK157" s="540">
        <f t="shared" si="105"/>
        <v>0</v>
      </c>
    </row>
    <row r="158" spans="1:167" s="23" customFormat="1" ht="24" customHeight="1">
      <c r="A158" s="84" t="s">
        <v>212</v>
      </c>
      <c r="B158" s="404"/>
      <c r="C158" s="404"/>
      <c r="D158" s="338" t="s">
        <v>924</v>
      </c>
      <c r="E158" s="378">
        <v>1959852</v>
      </c>
      <c r="F158" s="5"/>
      <c r="G158" s="310" t="s">
        <v>9</v>
      </c>
      <c r="H158" s="338"/>
      <c r="I158" s="338"/>
      <c r="J158" s="338">
        <v>2019</v>
      </c>
      <c r="K158" s="316">
        <v>43699</v>
      </c>
      <c r="L158" s="317">
        <v>44225</v>
      </c>
      <c r="M158" s="409"/>
      <c r="N158" s="317">
        <f t="shared" si="109"/>
        <v>44611</v>
      </c>
      <c r="O158" s="317">
        <f t="shared" si="110"/>
        <v>44976</v>
      </c>
      <c r="P158" s="418" t="str">
        <f t="shared" si="108"/>
        <v>CRTD</v>
      </c>
      <c r="Q158" s="418" t="str">
        <f t="shared" si="108"/>
        <v>CRTD</v>
      </c>
      <c r="R158" s="418" t="str">
        <f t="shared" si="108"/>
        <v>CRTD</v>
      </c>
      <c r="S158" s="418" t="str">
        <f t="shared" si="108"/>
        <v>CRTD</v>
      </c>
      <c r="T158" s="418" t="str">
        <f t="shared" si="108"/>
        <v>CRTD</v>
      </c>
      <c r="U158" s="418" t="str">
        <f t="shared" si="108"/>
        <v>CRTD</v>
      </c>
      <c r="V158" s="418" t="str">
        <f t="shared" si="108"/>
        <v>CRTD</v>
      </c>
      <c r="W158" s="418" t="str">
        <f t="shared" si="108"/>
        <v>CRTD</v>
      </c>
      <c r="X158" s="418" t="str">
        <f t="shared" si="108"/>
        <v>CRTD</v>
      </c>
      <c r="Y158" s="418" t="str">
        <f t="shared" si="108"/>
        <v>CRTD</v>
      </c>
      <c r="Z158" s="418" t="str">
        <f t="shared" si="108"/>
        <v>CRTD</v>
      </c>
      <c r="AA158" s="418" t="str">
        <f t="shared" si="108"/>
        <v>CRTD</v>
      </c>
      <c r="AB158" s="317"/>
      <c r="AC158" s="309" t="s">
        <v>3932</v>
      </c>
      <c r="AD158" s="311" t="s">
        <v>224</v>
      </c>
      <c r="AE158" s="311"/>
      <c r="AF158" s="310" t="s">
        <v>6985</v>
      </c>
      <c r="AG158" s="310" t="s">
        <v>9083</v>
      </c>
      <c r="AH158" s="310" t="s">
        <v>213</v>
      </c>
      <c r="AI158" s="309" t="s">
        <v>316</v>
      </c>
      <c r="AJ158" s="6" t="s">
        <v>218</v>
      </c>
      <c r="AK158" s="6" t="str">
        <f t="shared" si="83"/>
        <v>IGUAL</v>
      </c>
      <c r="AL158" s="151" t="str">
        <f>IFERROR(IF(LEFT(A158,3)="LCP",VLOOKUP(A158,STATUS_SAP_LCP!B:C,2,FALSE),VLOOKUP(A158,STATUS_SAP_ICP!B:C,2,FALSE)),"NO BUDGET")</f>
        <v>CLSD BUDG AUC  AVAC  //  APPR BREL EXPL</v>
      </c>
      <c r="AM158" s="6" t="str">
        <f t="shared" si="82"/>
        <v>CLSD</v>
      </c>
      <c r="AN158" s="282" t="s">
        <v>9090</v>
      </c>
      <c r="AO158" s="493">
        <v>1</v>
      </c>
      <c r="AP158" s="499" t="s">
        <v>9607</v>
      </c>
      <c r="AQ158" s="465">
        <v>44225</v>
      </c>
      <c r="AR158" s="460"/>
      <c r="AS158" s="56">
        <v>28.859589999999997</v>
      </c>
      <c r="AT158" s="185">
        <v>11.837</v>
      </c>
      <c r="AU158" s="318">
        <v>0</v>
      </c>
      <c r="AV158" s="223">
        <v>0</v>
      </c>
      <c r="AW158" s="318">
        <v>0</v>
      </c>
      <c r="AX158" s="223">
        <v>0</v>
      </c>
      <c r="AY158" s="318">
        <f t="shared" si="111"/>
        <v>0</v>
      </c>
      <c r="AZ158" s="223"/>
      <c r="BA158" s="318"/>
      <c r="BB158" s="519">
        <f t="shared" si="112"/>
        <v>0</v>
      </c>
      <c r="BC158" s="518"/>
      <c r="BD158" s="518"/>
      <c r="BE158" s="518"/>
      <c r="BF158" s="518"/>
      <c r="BG158" s="518"/>
      <c r="BH158" s="518"/>
      <c r="BI158" s="518"/>
      <c r="BJ158" s="518"/>
      <c r="BK158" s="518"/>
      <c r="BL158" s="518"/>
      <c r="BM158" s="518"/>
      <c r="BN158" s="518"/>
      <c r="BO158" s="367">
        <f t="shared" si="84"/>
        <v>0</v>
      </c>
      <c r="BP158" s="421"/>
      <c r="BQ158" s="422"/>
      <c r="BR158" s="423">
        <f>IFERROR(IF(LEFT($A158,3)="Lcp",SUMIFS('BASE-LCP'!$K:$K,'BASE-LCP'!$A:$A,Capex!$A149,'BASE-LCP'!$B:$B,"janeiro")/1000,IF(LEFT($A158,3)="icp",SUMIFS('BASE-ICP'!$K:$K,'BASE-ICP'!$A:$A,Capex!$A149,'BASE-ICP'!$B:$B,"janeiro")/1000,"")),"")</f>
        <v>0</v>
      </c>
      <c r="BS158" s="427">
        <v>0</v>
      </c>
      <c r="BT158" s="372">
        <v>0</v>
      </c>
      <c r="BU158" s="422"/>
      <c r="BV158" s="423">
        <f>IFERROR(IF(LEFT($A158,3)="Lcp",SUMIFS('BASE-LCP'!$K:$K,'BASE-LCP'!$A:$A,Capex!$A149,'BASE-LCP'!$B:$B,"fevereiro")/1000,IF(LEFT($A158,3)="icp",SUMIFS('BASE-ICP'!$K:$K,'BASE-ICP'!$A:$A,Capex!$A149,'BASE-ICP'!$B:$B,"fevereiro")/1000,"")),"")</f>
        <v>0</v>
      </c>
      <c r="BW158" s="427">
        <v>0</v>
      </c>
      <c r="BX158" s="372">
        <v>0</v>
      </c>
      <c r="BY158" s="419"/>
      <c r="BZ158" s="423">
        <f>IFERROR(IF(LEFT($A158,3)="Lcp",SUMIFS('BASE-LCP'!$K:$K,'BASE-LCP'!$A:$A,Capex!$A149,'BASE-LCP'!$B:$B,"março")/1000,IF(LEFT($A158,3)="icp",SUMIFS('BASE-ICP'!$K:$K,'BASE-ICP'!$A:$A,Capex!$A149,'BASE-ICP'!$B:$B,"março")/1000,"")),"")</f>
        <v>0</v>
      </c>
      <c r="CA158" s="427">
        <v>0</v>
      </c>
      <c r="CB158" s="372">
        <v>0</v>
      </c>
      <c r="CC158" s="422"/>
      <c r="CD158" s="423">
        <f>IFERROR(IF(LEFT($A158,3)="Lcp",SUMIFS('BASE-LCP'!$K:$K,'BASE-LCP'!$A:$A,Capex!$A149,'BASE-LCP'!$B:$B,"abril")/1000,IF(LEFT($A158,3)="icp",SUMIFS('BASE-ICP'!$K:$K,'BASE-ICP'!$A:$A,Capex!$A149,'BASE-ICP'!$B:$B,"abril")/1000,"")),"")</f>
        <v>0</v>
      </c>
      <c r="CE158" s="427">
        <v>0</v>
      </c>
      <c r="CF158" s="372">
        <v>0</v>
      </c>
      <c r="CG158" s="419"/>
      <c r="CH158" s="423">
        <v>0</v>
      </c>
      <c r="CI158" s="427">
        <v>0</v>
      </c>
      <c r="CJ158" s="372">
        <v>0</v>
      </c>
      <c r="CK158" s="419"/>
      <c r="CL158" s="423">
        <f>IFERROR(IF(LEFT($A158,3)="Lcp",SUMIFS('BASE-LCP'!$K:$K,'BASE-LCP'!$A:$A,Capex!$A149,'BASE-LCP'!$B:$B,"junho")/1000,IF(LEFT($A158,3)="icp",SUMIFS('BASE-ICP'!$K:$K,'BASE-ICP'!$A:$A,Capex!$A149,'BASE-ICP'!$B:$B,"junho")/1000,"")),"")</f>
        <v>0</v>
      </c>
      <c r="CM158" s="427">
        <v>0</v>
      </c>
      <c r="CN158" s="372"/>
      <c r="CO158" s="419"/>
      <c r="CP158" s="423">
        <f>IFERROR(IF(LEFT($A158,3)="Lcp",SUMIFS('BASE-LCP'!$K:$K,'BASE-LCP'!$A:$A,Capex!$A149,'BASE-LCP'!$B:$B,"julho")/1000,IF(LEFT($A158,3)="icp",SUMIFS('BASE-ICP'!$K:$K,'BASE-ICP'!$A:$A,Capex!$A149,'BASE-ICP'!$B:$B,"julho")/1000,"")),"")</f>
        <v>0</v>
      </c>
      <c r="CQ158" s="427">
        <v>0</v>
      </c>
      <c r="CR158" s="372"/>
      <c r="CS158" s="419"/>
      <c r="CT158" s="423">
        <f>IFERROR(IF(LEFT($A158,3)="Lcp",SUMIFS('BASE-LCP'!$K:$K,'BASE-LCP'!$A:$A,Capex!$A149,'BASE-LCP'!$B:$B,"agosto")/1000,IF(LEFT($A158,3)="icp",SUMIFS('BASE-ICP'!$K:$K,'BASE-ICP'!$A:$A,Capex!$A149,'BASE-ICP'!$B:$B,"agosto")/1000,"")),"")</f>
        <v>0</v>
      </c>
      <c r="CU158" s="427">
        <v>0</v>
      </c>
      <c r="CV158" s="372"/>
      <c r="CW158" s="419"/>
      <c r="CX158" s="423">
        <f>IFERROR(IF(LEFT($A158,3)="Lcp",SUMIFS('BASE-LCP'!$K:$K,'BASE-LCP'!$A:$A,Capex!$A149,'BASE-LCP'!$B:$B,"setembro")/1000,IF(LEFT($A158,3)="icp",SUMIFS('BASE-ICP'!$K:$K,'BASE-ICP'!$A:$A,Capex!$A149,'BASE-ICP'!$B:$B,"setembro")/1000,"")),"")</f>
        <v>0</v>
      </c>
      <c r="CY158" s="427">
        <v>0</v>
      </c>
      <c r="CZ158" s="372"/>
      <c r="DA158" s="419"/>
      <c r="DB158" s="423">
        <f>IFERROR(IF(LEFT($A158,3)="Lcp",SUMIFS('BASE-LCP'!$K:$K,'BASE-LCP'!$A:$A,Capex!$A149,'BASE-LCP'!$B:$B,"outubro")/1000,IF(LEFT($A158,3)="icp",SUMIFS('BASE-ICP'!$K:$K,'BASE-ICP'!$A:$A,Capex!$A149,'BASE-ICP'!$B:$B,"outubro")/1000,"")),"")</f>
        <v>0</v>
      </c>
      <c r="DC158" s="427">
        <v>0</v>
      </c>
      <c r="DD158" s="372"/>
      <c r="DE158" s="419"/>
      <c r="DF158" s="423">
        <f>IFERROR(IF(LEFT($A158,3)="Lcp",SUMIFS('BASE-LCP'!$K:$K,'BASE-LCP'!$A:$A,Capex!$A149,'BASE-LCP'!$B:$B,"novembro")/1000,IF(LEFT($A158,3)="icp",SUMIFS('BASE-ICP'!$K:$K,'BASE-ICP'!$A:$A,Capex!$A149,'BASE-ICP'!$B:$B,"novembro")/1000,"")),"")</f>
        <v>0</v>
      </c>
      <c r="DG158" s="427">
        <v>0</v>
      </c>
      <c r="DH158" s="372"/>
      <c r="DI158" s="419"/>
      <c r="DJ158" s="423">
        <f>IFERROR(IF(LEFT($A158,3)="Lcp",SUMIFS('BASE-LCP'!$K:$K,'BASE-LCP'!$A:$A,Capex!$A149,'BASE-LCP'!$B:$B,"dezembro")/1000,IF(LEFT($A158,3)="icp",SUMIFS('BASE-ICP'!$K:$K,'BASE-ICP'!$A:$A,Capex!$A149,'BASE-ICP'!$B:$B,"dezembro")/1000,"")),"")</f>
        <v>0</v>
      </c>
      <c r="DK158" s="427">
        <v>0</v>
      </c>
      <c r="DL158" s="452">
        <f t="shared" si="85"/>
        <v>0</v>
      </c>
      <c r="DM158" s="374"/>
      <c r="DN158" s="374"/>
      <c r="DO158" s="374"/>
      <c r="DP158" s="374"/>
      <c r="DQ158" s="374"/>
      <c r="DR158" s="374"/>
      <c r="DS158" s="374"/>
      <c r="DT158" s="374"/>
      <c r="DU158" s="374"/>
      <c r="DV158" s="374"/>
      <c r="DW158" s="374"/>
      <c r="DX158" s="374"/>
      <c r="DY158" s="450"/>
      <c r="DZ158" s="374">
        <f t="shared" si="86"/>
        <v>0</v>
      </c>
      <c r="EA158" s="216">
        <f t="shared" si="87"/>
        <v>0</v>
      </c>
      <c r="EB158" s="320">
        <f t="shared" si="88"/>
        <v>0</v>
      </c>
      <c r="EC158" s="241">
        <f t="shared" si="89"/>
        <v>0</v>
      </c>
      <c r="ED158" s="241">
        <f t="shared" si="90"/>
        <v>0</v>
      </c>
      <c r="EE158" s="241">
        <f t="shared" si="91"/>
        <v>0</v>
      </c>
      <c r="EF158" s="241">
        <f t="shared" si="92"/>
        <v>0</v>
      </c>
      <c r="EG158" s="346">
        <f t="shared" si="93"/>
        <v>0</v>
      </c>
      <c r="EH158" s="445">
        <f t="shared" si="94"/>
        <v>0</v>
      </c>
      <c r="EI158" s="447">
        <f t="shared" si="95"/>
        <v>0</v>
      </c>
      <c r="EJ158" s="364">
        <f t="shared" si="96"/>
        <v>0</v>
      </c>
      <c r="EK158" s="365">
        <f t="shared" si="97"/>
        <v>0</v>
      </c>
      <c r="EL158" s="529">
        <f t="shared" si="98"/>
        <v>0</v>
      </c>
      <c r="EM158" s="530">
        <v>0</v>
      </c>
      <c r="EN158" s="530">
        <v>0</v>
      </c>
      <c r="EO158" s="530">
        <v>0</v>
      </c>
      <c r="EP158" s="530">
        <v>0</v>
      </c>
      <c r="EQ158" s="530">
        <v>0</v>
      </c>
      <c r="ER158" s="530">
        <v>0</v>
      </c>
      <c r="ES158" s="530">
        <v>0</v>
      </c>
      <c r="ET158" s="530">
        <v>0</v>
      </c>
      <c r="EU158" s="530">
        <v>0</v>
      </c>
      <c r="EV158" s="530">
        <v>0</v>
      </c>
      <c r="EW158" s="530">
        <v>0</v>
      </c>
      <c r="EX158" s="530">
        <v>0</v>
      </c>
      <c r="EY158" s="530">
        <f t="shared" si="99"/>
        <v>0</v>
      </c>
      <c r="EZ158" s="530">
        <f t="shared" si="100"/>
        <v>0</v>
      </c>
      <c r="FA158" s="530">
        <f t="shared" si="101"/>
        <v>0</v>
      </c>
      <c r="FB158" s="530">
        <f t="shared" si="102"/>
        <v>0</v>
      </c>
      <c r="FC158" s="384">
        <f>IFERROR(VLOOKUP(Capex!A149,BASE_558!D:R,8,FALSE)/1000,"")</f>
        <v>96.3</v>
      </c>
      <c r="FD158" s="328">
        <f>IFERROR(VLOOKUP(Capex!A149,BASE_558!D:R,9,)/1000,"")</f>
        <v>86.339359999999999</v>
      </c>
      <c r="FE158" s="328">
        <f>IFERROR(IF(LEFT(A158,3)="LCP",(VLOOKUP(Capex!A149,BASE_558!D:R,10,)/1000),SUMIFS('BASE ICP_PO_SC'!F:F,'BASE ICP_PO_SC'!A:A,Capex!A149,'BASE ICP_PO_SC'!E:E,"&lt;&gt;")/1000),"")</f>
        <v>0</v>
      </c>
      <c r="FF158" s="328">
        <f>IFERROR(IF(LEFT(A158,3)="LCP",(VLOOKUP(Capex!A149,BASE_558!D:R,11,)/1000),SUMIFS('BASE ICP_PO_SC'!F:F,'BASE ICP_PO_SC'!A:A,Capex!A149,'BASE ICP_PO_SC'!E:E,"")/1000),"")</f>
        <v>0</v>
      </c>
      <c r="FG158" s="328">
        <f>IFERROR(VLOOKUP(A158,BASE_558!D:R,13,FALSE)/1000,"")</f>
        <v>40.696589999999993</v>
      </c>
      <c r="FH158" s="328">
        <f>IFERROR(VLOOKUP(A158,BASE_558!D:R,15,FALSE)/1000,"")</f>
        <v>38.303410000000007</v>
      </c>
      <c r="FI158" s="547">
        <f t="shared" si="103"/>
        <v>0</v>
      </c>
      <c r="FJ158" s="547">
        <f t="shared" si="104"/>
        <v>0</v>
      </c>
      <c r="FK158" s="540">
        <f t="shared" si="105"/>
        <v>0</v>
      </c>
    </row>
    <row r="159" spans="1:167" s="23" customFormat="1" ht="24" customHeight="1">
      <c r="A159" s="84" t="s">
        <v>227</v>
      </c>
      <c r="B159" s="404" t="s">
        <v>687</v>
      </c>
      <c r="C159" s="404"/>
      <c r="D159" s="338" t="s">
        <v>2235</v>
      </c>
      <c r="E159" s="378">
        <v>2368366</v>
      </c>
      <c r="F159" s="5"/>
      <c r="G159" s="310" t="s">
        <v>9</v>
      </c>
      <c r="H159" s="338"/>
      <c r="I159" s="338"/>
      <c r="J159" s="338">
        <v>2019</v>
      </c>
      <c r="K159" s="316">
        <v>43776</v>
      </c>
      <c r="L159" s="317">
        <v>44278</v>
      </c>
      <c r="M159" s="409"/>
      <c r="N159" s="317">
        <f t="shared" si="109"/>
        <v>44688</v>
      </c>
      <c r="O159" s="317">
        <f t="shared" si="110"/>
        <v>45053</v>
      </c>
      <c r="P159" s="418" t="str">
        <f t="shared" si="108"/>
        <v>CRTD</v>
      </c>
      <c r="Q159" s="418" t="str">
        <f t="shared" si="108"/>
        <v>CRTD</v>
      </c>
      <c r="R159" s="418" t="str">
        <f t="shared" si="108"/>
        <v>CRTD</v>
      </c>
      <c r="S159" s="418" t="str">
        <f t="shared" si="108"/>
        <v>CRTD</v>
      </c>
      <c r="T159" s="418" t="str">
        <f t="shared" si="108"/>
        <v>CRTD</v>
      </c>
      <c r="U159" s="418" t="str">
        <f t="shared" si="108"/>
        <v>CRTD</v>
      </c>
      <c r="V159" s="418" t="str">
        <f t="shared" si="108"/>
        <v>CRTD</v>
      </c>
      <c r="W159" s="418" t="str">
        <f t="shared" si="108"/>
        <v>CRTD</v>
      </c>
      <c r="X159" s="418" t="str">
        <f t="shared" si="108"/>
        <v>CRTD</v>
      </c>
      <c r="Y159" s="418" t="str">
        <f t="shared" si="108"/>
        <v>CRTD</v>
      </c>
      <c r="Z159" s="418" t="str">
        <f t="shared" si="108"/>
        <v>CRTD</v>
      </c>
      <c r="AA159" s="418" t="str">
        <f t="shared" si="108"/>
        <v>CRTD</v>
      </c>
      <c r="AB159" s="317"/>
      <c r="AC159" s="309" t="s">
        <v>3932</v>
      </c>
      <c r="AD159" s="311" t="s">
        <v>222</v>
      </c>
      <c r="AE159" s="379" t="s">
        <v>958</v>
      </c>
      <c r="AF159" s="310" t="s">
        <v>6985</v>
      </c>
      <c r="AG159" s="310" t="s">
        <v>9083</v>
      </c>
      <c r="AH159" s="310" t="s">
        <v>250</v>
      </c>
      <c r="AI159" s="309" t="s">
        <v>316</v>
      </c>
      <c r="AJ159" s="6" t="s">
        <v>218</v>
      </c>
      <c r="AK159" s="6" t="str">
        <f t="shared" si="83"/>
        <v>IGUAL</v>
      </c>
      <c r="AL159" s="151" t="str">
        <f>IFERROR(IF(LEFT(A159,3)="LCP",VLOOKUP(A159,STATUS_SAP_LCP!B:C,2,FALSE),VLOOKUP(A159,STATUS_SAP_ICP!B:C,2,FALSE)),"NO BUDGET")</f>
        <v>CLSD BUDG AUC  AVAC  //  APPR BREL EXPL</v>
      </c>
      <c r="AM159" s="6" t="str">
        <f t="shared" si="82"/>
        <v>CLSD</v>
      </c>
      <c r="AN159" s="282" t="s">
        <v>9098</v>
      </c>
      <c r="AO159" s="493">
        <v>1</v>
      </c>
      <c r="AP159" s="499" t="s">
        <v>9607</v>
      </c>
      <c r="AQ159" s="465">
        <v>44278</v>
      </c>
      <c r="AR159" s="460"/>
      <c r="AS159" s="56">
        <v>0</v>
      </c>
      <c r="AT159" s="185">
        <v>180.02920999999998</v>
      </c>
      <c r="AU159" s="318">
        <v>-0.33455000000000007</v>
      </c>
      <c r="AV159" s="223">
        <v>0</v>
      </c>
      <c r="AW159" s="318">
        <v>0</v>
      </c>
      <c r="AX159" s="223">
        <v>0</v>
      </c>
      <c r="AY159" s="318">
        <f t="shared" si="111"/>
        <v>0</v>
      </c>
      <c r="AZ159" s="223"/>
      <c r="BA159" s="318"/>
      <c r="BB159" s="519">
        <f t="shared" si="112"/>
        <v>0</v>
      </c>
      <c r="BC159" s="518"/>
      <c r="BD159" s="518"/>
      <c r="BE159" s="518"/>
      <c r="BF159" s="518"/>
      <c r="BG159" s="518"/>
      <c r="BH159" s="518"/>
      <c r="BI159" s="518"/>
      <c r="BJ159" s="518"/>
      <c r="BK159" s="518"/>
      <c r="BL159" s="518"/>
      <c r="BM159" s="518"/>
      <c r="BN159" s="518"/>
      <c r="BO159" s="367">
        <f t="shared" si="84"/>
        <v>0</v>
      </c>
      <c r="BP159" s="421"/>
      <c r="BQ159" s="422"/>
      <c r="BR159" s="423">
        <f>IFERROR(IF(LEFT($A159,3)="Lcp",SUMIFS('BASE-LCP'!$K:$K,'BASE-LCP'!$A:$A,Capex!$A150,'BASE-LCP'!$B:$B,"janeiro")/1000,IF(LEFT($A159,3)="icp",SUMIFS('BASE-ICP'!$K:$K,'BASE-ICP'!$A:$A,Capex!$A150,'BASE-ICP'!$B:$B,"janeiro")/1000,"")),"")</f>
        <v>0</v>
      </c>
      <c r="BS159" s="427">
        <v>0</v>
      </c>
      <c r="BT159" s="372">
        <v>0</v>
      </c>
      <c r="BU159" s="422"/>
      <c r="BV159" s="423">
        <f>IFERROR(IF(LEFT($A159,3)="Lcp",SUMIFS('BASE-LCP'!$K:$K,'BASE-LCP'!$A:$A,Capex!$A150,'BASE-LCP'!$B:$B,"fevereiro")/1000,IF(LEFT($A159,3)="icp",SUMIFS('BASE-ICP'!$K:$K,'BASE-ICP'!$A:$A,Capex!$A150,'BASE-ICP'!$B:$B,"fevereiro")/1000,"")),"")</f>
        <v>0</v>
      </c>
      <c r="BW159" s="427">
        <v>0</v>
      </c>
      <c r="BX159" s="372">
        <v>0</v>
      </c>
      <c r="BY159" s="419"/>
      <c r="BZ159" s="423">
        <f>IFERROR(IF(LEFT($A159,3)="Lcp",SUMIFS('BASE-LCP'!$K:$K,'BASE-LCP'!$A:$A,Capex!$A150,'BASE-LCP'!$B:$B,"março")/1000,IF(LEFT($A159,3)="icp",SUMIFS('BASE-ICP'!$K:$K,'BASE-ICP'!$A:$A,Capex!$A150,'BASE-ICP'!$B:$B,"março")/1000,"")),"")</f>
        <v>0</v>
      </c>
      <c r="CA159" s="427">
        <v>0</v>
      </c>
      <c r="CB159" s="372">
        <v>0</v>
      </c>
      <c r="CC159" s="422"/>
      <c r="CD159" s="423">
        <f>IFERROR(IF(LEFT($A159,3)="Lcp",SUMIFS('BASE-LCP'!$K:$K,'BASE-LCP'!$A:$A,Capex!$A150,'BASE-LCP'!$B:$B,"abril")/1000,IF(LEFT($A159,3)="icp",SUMIFS('BASE-ICP'!$K:$K,'BASE-ICP'!$A:$A,Capex!$A150,'BASE-ICP'!$B:$B,"abril")/1000,"")),"")</f>
        <v>0</v>
      </c>
      <c r="CE159" s="427">
        <v>0</v>
      </c>
      <c r="CF159" s="372">
        <v>0</v>
      </c>
      <c r="CG159" s="419"/>
      <c r="CH159" s="423">
        <v>0</v>
      </c>
      <c r="CI159" s="427">
        <v>0</v>
      </c>
      <c r="CJ159" s="372">
        <v>0</v>
      </c>
      <c r="CK159" s="419"/>
      <c r="CL159" s="423">
        <f>IFERROR(IF(LEFT($A159,3)="Lcp",SUMIFS('BASE-LCP'!$K:$K,'BASE-LCP'!$A:$A,Capex!$A150,'BASE-LCP'!$B:$B,"junho")/1000,IF(LEFT($A159,3)="icp",SUMIFS('BASE-ICP'!$K:$K,'BASE-ICP'!$A:$A,Capex!$A150,'BASE-ICP'!$B:$B,"junho")/1000,"")),"")</f>
        <v>0</v>
      </c>
      <c r="CM159" s="427">
        <v>0</v>
      </c>
      <c r="CN159" s="372"/>
      <c r="CO159" s="419"/>
      <c r="CP159" s="423">
        <f>IFERROR(IF(LEFT($A159,3)="Lcp",SUMIFS('BASE-LCP'!$K:$K,'BASE-LCP'!$A:$A,Capex!$A150,'BASE-LCP'!$B:$B,"julho")/1000,IF(LEFT($A159,3)="icp",SUMIFS('BASE-ICP'!$K:$K,'BASE-ICP'!$A:$A,Capex!$A150,'BASE-ICP'!$B:$B,"julho")/1000,"")),"")</f>
        <v>0</v>
      </c>
      <c r="CQ159" s="427">
        <v>0</v>
      </c>
      <c r="CR159" s="372"/>
      <c r="CS159" s="419"/>
      <c r="CT159" s="423">
        <f>IFERROR(IF(LEFT($A159,3)="Lcp",SUMIFS('BASE-LCP'!$K:$K,'BASE-LCP'!$A:$A,Capex!$A150,'BASE-LCP'!$B:$B,"agosto")/1000,IF(LEFT($A159,3)="icp",SUMIFS('BASE-ICP'!$K:$K,'BASE-ICP'!$A:$A,Capex!$A150,'BASE-ICP'!$B:$B,"agosto")/1000,"")),"")</f>
        <v>0</v>
      </c>
      <c r="CU159" s="427">
        <v>0</v>
      </c>
      <c r="CV159" s="372"/>
      <c r="CW159" s="419"/>
      <c r="CX159" s="423">
        <f>IFERROR(IF(LEFT($A159,3)="Lcp",SUMIFS('BASE-LCP'!$K:$K,'BASE-LCP'!$A:$A,Capex!$A150,'BASE-LCP'!$B:$B,"setembro")/1000,IF(LEFT($A159,3)="icp",SUMIFS('BASE-ICP'!$K:$K,'BASE-ICP'!$A:$A,Capex!$A150,'BASE-ICP'!$B:$B,"setembro")/1000,"")),"")</f>
        <v>0</v>
      </c>
      <c r="CY159" s="427">
        <v>0</v>
      </c>
      <c r="CZ159" s="372"/>
      <c r="DA159" s="419"/>
      <c r="DB159" s="423">
        <f>IFERROR(IF(LEFT($A159,3)="Lcp",SUMIFS('BASE-LCP'!$K:$K,'BASE-LCP'!$A:$A,Capex!$A150,'BASE-LCP'!$B:$B,"outubro")/1000,IF(LEFT($A159,3)="icp",SUMIFS('BASE-ICP'!$K:$K,'BASE-ICP'!$A:$A,Capex!$A150,'BASE-ICP'!$B:$B,"outubro")/1000,"")),"")</f>
        <v>0</v>
      </c>
      <c r="DC159" s="427">
        <v>0</v>
      </c>
      <c r="DD159" s="372"/>
      <c r="DE159" s="419"/>
      <c r="DF159" s="423">
        <f>IFERROR(IF(LEFT($A159,3)="Lcp",SUMIFS('BASE-LCP'!$K:$K,'BASE-LCP'!$A:$A,Capex!$A150,'BASE-LCP'!$B:$B,"novembro")/1000,IF(LEFT($A159,3)="icp",SUMIFS('BASE-ICP'!$K:$K,'BASE-ICP'!$A:$A,Capex!$A150,'BASE-ICP'!$B:$B,"novembro")/1000,"")),"")</f>
        <v>0</v>
      </c>
      <c r="DG159" s="427">
        <v>0</v>
      </c>
      <c r="DH159" s="372"/>
      <c r="DI159" s="419"/>
      <c r="DJ159" s="423">
        <f>IFERROR(IF(LEFT($A159,3)="Lcp",SUMIFS('BASE-LCP'!$K:$K,'BASE-LCP'!$A:$A,Capex!$A150,'BASE-LCP'!$B:$B,"dezembro")/1000,IF(LEFT($A159,3)="icp",SUMIFS('BASE-ICP'!$K:$K,'BASE-ICP'!$A:$A,Capex!$A150,'BASE-ICP'!$B:$B,"dezembro")/1000,"")),"")</f>
        <v>0</v>
      </c>
      <c r="DK159" s="427">
        <v>0</v>
      </c>
      <c r="DL159" s="452">
        <f t="shared" si="85"/>
        <v>0</v>
      </c>
      <c r="DM159" s="374"/>
      <c r="DN159" s="374"/>
      <c r="DO159" s="374"/>
      <c r="DP159" s="374"/>
      <c r="DQ159" s="374"/>
      <c r="DR159" s="374"/>
      <c r="DS159" s="374"/>
      <c r="DT159" s="374"/>
      <c r="DU159" s="374"/>
      <c r="DV159" s="374"/>
      <c r="DW159" s="374"/>
      <c r="DX159" s="374"/>
      <c r="DY159" s="450"/>
      <c r="DZ159" s="374">
        <f t="shared" si="86"/>
        <v>0</v>
      </c>
      <c r="EA159" s="216">
        <f t="shared" si="87"/>
        <v>0</v>
      </c>
      <c r="EB159" s="320">
        <f t="shared" si="88"/>
        <v>0</v>
      </c>
      <c r="EC159" s="241">
        <f t="shared" si="89"/>
        <v>0</v>
      </c>
      <c r="ED159" s="241">
        <f t="shared" si="90"/>
        <v>0</v>
      </c>
      <c r="EE159" s="241">
        <f t="shared" si="91"/>
        <v>0</v>
      </c>
      <c r="EF159" s="241">
        <f t="shared" si="92"/>
        <v>0</v>
      </c>
      <c r="EG159" s="346">
        <f t="shared" si="93"/>
        <v>0</v>
      </c>
      <c r="EH159" s="445">
        <f t="shared" si="94"/>
        <v>0</v>
      </c>
      <c r="EI159" s="447">
        <f t="shared" si="95"/>
        <v>0</v>
      </c>
      <c r="EJ159" s="364">
        <f t="shared" si="96"/>
        <v>0</v>
      </c>
      <c r="EK159" s="365">
        <f t="shared" si="97"/>
        <v>0</v>
      </c>
      <c r="EL159" s="529">
        <f t="shared" si="98"/>
        <v>0</v>
      </c>
      <c r="EM159" s="530">
        <v>0</v>
      </c>
      <c r="EN159" s="530">
        <v>0</v>
      </c>
      <c r="EO159" s="530">
        <v>0</v>
      </c>
      <c r="EP159" s="530">
        <v>0</v>
      </c>
      <c r="EQ159" s="530">
        <v>0</v>
      </c>
      <c r="ER159" s="530">
        <v>0</v>
      </c>
      <c r="ES159" s="530">
        <v>0</v>
      </c>
      <c r="ET159" s="530">
        <v>0</v>
      </c>
      <c r="EU159" s="530">
        <v>0</v>
      </c>
      <c r="EV159" s="530">
        <v>0</v>
      </c>
      <c r="EW159" s="530">
        <v>0</v>
      </c>
      <c r="EX159" s="530">
        <v>0</v>
      </c>
      <c r="EY159" s="530">
        <f t="shared" si="99"/>
        <v>0</v>
      </c>
      <c r="EZ159" s="530">
        <f t="shared" si="100"/>
        <v>0</v>
      </c>
      <c r="FA159" s="530">
        <f t="shared" si="101"/>
        <v>0</v>
      </c>
      <c r="FB159" s="530">
        <f t="shared" si="102"/>
        <v>0</v>
      </c>
      <c r="FC159" s="384">
        <f>IFERROR(VLOOKUP(Capex!A150,BASE_558!D:R,8,FALSE)/1000,"")</f>
        <v>844.22315000000003</v>
      </c>
      <c r="FD159" s="328">
        <f>IFERROR(VLOOKUP(Capex!A150,BASE_558!D:R,9,)/1000,"")</f>
        <v>741.11469999999997</v>
      </c>
      <c r="FE159" s="328">
        <f>IFERROR(IF(LEFT(A159,3)="LCP",(VLOOKUP(Capex!A150,BASE_558!D:R,10,)/1000),SUMIFS('BASE ICP_PO_SC'!F:F,'BASE ICP_PO_SC'!A:A,Capex!A150,'BASE ICP_PO_SC'!E:E,"&lt;&gt;")/1000),"")</f>
        <v>0</v>
      </c>
      <c r="FF159" s="328">
        <f>IFERROR(IF(LEFT(A159,3)="LCP",(VLOOKUP(Capex!A150,BASE_558!D:R,11,)/1000),SUMIFS('BASE ICP_PO_SC'!F:F,'BASE ICP_PO_SC'!A:A,Capex!A150,'BASE ICP_PO_SC'!E:E,"")/1000),"")</f>
        <v>0</v>
      </c>
      <c r="FG159" s="328">
        <f>IFERROR(VLOOKUP(A159,BASE_558!D:R,13,FALSE)/1000,"")</f>
        <v>179.69466</v>
      </c>
      <c r="FH159" s="328">
        <f>IFERROR(VLOOKUP(A159,BASE_558!D:R,15,FALSE)/1000,"")</f>
        <v>119.26733999999999</v>
      </c>
      <c r="FI159" s="547">
        <f t="shared" si="103"/>
        <v>0</v>
      </c>
      <c r="FJ159" s="547">
        <f t="shared" si="104"/>
        <v>0</v>
      </c>
      <c r="FK159" s="540">
        <f t="shared" si="105"/>
        <v>0</v>
      </c>
    </row>
    <row r="160" spans="1:167" s="23" customFormat="1" ht="24" customHeight="1">
      <c r="A160" s="84" t="s">
        <v>233</v>
      </c>
      <c r="B160" s="404"/>
      <c r="C160" s="404"/>
      <c r="D160" s="338" t="s">
        <v>1904</v>
      </c>
      <c r="E160" s="378">
        <v>2097632</v>
      </c>
      <c r="F160" s="5"/>
      <c r="G160" s="310" t="s">
        <v>9</v>
      </c>
      <c r="H160" s="338"/>
      <c r="I160" s="338"/>
      <c r="J160" s="338">
        <v>2019</v>
      </c>
      <c r="K160" s="316">
        <v>43706</v>
      </c>
      <c r="L160" s="317">
        <v>44225</v>
      </c>
      <c r="M160" s="409"/>
      <c r="N160" s="317">
        <f t="shared" si="109"/>
        <v>44618</v>
      </c>
      <c r="O160" s="317">
        <f t="shared" si="110"/>
        <v>44983</v>
      </c>
      <c r="P160" s="418" t="str">
        <f t="shared" si="108"/>
        <v>CRTD</v>
      </c>
      <c r="Q160" s="418" t="str">
        <f t="shared" si="108"/>
        <v>CRTD</v>
      </c>
      <c r="R160" s="418" t="str">
        <f t="shared" si="108"/>
        <v>CRTD</v>
      </c>
      <c r="S160" s="418" t="str">
        <f t="shared" si="108"/>
        <v>CRTD</v>
      </c>
      <c r="T160" s="418" t="str">
        <f t="shared" si="108"/>
        <v>CRTD</v>
      </c>
      <c r="U160" s="418" t="str">
        <f t="shared" si="108"/>
        <v>CRTD</v>
      </c>
      <c r="V160" s="418" t="str">
        <f t="shared" si="108"/>
        <v>CRTD</v>
      </c>
      <c r="W160" s="418" t="str">
        <f t="shared" si="108"/>
        <v>CRTD</v>
      </c>
      <c r="X160" s="418" t="str">
        <f t="shared" si="108"/>
        <v>CRTD</v>
      </c>
      <c r="Y160" s="418" t="str">
        <f t="shared" si="108"/>
        <v>CRTD</v>
      </c>
      <c r="Z160" s="418" t="str">
        <f t="shared" si="108"/>
        <v>CRTD</v>
      </c>
      <c r="AA160" s="418" t="str">
        <f t="shared" si="108"/>
        <v>CRTD</v>
      </c>
      <c r="AB160" s="317"/>
      <c r="AC160" s="309" t="s">
        <v>3931</v>
      </c>
      <c r="AD160" s="311" t="s">
        <v>223</v>
      </c>
      <c r="AE160" s="311"/>
      <c r="AF160" s="310" t="s">
        <v>6985</v>
      </c>
      <c r="AG160" s="310" t="s">
        <v>9083</v>
      </c>
      <c r="AH160" s="310" t="s">
        <v>232</v>
      </c>
      <c r="AI160" s="309" t="s">
        <v>188</v>
      </c>
      <c r="AJ160" s="6" t="s">
        <v>218</v>
      </c>
      <c r="AK160" s="6" t="str">
        <f t="shared" si="83"/>
        <v>IGUAL</v>
      </c>
      <c r="AL160" s="151" t="str">
        <f>IFERROR(IF(LEFT(A160,3)="LCP",VLOOKUP(A160,STATUS_SAP_LCP!B:C,2,FALSE),VLOOKUP(A160,STATUS_SAP_ICP!B:C,2,FALSE)),"NO BUDGET")</f>
        <v>CLSD BUDG AUC  AVAC  //  APPR BREL EXPL</v>
      </c>
      <c r="AM160" s="6" t="str">
        <f t="shared" si="82"/>
        <v>CLSD</v>
      </c>
      <c r="AN160" s="282" t="s">
        <v>9094</v>
      </c>
      <c r="AO160" s="493">
        <v>1</v>
      </c>
      <c r="AP160" s="499" t="s">
        <v>9607</v>
      </c>
      <c r="AQ160" s="465">
        <v>44225</v>
      </c>
      <c r="AR160" s="460"/>
      <c r="AS160" s="56">
        <v>137.65288999999999</v>
      </c>
      <c r="AT160" s="185">
        <v>13.678000000000003</v>
      </c>
      <c r="AU160" s="318">
        <v>0</v>
      </c>
      <c r="AV160" s="223">
        <v>0</v>
      </c>
      <c r="AW160" s="318">
        <v>0</v>
      </c>
      <c r="AX160" s="223">
        <v>0</v>
      </c>
      <c r="AY160" s="318">
        <f t="shared" si="111"/>
        <v>0</v>
      </c>
      <c r="AZ160" s="223"/>
      <c r="BA160" s="318"/>
      <c r="BB160" s="519">
        <f t="shared" si="112"/>
        <v>0</v>
      </c>
      <c r="BC160" s="518"/>
      <c r="BD160" s="518"/>
      <c r="BE160" s="518"/>
      <c r="BF160" s="518"/>
      <c r="BG160" s="518"/>
      <c r="BH160" s="518"/>
      <c r="BI160" s="518"/>
      <c r="BJ160" s="518"/>
      <c r="BK160" s="518"/>
      <c r="BL160" s="518"/>
      <c r="BM160" s="518"/>
      <c r="BN160" s="518"/>
      <c r="BO160" s="367">
        <f t="shared" si="84"/>
        <v>0</v>
      </c>
      <c r="BP160" s="421"/>
      <c r="BQ160" s="422"/>
      <c r="BR160" s="423">
        <f>IFERROR(IF(LEFT($A160,3)="Lcp",SUMIFS('BASE-LCP'!$K:$K,'BASE-LCP'!$A:$A,Capex!$A151,'BASE-LCP'!$B:$B,"janeiro")/1000,IF(LEFT($A160,3)="icp",SUMIFS('BASE-ICP'!$K:$K,'BASE-ICP'!$A:$A,Capex!$A151,'BASE-ICP'!$B:$B,"janeiro")/1000,"")),"")</f>
        <v>0</v>
      </c>
      <c r="BS160" s="427">
        <v>0</v>
      </c>
      <c r="BT160" s="372">
        <v>0</v>
      </c>
      <c r="BU160" s="422"/>
      <c r="BV160" s="423">
        <f>IFERROR(IF(LEFT($A160,3)="Lcp",SUMIFS('BASE-LCP'!$K:$K,'BASE-LCP'!$A:$A,Capex!$A151,'BASE-LCP'!$B:$B,"fevereiro")/1000,IF(LEFT($A160,3)="icp",SUMIFS('BASE-ICP'!$K:$K,'BASE-ICP'!$A:$A,Capex!$A151,'BASE-ICP'!$B:$B,"fevereiro")/1000,"")),"")</f>
        <v>0</v>
      </c>
      <c r="BW160" s="427">
        <v>0</v>
      </c>
      <c r="BX160" s="372">
        <v>0</v>
      </c>
      <c r="BY160" s="419"/>
      <c r="BZ160" s="423">
        <f>IFERROR(IF(LEFT($A160,3)="Lcp",SUMIFS('BASE-LCP'!$K:$K,'BASE-LCP'!$A:$A,Capex!$A151,'BASE-LCP'!$B:$B,"março")/1000,IF(LEFT($A160,3)="icp",SUMIFS('BASE-ICP'!$K:$K,'BASE-ICP'!$A:$A,Capex!$A151,'BASE-ICP'!$B:$B,"março")/1000,"")),"")</f>
        <v>0</v>
      </c>
      <c r="CA160" s="427">
        <v>0</v>
      </c>
      <c r="CB160" s="372">
        <v>0</v>
      </c>
      <c r="CC160" s="422"/>
      <c r="CD160" s="423">
        <f>IFERROR(IF(LEFT($A160,3)="Lcp",SUMIFS('BASE-LCP'!$K:$K,'BASE-LCP'!$A:$A,Capex!$A151,'BASE-LCP'!$B:$B,"abril")/1000,IF(LEFT($A160,3)="icp",SUMIFS('BASE-ICP'!$K:$K,'BASE-ICP'!$A:$A,Capex!$A151,'BASE-ICP'!$B:$B,"abril")/1000,"")),"")</f>
        <v>0</v>
      </c>
      <c r="CE160" s="427">
        <v>0</v>
      </c>
      <c r="CF160" s="372">
        <v>0</v>
      </c>
      <c r="CG160" s="419"/>
      <c r="CH160" s="423">
        <v>0</v>
      </c>
      <c r="CI160" s="427">
        <v>0</v>
      </c>
      <c r="CJ160" s="372">
        <v>0</v>
      </c>
      <c r="CK160" s="419"/>
      <c r="CL160" s="423">
        <f>IFERROR(IF(LEFT($A160,3)="Lcp",SUMIFS('BASE-LCP'!$K:$K,'BASE-LCP'!$A:$A,Capex!$A151,'BASE-LCP'!$B:$B,"junho")/1000,IF(LEFT($A160,3)="icp",SUMIFS('BASE-ICP'!$K:$K,'BASE-ICP'!$A:$A,Capex!$A151,'BASE-ICP'!$B:$B,"junho")/1000,"")),"")</f>
        <v>0</v>
      </c>
      <c r="CM160" s="427">
        <v>0</v>
      </c>
      <c r="CN160" s="372"/>
      <c r="CO160" s="419"/>
      <c r="CP160" s="423">
        <f>IFERROR(IF(LEFT($A160,3)="Lcp",SUMIFS('BASE-LCP'!$K:$K,'BASE-LCP'!$A:$A,Capex!$A151,'BASE-LCP'!$B:$B,"julho")/1000,IF(LEFT($A160,3)="icp",SUMIFS('BASE-ICP'!$K:$K,'BASE-ICP'!$A:$A,Capex!$A151,'BASE-ICP'!$B:$B,"julho")/1000,"")),"")</f>
        <v>0</v>
      </c>
      <c r="CQ160" s="427">
        <v>0</v>
      </c>
      <c r="CR160" s="372"/>
      <c r="CS160" s="419"/>
      <c r="CT160" s="423">
        <f>IFERROR(IF(LEFT($A160,3)="Lcp",SUMIFS('BASE-LCP'!$K:$K,'BASE-LCP'!$A:$A,Capex!$A151,'BASE-LCP'!$B:$B,"agosto")/1000,IF(LEFT($A160,3)="icp",SUMIFS('BASE-ICP'!$K:$K,'BASE-ICP'!$A:$A,Capex!$A151,'BASE-ICP'!$B:$B,"agosto")/1000,"")),"")</f>
        <v>0</v>
      </c>
      <c r="CU160" s="427">
        <v>0</v>
      </c>
      <c r="CV160" s="372"/>
      <c r="CW160" s="419"/>
      <c r="CX160" s="423">
        <f>IFERROR(IF(LEFT($A160,3)="Lcp",SUMIFS('BASE-LCP'!$K:$K,'BASE-LCP'!$A:$A,Capex!$A151,'BASE-LCP'!$B:$B,"setembro")/1000,IF(LEFT($A160,3)="icp",SUMIFS('BASE-ICP'!$K:$K,'BASE-ICP'!$A:$A,Capex!$A151,'BASE-ICP'!$B:$B,"setembro")/1000,"")),"")</f>
        <v>0</v>
      </c>
      <c r="CY160" s="427">
        <v>0</v>
      </c>
      <c r="CZ160" s="372"/>
      <c r="DA160" s="419"/>
      <c r="DB160" s="423">
        <f>IFERROR(IF(LEFT($A160,3)="Lcp",SUMIFS('BASE-LCP'!$K:$K,'BASE-LCP'!$A:$A,Capex!$A151,'BASE-LCP'!$B:$B,"outubro")/1000,IF(LEFT($A160,3)="icp",SUMIFS('BASE-ICP'!$K:$K,'BASE-ICP'!$A:$A,Capex!$A151,'BASE-ICP'!$B:$B,"outubro")/1000,"")),"")</f>
        <v>0</v>
      </c>
      <c r="DC160" s="427">
        <v>0</v>
      </c>
      <c r="DD160" s="372"/>
      <c r="DE160" s="419"/>
      <c r="DF160" s="423">
        <f>IFERROR(IF(LEFT($A160,3)="Lcp",SUMIFS('BASE-LCP'!$K:$K,'BASE-LCP'!$A:$A,Capex!$A151,'BASE-LCP'!$B:$B,"novembro")/1000,IF(LEFT($A160,3)="icp",SUMIFS('BASE-ICP'!$K:$K,'BASE-ICP'!$A:$A,Capex!$A151,'BASE-ICP'!$B:$B,"novembro")/1000,"")),"")</f>
        <v>0</v>
      </c>
      <c r="DG160" s="427">
        <v>0</v>
      </c>
      <c r="DH160" s="372"/>
      <c r="DI160" s="419"/>
      <c r="DJ160" s="423">
        <f>IFERROR(IF(LEFT($A160,3)="Lcp",SUMIFS('BASE-LCP'!$K:$K,'BASE-LCP'!$A:$A,Capex!$A151,'BASE-LCP'!$B:$B,"dezembro")/1000,IF(LEFT($A160,3)="icp",SUMIFS('BASE-ICP'!$K:$K,'BASE-ICP'!$A:$A,Capex!$A151,'BASE-ICP'!$B:$B,"dezembro")/1000,"")),"")</f>
        <v>0</v>
      </c>
      <c r="DK160" s="427">
        <v>0</v>
      </c>
      <c r="DL160" s="452">
        <f t="shared" si="85"/>
        <v>0</v>
      </c>
      <c r="DM160" s="374"/>
      <c r="DN160" s="374"/>
      <c r="DO160" s="374"/>
      <c r="DP160" s="374"/>
      <c r="DQ160" s="374"/>
      <c r="DR160" s="374"/>
      <c r="DS160" s="374"/>
      <c r="DT160" s="374"/>
      <c r="DU160" s="374"/>
      <c r="DV160" s="374"/>
      <c r="DW160" s="374"/>
      <c r="DX160" s="374"/>
      <c r="DY160" s="450"/>
      <c r="DZ160" s="374">
        <f t="shared" si="86"/>
        <v>0</v>
      </c>
      <c r="EA160" s="216">
        <f t="shared" si="87"/>
        <v>0</v>
      </c>
      <c r="EB160" s="320">
        <f t="shared" si="88"/>
        <v>0</v>
      </c>
      <c r="EC160" s="241">
        <f t="shared" si="89"/>
        <v>0</v>
      </c>
      <c r="ED160" s="241">
        <f t="shared" si="90"/>
        <v>0</v>
      </c>
      <c r="EE160" s="241">
        <f t="shared" si="91"/>
        <v>0</v>
      </c>
      <c r="EF160" s="241">
        <f t="shared" si="92"/>
        <v>0</v>
      </c>
      <c r="EG160" s="346">
        <f t="shared" si="93"/>
        <v>0</v>
      </c>
      <c r="EH160" s="445">
        <f t="shared" si="94"/>
        <v>0</v>
      </c>
      <c r="EI160" s="447">
        <f t="shared" si="95"/>
        <v>0</v>
      </c>
      <c r="EJ160" s="364">
        <f t="shared" si="96"/>
        <v>0</v>
      </c>
      <c r="EK160" s="365">
        <f t="shared" si="97"/>
        <v>0</v>
      </c>
      <c r="EL160" s="529">
        <f t="shared" si="98"/>
        <v>0</v>
      </c>
      <c r="EM160" s="530">
        <v>0</v>
      </c>
      <c r="EN160" s="530">
        <v>0</v>
      </c>
      <c r="EO160" s="530">
        <v>0</v>
      </c>
      <c r="EP160" s="530">
        <v>0</v>
      </c>
      <c r="EQ160" s="530">
        <v>0</v>
      </c>
      <c r="ER160" s="530">
        <v>0</v>
      </c>
      <c r="ES160" s="530">
        <v>0</v>
      </c>
      <c r="ET160" s="530">
        <v>0</v>
      </c>
      <c r="EU160" s="530">
        <v>0</v>
      </c>
      <c r="EV160" s="530">
        <v>0</v>
      </c>
      <c r="EW160" s="530">
        <v>0</v>
      </c>
      <c r="EX160" s="530">
        <v>0</v>
      </c>
      <c r="EY160" s="530">
        <f t="shared" si="99"/>
        <v>0</v>
      </c>
      <c r="EZ160" s="530">
        <f t="shared" si="100"/>
        <v>0</v>
      </c>
      <c r="FA160" s="530">
        <f t="shared" si="101"/>
        <v>0</v>
      </c>
      <c r="FB160" s="530">
        <f t="shared" si="102"/>
        <v>0</v>
      </c>
      <c r="FC160" s="384">
        <f>IFERROR(VLOOKUP(Capex!A151,BASE_558!D:R,8,FALSE)/1000,"")</f>
        <v>15.6</v>
      </c>
      <c r="FD160" s="328">
        <f>IFERROR(VLOOKUP(Capex!A151,BASE_558!D:R,9,)/1000,"")</f>
        <v>15.10722</v>
      </c>
      <c r="FE160" s="328">
        <f>IFERROR(IF(LEFT(A160,3)="LCP",(VLOOKUP(Capex!A151,BASE_558!D:R,10,)/1000),SUMIFS('BASE ICP_PO_SC'!F:F,'BASE ICP_PO_SC'!A:A,Capex!A151,'BASE ICP_PO_SC'!E:E,"&lt;&gt;")/1000),"")</f>
        <v>0</v>
      </c>
      <c r="FF160" s="328">
        <f>IFERROR(IF(LEFT(A160,3)="LCP",(VLOOKUP(Capex!A151,BASE_558!D:R,11,)/1000),SUMIFS('BASE ICP_PO_SC'!F:F,'BASE ICP_PO_SC'!A:A,Capex!A151,'BASE ICP_PO_SC'!E:E,"")/1000),"")</f>
        <v>0</v>
      </c>
      <c r="FG160" s="328">
        <f>IFERROR(VLOOKUP(A160,BASE_558!D:R,13,FALSE)/1000,"")</f>
        <v>151.33089000000001</v>
      </c>
      <c r="FH160" s="328">
        <f>IFERROR(VLOOKUP(A160,BASE_558!D:R,15,FALSE)/1000,"")</f>
        <v>28.688610000000001</v>
      </c>
      <c r="FI160" s="547">
        <f t="shared" si="103"/>
        <v>0</v>
      </c>
      <c r="FJ160" s="547">
        <f t="shared" si="104"/>
        <v>0</v>
      </c>
      <c r="FK160" s="540">
        <f t="shared" si="105"/>
        <v>0</v>
      </c>
    </row>
    <row r="161" spans="1:167" s="23" customFormat="1" ht="24" customHeight="1">
      <c r="A161" s="84" t="s">
        <v>235</v>
      </c>
      <c r="B161" s="404"/>
      <c r="C161" s="404"/>
      <c r="D161" s="338" t="s">
        <v>1115</v>
      </c>
      <c r="E161" s="378">
        <v>2112948</v>
      </c>
      <c r="F161" s="310" t="s">
        <v>609</v>
      </c>
      <c r="G161" s="310" t="s">
        <v>9</v>
      </c>
      <c r="H161" s="338"/>
      <c r="I161" s="338"/>
      <c r="J161" s="338">
        <v>2019</v>
      </c>
      <c r="K161" s="316">
        <v>43715</v>
      </c>
      <c r="L161" s="317">
        <v>44029</v>
      </c>
      <c r="M161" s="409"/>
      <c r="N161" s="317">
        <f t="shared" si="109"/>
        <v>44627</v>
      </c>
      <c r="O161" s="317">
        <f t="shared" si="110"/>
        <v>44992</v>
      </c>
      <c r="P161" s="418" t="str">
        <f t="shared" si="108"/>
        <v>CRTD</v>
      </c>
      <c r="Q161" s="418" t="str">
        <f t="shared" si="108"/>
        <v>CRTD</v>
      </c>
      <c r="R161" s="418" t="str">
        <f t="shared" si="108"/>
        <v>CRTD</v>
      </c>
      <c r="S161" s="418" t="str">
        <f t="shared" si="108"/>
        <v>CRTD</v>
      </c>
      <c r="T161" s="418" t="str">
        <f t="shared" si="108"/>
        <v>CRTD</v>
      </c>
      <c r="U161" s="418" t="str">
        <f t="shared" si="108"/>
        <v>CRTD</v>
      </c>
      <c r="V161" s="418" t="str">
        <f t="shared" si="108"/>
        <v>CRTD</v>
      </c>
      <c r="W161" s="418" t="str">
        <f t="shared" si="108"/>
        <v>CRTD</v>
      </c>
      <c r="X161" s="418" t="str">
        <f t="shared" si="108"/>
        <v>CRTD</v>
      </c>
      <c r="Y161" s="418" t="str">
        <f t="shared" si="108"/>
        <v>CRTD</v>
      </c>
      <c r="Z161" s="418" t="str">
        <f t="shared" si="108"/>
        <v>CRTD</v>
      </c>
      <c r="AA161" s="418" t="str">
        <f t="shared" si="108"/>
        <v>CRTD</v>
      </c>
      <c r="AB161" s="317"/>
      <c r="AC161" s="309" t="s">
        <v>3932</v>
      </c>
      <c r="AD161" s="311" t="s">
        <v>5</v>
      </c>
      <c r="AE161" s="311"/>
      <c r="AF161" s="310" t="s">
        <v>6985</v>
      </c>
      <c r="AG161" s="310" t="s">
        <v>9083</v>
      </c>
      <c r="AH161" s="310" t="s">
        <v>234</v>
      </c>
      <c r="AI161" s="309" t="s">
        <v>2255</v>
      </c>
      <c r="AJ161" s="6" t="s">
        <v>218</v>
      </c>
      <c r="AK161" s="6" t="str">
        <f t="shared" si="83"/>
        <v>IGUAL</v>
      </c>
      <c r="AL161" s="151" t="str">
        <f>IFERROR(IF(LEFT(A161,3)="LCP",VLOOKUP(A161,STATUS_SAP_LCP!B:C,2,FALSE),VLOOKUP(A161,STATUS_SAP_ICP!B:C,2,FALSE)),"NO BUDGET")</f>
        <v>CLSD BUDG AUC  AVAC  //  APPR BREL EXPL</v>
      </c>
      <c r="AM161" s="6" t="str">
        <f t="shared" si="82"/>
        <v>CLSD</v>
      </c>
      <c r="AN161" s="282" t="s">
        <v>9085</v>
      </c>
      <c r="AO161" s="493">
        <v>1</v>
      </c>
      <c r="AP161" s="499" t="s">
        <v>9607</v>
      </c>
      <c r="AQ161" s="465">
        <v>44029</v>
      </c>
      <c r="AR161" s="460"/>
      <c r="AS161" s="56">
        <v>420.09872999999999</v>
      </c>
      <c r="AT161" s="185">
        <v>-25.047710000000009</v>
      </c>
      <c r="AU161" s="318">
        <v>0</v>
      </c>
      <c r="AV161" s="223">
        <v>0</v>
      </c>
      <c r="AW161" s="318">
        <v>0</v>
      </c>
      <c r="AX161" s="223">
        <v>0</v>
      </c>
      <c r="AY161" s="318">
        <f t="shared" si="111"/>
        <v>0</v>
      </c>
      <c r="AZ161" s="223"/>
      <c r="BA161" s="318"/>
      <c r="BB161" s="519">
        <f t="shared" si="112"/>
        <v>0</v>
      </c>
      <c r="BC161" s="518"/>
      <c r="BD161" s="518"/>
      <c r="BE161" s="518"/>
      <c r="BF161" s="518"/>
      <c r="BG161" s="518"/>
      <c r="BH161" s="518"/>
      <c r="BI161" s="518"/>
      <c r="BJ161" s="518"/>
      <c r="BK161" s="518"/>
      <c r="BL161" s="518"/>
      <c r="BM161" s="518"/>
      <c r="BN161" s="518"/>
      <c r="BO161" s="367">
        <f t="shared" si="84"/>
        <v>0</v>
      </c>
      <c r="BP161" s="421"/>
      <c r="BQ161" s="422"/>
      <c r="BR161" s="423">
        <f>IFERROR(IF(LEFT($A161,3)="Lcp",SUMIFS('BASE-LCP'!$K:$K,'BASE-LCP'!$A:$A,Capex!$A152,'BASE-LCP'!$B:$B,"janeiro")/1000,IF(LEFT($A161,3)="icp",SUMIFS('BASE-ICP'!$K:$K,'BASE-ICP'!$A:$A,Capex!$A152,'BASE-ICP'!$B:$B,"janeiro")/1000,"")),"")</f>
        <v>0</v>
      </c>
      <c r="BS161" s="427">
        <v>0</v>
      </c>
      <c r="BT161" s="372">
        <v>0</v>
      </c>
      <c r="BU161" s="422"/>
      <c r="BV161" s="423">
        <f>IFERROR(IF(LEFT($A161,3)="Lcp",SUMIFS('BASE-LCP'!$K:$K,'BASE-LCP'!$A:$A,Capex!$A152,'BASE-LCP'!$B:$B,"fevereiro")/1000,IF(LEFT($A161,3)="icp",SUMIFS('BASE-ICP'!$K:$K,'BASE-ICP'!$A:$A,Capex!$A152,'BASE-ICP'!$B:$B,"fevereiro")/1000,"")),"")</f>
        <v>0</v>
      </c>
      <c r="BW161" s="427">
        <v>0</v>
      </c>
      <c r="BX161" s="372">
        <v>0</v>
      </c>
      <c r="BY161" s="419"/>
      <c r="BZ161" s="423">
        <f>IFERROR(IF(LEFT($A161,3)="Lcp",SUMIFS('BASE-LCP'!$K:$K,'BASE-LCP'!$A:$A,Capex!$A152,'BASE-LCP'!$B:$B,"março")/1000,IF(LEFT($A161,3)="icp",SUMIFS('BASE-ICP'!$K:$K,'BASE-ICP'!$A:$A,Capex!$A152,'BASE-ICP'!$B:$B,"março")/1000,"")),"")</f>
        <v>0</v>
      </c>
      <c r="CA161" s="427">
        <v>0</v>
      </c>
      <c r="CB161" s="372">
        <v>0</v>
      </c>
      <c r="CC161" s="422"/>
      <c r="CD161" s="423">
        <f>IFERROR(IF(LEFT($A161,3)="Lcp",SUMIFS('BASE-LCP'!$K:$K,'BASE-LCP'!$A:$A,Capex!$A152,'BASE-LCP'!$B:$B,"abril")/1000,IF(LEFT($A161,3)="icp",SUMIFS('BASE-ICP'!$K:$K,'BASE-ICP'!$A:$A,Capex!$A152,'BASE-ICP'!$B:$B,"abril")/1000,"")),"")</f>
        <v>0</v>
      </c>
      <c r="CE161" s="427">
        <v>0</v>
      </c>
      <c r="CF161" s="372">
        <v>0</v>
      </c>
      <c r="CG161" s="419"/>
      <c r="CH161" s="423">
        <v>0</v>
      </c>
      <c r="CI161" s="427">
        <v>0</v>
      </c>
      <c r="CJ161" s="372">
        <v>0</v>
      </c>
      <c r="CK161" s="419"/>
      <c r="CL161" s="423">
        <f>IFERROR(IF(LEFT($A161,3)="Lcp",SUMIFS('BASE-LCP'!$K:$K,'BASE-LCP'!$A:$A,Capex!$A152,'BASE-LCP'!$B:$B,"junho")/1000,IF(LEFT($A161,3)="icp",SUMIFS('BASE-ICP'!$K:$K,'BASE-ICP'!$A:$A,Capex!$A152,'BASE-ICP'!$B:$B,"junho")/1000,"")),"")</f>
        <v>0</v>
      </c>
      <c r="CM161" s="427">
        <v>0</v>
      </c>
      <c r="CN161" s="372"/>
      <c r="CO161" s="419"/>
      <c r="CP161" s="423">
        <f>IFERROR(IF(LEFT($A161,3)="Lcp",SUMIFS('BASE-LCP'!$K:$K,'BASE-LCP'!$A:$A,Capex!$A152,'BASE-LCP'!$B:$B,"julho")/1000,IF(LEFT($A161,3)="icp",SUMIFS('BASE-ICP'!$K:$K,'BASE-ICP'!$A:$A,Capex!$A152,'BASE-ICP'!$B:$B,"julho")/1000,"")),"")</f>
        <v>0</v>
      </c>
      <c r="CQ161" s="427">
        <v>0</v>
      </c>
      <c r="CR161" s="372"/>
      <c r="CS161" s="419"/>
      <c r="CT161" s="423">
        <f>IFERROR(IF(LEFT($A161,3)="Lcp",SUMIFS('BASE-LCP'!$K:$K,'BASE-LCP'!$A:$A,Capex!$A152,'BASE-LCP'!$B:$B,"agosto")/1000,IF(LEFT($A161,3)="icp",SUMIFS('BASE-ICP'!$K:$K,'BASE-ICP'!$A:$A,Capex!$A152,'BASE-ICP'!$B:$B,"agosto")/1000,"")),"")</f>
        <v>0</v>
      </c>
      <c r="CU161" s="427">
        <v>0</v>
      </c>
      <c r="CV161" s="372"/>
      <c r="CW161" s="419"/>
      <c r="CX161" s="423">
        <f>IFERROR(IF(LEFT($A161,3)="Lcp",SUMIFS('BASE-LCP'!$K:$K,'BASE-LCP'!$A:$A,Capex!$A152,'BASE-LCP'!$B:$B,"setembro")/1000,IF(LEFT($A161,3)="icp",SUMIFS('BASE-ICP'!$K:$K,'BASE-ICP'!$A:$A,Capex!$A152,'BASE-ICP'!$B:$B,"setembro")/1000,"")),"")</f>
        <v>0</v>
      </c>
      <c r="CY161" s="427">
        <v>0</v>
      </c>
      <c r="CZ161" s="372"/>
      <c r="DA161" s="419"/>
      <c r="DB161" s="423">
        <f>IFERROR(IF(LEFT($A161,3)="Lcp",SUMIFS('BASE-LCP'!$K:$K,'BASE-LCP'!$A:$A,Capex!$A152,'BASE-LCP'!$B:$B,"outubro")/1000,IF(LEFT($A161,3)="icp",SUMIFS('BASE-ICP'!$K:$K,'BASE-ICP'!$A:$A,Capex!$A152,'BASE-ICP'!$B:$B,"outubro")/1000,"")),"")</f>
        <v>0</v>
      </c>
      <c r="DC161" s="427">
        <v>0</v>
      </c>
      <c r="DD161" s="372"/>
      <c r="DE161" s="419"/>
      <c r="DF161" s="423">
        <f>IFERROR(IF(LEFT($A161,3)="Lcp",SUMIFS('BASE-LCP'!$K:$K,'BASE-LCP'!$A:$A,Capex!$A152,'BASE-LCP'!$B:$B,"novembro")/1000,IF(LEFT($A161,3)="icp",SUMIFS('BASE-ICP'!$K:$K,'BASE-ICP'!$A:$A,Capex!$A152,'BASE-ICP'!$B:$B,"novembro")/1000,"")),"")</f>
        <v>0</v>
      </c>
      <c r="DG161" s="427">
        <v>0</v>
      </c>
      <c r="DH161" s="372"/>
      <c r="DI161" s="419"/>
      <c r="DJ161" s="423">
        <f>IFERROR(IF(LEFT($A161,3)="Lcp",SUMIFS('BASE-LCP'!$K:$K,'BASE-LCP'!$A:$A,Capex!$A152,'BASE-LCP'!$B:$B,"dezembro")/1000,IF(LEFT($A161,3)="icp",SUMIFS('BASE-ICP'!$K:$K,'BASE-ICP'!$A:$A,Capex!$A152,'BASE-ICP'!$B:$B,"dezembro")/1000,"")),"")</f>
        <v>0</v>
      </c>
      <c r="DK161" s="427">
        <v>0</v>
      </c>
      <c r="DL161" s="452">
        <f t="shared" si="85"/>
        <v>0</v>
      </c>
      <c r="DM161" s="374"/>
      <c r="DN161" s="374"/>
      <c r="DO161" s="374"/>
      <c r="DP161" s="374"/>
      <c r="DQ161" s="374"/>
      <c r="DR161" s="374"/>
      <c r="DS161" s="374"/>
      <c r="DT161" s="374"/>
      <c r="DU161" s="374"/>
      <c r="DV161" s="374"/>
      <c r="DW161" s="374"/>
      <c r="DX161" s="374"/>
      <c r="DY161" s="450"/>
      <c r="DZ161" s="374">
        <f t="shared" si="86"/>
        <v>0</v>
      </c>
      <c r="EA161" s="216">
        <f t="shared" si="87"/>
        <v>0</v>
      </c>
      <c r="EB161" s="320">
        <f t="shared" si="88"/>
        <v>0</v>
      </c>
      <c r="EC161" s="241">
        <f t="shared" si="89"/>
        <v>0</v>
      </c>
      <c r="ED161" s="241">
        <f t="shared" si="90"/>
        <v>0</v>
      </c>
      <c r="EE161" s="241">
        <f t="shared" si="91"/>
        <v>0</v>
      </c>
      <c r="EF161" s="241">
        <f t="shared" si="92"/>
        <v>0</v>
      </c>
      <c r="EG161" s="346">
        <f t="shared" si="93"/>
        <v>0</v>
      </c>
      <c r="EH161" s="445">
        <f t="shared" si="94"/>
        <v>0</v>
      </c>
      <c r="EI161" s="447">
        <f t="shared" si="95"/>
        <v>0</v>
      </c>
      <c r="EJ161" s="364">
        <f t="shared" si="96"/>
        <v>0</v>
      </c>
      <c r="EK161" s="365">
        <f t="shared" si="97"/>
        <v>0</v>
      </c>
      <c r="EL161" s="529">
        <f t="shared" si="98"/>
        <v>0</v>
      </c>
      <c r="EM161" s="530">
        <v>0</v>
      </c>
      <c r="EN161" s="530">
        <v>0</v>
      </c>
      <c r="EO161" s="530">
        <v>0</v>
      </c>
      <c r="EP161" s="530">
        <v>0</v>
      </c>
      <c r="EQ161" s="530">
        <v>0</v>
      </c>
      <c r="ER161" s="530">
        <v>0</v>
      </c>
      <c r="ES161" s="530">
        <v>0</v>
      </c>
      <c r="ET161" s="530">
        <v>0</v>
      </c>
      <c r="EU161" s="530">
        <v>0</v>
      </c>
      <c r="EV161" s="530">
        <v>0</v>
      </c>
      <c r="EW161" s="530">
        <v>0</v>
      </c>
      <c r="EX161" s="530">
        <v>0</v>
      </c>
      <c r="EY161" s="530">
        <f t="shared" si="99"/>
        <v>0</v>
      </c>
      <c r="EZ161" s="530">
        <f t="shared" si="100"/>
        <v>0</v>
      </c>
      <c r="FA161" s="530">
        <f t="shared" si="101"/>
        <v>0</v>
      </c>
      <c r="FB161" s="530">
        <f t="shared" si="102"/>
        <v>0</v>
      </c>
      <c r="FC161" s="384">
        <f>IFERROR(VLOOKUP(Capex!A152,BASE_558!D:R,8,FALSE)/1000,"")</f>
        <v>427.82044000000002</v>
      </c>
      <c r="FD161" s="328">
        <f>IFERROR(VLOOKUP(Capex!A152,BASE_558!D:R,9,)/1000,"")</f>
        <v>313.02171000000004</v>
      </c>
      <c r="FE161" s="328">
        <f>IFERROR(IF(LEFT(A161,3)="LCP",(VLOOKUP(Capex!A152,BASE_558!D:R,10,)/1000),SUMIFS('BASE ICP_PO_SC'!F:F,'BASE ICP_PO_SC'!A:A,Capex!A152,'BASE ICP_PO_SC'!E:E,"&lt;&gt;")/1000),"")</f>
        <v>0</v>
      </c>
      <c r="FF161" s="328">
        <f>IFERROR(IF(LEFT(A161,3)="LCP",(VLOOKUP(Capex!A152,BASE_558!D:R,11,)/1000),SUMIFS('BASE ICP_PO_SC'!F:F,'BASE ICP_PO_SC'!A:A,Capex!A152,'BASE ICP_PO_SC'!E:E,"")/1000),"")</f>
        <v>0</v>
      </c>
      <c r="FG161" s="328">
        <f>IFERROR(VLOOKUP(A161,BASE_558!D:R,13,FALSE)/1000,"")</f>
        <v>395.05101999999999</v>
      </c>
      <c r="FH161" s="328">
        <f>IFERROR(VLOOKUP(A161,BASE_558!D:R,15,FALSE)/1000,"")</f>
        <v>50.831980000000001</v>
      </c>
      <c r="FI161" s="547">
        <f t="shared" si="103"/>
        <v>0</v>
      </c>
      <c r="FJ161" s="547">
        <f t="shared" si="104"/>
        <v>0</v>
      </c>
      <c r="FK161" s="540">
        <f t="shared" si="105"/>
        <v>0</v>
      </c>
    </row>
    <row r="162" spans="1:167" s="23" customFormat="1" ht="24" customHeight="1">
      <c r="A162" s="84" t="s">
        <v>236</v>
      </c>
      <c r="B162" s="404"/>
      <c r="C162" s="404"/>
      <c r="D162" s="338" t="s">
        <v>926</v>
      </c>
      <c r="E162" s="378">
        <v>2422247</v>
      </c>
      <c r="F162" s="5"/>
      <c r="G162" s="310" t="s">
        <v>9</v>
      </c>
      <c r="H162" s="338"/>
      <c r="I162" s="338"/>
      <c r="J162" s="338">
        <v>2019</v>
      </c>
      <c r="K162" s="316">
        <v>43833</v>
      </c>
      <c r="L162" s="317">
        <v>44225</v>
      </c>
      <c r="M162" s="409"/>
      <c r="N162" s="317">
        <f t="shared" si="109"/>
        <v>44745</v>
      </c>
      <c r="O162" s="317">
        <f t="shared" si="110"/>
        <v>45110</v>
      </c>
      <c r="P162" s="418" t="str">
        <f t="shared" si="108"/>
        <v>CRTD</v>
      </c>
      <c r="Q162" s="418" t="str">
        <f t="shared" si="108"/>
        <v>CRTD</v>
      </c>
      <c r="R162" s="418" t="str">
        <f t="shared" si="108"/>
        <v>CRTD</v>
      </c>
      <c r="S162" s="418" t="str">
        <f t="shared" si="108"/>
        <v>CRTD</v>
      </c>
      <c r="T162" s="418" t="str">
        <f t="shared" si="108"/>
        <v>CRTD</v>
      </c>
      <c r="U162" s="418" t="str">
        <f t="shared" si="108"/>
        <v>CRTD</v>
      </c>
      <c r="V162" s="418" t="str">
        <f t="shared" si="108"/>
        <v>CRTD</v>
      </c>
      <c r="W162" s="418" t="str">
        <f t="shared" si="108"/>
        <v>CRTD</v>
      </c>
      <c r="X162" s="418" t="str">
        <f t="shared" si="108"/>
        <v>CRTD</v>
      </c>
      <c r="Y162" s="418" t="str">
        <f t="shared" si="108"/>
        <v>CRTD</v>
      </c>
      <c r="Z162" s="418" t="str">
        <f t="shared" si="108"/>
        <v>CRTD</v>
      </c>
      <c r="AA162" s="418" t="str">
        <f t="shared" si="108"/>
        <v>CRTD</v>
      </c>
      <c r="AB162" s="317"/>
      <c r="AC162" s="309" t="s">
        <v>3932</v>
      </c>
      <c r="AD162" s="311" t="s">
        <v>5</v>
      </c>
      <c r="AE162" s="311"/>
      <c r="AF162" s="310" t="s">
        <v>6985</v>
      </c>
      <c r="AG162" s="310" t="s">
        <v>9083</v>
      </c>
      <c r="AH162" s="310" t="s">
        <v>231</v>
      </c>
      <c r="AI162" s="309" t="s">
        <v>316</v>
      </c>
      <c r="AJ162" s="6" t="s">
        <v>218</v>
      </c>
      <c r="AK162" s="6" t="str">
        <f t="shared" si="83"/>
        <v>IGUAL</v>
      </c>
      <c r="AL162" s="151" t="str">
        <f>IFERROR(IF(LEFT(A162,3)="LCP",VLOOKUP(A162,STATUS_SAP_LCP!B:C,2,FALSE),VLOOKUP(A162,STATUS_SAP_ICP!B:C,2,FALSE)),"NO BUDGET")</f>
        <v>CLSD BUDG AUC  AVAC  //  APPR BREL EXPL</v>
      </c>
      <c r="AM162" s="6" t="str">
        <f t="shared" si="82"/>
        <v>CLSD</v>
      </c>
      <c r="AN162" s="282" t="s">
        <v>9085</v>
      </c>
      <c r="AO162" s="562">
        <v>1</v>
      </c>
      <c r="AP162" s="499" t="s">
        <v>9607</v>
      </c>
      <c r="AQ162" s="465">
        <v>44225</v>
      </c>
      <c r="AR162" s="460"/>
      <c r="AS162" s="56">
        <v>0</v>
      </c>
      <c r="AT162" s="185">
        <v>0</v>
      </c>
      <c r="AU162" s="318">
        <v>0</v>
      </c>
      <c r="AV162" s="223">
        <v>0</v>
      </c>
      <c r="AW162" s="318">
        <v>0</v>
      </c>
      <c r="AX162" s="223">
        <v>0</v>
      </c>
      <c r="AY162" s="318">
        <f t="shared" si="111"/>
        <v>0</v>
      </c>
      <c r="AZ162" s="223"/>
      <c r="BA162" s="318"/>
      <c r="BB162" s="519">
        <f t="shared" si="112"/>
        <v>0</v>
      </c>
      <c r="BC162" s="518"/>
      <c r="BD162" s="518"/>
      <c r="BE162" s="518"/>
      <c r="BF162" s="518"/>
      <c r="BG162" s="518"/>
      <c r="BH162" s="518"/>
      <c r="BI162" s="518"/>
      <c r="BJ162" s="518"/>
      <c r="BK162" s="518"/>
      <c r="BL162" s="518"/>
      <c r="BM162" s="518"/>
      <c r="BN162" s="518"/>
      <c r="BO162" s="367">
        <f t="shared" si="84"/>
        <v>0</v>
      </c>
      <c r="BP162" s="421"/>
      <c r="BQ162" s="422"/>
      <c r="BR162" s="423">
        <f>IFERROR(IF(LEFT($A162,3)="Lcp",SUMIFS('BASE-LCP'!$K:$K,'BASE-LCP'!$A:$A,Capex!$A153,'BASE-LCP'!$B:$B,"janeiro")/1000,IF(LEFT($A162,3)="icp",SUMIFS('BASE-ICP'!$K:$K,'BASE-ICP'!$A:$A,Capex!$A153,'BASE-ICP'!$B:$B,"janeiro")/1000,"")),"")</f>
        <v>0</v>
      </c>
      <c r="BS162" s="427">
        <v>0</v>
      </c>
      <c r="BT162" s="372">
        <v>0</v>
      </c>
      <c r="BU162" s="422"/>
      <c r="BV162" s="423">
        <f>IFERROR(IF(LEFT($A162,3)="Lcp",SUMIFS('BASE-LCP'!$K:$K,'BASE-LCP'!$A:$A,Capex!$A153,'BASE-LCP'!$B:$B,"fevereiro")/1000,IF(LEFT($A162,3)="icp",SUMIFS('BASE-ICP'!$K:$K,'BASE-ICP'!$A:$A,Capex!$A153,'BASE-ICP'!$B:$B,"fevereiro")/1000,"")),"")</f>
        <v>0</v>
      </c>
      <c r="BW162" s="427">
        <v>0</v>
      </c>
      <c r="BX162" s="372">
        <v>0</v>
      </c>
      <c r="BY162" s="419"/>
      <c r="BZ162" s="423">
        <f>IFERROR(IF(LEFT($A162,3)="Lcp",SUMIFS('BASE-LCP'!$K:$K,'BASE-LCP'!$A:$A,Capex!$A153,'BASE-LCP'!$B:$B,"março")/1000,IF(LEFT($A162,3)="icp",SUMIFS('BASE-ICP'!$K:$K,'BASE-ICP'!$A:$A,Capex!$A153,'BASE-ICP'!$B:$B,"março")/1000,"")),"")</f>
        <v>0</v>
      </c>
      <c r="CA162" s="427">
        <v>0</v>
      </c>
      <c r="CB162" s="372">
        <v>0</v>
      </c>
      <c r="CC162" s="422"/>
      <c r="CD162" s="423">
        <f>IFERROR(IF(LEFT($A162,3)="Lcp",SUMIFS('BASE-LCP'!$K:$K,'BASE-LCP'!$A:$A,Capex!$A153,'BASE-LCP'!$B:$B,"abril")/1000,IF(LEFT($A162,3)="icp",SUMIFS('BASE-ICP'!$K:$K,'BASE-ICP'!$A:$A,Capex!$A153,'BASE-ICP'!$B:$B,"abril")/1000,"")),"")</f>
        <v>0</v>
      </c>
      <c r="CE162" s="427">
        <v>0</v>
      </c>
      <c r="CF162" s="372">
        <v>0</v>
      </c>
      <c r="CG162" s="419"/>
      <c r="CH162" s="423">
        <v>0</v>
      </c>
      <c r="CI162" s="427">
        <v>0</v>
      </c>
      <c r="CJ162" s="372">
        <v>0</v>
      </c>
      <c r="CK162" s="419"/>
      <c r="CL162" s="423">
        <f>IFERROR(IF(LEFT($A162,3)="Lcp",SUMIFS('BASE-LCP'!$K:$K,'BASE-LCP'!$A:$A,Capex!$A153,'BASE-LCP'!$B:$B,"junho")/1000,IF(LEFT($A162,3)="icp",SUMIFS('BASE-ICP'!$K:$K,'BASE-ICP'!$A:$A,Capex!$A153,'BASE-ICP'!$B:$B,"junho")/1000,"")),"")</f>
        <v>0</v>
      </c>
      <c r="CM162" s="427">
        <v>0</v>
      </c>
      <c r="CN162" s="319"/>
      <c r="CO162" s="419"/>
      <c r="CP162" s="423">
        <f>IFERROR(IF(LEFT($A162,3)="Lcp",SUMIFS('BASE-LCP'!$K:$K,'BASE-LCP'!$A:$A,Capex!$A153,'BASE-LCP'!$B:$B,"julho")/1000,IF(LEFT($A162,3)="icp",SUMIFS('BASE-ICP'!$K:$K,'BASE-ICP'!$A:$A,Capex!$A153,'BASE-ICP'!$B:$B,"julho")/1000,"")),"")</f>
        <v>0</v>
      </c>
      <c r="CQ162" s="427">
        <v>0</v>
      </c>
      <c r="CR162" s="372"/>
      <c r="CS162" s="419"/>
      <c r="CT162" s="423">
        <f>IFERROR(IF(LEFT($A162,3)="Lcp",SUMIFS('BASE-LCP'!$K:$K,'BASE-LCP'!$A:$A,Capex!$A153,'BASE-LCP'!$B:$B,"agosto")/1000,IF(LEFT($A162,3)="icp",SUMIFS('BASE-ICP'!$K:$K,'BASE-ICP'!$A:$A,Capex!$A153,'BASE-ICP'!$B:$B,"agosto")/1000,"")),"")</f>
        <v>0</v>
      </c>
      <c r="CU162" s="427">
        <v>0</v>
      </c>
      <c r="CV162" s="372"/>
      <c r="CW162" s="419"/>
      <c r="CX162" s="423">
        <f>IFERROR(IF(LEFT($A162,3)="Lcp",SUMIFS('BASE-LCP'!$K:$K,'BASE-LCP'!$A:$A,Capex!$A153,'BASE-LCP'!$B:$B,"setembro")/1000,IF(LEFT($A162,3)="icp",SUMIFS('BASE-ICP'!$K:$K,'BASE-ICP'!$A:$A,Capex!$A153,'BASE-ICP'!$B:$B,"setembro")/1000,"")),"")</f>
        <v>0</v>
      </c>
      <c r="CY162" s="427">
        <v>0</v>
      </c>
      <c r="CZ162" s="372"/>
      <c r="DA162" s="419"/>
      <c r="DB162" s="423">
        <f>IFERROR(IF(LEFT($A162,3)="Lcp",SUMIFS('BASE-LCP'!$K:$K,'BASE-LCP'!$A:$A,Capex!$A153,'BASE-LCP'!$B:$B,"outubro")/1000,IF(LEFT($A162,3)="icp",SUMIFS('BASE-ICP'!$K:$K,'BASE-ICP'!$A:$A,Capex!$A153,'BASE-ICP'!$B:$B,"outubro")/1000,"")),"")</f>
        <v>0</v>
      </c>
      <c r="DC162" s="427">
        <v>0</v>
      </c>
      <c r="DD162" s="372"/>
      <c r="DE162" s="419"/>
      <c r="DF162" s="423">
        <f>IFERROR(IF(LEFT($A162,3)="Lcp",SUMIFS('BASE-LCP'!$K:$K,'BASE-LCP'!$A:$A,Capex!$A153,'BASE-LCP'!$B:$B,"novembro")/1000,IF(LEFT($A162,3)="icp",SUMIFS('BASE-ICP'!$K:$K,'BASE-ICP'!$A:$A,Capex!$A153,'BASE-ICP'!$B:$B,"novembro")/1000,"")),"")</f>
        <v>0</v>
      </c>
      <c r="DG162" s="427">
        <v>0</v>
      </c>
      <c r="DH162" s="372"/>
      <c r="DI162" s="419"/>
      <c r="DJ162" s="423">
        <f>IFERROR(IF(LEFT($A162,3)="Lcp",SUMIFS('BASE-LCP'!$K:$K,'BASE-LCP'!$A:$A,Capex!$A153,'BASE-LCP'!$B:$B,"dezembro")/1000,IF(LEFT($A162,3)="icp",SUMIFS('BASE-ICP'!$K:$K,'BASE-ICP'!$A:$A,Capex!$A153,'BASE-ICP'!$B:$B,"dezembro")/1000,"")),"")</f>
        <v>0</v>
      </c>
      <c r="DK162" s="427">
        <v>0</v>
      </c>
      <c r="DL162" s="452">
        <f t="shared" si="85"/>
        <v>0</v>
      </c>
      <c r="DM162" s="374"/>
      <c r="DN162" s="374"/>
      <c r="DO162" s="374"/>
      <c r="DP162" s="374"/>
      <c r="DQ162" s="374"/>
      <c r="DR162" s="374"/>
      <c r="DS162" s="374"/>
      <c r="DT162" s="374"/>
      <c r="DU162" s="374"/>
      <c r="DV162" s="374"/>
      <c r="DW162" s="374"/>
      <c r="DX162" s="374"/>
      <c r="DY162" s="450"/>
      <c r="DZ162" s="374">
        <f t="shared" si="86"/>
        <v>0</v>
      </c>
      <c r="EA162" s="216">
        <f t="shared" si="87"/>
        <v>0</v>
      </c>
      <c r="EB162" s="320">
        <f t="shared" si="88"/>
        <v>0</v>
      </c>
      <c r="EC162" s="241">
        <f t="shared" si="89"/>
        <v>0</v>
      </c>
      <c r="ED162" s="241">
        <f t="shared" si="90"/>
        <v>0</v>
      </c>
      <c r="EE162" s="241">
        <f t="shared" si="91"/>
        <v>0</v>
      </c>
      <c r="EF162" s="241">
        <f t="shared" si="92"/>
        <v>0</v>
      </c>
      <c r="EG162" s="346">
        <f t="shared" si="93"/>
        <v>0</v>
      </c>
      <c r="EH162" s="445">
        <f t="shared" si="94"/>
        <v>0</v>
      </c>
      <c r="EI162" s="447">
        <f t="shared" si="95"/>
        <v>0</v>
      </c>
      <c r="EJ162" s="364">
        <f t="shared" si="96"/>
        <v>0</v>
      </c>
      <c r="EK162" s="365">
        <f t="shared" si="97"/>
        <v>0</v>
      </c>
      <c r="EL162" s="529">
        <f t="shared" si="98"/>
        <v>0</v>
      </c>
      <c r="EM162" s="530">
        <v>0</v>
      </c>
      <c r="EN162" s="530">
        <v>0</v>
      </c>
      <c r="EO162" s="530">
        <v>0</v>
      </c>
      <c r="EP162" s="530">
        <v>0</v>
      </c>
      <c r="EQ162" s="530">
        <v>0</v>
      </c>
      <c r="ER162" s="530">
        <v>0</v>
      </c>
      <c r="ES162" s="530">
        <v>0</v>
      </c>
      <c r="ET162" s="530">
        <v>0</v>
      </c>
      <c r="EU162" s="530">
        <v>0</v>
      </c>
      <c r="EV162" s="530">
        <v>0</v>
      </c>
      <c r="EW162" s="530">
        <v>0</v>
      </c>
      <c r="EX162" s="530">
        <v>0</v>
      </c>
      <c r="EY162" s="530">
        <f t="shared" si="99"/>
        <v>0</v>
      </c>
      <c r="EZ162" s="530">
        <f t="shared" si="100"/>
        <v>0</v>
      </c>
      <c r="FA162" s="530">
        <f t="shared" si="101"/>
        <v>0</v>
      </c>
      <c r="FB162" s="530">
        <f t="shared" si="102"/>
        <v>0</v>
      </c>
      <c r="FC162" s="384">
        <f>IFERROR(VLOOKUP(Capex!A153,BASE_558!D:R,8,FALSE)/1000,"")</f>
        <v>616.40979000000004</v>
      </c>
      <c r="FD162" s="328">
        <f>IFERROR(VLOOKUP(Capex!A153,BASE_558!D:R,9,)/1000,"")</f>
        <v>567.11</v>
      </c>
      <c r="FE162" s="328">
        <f>IFERROR(IF(LEFT(A162,3)="LCP",(VLOOKUP(Capex!A153,BASE_558!D:R,10,)/1000),SUMIFS('BASE ICP_PO_SC'!F:F,'BASE ICP_PO_SC'!A:A,Capex!A153,'BASE ICP_PO_SC'!E:E,"&lt;&gt;")/1000),"")</f>
        <v>0</v>
      </c>
      <c r="FF162" s="328">
        <f>IFERROR(IF(LEFT(A162,3)="LCP",(VLOOKUP(Capex!A153,BASE_558!D:R,11,)/1000),SUMIFS('BASE ICP_PO_SC'!F:F,'BASE ICP_PO_SC'!A:A,Capex!A153,'BASE ICP_PO_SC'!E:E,"")/1000),"")</f>
        <v>0</v>
      </c>
      <c r="FG162" s="328">
        <f>IFERROR(VLOOKUP(A162,BASE_558!D:R,13,FALSE)/1000,"")</f>
        <v>0</v>
      </c>
      <c r="FH162" s="328">
        <f>IFERROR(VLOOKUP(A162,BASE_558!D:R,15,FALSE)/1000,"")</f>
        <v>132.4</v>
      </c>
      <c r="FI162" s="547">
        <f t="shared" si="103"/>
        <v>0</v>
      </c>
      <c r="FJ162" s="547">
        <f t="shared" si="104"/>
        <v>0</v>
      </c>
      <c r="FK162" s="540">
        <f t="shared" si="105"/>
        <v>0</v>
      </c>
    </row>
    <row r="163" spans="1:167" s="23" customFormat="1" ht="24" customHeight="1">
      <c r="A163" s="84" t="s">
        <v>237</v>
      </c>
      <c r="B163" s="404" t="s">
        <v>693</v>
      </c>
      <c r="C163" s="404"/>
      <c r="D163" s="338" t="s">
        <v>879</v>
      </c>
      <c r="E163" s="378">
        <v>2238197</v>
      </c>
      <c r="F163" s="5"/>
      <c r="G163" s="310" t="s">
        <v>9</v>
      </c>
      <c r="H163" s="338"/>
      <c r="I163" s="338"/>
      <c r="J163" s="338">
        <v>2019</v>
      </c>
      <c r="K163" s="316">
        <v>43747</v>
      </c>
      <c r="L163" s="317">
        <v>44404</v>
      </c>
      <c r="M163" s="409"/>
      <c r="N163" s="317">
        <f t="shared" si="109"/>
        <v>44659</v>
      </c>
      <c r="O163" s="317">
        <f t="shared" si="110"/>
        <v>45024</v>
      </c>
      <c r="P163" s="418" t="str">
        <f t="shared" si="108"/>
        <v>CRTD</v>
      </c>
      <c r="Q163" s="418" t="str">
        <f t="shared" si="108"/>
        <v>CRTD</v>
      </c>
      <c r="R163" s="418" t="str">
        <f t="shared" si="108"/>
        <v>CRTD</v>
      </c>
      <c r="S163" s="418" t="str">
        <f t="shared" si="108"/>
        <v>CRTD</v>
      </c>
      <c r="T163" s="418" t="str">
        <f t="shared" si="108"/>
        <v>CRTD</v>
      </c>
      <c r="U163" s="418" t="str">
        <f t="shared" si="108"/>
        <v>CRTD</v>
      </c>
      <c r="V163" s="418" t="str">
        <f t="shared" si="108"/>
        <v>CRTD</v>
      </c>
      <c r="W163" s="418" t="str">
        <f t="shared" si="108"/>
        <v>CRTD</v>
      </c>
      <c r="X163" s="418" t="str">
        <f t="shared" si="108"/>
        <v>CRTD</v>
      </c>
      <c r="Y163" s="418" t="str">
        <f t="shared" si="108"/>
        <v>CRTD</v>
      </c>
      <c r="Z163" s="418" t="str">
        <f t="shared" si="108"/>
        <v>CRTD</v>
      </c>
      <c r="AA163" s="418" t="str">
        <f t="shared" si="108"/>
        <v>CRTD</v>
      </c>
      <c r="AB163" s="317"/>
      <c r="AC163" s="309" t="s">
        <v>2508</v>
      </c>
      <c r="AD163" s="311" t="s">
        <v>223</v>
      </c>
      <c r="AE163" s="311"/>
      <c r="AF163" s="310" t="s">
        <v>6985</v>
      </c>
      <c r="AG163" s="310" t="s">
        <v>9083</v>
      </c>
      <c r="AH163" s="310" t="s">
        <v>3935</v>
      </c>
      <c r="AI163" s="381" t="s">
        <v>188</v>
      </c>
      <c r="AJ163" s="6" t="s">
        <v>218</v>
      </c>
      <c r="AK163" s="6" t="str">
        <f t="shared" si="83"/>
        <v>IGUAL</v>
      </c>
      <c r="AL163" s="151" t="str">
        <f>IFERROR(IF(LEFT(A163,3)="LCP",VLOOKUP(A163,STATUS_SAP_LCP!B:C,2,FALSE),VLOOKUP(A163,STATUS_SAP_ICP!B:C,2,FALSE)),"NO BUDGET")</f>
        <v>CLSD BUDG AUC  AVAC  //  APPR BREL EXPL</v>
      </c>
      <c r="AM163" s="6" t="str">
        <f t="shared" si="82"/>
        <v>CLSD</v>
      </c>
      <c r="AN163" s="282" t="s">
        <v>9087</v>
      </c>
      <c r="AO163" s="493">
        <v>1</v>
      </c>
      <c r="AP163" s="499" t="s">
        <v>9607</v>
      </c>
      <c r="AQ163" s="465">
        <v>44404</v>
      </c>
      <c r="AR163" s="460"/>
      <c r="AS163" s="56">
        <v>50.368540000000003</v>
      </c>
      <c r="AT163" s="185">
        <v>1240.3935200000001</v>
      </c>
      <c r="AU163" s="318">
        <v>60.190020000000004</v>
      </c>
      <c r="AV163" s="223">
        <v>0</v>
      </c>
      <c r="AW163" s="318">
        <v>0</v>
      </c>
      <c r="AX163" s="223">
        <v>0</v>
      </c>
      <c r="AY163" s="318">
        <f t="shared" si="111"/>
        <v>0</v>
      </c>
      <c r="AZ163" s="223"/>
      <c r="BA163" s="318"/>
      <c r="BB163" s="519">
        <f t="shared" si="112"/>
        <v>0</v>
      </c>
      <c r="BC163" s="518"/>
      <c r="BD163" s="518"/>
      <c r="BE163" s="518"/>
      <c r="BF163" s="518"/>
      <c r="BG163" s="518"/>
      <c r="BH163" s="518"/>
      <c r="BI163" s="518"/>
      <c r="BJ163" s="518"/>
      <c r="BK163" s="518"/>
      <c r="BL163" s="518"/>
      <c r="BM163" s="518"/>
      <c r="BN163" s="518"/>
      <c r="BO163" s="367">
        <f t="shared" si="84"/>
        <v>0</v>
      </c>
      <c r="BP163" s="421"/>
      <c r="BQ163" s="422"/>
      <c r="BR163" s="423">
        <f>IFERROR(IF(LEFT($A163,3)="Lcp",SUMIFS('BASE-LCP'!$K:$K,'BASE-LCP'!$A:$A,Capex!$A154,'BASE-LCP'!$B:$B,"janeiro")/1000,IF(LEFT($A163,3)="icp",SUMIFS('BASE-ICP'!$K:$K,'BASE-ICP'!$A:$A,Capex!$A154,'BASE-ICP'!$B:$B,"janeiro")/1000,"")),"")</f>
        <v>0</v>
      </c>
      <c r="BS163" s="427">
        <v>0</v>
      </c>
      <c r="BT163" s="372">
        <v>0</v>
      </c>
      <c r="BU163" s="422"/>
      <c r="BV163" s="423">
        <f>IFERROR(IF(LEFT($A163,3)="Lcp",SUMIFS('BASE-LCP'!$K:$K,'BASE-LCP'!$A:$A,Capex!$A154,'BASE-LCP'!$B:$B,"fevereiro")/1000,IF(LEFT($A163,3)="icp",SUMIFS('BASE-ICP'!$K:$K,'BASE-ICP'!$A:$A,Capex!$A154,'BASE-ICP'!$B:$B,"fevereiro")/1000,"")),"")</f>
        <v>0</v>
      </c>
      <c r="BW163" s="427">
        <v>0</v>
      </c>
      <c r="BX163" s="372">
        <v>0</v>
      </c>
      <c r="BY163" s="419"/>
      <c r="BZ163" s="423">
        <f>IFERROR(IF(LEFT($A163,3)="Lcp",SUMIFS('BASE-LCP'!$K:$K,'BASE-LCP'!$A:$A,Capex!$A154,'BASE-LCP'!$B:$B,"março")/1000,IF(LEFT($A163,3)="icp",SUMIFS('BASE-ICP'!$K:$K,'BASE-ICP'!$A:$A,Capex!$A154,'BASE-ICP'!$B:$B,"março")/1000,"")),"")</f>
        <v>0</v>
      </c>
      <c r="CA163" s="427">
        <v>0</v>
      </c>
      <c r="CB163" s="372">
        <v>0</v>
      </c>
      <c r="CC163" s="422"/>
      <c r="CD163" s="423">
        <f>IFERROR(IF(LEFT($A163,3)="Lcp",SUMIFS('BASE-LCP'!$K:$K,'BASE-LCP'!$A:$A,Capex!$A154,'BASE-LCP'!$B:$B,"abril")/1000,IF(LEFT($A163,3)="icp",SUMIFS('BASE-ICP'!$K:$K,'BASE-ICP'!$A:$A,Capex!$A154,'BASE-ICP'!$B:$B,"abril")/1000,"")),"")</f>
        <v>0</v>
      </c>
      <c r="CE163" s="427">
        <v>0</v>
      </c>
      <c r="CF163" s="372">
        <v>0</v>
      </c>
      <c r="CG163" s="419"/>
      <c r="CH163" s="423">
        <v>0</v>
      </c>
      <c r="CI163" s="427">
        <v>0</v>
      </c>
      <c r="CJ163" s="372">
        <v>0</v>
      </c>
      <c r="CK163" s="419"/>
      <c r="CL163" s="423">
        <f>IFERROR(IF(LEFT($A163,3)="Lcp",SUMIFS('BASE-LCP'!$K:$K,'BASE-LCP'!$A:$A,Capex!$A154,'BASE-LCP'!$B:$B,"junho")/1000,IF(LEFT($A163,3)="icp",SUMIFS('BASE-ICP'!$K:$K,'BASE-ICP'!$A:$A,Capex!$A154,'BASE-ICP'!$B:$B,"junho")/1000,"")),"")</f>
        <v>0</v>
      </c>
      <c r="CM163" s="427">
        <v>0</v>
      </c>
      <c r="CN163" s="372"/>
      <c r="CO163" s="419"/>
      <c r="CP163" s="423">
        <f>IFERROR(IF(LEFT($A163,3)="Lcp",SUMIFS('BASE-LCP'!$K:$K,'BASE-LCP'!$A:$A,Capex!$A154,'BASE-LCP'!$B:$B,"julho")/1000,IF(LEFT($A163,3)="icp",SUMIFS('BASE-ICP'!$K:$K,'BASE-ICP'!$A:$A,Capex!$A154,'BASE-ICP'!$B:$B,"julho")/1000,"")),"")</f>
        <v>0</v>
      </c>
      <c r="CQ163" s="427">
        <v>0</v>
      </c>
      <c r="CR163" s="372"/>
      <c r="CS163" s="419"/>
      <c r="CT163" s="423">
        <f>IFERROR(IF(LEFT($A163,3)="Lcp",SUMIFS('BASE-LCP'!$K:$K,'BASE-LCP'!$A:$A,Capex!$A154,'BASE-LCP'!$B:$B,"agosto")/1000,IF(LEFT($A163,3)="icp",SUMIFS('BASE-ICP'!$K:$K,'BASE-ICP'!$A:$A,Capex!$A154,'BASE-ICP'!$B:$B,"agosto")/1000,"")),"")</f>
        <v>0</v>
      </c>
      <c r="CU163" s="427">
        <v>0</v>
      </c>
      <c r="CV163" s="372"/>
      <c r="CW163" s="419"/>
      <c r="CX163" s="423">
        <f>IFERROR(IF(LEFT($A163,3)="Lcp",SUMIFS('BASE-LCP'!$K:$K,'BASE-LCP'!$A:$A,Capex!$A154,'BASE-LCP'!$B:$B,"setembro")/1000,IF(LEFT($A163,3)="icp",SUMIFS('BASE-ICP'!$K:$K,'BASE-ICP'!$A:$A,Capex!$A154,'BASE-ICP'!$B:$B,"setembro")/1000,"")),"")</f>
        <v>0</v>
      </c>
      <c r="CY163" s="427">
        <v>0</v>
      </c>
      <c r="CZ163" s="372"/>
      <c r="DA163" s="419"/>
      <c r="DB163" s="423">
        <f>IFERROR(IF(LEFT($A163,3)="Lcp",SUMIFS('BASE-LCP'!$K:$K,'BASE-LCP'!$A:$A,Capex!$A154,'BASE-LCP'!$B:$B,"outubro")/1000,IF(LEFT($A163,3)="icp",SUMIFS('BASE-ICP'!$K:$K,'BASE-ICP'!$A:$A,Capex!$A154,'BASE-ICP'!$B:$B,"outubro")/1000,"")),"")</f>
        <v>0</v>
      </c>
      <c r="DC163" s="427">
        <v>0</v>
      </c>
      <c r="DD163" s="372"/>
      <c r="DE163" s="419"/>
      <c r="DF163" s="423">
        <f>IFERROR(IF(LEFT($A163,3)="Lcp",SUMIFS('BASE-LCP'!$K:$K,'BASE-LCP'!$A:$A,Capex!$A154,'BASE-LCP'!$B:$B,"novembro")/1000,IF(LEFT($A163,3)="icp",SUMIFS('BASE-ICP'!$K:$K,'BASE-ICP'!$A:$A,Capex!$A154,'BASE-ICP'!$B:$B,"novembro")/1000,"")),"")</f>
        <v>0</v>
      </c>
      <c r="DG163" s="427">
        <v>0</v>
      </c>
      <c r="DH163" s="372"/>
      <c r="DI163" s="419"/>
      <c r="DJ163" s="423">
        <f>IFERROR(IF(LEFT($A163,3)="Lcp",SUMIFS('BASE-LCP'!$K:$K,'BASE-LCP'!$A:$A,Capex!$A154,'BASE-LCP'!$B:$B,"dezembro")/1000,IF(LEFT($A163,3)="icp",SUMIFS('BASE-ICP'!$K:$K,'BASE-ICP'!$A:$A,Capex!$A154,'BASE-ICP'!$B:$B,"dezembro")/1000,"")),"")</f>
        <v>0</v>
      </c>
      <c r="DK163" s="427">
        <v>0</v>
      </c>
      <c r="DL163" s="452">
        <f t="shared" si="85"/>
        <v>0</v>
      </c>
      <c r="DM163" s="374"/>
      <c r="DN163" s="374"/>
      <c r="DO163" s="374"/>
      <c r="DP163" s="374"/>
      <c r="DQ163" s="374"/>
      <c r="DR163" s="374"/>
      <c r="DS163" s="374"/>
      <c r="DT163" s="374"/>
      <c r="DU163" s="374"/>
      <c r="DV163" s="374"/>
      <c r="DW163" s="374"/>
      <c r="DX163" s="374"/>
      <c r="DY163" s="450"/>
      <c r="DZ163" s="374">
        <f t="shared" si="86"/>
        <v>0</v>
      </c>
      <c r="EA163" s="216">
        <f t="shared" si="87"/>
        <v>0</v>
      </c>
      <c r="EB163" s="320">
        <f t="shared" si="88"/>
        <v>0</v>
      </c>
      <c r="EC163" s="241">
        <f t="shared" si="89"/>
        <v>0</v>
      </c>
      <c r="ED163" s="241">
        <f t="shared" si="90"/>
        <v>0</v>
      </c>
      <c r="EE163" s="241">
        <f t="shared" si="91"/>
        <v>0</v>
      </c>
      <c r="EF163" s="241">
        <f t="shared" si="92"/>
        <v>0</v>
      </c>
      <c r="EG163" s="346">
        <f t="shared" si="93"/>
        <v>0</v>
      </c>
      <c r="EH163" s="445">
        <f t="shared" si="94"/>
        <v>0</v>
      </c>
      <c r="EI163" s="447">
        <f t="shared" si="95"/>
        <v>0</v>
      </c>
      <c r="EJ163" s="364">
        <f t="shared" si="96"/>
        <v>0</v>
      </c>
      <c r="EK163" s="365">
        <f t="shared" si="97"/>
        <v>0</v>
      </c>
      <c r="EL163" s="529">
        <f t="shared" si="98"/>
        <v>0</v>
      </c>
      <c r="EM163" s="530">
        <v>0</v>
      </c>
      <c r="EN163" s="530">
        <v>0</v>
      </c>
      <c r="EO163" s="530">
        <v>0</v>
      </c>
      <c r="EP163" s="530">
        <v>0</v>
      </c>
      <c r="EQ163" s="530">
        <v>0</v>
      </c>
      <c r="ER163" s="530">
        <v>0</v>
      </c>
      <c r="ES163" s="530">
        <v>0</v>
      </c>
      <c r="ET163" s="530">
        <v>0</v>
      </c>
      <c r="EU163" s="530">
        <v>0</v>
      </c>
      <c r="EV163" s="530">
        <v>0</v>
      </c>
      <c r="EW163" s="530">
        <v>0</v>
      </c>
      <c r="EX163" s="530">
        <v>0</v>
      </c>
      <c r="EY163" s="530">
        <f t="shared" si="99"/>
        <v>0</v>
      </c>
      <c r="EZ163" s="530">
        <f t="shared" si="100"/>
        <v>0</v>
      </c>
      <c r="FA163" s="530">
        <f t="shared" si="101"/>
        <v>0</v>
      </c>
      <c r="FB163" s="530">
        <f t="shared" si="102"/>
        <v>0</v>
      </c>
      <c r="FC163" s="384">
        <f>IFERROR(VLOOKUP(Capex!A154,BASE_558!D:R,8,FALSE)/1000,"")</f>
        <v>67</v>
      </c>
      <c r="FD163" s="328">
        <f>IFERROR(VLOOKUP(Capex!A154,BASE_558!D:R,9,)/1000,"")</f>
        <v>20.14959</v>
      </c>
      <c r="FE163" s="328">
        <f>IFERROR(IF(LEFT(A163,3)="LCP",(VLOOKUP(Capex!A154,BASE_558!D:R,10,)/1000),SUMIFS('BASE ICP_PO_SC'!F:F,'BASE ICP_PO_SC'!A:A,Capex!A154,'BASE ICP_PO_SC'!E:E,"&lt;&gt;")/1000),"")</f>
        <v>0</v>
      </c>
      <c r="FF163" s="328">
        <f>IFERROR(IF(LEFT(A163,3)="LCP",(VLOOKUP(Capex!A154,BASE_558!D:R,11,)/1000),SUMIFS('BASE ICP_PO_SC'!F:F,'BASE ICP_PO_SC'!A:A,Capex!A154,'BASE ICP_PO_SC'!E:E,"")/1000),"")</f>
        <v>0</v>
      </c>
      <c r="FG163" s="328">
        <f>IFERROR(VLOOKUP(A163,BASE_558!D:R,13,FALSE)/1000,"")</f>
        <v>1350.95208</v>
      </c>
      <c r="FH163" s="328">
        <f>IFERROR(VLOOKUP(A163,BASE_558!D:R,15,FALSE)/1000,"")</f>
        <v>139.04792</v>
      </c>
      <c r="FI163" s="547">
        <f t="shared" si="103"/>
        <v>0</v>
      </c>
      <c r="FJ163" s="547">
        <f t="shared" si="104"/>
        <v>0</v>
      </c>
      <c r="FK163" s="540">
        <f t="shared" si="105"/>
        <v>0</v>
      </c>
    </row>
    <row r="164" spans="1:167" s="23" customFormat="1" ht="24" customHeight="1">
      <c r="A164" s="84" t="s">
        <v>240</v>
      </c>
      <c r="B164" s="404"/>
      <c r="C164" s="404"/>
      <c r="D164" s="338" t="s">
        <v>1264</v>
      </c>
      <c r="E164" s="378">
        <v>2266751</v>
      </c>
      <c r="F164" s="5"/>
      <c r="G164" s="310" t="s">
        <v>9</v>
      </c>
      <c r="H164" s="356"/>
      <c r="I164" s="356"/>
      <c r="J164" s="338">
        <v>2019</v>
      </c>
      <c r="K164" s="321">
        <v>43748</v>
      </c>
      <c r="L164" s="317">
        <v>43944</v>
      </c>
      <c r="M164" s="409"/>
      <c r="N164" s="317">
        <f t="shared" si="109"/>
        <v>44660</v>
      </c>
      <c r="O164" s="317">
        <f t="shared" si="110"/>
        <v>45025</v>
      </c>
      <c r="P164" s="418" t="str">
        <f t="shared" si="108"/>
        <v>CRTD</v>
      </c>
      <c r="Q164" s="418" t="str">
        <f t="shared" si="108"/>
        <v>CRTD</v>
      </c>
      <c r="R164" s="418" t="str">
        <f t="shared" si="108"/>
        <v>CRTD</v>
      </c>
      <c r="S164" s="418" t="str">
        <f t="shared" si="108"/>
        <v>CRTD</v>
      </c>
      <c r="T164" s="418" t="str">
        <f t="shared" si="108"/>
        <v>CRTD</v>
      </c>
      <c r="U164" s="418" t="str">
        <f t="shared" si="108"/>
        <v>CRTD</v>
      </c>
      <c r="V164" s="418" t="str">
        <f t="shared" si="108"/>
        <v>CRTD</v>
      </c>
      <c r="W164" s="418" t="str">
        <f t="shared" si="108"/>
        <v>CRTD</v>
      </c>
      <c r="X164" s="418" t="str">
        <f t="shared" si="108"/>
        <v>CRTD</v>
      </c>
      <c r="Y164" s="418" t="str">
        <f t="shared" si="108"/>
        <v>CRTD</v>
      </c>
      <c r="Z164" s="418" t="str">
        <f t="shared" si="108"/>
        <v>CRTD</v>
      </c>
      <c r="AA164" s="418" t="str">
        <f t="shared" si="108"/>
        <v>CRTD</v>
      </c>
      <c r="AB164" s="317"/>
      <c r="AC164" s="309" t="s">
        <v>2508</v>
      </c>
      <c r="AD164" s="311" t="s">
        <v>223</v>
      </c>
      <c r="AE164" s="311"/>
      <c r="AF164" s="310" t="s">
        <v>6985</v>
      </c>
      <c r="AG164" s="310" t="s">
        <v>9083</v>
      </c>
      <c r="AH164" s="310" t="s">
        <v>3936</v>
      </c>
      <c r="AI164" s="381" t="s">
        <v>188</v>
      </c>
      <c r="AJ164" s="6" t="s">
        <v>218</v>
      </c>
      <c r="AK164" s="6" t="str">
        <f t="shared" si="83"/>
        <v>IGUAL</v>
      </c>
      <c r="AL164" s="151" t="str">
        <f>IFERROR(IF(LEFT(A164,3)="LCP",VLOOKUP(A164,STATUS_SAP_LCP!B:C,2,FALSE),VLOOKUP(A164,STATUS_SAP_ICP!B:C,2,FALSE)),"NO BUDGET")</f>
        <v>CLSD BUDG AUC  AVAC  //  APPR BREL EXPL</v>
      </c>
      <c r="AM164" s="6" t="str">
        <f t="shared" si="82"/>
        <v>CLSD</v>
      </c>
      <c r="AN164" s="282" t="s">
        <v>9087</v>
      </c>
      <c r="AO164" s="493">
        <v>1</v>
      </c>
      <c r="AP164" s="499" t="s">
        <v>9607</v>
      </c>
      <c r="AQ164" s="465">
        <v>43944</v>
      </c>
      <c r="AR164" s="460"/>
      <c r="AS164" s="56">
        <v>0</v>
      </c>
      <c r="AT164" s="185">
        <v>9.4718499999999999</v>
      </c>
      <c r="AU164" s="318">
        <v>0</v>
      </c>
      <c r="AV164" s="223">
        <v>0</v>
      </c>
      <c r="AW164" s="318">
        <v>0</v>
      </c>
      <c r="AX164" s="223">
        <v>0</v>
      </c>
      <c r="AY164" s="318">
        <f t="shared" si="111"/>
        <v>0</v>
      </c>
      <c r="AZ164" s="223"/>
      <c r="BA164" s="318"/>
      <c r="BB164" s="519">
        <f t="shared" si="112"/>
        <v>0</v>
      </c>
      <c r="BC164" s="518"/>
      <c r="BD164" s="518"/>
      <c r="BE164" s="518"/>
      <c r="BF164" s="518"/>
      <c r="BG164" s="518"/>
      <c r="BH164" s="518"/>
      <c r="BI164" s="518"/>
      <c r="BJ164" s="518"/>
      <c r="BK164" s="518"/>
      <c r="BL164" s="518"/>
      <c r="BM164" s="518"/>
      <c r="BN164" s="518"/>
      <c r="BO164" s="367">
        <f t="shared" si="84"/>
        <v>0</v>
      </c>
      <c r="BP164" s="421"/>
      <c r="BQ164" s="422"/>
      <c r="BR164" s="423">
        <f>IFERROR(IF(LEFT($A164,3)="Lcp",SUMIFS('BASE-LCP'!$K:$K,'BASE-LCP'!$A:$A,Capex!$A155,'BASE-LCP'!$B:$B,"janeiro")/1000,IF(LEFT($A164,3)="icp",SUMIFS('BASE-ICP'!$K:$K,'BASE-ICP'!$A:$A,Capex!$A155,'BASE-ICP'!$B:$B,"janeiro")/1000,"")),"")</f>
        <v>0</v>
      </c>
      <c r="BS164" s="427">
        <v>0</v>
      </c>
      <c r="BT164" s="372">
        <v>0</v>
      </c>
      <c r="BU164" s="422"/>
      <c r="BV164" s="423">
        <f>IFERROR(IF(LEFT($A164,3)="Lcp",SUMIFS('BASE-LCP'!$K:$K,'BASE-LCP'!$A:$A,Capex!$A155,'BASE-LCP'!$B:$B,"fevereiro")/1000,IF(LEFT($A164,3)="icp",SUMIFS('BASE-ICP'!$K:$K,'BASE-ICP'!$A:$A,Capex!$A155,'BASE-ICP'!$B:$B,"fevereiro")/1000,"")),"")</f>
        <v>0</v>
      </c>
      <c r="BW164" s="427">
        <v>0</v>
      </c>
      <c r="BX164" s="372">
        <v>0</v>
      </c>
      <c r="BY164" s="419"/>
      <c r="BZ164" s="423">
        <f>IFERROR(IF(LEFT($A164,3)="Lcp",SUMIFS('BASE-LCP'!$K:$K,'BASE-LCP'!$A:$A,Capex!$A155,'BASE-LCP'!$B:$B,"março")/1000,IF(LEFT($A164,3)="icp",SUMIFS('BASE-ICP'!$K:$K,'BASE-ICP'!$A:$A,Capex!$A155,'BASE-ICP'!$B:$B,"março")/1000,"")),"")</f>
        <v>0</v>
      </c>
      <c r="CA164" s="427">
        <v>0</v>
      </c>
      <c r="CB164" s="372">
        <v>0</v>
      </c>
      <c r="CC164" s="422"/>
      <c r="CD164" s="423">
        <f>IFERROR(IF(LEFT($A164,3)="Lcp",SUMIFS('BASE-LCP'!$K:$K,'BASE-LCP'!$A:$A,Capex!$A155,'BASE-LCP'!$B:$B,"abril")/1000,IF(LEFT($A164,3)="icp",SUMIFS('BASE-ICP'!$K:$K,'BASE-ICP'!$A:$A,Capex!$A155,'BASE-ICP'!$B:$B,"abril")/1000,"")),"")</f>
        <v>0</v>
      </c>
      <c r="CE164" s="427">
        <v>0</v>
      </c>
      <c r="CF164" s="372">
        <v>0</v>
      </c>
      <c r="CG164" s="419"/>
      <c r="CH164" s="423">
        <v>0</v>
      </c>
      <c r="CI164" s="427">
        <v>0</v>
      </c>
      <c r="CJ164" s="372">
        <v>0</v>
      </c>
      <c r="CK164" s="419"/>
      <c r="CL164" s="423">
        <f>IFERROR(IF(LEFT($A164,3)="Lcp",SUMIFS('BASE-LCP'!$K:$K,'BASE-LCP'!$A:$A,Capex!$A155,'BASE-LCP'!$B:$B,"junho")/1000,IF(LEFT($A164,3)="icp",SUMIFS('BASE-ICP'!$K:$K,'BASE-ICP'!$A:$A,Capex!$A155,'BASE-ICP'!$B:$B,"junho")/1000,"")),"")</f>
        <v>0</v>
      </c>
      <c r="CM164" s="427">
        <v>0</v>
      </c>
      <c r="CN164" s="372"/>
      <c r="CO164" s="419"/>
      <c r="CP164" s="423">
        <f>IFERROR(IF(LEFT($A164,3)="Lcp",SUMIFS('BASE-LCP'!$K:$K,'BASE-LCP'!$A:$A,Capex!$A155,'BASE-LCP'!$B:$B,"julho")/1000,IF(LEFT($A164,3)="icp",SUMIFS('BASE-ICP'!$K:$K,'BASE-ICP'!$A:$A,Capex!$A155,'BASE-ICP'!$B:$B,"julho")/1000,"")),"")</f>
        <v>0</v>
      </c>
      <c r="CQ164" s="427">
        <v>0</v>
      </c>
      <c r="CR164" s="372"/>
      <c r="CS164" s="419"/>
      <c r="CT164" s="423">
        <f>IFERROR(IF(LEFT($A164,3)="Lcp",SUMIFS('BASE-LCP'!$K:$K,'BASE-LCP'!$A:$A,Capex!$A155,'BASE-LCP'!$B:$B,"agosto")/1000,IF(LEFT($A164,3)="icp",SUMIFS('BASE-ICP'!$K:$K,'BASE-ICP'!$A:$A,Capex!$A155,'BASE-ICP'!$B:$B,"agosto")/1000,"")),"")</f>
        <v>0</v>
      </c>
      <c r="CU164" s="427">
        <v>0</v>
      </c>
      <c r="CV164" s="372"/>
      <c r="CW164" s="419"/>
      <c r="CX164" s="423">
        <f>IFERROR(IF(LEFT($A164,3)="Lcp",SUMIFS('BASE-LCP'!$K:$K,'BASE-LCP'!$A:$A,Capex!$A155,'BASE-LCP'!$B:$B,"setembro")/1000,IF(LEFT($A164,3)="icp",SUMIFS('BASE-ICP'!$K:$K,'BASE-ICP'!$A:$A,Capex!$A155,'BASE-ICP'!$B:$B,"setembro")/1000,"")),"")</f>
        <v>0</v>
      </c>
      <c r="CY164" s="427">
        <v>0</v>
      </c>
      <c r="CZ164" s="372"/>
      <c r="DA164" s="419"/>
      <c r="DB164" s="423">
        <f>IFERROR(IF(LEFT($A164,3)="Lcp",SUMIFS('BASE-LCP'!$K:$K,'BASE-LCP'!$A:$A,Capex!$A155,'BASE-LCP'!$B:$B,"outubro")/1000,IF(LEFT($A164,3)="icp",SUMIFS('BASE-ICP'!$K:$K,'BASE-ICP'!$A:$A,Capex!$A155,'BASE-ICP'!$B:$B,"outubro")/1000,"")),"")</f>
        <v>0</v>
      </c>
      <c r="DC164" s="427">
        <v>0</v>
      </c>
      <c r="DD164" s="372"/>
      <c r="DE164" s="419"/>
      <c r="DF164" s="423">
        <f>IFERROR(IF(LEFT($A164,3)="Lcp",SUMIFS('BASE-LCP'!$K:$K,'BASE-LCP'!$A:$A,Capex!$A155,'BASE-LCP'!$B:$B,"novembro")/1000,IF(LEFT($A164,3)="icp",SUMIFS('BASE-ICP'!$K:$K,'BASE-ICP'!$A:$A,Capex!$A155,'BASE-ICP'!$B:$B,"novembro")/1000,"")),"")</f>
        <v>0</v>
      </c>
      <c r="DG164" s="427">
        <v>0</v>
      </c>
      <c r="DH164" s="372"/>
      <c r="DI164" s="419"/>
      <c r="DJ164" s="423">
        <f>IFERROR(IF(LEFT($A164,3)="Lcp",SUMIFS('BASE-LCP'!$K:$K,'BASE-LCP'!$A:$A,Capex!$A155,'BASE-LCP'!$B:$B,"dezembro")/1000,IF(LEFT($A164,3)="icp",SUMIFS('BASE-ICP'!$K:$K,'BASE-ICP'!$A:$A,Capex!$A155,'BASE-ICP'!$B:$B,"dezembro")/1000,"")),"")</f>
        <v>0</v>
      </c>
      <c r="DK164" s="427">
        <v>0</v>
      </c>
      <c r="DL164" s="452">
        <f t="shared" si="85"/>
        <v>0</v>
      </c>
      <c r="DM164" s="374"/>
      <c r="DN164" s="374"/>
      <c r="DO164" s="374"/>
      <c r="DP164" s="374"/>
      <c r="DQ164" s="374"/>
      <c r="DR164" s="374"/>
      <c r="DS164" s="374"/>
      <c r="DT164" s="374"/>
      <c r="DU164" s="374"/>
      <c r="DV164" s="374"/>
      <c r="DW164" s="374"/>
      <c r="DX164" s="374"/>
      <c r="DY164" s="450"/>
      <c r="DZ164" s="374">
        <f t="shared" si="86"/>
        <v>0</v>
      </c>
      <c r="EA164" s="216">
        <f t="shared" si="87"/>
        <v>0</v>
      </c>
      <c r="EB164" s="320">
        <f t="shared" si="88"/>
        <v>0</v>
      </c>
      <c r="EC164" s="241">
        <f t="shared" si="89"/>
        <v>0</v>
      </c>
      <c r="ED164" s="241">
        <f t="shared" si="90"/>
        <v>0</v>
      </c>
      <c r="EE164" s="241">
        <f t="shared" si="91"/>
        <v>0</v>
      </c>
      <c r="EF164" s="241">
        <f t="shared" si="92"/>
        <v>0</v>
      </c>
      <c r="EG164" s="346">
        <f t="shared" si="93"/>
        <v>0</v>
      </c>
      <c r="EH164" s="445">
        <f t="shared" si="94"/>
        <v>0</v>
      </c>
      <c r="EI164" s="447">
        <f t="shared" si="95"/>
        <v>0</v>
      </c>
      <c r="EJ164" s="364">
        <f t="shared" si="96"/>
        <v>0</v>
      </c>
      <c r="EK164" s="365">
        <f t="shared" si="97"/>
        <v>0</v>
      </c>
      <c r="EL164" s="529">
        <f t="shared" si="98"/>
        <v>0</v>
      </c>
      <c r="EM164" s="530">
        <v>0</v>
      </c>
      <c r="EN164" s="530">
        <v>0</v>
      </c>
      <c r="EO164" s="530">
        <v>0</v>
      </c>
      <c r="EP164" s="530">
        <v>0</v>
      </c>
      <c r="EQ164" s="530">
        <v>0</v>
      </c>
      <c r="ER164" s="530">
        <v>0</v>
      </c>
      <c r="ES164" s="530">
        <v>0</v>
      </c>
      <c r="ET164" s="530">
        <v>0</v>
      </c>
      <c r="EU164" s="530">
        <v>0</v>
      </c>
      <c r="EV164" s="530">
        <v>0</v>
      </c>
      <c r="EW164" s="530">
        <v>0</v>
      </c>
      <c r="EX164" s="530">
        <v>0</v>
      </c>
      <c r="EY164" s="530">
        <f t="shared" si="99"/>
        <v>0</v>
      </c>
      <c r="EZ164" s="530">
        <f t="shared" si="100"/>
        <v>0</v>
      </c>
      <c r="FA164" s="530">
        <f t="shared" si="101"/>
        <v>0</v>
      </c>
      <c r="FB164" s="530">
        <f t="shared" si="102"/>
        <v>0</v>
      </c>
      <c r="FC164" s="384">
        <f>IFERROR(VLOOKUP(Capex!A155,BASE_558!D:R,8,FALSE)/1000,"")</f>
        <v>90.5</v>
      </c>
      <c r="FD164" s="328">
        <f>IFERROR(VLOOKUP(Capex!A155,BASE_558!D:R,9,)/1000,"")</f>
        <v>0</v>
      </c>
      <c r="FE164" s="328">
        <f>IFERROR(IF(LEFT(A164,3)="LCP",(VLOOKUP(Capex!A155,BASE_558!D:R,10,)/1000),SUMIFS('BASE ICP_PO_SC'!F:F,'BASE ICP_PO_SC'!A:A,Capex!A155,'BASE ICP_PO_SC'!E:E,"&lt;&gt;")/1000),"")</f>
        <v>0</v>
      </c>
      <c r="FF164" s="328">
        <f>IFERROR(IF(LEFT(A164,3)="LCP",(VLOOKUP(Capex!A155,BASE_558!D:R,11,)/1000),SUMIFS('BASE ICP_PO_SC'!F:F,'BASE ICP_PO_SC'!A:A,Capex!A155,'BASE ICP_PO_SC'!E:E,"")/1000),"")</f>
        <v>0</v>
      </c>
      <c r="FG164" s="328">
        <f>IFERROR(VLOOKUP(A164,BASE_558!D:R,13,FALSE)/1000,"")</f>
        <v>9.4718499999999999</v>
      </c>
      <c r="FH164" s="328">
        <f>IFERROR(VLOOKUP(A164,BASE_558!D:R,15,FALSE)/1000,"")</f>
        <v>1.5181500000000001</v>
      </c>
      <c r="FI164" s="547">
        <f t="shared" si="103"/>
        <v>0</v>
      </c>
      <c r="FJ164" s="547">
        <f t="shared" si="104"/>
        <v>0</v>
      </c>
      <c r="FK164" s="540">
        <f t="shared" si="105"/>
        <v>0</v>
      </c>
    </row>
    <row r="165" spans="1:167" s="23" customFormat="1" ht="24" customHeight="1">
      <c r="A165" s="84" t="s">
        <v>249</v>
      </c>
      <c r="B165" s="404"/>
      <c r="C165" s="404"/>
      <c r="D165" s="338" t="s">
        <v>2236</v>
      </c>
      <c r="E165" s="378">
        <v>2272176</v>
      </c>
      <c r="F165" s="5"/>
      <c r="G165" s="310" t="s">
        <v>9</v>
      </c>
      <c r="H165" s="356"/>
      <c r="I165" s="356" t="s">
        <v>6</v>
      </c>
      <c r="J165" s="356">
        <v>2019</v>
      </c>
      <c r="K165" s="321">
        <v>43762</v>
      </c>
      <c r="L165" s="317">
        <v>44249</v>
      </c>
      <c r="M165" s="409"/>
      <c r="N165" s="317">
        <f t="shared" si="109"/>
        <v>44674</v>
      </c>
      <c r="O165" s="317">
        <f t="shared" si="110"/>
        <v>45039</v>
      </c>
      <c r="P165" s="418" t="str">
        <f t="shared" ref="P165:AA174" si="113">IF($N165="","N/A",IF($O165="","N/A",IF(P$2&lt;=$N165,"NÃO",IF($AJ165="REL ","SIM",IF(P$2&lt;$O165,"NÃO",IF($AJ165&lt;&gt;"CLSD","SIM","CRTD"))))))</f>
        <v>CRTD</v>
      </c>
      <c r="Q165" s="418" t="str">
        <f t="shared" si="113"/>
        <v>CRTD</v>
      </c>
      <c r="R165" s="418" t="str">
        <f t="shared" si="113"/>
        <v>CRTD</v>
      </c>
      <c r="S165" s="418" t="str">
        <f t="shared" si="113"/>
        <v>CRTD</v>
      </c>
      <c r="T165" s="418" t="str">
        <f t="shared" si="113"/>
        <v>CRTD</v>
      </c>
      <c r="U165" s="418" t="str">
        <f t="shared" si="113"/>
        <v>CRTD</v>
      </c>
      <c r="V165" s="418" t="str">
        <f t="shared" si="113"/>
        <v>CRTD</v>
      </c>
      <c r="W165" s="418" t="str">
        <f t="shared" si="113"/>
        <v>CRTD</v>
      </c>
      <c r="X165" s="418" t="str">
        <f t="shared" si="113"/>
        <v>CRTD</v>
      </c>
      <c r="Y165" s="418" t="str">
        <f t="shared" si="113"/>
        <v>CRTD</v>
      </c>
      <c r="Z165" s="418" t="str">
        <f t="shared" si="113"/>
        <v>CRTD</v>
      </c>
      <c r="AA165" s="418" t="str">
        <f t="shared" si="113"/>
        <v>CRTD</v>
      </c>
      <c r="AB165" s="317"/>
      <c r="AC165" s="309" t="s">
        <v>3931</v>
      </c>
      <c r="AD165" s="311" t="s">
        <v>223</v>
      </c>
      <c r="AE165" s="361"/>
      <c r="AF165" s="310" t="s">
        <v>6985</v>
      </c>
      <c r="AG165" s="310" t="s">
        <v>9083</v>
      </c>
      <c r="AH165" s="310" t="s">
        <v>3248</v>
      </c>
      <c r="AI165" s="381" t="s">
        <v>188</v>
      </c>
      <c r="AJ165" s="6" t="s">
        <v>218</v>
      </c>
      <c r="AK165" s="6" t="str">
        <f t="shared" si="83"/>
        <v>IGUAL</v>
      </c>
      <c r="AL165" s="151" t="str">
        <f>IFERROR(IF(LEFT(A165,3)="LCP",VLOOKUP(A165,STATUS_SAP_LCP!B:C,2,FALSE),VLOOKUP(A165,STATUS_SAP_ICP!B:C,2,FALSE)),"NO BUDGET")</f>
        <v>CLSD BUDG AUC  AVAC  //  APPR BREL EXPL</v>
      </c>
      <c r="AM165" s="6" t="str">
        <f t="shared" si="82"/>
        <v>CLSD</v>
      </c>
      <c r="AN165" s="282" t="s">
        <v>9086</v>
      </c>
      <c r="AO165" s="493">
        <v>1</v>
      </c>
      <c r="AP165" s="499" t="s">
        <v>9607</v>
      </c>
      <c r="AQ165" s="465">
        <v>44249</v>
      </c>
      <c r="AR165" s="460"/>
      <c r="AS165" s="56">
        <v>26.297199999999997</v>
      </c>
      <c r="AT165" s="185">
        <v>11.164490000000001</v>
      </c>
      <c r="AU165" s="318">
        <v>4.9530600000000007</v>
      </c>
      <c r="AV165" s="223">
        <v>0</v>
      </c>
      <c r="AW165" s="318">
        <v>0</v>
      </c>
      <c r="AX165" s="223">
        <v>0</v>
      </c>
      <c r="AY165" s="318">
        <f t="shared" si="111"/>
        <v>0</v>
      </c>
      <c r="AZ165" s="223"/>
      <c r="BA165" s="318"/>
      <c r="BB165" s="519">
        <f t="shared" si="112"/>
        <v>0</v>
      </c>
      <c r="BC165" s="518"/>
      <c r="BD165" s="518"/>
      <c r="BE165" s="518"/>
      <c r="BF165" s="518"/>
      <c r="BG165" s="518"/>
      <c r="BH165" s="518"/>
      <c r="BI165" s="518"/>
      <c r="BJ165" s="518"/>
      <c r="BK165" s="518"/>
      <c r="BL165" s="518"/>
      <c r="BM165" s="518"/>
      <c r="BN165" s="518"/>
      <c r="BO165" s="367">
        <f t="shared" si="84"/>
        <v>0</v>
      </c>
      <c r="BP165" s="421"/>
      <c r="BQ165" s="422"/>
      <c r="BR165" s="423">
        <f>IFERROR(IF(LEFT($A165,3)="Lcp",SUMIFS('BASE-LCP'!$K:$K,'BASE-LCP'!$A:$A,Capex!$A156,'BASE-LCP'!$B:$B,"janeiro")/1000,IF(LEFT($A165,3)="icp",SUMIFS('BASE-ICP'!$K:$K,'BASE-ICP'!$A:$A,Capex!$A156,'BASE-ICP'!$B:$B,"janeiro")/1000,"")),"")</f>
        <v>0</v>
      </c>
      <c r="BS165" s="427">
        <v>0</v>
      </c>
      <c r="BT165" s="372">
        <v>0</v>
      </c>
      <c r="BU165" s="422"/>
      <c r="BV165" s="423">
        <f>IFERROR(IF(LEFT($A165,3)="Lcp",SUMIFS('BASE-LCP'!$K:$K,'BASE-LCP'!$A:$A,Capex!$A156,'BASE-LCP'!$B:$B,"fevereiro")/1000,IF(LEFT($A165,3)="icp",SUMIFS('BASE-ICP'!$K:$K,'BASE-ICP'!$A:$A,Capex!$A156,'BASE-ICP'!$B:$B,"fevereiro")/1000,"")),"")</f>
        <v>0</v>
      </c>
      <c r="BW165" s="427">
        <v>0</v>
      </c>
      <c r="BX165" s="372">
        <v>0</v>
      </c>
      <c r="BY165" s="419"/>
      <c r="BZ165" s="423">
        <f>IFERROR(IF(LEFT($A165,3)="Lcp",SUMIFS('BASE-LCP'!$K:$K,'BASE-LCP'!$A:$A,Capex!$A156,'BASE-LCP'!$B:$B,"março")/1000,IF(LEFT($A165,3)="icp",SUMIFS('BASE-ICP'!$K:$K,'BASE-ICP'!$A:$A,Capex!$A156,'BASE-ICP'!$B:$B,"março")/1000,"")),"")</f>
        <v>0</v>
      </c>
      <c r="CA165" s="427">
        <v>0</v>
      </c>
      <c r="CB165" s="372">
        <v>0</v>
      </c>
      <c r="CC165" s="422"/>
      <c r="CD165" s="423">
        <f>IFERROR(IF(LEFT($A165,3)="Lcp",SUMIFS('BASE-LCP'!$K:$K,'BASE-LCP'!$A:$A,Capex!$A156,'BASE-LCP'!$B:$B,"abril")/1000,IF(LEFT($A165,3)="icp",SUMIFS('BASE-ICP'!$K:$K,'BASE-ICP'!$A:$A,Capex!$A156,'BASE-ICP'!$B:$B,"abril")/1000,"")),"")</f>
        <v>0</v>
      </c>
      <c r="CE165" s="427">
        <v>0</v>
      </c>
      <c r="CF165" s="372">
        <v>0</v>
      </c>
      <c r="CG165" s="419"/>
      <c r="CH165" s="423">
        <v>0</v>
      </c>
      <c r="CI165" s="427">
        <v>0</v>
      </c>
      <c r="CJ165" s="372">
        <v>0</v>
      </c>
      <c r="CK165" s="419"/>
      <c r="CL165" s="423">
        <f>IFERROR(IF(LEFT($A165,3)="Lcp",SUMIFS('BASE-LCP'!$K:$K,'BASE-LCP'!$A:$A,Capex!$A156,'BASE-LCP'!$B:$B,"junho")/1000,IF(LEFT($A165,3)="icp",SUMIFS('BASE-ICP'!$K:$K,'BASE-ICP'!$A:$A,Capex!$A156,'BASE-ICP'!$B:$B,"junho")/1000,"")),"")</f>
        <v>0</v>
      </c>
      <c r="CM165" s="427">
        <v>0</v>
      </c>
      <c r="CN165" s="372"/>
      <c r="CO165" s="419"/>
      <c r="CP165" s="423">
        <f>IFERROR(IF(LEFT($A165,3)="Lcp",SUMIFS('BASE-LCP'!$K:$K,'BASE-LCP'!$A:$A,Capex!$A156,'BASE-LCP'!$B:$B,"julho")/1000,IF(LEFT($A165,3)="icp",SUMIFS('BASE-ICP'!$K:$K,'BASE-ICP'!$A:$A,Capex!$A156,'BASE-ICP'!$B:$B,"julho")/1000,"")),"")</f>
        <v>0</v>
      </c>
      <c r="CQ165" s="427">
        <v>0</v>
      </c>
      <c r="CR165" s="372"/>
      <c r="CS165" s="419"/>
      <c r="CT165" s="423">
        <f>IFERROR(IF(LEFT($A165,3)="Lcp",SUMIFS('BASE-LCP'!$K:$K,'BASE-LCP'!$A:$A,Capex!$A156,'BASE-LCP'!$B:$B,"agosto")/1000,IF(LEFT($A165,3)="icp",SUMIFS('BASE-ICP'!$K:$K,'BASE-ICP'!$A:$A,Capex!$A156,'BASE-ICP'!$B:$B,"agosto")/1000,"")),"")</f>
        <v>0</v>
      </c>
      <c r="CU165" s="427">
        <v>0</v>
      </c>
      <c r="CV165" s="372"/>
      <c r="CW165" s="419"/>
      <c r="CX165" s="423">
        <f>IFERROR(IF(LEFT($A165,3)="Lcp",SUMIFS('BASE-LCP'!$K:$K,'BASE-LCP'!$A:$A,Capex!$A156,'BASE-LCP'!$B:$B,"setembro")/1000,IF(LEFT($A165,3)="icp",SUMIFS('BASE-ICP'!$K:$K,'BASE-ICP'!$A:$A,Capex!$A156,'BASE-ICP'!$B:$B,"setembro")/1000,"")),"")</f>
        <v>0</v>
      </c>
      <c r="CY165" s="427">
        <v>0</v>
      </c>
      <c r="CZ165" s="372"/>
      <c r="DA165" s="419"/>
      <c r="DB165" s="423">
        <f>IFERROR(IF(LEFT($A165,3)="Lcp",SUMIFS('BASE-LCP'!$K:$K,'BASE-LCP'!$A:$A,Capex!$A156,'BASE-LCP'!$B:$B,"outubro")/1000,IF(LEFT($A165,3)="icp",SUMIFS('BASE-ICP'!$K:$K,'BASE-ICP'!$A:$A,Capex!$A156,'BASE-ICP'!$B:$B,"outubro")/1000,"")),"")</f>
        <v>0</v>
      </c>
      <c r="DC165" s="427">
        <v>0</v>
      </c>
      <c r="DD165" s="372"/>
      <c r="DE165" s="419"/>
      <c r="DF165" s="423">
        <f>IFERROR(IF(LEFT($A165,3)="Lcp",SUMIFS('BASE-LCP'!$K:$K,'BASE-LCP'!$A:$A,Capex!$A156,'BASE-LCP'!$B:$B,"novembro")/1000,IF(LEFT($A165,3)="icp",SUMIFS('BASE-ICP'!$K:$K,'BASE-ICP'!$A:$A,Capex!$A156,'BASE-ICP'!$B:$B,"novembro")/1000,"")),"")</f>
        <v>0</v>
      </c>
      <c r="DG165" s="427">
        <v>0</v>
      </c>
      <c r="DH165" s="372"/>
      <c r="DI165" s="419"/>
      <c r="DJ165" s="423">
        <f>IFERROR(IF(LEFT($A165,3)="Lcp",SUMIFS('BASE-LCP'!$K:$K,'BASE-LCP'!$A:$A,Capex!$A156,'BASE-LCP'!$B:$B,"dezembro")/1000,IF(LEFT($A165,3)="icp",SUMIFS('BASE-ICP'!$K:$K,'BASE-ICP'!$A:$A,Capex!$A156,'BASE-ICP'!$B:$B,"dezembro")/1000,"")),"")</f>
        <v>0</v>
      </c>
      <c r="DK165" s="427">
        <v>0</v>
      </c>
      <c r="DL165" s="452">
        <f t="shared" si="85"/>
        <v>0</v>
      </c>
      <c r="DM165" s="374"/>
      <c r="DN165" s="374"/>
      <c r="DO165" s="374"/>
      <c r="DP165" s="374"/>
      <c r="DQ165" s="374"/>
      <c r="DR165" s="374"/>
      <c r="DS165" s="374"/>
      <c r="DT165" s="374"/>
      <c r="DU165" s="374"/>
      <c r="DV165" s="374"/>
      <c r="DW165" s="374"/>
      <c r="DX165" s="374"/>
      <c r="DY165" s="450"/>
      <c r="DZ165" s="374">
        <f t="shared" si="86"/>
        <v>0</v>
      </c>
      <c r="EA165" s="216">
        <f t="shared" si="87"/>
        <v>0</v>
      </c>
      <c r="EB165" s="320">
        <f t="shared" si="88"/>
        <v>0</v>
      </c>
      <c r="EC165" s="241">
        <f t="shared" si="89"/>
        <v>0</v>
      </c>
      <c r="ED165" s="241">
        <f t="shared" si="90"/>
        <v>0</v>
      </c>
      <c r="EE165" s="241">
        <f t="shared" si="91"/>
        <v>0</v>
      </c>
      <c r="EF165" s="241">
        <f t="shared" si="92"/>
        <v>0</v>
      </c>
      <c r="EG165" s="346">
        <f t="shared" si="93"/>
        <v>0</v>
      </c>
      <c r="EH165" s="445">
        <f t="shared" si="94"/>
        <v>0</v>
      </c>
      <c r="EI165" s="447">
        <f t="shared" si="95"/>
        <v>0</v>
      </c>
      <c r="EJ165" s="364">
        <f t="shared" si="96"/>
        <v>0</v>
      </c>
      <c r="EK165" s="365">
        <f t="shared" si="97"/>
        <v>0</v>
      </c>
      <c r="EL165" s="529">
        <f t="shared" si="98"/>
        <v>0</v>
      </c>
      <c r="EM165" s="530">
        <v>0</v>
      </c>
      <c r="EN165" s="530">
        <v>0</v>
      </c>
      <c r="EO165" s="530">
        <v>0</v>
      </c>
      <c r="EP165" s="530">
        <v>0</v>
      </c>
      <c r="EQ165" s="530">
        <v>0</v>
      </c>
      <c r="ER165" s="530">
        <v>0</v>
      </c>
      <c r="ES165" s="530">
        <v>0</v>
      </c>
      <c r="ET165" s="530">
        <v>0</v>
      </c>
      <c r="EU165" s="530">
        <v>0</v>
      </c>
      <c r="EV165" s="530">
        <v>0</v>
      </c>
      <c r="EW165" s="530">
        <v>0</v>
      </c>
      <c r="EX165" s="530">
        <v>0</v>
      </c>
      <c r="EY165" s="530">
        <f t="shared" si="99"/>
        <v>0</v>
      </c>
      <c r="EZ165" s="530">
        <f t="shared" si="100"/>
        <v>0</v>
      </c>
      <c r="FA165" s="530">
        <f t="shared" si="101"/>
        <v>0</v>
      </c>
      <c r="FB165" s="530">
        <f t="shared" si="102"/>
        <v>0</v>
      </c>
      <c r="FC165" s="384">
        <f>IFERROR(VLOOKUP(Capex!A156,BASE_558!D:R,8,FALSE)/1000,"")</f>
        <v>157.19999999999999</v>
      </c>
      <c r="FD165" s="328">
        <f>IFERROR(VLOOKUP(Capex!A156,BASE_558!D:R,9,)/1000,"")</f>
        <v>132.87039999999999</v>
      </c>
      <c r="FE165" s="328">
        <f>IFERROR(IF(LEFT(A165,3)="LCP",(VLOOKUP(Capex!A156,BASE_558!D:R,10,)/1000),SUMIFS('BASE ICP_PO_SC'!F:F,'BASE ICP_PO_SC'!A:A,Capex!A156,'BASE ICP_PO_SC'!E:E,"&lt;&gt;")/1000),"")</f>
        <v>0</v>
      </c>
      <c r="FF165" s="328">
        <f>IFERROR(IF(LEFT(A165,3)="LCP",(VLOOKUP(Capex!A156,BASE_558!D:R,11,)/1000),SUMIFS('BASE ICP_PO_SC'!F:F,'BASE ICP_PO_SC'!A:A,Capex!A156,'BASE ICP_PO_SC'!E:E,"")/1000),"")</f>
        <v>0</v>
      </c>
      <c r="FG165" s="328">
        <f>IFERROR(VLOOKUP(A165,BASE_558!D:R,13,FALSE)/1000,"")</f>
        <v>42.414749999999998</v>
      </c>
      <c r="FH165" s="328">
        <f>IFERROR(VLOOKUP(A165,BASE_558!D:R,15,FALSE)/1000,"")</f>
        <v>3.5882499999999999</v>
      </c>
      <c r="FI165" s="547">
        <f t="shared" si="103"/>
        <v>0</v>
      </c>
      <c r="FJ165" s="547">
        <f t="shared" si="104"/>
        <v>0</v>
      </c>
      <c r="FK165" s="540">
        <f t="shared" si="105"/>
        <v>0</v>
      </c>
    </row>
    <row r="166" spans="1:167" s="23" customFormat="1" ht="24" customHeight="1">
      <c r="A166" s="84" t="s">
        <v>252</v>
      </c>
      <c r="B166" s="404" t="s">
        <v>711</v>
      </c>
      <c r="C166" s="404"/>
      <c r="D166" s="338" t="s">
        <v>863</v>
      </c>
      <c r="E166" s="378">
        <v>2347067</v>
      </c>
      <c r="F166" s="5"/>
      <c r="G166" s="310" t="s">
        <v>9</v>
      </c>
      <c r="H166" s="356"/>
      <c r="I166" s="356"/>
      <c r="J166" s="356">
        <v>2019</v>
      </c>
      <c r="K166" s="321">
        <v>43812</v>
      </c>
      <c r="L166" s="317">
        <v>44503</v>
      </c>
      <c r="M166" s="409"/>
      <c r="N166" s="317">
        <f t="shared" si="109"/>
        <v>44724</v>
      </c>
      <c r="O166" s="317">
        <f t="shared" si="110"/>
        <v>45089</v>
      </c>
      <c r="P166" s="418" t="str">
        <f t="shared" si="113"/>
        <v>CRTD</v>
      </c>
      <c r="Q166" s="418" t="str">
        <f t="shared" si="113"/>
        <v>CRTD</v>
      </c>
      <c r="R166" s="418" t="str">
        <f t="shared" si="113"/>
        <v>CRTD</v>
      </c>
      <c r="S166" s="418" t="str">
        <f t="shared" si="113"/>
        <v>CRTD</v>
      </c>
      <c r="T166" s="418" t="str">
        <f t="shared" si="113"/>
        <v>CRTD</v>
      </c>
      <c r="U166" s="418" t="str">
        <f t="shared" si="113"/>
        <v>CRTD</v>
      </c>
      <c r="V166" s="418" t="str">
        <f t="shared" si="113"/>
        <v>CRTD</v>
      </c>
      <c r="W166" s="418" t="str">
        <f t="shared" si="113"/>
        <v>CRTD</v>
      </c>
      <c r="X166" s="418" t="str">
        <f t="shared" si="113"/>
        <v>CRTD</v>
      </c>
      <c r="Y166" s="418" t="str">
        <f t="shared" si="113"/>
        <v>CRTD</v>
      </c>
      <c r="Z166" s="418" t="str">
        <f t="shared" si="113"/>
        <v>CRTD</v>
      </c>
      <c r="AA166" s="418" t="str">
        <f t="shared" si="113"/>
        <v>CRTD</v>
      </c>
      <c r="AB166" s="317"/>
      <c r="AC166" s="309" t="s">
        <v>3932</v>
      </c>
      <c r="AD166" s="311" t="s">
        <v>5</v>
      </c>
      <c r="AE166" s="361" t="s">
        <v>951</v>
      </c>
      <c r="AF166" s="310" t="s">
        <v>6985</v>
      </c>
      <c r="AG166" s="310" t="s">
        <v>9083</v>
      </c>
      <c r="AH166" s="310" t="s">
        <v>253</v>
      </c>
      <c r="AI166" s="381" t="s">
        <v>2255</v>
      </c>
      <c r="AJ166" s="6" t="s">
        <v>218</v>
      </c>
      <c r="AK166" s="6" t="str">
        <f t="shared" si="83"/>
        <v>IGUAL</v>
      </c>
      <c r="AL166" s="151" t="str">
        <f>IFERROR(IF(LEFT(A166,3)="LCP",VLOOKUP(A166,STATUS_SAP_LCP!B:C,2,FALSE),VLOOKUP(A166,STATUS_SAP_ICP!B:C,2,FALSE)),"NO BUDGET")</f>
        <v>CLSD BUDG AUC  AVAC  //  APPR BREL EXPL</v>
      </c>
      <c r="AM166" s="6" t="str">
        <f t="shared" si="82"/>
        <v>CLSD</v>
      </c>
      <c r="AN166" s="282" t="s">
        <v>9090</v>
      </c>
      <c r="AO166" s="493">
        <v>1</v>
      </c>
      <c r="AP166" s="499" t="s">
        <v>9607</v>
      </c>
      <c r="AQ166" s="465">
        <v>44503</v>
      </c>
      <c r="AR166" s="460"/>
      <c r="AS166" s="56">
        <v>0</v>
      </c>
      <c r="AT166" s="185">
        <v>916.52558999999997</v>
      </c>
      <c r="AU166" s="318">
        <v>468.76527999999985</v>
      </c>
      <c r="AV166" s="223">
        <v>0</v>
      </c>
      <c r="AW166" s="318">
        <v>0</v>
      </c>
      <c r="AX166" s="223">
        <v>0</v>
      </c>
      <c r="AY166" s="318">
        <f t="shared" si="111"/>
        <v>0</v>
      </c>
      <c r="AZ166" s="223"/>
      <c r="BA166" s="318"/>
      <c r="BB166" s="519">
        <f t="shared" si="112"/>
        <v>0</v>
      </c>
      <c r="BC166" s="518"/>
      <c r="BD166" s="518"/>
      <c r="BE166" s="518"/>
      <c r="BF166" s="518"/>
      <c r="BG166" s="518"/>
      <c r="BH166" s="518"/>
      <c r="BI166" s="518"/>
      <c r="BJ166" s="518"/>
      <c r="BK166" s="518"/>
      <c r="BL166" s="518"/>
      <c r="BM166" s="518"/>
      <c r="BN166" s="518"/>
      <c r="BO166" s="367">
        <f t="shared" si="84"/>
        <v>0</v>
      </c>
      <c r="BP166" s="421"/>
      <c r="BQ166" s="422"/>
      <c r="BR166" s="423">
        <f>IFERROR(IF(LEFT($A166,3)="Lcp",SUMIFS('BASE-LCP'!$K:$K,'BASE-LCP'!$A:$A,Capex!$A157,'BASE-LCP'!$B:$B,"janeiro")/1000,IF(LEFT($A166,3)="icp",SUMIFS('BASE-ICP'!$K:$K,'BASE-ICP'!$A:$A,Capex!$A157,'BASE-ICP'!$B:$B,"janeiro")/1000,"")),"")</f>
        <v>0</v>
      </c>
      <c r="BS166" s="427">
        <v>0</v>
      </c>
      <c r="BT166" s="372">
        <v>0</v>
      </c>
      <c r="BU166" s="422"/>
      <c r="BV166" s="423">
        <f>IFERROR(IF(LEFT($A166,3)="Lcp",SUMIFS('BASE-LCP'!$K:$K,'BASE-LCP'!$A:$A,Capex!$A157,'BASE-LCP'!$B:$B,"fevereiro")/1000,IF(LEFT($A166,3)="icp",SUMIFS('BASE-ICP'!$K:$K,'BASE-ICP'!$A:$A,Capex!$A157,'BASE-ICP'!$B:$B,"fevereiro")/1000,"")),"")</f>
        <v>0</v>
      </c>
      <c r="BW166" s="427">
        <v>0</v>
      </c>
      <c r="BX166" s="372">
        <v>0</v>
      </c>
      <c r="BY166" s="419"/>
      <c r="BZ166" s="423">
        <f>IFERROR(IF(LEFT($A166,3)="Lcp",SUMIFS('BASE-LCP'!$K:$K,'BASE-LCP'!$A:$A,Capex!$A157,'BASE-LCP'!$B:$B,"março")/1000,IF(LEFT($A166,3)="icp",SUMIFS('BASE-ICP'!$K:$K,'BASE-ICP'!$A:$A,Capex!$A157,'BASE-ICP'!$B:$B,"março")/1000,"")),"")</f>
        <v>0</v>
      </c>
      <c r="CA166" s="427">
        <v>0</v>
      </c>
      <c r="CB166" s="372">
        <v>0</v>
      </c>
      <c r="CC166" s="422"/>
      <c r="CD166" s="423">
        <f>IFERROR(IF(LEFT($A166,3)="Lcp",SUMIFS('BASE-LCP'!$K:$K,'BASE-LCP'!$A:$A,Capex!$A157,'BASE-LCP'!$B:$B,"abril")/1000,IF(LEFT($A166,3)="icp",SUMIFS('BASE-ICP'!$K:$K,'BASE-ICP'!$A:$A,Capex!$A157,'BASE-ICP'!$B:$B,"abril")/1000,"")),"")</f>
        <v>0</v>
      </c>
      <c r="CE166" s="427">
        <v>0</v>
      </c>
      <c r="CF166" s="372">
        <v>0</v>
      </c>
      <c r="CG166" s="419"/>
      <c r="CH166" s="423">
        <v>0</v>
      </c>
      <c r="CI166" s="427">
        <v>0</v>
      </c>
      <c r="CJ166" s="372">
        <v>0</v>
      </c>
      <c r="CK166" s="419"/>
      <c r="CL166" s="423">
        <f>IFERROR(IF(LEFT($A166,3)="Lcp",SUMIFS('BASE-LCP'!$K:$K,'BASE-LCP'!$A:$A,Capex!$A157,'BASE-LCP'!$B:$B,"junho")/1000,IF(LEFT($A166,3)="icp",SUMIFS('BASE-ICP'!$K:$K,'BASE-ICP'!$A:$A,Capex!$A157,'BASE-ICP'!$B:$B,"junho")/1000,"")),"")</f>
        <v>0</v>
      </c>
      <c r="CM166" s="427">
        <v>0</v>
      </c>
      <c r="CN166" s="372"/>
      <c r="CO166" s="419"/>
      <c r="CP166" s="423">
        <f>IFERROR(IF(LEFT($A166,3)="Lcp",SUMIFS('BASE-LCP'!$K:$K,'BASE-LCP'!$A:$A,Capex!$A157,'BASE-LCP'!$B:$B,"julho")/1000,IF(LEFT($A166,3)="icp",SUMIFS('BASE-ICP'!$K:$K,'BASE-ICP'!$A:$A,Capex!$A157,'BASE-ICP'!$B:$B,"julho")/1000,"")),"")</f>
        <v>0</v>
      </c>
      <c r="CQ166" s="427">
        <v>0</v>
      </c>
      <c r="CR166" s="372"/>
      <c r="CS166" s="419"/>
      <c r="CT166" s="423">
        <f>IFERROR(IF(LEFT($A166,3)="Lcp",SUMIFS('BASE-LCP'!$K:$K,'BASE-LCP'!$A:$A,Capex!$A157,'BASE-LCP'!$B:$B,"agosto")/1000,IF(LEFT($A166,3)="icp",SUMIFS('BASE-ICP'!$K:$K,'BASE-ICP'!$A:$A,Capex!$A157,'BASE-ICP'!$B:$B,"agosto")/1000,"")),"")</f>
        <v>0</v>
      </c>
      <c r="CU166" s="427">
        <v>0</v>
      </c>
      <c r="CV166" s="372"/>
      <c r="CW166" s="419"/>
      <c r="CX166" s="423">
        <f>IFERROR(IF(LEFT($A166,3)="Lcp",SUMIFS('BASE-LCP'!$K:$K,'BASE-LCP'!$A:$A,Capex!$A157,'BASE-LCP'!$B:$B,"setembro")/1000,IF(LEFT($A166,3)="icp",SUMIFS('BASE-ICP'!$K:$K,'BASE-ICP'!$A:$A,Capex!$A157,'BASE-ICP'!$B:$B,"setembro")/1000,"")),"")</f>
        <v>0</v>
      </c>
      <c r="CY166" s="427">
        <v>0</v>
      </c>
      <c r="CZ166" s="372"/>
      <c r="DA166" s="419"/>
      <c r="DB166" s="423">
        <f>IFERROR(IF(LEFT($A166,3)="Lcp",SUMIFS('BASE-LCP'!$K:$K,'BASE-LCP'!$A:$A,Capex!$A157,'BASE-LCP'!$B:$B,"outubro")/1000,IF(LEFT($A166,3)="icp",SUMIFS('BASE-ICP'!$K:$K,'BASE-ICP'!$A:$A,Capex!$A157,'BASE-ICP'!$B:$B,"outubro")/1000,"")),"")</f>
        <v>0</v>
      </c>
      <c r="DC166" s="427">
        <v>0</v>
      </c>
      <c r="DD166" s="372"/>
      <c r="DE166" s="419"/>
      <c r="DF166" s="423">
        <f>IFERROR(IF(LEFT($A166,3)="Lcp",SUMIFS('BASE-LCP'!$K:$K,'BASE-LCP'!$A:$A,Capex!$A157,'BASE-LCP'!$B:$B,"novembro")/1000,IF(LEFT($A166,3)="icp",SUMIFS('BASE-ICP'!$K:$K,'BASE-ICP'!$A:$A,Capex!$A157,'BASE-ICP'!$B:$B,"novembro")/1000,"")),"")</f>
        <v>0</v>
      </c>
      <c r="DG166" s="427">
        <v>0</v>
      </c>
      <c r="DH166" s="372"/>
      <c r="DI166" s="419"/>
      <c r="DJ166" s="423">
        <f>IFERROR(IF(LEFT($A166,3)="Lcp",SUMIFS('BASE-LCP'!$K:$K,'BASE-LCP'!$A:$A,Capex!$A157,'BASE-LCP'!$B:$B,"dezembro")/1000,IF(LEFT($A166,3)="icp",SUMIFS('BASE-ICP'!$K:$K,'BASE-ICP'!$A:$A,Capex!$A157,'BASE-ICP'!$B:$B,"dezembro")/1000,"")),"")</f>
        <v>0</v>
      </c>
      <c r="DK166" s="427">
        <v>0</v>
      </c>
      <c r="DL166" s="452">
        <f t="shared" si="85"/>
        <v>0</v>
      </c>
      <c r="DM166" s="374"/>
      <c r="DN166" s="374"/>
      <c r="DO166" s="374"/>
      <c r="DP166" s="374"/>
      <c r="DQ166" s="374"/>
      <c r="DR166" s="374"/>
      <c r="DS166" s="374"/>
      <c r="DT166" s="374"/>
      <c r="DU166" s="374"/>
      <c r="DV166" s="374"/>
      <c r="DW166" s="374"/>
      <c r="DX166" s="374"/>
      <c r="DY166" s="450"/>
      <c r="DZ166" s="374">
        <f t="shared" si="86"/>
        <v>0</v>
      </c>
      <c r="EA166" s="216">
        <f t="shared" si="87"/>
        <v>0</v>
      </c>
      <c r="EB166" s="320">
        <f t="shared" si="88"/>
        <v>0</v>
      </c>
      <c r="EC166" s="241">
        <f t="shared" si="89"/>
        <v>0</v>
      </c>
      <c r="ED166" s="241">
        <f t="shared" si="90"/>
        <v>0</v>
      </c>
      <c r="EE166" s="241">
        <f t="shared" si="91"/>
        <v>0</v>
      </c>
      <c r="EF166" s="241">
        <f t="shared" si="92"/>
        <v>0</v>
      </c>
      <c r="EG166" s="346">
        <f t="shared" si="93"/>
        <v>0</v>
      </c>
      <c r="EH166" s="445">
        <f t="shared" si="94"/>
        <v>0</v>
      </c>
      <c r="EI166" s="447">
        <f t="shared" si="95"/>
        <v>0</v>
      </c>
      <c r="EJ166" s="364">
        <f t="shared" si="96"/>
        <v>0</v>
      </c>
      <c r="EK166" s="365">
        <f t="shared" si="97"/>
        <v>0</v>
      </c>
      <c r="EL166" s="529">
        <f t="shared" si="98"/>
        <v>0</v>
      </c>
      <c r="EM166" s="530">
        <v>0</v>
      </c>
      <c r="EN166" s="530">
        <v>0</v>
      </c>
      <c r="EO166" s="530">
        <v>0</v>
      </c>
      <c r="EP166" s="530">
        <v>0</v>
      </c>
      <c r="EQ166" s="530">
        <v>0</v>
      </c>
      <c r="ER166" s="530">
        <v>0</v>
      </c>
      <c r="ES166" s="530">
        <v>0</v>
      </c>
      <c r="ET166" s="530">
        <v>0</v>
      </c>
      <c r="EU166" s="530">
        <v>0</v>
      </c>
      <c r="EV166" s="530">
        <v>0</v>
      </c>
      <c r="EW166" s="530">
        <v>0</v>
      </c>
      <c r="EX166" s="530">
        <v>0</v>
      </c>
      <c r="EY166" s="530">
        <f t="shared" si="99"/>
        <v>0</v>
      </c>
      <c r="EZ166" s="530">
        <f t="shared" si="100"/>
        <v>0</v>
      </c>
      <c r="FA166" s="530">
        <f t="shared" si="101"/>
        <v>0</v>
      </c>
      <c r="FB166" s="530">
        <f t="shared" si="102"/>
        <v>0</v>
      </c>
      <c r="FC166" s="384">
        <f>IFERROR(VLOOKUP(Capex!A157,BASE_558!D:R,8,FALSE)/1000,"")</f>
        <v>307.04000000000002</v>
      </c>
      <c r="FD166" s="328">
        <f>IFERROR(VLOOKUP(Capex!A157,BASE_558!D:R,9,)/1000,"")</f>
        <v>306.29159000000004</v>
      </c>
      <c r="FE166" s="328">
        <f>IFERROR(IF(LEFT(A166,3)="LCP",(VLOOKUP(Capex!A157,BASE_558!D:R,10,)/1000),SUMIFS('BASE ICP_PO_SC'!F:F,'BASE ICP_PO_SC'!A:A,Capex!A157,'BASE ICP_PO_SC'!E:E,"&lt;&gt;")/1000),"")</f>
        <v>0</v>
      </c>
      <c r="FF166" s="328">
        <f>IFERROR(IF(LEFT(A166,3)="LCP",(VLOOKUP(Capex!A157,BASE_558!D:R,11,)/1000),SUMIFS('BASE ICP_PO_SC'!F:F,'BASE ICP_PO_SC'!A:A,Capex!A157,'BASE ICP_PO_SC'!E:E,"")/1000),"")</f>
        <v>0</v>
      </c>
      <c r="FG166" s="328">
        <f>IFERROR(VLOOKUP(A166,BASE_558!D:R,13,FALSE)/1000,"")</f>
        <v>1385.29087</v>
      </c>
      <c r="FH166" s="328">
        <f>IFERROR(VLOOKUP(A166,BASE_558!D:R,15,FALSE)/1000,"")</f>
        <v>46.049129999999998</v>
      </c>
      <c r="FI166" s="547">
        <f t="shared" si="103"/>
        <v>0</v>
      </c>
      <c r="FJ166" s="547">
        <f t="shared" si="104"/>
        <v>0</v>
      </c>
      <c r="FK166" s="540">
        <f t="shared" si="105"/>
        <v>0</v>
      </c>
    </row>
    <row r="167" spans="1:167" s="23" customFormat="1" ht="24" customHeight="1">
      <c r="A167" s="84" t="s">
        <v>255</v>
      </c>
      <c r="B167" s="404"/>
      <c r="C167" s="404"/>
      <c r="D167" s="338" t="s">
        <v>897</v>
      </c>
      <c r="E167" s="378">
        <v>2382119</v>
      </c>
      <c r="F167" s="5"/>
      <c r="G167" s="310" t="s">
        <v>9</v>
      </c>
      <c r="H167" s="338"/>
      <c r="I167" s="356" t="s">
        <v>6</v>
      </c>
      <c r="J167" s="356">
        <v>2019</v>
      </c>
      <c r="K167" s="316">
        <v>43774</v>
      </c>
      <c r="L167" s="317">
        <v>44277</v>
      </c>
      <c r="M167" s="409"/>
      <c r="N167" s="317">
        <f t="shared" si="109"/>
        <v>44686</v>
      </c>
      <c r="O167" s="317">
        <f t="shared" si="110"/>
        <v>45051</v>
      </c>
      <c r="P167" s="418" t="str">
        <f t="shared" si="113"/>
        <v>CRTD</v>
      </c>
      <c r="Q167" s="418" t="str">
        <f t="shared" si="113"/>
        <v>CRTD</v>
      </c>
      <c r="R167" s="418" t="str">
        <f t="shared" si="113"/>
        <v>CRTD</v>
      </c>
      <c r="S167" s="418" t="str">
        <f t="shared" si="113"/>
        <v>CRTD</v>
      </c>
      <c r="T167" s="418" t="str">
        <f t="shared" si="113"/>
        <v>CRTD</v>
      </c>
      <c r="U167" s="418" t="str">
        <f t="shared" si="113"/>
        <v>CRTD</v>
      </c>
      <c r="V167" s="418" t="str">
        <f t="shared" si="113"/>
        <v>CRTD</v>
      </c>
      <c r="W167" s="418" t="str">
        <f t="shared" si="113"/>
        <v>CRTD</v>
      </c>
      <c r="X167" s="418" t="str">
        <f t="shared" si="113"/>
        <v>CRTD</v>
      </c>
      <c r="Y167" s="418" t="str">
        <f t="shared" si="113"/>
        <v>CRTD</v>
      </c>
      <c r="Z167" s="418" t="str">
        <f t="shared" si="113"/>
        <v>CRTD</v>
      </c>
      <c r="AA167" s="418" t="str">
        <f t="shared" si="113"/>
        <v>CRTD</v>
      </c>
      <c r="AB167" s="350"/>
      <c r="AC167" s="309" t="s">
        <v>3932</v>
      </c>
      <c r="AD167" s="311" t="s">
        <v>982</v>
      </c>
      <c r="AE167" s="361" t="s">
        <v>953</v>
      </c>
      <c r="AF167" s="310" t="s">
        <v>6985</v>
      </c>
      <c r="AG167" s="310" t="s">
        <v>9083</v>
      </c>
      <c r="AH167" s="310" t="s">
        <v>2478</v>
      </c>
      <c r="AI167" s="381" t="s">
        <v>186</v>
      </c>
      <c r="AJ167" s="6" t="s">
        <v>218</v>
      </c>
      <c r="AK167" s="6" t="str">
        <f t="shared" si="83"/>
        <v>IGUAL</v>
      </c>
      <c r="AL167" s="151" t="str">
        <f>IFERROR(IF(LEFT(A167,3)="LCP",VLOOKUP(A167,STATUS_SAP_LCP!B:C,2,FALSE),VLOOKUP(A167,STATUS_SAP_ICP!B:C,2,FALSE)),"NO BUDGET")</f>
        <v>CLSD BUDG AUC  AVAC  //  APPR BREL EXPL</v>
      </c>
      <c r="AM167" s="6" t="str">
        <f t="shared" si="82"/>
        <v>CLSD</v>
      </c>
      <c r="AN167" s="414" t="s">
        <v>9092</v>
      </c>
      <c r="AO167" s="558">
        <v>1</v>
      </c>
      <c r="AP167" s="499" t="s">
        <v>9607</v>
      </c>
      <c r="AQ167" s="465">
        <v>44277</v>
      </c>
      <c r="AR167" s="460"/>
      <c r="AS167" s="56">
        <v>29.671410000000005</v>
      </c>
      <c r="AT167" s="185">
        <v>35.295410000000004</v>
      </c>
      <c r="AU167" s="318">
        <v>0.53947000000000001</v>
      </c>
      <c r="AV167" s="223">
        <v>0</v>
      </c>
      <c r="AW167" s="318">
        <v>0</v>
      </c>
      <c r="AX167" s="223">
        <v>0</v>
      </c>
      <c r="AY167" s="318">
        <f t="shared" si="111"/>
        <v>0</v>
      </c>
      <c r="AZ167" s="223"/>
      <c r="BA167" s="318"/>
      <c r="BB167" s="519">
        <f t="shared" si="112"/>
        <v>0</v>
      </c>
      <c r="BC167" s="518"/>
      <c r="BD167" s="518"/>
      <c r="BE167" s="518"/>
      <c r="BF167" s="518"/>
      <c r="BG167" s="518"/>
      <c r="BH167" s="518"/>
      <c r="BI167" s="518"/>
      <c r="BJ167" s="518"/>
      <c r="BK167" s="518"/>
      <c r="BL167" s="518"/>
      <c r="BM167" s="518"/>
      <c r="BN167" s="518"/>
      <c r="BO167" s="367">
        <f t="shared" si="84"/>
        <v>0</v>
      </c>
      <c r="BP167" s="421"/>
      <c r="BQ167" s="422"/>
      <c r="BR167" s="423">
        <f>IFERROR(IF(LEFT($A167,3)="Lcp",SUMIFS('BASE-LCP'!$K:$K,'BASE-LCP'!$A:$A,Capex!$A158,'BASE-LCP'!$B:$B,"janeiro")/1000,IF(LEFT($A167,3)="icp",SUMIFS('BASE-ICP'!$K:$K,'BASE-ICP'!$A:$A,Capex!$A158,'BASE-ICP'!$B:$B,"janeiro")/1000,"")),"")</f>
        <v>0</v>
      </c>
      <c r="BS167" s="427">
        <v>0</v>
      </c>
      <c r="BT167" s="372">
        <v>0</v>
      </c>
      <c r="BU167" s="422"/>
      <c r="BV167" s="423">
        <f>IFERROR(IF(LEFT($A167,3)="Lcp",SUMIFS('BASE-LCP'!$K:$K,'BASE-LCP'!$A:$A,Capex!$A158,'BASE-LCP'!$B:$B,"fevereiro")/1000,IF(LEFT($A167,3)="icp",SUMIFS('BASE-ICP'!$K:$K,'BASE-ICP'!$A:$A,Capex!$A158,'BASE-ICP'!$B:$B,"fevereiro")/1000,"")),"")</f>
        <v>0</v>
      </c>
      <c r="BW167" s="427">
        <v>0</v>
      </c>
      <c r="BX167" s="372">
        <v>0</v>
      </c>
      <c r="BY167" s="419"/>
      <c r="BZ167" s="423">
        <f>IFERROR(IF(LEFT($A167,3)="Lcp",SUMIFS('BASE-LCP'!$K:$K,'BASE-LCP'!$A:$A,Capex!$A158,'BASE-LCP'!$B:$B,"março")/1000,IF(LEFT($A167,3)="icp",SUMIFS('BASE-ICP'!$K:$K,'BASE-ICP'!$A:$A,Capex!$A158,'BASE-ICP'!$B:$B,"março")/1000,"")),"")</f>
        <v>0</v>
      </c>
      <c r="CA167" s="427">
        <v>0</v>
      </c>
      <c r="CB167" s="372">
        <v>0</v>
      </c>
      <c r="CC167" s="422"/>
      <c r="CD167" s="423">
        <f>IFERROR(IF(LEFT($A167,3)="Lcp",SUMIFS('BASE-LCP'!$K:$K,'BASE-LCP'!$A:$A,Capex!$A158,'BASE-LCP'!$B:$B,"abril")/1000,IF(LEFT($A167,3)="icp",SUMIFS('BASE-ICP'!$K:$K,'BASE-ICP'!$A:$A,Capex!$A158,'BASE-ICP'!$B:$B,"abril")/1000,"")),"")</f>
        <v>0</v>
      </c>
      <c r="CE167" s="427">
        <v>0</v>
      </c>
      <c r="CF167" s="372">
        <v>0</v>
      </c>
      <c r="CG167" s="419"/>
      <c r="CH167" s="423">
        <v>0</v>
      </c>
      <c r="CI167" s="427">
        <v>0</v>
      </c>
      <c r="CJ167" s="372">
        <v>0</v>
      </c>
      <c r="CK167" s="419"/>
      <c r="CL167" s="423">
        <f>IFERROR(IF(LEFT($A167,3)="Lcp",SUMIFS('BASE-LCP'!$K:$K,'BASE-LCP'!$A:$A,Capex!$A158,'BASE-LCP'!$B:$B,"junho")/1000,IF(LEFT($A167,3)="icp",SUMIFS('BASE-ICP'!$K:$K,'BASE-ICP'!$A:$A,Capex!$A158,'BASE-ICP'!$B:$B,"junho")/1000,"")),"")</f>
        <v>0</v>
      </c>
      <c r="CM167" s="427">
        <v>0</v>
      </c>
      <c r="CN167" s="372"/>
      <c r="CO167" s="419"/>
      <c r="CP167" s="423">
        <f>IFERROR(IF(LEFT($A167,3)="Lcp",SUMIFS('BASE-LCP'!$K:$K,'BASE-LCP'!$A:$A,Capex!$A158,'BASE-LCP'!$B:$B,"julho")/1000,IF(LEFT($A167,3)="icp",SUMIFS('BASE-ICP'!$K:$K,'BASE-ICP'!$A:$A,Capex!$A158,'BASE-ICP'!$B:$B,"julho")/1000,"")),"")</f>
        <v>0</v>
      </c>
      <c r="CQ167" s="427">
        <v>0</v>
      </c>
      <c r="CR167" s="372"/>
      <c r="CS167" s="419"/>
      <c r="CT167" s="423">
        <f>IFERROR(IF(LEFT($A167,3)="Lcp",SUMIFS('BASE-LCP'!$K:$K,'BASE-LCP'!$A:$A,Capex!$A158,'BASE-LCP'!$B:$B,"agosto")/1000,IF(LEFT($A167,3)="icp",SUMIFS('BASE-ICP'!$K:$K,'BASE-ICP'!$A:$A,Capex!$A158,'BASE-ICP'!$B:$B,"agosto")/1000,"")),"")</f>
        <v>0</v>
      </c>
      <c r="CU167" s="427">
        <v>0</v>
      </c>
      <c r="CV167" s="372"/>
      <c r="CW167" s="419"/>
      <c r="CX167" s="423">
        <f>IFERROR(IF(LEFT($A167,3)="Lcp",SUMIFS('BASE-LCP'!$K:$K,'BASE-LCP'!$A:$A,Capex!$A158,'BASE-LCP'!$B:$B,"setembro")/1000,IF(LEFT($A167,3)="icp",SUMIFS('BASE-ICP'!$K:$K,'BASE-ICP'!$A:$A,Capex!$A158,'BASE-ICP'!$B:$B,"setembro")/1000,"")),"")</f>
        <v>0</v>
      </c>
      <c r="CY167" s="427">
        <v>0</v>
      </c>
      <c r="CZ167" s="372"/>
      <c r="DA167" s="419"/>
      <c r="DB167" s="423">
        <f>IFERROR(IF(LEFT($A167,3)="Lcp",SUMIFS('BASE-LCP'!$K:$K,'BASE-LCP'!$A:$A,Capex!$A158,'BASE-LCP'!$B:$B,"outubro")/1000,IF(LEFT($A167,3)="icp",SUMIFS('BASE-ICP'!$K:$K,'BASE-ICP'!$A:$A,Capex!$A158,'BASE-ICP'!$B:$B,"outubro")/1000,"")),"")</f>
        <v>0</v>
      </c>
      <c r="DC167" s="427">
        <v>0</v>
      </c>
      <c r="DD167" s="372"/>
      <c r="DE167" s="419"/>
      <c r="DF167" s="423">
        <f>IFERROR(IF(LEFT($A167,3)="Lcp",SUMIFS('BASE-LCP'!$K:$K,'BASE-LCP'!$A:$A,Capex!$A158,'BASE-LCP'!$B:$B,"novembro")/1000,IF(LEFT($A167,3)="icp",SUMIFS('BASE-ICP'!$K:$K,'BASE-ICP'!$A:$A,Capex!$A158,'BASE-ICP'!$B:$B,"novembro")/1000,"")),"")</f>
        <v>0</v>
      </c>
      <c r="DG167" s="427">
        <v>0</v>
      </c>
      <c r="DH167" s="372"/>
      <c r="DI167" s="419"/>
      <c r="DJ167" s="423">
        <f>IFERROR(IF(LEFT($A167,3)="Lcp",SUMIFS('BASE-LCP'!$K:$K,'BASE-LCP'!$A:$A,Capex!$A158,'BASE-LCP'!$B:$B,"dezembro")/1000,IF(LEFT($A167,3)="icp",SUMIFS('BASE-ICP'!$K:$K,'BASE-ICP'!$A:$A,Capex!$A158,'BASE-ICP'!$B:$B,"dezembro")/1000,"")),"")</f>
        <v>0</v>
      </c>
      <c r="DK167" s="427">
        <v>0</v>
      </c>
      <c r="DL167" s="452">
        <f t="shared" si="85"/>
        <v>0</v>
      </c>
      <c r="DM167" s="374"/>
      <c r="DN167" s="374"/>
      <c r="DO167" s="374"/>
      <c r="DP167" s="374"/>
      <c r="DQ167" s="374"/>
      <c r="DR167" s="374"/>
      <c r="DS167" s="374"/>
      <c r="DT167" s="374"/>
      <c r="DU167" s="374"/>
      <c r="DV167" s="374"/>
      <c r="DW167" s="374"/>
      <c r="DX167" s="374"/>
      <c r="DY167" s="450"/>
      <c r="DZ167" s="374">
        <f t="shared" si="86"/>
        <v>0</v>
      </c>
      <c r="EA167" s="216">
        <f t="shared" si="87"/>
        <v>0</v>
      </c>
      <c r="EB167" s="320">
        <f t="shared" si="88"/>
        <v>0</v>
      </c>
      <c r="EC167" s="241">
        <f t="shared" si="89"/>
        <v>0</v>
      </c>
      <c r="ED167" s="241">
        <f t="shared" si="90"/>
        <v>0</v>
      </c>
      <c r="EE167" s="241">
        <f t="shared" si="91"/>
        <v>0</v>
      </c>
      <c r="EF167" s="241">
        <f t="shared" si="92"/>
        <v>0</v>
      </c>
      <c r="EG167" s="346">
        <f t="shared" si="93"/>
        <v>0</v>
      </c>
      <c r="EH167" s="445">
        <f t="shared" si="94"/>
        <v>0</v>
      </c>
      <c r="EI167" s="447">
        <f t="shared" si="95"/>
        <v>0</v>
      </c>
      <c r="EJ167" s="364">
        <f t="shared" si="96"/>
        <v>0</v>
      </c>
      <c r="EK167" s="365">
        <f t="shared" si="97"/>
        <v>0</v>
      </c>
      <c r="EL167" s="529">
        <f t="shared" si="98"/>
        <v>0</v>
      </c>
      <c r="EM167" s="530">
        <v>0</v>
      </c>
      <c r="EN167" s="530">
        <v>0</v>
      </c>
      <c r="EO167" s="530">
        <v>0</v>
      </c>
      <c r="EP167" s="530">
        <v>0</v>
      </c>
      <c r="EQ167" s="530">
        <v>0</v>
      </c>
      <c r="ER167" s="530">
        <v>0</v>
      </c>
      <c r="ES167" s="530">
        <v>0</v>
      </c>
      <c r="ET167" s="530">
        <v>0</v>
      </c>
      <c r="EU167" s="530">
        <v>0</v>
      </c>
      <c r="EV167" s="530">
        <v>0</v>
      </c>
      <c r="EW167" s="530">
        <v>0</v>
      </c>
      <c r="EX167" s="530">
        <v>0</v>
      </c>
      <c r="EY167" s="530">
        <f t="shared" si="99"/>
        <v>0</v>
      </c>
      <c r="EZ167" s="530">
        <f t="shared" si="100"/>
        <v>0</v>
      </c>
      <c r="FA167" s="530">
        <f t="shared" si="101"/>
        <v>0</v>
      </c>
      <c r="FB167" s="530">
        <f t="shared" si="102"/>
        <v>0</v>
      </c>
      <c r="FC167" s="384">
        <f>IFERROR(VLOOKUP(Capex!A158,BASE_558!D:R,8,FALSE)/1000,"")</f>
        <v>79</v>
      </c>
      <c r="FD167" s="328">
        <f>IFERROR(VLOOKUP(Capex!A158,BASE_558!D:R,9,)/1000,"")</f>
        <v>40.696589999999993</v>
      </c>
      <c r="FE167" s="328">
        <f>IFERROR(IF(LEFT(A167,3)="LCP",(VLOOKUP(Capex!A158,BASE_558!D:R,10,)/1000),SUMIFS('BASE ICP_PO_SC'!F:F,'BASE ICP_PO_SC'!A:A,Capex!A158,'BASE ICP_PO_SC'!E:E,"&lt;&gt;")/1000),"")</f>
        <v>0</v>
      </c>
      <c r="FF167" s="328">
        <f>IFERROR(IF(LEFT(A167,3)="LCP",(VLOOKUP(Capex!A158,BASE_558!D:R,11,)/1000),SUMIFS('BASE ICP_PO_SC'!F:F,'BASE ICP_PO_SC'!A:A,Capex!A158,'BASE ICP_PO_SC'!E:E,"")/1000),"")</f>
        <v>0</v>
      </c>
      <c r="FG167" s="328">
        <f>IFERROR(VLOOKUP(A167,BASE_558!D:R,13,FALSE)/1000,"")</f>
        <v>65.506290000000007</v>
      </c>
      <c r="FH167" s="328">
        <f>IFERROR(VLOOKUP(A167,BASE_558!D:R,15,FALSE)/1000,"")</f>
        <v>6.5937099999999997</v>
      </c>
      <c r="FI167" s="547">
        <f t="shared" si="103"/>
        <v>0</v>
      </c>
      <c r="FJ167" s="547">
        <f t="shared" si="104"/>
        <v>0</v>
      </c>
      <c r="FK167" s="540">
        <f t="shared" si="105"/>
        <v>0</v>
      </c>
    </row>
    <row r="168" spans="1:167" s="23" customFormat="1" ht="24" customHeight="1">
      <c r="A168" s="84" t="s">
        <v>256</v>
      </c>
      <c r="B168" s="404" t="s">
        <v>691</v>
      </c>
      <c r="C168" s="404"/>
      <c r="D168" s="338" t="s">
        <v>1016</v>
      </c>
      <c r="E168" s="378">
        <v>2352674</v>
      </c>
      <c r="F168" s="5"/>
      <c r="G168" s="310" t="s">
        <v>9</v>
      </c>
      <c r="H168" s="338"/>
      <c r="I168" s="356" t="s">
        <v>6</v>
      </c>
      <c r="J168" s="356">
        <v>2019</v>
      </c>
      <c r="K168" s="316">
        <v>43787</v>
      </c>
      <c r="L168" s="317">
        <v>44503</v>
      </c>
      <c r="M168" s="409"/>
      <c r="N168" s="317">
        <f t="shared" si="109"/>
        <v>44699</v>
      </c>
      <c r="O168" s="317">
        <f t="shared" si="110"/>
        <v>45064</v>
      </c>
      <c r="P168" s="418" t="str">
        <f t="shared" si="113"/>
        <v>CRTD</v>
      </c>
      <c r="Q168" s="418" t="str">
        <f t="shared" si="113"/>
        <v>CRTD</v>
      </c>
      <c r="R168" s="418" t="str">
        <f t="shared" si="113"/>
        <v>CRTD</v>
      </c>
      <c r="S168" s="418" t="str">
        <f t="shared" si="113"/>
        <v>CRTD</v>
      </c>
      <c r="T168" s="418" t="str">
        <f t="shared" si="113"/>
        <v>CRTD</v>
      </c>
      <c r="U168" s="418" t="str">
        <f t="shared" si="113"/>
        <v>CRTD</v>
      </c>
      <c r="V168" s="418" t="str">
        <f t="shared" si="113"/>
        <v>CRTD</v>
      </c>
      <c r="W168" s="418" t="str">
        <f t="shared" si="113"/>
        <v>CRTD</v>
      </c>
      <c r="X168" s="418" t="str">
        <f t="shared" si="113"/>
        <v>CRTD</v>
      </c>
      <c r="Y168" s="418" t="str">
        <f t="shared" si="113"/>
        <v>CRTD</v>
      </c>
      <c r="Z168" s="418" t="str">
        <f t="shared" si="113"/>
        <v>CRTD</v>
      </c>
      <c r="AA168" s="418" t="str">
        <f t="shared" si="113"/>
        <v>CRTD</v>
      </c>
      <c r="AB168" s="317"/>
      <c r="AC168" s="309" t="s">
        <v>3932</v>
      </c>
      <c r="AD168" s="311" t="s">
        <v>224</v>
      </c>
      <c r="AE168" s="310" t="s">
        <v>965</v>
      </c>
      <c r="AF168" s="310" t="s">
        <v>6985</v>
      </c>
      <c r="AG168" s="310" t="s">
        <v>9083</v>
      </c>
      <c r="AH168" s="310" t="s">
        <v>257</v>
      </c>
      <c r="AI168" s="309" t="s">
        <v>316</v>
      </c>
      <c r="AJ168" s="6" t="s">
        <v>218</v>
      </c>
      <c r="AK168" s="6" t="str">
        <f t="shared" si="83"/>
        <v>IGUAL</v>
      </c>
      <c r="AL168" s="151" t="str">
        <f>IFERROR(IF(LEFT(A168,3)="LCP",VLOOKUP(A168,STATUS_SAP_LCP!B:C,2,FALSE),VLOOKUP(A168,STATUS_SAP_ICP!B:C,2,FALSE)),"NO BUDGET")</f>
        <v>CLSD BUDG AUC  AVAC  //  APPR BREL EXPL</v>
      </c>
      <c r="AM168" s="6" t="str">
        <f t="shared" si="82"/>
        <v>CLSD</v>
      </c>
      <c r="AN168" s="282" t="s">
        <v>9096</v>
      </c>
      <c r="AO168" s="562">
        <v>1</v>
      </c>
      <c r="AP168" s="499" t="s">
        <v>9607</v>
      </c>
      <c r="AQ168" s="465">
        <v>44503</v>
      </c>
      <c r="AR168" s="460"/>
      <c r="AS168" s="56">
        <v>0</v>
      </c>
      <c r="AT168" s="185">
        <v>99.45938000000001</v>
      </c>
      <c r="AU168" s="318">
        <v>30.76388</v>
      </c>
      <c r="AV168" s="223">
        <v>0</v>
      </c>
      <c r="AW168" s="318">
        <v>0</v>
      </c>
      <c r="AX168" s="223">
        <v>0</v>
      </c>
      <c r="AY168" s="318">
        <f t="shared" si="111"/>
        <v>0</v>
      </c>
      <c r="AZ168" s="223"/>
      <c r="BA168" s="318"/>
      <c r="BB168" s="519">
        <f t="shared" si="112"/>
        <v>0</v>
      </c>
      <c r="BC168" s="518"/>
      <c r="BD168" s="518"/>
      <c r="BE168" s="518"/>
      <c r="BF168" s="518"/>
      <c r="BG168" s="518"/>
      <c r="BH168" s="518"/>
      <c r="BI168" s="518"/>
      <c r="BJ168" s="518"/>
      <c r="BK168" s="518"/>
      <c r="BL168" s="518"/>
      <c r="BM168" s="518"/>
      <c r="BN168" s="518"/>
      <c r="BO168" s="367">
        <f t="shared" si="84"/>
        <v>0</v>
      </c>
      <c r="BP168" s="421"/>
      <c r="BQ168" s="422"/>
      <c r="BR168" s="423">
        <f>IFERROR(IF(LEFT($A168,3)="Lcp",SUMIFS('BASE-LCP'!$K:$K,'BASE-LCP'!$A:$A,Capex!$A159,'BASE-LCP'!$B:$B,"janeiro")/1000,IF(LEFT($A168,3)="icp",SUMIFS('BASE-ICP'!$K:$K,'BASE-ICP'!$A:$A,Capex!$A159,'BASE-ICP'!$B:$B,"janeiro")/1000,"")),"")</f>
        <v>0</v>
      </c>
      <c r="BS168" s="427">
        <v>0</v>
      </c>
      <c r="BT168" s="372">
        <v>0</v>
      </c>
      <c r="BU168" s="422"/>
      <c r="BV168" s="423">
        <f>IFERROR(IF(LEFT($A168,3)="Lcp",SUMIFS('BASE-LCP'!$K:$K,'BASE-LCP'!$A:$A,Capex!$A159,'BASE-LCP'!$B:$B,"fevereiro")/1000,IF(LEFT($A168,3)="icp",SUMIFS('BASE-ICP'!$K:$K,'BASE-ICP'!$A:$A,Capex!$A159,'BASE-ICP'!$B:$B,"fevereiro")/1000,"")),"")</f>
        <v>0</v>
      </c>
      <c r="BW168" s="427">
        <v>0</v>
      </c>
      <c r="BX168" s="372">
        <v>0</v>
      </c>
      <c r="BY168" s="419"/>
      <c r="BZ168" s="423">
        <f>IFERROR(IF(LEFT($A168,3)="Lcp",SUMIFS('BASE-LCP'!$K:$K,'BASE-LCP'!$A:$A,Capex!$A159,'BASE-LCP'!$B:$B,"março")/1000,IF(LEFT($A168,3)="icp",SUMIFS('BASE-ICP'!$K:$K,'BASE-ICP'!$A:$A,Capex!$A159,'BASE-ICP'!$B:$B,"março")/1000,"")),"")</f>
        <v>0</v>
      </c>
      <c r="CA168" s="427">
        <v>0</v>
      </c>
      <c r="CB168" s="372">
        <v>0</v>
      </c>
      <c r="CC168" s="422"/>
      <c r="CD168" s="423">
        <f>IFERROR(IF(LEFT($A168,3)="Lcp",SUMIFS('BASE-LCP'!$K:$K,'BASE-LCP'!$A:$A,Capex!$A159,'BASE-LCP'!$B:$B,"abril")/1000,IF(LEFT($A168,3)="icp",SUMIFS('BASE-ICP'!$K:$K,'BASE-ICP'!$A:$A,Capex!$A159,'BASE-ICP'!$B:$B,"abril")/1000,"")),"")</f>
        <v>0</v>
      </c>
      <c r="CE168" s="427">
        <v>0</v>
      </c>
      <c r="CF168" s="372">
        <v>0</v>
      </c>
      <c r="CG168" s="419"/>
      <c r="CH168" s="423">
        <v>0</v>
      </c>
      <c r="CI168" s="427">
        <v>0</v>
      </c>
      <c r="CJ168" s="372">
        <v>0</v>
      </c>
      <c r="CK168" s="419"/>
      <c r="CL168" s="423">
        <f>IFERROR(IF(LEFT($A168,3)="Lcp",SUMIFS('BASE-LCP'!$K:$K,'BASE-LCP'!$A:$A,Capex!$A159,'BASE-LCP'!$B:$B,"junho")/1000,IF(LEFT($A168,3)="icp",SUMIFS('BASE-ICP'!$K:$K,'BASE-ICP'!$A:$A,Capex!$A159,'BASE-ICP'!$B:$B,"junho")/1000,"")),"")</f>
        <v>0</v>
      </c>
      <c r="CM168" s="427">
        <v>0</v>
      </c>
      <c r="CN168" s="372"/>
      <c r="CO168" s="419"/>
      <c r="CP168" s="423">
        <f>IFERROR(IF(LEFT($A168,3)="Lcp",SUMIFS('BASE-LCP'!$K:$K,'BASE-LCP'!$A:$A,Capex!$A159,'BASE-LCP'!$B:$B,"julho")/1000,IF(LEFT($A168,3)="icp",SUMIFS('BASE-ICP'!$K:$K,'BASE-ICP'!$A:$A,Capex!$A159,'BASE-ICP'!$B:$B,"julho")/1000,"")),"")</f>
        <v>0</v>
      </c>
      <c r="CQ168" s="427">
        <v>0</v>
      </c>
      <c r="CR168" s="372"/>
      <c r="CS168" s="419"/>
      <c r="CT168" s="423">
        <f>IFERROR(IF(LEFT($A168,3)="Lcp",SUMIFS('BASE-LCP'!$K:$K,'BASE-LCP'!$A:$A,Capex!$A159,'BASE-LCP'!$B:$B,"agosto")/1000,IF(LEFT($A168,3)="icp",SUMIFS('BASE-ICP'!$K:$K,'BASE-ICP'!$A:$A,Capex!$A159,'BASE-ICP'!$B:$B,"agosto")/1000,"")),"")</f>
        <v>0</v>
      </c>
      <c r="CU168" s="427">
        <v>0</v>
      </c>
      <c r="CV168" s="372"/>
      <c r="CW168" s="419"/>
      <c r="CX168" s="423">
        <f>IFERROR(IF(LEFT($A168,3)="Lcp",SUMIFS('BASE-LCP'!$K:$K,'BASE-LCP'!$A:$A,Capex!$A159,'BASE-LCP'!$B:$B,"setembro")/1000,IF(LEFT($A168,3)="icp",SUMIFS('BASE-ICP'!$K:$K,'BASE-ICP'!$A:$A,Capex!$A159,'BASE-ICP'!$B:$B,"setembro")/1000,"")),"")</f>
        <v>0</v>
      </c>
      <c r="CY168" s="427">
        <v>0</v>
      </c>
      <c r="CZ168" s="372"/>
      <c r="DA168" s="419"/>
      <c r="DB168" s="423">
        <f>IFERROR(IF(LEFT($A168,3)="Lcp",SUMIFS('BASE-LCP'!$K:$K,'BASE-LCP'!$A:$A,Capex!$A159,'BASE-LCP'!$B:$B,"outubro")/1000,IF(LEFT($A168,3)="icp",SUMIFS('BASE-ICP'!$K:$K,'BASE-ICP'!$A:$A,Capex!$A159,'BASE-ICP'!$B:$B,"outubro")/1000,"")),"")</f>
        <v>0</v>
      </c>
      <c r="DC168" s="427">
        <v>0</v>
      </c>
      <c r="DD168" s="372"/>
      <c r="DE168" s="419"/>
      <c r="DF168" s="423">
        <f>IFERROR(IF(LEFT($A168,3)="Lcp",SUMIFS('BASE-LCP'!$K:$K,'BASE-LCP'!$A:$A,Capex!$A159,'BASE-LCP'!$B:$B,"novembro")/1000,IF(LEFT($A168,3)="icp",SUMIFS('BASE-ICP'!$K:$K,'BASE-ICP'!$A:$A,Capex!$A159,'BASE-ICP'!$B:$B,"novembro")/1000,"")),"")</f>
        <v>0</v>
      </c>
      <c r="DG168" s="427">
        <v>0</v>
      </c>
      <c r="DH168" s="372"/>
      <c r="DI168" s="419"/>
      <c r="DJ168" s="423">
        <f>IFERROR(IF(LEFT($A168,3)="Lcp",SUMIFS('BASE-LCP'!$K:$K,'BASE-LCP'!$A:$A,Capex!$A159,'BASE-LCP'!$B:$B,"dezembro")/1000,IF(LEFT($A168,3)="icp",SUMIFS('BASE-ICP'!$K:$K,'BASE-ICP'!$A:$A,Capex!$A159,'BASE-ICP'!$B:$B,"dezembro")/1000,"")),"")</f>
        <v>0</v>
      </c>
      <c r="DK168" s="427">
        <v>0</v>
      </c>
      <c r="DL168" s="452">
        <f t="shared" si="85"/>
        <v>0</v>
      </c>
      <c r="DM168" s="374"/>
      <c r="DN168" s="374"/>
      <c r="DO168" s="374"/>
      <c r="DP168" s="374"/>
      <c r="DQ168" s="374"/>
      <c r="DR168" s="374"/>
      <c r="DS168" s="374"/>
      <c r="DT168" s="374"/>
      <c r="DU168" s="374"/>
      <c r="DV168" s="374"/>
      <c r="DW168" s="374"/>
      <c r="DX168" s="374"/>
      <c r="DY168" s="450"/>
      <c r="DZ168" s="374">
        <f t="shared" si="86"/>
        <v>0</v>
      </c>
      <c r="EA168" s="216">
        <f t="shared" si="87"/>
        <v>0</v>
      </c>
      <c r="EB168" s="320">
        <f t="shared" si="88"/>
        <v>0</v>
      </c>
      <c r="EC168" s="241">
        <f t="shared" si="89"/>
        <v>0</v>
      </c>
      <c r="ED168" s="241">
        <f t="shared" si="90"/>
        <v>0</v>
      </c>
      <c r="EE168" s="241">
        <f t="shared" si="91"/>
        <v>0</v>
      </c>
      <c r="EF168" s="241">
        <f t="shared" si="92"/>
        <v>0</v>
      </c>
      <c r="EG168" s="346">
        <f t="shared" si="93"/>
        <v>0</v>
      </c>
      <c r="EH168" s="445">
        <f t="shared" si="94"/>
        <v>0</v>
      </c>
      <c r="EI168" s="447">
        <f t="shared" si="95"/>
        <v>0</v>
      </c>
      <c r="EJ168" s="364">
        <f t="shared" si="96"/>
        <v>0</v>
      </c>
      <c r="EK168" s="365">
        <f t="shared" si="97"/>
        <v>0</v>
      </c>
      <c r="EL168" s="529">
        <f t="shared" si="98"/>
        <v>0</v>
      </c>
      <c r="EM168" s="530">
        <v>0</v>
      </c>
      <c r="EN168" s="530">
        <v>0</v>
      </c>
      <c r="EO168" s="530">
        <v>0</v>
      </c>
      <c r="EP168" s="530">
        <v>0</v>
      </c>
      <c r="EQ168" s="530">
        <v>0</v>
      </c>
      <c r="ER168" s="530">
        <v>0</v>
      </c>
      <c r="ES168" s="530">
        <v>0</v>
      </c>
      <c r="ET168" s="530">
        <v>0</v>
      </c>
      <c r="EU168" s="530">
        <v>0</v>
      </c>
      <c r="EV168" s="530">
        <v>0</v>
      </c>
      <c r="EW168" s="530">
        <v>0</v>
      </c>
      <c r="EX168" s="530">
        <v>0</v>
      </c>
      <c r="EY168" s="530">
        <f t="shared" si="99"/>
        <v>0</v>
      </c>
      <c r="EZ168" s="530">
        <f t="shared" si="100"/>
        <v>0</v>
      </c>
      <c r="FA168" s="530">
        <f t="shared" si="101"/>
        <v>0</v>
      </c>
      <c r="FB168" s="530">
        <f t="shared" si="102"/>
        <v>0</v>
      </c>
      <c r="FC168" s="384">
        <f>IFERROR(VLOOKUP(Capex!A159,BASE_558!D:R,8,FALSE)/1000,"")</f>
        <v>298.96199999999999</v>
      </c>
      <c r="FD168" s="328">
        <f>IFERROR(VLOOKUP(Capex!A159,BASE_558!D:R,9,)/1000,"")</f>
        <v>179.69466</v>
      </c>
      <c r="FE168" s="328">
        <f>IFERROR(IF(LEFT(A168,3)="LCP",(VLOOKUP(Capex!A159,BASE_558!D:R,10,)/1000),SUMIFS('BASE ICP_PO_SC'!F:F,'BASE ICP_PO_SC'!A:A,Capex!A159,'BASE ICP_PO_SC'!E:E,"&lt;&gt;")/1000),"")</f>
        <v>0</v>
      </c>
      <c r="FF168" s="328">
        <f>IFERROR(IF(LEFT(A168,3)="LCP",(VLOOKUP(Capex!A159,BASE_558!D:R,11,)/1000),SUMIFS('BASE ICP_PO_SC'!F:F,'BASE ICP_PO_SC'!A:A,Capex!A159,'BASE ICP_PO_SC'!E:E,"")/1000),"")</f>
        <v>0</v>
      </c>
      <c r="FG168" s="328">
        <f>IFERROR(VLOOKUP(A168,BASE_558!D:R,13,FALSE)/1000,"")</f>
        <v>130.22325999999998</v>
      </c>
      <c r="FH168" s="328">
        <f>IFERROR(VLOOKUP(A168,BASE_558!D:R,15,FALSE)/1000,"")</f>
        <v>1.3767400000000001</v>
      </c>
      <c r="FI168" s="547">
        <f t="shared" si="103"/>
        <v>0</v>
      </c>
      <c r="FJ168" s="547">
        <f t="shared" si="104"/>
        <v>0</v>
      </c>
      <c r="FK168" s="540">
        <f t="shared" si="105"/>
        <v>0</v>
      </c>
    </row>
    <row r="169" spans="1:167" s="23" customFormat="1" ht="24" customHeight="1">
      <c r="A169" s="84" t="s">
        <v>258</v>
      </c>
      <c r="B169" s="404" t="s">
        <v>690</v>
      </c>
      <c r="C169" s="404"/>
      <c r="D169" s="338" t="s">
        <v>881</v>
      </c>
      <c r="E169" s="378">
        <v>2340229</v>
      </c>
      <c r="F169" s="5"/>
      <c r="G169" s="310" t="s">
        <v>9</v>
      </c>
      <c r="H169" s="356"/>
      <c r="I169" s="356"/>
      <c r="J169" s="356">
        <v>2019</v>
      </c>
      <c r="K169" s="316">
        <v>43802</v>
      </c>
      <c r="L169" s="317">
        <v>44468</v>
      </c>
      <c r="M169" s="409"/>
      <c r="N169" s="317">
        <f t="shared" si="109"/>
        <v>44714</v>
      </c>
      <c r="O169" s="317">
        <f t="shared" si="110"/>
        <v>45079</v>
      </c>
      <c r="P169" s="418" t="str">
        <f t="shared" si="113"/>
        <v>CRTD</v>
      </c>
      <c r="Q169" s="418" t="str">
        <f t="shared" si="113"/>
        <v>CRTD</v>
      </c>
      <c r="R169" s="418" t="str">
        <f t="shared" si="113"/>
        <v>CRTD</v>
      </c>
      <c r="S169" s="418" t="str">
        <f t="shared" si="113"/>
        <v>CRTD</v>
      </c>
      <c r="T169" s="418" t="str">
        <f t="shared" si="113"/>
        <v>CRTD</v>
      </c>
      <c r="U169" s="418" t="str">
        <f t="shared" si="113"/>
        <v>CRTD</v>
      </c>
      <c r="V169" s="418" t="str">
        <f t="shared" si="113"/>
        <v>CRTD</v>
      </c>
      <c r="W169" s="418" t="str">
        <f t="shared" si="113"/>
        <v>CRTD</v>
      </c>
      <c r="X169" s="418" t="str">
        <f t="shared" si="113"/>
        <v>CRTD</v>
      </c>
      <c r="Y169" s="418" t="str">
        <f t="shared" si="113"/>
        <v>CRTD</v>
      </c>
      <c r="Z169" s="418" t="str">
        <f t="shared" si="113"/>
        <v>CRTD</v>
      </c>
      <c r="AA169" s="418" t="str">
        <f t="shared" si="113"/>
        <v>CRTD</v>
      </c>
      <c r="AB169" s="350"/>
      <c r="AC169" s="309" t="s">
        <v>3932</v>
      </c>
      <c r="AD169" s="311" t="s">
        <v>224</v>
      </c>
      <c r="AE169" s="311" t="s">
        <v>965</v>
      </c>
      <c r="AF169" s="310" t="s">
        <v>6985</v>
      </c>
      <c r="AG169" s="310" t="s">
        <v>9083</v>
      </c>
      <c r="AH169" s="310" t="s">
        <v>143</v>
      </c>
      <c r="AI169" s="381" t="s">
        <v>316</v>
      </c>
      <c r="AJ169" s="6" t="s">
        <v>218</v>
      </c>
      <c r="AK169" s="6" t="str">
        <f t="shared" si="83"/>
        <v>IGUAL</v>
      </c>
      <c r="AL169" s="151" t="str">
        <f>IFERROR(IF(LEFT(A169,3)="LCP",VLOOKUP(A169,STATUS_SAP_LCP!B:C,2,FALSE),VLOOKUP(A169,STATUS_SAP_ICP!B:C,2,FALSE)),"NO BUDGET")</f>
        <v>CLSD BUDG AUC  AVAC  //  APPR BREL EXPL</v>
      </c>
      <c r="AM169" s="6" t="str">
        <f t="shared" si="82"/>
        <v>CLSD</v>
      </c>
      <c r="AN169" s="282" t="s">
        <v>9090</v>
      </c>
      <c r="AO169" s="493">
        <v>1</v>
      </c>
      <c r="AP169" s="499" t="s">
        <v>9607</v>
      </c>
      <c r="AQ169" s="465">
        <v>44468</v>
      </c>
      <c r="AR169" s="460"/>
      <c r="AS169" s="56">
        <v>0</v>
      </c>
      <c r="AT169" s="185">
        <v>441.72093000000012</v>
      </c>
      <c r="AU169" s="318">
        <v>83.706119999999999</v>
      </c>
      <c r="AV169" s="223">
        <v>0</v>
      </c>
      <c r="AW169" s="318">
        <v>0</v>
      </c>
      <c r="AX169" s="223">
        <v>0</v>
      </c>
      <c r="AY169" s="318">
        <f t="shared" si="111"/>
        <v>0</v>
      </c>
      <c r="AZ169" s="223"/>
      <c r="BA169" s="318"/>
      <c r="BB169" s="519">
        <f t="shared" si="112"/>
        <v>0</v>
      </c>
      <c r="BC169" s="518"/>
      <c r="BD169" s="518"/>
      <c r="BE169" s="518"/>
      <c r="BF169" s="518"/>
      <c r="BG169" s="518"/>
      <c r="BH169" s="518"/>
      <c r="BI169" s="518"/>
      <c r="BJ169" s="518"/>
      <c r="BK169" s="518"/>
      <c r="BL169" s="518"/>
      <c r="BM169" s="518"/>
      <c r="BN169" s="518"/>
      <c r="BO169" s="367">
        <f t="shared" si="84"/>
        <v>0</v>
      </c>
      <c r="BP169" s="421"/>
      <c r="BQ169" s="422"/>
      <c r="BR169" s="423">
        <f>IFERROR(IF(LEFT($A169,3)="Lcp",SUMIFS('BASE-LCP'!$K:$K,'BASE-LCP'!$A:$A,Capex!$A160,'BASE-LCP'!$B:$B,"janeiro")/1000,IF(LEFT($A169,3)="icp",SUMIFS('BASE-ICP'!$K:$K,'BASE-ICP'!$A:$A,Capex!$A160,'BASE-ICP'!$B:$B,"janeiro")/1000,"")),"")</f>
        <v>0</v>
      </c>
      <c r="BS169" s="427">
        <v>0</v>
      </c>
      <c r="BT169" s="372">
        <v>0</v>
      </c>
      <c r="BU169" s="422"/>
      <c r="BV169" s="423">
        <f>IFERROR(IF(LEFT($A169,3)="Lcp",SUMIFS('BASE-LCP'!$K:$K,'BASE-LCP'!$A:$A,Capex!$A160,'BASE-LCP'!$B:$B,"fevereiro")/1000,IF(LEFT($A169,3)="icp",SUMIFS('BASE-ICP'!$K:$K,'BASE-ICP'!$A:$A,Capex!$A160,'BASE-ICP'!$B:$B,"fevereiro")/1000,"")),"")</f>
        <v>0</v>
      </c>
      <c r="BW169" s="427">
        <v>0</v>
      </c>
      <c r="BX169" s="372">
        <v>0</v>
      </c>
      <c r="BY169" s="419"/>
      <c r="BZ169" s="423">
        <f>IFERROR(IF(LEFT($A169,3)="Lcp",SUMIFS('BASE-LCP'!$K:$K,'BASE-LCP'!$A:$A,Capex!$A160,'BASE-LCP'!$B:$B,"março")/1000,IF(LEFT($A169,3)="icp",SUMIFS('BASE-ICP'!$K:$K,'BASE-ICP'!$A:$A,Capex!$A160,'BASE-ICP'!$B:$B,"março")/1000,"")),"")</f>
        <v>0</v>
      </c>
      <c r="CA169" s="427">
        <v>0</v>
      </c>
      <c r="CB169" s="372">
        <v>0</v>
      </c>
      <c r="CC169" s="422"/>
      <c r="CD169" s="423">
        <f>IFERROR(IF(LEFT($A169,3)="Lcp",SUMIFS('BASE-LCP'!$K:$K,'BASE-LCP'!$A:$A,Capex!$A160,'BASE-LCP'!$B:$B,"abril")/1000,IF(LEFT($A169,3)="icp",SUMIFS('BASE-ICP'!$K:$K,'BASE-ICP'!$A:$A,Capex!$A160,'BASE-ICP'!$B:$B,"abril")/1000,"")),"")</f>
        <v>0</v>
      </c>
      <c r="CE169" s="427">
        <v>0</v>
      </c>
      <c r="CF169" s="372">
        <v>0</v>
      </c>
      <c r="CG169" s="419"/>
      <c r="CH169" s="423">
        <v>0</v>
      </c>
      <c r="CI169" s="427">
        <v>0</v>
      </c>
      <c r="CJ169" s="372">
        <v>0</v>
      </c>
      <c r="CK169" s="419"/>
      <c r="CL169" s="423">
        <f>IFERROR(IF(LEFT($A169,3)="Lcp",SUMIFS('BASE-LCP'!$K:$K,'BASE-LCP'!$A:$A,Capex!$A160,'BASE-LCP'!$B:$B,"junho")/1000,IF(LEFT($A169,3)="icp",SUMIFS('BASE-ICP'!$K:$K,'BASE-ICP'!$A:$A,Capex!$A160,'BASE-ICP'!$B:$B,"junho")/1000,"")),"")</f>
        <v>0</v>
      </c>
      <c r="CM169" s="427">
        <v>0</v>
      </c>
      <c r="CN169" s="372"/>
      <c r="CO169" s="419"/>
      <c r="CP169" s="423">
        <f>IFERROR(IF(LEFT($A169,3)="Lcp",SUMIFS('BASE-LCP'!$K:$K,'BASE-LCP'!$A:$A,Capex!$A160,'BASE-LCP'!$B:$B,"julho")/1000,IF(LEFT($A169,3)="icp",SUMIFS('BASE-ICP'!$K:$K,'BASE-ICP'!$A:$A,Capex!$A160,'BASE-ICP'!$B:$B,"julho")/1000,"")),"")</f>
        <v>0</v>
      </c>
      <c r="CQ169" s="427">
        <v>0</v>
      </c>
      <c r="CR169" s="372"/>
      <c r="CS169" s="419"/>
      <c r="CT169" s="423">
        <f>IFERROR(IF(LEFT($A169,3)="Lcp",SUMIFS('BASE-LCP'!$K:$K,'BASE-LCP'!$A:$A,Capex!$A160,'BASE-LCP'!$B:$B,"agosto")/1000,IF(LEFT($A169,3)="icp",SUMIFS('BASE-ICP'!$K:$K,'BASE-ICP'!$A:$A,Capex!$A160,'BASE-ICP'!$B:$B,"agosto")/1000,"")),"")</f>
        <v>0</v>
      </c>
      <c r="CU169" s="427">
        <v>0</v>
      </c>
      <c r="CV169" s="372"/>
      <c r="CW169" s="419"/>
      <c r="CX169" s="423">
        <f>IFERROR(IF(LEFT($A169,3)="Lcp",SUMIFS('BASE-LCP'!$K:$K,'BASE-LCP'!$A:$A,Capex!$A160,'BASE-LCP'!$B:$B,"setembro")/1000,IF(LEFT($A169,3)="icp",SUMIFS('BASE-ICP'!$K:$K,'BASE-ICP'!$A:$A,Capex!$A160,'BASE-ICP'!$B:$B,"setembro")/1000,"")),"")</f>
        <v>0</v>
      </c>
      <c r="CY169" s="427">
        <v>0</v>
      </c>
      <c r="CZ169" s="372"/>
      <c r="DA169" s="419"/>
      <c r="DB169" s="423">
        <f>IFERROR(IF(LEFT($A169,3)="Lcp",SUMIFS('BASE-LCP'!$K:$K,'BASE-LCP'!$A:$A,Capex!$A160,'BASE-LCP'!$B:$B,"outubro")/1000,IF(LEFT($A169,3)="icp",SUMIFS('BASE-ICP'!$K:$K,'BASE-ICP'!$A:$A,Capex!$A160,'BASE-ICP'!$B:$B,"outubro")/1000,"")),"")</f>
        <v>0</v>
      </c>
      <c r="DC169" s="427">
        <v>0</v>
      </c>
      <c r="DD169" s="372"/>
      <c r="DE169" s="419"/>
      <c r="DF169" s="423">
        <f>IFERROR(IF(LEFT($A169,3)="Lcp",SUMIFS('BASE-LCP'!$K:$K,'BASE-LCP'!$A:$A,Capex!$A160,'BASE-LCP'!$B:$B,"novembro")/1000,IF(LEFT($A169,3)="icp",SUMIFS('BASE-ICP'!$K:$K,'BASE-ICP'!$A:$A,Capex!$A160,'BASE-ICP'!$B:$B,"novembro")/1000,"")),"")</f>
        <v>0</v>
      </c>
      <c r="DG169" s="427">
        <v>0</v>
      </c>
      <c r="DH169" s="372"/>
      <c r="DI169" s="419"/>
      <c r="DJ169" s="423">
        <f>IFERROR(IF(LEFT($A169,3)="Lcp",SUMIFS('BASE-LCP'!$K:$K,'BASE-LCP'!$A:$A,Capex!$A160,'BASE-LCP'!$B:$B,"dezembro")/1000,IF(LEFT($A169,3)="icp",SUMIFS('BASE-ICP'!$K:$K,'BASE-ICP'!$A:$A,Capex!$A160,'BASE-ICP'!$B:$B,"dezembro")/1000,"")),"")</f>
        <v>0</v>
      </c>
      <c r="DK169" s="427">
        <v>0</v>
      </c>
      <c r="DL169" s="452">
        <f t="shared" si="85"/>
        <v>0</v>
      </c>
      <c r="DM169" s="374"/>
      <c r="DN169" s="374"/>
      <c r="DO169" s="374"/>
      <c r="DP169" s="374"/>
      <c r="DQ169" s="374"/>
      <c r="DR169" s="374"/>
      <c r="DS169" s="374"/>
      <c r="DT169" s="374"/>
      <c r="DU169" s="374"/>
      <c r="DV169" s="374"/>
      <c r="DW169" s="374"/>
      <c r="DX169" s="374"/>
      <c r="DY169" s="450"/>
      <c r="DZ169" s="374">
        <f t="shared" si="86"/>
        <v>0</v>
      </c>
      <c r="EA169" s="216">
        <f t="shared" si="87"/>
        <v>0</v>
      </c>
      <c r="EB169" s="320">
        <f t="shared" si="88"/>
        <v>0</v>
      </c>
      <c r="EC169" s="241">
        <f t="shared" si="89"/>
        <v>0</v>
      </c>
      <c r="ED169" s="241">
        <f t="shared" si="90"/>
        <v>0</v>
      </c>
      <c r="EE169" s="241">
        <f t="shared" si="91"/>
        <v>0</v>
      </c>
      <c r="EF169" s="241">
        <f t="shared" si="92"/>
        <v>0</v>
      </c>
      <c r="EG169" s="346">
        <f t="shared" si="93"/>
        <v>0</v>
      </c>
      <c r="EH169" s="445">
        <f t="shared" si="94"/>
        <v>0</v>
      </c>
      <c r="EI169" s="447">
        <f t="shared" si="95"/>
        <v>0</v>
      </c>
      <c r="EJ169" s="364">
        <f t="shared" si="96"/>
        <v>0</v>
      </c>
      <c r="EK169" s="365">
        <f t="shared" si="97"/>
        <v>0</v>
      </c>
      <c r="EL169" s="529">
        <f t="shared" si="98"/>
        <v>0</v>
      </c>
      <c r="EM169" s="530">
        <v>0</v>
      </c>
      <c r="EN169" s="530">
        <v>0</v>
      </c>
      <c r="EO169" s="530">
        <v>0</v>
      </c>
      <c r="EP169" s="530">
        <v>0</v>
      </c>
      <c r="EQ169" s="530">
        <v>0</v>
      </c>
      <c r="ER169" s="530">
        <v>0</v>
      </c>
      <c r="ES169" s="530">
        <v>0</v>
      </c>
      <c r="ET169" s="530">
        <v>0</v>
      </c>
      <c r="EU169" s="530">
        <v>0</v>
      </c>
      <c r="EV169" s="530">
        <v>0</v>
      </c>
      <c r="EW169" s="530">
        <v>0</v>
      </c>
      <c r="EX169" s="530">
        <v>0</v>
      </c>
      <c r="EY169" s="530">
        <f t="shared" si="99"/>
        <v>0</v>
      </c>
      <c r="EZ169" s="530">
        <f t="shared" si="100"/>
        <v>0</v>
      </c>
      <c r="FA169" s="530">
        <f t="shared" si="101"/>
        <v>0</v>
      </c>
      <c r="FB169" s="530">
        <f t="shared" si="102"/>
        <v>0</v>
      </c>
      <c r="FC169" s="384">
        <f>IFERROR(VLOOKUP(Capex!A160,BASE_558!D:R,8,FALSE)/1000,"")</f>
        <v>180.01949999999999</v>
      </c>
      <c r="FD169" s="328">
        <f>IFERROR(VLOOKUP(Capex!A160,BASE_558!D:R,9,)/1000,"")</f>
        <v>151.33089000000001</v>
      </c>
      <c r="FE169" s="328">
        <f>IFERROR(IF(LEFT(A169,3)="LCP",(VLOOKUP(Capex!A160,BASE_558!D:R,10,)/1000),SUMIFS('BASE ICP_PO_SC'!F:F,'BASE ICP_PO_SC'!A:A,Capex!A160,'BASE ICP_PO_SC'!E:E,"&lt;&gt;")/1000),"")</f>
        <v>0</v>
      </c>
      <c r="FF169" s="328">
        <f>IFERROR(IF(LEFT(A169,3)="LCP",(VLOOKUP(Capex!A160,BASE_558!D:R,11,)/1000),SUMIFS('BASE ICP_PO_SC'!F:F,'BASE ICP_PO_SC'!A:A,Capex!A160,'BASE ICP_PO_SC'!E:E,"")/1000),"")</f>
        <v>0</v>
      </c>
      <c r="FG169" s="328">
        <f>IFERROR(VLOOKUP(A169,BASE_558!D:R,13,FALSE)/1000,"")</f>
        <v>525.42705000000001</v>
      </c>
      <c r="FH169" s="328">
        <f>IFERROR(VLOOKUP(A169,BASE_558!D:R,15,FALSE)/1000,"")</f>
        <v>35.072949999999999</v>
      </c>
      <c r="FI169" s="547">
        <f t="shared" si="103"/>
        <v>0</v>
      </c>
      <c r="FJ169" s="547">
        <f t="shared" si="104"/>
        <v>0</v>
      </c>
      <c r="FK169" s="540">
        <f t="shared" si="105"/>
        <v>0</v>
      </c>
    </row>
    <row r="170" spans="1:167" s="23" customFormat="1" ht="24" customHeight="1">
      <c r="A170" s="84" t="s">
        <v>261</v>
      </c>
      <c r="B170" s="404"/>
      <c r="C170" s="404"/>
      <c r="D170" s="338" t="s">
        <v>888</v>
      </c>
      <c r="E170" s="378">
        <v>2357502</v>
      </c>
      <c r="F170" s="5"/>
      <c r="G170" s="310" t="s">
        <v>9</v>
      </c>
      <c r="H170" s="356"/>
      <c r="I170" s="356"/>
      <c r="J170" s="356">
        <v>2019</v>
      </c>
      <c r="K170" s="321">
        <v>43771</v>
      </c>
      <c r="L170" s="317">
        <v>44558</v>
      </c>
      <c r="M170" s="409"/>
      <c r="N170" s="317">
        <f t="shared" si="109"/>
        <v>44683</v>
      </c>
      <c r="O170" s="317">
        <f t="shared" si="110"/>
        <v>45048</v>
      </c>
      <c r="P170" s="418" t="str">
        <f t="shared" si="113"/>
        <v>CRTD</v>
      </c>
      <c r="Q170" s="418" t="str">
        <f t="shared" si="113"/>
        <v>CRTD</v>
      </c>
      <c r="R170" s="418" t="str">
        <f t="shared" si="113"/>
        <v>CRTD</v>
      </c>
      <c r="S170" s="418" t="str">
        <f t="shared" si="113"/>
        <v>CRTD</v>
      </c>
      <c r="T170" s="418" t="str">
        <f t="shared" si="113"/>
        <v>CRTD</v>
      </c>
      <c r="U170" s="418" t="str">
        <f t="shared" si="113"/>
        <v>CRTD</v>
      </c>
      <c r="V170" s="418" t="str">
        <f t="shared" si="113"/>
        <v>CRTD</v>
      </c>
      <c r="W170" s="418" t="str">
        <f t="shared" si="113"/>
        <v>CRTD</v>
      </c>
      <c r="X170" s="418" t="str">
        <f t="shared" si="113"/>
        <v>CRTD</v>
      </c>
      <c r="Y170" s="418" t="str">
        <f t="shared" si="113"/>
        <v>CRTD</v>
      </c>
      <c r="Z170" s="418" t="str">
        <f t="shared" si="113"/>
        <v>CRTD</v>
      </c>
      <c r="AA170" s="418" t="str">
        <f t="shared" si="113"/>
        <v>CRTD</v>
      </c>
      <c r="AB170" s="317"/>
      <c r="AC170" s="309" t="s">
        <v>3932</v>
      </c>
      <c r="AD170" s="311" t="s">
        <v>222</v>
      </c>
      <c r="AE170" s="311" t="s">
        <v>981</v>
      </c>
      <c r="AF170" s="310" t="s">
        <v>6985</v>
      </c>
      <c r="AG170" s="310" t="s">
        <v>9083</v>
      </c>
      <c r="AH170" s="310" t="s">
        <v>3249</v>
      </c>
      <c r="AI170" s="381" t="s">
        <v>187</v>
      </c>
      <c r="AJ170" s="6" t="s">
        <v>218</v>
      </c>
      <c r="AK170" s="6" t="str">
        <f t="shared" si="83"/>
        <v>IGUAL</v>
      </c>
      <c r="AL170" s="151" t="str">
        <f>IFERROR(IF(LEFT(A170,3)="LCP",VLOOKUP(A170,STATUS_SAP_LCP!B:C,2,FALSE),VLOOKUP(A170,STATUS_SAP_ICP!B:C,2,FALSE)),"NO BUDGET")</f>
        <v>CLSD BUDG AUC  AVAC  //  APPR BREL EXPL</v>
      </c>
      <c r="AM170" s="6" t="str">
        <f t="shared" si="82"/>
        <v>CLSD</v>
      </c>
      <c r="AN170" s="282" t="s">
        <v>9093</v>
      </c>
      <c r="AO170" s="493">
        <v>1</v>
      </c>
      <c r="AP170" s="499" t="s">
        <v>9607</v>
      </c>
      <c r="AQ170" s="465">
        <v>44558</v>
      </c>
      <c r="AR170" s="460"/>
      <c r="AS170" s="56">
        <v>0</v>
      </c>
      <c r="AT170" s="185">
        <v>98.993009999999984</v>
      </c>
      <c r="AU170" s="318">
        <v>34.289530000000006</v>
      </c>
      <c r="AV170" s="223">
        <v>0</v>
      </c>
      <c r="AW170" s="318">
        <v>0</v>
      </c>
      <c r="AX170" s="223">
        <v>0</v>
      </c>
      <c r="AY170" s="318">
        <f t="shared" si="111"/>
        <v>0</v>
      </c>
      <c r="AZ170" s="223"/>
      <c r="BA170" s="318"/>
      <c r="BB170" s="519">
        <f t="shared" si="112"/>
        <v>0</v>
      </c>
      <c r="BC170" s="518"/>
      <c r="BD170" s="518"/>
      <c r="BE170" s="518"/>
      <c r="BF170" s="518"/>
      <c r="BG170" s="518"/>
      <c r="BH170" s="518"/>
      <c r="BI170" s="518"/>
      <c r="BJ170" s="518"/>
      <c r="BK170" s="518"/>
      <c r="BL170" s="518"/>
      <c r="BM170" s="518"/>
      <c r="BN170" s="518"/>
      <c r="BO170" s="367">
        <f t="shared" si="84"/>
        <v>0</v>
      </c>
      <c r="BP170" s="421"/>
      <c r="BQ170" s="422"/>
      <c r="BR170" s="423">
        <f>IFERROR(IF(LEFT($A170,3)="Lcp",SUMIFS('BASE-LCP'!$K:$K,'BASE-LCP'!$A:$A,Capex!$A161,'BASE-LCP'!$B:$B,"janeiro")/1000,IF(LEFT($A170,3)="icp",SUMIFS('BASE-ICP'!$K:$K,'BASE-ICP'!$A:$A,Capex!$A161,'BASE-ICP'!$B:$B,"janeiro")/1000,"")),"")</f>
        <v>0</v>
      </c>
      <c r="BS170" s="427">
        <v>0</v>
      </c>
      <c r="BT170" s="372">
        <v>0</v>
      </c>
      <c r="BU170" s="422"/>
      <c r="BV170" s="423">
        <f>IFERROR(IF(LEFT($A170,3)="Lcp",SUMIFS('BASE-LCP'!$K:$K,'BASE-LCP'!$A:$A,Capex!$A161,'BASE-LCP'!$B:$B,"fevereiro")/1000,IF(LEFT($A170,3)="icp",SUMIFS('BASE-ICP'!$K:$K,'BASE-ICP'!$A:$A,Capex!$A161,'BASE-ICP'!$B:$B,"fevereiro")/1000,"")),"")</f>
        <v>0</v>
      </c>
      <c r="BW170" s="427">
        <v>0</v>
      </c>
      <c r="BX170" s="372">
        <v>0</v>
      </c>
      <c r="BY170" s="419"/>
      <c r="BZ170" s="423">
        <f>IFERROR(IF(LEFT($A170,3)="Lcp",SUMIFS('BASE-LCP'!$K:$K,'BASE-LCP'!$A:$A,Capex!$A161,'BASE-LCP'!$B:$B,"março")/1000,IF(LEFT($A170,3)="icp",SUMIFS('BASE-ICP'!$K:$K,'BASE-ICP'!$A:$A,Capex!$A161,'BASE-ICP'!$B:$B,"março")/1000,"")),"")</f>
        <v>0</v>
      </c>
      <c r="CA170" s="427">
        <v>0</v>
      </c>
      <c r="CB170" s="372">
        <v>0</v>
      </c>
      <c r="CC170" s="422"/>
      <c r="CD170" s="423">
        <f>IFERROR(IF(LEFT($A170,3)="Lcp",SUMIFS('BASE-LCP'!$K:$K,'BASE-LCP'!$A:$A,Capex!$A161,'BASE-LCP'!$B:$B,"abril")/1000,IF(LEFT($A170,3)="icp",SUMIFS('BASE-ICP'!$K:$K,'BASE-ICP'!$A:$A,Capex!$A161,'BASE-ICP'!$B:$B,"abril")/1000,"")),"")</f>
        <v>0</v>
      </c>
      <c r="CE170" s="427">
        <v>0</v>
      </c>
      <c r="CF170" s="372">
        <v>0</v>
      </c>
      <c r="CG170" s="419"/>
      <c r="CH170" s="423">
        <v>0</v>
      </c>
      <c r="CI170" s="427">
        <v>0</v>
      </c>
      <c r="CJ170" s="372">
        <v>0</v>
      </c>
      <c r="CK170" s="419"/>
      <c r="CL170" s="423">
        <f>IFERROR(IF(LEFT($A170,3)="Lcp",SUMIFS('BASE-LCP'!$K:$K,'BASE-LCP'!$A:$A,Capex!$A161,'BASE-LCP'!$B:$B,"junho")/1000,IF(LEFT($A170,3)="icp",SUMIFS('BASE-ICP'!$K:$K,'BASE-ICP'!$A:$A,Capex!$A161,'BASE-ICP'!$B:$B,"junho")/1000,"")),"")</f>
        <v>0</v>
      </c>
      <c r="CM170" s="427">
        <v>0</v>
      </c>
      <c r="CN170" s="372"/>
      <c r="CO170" s="419"/>
      <c r="CP170" s="423">
        <f>IFERROR(IF(LEFT($A170,3)="Lcp",SUMIFS('BASE-LCP'!$K:$K,'BASE-LCP'!$A:$A,Capex!$A161,'BASE-LCP'!$B:$B,"julho")/1000,IF(LEFT($A170,3)="icp",SUMIFS('BASE-ICP'!$K:$K,'BASE-ICP'!$A:$A,Capex!$A161,'BASE-ICP'!$B:$B,"julho")/1000,"")),"")</f>
        <v>0</v>
      </c>
      <c r="CQ170" s="427">
        <v>0</v>
      </c>
      <c r="CR170" s="372"/>
      <c r="CS170" s="419"/>
      <c r="CT170" s="423">
        <f>IFERROR(IF(LEFT($A170,3)="Lcp",SUMIFS('BASE-LCP'!$K:$K,'BASE-LCP'!$A:$A,Capex!$A161,'BASE-LCP'!$B:$B,"agosto")/1000,IF(LEFT($A170,3)="icp",SUMIFS('BASE-ICP'!$K:$K,'BASE-ICP'!$A:$A,Capex!$A161,'BASE-ICP'!$B:$B,"agosto")/1000,"")),"")</f>
        <v>0</v>
      </c>
      <c r="CU170" s="427">
        <v>0</v>
      </c>
      <c r="CV170" s="372"/>
      <c r="CW170" s="419"/>
      <c r="CX170" s="423">
        <f>IFERROR(IF(LEFT($A170,3)="Lcp",SUMIFS('BASE-LCP'!$K:$K,'BASE-LCP'!$A:$A,Capex!$A161,'BASE-LCP'!$B:$B,"setembro")/1000,IF(LEFT($A170,3)="icp",SUMIFS('BASE-ICP'!$K:$K,'BASE-ICP'!$A:$A,Capex!$A161,'BASE-ICP'!$B:$B,"setembro")/1000,"")),"")</f>
        <v>0</v>
      </c>
      <c r="CY170" s="427">
        <v>0</v>
      </c>
      <c r="CZ170" s="372"/>
      <c r="DA170" s="419"/>
      <c r="DB170" s="423">
        <f>IFERROR(IF(LEFT($A170,3)="Lcp",SUMIFS('BASE-LCP'!$K:$K,'BASE-LCP'!$A:$A,Capex!$A161,'BASE-LCP'!$B:$B,"outubro")/1000,IF(LEFT($A170,3)="icp",SUMIFS('BASE-ICP'!$K:$K,'BASE-ICP'!$A:$A,Capex!$A161,'BASE-ICP'!$B:$B,"outubro")/1000,"")),"")</f>
        <v>0</v>
      </c>
      <c r="DC170" s="427">
        <v>0</v>
      </c>
      <c r="DD170" s="372"/>
      <c r="DE170" s="419"/>
      <c r="DF170" s="423">
        <f>IFERROR(IF(LEFT($A170,3)="Lcp",SUMIFS('BASE-LCP'!$K:$K,'BASE-LCP'!$A:$A,Capex!$A161,'BASE-LCP'!$B:$B,"novembro")/1000,IF(LEFT($A170,3)="icp",SUMIFS('BASE-ICP'!$K:$K,'BASE-ICP'!$A:$A,Capex!$A161,'BASE-ICP'!$B:$B,"novembro")/1000,"")),"")</f>
        <v>0</v>
      </c>
      <c r="DG170" s="427">
        <v>0</v>
      </c>
      <c r="DH170" s="372"/>
      <c r="DI170" s="419"/>
      <c r="DJ170" s="423">
        <f>IFERROR(IF(LEFT($A170,3)="Lcp",SUMIFS('BASE-LCP'!$K:$K,'BASE-LCP'!$A:$A,Capex!$A161,'BASE-LCP'!$B:$B,"dezembro")/1000,IF(LEFT($A170,3)="icp",SUMIFS('BASE-ICP'!$K:$K,'BASE-ICP'!$A:$A,Capex!$A161,'BASE-ICP'!$B:$B,"dezembro")/1000,"")),"")</f>
        <v>0</v>
      </c>
      <c r="DK170" s="427">
        <v>0</v>
      </c>
      <c r="DL170" s="452">
        <f t="shared" si="85"/>
        <v>0</v>
      </c>
      <c r="DM170" s="374"/>
      <c r="DN170" s="374"/>
      <c r="DO170" s="374"/>
      <c r="DP170" s="374"/>
      <c r="DQ170" s="374"/>
      <c r="DR170" s="374"/>
      <c r="DS170" s="374"/>
      <c r="DT170" s="374"/>
      <c r="DU170" s="374"/>
      <c r="DV170" s="374"/>
      <c r="DW170" s="374"/>
      <c r="DX170" s="374"/>
      <c r="DY170" s="450"/>
      <c r="DZ170" s="374">
        <f t="shared" si="86"/>
        <v>0</v>
      </c>
      <c r="EA170" s="216">
        <f t="shared" si="87"/>
        <v>0</v>
      </c>
      <c r="EB170" s="320">
        <f t="shared" si="88"/>
        <v>0</v>
      </c>
      <c r="EC170" s="241">
        <f t="shared" si="89"/>
        <v>0</v>
      </c>
      <c r="ED170" s="241">
        <f t="shared" si="90"/>
        <v>0</v>
      </c>
      <c r="EE170" s="241">
        <f t="shared" si="91"/>
        <v>0</v>
      </c>
      <c r="EF170" s="241">
        <f t="shared" si="92"/>
        <v>0</v>
      </c>
      <c r="EG170" s="346">
        <f t="shared" si="93"/>
        <v>0</v>
      </c>
      <c r="EH170" s="445">
        <f t="shared" si="94"/>
        <v>0</v>
      </c>
      <c r="EI170" s="447">
        <f t="shared" si="95"/>
        <v>0</v>
      </c>
      <c r="EJ170" s="364">
        <f t="shared" si="96"/>
        <v>0</v>
      </c>
      <c r="EK170" s="365">
        <f t="shared" si="97"/>
        <v>0</v>
      </c>
      <c r="EL170" s="529">
        <f t="shared" si="98"/>
        <v>0</v>
      </c>
      <c r="EM170" s="530">
        <v>0</v>
      </c>
      <c r="EN170" s="530">
        <v>0</v>
      </c>
      <c r="EO170" s="530">
        <v>0</v>
      </c>
      <c r="EP170" s="530">
        <v>0</v>
      </c>
      <c r="EQ170" s="530">
        <v>0</v>
      </c>
      <c r="ER170" s="530">
        <v>0</v>
      </c>
      <c r="ES170" s="530">
        <v>0</v>
      </c>
      <c r="ET170" s="530">
        <v>0</v>
      </c>
      <c r="EU170" s="530">
        <v>0</v>
      </c>
      <c r="EV170" s="530">
        <v>0</v>
      </c>
      <c r="EW170" s="530">
        <v>0</v>
      </c>
      <c r="EX170" s="530">
        <v>0</v>
      </c>
      <c r="EY170" s="530">
        <f t="shared" si="99"/>
        <v>0</v>
      </c>
      <c r="EZ170" s="530">
        <f t="shared" si="100"/>
        <v>0</v>
      </c>
      <c r="FA170" s="530">
        <f t="shared" si="101"/>
        <v>0</v>
      </c>
      <c r="FB170" s="530">
        <f t="shared" si="102"/>
        <v>0</v>
      </c>
      <c r="FC170" s="384">
        <f>IFERROR(VLOOKUP(Capex!A161,BASE_558!D:R,8,FALSE)/1000,"")</f>
        <v>445.88299999999998</v>
      </c>
      <c r="FD170" s="328">
        <f>IFERROR(VLOOKUP(Capex!A161,BASE_558!D:R,9,)/1000,"")</f>
        <v>395.05101999999999</v>
      </c>
      <c r="FE170" s="328">
        <f>IFERROR(IF(LEFT(A170,3)="LCP",(VLOOKUP(Capex!A161,BASE_558!D:R,10,)/1000),SUMIFS('BASE ICP_PO_SC'!F:F,'BASE ICP_PO_SC'!A:A,Capex!A161,'BASE ICP_PO_SC'!E:E,"&lt;&gt;")/1000),"")</f>
        <v>0</v>
      </c>
      <c r="FF170" s="328">
        <f>IFERROR(IF(LEFT(A170,3)="LCP",(VLOOKUP(Capex!A161,BASE_558!D:R,11,)/1000),SUMIFS('BASE ICP_PO_SC'!F:F,'BASE ICP_PO_SC'!A:A,Capex!A161,'BASE ICP_PO_SC'!E:E,"")/1000),"")</f>
        <v>0</v>
      </c>
      <c r="FG170" s="328">
        <f>IFERROR(VLOOKUP(A170,BASE_558!D:R,13,FALSE)/1000,"")</f>
        <v>133.28254000000001</v>
      </c>
      <c r="FH170" s="328">
        <f>IFERROR(VLOOKUP(A170,BASE_558!D:R,15,FALSE)/1000,"")</f>
        <v>5.5864599999999998</v>
      </c>
      <c r="FI170" s="547">
        <f t="shared" si="103"/>
        <v>0</v>
      </c>
      <c r="FJ170" s="547">
        <f t="shared" si="104"/>
        <v>0</v>
      </c>
      <c r="FK170" s="540">
        <f t="shared" si="105"/>
        <v>0</v>
      </c>
    </row>
    <row r="171" spans="1:167" s="23" customFormat="1" ht="24" customHeight="1">
      <c r="A171" s="84" t="s">
        <v>269</v>
      </c>
      <c r="B171" s="404"/>
      <c r="C171" s="404"/>
      <c r="D171" s="338" t="s">
        <v>895</v>
      </c>
      <c r="E171" s="378">
        <v>2368666</v>
      </c>
      <c r="F171" s="5"/>
      <c r="G171" s="310" t="s">
        <v>9</v>
      </c>
      <c r="H171" s="356"/>
      <c r="I171" s="356"/>
      <c r="J171" s="356">
        <v>2019</v>
      </c>
      <c r="K171" s="321">
        <v>43771</v>
      </c>
      <c r="L171" s="317">
        <v>44343</v>
      </c>
      <c r="M171" s="409"/>
      <c r="N171" s="317">
        <f t="shared" si="109"/>
        <v>44683</v>
      </c>
      <c r="O171" s="317">
        <f t="shared" si="110"/>
        <v>45048</v>
      </c>
      <c r="P171" s="418" t="str">
        <f t="shared" si="113"/>
        <v>CRTD</v>
      </c>
      <c r="Q171" s="418" t="str">
        <f t="shared" si="113"/>
        <v>CRTD</v>
      </c>
      <c r="R171" s="418" t="str">
        <f t="shared" si="113"/>
        <v>CRTD</v>
      </c>
      <c r="S171" s="418" t="str">
        <f t="shared" si="113"/>
        <v>CRTD</v>
      </c>
      <c r="T171" s="418" t="str">
        <f t="shared" si="113"/>
        <v>CRTD</v>
      </c>
      <c r="U171" s="418" t="str">
        <f t="shared" si="113"/>
        <v>CRTD</v>
      </c>
      <c r="V171" s="418" t="str">
        <f t="shared" si="113"/>
        <v>CRTD</v>
      </c>
      <c r="W171" s="418" t="str">
        <f t="shared" si="113"/>
        <v>CRTD</v>
      </c>
      <c r="X171" s="418" t="str">
        <f t="shared" si="113"/>
        <v>CRTD</v>
      </c>
      <c r="Y171" s="418" t="str">
        <f t="shared" si="113"/>
        <v>CRTD</v>
      </c>
      <c r="Z171" s="418" t="str">
        <f t="shared" si="113"/>
        <v>CRTD</v>
      </c>
      <c r="AA171" s="418" t="str">
        <f t="shared" si="113"/>
        <v>CRTD</v>
      </c>
      <c r="AB171" s="317"/>
      <c r="AC171" s="309" t="s">
        <v>3932</v>
      </c>
      <c r="AD171" s="311" t="s">
        <v>222</v>
      </c>
      <c r="AE171" s="311" t="s">
        <v>979</v>
      </c>
      <c r="AF171" s="310" t="s">
        <v>6985</v>
      </c>
      <c r="AG171" s="310" t="s">
        <v>9083</v>
      </c>
      <c r="AH171" s="310" t="s">
        <v>271</v>
      </c>
      <c r="AI171" s="381" t="s">
        <v>2255</v>
      </c>
      <c r="AJ171" s="6" t="s">
        <v>218</v>
      </c>
      <c r="AK171" s="6" t="str">
        <f t="shared" si="83"/>
        <v>IGUAL</v>
      </c>
      <c r="AL171" s="151" t="str">
        <f>IFERROR(IF(LEFT(A171,3)="LCP",VLOOKUP(A171,STATUS_SAP_LCP!B:C,2,FALSE),VLOOKUP(A171,STATUS_SAP_ICP!B:C,2,FALSE)),"NO BUDGET")</f>
        <v>CLSD BUDG AUC  AVAC  //  APPR BREL EXPL</v>
      </c>
      <c r="AM171" s="6" t="str">
        <f t="shared" si="82"/>
        <v>CLSD</v>
      </c>
      <c r="AN171" s="282" t="s">
        <v>9093</v>
      </c>
      <c r="AO171" s="493">
        <v>1</v>
      </c>
      <c r="AP171" s="499" t="s">
        <v>9607</v>
      </c>
      <c r="AQ171" s="465">
        <v>44343</v>
      </c>
      <c r="AR171" s="460"/>
      <c r="AS171" s="56">
        <v>0</v>
      </c>
      <c r="AT171" s="185">
        <v>96.49378999999999</v>
      </c>
      <c r="AU171" s="318">
        <v>3.8177699999999999</v>
      </c>
      <c r="AV171" s="223">
        <v>0</v>
      </c>
      <c r="AW171" s="318">
        <v>0</v>
      </c>
      <c r="AX171" s="223">
        <v>0</v>
      </c>
      <c r="AY171" s="318">
        <f t="shared" si="111"/>
        <v>0</v>
      </c>
      <c r="AZ171" s="223"/>
      <c r="BA171" s="318"/>
      <c r="BB171" s="519">
        <f t="shared" si="112"/>
        <v>0</v>
      </c>
      <c r="BC171" s="518"/>
      <c r="BD171" s="518"/>
      <c r="BE171" s="518"/>
      <c r="BF171" s="518"/>
      <c r="BG171" s="518"/>
      <c r="BH171" s="518"/>
      <c r="BI171" s="518"/>
      <c r="BJ171" s="518"/>
      <c r="BK171" s="518"/>
      <c r="BL171" s="518"/>
      <c r="BM171" s="518"/>
      <c r="BN171" s="518"/>
      <c r="BO171" s="367">
        <f t="shared" si="84"/>
        <v>0</v>
      </c>
      <c r="BP171" s="421"/>
      <c r="BQ171" s="422"/>
      <c r="BR171" s="423">
        <f>IFERROR(IF(LEFT($A171,3)="Lcp",SUMIFS('BASE-LCP'!$K:$K,'BASE-LCP'!$A:$A,Capex!$A163,'BASE-LCP'!$B:$B,"janeiro")/1000,IF(LEFT($A171,3)="icp",SUMIFS('BASE-ICP'!$K:$K,'BASE-ICP'!$A:$A,Capex!$A163,'BASE-ICP'!$B:$B,"janeiro")/1000,"")),"")</f>
        <v>0</v>
      </c>
      <c r="BS171" s="427">
        <v>0</v>
      </c>
      <c r="BT171" s="372">
        <v>0</v>
      </c>
      <c r="BU171" s="422"/>
      <c r="BV171" s="423">
        <f>IFERROR(IF(LEFT($A171,3)="Lcp",SUMIFS('BASE-LCP'!$K:$K,'BASE-LCP'!$A:$A,Capex!$A163,'BASE-LCP'!$B:$B,"fevereiro")/1000,IF(LEFT($A171,3)="icp",SUMIFS('BASE-ICP'!$K:$K,'BASE-ICP'!$A:$A,Capex!$A163,'BASE-ICP'!$B:$B,"fevereiro")/1000,"")),"")</f>
        <v>0</v>
      </c>
      <c r="BW171" s="427">
        <v>0</v>
      </c>
      <c r="BX171" s="372">
        <v>0</v>
      </c>
      <c r="BY171" s="419"/>
      <c r="BZ171" s="423">
        <f>IFERROR(IF(LEFT($A171,3)="Lcp",SUMIFS('BASE-LCP'!$K:$K,'BASE-LCP'!$A:$A,Capex!$A163,'BASE-LCP'!$B:$B,"março")/1000,IF(LEFT($A171,3)="icp",SUMIFS('BASE-ICP'!$K:$K,'BASE-ICP'!$A:$A,Capex!$A163,'BASE-ICP'!$B:$B,"março")/1000,"")),"")</f>
        <v>0</v>
      </c>
      <c r="CA171" s="427">
        <v>0</v>
      </c>
      <c r="CB171" s="372">
        <v>0</v>
      </c>
      <c r="CC171" s="422"/>
      <c r="CD171" s="423">
        <f>IFERROR(IF(LEFT($A171,3)="Lcp",SUMIFS('BASE-LCP'!$K:$K,'BASE-LCP'!$A:$A,Capex!$A163,'BASE-LCP'!$B:$B,"abril")/1000,IF(LEFT($A171,3)="icp",SUMIFS('BASE-ICP'!$K:$K,'BASE-ICP'!$A:$A,Capex!$A163,'BASE-ICP'!$B:$B,"abril")/1000,"")),"")</f>
        <v>0</v>
      </c>
      <c r="CE171" s="427">
        <v>0</v>
      </c>
      <c r="CF171" s="372">
        <v>0</v>
      </c>
      <c r="CG171" s="419"/>
      <c r="CH171" s="423">
        <v>0</v>
      </c>
      <c r="CI171" s="427">
        <v>0</v>
      </c>
      <c r="CJ171" s="372">
        <v>0</v>
      </c>
      <c r="CK171" s="419"/>
      <c r="CL171" s="423">
        <f>IFERROR(IF(LEFT($A171,3)="Lcp",SUMIFS('BASE-LCP'!$K:$K,'BASE-LCP'!$A:$A,Capex!$A163,'BASE-LCP'!$B:$B,"junho")/1000,IF(LEFT($A171,3)="icp",SUMIFS('BASE-ICP'!$K:$K,'BASE-ICP'!$A:$A,Capex!$A163,'BASE-ICP'!$B:$B,"junho")/1000,"")),"")</f>
        <v>0</v>
      </c>
      <c r="CM171" s="427">
        <v>0</v>
      </c>
      <c r="CN171" s="372"/>
      <c r="CO171" s="419"/>
      <c r="CP171" s="423">
        <f>IFERROR(IF(LEFT($A171,3)="Lcp",SUMIFS('BASE-LCP'!$K:$K,'BASE-LCP'!$A:$A,Capex!$A163,'BASE-LCP'!$B:$B,"julho")/1000,IF(LEFT($A171,3)="icp",SUMIFS('BASE-ICP'!$K:$K,'BASE-ICP'!$A:$A,Capex!$A163,'BASE-ICP'!$B:$B,"julho")/1000,"")),"")</f>
        <v>0</v>
      </c>
      <c r="CQ171" s="427">
        <v>0</v>
      </c>
      <c r="CR171" s="372"/>
      <c r="CS171" s="419"/>
      <c r="CT171" s="423">
        <f>IFERROR(IF(LEFT($A171,3)="Lcp",SUMIFS('BASE-LCP'!$K:$K,'BASE-LCP'!$A:$A,Capex!$A163,'BASE-LCP'!$B:$B,"agosto")/1000,IF(LEFT($A171,3)="icp",SUMIFS('BASE-ICP'!$K:$K,'BASE-ICP'!$A:$A,Capex!$A163,'BASE-ICP'!$B:$B,"agosto")/1000,"")),"")</f>
        <v>0</v>
      </c>
      <c r="CU171" s="427">
        <v>0</v>
      </c>
      <c r="CV171" s="372"/>
      <c r="CW171" s="419"/>
      <c r="CX171" s="423">
        <f>IFERROR(IF(LEFT($A171,3)="Lcp",SUMIFS('BASE-LCP'!$K:$K,'BASE-LCP'!$A:$A,Capex!$A163,'BASE-LCP'!$B:$B,"setembro")/1000,IF(LEFT($A171,3)="icp",SUMIFS('BASE-ICP'!$K:$K,'BASE-ICP'!$A:$A,Capex!$A163,'BASE-ICP'!$B:$B,"setembro")/1000,"")),"")</f>
        <v>0</v>
      </c>
      <c r="CY171" s="427">
        <v>0</v>
      </c>
      <c r="CZ171" s="372"/>
      <c r="DA171" s="419"/>
      <c r="DB171" s="423">
        <f>IFERROR(IF(LEFT($A171,3)="Lcp",SUMIFS('BASE-LCP'!$K:$K,'BASE-LCP'!$A:$A,Capex!$A163,'BASE-LCP'!$B:$B,"outubro")/1000,IF(LEFT($A171,3)="icp",SUMIFS('BASE-ICP'!$K:$K,'BASE-ICP'!$A:$A,Capex!$A163,'BASE-ICP'!$B:$B,"outubro")/1000,"")),"")</f>
        <v>0</v>
      </c>
      <c r="DC171" s="427">
        <v>0</v>
      </c>
      <c r="DD171" s="372"/>
      <c r="DE171" s="419"/>
      <c r="DF171" s="423">
        <f>IFERROR(IF(LEFT($A171,3)="Lcp",SUMIFS('BASE-LCP'!$K:$K,'BASE-LCP'!$A:$A,Capex!$A163,'BASE-LCP'!$B:$B,"novembro")/1000,IF(LEFT($A171,3)="icp",SUMIFS('BASE-ICP'!$K:$K,'BASE-ICP'!$A:$A,Capex!$A163,'BASE-ICP'!$B:$B,"novembro")/1000,"")),"")</f>
        <v>0</v>
      </c>
      <c r="DG171" s="427">
        <v>0</v>
      </c>
      <c r="DH171" s="372"/>
      <c r="DI171" s="419"/>
      <c r="DJ171" s="423">
        <f>IFERROR(IF(LEFT($A171,3)="Lcp",SUMIFS('BASE-LCP'!$K:$K,'BASE-LCP'!$A:$A,Capex!$A163,'BASE-LCP'!$B:$B,"dezembro")/1000,IF(LEFT($A171,3)="icp",SUMIFS('BASE-ICP'!$K:$K,'BASE-ICP'!$A:$A,Capex!$A163,'BASE-ICP'!$B:$B,"dezembro")/1000,"")),"")</f>
        <v>0</v>
      </c>
      <c r="DK171" s="427">
        <v>0</v>
      </c>
      <c r="DL171" s="452">
        <f t="shared" si="85"/>
        <v>0</v>
      </c>
      <c r="DM171" s="374"/>
      <c r="DN171" s="374"/>
      <c r="DO171" s="374"/>
      <c r="DP171" s="374"/>
      <c r="DQ171" s="374"/>
      <c r="DR171" s="374"/>
      <c r="DS171" s="374"/>
      <c r="DT171" s="374"/>
      <c r="DU171" s="374"/>
      <c r="DV171" s="374"/>
      <c r="DW171" s="374"/>
      <c r="DX171" s="374"/>
      <c r="DY171" s="450"/>
      <c r="DZ171" s="374">
        <f t="shared" si="86"/>
        <v>0</v>
      </c>
      <c r="EA171" s="216">
        <f t="shared" si="87"/>
        <v>0</v>
      </c>
      <c r="EB171" s="320">
        <f t="shared" si="88"/>
        <v>0</v>
      </c>
      <c r="EC171" s="241">
        <f t="shared" si="89"/>
        <v>0</v>
      </c>
      <c r="ED171" s="241">
        <f t="shared" si="90"/>
        <v>0</v>
      </c>
      <c r="EE171" s="241">
        <f t="shared" si="91"/>
        <v>0</v>
      </c>
      <c r="EF171" s="241">
        <f t="shared" si="92"/>
        <v>0</v>
      </c>
      <c r="EG171" s="346">
        <f t="shared" si="93"/>
        <v>0</v>
      </c>
      <c r="EH171" s="445">
        <f t="shared" si="94"/>
        <v>0</v>
      </c>
      <c r="EI171" s="447">
        <f t="shared" si="95"/>
        <v>0</v>
      </c>
      <c r="EJ171" s="364">
        <f t="shared" si="96"/>
        <v>0</v>
      </c>
      <c r="EK171" s="365">
        <f t="shared" si="97"/>
        <v>0</v>
      </c>
      <c r="EL171" s="529">
        <f t="shared" si="98"/>
        <v>0</v>
      </c>
      <c r="EM171" s="530">
        <v>0</v>
      </c>
      <c r="EN171" s="530">
        <v>0</v>
      </c>
      <c r="EO171" s="530">
        <v>0</v>
      </c>
      <c r="EP171" s="530">
        <v>0</v>
      </c>
      <c r="EQ171" s="530">
        <v>0</v>
      </c>
      <c r="ER171" s="530">
        <v>0</v>
      </c>
      <c r="ES171" s="530">
        <v>0</v>
      </c>
      <c r="ET171" s="530">
        <v>0</v>
      </c>
      <c r="EU171" s="530">
        <v>0</v>
      </c>
      <c r="EV171" s="530">
        <v>0</v>
      </c>
      <c r="EW171" s="530">
        <v>0</v>
      </c>
      <c r="EX171" s="530">
        <v>0</v>
      </c>
      <c r="EY171" s="530">
        <f t="shared" si="99"/>
        <v>0</v>
      </c>
      <c r="EZ171" s="530">
        <f t="shared" si="100"/>
        <v>0</v>
      </c>
      <c r="FA171" s="530">
        <f t="shared" si="101"/>
        <v>0</v>
      </c>
      <c r="FB171" s="530">
        <f t="shared" si="102"/>
        <v>0</v>
      </c>
      <c r="FC171" s="384">
        <f>IFERROR(VLOOKUP(Capex!A163,BASE_558!D:R,8,FALSE)/1000,"")</f>
        <v>1490</v>
      </c>
      <c r="FD171" s="328">
        <f>IFERROR(VLOOKUP(Capex!A163,BASE_558!D:R,9,)/1000,"")</f>
        <v>1350.95208</v>
      </c>
      <c r="FE171" s="328">
        <f>IFERROR(IF(LEFT(A171,3)="LCP",(VLOOKUP(Capex!A163,BASE_558!D:R,10,)/1000),SUMIFS('BASE ICP_PO_SC'!F:F,'BASE ICP_PO_SC'!A:A,Capex!A163,'BASE ICP_PO_SC'!E:E,"&lt;&gt;")/1000),"")</f>
        <v>0</v>
      </c>
      <c r="FF171" s="328">
        <f>IFERROR(IF(LEFT(A171,3)="LCP",(VLOOKUP(Capex!A163,BASE_558!D:R,11,)/1000),SUMIFS('BASE ICP_PO_SC'!F:F,'BASE ICP_PO_SC'!A:A,Capex!A163,'BASE ICP_PO_SC'!E:E,"")/1000),"")</f>
        <v>0</v>
      </c>
      <c r="FG171" s="328">
        <f>IFERROR(VLOOKUP(A171,BASE_558!D:R,13,FALSE)/1000,"")</f>
        <v>100.31156</v>
      </c>
      <c r="FH171" s="328">
        <f>IFERROR(VLOOKUP(A171,BASE_558!D:R,15,FALSE)/1000,"")</f>
        <v>19.68844</v>
      </c>
      <c r="FI171" s="547">
        <f t="shared" si="103"/>
        <v>0</v>
      </c>
      <c r="FJ171" s="547">
        <f t="shared" si="104"/>
        <v>0</v>
      </c>
      <c r="FK171" s="540">
        <f t="shared" si="105"/>
        <v>0</v>
      </c>
    </row>
    <row r="172" spans="1:167" s="23" customFormat="1" ht="24" customHeight="1">
      <c r="A172" s="84" t="s">
        <v>274</v>
      </c>
      <c r="B172" s="404"/>
      <c r="C172" s="404"/>
      <c r="D172" s="338" t="s">
        <v>898</v>
      </c>
      <c r="E172" s="378">
        <v>2421971</v>
      </c>
      <c r="F172" s="5"/>
      <c r="G172" s="310" t="s">
        <v>9</v>
      </c>
      <c r="H172" s="356"/>
      <c r="I172" s="356"/>
      <c r="J172" s="356">
        <v>2019</v>
      </c>
      <c r="K172" s="321">
        <v>43804</v>
      </c>
      <c r="L172" s="317">
        <v>44364</v>
      </c>
      <c r="M172" s="409"/>
      <c r="N172" s="317">
        <f t="shared" si="109"/>
        <v>44716</v>
      </c>
      <c r="O172" s="317">
        <f t="shared" si="110"/>
        <v>45081</v>
      </c>
      <c r="P172" s="418" t="str">
        <f t="shared" si="113"/>
        <v>CRTD</v>
      </c>
      <c r="Q172" s="418" t="str">
        <f t="shared" si="113"/>
        <v>CRTD</v>
      </c>
      <c r="R172" s="418" t="str">
        <f t="shared" si="113"/>
        <v>CRTD</v>
      </c>
      <c r="S172" s="418" t="str">
        <f t="shared" si="113"/>
        <v>CRTD</v>
      </c>
      <c r="T172" s="418" t="str">
        <f t="shared" si="113"/>
        <v>CRTD</v>
      </c>
      <c r="U172" s="418" t="str">
        <f t="shared" si="113"/>
        <v>CRTD</v>
      </c>
      <c r="V172" s="418" t="str">
        <f t="shared" si="113"/>
        <v>CRTD</v>
      </c>
      <c r="W172" s="418" t="str">
        <f t="shared" si="113"/>
        <v>CRTD</v>
      </c>
      <c r="X172" s="418" t="str">
        <f t="shared" si="113"/>
        <v>CRTD</v>
      </c>
      <c r="Y172" s="418" t="str">
        <f t="shared" si="113"/>
        <v>CRTD</v>
      </c>
      <c r="Z172" s="418" t="str">
        <f t="shared" si="113"/>
        <v>CRTD</v>
      </c>
      <c r="AA172" s="418" t="str">
        <f t="shared" si="113"/>
        <v>CRTD</v>
      </c>
      <c r="AB172" s="350"/>
      <c r="AC172" s="309" t="s">
        <v>3932</v>
      </c>
      <c r="AD172" s="311" t="s">
        <v>5</v>
      </c>
      <c r="AE172" s="382"/>
      <c r="AF172" s="310" t="s">
        <v>6985</v>
      </c>
      <c r="AG172" s="310" t="s">
        <v>9083</v>
      </c>
      <c r="AH172" s="310" t="s">
        <v>3250</v>
      </c>
      <c r="AI172" s="381" t="s">
        <v>2255</v>
      </c>
      <c r="AJ172" s="6" t="s">
        <v>218</v>
      </c>
      <c r="AK172" s="6" t="str">
        <f t="shared" si="83"/>
        <v>IGUAL</v>
      </c>
      <c r="AL172" s="151" t="str">
        <f>IFERROR(IF(LEFT(A172,3)="LCP",VLOOKUP(A172,STATUS_SAP_LCP!B:C,2,FALSE),VLOOKUP(A172,STATUS_SAP_ICP!B:C,2,FALSE)),"NO BUDGET")</f>
        <v>CLSD BUDG AUC  AVAC  //  APPR BREL EXPL</v>
      </c>
      <c r="AM172" s="6" t="str">
        <f t="shared" si="82"/>
        <v>CLSD</v>
      </c>
      <c r="AN172" s="282" t="s">
        <v>9085</v>
      </c>
      <c r="AO172" s="493">
        <v>1</v>
      </c>
      <c r="AP172" s="499" t="s">
        <v>9607</v>
      </c>
      <c r="AQ172" s="465">
        <v>44364</v>
      </c>
      <c r="AR172" s="460"/>
      <c r="AS172" s="56">
        <v>150.19739999999999</v>
      </c>
      <c r="AT172" s="185">
        <v>47.090540000000004</v>
      </c>
      <c r="AU172" s="318">
        <v>0</v>
      </c>
      <c r="AV172" s="223">
        <v>0</v>
      </c>
      <c r="AW172" s="318">
        <v>0</v>
      </c>
      <c r="AX172" s="223">
        <v>0</v>
      </c>
      <c r="AY172" s="318">
        <f t="shared" si="111"/>
        <v>0</v>
      </c>
      <c r="AZ172" s="223"/>
      <c r="BA172" s="318"/>
      <c r="BB172" s="519">
        <f t="shared" si="112"/>
        <v>0</v>
      </c>
      <c r="BC172" s="518"/>
      <c r="BD172" s="518"/>
      <c r="BE172" s="518"/>
      <c r="BF172" s="518"/>
      <c r="BG172" s="518"/>
      <c r="BH172" s="518"/>
      <c r="BI172" s="518"/>
      <c r="BJ172" s="518"/>
      <c r="BK172" s="518"/>
      <c r="BL172" s="518"/>
      <c r="BM172" s="518"/>
      <c r="BN172" s="518"/>
      <c r="BO172" s="367">
        <f t="shared" si="84"/>
        <v>0</v>
      </c>
      <c r="BP172" s="421"/>
      <c r="BQ172" s="422"/>
      <c r="BR172" s="423">
        <f>IFERROR(IF(LEFT($A172,3)="Lcp",SUMIFS('BASE-LCP'!$K:$K,'BASE-LCP'!$A:$A,Capex!$A164,'BASE-LCP'!$B:$B,"janeiro")/1000,IF(LEFT($A172,3)="icp",SUMIFS('BASE-ICP'!$K:$K,'BASE-ICP'!$A:$A,Capex!$A164,'BASE-ICP'!$B:$B,"janeiro")/1000,"")),"")</f>
        <v>0</v>
      </c>
      <c r="BS172" s="427">
        <v>0</v>
      </c>
      <c r="BT172" s="372">
        <v>0</v>
      </c>
      <c r="BU172" s="422"/>
      <c r="BV172" s="423">
        <f>IFERROR(IF(LEFT($A172,3)="Lcp",SUMIFS('BASE-LCP'!$K:$K,'BASE-LCP'!$A:$A,Capex!$A164,'BASE-LCP'!$B:$B,"fevereiro")/1000,IF(LEFT($A172,3)="icp",SUMIFS('BASE-ICP'!$K:$K,'BASE-ICP'!$A:$A,Capex!$A164,'BASE-ICP'!$B:$B,"fevereiro")/1000,"")),"")</f>
        <v>0</v>
      </c>
      <c r="BW172" s="427">
        <v>0</v>
      </c>
      <c r="BX172" s="372">
        <v>0</v>
      </c>
      <c r="BY172" s="419"/>
      <c r="BZ172" s="423">
        <f>IFERROR(IF(LEFT($A172,3)="Lcp",SUMIFS('BASE-LCP'!$K:$K,'BASE-LCP'!$A:$A,Capex!$A164,'BASE-LCP'!$B:$B,"março")/1000,IF(LEFT($A172,3)="icp",SUMIFS('BASE-ICP'!$K:$K,'BASE-ICP'!$A:$A,Capex!$A164,'BASE-ICP'!$B:$B,"março")/1000,"")),"")</f>
        <v>0</v>
      </c>
      <c r="CA172" s="427">
        <v>0</v>
      </c>
      <c r="CB172" s="372">
        <v>0</v>
      </c>
      <c r="CC172" s="422"/>
      <c r="CD172" s="423">
        <f>IFERROR(IF(LEFT($A172,3)="Lcp",SUMIFS('BASE-LCP'!$K:$K,'BASE-LCP'!$A:$A,Capex!$A164,'BASE-LCP'!$B:$B,"abril")/1000,IF(LEFT($A172,3)="icp",SUMIFS('BASE-ICP'!$K:$K,'BASE-ICP'!$A:$A,Capex!$A164,'BASE-ICP'!$B:$B,"abril")/1000,"")),"")</f>
        <v>0</v>
      </c>
      <c r="CE172" s="427">
        <v>0</v>
      </c>
      <c r="CF172" s="372">
        <v>0</v>
      </c>
      <c r="CG172" s="419"/>
      <c r="CH172" s="423">
        <v>0</v>
      </c>
      <c r="CI172" s="427">
        <v>0</v>
      </c>
      <c r="CJ172" s="372">
        <v>0</v>
      </c>
      <c r="CK172" s="419"/>
      <c r="CL172" s="423">
        <f>IFERROR(IF(LEFT($A172,3)="Lcp",SUMIFS('BASE-LCP'!$K:$K,'BASE-LCP'!$A:$A,Capex!$A164,'BASE-LCP'!$B:$B,"junho")/1000,IF(LEFT($A172,3)="icp",SUMIFS('BASE-ICP'!$K:$K,'BASE-ICP'!$A:$A,Capex!$A164,'BASE-ICP'!$B:$B,"junho")/1000,"")),"")</f>
        <v>0</v>
      </c>
      <c r="CM172" s="427">
        <v>0</v>
      </c>
      <c r="CN172" s="372"/>
      <c r="CO172" s="419"/>
      <c r="CP172" s="423">
        <f>IFERROR(IF(LEFT($A172,3)="Lcp",SUMIFS('BASE-LCP'!$K:$K,'BASE-LCP'!$A:$A,Capex!$A164,'BASE-LCP'!$B:$B,"julho")/1000,IF(LEFT($A172,3)="icp",SUMIFS('BASE-ICP'!$K:$K,'BASE-ICP'!$A:$A,Capex!$A164,'BASE-ICP'!$B:$B,"julho")/1000,"")),"")</f>
        <v>0</v>
      </c>
      <c r="CQ172" s="427">
        <v>0</v>
      </c>
      <c r="CR172" s="372"/>
      <c r="CS172" s="419"/>
      <c r="CT172" s="423">
        <f>IFERROR(IF(LEFT($A172,3)="Lcp",SUMIFS('BASE-LCP'!$K:$K,'BASE-LCP'!$A:$A,Capex!$A164,'BASE-LCP'!$B:$B,"agosto")/1000,IF(LEFT($A172,3)="icp",SUMIFS('BASE-ICP'!$K:$K,'BASE-ICP'!$A:$A,Capex!$A164,'BASE-ICP'!$B:$B,"agosto")/1000,"")),"")</f>
        <v>0</v>
      </c>
      <c r="CU172" s="427">
        <v>0</v>
      </c>
      <c r="CV172" s="372"/>
      <c r="CW172" s="419"/>
      <c r="CX172" s="423">
        <f>IFERROR(IF(LEFT($A172,3)="Lcp",SUMIFS('BASE-LCP'!$K:$K,'BASE-LCP'!$A:$A,Capex!$A164,'BASE-LCP'!$B:$B,"setembro")/1000,IF(LEFT($A172,3)="icp",SUMIFS('BASE-ICP'!$K:$K,'BASE-ICP'!$A:$A,Capex!$A164,'BASE-ICP'!$B:$B,"setembro")/1000,"")),"")</f>
        <v>0</v>
      </c>
      <c r="CY172" s="427">
        <v>0</v>
      </c>
      <c r="CZ172" s="372"/>
      <c r="DA172" s="419"/>
      <c r="DB172" s="423">
        <f>IFERROR(IF(LEFT($A172,3)="Lcp",SUMIFS('BASE-LCP'!$K:$K,'BASE-LCP'!$A:$A,Capex!$A164,'BASE-LCP'!$B:$B,"outubro")/1000,IF(LEFT($A172,3)="icp",SUMIFS('BASE-ICP'!$K:$K,'BASE-ICP'!$A:$A,Capex!$A164,'BASE-ICP'!$B:$B,"outubro")/1000,"")),"")</f>
        <v>0</v>
      </c>
      <c r="DC172" s="427">
        <v>0</v>
      </c>
      <c r="DD172" s="372"/>
      <c r="DE172" s="419"/>
      <c r="DF172" s="423">
        <f>IFERROR(IF(LEFT($A172,3)="Lcp",SUMIFS('BASE-LCP'!$K:$K,'BASE-LCP'!$A:$A,Capex!$A164,'BASE-LCP'!$B:$B,"novembro")/1000,IF(LEFT($A172,3)="icp",SUMIFS('BASE-ICP'!$K:$K,'BASE-ICP'!$A:$A,Capex!$A164,'BASE-ICP'!$B:$B,"novembro")/1000,"")),"")</f>
        <v>0</v>
      </c>
      <c r="DG172" s="427">
        <v>0</v>
      </c>
      <c r="DH172" s="372"/>
      <c r="DI172" s="419"/>
      <c r="DJ172" s="423">
        <f>IFERROR(IF(LEFT($A172,3)="Lcp",SUMIFS('BASE-LCP'!$K:$K,'BASE-LCP'!$A:$A,Capex!$A164,'BASE-LCP'!$B:$B,"dezembro")/1000,IF(LEFT($A172,3)="icp",SUMIFS('BASE-ICP'!$K:$K,'BASE-ICP'!$A:$A,Capex!$A164,'BASE-ICP'!$B:$B,"dezembro")/1000,"")),"")</f>
        <v>0</v>
      </c>
      <c r="DK172" s="427">
        <v>0</v>
      </c>
      <c r="DL172" s="452">
        <f t="shared" si="85"/>
        <v>0</v>
      </c>
      <c r="DM172" s="374"/>
      <c r="DN172" s="374"/>
      <c r="DO172" s="374"/>
      <c r="DP172" s="374"/>
      <c r="DQ172" s="374"/>
      <c r="DR172" s="374"/>
      <c r="DS172" s="374"/>
      <c r="DT172" s="374"/>
      <c r="DU172" s="374"/>
      <c r="DV172" s="374"/>
      <c r="DW172" s="374"/>
      <c r="DX172" s="374"/>
      <c r="DY172" s="450"/>
      <c r="DZ172" s="374">
        <f t="shared" si="86"/>
        <v>0</v>
      </c>
      <c r="EA172" s="216">
        <f t="shared" si="87"/>
        <v>0</v>
      </c>
      <c r="EB172" s="320">
        <f t="shared" si="88"/>
        <v>0</v>
      </c>
      <c r="EC172" s="241">
        <f t="shared" si="89"/>
        <v>0</v>
      </c>
      <c r="ED172" s="241">
        <f t="shared" si="90"/>
        <v>0</v>
      </c>
      <c r="EE172" s="241">
        <f t="shared" si="91"/>
        <v>0</v>
      </c>
      <c r="EF172" s="241">
        <f t="shared" si="92"/>
        <v>0</v>
      </c>
      <c r="EG172" s="346">
        <f t="shared" si="93"/>
        <v>0</v>
      </c>
      <c r="EH172" s="445">
        <f t="shared" si="94"/>
        <v>0</v>
      </c>
      <c r="EI172" s="447">
        <f t="shared" si="95"/>
        <v>0</v>
      </c>
      <c r="EJ172" s="364">
        <f t="shared" si="96"/>
        <v>0</v>
      </c>
      <c r="EK172" s="365">
        <f t="shared" si="97"/>
        <v>0</v>
      </c>
      <c r="EL172" s="529">
        <f t="shared" si="98"/>
        <v>0</v>
      </c>
      <c r="EM172" s="530">
        <v>0</v>
      </c>
      <c r="EN172" s="530">
        <v>0</v>
      </c>
      <c r="EO172" s="530">
        <v>0</v>
      </c>
      <c r="EP172" s="530">
        <v>0</v>
      </c>
      <c r="EQ172" s="530">
        <v>0</v>
      </c>
      <c r="ER172" s="530">
        <v>0</v>
      </c>
      <c r="ES172" s="530">
        <v>0</v>
      </c>
      <c r="ET172" s="530">
        <v>0</v>
      </c>
      <c r="EU172" s="530">
        <v>0</v>
      </c>
      <c r="EV172" s="530">
        <v>0</v>
      </c>
      <c r="EW172" s="530">
        <v>0</v>
      </c>
      <c r="EX172" s="530">
        <v>0</v>
      </c>
      <c r="EY172" s="530">
        <f t="shared" si="99"/>
        <v>0</v>
      </c>
      <c r="EZ172" s="530">
        <f t="shared" si="100"/>
        <v>0</v>
      </c>
      <c r="FA172" s="530">
        <f t="shared" si="101"/>
        <v>0</v>
      </c>
      <c r="FB172" s="530">
        <f t="shared" si="102"/>
        <v>0</v>
      </c>
      <c r="FC172" s="384">
        <f>IFERROR(VLOOKUP(Capex!A164,BASE_558!D:R,8,FALSE)/1000,"")</f>
        <v>10.99</v>
      </c>
      <c r="FD172" s="328">
        <f>IFERROR(VLOOKUP(Capex!A164,BASE_558!D:R,9,)/1000,"")</f>
        <v>9.4718499999999999</v>
      </c>
      <c r="FE172" s="328">
        <f>IFERROR(IF(LEFT(A172,3)="LCP",(VLOOKUP(Capex!A164,BASE_558!D:R,10,)/1000),SUMIFS('BASE ICP_PO_SC'!F:F,'BASE ICP_PO_SC'!A:A,Capex!A164,'BASE ICP_PO_SC'!E:E,"&lt;&gt;")/1000),"")</f>
        <v>0</v>
      </c>
      <c r="FF172" s="328">
        <f>IFERROR(IF(LEFT(A172,3)="LCP",(VLOOKUP(Capex!A164,BASE_558!D:R,11,)/1000),SUMIFS('BASE ICP_PO_SC'!F:F,'BASE ICP_PO_SC'!A:A,Capex!A164,'BASE ICP_PO_SC'!E:E,"")/1000),"")</f>
        <v>0</v>
      </c>
      <c r="FG172" s="328">
        <f>IFERROR(VLOOKUP(A172,BASE_558!D:R,13,FALSE)/1000,"")</f>
        <v>197.28793999999999</v>
      </c>
      <c r="FH172" s="328">
        <f>IFERROR(VLOOKUP(A172,BASE_558!D:R,15,FALSE)/1000,"")</f>
        <v>27.712060000000001</v>
      </c>
      <c r="FI172" s="547">
        <f t="shared" si="103"/>
        <v>0</v>
      </c>
      <c r="FJ172" s="547">
        <f t="shared" si="104"/>
        <v>0</v>
      </c>
      <c r="FK172" s="540">
        <f t="shared" si="105"/>
        <v>0</v>
      </c>
    </row>
    <row r="173" spans="1:167" s="23" customFormat="1" ht="24" customHeight="1">
      <c r="A173" s="84" t="s">
        <v>262</v>
      </c>
      <c r="B173" s="404"/>
      <c r="C173" s="404"/>
      <c r="D173" s="338" t="s">
        <v>862</v>
      </c>
      <c r="E173" s="378">
        <v>2357919</v>
      </c>
      <c r="F173" s="5"/>
      <c r="G173" s="310" t="s">
        <v>9</v>
      </c>
      <c r="H173" s="356"/>
      <c r="I173" s="356" t="s">
        <v>6</v>
      </c>
      <c r="J173" s="356">
        <v>2020</v>
      </c>
      <c r="K173" s="321">
        <v>43809</v>
      </c>
      <c r="L173" s="317">
        <v>44558</v>
      </c>
      <c r="M173" s="409"/>
      <c r="N173" s="317">
        <f t="shared" si="109"/>
        <v>44721</v>
      </c>
      <c r="O173" s="317">
        <f t="shared" si="110"/>
        <v>45086</v>
      </c>
      <c r="P173" s="418" t="str">
        <f t="shared" si="113"/>
        <v>CRTD</v>
      </c>
      <c r="Q173" s="418" t="str">
        <f t="shared" si="113"/>
        <v>CRTD</v>
      </c>
      <c r="R173" s="418" t="str">
        <f t="shared" si="113"/>
        <v>CRTD</v>
      </c>
      <c r="S173" s="418" t="str">
        <f t="shared" si="113"/>
        <v>CRTD</v>
      </c>
      <c r="T173" s="418" t="str">
        <f t="shared" si="113"/>
        <v>CRTD</v>
      </c>
      <c r="U173" s="418" t="str">
        <f t="shared" si="113"/>
        <v>CRTD</v>
      </c>
      <c r="V173" s="418" t="str">
        <f t="shared" si="113"/>
        <v>CRTD</v>
      </c>
      <c r="W173" s="418" t="str">
        <f t="shared" si="113"/>
        <v>CRTD</v>
      </c>
      <c r="X173" s="418" t="str">
        <f t="shared" si="113"/>
        <v>CRTD</v>
      </c>
      <c r="Y173" s="418" t="str">
        <f t="shared" si="113"/>
        <v>CRTD</v>
      </c>
      <c r="Z173" s="418" t="str">
        <f t="shared" si="113"/>
        <v>CRTD</v>
      </c>
      <c r="AA173" s="418" t="str">
        <f t="shared" si="113"/>
        <v>CRTD</v>
      </c>
      <c r="AB173" s="350"/>
      <c r="AC173" s="309" t="s">
        <v>3932</v>
      </c>
      <c r="AD173" s="311" t="s">
        <v>5</v>
      </c>
      <c r="AE173" s="361" t="s">
        <v>952</v>
      </c>
      <c r="AF173" s="310" t="s">
        <v>6985</v>
      </c>
      <c r="AG173" s="310" t="s">
        <v>9083</v>
      </c>
      <c r="AH173" s="310" t="s">
        <v>243</v>
      </c>
      <c r="AI173" s="381" t="s">
        <v>2255</v>
      </c>
      <c r="AJ173" s="6" t="s">
        <v>218</v>
      </c>
      <c r="AK173" s="6" t="str">
        <f t="shared" si="83"/>
        <v>IGUAL</v>
      </c>
      <c r="AL173" s="151" t="str">
        <f>IFERROR(IF(LEFT(A173,3)="LCP",VLOOKUP(A173,STATUS_SAP_LCP!B:C,2,FALSE),VLOOKUP(A173,STATUS_SAP_ICP!B:C,2,FALSE)),"NO BUDGET")</f>
        <v>CLSD BUDG AUC  AVAC  //  APPR BREL EXPL</v>
      </c>
      <c r="AM173" s="6" t="str">
        <f t="shared" si="82"/>
        <v>CLSD</v>
      </c>
      <c r="AN173" s="282" t="s">
        <v>9085</v>
      </c>
      <c r="AO173" s="493">
        <v>1</v>
      </c>
      <c r="AP173" s="499" t="s">
        <v>9607</v>
      </c>
      <c r="AQ173" s="465">
        <v>44558</v>
      </c>
      <c r="AR173" s="460"/>
      <c r="AS173" s="56">
        <v>0</v>
      </c>
      <c r="AT173" s="185">
        <v>273.32321000000002</v>
      </c>
      <c r="AU173" s="318">
        <v>807.6702600000001</v>
      </c>
      <c r="AV173" s="223">
        <v>0</v>
      </c>
      <c r="AW173" s="318">
        <v>0</v>
      </c>
      <c r="AX173" s="223">
        <v>0</v>
      </c>
      <c r="AY173" s="318">
        <f t="shared" si="111"/>
        <v>0</v>
      </c>
      <c r="AZ173" s="223"/>
      <c r="BA173" s="318"/>
      <c r="BB173" s="519">
        <f t="shared" si="112"/>
        <v>0</v>
      </c>
      <c r="BC173" s="518"/>
      <c r="BD173" s="518"/>
      <c r="BE173" s="518"/>
      <c r="BF173" s="518"/>
      <c r="BG173" s="518"/>
      <c r="BH173" s="518"/>
      <c r="BI173" s="518"/>
      <c r="BJ173" s="518"/>
      <c r="BK173" s="518"/>
      <c r="BL173" s="518"/>
      <c r="BM173" s="518"/>
      <c r="BN173" s="518"/>
      <c r="BO173" s="367">
        <f t="shared" si="84"/>
        <v>0</v>
      </c>
      <c r="BP173" s="421"/>
      <c r="BQ173" s="422"/>
      <c r="BR173" s="423">
        <f>IFERROR(IF(LEFT($A173,3)="Lcp",SUMIFS('BASE-LCP'!$K:$K,'BASE-LCP'!$A:$A,Capex!$A165,'BASE-LCP'!$B:$B,"janeiro")/1000,IF(LEFT($A173,3)="icp",SUMIFS('BASE-ICP'!$K:$K,'BASE-ICP'!$A:$A,Capex!$A165,'BASE-ICP'!$B:$B,"janeiro")/1000,"")),"")</f>
        <v>0</v>
      </c>
      <c r="BS173" s="427">
        <v>0</v>
      </c>
      <c r="BT173" s="372">
        <v>0</v>
      </c>
      <c r="BU173" s="422"/>
      <c r="BV173" s="423">
        <f>IFERROR(IF(LEFT($A173,3)="Lcp",SUMIFS('BASE-LCP'!$K:$K,'BASE-LCP'!$A:$A,Capex!$A165,'BASE-LCP'!$B:$B,"fevereiro")/1000,IF(LEFT($A173,3)="icp",SUMIFS('BASE-ICP'!$K:$K,'BASE-ICP'!$A:$A,Capex!$A165,'BASE-ICP'!$B:$B,"fevereiro")/1000,"")),"")</f>
        <v>0</v>
      </c>
      <c r="BW173" s="427">
        <v>0</v>
      </c>
      <c r="BX173" s="372">
        <v>0</v>
      </c>
      <c r="BY173" s="419"/>
      <c r="BZ173" s="423">
        <f>IFERROR(IF(LEFT($A173,3)="Lcp",SUMIFS('BASE-LCP'!$K:$K,'BASE-LCP'!$A:$A,Capex!$A165,'BASE-LCP'!$B:$B,"março")/1000,IF(LEFT($A173,3)="icp",SUMIFS('BASE-ICP'!$K:$K,'BASE-ICP'!$A:$A,Capex!$A165,'BASE-ICP'!$B:$B,"março")/1000,"")),"")</f>
        <v>0</v>
      </c>
      <c r="CA173" s="427">
        <v>0</v>
      </c>
      <c r="CB173" s="372">
        <v>0</v>
      </c>
      <c r="CC173" s="422"/>
      <c r="CD173" s="423">
        <f>IFERROR(IF(LEFT($A173,3)="Lcp",SUMIFS('BASE-LCP'!$K:$K,'BASE-LCP'!$A:$A,Capex!$A165,'BASE-LCP'!$B:$B,"abril")/1000,IF(LEFT($A173,3)="icp",SUMIFS('BASE-ICP'!$K:$K,'BASE-ICP'!$A:$A,Capex!$A165,'BASE-ICP'!$B:$B,"abril")/1000,"")),"")</f>
        <v>0</v>
      </c>
      <c r="CE173" s="427">
        <v>0</v>
      </c>
      <c r="CF173" s="372">
        <v>0</v>
      </c>
      <c r="CG173" s="419"/>
      <c r="CH173" s="423">
        <v>0</v>
      </c>
      <c r="CI173" s="427">
        <v>0</v>
      </c>
      <c r="CJ173" s="372">
        <v>0</v>
      </c>
      <c r="CK173" s="419"/>
      <c r="CL173" s="423">
        <f>IFERROR(IF(LEFT($A173,3)="Lcp",SUMIFS('BASE-LCP'!$K:$K,'BASE-LCP'!$A:$A,Capex!$A165,'BASE-LCP'!$B:$B,"junho")/1000,IF(LEFT($A173,3)="icp",SUMIFS('BASE-ICP'!$K:$K,'BASE-ICP'!$A:$A,Capex!$A165,'BASE-ICP'!$B:$B,"junho")/1000,"")),"")</f>
        <v>0</v>
      </c>
      <c r="CM173" s="427">
        <v>0</v>
      </c>
      <c r="CN173" s="372"/>
      <c r="CO173" s="419"/>
      <c r="CP173" s="423">
        <f>IFERROR(IF(LEFT($A173,3)="Lcp",SUMIFS('BASE-LCP'!$K:$K,'BASE-LCP'!$A:$A,Capex!$A165,'BASE-LCP'!$B:$B,"julho")/1000,IF(LEFT($A173,3)="icp",SUMIFS('BASE-ICP'!$K:$K,'BASE-ICP'!$A:$A,Capex!$A165,'BASE-ICP'!$B:$B,"julho")/1000,"")),"")</f>
        <v>0</v>
      </c>
      <c r="CQ173" s="427">
        <v>0</v>
      </c>
      <c r="CR173" s="372"/>
      <c r="CS173" s="419"/>
      <c r="CT173" s="423">
        <f>IFERROR(IF(LEFT($A173,3)="Lcp",SUMIFS('BASE-LCP'!$K:$K,'BASE-LCP'!$A:$A,Capex!$A165,'BASE-LCP'!$B:$B,"agosto")/1000,IF(LEFT($A173,3)="icp",SUMIFS('BASE-ICP'!$K:$K,'BASE-ICP'!$A:$A,Capex!$A165,'BASE-ICP'!$B:$B,"agosto")/1000,"")),"")</f>
        <v>0</v>
      </c>
      <c r="CU173" s="427">
        <v>0</v>
      </c>
      <c r="CV173" s="372"/>
      <c r="CW173" s="419"/>
      <c r="CX173" s="423">
        <f>IFERROR(IF(LEFT($A173,3)="Lcp",SUMIFS('BASE-LCP'!$K:$K,'BASE-LCP'!$A:$A,Capex!$A165,'BASE-LCP'!$B:$B,"setembro")/1000,IF(LEFT($A173,3)="icp",SUMIFS('BASE-ICP'!$K:$K,'BASE-ICP'!$A:$A,Capex!$A165,'BASE-ICP'!$B:$B,"setembro")/1000,"")),"")</f>
        <v>0</v>
      </c>
      <c r="CY173" s="427">
        <v>0</v>
      </c>
      <c r="CZ173" s="372"/>
      <c r="DA173" s="419"/>
      <c r="DB173" s="423">
        <f>IFERROR(IF(LEFT($A173,3)="Lcp",SUMIFS('BASE-LCP'!$K:$K,'BASE-LCP'!$A:$A,Capex!$A165,'BASE-LCP'!$B:$B,"outubro")/1000,IF(LEFT($A173,3)="icp",SUMIFS('BASE-ICP'!$K:$K,'BASE-ICP'!$A:$A,Capex!$A165,'BASE-ICP'!$B:$B,"outubro")/1000,"")),"")</f>
        <v>0</v>
      </c>
      <c r="DC173" s="427">
        <v>0</v>
      </c>
      <c r="DD173" s="372"/>
      <c r="DE173" s="419"/>
      <c r="DF173" s="423">
        <f>IFERROR(IF(LEFT($A173,3)="Lcp",SUMIFS('BASE-LCP'!$K:$K,'BASE-LCP'!$A:$A,Capex!$A165,'BASE-LCP'!$B:$B,"novembro")/1000,IF(LEFT($A173,3)="icp",SUMIFS('BASE-ICP'!$K:$K,'BASE-ICP'!$A:$A,Capex!$A165,'BASE-ICP'!$B:$B,"novembro")/1000,"")),"")</f>
        <v>0</v>
      </c>
      <c r="DG173" s="427">
        <v>0</v>
      </c>
      <c r="DH173" s="372"/>
      <c r="DI173" s="419"/>
      <c r="DJ173" s="423">
        <f>IFERROR(IF(LEFT($A173,3)="Lcp",SUMIFS('BASE-LCP'!$K:$K,'BASE-LCP'!$A:$A,Capex!$A165,'BASE-LCP'!$B:$B,"dezembro")/1000,IF(LEFT($A173,3)="icp",SUMIFS('BASE-ICP'!$K:$K,'BASE-ICP'!$A:$A,Capex!$A165,'BASE-ICP'!$B:$B,"dezembro")/1000,"")),"")</f>
        <v>0</v>
      </c>
      <c r="DK173" s="427">
        <v>0</v>
      </c>
      <c r="DL173" s="452">
        <f t="shared" si="85"/>
        <v>0</v>
      </c>
      <c r="DM173" s="374"/>
      <c r="DN173" s="374"/>
      <c r="DO173" s="374"/>
      <c r="DP173" s="374"/>
      <c r="DQ173" s="374"/>
      <c r="DR173" s="374"/>
      <c r="DS173" s="374"/>
      <c r="DT173" s="374"/>
      <c r="DU173" s="374"/>
      <c r="DV173" s="374"/>
      <c r="DW173" s="374"/>
      <c r="DX173" s="374"/>
      <c r="DY173" s="450"/>
      <c r="DZ173" s="374">
        <f t="shared" si="86"/>
        <v>0</v>
      </c>
      <c r="EA173" s="216">
        <f t="shared" si="87"/>
        <v>0</v>
      </c>
      <c r="EB173" s="320">
        <f t="shared" si="88"/>
        <v>0</v>
      </c>
      <c r="EC173" s="241">
        <f t="shared" si="89"/>
        <v>0</v>
      </c>
      <c r="ED173" s="241">
        <f t="shared" si="90"/>
        <v>0</v>
      </c>
      <c r="EE173" s="241">
        <f t="shared" si="91"/>
        <v>0</v>
      </c>
      <c r="EF173" s="241">
        <f t="shared" si="92"/>
        <v>0</v>
      </c>
      <c r="EG173" s="346">
        <f t="shared" si="93"/>
        <v>0</v>
      </c>
      <c r="EH173" s="445">
        <f t="shared" si="94"/>
        <v>0</v>
      </c>
      <c r="EI173" s="447">
        <f t="shared" si="95"/>
        <v>0</v>
      </c>
      <c r="EJ173" s="364">
        <f t="shared" si="96"/>
        <v>0</v>
      </c>
      <c r="EK173" s="365">
        <f t="shared" si="97"/>
        <v>0</v>
      </c>
      <c r="EL173" s="529">
        <f t="shared" si="98"/>
        <v>0</v>
      </c>
      <c r="EM173" s="530">
        <v>0</v>
      </c>
      <c r="EN173" s="530">
        <v>0</v>
      </c>
      <c r="EO173" s="530">
        <v>0</v>
      </c>
      <c r="EP173" s="530">
        <v>0</v>
      </c>
      <c r="EQ173" s="530">
        <v>0</v>
      </c>
      <c r="ER173" s="530">
        <v>0</v>
      </c>
      <c r="ES173" s="530">
        <v>0</v>
      </c>
      <c r="ET173" s="530">
        <v>0</v>
      </c>
      <c r="EU173" s="530">
        <v>0</v>
      </c>
      <c r="EV173" s="530">
        <v>0</v>
      </c>
      <c r="EW173" s="530">
        <v>0</v>
      </c>
      <c r="EX173" s="530">
        <v>0</v>
      </c>
      <c r="EY173" s="530">
        <f t="shared" si="99"/>
        <v>0</v>
      </c>
      <c r="EZ173" s="530">
        <f t="shared" si="100"/>
        <v>0</v>
      </c>
      <c r="FA173" s="530">
        <f t="shared" si="101"/>
        <v>0</v>
      </c>
      <c r="FB173" s="530">
        <f t="shared" si="102"/>
        <v>0</v>
      </c>
      <c r="FC173" s="384">
        <f>IFERROR(VLOOKUP(Capex!A165,BASE_558!D:R,8,FALSE)/1000,"")</f>
        <v>46.003</v>
      </c>
      <c r="FD173" s="328">
        <f>IFERROR(VLOOKUP(Capex!A165,BASE_558!D:R,9,)/1000,"")</f>
        <v>42.414749999999998</v>
      </c>
      <c r="FE173" s="328">
        <f>IFERROR(IF(LEFT(A173,3)="LCP",(VLOOKUP(Capex!A165,BASE_558!D:R,10,)/1000),SUMIFS('BASE ICP_PO_SC'!F:F,'BASE ICP_PO_SC'!A:A,Capex!A165,'BASE ICP_PO_SC'!E:E,"&lt;&gt;")/1000),"")</f>
        <v>0</v>
      </c>
      <c r="FF173" s="328">
        <f>IFERROR(IF(LEFT(A173,3)="LCP",(VLOOKUP(Capex!A165,BASE_558!D:R,11,)/1000),SUMIFS('BASE ICP_PO_SC'!F:F,'BASE ICP_PO_SC'!A:A,Capex!A165,'BASE ICP_PO_SC'!E:E,"")/1000),"")</f>
        <v>0</v>
      </c>
      <c r="FG173" s="328">
        <f>IFERROR(VLOOKUP(A173,BASE_558!D:R,13,FALSE)/1000,"")</f>
        <v>1080.9934699999999</v>
      </c>
      <c r="FH173" s="328">
        <f>IFERROR(VLOOKUP(A173,BASE_558!D:R,15,FALSE)/1000,"")</f>
        <v>127.96353000000001</v>
      </c>
      <c r="FI173" s="547">
        <f t="shared" si="103"/>
        <v>0</v>
      </c>
      <c r="FJ173" s="547">
        <f t="shared" si="104"/>
        <v>0</v>
      </c>
      <c r="FK173" s="540">
        <f t="shared" si="105"/>
        <v>0</v>
      </c>
    </row>
    <row r="174" spans="1:167" s="23" customFormat="1" ht="24" customHeight="1">
      <c r="A174" s="84" t="s">
        <v>291</v>
      </c>
      <c r="B174" s="404"/>
      <c r="C174" s="404"/>
      <c r="D174" s="338" t="s">
        <v>882</v>
      </c>
      <c r="E174" s="378">
        <v>2358387</v>
      </c>
      <c r="F174" s="5"/>
      <c r="G174" s="310" t="s">
        <v>9</v>
      </c>
      <c r="H174" s="356"/>
      <c r="I174" s="356"/>
      <c r="J174" s="356">
        <v>2020</v>
      </c>
      <c r="K174" s="316">
        <v>43775</v>
      </c>
      <c r="L174" s="317">
        <v>44586</v>
      </c>
      <c r="M174" s="409"/>
      <c r="N174" s="317">
        <f t="shared" si="109"/>
        <v>44687</v>
      </c>
      <c r="O174" s="317">
        <f t="shared" si="110"/>
        <v>45052</v>
      </c>
      <c r="P174" s="418" t="str">
        <f t="shared" si="113"/>
        <v>CRTD</v>
      </c>
      <c r="Q174" s="418" t="str">
        <f t="shared" si="113"/>
        <v>CRTD</v>
      </c>
      <c r="R174" s="418" t="str">
        <f t="shared" si="113"/>
        <v>CRTD</v>
      </c>
      <c r="S174" s="418" t="str">
        <f t="shared" si="113"/>
        <v>CRTD</v>
      </c>
      <c r="T174" s="418" t="str">
        <f t="shared" si="113"/>
        <v>CRTD</v>
      </c>
      <c r="U174" s="418" t="str">
        <f t="shared" si="113"/>
        <v>CRTD</v>
      </c>
      <c r="V174" s="418" t="str">
        <f t="shared" si="113"/>
        <v>CRTD</v>
      </c>
      <c r="W174" s="418" t="str">
        <f t="shared" si="113"/>
        <v>CRTD</v>
      </c>
      <c r="X174" s="418" t="str">
        <f t="shared" si="113"/>
        <v>CRTD</v>
      </c>
      <c r="Y174" s="418" t="str">
        <f t="shared" si="113"/>
        <v>CRTD</v>
      </c>
      <c r="Z174" s="418" t="str">
        <f t="shared" si="113"/>
        <v>CRTD</v>
      </c>
      <c r="AA174" s="418" t="str">
        <f t="shared" si="113"/>
        <v>CRTD</v>
      </c>
      <c r="AB174" s="317"/>
      <c r="AC174" s="309" t="s">
        <v>3932</v>
      </c>
      <c r="AD174" s="311" t="s">
        <v>5</v>
      </c>
      <c r="AE174" s="361" t="s">
        <v>952</v>
      </c>
      <c r="AF174" s="310" t="s">
        <v>6985</v>
      </c>
      <c r="AG174" s="310" t="s">
        <v>704</v>
      </c>
      <c r="AH174" s="310" t="s">
        <v>244</v>
      </c>
      <c r="AI174" s="381" t="s">
        <v>2255</v>
      </c>
      <c r="AJ174" s="6" t="s">
        <v>218</v>
      </c>
      <c r="AK174" s="6" t="str">
        <f t="shared" si="83"/>
        <v>IGUAL</v>
      </c>
      <c r="AL174" s="151" t="str">
        <f>IFERROR(IF(LEFT(A174,3)="LCP",VLOOKUP(A174,STATUS_SAP_LCP!B:C,2,FALSE),VLOOKUP(A174,STATUS_SAP_ICP!B:C,2,FALSE)),"NO BUDGET")</f>
        <v>CLSD BUDG AUC  AVAC  //  APPR BREL EXPL</v>
      </c>
      <c r="AM174" s="6" t="str">
        <f t="shared" si="82"/>
        <v>CLSD</v>
      </c>
      <c r="AN174" s="282" t="s">
        <v>2651</v>
      </c>
      <c r="AO174" s="493">
        <v>1</v>
      </c>
      <c r="AP174" s="499" t="s">
        <v>9607</v>
      </c>
      <c r="AQ174" s="465">
        <v>44586</v>
      </c>
      <c r="AR174" s="460"/>
      <c r="AS174" s="56">
        <v>2.1484299999999998</v>
      </c>
      <c r="AT174" s="185">
        <v>203.18324999999999</v>
      </c>
      <c r="AU174" s="318">
        <v>117.52955999999999</v>
      </c>
      <c r="AV174" s="223">
        <v>5.3350400000000002</v>
      </c>
      <c r="AW174" s="318">
        <v>0</v>
      </c>
      <c r="AX174" s="223">
        <v>0</v>
      </c>
      <c r="AY174" s="318">
        <f t="shared" si="111"/>
        <v>0</v>
      </c>
      <c r="AZ174" s="223"/>
      <c r="BA174" s="318"/>
      <c r="BB174" s="519">
        <f t="shared" si="112"/>
        <v>0</v>
      </c>
      <c r="BC174" s="518"/>
      <c r="BD174" s="518"/>
      <c r="BE174" s="518"/>
      <c r="BF174" s="518"/>
      <c r="BG174" s="518"/>
      <c r="BH174" s="518"/>
      <c r="BI174" s="518"/>
      <c r="BJ174" s="518"/>
      <c r="BK174" s="518"/>
      <c r="BL174" s="518"/>
      <c r="BM174" s="518"/>
      <c r="BN174" s="518"/>
      <c r="BO174" s="367">
        <f t="shared" si="84"/>
        <v>0</v>
      </c>
      <c r="BP174" s="421"/>
      <c r="BQ174" s="422"/>
      <c r="BR174" s="423">
        <f>IFERROR(IF(LEFT($A174,3)="Lcp",SUMIFS('BASE-LCP'!$K:$K,'BASE-LCP'!$A:$A,Capex!$A166,'BASE-LCP'!$B:$B,"janeiro")/1000,IF(LEFT($A174,3)="icp",SUMIFS('BASE-ICP'!$K:$K,'BASE-ICP'!$A:$A,Capex!$A166,'BASE-ICP'!$B:$B,"janeiro")/1000,"")),"")</f>
        <v>0</v>
      </c>
      <c r="BS174" s="427">
        <v>0</v>
      </c>
      <c r="BT174" s="372">
        <v>0</v>
      </c>
      <c r="BU174" s="422"/>
      <c r="BV174" s="423">
        <f>IFERROR(IF(LEFT($A174,3)="Lcp",SUMIFS('BASE-LCP'!$K:$K,'BASE-LCP'!$A:$A,Capex!$A166,'BASE-LCP'!$B:$B,"fevereiro")/1000,IF(LEFT($A174,3)="icp",SUMIFS('BASE-ICP'!$K:$K,'BASE-ICP'!$A:$A,Capex!$A166,'BASE-ICP'!$B:$B,"fevereiro")/1000,"")),"")</f>
        <v>0</v>
      </c>
      <c r="BW174" s="427">
        <v>0</v>
      </c>
      <c r="BX174" s="372">
        <v>0</v>
      </c>
      <c r="BY174" s="419"/>
      <c r="BZ174" s="423">
        <f>IFERROR(IF(LEFT($A174,3)="Lcp",SUMIFS('BASE-LCP'!$K:$K,'BASE-LCP'!$A:$A,Capex!$A166,'BASE-LCP'!$B:$B,"março")/1000,IF(LEFT($A174,3)="icp",SUMIFS('BASE-ICP'!$K:$K,'BASE-ICP'!$A:$A,Capex!$A166,'BASE-ICP'!$B:$B,"março")/1000,"")),"")</f>
        <v>0</v>
      </c>
      <c r="CA174" s="427">
        <v>0</v>
      </c>
      <c r="CB174" s="372">
        <v>0</v>
      </c>
      <c r="CC174" s="422"/>
      <c r="CD174" s="423">
        <f>IFERROR(IF(LEFT($A174,3)="Lcp",SUMIFS('BASE-LCP'!$K:$K,'BASE-LCP'!$A:$A,Capex!$A166,'BASE-LCP'!$B:$B,"abril")/1000,IF(LEFT($A174,3)="icp",SUMIFS('BASE-ICP'!$K:$K,'BASE-ICP'!$A:$A,Capex!$A166,'BASE-ICP'!$B:$B,"abril")/1000,"")),"")</f>
        <v>0</v>
      </c>
      <c r="CE174" s="427">
        <v>0</v>
      </c>
      <c r="CF174" s="372">
        <v>0</v>
      </c>
      <c r="CG174" s="419"/>
      <c r="CH174" s="423">
        <v>0</v>
      </c>
      <c r="CI174" s="427">
        <v>0</v>
      </c>
      <c r="CJ174" s="372">
        <v>0</v>
      </c>
      <c r="CK174" s="419"/>
      <c r="CL174" s="423">
        <f>IFERROR(IF(LEFT($A174,3)="Lcp",SUMIFS('BASE-LCP'!$K:$K,'BASE-LCP'!$A:$A,Capex!$A166,'BASE-LCP'!$B:$B,"junho")/1000,IF(LEFT($A174,3)="icp",SUMIFS('BASE-ICP'!$K:$K,'BASE-ICP'!$A:$A,Capex!$A166,'BASE-ICP'!$B:$B,"junho")/1000,"")),"")</f>
        <v>0</v>
      </c>
      <c r="CM174" s="427">
        <v>0</v>
      </c>
      <c r="CN174" s="372"/>
      <c r="CO174" s="419"/>
      <c r="CP174" s="423">
        <f>IFERROR(IF(LEFT($A174,3)="Lcp",SUMIFS('BASE-LCP'!$K:$K,'BASE-LCP'!$A:$A,Capex!$A166,'BASE-LCP'!$B:$B,"julho")/1000,IF(LEFT($A174,3)="icp",SUMIFS('BASE-ICP'!$K:$K,'BASE-ICP'!$A:$A,Capex!$A166,'BASE-ICP'!$B:$B,"julho")/1000,"")),"")</f>
        <v>0</v>
      </c>
      <c r="CQ174" s="427">
        <v>0</v>
      </c>
      <c r="CR174" s="372"/>
      <c r="CS174" s="419"/>
      <c r="CT174" s="423">
        <f>IFERROR(IF(LEFT($A174,3)="Lcp",SUMIFS('BASE-LCP'!$K:$K,'BASE-LCP'!$A:$A,Capex!$A166,'BASE-LCP'!$B:$B,"agosto")/1000,IF(LEFT($A174,3)="icp",SUMIFS('BASE-ICP'!$K:$K,'BASE-ICP'!$A:$A,Capex!$A166,'BASE-ICP'!$B:$B,"agosto")/1000,"")),"")</f>
        <v>0</v>
      </c>
      <c r="CU174" s="427">
        <v>0</v>
      </c>
      <c r="CV174" s="372"/>
      <c r="CW174" s="419"/>
      <c r="CX174" s="423">
        <f>IFERROR(IF(LEFT($A174,3)="Lcp",SUMIFS('BASE-LCP'!$K:$K,'BASE-LCP'!$A:$A,Capex!$A166,'BASE-LCP'!$B:$B,"setembro")/1000,IF(LEFT($A174,3)="icp",SUMIFS('BASE-ICP'!$K:$K,'BASE-ICP'!$A:$A,Capex!$A166,'BASE-ICP'!$B:$B,"setembro")/1000,"")),"")</f>
        <v>0</v>
      </c>
      <c r="CY174" s="427">
        <v>0</v>
      </c>
      <c r="CZ174" s="372"/>
      <c r="DA174" s="419"/>
      <c r="DB174" s="423">
        <f>IFERROR(IF(LEFT($A174,3)="Lcp",SUMIFS('BASE-LCP'!$K:$K,'BASE-LCP'!$A:$A,Capex!$A166,'BASE-LCP'!$B:$B,"outubro")/1000,IF(LEFT($A174,3)="icp",SUMIFS('BASE-ICP'!$K:$K,'BASE-ICP'!$A:$A,Capex!$A166,'BASE-ICP'!$B:$B,"outubro")/1000,"")),"")</f>
        <v>0</v>
      </c>
      <c r="DC174" s="427">
        <v>0</v>
      </c>
      <c r="DD174" s="372"/>
      <c r="DE174" s="419"/>
      <c r="DF174" s="423">
        <f>IFERROR(IF(LEFT($A174,3)="Lcp",SUMIFS('BASE-LCP'!$K:$K,'BASE-LCP'!$A:$A,Capex!$A166,'BASE-LCP'!$B:$B,"novembro")/1000,IF(LEFT($A174,3)="icp",SUMIFS('BASE-ICP'!$K:$K,'BASE-ICP'!$A:$A,Capex!$A166,'BASE-ICP'!$B:$B,"novembro")/1000,"")),"")</f>
        <v>0</v>
      </c>
      <c r="DG174" s="427">
        <v>0</v>
      </c>
      <c r="DH174" s="372"/>
      <c r="DI174" s="419"/>
      <c r="DJ174" s="423">
        <f>IFERROR(IF(LEFT($A174,3)="Lcp",SUMIFS('BASE-LCP'!$K:$K,'BASE-LCP'!$A:$A,Capex!$A166,'BASE-LCP'!$B:$B,"dezembro")/1000,IF(LEFT($A174,3)="icp",SUMIFS('BASE-ICP'!$K:$K,'BASE-ICP'!$A:$A,Capex!$A166,'BASE-ICP'!$B:$B,"dezembro")/1000,"")),"")</f>
        <v>0</v>
      </c>
      <c r="DK174" s="427">
        <v>0</v>
      </c>
      <c r="DL174" s="452">
        <f t="shared" si="85"/>
        <v>0</v>
      </c>
      <c r="DM174" s="374"/>
      <c r="DN174" s="374"/>
      <c r="DO174" s="374"/>
      <c r="DP174" s="374"/>
      <c r="DQ174" s="374"/>
      <c r="DR174" s="374"/>
      <c r="DS174" s="374"/>
      <c r="DT174" s="374"/>
      <c r="DU174" s="374"/>
      <c r="DV174" s="374"/>
      <c r="DW174" s="374"/>
      <c r="DX174" s="374"/>
      <c r="DY174" s="450"/>
      <c r="DZ174" s="374">
        <f t="shared" si="86"/>
        <v>0</v>
      </c>
      <c r="EA174" s="216">
        <f t="shared" si="87"/>
        <v>0</v>
      </c>
      <c r="EB174" s="320">
        <f t="shared" si="88"/>
        <v>0</v>
      </c>
      <c r="EC174" s="241">
        <f t="shared" si="89"/>
        <v>0</v>
      </c>
      <c r="ED174" s="241">
        <f t="shared" si="90"/>
        <v>0</v>
      </c>
      <c r="EE174" s="241">
        <f t="shared" si="91"/>
        <v>0</v>
      </c>
      <c r="EF174" s="241">
        <f t="shared" si="92"/>
        <v>0</v>
      </c>
      <c r="EG174" s="346">
        <f t="shared" si="93"/>
        <v>0</v>
      </c>
      <c r="EH174" s="445">
        <f t="shared" si="94"/>
        <v>0</v>
      </c>
      <c r="EI174" s="447">
        <f t="shared" si="95"/>
        <v>0</v>
      </c>
      <c r="EJ174" s="364">
        <f t="shared" si="96"/>
        <v>0</v>
      </c>
      <c r="EK174" s="365">
        <f t="shared" si="97"/>
        <v>0</v>
      </c>
      <c r="EL174" s="529">
        <f t="shared" si="98"/>
        <v>0</v>
      </c>
      <c r="EM174" s="530">
        <v>0</v>
      </c>
      <c r="EN174" s="530">
        <v>0</v>
      </c>
      <c r="EO174" s="530">
        <v>0</v>
      </c>
      <c r="EP174" s="530">
        <v>0</v>
      </c>
      <c r="EQ174" s="530">
        <v>0</v>
      </c>
      <c r="ER174" s="530">
        <v>0</v>
      </c>
      <c r="ES174" s="530">
        <v>0</v>
      </c>
      <c r="ET174" s="530">
        <v>0</v>
      </c>
      <c r="EU174" s="530">
        <v>0</v>
      </c>
      <c r="EV174" s="530">
        <v>0</v>
      </c>
      <c r="EW174" s="530">
        <v>0</v>
      </c>
      <c r="EX174" s="530">
        <v>0</v>
      </c>
      <c r="EY174" s="530">
        <f t="shared" si="99"/>
        <v>0</v>
      </c>
      <c r="EZ174" s="530">
        <f t="shared" si="100"/>
        <v>0</v>
      </c>
      <c r="FA174" s="530">
        <f t="shared" si="101"/>
        <v>0</v>
      </c>
      <c r="FB174" s="530">
        <f t="shared" si="102"/>
        <v>0</v>
      </c>
      <c r="FC174" s="384">
        <f>IFERROR(VLOOKUP(Capex!A166,BASE_558!D:R,8,FALSE)/1000,"")</f>
        <v>1431.34</v>
      </c>
      <c r="FD174" s="328">
        <f>IFERROR(VLOOKUP(Capex!A166,BASE_558!D:R,9,)/1000,"")</f>
        <v>1385.29087</v>
      </c>
      <c r="FE174" s="328">
        <f>IFERROR(IF(LEFT(A174,3)="LCP",(VLOOKUP(Capex!A166,BASE_558!D:R,10,)/1000),SUMIFS('BASE ICP_PO_SC'!F:F,'BASE ICP_PO_SC'!A:A,Capex!A166,'BASE ICP_PO_SC'!E:E,"&lt;&gt;")/1000),"")</f>
        <v>0</v>
      </c>
      <c r="FF174" s="328">
        <f>IFERROR(IF(LEFT(A174,3)="LCP",(VLOOKUP(Capex!A166,BASE_558!D:R,11,)/1000),SUMIFS('BASE ICP_PO_SC'!F:F,'BASE ICP_PO_SC'!A:A,Capex!A166,'BASE ICP_PO_SC'!E:E,"")/1000),"")</f>
        <v>0</v>
      </c>
      <c r="FG174" s="328">
        <f>IFERROR(VLOOKUP(A174,BASE_558!D:R,13,FALSE)/1000,"")</f>
        <v>328.19628</v>
      </c>
      <c r="FH174" s="328">
        <f>IFERROR(VLOOKUP(A174,BASE_558!D:R,15,FALSE)/1000,"")</f>
        <v>627.58571999999992</v>
      </c>
      <c r="FI174" s="547">
        <f t="shared" si="103"/>
        <v>0</v>
      </c>
      <c r="FJ174" s="547">
        <f t="shared" si="104"/>
        <v>0</v>
      </c>
      <c r="FK174" s="540">
        <f t="shared" si="105"/>
        <v>0</v>
      </c>
    </row>
    <row r="175" spans="1:167" s="23" customFormat="1" ht="24" customHeight="1">
      <c r="A175" s="84" t="s">
        <v>292</v>
      </c>
      <c r="B175" s="404"/>
      <c r="C175" s="404"/>
      <c r="D175" s="338" t="s">
        <v>871</v>
      </c>
      <c r="E175" s="378">
        <v>2357839</v>
      </c>
      <c r="F175" s="5"/>
      <c r="G175" s="310" t="s">
        <v>9</v>
      </c>
      <c r="H175" s="356" t="s">
        <v>6</v>
      </c>
      <c r="I175" s="356" t="s">
        <v>2650</v>
      </c>
      <c r="J175" s="356">
        <v>2020</v>
      </c>
      <c r="K175" s="352">
        <v>43802</v>
      </c>
      <c r="L175" s="317"/>
      <c r="M175" s="409"/>
      <c r="N175" s="317">
        <f t="shared" si="109"/>
        <v>44714</v>
      </c>
      <c r="O175" s="317">
        <f t="shared" si="110"/>
        <v>45079</v>
      </c>
      <c r="P175" s="418" t="str">
        <f t="shared" ref="P175:AA184" si="114">IF($N175="","N/A",IF($O175="","N/A",IF(P$2&lt;=$N175,"NÃO",IF($AJ175="REL ","SIM",IF(P$2&lt;$O175,"NÃO",IF($AJ175&lt;&gt;"CLSD","SIM","CRTD"))))))</f>
        <v>SIM</v>
      </c>
      <c r="Q175" s="418" t="str">
        <f t="shared" si="114"/>
        <v>SIM</v>
      </c>
      <c r="R175" s="418" t="str">
        <f t="shared" si="114"/>
        <v>SIM</v>
      </c>
      <c r="S175" s="418" t="str">
        <f t="shared" si="114"/>
        <v>SIM</v>
      </c>
      <c r="T175" s="418" t="str">
        <f t="shared" si="114"/>
        <v>SIM</v>
      </c>
      <c r="U175" s="418" t="str">
        <f t="shared" si="114"/>
        <v>SIM</v>
      </c>
      <c r="V175" s="418" t="str">
        <f t="shared" si="114"/>
        <v>SIM</v>
      </c>
      <c r="W175" s="418" t="str">
        <f t="shared" si="114"/>
        <v>SIM</v>
      </c>
      <c r="X175" s="418" t="str">
        <f t="shared" si="114"/>
        <v>SIM</v>
      </c>
      <c r="Y175" s="418" t="str">
        <f t="shared" si="114"/>
        <v>SIM</v>
      </c>
      <c r="Z175" s="418" t="str">
        <f t="shared" si="114"/>
        <v>SIM</v>
      </c>
      <c r="AA175" s="551" t="str">
        <f t="shared" si="114"/>
        <v>SIM</v>
      </c>
      <c r="AB175" s="317"/>
      <c r="AC175" s="309" t="s">
        <v>3932</v>
      </c>
      <c r="AD175" s="311" t="s">
        <v>5</v>
      </c>
      <c r="AE175" s="361" t="s">
        <v>952</v>
      </c>
      <c r="AF175" s="310" t="s">
        <v>6985</v>
      </c>
      <c r="AG175" s="262" t="s">
        <v>2251</v>
      </c>
      <c r="AH175" s="310" t="s">
        <v>245</v>
      </c>
      <c r="AI175" s="381" t="s">
        <v>2255</v>
      </c>
      <c r="AJ175" s="6" t="s">
        <v>6786</v>
      </c>
      <c r="AK175" s="6" t="str">
        <f t="shared" si="83"/>
        <v>IGUAL</v>
      </c>
      <c r="AL175" s="151" t="str">
        <f>IFERROR(IF(LEFT(A175,3)="LCP",VLOOKUP(A175,STATUS_SAP_LCP!B:C,2,FALSE),VLOOKUP(A175,STATUS_SAP_ICP!B:C,2,FALSE)),"NO BUDGET")</f>
        <v>REL  BUDG AUC  AVAC  //  APPR BNRL INPL</v>
      </c>
      <c r="AM175" s="6" t="str">
        <f t="shared" si="82"/>
        <v xml:space="preserve">REL </v>
      </c>
      <c r="AN175" s="160" t="s">
        <v>18968</v>
      </c>
      <c r="AO175" s="563"/>
      <c r="AP175" s="499" t="s">
        <v>5299</v>
      </c>
      <c r="AQ175" s="465">
        <v>46022</v>
      </c>
      <c r="AR175" s="460"/>
      <c r="AS175" s="56">
        <v>53.241159999999994</v>
      </c>
      <c r="AT175" s="185">
        <v>56.696770000000001</v>
      </c>
      <c r="AU175" s="318">
        <v>126.68010999999998</v>
      </c>
      <c r="AV175" s="223">
        <v>46.044890000000002</v>
      </c>
      <c r="AW175" s="318">
        <v>9.305999999999999E-2</v>
      </c>
      <c r="AX175" s="223">
        <v>0</v>
      </c>
      <c r="AY175" s="318">
        <f t="shared" si="111"/>
        <v>22.700000000000003</v>
      </c>
      <c r="AZ175" s="223"/>
      <c r="BA175" s="318"/>
      <c r="BB175" s="519">
        <f t="shared" si="112"/>
        <v>13</v>
      </c>
      <c r="BC175" s="518">
        <v>0</v>
      </c>
      <c r="BD175" s="518">
        <v>13</v>
      </c>
      <c r="BE175" s="518">
        <v>0</v>
      </c>
      <c r="BF175" s="518">
        <v>0</v>
      </c>
      <c r="BG175" s="518">
        <v>0</v>
      </c>
      <c r="BH175" s="518">
        <v>0</v>
      </c>
      <c r="BI175" s="518">
        <v>0</v>
      </c>
      <c r="BJ175" s="518">
        <v>0</v>
      </c>
      <c r="BK175" s="518">
        <v>0</v>
      </c>
      <c r="BL175" s="518">
        <v>0</v>
      </c>
      <c r="BM175" s="518">
        <v>0</v>
      </c>
      <c r="BN175" s="518">
        <v>0</v>
      </c>
      <c r="BO175" s="367">
        <f t="shared" si="84"/>
        <v>22.700000000000003</v>
      </c>
      <c r="BP175" s="421">
        <v>0</v>
      </c>
      <c r="BQ175" s="422"/>
      <c r="BR175" s="423">
        <f>IFERROR(IF(LEFT($A175,3)="Lcp",SUMIFS('BASE-LCP'!$K:$K,'BASE-LCP'!$A:$A,Capex!$A167,'BASE-LCP'!$B:$B,"janeiro")/1000,IF(LEFT($A175,3)="icp",SUMIFS('BASE-ICP'!$K:$K,'BASE-ICP'!$A:$A,Capex!$A167,'BASE-ICP'!$B:$B,"janeiro")/1000,"")),"")</f>
        <v>0</v>
      </c>
      <c r="BS175" s="427">
        <v>0</v>
      </c>
      <c r="BT175" s="372">
        <v>13</v>
      </c>
      <c r="BU175" s="422"/>
      <c r="BV175" s="423">
        <f>IFERROR(IF(LEFT($A175,3)="Lcp",SUMIFS('BASE-LCP'!$K:$K,'BASE-LCP'!$A:$A,Capex!$A167,'BASE-LCP'!$B:$B,"fevereiro")/1000,IF(LEFT($A175,3)="icp",SUMIFS('BASE-ICP'!$K:$K,'BASE-ICP'!$A:$A,Capex!$A167,'BASE-ICP'!$B:$B,"fevereiro")/1000,"")),"")</f>
        <v>0</v>
      </c>
      <c r="BW175" s="427">
        <v>0</v>
      </c>
      <c r="BX175" s="372">
        <v>0</v>
      </c>
      <c r="BY175" s="419"/>
      <c r="BZ175" s="423">
        <f>IFERROR(IF(LEFT($A175,3)="Lcp",SUMIFS('BASE-LCP'!$K:$K,'BASE-LCP'!$A:$A,Capex!$A167,'BASE-LCP'!$B:$B,"março")/1000,IF(LEFT($A175,3)="icp",SUMIFS('BASE-ICP'!$K:$K,'BASE-ICP'!$A:$A,Capex!$A167,'BASE-ICP'!$B:$B,"março")/1000,"")),"")</f>
        <v>0</v>
      </c>
      <c r="CA175" s="427">
        <v>0</v>
      </c>
      <c r="CB175" s="372">
        <v>0</v>
      </c>
      <c r="CC175" s="422"/>
      <c r="CD175" s="423">
        <f>IFERROR(IF(LEFT($A175,3)="Lcp",SUMIFS('BASE-LCP'!$K:$K,'BASE-LCP'!$A:$A,Capex!$A167,'BASE-LCP'!$B:$B,"abril")/1000,IF(LEFT($A175,3)="icp",SUMIFS('BASE-ICP'!$K:$K,'BASE-ICP'!$A:$A,Capex!$A167,'BASE-ICP'!$B:$B,"abril")/1000,"")),"")</f>
        <v>0</v>
      </c>
      <c r="CE175" s="427">
        <v>0</v>
      </c>
      <c r="CF175" s="372">
        <v>0</v>
      </c>
      <c r="CG175" s="419"/>
      <c r="CH175" s="423">
        <v>0</v>
      </c>
      <c r="CI175" s="427">
        <v>0</v>
      </c>
      <c r="CJ175" s="372">
        <v>0</v>
      </c>
      <c r="CK175" s="419"/>
      <c r="CL175" s="423">
        <f>IFERROR(IF(LEFT($A175,3)="Lcp",SUMIFS('BASE-LCP'!$K:$K,'BASE-LCP'!$A:$A,Capex!$A167,'BASE-LCP'!$B:$B,"junho")/1000,IF(LEFT($A175,3)="icp",SUMIFS('BASE-ICP'!$K:$K,'BASE-ICP'!$A:$A,Capex!$A167,'BASE-ICP'!$B:$B,"junho")/1000,"")),"")</f>
        <v>0</v>
      </c>
      <c r="CM175" s="427">
        <v>0</v>
      </c>
      <c r="CN175" s="372"/>
      <c r="CO175" s="419"/>
      <c r="CP175" s="423">
        <f>IFERROR(IF(LEFT($A175,3)="Lcp",SUMIFS('BASE-LCP'!$K:$K,'BASE-LCP'!$A:$A,Capex!$A167,'BASE-LCP'!$B:$B,"julho")/1000,IF(LEFT($A175,3)="icp",SUMIFS('BASE-ICP'!$K:$K,'BASE-ICP'!$A:$A,Capex!$A167,'BASE-ICP'!$B:$B,"julho")/1000,"")),"")</f>
        <v>0</v>
      </c>
      <c r="CQ175" s="427">
        <v>0</v>
      </c>
      <c r="CR175" s="372"/>
      <c r="CS175" s="419"/>
      <c r="CT175" s="423">
        <f>IFERROR(IF(LEFT($A175,3)="Lcp",SUMIFS('BASE-LCP'!$K:$K,'BASE-LCP'!$A:$A,Capex!$A167,'BASE-LCP'!$B:$B,"agosto")/1000,IF(LEFT($A175,3)="icp",SUMIFS('BASE-ICP'!$K:$K,'BASE-ICP'!$A:$A,Capex!$A167,'BASE-ICP'!$B:$B,"agosto")/1000,"")),"")</f>
        <v>0</v>
      </c>
      <c r="CU175" s="427">
        <v>0</v>
      </c>
      <c r="CV175" s="372"/>
      <c r="CW175" s="419"/>
      <c r="CX175" s="423">
        <f>IFERROR(IF(LEFT($A175,3)="Lcp",SUMIFS('BASE-LCP'!$K:$K,'BASE-LCP'!$A:$A,Capex!$A167,'BASE-LCP'!$B:$B,"setembro")/1000,IF(LEFT($A175,3)="icp",SUMIFS('BASE-ICP'!$K:$K,'BASE-ICP'!$A:$A,Capex!$A167,'BASE-ICP'!$B:$B,"setembro")/1000,"")),"")</f>
        <v>0</v>
      </c>
      <c r="CY175" s="427">
        <v>0</v>
      </c>
      <c r="CZ175" s="372"/>
      <c r="DA175" s="419"/>
      <c r="DB175" s="423">
        <f>IFERROR(IF(LEFT($A175,3)="Lcp",SUMIFS('BASE-LCP'!$K:$K,'BASE-LCP'!$A:$A,Capex!$A167,'BASE-LCP'!$B:$B,"outubro")/1000,IF(LEFT($A175,3)="icp",SUMIFS('BASE-ICP'!$K:$K,'BASE-ICP'!$A:$A,Capex!$A167,'BASE-ICP'!$B:$B,"outubro")/1000,"")),"")</f>
        <v>0</v>
      </c>
      <c r="DC175" s="427">
        <f>13*0.9</f>
        <v>11.700000000000001</v>
      </c>
      <c r="DD175" s="372"/>
      <c r="DE175" s="419"/>
      <c r="DF175" s="423">
        <f>IFERROR(IF(LEFT($A175,3)="Lcp",SUMIFS('BASE-LCP'!$K:$K,'BASE-LCP'!$A:$A,Capex!$A167,'BASE-LCP'!$B:$B,"novembro")/1000,IF(LEFT($A175,3)="icp",SUMIFS('BASE-ICP'!$K:$K,'BASE-ICP'!$A:$A,Capex!$A167,'BASE-ICP'!$B:$B,"novembro")/1000,"")),"")</f>
        <v>0</v>
      </c>
      <c r="DG175" s="427">
        <v>11</v>
      </c>
      <c r="DH175" s="372"/>
      <c r="DI175" s="419"/>
      <c r="DJ175" s="423">
        <f>IFERROR(IF(LEFT($A175,3)="Lcp",SUMIFS('BASE-LCP'!$K:$K,'BASE-LCP'!$A:$A,Capex!$A167,'BASE-LCP'!$B:$B,"dezembro")/1000,IF(LEFT($A175,3)="icp",SUMIFS('BASE-ICP'!$K:$K,'BASE-ICP'!$A:$A,Capex!$A167,'BASE-ICP'!$B:$B,"dezembro")/1000,"")),"")</f>
        <v>0</v>
      </c>
      <c r="DK175" s="427">
        <v>0</v>
      </c>
      <c r="DL175" s="452">
        <f t="shared" si="85"/>
        <v>0</v>
      </c>
      <c r="DM175" s="374"/>
      <c r="DN175" s="374">
        <v>0</v>
      </c>
      <c r="DO175" s="374"/>
      <c r="DP175" s="374"/>
      <c r="DQ175" s="374"/>
      <c r="DR175" s="374"/>
      <c r="DS175" s="374"/>
      <c r="DT175" s="374"/>
      <c r="DU175" s="374"/>
      <c r="DV175" s="374"/>
      <c r="DW175" s="374"/>
      <c r="DX175" s="374"/>
      <c r="DY175" s="450"/>
      <c r="DZ175" s="374">
        <f t="shared" si="86"/>
        <v>0</v>
      </c>
      <c r="EA175" s="216">
        <f t="shared" si="87"/>
        <v>0</v>
      </c>
      <c r="EB175" s="320">
        <f t="shared" si="88"/>
        <v>0</v>
      </c>
      <c r="EC175" s="241">
        <f t="shared" si="89"/>
        <v>0</v>
      </c>
      <c r="ED175" s="241">
        <f t="shared" si="90"/>
        <v>0</v>
      </c>
      <c r="EE175" s="241">
        <f t="shared" si="91"/>
        <v>0</v>
      </c>
      <c r="EF175" s="241">
        <f t="shared" si="92"/>
        <v>22.700000000000003</v>
      </c>
      <c r="EG175" s="346">
        <f t="shared" si="93"/>
        <v>9.7000000000000028</v>
      </c>
      <c r="EH175" s="445">
        <f t="shared" si="94"/>
        <v>0</v>
      </c>
      <c r="EI175" s="447">
        <f t="shared" si="95"/>
        <v>0</v>
      </c>
      <c r="EJ175" s="364">
        <f t="shared" si="96"/>
        <v>0</v>
      </c>
      <c r="EK175" s="365">
        <f t="shared" si="97"/>
        <v>22.700000000000003</v>
      </c>
      <c r="EL175" s="529">
        <f t="shared" si="98"/>
        <v>22.700000000000003</v>
      </c>
      <c r="EM175" s="530">
        <v>0</v>
      </c>
      <c r="EN175" s="530">
        <v>0</v>
      </c>
      <c r="EO175" s="530">
        <v>0</v>
      </c>
      <c r="EP175" s="530">
        <v>0</v>
      </c>
      <c r="EQ175" s="530">
        <v>0</v>
      </c>
      <c r="ER175" s="530">
        <v>0</v>
      </c>
      <c r="ES175" s="530">
        <v>0</v>
      </c>
      <c r="ET175" s="530">
        <v>0</v>
      </c>
      <c r="EU175" s="530">
        <v>0</v>
      </c>
      <c r="EV175" s="530">
        <v>11.700000000000001</v>
      </c>
      <c r="EW175" s="530">
        <v>11</v>
      </c>
      <c r="EX175" s="530">
        <v>0</v>
      </c>
      <c r="EY175" s="530">
        <f t="shared" si="99"/>
        <v>0</v>
      </c>
      <c r="EZ175" s="530">
        <f t="shared" si="100"/>
        <v>0</v>
      </c>
      <c r="FA175" s="530">
        <f t="shared" si="101"/>
        <v>0</v>
      </c>
      <c r="FB175" s="530">
        <f t="shared" si="102"/>
        <v>22.700000000000003</v>
      </c>
      <c r="FC175" s="384">
        <f>IFERROR(VLOOKUP(Capex!A167,BASE_558!D:R,8,FALSE)/1000,"")</f>
        <v>72.099999999999994</v>
      </c>
      <c r="FD175" s="328">
        <f>IFERROR(VLOOKUP(Capex!A167,BASE_558!D:R,9,)/1000,"")</f>
        <v>65.506290000000007</v>
      </c>
      <c r="FE175" s="328">
        <f>IFERROR(IF(LEFT(A175,3)="LCP",(VLOOKUP(Capex!A167,BASE_558!D:R,10,)/1000),SUMIFS('BASE ICP_PO_SC'!F:F,'BASE ICP_PO_SC'!A:A,Capex!A167,'BASE ICP_PO_SC'!E:E,"&lt;&gt;")/1000),"")</f>
        <v>0</v>
      </c>
      <c r="FF175" s="328">
        <f>IFERROR(IF(LEFT(A175,3)="LCP",(VLOOKUP(Capex!A167,BASE_558!D:R,11,)/1000),SUMIFS('BASE ICP_PO_SC'!F:F,'BASE ICP_PO_SC'!A:A,Capex!A167,'BASE ICP_PO_SC'!E:E,"")/1000),"")</f>
        <v>0</v>
      </c>
      <c r="FG175" s="328">
        <f>IFERROR(VLOOKUP(A175,BASE_558!D:R,13,FALSE)/1000,"")</f>
        <v>307.87328000000002</v>
      </c>
      <c r="FH175" s="328">
        <f>IFERROR(VLOOKUP(A175,BASE_558!D:R,15,FALSE)/1000,"")</f>
        <v>557.06471999999997</v>
      </c>
      <c r="FI175" s="547">
        <f t="shared" si="103"/>
        <v>0</v>
      </c>
      <c r="FJ175" s="547">
        <f t="shared" si="104"/>
        <v>0</v>
      </c>
      <c r="FK175" s="540">
        <f t="shared" si="105"/>
        <v>0</v>
      </c>
    </row>
    <row r="176" spans="1:167" s="23" customFormat="1" ht="24" customHeight="1">
      <c r="A176" s="84" t="s">
        <v>293</v>
      </c>
      <c r="B176" s="404" t="s">
        <v>698</v>
      </c>
      <c r="C176" s="404"/>
      <c r="D176" s="338" t="s">
        <v>1017</v>
      </c>
      <c r="E176" s="378">
        <v>2729616</v>
      </c>
      <c r="F176" s="310" t="s">
        <v>609</v>
      </c>
      <c r="G176" s="310" t="s">
        <v>9</v>
      </c>
      <c r="H176" s="356" t="s">
        <v>6</v>
      </c>
      <c r="I176" s="356"/>
      <c r="J176" s="356">
        <v>2020</v>
      </c>
      <c r="K176" s="352">
        <v>43885</v>
      </c>
      <c r="L176" s="317"/>
      <c r="M176" s="409"/>
      <c r="N176" s="317">
        <f t="shared" si="109"/>
        <v>44797</v>
      </c>
      <c r="O176" s="317">
        <f t="shared" si="110"/>
        <v>45162</v>
      </c>
      <c r="P176" s="418" t="str">
        <f t="shared" si="114"/>
        <v>SIM</v>
      </c>
      <c r="Q176" s="418" t="str">
        <f t="shared" si="114"/>
        <v>SIM</v>
      </c>
      <c r="R176" s="418" t="str">
        <f t="shared" si="114"/>
        <v>SIM</v>
      </c>
      <c r="S176" s="418" t="str">
        <f t="shared" si="114"/>
        <v>SIM</v>
      </c>
      <c r="T176" s="418" t="str">
        <f t="shared" si="114"/>
        <v>SIM</v>
      </c>
      <c r="U176" s="418" t="str">
        <f t="shared" si="114"/>
        <v>SIM</v>
      </c>
      <c r="V176" s="418" t="str">
        <f t="shared" si="114"/>
        <v>SIM</v>
      </c>
      <c r="W176" s="418" t="str">
        <f t="shared" si="114"/>
        <v>SIM</v>
      </c>
      <c r="X176" s="418" t="str">
        <f t="shared" si="114"/>
        <v>SIM</v>
      </c>
      <c r="Y176" s="418" t="str">
        <f t="shared" si="114"/>
        <v>SIM</v>
      </c>
      <c r="Z176" s="418" t="str">
        <f t="shared" si="114"/>
        <v>SIM</v>
      </c>
      <c r="AA176" s="418" t="str">
        <f t="shared" si="114"/>
        <v>SIM</v>
      </c>
      <c r="AB176" s="317"/>
      <c r="AC176" s="309" t="s">
        <v>3932</v>
      </c>
      <c r="AD176" s="311" t="s">
        <v>224</v>
      </c>
      <c r="AE176" s="361" t="s">
        <v>979</v>
      </c>
      <c r="AF176" s="310" t="s">
        <v>6985</v>
      </c>
      <c r="AG176" s="310" t="s">
        <v>2079</v>
      </c>
      <c r="AH176" s="310" t="s">
        <v>290</v>
      </c>
      <c r="AI176" s="309" t="s">
        <v>183</v>
      </c>
      <c r="AJ176" s="6" t="s">
        <v>6786</v>
      </c>
      <c r="AK176" s="6" t="str">
        <f t="shared" si="83"/>
        <v>IGUAL</v>
      </c>
      <c r="AL176" s="151" t="str">
        <f>IFERROR(IF(LEFT(A176,3)="LCP",VLOOKUP(A176,STATUS_SAP_LCP!B:C,2,FALSE),VLOOKUP(A176,STATUS_SAP_ICP!B:C,2,FALSE)),"NO BUDGET")</f>
        <v>REL  BUDG AUC  AVAC  //  APPR BREL INPL</v>
      </c>
      <c r="AM176" s="6" t="str">
        <f t="shared" si="82"/>
        <v xml:space="preserve">REL </v>
      </c>
      <c r="AN176" s="282" t="s">
        <v>16164</v>
      </c>
      <c r="AO176" s="557"/>
      <c r="AP176" s="499" t="s">
        <v>9616</v>
      </c>
      <c r="AQ176" s="465">
        <v>46568</v>
      </c>
      <c r="AR176" s="460"/>
      <c r="AS176" s="56">
        <v>0</v>
      </c>
      <c r="AT176" s="185">
        <v>0</v>
      </c>
      <c r="AU176" s="318">
        <v>115.73208</v>
      </c>
      <c r="AV176" s="223">
        <v>719.35051999999996</v>
      </c>
      <c r="AW176" s="318">
        <v>14.07183</v>
      </c>
      <c r="AX176" s="223">
        <v>0</v>
      </c>
      <c r="AY176" s="318">
        <f t="shared" si="111"/>
        <v>0</v>
      </c>
      <c r="AZ176" s="223"/>
      <c r="BA176" s="318"/>
      <c r="BB176" s="519">
        <f t="shared" si="112"/>
        <v>0</v>
      </c>
      <c r="BC176" s="518">
        <v>0</v>
      </c>
      <c r="BD176" s="518">
        <v>0</v>
      </c>
      <c r="BE176" s="518">
        <v>0</v>
      </c>
      <c r="BF176" s="518">
        <v>0</v>
      </c>
      <c r="BG176" s="518">
        <v>0</v>
      </c>
      <c r="BH176" s="518">
        <v>0</v>
      </c>
      <c r="BI176" s="518">
        <v>0</v>
      </c>
      <c r="BJ176" s="518">
        <v>0</v>
      </c>
      <c r="BK176" s="518">
        <v>0</v>
      </c>
      <c r="BL176" s="518">
        <v>0</v>
      </c>
      <c r="BM176" s="518">
        <v>0</v>
      </c>
      <c r="BN176" s="518">
        <v>0</v>
      </c>
      <c r="BO176" s="367">
        <f t="shared" si="84"/>
        <v>0</v>
      </c>
      <c r="BP176" s="421">
        <v>0</v>
      </c>
      <c r="BQ176" s="422"/>
      <c r="BR176" s="423">
        <f>IFERROR(IF(LEFT($A176,3)="Lcp",SUMIFS('BASE-LCP'!$K:$K,'BASE-LCP'!$A:$A,Capex!$A168,'BASE-LCP'!$B:$B,"janeiro")/1000,IF(LEFT($A176,3)="icp",SUMIFS('BASE-ICP'!$K:$K,'BASE-ICP'!$A:$A,Capex!$A168,'BASE-ICP'!$B:$B,"janeiro")/1000,"")),"")</f>
        <v>0</v>
      </c>
      <c r="BS176" s="427">
        <v>0</v>
      </c>
      <c r="BT176" s="372">
        <v>0</v>
      </c>
      <c r="BU176" s="422"/>
      <c r="BV176" s="423">
        <f>IFERROR(IF(LEFT($A176,3)="Lcp",SUMIFS('BASE-LCP'!$K:$K,'BASE-LCP'!$A:$A,Capex!$A168,'BASE-LCP'!$B:$B,"fevereiro")/1000,IF(LEFT($A176,3)="icp",SUMIFS('BASE-ICP'!$K:$K,'BASE-ICP'!$A:$A,Capex!$A168,'BASE-ICP'!$B:$B,"fevereiro")/1000,"")),"")</f>
        <v>0</v>
      </c>
      <c r="BW176" s="427">
        <v>0</v>
      </c>
      <c r="BX176" s="372">
        <v>0</v>
      </c>
      <c r="BY176" s="419"/>
      <c r="BZ176" s="423">
        <f>IFERROR(IF(LEFT($A176,3)="Lcp",SUMIFS('BASE-LCP'!$K:$K,'BASE-LCP'!$A:$A,Capex!$A168,'BASE-LCP'!$B:$B,"março")/1000,IF(LEFT($A176,3)="icp",SUMIFS('BASE-ICP'!$K:$K,'BASE-ICP'!$A:$A,Capex!$A168,'BASE-ICP'!$B:$B,"março")/1000,"")),"")</f>
        <v>0</v>
      </c>
      <c r="CA176" s="427">
        <v>0</v>
      </c>
      <c r="CB176" s="372">
        <v>0</v>
      </c>
      <c r="CC176" s="422"/>
      <c r="CD176" s="423">
        <f>IFERROR(IF(LEFT($A176,3)="Lcp",SUMIFS('BASE-LCP'!$K:$K,'BASE-LCP'!$A:$A,Capex!$A168,'BASE-LCP'!$B:$B,"abril")/1000,IF(LEFT($A176,3)="icp",SUMIFS('BASE-ICP'!$K:$K,'BASE-ICP'!$A:$A,Capex!$A168,'BASE-ICP'!$B:$B,"abril")/1000,"")),"")</f>
        <v>0</v>
      </c>
      <c r="CE176" s="427">
        <v>0</v>
      </c>
      <c r="CF176" s="372">
        <v>0</v>
      </c>
      <c r="CG176" s="419"/>
      <c r="CH176" s="423">
        <v>0</v>
      </c>
      <c r="CI176" s="427">
        <v>0</v>
      </c>
      <c r="CJ176" s="372">
        <v>0</v>
      </c>
      <c r="CK176" s="419"/>
      <c r="CL176" s="423">
        <f>IFERROR(IF(LEFT($A176,3)="Lcp",SUMIFS('BASE-LCP'!$K:$K,'BASE-LCP'!$A:$A,Capex!$A168,'BASE-LCP'!$B:$B,"junho")/1000,IF(LEFT($A176,3)="icp",SUMIFS('BASE-ICP'!$K:$K,'BASE-ICP'!$A:$A,Capex!$A168,'BASE-ICP'!$B:$B,"junho")/1000,"")),"")</f>
        <v>0</v>
      </c>
      <c r="CM176" s="427">
        <v>0</v>
      </c>
      <c r="CN176" s="372"/>
      <c r="CO176" s="419"/>
      <c r="CP176" s="423">
        <f>IFERROR(IF(LEFT($A176,3)="Lcp",SUMIFS('BASE-LCP'!$K:$K,'BASE-LCP'!$A:$A,Capex!$A168,'BASE-LCP'!$B:$B,"julho")/1000,IF(LEFT($A176,3)="icp",SUMIFS('BASE-ICP'!$K:$K,'BASE-ICP'!$A:$A,Capex!$A168,'BASE-ICP'!$B:$B,"julho")/1000,"")),"")</f>
        <v>0</v>
      </c>
      <c r="CQ176" s="427">
        <v>0</v>
      </c>
      <c r="CR176" s="372"/>
      <c r="CS176" s="419"/>
      <c r="CT176" s="423">
        <f>IFERROR(IF(LEFT($A176,3)="Lcp",SUMIFS('BASE-LCP'!$K:$K,'BASE-LCP'!$A:$A,Capex!$A168,'BASE-LCP'!$B:$B,"agosto")/1000,IF(LEFT($A176,3)="icp",SUMIFS('BASE-ICP'!$K:$K,'BASE-ICP'!$A:$A,Capex!$A168,'BASE-ICP'!$B:$B,"agosto")/1000,"")),"")</f>
        <v>0</v>
      </c>
      <c r="CU176" s="427">
        <v>0</v>
      </c>
      <c r="CV176" s="372"/>
      <c r="CW176" s="419"/>
      <c r="CX176" s="423">
        <f>IFERROR(IF(LEFT($A176,3)="Lcp",SUMIFS('BASE-LCP'!$K:$K,'BASE-LCP'!$A:$A,Capex!$A168,'BASE-LCP'!$B:$B,"setembro")/1000,IF(LEFT($A176,3)="icp",SUMIFS('BASE-ICP'!$K:$K,'BASE-ICP'!$A:$A,Capex!$A168,'BASE-ICP'!$B:$B,"setembro")/1000,"")),"")</f>
        <v>0</v>
      </c>
      <c r="CY176" s="427">
        <v>0</v>
      </c>
      <c r="CZ176" s="372"/>
      <c r="DA176" s="419"/>
      <c r="DB176" s="423">
        <f>IFERROR(IF(LEFT($A176,3)="Lcp",SUMIFS('BASE-LCP'!$K:$K,'BASE-LCP'!$A:$A,Capex!$A168,'BASE-LCP'!$B:$B,"outubro")/1000,IF(LEFT($A176,3)="icp",SUMIFS('BASE-ICP'!$K:$K,'BASE-ICP'!$A:$A,Capex!$A168,'BASE-ICP'!$B:$B,"outubro")/1000,"")),"")</f>
        <v>0</v>
      </c>
      <c r="DC176" s="427">
        <v>0</v>
      </c>
      <c r="DD176" s="372"/>
      <c r="DE176" s="419"/>
      <c r="DF176" s="423">
        <f>IFERROR(IF(LEFT($A176,3)="Lcp",SUMIFS('BASE-LCP'!$K:$K,'BASE-LCP'!$A:$A,Capex!$A168,'BASE-LCP'!$B:$B,"novembro")/1000,IF(LEFT($A176,3)="icp",SUMIFS('BASE-ICP'!$K:$K,'BASE-ICP'!$A:$A,Capex!$A168,'BASE-ICP'!$B:$B,"novembro")/1000,"")),"")</f>
        <v>0</v>
      </c>
      <c r="DG176" s="427">
        <v>0</v>
      </c>
      <c r="DH176" s="372"/>
      <c r="DI176" s="419"/>
      <c r="DJ176" s="423">
        <f>IFERROR(IF(LEFT($A176,3)="Lcp",SUMIFS('BASE-LCP'!$K:$K,'BASE-LCP'!$A:$A,Capex!$A168,'BASE-LCP'!$B:$B,"dezembro")/1000,IF(LEFT($A176,3)="icp",SUMIFS('BASE-ICP'!$K:$K,'BASE-ICP'!$A:$A,Capex!$A168,'BASE-ICP'!$B:$B,"dezembro")/1000,"")),"")</f>
        <v>0</v>
      </c>
      <c r="DK176" s="427">
        <v>0</v>
      </c>
      <c r="DL176" s="452">
        <f t="shared" si="85"/>
        <v>375</v>
      </c>
      <c r="DM176" s="374"/>
      <c r="DN176" s="374">
        <v>375</v>
      </c>
      <c r="DO176" s="374"/>
      <c r="DP176" s="374"/>
      <c r="DQ176" s="374"/>
      <c r="DR176" s="374"/>
      <c r="DS176" s="374"/>
      <c r="DT176" s="374"/>
      <c r="DU176" s="374"/>
      <c r="DV176" s="374"/>
      <c r="DW176" s="374"/>
      <c r="DX176" s="374"/>
      <c r="DY176" s="450"/>
      <c r="DZ176" s="374">
        <f t="shared" si="86"/>
        <v>375</v>
      </c>
      <c r="EA176" s="216">
        <f t="shared" si="87"/>
        <v>0</v>
      </c>
      <c r="EB176" s="320">
        <f t="shared" si="88"/>
        <v>0</v>
      </c>
      <c r="EC176" s="241">
        <f t="shared" si="89"/>
        <v>0</v>
      </c>
      <c r="ED176" s="241">
        <f t="shared" si="90"/>
        <v>0</v>
      </c>
      <c r="EE176" s="241">
        <f t="shared" si="91"/>
        <v>0</v>
      </c>
      <c r="EF176" s="241">
        <f t="shared" si="92"/>
        <v>0</v>
      </c>
      <c r="EG176" s="346">
        <f t="shared" si="93"/>
        <v>0</v>
      </c>
      <c r="EH176" s="445">
        <f t="shared" si="94"/>
        <v>0</v>
      </c>
      <c r="EI176" s="447">
        <f t="shared" si="95"/>
        <v>0</v>
      </c>
      <c r="EJ176" s="364">
        <f t="shared" si="96"/>
        <v>0</v>
      </c>
      <c r="EK176" s="365">
        <f t="shared" si="97"/>
        <v>0</v>
      </c>
      <c r="EL176" s="529">
        <f t="shared" si="98"/>
        <v>0</v>
      </c>
      <c r="EM176" s="530">
        <v>0</v>
      </c>
      <c r="EN176" s="530">
        <v>0</v>
      </c>
      <c r="EO176" s="530">
        <v>0</v>
      </c>
      <c r="EP176" s="530">
        <v>0</v>
      </c>
      <c r="EQ176" s="530">
        <v>0</v>
      </c>
      <c r="ER176" s="530">
        <v>0</v>
      </c>
      <c r="ES176" s="530">
        <v>0</v>
      </c>
      <c r="ET176" s="530">
        <v>0</v>
      </c>
      <c r="EU176" s="530">
        <v>0</v>
      </c>
      <c r="EV176" s="530">
        <v>0</v>
      </c>
      <c r="EW176" s="530">
        <v>0</v>
      </c>
      <c r="EX176" s="530">
        <v>0</v>
      </c>
      <c r="EY176" s="530">
        <f t="shared" si="99"/>
        <v>0</v>
      </c>
      <c r="EZ176" s="530">
        <f t="shared" si="100"/>
        <v>0</v>
      </c>
      <c r="FA176" s="530">
        <f t="shared" si="101"/>
        <v>0</v>
      </c>
      <c r="FB176" s="530">
        <f t="shared" si="102"/>
        <v>0</v>
      </c>
      <c r="FC176" s="384">
        <f>IFERROR(VLOOKUP(Capex!A168,BASE_558!D:R,8,FALSE)/1000,"")</f>
        <v>131.6</v>
      </c>
      <c r="FD176" s="328">
        <f>IFERROR(VLOOKUP(Capex!A168,BASE_558!D:R,9,)/1000,"")</f>
        <v>130.22325999999998</v>
      </c>
      <c r="FE176" s="328">
        <f>IFERROR(IF(LEFT(A176,3)="LCP",(VLOOKUP(Capex!A168,BASE_558!D:R,10,)/1000),SUMIFS('BASE ICP_PO_SC'!F:F,'BASE ICP_PO_SC'!A:A,Capex!A168,'BASE ICP_PO_SC'!E:E,"&lt;&gt;")/1000),"")</f>
        <v>0</v>
      </c>
      <c r="FF176" s="328">
        <f>IFERROR(IF(LEFT(A176,3)="LCP",(VLOOKUP(Capex!A168,BASE_558!D:R,11,)/1000),SUMIFS('BASE ICP_PO_SC'!F:F,'BASE ICP_PO_SC'!A:A,Capex!A168,'BASE ICP_PO_SC'!E:E,"")/1000),"")</f>
        <v>0</v>
      </c>
      <c r="FG176" s="328">
        <f>IFERROR(VLOOKUP(A176,BASE_558!D:R,13,FALSE)/1000,"")</f>
        <v>872.97573</v>
      </c>
      <c r="FH176" s="328">
        <f>IFERROR(VLOOKUP(A176,BASE_558!D:R,15,FALSE)/1000,"")</f>
        <v>394.07427000000001</v>
      </c>
      <c r="FI176" s="547">
        <f t="shared" si="103"/>
        <v>0</v>
      </c>
      <c r="FJ176" s="547">
        <f t="shared" si="104"/>
        <v>0</v>
      </c>
      <c r="FK176" s="540">
        <f t="shared" si="105"/>
        <v>0</v>
      </c>
    </row>
    <row r="177" spans="1:167" s="23" customFormat="1" ht="24" customHeight="1">
      <c r="A177" s="84" t="s">
        <v>309</v>
      </c>
      <c r="B177" s="404" t="s">
        <v>692</v>
      </c>
      <c r="C177" s="404"/>
      <c r="D177" s="338" t="s">
        <v>2240</v>
      </c>
      <c r="E177" s="378">
        <v>2729964</v>
      </c>
      <c r="F177" s="310" t="s">
        <v>609</v>
      </c>
      <c r="G177" s="310" t="s">
        <v>9</v>
      </c>
      <c r="H177" s="356"/>
      <c r="I177" s="356" t="s">
        <v>6</v>
      </c>
      <c r="J177" s="356">
        <v>2020</v>
      </c>
      <c r="K177" s="321">
        <v>43885</v>
      </c>
      <c r="L177" s="317">
        <v>44553</v>
      </c>
      <c r="M177" s="409"/>
      <c r="N177" s="317">
        <f t="shared" si="109"/>
        <v>44797</v>
      </c>
      <c r="O177" s="317">
        <f t="shared" si="110"/>
        <v>45162</v>
      </c>
      <c r="P177" s="418" t="str">
        <f t="shared" si="114"/>
        <v>CRTD</v>
      </c>
      <c r="Q177" s="418" t="str">
        <f t="shared" si="114"/>
        <v>CRTD</v>
      </c>
      <c r="R177" s="418" t="str">
        <f t="shared" si="114"/>
        <v>CRTD</v>
      </c>
      <c r="S177" s="418" t="str">
        <f t="shared" si="114"/>
        <v>CRTD</v>
      </c>
      <c r="T177" s="418" t="str">
        <f t="shared" si="114"/>
        <v>CRTD</v>
      </c>
      <c r="U177" s="418" t="str">
        <f t="shared" si="114"/>
        <v>CRTD</v>
      </c>
      <c r="V177" s="418" t="str">
        <f t="shared" si="114"/>
        <v>CRTD</v>
      </c>
      <c r="W177" s="418" t="str">
        <f t="shared" si="114"/>
        <v>CRTD</v>
      </c>
      <c r="X177" s="418" t="str">
        <f t="shared" si="114"/>
        <v>CRTD</v>
      </c>
      <c r="Y177" s="418" t="str">
        <f t="shared" si="114"/>
        <v>CRTD</v>
      </c>
      <c r="Z177" s="418" t="str">
        <f t="shared" si="114"/>
        <v>CRTD</v>
      </c>
      <c r="AA177" s="418" t="str">
        <f t="shared" si="114"/>
        <v>CRTD</v>
      </c>
      <c r="AB177" s="317"/>
      <c r="AC177" s="309" t="s">
        <v>3932</v>
      </c>
      <c r="AD177" s="311" t="s">
        <v>222</v>
      </c>
      <c r="AE177" s="361" t="s">
        <v>965</v>
      </c>
      <c r="AF177" s="310" t="s">
        <v>6985</v>
      </c>
      <c r="AG177" s="310" t="s">
        <v>9083</v>
      </c>
      <c r="AH177" s="310" t="s">
        <v>310</v>
      </c>
      <c r="AI177" s="309" t="s">
        <v>2255</v>
      </c>
      <c r="AJ177" s="6" t="s">
        <v>218</v>
      </c>
      <c r="AK177" s="6" t="str">
        <f t="shared" si="83"/>
        <v>IGUAL</v>
      </c>
      <c r="AL177" s="151" t="str">
        <f>IFERROR(IF(LEFT(A177,3)="LCP",VLOOKUP(A177,STATUS_SAP_LCP!B:C,2,FALSE),VLOOKUP(A177,STATUS_SAP_ICP!B:C,2,FALSE)),"NO BUDGET")</f>
        <v>CLSD BUDG AUC  AVAC  //  APPR BNRL EXPL</v>
      </c>
      <c r="AM177" s="6" t="str">
        <f t="shared" si="82"/>
        <v>CLSD</v>
      </c>
      <c r="AN177" s="282" t="s">
        <v>9098</v>
      </c>
      <c r="AO177" s="493">
        <v>1</v>
      </c>
      <c r="AP177" s="499" t="s">
        <v>9607</v>
      </c>
      <c r="AQ177" s="465">
        <v>44553</v>
      </c>
      <c r="AR177" s="460"/>
      <c r="AS177" s="56">
        <v>0</v>
      </c>
      <c r="AT177" s="185">
        <v>354.84650000000005</v>
      </c>
      <c r="AU177" s="318">
        <v>214.57983000000002</v>
      </c>
      <c r="AV177" s="223">
        <v>0.35880000000000001</v>
      </c>
      <c r="AW177" s="318">
        <v>0</v>
      </c>
      <c r="AX177" s="223">
        <v>0</v>
      </c>
      <c r="AY177" s="318">
        <f t="shared" si="111"/>
        <v>0</v>
      </c>
      <c r="AZ177" s="223"/>
      <c r="BA177" s="318"/>
      <c r="BB177" s="519">
        <f t="shared" si="112"/>
        <v>0</v>
      </c>
      <c r="BC177" s="518"/>
      <c r="BD177" s="518"/>
      <c r="BE177" s="518"/>
      <c r="BF177" s="518"/>
      <c r="BG177" s="518"/>
      <c r="BH177" s="518"/>
      <c r="BI177" s="518"/>
      <c r="BJ177" s="518"/>
      <c r="BK177" s="518"/>
      <c r="BL177" s="518"/>
      <c r="BM177" s="518"/>
      <c r="BN177" s="518"/>
      <c r="BO177" s="367">
        <f t="shared" si="84"/>
        <v>0</v>
      </c>
      <c r="BP177" s="421"/>
      <c r="BQ177" s="422"/>
      <c r="BR177" s="423">
        <f>IFERROR(IF(LEFT($A177,3)="Lcp",SUMIFS('BASE-LCP'!$K:$K,'BASE-LCP'!$A:$A,Capex!$A169,'BASE-LCP'!$B:$B,"janeiro")/1000,IF(LEFT($A177,3)="icp",SUMIFS('BASE-ICP'!$K:$K,'BASE-ICP'!$A:$A,Capex!$A169,'BASE-ICP'!$B:$B,"janeiro")/1000,"")),"")</f>
        <v>0</v>
      </c>
      <c r="BS177" s="427">
        <v>0</v>
      </c>
      <c r="BT177" s="372">
        <v>0</v>
      </c>
      <c r="BU177" s="422"/>
      <c r="BV177" s="423">
        <f>IFERROR(IF(LEFT($A177,3)="Lcp",SUMIFS('BASE-LCP'!$K:$K,'BASE-LCP'!$A:$A,Capex!$A169,'BASE-LCP'!$B:$B,"fevereiro")/1000,IF(LEFT($A177,3)="icp",SUMIFS('BASE-ICP'!$K:$K,'BASE-ICP'!$A:$A,Capex!$A169,'BASE-ICP'!$B:$B,"fevereiro")/1000,"")),"")</f>
        <v>0</v>
      </c>
      <c r="BW177" s="427">
        <v>0</v>
      </c>
      <c r="BX177" s="372">
        <v>0</v>
      </c>
      <c r="BY177" s="419"/>
      <c r="BZ177" s="423">
        <f>IFERROR(IF(LEFT($A177,3)="Lcp",SUMIFS('BASE-LCP'!$K:$K,'BASE-LCP'!$A:$A,Capex!$A169,'BASE-LCP'!$B:$B,"março")/1000,IF(LEFT($A177,3)="icp",SUMIFS('BASE-ICP'!$K:$K,'BASE-ICP'!$A:$A,Capex!$A169,'BASE-ICP'!$B:$B,"março")/1000,"")),"")</f>
        <v>0</v>
      </c>
      <c r="CA177" s="427">
        <v>0</v>
      </c>
      <c r="CB177" s="372">
        <v>0</v>
      </c>
      <c r="CC177" s="422"/>
      <c r="CD177" s="423">
        <f>IFERROR(IF(LEFT($A177,3)="Lcp",SUMIFS('BASE-LCP'!$K:$K,'BASE-LCP'!$A:$A,Capex!$A169,'BASE-LCP'!$B:$B,"abril")/1000,IF(LEFT($A177,3)="icp",SUMIFS('BASE-ICP'!$K:$K,'BASE-ICP'!$A:$A,Capex!$A169,'BASE-ICP'!$B:$B,"abril")/1000,"")),"")</f>
        <v>0</v>
      </c>
      <c r="CE177" s="427">
        <v>0</v>
      </c>
      <c r="CF177" s="372">
        <v>0</v>
      </c>
      <c r="CG177" s="419"/>
      <c r="CH177" s="423">
        <v>0</v>
      </c>
      <c r="CI177" s="427">
        <v>0</v>
      </c>
      <c r="CJ177" s="372">
        <v>0</v>
      </c>
      <c r="CK177" s="419"/>
      <c r="CL177" s="423">
        <f>IFERROR(IF(LEFT($A177,3)="Lcp",SUMIFS('BASE-LCP'!$K:$K,'BASE-LCP'!$A:$A,Capex!$A169,'BASE-LCP'!$B:$B,"junho")/1000,IF(LEFT($A177,3)="icp",SUMIFS('BASE-ICP'!$K:$K,'BASE-ICP'!$A:$A,Capex!$A169,'BASE-ICP'!$B:$B,"junho")/1000,"")),"")</f>
        <v>0</v>
      </c>
      <c r="CM177" s="427">
        <v>0</v>
      </c>
      <c r="CN177" s="372"/>
      <c r="CO177" s="419"/>
      <c r="CP177" s="423">
        <f>IFERROR(IF(LEFT($A177,3)="Lcp",SUMIFS('BASE-LCP'!$K:$K,'BASE-LCP'!$A:$A,Capex!$A169,'BASE-LCP'!$B:$B,"julho")/1000,IF(LEFT($A177,3)="icp",SUMIFS('BASE-ICP'!$K:$K,'BASE-ICP'!$A:$A,Capex!$A169,'BASE-ICP'!$B:$B,"julho")/1000,"")),"")</f>
        <v>0</v>
      </c>
      <c r="CQ177" s="427">
        <v>0</v>
      </c>
      <c r="CR177" s="372"/>
      <c r="CS177" s="419"/>
      <c r="CT177" s="423">
        <f>IFERROR(IF(LEFT($A177,3)="Lcp",SUMIFS('BASE-LCP'!$K:$K,'BASE-LCP'!$A:$A,Capex!$A169,'BASE-LCP'!$B:$B,"agosto")/1000,IF(LEFT($A177,3)="icp",SUMIFS('BASE-ICP'!$K:$K,'BASE-ICP'!$A:$A,Capex!$A169,'BASE-ICP'!$B:$B,"agosto")/1000,"")),"")</f>
        <v>0</v>
      </c>
      <c r="CU177" s="427">
        <v>0</v>
      </c>
      <c r="CV177" s="372"/>
      <c r="CW177" s="419"/>
      <c r="CX177" s="423">
        <f>IFERROR(IF(LEFT($A177,3)="Lcp",SUMIFS('BASE-LCP'!$K:$K,'BASE-LCP'!$A:$A,Capex!$A169,'BASE-LCP'!$B:$B,"setembro")/1000,IF(LEFT($A177,3)="icp",SUMIFS('BASE-ICP'!$K:$K,'BASE-ICP'!$A:$A,Capex!$A169,'BASE-ICP'!$B:$B,"setembro")/1000,"")),"")</f>
        <v>0</v>
      </c>
      <c r="CY177" s="427">
        <v>0</v>
      </c>
      <c r="CZ177" s="372"/>
      <c r="DA177" s="419"/>
      <c r="DB177" s="423">
        <f>IFERROR(IF(LEFT($A177,3)="Lcp",SUMIFS('BASE-LCP'!$K:$K,'BASE-LCP'!$A:$A,Capex!$A169,'BASE-LCP'!$B:$B,"outubro")/1000,IF(LEFT($A177,3)="icp",SUMIFS('BASE-ICP'!$K:$K,'BASE-ICP'!$A:$A,Capex!$A169,'BASE-ICP'!$B:$B,"outubro")/1000,"")),"")</f>
        <v>0</v>
      </c>
      <c r="DC177" s="427">
        <v>0</v>
      </c>
      <c r="DD177" s="372"/>
      <c r="DE177" s="419"/>
      <c r="DF177" s="423">
        <f>IFERROR(IF(LEFT($A177,3)="Lcp",SUMIFS('BASE-LCP'!$K:$K,'BASE-LCP'!$A:$A,Capex!$A169,'BASE-LCP'!$B:$B,"novembro")/1000,IF(LEFT($A177,3)="icp",SUMIFS('BASE-ICP'!$K:$K,'BASE-ICP'!$A:$A,Capex!$A169,'BASE-ICP'!$B:$B,"novembro")/1000,"")),"")</f>
        <v>0</v>
      </c>
      <c r="DG177" s="427">
        <v>0</v>
      </c>
      <c r="DH177" s="372"/>
      <c r="DI177" s="419"/>
      <c r="DJ177" s="423">
        <f>IFERROR(IF(LEFT($A177,3)="Lcp",SUMIFS('BASE-LCP'!$K:$K,'BASE-LCP'!$A:$A,Capex!$A169,'BASE-LCP'!$B:$B,"dezembro")/1000,IF(LEFT($A177,3)="icp",SUMIFS('BASE-ICP'!$K:$K,'BASE-ICP'!$A:$A,Capex!$A169,'BASE-ICP'!$B:$B,"dezembro")/1000,"")),"")</f>
        <v>0</v>
      </c>
      <c r="DK177" s="427">
        <v>0</v>
      </c>
      <c r="DL177" s="452">
        <f t="shared" si="85"/>
        <v>0</v>
      </c>
      <c r="DM177" s="374"/>
      <c r="DN177" s="374"/>
      <c r="DO177" s="374"/>
      <c r="DP177" s="374"/>
      <c r="DQ177" s="374"/>
      <c r="DR177" s="374"/>
      <c r="DS177" s="374"/>
      <c r="DT177" s="374"/>
      <c r="DU177" s="374"/>
      <c r="DV177" s="374"/>
      <c r="DW177" s="374"/>
      <c r="DX177" s="374"/>
      <c r="DY177" s="450"/>
      <c r="DZ177" s="374">
        <f t="shared" si="86"/>
        <v>0</v>
      </c>
      <c r="EA177" s="216">
        <f t="shared" si="87"/>
        <v>0</v>
      </c>
      <c r="EB177" s="320">
        <f t="shared" si="88"/>
        <v>0</v>
      </c>
      <c r="EC177" s="241">
        <f t="shared" si="89"/>
        <v>0</v>
      </c>
      <c r="ED177" s="241">
        <f t="shared" si="90"/>
        <v>0</v>
      </c>
      <c r="EE177" s="241">
        <f t="shared" si="91"/>
        <v>0</v>
      </c>
      <c r="EF177" s="241">
        <f t="shared" si="92"/>
        <v>0</v>
      </c>
      <c r="EG177" s="346">
        <f t="shared" si="93"/>
        <v>0</v>
      </c>
      <c r="EH177" s="445">
        <f t="shared" si="94"/>
        <v>0</v>
      </c>
      <c r="EI177" s="447">
        <f t="shared" si="95"/>
        <v>0</v>
      </c>
      <c r="EJ177" s="364">
        <f t="shared" si="96"/>
        <v>0</v>
      </c>
      <c r="EK177" s="365">
        <f t="shared" si="97"/>
        <v>0</v>
      </c>
      <c r="EL177" s="529">
        <f t="shared" si="98"/>
        <v>0</v>
      </c>
      <c r="EM177" s="530">
        <v>0</v>
      </c>
      <c r="EN177" s="530">
        <v>0</v>
      </c>
      <c r="EO177" s="530">
        <v>0</v>
      </c>
      <c r="EP177" s="530">
        <v>0</v>
      </c>
      <c r="EQ177" s="530">
        <v>0</v>
      </c>
      <c r="ER177" s="530">
        <v>0</v>
      </c>
      <c r="ES177" s="530">
        <v>0</v>
      </c>
      <c r="ET177" s="530">
        <v>0</v>
      </c>
      <c r="EU177" s="530">
        <v>0</v>
      </c>
      <c r="EV177" s="530">
        <v>0</v>
      </c>
      <c r="EW177" s="530">
        <v>0</v>
      </c>
      <c r="EX177" s="530">
        <v>0</v>
      </c>
      <c r="EY177" s="530">
        <f t="shared" si="99"/>
        <v>0</v>
      </c>
      <c r="EZ177" s="530">
        <f t="shared" si="100"/>
        <v>0</v>
      </c>
      <c r="FA177" s="530">
        <f t="shared" si="101"/>
        <v>0</v>
      </c>
      <c r="FB177" s="530">
        <f t="shared" si="102"/>
        <v>0</v>
      </c>
      <c r="FC177" s="384">
        <f>IFERROR(VLOOKUP(Capex!A169,BASE_558!D:R,8,FALSE)/1000,"")</f>
        <v>560.5</v>
      </c>
      <c r="FD177" s="328">
        <f>IFERROR(VLOOKUP(Capex!A169,BASE_558!D:R,9,)/1000,"")</f>
        <v>525.42705000000001</v>
      </c>
      <c r="FE177" s="328">
        <f>IFERROR(IF(LEFT(A177,3)="LCP",(VLOOKUP(Capex!A169,BASE_558!D:R,10,)/1000),SUMIFS('BASE ICP_PO_SC'!F:F,'BASE ICP_PO_SC'!A:A,Capex!A169,'BASE ICP_PO_SC'!E:E,"&lt;&gt;")/1000),"")</f>
        <v>0</v>
      </c>
      <c r="FF177" s="328">
        <f>IFERROR(IF(LEFT(A177,3)="LCP",(VLOOKUP(Capex!A169,BASE_558!D:R,11,)/1000),SUMIFS('BASE ICP_PO_SC'!F:F,'BASE ICP_PO_SC'!A:A,Capex!A169,'BASE ICP_PO_SC'!E:E,"")/1000),"")</f>
        <v>0</v>
      </c>
      <c r="FG177" s="328">
        <f>IFERROR(VLOOKUP(A177,BASE_558!D:R,13,FALSE)/1000,"")</f>
        <v>569.78512999999998</v>
      </c>
      <c r="FH177" s="328">
        <f>IFERROR(VLOOKUP(A177,BASE_558!D:R,15,FALSE)/1000,"")</f>
        <v>1.6633699999999998</v>
      </c>
      <c r="FI177" s="547">
        <f t="shared" si="103"/>
        <v>0</v>
      </c>
      <c r="FJ177" s="547">
        <f t="shared" si="104"/>
        <v>0</v>
      </c>
      <c r="FK177" s="540">
        <f t="shared" si="105"/>
        <v>0</v>
      </c>
    </row>
    <row r="178" spans="1:167" s="23" customFormat="1" ht="24" customHeight="1">
      <c r="A178" s="84" t="s">
        <v>311</v>
      </c>
      <c r="B178" s="404"/>
      <c r="C178" s="404"/>
      <c r="D178" s="338" t="s">
        <v>6</v>
      </c>
      <c r="E178" s="378">
        <v>2657378</v>
      </c>
      <c r="F178" s="5"/>
      <c r="G178" s="310" t="s">
        <v>9</v>
      </c>
      <c r="H178" s="356"/>
      <c r="I178" s="356"/>
      <c r="J178" s="356">
        <v>2020</v>
      </c>
      <c r="K178" s="321">
        <v>43867</v>
      </c>
      <c r="L178" s="317">
        <v>44278</v>
      </c>
      <c r="M178" s="409"/>
      <c r="N178" s="317">
        <f t="shared" si="109"/>
        <v>44779</v>
      </c>
      <c r="O178" s="317">
        <f t="shared" si="110"/>
        <v>45144</v>
      </c>
      <c r="P178" s="418" t="str">
        <f t="shared" si="114"/>
        <v>CRTD</v>
      </c>
      <c r="Q178" s="418" t="str">
        <f t="shared" si="114"/>
        <v>CRTD</v>
      </c>
      <c r="R178" s="418" t="str">
        <f t="shared" si="114"/>
        <v>CRTD</v>
      </c>
      <c r="S178" s="418" t="str">
        <f t="shared" si="114"/>
        <v>CRTD</v>
      </c>
      <c r="T178" s="418" t="str">
        <f t="shared" si="114"/>
        <v>CRTD</v>
      </c>
      <c r="U178" s="418" t="str">
        <f t="shared" si="114"/>
        <v>CRTD</v>
      </c>
      <c r="V178" s="418" t="str">
        <f t="shared" si="114"/>
        <v>CRTD</v>
      </c>
      <c r="W178" s="418" t="str">
        <f t="shared" si="114"/>
        <v>CRTD</v>
      </c>
      <c r="X178" s="418" t="str">
        <f t="shared" si="114"/>
        <v>CRTD</v>
      </c>
      <c r="Y178" s="418" t="str">
        <f t="shared" si="114"/>
        <v>CRTD</v>
      </c>
      <c r="Z178" s="418" t="str">
        <f t="shared" si="114"/>
        <v>CRTD</v>
      </c>
      <c r="AA178" s="418" t="str">
        <f t="shared" si="114"/>
        <v>CRTD</v>
      </c>
      <c r="AB178" s="317"/>
      <c r="AC178" s="309" t="s">
        <v>3932</v>
      </c>
      <c r="AD178" s="311" t="s">
        <v>223</v>
      </c>
      <c r="AE178" s="361" t="s">
        <v>613</v>
      </c>
      <c r="AF178" s="310" t="s">
        <v>6985</v>
      </c>
      <c r="AG178" s="310" t="s">
        <v>9083</v>
      </c>
      <c r="AH178" s="310" t="s">
        <v>312</v>
      </c>
      <c r="AI178" s="381" t="s">
        <v>2255</v>
      </c>
      <c r="AJ178" s="6" t="s">
        <v>218</v>
      </c>
      <c r="AK178" s="6" t="str">
        <f t="shared" si="83"/>
        <v>IGUAL</v>
      </c>
      <c r="AL178" s="151" t="str">
        <f>IFERROR(IF(LEFT(A178,3)="LCP",VLOOKUP(A178,STATUS_SAP_LCP!B:C,2,FALSE),VLOOKUP(A178,STATUS_SAP_ICP!B:C,2,FALSE)),"NO BUDGET")</f>
        <v>CLSD BUDG AUC  AVAC  //  APPR BREL EXPL</v>
      </c>
      <c r="AM178" s="6" t="str">
        <f t="shared" si="82"/>
        <v>CLSD</v>
      </c>
      <c r="AN178" s="282" t="s">
        <v>197</v>
      </c>
      <c r="AO178" s="493">
        <v>1</v>
      </c>
      <c r="AP178" s="499" t="s">
        <v>9607</v>
      </c>
      <c r="AQ178" s="465">
        <v>44278</v>
      </c>
      <c r="AR178" s="460"/>
      <c r="AS178" s="56">
        <v>0</v>
      </c>
      <c r="AT178" s="185">
        <v>821.01602000000003</v>
      </c>
      <c r="AU178" s="318">
        <v>29.465679999999992</v>
      </c>
      <c r="AV178" s="223">
        <v>0</v>
      </c>
      <c r="AW178" s="318">
        <v>0</v>
      </c>
      <c r="AX178" s="223">
        <v>0</v>
      </c>
      <c r="AY178" s="318">
        <f t="shared" si="111"/>
        <v>0</v>
      </c>
      <c r="AZ178" s="223"/>
      <c r="BA178" s="318"/>
      <c r="BB178" s="519">
        <f t="shared" si="112"/>
        <v>0</v>
      </c>
      <c r="BC178" s="518"/>
      <c r="BD178" s="518"/>
      <c r="BE178" s="518"/>
      <c r="BF178" s="518"/>
      <c r="BG178" s="518"/>
      <c r="BH178" s="518"/>
      <c r="BI178" s="518"/>
      <c r="BJ178" s="518"/>
      <c r="BK178" s="518"/>
      <c r="BL178" s="518"/>
      <c r="BM178" s="518"/>
      <c r="BN178" s="518"/>
      <c r="BO178" s="367">
        <f t="shared" si="84"/>
        <v>0</v>
      </c>
      <c r="BP178" s="421"/>
      <c r="BQ178" s="422"/>
      <c r="BR178" s="423">
        <f>IFERROR(IF(LEFT($A178,3)="Lcp",SUMIFS('BASE-LCP'!$K:$K,'BASE-LCP'!$A:$A,Capex!$A170,'BASE-LCP'!$B:$B,"janeiro")/1000,IF(LEFT($A178,3)="icp",SUMIFS('BASE-ICP'!$K:$K,'BASE-ICP'!$A:$A,Capex!$A170,'BASE-ICP'!$B:$B,"janeiro")/1000,"")),"")</f>
        <v>0</v>
      </c>
      <c r="BS178" s="427">
        <v>0</v>
      </c>
      <c r="BT178" s="372">
        <v>0</v>
      </c>
      <c r="BU178" s="422"/>
      <c r="BV178" s="423">
        <f>IFERROR(IF(LEFT($A178,3)="Lcp",SUMIFS('BASE-LCP'!$K:$K,'BASE-LCP'!$A:$A,Capex!$A170,'BASE-LCP'!$B:$B,"fevereiro")/1000,IF(LEFT($A178,3)="icp",SUMIFS('BASE-ICP'!$K:$K,'BASE-ICP'!$A:$A,Capex!$A170,'BASE-ICP'!$B:$B,"fevereiro")/1000,"")),"")</f>
        <v>0</v>
      </c>
      <c r="BW178" s="427">
        <v>0</v>
      </c>
      <c r="BX178" s="372">
        <v>0</v>
      </c>
      <c r="BY178" s="419"/>
      <c r="BZ178" s="423">
        <f>IFERROR(IF(LEFT($A178,3)="Lcp",SUMIFS('BASE-LCP'!$K:$K,'BASE-LCP'!$A:$A,Capex!$A170,'BASE-LCP'!$B:$B,"março")/1000,IF(LEFT($A178,3)="icp",SUMIFS('BASE-ICP'!$K:$K,'BASE-ICP'!$A:$A,Capex!$A170,'BASE-ICP'!$B:$B,"março")/1000,"")),"")</f>
        <v>0</v>
      </c>
      <c r="CA178" s="427">
        <v>0</v>
      </c>
      <c r="CB178" s="372">
        <v>0</v>
      </c>
      <c r="CC178" s="422"/>
      <c r="CD178" s="423">
        <f>IFERROR(IF(LEFT($A178,3)="Lcp",SUMIFS('BASE-LCP'!$K:$K,'BASE-LCP'!$A:$A,Capex!$A170,'BASE-LCP'!$B:$B,"abril")/1000,IF(LEFT($A178,3)="icp",SUMIFS('BASE-ICP'!$K:$K,'BASE-ICP'!$A:$A,Capex!$A170,'BASE-ICP'!$B:$B,"abril")/1000,"")),"")</f>
        <v>0</v>
      </c>
      <c r="CE178" s="427">
        <v>0</v>
      </c>
      <c r="CF178" s="372">
        <v>0</v>
      </c>
      <c r="CG178" s="419"/>
      <c r="CH178" s="423">
        <v>0</v>
      </c>
      <c r="CI178" s="427">
        <v>0</v>
      </c>
      <c r="CJ178" s="372">
        <v>0</v>
      </c>
      <c r="CK178" s="419"/>
      <c r="CL178" s="423">
        <f>IFERROR(IF(LEFT($A178,3)="Lcp",SUMIFS('BASE-LCP'!$K:$K,'BASE-LCP'!$A:$A,Capex!$A170,'BASE-LCP'!$B:$B,"junho")/1000,IF(LEFT($A178,3)="icp",SUMIFS('BASE-ICP'!$K:$K,'BASE-ICP'!$A:$A,Capex!$A170,'BASE-ICP'!$B:$B,"junho")/1000,"")),"")</f>
        <v>0</v>
      </c>
      <c r="CM178" s="427">
        <v>0</v>
      </c>
      <c r="CN178" s="372"/>
      <c r="CO178" s="419"/>
      <c r="CP178" s="423">
        <f>IFERROR(IF(LEFT($A178,3)="Lcp",SUMIFS('BASE-LCP'!$K:$K,'BASE-LCP'!$A:$A,Capex!$A170,'BASE-LCP'!$B:$B,"julho")/1000,IF(LEFT($A178,3)="icp",SUMIFS('BASE-ICP'!$K:$K,'BASE-ICP'!$A:$A,Capex!$A170,'BASE-ICP'!$B:$B,"julho")/1000,"")),"")</f>
        <v>0</v>
      </c>
      <c r="CQ178" s="427">
        <v>0</v>
      </c>
      <c r="CR178" s="372"/>
      <c r="CS178" s="419"/>
      <c r="CT178" s="423">
        <f>IFERROR(IF(LEFT($A178,3)="Lcp",SUMIFS('BASE-LCP'!$K:$K,'BASE-LCP'!$A:$A,Capex!$A170,'BASE-LCP'!$B:$B,"agosto")/1000,IF(LEFT($A178,3)="icp",SUMIFS('BASE-ICP'!$K:$K,'BASE-ICP'!$A:$A,Capex!$A170,'BASE-ICP'!$B:$B,"agosto")/1000,"")),"")</f>
        <v>0</v>
      </c>
      <c r="CU178" s="427">
        <v>0</v>
      </c>
      <c r="CV178" s="372"/>
      <c r="CW178" s="419"/>
      <c r="CX178" s="423">
        <f>IFERROR(IF(LEFT($A178,3)="Lcp",SUMIFS('BASE-LCP'!$K:$K,'BASE-LCP'!$A:$A,Capex!$A170,'BASE-LCP'!$B:$B,"setembro")/1000,IF(LEFT($A178,3)="icp",SUMIFS('BASE-ICP'!$K:$K,'BASE-ICP'!$A:$A,Capex!$A170,'BASE-ICP'!$B:$B,"setembro")/1000,"")),"")</f>
        <v>0</v>
      </c>
      <c r="CY178" s="427">
        <v>0</v>
      </c>
      <c r="CZ178" s="372"/>
      <c r="DA178" s="419"/>
      <c r="DB178" s="423">
        <f>IFERROR(IF(LEFT($A178,3)="Lcp",SUMIFS('BASE-LCP'!$K:$K,'BASE-LCP'!$A:$A,Capex!$A170,'BASE-LCP'!$B:$B,"outubro")/1000,IF(LEFT($A178,3)="icp",SUMIFS('BASE-ICP'!$K:$K,'BASE-ICP'!$A:$A,Capex!$A170,'BASE-ICP'!$B:$B,"outubro")/1000,"")),"")</f>
        <v>0</v>
      </c>
      <c r="DC178" s="427">
        <v>0</v>
      </c>
      <c r="DD178" s="372"/>
      <c r="DE178" s="419"/>
      <c r="DF178" s="423">
        <f>IFERROR(IF(LEFT($A178,3)="Lcp",SUMIFS('BASE-LCP'!$K:$K,'BASE-LCP'!$A:$A,Capex!$A170,'BASE-LCP'!$B:$B,"novembro")/1000,IF(LEFT($A178,3)="icp",SUMIFS('BASE-ICP'!$K:$K,'BASE-ICP'!$A:$A,Capex!$A170,'BASE-ICP'!$B:$B,"novembro")/1000,"")),"")</f>
        <v>0</v>
      </c>
      <c r="DG178" s="427">
        <v>0</v>
      </c>
      <c r="DH178" s="372"/>
      <c r="DI178" s="419"/>
      <c r="DJ178" s="423">
        <f>IFERROR(IF(LEFT($A178,3)="Lcp",SUMIFS('BASE-LCP'!$K:$K,'BASE-LCP'!$A:$A,Capex!$A170,'BASE-LCP'!$B:$B,"dezembro")/1000,IF(LEFT($A178,3)="icp",SUMIFS('BASE-ICP'!$K:$K,'BASE-ICP'!$A:$A,Capex!$A170,'BASE-ICP'!$B:$B,"dezembro")/1000,"")),"")</f>
        <v>0</v>
      </c>
      <c r="DK178" s="427">
        <v>0</v>
      </c>
      <c r="DL178" s="452">
        <f t="shared" si="85"/>
        <v>0</v>
      </c>
      <c r="DM178" s="374"/>
      <c r="DN178" s="374"/>
      <c r="DO178" s="374"/>
      <c r="DP178" s="374"/>
      <c r="DQ178" s="374"/>
      <c r="DR178" s="374"/>
      <c r="DS178" s="374"/>
      <c r="DT178" s="374"/>
      <c r="DU178" s="374"/>
      <c r="DV178" s="374"/>
      <c r="DW178" s="374"/>
      <c r="DX178" s="374"/>
      <c r="DY178" s="450"/>
      <c r="DZ178" s="374">
        <f t="shared" si="86"/>
        <v>0</v>
      </c>
      <c r="EA178" s="216">
        <f t="shared" si="87"/>
        <v>0</v>
      </c>
      <c r="EB178" s="320">
        <f t="shared" si="88"/>
        <v>0</v>
      </c>
      <c r="EC178" s="241">
        <f t="shared" si="89"/>
        <v>0</v>
      </c>
      <c r="ED178" s="241">
        <f t="shared" si="90"/>
        <v>0</v>
      </c>
      <c r="EE178" s="241">
        <f t="shared" si="91"/>
        <v>0</v>
      </c>
      <c r="EF178" s="241">
        <f t="shared" si="92"/>
        <v>0</v>
      </c>
      <c r="EG178" s="346">
        <f t="shared" si="93"/>
        <v>0</v>
      </c>
      <c r="EH178" s="445">
        <f t="shared" si="94"/>
        <v>0</v>
      </c>
      <c r="EI178" s="447">
        <f t="shared" si="95"/>
        <v>0</v>
      </c>
      <c r="EJ178" s="364">
        <f t="shared" si="96"/>
        <v>0</v>
      </c>
      <c r="EK178" s="365">
        <f t="shared" si="97"/>
        <v>0</v>
      </c>
      <c r="EL178" s="529">
        <f t="shared" si="98"/>
        <v>0</v>
      </c>
      <c r="EM178" s="530">
        <v>0</v>
      </c>
      <c r="EN178" s="530">
        <v>0</v>
      </c>
      <c r="EO178" s="530">
        <v>0</v>
      </c>
      <c r="EP178" s="530">
        <v>0</v>
      </c>
      <c r="EQ178" s="530">
        <v>0</v>
      </c>
      <c r="ER178" s="530">
        <v>0</v>
      </c>
      <c r="ES178" s="530">
        <v>0</v>
      </c>
      <c r="ET178" s="530">
        <v>0</v>
      </c>
      <c r="EU178" s="530">
        <v>0</v>
      </c>
      <c r="EV178" s="530">
        <v>0</v>
      </c>
      <c r="EW178" s="530">
        <v>0</v>
      </c>
      <c r="EX178" s="530">
        <v>0</v>
      </c>
      <c r="EY178" s="530">
        <f t="shared" si="99"/>
        <v>0</v>
      </c>
      <c r="EZ178" s="530">
        <f t="shared" si="100"/>
        <v>0</v>
      </c>
      <c r="FA178" s="530">
        <f t="shared" si="101"/>
        <v>0</v>
      </c>
      <c r="FB178" s="530">
        <f t="shared" si="102"/>
        <v>0</v>
      </c>
      <c r="FC178" s="384">
        <f>IFERROR(VLOOKUP(Capex!A170,BASE_558!D:R,8,FALSE)/1000,"")</f>
        <v>138.869</v>
      </c>
      <c r="FD178" s="328">
        <f>IFERROR(VLOOKUP(Capex!A170,BASE_558!D:R,9,)/1000,"")</f>
        <v>133.28254000000001</v>
      </c>
      <c r="FE178" s="328">
        <f>IFERROR(IF(LEFT(A178,3)="LCP",(VLOOKUP(Capex!A170,BASE_558!D:R,10,)/1000),SUMIFS('BASE ICP_PO_SC'!F:F,'BASE ICP_PO_SC'!A:A,Capex!A170,'BASE ICP_PO_SC'!E:E,"&lt;&gt;")/1000),"")</f>
        <v>0</v>
      </c>
      <c r="FF178" s="328">
        <f>IFERROR(IF(LEFT(A178,3)="LCP",(VLOOKUP(Capex!A170,BASE_558!D:R,11,)/1000),SUMIFS('BASE ICP_PO_SC'!F:F,'BASE ICP_PO_SC'!A:A,Capex!A170,'BASE ICP_PO_SC'!E:E,"")/1000),"")</f>
        <v>0</v>
      </c>
      <c r="FG178" s="328">
        <f>IFERROR(VLOOKUP(A178,BASE_558!D:R,13,FALSE)/1000,"")</f>
        <v>850.48169999999993</v>
      </c>
      <c r="FH178" s="328">
        <f>IFERROR(VLOOKUP(A178,BASE_558!D:R,15,FALSE)/1000,"")</f>
        <v>149.51829999999998</v>
      </c>
      <c r="FI178" s="547">
        <f t="shared" si="103"/>
        <v>0</v>
      </c>
      <c r="FJ178" s="547">
        <f t="shared" si="104"/>
        <v>0</v>
      </c>
      <c r="FK178" s="540">
        <f t="shared" si="105"/>
        <v>0</v>
      </c>
    </row>
    <row r="179" spans="1:167" s="23" customFormat="1" ht="24" customHeight="1">
      <c r="A179" s="84" t="s">
        <v>315</v>
      </c>
      <c r="B179" s="404"/>
      <c r="C179" s="404"/>
      <c r="D179" s="338" t="s">
        <v>2241</v>
      </c>
      <c r="E179" s="378">
        <v>2669295</v>
      </c>
      <c r="F179" s="310"/>
      <c r="G179" s="310" t="s">
        <v>9</v>
      </c>
      <c r="H179" s="356"/>
      <c r="I179" s="356" t="s">
        <v>6</v>
      </c>
      <c r="J179" s="356">
        <v>2020</v>
      </c>
      <c r="K179" s="321">
        <v>43858</v>
      </c>
      <c r="L179" s="317">
        <v>44278</v>
      </c>
      <c r="M179" s="409"/>
      <c r="N179" s="317">
        <f t="shared" si="109"/>
        <v>44770</v>
      </c>
      <c r="O179" s="317">
        <f t="shared" si="110"/>
        <v>45135</v>
      </c>
      <c r="P179" s="418" t="str">
        <f t="shared" si="114"/>
        <v>CRTD</v>
      </c>
      <c r="Q179" s="418" t="str">
        <f t="shared" si="114"/>
        <v>CRTD</v>
      </c>
      <c r="R179" s="418" t="str">
        <f t="shared" si="114"/>
        <v>CRTD</v>
      </c>
      <c r="S179" s="418" t="str">
        <f t="shared" si="114"/>
        <v>CRTD</v>
      </c>
      <c r="T179" s="418" t="str">
        <f t="shared" si="114"/>
        <v>CRTD</v>
      </c>
      <c r="U179" s="418" t="str">
        <f t="shared" si="114"/>
        <v>CRTD</v>
      </c>
      <c r="V179" s="418" t="str">
        <f t="shared" si="114"/>
        <v>CRTD</v>
      </c>
      <c r="W179" s="418" t="str">
        <f t="shared" si="114"/>
        <v>CRTD</v>
      </c>
      <c r="X179" s="418" t="str">
        <f t="shared" si="114"/>
        <v>CRTD</v>
      </c>
      <c r="Y179" s="418" t="str">
        <f t="shared" si="114"/>
        <v>CRTD</v>
      </c>
      <c r="Z179" s="418" t="str">
        <f t="shared" si="114"/>
        <v>CRTD</v>
      </c>
      <c r="AA179" s="418" t="str">
        <f t="shared" si="114"/>
        <v>CRTD</v>
      </c>
      <c r="AB179" s="317"/>
      <c r="AC179" s="309" t="s">
        <v>3932</v>
      </c>
      <c r="AD179" s="311" t="s">
        <v>222</v>
      </c>
      <c r="AE179" s="361" t="s">
        <v>965</v>
      </c>
      <c r="AF179" s="310" t="s">
        <v>6985</v>
      </c>
      <c r="AG179" s="310" t="s">
        <v>9083</v>
      </c>
      <c r="AH179" s="310" t="s">
        <v>314</v>
      </c>
      <c r="AI179" s="381" t="s">
        <v>2255</v>
      </c>
      <c r="AJ179" s="6" t="s">
        <v>218</v>
      </c>
      <c r="AK179" s="6" t="str">
        <f t="shared" si="83"/>
        <v>IGUAL</v>
      </c>
      <c r="AL179" s="151" t="str">
        <f>IFERROR(IF(LEFT(A179,3)="LCP",VLOOKUP(A179,STATUS_SAP_LCP!B:C,2,FALSE),VLOOKUP(A179,STATUS_SAP_ICP!B:C,2,FALSE)),"NO BUDGET")</f>
        <v>CLSD BUDG AUC  AVAC  //  APPR BREL EXPL</v>
      </c>
      <c r="AM179" s="6" t="str">
        <f t="shared" si="82"/>
        <v>CLSD</v>
      </c>
      <c r="AN179" s="282" t="s">
        <v>9098</v>
      </c>
      <c r="AO179" s="493">
        <v>1</v>
      </c>
      <c r="AP179" s="499" t="s">
        <v>9607</v>
      </c>
      <c r="AQ179" s="465">
        <v>44278</v>
      </c>
      <c r="AR179" s="460"/>
      <c r="AS179" s="56">
        <v>0</v>
      </c>
      <c r="AT179" s="185">
        <v>284.95877999999999</v>
      </c>
      <c r="AU179" s="318">
        <v>-0.55757000000000001</v>
      </c>
      <c r="AV179" s="223">
        <v>0</v>
      </c>
      <c r="AW179" s="318">
        <v>0</v>
      </c>
      <c r="AX179" s="223">
        <v>0</v>
      </c>
      <c r="AY179" s="318">
        <f t="shared" si="111"/>
        <v>0</v>
      </c>
      <c r="AZ179" s="223"/>
      <c r="BA179" s="318"/>
      <c r="BB179" s="519">
        <f t="shared" si="112"/>
        <v>0</v>
      </c>
      <c r="BC179" s="518"/>
      <c r="BD179" s="518"/>
      <c r="BE179" s="518"/>
      <c r="BF179" s="518"/>
      <c r="BG179" s="518"/>
      <c r="BH179" s="518"/>
      <c r="BI179" s="518"/>
      <c r="BJ179" s="518"/>
      <c r="BK179" s="518"/>
      <c r="BL179" s="518"/>
      <c r="BM179" s="518"/>
      <c r="BN179" s="518"/>
      <c r="BO179" s="367">
        <f t="shared" si="84"/>
        <v>0</v>
      </c>
      <c r="BP179" s="421"/>
      <c r="BQ179" s="422"/>
      <c r="BR179" s="423">
        <f>IFERROR(IF(LEFT($A179,3)="Lcp",SUMIFS('BASE-LCP'!$K:$K,'BASE-LCP'!$A:$A,Capex!$A171,'BASE-LCP'!$B:$B,"janeiro")/1000,IF(LEFT($A179,3)="icp",SUMIFS('BASE-ICP'!$K:$K,'BASE-ICP'!$A:$A,Capex!$A171,'BASE-ICP'!$B:$B,"janeiro")/1000,"")),"")</f>
        <v>0</v>
      </c>
      <c r="BS179" s="427">
        <v>0</v>
      </c>
      <c r="BT179" s="372">
        <v>0</v>
      </c>
      <c r="BU179" s="422"/>
      <c r="BV179" s="423">
        <f>IFERROR(IF(LEFT($A179,3)="Lcp",SUMIFS('BASE-LCP'!$K:$K,'BASE-LCP'!$A:$A,Capex!$A171,'BASE-LCP'!$B:$B,"fevereiro")/1000,IF(LEFT($A179,3)="icp",SUMIFS('BASE-ICP'!$K:$K,'BASE-ICP'!$A:$A,Capex!$A171,'BASE-ICP'!$B:$B,"fevereiro")/1000,"")),"")</f>
        <v>0</v>
      </c>
      <c r="BW179" s="427">
        <v>0</v>
      </c>
      <c r="BX179" s="372">
        <v>0</v>
      </c>
      <c r="BY179" s="419"/>
      <c r="BZ179" s="423">
        <f>IFERROR(IF(LEFT($A179,3)="Lcp",SUMIFS('BASE-LCP'!$K:$K,'BASE-LCP'!$A:$A,Capex!$A171,'BASE-LCP'!$B:$B,"março")/1000,IF(LEFT($A179,3)="icp",SUMIFS('BASE-ICP'!$K:$K,'BASE-ICP'!$A:$A,Capex!$A171,'BASE-ICP'!$B:$B,"março")/1000,"")),"")</f>
        <v>0</v>
      </c>
      <c r="CA179" s="427">
        <v>0</v>
      </c>
      <c r="CB179" s="372">
        <v>0</v>
      </c>
      <c r="CC179" s="422"/>
      <c r="CD179" s="423">
        <f>IFERROR(IF(LEFT($A179,3)="Lcp",SUMIFS('BASE-LCP'!$K:$K,'BASE-LCP'!$A:$A,Capex!$A171,'BASE-LCP'!$B:$B,"abril")/1000,IF(LEFT($A179,3)="icp",SUMIFS('BASE-ICP'!$K:$K,'BASE-ICP'!$A:$A,Capex!$A171,'BASE-ICP'!$B:$B,"abril")/1000,"")),"")</f>
        <v>0</v>
      </c>
      <c r="CE179" s="427">
        <v>0</v>
      </c>
      <c r="CF179" s="372">
        <v>0</v>
      </c>
      <c r="CG179" s="419"/>
      <c r="CH179" s="423">
        <v>0</v>
      </c>
      <c r="CI179" s="427">
        <v>0</v>
      </c>
      <c r="CJ179" s="372">
        <v>0</v>
      </c>
      <c r="CK179" s="419"/>
      <c r="CL179" s="423">
        <f>IFERROR(IF(LEFT($A179,3)="Lcp",SUMIFS('BASE-LCP'!$K:$K,'BASE-LCP'!$A:$A,Capex!$A171,'BASE-LCP'!$B:$B,"junho")/1000,IF(LEFT($A179,3)="icp",SUMIFS('BASE-ICP'!$K:$K,'BASE-ICP'!$A:$A,Capex!$A171,'BASE-ICP'!$B:$B,"junho")/1000,"")),"")</f>
        <v>0</v>
      </c>
      <c r="CM179" s="427">
        <v>0</v>
      </c>
      <c r="CN179" s="372"/>
      <c r="CO179" s="419"/>
      <c r="CP179" s="423">
        <f>IFERROR(IF(LEFT($A179,3)="Lcp",SUMIFS('BASE-LCP'!$K:$K,'BASE-LCP'!$A:$A,Capex!$A171,'BASE-LCP'!$B:$B,"julho")/1000,IF(LEFT($A179,3)="icp",SUMIFS('BASE-ICP'!$K:$K,'BASE-ICP'!$A:$A,Capex!$A171,'BASE-ICP'!$B:$B,"julho")/1000,"")),"")</f>
        <v>0</v>
      </c>
      <c r="CQ179" s="427">
        <v>0</v>
      </c>
      <c r="CR179" s="372"/>
      <c r="CS179" s="419"/>
      <c r="CT179" s="423">
        <f>IFERROR(IF(LEFT($A179,3)="Lcp",SUMIFS('BASE-LCP'!$K:$K,'BASE-LCP'!$A:$A,Capex!$A171,'BASE-LCP'!$B:$B,"agosto")/1000,IF(LEFT($A179,3)="icp",SUMIFS('BASE-ICP'!$K:$K,'BASE-ICP'!$A:$A,Capex!$A171,'BASE-ICP'!$B:$B,"agosto")/1000,"")),"")</f>
        <v>0</v>
      </c>
      <c r="CU179" s="427">
        <v>0</v>
      </c>
      <c r="CV179" s="372"/>
      <c r="CW179" s="419"/>
      <c r="CX179" s="423">
        <f>IFERROR(IF(LEFT($A179,3)="Lcp",SUMIFS('BASE-LCP'!$K:$K,'BASE-LCP'!$A:$A,Capex!$A171,'BASE-LCP'!$B:$B,"setembro")/1000,IF(LEFT($A179,3)="icp",SUMIFS('BASE-ICP'!$K:$K,'BASE-ICP'!$A:$A,Capex!$A171,'BASE-ICP'!$B:$B,"setembro")/1000,"")),"")</f>
        <v>0</v>
      </c>
      <c r="CY179" s="427">
        <v>0</v>
      </c>
      <c r="CZ179" s="372"/>
      <c r="DA179" s="419"/>
      <c r="DB179" s="423">
        <f>IFERROR(IF(LEFT($A179,3)="Lcp",SUMIFS('BASE-LCP'!$K:$K,'BASE-LCP'!$A:$A,Capex!$A171,'BASE-LCP'!$B:$B,"outubro")/1000,IF(LEFT($A179,3)="icp",SUMIFS('BASE-ICP'!$K:$K,'BASE-ICP'!$A:$A,Capex!$A171,'BASE-ICP'!$B:$B,"outubro")/1000,"")),"")</f>
        <v>0</v>
      </c>
      <c r="DC179" s="427">
        <v>0</v>
      </c>
      <c r="DD179" s="372"/>
      <c r="DE179" s="419"/>
      <c r="DF179" s="423">
        <f>IFERROR(IF(LEFT($A179,3)="Lcp",SUMIFS('BASE-LCP'!$K:$K,'BASE-LCP'!$A:$A,Capex!$A171,'BASE-LCP'!$B:$B,"novembro")/1000,IF(LEFT($A179,3)="icp",SUMIFS('BASE-ICP'!$K:$K,'BASE-ICP'!$A:$A,Capex!$A171,'BASE-ICP'!$B:$B,"novembro")/1000,"")),"")</f>
        <v>0</v>
      </c>
      <c r="DG179" s="427">
        <v>0</v>
      </c>
      <c r="DH179" s="372"/>
      <c r="DI179" s="419"/>
      <c r="DJ179" s="423">
        <f>IFERROR(IF(LEFT($A179,3)="Lcp",SUMIFS('BASE-LCP'!$K:$K,'BASE-LCP'!$A:$A,Capex!$A171,'BASE-LCP'!$B:$B,"dezembro")/1000,IF(LEFT($A179,3)="icp",SUMIFS('BASE-ICP'!$K:$K,'BASE-ICP'!$A:$A,Capex!$A171,'BASE-ICP'!$B:$B,"dezembro")/1000,"")),"")</f>
        <v>0</v>
      </c>
      <c r="DK179" s="427">
        <v>0</v>
      </c>
      <c r="DL179" s="452">
        <f t="shared" si="85"/>
        <v>0</v>
      </c>
      <c r="DM179" s="374"/>
      <c r="DN179" s="374"/>
      <c r="DO179" s="374"/>
      <c r="DP179" s="374"/>
      <c r="DQ179" s="374"/>
      <c r="DR179" s="374"/>
      <c r="DS179" s="374"/>
      <c r="DT179" s="374"/>
      <c r="DU179" s="374"/>
      <c r="DV179" s="374"/>
      <c r="DW179" s="374"/>
      <c r="DX179" s="374"/>
      <c r="DY179" s="450"/>
      <c r="DZ179" s="374">
        <f t="shared" si="86"/>
        <v>0</v>
      </c>
      <c r="EA179" s="216">
        <f t="shared" si="87"/>
        <v>0</v>
      </c>
      <c r="EB179" s="320">
        <f t="shared" si="88"/>
        <v>0</v>
      </c>
      <c r="EC179" s="241">
        <f t="shared" si="89"/>
        <v>0</v>
      </c>
      <c r="ED179" s="241">
        <f t="shared" si="90"/>
        <v>0</v>
      </c>
      <c r="EE179" s="241">
        <f t="shared" si="91"/>
        <v>0</v>
      </c>
      <c r="EF179" s="241">
        <f t="shared" si="92"/>
        <v>0</v>
      </c>
      <c r="EG179" s="346">
        <f t="shared" si="93"/>
        <v>0</v>
      </c>
      <c r="EH179" s="445">
        <f t="shared" si="94"/>
        <v>0</v>
      </c>
      <c r="EI179" s="447">
        <f t="shared" si="95"/>
        <v>0</v>
      </c>
      <c r="EJ179" s="364">
        <f t="shared" si="96"/>
        <v>0</v>
      </c>
      <c r="EK179" s="365">
        <f t="shared" si="97"/>
        <v>0</v>
      </c>
      <c r="EL179" s="529">
        <f t="shared" si="98"/>
        <v>0</v>
      </c>
      <c r="EM179" s="530">
        <v>0</v>
      </c>
      <c r="EN179" s="530">
        <v>0</v>
      </c>
      <c r="EO179" s="530">
        <v>0</v>
      </c>
      <c r="EP179" s="530">
        <v>0</v>
      </c>
      <c r="EQ179" s="530">
        <v>0</v>
      </c>
      <c r="ER179" s="530">
        <v>0</v>
      </c>
      <c r="ES179" s="530">
        <v>0</v>
      </c>
      <c r="ET179" s="530">
        <v>0</v>
      </c>
      <c r="EU179" s="530">
        <v>0</v>
      </c>
      <c r="EV179" s="530">
        <v>0</v>
      </c>
      <c r="EW179" s="530">
        <v>0</v>
      </c>
      <c r="EX179" s="530">
        <v>0</v>
      </c>
      <c r="EY179" s="530">
        <f t="shared" si="99"/>
        <v>0</v>
      </c>
      <c r="EZ179" s="530">
        <f t="shared" si="100"/>
        <v>0</v>
      </c>
      <c r="FA179" s="530">
        <f t="shared" si="101"/>
        <v>0</v>
      </c>
      <c r="FB179" s="530">
        <f t="shared" si="102"/>
        <v>0</v>
      </c>
      <c r="FC179" s="384">
        <f>IFERROR(VLOOKUP(Capex!A171,BASE_558!D:R,8,FALSE)/1000,"")</f>
        <v>120</v>
      </c>
      <c r="FD179" s="328">
        <f>IFERROR(VLOOKUP(Capex!A171,BASE_558!D:R,9,)/1000,"")</f>
        <v>100.31156</v>
      </c>
      <c r="FE179" s="328">
        <f>IFERROR(IF(LEFT(A179,3)="LCP",(VLOOKUP(Capex!A171,BASE_558!D:R,10,)/1000),SUMIFS('BASE ICP_PO_SC'!F:F,'BASE ICP_PO_SC'!A:A,Capex!A171,'BASE ICP_PO_SC'!E:E,"&lt;&gt;")/1000),"")</f>
        <v>0</v>
      </c>
      <c r="FF179" s="328">
        <f>IFERROR(IF(LEFT(A179,3)="LCP",(VLOOKUP(Capex!A171,BASE_558!D:R,11,)/1000),SUMIFS('BASE ICP_PO_SC'!F:F,'BASE ICP_PO_SC'!A:A,Capex!A171,'BASE ICP_PO_SC'!E:E,"")/1000),"")</f>
        <v>0</v>
      </c>
      <c r="FG179" s="328">
        <f>IFERROR(VLOOKUP(A179,BASE_558!D:R,13,FALSE)/1000,"")</f>
        <v>284.40121000000005</v>
      </c>
      <c r="FH179" s="328">
        <f>IFERROR(VLOOKUP(A179,BASE_558!D:R,15,FALSE)/1000,"")</f>
        <v>28.151389999999999</v>
      </c>
      <c r="FI179" s="547">
        <f t="shared" si="103"/>
        <v>0</v>
      </c>
      <c r="FJ179" s="547">
        <f t="shared" si="104"/>
        <v>0</v>
      </c>
      <c r="FK179" s="540">
        <f t="shared" si="105"/>
        <v>0</v>
      </c>
    </row>
    <row r="180" spans="1:167" s="23" customFormat="1" ht="24" customHeight="1">
      <c r="A180" s="84" t="s">
        <v>319</v>
      </c>
      <c r="B180" s="404"/>
      <c r="C180" s="404"/>
      <c r="D180" s="338" t="s">
        <v>2242</v>
      </c>
      <c r="E180" s="378">
        <v>2732555</v>
      </c>
      <c r="F180" s="310" t="s">
        <v>609</v>
      </c>
      <c r="G180" s="310" t="s">
        <v>9</v>
      </c>
      <c r="H180" s="356"/>
      <c r="I180" s="356"/>
      <c r="J180" s="356">
        <v>2020</v>
      </c>
      <c r="K180" s="321">
        <v>43887</v>
      </c>
      <c r="L180" s="317">
        <v>44225</v>
      </c>
      <c r="M180" s="409"/>
      <c r="N180" s="317">
        <f t="shared" si="109"/>
        <v>44799</v>
      </c>
      <c r="O180" s="317">
        <f t="shared" si="110"/>
        <v>45164</v>
      </c>
      <c r="P180" s="418" t="str">
        <f t="shared" si="114"/>
        <v>CRTD</v>
      </c>
      <c r="Q180" s="418" t="str">
        <f t="shared" si="114"/>
        <v>CRTD</v>
      </c>
      <c r="R180" s="418" t="str">
        <f t="shared" si="114"/>
        <v>CRTD</v>
      </c>
      <c r="S180" s="418" t="str">
        <f t="shared" si="114"/>
        <v>CRTD</v>
      </c>
      <c r="T180" s="418" t="str">
        <f t="shared" si="114"/>
        <v>CRTD</v>
      </c>
      <c r="U180" s="418" t="str">
        <f t="shared" si="114"/>
        <v>CRTD</v>
      </c>
      <c r="V180" s="418" t="str">
        <f t="shared" si="114"/>
        <v>CRTD</v>
      </c>
      <c r="W180" s="418" t="str">
        <f t="shared" si="114"/>
        <v>CRTD</v>
      </c>
      <c r="X180" s="418" t="str">
        <f t="shared" si="114"/>
        <v>CRTD</v>
      </c>
      <c r="Y180" s="418" t="str">
        <f t="shared" si="114"/>
        <v>CRTD</v>
      </c>
      <c r="Z180" s="418" t="str">
        <f t="shared" si="114"/>
        <v>CRTD</v>
      </c>
      <c r="AA180" s="418" t="str">
        <f t="shared" si="114"/>
        <v>CRTD</v>
      </c>
      <c r="AB180" s="317"/>
      <c r="AC180" s="309" t="s">
        <v>3932</v>
      </c>
      <c r="AD180" s="311" t="s">
        <v>5</v>
      </c>
      <c r="AE180" s="361"/>
      <c r="AF180" s="310" t="s">
        <v>6985</v>
      </c>
      <c r="AG180" s="310" t="s">
        <v>9083</v>
      </c>
      <c r="AH180" s="310" t="s">
        <v>320</v>
      </c>
      <c r="AI180" s="381" t="s">
        <v>2255</v>
      </c>
      <c r="AJ180" s="6" t="s">
        <v>218</v>
      </c>
      <c r="AK180" s="6" t="str">
        <f t="shared" si="83"/>
        <v>IGUAL</v>
      </c>
      <c r="AL180" s="151" t="str">
        <f>IFERROR(IF(LEFT(A180,3)="LCP",VLOOKUP(A180,STATUS_SAP_LCP!B:C,2,FALSE),VLOOKUP(A180,STATUS_SAP_ICP!B:C,2,FALSE)),"NO BUDGET")</f>
        <v>CLSD BUDG AUC  AVAC  //  APPR BREL EXPL</v>
      </c>
      <c r="AM180" s="6" t="str">
        <f t="shared" si="82"/>
        <v>CLSD</v>
      </c>
      <c r="AN180" s="282" t="s">
        <v>9085</v>
      </c>
      <c r="AO180" s="493">
        <v>1</v>
      </c>
      <c r="AP180" s="499" t="s">
        <v>9607</v>
      </c>
      <c r="AQ180" s="465">
        <v>44225</v>
      </c>
      <c r="AR180" s="460"/>
      <c r="AS180" s="56">
        <v>0</v>
      </c>
      <c r="AT180" s="185">
        <v>355.31524000000007</v>
      </c>
      <c r="AU180" s="318">
        <v>0</v>
      </c>
      <c r="AV180" s="223">
        <v>0</v>
      </c>
      <c r="AW180" s="318">
        <v>0</v>
      </c>
      <c r="AX180" s="223">
        <v>0</v>
      </c>
      <c r="AY180" s="318">
        <f t="shared" si="111"/>
        <v>0</v>
      </c>
      <c r="AZ180" s="223"/>
      <c r="BA180" s="318"/>
      <c r="BB180" s="519">
        <f t="shared" si="112"/>
        <v>0</v>
      </c>
      <c r="BC180" s="518"/>
      <c r="BD180" s="518"/>
      <c r="BE180" s="518"/>
      <c r="BF180" s="518"/>
      <c r="BG180" s="518"/>
      <c r="BH180" s="518"/>
      <c r="BI180" s="518"/>
      <c r="BJ180" s="518"/>
      <c r="BK180" s="518"/>
      <c r="BL180" s="518"/>
      <c r="BM180" s="518"/>
      <c r="BN180" s="518"/>
      <c r="BO180" s="367">
        <f t="shared" si="84"/>
        <v>0</v>
      </c>
      <c r="BP180" s="421"/>
      <c r="BQ180" s="422"/>
      <c r="BR180" s="423">
        <f>IFERROR(IF(LEFT($A180,3)="Lcp",SUMIFS('BASE-LCP'!$K:$K,'BASE-LCP'!$A:$A,Capex!$A172,'BASE-LCP'!$B:$B,"janeiro")/1000,IF(LEFT($A180,3)="icp",SUMIFS('BASE-ICP'!$K:$K,'BASE-ICP'!$A:$A,Capex!$A172,'BASE-ICP'!$B:$B,"janeiro")/1000,"")),"")</f>
        <v>0</v>
      </c>
      <c r="BS180" s="427">
        <v>0</v>
      </c>
      <c r="BT180" s="372">
        <v>0</v>
      </c>
      <c r="BU180" s="422"/>
      <c r="BV180" s="423">
        <f>IFERROR(IF(LEFT($A180,3)="Lcp",SUMIFS('BASE-LCP'!$K:$K,'BASE-LCP'!$A:$A,Capex!$A172,'BASE-LCP'!$B:$B,"fevereiro")/1000,IF(LEFT($A180,3)="icp",SUMIFS('BASE-ICP'!$K:$K,'BASE-ICP'!$A:$A,Capex!$A172,'BASE-ICP'!$B:$B,"fevereiro")/1000,"")),"")</f>
        <v>0</v>
      </c>
      <c r="BW180" s="427">
        <v>0</v>
      </c>
      <c r="BX180" s="372">
        <v>0</v>
      </c>
      <c r="BY180" s="419"/>
      <c r="BZ180" s="423">
        <f>IFERROR(IF(LEFT($A180,3)="Lcp",SUMIFS('BASE-LCP'!$K:$K,'BASE-LCP'!$A:$A,Capex!$A172,'BASE-LCP'!$B:$B,"março")/1000,IF(LEFT($A180,3)="icp",SUMIFS('BASE-ICP'!$K:$K,'BASE-ICP'!$A:$A,Capex!$A172,'BASE-ICP'!$B:$B,"março")/1000,"")),"")</f>
        <v>0</v>
      </c>
      <c r="CA180" s="427">
        <v>0</v>
      </c>
      <c r="CB180" s="372">
        <v>0</v>
      </c>
      <c r="CC180" s="422"/>
      <c r="CD180" s="423">
        <f>IFERROR(IF(LEFT($A180,3)="Lcp",SUMIFS('BASE-LCP'!$K:$K,'BASE-LCP'!$A:$A,Capex!$A172,'BASE-LCP'!$B:$B,"abril")/1000,IF(LEFT($A180,3)="icp",SUMIFS('BASE-ICP'!$K:$K,'BASE-ICP'!$A:$A,Capex!$A172,'BASE-ICP'!$B:$B,"abril")/1000,"")),"")</f>
        <v>0</v>
      </c>
      <c r="CE180" s="427">
        <v>0</v>
      </c>
      <c r="CF180" s="372">
        <v>0</v>
      </c>
      <c r="CG180" s="419"/>
      <c r="CH180" s="423">
        <v>0</v>
      </c>
      <c r="CI180" s="427">
        <v>0</v>
      </c>
      <c r="CJ180" s="372">
        <v>0</v>
      </c>
      <c r="CK180" s="419"/>
      <c r="CL180" s="423">
        <f>IFERROR(IF(LEFT($A180,3)="Lcp",SUMIFS('BASE-LCP'!$K:$K,'BASE-LCP'!$A:$A,Capex!$A172,'BASE-LCP'!$B:$B,"junho")/1000,IF(LEFT($A180,3)="icp",SUMIFS('BASE-ICP'!$K:$K,'BASE-ICP'!$A:$A,Capex!$A172,'BASE-ICP'!$B:$B,"junho")/1000,"")),"")</f>
        <v>0</v>
      </c>
      <c r="CM180" s="427">
        <v>0</v>
      </c>
      <c r="CN180" s="372"/>
      <c r="CO180" s="419"/>
      <c r="CP180" s="423">
        <f>IFERROR(IF(LEFT($A180,3)="Lcp",SUMIFS('BASE-LCP'!$K:$K,'BASE-LCP'!$A:$A,Capex!$A172,'BASE-LCP'!$B:$B,"julho")/1000,IF(LEFT($A180,3)="icp",SUMIFS('BASE-ICP'!$K:$K,'BASE-ICP'!$A:$A,Capex!$A172,'BASE-ICP'!$B:$B,"julho")/1000,"")),"")</f>
        <v>0</v>
      </c>
      <c r="CQ180" s="427">
        <v>0</v>
      </c>
      <c r="CR180" s="372"/>
      <c r="CS180" s="419"/>
      <c r="CT180" s="423">
        <f>IFERROR(IF(LEFT($A180,3)="Lcp",SUMIFS('BASE-LCP'!$K:$K,'BASE-LCP'!$A:$A,Capex!$A172,'BASE-LCP'!$B:$B,"agosto")/1000,IF(LEFT($A180,3)="icp",SUMIFS('BASE-ICP'!$K:$K,'BASE-ICP'!$A:$A,Capex!$A172,'BASE-ICP'!$B:$B,"agosto")/1000,"")),"")</f>
        <v>0</v>
      </c>
      <c r="CU180" s="427">
        <v>0</v>
      </c>
      <c r="CV180" s="372"/>
      <c r="CW180" s="419"/>
      <c r="CX180" s="423">
        <f>IFERROR(IF(LEFT($A180,3)="Lcp",SUMIFS('BASE-LCP'!$K:$K,'BASE-LCP'!$A:$A,Capex!$A172,'BASE-LCP'!$B:$B,"setembro")/1000,IF(LEFT($A180,3)="icp",SUMIFS('BASE-ICP'!$K:$K,'BASE-ICP'!$A:$A,Capex!$A172,'BASE-ICP'!$B:$B,"setembro")/1000,"")),"")</f>
        <v>0</v>
      </c>
      <c r="CY180" s="427">
        <v>0</v>
      </c>
      <c r="CZ180" s="372"/>
      <c r="DA180" s="419"/>
      <c r="DB180" s="423">
        <f>IFERROR(IF(LEFT($A180,3)="Lcp",SUMIFS('BASE-LCP'!$K:$K,'BASE-LCP'!$A:$A,Capex!$A172,'BASE-LCP'!$B:$B,"outubro")/1000,IF(LEFT($A180,3)="icp",SUMIFS('BASE-ICP'!$K:$K,'BASE-ICP'!$A:$A,Capex!$A172,'BASE-ICP'!$B:$B,"outubro")/1000,"")),"")</f>
        <v>0</v>
      </c>
      <c r="DC180" s="427">
        <v>0</v>
      </c>
      <c r="DD180" s="372"/>
      <c r="DE180" s="419"/>
      <c r="DF180" s="423">
        <f>IFERROR(IF(LEFT($A180,3)="Lcp",SUMIFS('BASE-LCP'!$K:$K,'BASE-LCP'!$A:$A,Capex!$A172,'BASE-LCP'!$B:$B,"novembro")/1000,IF(LEFT($A180,3)="icp",SUMIFS('BASE-ICP'!$K:$K,'BASE-ICP'!$A:$A,Capex!$A172,'BASE-ICP'!$B:$B,"novembro")/1000,"")),"")</f>
        <v>0</v>
      </c>
      <c r="DG180" s="427">
        <v>0</v>
      </c>
      <c r="DH180" s="372"/>
      <c r="DI180" s="419"/>
      <c r="DJ180" s="423">
        <f>IFERROR(IF(LEFT($A180,3)="Lcp",SUMIFS('BASE-LCP'!$K:$K,'BASE-LCP'!$A:$A,Capex!$A172,'BASE-LCP'!$B:$B,"dezembro")/1000,IF(LEFT($A180,3)="icp",SUMIFS('BASE-ICP'!$K:$K,'BASE-ICP'!$A:$A,Capex!$A172,'BASE-ICP'!$B:$B,"dezembro")/1000,"")),"")</f>
        <v>0</v>
      </c>
      <c r="DK180" s="427">
        <v>0</v>
      </c>
      <c r="DL180" s="452">
        <f t="shared" si="85"/>
        <v>0</v>
      </c>
      <c r="DM180" s="374"/>
      <c r="DN180" s="374"/>
      <c r="DO180" s="374"/>
      <c r="DP180" s="374"/>
      <c r="DQ180" s="374"/>
      <c r="DR180" s="374"/>
      <c r="DS180" s="374"/>
      <c r="DT180" s="374"/>
      <c r="DU180" s="374"/>
      <c r="DV180" s="374"/>
      <c r="DW180" s="374"/>
      <c r="DX180" s="374"/>
      <c r="DY180" s="450"/>
      <c r="DZ180" s="374">
        <f t="shared" si="86"/>
        <v>0</v>
      </c>
      <c r="EA180" s="216">
        <f t="shared" si="87"/>
        <v>0</v>
      </c>
      <c r="EB180" s="320">
        <f t="shared" si="88"/>
        <v>0</v>
      </c>
      <c r="EC180" s="241">
        <f t="shared" si="89"/>
        <v>0</v>
      </c>
      <c r="ED180" s="241">
        <f t="shared" si="90"/>
        <v>0</v>
      </c>
      <c r="EE180" s="241">
        <f t="shared" si="91"/>
        <v>0</v>
      </c>
      <c r="EF180" s="241">
        <f t="shared" si="92"/>
        <v>0</v>
      </c>
      <c r="EG180" s="346">
        <f t="shared" si="93"/>
        <v>0</v>
      </c>
      <c r="EH180" s="445">
        <f t="shared" si="94"/>
        <v>0</v>
      </c>
      <c r="EI180" s="447">
        <f t="shared" si="95"/>
        <v>0</v>
      </c>
      <c r="EJ180" s="364">
        <f t="shared" si="96"/>
        <v>0</v>
      </c>
      <c r="EK180" s="365">
        <f t="shared" si="97"/>
        <v>0</v>
      </c>
      <c r="EL180" s="529">
        <f t="shared" si="98"/>
        <v>0</v>
      </c>
      <c r="EM180" s="530">
        <v>0</v>
      </c>
      <c r="EN180" s="530">
        <v>0</v>
      </c>
      <c r="EO180" s="530">
        <v>0</v>
      </c>
      <c r="EP180" s="530">
        <v>0</v>
      </c>
      <c r="EQ180" s="530">
        <v>0</v>
      </c>
      <c r="ER180" s="530">
        <v>0</v>
      </c>
      <c r="ES180" s="530">
        <v>0</v>
      </c>
      <c r="ET180" s="530">
        <v>0</v>
      </c>
      <c r="EU180" s="530">
        <v>0</v>
      </c>
      <c r="EV180" s="530">
        <v>0</v>
      </c>
      <c r="EW180" s="530">
        <v>0</v>
      </c>
      <c r="EX180" s="530">
        <v>0</v>
      </c>
      <c r="EY180" s="530">
        <f t="shared" si="99"/>
        <v>0</v>
      </c>
      <c r="EZ180" s="530">
        <f t="shared" si="100"/>
        <v>0</v>
      </c>
      <c r="FA180" s="530">
        <f t="shared" si="101"/>
        <v>0</v>
      </c>
      <c r="FB180" s="530">
        <f t="shared" si="102"/>
        <v>0</v>
      </c>
      <c r="FC180" s="384">
        <f>IFERROR(VLOOKUP(Capex!A172,BASE_558!D:R,8,FALSE)/1000,"")</f>
        <v>225</v>
      </c>
      <c r="FD180" s="328">
        <f>IFERROR(VLOOKUP(Capex!A172,BASE_558!D:R,9,)/1000,"")</f>
        <v>197.28793999999999</v>
      </c>
      <c r="FE180" s="328">
        <f>IFERROR(IF(LEFT(A180,3)="LCP",(VLOOKUP(Capex!A172,BASE_558!D:R,10,)/1000),SUMIFS('BASE ICP_PO_SC'!F:F,'BASE ICP_PO_SC'!A:A,Capex!A172,'BASE ICP_PO_SC'!E:E,"&lt;&gt;")/1000),"")</f>
        <v>0</v>
      </c>
      <c r="FF180" s="328">
        <f>IFERROR(IF(LEFT(A180,3)="LCP",(VLOOKUP(Capex!A172,BASE_558!D:R,11,)/1000),SUMIFS('BASE ICP_PO_SC'!F:F,'BASE ICP_PO_SC'!A:A,Capex!A172,'BASE ICP_PO_SC'!E:E,"")/1000),"")</f>
        <v>0</v>
      </c>
      <c r="FG180" s="328">
        <f>IFERROR(VLOOKUP(A180,BASE_558!D:R,13,FALSE)/1000,"")</f>
        <v>355.31524000000002</v>
      </c>
      <c r="FH180" s="328">
        <f>IFERROR(VLOOKUP(A180,BASE_558!D:R,15,FALSE)/1000,"")</f>
        <v>17.50376</v>
      </c>
      <c r="FI180" s="547">
        <f t="shared" si="103"/>
        <v>0</v>
      </c>
      <c r="FJ180" s="547">
        <f t="shared" si="104"/>
        <v>0</v>
      </c>
      <c r="FK180" s="540">
        <f t="shared" si="105"/>
        <v>0</v>
      </c>
    </row>
    <row r="181" spans="1:167" s="23" customFormat="1" ht="23.25" customHeight="1">
      <c r="A181" s="84" t="s">
        <v>317</v>
      </c>
      <c r="B181" s="404"/>
      <c r="C181" s="404"/>
      <c r="D181" s="338" t="s">
        <v>929</v>
      </c>
      <c r="E181" s="378">
        <v>2668149</v>
      </c>
      <c r="F181" s="5"/>
      <c r="G181" s="310" t="s">
        <v>9</v>
      </c>
      <c r="H181" s="356"/>
      <c r="I181" s="356" t="s">
        <v>6</v>
      </c>
      <c r="J181" s="356">
        <v>2020</v>
      </c>
      <c r="K181" s="321">
        <v>43858</v>
      </c>
      <c r="L181" s="317">
        <v>44225</v>
      </c>
      <c r="M181" s="409"/>
      <c r="N181" s="317">
        <f t="shared" si="109"/>
        <v>44770</v>
      </c>
      <c r="O181" s="317">
        <f t="shared" si="110"/>
        <v>45135</v>
      </c>
      <c r="P181" s="418" t="str">
        <f t="shared" si="114"/>
        <v>CRTD</v>
      </c>
      <c r="Q181" s="418" t="str">
        <f t="shared" si="114"/>
        <v>CRTD</v>
      </c>
      <c r="R181" s="418" t="str">
        <f t="shared" si="114"/>
        <v>CRTD</v>
      </c>
      <c r="S181" s="418" t="str">
        <f t="shared" si="114"/>
        <v>CRTD</v>
      </c>
      <c r="T181" s="418" t="str">
        <f t="shared" si="114"/>
        <v>CRTD</v>
      </c>
      <c r="U181" s="418" t="str">
        <f t="shared" si="114"/>
        <v>CRTD</v>
      </c>
      <c r="V181" s="418" t="str">
        <f t="shared" si="114"/>
        <v>CRTD</v>
      </c>
      <c r="W181" s="418" t="str">
        <f t="shared" si="114"/>
        <v>CRTD</v>
      </c>
      <c r="X181" s="418" t="str">
        <f t="shared" si="114"/>
        <v>CRTD</v>
      </c>
      <c r="Y181" s="418" t="str">
        <f t="shared" si="114"/>
        <v>CRTD</v>
      </c>
      <c r="Z181" s="418" t="str">
        <f t="shared" si="114"/>
        <v>CRTD</v>
      </c>
      <c r="AA181" s="418" t="str">
        <f t="shared" si="114"/>
        <v>CRTD</v>
      </c>
      <c r="AB181" s="317"/>
      <c r="AC181" s="309" t="s">
        <v>3932</v>
      </c>
      <c r="AD181" s="311" t="s">
        <v>5</v>
      </c>
      <c r="AE181" s="361"/>
      <c r="AF181" s="310" t="s">
        <v>6985</v>
      </c>
      <c r="AG181" s="310" t="s">
        <v>9083</v>
      </c>
      <c r="AH181" s="310" t="s">
        <v>313</v>
      </c>
      <c r="AI181" s="381" t="s">
        <v>2255</v>
      </c>
      <c r="AJ181" s="6" t="s">
        <v>218</v>
      </c>
      <c r="AK181" s="6" t="str">
        <f t="shared" si="83"/>
        <v>IGUAL</v>
      </c>
      <c r="AL181" s="151" t="str">
        <f>IFERROR(IF(LEFT(A181,3)="LCP",VLOOKUP(A181,STATUS_SAP_LCP!B:C,2,FALSE),VLOOKUP(A181,STATUS_SAP_ICP!B:C,2,FALSE)),"NO BUDGET")</f>
        <v>CLSD BUDG AUC  AVAC  //  APPR BREL EXPL</v>
      </c>
      <c r="AM181" s="6" t="str">
        <f t="shared" si="82"/>
        <v>CLSD</v>
      </c>
      <c r="AN181" s="282" t="s">
        <v>9085</v>
      </c>
      <c r="AO181" s="493">
        <v>1</v>
      </c>
      <c r="AP181" s="499" t="s">
        <v>9607</v>
      </c>
      <c r="AQ181" s="465">
        <v>44225</v>
      </c>
      <c r="AR181" s="460"/>
      <c r="AS181" s="56">
        <v>0</v>
      </c>
      <c r="AT181" s="185">
        <v>225.72057999999998</v>
      </c>
      <c r="AU181" s="318">
        <v>0</v>
      </c>
      <c r="AV181" s="223">
        <v>0</v>
      </c>
      <c r="AW181" s="318">
        <v>0</v>
      </c>
      <c r="AX181" s="223">
        <v>0</v>
      </c>
      <c r="AY181" s="318">
        <f t="shared" si="111"/>
        <v>0</v>
      </c>
      <c r="AZ181" s="223"/>
      <c r="BA181" s="318"/>
      <c r="BB181" s="519">
        <f t="shared" si="112"/>
        <v>0</v>
      </c>
      <c r="BC181" s="518"/>
      <c r="BD181" s="518"/>
      <c r="BE181" s="518"/>
      <c r="BF181" s="518"/>
      <c r="BG181" s="518"/>
      <c r="BH181" s="518"/>
      <c r="BI181" s="518"/>
      <c r="BJ181" s="518"/>
      <c r="BK181" s="518"/>
      <c r="BL181" s="518"/>
      <c r="BM181" s="518"/>
      <c r="BN181" s="518"/>
      <c r="BO181" s="367">
        <f t="shared" si="84"/>
        <v>0</v>
      </c>
      <c r="BP181" s="421"/>
      <c r="BQ181" s="422"/>
      <c r="BR181" s="423">
        <f>IFERROR(IF(LEFT($A181,3)="Lcp",SUMIFS('BASE-LCP'!$K:$K,'BASE-LCP'!$A:$A,Capex!$A173,'BASE-LCP'!$B:$B,"janeiro")/1000,IF(LEFT($A181,3)="icp",SUMIFS('BASE-ICP'!$K:$K,'BASE-ICP'!$A:$A,Capex!$A173,'BASE-ICP'!$B:$B,"janeiro")/1000,"")),"")</f>
        <v>0</v>
      </c>
      <c r="BS181" s="427">
        <v>0</v>
      </c>
      <c r="BT181" s="372">
        <v>0</v>
      </c>
      <c r="BU181" s="422"/>
      <c r="BV181" s="423">
        <f>IFERROR(IF(LEFT($A181,3)="Lcp",SUMIFS('BASE-LCP'!$K:$K,'BASE-LCP'!$A:$A,Capex!$A173,'BASE-LCP'!$B:$B,"fevereiro")/1000,IF(LEFT($A181,3)="icp",SUMIFS('BASE-ICP'!$K:$K,'BASE-ICP'!$A:$A,Capex!$A173,'BASE-ICP'!$B:$B,"fevereiro")/1000,"")),"")</f>
        <v>0</v>
      </c>
      <c r="BW181" s="427">
        <v>0</v>
      </c>
      <c r="BX181" s="372">
        <v>0</v>
      </c>
      <c r="BY181" s="419"/>
      <c r="BZ181" s="423">
        <f>IFERROR(IF(LEFT($A181,3)="Lcp",SUMIFS('BASE-LCP'!$K:$K,'BASE-LCP'!$A:$A,Capex!$A173,'BASE-LCP'!$B:$B,"março")/1000,IF(LEFT($A181,3)="icp",SUMIFS('BASE-ICP'!$K:$K,'BASE-ICP'!$A:$A,Capex!$A173,'BASE-ICP'!$B:$B,"março")/1000,"")),"")</f>
        <v>0</v>
      </c>
      <c r="CA181" s="427">
        <v>0</v>
      </c>
      <c r="CB181" s="372">
        <v>0</v>
      </c>
      <c r="CC181" s="422"/>
      <c r="CD181" s="423">
        <f>IFERROR(IF(LEFT($A181,3)="Lcp",SUMIFS('BASE-LCP'!$K:$K,'BASE-LCP'!$A:$A,Capex!$A173,'BASE-LCP'!$B:$B,"abril")/1000,IF(LEFT($A181,3)="icp",SUMIFS('BASE-ICP'!$K:$K,'BASE-ICP'!$A:$A,Capex!$A173,'BASE-ICP'!$B:$B,"abril")/1000,"")),"")</f>
        <v>0</v>
      </c>
      <c r="CE181" s="427">
        <v>0</v>
      </c>
      <c r="CF181" s="372">
        <v>0</v>
      </c>
      <c r="CG181" s="419"/>
      <c r="CH181" s="423">
        <v>0</v>
      </c>
      <c r="CI181" s="427">
        <v>0</v>
      </c>
      <c r="CJ181" s="372">
        <v>0</v>
      </c>
      <c r="CK181" s="419"/>
      <c r="CL181" s="423">
        <f>IFERROR(IF(LEFT($A181,3)="Lcp",SUMIFS('BASE-LCP'!$K:$K,'BASE-LCP'!$A:$A,Capex!$A173,'BASE-LCP'!$B:$B,"junho")/1000,IF(LEFT($A181,3)="icp",SUMIFS('BASE-ICP'!$K:$K,'BASE-ICP'!$A:$A,Capex!$A173,'BASE-ICP'!$B:$B,"junho")/1000,"")),"")</f>
        <v>0</v>
      </c>
      <c r="CM181" s="427">
        <v>0</v>
      </c>
      <c r="CN181" s="372"/>
      <c r="CO181" s="419"/>
      <c r="CP181" s="423">
        <f>IFERROR(IF(LEFT($A181,3)="Lcp",SUMIFS('BASE-LCP'!$K:$K,'BASE-LCP'!$A:$A,Capex!$A173,'BASE-LCP'!$B:$B,"julho")/1000,IF(LEFT($A181,3)="icp",SUMIFS('BASE-ICP'!$K:$K,'BASE-ICP'!$A:$A,Capex!$A173,'BASE-ICP'!$B:$B,"julho")/1000,"")),"")</f>
        <v>0</v>
      </c>
      <c r="CQ181" s="427">
        <v>0</v>
      </c>
      <c r="CR181" s="372"/>
      <c r="CS181" s="419"/>
      <c r="CT181" s="423">
        <f>IFERROR(IF(LEFT($A181,3)="Lcp",SUMIFS('BASE-LCP'!$K:$K,'BASE-LCP'!$A:$A,Capex!$A173,'BASE-LCP'!$B:$B,"agosto")/1000,IF(LEFT($A181,3)="icp",SUMIFS('BASE-ICP'!$K:$K,'BASE-ICP'!$A:$A,Capex!$A173,'BASE-ICP'!$B:$B,"agosto")/1000,"")),"")</f>
        <v>0</v>
      </c>
      <c r="CU181" s="427">
        <v>0</v>
      </c>
      <c r="CV181" s="372"/>
      <c r="CW181" s="419"/>
      <c r="CX181" s="423">
        <f>IFERROR(IF(LEFT($A181,3)="Lcp",SUMIFS('BASE-LCP'!$K:$K,'BASE-LCP'!$A:$A,Capex!$A173,'BASE-LCP'!$B:$B,"setembro")/1000,IF(LEFT($A181,3)="icp",SUMIFS('BASE-ICP'!$K:$K,'BASE-ICP'!$A:$A,Capex!$A173,'BASE-ICP'!$B:$B,"setembro")/1000,"")),"")</f>
        <v>0</v>
      </c>
      <c r="CY181" s="427">
        <v>0</v>
      </c>
      <c r="CZ181" s="372"/>
      <c r="DA181" s="419"/>
      <c r="DB181" s="423">
        <f>IFERROR(IF(LEFT($A181,3)="Lcp",SUMIFS('BASE-LCP'!$K:$K,'BASE-LCP'!$A:$A,Capex!$A173,'BASE-LCP'!$B:$B,"outubro")/1000,IF(LEFT($A181,3)="icp",SUMIFS('BASE-ICP'!$K:$K,'BASE-ICP'!$A:$A,Capex!$A173,'BASE-ICP'!$B:$B,"outubro")/1000,"")),"")</f>
        <v>0</v>
      </c>
      <c r="DC181" s="427">
        <v>0</v>
      </c>
      <c r="DD181" s="372"/>
      <c r="DE181" s="419"/>
      <c r="DF181" s="423">
        <f>IFERROR(IF(LEFT($A181,3)="Lcp",SUMIFS('BASE-LCP'!$K:$K,'BASE-LCP'!$A:$A,Capex!$A173,'BASE-LCP'!$B:$B,"novembro")/1000,IF(LEFT($A181,3)="icp",SUMIFS('BASE-ICP'!$K:$K,'BASE-ICP'!$A:$A,Capex!$A173,'BASE-ICP'!$B:$B,"novembro")/1000,"")),"")</f>
        <v>0</v>
      </c>
      <c r="DG181" s="427">
        <v>0</v>
      </c>
      <c r="DH181" s="372"/>
      <c r="DI181" s="419"/>
      <c r="DJ181" s="423">
        <f>IFERROR(IF(LEFT($A181,3)="Lcp",SUMIFS('BASE-LCP'!$K:$K,'BASE-LCP'!$A:$A,Capex!$A173,'BASE-LCP'!$B:$B,"dezembro")/1000,IF(LEFT($A181,3)="icp",SUMIFS('BASE-ICP'!$K:$K,'BASE-ICP'!$A:$A,Capex!$A173,'BASE-ICP'!$B:$B,"dezembro")/1000,"")),"")</f>
        <v>0</v>
      </c>
      <c r="DK181" s="427">
        <v>0</v>
      </c>
      <c r="DL181" s="452">
        <f t="shared" si="85"/>
        <v>0</v>
      </c>
      <c r="DM181" s="374"/>
      <c r="DN181" s="374"/>
      <c r="DO181" s="374"/>
      <c r="DP181" s="374"/>
      <c r="DQ181" s="374"/>
      <c r="DR181" s="374"/>
      <c r="DS181" s="374"/>
      <c r="DT181" s="374"/>
      <c r="DU181" s="374"/>
      <c r="DV181" s="374"/>
      <c r="DW181" s="374"/>
      <c r="DX181" s="374"/>
      <c r="DY181" s="450"/>
      <c r="DZ181" s="374">
        <f t="shared" si="86"/>
        <v>0</v>
      </c>
      <c r="EA181" s="216">
        <f t="shared" si="87"/>
        <v>0</v>
      </c>
      <c r="EB181" s="320">
        <f t="shared" si="88"/>
        <v>0</v>
      </c>
      <c r="EC181" s="241">
        <f t="shared" si="89"/>
        <v>0</v>
      </c>
      <c r="ED181" s="241">
        <f t="shared" si="90"/>
        <v>0</v>
      </c>
      <c r="EE181" s="241">
        <f t="shared" si="91"/>
        <v>0</v>
      </c>
      <c r="EF181" s="241">
        <f t="shared" si="92"/>
        <v>0</v>
      </c>
      <c r="EG181" s="346">
        <f t="shared" si="93"/>
        <v>0</v>
      </c>
      <c r="EH181" s="445">
        <f t="shared" si="94"/>
        <v>0</v>
      </c>
      <c r="EI181" s="447">
        <f t="shared" si="95"/>
        <v>0</v>
      </c>
      <c r="EJ181" s="364">
        <f t="shared" si="96"/>
        <v>0</v>
      </c>
      <c r="EK181" s="365">
        <f t="shared" si="97"/>
        <v>0</v>
      </c>
      <c r="EL181" s="529">
        <f t="shared" si="98"/>
        <v>0</v>
      </c>
      <c r="EM181" s="530">
        <v>0</v>
      </c>
      <c r="EN181" s="530">
        <v>0</v>
      </c>
      <c r="EO181" s="530">
        <v>0</v>
      </c>
      <c r="EP181" s="530">
        <v>0</v>
      </c>
      <c r="EQ181" s="530">
        <v>0</v>
      </c>
      <c r="ER181" s="530">
        <v>0</v>
      </c>
      <c r="ES181" s="530">
        <v>0</v>
      </c>
      <c r="ET181" s="530">
        <v>0</v>
      </c>
      <c r="EU181" s="530">
        <v>0</v>
      </c>
      <c r="EV181" s="530">
        <v>0</v>
      </c>
      <c r="EW181" s="530">
        <v>0</v>
      </c>
      <c r="EX181" s="530">
        <v>0</v>
      </c>
      <c r="EY181" s="530">
        <f t="shared" si="99"/>
        <v>0</v>
      </c>
      <c r="EZ181" s="530">
        <f t="shared" si="100"/>
        <v>0</v>
      </c>
      <c r="FA181" s="530">
        <f t="shared" si="101"/>
        <v>0</v>
      </c>
      <c r="FB181" s="530">
        <f t="shared" si="102"/>
        <v>0</v>
      </c>
      <c r="FC181" s="384">
        <f>IFERROR(VLOOKUP(Capex!A173,BASE_558!D:R,8,FALSE)/1000,"")</f>
        <v>1208.9570000000001</v>
      </c>
      <c r="FD181" s="328">
        <f>IFERROR(VLOOKUP(Capex!A173,BASE_558!D:R,9,)/1000,"")</f>
        <v>1080.9934699999999</v>
      </c>
      <c r="FE181" s="328">
        <f>IFERROR(IF(LEFT(A181,3)="LCP",(VLOOKUP(Capex!A173,BASE_558!D:R,10,)/1000),SUMIFS('BASE ICP_PO_SC'!F:F,'BASE ICP_PO_SC'!A:A,Capex!A173,'BASE ICP_PO_SC'!E:E,"&lt;&gt;")/1000),"")</f>
        <v>0</v>
      </c>
      <c r="FF181" s="328">
        <f>IFERROR(IF(LEFT(A181,3)="LCP",(VLOOKUP(Capex!A173,BASE_558!D:R,11,)/1000),SUMIFS('BASE ICP_PO_SC'!F:F,'BASE ICP_PO_SC'!A:A,Capex!A173,'BASE ICP_PO_SC'!E:E,"")/1000),"")</f>
        <v>0</v>
      </c>
      <c r="FG181" s="328">
        <f>IFERROR(VLOOKUP(A181,BASE_558!D:R,13,FALSE)/1000,"")</f>
        <v>225.72057999999998</v>
      </c>
      <c r="FH181" s="328">
        <f>IFERROR(VLOOKUP(A181,BASE_558!D:R,15,FALSE)/1000,"")</f>
        <v>116.14542</v>
      </c>
      <c r="FI181" s="547">
        <f t="shared" si="103"/>
        <v>0</v>
      </c>
      <c r="FJ181" s="547">
        <f t="shared" si="104"/>
        <v>0</v>
      </c>
      <c r="FK181" s="540">
        <f t="shared" si="105"/>
        <v>0</v>
      </c>
    </row>
    <row r="182" spans="1:167" s="23" customFormat="1" ht="24" customHeight="1">
      <c r="A182" s="84" t="s">
        <v>333</v>
      </c>
      <c r="B182" s="404" t="s">
        <v>1002</v>
      </c>
      <c r="C182" s="404"/>
      <c r="D182" s="338" t="s">
        <v>861</v>
      </c>
      <c r="E182" s="378">
        <v>2780598</v>
      </c>
      <c r="F182" s="310" t="s">
        <v>609</v>
      </c>
      <c r="G182" s="310" t="s">
        <v>9</v>
      </c>
      <c r="H182" s="356"/>
      <c r="I182" s="356" t="s">
        <v>6</v>
      </c>
      <c r="J182" s="356">
        <v>2020</v>
      </c>
      <c r="K182" s="321">
        <v>44091</v>
      </c>
      <c r="L182" s="317">
        <v>45325</v>
      </c>
      <c r="M182" s="409"/>
      <c r="N182" s="317">
        <f t="shared" si="109"/>
        <v>45003</v>
      </c>
      <c r="O182" s="317">
        <f t="shared" si="110"/>
        <v>45368</v>
      </c>
      <c r="P182" s="418" t="str">
        <f t="shared" si="114"/>
        <v>CRTD</v>
      </c>
      <c r="Q182" s="418" t="str">
        <f t="shared" si="114"/>
        <v>CRTD</v>
      </c>
      <c r="R182" s="418" t="str">
        <f t="shared" si="114"/>
        <v>CRTD</v>
      </c>
      <c r="S182" s="418" t="str">
        <f t="shared" si="114"/>
        <v>CRTD</v>
      </c>
      <c r="T182" s="418" t="str">
        <f t="shared" si="114"/>
        <v>CRTD</v>
      </c>
      <c r="U182" s="418" t="str">
        <f t="shared" si="114"/>
        <v>CRTD</v>
      </c>
      <c r="V182" s="418" t="str">
        <f t="shared" si="114"/>
        <v>CRTD</v>
      </c>
      <c r="W182" s="418" t="str">
        <f t="shared" si="114"/>
        <v>CRTD</v>
      </c>
      <c r="X182" s="418" t="str">
        <f t="shared" si="114"/>
        <v>CRTD</v>
      </c>
      <c r="Y182" s="418" t="str">
        <f t="shared" si="114"/>
        <v>CRTD</v>
      </c>
      <c r="Z182" s="418" t="str">
        <f t="shared" si="114"/>
        <v>CRTD</v>
      </c>
      <c r="AA182" s="418" t="str">
        <f t="shared" si="114"/>
        <v>CRTD</v>
      </c>
      <c r="AB182" s="317"/>
      <c r="AC182" s="309" t="s">
        <v>3932</v>
      </c>
      <c r="AD182" s="311" t="s">
        <v>5</v>
      </c>
      <c r="AE182" s="381" t="s">
        <v>951</v>
      </c>
      <c r="AF182" s="310" t="s">
        <v>6985</v>
      </c>
      <c r="AG182" s="310" t="s">
        <v>9083</v>
      </c>
      <c r="AH182" s="310" t="s">
        <v>332</v>
      </c>
      <c r="AI182" s="309" t="s">
        <v>2255</v>
      </c>
      <c r="AJ182" s="6" t="s">
        <v>218</v>
      </c>
      <c r="AK182" s="6" t="str">
        <f t="shared" si="83"/>
        <v>IGUAL</v>
      </c>
      <c r="AL182" s="151" t="str">
        <f>IFERROR(IF(LEFT(A182,3)="LCP",VLOOKUP(A182,STATUS_SAP_LCP!B:C,2,FALSE),VLOOKUP(A182,STATUS_SAP_ICP!B:C,2,FALSE)),"NO BUDGET")</f>
        <v>CLSD BUDG AUC  AVAC  //  APPR BREL EXPL</v>
      </c>
      <c r="AM182" s="6" t="str">
        <f t="shared" si="82"/>
        <v>CLSD</v>
      </c>
      <c r="AN182" s="282" t="s">
        <v>9098</v>
      </c>
      <c r="AO182" s="493">
        <v>1</v>
      </c>
      <c r="AP182" s="499" t="s">
        <v>9607</v>
      </c>
      <c r="AQ182" s="465">
        <v>45325</v>
      </c>
      <c r="AR182" s="460"/>
      <c r="AS182" s="56">
        <v>0</v>
      </c>
      <c r="AT182" s="185">
        <v>0</v>
      </c>
      <c r="AU182" s="318">
        <v>1326.2461500000002</v>
      </c>
      <c r="AV182" s="223">
        <v>133.35781000000003</v>
      </c>
      <c r="AW182" s="318">
        <v>9.1543899999999994</v>
      </c>
      <c r="AX182" s="223">
        <v>0</v>
      </c>
      <c r="AY182" s="318">
        <f t="shared" si="111"/>
        <v>0</v>
      </c>
      <c r="AZ182" s="223"/>
      <c r="BA182" s="318"/>
      <c r="BB182" s="519">
        <f t="shared" si="112"/>
        <v>0</v>
      </c>
      <c r="BC182" s="518">
        <v>0</v>
      </c>
      <c r="BD182" s="518">
        <v>0</v>
      </c>
      <c r="BE182" s="518">
        <v>0</v>
      </c>
      <c r="BF182" s="518">
        <v>0</v>
      </c>
      <c r="BG182" s="518">
        <v>0</v>
      </c>
      <c r="BH182" s="518">
        <v>0</v>
      </c>
      <c r="BI182" s="518">
        <v>0</v>
      </c>
      <c r="BJ182" s="518">
        <v>0</v>
      </c>
      <c r="BK182" s="518">
        <v>0</v>
      </c>
      <c r="BL182" s="518">
        <v>0</v>
      </c>
      <c r="BM182" s="518">
        <v>0</v>
      </c>
      <c r="BN182" s="518">
        <v>0</v>
      </c>
      <c r="BO182" s="367">
        <f t="shared" si="84"/>
        <v>0</v>
      </c>
      <c r="BP182" s="421">
        <v>0</v>
      </c>
      <c r="BQ182" s="422"/>
      <c r="BR182" s="423">
        <f>IFERROR(IF(LEFT($A182,3)="Lcp",SUMIFS('BASE-LCP'!$K:$K,'BASE-LCP'!$A:$A,Capex!$A174,'BASE-LCP'!$B:$B,"janeiro")/1000,IF(LEFT($A182,3)="icp",SUMIFS('BASE-ICP'!$K:$K,'BASE-ICP'!$A:$A,Capex!$A174,'BASE-ICP'!$B:$B,"janeiro")/1000,"")),"")</f>
        <v>0</v>
      </c>
      <c r="BS182" s="427">
        <v>0</v>
      </c>
      <c r="BT182" s="372">
        <v>0</v>
      </c>
      <c r="BU182" s="422"/>
      <c r="BV182" s="423">
        <f>IFERROR(IF(LEFT($A182,3)="Lcp",SUMIFS('BASE-LCP'!$K:$K,'BASE-LCP'!$A:$A,Capex!$A174,'BASE-LCP'!$B:$B,"fevereiro")/1000,IF(LEFT($A182,3)="icp",SUMIFS('BASE-ICP'!$K:$K,'BASE-ICP'!$A:$A,Capex!$A174,'BASE-ICP'!$B:$B,"fevereiro")/1000,"")),"")</f>
        <v>0</v>
      </c>
      <c r="BW182" s="427">
        <v>0</v>
      </c>
      <c r="BX182" s="372">
        <v>0</v>
      </c>
      <c r="BY182" s="419"/>
      <c r="BZ182" s="423">
        <f>IFERROR(IF(LEFT($A182,3)="Lcp",SUMIFS('BASE-LCP'!$K:$K,'BASE-LCP'!$A:$A,Capex!$A174,'BASE-LCP'!$B:$B,"março")/1000,IF(LEFT($A182,3)="icp",SUMIFS('BASE-ICP'!$K:$K,'BASE-ICP'!$A:$A,Capex!$A174,'BASE-ICP'!$B:$B,"março")/1000,"")),"")</f>
        <v>0</v>
      </c>
      <c r="CA182" s="427">
        <v>0</v>
      </c>
      <c r="CB182" s="372">
        <v>0</v>
      </c>
      <c r="CC182" s="422"/>
      <c r="CD182" s="423">
        <f>IFERROR(IF(LEFT($A182,3)="Lcp",SUMIFS('BASE-LCP'!$K:$K,'BASE-LCP'!$A:$A,Capex!$A174,'BASE-LCP'!$B:$B,"abril")/1000,IF(LEFT($A182,3)="icp",SUMIFS('BASE-ICP'!$K:$K,'BASE-ICP'!$A:$A,Capex!$A174,'BASE-ICP'!$B:$B,"abril")/1000,"")),"")</f>
        <v>0</v>
      </c>
      <c r="CE182" s="427">
        <v>0</v>
      </c>
      <c r="CF182" s="372">
        <v>0</v>
      </c>
      <c r="CG182" s="419"/>
      <c r="CH182" s="423">
        <v>0</v>
      </c>
      <c r="CI182" s="427">
        <v>0</v>
      </c>
      <c r="CJ182" s="372">
        <v>0</v>
      </c>
      <c r="CK182" s="419"/>
      <c r="CL182" s="423">
        <f>IFERROR(IF(LEFT($A182,3)="Lcp",SUMIFS('BASE-LCP'!$K:$K,'BASE-LCP'!$A:$A,Capex!$A174,'BASE-LCP'!$B:$B,"junho")/1000,IF(LEFT($A182,3)="icp",SUMIFS('BASE-ICP'!$K:$K,'BASE-ICP'!$A:$A,Capex!$A174,'BASE-ICP'!$B:$B,"junho")/1000,"")),"")</f>
        <v>0</v>
      </c>
      <c r="CM182" s="427">
        <v>0</v>
      </c>
      <c r="CN182" s="372"/>
      <c r="CO182" s="419"/>
      <c r="CP182" s="423">
        <f>IFERROR(IF(LEFT($A182,3)="Lcp",SUMIFS('BASE-LCP'!$K:$K,'BASE-LCP'!$A:$A,Capex!$A174,'BASE-LCP'!$B:$B,"julho")/1000,IF(LEFT($A182,3)="icp",SUMIFS('BASE-ICP'!$K:$K,'BASE-ICP'!$A:$A,Capex!$A174,'BASE-ICP'!$B:$B,"julho")/1000,"")),"")</f>
        <v>0</v>
      </c>
      <c r="CQ182" s="427">
        <v>0</v>
      </c>
      <c r="CR182" s="372"/>
      <c r="CS182" s="419"/>
      <c r="CT182" s="423">
        <f>IFERROR(IF(LEFT($A182,3)="Lcp",SUMIFS('BASE-LCP'!$K:$K,'BASE-LCP'!$A:$A,Capex!$A174,'BASE-LCP'!$B:$B,"agosto")/1000,IF(LEFT($A182,3)="icp",SUMIFS('BASE-ICP'!$K:$K,'BASE-ICP'!$A:$A,Capex!$A174,'BASE-ICP'!$B:$B,"agosto")/1000,"")),"")</f>
        <v>0</v>
      </c>
      <c r="CU182" s="427">
        <v>0</v>
      </c>
      <c r="CV182" s="372"/>
      <c r="CW182" s="419"/>
      <c r="CX182" s="423">
        <f>IFERROR(IF(LEFT($A182,3)="Lcp",SUMIFS('BASE-LCP'!$K:$K,'BASE-LCP'!$A:$A,Capex!$A174,'BASE-LCP'!$B:$B,"setembro")/1000,IF(LEFT($A182,3)="icp",SUMIFS('BASE-ICP'!$K:$K,'BASE-ICP'!$A:$A,Capex!$A174,'BASE-ICP'!$B:$B,"setembro")/1000,"")),"")</f>
        <v>0</v>
      </c>
      <c r="CY182" s="427">
        <v>0</v>
      </c>
      <c r="CZ182" s="372"/>
      <c r="DA182" s="419"/>
      <c r="DB182" s="423">
        <f>IFERROR(IF(LEFT($A182,3)="Lcp",SUMIFS('BASE-LCP'!$K:$K,'BASE-LCP'!$A:$A,Capex!$A174,'BASE-LCP'!$B:$B,"outubro")/1000,IF(LEFT($A182,3)="icp",SUMIFS('BASE-ICP'!$K:$K,'BASE-ICP'!$A:$A,Capex!$A174,'BASE-ICP'!$B:$B,"outubro")/1000,"")),"")</f>
        <v>0</v>
      </c>
      <c r="DC182" s="427">
        <v>0</v>
      </c>
      <c r="DD182" s="372"/>
      <c r="DE182" s="419"/>
      <c r="DF182" s="423">
        <f>IFERROR(IF(LEFT($A182,3)="Lcp",SUMIFS('BASE-LCP'!$K:$K,'BASE-LCP'!$A:$A,Capex!$A174,'BASE-LCP'!$B:$B,"novembro")/1000,IF(LEFT($A182,3)="icp",SUMIFS('BASE-ICP'!$K:$K,'BASE-ICP'!$A:$A,Capex!$A174,'BASE-ICP'!$B:$B,"novembro")/1000,"")),"")</f>
        <v>0</v>
      </c>
      <c r="DG182" s="427">
        <v>0</v>
      </c>
      <c r="DH182" s="372"/>
      <c r="DI182" s="419"/>
      <c r="DJ182" s="423">
        <f>IFERROR(IF(LEFT($A182,3)="Lcp",SUMIFS('BASE-LCP'!$K:$K,'BASE-LCP'!$A:$A,Capex!$A174,'BASE-LCP'!$B:$B,"dezembro")/1000,IF(LEFT($A182,3)="icp",SUMIFS('BASE-ICP'!$K:$K,'BASE-ICP'!$A:$A,Capex!$A174,'BASE-ICP'!$B:$B,"dezembro")/1000,"")),"")</f>
        <v>0</v>
      </c>
      <c r="DK182" s="427">
        <v>0</v>
      </c>
      <c r="DL182" s="452">
        <f t="shared" si="85"/>
        <v>0</v>
      </c>
      <c r="DM182" s="374"/>
      <c r="DN182" s="374">
        <v>0</v>
      </c>
      <c r="DO182" s="374"/>
      <c r="DP182" s="374"/>
      <c r="DQ182" s="374"/>
      <c r="DR182" s="374"/>
      <c r="DS182" s="374"/>
      <c r="DT182" s="374"/>
      <c r="DU182" s="374"/>
      <c r="DV182" s="374"/>
      <c r="DW182" s="374"/>
      <c r="DX182" s="374"/>
      <c r="DY182" s="450"/>
      <c r="DZ182" s="374">
        <f t="shared" si="86"/>
        <v>0</v>
      </c>
      <c r="EA182" s="216">
        <f t="shared" si="87"/>
        <v>0</v>
      </c>
      <c r="EB182" s="320">
        <f t="shared" si="88"/>
        <v>0</v>
      </c>
      <c r="EC182" s="241">
        <f t="shared" si="89"/>
        <v>0</v>
      </c>
      <c r="ED182" s="241">
        <f t="shared" si="90"/>
        <v>0</v>
      </c>
      <c r="EE182" s="241">
        <f t="shared" si="91"/>
        <v>0</v>
      </c>
      <c r="EF182" s="241">
        <f t="shared" si="92"/>
        <v>0</v>
      </c>
      <c r="EG182" s="346">
        <f t="shared" si="93"/>
        <v>0</v>
      </c>
      <c r="EH182" s="445">
        <f t="shared" si="94"/>
        <v>0</v>
      </c>
      <c r="EI182" s="447">
        <f t="shared" si="95"/>
        <v>0</v>
      </c>
      <c r="EJ182" s="364">
        <f t="shared" si="96"/>
        <v>0</v>
      </c>
      <c r="EK182" s="365">
        <f t="shared" si="97"/>
        <v>0</v>
      </c>
      <c r="EL182" s="529">
        <f t="shared" si="98"/>
        <v>0</v>
      </c>
      <c r="EM182" s="530">
        <v>0</v>
      </c>
      <c r="EN182" s="530">
        <v>0</v>
      </c>
      <c r="EO182" s="530">
        <v>0</v>
      </c>
      <c r="EP182" s="530">
        <v>0</v>
      </c>
      <c r="EQ182" s="530">
        <v>0</v>
      </c>
      <c r="ER182" s="530">
        <v>0</v>
      </c>
      <c r="ES182" s="530">
        <v>0</v>
      </c>
      <c r="ET182" s="530">
        <v>0</v>
      </c>
      <c r="EU182" s="530">
        <v>0</v>
      </c>
      <c r="EV182" s="530">
        <v>0</v>
      </c>
      <c r="EW182" s="530">
        <v>0</v>
      </c>
      <c r="EX182" s="530">
        <v>0</v>
      </c>
      <c r="EY182" s="530">
        <f t="shared" si="99"/>
        <v>0</v>
      </c>
      <c r="EZ182" s="530">
        <f t="shared" si="100"/>
        <v>0</v>
      </c>
      <c r="FA182" s="530">
        <f t="shared" si="101"/>
        <v>0</v>
      </c>
      <c r="FB182" s="530">
        <f t="shared" si="102"/>
        <v>0</v>
      </c>
      <c r="FC182" s="384">
        <f>IFERROR(VLOOKUP(Capex!A174,BASE_558!D:R,8,FALSE)/1000,"")</f>
        <v>955.78200000000004</v>
      </c>
      <c r="FD182" s="328">
        <f>IFERROR(VLOOKUP(Capex!A174,BASE_558!D:R,9,)/1000,"")</f>
        <v>328.19628</v>
      </c>
      <c r="FE182" s="328">
        <f>IFERROR(IF(LEFT(A182,3)="LCP",(VLOOKUP(Capex!A174,BASE_558!D:R,10,)/1000),SUMIFS('BASE ICP_PO_SC'!F:F,'BASE ICP_PO_SC'!A:A,Capex!A174,'BASE ICP_PO_SC'!E:E,"&lt;&gt;")/1000),"")</f>
        <v>0</v>
      </c>
      <c r="FF182" s="328">
        <f>IFERROR(IF(LEFT(A182,3)="LCP",(VLOOKUP(Capex!A174,BASE_558!D:R,11,)/1000),SUMIFS('BASE ICP_PO_SC'!F:F,'BASE ICP_PO_SC'!A:A,Capex!A174,'BASE ICP_PO_SC'!E:E,"")/1000),"")</f>
        <v>0</v>
      </c>
      <c r="FG182" s="328">
        <f>IFERROR(VLOOKUP(A182,BASE_558!D:R,13,FALSE)/1000,"")</f>
        <v>1468.7583500000001</v>
      </c>
      <c r="FH182" s="328">
        <f>IFERROR(VLOOKUP(A182,BASE_558!D:R,15,FALSE)/1000,"")</f>
        <v>178.59664999999998</v>
      </c>
      <c r="FI182" s="547">
        <f t="shared" si="103"/>
        <v>0</v>
      </c>
      <c r="FJ182" s="547">
        <f t="shared" si="104"/>
        <v>0</v>
      </c>
      <c r="FK182" s="540">
        <f t="shared" si="105"/>
        <v>0</v>
      </c>
    </row>
    <row r="183" spans="1:167" s="23" customFormat="1" ht="24" customHeight="1">
      <c r="A183" s="84" t="s">
        <v>340</v>
      </c>
      <c r="B183" s="404"/>
      <c r="C183" s="404"/>
      <c r="D183" s="338" t="s">
        <v>878</v>
      </c>
      <c r="E183" s="378">
        <v>2807147</v>
      </c>
      <c r="F183" s="310"/>
      <c r="G183" s="310" t="s">
        <v>9</v>
      </c>
      <c r="H183" s="356"/>
      <c r="I183" s="356"/>
      <c r="J183" s="356">
        <v>2020</v>
      </c>
      <c r="K183" s="321">
        <v>44082</v>
      </c>
      <c r="L183" s="317">
        <v>44833</v>
      </c>
      <c r="M183" s="409"/>
      <c r="N183" s="317">
        <f t="shared" si="109"/>
        <v>44994</v>
      </c>
      <c r="O183" s="317">
        <f t="shared" si="110"/>
        <v>45359</v>
      </c>
      <c r="P183" s="418" t="str">
        <f t="shared" si="114"/>
        <v>CRTD</v>
      </c>
      <c r="Q183" s="418" t="str">
        <f t="shared" si="114"/>
        <v>CRTD</v>
      </c>
      <c r="R183" s="418" t="str">
        <f t="shared" si="114"/>
        <v>CRTD</v>
      </c>
      <c r="S183" s="418" t="str">
        <f t="shared" si="114"/>
        <v>CRTD</v>
      </c>
      <c r="T183" s="418" t="str">
        <f t="shared" si="114"/>
        <v>CRTD</v>
      </c>
      <c r="U183" s="418" t="str">
        <f t="shared" si="114"/>
        <v>CRTD</v>
      </c>
      <c r="V183" s="418" t="str">
        <f t="shared" si="114"/>
        <v>CRTD</v>
      </c>
      <c r="W183" s="418" t="str">
        <f t="shared" si="114"/>
        <v>CRTD</v>
      </c>
      <c r="X183" s="418" t="str">
        <f t="shared" si="114"/>
        <v>CRTD</v>
      </c>
      <c r="Y183" s="418" t="str">
        <f t="shared" si="114"/>
        <v>CRTD</v>
      </c>
      <c r="Z183" s="418" t="str">
        <f t="shared" si="114"/>
        <v>CRTD</v>
      </c>
      <c r="AA183" s="418" t="str">
        <f t="shared" si="114"/>
        <v>CRTD</v>
      </c>
      <c r="AB183" s="317"/>
      <c r="AC183" s="309" t="s">
        <v>3932</v>
      </c>
      <c r="AD183" s="311" t="s">
        <v>5</v>
      </c>
      <c r="AE183" s="381" t="s">
        <v>952</v>
      </c>
      <c r="AF183" s="310" t="s">
        <v>6985</v>
      </c>
      <c r="AG183" s="310" t="s">
        <v>9083</v>
      </c>
      <c r="AH183" s="310" t="s">
        <v>3251</v>
      </c>
      <c r="AI183" s="309" t="s">
        <v>2255</v>
      </c>
      <c r="AJ183" s="6" t="s">
        <v>218</v>
      </c>
      <c r="AK183" s="6" t="str">
        <f t="shared" si="83"/>
        <v>IGUAL</v>
      </c>
      <c r="AL183" s="151" t="str">
        <f>IFERROR(IF(LEFT(A183,3)="LCP",VLOOKUP(A183,STATUS_SAP_LCP!B:C,2,FALSE),VLOOKUP(A183,STATUS_SAP_ICP!B:C,2,FALSE)),"NO BUDGET")</f>
        <v>CLSD BUDG AUC  AVAC  //  APPR BREL EXPL</v>
      </c>
      <c r="AM183" s="6" t="str">
        <f t="shared" si="82"/>
        <v>CLSD</v>
      </c>
      <c r="AN183" s="282" t="s">
        <v>9085</v>
      </c>
      <c r="AO183" s="493">
        <v>1</v>
      </c>
      <c r="AP183" s="499" t="s">
        <v>9607</v>
      </c>
      <c r="AQ183" s="465">
        <v>44833</v>
      </c>
      <c r="AR183" s="460"/>
      <c r="AS183" s="56">
        <v>0</v>
      </c>
      <c r="AT183" s="185">
        <v>76.748619999999988</v>
      </c>
      <c r="AU183" s="318">
        <v>74.961089999999999</v>
      </c>
      <c r="AV183" s="223">
        <v>0</v>
      </c>
      <c r="AW183" s="318">
        <v>0</v>
      </c>
      <c r="AX183" s="223">
        <v>0</v>
      </c>
      <c r="AY183" s="318">
        <f t="shared" si="111"/>
        <v>0</v>
      </c>
      <c r="AZ183" s="223"/>
      <c r="BA183" s="318"/>
      <c r="BB183" s="519">
        <f t="shared" si="112"/>
        <v>0</v>
      </c>
      <c r="BC183" s="518"/>
      <c r="BD183" s="518"/>
      <c r="BE183" s="518"/>
      <c r="BF183" s="518"/>
      <c r="BG183" s="518"/>
      <c r="BH183" s="518"/>
      <c r="BI183" s="518"/>
      <c r="BJ183" s="518"/>
      <c r="BK183" s="518"/>
      <c r="BL183" s="518"/>
      <c r="BM183" s="518"/>
      <c r="BN183" s="518"/>
      <c r="BO183" s="367">
        <f t="shared" si="84"/>
        <v>0</v>
      </c>
      <c r="BP183" s="421"/>
      <c r="BQ183" s="422"/>
      <c r="BR183" s="423">
        <f>IFERROR(IF(LEFT($A183,3)="Lcp",SUMIFS('BASE-LCP'!$K:$K,'BASE-LCP'!$A:$A,Capex!$A175,'BASE-LCP'!$B:$B,"janeiro")/1000,IF(LEFT($A183,3)="icp",SUMIFS('BASE-ICP'!$K:$K,'BASE-ICP'!$A:$A,Capex!$A175,'BASE-ICP'!$B:$B,"janeiro")/1000,"")),"")</f>
        <v>0</v>
      </c>
      <c r="BS183" s="427">
        <v>0</v>
      </c>
      <c r="BT183" s="372">
        <v>0</v>
      </c>
      <c r="BU183" s="422"/>
      <c r="BV183" s="423">
        <f>IFERROR(IF(LEFT($A183,3)="Lcp",SUMIFS('BASE-LCP'!$K:$K,'BASE-LCP'!$A:$A,Capex!$A175,'BASE-LCP'!$B:$B,"fevereiro")/1000,IF(LEFT($A183,3)="icp",SUMIFS('BASE-ICP'!$K:$K,'BASE-ICP'!$A:$A,Capex!$A175,'BASE-ICP'!$B:$B,"fevereiro")/1000,"")),"")</f>
        <v>0</v>
      </c>
      <c r="BW183" s="427">
        <v>0</v>
      </c>
      <c r="BX183" s="372">
        <v>0</v>
      </c>
      <c r="BY183" s="419"/>
      <c r="BZ183" s="423">
        <f>IFERROR(IF(LEFT($A183,3)="Lcp",SUMIFS('BASE-LCP'!$K:$K,'BASE-LCP'!$A:$A,Capex!$A175,'BASE-LCP'!$B:$B,"março")/1000,IF(LEFT($A183,3)="icp",SUMIFS('BASE-ICP'!$K:$K,'BASE-ICP'!$A:$A,Capex!$A175,'BASE-ICP'!$B:$B,"março")/1000,"")),"")</f>
        <v>0</v>
      </c>
      <c r="CA183" s="427">
        <v>0</v>
      </c>
      <c r="CB183" s="372">
        <v>0</v>
      </c>
      <c r="CC183" s="422"/>
      <c r="CD183" s="423">
        <f>IFERROR(IF(LEFT($A183,3)="Lcp",SUMIFS('BASE-LCP'!$K:$K,'BASE-LCP'!$A:$A,Capex!$A175,'BASE-LCP'!$B:$B,"abril")/1000,IF(LEFT($A183,3)="icp",SUMIFS('BASE-ICP'!$K:$K,'BASE-ICP'!$A:$A,Capex!$A175,'BASE-ICP'!$B:$B,"abril")/1000,"")),"")</f>
        <v>0</v>
      </c>
      <c r="CE183" s="427">
        <v>0</v>
      </c>
      <c r="CF183" s="372">
        <v>0</v>
      </c>
      <c r="CG183" s="419"/>
      <c r="CH183" s="423">
        <v>0</v>
      </c>
      <c r="CI183" s="427">
        <v>0</v>
      </c>
      <c r="CJ183" s="372">
        <v>0</v>
      </c>
      <c r="CK183" s="419"/>
      <c r="CL183" s="423">
        <f>IFERROR(IF(LEFT($A183,3)="Lcp",SUMIFS('BASE-LCP'!$K:$K,'BASE-LCP'!$A:$A,Capex!$A175,'BASE-LCP'!$B:$B,"junho")/1000,IF(LEFT($A183,3)="icp",SUMIFS('BASE-ICP'!$K:$K,'BASE-ICP'!$A:$A,Capex!$A175,'BASE-ICP'!$B:$B,"junho")/1000,"")),"")</f>
        <v>0</v>
      </c>
      <c r="CM183" s="427">
        <v>0</v>
      </c>
      <c r="CN183" s="372"/>
      <c r="CO183" s="419"/>
      <c r="CP183" s="423">
        <f>IFERROR(IF(LEFT($A183,3)="Lcp",SUMIFS('BASE-LCP'!$K:$K,'BASE-LCP'!$A:$A,Capex!$A175,'BASE-LCP'!$B:$B,"julho")/1000,IF(LEFT($A183,3)="icp",SUMIFS('BASE-ICP'!$K:$K,'BASE-ICP'!$A:$A,Capex!$A175,'BASE-ICP'!$B:$B,"julho")/1000,"")),"")</f>
        <v>0</v>
      </c>
      <c r="CQ183" s="427">
        <v>0</v>
      </c>
      <c r="CR183" s="372"/>
      <c r="CS183" s="419"/>
      <c r="CT183" s="423">
        <f>IFERROR(IF(LEFT($A183,3)="Lcp",SUMIFS('BASE-LCP'!$K:$K,'BASE-LCP'!$A:$A,Capex!$A175,'BASE-LCP'!$B:$B,"agosto")/1000,IF(LEFT($A183,3)="icp",SUMIFS('BASE-ICP'!$K:$K,'BASE-ICP'!$A:$A,Capex!$A175,'BASE-ICP'!$B:$B,"agosto")/1000,"")),"")</f>
        <v>0</v>
      </c>
      <c r="CU183" s="427">
        <v>0</v>
      </c>
      <c r="CV183" s="372"/>
      <c r="CW183" s="419"/>
      <c r="CX183" s="423">
        <f>IFERROR(IF(LEFT($A183,3)="Lcp",SUMIFS('BASE-LCP'!$K:$K,'BASE-LCP'!$A:$A,Capex!$A175,'BASE-LCP'!$B:$B,"setembro")/1000,IF(LEFT($A183,3)="icp",SUMIFS('BASE-ICP'!$K:$K,'BASE-ICP'!$A:$A,Capex!$A175,'BASE-ICP'!$B:$B,"setembro")/1000,"")),"")</f>
        <v>0</v>
      </c>
      <c r="CY183" s="427">
        <v>0</v>
      </c>
      <c r="CZ183" s="372"/>
      <c r="DA183" s="419"/>
      <c r="DB183" s="423">
        <f>IFERROR(IF(LEFT($A183,3)="Lcp",SUMIFS('BASE-LCP'!$K:$K,'BASE-LCP'!$A:$A,Capex!$A175,'BASE-LCP'!$B:$B,"outubro")/1000,IF(LEFT($A183,3)="icp",SUMIFS('BASE-ICP'!$K:$K,'BASE-ICP'!$A:$A,Capex!$A175,'BASE-ICP'!$B:$B,"outubro")/1000,"")),"")</f>
        <v>0</v>
      </c>
      <c r="DC183" s="427">
        <v>0</v>
      </c>
      <c r="DD183" s="372"/>
      <c r="DE183" s="419"/>
      <c r="DF183" s="423">
        <f>IFERROR(IF(LEFT($A183,3)="Lcp",SUMIFS('BASE-LCP'!$K:$K,'BASE-LCP'!$A:$A,Capex!$A175,'BASE-LCP'!$B:$B,"novembro")/1000,IF(LEFT($A183,3)="icp",SUMIFS('BASE-ICP'!$K:$K,'BASE-ICP'!$A:$A,Capex!$A175,'BASE-ICP'!$B:$B,"novembro")/1000,"")),"")</f>
        <v>0</v>
      </c>
      <c r="DG183" s="427">
        <v>0</v>
      </c>
      <c r="DH183" s="372"/>
      <c r="DI183" s="419"/>
      <c r="DJ183" s="423">
        <f>IFERROR(IF(LEFT($A183,3)="Lcp",SUMIFS('BASE-LCP'!$K:$K,'BASE-LCP'!$A:$A,Capex!$A175,'BASE-LCP'!$B:$B,"dezembro")/1000,IF(LEFT($A183,3)="icp",SUMIFS('BASE-ICP'!$K:$K,'BASE-ICP'!$A:$A,Capex!$A175,'BASE-ICP'!$B:$B,"dezembro")/1000,"")),"")</f>
        <v>0</v>
      </c>
      <c r="DK183" s="427">
        <v>0</v>
      </c>
      <c r="DL183" s="452">
        <f t="shared" si="85"/>
        <v>0</v>
      </c>
      <c r="DM183" s="374"/>
      <c r="DN183" s="374"/>
      <c r="DO183" s="374"/>
      <c r="DP183" s="374"/>
      <c r="DQ183" s="374"/>
      <c r="DR183" s="374"/>
      <c r="DS183" s="374"/>
      <c r="DT183" s="374"/>
      <c r="DU183" s="374"/>
      <c r="DV183" s="374"/>
      <c r="DW183" s="374"/>
      <c r="DX183" s="374"/>
      <c r="DY183" s="450"/>
      <c r="DZ183" s="374">
        <f t="shared" si="86"/>
        <v>0</v>
      </c>
      <c r="EA183" s="216">
        <f t="shared" si="87"/>
        <v>0</v>
      </c>
      <c r="EB183" s="320">
        <f t="shared" si="88"/>
        <v>0</v>
      </c>
      <c r="EC183" s="241">
        <f t="shared" si="89"/>
        <v>0</v>
      </c>
      <c r="ED183" s="241">
        <f t="shared" si="90"/>
        <v>0</v>
      </c>
      <c r="EE183" s="241">
        <f t="shared" si="91"/>
        <v>0</v>
      </c>
      <c r="EF183" s="241">
        <f t="shared" si="92"/>
        <v>0</v>
      </c>
      <c r="EG183" s="346">
        <f t="shared" si="93"/>
        <v>0</v>
      </c>
      <c r="EH183" s="445">
        <f t="shared" si="94"/>
        <v>0</v>
      </c>
      <c r="EI183" s="447">
        <f t="shared" si="95"/>
        <v>0</v>
      </c>
      <c r="EJ183" s="364">
        <f t="shared" si="96"/>
        <v>0</v>
      </c>
      <c r="EK183" s="365">
        <f t="shared" si="97"/>
        <v>0</v>
      </c>
      <c r="EL183" s="529">
        <f t="shared" si="98"/>
        <v>0</v>
      </c>
      <c r="EM183" s="530">
        <v>0</v>
      </c>
      <c r="EN183" s="530">
        <v>0</v>
      </c>
      <c r="EO183" s="530">
        <v>0</v>
      </c>
      <c r="EP183" s="530">
        <v>0</v>
      </c>
      <c r="EQ183" s="530">
        <v>0</v>
      </c>
      <c r="ER183" s="530">
        <v>0</v>
      </c>
      <c r="ES183" s="530">
        <v>0</v>
      </c>
      <c r="ET183" s="530">
        <v>0</v>
      </c>
      <c r="EU183" s="530">
        <v>0</v>
      </c>
      <c r="EV183" s="530">
        <v>0</v>
      </c>
      <c r="EW183" s="530">
        <v>0</v>
      </c>
      <c r="EX183" s="530">
        <v>0</v>
      </c>
      <c r="EY183" s="530">
        <f t="shared" si="99"/>
        <v>0</v>
      </c>
      <c r="EZ183" s="530">
        <f t="shared" si="100"/>
        <v>0</v>
      </c>
      <c r="FA183" s="530">
        <f t="shared" si="101"/>
        <v>0</v>
      </c>
      <c r="FB183" s="530">
        <f t="shared" si="102"/>
        <v>0</v>
      </c>
      <c r="FC183" s="384">
        <f>IFERROR(VLOOKUP(Capex!A175,BASE_558!D:R,8,FALSE)/1000,"")</f>
        <v>864.93799999999999</v>
      </c>
      <c r="FD183" s="328">
        <f>IFERROR(VLOOKUP(Capex!A175,BASE_558!D:R,9,)/1000,"")</f>
        <v>282.75599</v>
      </c>
      <c r="FE183" s="328">
        <f>IFERROR(IF(LEFT(A183,3)="LCP",(VLOOKUP(Capex!A175,BASE_558!D:R,10,)/1000),SUMIFS('BASE ICP_PO_SC'!F:F,'BASE ICP_PO_SC'!A:A,Capex!A175,'BASE ICP_PO_SC'!E:E,"&lt;&gt;")/1000),"")</f>
        <v>13.467090000000001</v>
      </c>
      <c r="FF183" s="328">
        <f>IFERROR(IF(LEFT(A183,3)="LCP",(VLOOKUP(Capex!A175,BASE_558!D:R,11,)/1000),SUMIFS('BASE ICP_PO_SC'!F:F,'BASE ICP_PO_SC'!A:A,Capex!A175,'BASE ICP_PO_SC'!E:E,"")/1000),"")</f>
        <v>11.6502</v>
      </c>
      <c r="FG183" s="328">
        <f>IFERROR(VLOOKUP(A183,BASE_558!D:R,13,FALSE)/1000,"")</f>
        <v>151.70971</v>
      </c>
      <c r="FH183" s="328">
        <f>IFERROR(VLOOKUP(A183,BASE_558!D:R,15,FALSE)/1000,"")</f>
        <v>6.5781599999999996</v>
      </c>
      <c r="FI183" s="547">
        <f t="shared" si="103"/>
        <v>0</v>
      </c>
      <c r="FJ183" s="547">
        <f t="shared" si="104"/>
        <v>0</v>
      </c>
      <c r="FK183" s="540">
        <f t="shared" si="105"/>
        <v>0</v>
      </c>
    </row>
    <row r="184" spans="1:167" s="23" customFormat="1" ht="24" customHeight="1">
      <c r="A184" s="84" t="s">
        <v>341</v>
      </c>
      <c r="B184" s="404"/>
      <c r="C184" s="404"/>
      <c r="D184" s="338" t="s">
        <v>880</v>
      </c>
      <c r="E184" s="378">
        <v>2815734</v>
      </c>
      <c r="F184" s="5"/>
      <c r="G184" s="310" t="s">
        <v>9</v>
      </c>
      <c r="H184" s="356"/>
      <c r="I184" s="356"/>
      <c r="J184" s="356">
        <v>2020</v>
      </c>
      <c r="K184" s="321">
        <v>43979</v>
      </c>
      <c r="L184" s="317">
        <v>44613</v>
      </c>
      <c r="M184" s="409"/>
      <c r="N184" s="317">
        <f t="shared" si="109"/>
        <v>44891</v>
      </c>
      <c r="O184" s="317">
        <f t="shared" si="110"/>
        <v>45256</v>
      </c>
      <c r="P184" s="418" t="str">
        <f t="shared" si="114"/>
        <v>CRTD</v>
      </c>
      <c r="Q184" s="418" t="str">
        <f t="shared" si="114"/>
        <v>CRTD</v>
      </c>
      <c r="R184" s="418" t="str">
        <f t="shared" si="114"/>
        <v>CRTD</v>
      </c>
      <c r="S184" s="418" t="str">
        <f t="shared" si="114"/>
        <v>CRTD</v>
      </c>
      <c r="T184" s="418" t="str">
        <f t="shared" si="114"/>
        <v>CRTD</v>
      </c>
      <c r="U184" s="418" t="str">
        <f t="shared" si="114"/>
        <v>CRTD</v>
      </c>
      <c r="V184" s="418" t="str">
        <f t="shared" si="114"/>
        <v>CRTD</v>
      </c>
      <c r="W184" s="418" t="str">
        <f t="shared" si="114"/>
        <v>CRTD</v>
      </c>
      <c r="X184" s="418" t="str">
        <f t="shared" si="114"/>
        <v>CRTD</v>
      </c>
      <c r="Y184" s="418" t="str">
        <f t="shared" si="114"/>
        <v>CRTD</v>
      </c>
      <c r="Z184" s="418" t="str">
        <f t="shared" si="114"/>
        <v>CRTD</v>
      </c>
      <c r="AA184" s="418" t="str">
        <f t="shared" si="114"/>
        <v>CRTD</v>
      </c>
      <c r="AB184" s="317"/>
      <c r="AC184" s="309" t="s">
        <v>3932</v>
      </c>
      <c r="AD184" s="311" t="s">
        <v>5</v>
      </c>
      <c r="AE184" s="361" t="s">
        <v>951</v>
      </c>
      <c r="AF184" s="310" t="s">
        <v>6985</v>
      </c>
      <c r="AG184" s="310" t="s">
        <v>9083</v>
      </c>
      <c r="AH184" s="310" t="s">
        <v>2822</v>
      </c>
      <c r="AI184" s="309" t="s">
        <v>316</v>
      </c>
      <c r="AJ184" s="6" t="s">
        <v>218</v>
      </c>
      <c r="AK184" s="6" t="str">
        <f t="shared" si="83"/>
        <v>IGUAL</v>
      </c>
      <c r="AL184" s="151" t="str">
        <f>IFERROR(IF(LEFT(A184,3)="LCP",VLOOKUP(A184,STATUS_SAP_LCP!B:C,2,FALSE),VLOOKUP(A184,STATUS_SAP_ICP!B:C,2,FALSE)),"NO BUDGET")</f>
        <v>CLSD BUDG AUC  AVAC  //  APPR BREL EXPL</v>
      </c>
      <c r="AM184" s="6" t="str">
        <f t="shared" si="82"/>
        <v>CLSD</v>
      </c>
      <c r="AN184" s="282" t="s">
        <v>9090</v>
      </c>
      <c r="AO184" s="493">
        <v>1</v>
      </c>
      <c r="AP184" s="499" t="s">
        <v>9607</v>
      </c>
      <c r="AQ184" s="465">
        <v>44613</v>
      </c>
      <c r="AR184" s="460"/>
      <c r="AS184" s="56">
        <v>0</v>
      </c>
      <c r="AT184" s="185">
        <v>134.98552000000001</v>
      </c>
      <c r="AU184" s="318">
        <v>71.793690000000012</v>
      </c>
      <c r="AV184" s="223">
        <v>3.14E-3</v>
      </c>
      <c r="AW184" s="318">
        <v>0</v>
      </c>
      <c r="AX184" s="223">
        <v>0</v>
      </c>
      <c r="AY184" s="318">
        <f t="shared" si="111"/>
        <v>0</v>
      </c>
      <c r="AZ184" s="223"/>
      <c r="BA184" s="318"/>
      <c r="BB184" s="519">
        <f t="shared" si="112"/>
        <v>0</v>
      </c>
      <c r="BC184" s="518"/>
      <c r="BD184" s="518"/>
      <c r="BE184" s="518"/>
      <c r="BF184" s="518"/>
      <c r="BG184" s="518"/>
      <c r="BH184" s="518"/>
      <c r="BI184" s="518"/>
      <c r="BJ184" s="518"/>
      <c r="BK184" s="518"/>
      <c r="BL184" s="518"/>
      <c r="BM184" s="518"/>
      <c r="BN184" s="518"/>
      <c r="BO184" s="367">
        <f t="shared" si="84"/>
        <v>0</v>
      </c>
      <c r="BP184" s="421"/>
      <c r="BQ184" s="422"/>
      <c r="BR184" s="423">
        <f>IFERROR(IF(LEFT($A184,3)="Lcp",SUMIFS('BASE-LCP'!$K:$K,'BASE-LCP'!$A:$A,Capex!$A176,'BASE-LCP'!$B:$B,"janeiro")/1000,IF(LEFT($A184,3)="icp",SUMIFS('BASE-ICP'!$K:$K,'BASE-ICP'!$A:$A,Capex!$A176,'BASE-ICP'!$B:$B,"janeiro")/1000,"")),"")</f>
        <v>0</v>
      </c>
      <c r="BS184" s="427">
        <v>0</v>
      </c>
      <c r="BT184" s="372">
        <v>0</v>
      </c>
      <c r="BU184" s="422"/>
      <c r="BV184" s="423">
        <f>IFERROR(IF(LEFT($A184,3)="Lcp",SUMIFS('BASE-LCP'!$K:$K,'BASE-LCP'!$A:$A,Capex!$A176,'BASE-LCP'!$B:$B,"fevereiro")/1000,IF(LEFT($A184,3)="icp",SUMIFS('BASE-ICP'!$K:$K,'BASE-ICP'!$A:$A,Capex!$A176,'BASE-ICP'!$B:$B,"fevereiro")/1000,"")),"")</f>
        <v>0</v>
      </c>
      <c r="BW184" s="427">
        <v>0</v>
      </c>
      <c r="BX184" s="372">
        <v>0</v>
      </c>
      <c r="BY184" s="419"/>
      <c r="BZ184" s="423">
        <f>IFERROR(IF(LEFT($A184,3)="Lcp",SUMIFS('BASE-LCP'!$K:$K,'BASE-LCP'!$A:$A,Capex!$A176,'BASE-LCP'!$B:$B,"março")/1000,IF(LEFT($A184,3)="icp",SUMIFS('BASE-ICP'!$K:$K,'BASE-ICP'!$A:$A,Capex!$A176,'BASE-ICP'!$B:$B,"março")/1000,"")),"")</f>
        <v>0</v>
      </c>
      <c r="CA184" s="427">
        <v>0</v>
      </c>
      <c r="CB184" s="372">
        <v>0</v>
      </c>
      <c r="CC184" s="422"/>
      <c r="CD184" s="423">
        <f>IFERROR(IF(LEFT($A184,3)="Lcp",SUMIFS('BASE-LCP'!$K:$K,'BASE-LCP'!$A:$A,Capex!$A176,'BASE-LCP'!$B:$B,"abril")/1000,IF(LEFT($A184,3)="icp",SUMIFS('BASE-ICP'!$K:$K,'BASE-ICP'!$A:$A,Capex!$A176,'BASE-ICP'!$B:$B,"abril")/1000,"")),"")</f>
        <v>0</v>
      </c>
      <c r="CE184" s="427">
        <v>0</v>
      </c>
      <c r="CF184" s="372">
        <v>0</v>
      </c>
      <c r="CG184" s="419"/>
      <c r="CH184" s="423">
        <v>0</v>
      </c>
      <c r="CI184" s="427">
        <v>0</v>
      </c>
      <c r="CJ184" s="372">
        <v>0</v>
      </c>
      <c r="CK184" s="419"/>
      <c r="CL184" s="423">
        <f>IFERROR(IF(LEFT($A184,3)="Lcp",SUMIFS('BASE-LCP'!$K:$K,'BASE-LCP'!$A:$A,Capex!$A176,'BASE-LCP'!$B:$B,"junho")/1000,IF(LEFT($A184,3)="icp",SUMIFS('BASE-ICP'!$K:$K,'BASE-ICP'!$A:$A,Capex!$A176,'BASE-ICP'!$B:$B,"junho")/1000,"")),"")</f>
        <v>0</v>
      </c>
      <c r="CM184" s="427">
        <v>0</v>
      </c>
      <c r="CN184" s="372"/>
      <c r="CO184" s="419"/>
      <c r="CP184" s="423">
        <f>IFERROR(IF(LEFT($A184,3)="Lcp",SUMIFS('BASE-LCP'!$K:$K,'BASE-LCP'!$A:$A,Capex!$A176,'BASE-LCP'!$B:$B,"julho")/1000,IF(LEFT($A184,3)="icp",SUMIFS('BASE-ICP'!$K:$K,'BASE-ICP'!$A:$A,Capex!$A176,'BASE-ICP'!$B:$B,"julho")/1000,"")),"")</f>
        <v>0</v>
      </c>
      <c r="CQ184" s="427">
        <v>0</v>
      </c>
      <c r="CR184" s="372"/>
      <c r="CS184" s="419"/>
      <c r="CT184" s="423">
        <f>IFERROR(IF(LEFT($A184,3)="Lcp",SUMIFS('BASE-LCP'!$K:$K,'BASE-LCP'!$A:$A,Capex!$A176,'BASE-LCP'!$B:$B,"agosto")/1000,IF(LEFT($A184,3)="icp",SUMIFS('BASE-ICP'!$K:$K,'BASE-ICP'!$A:$A,Capex!$A176,'BASE-ICP'!$B:$B,"agosto")/1000,"")),"")</f>
        <v>0</v>
      </c>
      <c r="CU184" s="427">
        <v>0</v>
      </c>
      <c r="CV184" s="372"/>
      <c r="CW184" s="419"/>
      <c r="CX184" s="423">
        <f>IFERROR(IF(LEFT($A184,3)="Lcp",SUMIFS('BASE-LCP'!$K:$K,'BASE-LCP'!$A:$A,Capex!$A176,'BASE-LCP'!$B:$B,"setembro")/1000,IF(LEFT($A184,3)="icp",SUMIFS('BASE-ICP'!$K:$K,'BASE-ICP'!$A:$A,Capex!$A176,'BASE-ICP'!$B:$B,"setembro")/1000,"")),"")</f>
        <v>0</v>
      </c>
      <c r="CY184" s="427">
        <v>0</v>
      </c>
      <c r="CZ184" s="372"/>
      <c r="DA184" s="419"/>
      <c r="DB184" s="423">
        <f>IFERROR(IF(LEFT($A184,3)="Lcp",SUMIFS('BASE-LCP'!$K:$K,'BASE-LCP'!$A:$A,Capex!$A176,'BASE-LCP'!$B:$B,"outubro")/1000,IF(LEFT($A184,3)="icp",SUMIFS('BASE-ICP'!$K:$K,'BASE-ICP'!$A:$A,Capex!$A176,'BASE-ICP'!$B:$B,"outubro")/1000,"")),"")</f>
        <v>0</v>
      </c>
      <c r="DC184" s="427">
        <v>0</v>
      </c>
      <c r="DD184" s="372"/>
      <c r="DE184" s="419"/>
      <c r="DF184" s="423">
        <f>IFERROR(IF(LEFT($A184,3)="Lcp",SUMIFS('BASE-LCP'!$K:$K,'BASE-LCP'!$A:$A,Capex!$A176,'BASE-LCP'!$B:$B,"novembro")/1000,IF(LEFT($A184,3)="icp",SUMIFS('BASE-ICP'!$K:$K,'BASE-ICP'!$A:$A,Capex!$A176,'BASE-ICP'!$B:$B,"novembro")/1000,"")),"")</f>
        <v>0</v>
      </c>
      <c r="DG184" s="427">
        <v>0</v>
      </c>
      <c r="DH184" s="372"/>
      <c r="DI184" s="419"/>
      <c r="DJ184" s="423">
        <f>IFERROR(IF(LEFT($A184,3)="Lcp",SUMIFS('BASE-LCP'!$K:$K,'BASE-LCP'!$A:$A,Capex!$A176,'BASE-LCP'!$B:$B,"dezembro")/1000,IF(LEFT($A184,3)="icp",SUMIFS('BASE-ICP'!$K:$K,'BASE-ICP'!$A:$A,Capex!$A176,'BASE-ICP'!$B:$B,"dezembro")/1000,"")),"")</f>
        <v>0</v>
      </c>
      <c r="DK184" s="427">
        <v>0</v>
      </c>
      <c r="DL184" s="452">
        <f t="shared" si="85"/>
        <v>0</v>
      </c>
      <c r="DM184" s="374"/>
      <c r="DN184" s="374"/>
      <c r="DO184" s="374"/>
      <c r="DP184" s="374"/>
      <c r="DQ184" s="374"/>
      <c r="DR184" s="374"/>
      <c r="DS184" s="374"/>
      <c r="DT184" s="374"/>
      <c r="DU184" s="374"/>
      <c r="DV184" s="374"/>
      <c r="DW184" s="374"/>
      <c r="DX184" s="374"/>
      <c r="DY184" s="450"/>
      <c r="DZ184" s="374">
        <f t="shared" si="86"/>
        <v>0</v>
      </c>
      <c r="EA184" s="216">
        <f t="shared" si="87"/>
        <v>0</v>
      </c>
      <c r="EB184" s="320">
        <f t="shared" si="88"/>
        <v>0</v>
      </c>
      <c r="EC184" s="241">
        <f t="shared" si="89"/>
        <v>0</v>
      </c>
      <c r="ED184" s="241">
        <f t="shared" si="90"/>
        <v>0</v>
      </c>
      <c r="EE184" s="241">
        <f t="shared" si="91"/>
        <v>0</v>
      </c>
      <c r="EF184" s="241">
        <f t="shared" si="92"/>
        <v>0</v>
      </c>
      <c r="EG184" s="346">
        <f t="shared" si="93"/>
        <v>0</v>
      </c>
      <c r="EH184" s="445">
        <f t="shared" si="94"/>
        <v>0</v>
      </c>
      <c r="EI184" s="447">
        <f t="shared" si="95"/>
        <v>0</v>
      </c>
      <c r="EJ184" s="364">
        <f t="shared" si="96"/>
        <v>0</v>
      </c>
      <c r="EK184" s="365">
        <f t="shared" si="97"/>
        <v>0</v>
      </c>
      <c r="EL184" s="529">
        <f t="shared" si="98"/>
        <v>0</v>
      </c>
      <c r="EM184" s="530">
        <v>0</v>
      </c>
      <c r="EN184" s="530">
        <v>0</v>
      </c>
      <c r="EO184" s="530">
        <v>0</v>
      </c>
      <c r="EP184" s="530">
        <v>0</v>
      </c>
      <c r="EQ184" s="530">
        <v>0</v>
      </c>
      <c r="ER184" s="530">
        <v>0</v>
      </c>
      <c r="ES184" s="530">
        <v>0</v>
      </c>
      <c r="ET184" s="530">
        <v>0</v>
      </c>
      <c r="EU184" s="530">
        <v>0</v>
      </c>
      <c r="EV184" s="530">
        <v>0</v>
      </c>
      <c r="EW184" s="530">
        <v>0</v>
      </c>
      <c r="EX184" s="530">
        <v>0</v>
      </c>
      <c r="EY184" s="530">
        <f t="shared" si="99"/>
        <v>0</v>
      </c>
      <c r="EZ184" s="530">
        <f t="shared" si="100"/>
        <v>0</v>
      </c>
      <c r="FA184" s="530">
        <f t="shared" si="101"/>
        <v>0</v>
      </c>
      <c r="FB184" s="530">
        <f t="shared" si="102"/>
        <v>0</v>
      </c>
      <c r="FC184" s="384">
        <f>IFERROR(VLOOKUP(Capex!A176,BASE_558!D:R,8,FALSE)/1000,"")</f>
        <v>1267.05</v>
      </c>
      <c r="FD184" s="328">
        <f>IFERROR(VLOOKUP(Capex!A176,BASE_558!D:R,9,)/1000,"")</f>
        <v>849.15443000000005</v>
      </c>
      <c r="FE184" s="328">
        <f>IFERROR(IF(LEFT(A184,3)="LCP",(VLOOKUP(Capex!A176,BASE_558!D:R,10,)/1000),SUMIFS('BASE ICP_PO_SC'!F:F,'BASE ICP_PO_SC'!A:A,Capex!A176,'BASE ICP_PO_SC'!E:E,"&lt;&gt;")/1000),"")</f>
        <v>22.76127</v>
      </c>
      <c r="FF184" s="328">
        <f>IFERROR(IF(LEFT(A184,3)="LCP",(VLOOKUP(Capex!A176,BASE_558!D:R,11,)/1000),SUMIFS('BASE ICP_PO_SC'!F:F,'BASE ICP_PO_SC'!A:A,Capex!A176,'BASE ICP_PO_SC'!E:E,"")/1000),"")</f>
        <v>1.06003</v>
      </c>
      <c r="FG184" s="328">
        <f>IFERROR(VLOOKUP(A184,BASE_558!D:R,13,FALSE)/1000,"")</f>
        <v>206.78235000000001</v>
      </c>
      <c r="FH184" s="328">
        <f>IFERROR(VLOOKUP(A184,BASE_558!D:R,15,FALSE)/1000,"")</f>
        <v>7.0676499999999995</v>
      </c>
      <c r="FI184" s="547">
        <f t="shared" si="103"/>
        <v>0</v>
      </c>
      <c r="FJ184" s="547">
        <f t="shared" si="104"/>
        <v>0</v>
      </c>
      <c r="FK184" s="540">
        <f t="shared" si="105"/>
        <v>0</v>
      </c>
    </row>
    <row r="185" spans="1:167" s="23" customFormat="1" ht="24" customHeight="1">
      <c r="A185" s="84" t="s">
        <v>453</v>
      </c>
      <c r="B185" s="404"/>
      <c r="C185" s="404"/>
      <c r="D185" s="338" t="s">
        <v>2243</v>
      </c>
      <c r="E185" s="378">
        <v>2897680</v>
      </c>
      <c r="F185" s="5"/>
      <c r="G185" s="310" t="s">
        <v>9</v>
      </c>
      <c r="H185" s="356"/>
      <c r="I185" s="356"/>
      <c r="J185" s="356">
        <v>2020</v>
      </c>
      <c r="K185" s="321">
        <v>43979</v>
      </c>
      <c r="L185" s="317">
        <v>44558</v>
      </c>
      <c r="M185" s="409"/>
      <c r="N185" s="317">
        <f t="shared" si="109"/>
        <v>44891</v>
      </c>
      <c r="O185" s="317">
        <f t="shared" si="110"/>
        <v>45256</v>
      </c>
      <c r="P185" s="418" t="str">
        <f t="shared" ref="P185:AA194" si="115">IF($N185="","N/A",IF($O185="","N/A",IF(P$2&lt;=$N185,"NÃO",IF($AJ185="REL ","SIM",IF(P$2&lt;$O185,"NÃO",IF($AJ185&lt;&gt;"CLSD","SIM","CRTD"))))))</f>
        <v>CRTD</v>
      </c>
      <c r="Q185" s="418" t="str">
        <f t="shared" si="115"/>
        <v>CRTD</v>
      </c>
      <c r="R185" s="418" t="str">
        <f t="shared" si="115"/>
        <v>CRTD</v>
      </c>
      <c r="S185" s="418" t="str">
        <f t="shared" si="115"/>
        <v>CRTD</v>
      </c>
      <c r="T185" s="418" t="str">
        <f t="shared" si="115"/>
        <v>CRTD</v>
      </c>
      <c r="U185" s="418" t="str">
        <f t="shared" si="115"/>
        <v>CRTD</v>
      </c>
      <c r="V185" s="418" t="str">
        <f t="shared" si="115"/>
        <v>CRTD</v>
      </c>
      <c r="W185" s="418" t="str">
        <f t="shared" si="115"/>
        <v>CRTD</v>
      </c>
      <c r="X185" s="418" t="str">
        <f t="shared" si="115"/>
        <v>CRTD</v>
      </c>
      <c r="Y185" s="418" t="str">
        <f t="shared" si="115"/>
        <v>CRTD</v>
      </c>
      <c r="Z185" s="418" t="str">
        <f t="shared" si="115"/>
        <v>CRTD</v>
      </c>
      <c r="AA185" s="418" t="str">
        <f t="shared" si="115"/>
        <v>CRTD</v>
      </c>
      <c r="AB185" s="317"/>
      <c r="AC185" s="309" t="s">
        <v>3932</v>
      </c>
      <c r="AD185" s="311" t="s">
        <v>5</v>
      </c>
      <c r="AE185" s="381" t="s">
        <v>952</v>
      </c>
      <c r="AF185" s="310" t="s">
        <v>6985</v>
      </c>
      <c r="AG185" s="310" t="s">
        <v>9083</v>
      </c>
      <c r="AH185" s="310" t="s">
        <v>377</v>
      </c>
      <c r="AI185" s="309" t="s">
        <v>316</v>
      </c>
      <c r="AJ185" s="6" t="s">
        <v>218</v>
      </c>
      <c r="AK185" s="6" t="str">
        <f t="shared" si="83"/>
        <v>IGUAL</v>
      </c>
      <c r="AL185" s="151" t="str">
        <f>IFERROR(IF(LEFT(A185,3)="LCP",VLOOKUP(A185,STATUS_SAP_LCP!B:C,2,FALSE),VLOOKUP(A185,STATUS_SAP_ICP!B:C,2,FALSE)),"NO BUDGET")</f>
        <v>CLSD BUDG AUC  AVAC  //  APPR BREL EXPL</v>
      </c>
      <c r="AM185" s="6" t="str">
        <f t="shared" si="82"/>
        <v>CLSD</v>
      </c>
      <c r="AN185" s="282" t="s">
        <v>9098</v>
      </c>
      <c r="AO185" s="493">
        <v>1</v>
      </c>
      <c r="AP185" s="499" t="s">
        <v>9607</v>
      </c>
      <c r="AQ185" s="465">
        <v>44558</v>
      </c>
      <c r="AR185" s="460"/>
      <c r="AS185" s="56">
        <v>0</v>
      </c>
      <c r="AT185" s="185">
        <v>67.971789999999999</v>
      </c>
      <c r="AU185" s="318">
        <v>63.437830000000005</v>
      </c>
      <c r="AV185" s="223">
        <v>0</v>
      </c>
      <c r="AW185" s="318">
        <v>0</v>
      </c>
      <c r="AX185" s="223">
        <v>0</v>
      </c>
      <c r="AY185" s="318">
        <f t="shared" si="111"/>
        <v>0</v>
      </c>
      <c r="AZ185" s="223"/>
      <c r="BA185" s="318"/>
      <c r="BB185" s="519">
        <f t="shared" si="112"/>
        <v>0</v>
      </c>
      <c r="BC185" s="518"/>
      <c r="BD185" s="518"/>
      <c r="BE185" s="518"/>
      <c r="BF185" s="518"/>
      <c r="BG185" s="518"/>
      <c r="BH185" s="518"/>
      <c r="BI185" s="518"/>
      <c r="BJ185" s="518"/>
      <c r="BK185" s="518"/>
      <c r="BL185" s="518"/>
      <c r="BM185" s="518"/>
      <c r="BN185" s="518"/>
      <c r="BO185" s="367">
        <f t="shared" si="84"/>
        <v>0</v>
      </c>
      <c r="BP185" s="421"/>
      <c r="BQ185" s="422"/>
      <c r="BR185" s="423">
        <f>IFERROR(IF(LEFT($A185,3)="Lcp",SUMIFS('BASE-LCP'!$K:$K,'BASE-LCP'!$A:$A,Capex!$A177,'BASE-LCP'!$B:$B,"janeiro")/1000,IF(LEFT($A185,3)="icp",SUMIFS('BASE-ICP'!$K:$K,'BASE-ICP'!$A:$A,Capex!$A177,'BASE-ICP'!$B:$B,"janeiro")/1000,"")),"")</f>
        <v>0</v>
      </c>
      <c r="BS185" s="427">
        <v>0</v>
      </c>
      <c r="BT185" s="372">
        <v>0</v>
      </c>
      <c r="BU185" s="422"/>
      <c r="BV185" s="423">
        <f>IFERROR(IF(LEFT($A185,3)="Lcp",SUMIFS('BASE-LCP'!$K:$K,'BASE-LCP'!$A:$A,Capex!$A177,'BASE-LCP'!$B:$B,"fevereiro")/1000,IF(LEFT($A185,3)="icp",SUMIFS('BASE-ICP'!$K:$K,'BASE-ICP'!$A:$A,Capex!$A177,'BASE-ICP'!$B:$B,"fevereiro")/1000,"")),"")</f>
        <v>0</v>
      </c>
      <c r="BW185" s="427">
        <v>0</v>
      </c>
      <c r="BX185" s="372">
        <v>0</v>
      </c>
      <c r="BY185" s="419"/>
      <c r="BZ185" s="423">
        <f>IFERROR(IF(LEFT($A185,3)="Lcp",SUMIFS('BASE-LCP'!$K:$K,'BASE-LCP'!$A:$A,Capex!$A177,'BASE-LCP'!$B:$B,"março")/1000,IF(LEFT($A185,3)="icp",SUMIFS('BASE-ICP'!$K:$K,'BASE-ICP'!$A:$A,Capex!$A177,'BASE-ICP'!$B:$B,"março")/1000,"")),"")</f>
        <v>0</v>
      </c>
      <c r="CA185" s="427">
        <v>0</v>
      </c>
      <c r="CB185" s="372">
        <v>0</v>
      </c>
      <c r="CC185" s="422"/>
      <c r="CD185" s="423">
        <f>IFERROR(IF(LEFT($A185,3)="Lcp",SUMIFS('BASE-LCP'!$K:$K,'BASE-LCP'!$A:$A,Capex!$A177,'BASE-LCP'!$B:$B,"abril")/1000,IF(LEFT($A185,3)="icp",SUMIFS('BASE-ICP'!$K:$K,'BASE-ICP'!$A:$A,Capex!$A177,'BASE-ICP'!$B:$B,"abril")/1000,"")),"")</f>
        <v>0</v>
      </c>
      <c r="CE185" s="427">
        <v>0</v>
      </c>
      <c r="CF185" s="372">
        <v>0</v>
      </c>
      <c r="CG185" s="419"/>
      <c r="CH185" s="423">
        <v>0</v>
      </c>
      <c r="CI185" s="427">
        <v>0</v>
      </c>
      <c r="CJ185" s="372">
        <v>0</v>
      </c>
      <c r="CK185" s="419"/>
      <c r="CL185" s="423">
        <f>IFERROR(IF(LEFT($A185,3)="Lcp",SUMIFS('BASE-LCP'!$K:$K,'BASE-LCP'!$A:$A,Capex!$A177,'BASE-LCP'!$B:$B,"junho")/1000,IF(LEFT($A185,3)="icp",SUMIFS('BASE-ICP'!$K:$K,'BASE-ICP'!$A:$A,Capex!$A177,'BASE-ICP'!$B:$B,"junho")/1000,"")),"")</f>
        <v>0</v>
      </c>
      <c r="CM185" s="427">
        <v>0</v>
      </c>
      <c r="CN185" s="372"/>
      <c r="CO185" s="419"/>
      <c r="CP185" s="423">
        <f>IFERROR(IF(LEFT($A185,3)="Lcp",SUMIFS('BASE-LCP'!$K:$K,'BASE-LCP'!$A:$A,Capex!$A177,'BASE-LCP'!$B:$B,"julho")/1000,IF(LEFT($A185,3)="icp",SUMIFS('BASE-ICP'!$K:$K,'BASE-ICP'!$A:$A,Capex!$A177,'BASE-ICP'!$B:$B,"julho")/1000,"")),"")</f>
        <v>0</v>
      </c>
      <c r="CQ185" s="427">
        <v>0</v>
      </c>
      <c r="CR185" s="372"/>
      <c r="CS185" s="419"/>
      <c r="CT185" s="423">
        <f>IFERROR(IF(LEFT($A185,3)="Lcp",SUMIFS('BASE-LCP'!$K:$K,'BASE-LCP'!$A:$A,Capex!$A177,'BASE-LCP'!$B:$B,"agosto")/1000,IF(LEFT($A185,3)="icp",SUMIFS('BASE-ICP'!$K:$K,'BASE-ICP'!$A:$A,Capex!$A177,'BASE-ICP'!$B:$B,"agosto")/1000,"")),"")</f>
        <v>0</v>
      </c>
      <c r="CU185" s="427">
        <v>0</v>
      </c>
      <c r="CV185" s="372"/>
      <c r="CW185" s="419"/>
      <c r="CX185" s="423">
        <f>IFERROR(IF(LEFT($A185,3)="Lcp",SUMIFS('BASE-LCP'!$K:$K,'BASE-LCP'!$A:$A,Capex!$A177,'BASE-LCP'!$B:$B,"setembro")/1000,IF(LEFT($A185,3)="icp",SUMIFS('BASE-ICP'!$K:$K,'BASE-ICP'!$A:$A,Capex!$A177,'BASE-ICP'!$B:$B,"setembro")/1000,"")),"")</f>
        <v>0</v>
      </c>
      <c r="CY185" s="427">
        <v>0</v>
      </c>
      <c r="CZ185" s="372"/>
      <c r="DA185" s="419"/>
      <c r="DB185" s="423">
        <f>IFERROR(IF(LEFT($A185,3)="Lcp",SUMIFS('BASE-LCP'!$K:$K,'BASE-LCP'!$A:$A,Capex!$A177,'BASE-LCP'!$B:$B,"outubro")/1000,IF(LEFT($A185,3)="icp",SUMIFS('BASE-ICP'!$K:$K,'BASE-ICP'!$A:$A,Capex!$A177,'BASE-ICP'!$B:$B,"outubro")/1000,"")),"")</f>
        <v>0</v>
      </c>
      <c r="DC185" s="427">
        <v>0</v>
      </c>
      <c r="DD185" s="372"/>
      <c r="DE185" s="419"/>
      <c r="DF185" s="423">
        <f>IFERROR(IF(LEFT($A185,3)="Lcp",SUMIFS('BASE-LCP'!$K:$K,'BASE-LCP'!$A:$A,Capex!$A177,'BASE-LCP'!$B:$B,"novembro")/1000,IF(LEFT($A185,3)="icp",SUMIFS('BASE-ICP'!$K:$K,'BASE-ICP'!$A:$A,Capex!$A177,'BASE-ICP'!$B:$B,"novembro")/1000,"")),"")</f>
        <v>0</v>
      </c>
      <c r="DG185" s="427">
        <v>0</v>
      </c>
      <c r="DH185" s="372"/>
      <c r="DI185" s="419"/>
      <c r="DJ185" s="423">
        <f>IFERROR(IF(LEFT($A185,3)="Lcp",SUMIFS('BASE-LCP'!$K:$K,'BASE-LCP'!$A:$A,Capex!$A177,'BASE-LCP'!$B:$B,"dezembro")/1000,IF(LEFT($A185,3)="icp",SUMIFS('BASE-ICP'!$K:$K,'BASE-ICP'!$A:$A,Capex!$A177,'BASE-ICP'!$B:$B,"dezembro")/1000,"")),"")</f>
        <v>0</v>
      </c>
      <c r="DK185" s="427">
        <v>0</v>
      </c>
      <c r="DL185" s="452">
        <f t="shared" si="85"/>
        <v>0</v>
      </c>
      <c r="DM185" s="374"/>
      <c r="DN185" s="374"/>
      <c r="DO185" s="374"/>
      <c r="DP185" s="374"/>
      <c r="DQ185" s="374"/>
      <c r="DR185" s="374"/>
      <c r="DS185" s="374"/>
      <c r="DT185" s="374"/>
      <c r="DU185" s="374"/>
      <c r="DV185" s="374"/>
      <c r="DW185" s="374"/>
      <c r="DX185" s="374"/>
      <c r="DY185" s="450"/>
      <c r="DZ185" s="374">
        <f t="shared" si="86"/>
        <v>0</v>
      </c>
      <c r="EA185" s="216">
        <f t="shared" si="87"/>
        <v>0</v>
      </c>
      <c r="EB185" s="320">
        <f t="shared" si="88"/>
        <v>0</v>
      </c>
      <c r="EC185" s="241">
        <f t="shared" si="89"/>
        <v>0</v>
      </c>
      <c r="ED185" s="241">
        <f t="shared" si="90"/>
        <v>0</v>
      </c>
      <c r="EE185" s="241">
        <f t="shared" si="91"/>
        <v>0</v>
      </c>
      <c r="EF185" s="241">
        <f t="shared" si="92"/>
        <v>0</v>
      </c>
      <c r="EG185" s="346">
        <f t="shared" si="93"/>
        <v>0</v>
      </c>
      <c r="EH185" s="445">
        <f t="shared" si="94"/>
        <v>0</v>
      </c>
      <c r="EI185" s="447">
        <f t="shared" si="95"/>
        <v>0</v>
      </c>
      <c r="EJ185" s="364">
        <f t="shared" si="96"/>
        <v>0</v>
      </c>
      <c r="EK185" s="365">
        <f t="shared" si="97"/>
        <v>0</v>
      </c>
      <c r="EL185" s="529">
        <f t="shared" si="98"/>
        <v>0</v>
      </c>
      <c r="EM185" s="530">
        <v>0</v>
      </c>
      <c r="EN185" s="530">
        <v>0</v>
      </c>
      <c r="EO185" s="530">
        <v>0</v>
      </c>
      <c r="EP185" s="530">
        <v>0</v>
      </c>
      <c r="EQ185" s="530">
        <v>0</v>
      </c>
      <c r="ER185" s="530">
        <v>0</v>
      </c>
      <c r="ES185" s="530">
        <v>0</v>
      </c>
      <c r="ET185" s="530">
        <v>0</v>
      </c>
      <c r="EU185" s="530">
        <v>0</v>
      </c>
      <c r="EV185" s="530">
        <v>0</v>
      </c>
      <c r="EW185" s="530">
        <v>0</v>
      </c>
      <c r="EX185" s="530">
        <v>0</v>
      </c>
      <c r="EY185" s="530">
        <f t="shared" si="99"/>
        <v>0</v>
      </c>
      <c r="EZ185" s="530">
        <f t="shared" si="100"/>
        <v>0</v>
      </c>
      <c r="FA185" s="530">
        <f t="shared" si="101"/>
        <v>0</v>
      </c>
      <c r="FB185" s="530">
        <f t="shared" si="102"/>
        <v>0</v>
      </c>
      <c r="FC185" s="384">
        <f>IFERROR(VLOOKUP(Capex!A177,BASE_558!D:R,8,FALSE)/1000,"")</f>
        <v>571.44849999999997</v>
      </c>
      <c r="FD185" s="328">
        <f>IFERROR(VLOOKUP(Capex!A177,BASE_558!D:R,9,)/1000,"")</f>
        <v>569.78512999999998</v>
      </c>
      <c r="FE185" s="328">
        <f>IFERROR(IF(LEFT(A185,3)="LCP",(VLOOKUP(Capex!A177,BASE_558!D:R,10,)/1000),SUMIFS('BASE ICP_PO_SC'!F:F,'BASE ICP_PO_SC'!A:A,Capex!A177,'BASE ICP_PO_SC'!E:E,"&lt;&gt;")/1000),"")</f>
        <v>0</v>
      </c>
      <c r="FF185" s="328">
        <f>IFERROR(IF(LEFT(A185,3)="LCP",(VLOOKUP(Capex!A177,BASE_558!D:R,11,)/1000),SUMIFS('BASE ICP_PO_SC'!F:F,'BASE ICP_PO_SC'!A:A,Capex!A177,'BASE ICP_PO_SC'!E:E,"")/1000),"")</f>
        <v>0</v>
      </c>
      <c r="FG185" s="328">
        <f>IFERROR(VLOOKUP(A185,BASE_558!D:R,13,FALSE)/1000,"")</f>
        <v>131.40961999999999</v>
      </c>
      <c r="FH185" s="328">
        <f>IFERROR(VLOOKUP(A185,BASE_558!D:R,15,FALSE)/1000,"")</f>
        <v>113.59038000000001</v>
      </c>
      <c r="FI185" s="547">
        <f t="shared" si="103"/>
        <v>0</v>
      </c>
      <c r="FJ185" s="547">
        <f t="shared" si="104"/>
        <v>0</v>
      </c>
      <c r="FK185" s="540">
        <f t="shared" si="105"/>
        <v>0</v>
      </c>
    </row>
    <row r="186" spans="1:167" s="23" customFormat="1" ht="24" customHeight="1">
      <c r="A186" s="84" t="s">
        <v>531</v>
      </c>
      <c r="B186" s="404" t="s">
        <v>696</v>
      </c>
      <c r="C186" s="404"/>
      <c r="D186" s="338" t="s">
        <v>2244</v>
      </c>
      <c r="E186" s="378">
        <v>3078383</v>
      </c>
      <c r="F186" s="5"/>
      <c r="G186" s="310" t="s">
        <v>9</v>
      </c>
      <c r="H186" s="356"/>
      <c r="I186" s="356"/>
      <c r="J186" s="356">
        <v>2020</v>
      </c>
      <c r="K186" s="321">
        <v>44075</v>
      </c>
      <c r="L186" s="317">
        <v>44314</v>
      </c>
      <c r="M186" s="409"/>
      <c r="N186" s="317">
        <f t="shared" si="109"/>
        <v>44987</v>
      </c>
      <c r="O186" s="317">
        <f t="shared" si="110"/>
        <v>45352</v>
      </c>
      <c r="P186" s="418" t="str">
        <f t="shared" si="115"/>
        <v>CRTD</v>
      </c>
      <c r="Q186" s="418" t="str">
        <f t="shared" si="115"/>
        <v>CRTD</v>
      </c>
      <c r="R186" s="418" t="str">
        <f t="shared" si="115"/>
        <v>CRTD</v>
      </c>
      <c r="S186" s="418" t="str">
        <f t="shared" si="115"/>
        <v>CRTD</v>
      </c>
      <c r="T186" s="418" t="str">
        <f t="shared" si="115"/>
        <v>CRTD</v>
      </c>
      <c r="U186" s="418" t="str">
        <f t="shared" si="115"/>
        <v>CRTD</v>
      </c>
      <c r="V186" s="418" t="str">
        <f t="shared" si="115"/>
        <v>CRTD</v>
      </c>
      <c r="W186" s="418" t="str">
        <f t="shared" si="115"/>
        <v>CRTD</v>
      </c>
      <c r="X186" s="418" t="str">
        <f t="shared" si="115"/>
        <v>CRTD</v>
      </c>
      <c r="Y186" s="418" t="str">
        <f t="shared" si="115"/>
        <v>CRTD</v>
      </c>
      <c r="Z186" s="418" t="str">
        <f t="shared" si="115"/>
        <v>CRTD</v>
      </c>
      <c r="AA186" s="418" t="str">
        <f t="shared" si="115"/>
        <v>CRTD</v>
      </c>
      <c r="AB186" s="317"/>
      <c r="AC186" s="309" t="s">
        <v>3932</v>
      </c>
      <c r="AD186" s="311" t="s">
        <v>222</v>
      </c>
      <c r="AE186" s="381" t="s">
        <v>958</v>
      </c>
      <c r="AF186" s="310" t="s">
        <v>6985</v>
      </c>
      <c r="AG186" s="310" t="s">
        <v>9083</v>
      </c>
      <c r="AH186" s="310" t="s">
        <v>537</v>
      </c>
      <c r="AI186" s="309" t="s">
        <v>2255</v>
      </c>
      <c r="AJ186" s="6" t="s">
        <v>218</v>
      </c>
      <c r="AK186" s="6" t="str">
        <f t="shared" si="83"/>
        <v>IGUAL</v>
      </c>
      <c r="AL186" s="151" t="str">
        <f>IFERROR(IF(LEFT(A186,3)="LCP",VLOOKUP(A186,STATUS_SAP_LCP!B:C,2,FALSE),VLOOKUP(A186,STATUS_SAP_ICP!B:C,2,FALSE)),"NO BUDGET")</f>
        <v>CLSD BUDG AUC  AVAC  //  APPR BREL EXPL</v>
      </c>
      <c r="AM186" s="6" t="str">
        <f t="shared" si="82"/>
        <v>CLSD</v>
      </c>
      <c r="AN186" s="282" t="s">
        <v>9098</v>
      </c>
      <c r="AO186" s="493">
        <v>1</v>
      </c>
      <c r="AP186" s="499" t="s">
        <v>9607</v>
      </c>
      <c r="AQ186" s="465">
        <v>44314</v>
      </c>
      <c r="AR186" s="460"/>
      <c r="AS186" s="56"/>
      <c r="AT186" s="185">
        <v>90.932100000000005</v>
      </c>
      <c r="AU186" s="318">
        <v>1.0724</v>
      </c>
      <c r="AV186" s="223">
        <v>0</v>
      </c>
      <c r="AW186" s="318">
        <v>0</v>
      </c>
      <c r="AX186" s="223">
        <v>0</v>
      </c>
      <c r="AY186" s="318">
        <f t="shared" si="111"/>
        <v>0</v>
      </c>
      <c r="AZ186" s="223"/>
      <c r="BA186" s="318"/>
      <c r="BB186" s="519">
        <f t="shared" si="112"/>
        <v>0</v>
      </c>
      <c r="BC186" s="518"/>
      <c r="BD186" s="518"/>
      <c r="BE186" s="518"/>
      <c r="BF186" s="518"/>
      <c r="BG186" s="518"/>
      <c r="BH186" s="518"/>
      <c r="BI186" s="518"/>
      <c r="BJ186" s="518"/>
      <c r="BK186" s="518"/>
      <c r="BL186" s="518"/>
      <c r="BM186" s="518"/>
      <c r="BN186" s="518"/>
      <c r="BO186" s="367">
        <f t="shared" si="84"/>
        <v>0</v>
      </c>
      <c r="BP186" s="421"/>
      <c r="BQ186" s="422"/>
      <c r="BR186" s="423">
        <f>IFERROR(IF(LEFT($A186,3)="Lcp",SUMIFS('BASE-LCP'!$K:$K,'BASE-LCP'!$A:$A,Capex!$A178,'BASE-LCP'!$B:$B,"janeiro")/1000,IF(LEFT($A186,3)="icp",SUMIFS('BASE-ICP'!$K:$K,'BASE-ICP'!$A:$A,Capex!$A178,'BASE-ICP'!$B:$B,"janeiro")/1000,"")),"")</f>
        <v>0</v>
      </c>
      <c r="BS186" s="427">
        <v>0</v>
      </c>
      <c r="BT186" s="372">
        <v>0</v>
      </c>
      <c r="BU186" s="422"/>
      <c r="BV186" s="423">
        <f>IFERROR(IF(LEFT($A186,3)="Lcp",SUMIFS('BASE-LCP'!$K:$K,'BASE-LCP'!$A:$A,Capex!$A178,'BASE-LCP'!$B:$B,"fevereiro")/1000,IF(LEFT($A186,3)="icp",SUMIFS('BASE-ICP'!$K:$K,'BASE-ICP'!$A:$A,Capex!$A178,'BASE-ICP'!$B:$B,"fevereiro")/1000,"")),"")</f>
        <v>0</v>
      </c>
      <c r="BW186" s="427">
        <v>0</v>
      </c>
      <c r="BX186" s="372">
        <v>0</v>
      </c>
      <c r="BY186" s="419"/>
      <c r="BZ186" s="423">
        <f>IFERROR(IF(LEFT($A186,3)="Lcp",SUMIFS('BASE-LCP'!$K:$K,'BASE-LCP'!$A:$A,Capex!$A178,'BASE-LCP'!$B:$B,"março")/1000,IF(LEFT($A186,3)="icp",SUMIFS('BASE-ICP'!$K:$K,'BASE-ICP'!$A:$A,Capex!$A178,'BASE-ICP'!$B:$B,"março")/1000,"")),"")</f>
        <v>0</v>
      </c>
      <c r="CA186" s="427">
        <v>0</v>
      </c>
      <c r="CB186" s="372">
        <v>0</v>
      </c>
      <c r="CC186" s="422"/>
      <c r="CD186" s="423">
        <f>IFERROR(IF(LEFT($A186,3)="Lcp",SUMIFS('BASE-LCP'!$K:$K,'BASE-LCP'!$A:$A,Capex!$A178,'BASE-LCP'!$B:$B,"abril")/1000,IF(LEFT($A186,3)="icp",SUMIFS('BASE-ICP'!$K:$K,'BASE-ICP'!$A:$A,Capex!$A178,'BASE-ICP'!$B:$B,"abril")/1000,"")),"")</f>
        <v>0</v>
      </c>
      <c r="CE186" s="427">
        <v>0</v>
      </c>
      <c r="CF186" s="372">
        <v>0</v>
      </c>
      <c r="CG186" s="419"/>
      <c r="CH186" s="423">
        <v>0</v>
      </c>
      <c r="CI186" s="427">
        <v>0</v>
      </c>
      <c r="CJ186" s="372">
        <v>0</v>
      </c>
      <c r="CK186" s="419"/>
      <c r="CL186" s="423">
        <f>IFERROR(IF(LEFT($A186,3)="Lcp",SUMIFS('BASE-LCP'!$K:$K,'BASE-LCP'!$A:$A,Capex!$A178,'BASE-LCP'!$B:$B,"junho")/1000,IF(LEFT($A186,3)="icp",SUMIFS('BASE-ICP'!$K:$K,'BASE-ICP'!$A:$A,Capex!$A178,'BASE-ICP'!$B:$B,"junho")/1000,"")),"")</f>
        <v>0</v>
      </c>
      <c r="CM186" s="427">
        <v>0</v>
      </c>
      <c r="CN186" s="372"/>
      <c r="CO186" s="419"/>
      <c r="CP186" s="423">
        <f>IFERROR(IF(LEFT($A186,3)="Lcp",SUMIFS('BASE-LCP'!$K:$K,'BASE-LCP'!$A:$A,Capex!$A178,'BASE-LCP'!$B:$B,"julho")/1000,IF(LEFT($A186,3)="icp",SUMIFS('BASE-ICP'!$K:$K,'BASE-ICP'!$A:$A,Capex!$A178,'BASE-ICP'!$B:$B,"julho")/1000,"")),"")</f>
        <v>0</v>
      </c>
      <c r="CQ186" s="427">
        <v>0</v>
      </c>
      <c r="CR186" s="372"/>
      <c r="CS186" s="419"/>
      <c r="CT186" s="423">
        <f>IFERROR(IF(LEFT($A186,3)="Lcp",SUMIFS('BASE-LCP'!$K:$K,'BASE-LCP'!$A:$A,Capex!$A178,'BASE-LCP'!$B:$B,"agosto")/1000,IF(LEFT($A186,3)="icp",SUMIFS('BASE-ICP'!$K:$K,'BASE-ICP'!$A:$A,Capex!$A178,'BASE-ICP'!$B:$B,"agosto")/1000,"")),"")</f>
        <v>0</v>
      </c>
      <c r="CU186" s="427">
        <v>0</v>
      </c>
      <c r="CV186" s="372"/>
      <c r="CW186" s="419"/>
      <c r="CX186" s="423">
        <f>IFERROR(IF(LEFT($A186,3)="Lcp",SUMIFS('BASE-LCP'!$K:$K,'BASE-LCP'!$A:$A,Capex!$A178,'BASE-LCP'!$B:$B,"setembro")/1000,IF(LEFT($A186,3)="icp",SUMIFS('BASE-ICP'!$K:$K,'BASE-ICP'!$A:$A,Capex!$A178,'BASE-ICP'!$B:$B,"setembro")/1000,"")),"")</f>
        <v>0</v>
      </c>
      <c r="CY186" s="427">
        <v>0</v>
      </c>
      <c r="CZ186" s="372"/>
      <c r="DA186" s="419"/>
      <c r="DB186" s="423">
        <f>IFERROR(IF(LEFT($A186,3)="Lcp",SUMIFS('BASE-LCP'!$K:$K,'BASE-LCP'!$A:$A,Capex!$A178,'BASE-LCP'!$B:$B,"outubro")/1000,IF(LEFT($A186,3)="icp",SUMIFS('BASE-ICP'!$K:$K,'BASE-ICP'!$A:$A,Capex!$A178,'BASE-ICP'!$B:$B,"outubro")/1000,"")),"")</f>
        <v>0</v>
      </c>
      <c r="DC186" s="427">
        <v>0</v>
      </c>
      <c r="DD186" s="372"/>
      <c r="DE186" s="419"/>
      <c r="DF186" s="423">
        <f>IFERROR(IF(LEFT($A186,3)="Lcp",SUMIFS('BASE-LCP'!$K:$K,'BASE-LCP'!$A:$A,Capex!$A178,'BASE-LCP'!$B:$B,"novembro")/1000,IF(LEFT($A186,3)="icp",SUMIFS('BASE-ICP'!$K:$K,'BASE-ICP'!$A:$A,Capex!$A178,'BASE-ICP'!$B:$B,"novembro")/1000,"")),"")</f>
        <v>0</v>
      </c>
      <c r="DG186" s="427">
        <v>0</v>
      </c>
      <c r="DH186" s="372"/>
      <c r="DI186" s="419"/>
      <c r="DJ186" s="423">
        <f>IFERROR(IF(LEFT($A186,3)="Lcp",SUMIFS('BASE-LCP'!$K:$K,'BASE-LCP'!$A:$A,Capex!$A178,'BASE-LCP'!$B:$B,"dezembro")/1000,IF(LEFT($A186,3)="icp",SUMIFS('BASE-ICP'!$K:$K,'BASE-ICP'!$A:$A,Capex!$A178,'BASE-ICP'!$B:$B,"dezembro")/1000,"")),"")</f>
        <v>0</v>
      </c>
      <c r="DK186" s="427">
        <v>0</v>
      </c>
      <c r="DL186" s="452">
        <f t="shared" si="85"/>
        <v>0</v>
      </c>
      <c r="DM186" s="374"/>
      <c r="DN186" s="374"/>
      <c r="DO186" s="374"/>
      <c r="DP186" s="374"/>
      <c r="DQ186" s="374"/>
      <c r="DR186" s="374"/>
      <c r="DS186" s="374"/>
      <c r="DT186" s="374"/>
      <c r="DU186" s="374"/>
      <c r="DV186" s="374"/>
      <c r="DW186" s="374"/>
      <c r="DX186" s="374"/>
      <c r="DY186" s="450"/>
      <c r="DZ186" s="374">
        <f t="shared" si="86"/>
        <v>0</v>
      </c>
      <c r="EA186" s="216">
        <f t="shared" si="87"/>
        <v>0</v>
      </c>
      <c r="EB186" s="320">
        <f t="shared" si="88"/>
        <v>0</v>
      </c>
      <c r="EC186" s="241">
        <f t="shared" si="89"/>
        <v>0</v>
      </c>
      <c r="ED186" s="241">
        <f t="shared" si="90"/>
        <v>0</v>
      </c>
      <c r="EE186" s="241">
        <f t="shared" si="91"/>
        <v>0</v>
      </c>
      <c r="EF186" s="241">
        <f t="shared" si="92"/>
        <v>0</v>
      </c>
      <c r="EG186" s="346">
        <f t="shared" si="93"/>
        <v>0</v>
      </c>
      <c r="EH186" s="445">
        <f t="shared" si="94"/>
        <v>0</v>
      </c>
      <c r="EI186" s="447">
        <f t="shared" si="95"/>
        <v>0</v>
      </c>
      <c r="EJ186" s="364">
        <f t="shared" si="96"/>
        <v>0</v>
      </c>
      <c r="EK186" s="365">
        <f t="shared" si="97"/>
        <v>0</v>
      </c>
      <c r="EL186" s="529">
        <f t="shared" si="98"/>
        <v>0</v>
      </c>
      <c r="EM186" s="530">
        <v>0</v>
      </c>
      <c r="EN186" s="530">
        <v>0</v>
      </c>
      <c r="EO186" s="530">
        <v>0</v>
      </c>
      <c r="EP186" s="530">
        <v>0</v>
      </c>
      <c r="EQ186" s="530">
        <v>0</v>
      </c>
      <c r="ER186" s="530">
        <v>0</v>
      </c>
      <c r="ES186" s="530">
        <v>0</v>
      </c>
      <c r="ET186" s="530">
        <v>0</v>
      </c>
      <c r="EU186" s="530">
        <v>0</v>
      </c>
      <c r="EV186" s="530">
        <v>0</v>
      </c>
      <c r="EW186" s="530">
        <v>0</v>
      </c>
      <c r="EX186" s="530">
        <v>0</v>
      </c>
      <c r="EY186" s="530">
        <f t="shared" si="99"/>
        <v>0</v>
      </c>
      <c r="EZ186" s="530">
        <f t="shared" si="100"/>
        <v>0</v>
      </c>
      <c r="FA186" s="530">
        <f t="shared" si="101"/>
        <v>0</v>
      </c>
      <c r="FB186" s="530">
        <f t="shared" si="102"/>
        <v>0</v>
      </c>
      <c r="FC186" s="384">
        <f>IFERROR(VLOOKUP(Capex!A178,BASE_558!D:R,8,FALSE)/1000,"")</f>
        <v>1000</v>
      </c>
      <c r="FD186" s="328">
        <f>IFERROR(VLOOKUP(Capex!A178,BASE_558!D:R,9,)/1000,"")</f>
        <v>850.48169999999993</v>
      </c>
      <c r="FE186" s="328">
        <f>IFERROR(IF(LEFT(A186,3)="LCP",(VLOOKUP(Capex!A178,BASE_558!D:R,10,)/1000),SUMIFS('BASE ICP_PO_SC'!F:F,'BASE ICP_PO_SC'!A:A,Capex!A178,'BASE ICP_PO_SC'!E:E,"&lt;&gt;")/1000),"")</f>
        <v>0</v>
      </c>
      <c r="FF186" s="328">
        <f>IFERROR(IF(LEFT(A186,3)="LCP",(VLOOKUP(Capex!A178,BASE_558!D:R,11,)/1000),SUMIFS('BASE ICP_PO_SC'!F:F,'BASE ICP_PO_SC'!A:A,Capex!A178,'BASE ICP_PO_SC'!E:E,"")/1000),"")</f>
        <v>0</v>
      </c>
      <c r="FG186" s="328">
        <f>IFERROR(VLOOKUP(A186,BASE_558!D:R,13,FALSE)/1000,"")</f>
        <v>92.004499999999993</v>
      </c>
      <c r="FH186" s="328">
        <f>IFERROR(VLOOKUP(A186,BASE_558!D:R,15,FALSE)/1000,"")</f>
        <v>7.9894999999999996</v>
      </c>
      <c r="FI186" s="547">
        <f t="shared" si="103"/>
        <v>0</v>
      </c>
      <c r="FJ186" s="547">
        <f t="shared" si="104"/>
        <v>0</v>
      </c>
      <c r="FK186" s="540">
        <f t="shared" si="105"/>
        <v>0</v>
      </c>
    </row>
    <row r="187" spans="1:167" s="23" customFormat="1" ht="24" customHeight="1">
      <c r="A187" s="84" t="s">
        <v>533</v>
      </c>
      <c r="B187" s="404"/>
      <c r="C187" s="404"/>
      <c r="D187" s="338" t="s">
        <v>865</v>
      </c>
      <c r="E187" s="378">
        <v>3078126</v>
      </c>
      <c r="F187" s="5"/>
      <c r="G187" s="310" t="s">
        <v>9</v>
      </c>
      <c r="H187" s="356"/>
      <c r="I187" s="356"/>
      <c r="J187" s="356">
        <v>2020</v>
      </c>
      <c r="K187" s="321">
        <v>44106</v>
      </c>
      <c r="L187" s="317">
        <v>44558</v>
      </c>
      <c r="M187" s="409"/>
      <c r="N187" s="317">
        <f t="shared" si="109"/>
        <v>45018</v>
      </c>
      <c r="O187" s="317">
        <f t="shared" si="110"/>
        <v>45383</v>
      </c>
      <c r="P187" s="418" t="str">
        <f t="shared" si="115"/>
        <v>CRTD</v>
      </c>
      <c r="Q187" s="418" t="str">
        <f t="shared" si="115"/>
        <v>CRTD</v>
      </c>
      <c r="R187" s="418" t="str">
        <f t="shared" si="115"/>
        <v>CRTD</v>
      </c>
      <c r="S187" s="418" t="str">
        <f t="shared" si="115"/>
        <v>CRTD</v>
      </c>
      <c r="T187" s="418" t="str">
        <f t="shared" si="115"/>
        <v>CRTD</v>
      </c>
      <c r="U187" s="418" t="str">
        <f t="shared" si="115"/>
        <v>CRTD</v>
      </c>
      <c r="V187" s="418" t="str">
        <f t="shared" si="115"/>
        <v>CRTD</v>
      </c>
      <c r="W187" s="418" t="str">
        <f t="shared" si="115"/>
        <v>CRTD</v>
      </c>
      <c r="X187" s="418" t="str">
        <f t="shared" si="115"/>
        <v>CRTD</v>
      </c>
      <c r="Y187" s="418" t="str">
        <f t="shared" si="115"/>
        <v>CRTD</v>
      </c>
      <c r="Z187" s="418" t="str">
        <f t="shared" si="115"/>
        <v>CRTD</v>
      </c>
      <c r="AA187" s="418" t="str">
        <f t="shared" si="115"/>
        <v>CRTD</v>
      </c>
      <c r="AB187" s="317"/>
      <c r="AC187" s="309" t="s">
        <v>2508</v>
      </c>
      <c r="AD187" s="311" t="s">
        <v>223</v>
      </c>
      <c r="AE187" s="381"/>
      <c r="AF187" s="310" t="s">
        <v>6985</v>
      </c>
      <c r="AG187" s="310" t="s">
        <v>9083</v>
      </c>
      <c r="AH187" s="310" t="s">
        <v>538</v>
      </c>
      <c r="AI187" s="309" t="s">
        <v>2255</v>
      </c>
      <c r="AJ187" s="6" t="s">
        <v>218</v>
      </c>
      <c r="AK187" s="6" t="str">
        <f t="shared" si="83"/>
        <v>IGUAL</v>
      </c>
      <c r="AL187" s="151" t="str">
        <f>IFERROR(IF(LEFT(A187,3)="LCP",VLOOKUP(A187,STATUS_SAP_LCP!B:C,2,FALSE),VLOOKUP(A187,STATUS_SAP_ICP!B:C,2,FALSE)),"NO BUDGET")</f>
        <v>CLSD BUDG AUC  AVAC  //  APPR BREL EXPL</v>
      </c>
      <c r="AM187" s="6" t="str">
        <f t="shared" si="82"/>
        <v>CLSD</v>
      </c>
      <c r="AN187" s="282" t="s">
        <v>9087</v>
      </c>
      <c r="AO187" s="493">
        <v>1</v>
      </c>
      <c r="AP187" s="499" t="s">
        <v>9607</v>
      </c>
      <c r="AQ187" s="465">
        <v>44558</v>
      </c>
      <c r="AR187" s="460"/>
      <c r="AS187" s="56"/>
      <c r="AT187" s="185">
        <v>9.2556100000000008</v>
      </c>
      <c r="AU187" s="318">
        <v>414.81134000000003</v>
      </c>
      <c r="AV187" s="223">
        <v>0</v>
      </c>
      <c r="AW187" s="318">
        <v>0</v>
      </c>
      <c r="AX187" s="223">
        <v>0</v>
      </c>
      <c r="AY187" s="318">
        <f t="shared" si="111"/>
        <v>0</v>
      </c>
      <c r="AZ187" s="223"/>
      <c r="BA187" s="318"/>
      <c r="BB187" s="519">
        <f t="shared" si="112"/>
        <v>0</v>
      </c>
      <c r="BC187" s="518"/>
      <c r="BD187" s="518"/>
      <c r="BE187" s="518"/>
      <c r="BF187" s="518"/>
      <c r="BG187" s="518"/>
      <c r="BH187" s="518"/>
      <c r="BI187" s="518"/>
      <c r="BJ187" s="518"/>
      <c r="BK187" s="518"/>
      <c r="BL187" s="518"/>
      <c r="BM187" s="518"/>
      <c r="BN187" s="518"/>
      <c r="BO187" s="367">
        <f t="shared" si="84"/>
        <v>0</v>
      </c>
      <c r="BP187" s="421"/>
      <c r="BQ187" s="422"/>
      <c r="BR187" s="423">
        <f>IFERROR(IF(LEFT($A187,3)="Lcp",SUMIFS('BASE-LCP'!$K:$K,'BASE-LCP'!$A:$A,Capex!$A179,'BASE-LCP'!$B:$B,"janeiro")/1000,IF(LEFT($A187,3)="icp",SUMIFS('BASE-ICP'!$K:$K,'BASE-ICP'!$A:$A,Capex!$A179,'BASE-ICP'!$B:$B,"janeiro")/1000,"")),"")</f>
        <v>0</v>
      </c>
      <c r="BS187" s="427">
        <v>0</v>
      </c>
      <c r="BT187" s="372">
        <v>0</v>
      </c>
      <c r="BU187" s="422"/>
      <c r="BV187" s="423">
        <f>IFERROR(IF(LEFT($A187,3)="Lcp",SUMIFS('BASE-LCP'!$K:$K,'BASE-LCP'!$A:$A,Capex!$A179,'BASE-LCP'!$B:$B,"fevereiro")/1000,IF(LEFT($A187,3)="icp",SUMIFS('BASE-ICP'!$K:$K,'BASE-ICP'!$A:$A,Capex!$A179,'BASE-ICP'!$B:$B,"fevereiro")/1000,"")),"")</f>
        <v>0</v>
      </c>
      <c r="BW187" s="427">
        <v>0</v>
      </c>
      <c r="BX187" s="372">
        <v>0</v>
      </c>
      <c r="BY187" s="419"/>
      <c r="BZ187" s="423">
        <f>IFERROR(IF(LEFT($A187,3)="Lcp",SUMIFS('BASE-LCP'!$K:$K,'BASE-LCP'!$A:$A,Capex!$A179,'BASE-LCP'!$B:$B,"março")/1000,IF(LEFT($A187,3)="icp",SUMIFS('BASE-ICP'!$K:$K,'BASE-ICP'!$A:$A,Capex!$A179,'BASE-ICP'!$B:$B,"março")/1000,"")),"")</f>
        <v>0</v>
      </c>
      <c r="CA187" s="427">
        <v>0</v>
      </c>
      <c r="CB187" s="372">
        <v>0</v>
      </c>
      <c r="CC187" s="422"/>
      <c r="CD187" s="423">
        <f>IFERROR(IF(LEFT($A187,3)="Lcp",SUMIFS('BASE-LCP'!$K:$K,'BASE-LCP'!$A:$A,Capex!$A179,'BASE-LCP'!$B:$B,"abril")/1000,IF(LEFT($A187,3)="icp",SUMIFS('BASE-ICP'!$K:$K,'BASE-ICP'!$A:$A,Capex!$A179,'BASE-ICP'!$B:$B,"abril")/1000,"")),"")</f>
        <v>0</v>
      </c>
      <c r="CE187" s="427">
        <v>0</v>
      </c>
      <c r="CF187" s="372">
        <v>0</v>
      </c>
      <c r="CG187" s="419"/>
      <c r="CH187" s="423">
        <v>0</v>
      </c>
      <c r="CI187" s="427">
        <v>0</v>
      </c>
      <c r="CJ187" s="372">
        <v>0</v>
      </c>
      <c r="CK187" s="419"/>
      <c r="CL187" s="423">
        <f>IFERROR(IF(LEFT($A187,3)="Lcp",SUMIFS('BASE-LCP'!$K:$K,'BASE-LCP'!$A:$A,Capex!$A179,'BASE-LCP'!$B:$B,"junho")/1000,IF(LEFT($A187,3)="icp",SUMIFS('BASE-ICP'!$K:$K,'BASE-ICP'!$A:$A,Capex!$A179,'BASE-ICP'!$B:$B,"junho")/1000,"")),"")</f>
        <v>0</v>
      </c>
      <c r="CM187" s="427">
        <v>0</v>
      </c>
      <c r="CN187" s="372"/>
      <c r="CO187" s="419"/>
      <c r="CP187" s="423">
        <f>IFERROR(IF(LEFT($A187,3)="Lcp",SUMIFS('BASE-LCP'!$K:$K,'BASE-LCP'!$A:$A,Capex!$A179,'BASE-LCP'!$B:$B,"julho")/1000,IF(LEFT($A187,3)="icp",SUMIFS('BASE-ICP'!$K:$K,'BASE-ICP'!$A:$A,Capex!$A179,'BASE-ICP'!$B:$B,"julho")/1000,"")),"")</f>
        <v>0</v>
      </c>
      <c r="CQ187" s="427">
        <v>0</v>
      </c>
      <c r="CR187" s="372"/>
      <c r="CS187" s="419"/>
      <c r="CT187" s="423">
        <f>IFERROR(IF(LEFT($A187,3)="Lcp",SUMIFS('BASE-LCP'!$K:$K,'BASE-LCP'!$A:$A,Capex!$A179,'BASE-LCP'!$B:$B,"agosto")/1000,IF(LEFT($A187,3)="icp",SUMIFS('BASE-ICP'!$K:$K,'BASE-ICP'!$A:$A,Capex!$A179,'BASE-ICP'!$B:$B,"agosto")/1000,"")),"")</f>
        <v>0</v>
      </c>
      <c r="CU187" s="427">
        <v>0</v>
      </c>
      <c r="CV187" s="372"/>
      <c r="CW187" s="419"/>
      <c r="CX187" s="423">
        <f>IFERROR(IF(LEFT($A187,3)="Lcp",SUMIFS('BASE-LCP'!$K:$K,'BASE-LCP'!$A:$A,Capex!$A179,'BASE-LCP'!$B:$B,"setembro")/1000,IF(LEFT($A187,3)="icp",SUMIFS('BASE-ICP'!$K:$K,'BASE-ICP'!$A:$A,Capex!$A179,'BASE-ICP'!$B:$B,"setembro")/1000,"")),"")</f>
        <v>0</v>
      </c>
      <c r="CY187" s="427">
        <v>0</v>
      </c>
      <c r="CZ187" s="372"/>
      <c r="DA187" s="419"/>
      <c r="DB187" s="423">
        <f>IFERROR(IF(LEFT($A187,3)="Lcp",SUMIFS('BASE-LCP'!$K:$K,'BASE-LCP'!$A:$A,Capex!$A179,'BASE-LCP'!$B:$B,"outubro")/1000,IF(LEFT($A187,3)="icp",SUMIFS('BASE-ICP'!$K:$K,'BASE-ICP'!$A:$A,Capex!$A179,'BASE-ICP'!$B:$B,"outubro")/1000,"")),"")</f>
        <v>0</v>
      </c>
      <c r="DC187" s="427">
        <v>0</v>
      </c>
      <c r="DD187" s="372"/>
      <c r="DE187" s="419"/>
      <c r="DF187" s="423">
        <f>IFERROR(IF(LEFT($A187,3)="Lcp",SUMIFS('BASE-LCP'!$K:$K,'BASE-LCP'!$A:$A,Capex!$A179,'BASE-LCP'!$B:$B,"novembro")/1000,IF(LEFT($A187,3)="icp",SUMIFS('BASE-ICP'!$K:$K,'BASE-ICP'!$A:$A,Capex!$A179,'BASE-ICP'!$B:$B,"novembro")/1000,"")),"")</f>
        <v>0</v>
      </c>
      <c r="DG187" s="427">
        <v>0</v>
      </c>
      <c r="DH187" s="372"/>
      <c r="DI187" s="419"/>
      <c r="DJ187" s="423">
        <f>IFERROR(IF(LEFT($A187,3)="Lcp",SUMIFS('BASE-LCP'!$K:$K,'BASE-LCP'!$A:$A,Capex!$A179,'BASE-LCP'!$B:$B,"dezembro")/1000,IF(LEFT($A187,3)="icp",SUMIFS('BASE-ICP'!$K:$K,'BASE-ICP'!$A:$A,Capex!$A179,'BASE-ICP'!$B:$B,"dezembro")/1000,"")),"")</f>
        <v>0</v>
      </c>
      <c r="DK187" s="427">
        <v>0</v>
      </c>
      <c r="DL187" s="452">
        <f t="shared" si="85"/>
        <v>0</v>
      </c>
      <c r="DM187" s="374"/>
      <c r="DN187" s="374"/>
      <c r="DO187" s="374"/>
      <c r="DP187" s="374"/>
      <c r="DQ187" s="374"/>
      <c r="DR187" s="374"/>
      <c r="DS187" s="374"/>
      <c r="DT187" s="374"/>
      <c r="DU187" s="374"/>
      <c r="DV187" s="374"/>
      <c r="DW187" s="374"/>
      <c r="DX187" s="374"/>
      <c r="DY187" s="450"/>
      <c r="DZ187" s="374">
        <f t="shared" si="86"/>
        <v>0</v>
      </c>
      <c r="EA187" s="216">
        <f t="shared" si="87"/>
        <v>0</v>
      </c>
      <c r="EB187" s="320">
        <f t="shared" si="88"/>
        <v>0</v>
      </c>
      <c r="EC187" s="241">
        <f t="shared" si="89"/>
        <v>0</v>
      </c>
      <c r="ED187" s="241">
        <f t="shared" si="90"/>
        <v>0</v>
      </c>
      <c r="EE187" s="241">
        <f t="shared" si="91"/>
        <v>0</v>
      </c>
      <c r="EF187" s="241">
        <f t="shared" si="92"/>
        <v>0</v>
      </c>
      <c r="EG187" s="346">
        <f t="shared" si="93"/>
        <v>0</v>
      </c>
      <c r="EH187" s="445">
        <f t="shared" si="94"/>
        <v>0</v>
      </c>
      <c r="EI187" s="447">
        <f t="shared" si="95"/>
        <v>0</v>
      </c>
      <c r="EJ187" s="364">
        <f t="shared" si="96"/>
        <v>0</v>
      </c>
      <c r="EK187" s="365">
        <f t="shared" si="97"/>
        <v>0</v>
      </c>
      <c r="EL187" s="529">
        <f t="shared" si="98"/>
        <v>0</v>
      </c>
      <c r="EM187" s="530">
        <v>0</v>
      </c>
      <c r="EN187" s="530">
        <v>0</v>
      </c>
      <c r="EO187" s="530">
        <v>0</v>
      </c>
      <c r="EP187" s="530">
        <v>0</v>
      </c>
      <c r="EQ187" s="530">
        <v>0</v>
      </c>
      <c r="ER187" s="530">
        <v>0</v>
      </c>
      <c r="ES187" s="530">
        <v>0</v>
      </c>
      <c r="ET187" s="530">
        <v>0</v>
      </c>
      <c r="EU187" s="530">
        <v>0</v>
      </c>
      <c r="EV187" s="530">
        <v>0</v>
      </c>
      <c r="EW187" s="530">
        <v>0</v>
      </c>
      <c r="EX187" s="530">
        <v>0</v>
      </c>
      <c r="EY187" s="530">
        <f t="shared" si="99"/>
        <v>0</v>
      </c>
      <c r="EZ187" s="530">
        <f t="shared" si="100"/>
        <v>0</v>
      </c>
      <c r="FA187" s="530">
        <f t="shared" si="101"/>
        <v>0</v>
      </c>
      <c r="FB187" s="530">
        <f t="shared" si="102"/>
        <v>0</v>
      </c>
      <c r="FC187" s="384">
        <f>IFERROR(VLOOKUP(Capex!A179,BASE_558!D:R,8,FALSE)/1000,"")</f>
        <v>312.55259999999998</v>
      </c>
      <c r="FD187" s="328">
        <f>IFERROR(VLOOKUP(Capex!A179,BASE_558!D:R,9,)/1000,"")</f>
        <v>284.40121000000005</v>
      </c>
      <c r="FE187" s="328">
        <f>IFERROR(IF(LEFT(A187,3)="LCP",(VLOOKUP(Capex!A179,BASE_558!D:R,10,)/1000),SUMIFS('BASE ICP_PO_SC'!F:F,'BASE ICP_PO_SC'!A:A,Capex!A179,'BASE ICP_PO_SC'!E:E,"&lt;&gt;")/1000),"")</f>
        <v>0</v>
      </c>
      <c r="FF187" s="328">
        <f>IFERROR(IF(LEFT(A187,3)="LCP",(VLOOKUP(Capex!A179,BASE_558!D:R,11,)/1000),SUMIFS('BASE ICP_PO_SC'!F:F,'BASE ICP_PO_SC'!A:A,Capex!A179,'BASE ICP_PO_SC'!E:E,"")/1000),"")</f>
        <v>0</v>
      </c>
      <c r="FG187" s="328">
        <f>IFERROR(VLOOKUP(A187,BASE_558!D:R,13,FALSE)/1000,"")</f>
        <v>424.06695000000002</v>
      </c>
      <c r="FH187" s="328">
        <f>IFERROR(VLOOKUP(A187,BASE_558!D:R,15,FALSE)/1000,"")</f>
        <v>68.153050000000007</v>
      </c>
      <c r="FI187" s="547">
        <f t="shared" si="103"/>
        <v>0</v>
      </c>
      <c r="FJ187" s="547">
        <f t="shared" si="104"/>
        <v>0</v>
      </c>
      <c r="FK187" s="540">
        <f t="shared" si="105"/>
        <v>0</v>
      </c>
    </row>
    <row r="188" spans="1:167" s="23" customFormat="1" ht="24" customHeight="1">
      <c r="A188" s="84" t="s">
        <v>536</v>
      </c>
      <c r="B188" s="404" t="s">
        <v>697</v>
      </c>
      <c r="C188" s="404"/>
      <c r="D188" s="338" t="s">
        <v>2245</v>
      </c>
      <c r="E188" s="378">
        <v>3079739</v>
      </c>
      <c r="F188" s="310" t="s">
        <v>609</v>
      </c>
      <c r="G188" s="310" t="s">
        <v>9</v>
      </c>
      <c r="H188" s="338"/>
      <c r="I188" s="356"/>
      <c r="J188" s="356">
        <v>2020</v>
      </c>
      <c r="K188" s="321">
        <v>44075</v>
      </c>
      <c r="L188" s="317">
        <v>44558</v>
      </c>
      <c r="M188" s="409"/>
      <c r="N188" s="317">
        <f t="shared" si="109"/>
        <v>44987</v>
      </c>
      <c r="O188" s="317">
        <f t="shared" si="110"/>
        <v>45352</v>
      </c>
      <c r="P188" s="418" t="str">
        <f t="shared" si="115"/>
        <v>CRTD</v>
      </c>
      <c r="Q188" s="418" t="str">
        <f t="shared" si="115"/>
        <v>CRTD</v>
      </c>
      <c r="R188" s="418" t="str">
        <f t="shared" si="115"/>
        <v>CRTD</v>
      </c>
      <c r="S188" s="418" t="str">
        <f t="shared" si="115"/>
        <v>CRTD</v>
      </c>
      <c r="T188" s="418" t="str">
        <f t="shared" si="115"/>
        <v>CRTD</v>
      </c>
      <c r="U188" s="418" t="str">
        <f t="shared" si="115"/>
        <v>CRTD</v>
      </c>
      <c r="V188" s="418" t="str">
        <f t="shared" si="115"/>
        <v>CRTD</v>
      </c>
      <c r="W188" s="418" t="str">
        <f t="shared" si="115"/>
        <v>CRTD</v>
      </c>
      <c r="X188" s="418" t="str">
        <f t="shared" si="115"/>
        <v>CRTD</v>
      </c>
      <c r="Y188" s="418" t="str">
        <f t="shared" si="115"/>
        <v>CRTD</v>
      </c>
      <c r="Z188" s="418" t="str">
        <f t="shared" si="115"/>
        <v>CRTD</v>
      </c>
      <c r="AA188" s="418" t="str">
        <f t="shared" si="115"/>
        <v>CRTD</v>
      </c>
      <c r="AB188" s="317"/>
      <c r="AC188" s="309" t="s">
        <v>3932</v>
      </c>
      <c r="AD188" s="311" t="s">
        <v>222</v>
      </c>
      <c r="AE188" s="381" t="s">
        <v>958</v>
      </c>
      <c r="AF188" s="310" t="s">
        <v>6985</v>
      </c>
      <c r="AG188" s="310" t="s">
        <v>9083</v>
      </c>
      <c r="AH188" s="310" t="s">
        <v>2479</v>
      </c>
      <c r="AI188" s="381" t="s">
        <v>2255</v>
      </c>
      <c r="AJ188" s="6" t="s">
        <v>218</v>
      </c>
      <c r="AK188" s="6" t="str">
        <f t="shared" si="83"/>
        <v>IGUAL</v>
      </c>
      <c r="AL188" s="151" t="str">
        <f>IFERROR(IF(LEFT(A188,3)="LCP",VLOOKUP(A188,STATUS_SAP_LCP!B:C,2,FALSE),VLOOKUP(A188,STATUS_SAP_ICP!B:C,2,FALSE)),"NO BUDGET")</f>
        <v>CLSD BUDG AUC  AVAC  //  APPR BREL EXPL</v>
      </c>
      <c r="AM188" s="6" t="str">
        <f t="shared" si="82"/>
        <v>CLSD</v>
      </c>
      <c r="AN188" s="282" t="s">
        <v>9098</v>
      </c>
      <c r="AO188" s="562">
        <v>1</v>
      </c>
      <c r="AP188" s="499" t="s">
        <v>9607</v>
      </c>
      <c r="AQ188" s="465">
        <v>44558</v>
      </c>
      <c r="AR188" s="460"/>
      <c r="AS188" s="56"/>
      <c r="AT188" s="185">
        <v>0</v>
      </c>
      <c r="AU188" s="318">
        <v>109.67407</v>
      </c>
      <c r="AV188" s="223">
        <v>0</v>
      </c>
      <c r="AW188" s="318">
        <v>0</v>
      </c>
      <c r="AX188" s="223">
        <v>0</v>
      </c>
      <c r="AY188" s="318">
        <f t="shared" si="111"/>
        <v>0</v>
      </c>
      <c r="AZ188" s="223"/>
      <c r="BA188" s="318"/>
      <c r="BB188" s="519">
        <f t="shared" si="112"/>
        <v>0</v>
      </c>
      <c r="BC188" s="518"/>
      <c r="BD188" s="518"/>
      <c r="BE188" s="518"/>
      <c r="BF188" s="518"/>
      <c r="BG188" s="518"/>
      <c r="BH188" s="518"/>
      <c r="BI188" s="518"/>
      <c r="BJ188" s="518"/>
      <c r="BK188" s="518"/>
      <c r="BL188" s="518"/>
      <c r="BM188" s="518"/>
      <c r="BN188" s="518"/>
      <c r="BO188" s="367">
        <f t="shared" si="84"/>
        <v>0</v>
      </c>
      <c r="BP188" s="421"/>
      <c r="BQ188" s="422"/>
      <c r="BR188" s="423">
        <f>IFERROR(IF(LEFT($A188,3)="Lcp",SUMIFS('BASE-LCP'!$K:$K,'BASE-LCP'!$A:$A,Capex!$A180,'BASE-LCP'!$B:$B,"janeiro")/1000,IF(LEFT($A188,3)="icp",SUMIFS('BASE-ICP'!$K:$K,'BASE-ICP'!$A:$A,Capex!$A180,'BASE-ICP'!$B:$B,"janeiro")/1000,"")),"")</f>
        <v>0</v>
      </c>
      <c r="BS188" s="427">
        <v>0</v>
      </c>
      <c r="BT188" s="372">
        <v>0</v>
      </c>
      <c r="BU188" s="422"/>
      <c r="BV188" s="423">
        <f>IFERROR(IF(LEFT($A188,3)="Lcp",SUMIFS('BASE-LCP'!$K:$K,'BASE-LCP'!$A:$A,Capex!$A180,'BASE-LCP'!$B:$B,"fevereiro")/1000,IF(LEFT($A188,3)="icp",SUMIFS('BASE-ICP'!$K:$K,'BASE-ICP'!$A:$A,Capex!$A180,'BASE-ICP'!$B:$B,"fevereiro")/1000,"")),"")</f>
        <v>0</v>
      </c>
      <c r="BW188" s="427">
        <v>0</v>
      </c>
      <c r="BX188" s="372">
        <v>0</v>
      </c>
      <c r="BY188" s="419"/>
      <c r="BZ188" s="423">
        <f>IFERROR(IF(LEFT($A188,3)="Lcp",SUMIFS('BASE-LCP'!$K:$K,'BASE-LCP'!$A:$A,Capex!$A180,'BASE-LCP'!$B:$B,"março")/1000,IF(LEFT($A188,3)="icp",SUMIFS('BASE-ICP'!$K:$K,'BASE-ICP'!$A:$A,Capex!$A180,'BASE-ICP'!$B:$B,"março")/1000,"")),"")</f>
        <v>0</v>
      </c>
      <c r="CA188" s="427">
        <v>0</v>
      </c>
      <c r="CB188" s="372">
        <v>0</v>
      </c>
      <c r="CC188" s="422"/>
      <c r="CD188" s="423">
        <f>IFERROR(IF(LEFT($A188,3)="Lcp",SUMIFS('BASE-LCP'!$K:$K,'BASE-LCP'!$A:$A,Capex!$A180,'BASE-LCP'!$B:$B,"abril")/1000,IF(LEFT($A188,3)="icp",SUMIFS('BASE-ICP'!$K:$K,'BASE-ICP'!$A:$A,Capex!$A180,'BASE-ICP'!$B:$B,"abril")/1000,"")),"")</f>
        <v>0</v>
      </c>
      <c r="CE188" s="427">
        <v>0</v>
      </c>
      <c r="CF188" s="372">
        <v>0</v>
      </c>
      <c r="CG188" s="419"/>
      <c r="CH188" s="423">
        <v>0</v>
      </c>
      <c r="CI188" s="427">
        <v>0</v>
      </c>
      <c r="CJ188" s="372">
        <v>0</v>
      </c>
      <c r="CK188" s="419"/>
      <c r="CL188" s="423">
        <f>IFERROR(IF(LEFT($A188,3)="Lcp",SUMIFS('BASE-LCP'!$K:$K,'BASE-LCP'!$A:$A,Capex!$A180,'BASE-LCP'!$B:$B,"junho")/1000,IF(LEFT($A188,3)="icp",SUMIFS('BASE-ICP'!$K:$K,'BASE-ICP'!$A:$A,Capex!$A180,'BASE-ICP'!$B:$B,"junho")/1000,"")),"")</f>
        <v>0</v>
      </c>
      <c r="CM188" s="427">
        <v>0</v>
      </c>
      <c r="CN188" s="372"/>
      <c r="CO188" s="419"/>
      <c r="CP188" s="423">
        <f>IFERROR(IF(LEFT($A188,3)="Lcp",SUMIFS('BASE-LCP'!$K:$K,'BASE-LCP'!$A:$A,Capex!$A180,'BASE-LCP'!$B:$B,"julho")/1000,IF(LEFT($A188,3)="icp",SUMIFS('BASE-ICP'!$K:$K,'BASE-ICP'!$A:$A,Capex!$A180,'BASE-ICP'!$B:$B,"julho")/1000,"")),"")</f>
        <v>0</v>
      </c>
      <c r="CQ188" s="427">
        <v>0</v>
      </c>
      <c r="CR188" s="372"/>
      <c r="CS188" s="419"/>
      <c r="CT188" s="423">
        <f>IFERROR(IF(LEFT($A188,3)="Lcp",SUMIFS('BASE-LCP'!$K:$K,'BASE-LCP'!$A:$A,Capex!$A180,'BASE-LCP'!$B:$B,"agosto")/1000,IF(LEFT($A188,3)="icp",SUMIFS('BASE-ICP'!$K:$K,'BASE-ICP'!$A:$A,Capex!$A180,'BASE-ICP'!$B:$B,"agosto")/1000,"")),"")</f>
        <v>0</v>
      </c>
      <c r="CU188" s="427">
        <v>0</v>
      </c>
      <c r="CV188" s="372"/>
      <c r="CW188" s="419"/>
      <c r="CX188" s="423">
        <f>IFERROR(IF(LEFT($A188,3)="Lcp",SUMIFS('BASE-LCP'!$K:$K,'BASE-LCP'!$A:$A,Capex!$A180,'BASE-LCP'!$B:$B,"setembro")/1000,IF(LEFT($A188,3)="icp",SUMIFS('BASE-ICP'!$K:$K,'BASE-ICP'!$A:$A,Capex!$A180,'BASE-ICP'!$B:$B,"setembro")/1000,"")),"")</f>
        <v>0</v>
      </c>
      <c r="CY188" s="427">
        <v>0</v>
      </c>
      <c r="CZ188" s="372"/>
      <c r="DA188" s="419"/>
      <c r="DB188" s="423">
        <f>IFERROR(IF(LEFT($A188,3)="Lcp",SUMIFS('BASE-LCP'!$K:$K,'BASE-LCP'!$A:$A,Capex!$A180,'BASE-LCP'!$B:$B,"outubro")/1000,IF(LEFT($A188,3)="icp",SUMIFS('BASE-ICP'!$K:$K,'BASE-ICP'!$A:$A,Capex!$A180,'BASE-ICP'!$B:$B,"outubro")/1000,"")),"")</f>
        <v>0</v>
      </c>
      <c r="DC188" s="427">
        <v>0</v>
      </c>
      <c r="DD188" s="372"/>
      <c r="DE188" s="419"/>
      <c r="DF188" s="423">
        <f>IFERROR(IF(LEFT($A188,3)="Lcp",SUMIFS('BASE-LCP'!$K:$K,'BASE-LCP'!$A:$A,Capex!$A180,'BASE-LCP'!$B:$B,"novembro")/1000,IF(LEFT($A188,3)="icp",SUMIFS('BASE-ICP'!$K:$K,'BASE-ICP'!$A:$A,Capex!$A180,'BASE-ICP'!$B:$B,"novembro")/1000,"")),"")</f>
        <v>0</v>
      </c>
      <c r="DG188" s="427">
        <v>0</v>
      </c>
      <c r="DH188" s="372"/>
      <c r="DI188" s="419"/>
      <c r="DJ188" s="423">
        <f>IFERROR(IF(LEFT($A188,3)="Lcp",SUMIFS('BASE-LCP'!$K:$K,'BASE-LCP'!$A:$A,Capex!$A180,'BASE-LCP'!$B:$B,"dezembro")/1000,IF(LEFT($A188,3)="icp",SUMIFS('BASE-ICP'!$K:$K,'BASE-ICP'!$A:$A,Capex!$A180,'BASE-ICP'!$B:$B,"dezembro")/1000,"")),"")</f>
        <v>0</v>
      </c>
      <c r="DK188" s="427">
        <v>0</v>
      </c>
      <c r="DL188" s="452">
        <f t="shared" si="85"/>
        <v>0</v>
      </c>
      <c r="DM188" s="374"/>
      <c r="DN188" s="374"/>
      <c r="DO188" s="374"/>
      <c r="DP188" s="374"/>
      <c r="DQ188" s="374"/>
      <c r="DR188" s="374"/>
      <c r="DS188" s="374"/>
      <c r="DT188" s="374"/>
      <c r="DU188" s="374"/>
      <c r="DV188" s="374"/>
      <c r="DW188" s="374"/>
      <c r="DX188" s="374"/>
      <c r="DY188" s="450"/>
      <c r="DZ188" s="374">
        <f t="shared" si="86"/>
        <v>0</v>
      </c>
      <c r="EA188" s="216">
        <f t="shared" si="87"/>
        <v>0</v>
      </c>
      <c r="EB188" s="320">
        <f t="shared" si="88"/>
        <v>0</v>
      </c>
      <c r="EC188" s="241">
        <f t="shared" si="89"/>
        <v>0</v>
      </c>
      <c r="ED188" s="241">
        <f t="shared" si="90"/>
        <v>0</v>
      </c>
      <c r="EE188" s="241">
        <f t="shared" si="91"/>
        <v>0</v>
      </c>
      <c r="EF188" s="241">
        <f t="shared" si="92"/>
        <v>0</v>
      </c>
      <c r="EG188" s="346">
        <f t="shared" si="93"/>
        <v>0</v>
      </c>
      <c r="EH188" s="445">
        <f t="shared" si="94"/>
        <v>0</v>
      </c>
      <c r="EI188" s="447">
        <f t="shared" si="95"/>
        <v>0</v>
      </c>
      <c r="EJ188" s="364">
        <f t="shared" si="96"/>
        <v>0</v>
      </c>
      <c r="EK188" s="365">
        <f t="shared" si="97"/>
        <v>0</v>
      </c>
      <c r="EL188" s="529">
        <f t="shared" si="98"/>
        <v>0</v>
      </c>
      <c r="EM188" s="530">
        <v>0</v>
      </c>
      <c r="EN188" s="530">
        <v>0</v>
      </c>
      <c r="EO188" s="530">
        <v>0</v>
      </c>
      <c r="EP188" s="530">
        <v>0</v>
      </c>
      <c r="EQ188" s="530">
        <v>0</v>
      </c>
      <c r="ER188" s="530">
        <v>0</v>
      </c>
      <c r="ES188" s="530">
        <v>0</v>
      </c>
      <c r="ET188" s="530">
        <v>0</v>
      </c>
      <c r="EU188" s="530">
        <v>0</v>
      </c>
      <c r="EV188" s="530">
        <v>0</v>
      </c>
      <c r="EW188" s="530">
        <v>0</v>
      </c>
      <c r="EX188" s="530">
        <v>0</v>
      </c>
      <c r="EY188" s="530">
        <f t="shared" si="99"/>
        <v>0</v>
      </c>
      <c r="EZ188" s="530">
        <f t="shared" si="100"/>
        <v>0</v>
      </c>
      <c r="FA188" s="530">
        <f t="shared" si="101"/>
        <v>0</v>
      </c>
      <c r="FB188" s="530">
        <f t="shared" si="102"/>
        <v>0</v>
      </c>
      <c r="FC188" s="384">
        <f>IFERROR(VLOOKUP(Capex!A180,BASE_558!D:R,8,FALSE)/1000,"")</f>
        <v>372.81900000000002</v>
      </c>
      <c r="FD188" s="328">
        <f>IFERROR(VLOOKUP(Capex!A180,BASE_558!D:R,9,)/1000,"")</f>
        <v>355.31524000000002</v>
      </c>
      <c r="FE188" s="328">
        <f>IFERROR(IF(LEFT(A188,3)="LCP",(VLOOKUP(Capex!A180,BASE_558!D:R,10,)/1000),SUMIFS('BASE ICP_PO_SC'!F:F,'BASE ICP_PO_SC'!A:A,Capex!A180,'BASE ICP_PO_SC'!E:E,"&lt;&gt;")/1000),"")</f>
        <v>0</v>
      </c>
      <c r="FF188" s="328">
        <f>IFERROR(IF(LEFT(A188,3)="LCP",(VLOOKUP(Capex!A180,BASE_558!D:R,11,)/1000),SUMIFS('BASE ICP_PO_SC'!F:F,'BASE ICP_PO_SC'!A:A,Capex!A180,'BASE ICP_PO_SC'!E:E,"")/1000),"")</f>
        <v>0</v>
      </c>
      <c r="FG188" s="328">
        <f>IFERROR(VLOOKUP(A188,BASE_558!D:R,13,FALSE)/1000,"")</f>
        <v>109.67407</v>
      </c>
      <c r="FH188" s="328">
        <f>IFERROR(VLOOKUP(A188,BASE_558!D:R,15,FALSE)/1000,"")</f>
        <v>0.24378999999999998</v>
      </c>
      <c r="FI188" s="547">
        <f t="shared" si="103"/>
        <v>0</v>
      </c>
      <c r="FJ188" s="547">
        <f t="shared" si="104"/>
        <v>0</v>
      </c>
      <c r="FK188" s="540">
        <f t="shared" si="105"/>
        <v>0</v>
      </c>
    </row>
    <row r="189" spans="1:167" s="23" customFormat="1" ht="24" customHeight="1">
      <c r="A189" s="84" t="s">
        <v>543</v>
      </c>
      <c r="B189" s="404"/>
      <c r="C189" s="404"/>
      <c r="D189" s="338" t="s">
        <v>884</v>
      </c>
      <c r="E189" s="378">
        <v>3112704</v>
      </c>
      <c r="F189" s="310" t="s">
        <v>609</v>
      </c>
      <c r="G189" s="310" t="s">
        <v>9</v>
      </c>
      <c r="H189" s="356"/>
      <c r="I189" s="356" t="s">
        <v>6</v>
      </c>
      <c r="J189" s="356">
        <v>2020</v>
      </c>
      <c r="K189" s="321">
        <v>44076</v>
      </c>
      <c r="L189" s="317">
        <v>45288</v>
      </c>
      <c r="M189" s="409"/>
      <c r="N189" s="317">
        <f t="shared" si="109"/>
        <v>44988</v>
      </c>
      <c r="O189" s="317">
        <f t="shared" si="110"/>
        <v>45353</v>
      </c>
      <c r="P189" s="418" t="str">
        <f t="shared" si="115"/>
        <v>CRTD</v>
      </c>
      <c r="Q189" s="418" t="str">
        <f t="shared" si="115"/>
        <v>CRTD</v>
      </c>
      <c r="R189" s="418" t="str">
        <f t="shared" si="115"/>
        <v>CRTD</v>
      </c>
      <c r="S189" s="418" t="str">
        <f t="shared" si="115"/>
        <v>CRTD</v>
      </c>
      <c r="T189" s="418" t="str">
        <f t="shared" si="115"/>
        <v>CRTD</v>
      </c>
      <c r="U189" s="418" t="str">
        <f t="shared" si="115"/>
        <v>CRTD</v>
      </c>
      <c r="V189" s="418" t="str">
        <f t="shared" si="115"/>
        <v>CRTD</v>
      </c>
      <c r="W189" s="418" t="str">
        <f t="shared" si="115"/>
        <v>CRTD</v>
      </c>
      <c r="X189" s="418" t="str">
        <f t="shared" si="115"/>
        <v>CRTD</v>
      </c>
      <c r="Y189" s="418" t="str">
        <f t="shared" si="115"/>
        <v>CRTD</v>
      </c>
      <c r="Z189" s="418" t="str">
        <f t="shared" si="115"/>
        <v>CRTD</v>
      </c>
      <c r="AA189" s="418" t="str">
        <f t="shared" si="115"/>
        <v>CRTD</v>
      </c>
      <c r="AB189" s="317"/>
      <c r="AC189" s="309" t="s">
        <v>3932</v>
      </c>
      <c r="AD189" s="311" t="s">
        <v>5</v>
      </c>
      <c r="AE189" s="361" t="s">
        <v>961</v>
      </c>
      <c r="AF189" s="310" t="s">
        <v>6985</v>
      </c>
      <c r="AG189" s="310" t="s">
        <v>704</v>
      </c>
      <c r="AH189" s="310" t="s">
        <v>544</v>
      </c>
      <c r="AI189" s="309" t="s">
        <v>2255</v>
      </c>
      <c r="AJ189" s="6" t="s">
        <v>218</v>
      </c>
      <c r="AK189" s="6" t="str">
        <f t="shared" si="83"/>
        <v>IGUAL</v>
      </c>
      <c r="AL189" s="151" t="str">
        <f>IFERROR(IF(LEFT(A189,3)="LCP",VLOOKUP(A189,STATUS_SAP_LCP!B:C,2,FALSE),VLOOKUP(A189,STATUS_SAP_ICP!B:C,2,FALSE)),"NO BUDGET")</f>
        <v>CLSD BUDG AUC  AVAC  //  APPR BREL EXPL</v>
      </c>
      <c r="AM189" s="6" t="str">
        <f t="shared" si="82"/>
        <v>CLSD</v>
      </c>
      <c r="AN189" s="282" t="s">
        <v>2651</v>
      </c>
      <c r="AO189" s="493">
        <v>1</v>
      </c>
      <c r="AP189" s="499" t="s">
        <v>9607</v>
      </c>
      <c r="AQ189" s="465">
        <v>45288</v>
      </c>
      <c r="AR189" s="460"/>
      <c r="AS189" s="56"/>
      <c r="AT189" s="185">
        <v>240.96939</v>
      </c>
      <c r="AU189" s="318">
        <v>46.477910000000001</v>
      </c>
      <c r="AV189" s="223">
        <v>0.88858000000000004</v>
      </c>
      <c r="AW189" s="318">
        <v>0</v>
      </c>
      <c r="AX189" s="223">
        <v>0</v>
      </c>
      <c r="AY189" s="318">
        <f t="shared" si="111"/>
        <v>0</v>
      </c>
      <c r="AZ189" s="223"/>
      <c r="BA189" s="318"/>
      <c r="BB189" s="519">
        <f t="shared" si="112"/>
        <v>0</v>
      </c>
      <c r="BC189" s="518"/>
      <c r="BD189" s="518"/>
      <c r="BE189" s="518"/>
      <c r="BF189" s="518"/>
      <c r="BG189" s="518"/>
      <c r="BH189" s="518"/>
      <c r="BI189" s="518"/>
      <c r="BJ189" s="518"/>
      <c r="BK189" s="518"/>
      <c r="BL189" s="518"/>
      <c r="BM189" s="518"/>
      <c r="BN189" s="518"/>
      <c r="BO189" s="367">
        <f t="shared" si="84"/>
        <v>0</v>
      </c>
      <c r="BP189" s="421"/>
      <c r="BQ189" s="422"/>
      <c r="BR189" s="423">
        <f>IFERROR(IF(LEFT($A189,3)="Lcp",SUMIFS('BASE-LCP'!$K:$K,'BASE-LCP'!$A:$A,Capex!$A181,'BASE-LCP'!$B:$B,"janeiro")/1000,IF(LEFT($A189,3)="icp",SUMIFS('BASE-ICP'!$K:$K,'BASE-ICP'!$A:$A,Capex!$A181,'BASE-ICP'!$B:$B,"janeiro")/1000,"")),"")</f>
        <v>0</v>
      </c>
      <c r="BS189" s="427">
        <v>0</v>
      </c>
      <c r="BT189" s="372">
        <v>0</v>
      </c>
      <c r="BU189" s="422"/>
      <c r="BV189" s="423">
        <f>IFERROR(IF(LEFT($A189,3)="Lcp",SUMIFS('BASE-LCP'!$K:$K,'BASE-LCP'!$A:$A,Capex!$A181,'BASE-LCP'!$B:$B,"fevereiro")/1000,IF(LEFT($A189,3)="icp",SUMIFS('BASE-ICP'!$K:$K,'BASE-ICP'!$A:$A,Capex!$A181,'BASE-ICP'!$B:$B,"fevereiro")/1000,"")),"")</f>
        <v>0</v>
      </c>
      <c r="BW189" s="427">
        <v>0</v>
      </c>
      <c r="BX189" s="372">
        <v>0</v>
      </c>
      <c r="BY189" s="419"/>
      <c r="BZ189" s="423">
        <f>IFERROR(IF(LEFT($A189,3)="Lcp",SUMIFS('BASE-LCP'!$K:$K,'BASE-LCP'!$A:$A,Capex!$A181,'BASE-LCP'!$B:$B,"março")/1000,IF(LEFT($A189,3)="icp",SUMIFS('BASE-ICP'!$K:$K,'BASE-ICP'!$A:$A,Capex!$A181,'BASE-ICP'!$B:$B,"março")/1000,"")),"")</f>
        <v>0</v>
      </c>
      <c r="CA189" s="427">
        <v>0</v>
      </c>
      <c r="CB189" s="372">
        <v>0</v>
      </c>
      <c r="CC189" s="422"/>
      <c r="CD189" s="423">
        <f>IFERROR(IF(LEFT($A189,3)="Lcp",SUMIFS('BASE-LCP'!$K:$K,'BASE-LCP'!$A:$A,Capex!$A181,'BASE-LCP'!$B:$B,"abril")/1000,IF(LEFT($A189,3)="icp",SUMIFS('BASE-ICP'!$K:$K,'BASE-ICP'!$A:$A,Capex!$A181,'BASE-ICP'!$B:$B,"abril")/1000,"")),"")</f>
        <v>0</v>
      </c>
      <c r="CE189" s="427">
        <v>0</v>
      </c>
      <c r="CF189" s="372">
        <v>0</v>
      </c>
      <c r="CG189" s="419"/>
      <c r="CH189" s="423">
        <v>0</v>
      </c>
      <c r="CI189" s="427">
        <v>0</v>
      </c>
      <c r="CJ189" s="372">
        <v>0</v>
      </c>
      <c r="CK189" s="419"/>
      <c r="CL189" s="423">
        <f>IFERROR(IF(LEFT($A189,3)="Lcp",SUMIFS('BASE-LCP'!$K:$K,'BASE-LCP'!$A:$A,Capex!$A181,'BASE-LCP'!$B:$B,"junho")/1000,IF(LEFT($A189,3)="icp",SUMIFS('BASE-ICP'!$K:$K,'BASE-ICP'!$A:$A,Capex!$A181,'BASE-ICP'!$B:$B,"junho")/1000,"")),"")</f>
        <v>0</v>
      </c>
      <c r="CM189" s="427">
        <v>0</v>
      </c>
      <c r="CN189" s="372"/>
      <c r="CO189" s="419"/>
      <c r="CP189" s="423">
        <f>IFERROR(IF(LEFT($A189,3)="Lcp",SUMIFS('BASE-LCP'!$K:$K,'BASE-LCP'!$A:$A,Capex!$A181,'BASE-LCP'!$B:$B,"julho")/1000,IF(LEFT($A189,3)="icp",SUMIFS('BASE-ICP'!$K:$K,'BASE-ICP'!$A:$A,Capex!$A181,'BASE-ICP'!$B:$B,"julho")/1000,"")),"")</f>
        <v>0</v>
      </c>
      <c r="CQ189" s="427">
        <v>0</v>
      </c>
      <c r="CR189" s="372"/>
      <c r="CS189" s="419"/>
      <c r="CT189" s="423">
        <f>IFERROR(IF(LEFT($A189,3)="Lcp",SUMIFS('BASE-LCP'!$K:$K,'BASE-LCP'!$A:$A,Capex!$A181,'BASE-LCP'!$B:$B,"agosto")/1000,IF(LEFT($A189,3)="icp",SUMIFS('BASE-ICP'!$K:$K,'BASE-ICP'!$A:$A,Capex!$A181,'BASE-ICP'!$B:$B,"agosto")/1000,"")),"")</f>
        <v>0</v>
      </c>
      <c r="CU189" s="427">
        <v>0</v>
      </c>
      <c r="CV189" s="372"/>
      <c r="CW189" s="419"/>
      <c r="CX189" s="423">
        <f>IFERROR(IF(LEFT($A189,3)="Lcp",SUMIFS('BASE-LCP'!$K:$K,'BASE-LCP'!$A:$A,Capex!$A181,'BASE-LCP'!$B:$B,"setembro")/1000,IF(LEFT($A189,3)="icp",SUMIFS('BASE-ICP'!$K:$K,'BASE-ICP'!$A:$A,Capex!$A181,'BASE-ICP'!$B:$B,"setembro")/1000,"")),"")</f>
        <v>0</v>
      </c>
      <c r="CY189" s="427">
        <v>0</v>
      </c>
      <c r="CZ189" s="372"/>
      <c r="DA189" s="419"/>
      <c r="DB189" s="423">
        <f>IFERROR(IF(LEFT($A189,3)="Lcp",SUMIFS('BASE-LCP'!$K:$K,'BASE-LCP'!$A:$A,Capex!$A181,'BASE-LCP'!$B:$B,"outubro")/1000,IF(LEFT($A189,3)="icp",SUMIFS('BASE-ICP'!$K:$K,'BASE-ICP'!$A:$A,Capex!$A181,'BASE-ICP'!$B:$B,"outubro")/1000,"")),"")</f>
        <v>0</v>
      </c>
      <c r="DC189" s="427">
        <v>0</v>
      </c>
      <c r="DD189" s="372"/>
      <c r="DE189" s="419"/>
      <c r="DF189" s="423">
        <f>IFERROR(IF(LEFT($A189,3)="Lcp",SUMIFS('BASE-LCP'!$K:$K,'BASE-LCP'!$A:$A,Capex!$A181,'BASE-LCP'!$B:$B,"novembro")/1000,IF(LEFT($A189,3)="icp",SUMIFS('BASE-ICP'!$K:$K,'BASE-ICP'!$A:$A,Capex!$A181,'BASE-ICP'!$B:$B,"novembro")/1000,"")),"")</f>
        <v>0</v>
      </c>
      <c r="DG189" s="427">
        <v>0</v>
      </c>
      <c r="DH189" s="372"/>
      <c r="DI189" s="419"/>
      <c r="DJ189" s="423">
        <f>IFERROR(IF(LEFT($A189,3)="Lcp",SUMIFS('BASE-LCP'!$K:$K,'BASE-LCP'!$A:$A,Capex!$A181,'BASE-LCP'!$B:$B,"dezembro")/1000,IF(LEFT($A189,3)="icp",SUMIFS('BASE-ICP'!$K:$K,'BASE-ICP'!$A:$A,Capex!$A181,'BASE-ICP'!$B:$B,"dezembro")/1000,"")),"")</f>
        <v>0</v>
      </c>
      <c r="DK189" s="427">
        <v>0</v>
      </c>
      <c r="DL189" s="452">
        <f t="shared" si="85"/>
        <v>0</v>
      </c>
      <c r="DM189" s="374"/>
      <c r="DN189" s="374"/>
      <c r="DO189" s="374"/>
      <c r="DP189" s="374"/>
      <c r="DQ189" s="374"/>
      <c r="DR189" s="374"/>
      <c r="DS189" s="374"/>
      <c r="DT189" s="374"/>
      <c r="DU189" s="374"/>
      <c r="DV189" s="374"/>
      <c r="DW189" s="374"/>
      <c r="DX189" s="374"/>
      <c r="DY189" s="450"/>
      <c r="DZ189" s="374">
        <f t="shared" si="86"/>
        <v>0</v>
      </c>
      <c r="EA189" s="216">
        <f t="shared" si="87"/>
        <v>0</v>
      </c>
      <c r="EB189" s="320">
        <f t="shared" si="88"/>
        <v>0</v>
      </c>
      <c r="EC189" s="241">
        <f t="shared" si="89"/>
        <v>0</v>
      </c>
      <c r="ED189" s="241">
        <f t="shared" si="90"/>
        <v>0</v>
      </c>
      <c r="EE189" s="241">
        <f t="shared" si="91"/>
        <v>0</v>
      </c>
      <c r="EF189" s="241">
        <f t="shared" si="92"/>
        <v>0</v>
      </c>
      <c r="EG189" s="346">
        <f t="shared" si="93"/>
        <v>0</v>
      </c>
      <c r="EH189" s="445">
        <f t="shared" si="94"/>
        <v>0</v>
      </c>
      <c r="EI189" s="447">
        <f t="shared" si="95"/>
        <v>0</v>
      </c>
      <c r="EJ189" s="364">
        <f t="shared" si="96"/>
        <v>0</v>
      </c>
      <c r="EK189" s="365">
        <f t="shared" si="97"/>
        <v>0</v>
      </c>
      <c r="EL189" s="529">
        <f t="shared" si="98"/>
        <v>0</v>
      </c>
      <c r="EM189" s="530">
        <v>0</v>
      </c>
      <c r="EN189" s="530">
        <v>0</v>
      </c>
      <c r="EO189" s="530">
        <v>0</v>
      </c>
      <c r="EP189" s="530">
        <v>0</v>
      </c>
      <c r="EQ189" s="530">
        <v>0</v>
      </c>
      <c r="ER189" s="530">
        <v>0</v>
      </c>
      <c r="ES189" s="530">
        <v>0</v>
      </c>
      <c r="ET189" s="530">
        <v>0</v>
      </c>
      <c r="EU189" s="530">
        <v>0</v>
      </c>
      <c r="EV189" s="530">
        <v>0</v>
      </c>
      <c r="EW189" s="530">
        <v>0</v>
      </c>
      <c r="EX189" s="530">
        <v>0</v>
      </c>
      <c r="EY189" s="530">
        <f t="shared" si="99"/>
        <v>0</v>
      </c>
      <c r="EZ189" s="530">
        <f t="shared" si="100"/>
        <v>0</v>
      </c>
      <c r="FA189" s="530">
        <f t="shared" si="101"/>
        <v>0</v>
      </c>
      <c r="FB189" s="530">
        <f t="shared" si="102"/>
        <v>0</v>
      </c>
      <c r="FC189" s="384">
        <f>IFERROR(VLOOKUP(Capex!A181,BASE_558!D:R,8,FALSE)/1000,"")</f>
        <v>341.86599999999999</v>
      </c>
      <c r="FD189" s="328">
        <f>IFERROR(VLOOKUP(Capex!A181,BASE_558!D:R,9,)/1000,"")</f>
        <v>225.72057999999998</v>
      </c>
      <c r="FE189" s="328">
        <f>IFERROR(IF(LEFT(A189,3)="LCP",(VLOOKUP(Capex!A181,BASE_558!D:R,10,)/1000),SUMIFS('BASE ICP_PO_SC'!F:F,'BASE ICP_PO_SC'!A:A,Capex!A181,'BASE ICP_PO_SC'!E:E,"&lt;&gt;")/1000),"")</f>
        <v>0</v>
      </c>
      <c r="FF189" s="328">
        <f>IFERROR(IF(LEFT(A189,3)="LCP",(VLOOKUP(Capex!A181,BASE_558!D:R,11,)/1000),SUMIFS('BASE ICP_PO_SC'!F:F,'BASE ICP_PO_SC'!A:A,Capex!A181,'BASE ICP_PO_SC'!E:E,"")/1000),"")</f>
        <v>0</v>
      </c>
      <c r="FG189" s="328">
        <f>IFERROR(VLOOKUP(A189,BASE_558!D:R,13,FALSE)/1000,"")</f>
        <v>288.33588000000003</v>
      </c>
      <c r="FH189" s="328">
        <f>IFERROR(VLOOKUP(A189,BASE_558!D:R,15,FALSE)/1000,"")</f>
        <v>20.96012</v>
      </c>
      <c r="FI189" s="547">
        <f t="shared" si="103"/>
        <v>0</v>
      </c>
      <c r="FJ189" s="547">
        <f t="shared" si="104"/>
        <v>0</v>
      </c>
      <c r="FK189" s="540">
        <f t="shared" si="105"/>
        <v>0</v>
      </c>
    </row>
    <row r="190" spans="1:167" s="23" customFormat="1" ht="24" customHeight="1">
      <c r="A190" s="84" t="s">
        <v>542</v>
      </c>
      <c r="B190" s="404"/>
      <c r="C190" s="404"/>
      <c r="D190" s="338" t="s">
        <v>2246</v>
      </c>
      <c r="E190" s="378">
        <v>3084730</v>
      </c>
      <c r="F190" s="5"/>
      <c r="G190" s="310" t="s">
        <v>9</v>
      </c>
      <c r="H190" s="356"/>
      <c r="I190" s="356" t="s">
        <v>6</v>
      </c>
      <c r="J190" s="356">
        <v>2020</v>
      </c>
      <c r="K190" s="321">
        <v>44075</v>
      </c>
      <c r="L190" s="317">
        <v>44225</v>
      </c>
      <c r="M190" s="409"/>
      <c r="N190" s="317">
        <f t="shared" si="109"/>
        <v>44987</v>
      </c>
      <c r="O190" s="317">
        <f t="shared" si="110"/>
        <v>45352</v>
      </c>
      <c r="P190" s="418" t="str">
        <f t="shared" si="115"/>
        <v>CRTD</v>
      </c>
      <c r="Q190" s="418" t="str">
        <f t="shared" si="115"/>
        <v>CRTD</v>
      </c>
      <c r="R190" s="418" t="str">
        <f t="shared" si="115"/>
        <v>CRTD</v>
      </c>
      <c r="S190" s="418" t="str">
        <f t="shared" si="115"/>
        <v>CRTD</v>
      </c>
      <c r="T190" s="418" t="str">
        <f t="shared" si="115"/>
        <v>CRTD</v>
      </c>
      <c r="U190" s="418" t="str">
        <f t="shared" si="115"/>
        <v>CRTD</v>
      </c>
      <c r="V190" s="418" t="str">
        <f t="shared" si="115"/>
        <v>CRTD</v>
      </c>
      <c r="W190" s="418" t="str">
        <f t="shared" si="115"/>
        <v>CRTD</v>
      </c>
      <c r="X190" s="418" t="str">
        <f t="shared" si="115"/>
        <v>CRTD</v>
      </c>
      <c r="Y190" s="418" t="str">
        <f t="shared" si="115"/>
        <v>CRTD</v>
      </c>
      <c r="Z190" s="418" t="str">
        <f t="shared" si="115"/>
        <v>CRTD</v>
      </c>
      <c r="AA190" s="418" t="str">
        <f t="shared" si="115"/>
        <v>CRTD</v>
      </c>
      <c r="AB190" s="317"/>
      <c r="AC190" s="309" t="s">
        <v>3930</v>
      </c>
      <c r="AD190" s="311"/>
      <c r="AE190" s="381"/>
      <c r="AF190" s="310" t="s">
        <v>6985</v>
      </c>
      <c r="AG190" s="310" t="s">
        <v>9083</v>
      </c>
      <c r="AH190" s="310" t="s">
        <v>467</v>
      </c>
      <c r="AI190" s="381" t="s">
        <v>188</v>
      </c>
      <c r="AJ190" s="6" t="s">
        <v>218</v>
      </c>
      <c r="AK190" s="6" t="str">
        <f t="shared" si="83"/>
        <v>IGUAL</v>
      </c>
      <c r="AL190" s="151" t="str">
        <f>IFERROR(IF(LEFT(A190,3)="LCP",VLOOKUP(A190,STATUS_SAP_LCP!B:C,2,FALSE),VLOOKUP(A190,STATUS_SAP_ICP!B:C,2,FALSE)),"NO BUDGET")</f>
        <v>CLSD BUDG AUC  AVAC  //  APPR BREL EXPL</v>
      </c>
      <c r="AM190" s="6" t="str">
        <f t="shared" si="82"/>
        <v>CLSD</v>
      </c>
      <c r="AN190" s="282" t="s">
        <v>9086</v>
      </c>
      <c r="AO190" s="493">
        <v>1</v>
      </c>
      <c r="AP190" s="499" t="s">
        <v>9607</v>
      </c>
      <c r="AQ190" s="465">
        <v>44225</v>
      </c>
      <c r="AR190" s="460"/>
      <c r="AS190" s="56">
        <v>0</v>
      </c>
      <c r="AT190" s="185">
        <v>14.204100000000002</v>
      </c>
      <c r="AU190" s="318">
        <v>0</v>
      </c>
      <c r="AV190" s="223">
        <v>0</v>
      </c>
      <c r="AW190" s="318">
        <v>0</v>
      </c>
      <c r="AX190" s="223">
        <v>0</v>
      </c>
      <c r="AY190" s="318">
        <f t="shared" si="111"/>
        <v>0</v>
      </c>
      <c r="AZ190" s="223"/>
      <c r="BA190" s="318"/>
      <c r="BB190" s="519">
        <f t="shared" si="112"/>
        <v>0</v>
      </c>
      <c r="BC190" s="518"/>
      <c r="BD190" s="518"/>
      <c r="BE190" s="518"/>
      <c r="BF190" s="518"/>
      <c r="BG190" s="518"/>
      <c r="BH190" s="518"/>
      <c r="BI190" s="518"/>
      <c r="BJ190" s="518"/>
      <c r="BK190" s="518"/>
      <c r="BL190" s="518"/>
      <c r="BM190" s="518"/>
      <c r="BN190" s="518"/>
      <c r="BO190" s="367">
        <f t="shared" si="84"/>
        <v>0</v>
      </c>
      <c r="BP190" s="421"/>
      <c r="BQ190" s="422"/>
      <c r="BR190" s="423">
        <f>IFERROR(IF(LEFT($A190,3)="Lcp",SUMIFS('BASE-LCP'!$K:$K,'BASE-LCP'!$A:$A,Capex!$A182,'BASE-LCP'!$B:$B,"janeiro")/1000,IF(LEFT($A190,3)="icp",SUMIFS('BASE-ICP'!$K:$K,'BASE-ICP'!$A:$A,Capex!$A182,'BASE-ICP'!$B:$B,"janeiro")/1000,"")),"")</f>
        <v>0</v>
      </c>
      <c r="BS190" s="427">
        <v>0</v>
      </c>
      <c r="BT190" s="372">
        <v>0</v>
      </c>
      <c r="BU190" s="422"/>
      <c r="BV190" s="423">
        <f>IFERROR(IF(LEFT($A190,3)="Lcp",SUMIFS('BASE-LCP'!$K:$K,'BASE-LCP'!$A:$A,Capex!$A182,'BASE-LCP'!$B:$B,"fevereiro")/1000,IF(LEFT($A190,3)="icp",SUMIFS('BASE-ICP'!$K:$K,'BASE-ICP'!$A:$A,Capex!$A182,'BASE-ICP'!$B:$B,"fevereiro")/1000,"")),"")</f>
        <v>0</v>
      </c>
      <c r="BW190" s="427">
        <v>0</v>
      </c>
      <c r="BX190" s="372">
        <v>0</v>
      </c>
      <c r="BY190" s="419"/>
      <c r="BZ190" s="423">
        <f>IFERROR(IF(LEFT($A190,3)="Lcp",SUMIFS('BASE-LCP'!$K:$K,'BASE-LCP'!$A:$A,Capex!$A182,'BASE-LCP'!$B:$B,"março")/1000,IF(LEFT($A190,3)="icp",SUMIFS('BASE-ICP'!$K:$K,'BASE-ICP'!$A:$A,Capex!$A182,'BASE-ICP'!$B:$B,"março")/1000,"")),"")</f>
        <v>0</v>
      </c>
      <c r="CA190" s="427">
        <v>0</v>
      </c>
      <c r="CB190" s="372">
        <v>0</v>
      </c>
      <c r="CC190" s="422"/>
      <c r="CD190" s="423">
        <f>IFERROR(IF(LEFT($A190,3)="Lcp",SUMIFS('BASE-LCP'!$K:$K,'BASE-LCP'!$A:$A,Capex!$A182,'BASE-LCP'!$B:$B,"abril")/1000,IF(LEFT($A190,3)="icp",SUMIFS('BASE-ICP'!$K:$K,'BASE-ICP'!$A:$A,Capex!$A182,'BASE-ICP'!$B:$B,"abril")/1000,"")),"")</f>
        <v>0</v>
      </c>
      <c r="CE190" s="427">
        <v>0</v>
      </c>
      <c r="CF190" s="372">
        <v>0</v>
      </c>
      <c r="CG190" s="419"/>
      <c r="CH190" s="423">
        <v>0</v>
      </c>
      <c r="CI190" s="427">
        <v>0</v>
      </c>
      <c r="CJ190" s="372">
        <v>0</v>
      </c>
      <c r="CK190" s="419"/>
      <c r="CL190" s="423">
        <f>IFERROR(IF(LEFT($A190,3)="Lcp",SUMIFS('BASE-LCP'!$K:$K,'BASE-LCP'!$A:$A,Capex!$A182,'BASE-LCP'!$B:$B,"junho")/1000,IF(LEFT($A190,3)="icp",SUMIFS('BASE-ICP'!$K:$K,'BASE-ICP'!$A:$A,Capex!$A182,'BASE-ICP'!$B:$B,"junho")/1000,"")),"")</f>
        <v>0</v>
      </c>
      <c r="CM190" s="427">
        <v>0</v>
      </c>
      <c r="CN190" s="372"/>
      <c r="CO190" s="419"/>
      <c r="CP190" s="423">
        <f>IFERROR(IF(LEFT($A190,3)="Lcp",SUMIFS('BASE-LCP'!$K:$K,'BASE-LCP'!$A:$A,Capex!$A182,'BASE-LCP'!$B:$B,"julho")/1000,IF(LEFT($A190,3)="icp",SUMIFS('BASE-ICP'!$K:$K,'BASE-ICP'!$A:$A,Capex!$A182,'BASE-ICP'!$B:$B,"julho")/1000,"")),"")</f>
        <v>0</v>
      </c>
      <c r="CQ190" s="427">
        <v>0</v>
      </c>
      <c r="CR190" s="372"/>
      <c r="CS190" s="419"/>
      <c r="CT190" s="423">
        <f>IFERROR(IF(LEFT($A190,3)="Lcp",SUMIFS('BASE-LCP'!$K:$K,'BASE-LCP'!$A:$A,Capex!$A182,'BASE-LCP'!$B:$B,"agosto")/1000,IF(LEFT($A190,3)="icp",SUMIFS('BASE-ICP'!$K:$K,'BASE-ICP'!$A:$A,Capex!$A182,'BASE-ICP'!$B:$B,"agosto")/1000,"")),"")</f>
        <v>0</v>
      </c>
      <c r="CU190" s="427">
        <v>0</v>
      </c>
      <c r="CV190" s="372"/>
      <c r="CW190" s="419"/>
      <c r="CX190" s="423">
        <f>IFERROR(IF(LEFT($A190,3)="Lcp",SUMIFS('BASE-LCP'!$K:$K,'BASE-LCP'!$A:$A,Capex!$A182,'BASE-LCP'!$B:$B,"setembro")/1000,IF(LEFT($A190,3)="icp",SUMIFS('BASE-ICP'!$K:$K,'BASE-ICP'!$A:$A,Capex!$A182,'BASE-ICP'!$B:$B,"setembro")/1000,"")),"")</f>
        <v>0</v>
      </c>
      <c r="CY190" s="427">
        <v>0</v>
      </c>
      <c r="CZ190" s="372"/>
      <c r="DA190" s="419"/>
      <c r="DB190" s="423">
        <f>IFERROR(IF(LEFT($A190,3)="Lcp",SUMIFS('BASE-LCP'!$K:$K,'BASE-LCP'!$A:$A,Capex!$A182,'BASE-LCP'!$B:$B,"outubro")/1000,IF(LEFT($A190,3)="icp",SUMIFS('BASE-ICP'!$K:$K,'BASE-ICP'!$A:$A,Capex!$A182,'BASE-ICP'!$B:$B,"outubro")/1000,"")),"")</f>
        <v>0</v>
      </c>
      <c r="DC190" s="427">
        <v>0</v>
      </c>
      <c r="DD190" s="372"/>
      <c r="DE190" s="419"/>
      <c r="DF190" s="423">
        <f>IFERROR(IF(LEFT($A190,3)="Lcp",SUMIFS('BASE-LCP'!$K:$K,'BASE-LCP'!$A:$A,Capex!$A182,'BASE-LCP'!$B:$B,"novembro")/1000,IF(LEFT($A190,3)="icp",SUMIFS('BASE-ICP'!$K:$K,'BASE-ICP'!$A:$A,Capex!$A182,'BASE-ICP'!$B:$B,"novembro")/1000,"")),"")</f>
        <v>0</v>
      </c>
      <c r="DG190" s="427">
        <v>0</v>
      </c>
      <c r="DH190" s="372"/>
      <c r="DI190" s="419"/>
      <c r="DJ190" s="423">
        <f>IFERROR(IF(LEFT($A190,3)="Lcp",SUMIFS('BASE-LCP'!$K:$K,'BASE-LCP'!$A:$A,Capex!$A182,'BASE-LCP'!$B:$B,"dezembro")/1000,IF(LEFT($A190,3)="icp",SUMIFS('BASE-ICP'!$K:$K,'BASE-ICP'!$A:$A,Capex!$A182,'BASE-ICP'!$B:$B,"dezembro")/1000,"")),"")</f>
        <v>0</v>
      </c>
      <c r="DK190" s="427">
        <v>0</v>
      </c>
      <c r="DL190" s="452">
        <f t="shared" si="85"/>
        <v>0</v>
      </c>
      <c r="DM190" s="374"/>
      <c r="DN190" s="374"/>
      <c r="DO190" s="374"/>
      <c r="DP190" s="374"/>
      <c r="DQ190" s="374"/>
      <c r="DR190" s="374"/>
      <c r="DS190" s="374"/>
      <c r="DT190" s="374"/>
      <c r="DU190" s="374"/>
      <c r="DV190" s="374"/>
      <c r="DW190" s="374"/>
      <c r="DX190" s="374"/>
      <c r="DY190" s="450"/>
      <c r="DZ190" s="374">
        <f t="shared" si="86"/>
        <v>0</v>
      </c>
      <c r="EA190" s="216">
        <f t="shared" si="87"/>
        <v>0</v>
      </c>
      <c r="EB190" s="320">
        <f t="shared" si="88"/>
        <v>0</v>
      </c>
      <c r="EC190" s="241">
        <f t="shared" si="89"/>
        <v>0</v>
      </c>
      <c r="ED190" s="241">
        <f t="shared" si="90"/>
        <v>0</v>
      </c>
      <c r="EE190" s="241">
        <f t="shared" si="91"/>
        <v>0</v>
      </c>
      <c r="EF190" s="241">
        <f t="shared" si="92"/>
        <v>0</v>
      </c>
      <c r="EG190" s="346">
        <f t="shared" si="93"/>
        <v>0</v>
      </c>
      <c r="EH190" s="445">
        <f t="shared" si="94"/>
        <v>0</v>
      </c>
      <c r="EI190" s="447">
        <f t="shared" si="95"/>
        <v>0</v>
      </c>
      <c r="EJ190" s="364">
        <f t="shared" si="96"/>
        <v>0</v>
      </c>
      <c r="EK190" s="365">
        <f t="shared" si="97"/>
        <v>0</v>
      </c>
      <c r="EL190" s="529">
        <f t="shared" si="98"/>
        <v>0</v>
      </c>
      <c r="EM190" s="530">
        <v>0</v>
      </c>
      <c r="EN190" s="530">
        <v>0</v>
      </c>
      <c r="EO190" s="530">
        <v>0</v>
      </c>
      <c r="EP190" s="530">
        <v>0</v>
      </c>
      <c r="EQ190" s="530">
        <v>0</v>
      </c>
      <c r="ER190" s="530">
        <v>0</v>
      </c>
      <c r="ES190" s="530">
        <v>0</v>
      </c>
      <c r="ET190" s="530">
        <v>0</v>
      </c>
      <c r="EU190" s="530">
        <v>0</v>
      </c>
      <c r="EV190" s="530">
        <v>0</v>
      </c>
      <c r="EW190" s="530">
        <v>0</v>
      </c>
      <c r="EX190" s="530">
        <v>0</v>
      </c>
      <c r="EY190" s="530">
        <f t="shared" si="99"/>
        <v>0</v>
      </c>
      <c r="EZ190" s="530">
        <f t="shared" si="100"/>
        <v>0</v>
      </c>
      <c r="FA190" s="530">
        <f t="shared" si="101"/>
        <v>0</v>
      </c>
      <c r="FB190" s="530">
        <f t="shared" si="102"/>
        <v>0</v>
      </c>
      <c r="FC190" s="384">
        <f>IFERROR(VLOOKUP(Capex!A182,BASE_558!D:R,8,FALSE)/1000,"")</f>
        <v>1647.355</v>
      </c>
      <c r="FD190" s="328">
        <f>IFERROR(VLOOKUP(Capex!A182,BASE_558!D:R,9,)/1000,"")</f>
        <v>1468.7583500000001</v>
      </c>
      <c r="FE190" s="328">
        <f>IFERROR(IF(LEFT(A190,3)="LCP",(VLOOKUP(Capex!A182,BASE_558!D:R,10,)/1000),SUMIFS('BASE ICP_PO_SC'!F:F,'BASE ICP_PO_SC'!A:A,Capex!A182,'BASE ICP_PO_SC'!E:E,"&lt;&gt;")/1000),"")</f>
        <v>0</v>
      </c>
      <c r="FF190" s="328">
        <f>IFERROR(IF(LEFT(A190,3)="LCP",(VLOOKUP(Capex!A182,BASE_558!D:R,11,)/1000),SUMIFS('BASE ICP_PO_SC'!F:F,'BASE ICP_PO_SC'!A:A,Capex!A182,'BASE ICP_PO_SC'!E:E,"")/1000),"")</f>
        <v>0</v>
      </c>
      <c r="FG190" s="328">
        <f>IFERROR(VLOOKUP(A190,BASE_558!D:R,13,FALSE)/1000,"")</f>
        <v>14.2041</v>
      </c>
      <c r="FH190" s="328">
        <f>IFERROR(VLOOKUP(A190,BASE_558!D:R,15,FALSE)/1000,"")</f>
        <v>3.9959000000000002</v>
      </c>
      <c r="FI190" s="547">
        <f t="shared" si="103"/>
        <v>0</v>
      </c>
      <c r="FJ190" s="547">
        <f t="shared" si="104"/>
        <v>0</v>
      </c>
      <c r="FK190" s="540">
        <f t="shared" si="105"/>
        <v>0</v>
      </c>
    </row>
    <row r="191" spans="1:167" s="23" customFormat="1" ht="24" customHeight="1">
      <c r="A191" s="84" t="s">
        <v>541</v>
      </c>
      <c r="B191" s="404"/>
      <c r="C191" s="404"/>
      <c r="D191" s="338" t="s">
        <v>2247</v>
      </c>
      <c r="E191" s="378">
        <v>3106839</v>
      </c>
      <c r="F191" s="5"/>
      <c r="G191" s="310" t="s">
        <v>9</v>
      </c>
      <c r="H191" s="356"/>
      <c r="I191" s="356"/>
      <c r="J191" s="356">
        <v>2020</v>
      </c>
      <c r="K191" s="321">
        <v>44088</v>
      </c>
      <c r="L191" s="317">
        <v>44343</v>
      </c>
      <c r="M191" s="409"/>
      <c r="N191" s="317">
        <f t="shared" si="109"/>
        <v>45000</v>
      </c>
      <c r="O191" s="317">
        <f t="shared" si="110"/>
        <v>45365</v>
      </c>
      <c r="P191" s="418" t="str">
        <f t="shared" si="115"/>
        <v>CRTD</v>
      </c>
      <c r="Q191" s="418" t="str">
        <f t="shared" si="115"/>
        <v>CRTD</v>
      </c>
      <c r="R191" s="418" t="str">
        <f t="shared" si="115"/>
        <v>CRTD</v>
      </c>
      <c r="S191" s="418" t="str">
        <f t="shared" si="115"/>
        <v>CRTD</v>
      </c>
      <c r="T191" s="418" t="str">
        <f t="shared" si="115"/>
        <v>CRTD</v>
      </c>
      <c r="U191" s="418" t="str">
        <f t="shared" si="115"/>
        <v>CRTD</v>
      </c>
      <c r="V191" s="418" t="str">
        <f t="shared" si="115"/>
        <v>CRTD</v>
      </c>
      <c r="W191" s="418" t="str">
        <f t="shared" si="115"/>
        <v>CRTD</v>
      </c>
      <c r="X191" s="418" t="str">
        <f t="shared" si="115"/>
        <v>CRTD</v>
      </c>
      <c r="Y191" s="418" t="str">
        <f t="shared" si="115"/>
        <v>CRTD</v>
      </c>
      <c r="Z191" s="418" t="str">
        <f t="shared" si="115"/>
        <v>CRTD</v>
      </c>
      <c r="AA191" s="418" t="str">
        <f t="shared" si="115"/>
        <v>CRTD</v>
      </c>
      <c r="AB191" s="350"/>
      <c r="AC191" s="309" t="s">
        <v>3932</v>
      </c>
      <c r="AD191" s="311" t="s">
        <v>222</v>
      </c>
      <c r="AE191" s="381" t="s">
        <v>958</v>
      </c>
      <c r="AF191" s="310" t="s">
        <v>6985</v>
      </c>
      <c r="AG191" s="310" t="s">
        <v>9083</v>
      </c>
      <c r="AH191" s="310" t="s">
        <v>540</v>
      </c>
      <c r="AI191" s="309" t="s">
        <v>187</v>
      </c>
      <c r="AJ191" s="6" t="s">
        <v>218</v>
      </c>
      <c r="AK191" s="6" t="str">
        <f t="shared" si="83"/>
        <v>IGUAL</v>
      </c>
      <c r="AL191" s="151" t="str">
        <f>IFERROR(IF(LEFT(A191,3)="LCP",VLOOKUP(A191,STATUS_SAP_LCP!B:C,2,FALSE),VLOOKUP(A191,STATUS_SAP_ICP!B:C,2,FALSE)),"NO BUDGET")</f>
        <v>CLSD BUDG AUC  AVAC  //  APPR BREL EXPL</v>
      </c>
      <c r="AM191" s="6" t="str">
        <f t="shared" si="82"/>
        <v>CLSD</v>
      </c>
      <c r="AN191" s="282" t="s">
        <v>9098</v>
      </c>
      <c r="AO191" s="493">
        <v>1</v>
      </c>
      <c r="AP191" s="499" t="s">
        <v>9607</v>
      </c>
      <c r="AQ191" s="465">
        <v>44343</v>
      </c>
      <c r="AR191" s="460"/>
      <c r="AS191" s="56"/>
      <c r="AT191" s="185">
        <v>32.009619999999998</v>
      </c>
      <c r="AU191" s="318">
        <v>0.42429999999999995</v>
      </c>
      <c r="AV191" s="223">
        <v>0</v>
      </c>
      <c r="AW191" s="318">
        <v>0</v>
      </c>
      <c r="AX191" s="223">
        <v>0</v>
      </c>
      <c r="AY191" s="318">
        <f t="shared" si="111"/>
        <v>0</v>
      </c>
      <c r="AZ191" s="223"/>
      <c r="BA191" s="318"/>
      <c r="BB191" s="519">
        <f t="shared" si="112"/>
        <v>0</v>
      </c>
      <c r="BC191" s="518"/>
      <c r="BD191" s="518"/>
      <c r="BE191" s="518"/>
      <c r="BF191" s="518"/>
      <c r="BG191" s="518"/>
      <c r="BH191" s="518"/>
      <c r="BI191" s="518"/>
      <c r="BJ191" s="518"/>
      <c r="BK191" s="518"/>
      <c r="BL191" s="518"/>
      <c r="BM191" s="518"/>
      <c r="BN191" s="518"/>
      <c r="BO191" s="367">
        <f t="shared" si="84"/>
        <v>0</v>
      </c>
      <c r="BP191" s="421"/>
      <c r="BQ191" s="422"/>
      <c r="BR191" s="423">
        <f>IFERROR(IF(LEFT($A191,3)="Lcp",SUMIFS('BASE-LCP'!$K:$K,'BASE-LCP'!$A:$A,Capex!$A183,'BASE-LCP'!$B:$B,"janeiro")/1000,IF(LEFT($A191,3)="icp",SUMIFS('BASE-ICP'!$K:$K,'BASE-ICP'!$A:$A,Capex!$A183,'BASE-ICP'!$B:$B,"janeiro")/1000,"")),"")</f>
        <v>0</v>
      </c>
      <c r="BS191" s="427">
        <v>0</v>
      </c>
      <c r="BT191" s="372">
        <v>0</v>
      </c>
      <c r="BU191" s="422"/>
      <c r="BV191" s="423">
        <f>IFERROR(IF(LEFT($A191,3)="Lcp",SUMIFS('BASE-LCP'!$K:$K,'BASE-LCP'!$A:$A,Capex!$A183,'BASE-LCP'!$B:$B,"fevereiro")/1000,IF(LEFT($A191,3)="icp",SUMIFS('BASE-ICP'!$K:$K,'BASE-ICP'!$A:$A,Capex!$A183,'BASE-ICP'!$B:$B,"fevereiro")/1000,"")),"")</f>
        <v>0</v>
      </c>
      <c r="BW191" s="427">
        <v>0</v>
      </c>
      <c r="BX191" s="372">
        <v>0</v>
      </c>
      <c r="BY191" s="419"/>
      <c r="BZ191" s="423">
        <f>IFERROR(IF(LEFT($A191,3)="Lcp",SUMIFS('BASE-LCP'!$K:$K,'BASE-LCP'!$A:$A,Capex!$A183,'BASE-LCP'!$B:$B,"março")/1000,IF(LEFT($A191,3)="icp",SUMIFS('BASE-ICP'!$K:$K,'BASE-ICP'!$A:$A,Capex!$A183,'BASE-ICP'!$B:$B,"março")/1000,"")),"")</f>
        <v>0</v>
      </c>
      <c r="CA191" s="427">
        <v>0</v>
      </c>
      <c r="CB191" s="372">
        <v>0</v>
      </c>
      <c r="CC191" s="422"/>
      <c r="CD191" s="423">
        <f>IFERROR(IF(LEFT($A191,3)="Lcp",SUMIFS('BASE-LCP'!$K:$K,'BASE-LCP'!$A:$A,Capex!$A183,'BASE-LCP'!$B:$B,"abril")/1000,IF(LEFT($A191,3)="icp",SUMIFS('BASE-ICP'!$K:$K,'BASE-ICP'!$A:$A,Capex!$A183,'BASE-ICP'!$B:$B,"abril")/1000,"")),"")</f>
        <v>0</v>
      </c>
      <c r="CE191" s="427">
        <v>0</v>
      </c>
      <c r="CF191" s="372">
        <v>0</v>
      </c>
      <c r="CG191" s="419"/>
      <c r="CH191" s="423">
        <v>0</v>
      </c>
      <c r="CI191" s="427">
        <v>0</v>
      </c>
      <c r="CJ191" s="372">
        <v>0</v>
      </c>
      <c r="CK191" s="419"/>
      <c r="CL191" s="423">
        <f>IFERROR(IF(LEFT($A191,3)="Lcp",SUMIFS('BASE-LCP'!$K:$K,'BASE-LCP'!$A:$A,Capex!$A183,'BASE-LCP'!$B:$B,"junho")/1000,IF(LEFT($A191,3)="icp",SUMIFS('BASE-ICP'!$K:$K,'BASE-ICP'!$A:$A,Capex!$A183,'BASE-ICP'!$B:$B,"junho")/1000,"")),"")</f>
        <v>0</v>
      </c>
      <c r="CM191" s="427">
        <v>0</v>
      </c>
      <c r="CN191" s="372"/>
      <c r="CO191" s="419"/>
      <c r="CP191" s="423">
        <f>IFERROR(IF(LEFT($A191,3)="Lcp",SUMIFS('BASE-LCP'!$K:$K,'BASE-LCP'!$A:$A,Capex!$A183,'BASE-LCP'!$B:$B,"julho")/1000,IF(LEFT($A191,3)="icp",SUMIFS('BASE-ICP'!$K:$K,'BASE-ICP'!$A:$A,Capex!$A183,'BASE-ICP'!$B:$B,"julho")/1000,"")),"")</f>
        <v>0</v>
      </c>
      <c r="CQ191" s="427">
        <v>0</v>
      </c>
      <c r="CR191" s="372"/>
      <c r="CS191" s="419"/>
      <c r="CT191" s="423">
        <f>IFERROR(IF(LEFT($A191,3)="Lcp",SUMIFS('BASE-LCP'!$K:$K,'BASE-LCP'!$A:$A,Capex!$A183,'BASE-LCP'!$B:$B,"agosto")/1000,IF(LEFT($A191,3)="icp",SUMIFS('BASE-ICP'!$K:$K,'BASE-ICP'!$A:$A,Capex!$A183,'BASE-ICP'!$B:$B,"agosto")/1000,"")),"")</f>
        <v>0</v>
      </c>
      <c r="CU191" s="427">
        <v>0</v>
      </c>
      <c r="CV191" s="372"/>
      <c r="CW191" s="419"/>
      <c r="CX191" s="423">
        <f>IFERROR(IF(LEFT($A191,3)="Lcp",SUMIFS('BASE-LCP'!$K:$K,'BASE-LCP'!$A:$A,Capex!$A183,'BASE-LCP'!$B:$B,"setembro")/1000,IF(LEFT($A191,3)="icp",SUMIFS('BASE-ICP'!$K:$K,'BASE-ICP'!$A:$A,Capex!$A183,'BASE-ICP'!$B:$B,"setembro")/1000,"")),"")</f>
        <v>0</v>
      </c>
      <c r="CY191" s="427">
        <v>0</v>
      </c>
      <c r="CZ191" s="372"/>
      <c r="DA191" s="419"/>
      <c r="DB191" s="423">
        <f>IFERROR(IF(LEFT($A191,3)="Lcp",SUMIFS('BASE-LCP'!$K:$K,'BASE-LCP'!$A:$A,Capex!$A183,'BASE-LCP'!$B:$B,"outubro")/1000,IF(LEFT($A191,3)="icp",SUMIFS('BASE-ICP'!$K:$K,'BASE-ICP'!$A:$A,Capex!$A183,'BASE-ICP'!$B:$B,"outubro")/1000,"")),"")</f>
        <v>0</v>
      </c>
      <c r="DC191" s="427">
        <v>0</v>
      </c>
      <c r="DD191" s="372"/>
      <c r="DE191" s="419"/>
      <c r="DF191" s="423">
        <f>IFERROR(IF(LEFT($A191,3)="Lcp",SUMIFS('BASE-LCP'!$K:$K,'BASE-LCP'!$A:$A,Capex!$A183,'BASE-LCP'!$B:$B,"novembro")/1000,IF(LEFT($A191,3)="icp",SUMIFS('BASE-ICP'!$K:$K,'BASE-ICP'!$A:$A,Capex!$A183,'BASE-ICP'!$B:$B,"novembro")/1000,"")),"")</f>
        <v>0</v>
      </c>
      <c r="DG191" s="427">
        <v>0</v>
      </c>
      <c r="DH191" s="372"/>
      <c r="DI191" s="419"/>
      <c r="DJ191" s="423">
        <f>IFERROR(IF(LEFT($A191,3)="Lcp",SUMIFS('BASE-LCP'!$K:$K,'BASE-LCP'!$A:$A,Capex!$A183,'BASE-LCP'!$B:$B,"dezembro")/1000,IF(LEFT($A191,3)="icp",SUMIFS('BASE-ICP'!$K:$K,'BASE-ICP'!$A:$A,Capex!$A183,'BASE-ICP'!$B:$B,"dezembro")/1000,"")),"")</f>
        <v>0</v>
      </c>
      <c r="DK191" s="427">
        <v>0</v>
      </c>
      <c r="DL191" s="452">
        <f t="shared" si="85"/>
        <v>0</v>
      </c>
      <c r="DM191" s="374"/>
      <c r="DN191" s="374"/>
      <c r="DO191" s="374"/>
      <c r="DP191" s="374"/>
      <c r="DQ191" s="374"/>
      <c r="DR191" s="374"/>
      <c r="DS191" s="374"/>
      <c r="DT191" s="374"/>
      <c r="DU191" s="374"/>
      <c r="DV191" s="374"/>
      <c r="DW191" s="374"/>
      <c r="DX191" s="374"/>
      <c r="DY191" s="450"/>
      <c r="DZ191" s="374">
        <f t="shared" si="86"/>
        <v>0</v>
      </c>
      <c r="EA191" s="216">
        <f t="shared" si="87"/>
        <v>0</v>
      </c>
      <c r="EB191" s="320">
        <f t="shared" si="88"/>
        <v>0</v>
      </c>
      <c r="EC191" s="241">
        <f t="shared" si="89"/>
        <v>0</v>
      </c>
      <c r="ED191" s="241">
        <f t="shared" si="90"/>
        <v>0</v>
      </c>
      <c r="EE191" s="241">
        <f t="shared" si="91"/>
        <v>0</v>
      </c>
      <c r="EF191" s="241">
        <f t="shared" si="92"/>
        <v>0</v>
      </c>
      <c r="EG191" s="346">
        <f t="shared" si="93"/>
        <v>0</v>
      </c>
      <c r="EH191" s="445">
        <f t="shared" si="94"/>
        <v>0</v>
      </c>
      <c r="EI191" s="447">
        <f t="shared" si="95"/>
        <v>0</v>
      </c>
      <c r="EJ191" s="364">
        <f t="shared" si="96"/>
        <v>0</v>
      </c>
      <c r="EK191" s="365">
        <f t="shared" si="97"/>
        <v>0</v>
      </c>
      <c r="EL191" s="529">
        <f t="shared" si="98"/>
        <v>0</v>
      </c>
      <c r="EM191" s="530">
        <v>0</v>
      </c>
      <c r="EN191" s="530">
        <v>0</v>
      </c>
      <c r="EO191" s="530">
        <v>0</v>
      </c>
      <c r="EP191" s="530">
        <v>0</v>
      </c>
      <c r="EQ191" s="530">
        <v>0</v>
      </c>
      <c r="ER191" s="530">
        <v>0</v>
      </c>
      <c r="ES191" s="530">
        <v>0</v>
      </c>
      <c r="ET191" s="530">
        <v>0</v>
      </c>
      <c r="EU191" s="530">
        <v>0</v>
      </c>
      <c r="EV191" s="530">
        <v>0</v>
      </c>
      <c r="EW191" s="530">
        <v>0</v>
      </c>
      <c r="EX191" s="530">
        <v>0</v>
      </c>
      <c r="EY191" s="530">
        <f t="shared" si="99"/>
        <v>0</v>
      </c>
      <c r="EZ191" s="530">
        <f t="shared" si="100"/>
        <v>0</v>
      </c>
      <c r="FA191" s="530">
        <f t="shared" si="101"/>
        <v>0</v>
      </c>
      <c r="FB191" s="530">
        <f t="shared" si="102"/>
        <v>0</v>
      </c>
      <c r="FC191" s="384">
        <f>IFERROR(VLOOKUP(Capex!A183,BASE_558!D:R,8,FALSE)/1000,"")</f>
        <v>158.28787</v>
      </c>
      <c r="FD191" s="328">
        <f>IFERROR(VLOOKUP(Capex!A183,BASE_558!D:R,9,)/1000,"")</f>
        <v>151.70971</v>
      </c>
      <c r="FE191" s="328">
        <f>IFERROR(IF(LEFT(A191,3)="LCP",(VLOOKUP(Capex!A183,BASE_558!D:R,10,)/1000),SUMIFS('BASE ICP_PO_SC'!F:F,'BASE ICP_PO_SC'!A:A,Capex!A183,'BASE ICP_PO_SC'!E:E,"&lt;&gt;")/1000),"")</f>
        <v>0</v>
      </c>
      <c r="FF191" s="328">
        <f>IFERROR(IF(LEFT(A191,3)="LCP",(VLOOKUP(Capex!A183,BASE_558!D:R,11,)/1000),SUMIFS('BASE ICP_PO_SC'!F:F,'BASE ICP_PO_SC'!A:A,Capex!A183,'BASE ICP_PO_SC'!E:E,"")/1000),"")</f>
        <v>0</v>
      </c>
      <c r="FG191" s="328">
        <f>IFERROR(VLOOKUP(A191,BASE_558!D:R,13,FALSE)/1000,"")</f>
        <v>32.433920000000001</v>
      </c>
      <c r="FH191" s="328">
        <f>IFERROR(VLOOKUP(A191,BASE_558!D:R,15,FALSE)/1000,"")</f>
        <v>66.22645</v>
      </c>
      <c r="FI191" s="547">
        <f t="shared" si="103"/>
        <v>0</v>
      </c>
      <c r="FJ191" s="547">
        <f t="shared" si="104"/>
        <v>0</v>
      </c>
      <c r="FK191" s="540">
        <f t="shared" si="105"/>
        <v>0</v>
      </c>
    </row>
    <row r="192" spans="1:167" s="23" customFormat="1" ht="24" customHeight="1">
      <c r="A192" s="84" t="s">
        <v>556</v>
      </c>
      <c r="B192" s="404"/>
      <c r="C192" s="404"/>
      <c r="D192" s="338" t="s">
        <v>893</v>
      </c>
      <c r="E192" s="378">
        <v>3101044</v>
      </c>
      <c r="F192" s="5"/>
      <c r="G192" s="310" t="s">
        <v>9</v>
      </c>
      <c r="H192" s="356"/>
      <c r="I192" s="356"/>
      <c r="J192" s="356">
        <v>2020</v>
      </c>
      <c r="K192" s="321">
        <v>44105</v>
      </c>
      <c r="L192" s="317">
        <v>44371</v>
      </c>
      <c r="M192" s="409"/>
      <c r="N192" s="317">
        <f t="shared" si="109"/>
        <v>45017</v>
      </c>
      <c r="O192" s="317">
        <f t="shared" si="110"/>
        <v>45382</v>
      </c>
      <c r="P192" s="418" t="str">
        <f t="shared" si="115"/>
        <v>CRTD</v>
      </c>
      <c r="Q192" s="418" t="str">
        <f t="shared" si="115"/>
        <v>CRTD</v>
      </c>
      <c r="R192" s="418" t="str">
        <f t="shared" si="115"/>
        <v>CRTD</v>
      </c>
      <c r="S192" s="418" t="str">
        <f t="shared" si="115"/>
        <v>CRTD</v>
      </c>
      <c r="T192" s="418" t="str">
        <f t="shared" si="115"/>
        <v>CRTD</v>
      </c>
      <c r="U192" s="418" t="str">
        <f t="shared" si="115"/>
        <v>CRTD</v>
      </c>
      <c r="V192" s="418" t="str">
        <f t="shared" si="115"/>
        <v>CRTD</v>
      </c>
      <c r="W192" s="418" t="str">
        <f t="shared" si="115"/>
        <v>CRTD</v>
      </c>
      <c r="X192" s="418" t="str">
        <f t="shared" si="115"/>
        <v>CRTD</v>
      </c>
      <c r="Y192" s="418" t="str">
        <f t="shared" si="115"/>
        <v>CRTD</v>
      </c>
      <c r="Z192" s="418" t="str">
        <f t="shared" si="115"/>
        <v>CRTD</v>
      </c>
      <c r="AA192" s="418" t="str">
        <f t="shared" si="115"/>
        <v>CRTD</v>
      </c>
      <c r="AB192" s="350"/>
      <c r="AC192" s="309" t="s">
        <v>3932</v>
      </c>
      <c r="AD192" s="311" t="s">
        <v>5</v>
      </c>
      <c r="AE192" s="381" t="s">
        <v>951</v>
      </c>
      <c r="AF192" s="310" t="s">
        <v>6985</v>
      </c>
      <c r="AG192" s="310" t="s">
        <v>9083</v>
      </c>
      <c r="AH192" s="310" t="s">
        <v>547</v>
      </c>
      <c r="AI192" s="309" t="s">
        <v>186</v>
      </c>
      <c r="AJ192" s="6" t="s">
        <v>218</v>
      </c>
      <c r="AK192" s="6" t="str">
        <f t="shared" si="83"/>
        <v>IGUAL</v>
      </c>
      <c r="AL192" s="151" t="str">
        <f>IFERROR(IF(LEFT(A192,3)="LCP",VLOOKUP(A192,STATUS_SAP_LCP!B:C,2,FALSE),VLOOKUP(A192,STATUS_SAP_ICP!B:C,2,FALSE)),"NO BUDGET")</f>
        <v>CLSD BUDG AUC  AVAC  //  APPR BREL EXPL</v>
      </c>
      <c r="AM192" s="6" t="str">
        <f t="shared" si="82"/>
        <v>CLSD</v>
      </c>
      <c r="AN192" s="282" t="s">
        <v>9085</v>
      </c>
      <c r="AO192" s="493">
        <v>1</v>
      </c>
      <c r="AP192" s="499" t="s">
        <v>9607</v>
      </c>
      <c r="AQ192" s="465">
        <v>44371</v>
      </c>
      <c r="AR192" s="460"/>
      <c r="AS192" s="56"/>
      <c r="AT192" s="185">
        <v>49.867959999999997</v>
      </c>
      <c r="AU192" s="318">
        <v>9.2854599999999987</v>
      </c>
      <c r="AV192" s="223">
        <v>0</v>
      </c>
      <c r="AW192" s="318">
        <v>0</v>
      </c>
      <c r="AX192" s="223">
        <v>0</v>
      </c>
      <c r="AY192" s="318">
        <f t="shared" si="111"/>
        <v>0</v>
      </c>
      <c r="AZ192" s="223"/>
      <c r="BA192" s="318"/>
      <c r="BB192" s="519">
        <f t="shared" si="112"/>
        <v>0</v>
      </c>
      <c r="BC192" s="518"/>
      <c r="BD192" s="518"/>
      <c r="BE192" s="518"/>
      <c r="BF192" s="518"/>
      <c r="BG192" s="518"/>
      <c r="BH192" s="518"/>
      <c r="BI192" s="518"/>
      <c r="BJ192" s="518"/>
      <c r="BK192" s="518"/>
      <c r="BL192" s="518"/>
      <c r="BM192" s="518"/>
      <c r="BN192" s="518"/>
      <c r="BO192" s="367">
        <f t="shared" si="84"/>
        <v>0</v>
      </c>
      <c r="BP192" s="421"/>
      <c r="BQ192" s="422"/>
      <c r="BR192" s="423">
        <f>IFERROR(IF(LEFT($A192,3)="Lcp",SUMIFS('BASE-LCP'!$K:$K,'BASE-LCP'!$A:$A,Capex!$A184,'BASE-LCP'!$B:$B,"janeiro")/1000,IF(LEFT($A192,3)="icp",SUMIFS('BASE-ICP'!$K:$K,'BASE-ICP'!$A:$A,Capex!$A184,'BASE-ICP'!$B:$B,"janeiro")/1000,"")),"")</f>
        <v>0</v>
      </c>
      <c r="BS192" s="427">
        <v>0</v>
      </c>
      <c r="BT192" s="372">
        <v>0</v>
      </c>
      <c r="BU192" s="422"/>
      <c r="BV192" s="423">
        <f>IFERROR(IF(LEFT($A192,3)="Lcp",SUMIFS('BASE-LCP'!$K:$K,'BASE-LCP'!$A:$A,Capex!$A184,'BASE-LCP'!$B:$B,"fevereiro")/1000,IF(LEFT($A192,3)="icp",SUMIFS('BASE-ICP'!$K:$K,'BASE-ICP'!$A:$A,Capex!$A184,'BASE-ICP'!$B:$B,"fevereiro")/1000,"")),"")</f>
        <v>0</v>
      </c>
      <c r="BW192" s="427">
        <v>0</v>
      </c>
      <c r="BX192" s="372">
        <v>0</v>
      </c>
      <c r="BY192" s="419"/>
      <c r="BZ192" s="423">
        <f>IFERROR(IF(LEFT($A192,3)="Lcp",SUMIFS('BASE-LCP'!$K:$K,'BASE-LCP'!$A:$A,Capex!$A184,'BASE-LCP'!$B:$B,"março")/1000,IF(LEFT($A192,3)="icp",SUMIFS('BASE-ICP'!$K:$K,'BASE-ICP'!$A:$A,Capex!$A184,'BASE-ICP'!$B:$B,"março")/1000,"")),"")</f>
        <v>0</v>
      </c>
      <c r="CA192" s="427">
        <v>0</v>
      </c>
      <c r="CB192" s="372">
        <v>0</v>
      </c>
      <c r="CC192" s="422"/>
      <c r="CD192" s="423">
        <f>IFERROR(IF(LEFT($A192,3)="Lcp",SUMIFS('BASE-LCP'!$K:$K,'BASE-LCP'!$A:$A,Capex!$A184,'BASE-LCP'!$B:$B,"abril")/1000,IF(LEFT($A192,3)="icp",SUMIFS('BASE-ICP'!$K:$K,'BASE-ICP'!$A:$A,Capex!$A184,'BASE-ICP'!$B:$B,"abril")/1000,"")),"")</f>
        <v>0</v>
      </c>
      <c r="CE192" s="427">
        <v>0</v>
      </c>
      <c r="CF192" s="372">
        <v>0</v>
      </c>
      <c r="CG192" s="419"/>
      <c r="CH192" s="423">
        <v>0</v>
      </c>
      <c r="CI192" s="427">
        <v>0</v>
      </c>
      <c r="CJ192" s="372">
        <v>0</v>
      </c>
      <c r="CK192" s="419"/>
      <c r="CL192" s="423">
        <f>IFERROR(IF(LEFT($A192,3)="Lcp",SUMIFS('BASE-LCP'!$K:$K,'BASE-LCP'!$A:$A,Capex!$A184,'BASE-LCP'!$B:$B,"junho")/1000,IF(LEFT($A192,3)="icp",SUMIFS('BASE-ICP'!$K:$K,'BASE-ICP'!$A:$A,Capex!$A184,'BASE-ICP'!$B:$B,"junho")/1000,"")),"")</f>
        <v>0</v>
      </c>
      <c r="CM192" s="427">
        <v>0</v>
      </c>
      <c r="CN192" s="372"/>
      <c r="CO192" s="419"/>
      <c r="CP192" s="423">
        <f>IFERROR(IF(LEFT($A192,3)="Lcp",SUMIFS('BASE-LCP'!$K:$K,'BASE-LCP'!$A:$A,Capex!$A184,'BASE-LCP'!$B:$B,"julho")/1000,IF(LEFT($A192,3)="icp",SUMIFS('BASE-ICP'!$K:$K,'BASE-ICP'!$A:$A,Capex!$A184,'BASE-ICP'!$B:$B,"julho")/1000,"")),"")</f>
        <v>0</v>
      </c>
      <c r="CQ192" s="427">
        <v>0</v>
      </c>
      <c r="CR192" s="372"/>
      <c r="CS192" s="419"/>
      <c r="CT192" s="423">
        <f>IFERROR(IF(LEFT($A192,3)="Lcp",SUMIFS('BASE-LCP'!$K:$K,'BASE-LCP'!$A:$A,Capex!$A184,'BASE-LCP'!$B:$B,"agosto")/1000,IF(LEFT($A192,3)="icp",SUMIFS('BASE-ICP'!$K:$K,'BASE-ICP'!$A:$A,Capex!$A184,'BASE-ICP'!$B:$B,"agosto")/1000,"")),"")</f>
        <v>0</v>
      </c>
      <c r="CU192" s="427">
        <v>0</v>
      </c>
      <c r="CV192" s="372"/>
      <c r="CW192" s="419"/>
      <c r="CX192" s="423">
        <f>IFERROR(IF(LEFT($A192,3)="Lcp",SUMIFS('BASE-LCP'!$K:$K,'BASE-LCP'!$A:$A,Capex!$A184,'BASE-LCP'!$B:$B,"setembro")/1000,IF(LEFT($A192,3)="icp",SUMIFS('BASE-ICP'!$K:$K,'BASE-ICP'!$A:$A,Capex!$A184,'BASE-ICP'!$B:$B,"setembro")/1000,"")),"")</f>
        <v>0</v>
      </c>
      <c r="CY192" s="427">
        <v>0</v>
      </c>
      <c r="CZ192" s="372"/>
      <c r="DA192" s="419"/>
      <c r="DB192" s="423">
        <f>IFERROR(IF(LEFT($A192,3)="Lcp",SUMIFS('BASE-LCP'!$K:$K,'BASE-LCP'!$A:$A,Capex!$A184,'BASE-LCP'!$B:$B,"outubro")/1000,IF(LEFT($A192,3)="icp",SUMIFS('BASE-ICP'!$K:$K,'BASE-ICP'!$A:$A,Capex!$A184,'BASE-ICP'!$B:$B,"outubro")/1000,"")),"")</f>
        <v>0</v>
      </c>
      <c r="DC192" s="427">
        <v>0</v>
      </c>
      <c r="DD192" s="372"/>
      <c r="DE192" s="419"/>
      <c r="DF192" s="423">
        <f>IFERROR(IF(LEFT($A192,3)="Lcp",SUMIFS('BASE-LCP'!$K:$K,'BASE-LCP'!$A:$A,Capex!$A184,'BASE-LCP'!$B:$B,"novembro")/1000,IF(LEFT($A192,3)="icp",SUMIFS('BASE-ICP'!$K:$K,'BASE-ICP'!$A:$A,Capex!$A184,'BASE-ICP'!$B:$B,"novembro")/1000,"")),"")</f>
        <v>0</v>
      </c>
      <c r="DG192" s="427">
        <v>0</v>
      </c>
      <c r="DH192" s="372"/>
      <c r="DI192" s="419"/>
      <c r="DJ192" s="423">
        <f>IFERROR(IF(LEFT($A192,3)="Lcp",SUMIFS('BASE-LCP'!$K:$K,'BASE-LCP'!$A:$A,Capex!$A184,'BASE-LCP'!$B:$B,"dezembro")/1000,IF(LEFT($A192,3)="icp",SUMIFS('BASE-ICP'!$K:$K,'BASE-ICP'!$A:$A,Capex!$A184,'BASE-ICP'!$B:$B,"dezembro")/1000,"")),"")</f>
        <v>0</v>
      </c>
      <c r="DK192" s="427">
        <v>0</v>
      </c>
      <c r="DL192" s="452">
        <f t="shared" si="85"/>
        <v>0</v>
      </c>
      <c r="DM192" s="374"/>
      <c r="DN192" s="374"/>
      <c r="DO192" s="374"/>
      <c r="DP192" s="374"/>
      <c r="DQ192" s="374"/>
      <c r="DR192" s="374"/>
      <c r="DS192" s="374"/>
      <c r="DT192" s="374"/>
      <c r="DU192" s="374"/>
      <c r="DV192" s="374"/>
      <c r="DW192" s="374"/>
      <c r="DX192" s="374"/>
      <c r="DY192" s="450"/>
      <c r="DZ192" s="374">
        <f t="shared" si="86"/>
        <v>0</v>
      </c>
      <c r="EA192" s="216">
        <f t="shared" si="87"/>
        <v>0</v>
      </c>
      <c r="EB192" s="320">
        <f t="shared" si="88"/>
        <v>0</v>
      </c>
      <c r="EC192" s="241">
        <f t="shared" si="89"/>
        <v>0</v>
      </c>
      <c r="ED192" s="241">
        <f t="shared" si="90"/>
        <v>0</v>
      </c>
      <c r="EE192" s="241">
        <f t="shared" si="91"/>
        <v>0</v>
      </c>
      <c r="EF192" s="241">
        <f t="shared" si="92"/>
        <v>0</v>
      </c>
      <c r="EG192" s="346">
        <f t="shared" si="93"/>
        <v>0</v>
      </c>
      <c r="EH192" s="445">
        <f t="shared" si="94"/>
        <v>0</v>
      </c>
      <c r="EI192" s="447">
        <f t="shared" si="95"/>
        <v>0</v>
      </c>
      <c r="EJ192" s="364">
        <f t="shared" si="96"/>
        <v>0</v>
      </c>
      <c r="EK192" s="365">
        <f t="shared" si="97"/>
        <v>0</v>
      </c>
      <c r="EL192" s="529">
        <f t="shared" si="98"/>
        <v>0</v>
      </c>
      <c r="EM192" s="530">
        <v>0</v>
      </c>
      <c r="EN192" s="530">
        <v>0</v>
      </c>
      <c r="EO192" s="530">
        <v>0</v>
      </c>
      <c r="EP192" s="530">
        <v>0</v>
      </c>
      <c r="EQ192" s="530">
        <v>0</v>
      </c>
      <c r="ER192" s="530">
        <v>0</v>
      </c>
      <c r="ES192" s="530">
        <v>0</v>
      </c>
      <c r="ET192" s="530">
        <v>0</v>
      </c>
      <c r="EU192" s="530">
        <v>0</v>
      </c>
      <c r="EV192" s="530">
        <v>0</v>
      </c>
      <c r="EW192" s="530">
        <v>0</v>
      </c>
      <c r="EX192" s="530">
        <v>0</v>
      </c>
      <c r="EY192" s="530">
        <f t="shared" si="99"/>
        <v>0</v>
      </c>
      <c r="EZ192" s="530">
        <f t="shared" si="100"/>
        <v>0</v>
      </c>
      <c r="FA192" s="530">
        <f t="shared" si="101"/>
        <v>0</v>
      </c>
      <c r="FB192" s="530">
        <f t="shared" si="102"/>
        <v>0</v>
      </c>
      <c r="FC192" s="384">
        <f>IFERROR(VLOOKUP(Capex!A184,BASE_558!D:R,8,FALSE)/1000,"")</f>
        <v>213.85</v>
      </c>
      <c r="FD192" s="328">
        <f>IFERROR(VLOOKUP(Capex!A184,BASE_558!D:R,9,)/1000,"")</f>
        <v>206.78235000000001</v>
      </c>
      <c r="FE192" s="328">
        <f>IFERROR(IF(LEFT(A192,3)="LCP",(VLOOKUP(Capex!A184,BASE_558!D:R,10,)/1000),SUMIFS('BASE ICP_PO_SC'!F:F,'BASE ICP_PO_SC'!A:A,Capex!A184,'BASE ICP_PO_SC'!E:E,"&lt;&gt;")/1000),"")</f>
        <v>0</v>
      </c>
      <c r="FF192" s="328">
        <f>IFERROR(IF(LEFT(A192,3)="LCP",(VLOOKUP(Capex!A184,BASE_558!D:R,11,)/1000),SUMIFS('BASE ICP_PO_SC'!F:F,'BASE ICP_PO_SC'!A:A,Capex!A184,'BASE ICP_PO_SC'!E:E,"")/1000),"")</f>
        <v>0</v>
      </c>
      <c r="FG192" s="328">
        <f>IFERROR(VLOOKUP(A192,BASE_558!D:R,13,FALSE)/1000,"")</f>
        <v>59.153419999999997</v>
      </c>
      <c r="FH192" s="328">
        <f>IFERROR(VLOOKUP(A192,BASE_558!D:R,15,FALSE)/1000,"")</f>
        <v>3.9915799999999999</v>
      </c>
      <c r="FI192" s="547">
        <f t="shared" si="103"/>
        <v>0</v>
      </c>
      <c r="FJ192" s="547">
        <f t="shared" si="104"/>
        <v>0</v>
      </c>
      <c r="FK192" s="540">
        <f t="shared" si="105"/>
        <v>0</v>
      </c>
    </row>
    <row r="193" spans="1:167" s="23" customFormat="1" ht="24" customHeight="1">
      <c r="A193" s="84" t="s">
        <v>555</v>
      </c>
      <c r="B193" s="404"/>
      <c r="C193" s="404"/>
      <c r="D193" s="338" t="s">
        <v>2248</v>
      </c>
      <c r="E193" s="378">
        <v>3114884</v>
      </c>
      <c r="F193" s="5"/>
      <c r="G193" s="310" t="s">
        <v>9</v>
      </c>
      <c r="H193" s="356"/>
      <c r="I193" s="356"/>
      <c r="J193" s="356">
        <v>2020</v>
      </c>
      <c r="K193" s="321">
        <v>44075</v>
      </c>
      <c r="L193" s="317">
        <v>44431</v>
      </c>
      <c r="M193" s="409"/>
      <c r="N193" s="317">
        <f t="shared" si="109"/>
        <v>44987</v>
      </c>
      <c r="O193" s="317">
        <f t="shared" si="110"/>
        <v>45352</v>
      </c>
      <c r="P193" s="418" t="str">
        <f t="shared" si="115"/>
        <v>CRTD</v>
      </c>
      <c r="Q193" s="418" t="str">
        <f t="shared" si="115"/>
        <v>CRTD</v>
      </c>
      <c r="R193" s="418" t="str">
        <f t="shared" si="115"/>
        <v>CRTD</v>
      </c>
      <c r="S193" s="418" t="str">
        <f t="shared" si="115"/>
        <v>CRTD</v>
      </c>
      <c r="T193" s="418" t="str">
        <f t="shared" si="115"/>
        <v>CRTD</v>
      </c>
      <c r="U193" s="418" t="str">
        <f t="shared" si="115"/>
        <v>CRTD</v>
      </c>
      <c r="V193" s="418" t="str">
        <f t="shared" si="115"/>
        <v>CRTD</v>
      </c>
      <c r="W193" s="418" t="str">
        <f t="shared" si="115"/>
        <v>CRTD</v>
      </c>
      <c r="X193" s="418" t="str">
        <f t="shared" si="115"/>
        <v>CRTD</v>
      </c>
      <c r="Y193" s="418" t="str">
        <f t="shared" si="115"/>
        <v>CRTD</v>
      </c>
      <c r="Z193" s="418" t="str">
        <f t="shared" si="115"/>
        <v>CRTD</v>
      </c>
      <c r="AA193" s="418" t="str">
        <f t="shared" si="115"/>
        <v>CRTD</v>
      </c>
      <c r="AB193" s="350"/>
      <c r="AC193" s="309" t="s">
        <v>3930</v>
      </c>
      <c r="AD193" s="311"/>
      <c r="AE193" s="381"/>
      <c r="AF193" s="310" t="s">
        <v>6985</v>
      </c>
      <c r="AG193" s="310" t="s">
        <v>9083</v>
      </c>
      <c r="AH193" s="310" t="s">
        <v>565</v>
      </c>
      <c r="AI193" s="309" t="s">
        <v>188</v>
      </c>
      <c r="AJ193" s="6" t="s">
        <v>218</v>
      </c>
      <c r="AK193" s="6" t="str">
        <f t="shared" si="83"/>
        <v>IGUAL</v>
      </c>
      <c r="AL193" s="151" t="str">
        <f>IFERROR(IF(LEFT(A193,3)="LCP",VLOOKUP(A193,STATUS_SAP_LCP!B:C,2,FALSE),VLOOKUP(A193,STATUS_SAP_ICP!B:C,2,FALSE)),"NO BUDGET")</f>
        <v>CLSD BUDG AUC  AVAC  //  APPR BREL EXPL</v>
      </c>
      <c r="AM193" s="6" t="str">
        <f t="shared" si="82"/>
        <v>CLSD</v>
      </c>
      <c r="AN193" s="282" t="s">
        <v>9096</v>
      </c>
      <c r="AO193" s="493">
        <v>1</v>
      </c>
      <c r="AP193" s="499" t="s">
        <v>9607</v>
      </c>
      <c r="AQ193" s="465">
        <v>44431</v>
      </c>
      <c r="AR193" s="460"/>
      <c r="AS193" s="56"/>
      <c r="AT193" s="185">
        <v>83.551780000000008</v>
      </c>
      <c r="AU193" s="318">
        <v>155.51114999999999</v>
      </c>
      <c r="AV193" s="223">
        <v>0</v>
      </c>
      <c r="AW193" s="318">
        <v>0</v>
      </c>
      <c r="AX193" s="223">
        <v>0</v>
      </c>
      <c r="AY193" s="318">
        <f t="shared" si="111"/>
        <v>0</v>
      </c>
      <c r="AZ193" s="223"/>
      <c r="BA193" s="318"/>
      <c r="BB193" s="519">
        <f t="shared" si="112"/>
        <v>0</v>
      </c>
      <c r="BC193" s="518"/>
      <c r="BD193" s="518"/>
      <c r="BE193" s="518"/>
      <c r="BF193" s="518"/>
      <c r="BG193" s="518"/>
      <c r="BH193" s="518"/>
      <c r="BI193" s="518"/>
      <c r="BJ193" s="518"/>
      <c r="BK193" s="518"/>
      <c r="BL193" s="518"/>
      <c r="BM193" s="518"/>
      <c r="BN193" s="518"/>
      <c r="BO193" s="367">
        <f t="shared" si="84"/>
        <v>0</v>
      </c>
      <c r="BP193" s="421"/>
      <c r="BQ193" s="422"/>
      <c r="BR193" s="423">
        <f>IFERROR(IF(LEFT($A193,3)="Lcp",SUMIFS('BASE-LCP'!$K:$K,'BASE-LCP'!$A:$A,Capex!$A185,'BASE-LCP'!$B:$B,"janeiro")/1000,IF(LEFT($A193,3)="icp",SUMIFS('BASE-ICP'!$K:$K,'BASE-ICP'!$A:$A,Capex!$A185,'BASE-ICP'!$B:$B,"janeiro")/1000,"")),"")</f>
        <v>0</v>
      </c>
      <c r="BS193" s="427">
        <v>0</v>
      </c>
      <c r="BT193" s="372">
        <v>0</v>
      </c>
      <c r="BU193" s="422"/>
      <c r="BV193" s="423">
        <f>IFERROR(IF(LEFT($A193,3)="Lcp",SUMIFS('BASE-LCP'!$K:$K,'BASE-LCP'!$A:$A,Capex!$A185,'BASE-LCP'!$B:$B,"fevereiro")/1000,IF(LEFT($A193,3)="icp",SUMIFS('BASE-ICP'!$K:$K,'BASE-ICP'!$A:$A,Capex!$A185,'BASE-ICP'!$B:$B,"fevereiro")/1000,"")),"")</f>
        <v>0</v>
      </c>
      <c r="BW193" s="427">
        <v>0</v>
      </c>
      <c r="BX193" s="372">
        <v>0</v>
      </c>
      <c r="BY193" s="419"/>
      <c r="BZ193" s="423">
        <f>IFERROR(IF(LEFT($A193,3)="Lcp",SUMIFS('BASE-LCP'!$K:$K,'BASE-LCP'!$A:$A,Capex!$A185,'BASE-LCP'!$B:$B,"março")/1000,IF(LEFT($A193,3)="icp",SUMIFS('BASE-ICP'!$K:$K,'BASE-ICP'!$A:$A,Capex!$A185,'BASE-ICP'!$B:$B,"março")/1000,"")),"")</f>
        <v>0</v>
      </c>
      <c r="CA193" s="427">
        <v>0</v>
      </c>
      <c r="CB193" s="372">
        <v>0</v>
      </c>
      <c r="CC193" s="422"/>
      <c r="CD193" s="423">
        <f>IFERROR(IF(LEFT($A193,3)="Lcp",SUMIFS('BASE-LCP'!$K:$K,'BASE-LCP'!$A:$A,Capex!$A185,'BASE-LCP'!$B:$B,"abril")/1000,IF(LEFT($A193,3)="icp",SUMIFS('BASE-ICP'!$K:$K,'BASE-ICP'!$A:$A,Capex!$A185,'BASE-ICP'!$B:$B,"abril")/1000,"")),"")</f>
        <v>0</v>
      </c>
      <c r="CE193" s="427">
        <v>0</v>
      </c>
      <c r="CF193" s="372">
        <v>0</v>
      </c>
      <c r="CG193" s="419"/>
      <c r="CH193" s="423">
        <v>0</v>
      </c>
      <c r="CI193" s="427">
        <v>0</v>
      </c>
      <c r="CJ193" s="372">
        <v>0</v>
      </c>
      <c r="CK193" s="419"/>
      <c r="CL193" s="423">
        <f>IFERROR(IF(LEFT($A193,3)="Lcp",SUMIFS('BASE-LCP'!$K:$K,'BASE-LCP'!$A:$A,Capex!$A185,'BASE-LCP'!$B:$B,"junho")/1000,IF(LEFT($A193,3)="icp",SUMIFS('BASE-ICP'!$K:$K,'BASE-ICP'!$A:$A,Capex!$A185,'BASE-ICP'!$B:$B,"junho")/1000,"")),"")</f>
        <v>0</v>
      </c>
      <c r="CM193" s="427">
        <v>0</v>
      </c>
      <c r="CN193" s="372"/>
      <c r="CO193" s="419"/>
      <c r="CP193" s="423">
        <f>IFERROR(IF(LEFT($A193,3)="Lcp",SUMIFS('BASE-LCP'!$K:$K,'BASE-LCP'!$A:$A,Capex!$A185,'BASE-LCP'!$B:$B,"julho")/1000,IF(LEFT($A193,3)="icp",SUMIFS('BASE-ICP'!$K:$K,'BASE-ICP'!$A:$A,Capex!$A185,'BASE-ICP'!$B:$B,"julho")/1000,"")),"")</f>
        <v>0</v>
      </c>
      <c r="CQ193" s="427">
        <v>0</v>
      </c>
      <c r="CR193" s="372"/>
      <c r="CS193" s="419"/>
      <c r="CT193" s="423">
        <f>IFERROR(IF(LEFT($A193,3)="Lcp",SUMIFS('BASE-LCP'!$K:$K,'BASE-LCP'!$A:$A,Capex!$A185,'BASE-LCP'!$B:$B,"agosto")/1000,IF(LEFT($A193,3)="icp",SUMIFS('BASE-ICP'!$K:$K,'BASE-ICP'!$A:$A,Capex!$A185,'BASE-ICP'!$B:$B,"agosto")/1000,"")),"")</f>
        <v>0</v>
      </c>
      <c r="CU193" s="427">
        <v>0</v>
      </c>
      <c r="CV193" s="372"/>
      <c r="CW193" s="419"/>
      <c r="CX193" s="423">
        <f>IFERROR(IF(LEFT($A193,3)="Lcp",SUMIFS('BASE-LCP'!$K:$K,'BASE-LCP'!$A:$A,Capex!$A185,'BASE-LCP'!$B:$B,"setembro")/1000,IF(LEFT($A193,3)="icp",SUMIFS('BASE-ICP'!$K:$K,'BASE-ICP'!$A:$A,Capex!$A185,'BASE-ICP'!$B:$B,"setembro")/1000,"")),"")</f>
        <v>0</v>
      </c>
      <c r="CY193" s="427">
        <v>0</v>
      </c>
      <c r="CZ193" s="372"/>
      <c r="DA193" s="419"/>
      <c r="DB193" s="423">
        <f>IFERROR(IF(LEFT($A193,3)="Lcp",SUMIFS('BASE-LCP'!$K:$K,'BASE-LCP'!$A:$A,Capex!$A185,'BASE-LCP'!$B:$B,"outubro")/1000,IF(LEFT($A193,3)="icp",SUMIFS('BASE-ICP'!$K:$K,'BASE-ICP'!$A:$A,Capex!$A185,'BASE-ICP'!$B:$B,"outubro")/1000,"")),"")</f>
        <v>0</v>
      </c>
      <c r="DC193" s="427">
        <v>0</v>
      </c>
      <c r="DD193" s="372"/>
      <c r="DE193" s="419"/>
      <c r="DF193" s="423">
        <f>IFERROR(IF(LEFT($A193,3)="Lcp",SUMIFS('BASE-LCP'!$K:$K,'BASE-LCP'!$A:$A,Capex!$A185,'BASE-LCP'!$B:$B,"novembro")/1000,IF(LEFT($A193,3)="icp",SUMIFS('BASE-ICP'!$K:$K,'BASE-ICP'!$A:$A,Capex!$A185,'BASE-ICP'!$B:$B,"novembro")/1000,"")),"")</f>
        <v>0</v>
      </c>
      <c r="DG193" s="427">
        <v>0</v>
      </c>
      <c r="DH193" s="372"/>
      <c r="DI193" s="419"/>
      <c r="DJ193" s="423">
        <f>IFERROR(IF(LEFT($A193,3)="Lcp",SUMIFS('BASE-LCP'!$K:$K,'BASE-LCP'!$A:$A,Capex!$A185,'BASE-LCP'!$B:$B,"dezembro")/1000,IF(LEFT($A193,3)="icp",SUMIFS('BASE-ICP'!$K:$K,'BASE-ICP'!$A:$A,Capex!$A185,'BASE-ICP'!$B:$B,"dezembro")/1000,"")),"")</f>
        <v>0</v>
      </c>
      <c r="DK193" s="427">
        <v>0</v>
      </c>
      <c r="DL193" s="452">
        <f t="shared" si="85"/>
        <v>0</v>
      </c>
      <c r="DM193" s="374"/>
      <c r="DN193" s="374"/>
      <c r="DO193" s="374"/>
      <c r="DP193" s="374"/>
      <c r="DQ193" s="374"/>
      <c r="DR193" s="374"/>
      <c r="DS193" s="374"/>
      <c r="DT193" s="374"/>
      <c r="DU193" s="374"/>
      <c r="DV193" s="374"/>
      <c r="DW193" s="374"/>
      <c r="DX193" s="374"/>
      <c r="DY193" s="450"/>
      <c r="DZ193" s="374">
        <f t="shared" si="86"/>
        <v>0</v>
      </c>
      <c r="EA193" s="216">
        <f t="shared" si="87"/>
        <v>0</v>
      </c>
      <c r="EB193" s="320">
        <f t="shared" si="88"/>
        <v>0</v>
      </c>
      <c r="EC193" s="241">
        <f t="shared" si="89"/>
        <v>0</v>
      </c>
      <c r="ED193" s="241">
        <f t="shared" si="90"/>
        <v>0</v>
      </c>
      <c r="EE193" s="241">
        <f t="shared" si="91"/>
        <v>0</v>
      </c>
      <c r="EF193" s="241">
        <f t="shared" si="92"/>
        <v>0</v>
      </c>
      <c r="EG193" s="346">
        <f t="shared" si="93"/>
        <v>0</v>
      </c>
      <c r="EH193" s="445">
        <f t="shared" si="94"/>
        <v>0</v>
      </c>
      <c r="EI193" s="447">
        <f t="shared" si="95"/>
        <v>0</v>
      </c>
      <c r="EJ193" s="364">
        <f t="shared" si="96"/>
        <v>0</v>
      </c>
      <c r="EK193" s="365">
        <f t="shared" si="97"/>
        <v>0</v>
      </c>
      <c r="EL193" s="529">
        <f t="shared" si="98"/>
        <v>0</v>
      </c>
      <c r="EM193" s="530">
        <v>0</v>
      </c>
      <c r="EN193" s="530">
        <v>0</v>
      </c>
      <c r="EO193" s="530">
        <v>0</v>
      </c>
      <c r="EP193" s="530">
        <v>0</v>
      </c>
      <c r="EQ193" s="530">
        <v>0</v>
      </c>
      <c r="ER193" s="530">
        <v>0</v>
      </c>
      <c r="ES193" s="530">
        <v>0</v>
      </c>
      <c r="ET193" s="530">
        <v>0</v>
      </c>
      <c r="EU193" s="530">
        <v>0</v>
      </c>
      <c r="EV193" s="530">
        <v>0</v>
      </c>
      <c r="EW193" s="530">
        <v>0</v>
      </c>
      <c r="EX193" s="530">
        <v>0</v>
      </c>
      <c r="EY193" s="530">
        <f t="shared" si="99"/>
        <v>0</v>
      </c>
      <c r="EZ193" s="530">
        <f t="shared" si="100"/>
        <v>0</v>
      </c>
      <c r="FA193" s="530">
        <f t="shared" si="101"/>
        <v>0</v>
      </c>
      <c r="FB193" s="530">
        <f t="shared" si="102"/>
        <v>0</v>
      </c>
      <c r="FC193" s="384">
        <f>IFERROR(VLOOKUP(Capex!A185,BASE_558!D:R,8,FALSE)/1000,"")</f>
        <v>245</v>
      </c>
      <c r="FD193" s="328">
        <f>IFERROR(VLOOKUP(Capex!A185,BASE_558!D:R,9,)/1000,"")</f>
        <v>131.40961999999999</v>
      </c>
      <c r="FE193" s="328">
        <f>IFERROR(IF(LEFT(A193,3)="LCP",(VLOOKUP(Capex!A185,BASE_558!D:R,10,)/1000),SUMIFS('BASE ICP_PO_SC'!F:F,'BASE ICP_PO_SC'!A:A,Capex!A185,'BASE ICP_PO_SC'!E:E,"&lt;&gt;")/1000),"")</f>
        <v>0</v>
      </c>
      <c r="FF193" s="328">
        <f>IFERROR(IF(LEFT(A193,3)="LCP",(VLOOKUP(Capex!A185,BASE_558!D:R,11,)/1000),SUMIFS('BASE ICP_PO_SC'!F:F,'BASE ICP_PO_SC'!A:A,Capex!A185,'BASE ICP_PO_SC'!E:E,"")/1000),"")</f>
        <v>0</v>
      </c>
      <c r="FG193" s="328">
        <f>IFERROR(VLOOKUP(A193,BASE_558!D:R,13,FALSE)/1000,"")</f>
        <v>239.06292999999999</v>
      </c>
      <c r="FH193" s="328">
        <f>IFERROR(VLOOKUP(A193,BASE_558!D:R,15,FALSE)/1000,"")</f>
        <v>0.92007000000000005</v>
      </c>
      <c r="FI193" s="547">
        <f t="shared" si="103"/>
        <v>0</v>
      </c>
      <c r="FJ193" s="547">
        <f t="shared" si="104"/>
        <v>0</v>
      </c>
      <c r="FK193" s="540">
        <f t="shared" si="105"/>
        <v>0</v>
      </c>
    </row>
    <row r="194" spans="1:167" s="23" customFormat="1" ht="24" customHeight="1">
      <c r="A194" s="84" t="s">
        <v>554</v>
      </c>
      <c r="B194" s="404"/>
      <c r="C194" s="404"/>
      <c r="D194" s="338" t="s">
        <v>2249</v>
      </c>
      <c r="E194" s="378">
        <v>3106596</v>
      </c>
      <c r="F194" s="5"/>
      <c r="G194" s="310" t="s">
        <v>9</v>
      </c>
      <c r="H194" s="356"/>
      <c r="I194" s="356"/>
      <c r="J194" s="356">
        <v>2020</v>
      </c>
      <c r="K194" s="321">
        <v>44076</v>
      </c>
      <c r="L194" s="317">
        <v>44553</v>
      </c>
      <c r="M194" s="409"/>
      <c r="N194" s="317">
        <f t="shared" si="109"/>
        <v>44988</v>
      </c>
      <c r="O194" s="317">
        <f t="shared" si="110"/>
        <v>45353</v>
      </c>
      <c r="P194" s="418" t="str">
        <f t="shared" si="115"/>
        <v>CRTD</v>
      </c>
      <c r="Q194" s="418" t="str">
        <f t="shared" si="115"/>
        <v>CRTD</v>
      </c>
      <c r="R194" s="418" t="str">
        <f t="shared" si="115"/>
        <v>CRTD</v>
      </c>
      <c r="S194" s="418" t="str">
        <f t="shared" si="115"/>
        <v>CRTD</v>
      </c>
      <c r="T194" s="418" t="str">
        <f t="shared" si="115"/>
        <v>CRTD</v>
      </c>
      <c r="U194" s="418" t="str">
        <f t="shared" si="115"/>
        <v>CRTD</v>
      </c>
      <c r="V194" s="418" t="str">
        <f t="shared" si="115"/>
        <v>CRTD</v>
      </c>
      <c r="W194" s="418" t="str">
        <f t="shared" si="115"/>
        <v>CRTD</v>
      </c>
      <c r="X194" s="418" t="str">
        <f t="shared" si="115"/>
        <v>CRTD</v>
      </c>
      <c r="Y194" s="418" t="str">
        <f t="shared" si="115"/>
        <v>CRTD</v>
      </c>
      <c r="Z194" s="418" t="str">
        <f t="shared" si="115"/>
        <v>CRTD</v>
      </c>
      <c r="AA194" s="418" t="str">
        <f t="shared" si="115"/>
        <v>CRTD</v>
      </c>
      <c r="AB194" s="317"/>
      <c r="AC194" s="309" t="s">
        <v>3930</v>
      </c>
      <c r="AD194" s="311"/>
      <c r="AE194" s="381"/>
      <c r="AF194" s="310" t="s">
        <v>6985</v>
      </c>
      <c r="AG194" s="310" t="s">
        <v>9083</v>
      </c>
      <c r="AH194" s="310" t="s">
        <v>564</v>
      </c>
      <c r="AI194" s="309" t="s">
        <v>188</v>
      </c>
      <c r="AJ194" s="6" t="s">
        <v>218</v>
      </c>
      <c r="AK194" s="6" t="str">
        <f t="shared" si="83"/>
        <v>IGUAL</v>
      </c>
      <c r="AL194" s="151" t="str">
        <f>IFERROR(IF(LEFT(A194,3)="LCP",VLOOKUP(A194,STATUS_SAP_LCP!B:C,2,FALSE),VLOOKUP(A194,STATUS_SAP_ICP!B:C,2,FALSE)),"NO BUDGET")</f>
        <v>CLSD BUDG AUC  AVAC  //  APPR BREL EXPL</v>
      </c>
      <c r="AM194" s="6" t="str">
        <f t="shared" ref="AM194:AM257" si="116">IF(LEFT(AL194,4)="PREL","REL ",IF(LEFT(AL194,9)="NO BUDGET","NO BUDGET",LEFT(AL194,4)))</f>
        <v>CLSD</v>
      </c>
      <c r="AN194" s="282" t="s">
        <v>9096</v>
      </c>
      <c r="AO194" s="493">
        <v>1</v>
      </c>
      <c r="AP194" s="499" t="s">
        <v>9607</v>
      </c>
      <c r="AQ194" s="465">
        <v>44553</v>
      </c>
      <c r="AR194" s="460"/>
      <c r="AS194" s="56"/>
      <c r="AT194" s="185">
        <v>57.345440000000004</v>
      </c>
      <c r="AU194" s="318">
        <v>290.58576999999997</v>
      </c>
      <c r="AV194" s="223">
        <v>0</v>
      </c>
      <c r="AW194" s="318">
        <v>0</v>
      </c>
      <c r="AX194" s="223">
        <v>0</v>
      </c>
      <c r="AY194" s="318">
        <f t="shared" si="111"/>
        <v>0</v>
      </c>
      <c r="AZ194" s="223"/>
      <c r="BA194" s="318"/>
      <c r="BB194" s="519">
        <f t="shared" si="112"/>
        <v>0</v>
      </c>
      <c r="BC194" s="518"/>
      <c r="BD194" s="518"/>
      <c r="BE194" s="518"/>
      <c r="BF194" s="518"/>
      <c r="BG194" s="518"/>
      <c r="BH194" s="518"/>
      <c r="BI194" s="518"/>
      <c r="BJ194" s="518"/>
      <c r="BK194" s="518"/>
      <c r="BL194" s="518"/>
      <c r="BM194" s="518"/>
      <c r="BN194" s="518"/>
      <c r="BO194" s="367">
        <f t="shared" si="84"/>
        <v>0</v>
      </c>
      <c r="BP194" s="421"/>
      <c r="BQ194" s="422"/>
      <c r="BR194" s="423">
        <f>IFERROR(IF(LEFT($A194,3)="Lcp",SUMIFS('BASE-LCP'!$K:$K,'BASE-LCP'!$A:$A,Capex!$A186,'BASE-LCP'!$B:$B,"janeiro")/1000,IF(LEFT($A194,3)="icp",SUMIFS('BASE-ICP'!$K:$K,'BASE-ICP'!$A:$A,Capex!$A186,'BASE-ICP'!$B:$B,"janeiro")/1000,"")),"")</f>
        <v>0</v>
      </c>
      <c r="BS194" s="427">
        <v>0</v>
      </c>
      <c r="BT194" s="372">
        <v>0</v>
      </c>
      <c r="BU194" s="422"/>
      <c r="BV194" s="423">
        <f>IFERROR(IF(LEFT($A194,3)="Lcp",SUMIFS('BASE-LCP'!$K:$K,'BASE-LCP'!$A:$A,Capex!$A186,'BASE-LCP'!$B:$B,"fevereiro")/1000,IF(LEFT($A194,3)="icp",SUMIFS('BASE-ICP'!$K:$K,'BASE-ICP'!$A:$A,Capex!$A186,'BASE-ICP'!$B:$B,"fevereiro")/1000,"")),"")</f>
        <v>0</v>
      </c>
      <c r="BW194" s="427">
        <v>0</v>
      </c>
      <c r="BX194" s="372">
        <v>0</v>
      </c>
      <c r="BY194" s="419"/>
      <c r="BZ194" s="423">
        <f>IFERROR(IF(LEFT($A194,3)="Lcp",SUMIFS('BASE-LCP'!$K:$K,'BASE-LCP'!$A:$A,Capex!$A186,'BASE-LCP'!$B:$B,"março")/1000,IF(LEFT($A194,3)="icp",SUMIFS('BASE-ICP'!$K:$K,'BASE-ICP'!$A:$A,Capex!$A186,'BASE-ICP'!$B:$B,"março")/1000,"")),"")</f>
        <v>0</v>
      </c>
      <c r="CA194" s="427">
        <v>0</v>
      </c>
      <c r="CB194" s="372">
        <v>0</v>
      </c>
      <c r="CC194" s="422"/>
      <c r="CD194" s="423">
        <f>IFERROR(IF(LEFT($A194,3)="Lcp",SUMIFS('BASE-LCP'!$K:$K,'BASE-LCP'!$A:$A,Capex!$A186,'BASE-LCP'!$B:$B,"abril")/1000,IF(LEFT($A194,3)="icp",SUMIFS('BASE-ICP'!$K:$K,'BASE-ICP'!$A:$A,Capex!$A186,'BASE-ICP'!$B:$B,"abril")/1000,"")),"")</f>
        <v>0</v>
      </c>
      <c r="CE194" s="427">
        <v>0</v>
      </c>
      <c r="CF194" s="372">
        <v>0</v>
      </c>
      <c r="CG194" s="419"/>
      <c r="CH194" s="423">
        <v>0</v>
      </c>
      <c r="CI194" s="427">
        <v>0</v>
      </c>
      <c r="CJ194" s="372">
        <v>0</v>
      </c>
      <c r="CK194" s="419"/>
      <c r="CL194" s="423">
        <f>IFERROR(IF(LEFT($A194,3)="Lcp",SUMIFS('BASE-LCP'!$K:$K,'BASE-LCP'!$A:$A,Capex!$A186,'BASE-LCP'!$B:$B,"junho")/1000,IF(LEFT($A194,3)="icp",SUMIFS('BASE-ICP'!$K:$K,'BASE-ICP'!$A:$A,Capex!$A186,'BASE-ICP'!$B:$B,"junho")/1000,"")),"")</f>
        <v>0</v>
      </c>
      <c r="CM194" s="427">
        <v>0</v>
      </c>
      <c r="CN194" s="372"/>
      <c r="CO194" s="419"/>
      <c r="CP194" s="423">
        <f>IFERROR(IF(LEFT($A194,3)="Lcp",SUMIFS('BASE-LCP'!$K:$K,'BASE-LCP'!$A:$A,Capex!$A186,'BASE-LCP'!$B:$B,"julho")/1000,IF(LEFT($A194,3)="icp",SUMIFS('BASE-ICP'!$K:$K,'BASE-ICP'!$A:$A,Capex!$A186,'BASE-ICP'!$B:$B,"julho")/1000,"")),"")</f>
        <v>0</v>
      </c>
      <c r="CQ194" s="427">
        <v>0</v>
      </c>
      <c r="CR194" s="372"/>
      <c r="CS194" s="419"/>
      <c r="CT194" s="423">
        <f>IFERROR(IF(LEFT($A194,3)="Lcp",SUMIFS('BASE-LCP'!$K:$K,'BASE-LCP'!$A:$A,Capex!$A186,'BASE-LCP'!$B:$B,"agosto")/1000,IF(LEFT($A194,3)="icp",SUMIFS('BASE-ICP'!$K:$K,'BASE-ICP'!$A:$A,Capex!$A186,'BASE-ICP'!$B:$B,"agosto")/1000,"")),"")</f>
        <v>0</v>
      </c>
      <c r="CU194" s="427">
        <v>0</v>
      </c>
      <c r="CV194" s="372"/>
      <c r="CW194" s="419"/>
      <c r="CX194" s="423">
        <f>IFERROR(IF(LEFT($A194,3)="Lcp",SUMIFS('BASE-LCP'!$K:$K,'BASE-LCP'!$A:$A,Capex!$A186,'BASE-LCP'!$B:$B,"setembro")/1000,IF(LEFT($A194,3)="icp",SUMIFS('BASE-ICP'!$K:$K,'BASE-ICP'!$A:$A,Capex!$A186,'BASE-ICP'!$B:$B,"setembro")/1000,"")),"")</f>
        <v>0</v>
      </c>
      <c r="CY194" s="427">
        <v>0</v>
      </c>
      <c r="CZ194" s="372"/>
      <c r="DA194" s="419"/>
      <c r="DB194" s="423">
        <f>IFERROR(IF(LEFT($A194,3)="Lcp",SUMIFS('BASE-LCP'!$K:$K,'BASE-LCP'!$A:$A,Capex!$A186,'BASE-LCP'!$B:$B,"outubro")/1000,IF(LEFT($A194,3)="icp",SUMIFS('BASE-ICP'!$K:$K,'BASE-ICP'!$A:$A,Capex!$A186,'BASE-ICP'!$B:$B,"outubro")/1000,"")),"")</f>
        <v>0</v>
      </c>
      <c r="DC194" s="427">
        <v>0</v>
      </c>
      <c r="DD194" s="372"/>
      <c r="DE194" s="419"/>
      <c r="DF194" s="423">
        <f>IFERROR(IF(LEFT($A194,3)="Lcp",SUMIFS('BASE-LCP'!$K:$K,'BASE-LCP'!$A:$A,Capex!$A186,'BASE-LCP'!$B:$B,"novembro")/1000,IF(LEFT($A194,3)="icp",SUMIFS('BASE-ICP'!$K:$K,'BASE-ICP'!$A:$A,Capex!$A186,'BASE-ICP'!$B:$B,"novembro")/1000,"")),"")</f>
        <v>0</v>
      </c>
      <c r="DG194" s="427">
        <v>0</v>
      </c>
      <c r="DH194" s="372"/>
      <c r="DI194" s="419"/>
      <c r="DJ194" s="423">
        <f>IFERROR(IF(LEFT($A194,3)="Lcp",SUMIFS('BASE-LCP'!$K:$K,'BASE-LCP'!$A:$A,Capex!$A186,'BASE-LCP'!$B:$B,"dezembro")/1000,IF(LEFT($A194,3)="icp",SUMIFS('BASE-ICP'!$K:$K,'BASE-ICP'!$A:$A,Capex!$A186,'BASE-ICP'!$B:$B,"dezembro")/1000,"")),"")</f>
        <v>0</v>
      </c>
      <c r="DK194" s="427">
        <v>0</v>
      </c>
      <c r="DL194" s="452">
        <f t="shared" si="85"/>
        <v>0</v>
      </c>
      <c r="DM194" s="374"/>
      <c r="DN194" s="374"/>
      <c r="DO194" s="374"/>
      <c r="DP194" s="374"/>
      <c r="DQ194" s="374"/>
      <c r="DR194" s="374"/>
      <c r="DS194" s="374"/>
      <c r="DT194" s="374"/>
      <c r="DU194" s="374"/>
      <c r="DV194" s="374"/>
      <c r="DW194" s="374"/>
      <c r="DX194" s="374"/>
      <c r="DY194" s="450"/>
      <c r="DZ194" s="374">
        <f t="shared" si="86"/>
        <v>0</v>
      </c>
      <c r="EA194" s="216">
        <f t="shared" si="87"/>
        <v>0</v>
      </c>
      <c r="EB194" s="320">
        <f t="shared" si="88"/>
        <v>0</v>
      </c>
      <c r="EC194" s="241">
        <f t="shared" si="89"/>
        <v>0</v>
      </c>
      <c r="ED194" s="241">
        <f t="shared" si="90"/>
        <v>0</v>
      </c>
      <c r="EE194" s="241">
        <f t="shared" si="91"/>
        <v>0</v>
      </c>
      <c r="EF194" s="241">
        <f t="shared" si="92"/>
        <v>0</v>
      </c>
      <c r="EG194" s="346">
        <f t="shared" si="93"/>
        <v>0</v>
      </c>
      <c r="EH194" s="445">
        <f t="shared" si="94"/>
        <v>0</v>
      </c>
      <c r="EI194" s="447">
        <f t="shared" si="95"/>
        <v>0</v>
      </c>
      <c r="EJ194" s="364">
        <f t="shared" si="96"/>
        <v>0</v>
      </c>
      <c r="EK194" s="365">
        <f t="shared" si="97"/>
        <v>0</v>
      </c>
      <c r="EL194" s="529">
        <f t="shared" si="98"/>
        <v>0</v>
      </c>
      <c r="EM194" s="530">
        <v>0</v>
      </c>
      <c r="EN194" s="530">
        <v>0</v>
      </c>
      <c r="EO194" s="530">
        <v>0</v>
      </c>
      <c r="EP194" s="530">
        <v>0</v>
      </c>
      <c r="EQ194" s="530">
        <v>0</v>
      </c>
      <c r="ER194" s="530">
        <v>0</v>
      </c>
      <c r="ES194" s="530">
        <v>0</v>
      </c>
      <c r="ET194" s="530">
        <v>0</v>
      </c>
      <c r="EU194" s="530">
        <v>0</v>
      </c>
      <c r="EV194" s="530">
        <v>0</v>
      </c>
      <c r="EW194" s="530">
        <v>0</v>
      </c>
      <c r="EX194" s="530">
        <v>0</v>
      </c>
      <c r="EY194" s="530">
        <f t="shared" si="99"/>
        <v>0</v>
      </c>
      <c r="EZ194" s="530">
        <f t="shared" si="100"/>
        <v>0</v>
      </c>
      <c r="FA194" s="530">
        <f t="shared" si="101"/>
        <v>0</v>
      </c>
      <c r="FB194" s="530">
        <f t="shared" si="102"/>
        <v>0</v>
      </c>
      <c r="FC194" s="384">
        <f>IFERROR(VLOOKUP(Capex!A186,BASE_558!D:R,8,FALSE)/1000,"")</f>
        <v>99.994</v>
      </c>
      <c r="FD194" s="328">
        <f>IFERROR(VLOOKUP(Capex!A186,BASE_558!D:R,9,)/1000,"")</f>
        <v>92.004499999999993</v>
      </c>
      <c r="FE194" s="328">
        <f>IFERROR(IF(LEFT(A194,3)="LCP",(VLOOKUP(Capex!A186,BASE_558!D:R,10,)/1000),SUMIFS('BASE ICP_PO_SC'!F:F,'BASE ICP_PO_SC'!A:A,Capex!A186,'BASE ICP_PO_SC'!E:E,"&lt;&gt;")/1000),"")</f>
        <v>0</v>
      </c>
      <c r="FF194" s="328">
        <f>IFERROR(IF(LEFT(A194,3)="LCP",(VLOOKUP(Capex!A186,BASE_558!D:R,11,)/1000),SUMIFS('BASE ICP_PO_SC'!F:F,'BASE ICP_PO_SC'!A:A,Capex!A186,'BASE ICP_PO_SC'!E:E,"")/1000),"")</f>
        <v>0</v>
      </c>
      <c r="FG194" s="328">
        <f>IFERROR(VLOOKUP(A194,BASE_558!D:R,13,FALSE)/1000,"")</f>
        <v>347.93121000000002</v>
      </c>
      <c r="FH194" s="328">
        <f>IFERROR(VLOOKUP(A194,BASE_558!D:R,15,FALSE)/1000,"")</f>
        <v>13.291790000000001</v>
      </c>
      <c r="FI194" s="547">
        <f t="shared" si="103"/>
        <v>0</v>
      </c>
      <c r="FJ194" s="547">
        <f t="shared" si="104"/>
        <v>0</v>
      </c>
      <c r="FK194" s="540">
        <f t="shared" si="105"/>
        <v>0</v>
      </c>
    </row>
    <row r="195" spans="1:167" s="23" customFormat="1" ht="22.5" customHeight="1">
      <c r="A195" s="84" t="s">
        <v>553</v>
      </c>
      <c r="B195" s="404"/>
      <c r="C195" s="404"/>
      <c r="D195" s="338" t="s">
        <v>874</v>
      </c>
      <c r="E195" s="378">
        <v>3101444</v>
      </c>
      <c r="F195" s="5"/>
      <c r="G195" s="310" t="s">
        <v>9</v>
      </c>
      <c r="H195" s="356"/>
      <c r="I195" s="356"/>
      <c r="J195" s="356">
        <v>2020</v>
      </c>
      <c r="K195" s="321">
        <v>44075</v>
      </c>
      <c r="L195" s="317">
        <v>45169</v>
      </c>
      <c r="M195" s="409"/>
      <c r="N195" s="317">
        <f t="shared" si="109"/>
        <v>44987</v>
      </c>
      <c r="O195" s="317">
        <f t="shared" si="110"/>
        <v>45352</v>
      </c>
      <c r="P195" s="418" t="str">
        <f t="shared" ref="P195:AA204" si="117">IF($N195="","N/A",IF($O195="","N/A",IF(P$2&lt;=$N195,"NÃO",IF($AJ195="REL ","SIM",IF(P$2&lt;$O195,"NÃO",IF($AJ195&lt;&gt;"CLSD","SIM","CRTD"))))))</f>
        <v>CRTD</v>
      </c>
      <c r="Q195" s="418" t="str">
        <f t="shared" si="117"/>
        <v>CRTD</v>
      </c>
      <c r="R195" s="418" t="str">
        <f t="shared" si="117"/>
        <v>CRTD</v>
      </c>
      <c r="S195" s="418" t="str">
        <f t="shared" si="117"/>
        <v>CRTD</v>
      </c>
      <c r="T195" s="418" t="str">
        <f t="shared" si="117"/>
        <v>CRTD</v>
      </c>
      <c r="U195" s="418" t="str">
        <f t="shared" si="117"/>
        <v>CRTD</v>
      </c>
      <c r="V195" s="418" t="str">
        <f t="shared" si="117"/>
        <v>CRTD</v>
      </c>
      <c r="W195" s="418" t="str">
        <f t="shared" si="117"/>
        <v>CRTD</v>
      </c>
      <c r="X195" s="418" t="str">
        <f t="shared" si="117"/>
        <v>CRTD</v>
      </c>
      <c r="Y195" s="418" t="str">
        <f t="shared" si="117"/>
        <v>CRTD</v>
      </c>
      <c r="Z195" s="418" t="str">
        <f t="shared" si="117"/>
        <v>CRTD</v>
      </c>
      <c r="AA195" s="418" t="str">
        <f t="shared" si="117"/>
        <v>CRTD</v>
      </c>
      <c r="AB195" s="350"/>
      <c r="AC195" s="309" t="s">
        <v>3932</v>
      </c>
      <c r="AD195" s="311" t="s">
        <v>5</v>
      </c>
      <c r="AE195" s="381" t="s">
        <v>952</v>
      </c>
      <c r="AF195" s="310" t="s">
        <v>6985</v>
      </c>
      <c r="AG195" s="310" t="s">
        <v>704</v>
      </c>
      <c r="AH195" s="310" t="s">
        <v>552</v>
      </c>
      <c r="AI195" s="309" t="s">
        <v>186</v>
      </c>
      <c r="AJ195" s="6" t="s">
        <v>218</v>
      </c>
      <c r="AK195" s="6" t="str">
        <f t="shared" si="83"/>
        <v>IGUAL</v>
      </c>
      <c r="AL195" s="151" t="str">
        <f>IFERROR(IF(LEFT(A195,3)="LCP",VLOOKUP(A195,STATUS_SAP_LCP!B:C,2,FALSE),VLOOKUP(A195,STATUS_SAP_ICP!B:C,2,FALSE)),"NO BUDGET")</f>
        <v>CLSD BUDG AUC  AVAC  //  APPR BREL EXPL</v>
      </c>
      <c r="AM195" s="6" t="str">
        <f t="shared" si="116"/>
        <v>CLSD</v>
      </c>
      <c r="AN195" s="282" t="s">
        <v>2651</v>
      </c>
      <c r="AO195" s="493">
        <v>1</v>
      </c>
      <c r="AP195" s="499" t="s">
        <v>9607</v>
      </c>
      <c r="AQ195" s="465">
        <v>45169</v>
      </c>
      <c r="AR195" s="460"/>
      <c r="AS195" s="56"/>
      <c r="AT195" s="185">
        <v>44.515609999999995</v>
      </c>
      <c r="AU195" s="318">
        <v>5.492700000000001</v>
      </c>
      <c r="AV195" s="223">
        <v>0</v>
      </c>
      <c r="AW195" s="318">
        <v>-50.008309999999994</v>
      </c>
      <c r="AX195" s="223">
        <v>0</v>
      </c>
      <c r="AY195" s="318">
        <f t="shared" si="111"/>
        <v>0</v>
      </c>
      <c r="AZ195" s="223"/>
      <c r="BA195" s="318"/>
      <c r="BB195" s="519">
        <f t="shared" si="112"/>
        <v>0</v>
      </c>
      <c r="BC195" s="518"/>
      <c r="BD195" s="518"/>
      <c r="BE195" s="518"/>
      <c r="BF195" s="518"/>
      <c r="BG195" s="518"/>
      <c r="BH195" s="518"/>
      <c r="BI195" s="518"/>
      <c r="BJ195" s="518"/>
      <c r="BK195" s="518"/>
      <c r="BL195" s="518"/>
      <c r="BM195" s="518"/>
      <c r="BN195" s="518"/>
      <c r="BO195" s="367">
        <f t="shared" si="84"/>
        <v>0</v>
      </c>
      <c r="BP195" s="421"/>
      <c r="BQ195" s="422"/>
      <c r="BR195" s="423">
        <f>IFERROR(IF(LEFT($A195,3)="Lcp",SUMIFS('BASE-LCP'!$K:$K,'BASE-LCP'!$A:$A,Capex!$A187,'BASE-LCP'!$B:$B,"janeiro")/1000,IF(LEFT($A195,3)="icp",SUMIFS('BASE-ICP'!$K:$K,'BASE-ICP'!$A:$A,Capex!$A187,'BASE-ICP'!$B:$B,"janeiro")/1000,"")),"")</f>
        <v>0</v>
      </c>
      <c r="BS195" s="427">
        <v>0</v>
      </c>
      <c r="BT195" s="372">
        <v>0</v>
      </c>
      <c r="BU195" s="422"/>
      <c r="BV195" s="423">
        <f>IFERROR(IF(LEFT($A195,3)="Lcp",SUMIFS('BASE-LCP'!$K:$K,'BASE-LCP'!$A:$A,Capex!$A187,'BASE-LCP'!$B:$B,"fevereiro")/1000,IF(LEFT($A195,3)="icp",SUMIFS('BASE-ICP'!$K:$K,'BASE-ICP'!$A:$A,Capex!$A187,'BASE-ICP'!$B:$B,"fevereiro")/1000,"")),"")</f>
        <v>0</v>
      </c>
      <c r="BW195" s="427">
        <v>0</v>
      </c>
      <c r="BX195" s="372">
        <v>0</v>
      </c>
      <c r="BY195" s="419"/>
      <c r="BZ195" s="423">
        <f>IFERROR(IF(LEFT($A195,3)="Lcp",SUMIFS('BASE-LCP'!$K:$K,'BASE-LCP'!$A:$A,Capex!$A187,'BASE-LCP'!$B:$B,"março")/1000,IF(LEFT($A195,3)="icp",SUMIFS('BASE-ICP'!$K:$K,'BASE-ICP'!$A:$A,Capex!$A187,'BASE-ICP'!$B:$B,"março")/1000,"")),"")</f>
        <v>0</v>
      </c>
      <c r="CA195" s="427">
        <v>0</v>
      </c>
      <c r="CB195" s="372">
        <v>0</v>
      </c>
      <c r="CC195" s="422"/>
      <c r="CD195" s="423">
        <f>IFERROR(IF(LEFT($A195,3)="Lcp",SUMIFS('BASE-LCP'!$K:$K,'BASE-LCP'!$A:$A,Capex!$A187,'BASE-LCP'!$B:$B,"abril")/1000,IF(LEFT($A195,3)="icp",SUMIFS('BASE-ICP'!$K:$K,'BASE-ICP'!$A:$A,Capex!$A187,'BASE-ICP'!$B:$B,"abril")/1000,"")),"")</f>
        <v>0</v>
      </c>
      <c r="CE195" s="427">
        <v>0</v>
      </c>
      <c r="CF195" s="372">
        <v>0</v>
      </c>
      <c r="CG195" s="419"/>
      <c r="CH195" s="423">
        <v>0</v>
      </c>
      <c r="CI195" s="427">
        <v>0</v>
      </c>
      <c r="CJ195" s="372">
        <v>0</v>
      </c>
      <c r="CK195" s="419"/>
      <c r="CL195" s="423">
        <f>IFERROR(IF(LEFT($A195,3)="Lcp",SUMIFS('BASE-LCP'!$K:$K,'BASE-LCP'!$A:$A,Capex!$A187,'BASE-LCP'!$B:$B,"junho")/1000,IF(LEFT($A195,3)="icp",SUMIFS('BASE-ICP'!$K:$K,'BASE-ICP'!$A:$A,Capex!$A187,'BASE-ICP'!$B:$B,"junho")/1000,"")),"")</f>
        <v>0</v>
      </c>
      <c r="CM195" s="427">
        <v>0</v>
      </c>
      <c r="CN195" s="372"/>
      <c r="CO195" s="419"/>
      <c r="CP195" s="423">
        <f>IFERROR(IF(LEFT($A195,3)="Lcp",SUMIFS('BASE-LCP'!$K:$K,'BASE-LCP'!$A:$A,Capex!$A187,'BASE-LCP'!$B:$B,"julho")/1000,IF(LEFT($A195,3)="icp",SUMIFS('BASE-ICP'!$K:$K,'BASE-ICP'!$A:$A,Capex!$A187,'BASE-ICP'!$B:$B,"julho")/1000,"")),"")</f>
        <v>0</v>
      </c>
      <c r="CQ195" s="427">
        <v>0</v>
      </c>
      <c r="CR195" s="372"/>
      <c r="CS195" s="419"/>
      <c r="CT195" s="423">
        <f>IFERROR(IF(LEFT($A195,3)="Lcp",SUMIFS('BASE-LCP'!$K:$K,'BASE-LCP'!$A:$A,Capex!$A187,'BASE-LCP'!$B:$B,"agosto")/1000,IF(LEFT($A195,3)="icp",SUMIFS('BASE-ICP'!$K:$K,'BASE-ICP'!$A:$A,Capex!$A187,'BASE-ICP'!$B:$B,"agosto")/1000,"")),"")</f>
        <v>0</v>
      </c>
      <c r="CU195" s="427">
        <v>0</v>
      </c>
      <c r="CV195" s="372"/>
      <c r="CW195" s="419"/>
      <c r="CX195" s="423">
        <f>IFERROR(IF(LEFT($A195,3)="Lcp",SUMIFS('BASE-LCP'!$K:$K,'BASE-LCP'!$A:$A,Capex!$A187,'BASE-LCP'!$B:$B,"setembro")/1000,IF(LEFT($A195,3)="icp",SUMIFS('BASE-ICP'!$K:$K,'BASE-ICP'!$A:$A,Capex!$A187,'BASE-ICP'!$B:$B,"setembro")/1000,"")),"")</f>
        <v>0</v>
      </c>
      <c r="CY195" s="427">
        <v>0</v>
      </c>
      <c r="CZ195" s="372"/>
      <c r="DA195" s="419"/>
      <c r="DB195" s="423">
        <f>IFERROR(IF(LEFT($A195,3)="Lcp",SUMIFS('BASE-LCP'!$K:$K,'BASE-LCP'!$A:$A,Capex!$A187,'BASE-LCP'!$B:$B,"outubro")/1000,IF(LEFT($A195,3)="icp",SUMIFS('BASE-ICP'!$K:$K,'BASE-ICP'!$A:$A,Capex!$A187,'BASE-ICP'!$B:$B,"outubro")/1000,"")),"")</f>
        <v>0</v>
      </c>
      <c r="DC195" s="427">
        <v>0</v>
      </c>
      <c r="DD195" s="372"/>
      <c r="DE195" s="419"/>
      <c r="DF195" s="423">
        <f>IFERROR(IF(LEFT($A195,3)="Lcp",SUMIFS('BASE-LCP'!$K:$K,'BASE-LCP'!$A:$A,Capex!$A187,'BASE-LCP'!$B:$B,"novembro")/1000,IF(LEFT($A195,3)="icp",SUMIFS('BASE-ICP'!$K:$K,'BASE-ICP'!$A:$A,Capex!$A187,'BASE-ICP'!$B:$B,"novembro")/1000,"")),"")</f>
        <v>0</v>
      </c>
      <c r="DG195" s="427">
        <v>0</v>
      </c>
      <c r="DH195" s="372"/>
      <c r="DI195" s="419"/>
      <c r="DJ195" s="423">
        <f>IFERROR(IF(LEFT($A195,3)="Lcp",SUMIFS('BASE-LCP'!$K:$K,'BASE-LCP'!$A:$A,Capex!$A187,'BASE-LCP'!$B:$B,"dezembro")/1000,IF(LEFT($A195,3)="icp",SUMIFS('BASE-ICP'!$K:$K,'BASE-ICP'!$A:$A,Capex!$A187,'BASE-ICP'!$B:$B,"dezembro")/1000,"")),"")</f>
        <v>0</v>
      </c>
      <c r="DK195" s="427">
        <v>0</v>
      </c>
      <c r="DL195" s="452">
        <f t="shared" si="85"/>
        <v>0</v>
      </c>
      <c r="DM195" s="374"/>
      <c r="DN195" s="374"/>
      <c r="DO195" s="374"/>
      <c r="DP195" s="374"/>
      <c r="DQ195" s="374"/>
      <c r="DR195" s="374"/>
      <c r="DS195" s="374"/>
      <c r="DT195" s="374"/>
      <c r="DU195" s="374"/>
      <c r="DV195" s="374"/>
      <c r="DW195" s="374"/>
      <c r="DX195" s="374"/>
      <c r="DY195" s="450"/>
      <c r="DZ195" s="374">
        <f t="shared" si="86"/>
        <v>0</v>
      </c>
      <c r="EA195" s="216">
        <f t="shared" si="87"/>
        <v>0</v>
      </c>
      <c r="EB195" s="320">
        <f t="shared" si="88"/>
        <v>0</v>
      </c>
      <c r="EC195" s="241">
        <f t="shared" si="89"/>
        <v>0</v>
      </c>
      <c r="ED195" s="241">
        <f t="shared" si="90"/>
        <v>0</v>
      </c>
      <c r="EE195" s="241">
        <f t="shared" si="91"/>
        <v>0</v>
      </c>
      <c r="EF195" s="241">
        <f t="shared" si="92"/>
        <v>0</v>
      </c>
      <c r="EG195" s="346">
        <f t="shared" si="93"/>
        <v>0</v>
      </c>
      <c r="EH195" s="445">
        <f t="shared" si="94"/>
        <v>0</v>
      </c>
      <c r="EI195" s="447">
        <f t="shared" si="95"/>
        <v>0</v>
      </c>
      <c r="EJ195" s="364">
        <f t="shared" si="96"/>
        <v>0</v>
      </c>
      <c r="EK195" s="365">
        <f t="shared" si="97"/>
        <v>0</v>
      </c>
      <c r="EL195" s="529">
        <f t="shared" si="98"/>
        <v>0</v>
      </c>
      <c r="EM195" s="530">
        <v>0</v>
      </c>
      <c r="EN195" s="530">
        <v>0</v>
      </c>
      <c r="EO195" s="530">
        <v>0</v>
      </c>
      <c r="EP195" s="530">
        <v>0</v>
      </c>
      <c r="EQ195" s="530">
        <v>0</v>
      </c>
      <c r="ER195" s="530">
        <v>0</v>
      </c>
      <c r="ES195" s="530">
        <v>0</v>
      </c>
      <c r="ET195" s="530">
        <v>0</v>
      </c>
      <c r="EU195" s="530">
        <v>0</v>
      </c>
      <c r="EV195" s="530">
        <v>0</v>
      </c>
      <c r="EW195" s="530">
        <v>0</v>
      </c>
      <c r="EX195" s="530">
        <v>0</v>
      </c>
      <c r="EY195" s="530">
        <f t="shared" si="99"/>
        <v>0</v>
      </c>
      <c r="EZ195" s="530">
        <f t="shared" si="100"/>
        <v>0</v>
      </c>
      <c r="FA195" s="530">
        <f t="shared" si="101"/>
        <v>0</v>
      </c>
      <c r="FB195" s="530">
        <f t="shared" si="102"/>
        <v>0</v>
      </c>
      <c r="FC195" s="384">
        <f>IFERROR(VLOOKUP(Capex!A187,BASE_558!D:R,8,FALSE)/1000,"")</f>
        <v>492.22</v>
      </c>
      <c r="FD195" s="328">
        <f>IFERROR(VLOOKUP(Capex!A187,BASE_558!D:R,9,)/1000,"")</f>
        <v>424.06695000000002</v>
      </c>
      <c r="FE195" s="328">
        <f>IFERROR(IF(LEFT(A195,3)="LCP",(VLOOKUP(Capex!A187,BASE_558!D:R,10,)/1000),SUMIFS('BASE ICP_PO_SC'!F:F,'BASE ICP_PO_SC'!A:A,Capex!A187,'BASE ICP_PO_SC'!E:E,"&lt;&gt;")/1000),"")</f>
        <v>0</v>
      </c>
      <c r="FF195" s="328">
        <f>IFERROR(IF(LEFT(A195,3)="LCP",(VLOOKUP(Capex!A187,BASE_558!D:R,11,)/1000),SUMIFS('BASE ICP_PO_SC'!F:F,'BASE ICP_PO_SC'!A:A,Capex!A187,'BASE ICP_PO_SC'!E:E,"")/1000),"")</f>
        <v>0</v>
      </c>
      <c r="FG195" s="328">
        <f>IFERROR(VLOOKUP(A195,BASE_558!D:R,13,FALSE)/1000,"")</f>
        <v>0</v>
      </c>
      <c r="FH195" s="328">
        <f>IFERROR(VLOOKUP(A195,BASE_558!D:R,15,FALSE)/1000,"")</f>
        <v>53.960999999999999</v>
      </c>
      <c r="FI195" s="547">
        <f t="shared" si="103"/>
        <v>0</v>
      </c>
      <c r="FJ195" s="547">
        <f t="shared" si="104"/>
        <v>0</v>
      </c>
      <c r="FK195" s="540">
        <f t="shared" si="105"/>
        <v>0</v>
      </c>
    </row>
    <row r="196" spans="1:167" s="23" customFormat="1" ht="24" customHeight="1">
      <c r="A196" s="84" t="s">
        <v>549</v>
      </c>
      <c r="B196" s="404"/>
      <c r="C196" s="404"/>
      <c r="D196" s="338" t="s">
        <v>1905</v>
      </c>
      <c r="E196" s="378">
        <v>3102230</v>
      </c>
      <c r="F196" s="5"/>
      <c r="G196" s="310" t="s">
        <v>9</v>
      </c>
      <c r="H196" s="338"/>
      <c r="I196" s="356"/>
      <c r="J196" s="356">
        <v>2020</v>
      </c>
      <c r="K196" s="321">
        <v>44076</v>
      </c>
      <c r="L196" s="317">
        <v>45091</v>
      </c>
      <c r="M196" s="409"/>
      <c r="N196" s="317">
        <f t="shared" si="109"/>
        <v>44988</v>
      </c>
      <c r="O196" s="317">
        <f t="shared" si="110"/>
        <v>45353</v>
      </c>
      <c r="P196" s="418" t="str">
        <f t="shared" si="117"/>
        <v>CRTD</v>
      </c>
      <c r="Q196" s="418" t="str">
        <f t="shared" si="117"/>
        <v>CRTD</v>
      </c>
      <c r="R196" s="418" t="str">
        <f t="shared" si="117"/>
        <v>CRTD</v>
      </c>
      <c r="S196" s="418" t="str">
        <f t="shared" si="117"/>
        <v>CRTD</v>
      </c>
      <c r="T196" s="418" t="str">
        <f t="shared" si="117"/>
        <v>CRTD</v>
      </c>
      <c r="U196" s="418" t="str">
        <f t="shared" si="117"/>
        <v>CRTD</v>
      </c>
      <c r="V196" s="418" t="str">
        <f t="shared" si="117"/>
        <v>CRTD</v>
      </c>
      <c r="W196" s="418" t="str">
        <f t="shared" si="117"/>
        <v>CRTD</v>
      </c>
      <c r="X196" s="418" t="str">
        <f t="shared" si="117"/>
        <v>CRTD</v>
      </c>
      <c r="Y196" s="418" t="str">
        <f t="shared" si="117"/>
        <v>CRTD</v>
      </c>
      <c r="Z196" s="418" t="str">
        <f t="shared" si="117"/>
        <v>CRTD</v>
      </c>
      <c r="AA196" s="418" t="str">
        <f t="shared" si="117"/>
        <v>CRTD</v>
      </c>
      <c r="AB196" s="350"/>
      <c r="AC196" s="309" t="s">
        <v>3932</v>
      </c>
      <c r="AD196" s="311" t="s">
        <v>222</v>
      </c>
      <c r="AE196" s="381" t="s">
        <v>979</v>
      </c>
      <c r="AF196" s="310" t="s">
        <v>6985</v>
      </c>
      <c r="AG196" s="310" t="s">
        <v>704</v>
      </c>
      <c r="AH196" s="310" t="s">
        <v>548</v>
      </c>
      <c r="AI196" s="381" t="s">
        <v>187</v>
      </c>
      <c r="AJ196" s="6" t="s">
        <v>218</v>
      </c>
      <c r="AK196" s="6" t="str">
        <f t="shared" si="83"/>
        <v>IGUAL</v>
      </c>
      <c r="AL196" s="151" t="str">
        <f>IFERROR(IF(LEFT(A196,3)="LCP",VLOOKUP(A196,STATUS_SAP_LCP!B:C,2,FALSE),VLOOKUP(A196,STATUS_SAP_ICP!B:C,2,FALSE)),"NO BUDGET")</f>
        <v>CLSD BUDG AUC  AVAC  //  APPR BREL EXPL</v>
      </c>
      <c r="AM196" s="6" t="str">
        <f t="shared" si="116"/>
        <v>CLSD</v>
      </c>
      <c r="AN196" s="282" t="s">
        <v>2651</v>
      </c>
      <c r="AO196" s="562">
        <v>1</v>
      </c>
      <c r="AP196" s="499" t="s">
        <v>9607</v>
      </c>
      <c r="AQ196" s="465">
        <v>45091</v>
      </c>
      <c r="AR196" s="460"/>
      <c r="AS196" s="56"/>
      <c r="AT196" s="185">
        <v>149.07972999999998</v>
      </c>
      <c r="AU196" s="318">
        <v>135.75137999999998</v>
      </c>
      <c r="AV196" s="223">
        <v>8.3758000000000017</v>
      </c>
      <c r="AW196" s="318">
        <v>0</v>
      </c>
      <c r="AX196" s="223">
        <v>0</v>
      </c>
      <c r="AY196" s="318">
        <f t="shared" si="111"/>
        <v>0</v>
      </c>
      <c r="AZ196" s="223"/>
      <c r="BA196" s="318"/>
      <c r="BB196" s="519">
        <f t="shared" si="112"/>
        <v>0</v>
      </c>
      <c r="BC196" s="518"/>
      <c r="BD196" s="518"/>
      <c r="BE196" s="518"/>
      <c r="BF196" s="518"/>
      <c r="BG196" s="518"/>
      <c r="BH196" s="518"/>
      <c r="BI196" s="518"/>
      <c r="BJ196" s="518"/>
      <c r="BK196" s="518"/>
      <c r="BL196" s="518"/>
      <c r="BM196" s="518"/>
      <c r="BN196" s="518"/>
      <c r="BO196" s="367">
        <f t="shared" si="84"/>
        <v>0</v>
      </c>
      <c r="BP196" s="421"/>
      <c r="BQ196" s="422"/>
      <c r="BR196" s="423">
        <f>IFERROR(IF(LEFT($A196,3)="Lcp",SUMIFS('BASE-LCP'!$K:$K,'BASE-LCP'!$A:$A,Capex!$A189,'BASE-LCP'!$B:$B,"janeiro")/1000,IF(LEFT($A196,3)="icp",SUMIFS('BASE-ICP'!$K:$K,'BASE-ICP'!$A:$A,Capex!$A189,'BASE-ICP'!$B:$B,"janeiro")/1000,"")),"")</f>
        <v>0</v>
      </c>
      <c r="BS196" s="427">
        <v>0</v>
      </c>
      <c r="BT196" s="372">
        <v>0</v>
      </c>
      <c r="BU196" s="422"/>
      <c r="BV196" s="423">
        <f>IFERROR(IF(LEFT($A196,3)="Lcp",SUMIFS('BASE-LCP'!$K:$K,'BASE-LCP'!$A:$A,Capex!$A189,'BASE-LCP'!$B:$B,"fevereiro")/1000,IF(LEFT($A196,3)="icp",SUMIFS('BASE-ICP'!$K:$K,'BASE-ICP'!$A:$A,Capex!$A189,'BASE-ICP'!$B:$B,"fevereiro")/1000,"")),"")</f>
        <v>0</v>
      </c>
      <c r="BW196" s="427">
        <v>0</v>
      </c>
      <c r="BX196" s="372">
        <v>0</v>
      </c>
      <c r="BY196" s="419"/>
      <c r="BZ196" s="423">
        <f>IFERROR(IF(LEFT($A196,3)="Lcp",SUMIFS('BASE-LCP'!$K:$K,'BASE-LCP'!$A:$A,Capex!$A189,'BASE-LCP'!$B:$B,"março")/1000,IF(LEFT($A196,3)="icp",SUMIFS('BASE-ICP'!$K:$K,'BASE-ICP'!$A:$A,Capex!$A189,'BASE-ICP'!$B:$B,"março")/1000,"")),"")</f>
        <v>0</v>
      </c>
      <c r="CA196" s="427">
        <v>0</v>
      </c>
      <c r="CB196" s="372">
        <v>0</v>
      </c>
      <c r="CC196" s="422"/>
      <c r="CD196" s="423">
        <f>IFERROR(IF(LEFT($A196,3)="Lcp",SUMIFS('BASE-LCP'!$K:$K,'BASE-LCP'!$A:$A,Capex!$A189,'BASE-LCP'!$B:$B,"abril")/1000,IF(LEFT($A196,3)="icp",SUMIFS('BASE-ICP'!$K:$K,'BASE-ICP'!$A:$A,Capex!$A189,'BASE-ICP'!$B:$B,"abril")/1000,"")),"")</f>
        <v>0</v>
      </c>
      <c r="CE196" s="427">
        <v>0</v>
      </c>
      <c r="CF196" s="372">
        <v>0</v>
      </c>
      <c r="CG196" s="419"/>
      <c r="CH196" s="423">
        <v>0</v>
      </c>
      <c r="CI196" s="427">
        <v>0</v>
      </c>
      <c r="CJ196" s="372">
        <v>0</v>
      </c>
      <c r="CK196" s="419"/>
      <c r="CL196" s="423">
        <f>IFERROR(IF(LEFT($A196,3)="Lcp",SUMIFS('BASE-LCP'!$K:$K,'BASE-LCP'!$A:$A,Capex!$A189,'BASE-LCP'!$B:$B,"junho")/1000,IF(LEFT($A196,3)="icp",SUMIFS('BASE-ICP'!$K:$K,'BASE-ICP'!$A:$A,Capex!$A189,'BASE-ICP'!$B:$B,"junho")/1000,"")),"")</f>
        <v>0</v>
      </c>
      <c r="CM196" s="427">
        <v>0</v>
      </c>
      <c r="CN196" s="372"/>
      <c r="CO196" s="419"/>
      <c r="CP196" s="423">
        <f>IFERROR(IF(LEFT($A196,3)="Lcp",SUMIFS('BASE-LCP'!$K:$K,'BASE-LCP'!$A:$A,Capex!$A189,'BASE-LCP'!$B:$B,"julho")/1000,IF(LEFT($A196,3)="icp",SUMIFS('BASE-ICP'!$K:$K,'BASE-ICP'!$A:$A,Capex!$A189,'BASE-ICP'!$B:$B,"julho")/1000,"")),"")</f>
        <v>0</v>
      </c>
      <c r="CQ196" s="427">
        <v>0</v>
      </c>
      <c r="CR196" s="372"/>
      <c r="CS196" s="419"/>
      <c r="CT196" s="423">
        <f>IFERROR(IF(LEFT($A196,3)="Lcp",SUMIFS('BASE-LCP'!$K:$K,'BASE-LCP'!$A:$A,Capex!$A189,'BASE-LCP'!$B:$B,"agosto")/1000,IF(LEFT($A196,3)="icp",SUMIFS('BASE-ICP'!$K:$K,'BASE-ICP'!$A:$A,Capex!$A189,'BASE-ICP'!$B:$B,"agosto")/1000,"")),"")</f>
        <v>0</v>
      </c>
      <c r="CU196" s="427">
        <v>0</v>
      </c>
      <c r="CV196" s="372"/>
      <c r="CW196" s="419"/>
      <c r="CX196" s="423">
        <f>IFERROR(IF(LEFT($A196,3)="Lcp",SUMIFS('BASE-LCP'!$K:$K,'BASE-LCP'!$A:$A,Capex!$A189,'BASE-LCP'!$B:$B,"setembro")/1000,IF(LEFT($A196,3)="icp",SUMIFS('BASE-ICP'!$K:$K,'BASE-ICP'!$A:$A,Capex!$A189,'BASE-ICP'!$B:$B,"setembro")/1000,"")),"")</f>
        <v>0</v>
      </c>
      <c r="CY196" s="427">
        <v>0</v>
      </c>
      <c r="CZ196" s="372"/>
      <c r="DA196" s="419"/>
      <c r="DB196" s="423">
        <f>IFERROR(IF(LEFT($A196,3)="Lcp",SUMIFS('BASE-LCP'!$K:$K,'BASE-LCP'!$A:$A,Capex!$A189,'BASE-LCP'!$B:$B,"outubro")/1000,IF(LEFT($A196,3)="icp",SUMIFS('BASE-ICP'!$K:$K,'BASE-ICP'!$A:$A,Capex!$A189,'BASE-ICP'!$B:$B,"outubro")/1000,"")),"")</f>
        <v>0</v>
      </c>
      <c r="DC196" s="427">
        <v>0</v>
      </c>
      <c r="DD196" s="372"/>
      <c r="DE196" s="419"/>
      <c r="DF196" s="423">
        <f>IFERROR(IF(LEFT($A196,3)="Lcp",SUMIFS('BASE-LCP'!$K:$K,'BASE-LCP'!$A:$A,Capex!$A189,'BASE-LCP'!$B:$B,"novembro")/1000,IF(LEFT($A196,3)="icp",SUMIFS('BASE-ICP'!$K:$K,'BASE-ICP'!$A:$A,Capex!$A189,'BASE-ICP'!$B:$B,"novembro")/1000,"")),"")</f>
        <v>0</v>
      </c>
      <c r="DG196" s="427">
        <v>0</v>
      </c>
      <c r="DH196" s="372"/>
      <c r="DI196" s="419"/>
      <c r="DJ196" s="423">
        <f>IFERROR(IF(LEFT($A196,3)="Lcp",SUMIFS('BASE-LCP'!$K:$K,'BASE-LCP'!$A:$A,Capex!$A189,'BASE-LCP'!$B:$B,"dezembro")/1000,IF(LEFT($A196,3)="icp",SUMIFS('BASE-ICP'!$K:$K,'BASE-ICP'!$A:$A,Capex!$A189,'BASE-ICP'!$B:$B,"dezembro")/1000,"")),"")</f>
        <v>0</v>
      </c>
      <c r="DK196" s="427">
        <v>0</v>
      </c>
      <c r="DL196" s="452">
        <f t="shared" si="85"/>
        <v>0</v>
      </c>
      <c r="DM196" s="374"/>
      <c r="DN196" s="374"/>
      <c r="DO196" s="374"/>
      <c r="DP196" s="374"/>
      <c r="DQ196" s="374"/>
      <c r="DR196" s="374"/>
      <c r="DS196" s="374"/>
      <c r="DT196" s="374"/>
      <c r="DU196" s="374"/>
      <c r="DV196" s="374"/>
      <c r="DW196" s="374"/>
      <c r="DX196" s="374"/>
      <c r="DY196" s="450"/>
      <c r="DZ196" s="374">
        <f t="shared" si="86"/>
        <v>0</v>
      </c>
      <c r="EA196" s="216">
        <f t="shared" si="87"/>
        <v>0</v>
      </c>
      <c r="EB196" s="320">
        <f t="shared" si="88"/>
        <v>0</v>
      </c>
      <c r="EC196" s="241">
        <f t="shared" si="89"/>
        <v>0</v>
      </c>
      <c r="ED196" s="241">
        <f t="shared" si="90"/>
        <v>0</v>
      </c>
      <c r="EE196" s="241">
        <f t="shared" si="91"/>
        <v>0</v>
      </c>
      <c r="EF196" s="241">
        <f t="shared" si="92"/>
        <v>0</v>
      </c>
      <c r="EG196" s="346">
        <f t="shared" si="93"/>
        <v>0</v>
      </c>
      <c r="EH196" s="445">
        <f t="shared" si="94"/>
        <v>0</v>
      </c>
      <c r="EI196" s="447">
        <f t="shared" si="95"/>
        <v>0</v>
      </c>
      <c r="EJ196" s="364">
        <f t="shared" si="96"/>
        <v>0</v>
      </c>
      <c r="EK196" s="365">
        <f t="shared" si="97"/>
        <v>0</v>
      </c>
      <c r="EL196" s="529">
        <f t="shared" si="98"/>
        <v>0</v>
      </c>
      <c r="EM196" s="530">
        <v>0</v>
      </c>
      <c r="EN196" s="530">
        <v>0</v>
      </c>
      <c r="EO196" s="530">
        <v>0</v>
      </c>
      <c r="EP196" s="530">
        <v>0</v>
      </c>
      <c r="EQ196" s="530">
        <v>0</v>
      </c>
      <c r="ER196" s="530">
        <v>0</v>
      </c>
      <c r="ES196" s="530">
        <v>0</v>
      </c>
      <c r="ET196" s="530">
        <v>0</v>
      </c>
      <c r="EU196" s="530">
        <v>0</v>
      </c>
      <c r="EV196" s="530">
        <v>0</v>
      </c>
      <c r="EW196" s="530">
        <v>0</v>
      </c>
      <c r="EX196" s="530">
        <v>0</v>
      </c>
      <c r="EY196" s="530">
        <f t="shared" si="99"/>
        <v>0</v>
      </c>
      <c r="EZ196" s="530">
        <f t="shared" si="100"/>
        <v>0</v>
      </c>
      <c r="FA196" s="530">
        <f t="shared" si="101"/>
        <v>0</v>
      </c>
      <c r="FB196" s="530">
        <f t="shared" si="102"/>
        <v>0</v>
      </c>
      <c r="FC196" s="384">
        <f>IFERROR(VLOOKUP(Capex!A189,BASE_558!D:R,8,FALSE)/1000,"")</f>
        <v>309.29599999999999</v>
      </c>
      <c r="FD196" s="328">
        <f>IFERROR(VLOOKUP(Capex!A189,BASE_558!D:R,9,)/1000,"")</f>
        <v>288.33588000000003</v>
      </c>
      <c r="FE196" s="328">
        <f>IFERROR(IF(LEFT(A196,3)="LCP",(VLOOKUP(Capex!A189,BASE_558!D:R,10,)/1000),SUMIFS('BASE ICP_PO_SC'!F:F,'BASE ICP_PO_SC'!A:A,Capex!A189,'BASE ICP_PO_SC'!E:E,"&lt;&gt;")/1000),"")</f>
        <v>0</v>
      </c>
      <c r="FF196" s="328">
        <f>IFERROR(IF(LEFT(A196,3)="LCP",(VLOOKUP(Capex!A189,BASE_558!D:R,11,)/1000),SUMIFS('BASE ICP_PO_SC'!F:F,'BASE ICP_PO_SC'!A:A,Capex!A189,'BASE ICP_PO_SC'!E:E,"")/1000),"")</f>
        <v>0</v>
      </c>
      <c r="FG196" s="328">
        <f>IFERROR(VLOOKUP(A196,BASE_558!D:R,13,FALSE)/1000,"")</f>
        <v>293.20690999999999</v>
      </c>
      <c r="FH196" s="328">
        <f>IFERROR(VLOOKUP(A196,BASE_558!D:R,15,FALSE)/1000,"")</f>
        <v>127.68291000000001</v>
      </c>
      <c r="FI196" s="547">
        <f t="shared" si="103"/>
        <v>0</v>
      </c>
      <c r="FJ196" s="547">
        <f t="shared" si="104"/>
        <v>0</v>
      </c>
      <c r="FK196" s="540">
        <f t="shared" si="105"/>
        <v>0</v>
      </c>
    </row>
    <row r="197" spans="1:167" s="23" customFormat="1" ht="24" customHeight="1">
      <c r="A197" s="84" t="s">
        <v>560</v>
      </c>
      <c r="B197" s="404"/>
      <c r="C197" s="404"/>
      <c r="D197" s="338" t="s">
        <v>2252</v>
      </c>
      <c r="E197" s="378">
        <v>3113964</v>
      </c>
      <c r="F197" s="310"/>
      <c r="G197" s="310" t="s">
        <v>9</v>
      </c>
      <c r="H197" s="356"/>
      <c r="I197" s="356" t="s">
        <v>6</v>
      </c>
      <c r="J197" s="356">
        <v>2020</v>
      </c>
      <c r="K197" s="321">
        <v>44075</v>
      </c>
      <c r="L197" s="317">
        <v>44375</v>
      </c>
      <c r="M197" s="409"/>
      <c r="N197" s="317">
        <f t="shared" si="109"/>
        <v>44987</v>
      </c>
      <c r="O197" s="317">
        <f t="shared" si="110"/>
        <v>45352</v>
      </c>
      <c r="P197" s="418" t="str">
        <f t="shared" si="117"/>
        <v>CRTD</v>
      </c>
      <c r="Q197" s="418" t="str">
        <f t="shared" si="117"/>
        <v>CRTD</v>
      </c>
      <c r="R197" s="418" t="str">
        <f t="shared" si="117"/>
        <v>CRTD</v>
      </c>
      <c r="S197" s="418" t="str">
        <f t="shared" si="117"/>
        <v>CRTD</v>
      </c>
      <c r="T197" s="418" t="str">
        <f t="shared" si="117"/>
        <v>CRTD</v>
      </c>
      <c r="U197" s="418" t="str">
        <f t="shared" si="117"/>
        <v>CRTD</v>
      </c>
      <c r="V197" s="418" t="str">
        <f t="shared" si="117"/>
        <v>CRTD</v>
      </c>
      <c r="W197" s="418" t="str">
        <f t="shared" si="117"/>
        <v>CRTD</v>
      </c>
      <c r="X197" s="418" t="str">
        <f t="shared" si="117"/>
        <v>CRTD</v>
      </c>
      <c r="Y197" s="418" t="str">
        <f t="shared" si="117"/>
        <v>CRTD</v>
      </c>
      <c r="Z197" s="418" t="str">
        <f t="shared" si="117"/>
        <v>CRTD</v>
      </c>
      <c r="AA197" s="418" t="str">
        <f t="shared" si="117"/>
        <v>CRTD</v>
      </c>
      <c r="AB197" s="350"/>
      <c r="AC197" s="309" t="s">
        <v>3932</v>
      </c>
      <c r="AD197" s="311" t="s">
        <v>982</v>
      </c>
      <c r="AE197" s="381" t="s">
        <v>953</v>
      </c>
      <c r="AF197" s="310" t="s">
        <v>6985</v>
      </c>
      <c r="AG197" s="310" t="s">
        <v>9083</v>
      </c>
      <c r="AH197" s="310" t="s">
        <v>559</v>
      </c>
      <c r="AI197" s="309" t="s">
        <v>2255</v>
      </c>
      <c r="AJ197" s="6" t="s">
        <v>218</v>
      </c>
      <c r="AK197" s="6" t="str">
        <f t="shared" ref="AK197:AK260" si="118">IF(AJ197&lt;&gt;AM197,"DIFERENTE","IGUAL")</f>
        <v>IGUAL</v>
      </c>
      <c r="AL197" s="151" t="str">
        <f>IFERROR(IF(LEFT(A197,3)="LCP",VLOOKUP(A197,STATUS_SAP_LCP!B:C,2,FALSE),VLOOKUP(A197,STATUS_SAP_ICP!B:C,2,FALSE)),"NO BUDGET")</f>
        <v>CLSD BUDG AUC  AVAC  //  APPR BREL EXPL</v>
      </c>
      <c r="AM197" s="6" t="str">
        <f t="shared" si="116"/>
        <v>CLSD</v>
      </c>
      <c r="AN197" s="282" t="s">
        <v>9092</v>
      </c>
      <c r="AO197" s="493">
        <v>1</v>
      </c>
      <c r="AP197" s="499" t="s">
        <v>9607</v>
      </c>
      <c r="AQ197" s="465">
        <v>44375</v>
      </c>
      <c r="AR197" s="460"/>
      <c r="AS197" s="56"/>
      <c r="AT197" s="185">
        <v>54.152609999999996</v>
      </c>
      <c r="AU197" s="318">
        <v>10.406239999999999</v>
      </c>
      <c r="AV197" s="223">
        <v>0</v>
      </c>
      <c r="AW197" s="318">
        <v>0</v>
      </c>
      <c r="AX197" s="223">
        <v>0</v>
      </c>
      <c r="AY197" s="318">
        <f t="shared" si="111"/>
        <v>0</v>
      </c>
      <c r="AZ197" s="223"/>
      <c r="BA197" s="318"/>
      <c r="BB197" s="519">
        <f t="shared" si="112"/>
        <v>0</v>
      </c>
      <c r="BC197" s="518"/>
      <c r="BD197" s="518"/>
      <c r="BE197" s="518"/>
      <c r="BF197" s="518"/>
      <c r="BG197" s="518"/>
      <c r="BH197" s="518"/>
      <c r="BI197" s="518"/>
      <c r="BJ197" s="518"/>
      <c r="BK197" s="518"/>
      <c r="BL197" s="518"/>
      <c r="BM197" s="518"/>
      <c r="BN197" s="518"/>
      <c r="BO197" s="367">
        <f t="shared" ref="BO197:BO260" si="119">SUM(BS197,BW197,CA197,CE197,CI197,CM197,CQ197,CU197,CY197,DC197,DG197,DK197)</f>
        <v>0</v>
      </c>
      <c r="BP197" s="421"/>
      <c r="BQ197" s="422"/>
      <c r="BR197" s="423">
        <f>IFERROR(IF(LEFT($A197,3)="Lcp",SUMIFS('BASE-LCP'!$K:$K,'BASE-LCP'!$A:$A,Capex!$A190,'BASE-LCP'!$B:$B,"janeiro")/1000,IF(LEFT($A197,3)="icp",SUMIFS('BASE-ICP'!$K:$K,'BASE-ICP'!$A:$A,Capex!$A190,'BASE-ICP'!$B:$B,"janeiro")/1000,"")),"")</f>
        <v>0</v>
      </c>
      <c r="BS197" s="427">
        <v>0</v>
      </c>
      <c r="BT197" s="372">
        <v>0</v>
      </c>
      <c r="BU197" s="422"/>
      <c r="BV197" s="423">
        <f>IFERROR(IF(LEFT($A197,3)="Lcp",SUMIFS('BASE-LCP'!$K:$K,'BASE-LCP'!$A:$A,Capex!$A190,'BASE-LCP'!$B:$B,"fevereiro")/1000,IF(LEFT($A197,3)="icp",SUMIFS('BASE-ICP'!$K:$K,'BASE-ICP'!$A:$A,Capex!$A190,'BASE-ICP'!$B:$B,"fevereiro")/1000,"")),"")</f>
        <v>0</v>
      </c>
      <c r="BW197" s="427">
        <v>0</v>
      </c>
      <c r="BX197" s="372">
        <v>0</v>
      </c>
      <c r="BY197" s="419"/>
      <c r="BZ197" s="423">
        <f>IFERROR(IF(LEFT($A197,3)="Lcp",SUMIFS('BASE-LCP'!$K:$K,'BASE-LCP'!$A:$A,Capex!$A190,'BASE-LCP'!$B:$B,"março")/1000,IF(LEFT($A197,3)="icp",SUMIFS('BASE-ICP'!$K:$K,'BASE-ICP'!$A:$A,Capex!$A190,'BASE-ICP'!$B:$B,"março")/1000,"")),"")</f>
        <v>0</v>
      </c>
      <c r="CA197" s="427">
        <v>0</v>
      </c>
      <c r="CB197" s="372">
        <v>0</v>
      </c>
      <c r="CC197" s="422"/>
      <c r="CD197" s="423">
        <f>IFERROR(IF(LEFT($A197,3)="Lcp",SUMIFS('BASE-LCP'!$K:$K,'BASE-LCP'!$A:$A,Capex!$A190,'BASE-LCP'!$B:$B,"abril")/1000,IF(LEFT($A197,3)="icp",SUMIFS('BASE-ICP'!$K:$K,'BASE-ICP'!$A:$A,Capex!$A190,'BASE-ICP'!$B:$B,"abril")/1000,"")),"")</f>
        <v>0</v>
      </c>
      <c r="CE197" s="427">
        <v>0</v>
      </c>
      <c r="CF197" s="372">
        <v>0</v>
      </c>
      <c r="CG197" s="419"/>
      <c r="CH197" s="423">
        <v>0</v>
      </c>
      <c r="CI197" s="427">
        <v>0</v>
      </c>
      <c r="CJ197" s="372">
        <v>0</v>
      </c>
      <c r="CK197" s="419"/>
      <c r="CL197" s="423">
        <f>IFERROR(IF(LEFT($A197,3)="Lcp",SUMIFS('BASE-LCP'!$K:$K,'BASE-LCP'!$A:$A,Capex!$A190,'BASE-LCP'!$B:$B,"junho")/1000,IF(LEFT($A197,3)="icp",SUMIFS('BASE-ICP'!$K:$K,'BASE-ICP'!$A:$A,Capex!$A190,'BASE-ICP'!$B:$B,"junho")/1000,"")),"")</f>
        <v>0</v>
      </c>
      <c r="CM197" s="427">
        <v>0</v>
      </c>
      <c r="CN197" s="372"/>
      <c r="CO197" s="419"/>
      <c r="CP197" s="423">
        <f>IFERROR(IF(LEFT($A197,3)="Lcp",SUMIFS('BASE-LCP'!$K:$K,'BASE-LCP'!$A:$A,Capex!$A190,'BASE-LCP'!$B:$B,"julho")/1000,IF(LEFT($A197,3)="icp",SUMIFS('BASE-ICP'!$K:$K,'BASE-ICP'!$A:$A,Capex!$A190,'BASE-ICP'!$B:$B,"julho")/1000,"")),"")</f>
        <v>0</v>
      </c>
      <c r="CQ197" s="427">
        <v>0</v>
      </c>
      <c r="CR197" s="372"/>
      <c r="CS197" s="419"/>
      <c r="CT197" s="423">
        <f>IFERROR(IF(LEFT($A197,3)="Lcp",SUMIFS('BASE-LCP'!$K:$K,'BASE-LCP'!$A:$A,Capex!$A190,'BASE-LCP'!$B:$B,"agosto")/1000,IF(LEFT($A197,3)="icp",SUMIFS('BASE-ICP'!$K:$K,'BASE-ICP'!$A:$A,Capex!$A190,'BASE-ICP'!$B:$B,"agosto")/1000,"")),"")</f>
        <v>0</v>
      </c>
      <c r="CU197" s="427">
        <v>0</v>
      </c>
      <c r="CV197" s="372"/>
      <c r="CW197" s="419"/>
      <c r="CX197" s="423">
        <f>IFERROR(IF(LEFT($A197,3)="Lcp",SUMIFS('BASE-LCP'!$K:$K,'BASE-LCP'!$A:$A,Capex!$A190,'BASE-LCP'!$B:$B,"setembro")/1000,IF(LEFT($A197,3)="icp",SUMIFS('BASE-ICP'!$K:$K,'BASE-ICP'!$A:$A,Capex!$A190,'BASE-ICP'!$B:$B,"setembro")/1000,"")),"")</f>
        <v>0</v>
      </c>
      <c r="CY197" s="427">
        <v>0</v>
      </c>
      <c r="CZ197" s="372"/>
      <c r="DA197" s="419"/>
      <c r="DB197" s="423">
        <f>IFERROR(IF(LEFT($A197,3)="Lcp",SUMIFS('BASE-LCP'!$K:$K,'BASE-LCP'!$A:$A,Capex!$A190,'BASE-LCP'!$B:$B,"outubro")/1000,IF(LEFT($A197,3)="icp",SUMIFS('BASE-ICP'!$K:$K,'BASE-ICP'!$A:$A,Capex!$A190,'BASE-ICP'!$B:$B,"outubro")/1000,"")),"")</f>
        <v>0</v>
      </c>
      <c r="DC197" s="427">
        <v>0</v>
      </c>
      <c r="DD197" s="372"/>
      <c r="DE197" s="419"/>
      <c r="DF197" s="423">
        <f>IFERROR(IF(LEFT($A197,3)="Lcp",SUMIFS('BASE-LCP'!$K:$K,'BASE-LCP'!$A:$A,Capex!$A190,'BASE-LCP'!$B:$B,"novembro")/1000,IF(LEFT($A197,3)="icp",SUMIFS('BASE-ICP'!$K:$K,'BASE-ICP'!$A:$A,Capex!$A190,'BASE-ICP'!$B:$B,"novembro")/1000,"")),"")</f>
        <v>0</v>
      </c>
      <c r="DG197" s="427">
        <v>0</v>
      </c>
      <c r="DH197" s="372"/>
      <c r="DI197" s="419"/>
      <c r="DJ197" s="423">
        <f>IFERROR(IF(LEFT($A197,3)="Lcp",SUMIFS('BASE-LCP'!$K:$K,'BASE-LCP'!$A:$A,Capex!$A190,'BASE-LCP'!$B:$B,"dezembro")/1000,IF(LEFT($A197,3)="icp",SUMIFS('BASE-ICP'!$K:$K,'BASE-ICP'!$A:$A,Capex!$A190,'BASE-ICP'!$B:$B,"dezembro")/1000,"")),"")</f>
        <v>0</v>
      </c>
      <c r="DK197" s="427">
        <v>0</v>
      </c>
      <c r="DL197" s="452">
        <f t="shared" ref="DL197:DL260" si="120">SUM(DM197:DX197)</f>
        <v>0</v>
      </c>
      <c r="DM197" s="374"/>
      <c r="DN197" s="374"/>
      <c r="DO197" s="374"/>
      <c r="DP197" s="374"/>
      <c r="DQ197" s="374"/>
      <c r="DR197" s="374"/>
      <c r="DS197" s="374"/>
      <c r="DT197" s="374"/>
      <c r="DU197" s="374"/>
      <c r="DV197" s="374"/>
      <c r="DW197" s="374"/>
      <c r="DX197" s="374"/>
      <c r="DY197" s="450"/>
      <c r="DZ197" s="374">
        <f t="shared" ref="DZ197:DZ260" si="121">SUM(DL197,DY197)</f>
        <v>0</v>
      </c>
      <c r="EA197" s="216">
        <f t="shared" ref="EA197:EA260" si="122">CM197-CJ197</f>
        <v>0</v>
      </c>
      <c r="EB197" s="320">
        <f t="shared" ref="EB197:EB260" si="123">CL197-CM197</f>
        <v>0</v>
      </c>
      <c r="EC197" s="241">
        <f t="shared" ref="EC197:EC260" si="124">SUM(BS197,BW197,CA197)</f>
        <v>0</v>
      </c>
      <c r="ED197" s="241">
        <f t="shared" ref="ED197:ED260" si="125">SUM(CE197,CI197,CM197)</f>
        <v>0</v>
      </c>
      <c r="EE197" s="241">
        <f t="shared" ref="EE197:EE260" si="126">SUM(CQ197,CU197,CY197)</f>
        <v>0</v>
      </c>
      <c r="EF197" s="241">
        <f t="shared" ref="EF197:EF260" si="127">SUM(DC197,DG197,DK197)</f>
        <v>0</v>
      </c>
      <c r="EG197" s="346">
        <f t="shared" ref="EG197:EG260" si="128">BO197-BB197</f>
        <v>0</v>
      </c>
      <c r="EH197" s="445">
        <f t="shared" ref="EH197:EH260" si="129">CF197</f>
        <v>0</v>
      </c>
      <c r="EI197" s="447">
        <f t="shared" ref="EI197:EI260" si="130">CH197</f>
        <v>0</v>
      </c>
      <c r="EJ197" s="364">
        <f t="shared" ref="EJ197:EJ260" si="131">SUM(BS197,BW197,CA197,CE197,CI197,CL197)</f>
        <v>0</v>
      </c>
      <c r="EK197" s="365">
        <f t="shared" ref="EK197:EK260" si="132">BO197-EJ197</f>
        <v>0</v>
      </c>
      <c r="EL197" s="529">
        <f t="shared" ref="EL197:EL260" si="133">SUM(EM197:EX197)</f>
        <v>0</v>
      </c>
      <c r="EM197" s="530">
        <v>0</v>
      </c>
      <c r="EN197" s="530">
        <v>0</v>
      </c>
      <c r="EO197" s="530">
        <v>0</v>
      </c>
      <c r="EP197" s="530">
        <v>0</v>
      </c>
      <c r="EQ197" s="530">
        <v>0</v>
      </c>
      <c r="ER197" s="530">
        <v>0</v>
      </c>
      <c r="ES197" s="530">
        <v>0</v>
      </c>
      <c r="ET197" s="530">
        <v>0</v>
      </c>
      <c r="EU197" s="530">
        <v>0</v>
      </c>
      <c r="EV197" s="530">
        <v>0</v>
      </c>
      <c r="EW197" s="530">
        <v>0</v>
      </c>
      <c r="EX197" s="530">
        <v>0</v>
      </c>
      <c r="EY197" s="530">
        <f t="shared" ref="EY197:EY260" si="134">SUM(EM197:EO197)</f>
        <v>0</v>
      </c>
      <c r="EZ197" s="530">
        <f t="shared" ref="EZ197:EZ260" si="135">SUM(EP197:ER197)</f>
        <v>0</v>
      </c>
      <c r="FA197" s="530">
        <f t="shared" ref="FA197:FA260" si="136">SUM(ES197:EU197)</f>
        <v>0</v>
      </c>
      <c r="FB197" s="530">
        <f t="shared" ref="FB197:FB260" si="137">SUM(EV197:EX197)</f>
        <v>0</v>
      </c>
      <c r="FC197" s="384">
        <f>IFERROR(VLOOKUP(Capex!A190,BASE_558!D:R,8,FALSE)/1000,"")</f>
        <v>18.2</v>
      </c>
      <c r="FD197" s="328">
        <f>IFERROR(VLOOKUP(Capex!A190,BASE_558!D:R,9,)/1000,"")</f>
        <v>14.2041</v>
      </c>
      <c r="FE197" s="328">
        <f>IFERROR(IF(LEFT(A197,3)="LCP",(VLOOKUP(Capex!A190,BASE_558!D:R,10,)/1000),SUMIFS('BASE ICP_PO_SC'!F:F,'BASE ICP_PO_SC'!A:A,Capex!A190,'BASE ICP_PO_SC'!E:E,"&lt;&gt;")/1000),"")</f>
        <v>0</v>
      </c>
      <c r="FF197" s="328">
        <f>IFERROR(IF(LEFT(A197,3)="LCP",(VLOOKUP(Capex!A190,BASE_558!D:R,11,)/1000),SUMIFS('BASE ICP_PO_SC'!F:F,'BASE ICP_PO_SC'!A:A,Capex!A190,'BASE ICP_PO_SC'!E:E,"")/1000),"")</f>
        <v>0</v>
      </c>
      <c r="FG197" s="328">
        <f>IFERROR(VLOOKUP(A197,BASE_558!D:R,13,FALSE)/1000,"")</f>
        <v>64.558849999999993</v>
      </c>
      <c r="FH197" s="328">
        <f>IFERROR(VLOOKUP(A197,BASE_558!D:R,15,FALSE)/1000,"")</f>
        <v>1.1611500000000001</v>
      </c>
      <c r="FI197" s="547">
        <f t="shared" ref="FI197:FI260" si="138">EZ197-ED197</f>
        <v>0</v>
      </c>
      <c r="FJ197" s="547">
        <f t="shared" ref="FJ197:FJ260" si="139">FA197-EE197</f>
        <v>0</v>
      </c>
      <c r="FK197" s="540">
        <f t="shared" ref="FK197:FK260" si="140">FB197-EF197</f>
        <v>0</v>
      </c>
    </row>
    <row r="198" spans="1:167" s="23" customFormat="1" ht="24" customHeight="1">
      <c r="A198" s="84" t="s">
        <v>558</v>
      </c>
      <c r="B198" s="404"/>
      <c r="C198" s="404"/>
      <c r="D198" s="338" t="s">
        <v>2253</v>
      </c>
      <c r="E198" s="378">
        <v>3114682</v>
      </c>
      <c r="F198" s="5"/>
      <c r="G198" s="310" t="s">
        <v>9</v>
      </c>
      <c r="H198" s="356"/>
      <c r="I198" s="356"/>
      <c r="J198" s="356">
        <v>2020</v>
      </c>
      <c r="K198" s="321">
        <v>44105</v>
      </c>
      <c r="L198" s="317">
        <v>44553</v>
      </c>
      <c r="M198" s="409"/>
      <c r="N198" s="317">
        <f t="shared" si="109"/>
        <v>45017</v>
      </c>
      <c r="O198" s="317">
        <f t="shared" si="110"/>
        <v>45382</v>
      </c>
      <c r="P198" s="418" t="str">
        <f t="shared" si="117"/>
        <v>CRTD</v>
      </c>
      <c r="Q198" s="418" t="str">
        <f t="shared" si="117"/>
        <v>CRTD</v>
      </c>
      <c r="R198" s="418" t="str">
        <f t="shared" si="117"/>
        <v>CRTD</v>
      </c>
      <c r="S198" s="418" t="str">
        <f t="shared" si="117"/>
        <v>CRTD</v>
      </c>
      <c r="T198" s="418" t="str">
        <f t="shared" si="117"/>
        <v>CRTD</v>
      </c>
      <c r="U198" s="418" t="str">
        <f t="shared" si="117"/>
        <v>CRTD</v>
      </c>
      <c r="V198" s="418" t="str">
        <f t="shared" si="117"/>
        <v>CRTD</v>
      </c>
      <c r="W198" s="418" t="str">
        <f t="shared" si="117"/>
        <v>CRTD</v>
      </c>
      <c r="X198" s="418" t="str">
        <f t="shared" si="117"/>
        <v>CRTD</v>
      </c>
      <c r="Y198" s="418" t="str">
        <f t="shared" si="117"/>
        <v>CRTD</v>
      </c>
      <c r="Z198" s="418" t="str">
        <f t="shared" si="117"/>
        <v>CRTD</v>
      </c>
      <c r="AA198" s="418" t="str">
        <f t="shared" si="117"/>
        <v>CRTD</v>
      </c>
      <c r="AB198" s="350"/>
      <c r="AC198" s="309" t="s">
        <v>3930</v>
      </c>
      <c r="AD198" s="311"/>
      <c r="AE198" s="381"/>
      <c r="AF198" s="310" t="s">
        <v>6985</v>
      </c>
      <c r="AG198" s="310" t="s">
        <v>9083</v>
      </c>
      <c r="AH198" s="310" t="s">
        <v>563</v>
      </c>
      <c r="AI198" s="309" t="s">
        <v>188</v>
      </c>
      <c r="AJ198" s="6" t="s">
        <v>218</v>
      </c>
      <c r="AK198" s="6" t="str">
        <f t="shared" si="118"/>
        <v>IGUAL</v>
      </c>
      <c r="AL198" s="151" t="str">
        <f>IFERROR(IF(LEFT(A198,3)="LCP",VLOOKUP(A198,STATUS_SAP_LCP!B:C,2,FALSE),VLOOKUP(A198,STATUS_SAP_ICP!B:C,2,FALSE)),"NO BUDGET")</f>
        <v>CLSD BUDG AUC  AVAC  //  APPR BREL EXPL</v>
      </c>
      <c r="AM198" s="6" t="str">
        <f t="shared" si="116"/>
        <v>CLSD</v>
      </c>
      <c r="AN198" s="282" t="s">
        <v>9096</v>
      </c>
      <c r="AO198" s="493">
        <v>1</v>
      </c>
      <c r="AP198" s="499" t="s">
        <v>9607</v>
      </c>
      <c r="AQ198" s="465">
        <v>44553</v>
      </c>
      <c r="AR198" s="460"/>
      <c r="AS198" s="56"/>
      <c r="AT198" s="185">
        <v>36.605919999999998</v>
      </c>
      <c r="AU198" s="318">
        <v>1.9303299999999999</v>
      </c>
      <c r="AV198" s="223">
        <v>0</v>
      </c>
      <c r="AW198" s="318">
        <v>0</v>
      </c>
      <c r="AX198" s="223">
        <v>0</v>
      </c>
      <c r="AY198" s="318">
        <f t="shared" si="111"/>
        <v>0</v>
      </c>
      <c r="AZ198" s="223"/>
      <c r="BA198" s="318"/>
      <c r="BB198" s="519">
        <f t="shared" si="112"/>
        <v>0</v>
      </c>
      <c r="BC198" s="518"/>
      <c r="BD198" s="518"/>
      <c r="BE198" s="518"/>
      <c r="BF198" s="518"/>
      <c r="BG198" s="518"/>
      <c r="BH198" s="518"/>
      <c r="BI198" s="518"/>
      <c r="BJ198" s="518"/>
      <c r="BK198" s="518"/>
      <c r="BL198" s="518"/>
      <c r="BM198" s="518"/>
      <c r="BN198" s="518"/>
      <c r="BO198" s="367">
        <f t="shared" si="119"/>
        <v>0</v>
      </c>
      <c r="BP198" s="421"/>
      <c r="BQ198" s="422"/>
      <c r="BR198" s="423">
        <f>IFERROR(IF(LEFT($A198,3)="Lcp",SUMIFS('BASE-LCP'!$K:$K,'BASE-LCP'!$A:$A,Capex!$A191,'BASE-LCP'!$B:$B,"janeiro")/1000,IF(LEFT($A198,3)="icp",SUMIFS('BASE-ICP'!$K:$K,'BASE-ICP'!$A:$A,Capex!$A191,'BASE-ICP'!$B:$B,"janeiro")/1000,"")),"")</f>
        <v>0</v>
      </c>
      <c r="BS198" s="427">
        <v>0</v>
      </c>
      <c r="BT198" s="372">
        <v>0</v>
      </c>
      <c r="BU198" s="422"/>
      <c r="BV198" s="423">
        <f>IFERROR(IF(LEFT($A198,3)="Lcp",SUMIFS('BASE-LCP'!$K:$K,'BASE-LCP'!$A:$A,Capex!$A191,'BASE-LCP'!$B:$B,"fevereiro")/1000,IF(LEFT($A198,3)="icp",SUMIFS('BASE-ICP'!$K:$K,'BASE-ICP'!$A:$A,Capex!$A191,'BASE-ICP'!$B:$B,"fevereiro")/1000,"")),"")</f>
        <v>0</v>
      </c>
      <c r="BW198" s="427">
        <v>0</v>
      </c>
      <c r="BX198" s="372">
        <v>0</v>
      </c>
      <c r="BY198" s="419"/>
      <c r="BZ198" s="423">
        <f>IFERROR(IF(LEFT($A198,3)="Lcp",SUMIFS('BASE-LCP'!$K:$K,'BASE-LCP'!$A:$A,Capex!$A191,'BASE-LCP'!$B:$B,"março")/1000,IF(LEFT($A198,3)="icp",SUMIFS('BASE-ICP'!$K:$K,'BASE-ICP'!$A:$A,Capex!$A191,'BASE-ICP'!$B:$B,"março")/1000,"")),"")</f>
        <v>0</v>
      </c>
      <c r="CA198" s="427">
        <v>0</v>
      </c>
      <c r="CB198" s="372">
        <v>0</v>
      </c>
      <c r="CC198" s="422"/>
      <c r="CD198" s="423">
        <f>IFERROR(IF(LEFT($A198,3)="Lcp",SUMIFS('BASE-LCP'!$K:$K,'BASE-LCP'!$A:$A,Capex!$A191,'BASE-LCP'!$B:$B,"abril")/1000,IF(LEFT($A198,3)="icp",SUMIFS('BASE-ICP'!$K:$K,'BASE-ICP'!$A:$A,Capex!$A191,'BASE-ICP'!$B:$B,"abril")/1000,"")),"")</f>
        <v>0</v>
      </c>
      <c r="CE198" s="427">
        <v>0</v>
      </c>
      <c r="CF198" s="372">
        <v>0</v>
      </c>
      <c r="CG198" s="419"/>
      <c r="CH198" s="423">
        <v>0</v>
      </c>
      <c r="CI198" s="427">
        <v>0</v>
      </c>
      <c r="CJ198" s="372">
        <v>0</v>
      </c>
      <c r="CK198" s="419"/>
      <c r="CL198" s="423">
        <f>IFERROR(IF(LEFT($A198,3)="Lcp",SUMIFS('BASE-LCP'!$K:$K,'BASE-LCP'!$A:$A,Capex!$A191,'BASE-LCP'!$B:$B,"junho")/1000,IF(LEFT($A198,3)="icp",SUMIFS('BASE-ICP'!$K:$K,'BASE-ICP'!$A:$A,Capex!$A191,'BASE-ICP'!$B:$B,"junho")/1000,"")),"")</f>
        <v>0</v>
      </c>
      <c r="CM198" s="427">
        <v>0</v>
      </c>
      <c r="CN198" s="372"/>
      <c r="CO198" s="419"/>
      <c r="CP198" s="423">
        <f>IFERROR(IF(LEFT($A198,3)="Lcp",SUMIFS('BASE-LCP'!$K:$K,'BASE-LCP'!$A:$A,Capex!$A191,'BASE-LCP'!$B:$B,"julho")/1000,IF(LEFT($A198,3)="icp",SUMIFS('BASE-ICP'!$K:$K,'BASE-ICP'!$A:$A,Capex!$A191,'BASE-ICP'!$B:$B,"julho")/1000,"")),"")</f>
        <v>0</v>
      </c>
      <c r="CQ198" s="427">
        <v>0</v>
      </c>
      <c r="CR198" s="372"/>
      <c r="CS198" s="419"/>
      <c r="CT198" s="423">
        <f>IFERROR(IF(LEFT($A198,3)="Lcp",SUMIFS('BASE-LCP'!$K:$K,'BASE-LCP'!$A:$A,Capex!$A191,'BASE-LCP'!$B:$B,"agosto")/1000,IF(LEFT($A198,3)="icp",SUMIFS('BASE-ICP'!$K:$K,'BASE-ICP'!$A:$A,Capex!$A191,'BASE-ICP'!$B:$B,"agosto")/1000,"")),"")</f>
        <v>0</v>
      </c>
      <c r="CU198" s="427">
        <v>0</v>
      </c>
      <c r="CV198" s="372"/>
      <c r="CW198" s="419"/>
      <c r="CX198" s="423">
        <f>IFERROR(IF(LEFT($A198,3)="Lcp",SUMIFS('BASE-LCP'!$K:$K,'BASE-LCP'!$A:$A,Capex!$A191,'BASE-LCP'!$B:$B,"setembro")/1000,IF(LEFT($A198,3)="icp",SUMIFS('BASE-ICP'!$K:$K,'BASE-ICP'!$A:$A,Capex!$A191,'BASE-ICP'!$B:$B,"setembro")/1000,"")),"")</f>
        <v>0</v>
      </c>
      <c r="CY198" s="427">
        <v>0</v>
      </c>
      <c r="CZ198" s="372"/>
      <c r="DA198" s="419"/>
      <c r="DB198" s="423">
        <f>IFERROR(IF(LEFT($A198,3)="Lcp",SUMIFS('BASE-LCP'!$K:$K,'BASE-LCP'!$A:$A,Capex!$A191,'BASE-LCP'!$B:$B,"outubro")/1000,IF(LEFT($A198,3)="icp",SUMIFS('BASE-ICP'!$K:$K,'BASE-ICP'!$A:$A,Capex!$A191,'BASE-ICP'!$B:$B,"outubro")/1000,"")),"")</f>
        <v>0</v>
      </c>
      <c r="DC198" s="427">
        <v>0</v>
      </c>
      <c r="DD198" s="372"/>
      <c r="DE198" s="419"/>
      <c r="DF198" s="423">
        <f>IFERROR(IF(LEFT($A198,3)="Lcp",SUMIFS('BASE-LCP'!$K:$K,'BASE-LCP'!$A:$A,Capex!$A191,'BASE-LCP'!$B:$B,"novembro")/1000,IF(LEFT($A198,3)="icp",SUMIFS('BASE-ICP'!$K:$K,'BASE-ICP'!$A:$A,Capex!$A191,'BASE-ICP'!$B:$B,"novembro")/1000,"")),"")</f>
        <v>0</v>
      </c>
      <c r="DG198" s="427">
        <v>0</v>
      </c>
      <c r="DH198" s="372"/>
      <c r="DI198" s="419"/>
      <c r="DJ198" s="423">
        <f>IFERROR(IF(LEFT($A198,3)="Lcp",SUMIFS('BASE-LCP'!$K:$K,'BASE-LCP'!$A:$A,Capex!$A191,'BASE-LCP'!$B:$B,"dezembro")/1000,IF(LEFT($A198,3)="icp",SUMIFS('BASE-ICP'!$K:$K,'BASE-ICP'!$A:$A,Capex!$A191,'BASE-ICP'!$B:$B,"dezembro")/1000,"")),"")</f>
        <v>0</v>
      </c>
      <c r="DK198" s="427">
        <v>0</v>
      </c>
      <c r="DL198" s="452">
        <f t="shared" si="120"/>
        <v>0</v>
      </c>
      <c r="DM198" s="374"/>
      <c r="DN198" s="374"/>
      <c r="DO198" s="374"/>
      <c r="DP198" s="374"/>
      <c r="DQ198" s="374"/>
      <c r="DR198" s="374"/>
      <c r="DS198" s="374"/>
      <c r="DT198" s="374"/>
      <c r="DU198" s="374"/>
      <c r="DV198" s="374"/>
      <c r="DW198" s="374"/>
      <c r="DX198" s="374"/>
      <c r="DY198" s="450"/>
      <c r="DZ198" s="374">
        <f t="shared" si="121"/>
        <v>0</v>
      </c>
      <c r="EA198" s="216">
        <f t="shared" si="122"/>
        <v>0</v>
      </c>
      <c r="EB198" s="320">
        <f t="shared" si="123"/>
        <v>0</v>
      </c>
      <c r="EC198" s="241">
        <f t="shared" si="124"/>
        <v>0</v>
      </c>
      <c r="ED198" s="241">
        <f t="shared" si="125"/>
        <v>0</v>
      </c>
      <c r="EE198" s="241">
        <f t="shared" si="126"/>
        <v>0</v>
      </c>
      <c r="EF198" s="241">
        <f t="shared" si="127"/>
        <v>0</v>
      </c>
      <c r="EG198" s="346">
        <f t="shared" si="128"/>
        <v>0</v>
      </c>
      <c r="EH198" s="445">
        <f t="shared" si="129"/>
        <v>0</v>
      </c>
      <c r="EI198" s="447">
        <f t="shared" si="130"/>
        <v>0</v>
      </c>
      <c r="EJ198" s="364">
        <f t="shared" si="131"/>
        <v>0</v>
      </c>
      <c r="EK198" s="365">
        <f t="shared" si="132"/>
        <v>0</v>
      </c>
      <c r="EL198" s="529">
        <f t="shared" si="133"/>
        <v>0</v>
      </c>
      <c r="EM198" s="530">
        <v>0</v>
      </c>
      <c r="EN198" s="530">
        <v>0</v>
      </c>
      <c r="EO198" s="530">
        <v>0</v>
      </c>
      <c r="EP198" s="530">
        <v>0</v>
      </c>
      <c r="EQ198" s="530">
        <v>0</v>
      </c>
      <c r="ER198" s="530">
        <v>0</v>
      </c>
      <c r="ES198" s="530">
        <v>0</v>
      </c>
      <c r="ET198" s="530">
        <v>0</v>
      </c>
      <c r="EU198" s="530">
        <v>0</v>
      </c>
      <c r="EV198" s="530">
        <v>0</v>
      </c>
      <c r="EW198" s="530">
        <v>0</v>
      </c>
      <c r="EX198" s="530">
        <v>0</v>
      </c>
      <c r="EY198" s="530">
        <f t="shared" si="134"/>
        <v>0</v>
      </c>
      <c r="EZ198" s="530">
        <f t="shared" si="135"/>
        <v>0</v>
      </c>
      <c r="FA198" s="530">
        <f t="shared" si="136"/>
        <v>0</v>
      </c>
      <c r="FB198" s="530">
        <f t="shared" si="137"/>
        <v>0</v>
      </c>
      <c r="FC198" s="384">
        <f>IFERROR(VLOOKUP(Capex!A191,BASE_558!D:R,8,FALSE)/1000,"")</f>
        <v>98.66037</v>
      </c>
      <c r="FD198" s="328">
        <f>IFERROR(VLOOKUP(Capex!A191,BASE_558!D:R,9,)/1000,"")</f>
        <v>32.433920000000001</v>
      </c>
      <c r="FE198" s="328">
        <f>IFERROR(IF(LEFT(A198,3)="LCP",(VLOOKUP(Capex!A191,BASE_558!D:R,10,)/1000),SUMIFS('BASE ICP_PO_SC'!F:F,'BASE ICP_PO_SC'!A:A,Capex!A191,'BASE ICP_PO_SC'!E:E,"&lt;&gt;")/1000),"")</f>
        <v>0</v>
      </c>
      <c r="FF198" s="328">
        <f>IFERROR(IF(LEFT(A198,3)="LCP",(VLOOKUP(Capex!A191,BASE_558!D:R,11,)/1000),SUMIFS('BASE ICP_PO_SC'!F:F,'BASE ICP_PO_SC'!A:A,Capex!A191,'BASE ICP_PO_SC'!E:E,"")/1000),"")</f>
        <v>0</v>
      </c>
      <c r="FG198" s="328">
        <f>IFERROR(VLOOKUP(A198,BASE_558!D:R,13,FALSE)/1000,"")</f>
        <v>38.536250000000003</v>
      </c>
      <c r="FH198" s="328">
        <f>IFERROR(VLOOKUP(A198,BASE_558!D:R,15,FALSE)/1000,"")</f>
        <v>6.4137500000000003</v>
      </c>
      <c r="FI198" s="547">
        <f t="shared" si="138"/>
        <v>0</v>
      </c>
      <c r="FJ198" s="547">
        <f t="shared" si="139"/>
        <v>0</v>
      </c>
      <c r="FK198" s="540">
        <f t="shared" si="140"/>
        <v>0</v>
      </c>
    </row>
    <row r="199" spans="1:167" s="23" customFormat="1" ht="24" customHeight="1">
      <c r="A199" s="84" t="s">
        <v>562</v>
      </c>
      <c r="B199" s="404"/>
      <c r="C199" s="404"/>
      <c r="D199" s="338" t="s">
        <v>889</v>
      </c>
      <c r="E199" s="378">
        <v>3145065</v>
      </c>
      <c r="F199" s="5"/>
      <c r="G199" s="310" t="s">
        <v>9</v>
      </c>
      <c r="H199" s="338"/>
      <c r="I199" s="356"/>
      <c r="J199" s="356">
        <v>2020</v>
      </c>
      <c r="K199" s="321">
        <v>44082</v>
      </c>
      <c r="L199" s="317">
        <v>44375</v>
      </c>
      <c r="M199" s="409"/>
      <c r="N199" s="317">
        <f t="shared" si="109"/>
        <v>44994</v>
      </c>
      <c r="O199" s="317">
        <f t="shared" si="110"/>
        <v>45359</v>
      </c>
      <c r="P199" s="418" t="str">
        <f t="shared" si="117"/>
        <v>CRTD</v>
      </c>
      <c r="Q199" s="418" t="str">
        <f t="shared" si="117"/>
        <v>CRTD</v>
      </c>
      <c r="R199" s="418" t="str">
        <f t="shared" si="117"/>
        <v>CRTD</v>
      </c>
      <c r="S199" s="418" t="str">
        <f t="shared" si="117"/>
        <v>CRTD</v>
      </c>
      <c r="T199" s="418" t="str">
        <f t="shared" si="117"/>
        <v>CRTD</v>
      </c>
      <c r="U199" s="418" t="str">
        <f t="shared" si="117"/>
        <v>CRTD</v>
      </c>
      <c r="V199" s="418" t="str">
        <f t="shared" si="117"/>
        <v>CRTD</v>
      </c>
      <c r="W199" s="418" t="str">
        <f t="shared" si="117"/>
        <v>CRTD</v>
      </c>
      <c r="X199" s="418" t="str">
        <f t="shared" si="117"/>
        <v>CRTD</v>
      </c>
      <c r="Y199" s="418" t="str">
        <f t="shared" si="117"/>
        <v>CRTD</v>
      </c>
      <c r="Z199" s="418" t="str">
        <f t="shared" si="117"/>
        <v>CRTD</v>
      </c>
      <c r="AA199" s="418" t="str">
        <f t="shared" si="117"/>
        <v>CRTD</v>
      </c>
      <c r="AB199" s="350"/>
      <c r="AC199" s="309" t="s">
        <v>3932</v>
      </c>
      <c r="AD199" s="311" t="s">
        <v>5</v>
      </c>
      <c r="AE199" s="381" t="s">
        <v>952</v>
      </c>
      <c r="AF199" s="310" t="s">
        <v>6985</v>
      </c>
      <c r="AG199" s="310" t="s">
        <v>9083</v>
      </c>
      <c r="AH199" s="310" t="s">
        <v>3252</v>
      </c>
      <c r="AI199" s="309" t="s">
        <v>187</v>
      </c>
      <c r="AJ199" s="6" t="s">
        <v>218</v>
      </c>
      <c r="AK199" s="6" t="str">
        <f t="shared" si="118"/>
        <v>IGUAL</v>
      </c>
      <c r="AL199" s="151" t="str">
        <f>IFERROR(IF(LEFT(A199,3)="LCP",VLOOKUP(A199,STATUS_SAP_LCP!B:C,2,FALSE),VLOOKUP(A199,STATUS_SAP_ICP!B:C,2,FALSE)),"NO BUDGET")</f>
        <v>CLSD BUDG AUC  AVAC  //  APPR BREL EXPL</v>
      </c>
      <c r="AM199" s="6" t="str">
        <f t="shared" si="116"/>
        <v>CLSD</v>
      </c>
      <c r="AN199" s="282" t="s">
        <v>9085</v>
      </c>
      <c r="AO199" s="562">
        <v>1</v>
      </c>
      <c r="AP199" s="499" t="s">
        <v>9607</v>
      </c>
      <c r="AQ199" s="465">
        <v>44375</v>
      </c>
      <c r="AR199" s="460"/>
      <c r="AS199" s="56"/>
      <c r="AT199" s="185">
        <v>43.249250000000004</v>
      </c>
      <c r="AU199" s="318">
        <v>27.988940000000003</v>
      </c>
      <c r="AV199" s="223">
        <v>0</v>
      </c>
      <c r="AW199" s="318">
        <v>0</v>
      </c>
      <c r="AX199" s="223">
        <v>0</v>
      </c>
      <c r="AY199" s="318">
        <f t="shared" si="111"/>
        <v>0</v>
      </c>
      <c r="AZ199" s="223"/>
      <c r="BA199" s="318"/>
      <c r="BB199" s="519">
        <f t="shared" si="112"/>
        <v>0</v>
      </c>
      <c r="BC199" s="518"/>
      <c r="BD199" s="518"/>
      <c r="BE199" s="518"/>
      <c r="BF199" s="518"/>
      <c r="BG199" s="518"/>
      <c r="BH199" s="518"/>
      <c r="BI199" s="518"/>
      <c r="BJ199" s="518"/>
      <c r="BK199" s="518"/>
      <c r="BL199" s="518"/>
      <c r="BM199" s="518"/>
      <c r="BN199" s="518"/>
      <c r="BO199" s="367">
        <f t="shared" si="119"/>
        <v>0</v>
      </c>
      <c r="BP199" s="421"/>
      <c r="BQ199" s="422"/>
      <c r="BR199" s="423">
        <f>IFERROR(IF(LEFT($A199,3)="Lcp",SUMIFS('BASE-LCP'!$K:$K,'BASE-LCP'!$A:$A,Capex!$A192,'BASE-LCP'!$B:$B,"janeiro")/1000,IF(LEFT($A199,3)="icp",SUMIFS('BASE-ICP'!$K:$K,'BASE-ICP'!$A:$A,Capex!$A192,'BASE-ICP'!$B:$B,"janeiro")/1000,"")),"")</f>
        <v>0</v>
      </c>
      <c r="BS199" s="427">
        <v>0</v>
      </c>
      <c r="BT199" s="372">
        <v>0</v>
      </c>
      <c r="BU199" s="422"/>
      <c r="BV199" s="423">
        <f>IFERROR(IF(LEFT($A199,3)="Lcp",SUMIFS('BASE-LCP'!$K:$K,'BASE-LCP'!$A:$A,Capex!$A192,'BASE-LCP'!$B:$B,"fevereiro")/1000,IF(LEFT($A199,3)="icp",SUMIFS('BASE-ICP'!$K:$K,'BASE-ICP'!$A:$A,Capex!$A192,'BASE-ICP'!$B:$B,"fevereiro")/1000,"")),"")</f>
        <v>0</v>
      </c>
      <c r="BW199" s="427">
        <v>0</v>
      </c>
      <c r="BX199" s="372">
        <v>0</v>
      </c>
      <c r="BY199" s="419"/>
      <c r="BZ199" s="423">
        <f>IFERROR(IF(LEFT($A199,3)="Lcp",SUMIFS('BASE-LCP'!$K:$K,'BASE-LCP'!$A:$A,Capex!$A192,'BASE-LCP'!$B:$B,"março")/1000,IF(LEFT($A199,3)="icp",SUMIFS('BASE-ICP'!$K:$K,'BASE-ICP'!$A:$A,Capex!$A192,'BASE-ICP'!$B:$B,"março")/1000,"")),"")</f>
        <v>0</v>
      </c>
      <c r="CA199" s="427">
        <v>0</v>
      </c>
      <c r="CB199" s="372">
        <v>0</v>
      </c>
      <c r="CC199" s="422"/>
      <c r="CD199" s="423">
        <f>IFERROR(IF(LEFT($A199,3)="Lcp",SUMIFS('BASE-LCP'!$K:$K,'BASE-LCP'!$A:$A,Capex!$A192,'BASE-LCP'!$B:$B,"abril")/1000,IF(LEFT($A199,3)="icp",SUMIFS('BASE-ICP'!$K:$K,'BASE-ICP'!$A:$A,Capex!$A192,'BASE-ICP'!$B:$B,"abril")/1000,"")),"")</f>
        <v>0</v>
      </c>
      <c r="CE199" s="427">
        <v>0</v>
      </c>
      <c r="CF199" s="372">
        <v>0</v>
      </c>
      <c r="CG199" s="419"/>
      <c r="CH199" s="423">
        <v>0</v>
      </c>
      <c r="CI199" s="427">
        <v>0</v>
      </c>
      <c r="CJ199" s="372">
        <v>0</v>
      </c>
      <c r="CK199" s="419"/>
      <c r="CL199" s="423">
        <f>IFERROR(IF(LEFT($A199,3)="Lcp",SUMIFS('BASE-LCP'!$K:$K,'BASE-LCP'!$A:$A,Capex!$A192,'BASE-LCP'!$B:$B,"junho")/1000,IF(LEFT($A199,3)="icp",SUMIFS('BASE-ICP'!$K:$K,'BASE-ICP'!$A:$A,Capex!$A192,'BASE-ICP'!$B:$B,"junho")/1000,"")),"")</f>
        <v>0</v>
      </c>
      <c r="CM199" s="427">
        <v>0</v>
      </c>
      <c r="CN199" s="372"/>
      <c r="CO199" s="419"/>
      <c r="CP199" s="423">
        <f>IFERROR(IF(LEFT($A199,3)="Lcp",SUMIFS('BASE-LCP'!$K:$K,'BASE-LCP'!$A:$A,Capex!$A192,'BASE-LCP'!$B:$B,"julho")/1000,IF(LEFT($A199,3)="icp",SUMIFS('BASE-ICP'!$K:$K,'BASE-ICP'!$A:$A,Capex!$A192,'BASE-ICP'!$B:$B,"julho")/1000,"")),"")</f>
        <v>0</v>
      </c>
      <c r="CQ199" s="427">
        <v>0</v>
      </c>
      <c r="CR199" s="372"/>
      <c r="CS199" s="419"/>
      <c r="CT199" s="423">
        <f>IFERROR(IF(LEFT($A199,3)="Lcp",SUMIFS('BASE-LCP'!$K:$K,'BASE-LCP'!$A:$A,Capex!$A192,'BASE-LCP'!$B:$B,"agosto")/1000,IF(LEFT($A199,3)="icp",SUMIFS('BASE-ICP'!$K:$K,'BASE-ICP'!$A:$A,Capex!$A192,'BASE-ICP'!$B:$B,"agosto")/1000,"")),"")</f>
        <v>0</v>
      </c>
      <c r="CU199" s="427">
        <v>0</v>
      </c>
      <c r="CV199" s="372"/>
      <c r="CW199" s="419"/>
      <c r="CX199" s="423">
        <f>IFERROR(IF(LEFT($A199,3)="Lcp",SUMIFS('BASE-LCP'!$K:$K,'BASE-LCP'!$A:$A,Capex!$A192,'BASE-LCP'!$B:$B,"setembro")/1000,IF(LEFT($A199,3)="icp",SUMIFS('BASE-ICP'!$K:$K,'BASE-ICP'!$A:$A,Capex!$A192,'BASE-ICP'!$B:$B,"setembro")/1000,"")),"")</f>
        <v>0</v>
      </c>
      <c r="CY199" s="427">
        <v>0</v>
      </c>
      <c r="CZ199" s="372"/>
      <c r="DA199" s="419"/>
      <c r="DB199" s="423">
        <f>IFERROR(IF(LEFT($A199,3)="Lcp",SUMIFS('BASE-LCP'!$K:$K,'BASE-LCP'!$A:$A,Capex!$A192,'BASE-LCP'!$B:$B,"outubro")/1000,IF(LEFT($A199,3)="icp",SUMIFS('BASE-ICP'!$K:$K,'BASE-ICP'!$A:$A,Capex!$A192,'BASE-ICP'!$B:$B,"outubro")/1000,"")),"")</f>
        <v>0</v>
      </c>
      <c r="DC199" s="427">
        <v>0</v>
      </c>
      <c r="DD199" s="372"/>
      <c r="DE199" s="419"/>
      <c r="DF199" s="423">
        <f>IFERROR(IF(LEFT($A199,3)="Lcp",SUMIFS('BASE-LCP'!$K:$K,'BASE-LCP'!$A:$A,Capex!$A192,'BASE-LCP'!$B:$B,"novembro")/1000,IF(LEFT($A199,3)="icp",SUMIFS('BASE-ICP'!$K:$K,'BASE-ICP'!$A:$A,Capex!$A192,'BASE-ICP'!$B:$B,"novembro")/1000,"")),"")</f>
        <v>0</v>
      </c>
      <c r="DG199" s="427">
        <v>0</v>
      </c>
      <c r="DH199" s="372"/>
      <c r="DI199" s="419"/>
      <c r="DJ199" s="423">
        <f>IFERROR(IF(LEFT($A199,3)="Lcp",SUMIFS('BASE-LCP'!$K:$K,'BASE-LCP'!$A:$A,Capex!$A192,'BASE-LCP'!$B:$B,"dezembro")/1000,IF(LEFT($A199,3)="icp",SUMIFS('BASE-ICP'!$K:$K,'BASE-ICP'!$A:$A,Capex!$A192,'BASE-ICP'!$B:$B,"dezembro")/1000,"")),"")</f>
        <v>0</v>
      </c>
      <c r="DK199" s="427">
        <v>0</v>
      </c>
      <c r="DL199" s="452">
        <f t="shared" si="120"/>
        <v>0</v>
      </c>
      <c r="DM199" s="374"/>
      <c r="DN199" s="374"/>
      <c r="DO199" s="374"/>
      <c r="DP199" s="374"/>
      <c r="DQ199" s="374"/>
      <c r="DR199" s="374"/>
      <c r="DS199" s="374"/>
      <c r="DT199" s="374"/>
      <c r="DU199" s="374"/>
      <c r="DV199" s="374"/>
      <c r="DW199" s="374"/>
      <c r="DX199" s="374"/>
      <c r="DY199" s="450"/>
      <c r="DZ199" s="374">
        <f t="shared" si="121"/>
        <v>0</v>
      </c>
      <c r="EA199" s="216">
        <f t="shared" si="122"/>
        <v>0</v>
      </c>
      <c r="EB199" s="320">
        <f t="shared" si="123"/>
        <v>0</v>
      </c>
      <c r="EC199" s="241">
        <f t="shared" si="124"/>
        <v>0</v>
      </c>
      <c r="ED199" s="241">
        <f t="shared" si="125"/>
        <v>0</v>
      </c>
      <c r="EE199" s="241">
        <f t="shared" si="126"/>
        <v>0</v>
      </c>
      <c r="EF199" s="241">
        <f t="shared" si="127"/>
        <v>0</v>
      </c>
      <c r="EG199" s="346">
        <f t="shared" si="128"/>
        <v>0</v>
      </c>
      <c r="EH199" s="445">
        <f t="shared" si="129"/>
        <v>0</v>
      </c>
      <c r="EI199" s="447">
        <f t="shared" si="130"/>
        <v>0</v>
      </c>
      <c r="EJ199" s="364">
        <f t="shared" si="131"/>
        <v>0</v>
      </c>
      <c r="EK199" s="365">
        <f t="shared" si="132"/>
        <v>0</v>
      </c>
      <c r="EL199" s="529">
        <f t="shared" si="133"/>
        <v>0</v>
      </c>
      <c r="EM199" s="530">
        <v>0</v>
      </c>
      <c r="EN199" s="530">
        <v>0</v>
      </c>
      <c r="EO199" s="530">
        <v>0</v>
      </c>
      <c r="EP199" s="530">
        <v>0</v>
      </c>
      <c r="EQ199" s="530">
        <v>0</v>
      </c>
      <c r="ER199" s="530">
        <v>0</v>
      </c>
      <c r="ES199" s="530">
        <v>0</v>
      </c>
      <c r="ET199" s="530">
        <v>0</v>
      </c>
      <c r="EU199" s="530">
        <v>0</v>
      </c>
      <c r="EV199" s="530">
        <v>0</v>
      </c>
      <c r="EW199" s="530">
        <v>0</v>
      </c>
      <c r="EX199" s="530">
        <v>0</v>
      </c>
      <c r="EY199" s="530">
        <f t="shared" si="134"/>
        <v>0</v>
      </c>
      <c r="EZ199" s="530">
        <f t="shared" si="135"/>
        <v>0</v>
      </c>
      <c r="FA199" s="530">
        <f t="shared" si="136"/>
        <v>0</v>
      </c>
      <c r="FB199" s="530">
        <f t="shared" si="137"/>
        <v>0</v>
      </c>
      <c r="FC199" s="384">
        <f>IFERROR(VLOOKUP(Capex!A192,BASE_558!D:R,8,FALSE)/1000,"")</f>
        <v>63.145000000000003</v>
      </c>
      <c r="FD199" s="328">
        <f>IFERROR(VLOOKUP(Capex!A192,BASE_558!D:R,9,)/1000,"")</f>
        <v>59.153419999999997</v>
      </c>
      <c r="FE199" s="328">
        <f>IFERROR(IF(LEFT(A199,3)="LCP",(VLOOKUP(Capex!A192,BASE_558!D:R,10,)/1000),SUMIFS('BASE ICP_PO_SC'!F:F,'BASE ICP_PO_SC'!A:A,Capex!A192,'BASE ICP_PO_SC'!E:E,"&lt;&gt;")/1000),"")</f>
        <v>0</v>
      </c>
      <c r="FF199" s="328">
        <f>IFERROR(IF(LEFT(A199,3)="LCP",(VLOOKUP(Capex!A192,BASE_558!D:R,11,)/1000),SUMIFS('BASE ICP_PO_SC'!F:F,'BASE ICP_PO_SC'!A:A,Capex!A192,'BASE ICP_PO_SC'!E:E,"")/1000),"")</f>
        <v>0</v>
      </c>
      <c r="FG199" s="328">
        <f>IFERROR(VLOOKUP(A199,BASE_558!D:R,13,FALSE)/1000,"")</f>
        <v>71.238190000000003</v>
      </c>
      <c r="FH199" s="328">
        <f>IFERROR(VLOOKUP(A199,BASE_558!D:R,15,FALSE)/1000,"")</f>
        <v>0.48881000000000002</v>
      </c>
      <c r="FI199" s="547">
        <f t="shared" si="138"/>
        <v>0</v>
      </c>
      <c r="FJ199" s="547">
        <f t="shared" si="139"/>
        <v>0</v>
      </c>
      <c r="FK199" s="540">
        <f t="shared" si="140"/>
        <v>0</v>
      </c>
    </row>
    <row r="200" spans="1:167" s="23" customFormat="1" ht="24" customHeight="1">
      <c r="A200" s="84" t="s">
        <v>590</v>
      </c>
      <c r="B200" s="404"/>
      <c r="C200" s="404"/>
      <c r="D200" s="338" t="s">
        <v>875</v>
      </c>
      <c r="E200" s="378">
        <v>3178494</v>
      </c>
      <c r="F200" s="310"/>
      <c r="G200" s="310" t="s">
        <v>9</v>
      </c>
      <c r="H200" s="356"/>
      <c r="I200" s="356"/>
      <c r="J200" s="356">
        <v>2020</v>
      </c>
      <c r="K200" s="321">
        <v>44112</v>
      </c>
      <c r="L200" s="317">
        <v>45288</v>
      </c>
      <c r="M200" s="409"/>
      <c r="N200" s="317">
        <f t="shared" si="109"/>
        <v>45024</v>
      </c>
      <c r="O200" s="317">
        <f t="shared" si="110"/>
        <v>45389</v>
      </c>
      <c r="P200" s="418" t="str">
        <f t="shared" si="117"/>
        <v>CRTD</v>
      </c>
      <c r="Q200" s="418" t="str">
        <f t="shared" si="117"/>
        <v>CRTD</v>
      </c>
      <c r="R200" s="418" t="str">
        <f t="shared" si="117"/>
        <v>CRTD</v>
      </c>
      <c r="S200" s="418" t="str">
        <f t="shared" si="117"/>
        <v>CRTD</v>
      </c>
      <c r="T200" s="418" t="str">
        <f t="shared" si="117"/>
        <v>CRTD</v>
      </c>
      <c r="U200" s="418" t="str">
        <f t="shared" si="117"/>
        <v>CRTD</v>
      </c>
      <c r="V200" s="418" t="str">
        <f t="shared" si="117"/>
        <v>CRTD</v>
      </c>
      <c r="W200" s="418" t="str">
        <f t="shared" si="117"/>
        <v>CRTD</v>
      </c>
      <c r="X200" s="418" t="str">
        <f t="shared" si="117"/>
        <v>CRTD</v>
      </c>
      <c r="Y200" s="418" t="str">
        <f t="shared" si="117"/>
        <v>CRTD</v>
      </c>
      <c r="Z200" s="418" t="str">
        <f t="shared" si="117"/>
        <v>CRTD</v>
      </c>
      <c r="AA200" s="418" t="str">
        <f t="shared" si="117"/>
        <v>CRTD</v>
      </c>
      <c r="AB200" s="350"/>
      <c r="AC200" s="309" t="s">
        <v>3932</v>
      </c>
      <c r="AD200" s="311" t="s">
        <v>985</v>
      </c>
      <c r="AE200" s="381" t="s">
        <v>186</v>
      </c>
      <c r="AF200" s="310" t="s">
        <v>6985</v>
      </c>
      <c r="AG200" s="310" t="s">
        <v>9083</v>
      </c>
      <c r="AH200" s="310" t="s">
        <v>643</v>
      </c>
      <c r="AI200" s="381" t="s">
        <v>186</v>
      </c>
      <c r="AJ200" s="6" t="s">
        <v>218</v>
      </c>
      <c r="AK200" s="6" t="str">
        <f t="shared" si="118"/>
        <v>IGUAL</v>
      </c>
      <c r="AL200" s="151" t="str">
        <f>IFERROR(IF(LEFT(A200,3)="LCP",VLOOKUP(A200,STATUS_SAP_LCP!B:C,2,FALSE),VLOOKUP(A200,STATUS_SAP_ICP!B:C,2,FALSE)),"NO BUDGET")</f>
        <v>CLSD BUDG AVAC  //  APPR BREL EXPL</v>
      </c>
      <c r="AM200" s="6" t="str">
        <f t="shared" si="116"/>
        <v>CLSD</v>
      </c>
      <c r="AN200" s="282" t="s">
        <v>9093</v>
      </c>
      <c r="AO200" s="493">
        <v>1</v>
      </c>
      <c r="AP200" s="499" t="s">
        <v>9607</v>
      </c>
      <c r="AQ200" s="465">
        <v>45288</v>
      </c>
      <c r="AR200" s="460"/>
      <c r="AS200" s="56">
        <v>0</v>
      </c>
      <c r="AT200" s="185">
        <v>255.36016999999998</v>
      </c>
      <c r="AU200" s="318">
        <v>125.53379999999999</v>
      </c>
      <c r="AV200" s="223">
        <v>4.6609999999999996</v>
      </c>
      <c r="AW200" s="318">
        <v>0</v>
      </c>
      <c r="AX200" s="223">
        <v>0</v>
      </c>
      <c r="AY200" s="318">
        <f t="shared" si="111"/>
        <v>0</v>
      </c>
      <c r="AZ200" s="223"/>
      <c r="BA200" s="318"/>
      <c r="BB200" s="519">
        <f t="shared" si="112"/>
        <v>0</v>
      </c>
      <c r="BC200" s="518"/>
      <c r="BD200" s="518"/>
      <c r="BE200" s="518"/>
      <c r="BF200" s="518"/>
      <c r="BG200" s="518"/>
      <c r="BH200" s="518"/>
      <c r="BI200" s="518"/>
      <c r="BJ200" s="518"/>
      <c r="BK200" s="518"/>
      <c r="BL200" s="518"/>
      <c r="BM200" s="518"/>
      <c r="BN200" s="518"/>
      <c r="BO200" s="367">
        <f t="shared" si="119"/>
        <v>0</v>
      </c>
      <c r="BP200" s="421"/>
      <c r="BQ200" s="422"/>
      <c r="BR200" s="423">
        <f>IFERROR(IF(LEFT($A200,3)="Lcp",SUMIFS('BASE-LCP'!$K:$K,'BASE-LCP'!$A:$A,Capex!$A193,'BASE-LCP'!$B:$B,"janeiro")/1000,IF(LEFT($A200,3)="icp",SUMIFS('BASE-ICP'!$K:$K,'BASE-ICP'!$A:$A,Capex!$A193,'BASE-ICP'!$B:$B,"janeiro")/1000,"")),"")</f>
        <v>0</v>
      </c>
      <c r="BS200" s="427">
        <v>0</v>
      </c>
      <c r="BT200" s="372">
        <v>0</v>
      </c>
      <c r="BU200" s="422"/>
      <c r="BV200" s="423">
        <f>IFERROR(IF(LEFT($A200,3)="Lcp",SUMIFS('BASE-LCP'!$K:$K,'BASE-LCP'!$A:$A,Capex!$A193,'BASE-LCP'!$B:$B,"fevereiro")/1000,IF(LEFT($A200,3)="icp",SUMIFS('BASE-ICP'!$K:$K,'BASE-ICP'!$A:$A,Capex!$A193,'BASE-ICP'!$B:$B,"fevereiro")/1000,"")),"")</f>
        <v>0</v>
      </c>
      <c r="BW200" s="427">
        <v>0</v>
      </c>
      <c r="BX200" s="372">
        <v>0</v>
      </c>
      <c r="BY200" s="419"/>
      <c r="BZ200" s="423">
        <f>IFERROR(IF(LEFT($A200,3)="Lcp",SUMIFS('BASE-LCP'!$K:$K,'BASE-LCP'!$A:$A,Capex!$A193,'BASE-LCP'!$B:$B,"março")/1000,IF(LEFT($A200,3)="icp",SUMIFS('BASE-ICP'!$K:$K,'BASE-ICP'!$A:$A,Capex!$A193,'BASE-ICP'!$B:$B,"março")/1000,"")),"")</f>
        <v>0</v>
      </c>
      <c r="CA200" s="427">
        <v>0</v>
      </c>
      <c r="CB200" s="372">
        <v>0</v>
      </c>
      <c r="CC200" s="422"/>
      <c r="CD200" s="423">
        <f>IFERROR(IF(LEFT($A200,3)="Lcp",SUMIFS('BASE-LCP'!$K:$K,'BASE-LCP'!$A:$A,Capex!$A193,'BASE-LCP'!$B:$B,"abril")/1000,IF(LEFT($A200,3)="icp",SUMIFS('BASE-ICP'!$K:$K,'BASE-ICP'!$A:$A,Capex!$A193,'BASE-ICP'!$B:$B,"abril")/1000,"")),"")</f>
        <v>0</v>
      </c>
      <c r="CE200" s="427">
        <v>0</v>
      </c>
      <c r="CF200" s="372">
        <v>0</v>
      </c>
      <c r="CG200" s="419"/>
      <c r="CH200" s="423">
        <v>0</v>
      </c>
      <c r="CI200" s="427">
        <v>0</v>
      </c>
      <c r="CJ200" s="372">
        <v>0</v>
      </c>
      <c r="CK200" s="419"/>
      <c r="CL200" s="423">
        <f>IFERROR(IF(LEFT($A200,3)="Lcp",SUMIFS('BASE-LCP'!$K:$K,'BASE-LCP'!$A:$A,Capex!$A193,'BASE-LCP'!$B:$B,"junho")/1000,IF(LEFT($A200,3)="icp",SUMIFS('BASE-ICP'!$K:$K,'BASE-ICP'!$A:$A,Capex!$A193,'BASE-ICP'!$B:$B,"junho")/1000,"")),"")</f>
        <v>0</v>
      </c>
      <c r="CM200" s="427">
        <v>0</v>
      </c>
      <c r="CN200" s="372"/>
      <c r="CO200" s="419"/>
      <c r="CP200" s="423">
        <f>IFERROR(IF(LEFT($A200,3)="Lcp",SUMIFS('BASE-LCP'!$K:$K,'BASE-LCP'!$A:$A,Capex!$A193,'BASE-LCP'!$B:$B,"julho")/1000,IF(LEFT($A200,3)="icp",SUMIFS('BASE-ICP'!$K:$K,'BASE-ICP'!$A:$A,Capex!$A193,'BASE-ICP'!$B:$B,"julho")/1000,"")),"")</f>
        <v>0</v>
      </c>
      <c r="CQ200" s="427">
        <v>0</v>
      </c>
      <c r="CR200" s="372"/>
      <c r="CS200" s="419"/>
      <c r="CT200" s="423">
        <f>IFERROR(IF(LEFT($A200,3)="Lcp",SUMIFS('BASE-LCP'!$K:$K,'BASE-LCP'!$A:$A,Capex!$A193,'BASE-LCP'!$B:$B,"agosto")/1000,IF(LEFT($A200,3)="icp",SUMIFS('BASE-ICP'!$K:$K,'BASE-ICP'!$A:$A,Capex!$A193,'BASE-ICP'!$B:$B,"agosto")/1000,"")),"")</f>
        <v>0</v>
      </c>
      <c r="CU200" s="427">
        <v>0</v>
      </c>
      <c r="CV200" s="372"/>
      <c r="CW200" s="419"/>
      <c r="CX200" s="423">
        <f>IFERROR(IF(LEFT($A200,3)="Lcp",SUMIFS('BASE-LCP'!$K:$K,'BASE-LCP'!$A:$A,Capex!$A193,'BASE-LCP'!$B:$B,"setembro")/1000,IF(LEFT($A200,3)="icp",SUMIFS('BASE-ICP'!$K:$K,'BASE-ICP'!$A:$A,Capex!$A193,'BASE-ICP'!$B:$B,"setembro")/1000,"")),"")</f>
        <v>0</v>
      </c>
      <c r="CY200" s="427">
        <v>0</v>
      </c>
      <c r="CZ200" s="372"/>
      <c r="DA200" s="419"/>
      <c r="DB200" s="423">
        <f>IFERROR(IF(LEFT($A200,3)="Lcp",SUMIFS('BASE-LCP'!$K:$K,'BASE-LCP'!$A:$A,Capex!$A193,'BASE-LCP'!$B:$B,"outubro")/1000,IF(LEFT($A200,3)="icp",SUMIFS('BASE-ICP'!$K:$K,'BASE-ICP'!$A:$A,Capex!$A193,'BASE-ICP'!$B:$B,"outubro")/1000,"")),"")</f>
        <v>0</v>
      </c>
      <c r="DC200" s="427">
        <v>0</v>
      </c>
      <c r="DD200" s="372"/>
      <c r="DE200" s="419"/>
      <c r="DF200" s="423">
        <f>IFERROR(IF(LEFT($A200,3)="Lcp",SUMIFS('BASE-LCP'!$K:$K,'BASE-LCP'!$A:$A,Capex!$A193,'BASE-LCP'!$B:$B,"novembro")/1000,IF(LEFT($A200,3)="icp",SUMIFS('BASE-ICP'!$K:$K,'BASE-ICP'!$A:$A,Capex!$A193,'BASE-ICP'!$B:$B,"novembro")/1000,"")),"")</f>
        <v>0</v>
      </c>
      <c r="DG200" s="427">
        <v>0</v>
      </c>
      <c r="DH200" s="372"/>
      <c r="DI200" s="419"/>
      <c r="DJ200" s="423">
        <f>IFERROR(IF(LEFT($A200,3)="Lcp",SUMIFS('BASE-LCP'!$K:$K,'BASE-LCP'!$A:$A,Capex!$A193,'BASE-LCP'!$B:$B,"dezembro")/1000,IF(LEFT($A200,3)="icp",SUMIFS('BASE-ICP'!$K:$K,'BASE-ICP'!$A:$A,Capex!$A193,'BASE-ICP'!$B:$B,"dezembro")/1000,"")),"")</f>
        <v>0</v>
      </c>
      <c r="DK200" s="427">
        <v>0</v>
      </c>
      <c r="DL200" s="452">
        <f t="shared" si="120"/>
        <v>0</v>
      </c>
      <c r="DM200" s="374"/>
      <c r="DN200" s="374"/>
      <c r="DO200" s="374"/>
      <c r="DP200" s="374"/>
      <c r="DQ200" s="374"/>
      <c r="DR200" s="374"/>
      <c r="DS200" s="374"/>
      <c r="DT200" s="374"/>
      <c r="DU200" s="374"/>
      <c r="DV200" s="374"/>
      <c r="DW200" s="374"/>
      <c r="DX200" s="374"/>
      <c r="DY200" s="450"/>
      <c r="DZ200" s="374">
        <f t="shared" si="121"/>
        <v>0</v>
      </c>
      <c r="EA200" s="216">
        <f t="shared" si="122"/>
        <v>0</v>
      </c>
      <c r="EB200" s="320">
        <f t="shared" si="123"/>
        <v>0</v>
      </c>
      <c r="EC200" s="241">
        <f t="shared" si="124"/>
        <v>0</v>
      </c>
      <c r="ED200" s="241">
        <f t="shared" si="125"/>
        <v>0</v>
      </c>
      <c r="EE200" s="241">
        <f t="shared" si="126"/>
        <v>0</v>
      </c>
      <c r="EF200" s="241">
        <f t="shared" si="127"/>
        <v>0</v>
      </c>
      <c r="EG200" s="346">
        <f t="shared" si="128"/>
        <v>0</v>
      </c>
      <c r="EH200" s="445">
        <f t="shared" si="129"/>
        <v>0</v>
      </c>
      <c r="EI200" s="447">
        <f t="shared" si="130"/>
        <v>0</v>
      </c>
      <c r="EJ200" s="364">
        <f t="shared" si="131"/>
        <v>0</v>
      </c>
      <c r="EK200" s="365">
        <f t="shared" si="132"/>
        <v>0</v>
      </c>
      <c r="EL200" s="529">
        <f t="shared" si="133"/>
        <v>0</v>
      </c>
      <c r="EM200" s="530">
        <v>0</v>
      </c>
      <c r="EN200" s="530">
        <v>0</v>
      </c>
      <c r="EO200" s="530">
        <v>0</v>
      </c>
      <c r="EP200" s="530">
        <v>0</v>
      </c>
      <c r="EQ200" s="530">
        <v>0</v>
      </c>
      <c r="ER200" s="530">
        <v>0</v>
      </c>
      <c r="ES200" s="530">
        <v>0</v>
      </c>
      <c r="ET200" s="530">
        <v>0</v>
      </c>
      <c r="EU200" s="530">
        <v>0</v>
      </c>
      <c r="EV200" s="530">
        <v>0</v>
      </c>
      <c r="EW200" s="530">
        <v>0</v>
      </c>
      <c r="EX200" s="530">
        <v>0</v>
      </c>
      <c r="EY200" s="530">
        <f t="shared" si="134"/>
        <v>0</v>
      </c>
      <c r="EZ200" s="530">
        <f t="shared" si="135"/>
        <v>0</v>
      </c>
      <c r="FA200" s="530">
        <f t="shared" si="136"/>
        <v>0</v>
      </c>
      <c r="FB200" s="530">
        <f t="shared" si="137"/>
        <v>0</v>
      </c>
      <c r="FC200" s="384">
        <f>IFERROR(VLOOKUP(Capex!A193,BASE_558!D:R,8,FALSE)/1000,"")</f>
        <v>239.983</v>
      </c>
      <c r="FD200" s="328">
        <f>IFERROR(VLOOKUP(Capex!A193,BASE_558!D:R,9,)/1000,"")</f>
        <v>239.06292999999999</v>
      </c>
      <c r="FE200" s="328">
        <f>IFERROR(IF(LEFT(A200,3)="LCP",(VLOOKUP(Capex!A193,BASE_558!D:R,10,)/1000),SUMIFS('BASE ICP_PO_SC'!F:F,'BASE ICP_PO_SC'!A:A,Capex!A193,'BASE ICP_PO_SC'!E:E,"&lt;&gt;")/1000),"")</f>
        <v>0</v>
      </c>
      <c r="FF200" s="328">
        <f>IFERROR(IF(LEFT(A200,3)="LCP",(VLOOKUP(Capex!A193,BASE_558!D:R,11,)/1000),SUMIFS('BASE ICP_PO_SC'!F:F,'BASE ICP_PO_SC'!A:A,Capex!A193,'BASE ICP_PO_SC'!E:E,"")/1000),"")</f>
        <v>0</v>
      </c>
      <c r="FG200" s="328">
        <f>IFERROR(VLOOKUP(A200,BASE_558!D:R,13,FALSE)/1000,"")</f>
        <v>385.55496999999997</v>
      </c>
      <c r="FH200" s="328">
        <f>IFERROR(VLOOKUP(A200,BASE_558!D:R,15,FALSE)/1000,"")</f>
        <v>6.3846999999999996</v>
      </c>
      <c r="FI200" s="547">
        <f t="shared" si="138"/>
        <v>0</v>
      </c>
      <c r="FJ200" s="547">
        <f t="shared" si="139"/>
        <v>0</v>
      </c>
      <c r="FK200" s="540">
        <f t="shared" si="140"/>
        <v>0</v>
      </c>
    </row>
    <row r="201" spans="1:167" s="23" customFormat="1" ht="24" customHeight="1">
      <c r="A201" s="84" t="s">
        <v>717</v>
      </c>
      <c r="B201" s="404"/>
      <c r="C201" s="404" t="s">
        <v>602</v>
      </c>
      <c r="D201" s="338" t="s">
        <v>2257</v>
      </c>
      <c r="E201" s="378">
        <v>3344507</v>
      </c>
      <c r="F201" s="310"/>
      <c r="G201" s="310" t="s">
        <v>9</v>
      </c>
      <c r="H201" s="356"/>
      <c r="I201" s="356"/>
      <c r="J201" s="356">
        <v>2020</v>
      </c>
      <c r="K201" s="321">
        <v>44214</v>
      </c>
      <c r="L201" s="317">
        <v>44433</v>
      </c>
      <c r="M201" s="409"/>
      <c r="N201" s="317">
        <f t="shared" si="109"/>
        <v>45126</v>
      </c>
      <c r="O201" s="317">
        <f t="shared" si="110"/>
        <v>45491</v>
      </c>
      <c r="P201" s="418" t="str">
        <f t="shared" si="117"/>
        <v>CRTD</v>
      </c>
      <c r="Q201" s="418" t="str">
        <f t="shared" si="117"/>
        <v>CRTD</v>
      </c>
      <c r="R201" s="418" t="str">
        <f t="shared" si="117"/>
        <v>CRTD</v>
      </c>
      <c r="S201" s="418" t="str">
        <f t="shared" si="117"/>
        <v>CRTD</v>
      </c>
      <c r="T201" s="418" t="str">
        <f t="shared" si="117"/>
        <v>CRTD</v>
      </c>
      <c r="U201" s="418" t="str">
        <f t="shared" si="117"/>
        <v>CRTD</v>
      </c>
      <c r="V201" s="418" t="str">
        <f t="shared" si="117"/>
        <v>CRTD</v>
      </c>
      <c r="W201" s="418" t="str">
        <f t="shared" si="117"/>
        <v>CRTD</v>
      </c>
      <c r="X201" s="418" t="str">
        <f t="shared" si="117"/>
        <v>CRTD</v>
      </c>
      <c r="Y201" s="418" t="str">
        <f t="shared" si="117"/>
        <v>CRTD</v>
      </c>
      <c r="Z201" s="418" t="str">
        <f t="shared" si="117"/>
        <v>CRTD</v>
      </c>
      <c r="AA201" s="418" t="str">
        <f t="shared" si="117"/>
        <v>CRTD</v>
      </c>
      <c r="AB201" s="350"/>
      <c r="AC201" s="309" t="s">
        <v>3931</v>
      </c>
      <c r="AD201" s="311" t="s">
        <v>223</v>
      </c>
      <c r="AE201" s="381"/>
      <c r="AF201" s="310" t="s">
        <v>6985</v>
      </c>
      <c r="AG201" s="310" t="s">
        <v>9083</v>
      </c>
      <c r="AH201" s="310" t="s">
        <v>3253</v>
      </c>
      <c r="AI201" s="381" t="s">
        <v>188</v>
      </c>
      <c r="AJ201" s="6" t="s">
        <v>218</v>
      </c>
      <c r="AK201" s="6" t="str">
        <f t="shared" si="118"/>
        <v>IGUAL</v>
      </c>
      <c r="AL201" s="151" t="str">
        <f>IFERROR(IF(LEFT(A201,3)="LCP",VLOOKUP(A201,STATUS_SAP_LCP!B:C,2,FALSE),VLOOKUP(A201,STATUS_SAP_ICP!B:C,2,FALSE)),"NO BUDGET")</f>
        <v>CLSD BUDG AUC  AVAC  //  APPR BREL EXPL</v>
      </c>
      <c r="AM201" s="6" t="str">
        <f t="shared" si="116"/>
        <v>CLSD</v>
      </c>
      <c r="AN201" s="282" t="s">
        <v>9096</v>
      </c>
      <c r="AO201" s="493">
        <v>1</v>
      </c>
      <c r="AP201" s="499" t="s">
        <v>9607</v>
      </c>
      <c r="AQ201" s="465">
        <v>44433</v>
      </c>
      <c r="AR201" s="460"/>
      <c r="AS201" s="56"/>
      <c r="AT201" s="185"/>
      <c r="AU201" s="318">
        <v>97.741419999999991</v>
      </c>
      <c r="AV201" s="223">
        <v>0</v>
      </c>
      <c r="AW201" s="318">
        <v>0</v>
      </c>
      <c r="AX201" s="223">
        <v>0</v>
      </c>
      <c r="AY201" s="318">
        <f t="shared" si="111"/>
        <v>0</v>
      </c>
      <c r="AZ201" s="223"/>
      <c r="BA201" s="318"/>
      <c r="BB201" s="519">
        <f t="shared" si="112"/>
        <v>0</v>
      </c>
      <c r="BC201" s="518"/>
      <c r="BD201" s="518"/>
      <c r="BE201" s="518"/>
      <c r="BF201" s="518"/>
      <c r="BG201" s="518"/>
      <c r="BH201" s="518"/>
      <c r="BI201" s="518"/>
      <c r="BJ201" s="518"/>
      <c r="BK201" s="518"/>
      <c r="BL201" s="518"/>
      <c r="BM201" s="518"/>
      <c r="BN201" s="518"/>
      <c r="BO201" s="367">
        <f t="shared" si="119"/>
        <v>0</v>
      </c>
      <c r="BP201" s="421"/>
      <c r="BQ201" s="422"/>
      <c r="BR201" s="423">
        <f>IFERROR(IF(LEFT($A201,3)="Lcp",SUMIFS('BASE-LCP'!$K:$K,'BASE-LCP'!$A:$A,Capex!$A194,'BASE-LCP'!$B:$B,"janeiro")/1000,IF(LEFT($A201,3)="icp",SUMIFS('BASE-ICP'!$K:$K,'BASE-ICP'!$A:$A,Capex!$A194,'BASE-ICP'!$B:$B,"janeiro")/1000,"")),"")</f>
        <v>0</v>
      </c>
      <c r="BS201" s="427">
        <v>0</v>
      </c>
      <c r="BT201" s="372">
        <v>0</v>
      </c>
      <c r="BU201" s="422"/>
      <c r="BV201" s="423">
        <f>IFERROR(IF(LEFT($A201,3)="Lcp",SUMIFS('BASE-LCP'!$K:$K,'BASE-LCP'!$A:$A,Capex!$A194,'BASE-LCP'!$B:$B,"fevereiro")/1000,IF(LEFT($A201,3)="icp",SUMIFS('BASE-ICP'!$K:$K,'BASE-ICP'!$A:$A,Capex!$A194,'BASE-ICP'!$B:$B,"fevereiro")/1000,"")),"")</f>
        <v>0</v>
      </c>
      <c r="BW201" s="427">
        <v>0</v>
      </c>
      <c r="BX201" s="372">
        <v>0</v>
      </c>
      <c r="BY201" s="419"/>
      <c r="BZ201" s="423">
        <f>IFERROR(IF(LEFT($A201,3)="Lcp",SUMIFS('BASE-LCP'!$K:$K,'BASE-LCP'!$A:$A,Capex!$A194,'BASE-LCP'!$B:$B,"março")/1000,IF(LEFT($A201,3)="icp",SUMIFS('BASE-ICP'!$K:$K,'BASE-ICP'!$A:$A,Capex!$A194,'BASE-ICP'!$B:$B,"março")/1000,"")),"")</f>
        <v>0</v>
      </c>
      <c r="CA201" s="427">
        <v>0</v>
      </c>
      <c r="CB201" s="372">
        <v>0</v>
      </c>
      <c r="CC201" s="422"/>
      <c r="CD201" s="423">
        <f>IFERROR(IF(LEFT($A201,3)="Lcp",SUMIFS('BASE-LCP'!$K:$K,'BASE-LCP'!$A:$A,Capex!$A194,'BASE-LCP'!$B:$B,"abril")/1000,IF(LEFT($A201,3)="icp",SUMIFS('BASE-ICP'!$K:$K,'BASE-ICP'!$A:$A,Capex!$A194,'BASE-ICP'!$B:$B,"abril")/1000,"")),"")</f>
        <v>0</v>
      </c>
      <c r="CE201" s="427">
        <v>0</v>
      </c>
      <c r="CF201" s="372">
        <v>0</v>
      </c>
      <c r="CG201" s="419"/>
      <c r="CH201" s="423">
        <v>0</v>
      </c>
      <c r="CI201" s="427">
        <v>0</v>
      </c>
      <c r="CJ201" s="372">
        <v>0</v>
      </c>
      <c r="CK201" s="419"/>
      <c r="CL201" s="423">
        <f>IFERROR(IF(LEFT($A201,3)="Lcp",SUMIFS('BASE-LCP'!$K:$K,'BASE-LCP'!$A:$A,Capex!$A194,'BASE-LCP'!$B:$B,"junho")/1000,IF(LEFT($A201,3)="icp",SUMIFS('BASE-ICP'!$K:$K,'BASE-ICP'!$A:$A,Capex!$A194,'BASE-ICP'!$B:$B,"junho")/1000,"")),"")</f>
        <v>0</v>
      </c>
      <c r="CM201" s="427">
        <v>0</v>
      </c>
      <c r="CN201" s="372"/>
      <c r="CO201" s="419"/>
      <c r="CP201" s="423">
        <f>IFERROR(IF(LEFT($A201,3)="Lcp",SUMIFS('BASE-LCP'!$K:$K,'BASE-LCP'!$A:$A,Capex!$A194,'BASE-LCP'!$B:$B,"julho")/1000,IF(LEFT($A201,3)="icp",SUMIFS('BASE-ICP'!$K:$K,'BASE-ICP'!$A:$A,Capex!$A194,'BASE-ICP'!$B:$B,"julho")/1000,"")),"")</f>
        <v>0</v>
      </c>
      <c r="CQ201" s="427">
        <v>0</v>
      </c>
      <c r="CR201" s="372"/>
      <c r="CS201" s="419"/>
      <c r="CT201" s="423">
        <f>IFERROR(IF(LEFT($A201,3)="Lcp",SUMIFS('BASE-LCP'!$K:$K,'BASE-LCP'!$A:$A,Capex!$A194,'BASE-LCP'!$B:$B,"agosto")/1000,IF(LEFT($A201,3)="icp",SUMIFS('BASE-ICP'!$K:$K,'BASE-ICP'!$A:$A,Capex!$A194,'BASE-ICP'!$B:$B,"agosto")/1000,"")),"")</f>
        <v>0</v>
      </c>
      <c r="CU201" s="427">
        <v>0</v>
      </c>
      <c r="CV201" s="372"/>
      <c r="CW201" s="419"/>
      <c r="CX201" s="423">
        <f>IFERROR(IF(LEFT($A201,3)="Lcp",SUMIFS('BASE-LCP'!$K:$K,'BASE-LCP'!$A:$A,Capex!$A194,'BASE-LCP'!$B:$B,"setembro")/1000,IF(LEFT($A201,3)="icp",SUMIFS('BASE-ICP'!$K:$K,'BASE-ICP'!$A:$A,Capex!$A194,'BASE-ICP'!$B:$B,"setembro")/1000,"")),"")</f>
        <v>0</v>
      </c>
      <c r="CY201" s="427">
        <v>0</v>
      </c>
      <c r="CZ201" s="372"/>
      <c r="DA201" s="419"/>
      <c r="DB201" s="423">
        <f>IFERROR(IF(LEFT($A201,3)="Lcp",SUMIFS('BASE-LCP'!$K:$K,'BASE-LCP'!$A:$A,Capex!$A194,'BASE-LCP'!$B:$B,"outubro")/1000,IF(LEFT($A201,3)="icp",SUMIFS('BASE-ICP'!$K:$K,'BASE-ICP'!$A:$A,Capex!$A194,'BASE-ICP'!$B:$B,"outubro")/1000,"")),"")</f>
        <v>0</v>
      </c>
      <c r="DC201" s="427">
        <v>0</v>
      </c>
      <c r="DD201" s="372"/>
      <c r="DE201" s="419"/>
      <c r="DF201" s="423">
        <f>IFERROR(IF(LEFT($A201,3)="Lcp",SUMIFS('BASE-LCP'!$K:$K,'BASE-LCP'!$A:$A,Capex!$A194,'BASE-LCP'!$B:$B,"novembro")/1000,IF(LEFT($A201,3)="icp",SUMIFS('BASE-ICP'!$K:$K,'BASE-ICP'!$A:$A,Capex!$A194,'BASE-ICP'!$B:$B,"novembro")/1000,"")),"")</f>
        <v>0</v>
      </c>
      <c r="DG201" s="427">
        <v>0</v>
      </c>
      <c r="DH201" s="372"/>
      <c r="DI201" s="419"/>
      <c r="DJ201" s="423">
        <f>IFERROR(IF(LEFT($A201,3)="Lcp",SUMIFS('BASE-LCP'!$K:$K,'BASE-LCP'!$A:$A,Capex!$A194,'BASE-LCP'!$B:$B,"dezembro")/1000,IF(LEFT($A201,3)="icp",SUMIFS('BASE-ICP'!$K:$K,'BASE-ICP'!$A:$A,Capex!$A194,'BASE-ICP'!$B:$B,"dezembro")/1000,"")),"")</f>
        <v>0</v>
      </c>
      <c r="DK201" s="427">
        <v>0</v>
      </c>
      <c r="DL201" s="452">
        <f t="shared" si="120"/>
        <v>0</v>
      </c>
      <c r="DM201" s="374"/>
      <c r="DN201" s="374"/>
      <c r="DO201" s="374"/>
      <c r="DP201" s="374"/>
      <c r="DQ201" s="374"/>
      <c r="DR201" s="374"/>
      <c r="DS201" s="374"/>
      <c r="DT201" s="374"/>
      <c r="DU201" s="374"/>
      <c r="DV201" s="374"/>
      <c r="DW201" s="374"/>
      <c r="DX201" s="374"/>
      <c r="DY201" s="450"/>
      <c r="DZ201" s="374">
        <f t="shared" si="121"/>
        <v>0</v>
      </c>
      <c r="EA201" s="216">
        <f t="shared" si="122"/>
        <v>0</v>
      </c>
      <c r="EB201" s="320">
        <f t="shared" si="123"/>
        <v>0</v>
      </c>
      <c r="EC201" s="241">
        <f t="shared" si="124"/>
        <v>0</v>
      </c>
      <c r="ED201" s="241">
        <f t="shared" si="125"/>
        <v>0</v>
      </c>
      <c r="EE201" s="241">
        <f t="shared" si="126"/>
        <v>0</v>
      </c>
      <c r="EF201" s="241">
        <f t="shared" si="127"/>
        <v>0</v>
      </c>
      <c r="EG201" s="346">
        <f t="shared" si="128"/>
        <v>0</v>
      </c>
      <c r="EH201" s="445">
        <f t="shared" si="129"/>
        <v>0</v>
      </c>
      <c r="EI201" s="447">
        <f t="shared" si="130"/>
        <v>0</v>
      </c>
      <c r="EJ201" s="364">
        <f t="shared" si="131"/>
        <v>0</v>
      </c>
      <c r="EK201" s="365">
        <f t="shared" si="132"/>
        <v>0</v>
      </c>
      <c r="EL201" s="529">
        <f t="shared" si="133"/>
        <v>0</v>
      </c>
      <c r="EM201" s="530">
        <v>0</v>
      </c>
      <c r="EN201" s="530">
        <v>0</v>
      </c>
      <c r="EO201" s="530">
        <v>0</v>
      </c>
      <c r="EP201" s="530">
        <v>0</v>
      </c>
      <c r="EQ201" s="530">
        <v>0</v>
      </c>
      <c r="ER201" s="530">
        <v>0</v>
      </c>
      <c r="ES201" s="530">
        <v>0</v>
      </c>
      <c r="ET201" s="530">
        <v>0</v>
      </c>
      <c r="EU201" s="530">
        <v>0</v>
      </c>
      <c r="EV201" s="530">
        <v>0</v>
      </c>
      <c r="EW201" s="530">
        <v>0</v>
      </c>
      <c r="EX201" s="530">
        <v>0</v>
      </c>
      <c r="EY201" s="530">
        <f t="shared" si="134"/>
        <v>0</v>
      </c>
      <c r="EZ201" s="530">
        <f t="shared" si="135"/>
        <v>0</v>
      </c>
      <c r="FA201" s="530">
        <f t="shared" si="136"/>
        <v>0</v>
      </c>
      <c r="FB201" s="530">
        <f t="shared" si="137"/>
        <v>0</v>
      </c>
      <c r="FC201" s="384">
        <f>IFERROR(VLOOKUP(Capex!A194,BASE_558!D:R,8,FALSE)/1000,"")</f>
        <v>361.22300000000001</v>
      </c>
      <c r="FD201" s="328">
        <f>IFERROR(VLOOKUP(Capex!A194,BASE_558!D:R,9,)/1000,"")</f>
        <v>347.93121000000002</v>
      </c>
      <c r="FE201" s="328">
        <f>IFERROR(IF(LEFT(A201,3)="LCP",(VLOOKUP(Capex!A194,BASE_558!D:R,10,)/1000),SUMIFS('BASE ICP_PO_SC'!F:F,'BASE ICP_PO_SC'!A:A,Capex!A194,'BASE ICP_PO_SC'!E:E,"&lt;&gt;")/1000),"")</f>
        <v>0</v>
      </c>
      <c r="FF201" s="328">
        <f>IFERROR(IF(LEFT(A201,3)="LCP",(VLOOKUP(Capex!A194,BASE_558!D:R,11,)/1000),SUMIFS('BASE ICP_PO_SC'!F:F,'BASE ICP_PO_SC'!A:A,Capex!A194,'BASE ICP_PO_SC'!E:E,"")/1000),"")</f>
        <v>0</v>
      </c>
      <c r="FG201" s="328">
        <f>IFERROR(VLOOKUP(A201,BASE_558!D:R,13,FALSE)/1000,"")</f>
        <v>97.741420000000005</v>
      </c>
      <c r="FH201" s="328">
        <f>IFERROR(VLOOKUP(A201,BASE_558!D:R,15,FALSE)/1000,"")</f>
        <v>5.49458</v>
      </c>
      <c r="FI201" s="547">
        <f t="shared" si="138"/>
        <v>0</v>
      </c>
      <c r="FJ201" s="547">
        <f t="shared" si="139"/>
        <v>0</v>
      </c>
      <c r="FK201" s="540">
        <f t="shared" si="140"/>
        <v>0</v>
      </c>
    </row>
    <row r="202" spans="1:167" s="23" customFormat="1" ht="24" customHeight="1">
      <c r="A202" s="84" t="s">
        <v>651</v>
      </c>
      <c r="B202" s="404"/>
      <c r="C202" s="404"/>
      <c r="D202" s="338" t="s">
        <v>869</v>
      </c>
      <c r="E202" s="378">
        <v>3293510</v>
      </c>
      <c r="F202" s="310"/>
      <c r="G202" s="310" t="s">
        <v>9</v>
      </c>
      <c r="H202" s="356"/>
      <c r="I202" s="356" t="s">
        <v>6</v>
      </c>
      <c r="J202" s="356">
        <v>2020</v>
      </c>
      <c r="K202" s="321">
        <v>44159</v>
      </c>
      <c r="L202" s="317">
        <v>45288</v>
      </c>
      <c r="M202" s="409"/>
      <c r="N202" s="317">
        <f t="shared" si="109"/>
        <v>45071</v>
      </c>
      <c r="O202" s="317">
        <f t="shared" si="110"/>
        <v>45436</v>
      </c>
      <c r="P202" s="418" t="str">
        <f t="shared" si="117"/>
        <v>CRTD</v>
      </c>
      <c r="Q202" s="418" t="str">
        <f t="shared" si="117"/>
        <v>CRTD</v>
      </c>
      <c r="R202" s="418" t="str">
        <f t="shared" si="117"/>
        <v>CRTD</v>
      </c>
      <c r="S202" s="418" t="str">
        <f t="shared" si="117"/>
        <v>CRTD</v>
      </c>
      <c r="T202" s="418" t="str">
        <f t="shared" si="117"/>
        <v>CRTD</v>
      </c>
      <c r="U202" s="418" t="str">
        <f t="shared" si="117"/>
        <v>CRTD</v>
      </c>
      <c r="V202" s="418" t="str">
        <f t="shared" si="117"/>
        <v>CRTD</v>
      </c>
      <c r="W202" s="418" t="str">
        <f t="shared" si="117"/>
        <v>CRTD</v>
      </c>
      <c r="X202" s="418" t="str">
        <f t="shared" si="117"/>
        <v>CRTD</v>
      </c>
      <c r="Y202" s="418" t="str">
        <f t="shared" si="117"/>
        <v>CRTD</v>
      </c>
      <c r="Z202" s="418" t="str">
        <f t="shared" si="117"/>
        <v>CRTD</v>
      </c>
      <c r="AA202" s="418" t="str">
        <f t="shared" si="117"/>
        <v>CRTD</v>
      </c>
      <c r="AB202" s="350"/>
      <c r="AC202" s="309" t="s">
        <v>3932</v>
      </c>
      <c r="AD202" s="311" t="s">
        <v>223</v>
      </c>
      <c r="AE202" s="381" t="s">
        <v>186</v>
      </c>
      <c r="AF202" s="310" t="s">
        <v>6985</v>
      </c>
      <c r="AG202" s="310" t="s">
        <v>704</v>
      </c>
      <c r="AH202" s="310" t="s">
        <v>705</v>
      </c>
      <c r="AI202" s="309" t="s">
        <v>186</v>
      </c>
      <c r="AJ202" s="6" t="s">
        <v>218</v>
      </c>
      <c r="AK202" s="6" t="str">
        <f t="shared" si="118"/>
        <v>IGUAL</v>
      </c>
      <c r="AL202" s="151" t="str">
        <f>IFERROR(IF(LEFT(A202,3)="LCP",VLOOKUP(A202,STATUS_SAP_LCP!B:C,2,FALSE),VLOOKUP(A202,STATUS_SAP_ICP!B:C,2,FALSE)),"NO BUDGET")</f>
        <v>CLSD BUDG AUC  AVAC  //  APPR BREL EXPL</v>
      </c>
      <c r="AM202" s="6" t="str">
        <f t="shared" si="116"/>
        <v>CLSD</v>
      </c>
      <c r="AN202" s="282" t="s">
        <v>2651</v>
      </c>
      <c r="AO202" s="493">
        <v>1</v>
      </c>
      <c r="AP202" s="499" t="s">
        <v>9607</v>
      </c>
      <c r="AQ202" s="465">
        <v>45288</v>
      </c>
      <c r="AR202" s="460"/>
      <c r="AS202" s="56"/>
      <c r="AT202" s="185">
        <v>0</v>
      </c>
      <c r="AU202" s="318">
        <v>144.66173000000001</v>
      </c>
      <c r="AV202" s="223">
        <v>43.773870000000002</v>
      </c>
      <c r="AW202" s="318">
        <v>0</v>
      </c>
      <c r="AX202" s="223">
        <v>0</v>
      </c>
      <c r="AY202" s="318">
        <f t="shared" si="111"/>
        <v>0</v>
      </c>
      <c r="AZ202" s="223"/>
      <c r="BA202" s="318"/>
      <c r="BB202" s="519">
        <f t="shared" si="112"/>
        <v>0</v>
      </c>
      <c r="BC202" s="518"/>
      <c r="BD202" s="518"/>
      <c r="BE202" s="518"/>
      <c r="BF202" s="518"/>
      <c r="BG202" s="518"/>
      <c r="BH202" s="518"/>
      <c r="BI202" s="518"/>
      <c r="BJ202" s="518"/>
      <c r="BK202" s="518"/>
      <c r="BL202" s="518"/>
      <c r="BM202" s="518"/>
      <c r="BN202" s="518"/>
      <c r="BO202" s="367">
        <f t="shared" si="119"/>
        <v>0</v>
      </c>
      <c r="BP202" s="421"/>
      <c r="BQ202" s="422"/>
      <c r="BR202" s="423">
        <f>IFERROR(IF(LEFT($A202,3)="Lcp",SUMIFS('BASE-LCP'!$K:$K,'BASE-LCP'!$A:$A,Capex!$A195,'BASE-LCP'!$B:$B,"janeiro")/1000,IF(LEFT($A202,3)="icp",SUMIFS('BASE-ICP'!$K:$K,'BASE-ICP'!$A:$A,Capex!$A195,'BASE-ICP'!$B:$B,"janeiro")/1000,"")),"")</f>
        <v>0</v>
      </c>
      <c r="BS202" s="427">
        <v>0</v>
      </c>
      <c r="BT202" s="372">
        <v>0</v>
      </c>
      <c r="BU202" s="422"/>
      <c r="BV202" s="423">
        <f>IFERROR(IF(LEFT($A202,3)="Lcp",SUMIFS('BASE-LCP'!$K:$K,'BASE-LCP'!$A:$A,Capex!$A195,'BASE-LCP'!$B:$B,"fevereiro")/1000,IF(LEFT($A202,3)="icp",SUMIFS('BASE-ICP'!$K:$K,'BASE-ICP'!$A:$A,Capex!$A195,'BASE-ICP'!$B:$B,"fevereiro")/1000,"")),"")</f>
        <v>0</v>
      </c>
      <c r="BW202" s="427">
        <v>0</v>
      </c>
      <c r="BX202" s="372">
        <v>0</v>
      </c>
      <c r="BY202" s="419"/>
      <c r="BZ202" s="423">
        <f>IFERROR(IF(LEFT($A202,3)="Lcp",SUMIFS('BASE-LCP'!$K:$K,'BASE-LCP'!$A:$A,Capex!$A195,'BASE-LCP'!$B:$B,"março")/1000,IF(LEFT($A202,3)="icp",SUMIFS('BASE-ICP'!$K:$K,'BASE-ICP'!$A:$A,Capex!$A195,'BASE-ICP'!$B:$B,"março")/1000,"")),"")</f>
        <v>0</v>
      </c>
      <c r="CA202" s="427">
        <v>0</v>
      </c>
      <c r="CB202" s="372">
        <v>0</v>
      </c>
      <c r="CC202" s="422"/>
      <c r="CD202" s="423">
        <f>IFERROR(IF(LEFT($A202,3)="Lcp",SUMIFS('BASE-LCP'!$K:$K,'BASE-LCP'!$A:$A,Capex!$A195,'BASE-LCP'!$B:$B,"abril")/1000,IF(LEFT($A202,3)="icp",SUMIFS('BASE-ICP'!$K:$K,'BASE-ICP'!$A:$A,Capex!$A195,'BASE-ICP'!$B:$B,"abril")/1000,"")),"")</f>
        <v>0</v>
      </c>
      <c r="CE202" s="427">
        <v>0</v>
      </c>
      <c r="CF202" s="372">
        <v>0</v>
      </c>
      <c r="CG202" s="419"/>
      <c r="CH202" s="423">
        <v>0</v>
      </c>
      <c r="CI202" s="427">
        <v>0</v>
      </c>
      <c r="CJ202" s="372">
        <v>0</v>
      </c>
      <c r="CK202" s="419"/>
      <c r="CL202" s="423">
        <f>IFERROR(IF(LEFT($A202,3)="Lcp",SUMIFS('BASE-LCP'!$K:$K,'BASE-LCP'!$A:$A,Capex!$A195,'BASE-LCP'!$B:$B,"junho")/1000,IF(LEFT($A202,3)="icp",SUMIFS('BASE-ICP'!$K:$K,'BASE-ICP'!$A:$A,Capex!$A195,'BASE-ICP'!$B:$B,"junho")/1000,"")),"")</f>
        <v>0</v>
      </c>
      <c r="CM202" s="427">
        <v>0</v>
      </c>
      <c r="CN202" s="372"/>
      <c r="CO202" s="419"/>
      <c r="CP202" s="423">
        <f>IFERROR(IF(LEFT($A202,3)="Lcp",SUMIFS('BASE-LCP'!$K:$K,'BASE-LCP'!$A:$A,Capex!$A195,'BASE-LCP'!$B:$B,"julho")/1000,IF(LEFT($A202,3)="icp",SUMIFS('BASE-ICP'!$K:$K,'BASE-ICP'!$A:$A,Capex!$A195,'BASE-ICP'!$B:$B,"julho")/1000,"")),"")</f>
        <v>0</v>
      </c>
      <c r="CQ202" s="427">
        <v>0</v>
      </c>
      <c r="CR202" s="372"/>
      <c r="CS202" s="419"/>
      <c r="CT202" s="423">
        <f>IFERROR(IF(LEFT($A202,3)="Lcp",SUMIFS('BASE-LCP'!$K:$K,'BASE-LCP'!$A:$A,Capex!$A195,'BASE-LCP'!$B:$B,"agosto")/1000,IF(LEFT($A202,3)="icp",SUMIFS('BASE-ICP'!$K:$K,'BASE-ICP'!$A:$A,Capex!$A195,'BASE-ICP'!$B:$B,"agosto")/1000,"")),"")</f>
        <v>0</v>
      </c>
      <c r="CU202" s="427">
        <v>0</v>
      </c>
      <c r="CV202" s="372"/>
      <c r="CW202" s="419"/>
      <c r="CX202" s="423">
        <f>IFERROR(IF(LEFT($A202,3)="Lcp",SUMIFS('BASE-LCP'!$K:$K,'BASE-LCP'!$A:$A,Capex!$A195,'BASE-LCP'!$B:$B,"setembro")/1000,IF(LEFT($A202,3)="icp",SUMIFS('BASE-ICP'!$K:$K,'BASE-ICP'!$A:$A,Capex!$A195,'BASE-ICP'!$B:$B,"setembro")/1000,"")),"")</f>
        <v>0</v>
      </c>
      <c r="CY202" s="427">
        <v>0</v>
      </c>
      <c r="CZ202" s="372"/>
      <c r="DA202" s="419"/>
      <c r="DB202" s="423">
        <f>IFERROR(IF(LEFT($A202,3)="Lcp",SUMIFS('BASE-LCP'!$K:$K,'BASE-LCP'!$A:$A,Capex!$A195,'BASE-LCP'!$B:$B,"outubro")/1000,IF(LEFT($A202,3)="icp",SUMIFS('BASE-ICP'!$K:$K,'BASE-ICP'!$A:$A,Capex!$A195,'BASE-ICP'!$B:$B,"outubro")/1000,"")),"")</f>
        <v>0</v>
      </c>
      <c r="DC202" s="427">
        <v>0</v>
      </c>
      <c r="DD202" s="372"/>
      <c r="DE202" s="419"/>
      <c r="DF202" s="423">
        <f>IFERROR(IF(LEFT($A202,3)="Lcp",SUMIFS('BASE-LCP'!$K:$K,'BASE-LCP'!$A:$A,Capex!$A195,'BASE-LCP'!$B:$B,"novembro")/1000,IF(LEFT($A202,3)="icp",SUMIFS('BASE-ICP'!$K:$K,'BASE-ICP'!$A:$A,Capex!$A195,'BASE-ICP'!$B:$B,"novembro")/1000,"")),"")</f>
        <v>0</v>
      </c>
      <c r="DG202" s="427">
        <v>0</v>
      </c>
      <c r="DH202" s="372"/>
      <c r="DI202" s="419"/>
      <c r="DJ202" s="423">
        <f>IFERROR(IF(LEFT($A202,3)="Lcp",SUMIFS('BASE-LCP'!$K:$K,'BASE-LCP'!$A:$A,Capex!$A195,'BASE-LCP'!$B:$B,"dezembro")/1000,IF(LEFT($A202,3)="icp",SUMIFS('BASE-ICP'!$K:$K,'BASE-ICP'!$A:$A,Capex!$A195,'BASE-ICP'!$B:$B,"dezembro")/1000,"")),"")</f>
        <v>0</v>
      </c>
      <c r="DK202" s="427">
        <v>0</v>
      </c>
      <c r="DL202" s="452">
        <f t="shared" si="120"/>
        <v>0</v>
      </c>
      <c r="DM202" s="374"/>
      <c r="DN202" s="374"/>
      <c r="DO202" s="374"/>
      <c r="DP202" s="374"/>
      <c r="DQ202" s="374"/>
      <c r="DR202" s="374"/>
      <c r="DS202" s="374"/>
      <c r="DT202" s="374"/>
      <c r="DU202" s="374"/>
      <c r="DV202" s="374"/>
      <c r="DW202" s="374"/>
      <c r="DX202" s="374"/>
      <c r="DY202" s="450"/>
      <c r="DZ202" s="374">
        <f t="shared" si="121"/>
        <v>0</v>
      </c>
      <c r="EA202" s="216">
        <f t="shared" si="122"/>
        <v>0</v>
      </c>
      <c r="EB202" s="320">
        <f t="shared" si="123"/>
        <v>0</v>
      </c>
      <c r="EC202" s="241">
        <f t="shared" si="124"/>
        <v>0</v>
      </c>
      <c r="ED202" s="241">
        <f t="shared" si="125"/>
        <v>0</v>
      </c>
      <c r="EE202" s="241">
        <f t="shared" si="126"/>
        <v>0</v>
      </c>
      <c r="EF202" s="241">
        <f t="shared" si="127"/>
        <v>0</v>
      </c>
      <c r="EG202" s="346">
        <f t="shared" si="128"/>
        <v>0</v>
      </c>
      <c r="EH202" s="445">
        <f t="shared" si="129"/>
        <v>0</v>
      </c>
      <c r="EI202" s="447">
        <f t="shared" si="130"/>
        <v>0</v>
      </c>
      <c r="EJ202" s="364">
        <f t="shared" si="131"/>
        <v>0</v>
      </c>
      <c r="EK202" s="365">
        <f t="shared" si="132"/>
        <v>0</v>
      </c>
      <c r="EL202" s="529">
        <f t="shared" si="133"/>
        <v>0</v>
      </c>
      <c r="EM202" s="530">
        <v>0</v>
      </c>
      <c r="EN202" s="530">
        <v>0</v>
      </c>
      <c r="EO202" s="530">
        <v>0</v>
      </c>
      <c r="EP202" s="530">
        <v>0</v>
      </c>
      <c r="EQ202" s="530">
        <v>0</v>
      </c>
      <c r="ER202" s="530">
        <v>0</v>
      </c>
      <c r="ES202" s="530">
        <v>0</v>
      </c>
      <c r="ET202" s="530">
        <v>0</v>
      </c>
      <c r="EU202" s="530">
        <v>0</v>
      </c>
      <c r="EV202" s="530">
        <v>0</v>
      </c>
      <c r="EW202" s="530">
        <v>0</v>
      </c>
      <c r="EX202" s="530">
        <v>0</v>
      </c>
      <c r="EY202" s="530">
        <f t="shared" si="134"/>
        <v>0</v>
      </c>
      <c r="EZ202" s="530">
        <f t="shared" si="135"/>
        <v>0</v>
      </c>
      <c r="FA202" s="530">
        <f t="shared" si="136"/>
        <v>0</v>
      </c>
      <c r="FB202" s="530">
        <f t="shared" si="137"/>
        <v>0</v>
      </c>
      <c r="FC202" s="384">
        <f>IFERROR(VLOOKUP(Capex!A195,BASE_558!D:R,8,FALSE)/1000,"")</f>
        <v>53.960999999999999</v>
      </c>
      <c r="FD202" s="328">
        <f>IFERROR(VLOOKUP(Capex!A195,BASE_558!D:R,9,)/1000,"")</f>
        <v>0</v>
      </c>
      <c r="FE202" s="328">
        <f>IFERROR(IF(LEFT(A202,3)="LCP",(VLOOKUP(Capex!A195,BASE_558!D:R,10,)/1000),SUMIFS('BASE ICP_PO_SC'!F:F,'BASE ICP_PO_SC'!A:A,Capex!A195,'BASE ICP_PO_SC'!E:E,"&lt;&gt;")/1000),"")</f>
        <v>0</v>
      </c>
      <c r="FF202" s="328">
        <f>IFERROR(IF(LEFT(A202,3)="LCP",(VLOOKUP(Capex!A195,BASE_558!D:R,11,)/1000),SUMIFS('BASE ICP_PO_SC'!F:F,'BASE ICP_PO_SC'!A:A,Capex!A195,'BASE ICP_PO_SC'!E:E,"")/1000),"")</f>
        <v>0</v>
      </c>
      <c r="FG202" s="328">
        <f>IFERROR(VLOOKUP(A202,BASE_558!D:R,13,FALSE)/1000,"")</f>
        <v>188.43559999999999</v>
      </c>
      <c r="FH202" s="328">
        <f>IFERROR(VLOOKUP(A202,BASE_558!D:R,15,FALSE)/1000,"")</f>
        <v>0.81220000000000003</v>
      </c>
      <c r="FI202" s="547">
        <f t="shared" si="138"/>
        <v>0</v>
      </c>
      <c r="FJ202" s="547">
        <f t="shared" si="139"/>
        <v>0</v>
      </c>
      <c r="FK202" s="540">
        <f t="shared" si="140"/>
        <v>0</v>
      </c>
    </row>
    <row r="203" spans="1:167" s="23" customFormat="1" ht="24.75" customHeight="1">
      <c r="A203" s="84" t="s">
        <v>655</v>
      </c>
      <c r="B203" s="404" t="s">
        <v>847</v>
      </c>
      <c r="C203" s="404"/>
      <c r="D203" s="338" t="s">
        <v>867</v>
      </c>
      <c r="E203" s="378">
        <v>3293366</v>
      </c>
      <c r="F203" s="5"/>
      <c r="G203" s="310" t="s">
        <v>9</v>
      </c>
      <c r="H203" s="356" t="s">
        <v>6</v>
      </c>
      <c r="I203" s="356"/>
      <c r="J203" s="356">
        <v>2020</v>
      </c>
      <c r="K203" s="352">
        <v>44155</v>
      </c>
      <c r="L203" s="317"/>
      <c r="M203" s="409"/>
      <c r="N203" s="317">
        <f t="shared" si="109"/>
        <v>45067</v>
      </c>
      <c r="O203" s="317">
        <f t="shared" si="110"/>
        <v>45432</v>
      </c>
      <c r="P203" s="418" t="str">
        <f t="shared" si="117"/>
        <v>SIM</v>
      </c>
      <c r="Q203" s="418" t="str">
        <f t="shared" si="117"/>
        <v>SIM</v>
      </c>
      <c r="R203" s="418" t="str">
        <f t="shared" si="117"/>
        <v>SIM</v>
      </c>
      <c r="S203" s="418" t="str">
        <f t="shared" si="117"/>
        <v>SIM</v>
      </c>
      <c r="T203" s="418" t="str">
        <f t="shared" si="117"/>
        <v>SIM</v>
      </c>
      <c r="U203" s="418" t="str">
        <f t="shared" si="117"/>
        <v>SIM</v>
      </c>
      <c r="V203" s="551" t="str">
        <f t="shared" si="117"/>
        <v>SIM</v>
      </c>
      <c r="W203" s="418" t="str">
        <f t="shared" si="117"/>
        <v>SIM</v>
      </c>
      <c r="X203" s="418" t="str">
        <f t="shared" si="117"/>
        <v>SIM</v>
      </c>
      <c r="Y203" s="418" t="str">
        <f t="shared" si="117"/>
        <v>SIM</v>
      </c>
      <c r="Z203" s="418" t="str">
        <f t="shared" si="117"/>
        <v>SIM</v>
      </c>
      <c r="AA203" s="567" t="str">
        <f t="shared" si="117"/>
        <v>SIM</v>
      </c>
      <c r="AB203" s="350"/>
      <c r="AC203" s="309" t="s">
        <v>3932</v>
      </c>
      <c r="AD203" s="311" t="s">
        <v>5</v>
      </c>
      <c r="AE203" s="381" t="s">
        <v>2250</v>
      </c>
      <c r="AF203" s="310" t="s">
        <v>6985</v>
      </c>
      <c r="AG203" s="310" t="s">
        <v>2259</v>
      </c>
      <c r="AH203" s="310" t="s">
        <v>486</v>
      </c>
      <c r="AI203" s="381" t="s">
        <v>2255</v>
      </c>
      <c r="AJ203" s="6" t="s">
        <v>6786</v>
      </c>
      <c r="AK203" s="6" t="str">
        <f t="shared" si="118"/>
        <v>IGUAL</v>
      </c>
      <c r="AL203" s="151" t="str">
        <f>IFERROR(IF(LEFT(A203,3)="LCP",VLOOKUP(A203,STATUS_SAP_LCP!B:C,2,FALSE),VLOOKUP(A203,STATUS_SAP_ICP!B:C,2,FALSE)),"NO BUDGET")</f>
        <v>REL  BUDG AUC  AVAC  //  APPR BREL INPL</v>
      </c>
      <c r="AM203" s="6" t="str">
        <f t="shared" si="116"/>
        <v xml:space="preserve">REL </v>
      </c>
      <c r="AN203" s="552" t="s">
        <v>19956</v>
      </c>
      <c r="AO203" s="557"/>
      <c r="AP203" s="499" t="s">
        <v>5299</v>
      </c>
      <c r="AQ203" s="465">
        <v>45899</v>
      </c>
      <c r="AR203" s="460"/>
      <c r="AS203" s="56"/>
      <c r="AT203" s="185">
        <v>0</v>
      </c>
      <c r="AU203" s="318">
        <v>150.78228999999999</v>
      </c>
      <c r="AV203" s="223">
        <v>72.087009999999992</v>
      </c>
      <c r="AW203" s="318">
        <v>20.298089999999998</v>
      </c>
      <c r="AX203" s="223">
        <v>0</v>
      </c>
      <c r="AY203" s="318">
        <f t="shared" si="111"/>
        <v>31.596260000000001</v>
      </c>
      <c r="AZ203" s="223"/>
      <c r="BA203" s="318"/>
      <c r="BB203" s="519">
        <f t="shared" si="112"/>
        <v>39</v>
      </c>
      <c r="BC203" s="518">
        <v>0</v>
      </c>
      <c r="BD203" s="518">
        <v>0</v>
      </c>
      <c r="BE203" s="518">
        <v>2</v>
      </c>
      <c r="BF203" s="518">
        <v>37</v>
      </c>
      <c r="BG203" s="518">
        <v>0</v>
      </c>
      <c r="BH203" s="518">
        <v>0</v>
      </c>
      <c r="BI203" s="518">
        <v>0</v>
      </c>
      <c r="BJ203" s="518">
        <v>0</v>
      </c>
      <c r="BK203" s="518">
        <v>0</v>
      </c>
      <c r="BL203" s="518">
        <v>0</v>
      </c>
      <c r="BM203" s="518">
        <v>0</v>
      </c>
      <c r="BN203" s="518">
        <v>0</v>
      </c>
      <c r="BO203" s="367">
        <f t="shared" si="119"/>
        <v>31.596260000000001</v>
      </c>
      <c r="BP203" s="421">
        <v>0</v>
      </c>
      <c r="BQ203" s="422"/>
      <c r="BR203" s="423">
        <f>IFERROR(IF(LEFT($A203,3)="Lcp",SUMIFS('BASE-LCP'!$K:$K,'BASE-LCP'!$A:$A,Capex!$A196,'BASE-LCP'!$B:$B,"janeiro")/1000,IF(LEFT($A203,3)="icp",SUMIFS('BASE-ICP'!$K:$K,'BASE-ICP'!$A:$A,Capex!$A196,'BASE-ICP'!$B:$B,"janeiro")/1000,"")),"")</f>
        <v>0</v>
      </c>
      <c r="BS203" s="427">
        <v>0</v>
      </c>
      <c r="BT203" s="372">
        <v>0</v>
      </c>
      <c r="BU203" s="422"/>
      <c r="BV203" s="423">
        <f>IFERROR(IF(LEFT($A203,3)="Lcp",SUMIFS('BASE-LCP'!$K:$K,'BASE-LCP'!$A:$A,Capex!$A196,'BASE-LCP'!$B:$B,"fevereiro")/1000,IF(LEFT($A203,3)="icp",SUMIFS('BASE-ICP'!$K:$K,'BASE-ICP'!$A:$A,Capex!$A196,'BASE-ICP'!$B:$B,"fevereiro")/1000,"")),"")</f>
        <v>0</v>
      </c>
      <c r="BW203" s="427">
        <v>0</v>
      </c>
      <c r="BX203" s="372">
        <v>0</v>
      </c>
      <c r="BY203" s="419">
        <v>3.8293699999999999</v>
      </c>
      <c r="BZ203" s="423">
        <f>IFERROR(IF(LEFT($A203,3)="Lcp",SUMIFS('BASE-LCP'!$K:$K,'BASE-LCP'!$A:$A,Capex!$A196,'BASE-LCP'!$B:$B,"março")/1000,IF(LEFT($A203,3)="icp",SUMIFS('BASE-ICP'!$K:$K,'BASE-ICP'!$A:$A,Capex!$A196,'BASE-ICP'!$B:$B,"março")/1000,"")),"")</f>
        <v>0</v>
      </c>
      <c r="CA203" s="427">
        <v>3.8293700000000004</v>
      </c>
      <c r="CB203" s="372">
        <v>0</v>
      </c>
      <c r="CC203" s="422">
        <v>2.04942</v>
      </c>
      <c r="CD203" s="423">
        <f>IFERROR(IF(LEFT($A203,3)="Lcp",SUMIFS('BASE-LCP'!$K:$K,'BASE-LCP'!$A:$A,Capex!$A196,'BASE-LCP'!$B:$B,"abril")/1000,IF(LEFT($A203,3)="icp",SUMIFS('BASE-ICP'!$K:$K,'BASE-ICP'!$A:$A,Capex!$A196,'BASE-ICP'!$B:$B,"abril")/1000,"")),"")</f>
        <v>0</v>
      </c>
      <c r="CE203" s="427">
        <v>2.04942</v>
      </c>
      <c r="CF203" s="372">
        <v>16.2</v>
      </c>
      <c r="CG203" s="419">
        <v>16.218</v>
      </c>
      <c r="CH203" s="423">
        <v>16.218</v>
      </c>
      <c r="CI203" s="427">
        <v>16.218</v>
      </c>
      <c r="CJ203" s="372">
        <v>9</v>
      </c>
      <c r="CK203" s="419">
        <v>9.4994699999999987</v>
      </c>
      <c r="CL203" s="423">
        <f>IFERROR(IF(LEFT($A203,3)="Lcp",SUMIFS('BASE-LCP'!$K:$K,'BASE-LCP'!$A:$A,Capex!$A196,'BASE-LCP'!$B:$B,"junho")/1000,IF(LEFT($A203,3)="icp",SUMIFS('BASE-ICP'!$K:$K,'BASE-ICP'!$A:$A,Capex!$A196,'BASE-ICP'!$B:$B,"junho")/1000,"")),"")</f>
        <v>0</v>
      </c>
      <c r="CM203" s="427">
        <v>9.4994700000000005</v>
      </c>
      <c r="CN203" s="372"/>
      <c r="CO203" s="419"/>
      <c r="CP203" s="423">
        <f>IFERROR(IF(LEFT($A203,3)="Lcp",SUMIFS('BASE-LCP'!$K:$K,'BASE-LCP'!$A:$A,Capex!$A196,'BASE-LCP'!$B:$B,"julho")/1000,IF(LEFT($A203,3)="icp",SUMIFS('BASE-ICP'!$K:$K,'BASE-ICP'!$A:$A,Capex!$A196,'BASE-ICP'!$B:$B,"julho")/1000,"")),"")</f>
        <v>0</v>
      </c>
      <c r="CQ203" s="427">
        <v>0</v>
      </c>
      <c r="CR203" s="372"/>
      <c r="CS203" s="419"/>
      <c r="CT203" s="423">
        <f>IFERROR(IF(LEFT($A203,3)="Lcp",SUMIFS('BASE-LCP'!$K:$K,'BASE-LCP'!$A:$A,Capex!$A196,'BASE-LCP'!$B:$B,"agosto")/1000,IF(LEFT($A203,3)="icp",SUMIFS('BASE-ICP'!$K:$K,'BASE-ICP'!$A:$A,Capex!$A196,'BASE-ICP'!$B:$B,"agosto")/1000,"")),"")</f>
        <v>0</v>
      </c>
      <c r="CU203" s="427">
        <v>0</v>
      </c>
      <c r="CV203" s="372"/>
      <c r="CW203" s="419"/>
      <c r="CX203" s="423">
        <f>IFERROR(IF(LEFT($A203,3)="Lcp",SUMIFS('BASE-LCP'!$K:$K,'BASE-LCP'!$A:$A,Capex!$A196,'BASE-LCP'!$B:$B,"setembro")/1000,IF(LEFT($A203,3)="icp",SUMIFS('BASE-ICP'!$K:$K,'BASE-ICP'!$A:$A,Capex!$A196,'BASE-ICP'!$B:$B,"setembro")/1000,"")),"")</f>
        <v>0</v>
      </c>
      <c r="CY203" s="427">
        <v>0</v>
      </c>
      <c r="CZ203" s="372"/>
      <c r="DA203" s="419"/>
      <c r="DB203" s="423">
        <f>IFERROR(IF(LEFT($A203,3)="Lcp",SUMIFS('BASE-LCP'!$K:$K,'BASE-LCP'!$A:$A,Capex!$A196,'BASE-LCP'!$B:$B,"outubro")/1000,IF(LEFT($A203,3)="icp",SUMIFS('BASE-ICP'!$K:$K,'BASE-ICP'!$A:$A,Capex!$A196,'BASE-ICP'!$B:$B,"outubro")/1000,"")),"")</f>
        <v>0</v>
      </c>
      <c r="DC203" s="427">
        <v>0</v>
      </c>
      <c r="DD203" s="372"/>
      <c r="DE203" s="419"/>
      <c r="DF203" s="423">
        <f>IFERROR(IF(LEFT($A203,3)="Lcp",SUMIFS('BASE-LCP'!$K:$K,'BASE-LCP'!$A:$A,Capex!$A196,'BASE-LCP'!$B:$B,"novembro")/1000,IF(LEFT($A203,3)="icp",SUMIFS('BASE-ICP'!$K:$K,'BASE-ICP'!$A:$A,Capex!$A196,'BASE-ICP'!$B:$B,"novembro")/1000,"")),"")</f>
        <v>0</v>
      </c>
      <c r="DG203" s="427">
        <v>0</v>
      </c>
      <c r="DH203" s="372"/>
      <c r="DI203" s="419"/>
      <c r="DJ203" s="423">
        <f>IFERROR(IF(LEFT($A203,3)="Lcp",SUMIFS('BASE-LCP'!$K:$K,'BASE-LCP'!$A:$A,Capex!$A196,'BASE-LCP'!$B:$B,"dezembro")/1000,IF(LEFT($A203,3)="icp",SUMIFS('BASE-ICP'!$K:$K,'BASE-ICP'!$A:$A,Capex!$A196,'BASE-ICP'!$B:$B,"dezembro")/1000,"")),"")</f>
        <v>0</v>
      </c>
      <c r="DK203" s="427">
        <v>0</v>
      </c>
      <c r="DL203" s="452">
        <f t="shared" si="120"/>
        <v>0</v>
      </c>
      <c r="DM203" s="374"/>
      <c r="DN203" s="374">
        <v>0</v>
      </c>
      <c r="DO203" s="374"/>
      <c r="DP203" s="374"/>
      <c r="DQ203" s="374"/>
      <c r="DR203" s="374"/>
      <c r="DS203" s="374"/>
      <c r="DT203" s="374"/>
      <c r="DU203" s="374"/>
      <c r="DV203" s="374"/>
      <c r="DW203" s="374"/>
      <c r="DX203" s="374"/>
      <c r="DY203" s="450"/>
      <c r="DZ203" s="374">
        <f t="shared" si="121"/>
        <v>0</v>
      </c>
      <c r="EA203" s="216">
        <f t="shared" si="122"/>
        <v>0.49947000000000052</v>
      </c>
      <c r="EB203" s="320">
        <f t="shared" si="123"/>
        <v>-9.4994700000000005</v>
      </c>
      <c r="EC203" s="241">
        <f t="shared" si="124"/>
        <v>3.8293700000000004</v>
      </c>
      <c r="ED203" s="241">
        <f t="shared" si="125"/>
        <v>27.766890000000004</v>
      </c>
      <c r="EE203" s="241">
        <f t="shared" si="126"/>
        <v>0</v>
      </c>
      <c r="EF203" s="241">
        <f t="shared" si="127"/>
        <v>0</v>
      </c>
      <c r="EG203" s="346">
        <f t="shared" si="128"/>
        <v>-7.4037399999999991</v>
      </c>
      <c r="EH203" s="445">
        <f t="shared" si="129"/>
        <v>16.2</v>
      </c>
      <c r="EI203" s="447">
        <f t="shared" si="130"/>
        <v>16.218</v>
      </c>
      <c r="EJ203" s="364">
        <f t="shared" si="131"/>
        <v>22.096789999999999</v>
      </c>
      <c r="EK203" s="365">
        <f t="shared" si="132"/>
        <v>9.4994700000000023</v>
      </c>
      <c r="EL203" s="529">
        <f t="shared" si="133"/>
        <v>31.096789999999999</v>
      </c>
      <c r="EM203" s="530">
        <v>0</v>
      </c>
      <c r="EN203" s="530">
        <v>0</v>
      </c>
      <c r="EO203" s="530">
        <v>3.8293700000000004</v>
      </c>
      <c r="EP203" s="530">
        <v>2.04942</v>
      </c>
      <c r="EQ203" s="530">
        <v>16.218</v>
      </c>
      <c r="ER203" s="530">
        <v>9</v>
      </c>
      <c r="ES203" s="530">
        <v>0</v>
      </c>
      <c r="ET203" s="530">
        <v>0</v>
      </c>
      <c r="EU203" s="530">
        <v>0</v>
      </c>
      <c r="EV203" s="530">
        <v>0</v>
      </c>
      <c r="EW203" s="530">
        <v>0</v>
      </c>
      <c r="EX203" s="530">
        <v>0</v>
      </c>
      <c r="EY203" s="530">
        <f t="shared" si="134"/>
        <v>3.8293700000000004</v>
      </c>
      <c r="EZ203" s="530">
        <f t="shared" si="135"/>
        <v>27.267420000000001</v>
      </c>
      <c r="FA203" s="530">
        <f t="shared" si="136"/>
        <v>0</v>
      </c>
      <c r="FB203" s="530">
        <f t="shared" si="137"/>
        <v>0</v>
      </c>
      <c r="FC203" s="384">
        <f>IFERROR(VLOOKUP(Capex!A196,BASE_558!D:R,8,FALSE)/1000,"")</f>
        <v>420.88981999999999</v>
      </c>
      <c r="FD203" s="328">
        <f>IFERROR(VLOOKUP(Capex!A196,BASE_558!D:R,9,)/1000,"")</f>
        <v>293.20690999999999</v>
      </c>
      <c r="FE203" s="328">
        <f>IFERROR(IF(LEFT(A203,3)="LCP",(VLOOKUP(Capex!A196,BASE_558!D:R,10,)/1000),SUMIFS('BASE ICP_PO_SC'!F:F,'BASE ICP_PO_SC'!A:A,Capex!A196,'BASE ICP_PO_SC'!E:E,"&lt;&gt;")/1000),"")</f>
        <v>0</v>
      </c>
      <c r="FF203" s="328">
        <f>IFERROR(IF(LEFT(A203,3)="LCP",(VLOOKUP(Capex!A196,BASE_558!D:R,11,)/1000),SUMIFS('BASE ICP_PO_SC'!F:F,'BASE ICP_PO_SC'!A:A,Capex!A196,'BASE ICP_PO_SC'!E:E,"")/1000),"")</f>
        <v>0</v>
      </c>
      <c r="FG203" s="328">
        <f>IFERROR(VLOOKUP(A203,BASE_558!D:R,13,FALSE)/1000,"")</f>
        <v>274.76365000000004</v>
      </c>
      <c r="FH203" s="328">
        <f>IFERROR(VLOOKUP(A203,BASE_558!D:R,15,FALSE)/1000,"")</f>
        <v>25.420950000000001</v>
      </c>
      <c r="FI203" s="547">
        <f t="shared" si="138"/>
        <v>-0.4994700000000023</v>
      </c>
      <c r="FJ203" s="547">
        <f t="shared" si="139"/>
        <v>0</v>
      </c>
      <c r="FK203" s="540">
        <f t="shared" si="140"/>
        <v>0</v>
      </c>
    </row>
    <row r="204" spans="1:167" s="23" customFormat="1" ht="24" customHeight="1">
      <c r="A204" s="84" t="s">
        <v>707</v>
      </c>
      <c r="B204" s="404"/>
      <c r="C204" s="404"/>
      <c r="D204" s="338" t="s">
        <v>2258</v>
      </c>
      <c r="E204" s="378">
        <v>3325174</v>
      </c>
      <c r="F204" s="310" t="s">
        <v>609</v>
      </c>
      <c r="G204" s="310" t="s">
        <v>9</v>
      </c>
      <c r="H204" s="356"/>
      <c r="I204" s="356"/>
      <c r="J204" s="356">
        <v>2020</v>
      </c>
      <c r="K204" s="321">
        <v>44168</v>
      </c>
      <c r="L204" s="317">
        <v>44553</v>
      </c>
      <c r="M204" s="409"/>
      <c r="N204" s="317">
        <f t="shared" si="109"/>
        <v>45080</v>
      </c>
      <c r="O204" s="317">
        <f t="shared" si="110"/>
        <v>45445</v>
      </c>
      <c r="P204" s="418" t="str">
        <f t="shared" si="117"/>
        <v>CRTD</v>
      </c>
      <c r="Q204" s="418" t="str">
        <f t="shared" si="117"/>
        <v>CRTD</v>
      </c>
      <c r="R204" s="418" t="str">
        <f t="shared" si="117"/>
        <v>CRTD</v>
      </c>
      <c r="S204" s="418" t="str">
        <f t="shared" si="117"/>
        <v>CRTD</v>
      </c>
      <c r="T204" s="418" t="str">
        <f t="shared" si="117"/>
        <v>CRTD</v>
      </c>
      <c r="U204" s="418" t="str">
        <f t="shared" si="117"/>
        <v>CRTD</v>
      </c>
      <c r="V204" s="418" t="str">
        <f t="shared" si="117"/>
        <v>CRTD</v>
      </c>
      <c r="W204" s="418" t="str">
        <f t="shared" si="117"/>
        <v>CRTD</v>
      </c>
      <c r="X204" s="418" t="str">
        <f t="shared" si="117"/>
        <v>CRTD</v>
      </c>
      <c r="Y204" s="418" t="str">
        <f t="shared" si="117"/>
        <v>CRTD</v>
      </c>
      <c r="Z204" s="418" t="str">
        <f t="shared" si="117"/>
        <v>CRTD</v>
      </c>
      <c r="AA204" s="418" t="str">
        <f t="shared" si="117"/>
        <v>CRTD</v>
      </c>
      <c r="AB204" s="350"/>
      <c r="AC204" s="309" t="s">
        <v>3931</v>
      </c>
      <c r="AD204" s="311" t="s">
        <v>223</v>
      </c>
      <c r="AE204" s="381"/>
      <c r="AF204" s="310" t="s">
        <v>6985</v>
      </c>
      <c r="AG204" s="310" t="s">
        <v>9083</v>
      </c>
      <c r="AH204" s="310" t="s">
        <v>708</v>
      </c>
      <c r="AI204" s="309" t="s">
        <v>188</v>
      </c>
      <c r="AJ204" s="6" t="s">
        <v>218</v>
      </c>
      <c r="AK204" s="6" t="str">
        <f t="shared" si="118"/>
        <v>IGUAL</v>
      </c>
      <c r="AL204" s="151" t="str">
        <f>IFERROR(IF(LEFT(A204,3)="LCP",VLOOKUP(A204,STATUS_SAP_LCP!B:C,2,FALSE),VLOOKUP(A204,STATUS_SAP_ICP!B:C,2,FALSE)),"NO BUDGET")</f>
        <v>CLSD BUDG AUC  AVAC  //  APPR BREL EXPL</v>
      </c>
      <c r="AM204" s="6" t="str">
        <f t="shared" si="116"/>
        <v>CLSD</v>
      </c>
      <c r="AN204" s="282" t="s">
        <v>9096</v>
      </c>
      <c r="AO204" s="493">
        <v>1</v>
      </c>
      <c r="AP204" s="499" t="s">
        <v>9607</v>
      </c>
      <c r="AQ204" s="465">
        <v>44553</v>
      </c>
      <c r="AR204" s="460"/>
      <c r="AS204" s="56"/>
      <c r="AT204" s="185">
        <v>0</v>
      </c>
      <c r="AU204" s="318">
        <v>571.69055000000003</v>
      </c>
      <c r="AV204" s="223">
        <v>0</v>
      </c>
      <c r="AW204" s="318">
        <v>0</v>
      </c>
      <c r="AX204" s="223">
        <v>0</v>
      </c>
      <c r="AY204" s="318">
        <f t="shared" si="111"/>
        <v>0</v>
      </c>
      <c r="AZ204" s="223"/>
      <c r="BA204" s="318"/>
      <c r="BB204" s="519">
        <f t="shared" si="112"/>
        <v>0</v>
      </c>
      <c r="BC204" s="518"/>
      <c r="BD204" s="518"/>
      <c r="BE204" s="518"/>
      <c r="BF204" s="518"/>
      <c r="BG204" s="518"/>
      <c r="BH204" s="518"/>
      <c r="BI204" s="518"/>
      <c r="BJ204" s="518"/>
      <c r="BK204" s="518"/>
      <c r="BL204" s="518"/>
      <c r="BM204" s="518"/>
      <c r="BN204" s="518"/>
      <c r="BO204" s="367">
        <f t="shared" si="119"/>
        <v>0</v>
      </c>
      <c r="BP204" s="421"/>
      <c r="BQ204" s="422"/>
      <c r="BR204" s="423">
        <f>IFERROR(IF(LEFT($A204,3)="Lcp",SUMIFS('BASE-LCP'!$K:$K,'BASE-LCP'!$A:$A,Capex!$A197,'BASE-LCP'!$B:$B,"janeiro")/1000,IF(LEFT($A204,3)="icp",SUMIFS('BASE-ICP'!$K:$K,'BASE-ICP'!$A:$A,Capex!$A197,'BASE-ICP'!$B:$B,"janeiro")/1000,"")),"")</f>
        <v>0</v>
      </c>
      <c r="BS204" s="427">
        <v>0</v>
      </c>
      <c r="BT204" s="372">
        <v>0</v>
      </c>
      <c r="BU204" s="422"/>
      <c r="BV204" s="423">
        <f>IFERROR(IF(LEFT($A204,3)="Lcp",SUMIFS('BASE-LCP'!$K:$K,'BASE-LCP'!$A:$A,Capex!$A197,'BASE-LCP'!$B:$B,"fevereiro")/1000,IF(LEFT($A204,3)="icp",SUMIFS('BASE-ICP'!$K:$K,'BASE-ICP'!$A:$A,Capex!$A197,'BASE-ICP'!$B:$B,"fevereiro")/1000,"")),"")</f>
        <v>0</v>
      </c>
      <c r="BW204" s="427">
        <v>0</v>
      </c>
      <c r="BX204" s="372">
        <v>0</v>
      </c>
      <c r="BY204" s="419"/>
      <c r="BZ204" s="423">
        <f>IFERROR(IF(LEFT($A204,3)="Lcp",SUMIFS('BASE-LCP'!$K:$K,'BASE-LCP'!$A:$A,Capex!$A197,'BASE-LCP'!$B:$B,"março")/1000,IF(LEFT($A204,3)="icp",SUMIFS('BASE-ICP'!$K:$K,'BASE-ICP'!$A:$A,Capex!$A197,'BASE-ICP'!$B:$B,"março")/1000,"")),"")</f>
        <v>0</v>
      </c>
      <c r="CA204" s="427">
        <v>0</v>
      </c>
      <c r="CB204" s="372">
        <v>0</v>
      </c>
      <c r="CC204" s="422"/>
      <c r="CD204" s="423">
        <f>IFERROR(IF(LEFT($A204,3)="Lcp",SUMIFS('BASE-LCP'!$K:$K,'BASE-LCP'!$A:$A,Capex!$A197,'BASE-LCP'!$B:$B,"abril")/1000,IF(LEFT($A204,3)="icp",SUMIFS('BASE-ICP'!$K:$K,'BASE-ICP'!$A:$A,Capex!$A197,'BASE-ICP'!$B:$B,"abril")/1000,"")),"")</f>
        <v>0</v>
      </c>
      <c r="CE204" s="427">
        <v>0</v>
      </c>
      <c r="CF204" s="372">
        <v>0</v>
      </c>
      <c r="CG204" s="419"/>
      <c r="CH204" s="423">
        <v>0</v>
      </c>
      <c r="CI204" s="427">
        <v>0</v>
      </c>
      <c r="CJ204" s="372">
        <v>0</v>
      </c>
      <c r="CK204" s="419"/>
      <c r="CL204" s="423">
        <f>IFERROR(IF(LEFT($A204,3)="Lcp",SUMIFS('BASE-LCP'!$K:$K,'BASE-LCP'!$A:$A,Capex!$A197,'BASE-LCP'!$B:$B,"junho")/1000,IF(LEFT($A204,3)="icp",SUMIFS('BASE-ICP'!$K:$K,'BASE-ICP'!$A:$A,Capex!$A197,'BASE-ICP'!$B:$B,"junho")/1000,"")),"")</f>
        <v>0</v>
      </c>
      <c r="CM204" s="427">
        <v>0</v>
      </c>
      <c r="CN204" s="372"/>
      <c r="CO204" s="419"/>
      <c r="CP204" s="423">
        <f>IFERROR(IF(LEFT($A204,3)="Lcp",SUMIFS('BASE-LCP'!$K:$K,'BASE-LCP'!$A:$A,Capex!$A197,'BASE-LCP'!$B:$B,"julho")/1000,IF(LEFT($A204,3)="icp",SUMIFS('BASE-ICP'!$K:$K,'BASE-ICP'!$A:$A,Capex!$A197,'BASE-ICP'!$B:$B,"julho")/1000,"")),"")</f>
        <v>0</v>
      </c>
      <c r="CQ204" s="427">
        <v>0</v>
      </c>
      <c r="CR204" s="372"/>
      <c r="CS204" s="419"/>
      <c r="CT204" s="423">
        <f>IFERROR(IF(LEFT($A204,3)="Lcp",SUMIFS('BASE-LCP'!$K:$K,'BASE-LCP'!$A:$A,Capex!$A197,'BASE-LCP'!$B:$B,"agosto")/1000,IF(LEFT($A204,3)="icp",SUMIFS('BASE-ICP'!$K:$K,'BASE-ICP'!$A:$A,Capex!$A197,'BASE-ICP'!$B:$B,"agosto")/1000,"")),"")</f>
        <v>0</v>
      </c>
      <c r="CU204" s="427">
        <v>0</v>
      </c>
      <c r="CV204" s="372"/>
      <c r="CW204" s="419"/>
      <c r="CX204" s="423">
        <f>IFERROR(IF(LEFT($A204,3)="Lcp",SUMIFS('BASE-LCP'!$K:$K,'BASE-LCP'!$A:$A,Capex!$A197,'BASE-LCP'!$B:$B,"setembro")/1000,IF(LEFT($A204,3)="icp",SUMIFS('BASE-ICP'!$K:$K,'BASE-ICP'!$A:$A,Capex!$A197,'BASE-ICP'!$B:$B,"setembro")/1000,"")),"")</f>
        <v>0</v>
      </c>
      <c r="CY204" s="427">
        <v>0</v>
      </c>
      <c r="CZ204" s="372"/>
      <c r="DA204" s="419"/>
      <c r="DB204" s="423">
        <f>IFERROR(IF(LEFT($A204,3)="Lcp",SUMIFS('BASE-LCP'!$K:$K,'BASE-LCP'!$A:$A,Capex!$A197,'BASE-LCP'!$B:$B,"outubro")/1000,IF(LEFT($A204,3)="icp",SUMIFS('BASE-ICP'!$K:$K,'BASE-ICP'!$A:$A,Capex!$A197,'BASE-ICP'!$B:$B,"outubro")/1000,"")),"")</f>
        <v>0</v>
      </c>
      <c r="DC204" s="427">
        <v>0</v>
      </c>
      <c r="DD204" s="372"/>
      <c r="DE204" s="419"/>
      <c r="DF204" s="423">
        <f>IFERROR(IF(LEFT($A204,3)="Lcp",SUMIFS('BASE-LCP'!$K:$K,'BASE-LCP'!$A:$A,Capex!$A197,'BASE-LCP'!$B:$B,"novembro")/1000,IF(LEFT($A204,3)="icp",SUMIFS('BASE-ICP'!$K:$K,'BASE-ICP'!$A:$A,Capex!$A197,'BASE-ICP'!$B:$B,"novembro")/1000,"")),"")</f>
        <v>0</v>
      </c>
      <c r="DG204" s="427">
        <v>0</v>
      </c>
      <c r="DH204" s="372"/>
      <c r="DI204" s="419"/>
      <c r="DJ204" s="423">
        <f>IFERROR(IF(LEFT($A204,3)="Lcp",SUMIFS('BASE-LCP'!$K:$K,'BASE-LCP'!$A:$A,Capex!$A197,'BASE-LCP'!$B:$B,"dezembro")/1000,IF(LEFT($A204,3)="icp",SUMIFS('BASE-ICP'!$K:$K,'BASE-ICP'!$A:$A,Capex!$A197,'BASE-ICP'!$B:$B,"dezembro")/1000,"")),"")</f>
        <v>0</v>
      </c>
      <c r="DK204" s="427">
        <v>0</v>
      </c>
      <c r="DL204" s="452">
        <f t="shared" si="120"/>
        <v>0</v>
      </c>
      <c r="DM204" s="374"/>
      <c r="DN204" s="374"/>
      <c r="DO204" s="374"/>
      <c r="DP204" s="374"/>
      <c r="DQ204" s="374"/>
      <c r="DR204" s="374"/>
      <c r="DS204" s="374"/>
      <c r="DT204" s="374"/>
      <c r="DU204" s="374"/>
      <c r="DV204" s="374"/>
      <c r="DW204" s="374"/>
      <c r="DX204" s="374"/>
      <c r="DY204" s="450"/>
      <c r="DZ204" s="374">
        <f t="shared" si="121"/>
        <v>0</v>
      </c>
      <c r="EA204" s="216">
        <f t="shared" si="122"/>
        <v>0</v>
      </c>
      <c r="EB204" s="320">
        <f t="shared" si="123"/>
        <v>0</v>
      </c>
      <c r="EC204" s="241">
        <f t="shared" si="124"/>
        <v>0</v>
      </c>
      <c r="ED204" s="241">
        <f t="shared" si="125"/>
        <v>0</v>
      </c>
      <c r="EE204" s="241">
        <f t="shared" si="126"/>
        <v>0</v>
      </c>
      <c r="EF204" s="241">
        <f t="shared" si="127"/>
        <v>0</v>
      </c>
      <c r="EG204" s="346">
        <f t="shared" si="128"/>
        <v>0</v>
      </c>
      <c r="EH204" s="445">
        <f t="shared" si="129"/>
        <v>0</v>
      </c>
      <c r="EI204" s="447">
        <f t="shared" si="130"/>
        <v>0</v>
      </c>
      <c r="EJ204" s="364">
        <f t="shared" si="131"/>
        <v>0</v>
      </c>
      <c r="EK204" s="365">
        <f t="shared" si="132"/>
        <v>0</v>
      </c>
      <c r="EL204" s="529">
        <f t="shared" si="133"/>
        <v>0</v>
      </c>
      <c r="EM204" s="530">
        <v>0</v>
      </c>
      <c r="EN204" s="530">
        <v>0</v>
      </c>
      <c r="EO204" s="530">
        <v>0</v>
      </c>
      <c r="EP204" s="530">
        <v>0</v>
      </c>
      <c r="EQ204" s="530">
        <v>0</v>
      </c>
      <c r="ER204" s="530">
        <v>0</v>
      </c>
      <c r="ES204" s="530">
        <v>0</v>
      </c>
      <c r="ET204" s="530">
        <v>0</v>
      </c>
      <c r="EU204" s="530">
        <v>0</v>
      </c>
      <c r="EV204" s="530">
        <v>0</v>
      </c>
      <c r="EW204" s="530">
        <v>0</v>
      </c>
      <c r="EX204" s="530">
        <v>0</v>
      </c>
      <c r="EY204" s="530">
        <f t="shared" si="134"/>
        <v>0</v>
      </c>
      <c r="EZ204" s="530">
        <f t="shared" si="135"/>
        <v>0</v>
      </c>
      <c r="FA204" s="530">
        <f t="shared" si="136"/>
        <v>0</v>
      </c>
      <c r="FB204" s="530">
        <f t="shared" si="137"/>
        <v>0</v>
      </c>
      <c r="FC204" s="384">
        <f>IFERROR(VLOOKUP(Capex!A197,BASE_558!D:R,8,FALSE)/1000,"")</f>
        <v>65.72</v>
      </c>
      <c r="FD204" s="328">
        <f>IFERROR(VLOOKUP(Capex!A197,BASE_558!D:R,9,)/1000,"")</f>
        <v>64.558849999999993</v>
      </c>
      <c r="FE204" s="328">
        <f>IFERROR(IF(LEFT(A204,3)="LCP",(VLOOKUP(Capex!A197,BASE_558!D:R,10,)/1000),SUMIFS('BASE ICP_PO_SC'!F:F,'BASE ICP_PO_SC'!A:A,Capex!A197,'BASE ICP_PO_SC'!E:E,"&lt;&gt;")/1000),"")</f>
        <v>0</v>
      </c>
      <c r="FF204" s="328">
        <f>IFERROR(IF(LEFT(A204,3)="LCP",(VLOOKUP(Capex!A197,BASE_558!D:R,11,)/1000),SUMIFS('BASE ICP_PO_SC'!F:F,'BASE ICP_PO_SC'!A:A,Capex!A197,'BASE ICP_PO_SC'!E:E,"")/1000),"")</f>
        <v>0</v>
      </c>
      <c r="FG204" s="328">
        <f>IFERROR(VLOOKUP(A204,BASE_558!D:R,13,FALSE)/1000,"")</f>
        <v>571.69055000000003</v>
      </c>
      <c r="FH204" s="328">
        <f>IFERROR(VLOOKUP(A204,BASE_558!D:R,15,FALSE)/1000,"")</f>
        <v>1.83945</v>
      </c>
      <c r="FI204" s="547">
        <f t="shared" si="138"/>
        <v>0</v>
      </c>
      <c r="FJ204" s="547">
        <f t="shared" si="139"/>
        <v>0</v>
      </c>
      <c r="FK204" s="540">
        <f t="shared" si="140"/>
        <v>0</v>
      </c>
    </row>
    <row r="205" spans="1:167" s="23" customFormat="1" ht="24" customHeight="1">
      <c r="A205" s="84" t="s">
        <v>658</v>
      </c>
      <c r="B205" s="404"/>
      <c r="C205" s="404"/>
      <c r="D205" s="338" t="s">
        <v>1904</v>
      </c>
      <c r="E205" s="378">
        <v>3294503</v>
      </c>
      <c r="F205" s="5"/>
      <c r="G205" s="310" t="s">
        <v>9</v>
      </c>
      <c r="H205" s="338"/>
      <c r="I205" s="356"/>
      <c r="J205" s="356">
        <v>2020</v>
      </c>
      <c r="K205" s="321">
        <v>44134</v>
      </c>
      <c r="L205" s="317">
        <v>44553</v>
      </c>
      <c r="M205" s="409"/>
      <c r="N205" s="317">
        <f t="shared" si="109"/>
        <v>45046</v>
      </c>
      <c r="O205" s="317">
        <f t="shared" si="110"/>
        <v>45411</v>
      </c>
      <c r="P205" s="418" t="str">
        <f t="shared" ref="P205:AA214" si="141">IF($N205="","N/A",IF($O205="","N/A",IF(P$2&lt;=$N205,"NÃO",IF($AJ205="REL ","SIM",IF(P$2&lt;$O205,"NÃO",IF($AJ205&lt;&gt;"CLSD","SIM","CRTD"))))))</f>
        <v>CRTD</v>
      </c>
      <c r="Q205" s="418" t="str">
        <f t="shared" si="141"/>
        <v>CRTD</v>
      </c>
      <c r="R205" s="418" t="str">
        <f t="shared" si="141"/>
        <v>CRTD</v>
      </c>
      <c r="S205" s="418" t="str">
        <f t="shared" si="141"/>
        <v>CRTD</v>
      </c>
      <c r="T205" s="418" t="str">
        <f t="shared" si="141"/>
        <v>CRTD</v>
      </c>
      <c r="U205" s="418" t="str">
        <f t="shared" si="141"/>
        <v>CRTD</v>
      </c>
      <c r="V205" s="418" t="str">
        <f t="shared" si="141"/>
        <v>CRTD</v>
      </c>
      <c r="W205" s="418" t="str">
        <f t="shared" si="141"/>
        <v>CRTD</v>
      </c>
      <c r="X205" s="418" t="str">
        <f t="shared" si="141"/>
        <v>CRTD</v>
      </c>
      <c r="Y205" s="418" t="str">
        <f t="shared" si="141"/>
        <v>CRTD</v>
      </c>
      <c r="Z205" s="418" t="str">
        <f t="shared" si="141"/>
        <v>CRTD</v>
      </c>
      <c r="AA205" s="418" t="str">
        <f t="shared" si="141"/>
        <v>CRTD</v>
      </c>
      <c r="AB205" s="350"/>
      <c r="AC205" s="309" t="s">
        <v>3930</v>
      </c>
      <c r="AD205" s="311"/>
      <c r="AE205" s="381"/>
      <c r="AF205" s="310" t="s">
        <v>6985</v>
      </c>
      <c r="AG205" s="310" t="s">
        <v>9083</v>
      </c>
      <c r="AH205" s="310" t="s">
        <v>659</v>
      </c>
      <c r="AI205" s="381" t="s">
        <v>188</v>
      </c>
      <c r="AJ205" s="6" t="s">
        <v>218</v>
      </c>
      <c r="AK205" s="6" t="str">
        <f t="shared" si="118"/>
        <v>IGUAL</v>
      </c>
      <c r="AL205" s="151" t="str">
        <f>IFERROR(IF(LEFT(A205,3)="LCP",VLOOKUP(A205,STATUS_SAP_LCP!B:C,2,FALSE),VLOOKUP(A205,STATUS_SAP_ICP!B:C,2,FALSE)),"NO BUDGET")</f>
        <v>CLSD BUDG AUC  AVAC  //  APPR BREL EXPL</v>
      </c>
      <c r="AM205" s="6" t="str">
        <f t="shared" si="116"/>
        <v>CLSD</v>
      </c>
      <c r="AN205" s="282" t="s">
        <v>9096</v>
      </c>
      <c r="AO205" s="562">
        <v>1</v>
      </c>
      <c r="AP205" s="499" t="s">
        <v>9607</v>
      </c>
      <c r="AQ205" s="465">
        <v>44553</v>
      </c>
      <c r="AR205" s="460"/>
      <c r="AS205" s="56"/>
      <c r="AT205" s="185">
        <v>0</v>
      </c>
      <c r="AU205" s="318">
        <v>49.774949999999997</v>
      </c>
      <c r="AV205" s="223">
        <v>0</v>
      </c>
      <c r="AW205" s="318">
        <v>0</v>
      </c>
      <c r="AX205" s="223">
        <v>0</v>
      </c>
      <c r="AY205" s="318">
        <f t="shared" si="111"/>
        <v>0</v>
      </c>
      <c r="AZ205" s="223"/>
      <c r="BA205" s="318"/>
      <c r="BB205" s="519">
        <f t="shared" si="112"/>
        <v>0</v>
      </c>
      <c r="BC205" s="518"/>
      <c r="BD205" s="518"/>
      <c r="BE205" s="518"/>
      <c r="BF205" s="518"/>
      <c r="BG205" s="518"/>
      <c r="BH205" s="518"/>
      <c r="BI205" s="518"/>
      <c r="BJ205" s="518"/>
      <c r="BK205" s="518"/>
      <c r="BL205" s="518"/>
      <c r="BM205" s="518"/>
      <c r="BN205" s="518"/>
      <c r="BO205" s="367">
        <f t="shared" si="119"/>
        <v>0</v>
      </c>
      <c r="BP205" s="421"/>
      <c r="BQ205" s="422"/>
      <c r="BR205" s="423">
        <f>IFERROR(IF(LEFT($A205,3)="Lcp",SUMIFS('BASE-LCP'!$K:$K,'BASE-LCP'!$A:$A,Capex!$A198,'BASE-LCP'!$B:$B,"janeiro")/1000,IF(LEFT($A205,3)="icp",SUMIFS('BASE-ICP'!$K:$K,'BASE-ICP'!$A:$A,Capex!$A198,'BASE-ICP'!$B:$B,"janeiro")/1000,"")),"")</f>
        <v>0</v>
      </c>
      <c r="BS205" s="427">
        <v>0</v>
      </c>
      <c r="BT205" s="372">
        <v>0</v>
      </c>
      <c r="BU205" s="422"/>
      <c r="BV205" s="423">
        <f>IFERROR(IF(LEFT($A205,3)="Lcp",SUMIFS('BASE-LCP'!$K:$K,'BASE-LCP'!$A:$A,Capex!$A198,'BASE-LCP'!$B:$B,"fevereiro")/1000,IF(LEFT($A205,3)="icp",SUMIFS('BASE-ICP'!$K:$K,'BASE-ICP'!$A:$A,Capex!$A198,'BASE-ICP'!$B:$B,"fevereiro")/1000,"")),"")</f>
        <v>0</v>
      </c>
      <c r="BW205" s="427">
        <v>0</v>
      </c>
      <c r="BX205" s="372">
        <v>0</v>
      </c>
      <c r="BY205" s="419"/>
      <c r="BZ205" s="423">
        <f>IFERROR(IF(LEFT($A205,3)="Lcp",SUMIFS('BASE-LCP'!$K:$K,'BASE-LCP'!$A:$A,Capex!$A198,'BASE-LCP'!$B:$B,"março")/1000,IF(LEFT($A205,3)="icp",SUMIFS('BASE-ICP'!$K:$K,'BASE-ICP'!$A:$A,Capex!$A198,'BASE-ICP'!$B:$B,"março")/1000,"")),"")</f>
        <v>0</v>
      </c>
      <c r="CA205" s="427">
        <v>0</v>
      </c>
      <c r="CB205" s="372">
        <v>0</v>
      </c>
      <c r="CC205" s="422"/>
      <c r="CD205" s="423">
        <f>IFERROR(IF(LEFT($A205,3)="Lcp",SUMIFS('BASE-LCP'!$K:$K,'BASE-LCP'!$A:$A,Capex!$A198,'BASE-LCP'!$B:$B,"abril")/1000,IF(LEFT($A205,3)="icp",SUMIFS('BASE-ICP'!$K:$K,'BASE-ICP'!$A:$A,Capex!$A198,'BASE-ICP'!$B:$B,"abril")/1000,"")),"")</f>
        <v>0</v>
      </c>
      <c r="CE205" s="427">
        <v>0</v>
      </c>
      <c r="CF205" s="372">
        <v>0</v>
      </c>
      <c r="CG205" s="419"/>
      <c r="CH205" s="423">
        <v>0</v>
      </c>
      <c r="CI205" s="427">
        <v>0</v>
      </c>
      <c r="CJ205" s="372">
        <v>0</v>
      </c>
      <c r="CK205" s="419"/>
      <c r="CL205" s="423">
        <f>IFERROR(IF(LEFT($A205,3)="Lcp",SUMIFS('BASE-LCP'!$K:$K,'BASE-LCP'!$A:$A,Capex!$A198,'BASE-LCP'!$B:$B,"junho")/1000,IF(LEFT($A205,3)="icp",SUMIFS('BASE-ICP'!$K:$K,'BASE-ICP'!$A:$A,Capex!$A198,'BASE-ICP'!$B:$B,"junho")/1000,"")),"")</f>
        <v>0</v>
      </c>
      <c r="CM205" s="427">
        <v>0</v>
      </c>
      <c r="CN205" s="372"/>
      <c r="CO205" s="419"/>
      <c r="CP205" s="423">
        <f>IFERROR(IF(LEFT($A205,3)="Lcp",SUMIFS('BASE-LCP'!$K:$K,'BASE-LCP'!$A:$A,Capex!$A198,'BASE-LCP'!$B:$B,"julho")/1000,IF(LEFT($A205,3)="icp",SUMIFS('BASE-ICP'!$K:$K,'BASE-ICP'!$A:$A,Capex!$A198,'BASE-ICP'!$B:$B,"julho")/1000,"")),"")</f>
        <v>0</v>
      </c>
      <c r="CQ205" s="427">
        <v>0</v>
      </c>
      <c r="CR205" s="372"/>
      <c r="CS205" s="419"/>
      <c r="CT205" s="423">
        <f>IFERROR(IF(LEFT($A205,3)="Lcp",SUMIFS('BASE-LCP'!$K:$K,'BASE-LCP'!$A:$A,Capex!$A198,'BASE-LCP'!$B:$B,"agosto")/1000,IF(LEFT($A205,3)="icp",SUMIFS('BASE-ICP'!$K:$K,'BASE-ICP'!$A:$A,Capex!$A198,'BASE-ICP'!$B:$B,"agosto")/1000,"")),"")</f>
        <v>0</v>
      </c>
      <c r="CU205" s="427">
        <v>0</v>
      </c>
      <c r="CV205" s="372"/>
      <c r="CW205" s="419"/>
      <c r="CX205" s="423">
        <f>IFERROR(IF(LEFT($A205,3)="Lcp",SUMIFS('BASE-LCP'!$K:$K,'BASE-LCP'!$A:$A,Capex!$A198,'BASE-LCP'!$B:$B,"setembro")/1000,IF(LEFT($A205,3)="icp",SUMIFS('BASE-ICP'!$K:$K,'BASE-ICP'!$A:$A,Capex!$A198,'BASE-ICP'!$B:$B,"setembro")/1000,"")),"")</f>
        <v>0</v>
      </c>
      <c r="CY205" s="427">
        <v>0</v>
      </c>
      <c r="CZ205" s="372"/>
      <c r="DA205" s="419"/>
      <c r="DB205" s="423">
        <f>IFERROR(IF(LEFT($A205,3)="Lcp",SUMIFS('BASE-LCP'!$K:$K,'BASE-LCP'!$A:$A,Capex!$A198,'BASE-LCP'!$B:$B,"outubro")/1000,IF(LEFT($A205,3)="icp",SUMIFS('BASE-ICP'!$K:$K,'BASE-ICP'!$A:$A,Capex!$A198,'BASE-ICP'!$B:$B,"outubro")/1000,"")),"")</f>
        <v>0</v>
      </c>
      <c r="DC205" s="427">
        <v>0</v>
      </c>
      <c r="DD205" s="372"/>
      <c r="DE205" s="419"/>
      <c r="DF205" s="423">
        <f>IFERROR(IF(LEFT($A205,3)="Lcp",SUMIFS('BASE-LCP'!$K:$K,'BASE-LCP'!$A:$A,Capex!$A198,'BASE-LCP'!$B:$B,"novembro")/1000,IF(LEFT($A205,3)="icp",SUMIFS('BASE-ICP'!$K:$K,'BASE-ICP'!$A:$A,Capex!$A198,'BASE-ICP'!$B:$B,"novembro")/1000,"")),"")</f>
        <v>0</v>
      </c>
      <c r="DG205" s="427">
        <v>0</v>
      </c>
      <c r="DH205" s="372"/>
      <c r="DI205" s="419"/>
      <c r="DJ205" s="423">
        <f>IFERROR(IF(LEFT($A205,3)="Lcp",SUMIFS('BASE-LCP'!$K:$K,'BASE-LCP'!$A:$A,Capex!$A198,'BASE-LCP'!$B:$B,"dezembro")/1000,IF(LEFT($A205,3)="icp",SUMIFS('BASE-ICP'!$K:$K,'BASE-ICP'!$A:$A,Capex!$A198,'BASE-ICP'!$B:$B,"dezembro")/1000,"")),"")</f>
        <v>0</v>
      </c>
      <c r="DK205" s="427">
        <v>0</v>
      </c>
      <c r="DL205" s="452">
        <f t="shared" si="120"/>
        <v>0</v>
      </c>
      <c r="DM205" s="374"/>
      <c r="DN205" s="374"/>
      <c r="DO205" s="374"/>
      <c r="DP205" s="374"/>
      <c r="DQ205" s="374"/>
      <c r="DR205" s="374"/>
      <c r="DS205" s="374"/>
      <c r="DT205" s="374"/>
      <c r="DU205" s="374"/>
      <c r="DV205" s="374"/>
      <c r="DW205" s="374"/>
      <c r="DX205" s="374"/>
      <c r="DY205" s="450"/>
      <c r="DZ205" s="374">
        <f t="shared" si="121"/>
        <v>0</v>
      </c>
      <c r="EA205" s="216">
        <f t="shared" si="122"/>
        <v>0</v>
      </c>
      <c r="EB205" s="320">
        <f t="shared" si="123"/>
        <v>0</v>
      </c>
      <c r="EC205" s="241">
        <f t="shared" si="124"/>
        <v>0</v>
      </c>
      <c r="ED205" s="241">
        <f t="shared" si="125"/>
        <v>0</v>
      </c>
      <c r="EE205" s="241">
        <f t="shared" si="126"/>
        <v>0</v>
      </c>
      <c r="EF205" s="241">
        <f t="shared" si="127"/>
        <v>0</v>
      </c>
      <c r="EG205" s="346">
        <f t="shared" si="128"/>
        <v>0</v>
      </c>
      <c r="EH205" s="445">
        <f t="shared" si="129"/>
        <v>0</v>
      </c>
      <c r="EI205" s="447">
        <f t="shared" si="130"/>
        <v>0</v>
      </c>
      <c r="EJ205" s="364">
        <f t="shared" si="131"/>
        <v>0</v>
      </c>
      <c r="EK205" s="365">
        <f t="shared" si="132"/>
        <v>0</v>
      </c>
      <c r="EL205" s="529">
        <f t="shared" si="133"/>
        <v>0</v>
      </c>
      <c r="EM205" s="530">
        <v>0</v>
      </c>
      <c r="EN205" s="530">
        <v>0</v>
      </c>
      <c r="EO205" s="530">
        <v>0</v>
      </c>
      <c r="EP205" s="530">
        <v>0</v>
      </c>
      <c r="EQ205" s="530">
        <v>0</v>
      </c>
      <c r="ER205" s="530">
        <v>0</v>
      </c>
      <c r="ES205" s="530">
        <v>0</v>
      </c>
      <c r="ET205" s="530">
        <v>0</v>
      </c>
      <c r="EU205" s="530">
        <v>0</v>
      </c>
      <c r="EV205" s="530">
        <v>0</v>
      </c>
      <c r="EW205" s="530">
        <v>0</v>
      </c>
      <c r="EX205" s="530">
        <v>0</v>
      </c>
      <c r="EY205" s="530">
        <f t="shared" si="134"/>
        <v>0</v>
      </c>
      <c r="EZ205" s="530">
        <f t="shared" si="135"/>
        <v>0</v>
      </c>
      <c r="FA205" s="530">
        <f t="shared" si="136"/>
        <v>0</v>
      </c>
      <c r="FB205" s="530">
        <f t="shared" si="137"/>
        <v>0</v>
      </c>
      <c r="FC205" s="384">
        <f>IFERROR(VLOOKUP(Capex!A198,BASE_558!D:R,8,FALSE)/1000,"")</f>
        <v>44.95</v>
      </c>
      <c r="FD205" s="328">
        <f>IFERROR(VLOOKUP(Capex!A198,BASE_558!D:R,9,)/1000,"")</f>
        <v>38.536250000000003</v>
      </c>
      <c r="FE205" s="328">
        <f>IFERROR(IF(LEFT(A205,3)="LCP",(VLOOKUP(Capex!A198,BASE_558!D:R,10,)/1000),SUMIFS('BASE ICP_PO_SC'!F:F,'BASE ICP_PO_SC'!A:A,Capex!A198,'BASE ICP_PO_SC'!E:E,"&lt;&gt;")/1000),"")</f>
        <v>0</v>
      </c>
      <c r="FF205" s="328">
        <f>IFERROR(IF(LEFT(A205,3)="LCP",(VLOOKUP(Capex!A198,BASE_558!D:R,11,)/1000),SUMIFS('BASE ICP_PO_SC'!F:F,'BASE ICP_PO_SC'!A:A,Capex!A198,'BASE ICP_PO_SC'!E:E,"")/1000),"")</f>
        <v>0</v>
      </c>
      <c r="FG205" s="328">
        <f>IFERROR(VLOOKUP(A205,BASE_558!D:R,13,FALSE)/1000,"")</f>
        <v>49.774949999999997</v>
      </c>
      <c r="FH205" s="328">
        <f>IFERROR(VLOOKUP(A205,BASE_558!D:R,15,FALSE)/1000,"")</f>
        <v>58.039050000000003</v>
      </c>
      <c r="FI205" s="547">
        <f t="shared" si="138"/>
        <v>0</v>
      </c>
      <c r="FJ205" s="547">
        <f t="shared" si="139"/>
        <v>0</v>
      </c>
      <c r="FK205" s="540">
        <f t="shared" si="140"/>
        <v>0</v>
      </c>
    </row>
    <row r="206" spans="1:167" s="23" customFormat="1" ht="24" customHeight="1">
      <c r="A206" s="84" t="s">
        <v>741</v>
      </c>
      <c r="B206" s="404"/>
      <c r="C206" s="404" t="s">
        <v>602</v>
      </c>
      <c r="D206" s="338" t="s">
        <v>6</v>
      </c>
      <c r="E206" s="378">
        <v>3635316</v>
      </c>
      <c r="F206" s="310"/>
      <c r="G206" s="310" t="s">
        <v>9</v>
      </c>
      <c r="H206" s="338"/>
      <c r="I206" s="356"/>
      <c r="J206" s="356">
        <v>2021</v>
      </c>
      <c r="K206" s="321">
        <v>44239</v>
      </c>
      <c r="L206" s="317">
        <v>44650</v>
      </c>
      <c r="M206" s="409"/>
      <c r="N206" s="317">
        <f t="shared" si="109"/>
        <v>45151</v>
      </c>
      <c r="O206" s="317">
        <f t="shared" si="110"/>
        <v>45516</v>
      </c>
      <c r="P206" s="418" t="str">
        <f t="shared" si="141"/>
        <v>CRTD</v>
      </c>
      <c r="Q206" s="418" t="str">
        <f t="shared" si="141"/>
        <v>CRTD</v>
      </c>
      <c r="R206" s="418" t="str">
        <f t="shared" si="141"/>
        <v>CRTD</v>
      </c>
      <c r="S206" s="418" t="str">
        <f t="shared" si="141"/>
        <v>CRTD</v>
      </c>
      <c r="T206" s="418" t="str">
        <f t="shared" si="141"/>
        <v>CRTD</v>
      </c>
      <c r="U206" s="418" t="str">
        <f t="shared" si="141"/>
        <v>CRTD</v>
      </c>
      <c r="V206" s="418" t="str">
        <f t="shared" si="141"/>
        <v>CRTD</v>
      </c>
      <c r="W206" s="418" t="str">
        <f t="shared" si="141"/>
        <v>CRTD</v>
      </c>
      <c r="X206" s="418" t="str">
        <f t="shared" si="141"/>
        <v>CRTD</v>
      </c>
      <c r="Y206" s="418" t="str">
        <f t="shared" si="141"/>
        <v>CRTD</v>
      </c>
      <c r="Z206" s="418" t="str">
        <f t="shared" si="141"/>
        <v>CRTD</v>
      </c>
      <c r="AA206" s="418" t="str">
        <f t="shared" si="141"/>
        <v>CRTD</v>
      </c>
      <c r="AB206" s="350"/>
      <c r="AC206" s="309" t="s">
        <v>3932</v>
      </c>
      <c r="AD206" s="311" t="s">
        <v>223</v>
      </c>
      <c r="AE206" s="361" t="s">
        <v>613</v>
      </c>
      <c r="AF206" s="310" t="s">
        <v>6985</v>
      </c>
      <c r="AG206" s="310" t="s">
        <v>9603</v>
      </c>
      <c r="AH206" s="310" t="s">
        <v>734</v>
      </c>
      <c r="AI206" s="381" t="s">
        <v>2255</v>
      </c>
      <c r="AJ206" s="6" t="s">
        <v>218</v>
      </c>
      <c r="AK206" s="6" t="str">
        <f t="shared" si="118"/>
        <v>IGUAL</v>
      </c>
      <c r="AL206" s="151" t="str">
        <f>IFERROR(IF(LEFT(A206,3)="LCP",VLOOKUP(A206,STATUS_SAP_LCP!B:C,2,FALSE),VLOOKUP(A206,STATUS_SAP_ICP!B:C,2,FALSE)),"NO BUDGET")</f>
        <v>CLSD BUDG AUC  AVAC  //  APPR BREL EXPL</v>
      </c>
      <c r="AM206" s="6" t="str">
        <f t="shared" si="116"/>
        <v>CLSD</v>
      </c>
      <c r="AN206" s="414" t="s">
        <v>2651</v>
      </c>
      <c r="AO206" s="558">
        <v>1</v>
      </c>
      <c r="AP206" s="499" t="s">
        <v>9607</v>
      </c>
      <c r="AQ206" s="465">
        <v>44650</v>
      </c>
      <c r="AR206" s="460"/>
      <c r="AS206" s="56"/>
      <c r="AT206" s="185"/>
      <c r="AU206" s="318">
        <v>833.57808</v>
      </c>
      <c r="AV206" s="223">
        <v>-1.888019999999998</v>
      </c>
      <c r="AW206" s="318">
        <v>0</v>
      </c>
      <c r="AX206" s="223">
        <v>0</v>
      </c>
      <c r="AY206" s="318">
        <f t="shared" si="111"/>
        <v>0</v>
      </c>
      <c r="AZ206" s="223"/>
      <c r="BA206" s="318"/>
      <c r="BB206" s="519">
        <f t="shared" si="112"/>
        <v>0</v>
      </c>
      <c r="BC206" s="518"/>
      <c r="BD206" s="518"/>
      <c r="BE206" s="518"/>
      <c r="BF206" s="518"/>
      <c r="BG206" s="518"/>
      <c r="BH206" s="518"/>
      <c r="BI206" s="518"/>
      <c r="BJ206" s="518"/>
      <c r="BK206" s="518"/>
      <c r="BL206" s="518"/>
      <c r="BM206" s="518"/>
      <c r="BN206" s="518"/>
      <c r="BO206" s="367">
        <f t="shared" si="119"/>
        <v>0</v>
      </c>
      <c r="BP206" s="421"/>
      <c r="BQ206" s="422"/>
      <c r="BR206" s="423">
        <f>IFERROR(IF(LEFT($A206,3)="Lcp",SUMIFS('BASE-LCP'!$K:$K,'BASE-LCP'!$A:$A,Capex!$A200,'BASE-LCP'!$B:$B,"janeiro")/1000,IF(LEFT($A206,3)="icp",SUMIFS('BASE-ICP'!$K:$K,'BASE-ICP'!$A:$A,Capex!$A200,'BASE-ICP'!$B:$B,"janeiro")/1000,"")),"")</f>
        <v>0</v>
      </c>
      <c r="BS206" s="427">
        <v>0</v>
      </c>
      <c r="BT206" s="372">
        <v>0</v>
      </c>
      <c r="BU206" s="422"/>
      <c r="BV206" s="423">
        <f>IFERROR(IF(LEFT($A206,3)="Lcp",SUMIFS('BASE-LCP'!$K:$K,'BASE-LCP'!$A:$A,Capex!$A200,'BASE-LCP'!$B:$B,"fevereiro")/1000,IF(LEFT($A206,3)="icp",SUMIFS('BASE-ICP'!$K:$K,'BASE-ICP'!$A:$A,Capex!$A200,'BASE-ICP'!$B:$B,"fevereiro")/1000,"")),"")</f>
        <v>0</v>
      </c>
      <c r="BW206" s="427">
        <v>0</v>
      </c>
      <c r="BX206" s="372">
        <v>0</v>
      </c>
      <c r="BY206" s="419"/>
      <c r="BZ206" s="423">
        <f>IFERROR(IF(LEFT($A206,3)="Lcp",SUMIFS('BASE-LCP'!$K:$K,'BASE-LCP'!$A:$A,Capex!$A200,'BASE-LCP'!$B:$B,"março")/1000,IF(LEFT($A206,3)="icp",SUMIFS('BASE-ICP'!$K:$K,'BASE-ICP'!$A:$A,Capex!$A200,'BASE-ICP'!$B:$B,"março")/1000,"")),"")</f>
        <v>0</v>
      </c>
      <c r="CA206" s="427">
        <v>0</v>
      </c>
      <c r="CB206" s="372">
        <v>0</v>
      </c>
      <c r="CC206" s="422"/>
      <c r="CD206" s="423">
        <f>IFERROR(IF(LEFT($A206,3)="Lcp",SUMIFS('BASE-LCP'!$K:$K,'BASE-LCP'!$A:$A,Capex!$A200,'BASE-LCP'!$B:$B,"abril")/1000,IF(LEFT($A206,3)="icp",SUMIFS('BASE-ICP'!$K:$K,'BASE-ICP'!$A:$A,Capex!$A200,'BASE-ICP'!$B:$B,"abril")/1000,"")),"")</f>
        <v>0</v>
      </c>
      <c r="CE206" s="427">
        <v>0</v>
      </c>
      <c r="CF206" s="372">
        <v>0</v>
      </c>
      <c r="CG206" s="419"/>
      <c r="CH206" s="423">
        <v>0</v>
      </c>
      <c r="CI206" s="427">
        <v>0</v>
      </c>
      <c r="CJ206" s="372">
        <v>0</v>
      </c>
      <c r="CK206" s="419"/>
      <c r="CL206" s="423">
        <f>IFERROR(IF(LEFT($A206,3)="Lcp",SUMIFS('BASE-LCP'!$K:$K,'BASE-LCP'!$A:$A,Capex!$A200,'BASE-LCP'!$B:$B,"junho")/1000,IF(LEFT($A206,3)="icp",SUMIFS('BASE-ICP'!$K:$K,'BASE-ICP'!$A:$A,Capex!$A200,'BASE-ICP'!$B:$B,"junho")/1000,"")),"")</f>
        <v>0</v>
      </c>
      <c r="CM206" s="427">
        <v>0</v>
      </c>
      <c r="CN206" s="372"/>
      <c r="CO206" s="419"/>
      <c r="CP206" s="423">
        <f>IFERROR(IF(LEFT($A206,3)="Lcp",SUMIFS('BASE-LCP'!$K:$K,'BASE-LCP'!$A:$A,Capex!$A200,'BASE-LCP'!$B:$B,"julho")/1000,IF(LEFT($A206,3)="icp",SUMIFS('BASE-ICP'!$K:$K,'BASE-ICP'!$A:$A,Capex!$A200,'BASE-ICP'!$B:$B,"julho")/1000,"")),"")</f>
        <v>0</v>
      </c>
      <c r="CQ206" s="427">
        <v>0</v>
      </c>
      <c r="CR206" s="372"/>
      <c r="CS206" s="419"/>
      <c r="CT206" s="423">
        <f>IFERROR(IF(LEFT($A206,3)="Lcp",SUMIFS('BASE-LCP'!$K:$K,'BASE-LCP'!$A:$A,Capex!$A200,'BASE-LCP'!$B:$B,"agosto")/1000,IF(LEFT($A206,3)="icp",SUMIFS('BASE-ICP'!$K:$K,'BASE-ICP'!$A:$A,Capex!$A200,'BASE-ICP'!$B:$B,"agosto")/1000,"")),"")</f>
        <v>0</v>
      </c>
      <c r="CU206" s="427">
        <v>0</v>
      </c>
      <c r="CV206" s="372"/>
      <c r="CW206" s="419"/>
      <c r="CX206" s="423">
        <f>IFERROR(IF(LEFT($A206,3)="Lcp",SUMIFS('BASE-LCP'!$K:$K,'BASE-LCP'!$A:$A,Capex!$A200,'BASE-LCP'!$B:$B,"setembro")/1000,IF(LEFT($A206,3)="icp",SUMIFS('BASE-ICP'!$K:$K,'BASE-ICP'!$A:$A,Capex!$A200,'BASE-ICP'!$B:$B,"setembro")/1000,"")),"")</f>
        <v>0</v>
      </c>
      <c r="CY206" s="427">
        <v>0</v>
      </c>
      <c r="CZ206" s="372"/>
      <c r="DA206" s="419"/>
      <c r="DB206" s="423">
        <f>IFERROR(IF(LEFT($A206,3)="Lcp",SUMIFS('BASE-LCP'!$K:$K,'BASE-LCP'!$A:$A,Capex!$A200,'BASE-LCP'!$B:$B,"outubro")/1000,IF(LEFT($A206,3)="icp",SUMIFS('BASE-ICP'!$K:$K,'BASE-ICP'!$A:$A,Capex!$A200,'BASE-ICP'!$B:$B,"outubro")/1000,"")),"")</f>
        <v>0</v>
      </c>
      <c r="DC206" s="427">
        <v>0</v>
      </c>
      <c r="DD206" s="372"/>
      <c r="DE206" s="419"/>
      <c r="DF206" s="423">
        <f>IFERROR(IF(LEFT($A206,3)="Lcp",SUMIFS('BASE-LCP'!$K:$K,'BASE-LCP'!$A:$A,Capex!$A200,'BASE-LCP'!$B:$B,"novembro")/1000,IF(LEFT($A206,3)="icp",SUMIFS('BASE-ICP'!$K:$K,'BASE-ICP'!$A:$A,Capex!$A200,'BASE-ICP'!$B:$B,"novembro")/1000,"")),"")</f>
        <v>0</v>
      </c>
      <c r="DG206" s="427">
        <v>0</v>
      </c>
      <c r="DH206" s="372"/>
      <c r="DI206" s="419"/>
      <c r="DJ206" s="423">
        <f>IFERROR(IF(LEFT($A206,3)="Lcp",SUMIFS('BASE-LCP'!$K:$K,'BASE-LCP'!$A:$A,Capex!$A200,'BASE-LCP'!$B:$B,"dezembro")/1000,IF(LEFT($A206,3)="icp",SUMIFS('BASE-ICP'!$K:$K,'BASE-ICP'!$A:$A,Capex!$A200,'BASE-ICP'!$B:$B,"dezembro")/1000,"")),"")</f>
        <v>0</v>
      </c>
      <c r="DK206" s="427">
        <v>0</v>
      </c>
      <c r="DL206" s="452">
        <f t="shared" si="120"/>
        <v>0</v>
      </c>
      <c r="DM206" s="374"/>
      <c r="DN206" s="374"/>
      <c r="DO206" s="374"/>
      <c r="DP206" s="374"/>
      <c r="DQ206" s="374"/>
      <c r="DR206" s="374"/>
      <c r="DS206" s="374"/>
      <c r="DT206" s="374"/>
      <c r="DU206" s="374"/>
      <c r="DV206" s="374"/>
      <c r="DW206" s="374"/>
      <c r="DX206" s="374"/>
      <c r="DY206" s="450"/>
      <c r="DZ206" s="374">
        <f t="shared" si="121"/>
        <v>0</v>
      </c>
      <c r="EA206" s="216">
        <f t="shared" si="122"/>
        <v>0</v>
      </c>
      <c r="EB206" s="320">
        <f t="shared" si="123"/>
        <v>0</v>
      </c>
      <c r="EC206" s="241">
        <f t="shared" si="124"/>
        <v>0</v>
      </c>
      <c r="ED206" s="241">
        <f t="shared" si="125"/>
        <v>0</v>
      </c>
      <c r="EE206" s="241">
        <f t="shared" si="126"/>
        <v>0</v>
      </c>
      <c r="EF206" s="241">
        <f t="shared" si="127"/>
        <v>0</v>
      </c>
      <c r="EG206" s="346">
        <f t="shared" si="128"/>
        <v>0</v>
      </c>
      <c r="EH206" s="445">
        <f t="shared" si="129"/>
        <v>0</v>
      </c>
      <c r="EI206" s="447">
        <f t="shared" si="130"/>
        <v>0</v>
      </c>
      <c r="EJ206" s="364">
        <f t="shared" si="131"/>
        <v>0</v>
      </c>
      <c r="EK206" s="365">
        <f t="shared" si="132"/>
        <v>0</v>
      </c>
      <c r="EL206" s="529">
        <f t="shared" si="133"/>
        <v>0</v>
      </c>
      <c r="EM206" s="530">
        <v>0</v>
      </c>
      <c r="EN206" s="530">
        <v>0</v>
      </c>
      <c r="EO206" s="530">
        <v>0</v>
      </c>
      <c r="EP206" s="530">
        <v>0</v>
      </c>
      <c r="EQ206" s="530">
        <v>0</v>
      </c>
      <c r="ER206" s="530">
        <v>0</v>
      </c>
      <c r="ES206" s="530">
        <v>0</v>
      </c>
      <c r="ET206" s="530">
        <v>0</v>
      </c>
      <c r="EU206" s="530">
        <v>0</v>
      </c>
      <c r="EV206" s="530">
        <v>0</v>
      </c>
      <c r="EW206" s="530">
        <v>0</v>
      </c>
      <c r="EX206" s="530">
        <v>0</v>
      </c>
      <c r="EY206" s="530">
        <f t="shared" si="134"/>
        <v>0</v>
      </c>
      <c r="EZ206" s="530">
        <f t="shared" si="135"/>
        <v>0</v>
      </c>
      <c r="FA206" s="530">
        <f t="shared" si="136"/>
        <v>0</v>
      </c>
      <c r="FB206" s="530">
        <f t="shared" si="137"/>
        <v>0</v>
      </c>
      <c r="FC206" s="384">
        <f>IFERROR(VLOOKUP(Capex!A200,BASE_558!D:R,8,FALSE)/1000,"")</f>
        <v>391.93966999999998</v>
      </c>
      <c r="FD206" s="328">
        <f>IFERROR(VLOOKUP(Capex!A200,BASE_558!D:R,9,)/1000,"")</f>
        <v>385.55496999999997</v>
      </c>
      <c r="FE206" s="328">
        <f>IFERROR(IF(LEFT(A206,3)="LCP",(VLOOKUP(Capex!A200,BASE_558!D:R,10,)/1000),SUMIFS('BASE ICP_PO_SC'!F:F,'BASE ICP_PO_SC'!A:A,Capex!A200,'BASE ICP_PO_SC'!E:E,"&lt;&gt;")/1000),"")</f>
        <v>0</v>
      </c>
      <c r="FF206" s="328">
        <f>IFERROR(IF(LEFT(A206,3)="LCP",(VLOOKUP(Capex!A200,BASE_558!D:R,11,)/1000),SUMIFS('BASE ICP_PO_SC'!F:F,'BASE ICP_PO_SC'!A:A,Capex!A200,'BASE ICP_PO_SC'!E:E,"")/1000),"")</f>
        <v>0</v>
      </c>
      <c r="FG206" s="328">
        <f>IFERROR(VLOOKUP(A206,BASE_558!D:R,13,FALSE)/1000,"")</f>
        <v>831.69006000000002</v>
      </c>
      <c r="FH206" s="328">
        <f>IFERROR(VLOOKUP(A206,BASE_558!D:R,15,FALSE)/1000,"")</f>
        <v>47.269940000000005</v>
      </c>
      <c r="FI206" s="547">
        <f t="shared" si="138"/>
        <v>0</v>
      </c>
      <c r="FJ206" s="547">
        <f t="shared" si="139"/>
        <v>0</v>
      </c>
      <c r="FK206" s="540">
        <f t="shared" si="140"/>
        <v>0</v>
      </c>
    </row>
    <row r="207" spans="1:167" s="23" customFormat="1" ht="24" customHeight="1">
      <c r="A207" s="84" t="s">
        <v>740</v>
      </c>
      <c r="B207" s="404"/>
      <c r="C207" s="404">
        <v>3247</v>
      </c>
      <c r="D207" s="338" t="s">
        <v>883</v>
      </c>
      <c r="E207" s="378">
        <v>3722056</v>
      </c>
      <c r="F207" s="5"/>
      <c r="G207" s="310" t="s">
        <v>9</v>
      </c>
      <c r="H207" s="356"/>
      <c r="I207" s="356"/>
      <c r="J207" s="356">
        <v>2021</v>
      </c>
      <c r="K207" s="321">
        <v>44242</v>
      </c>
      <c r="L207" s="317">
        <v>45288</v>
      </c>
      <c r="M207" s="409"/>
      <c r="N207" s="317">
        <f t="shared" si="109"/>
        <v>45154</v>
      </c>
      <c r="O207" s="317">
        <f t="shared" si="110"/>
        <v>45519</v>
      </c>
      <c r="P207" s="418" t="str">
        <f t="shared" si="141"/>
        <v>CRTD</v>
      </c>
      <c r="Q207" s="418" t="str">
        <f t="shared" si="141"/>
        <v>CRTD</v>
      </c>
      <c r="R207" s="418" t="str">
        <f t="shared" si="141"/>
        <v>CRTD</v>
      </c>
      <c r="S207" s="418" t="str">
        <f t="shared" si="141"/>
        <v>CRTD</v>
      </c>
      <c r="T207" s="418" t="str">
        <f t="shared" si="141"/>
        <v>CRTD</v>
      </c>
      <c r="U207" s="418" t="str">
        <f t="shared" si="141"/>
        <v>CRTD</v>
      </c>
      <c r="V207" s="418" t="str">
        <f t="shared" si="141"/>
        <v>CRTD</v>
      </c>
      <c r="W207" s="418" t="str">
        <f t="shared" si="141"/>
        <v>CRTD</v>
      </c>
      <c r="X207" s="418" t="str">
        <f t="shared" si="141"/>
        <v>CRTD</v>
      </c>
      <c r="Y207" s="418" t="str">
        <f t="shared" si="141"/>
        <v>CRTD</v>
      </c>
      <c r="Z207" s="418" t="str">
        <f t="shared" si="141"/>
        <v>CRTD</v>
      </c>
      <c r="AA207" s="418" t="str">
        <f t="shared" si="141"/>
        <v>CRTD</v>
      </c>
      <c r="AB207" s="350"/>
      <c r="AC207" s="309" t="s">
        <v>3932</v>
      </c>
      <c r="AD207" s="311" t="s">
        <v>5</v>
      </c>
      <c r="AE207" s="381" t="s">
        <v>951</v>
      </c>
      <c r="AF207" s="310" t="s">
        <v>6985</v>
      </c>
      <c r="AG207" s="310" t="s">
        <v>704</v>
      </c>
      <c r="AH207" s="310" t="s">
        <v>729</v>
      </c>
      <c r="AI207" s="309" t="s">
        <v>2255</v>
      </c>
      <c r="AJ207" s="6" t="s">
        <v>218</v>
      </c>
      <c r="AK207" s="6" t="str">
        <f t="shared" si="118"/>
        <v>IGUAL</v>
      </c>
      <c r="AL207" s="151" t="str">
        <f>IFERROR(IF(LEFT(A207,3)="LCP",VLOOKUP(A207,STATUS_SAP_LCP!B:C,2,FALSE),VLOOKUP(A207,STATUS_SAP_ICP!B:C,2,FALSE)),"NO BUDGET")</f>
        <v>CLSD BUDG AUC  AVAC  //  APPR BREL EXPL</v>
      </c>
      <c r="AM207" s="6" t="str">
        <f t="shared" si="116"/>
        <v>CLSD</v>
      </c>
      <c r="AN207" s="282" t="s">
        <v>2651</v>
      </c>
      <c r="AO207" s="493">
        <v>1</v>
      </c>
      <c r="AP207" s="499" t="s">
        <v>9607</v>
      </c>
      <c r="AQ207" s="465">
        <v>45288</v>
      </c>
      <c r="AR207" s="460"/>
      <c r="AS207" s="56"/>
      <c r="AT207" s="185"/>
      <c r="AU207" s="318">
        <v>91.89188</v>
      </c>
      <c r="AV207" s="223">
        <v>19.529589999999999</v>
      </c>
      <c r="AW207" s="318">
        <v>2.11348</v>
      </c>
      <c r="AX207" s="223">
        <v>0</v>
      </c>
      <c r="AY207" s="318">
        <f t="shared" si="111"/>
        <v>0</v>
      </c>
      <c r="AZ207" s="223"/>
      <c r="BA207" s="318"/>
      <c r="BB207" s="519">
        <f t="shared" si="112"/>
        <v>0</v>
      </c>
      <c r="BC207" s="518"/>
      <c r="BD207" s="518"/>
      <c r="BE207" s="518"/>
      <c r="BF207" s="518"/>
      <c r="BG207" s="518"/>
      <c r="BH207" s="518"/>
      <c r="BI207" s="518"/>
      <c r="BJ207" s="518"/>
      <c r="BK207" s="518"/>
      <c r="BL207" s="518"/>
      <c r="BM207" s="518"/>
      <c r="BN207" s="518"/>
      <c r="BO207" s="367">
        <f t="shared" si="119"/>
        <v>0</v>
      </c>
      <c r="BP207" s="421"/>
      <c r="BQ207" s="422"/>
      <c r="BR207" s="423">
        <f>IFERROR(IF(LEFT($A207,3)="Lcp",SUMIFS('BASE-LCP'!$K:$K,'BASE-LCP'!$A:$A,Capex!$A201,'BASE-LCP'!$B:$B,"janeiro")/1000,IF(LEFT($A207,3)="icp",SUMIFS('BASE-ICP'!$K:$K,'BASE-ICP'!$A:$A,Capex!$A201,'BASE-ICP'!$B:$B,"janeiro")/1000,"")),"")</f>
        <v>0</v>
      </c>
      <c r="BS207" s="427">
        <v>0</v>
      </c>
      <c r="BT207" s="372">
        <v>0</v>
      </c>
      <c r="BU207" s="422"/>
      <c r="BV207" s="423">
        <f>IFERROR(IF(LEFT($A207,3)="Lcp",SUMIFS('BASE-LCP'!$K:$K,'BASE-LCP'!$A:$A,Capex!$A201,'BASE-LCP'!$B:$B,"fevereiro")/1000,IF(LEFT($A207,3)="icp",SUMIFS('BASE-ICP'!$K:$K,'BASE-ICP'!$A:$A,Capex!$A201,'BASE-ICP'!$B:$B,"fevereiro")/1000,"")),"")</f>
        <v>0</v>
      </c>
      <c r="BW207" s="427">
        <v>0</v>
      </c>
      <c r="BX207" s="372">
        <v>0</v>
      </c>
      <c r="BY207" s="419"/>
      <c r="BZ207" s="423">
        <f>IFERROR(IF(LEFT($A207,3)="Lcp",SUMIFS('BASE-LCP'!$K:$K,'BASE-LCP'!$A:$A,Capex!$A201,'BASE-LCP'!$B:$B,"março")/1000,IF(LEFT($A207,3)="icp",SUMIFS('BASE-ICP'!$K:$K,'BASE-ICP'!$A:$A,Capex!$A201,'BASE-ICP'!$B:$B,"março")/1000,"")),"")</f>
        <v>0</v>
      </c>
      <c r="CA207" s="427">
        <v>0</v>
      </c>
      <c r="CB207" s="372">
        <v>0</v>
      </c>
      <c r="CC207" s="422"/>
      <c r="CD207" s="423">
        <f>IFERROR(IF(LEFT($A207,3)="Lcp",SUMIFS('BASE-LCP'!$K:$K,'BASE-LCP'!$A:$A,Capex!$A201,'BASE-LCP'!$B:$B,"abril")/1000,IF(LEFT($A207,3)="icp",SUMIFS('BASE-ICP'!$K:$K,'BASE-ICP'!$A:$A,Capex!$A201,'BASE-ICP'!$B:$B,"abril")/1000,"")),"")</f>
        <v>0</v>
      </c>
      <c r="CE207" s="427">
        <v>0</v>
      </c>
      <c r="CF207" s="372">
        <v>0</v>
      </c>
      <c r="CG207" s="419"/>
      <c r="CH207" s="423">
        <v>0</v>
      </c>
      <c r="CI207" s="427">
        <v>0</v>
      </c>
      <c r="CJ207" s="372">
        <v>0</v>
      </c>
      <c r="CK207" s="419"/>
      <c r="CL207" s="423">
        <f>IFERROR(IF(LEFT($A207,3)="Lcp",SUMIFS('BASE-LCP'!$K:$K,'BASE-LCP'!$A:$A,Capex!$A201,'BASE-LCP'!$B:$B,"junho")/1000,IF(LEFT($A207,3)="icp",SUMIFS('BASE-ICP'!$K:$K,'BASE-ICP'!$A:$A,Capex!$A201,'BASE-ICP'!$B:$B,"junho")/1000,"")),"")</f>
        <v>0</v>
      </c>
      <c r="CM207" s="427">
        <v>0</v>
      </c>
      <c r="CN207" s="372"/>
      <c r="CO207" s="419"/>
      <c r="CP207" s="423">
        <f>IFERROR(IF(LEFT($A207,3)="Lcp",SUMIFS('BASE-LCP'!$K:$K,'BASE-LCP'!$A:$A,Capex!$A201,'BASE-LCP'!$B:$B,"julho")/1000,IF(LEFT($A207,3)="icp",SUMIFS('BASE-ICP'!$K:$K,'BASE-ICP'!$A:$A,Capex!$A201,'BASE-ICP'!$B:$B,"julho")/1000,"")),"")</f>
        <v>0</v>
      </c>
      <c r="CQ207" s="427">
        <v>0</v>
      </c>
      <c r="CR207" s="372"/>
      <c r="CS207" s="419"/>
      <c r="CT207" s="423">
        <f>IFERROR(IF(LEFT($A207,3)="Lcp",SUMIFS('BASE-LCP'!$K:$K,'BASE-LCP'!$A:$A,Capex!$A201,'BASE-LCP'!$B:$B,"agosto")/1000,IF(LEFT($A207,3)="icp",SUMIFS('BASE-ICP'!$K:$K,'BASE-ICP'!$A:$A,Capex!$A201,'BASE-ICP'!$B:$B,"agosto")/1000,"")),"")</f>
        <v>0</v>
      </c>
      <c r="CU207" s="427">
        <v>0</v>
      </c>
      <c r="CV207" s="372"/>
      <c r="CW207" s="419"/>
      <c r="CX207" s="423">
        <f>IFERROR(IF(LEFT($A207,3)="Lcp",SUMIFS('BASE-LCP'!$K:$K,'BASE-LCP'!$A:$A,Capex!$A201,'BASE-LCP'!$B:$B,"setembro")/1000,IF(LEFT($A207,3)="icp",SUMIFS('BASE-ICP'!$K:$K,'BASE-ICP'!$A:$A,Capex!$A201,'BASE-ICP'!$B:$B,"setembro")/1000,"")),"")</f>
        <v>0</v>
      </c>
      <c r="CY207" s="427">
        <v>0</v>
      </c>
      <c r="CZ207" s="372"/>
      <c r="DA207" s="419"/>
      <c r="DB207" s="423">
        <f>IFERROR(IF(LEFT($A207,3)="Lcp",SUMIFS('BASE-LCP'!$K:$K,'BASE-LCP'!$A:$A,Capex!$A201,'BASE-LCP'!$B:$B,"outubro")/1000,IF(LEFT($A207,3)="icp",SUMIFS('BASE-ICP'!$K:$K,'BASE-ICP'!$A:$A,Capex!$A201,'BASE-ICP'!$B:$B,"outubro")/1000,"")),"")</f>
        <v>0</v>
      </c>
      <c r="DC207" s="427">
        <v>0</v>
      </c>
      <c r="DD207" s="372"/>
      <c r="DE207" s="419"/>
      <c r="DF207" s="423">
        <f>IFERROR(IF(LEFT($A207,3)="Lcp",SUMIFS('BASE-LCP'!$K:$K,'BASE-LCP'!$A:$A,Capex!$A201,'BASE-LCP'!$B:$B,"novembro")/1000,IF(LEFT($A207,3)="icp",SUMIFS('BASE-ICP'!$K:$K,'BASE-ICP'!$A:$A,Capex!$A201,'BASE-ICP'!$B:$B,"novembro")/1000,"")),"")</f>
        <v>0</v>
      </c>
      <c r="DG207" s="427">
        <v>0</v>
      </c>
      <c r="DH207" s="372"/>
      <c r="DI207" s="419"/>
      <c r="DJ207" s="423">
        <f>IFERROR(IF(LEFT($A207,3)="Lcp",SUMIFS('BASE-LCP'!$K:$K,'BASE-LCP'!$A:$A,Capex!$A201,'BASE-LCP'!$B:$B,"dezembro")/1000,IF(LEFT($A207,3)="icp",SUMIFS('BASE-ICP'!$K:$K,'BASE-ICP'!$A:$A,Capex!$A201,'BASE-ICP'!$B:$B,"dezembro")/1000,"")),"")</f>
        <v>0</v>
      </c>
      <c r="DK207" s="427">
        <v>0</v>
      </c>
      <c r="DL207" s="452">
        <f t="shared" si="120"/>
        <v>0</v>
      </c>
      <c r="DM207" s="374"/>
      <c r="DN207" s="374"/>
      <c r="DO207" s="374"/>
      <c r="DP207" s="374"/>
      <c r="DQ207" s="374"/>
      <c r="DR207" s="374"/>
      <c r="DS207" s="374"/>
      <c r="DT207" s="374"/>
      <c r="DU207" s="374"/>
      <c r="DV207" s="374"/>
      <c r="DW207" s="374"/>
      <c r="DX207" s="374"/>
      <c r="DY207" s="450"/>
      <c r="DZ207" s="374">
        <f t="shared" si="121"/>
        <v>0</v>
      </c>
      <c r="EA207" s="216">
        <f t="shared" si="122"/>
        <v>0</v>
      </c>
      <c r="EB207" s="320">
        <f t="shared" si="123"/>
        <v>0</v>
      </c>
      <c r="EC207" s="241">
        <f t="shared" si="124"/>
        <v>0</v>
      </c>
      <c r="ED207" s="241">
        <f t="shared" si="125"/>
        <v>0</v>
      </c>
      <c r="EE207" s="241">
        <f t="shared" si="126"/>
        <v>0</v>
      </c>
      <c r="EF207" s="241">
        <f t="shared" si="127"/>
        <v>0</v>
      </c>
      <c r="EG207" s="346">
        <f t="shared" si="128"/>
        <v>0</v>
      </c>
      <c r="EH207" s="445">
        <f t="shared" si="129"/>
        <v>0</v>
      </c>
      <c r="EI207" s="447">
        <f t="shared" si="130"/>
        <v>0</v>
      </c>
      <c r="EJ207" s="364">
        <f t="shared" si="131"/>
        <v>0</v>
      </c>
      <c r="EK207" s="365">
        <f t="shared" si="132"/>
        <v>0</v>
      </c>
      <c r="EL207" s="529">
        <f t="shared" si="133"/>
        <v>0</v>
      </c>
      <c r="EM207" s="530">
        <v>0</v>
      </c>
      <c r="EN207" s="530">
        <v>0</v>
      </c>
      <c r="EO207" s="530">
        <v>0</v>
      </c>
      <c r="EP207" s="530">
        <v>0</v>
      </c>
      <c r="EQ207" s="530">
        <v>0</v>
      </c>
      <c r="ER207" s="530">
        <v>0</v>
      </c>
      <c r="ES207" s="530">
        <v>0</v>
      </c>
      <c r="ET207" s="530">
        <v>0</v>
      </c>
      <c r="EU207" s="530">
        <v>0</v>
      </c>
      <c r="EV207" s="530">
        <v>0</v>
      </c>
      <c r="EW207" s="530">
        <v>0</v>
      </c>
      <c r="EX207" s="530">
        <v>0</v>
      </c>
      <c r="EY207" s="530">
        <f t="shared" si="134"/>
        <v>0</v>
      </c>
      <c r="EZ207" s="530">
        <f t="shared" si="135"/>
        <v>0</v>
      </c>
      <c r="FA207" s="530">
        <f t="shared" si="136"/>
        <v>0</v>
      </c>
      <c r="FB207" s="530">
        <f t="shared" si="137"/>
        <v>0</v>
      </c>
      <c r="FC207" s="384">
        <f>IFERROR(VLOOKUP(Capex!A201,BASE_558!D:R,8,FALSE)/1000,"")</f>
        <v>103.236</v>
      </c>
      <c r="FD207" s="328">
        <f>IFERROR(VLOOKUP(Capex!A201,BASE_558!D:R,9,)/1000,"")</f>
        <v>97.741420000000005</v>
      </c>
      <c r="FE207" s="328">
        <f>IFERROR(IF(LEFT(A207,3)="LCP",(VLOOKUP(Capex!A201,BASE_558!D:R,10,)/1000),SUMIFS('BASE ICP_PO_SC'!F:F,'BASE ICP_PO_SC'!A:A,Capex!A201,'BASE ICP_PO_SC'!E:E,"&lt;&gt;")/1000),"")</f>
        <v>0</v>
      </c>
      <c r="FF207" s="328">
        <f>IFERROR(IF(LEFT(A207,3)="LCP",(VLOOKUP(Capex!A201,BASE_558!D:R,11,)/1000),SUMIFS('BASE ICP_PO_SC'!F:F,'BASE ICP_PO_SC'!A:A,Capex!A201,'BASE ICP_PO_SC'!E:E,"")/1000),"")</f>
        <v>0</v>
      </c>
      <c r="FG207" s="328">
        <f>IFERROR(VLOOKUP(A207,BASE_558!D:R,13,FALSE)/1000,"")</f>
        <v>113.53494999999999</v>
      </c>
      <c r="FH207" s="328">
        <f>IFERROR(VLOOKUP(A207,BASE_558!D:R,15,FALSE)/1000,"")</f>
        <v>43.091050000000003</v>
      </c>
      <c r="FI207" s="547">
        <f t="shared" si="138"/>
        <v>0</v>
      </c>
      <c r="FJ207" s="547">
        <f t="shared" si="139"/>
        <v>0</v>
      </c>
      <c r="FK207" s="540">
        <f t="shared" si="140"/>
        <v>0</v>
      </c>
    </row>
    <row r="208" spans="1:167" s="23" customFormat="1" ht="24" customHeight="1">
      <c r="A208" s="84" t="s">
        <v>739</v>
      </c>
      <c r="B208" s="404"/>
      <c r="C208" s="404">
        <v>997</v>
      </c>
      <c r="D208" s="338" t="s">
        <v>872</v>
      </c>
      <c r="E208" s="378">
        <v>3722461</v>
      </c>
      <c r="F208" s="310"/>
      <c r="G208" s="310" t="s">
        <v>9</v>
      </c>
      <c r="H208" s="356"/>
      <c r="I208" s="356"/>
      <c r="J208" s="356">
        <v>2021</v>
      </c>
      <c r="K208" s="321">
        <v>44242</v>
      </c>
      <c r="L208" s="317">
        <v>45288</v>
      </c>
      <c r="M208" s="409"/>
      <c r="N208" s="317">
        <f t="shared" si="109"/>
        <v>45154</v>
      </c>
      <c r="O208" s="317">
        <f t="shared" si="110"/>
        <v>45519</v>
      </c>
      <c r="P208" s="418" t="str">
        <f t="shared" si="141"/>
        <v>CRTD</v>
      </c>
      <c r="Q208" s="418" t="str">
        <f t="shared" si="141"/>
        <v>CRTD</v>
      </c>
      <c r="R208" s="418" t="str">
        <f t="shared" si="141"/>
        <v>CRTD</v>
      </c>
      <c r="S208" s="418" t="str">
        <f t="shared" si="141"/>
        <v>CRTD</v>
      </c>
      <c r="T208" s="418" t="str">
        <f t="shared" si="141"/>
        <v>CRTD</v>
      </c>
      <c r="U208" s="418" t="str">
        <f t="shared" si="141"/>
        <v>CRTD</v>
      </c>
      <c r="V208" s="418" t="str">
        <f t="shared" si="141"/>
        <v>CRTD</v>
      </c>
      <c r="W208" s="418" t="str">
        <f t="shared" si="141"/>
        <v>CRTD</v>
      </c>
      <c r="X208" s="418" t="str">
        <f t="shared" si="141"/>
        <v>CRTD</v>
      </c>
      <c r="Y208" s="418" t="str">
        <f t="shared" si="141"/>
        <v>CRTD</v>
      </c>
      <c r="Z208" s="418" t="str">
        <f t="shared" si="141"/>
        <v>CRTD</v>
      </c>
      <c r="AA208" s="418" t="str">
        <f t="shared" si="141"/>
        <v>CRTD</v>
      </c>
      <c r="AB208" s="350"/>
      <c r="AC208" s="309" t="s">
        <v>3932</v>
      </c>
      <c r="AD208" s="311" t="s">
        <v>982</v>
      </c>
      <c r="AE208" s="381" t="s">
        <v>983</v>
      </c>
      <c r="AF208" s="310" t="s">
        <v>6985</v>
      </c>
      <c r="AG208" s="310" t="s">
        <v>9083</v>
      </c>
      <c r="AH208" s="310" t="s">
        <v>735</v>
      </c>
      <c r="AI208" s="381" t="s">
        <v>186</v>
      </c>
      <c r="AJ208" s="6" t="s">
        <v>218</v>
      </c>
      <c r="AK208" s="6" t="str">
        <f t="shared" si="118"/>
        <v>IGUAL</v>
      </c>
      <c r="AL208" s="151" t="str">
        <f>IFERROR(IF(LEFT(A208,3)="LCP",VLOOKUP(A208,STATUS_SAP_LCP!B:C,2,FALSE),VLOOKUP(A208,STATUS_SAP_ICP!B:C,2,FALSE)),"NO BUDGET")</f>
        <v>CLSD BUDG AUC  AVAC  //  APPR BREL EXPL</v>
      </c>
      <c r="AM208" s="6" t="str">
        <f t="shared" si="116"/>
        <v>CLSD</v>
      </c>
      <c r="AN208" s="414" t="s">
        <v>9093</v>
      </c>
      <c r="AO208" s="493">
        <v>1</v>
      </c>
      <c r="AP208" s="499" t="s">
        <v>9607</v>
      </c>
      <c r="AQ208" s="465">
        <v>45288</v>
      </c>
      <c r="AR208" s="460"/>
      <c r="AS208" s="56"/>
      <c r="AT208" s="185"/>
      <c r="AU208" s="318">
        <v>132.12727999999998</v>
      </c>
      <c r="AV208" s="223">
        <v>17.024630000000002</v>
      </c>
      <c r="AW208" s="318">
        <v>0</v>
      </c>
      <c r="AX208" s="223">
        <v>0</v>
      </c>
      <c r="AY208" s="318">
        <f t="shared" si="111"/>
        <v>0</v>
      </c>
      <c r="AZ208" s="223"/>
      <c r="BA208" s="318"/>
      <c r="BB208" s="519">
        <f t="shared" si="112"/>
        <v>0</v>
      </c>
      <c r="BC208" s="518"/>
      <c r="BD208" s="518"/>
      <c r="BE208" s="518"/>
      <c r="BF208" s="518"/>
      <c r="BG208" s="518"/>
      <c r="BH208" s="518"/>
      <c r="BI208" s="518"/>
      <c r="BJ208" s="518"/>
      <c r="BK208" s="518"/>
      <c r="BL208" s="518"/>
      <c r="BM208" s="518"/>
      <c r="BN208" s="518"/>
      <c r="BO208" s="367">
        <f t="shared" si="119"/>
        <v>0</v>
      </c>
      <c r="BP208" s="421"/>
      <c r="BQ208" s="422"/>
      <c r="BR208" s="423">
        <f>IFERROR(IF(LEFT($A208,3)="Lcp",SUMIFS('BASE-LCP'!$K:$K,'BASE-LCP'!$A:$A,Capex!$A202,'BASE-LCP'!$B:$B,"janeiro")/1000,IF(LEFT($A208,3)="icp",SUMIFS('BASE-ICP'!$K:$K,'BASE-ICP'!$A:$A,Capex!$A202,'BASE-ICP'!$B:$B,"janeiro")/1000,"")),"")</f>
        <v>0</v>
      </c>
      <c r="BS208" s="427">
        <v>0</v>
      </c>
      <c r="BT208" s="372">
        <v>0</v>
      </c>
      <c r="BU208" s="422"/>
      <c r="BV208" s="423">
        <f>IFERROR(IF(LEFT($A208,3)="Lcp",SUMIFS('BASE-LCP'!$K:$K,'BASE-LCP'!$A:$A,Capex!$A202,'BASE-LCP'!$B:$B,"fevereiro")/1000,IF(LEFT($A208,3)="icp",SUMIFS('BASE-ICP'!$K:$K,'BASE-ICP'!$A:$A,Capex!$A202,'BASE-ICP'!$B:$B,"fevereiro")/1000,"")),"")</f>
        <v>0</v>
      </c>
      <c r="BW208" s="427">
        <v>0</v>
      </c>
      <c r="BX208" s="372">
        <v>0</v>
      </c>
      <c r="BY208" s="419"/>
      <c r="BZ208" s="423">
        <f>IFERROR(IF(LEFT($A208,3)="Lcp",SUMIFS('BASE-LCP'!$K:$K,'BASE-LCP'!$A:$A,Capex!$A202,'BASE-LCP'!$B:$B,"março")/1000,IF(LEFT($A208,3)="icp",SUMIFS('BASE-ICP'!$K:$K,'BASE-ICP'!$A:$A,Capex!$A202,'BASE-ICP'!$B:$B,"março")/1000,"")),"")</f>
        <v>0</v>
      </c>
      <c r="CA208" s="427">
        <v>0</v>
      </c>
      <c r="CB208" s="372">
        <v>0</v>
      </c>
      <c r="CC208" s="422"/>
      <c r="CD208" s="423">
        <f>IFERROR(IF(LEFT($A208,3)="Lcp",SUMIFS('BASE-LCP'!$K:$K,'BASE-LCP'!$A:$A,Capex!$A202,'BASE-LCP'!$B:$B,"abril")/1000,IF(LEFT($A208,3)="icp",SUMIFS('BASE-ICP'!$K:$K,'BASE-ICP'!$A:$A,Capex!$A202,'BASE-ICP'!$B:$B,"abril")/1000,"")),"")</f>
        <v>0</v>
      </c>
      <c r="CE208" s="427">
        <v>0</v>
      </c>
      <c r="CF208" s="372">
        <v>0</v>
      </c>
      <c r="CG208" s="419"/>
      <c r="CH208" s="423">
        <v>0</v>
      </c>
      <c r="CI208" s="427">
        <v>0</v>
      </c>
      <c r="CJ208" s="372">
        <v>0</v>
      </c>
      <c r="CK208" s="419"/>
      <c r="CL208" s="423">
        <f>IFERROR(IF(LEFT($A208,3)="Lcp",SUMIFS('BASE-LCP'!$K:$K,'BASE-LCP'!$A:$A,Capex!$A202,'BASE-LCP'!$B:$B,"junho")/1000,IF(LEFT($A208,3)="icp",SUMIFS('BASE-ICP'!$K:$K,'BASE-ICP'!$A:$A,Capex!$A202,'BASE-ICP'!$B:$B,"junho")/1000,"")),"")</f>
        <v>0</v>
      </c>
      <c r="CM208" s="427">
        <v>0</v>
      </c>
      <c r="CN208" s="372"/>
      <c r="CO208" s="419"/>
      <c r="CP208" s="423">
        <f>IFERROR(IF(LEFT($A208,3)="Lcp",SUMIFS('BASE-LCP'!$K:$K,'BASE-LCP'!$A:$A,Capex!$A202,'BASE-LCP'!$B:$B,"julho")/1000,IF(LEFT($A208,3)="icp",SUMIFS('BASE-ICP'!$K:$K,'BASE-ICP'!$A:$A,Capex!$A202,'BASE-ICP'!$B:$B,"julho")/1000,"")),"")</f>
        <v>0</v>
      </c>
      <c r="CQ208" s="427">
        <v>0</v>
      </c>
      <c r="CR208" s="372"/>
      <c r="CS208" s="419"/>
      <c r="CT208" s="423">
        <f>IFERROR(IF(LEFT($A208,3)="Lcp",SUMIFS('BASE-LCP'!$K:$K,'BASE-LCP'!$A:$A,Capex!$A202,'BASE-LCP'!$B:$B,"agosto")/1000,IF(LEFT($A208,3)="icp",SUMIFS('BASE-ICP'!$K:$K,'BASE-ICP'!$A:$A,Capex!$A202,'BASE-ICP'!$B:$B,"agosto")/1000,"")),"")</f>
        <v>0</v>
      </c>
      <c r="CU208" s="427">
        <v>0</v>
      </c>
      <c r="CV208" s="372"/>
      <c r="CW208" s="419"/>
      <c r="CX208" s="423">
        <f>IFERROR(IF(LEFT($A208,3)="Lcp",SUMIFS('BASE-LCP'!$K:$K,'BASE-LCP'!$A:$A,Capex!$A202,'BASE-LCP'!$B:$B,"setembro")/1000,IF(LEFT($A208,3)="icp",SUMIFS('BASE-ICP'!$K:$K,'BASE-ICP'!$A:$A,Capex!$A202,'BASE-ICP'!$B:$B,"setembro")/1000,"")),"")</f>
        <v>0</v>
      </c>
      <c r="CY208" s="427">
        <v>0</v>
      </c>
      <c r="CZ208" s="372"/>
      <c r="DA208" s="419"/>
      <c r="DB208" s="423">
        <f>IFERROR(IF(LEFT($A208,3)="Lcp",SUMIFS('BASE-LCP'!$K:$K,'BASE-LCP'!$A:$A,Capex!$A202,'BASE-LCP'!$B:$B,"outubro")/1000,IF(LEFT($A208,3)="icp",SUMIFS('BASE-ICP'!$K:$K,'BASE-ICP'!$A:$A,Capex!$A202,'BASE-ICP'!$B:$B,"outubro")/1000,"")),"")</f>
        <v>0</v>
      </c>
      <c r="DC208" s="427">
        <v>0</v>
      </c>
      <c r="DD208" s="372"/>
      <c r="DE208" s="419"/>
      <c r="DF208" s="423">
        <f>IFERROR(IF(LEFT($A208,3)="Lcp",SUMIFS('BASE-LCP'!$K:$K,'BASE-LCP'!$A:$A,Capex!$A202,'BASE-LCP'!$B:$B,"novembro")/1000,IF(LEFT($A208,3)="icp",SUMIFS('BASE-ICP'!$K:$K,'BASE-ICP'!$A:$A,Capex!$A202,'BASE-ICP'!$B:$B,"novembro")/1000,"")),"")</f>
        <v>0</v>
      </c>
      <c r="DG208" s="427">
        <v>0</v>
      </c>
      <c r="DH208" s="372"/>
      <c r="DI208" s="419"/>
      <c r="DJ208" s="423">
        <f>IFERROR(IF(LEFT($A208,3)="Lcp",SUMIFS('BASE-LCP'!$K:$K,'BASE-LCP'!$A:$A,Capex!$A202,'BASE-LCP'!$B:$B,"dezembro")/1000,IF(LEFT($A208,3)="icp",SUMIFS('BASE-ICP'!$K:$K,'BASE-ICP'!$A:$A,Capex!$A202,'BASE-ICP'!$B:$B,"dezembro")/1000,"")),"")</f>
        <v>0</v>
      </c>
      <c r="DK208" s="427">
        <v>0</v>
      </c>
      <c r="DL208" s="452">
        <f t="shared" si="120"/>
        <v>0</v>
      </c>
      <c r="DM208" s="374"/>
      <c r="DN208" s="374"/>
      <c r="DO208" s="374"/>
      <c r="DP208" s="374"/>
      <c r="DQ208" s="374"/>
      <c r="DR208" s="374"/>
      <c r="DS208" s="374"/>
      <c r="DT208" s="374"/>
      <c r="DU208" s="374"/>
      <c r="DV208" s="374"/>
      <c r="DW208" s="374"/>
      <c r="DX208" s="374"/>
      <c r="DY208" s="450"/>
      <c r="DZ208" s="374">
        <f t="shared" si="121"/>
        <v>0</v>
      </c>
      <c r="EA208" s="216">
        <f t="shared" si="122"/>
        <v>0</v>
      </c>
      <c r="EB208" s="320">
        <f t="shared" si="123"/>
        <v>0</v>
      </c>
      <c r="EC208" s="241">
        <f t="shared" si="124"/>
        <v>0</v>
      </c>
      <c r="ED208" s="241">
        <f t="shared" si="125"/>
        <v>0</v>
      </c>
      <c r="EE208" s="241">
        <f t="shared" si="126"/>
        <v>0</v>
      </c>
      <c r="EF208" s="241">
        <f t="shared" si="127"/>
        <v>0</v>
      </c>
      <c r="EG208" s="346">
        <f t="shared" si="128"/>
        <v>0</v>
      </c>
      <c r="EH208" s="445">
        <f t="shared" si="129"/>
        <v>0</v>
      </c>
      <c r="EI208" s="447">
        <f t="shared" si="130"/>
        <v>0</v>
      </c>
      <c r="EJ208" s="364">
        <f t="shared" si="131"/>
        <v>0</v>
      </c>
      <c r="EK208" s="365">
        <f t="shared" si="132"/>
        <v>0</v>
      </c>
      <c r="EL208" s="529">
        <f t="shared" si="133"/>
        <v>0</v>
      </c>
      <c r="EM208" s="530">
        <v>0</v>
      </c>
      <c r="EN208" s="530">
        <v>0</v>
      </c>
      <c r="EO208" s="530">
        <v>0</v>
      </c>
      <c r="EP208" s="530">
        <v>0</v>
      </c>
      <c r="EQ208" s="530">
        <v>0</v>
      </c>
      <c r="ER208" s="530">
        <v>0</v>
      </c>
      <c r="ES208" s="530">
        <v>0</v>
      </c>
      <c r="ET208" s="530">
        <v>0</v>
      </c>
      <c r="EU208" s="530">
        <v>0</v>
      </c>
      <c r="EV208" s="530">
        <v>0</v>
      </c>
      <c r="EW208" s="530">
        <v>0</v>
      </c>
      <c r="EX208" s="530">
        <v>0</v>
      </c>
      <c r="EY208" s="530">
        <f t="shared" si="134"/>
        <v>0</v>
      </c>
      <c r="EZ208" s="530">
        <f t="shared" si="135"/>
        <v>0</v>
      </c>
      <c r="FA208" s="530">
        <f t="shared" si="136"/>
        <v>0</v>
      </c>
      <c r="FB208" s="530">
        <f t="shared" si="137"/>
        <v>0</v>
      </c>
      <c r="FC208" s="384">
        <f>IFERROR(VLOOKUP(Capex!A202,BASE_558!D:R,8,FALSE)/1000,"")</f>
        <v>189.24779999999998</v>
      </c>
      <c r="FD208" s="328">
        <f>IFERROR(VLOOKUP(Capex!A202,BASE_558!D:R,9,)/1000,"")</f>
        <v>188.43559999999999</v>
      </c>
      <c r="FE208" s="328">
        <f>IFERROR(IF(LEFT(A208,3)="LCP",(VLOOKUP(Capex!A202,BASE_558!D:R,10,)/1000),SUMIFS('BASE ICP_PO_SC'!F:F,'BASE ICP_PO_SC'!A:A,Capex!A202,'BASE ICP_PO_SC'!E:E,"&lt;&gt;")/1000),"")</f>
        <v>0</v>
      </c>
      <c r="FF208" s="328">
        <f>IFERROR(IF(LEFT(A208,3)="LCP",(VLOOKUP(Capex!A202,BASE_558!D:R,11,)/1000),SUMIFS('BASE ICP_PO_SC'!F:F,'BASE ICP_PO_SC'!A:A,Capex!A202,'BASE ICP_PO_SC'!E:E,"")/1000),"")</f>
        <v>0</v>
      </c>
      <c r="FG208" s="328">
        <f>IFERROR(VLOOKUP(A208,BASE_558!D:R,13,FALSE)/1000,"")</f>
        <v>149.15191000000002</v>
      </c>
      <c r="FH208" s="328">
        <f>IFERROR(VLOOKUP(A208,BASE_558!D:R,15,FALSE)/1000,"")</f>
        <v>-6.3021099999999999</v>
      </c>
      <c r="FI208" s="547">
        <f t="shared" si="138"/>
        <v>0</v>
      </c>
      <c r="FJ208" s="547">
        <f t="shared" si="139"/>
        <v>0</v>
      </c>
      <c r="FK208" s="540">
        <f t="shared" si="140"/>
        <v>0</v>
      </c>
    </row>
    <row r="209" spans="1:167" s="23" customFormat="1" ht="24" customHeight="1">
      <c r="A209" s="84" t="s">
        <v>748</v>
      </c>
      <c r="B209" s="404"/>
      <c r="C209" s="404">
        <v>3032</v>
      </c>
      <c r="D209" s="338" t="s">
        <v>874</v>
      </c>
      <c r="E209" s="378">
        <v>3711102</v>
      </c>
      <c r="F209" s="310" t="s">
        <v>609</v>
      </c>
      <c r="G209" s="310" t="s">
        <v>9</v>
      </c>
      <c r="H209" s="338"/>
      <c r="I209" s="356"/>
      <c r="J209" s="356">
        <v>2021</v>
      </c>
      <c r="K209" s="321">
        <v>44265</v>
      </c>
      <c r="L209" s="317">
        <v>45329</v>
      </c>
      <c r="M209" s="409"/>
      <c r="N209" s="317">
        <f t="shared" si="109"/>
        <v>45177</v>
      </c>
      <c r="O209" s="317">
        <f t="shared" si="110"/>
        <v>45542</v>
      </c>
      <c r="P209" s="418" t="str">
        <f t="shared" si="141"/>
        <v>CRTD</v>
      </c>
      <c r="Q209" s="418" t="str">
        <f t="shared" si="141"/>
        <v>CRTD</v>
      </c>
      <c r="R209" s="418" t="str">
        <f t="shared" si="141"/>
        <v>CRTD</v>
      </c>
      <c r="S209" s="418" t="str">
        <f t="shared" si="141"/>
        <v>CRTD</v>
      </c>
      <c r="T209" s="418" t="str">
        <f t="shared" si="141"/>
        <v>CRTD</v>
      </c>
      <c r="U209" s="418" t="str">
        <f t="shared" si="141"/>
        <v>CRTD</v>
      </c>
      <c r="V209" s="418" t="str">
        <f t="shared" si="141"/>
        <v>CRTD</v>
      </c>
      <c r="W209" s="418" t="str">
        <f t="shared" si="141"/>
        <v>CRTD</v>
      </c>
      <c r="X209" s="418" t="str">
        <f t="shared" si="141"/>
        <v>CRTD</v>
      </c>
      <c r="Y209" s="418" t="str">
        <f t="shared" si="141"/>
        <v>CRTD</v>
      </c>
      <c r="Z209" s="418" t="str">
        <f t="shared" si="141"/>
        <v>CRTD</v>
      </c>
      <c r="AA209" s="418" t="str">
        <f t="shared" si="141"/>
        <v>CRTD</v>
      </c>
      <c r="AB209" s="350"/>
      <c r="AC209" s="309" t="s">
        <v>3932</v>
      </c>
      <c r="AD209" s="311" t="s">
        <v>5</v>
      </c>
      <c r="AE209" s="381" t="s">
        <v>952</v>
      </c>
      <c r="AF209" s="310" t="s">
        <v>6985</v>
      </c>
      <c r="AG209" s="310" t="s">
        <v>2259</v>
      </c>
      <c r="AH209" s="310" t="s">
        <v>730</v>
      </c>
      <c r="AI209" s="309" t="s">
        <v>2255</v>
      </c>
      <c r="AJ209" s="6" t="s">
        <v>218</v>
      </c>
      <c r="AK209" s="6" t="str">
        <f t="shared" si="118"/>
        <v>IGUAL</v>
      </c>
      <c r="AL209" s="151" t="str">
        <f>IFERROR(IF(LEFT(A209,3)="LCP",VLOOKUP(A209,STATUS_SAP_LCP!B:C,2,FALSE),VLOOKUP(A209,STATUS_SAP_ICP!B:C,2,FALSE)),"NO BUDGET")</f>
        <v>CLSD BUDG AUC  AVAC  //  APPR BREL EXPL</v>
      </c>
      <c r="AM209" s="6" t="str">
        <f t="shared" si="116"/>
        <v>CLSD</v>
      </c>
      <c r="AN209" s="428" t="s">
        <v>557</v>
      </c>
      <c r="AO209" s="562">
        <v>1</v>
      </c>
      <c r="AP209" s="499" t="s">
        <v>9618</v>
      </c>
      <c r="AQ209" s="465">
        <v>45329</v>
      </c>
      <c r="AR209" s="460"/>
      <c r="AS209" s="56"/>
      <c r="AT209" s="185"/>
      <c r="AU209" s="318">
        <v>81.946970000000007</v>
      </c>
      <c r="AV209" s="223">
        <v>20.364900000000002</v>
      </c>
      <c r="AW209" s="318">
        <v>-102.31186999999998</v>
      </c>
      <c r="AX209" s="223">
        <v>0</v>
      </c>
      <c r="AY209" s="318">
        <f t="shared" si="111"/>
        <v>0</v>
      </c>
      <c r="AZ209" s="223"/>
      <c r="BA209" s="318"/>
      <c r="BB209" s="519">
        <f t="shared" si="112"/>
        <v>0</v>
      </c>
      <c r="BC209" s="518">
        <v>0</v>
      </c>
      <c r="BD209" s="518">
        <v>0</v>
      </c>
      <c r="BE209" s="518">
        <v>0</v>
      </c>
      <c r="BF209" s="518">
        <v>0</v>
      </c>
      <c r="BG209" s="518">
        <v>0</v>
      </c>
      <c r="BH209" s="518">
        <v>0</v>
      </c>
      <c r="BI209" s="518">
        <v>0</v>
      </c>
      <c r="BJ209" s="518">
        <v>0</v>
      </c>
      <c r="BK209" s="518">
        <v>0</v>
      </c>
      <c r="BL209" s="518">
        <v>0</v>
      </c>
      <c r="BM209" s="518">
        <v>0</v>
      </c>
      <c r="BN209" s="518">
        <v>0</v>
      </c>
      <c r="BO209" s="367">
        <f t="shared" si="119"/>
        <v>0</v>
      </c>
      <c r="BP209" s="421">
        <v>0</v>
      </c>
      <c r="BQ209" s="422"/>
      <c r="BR209" s="423">
        <f>IFERROR(IF(LEFT($A209,3)="Lcp",SUMIFS('BASE-LCP'!$K:$K,'BASE-LCP'!$A:$A,Capex!$A203,'BASE-LCP'!$B:$B,"janeiro")/1000,IF(LEFT($A209,3)="icp",SUMIFS('BASE-ICP'!$K:$K,'BASE-ICP'!$A:$A,Capex!$A203,'BASE-ICP'!$B:$B,"janeiro")/1000,"")),"")</f>
        <v>0</v>
      </c>
      <c r="BS209" s="427">
        <v>0</v>
      </c>
      <c r="BT209" s="372">
        <v>0</v>
      </c>
      <c r="BU209" s="422"/>
      <c r="BV209" s="423">
        <f>IFERROR(IF(LEFT($A209,3)="Lcp",SUMIFS('BASE-LCP'!$K:$K,'BASE-LCP'!$A:$A,Capex!$A203,'BASE-LCP'!$B:$B,"fevereiro")/1000,IF(LEFT($A209,3)="icp",SUMIFS('BASE-ICP'!$K:$K,'BASE-ICP'!$A:$A,Capex!$A203,'BASE-ICP'!$B:$B,"fevereiro")/1000,"")),"")</f>
        <v>0</v>
      </c>
      <c r="BW209" s="427">
        <v>0</v>
      </c>
      <c r="BX209" s="372">
        <v>0</v>
      </c>
      <c r="BY209" s="419"/>
      <c r="BZ209" s="423">
        <f>IFERROR(IF(LEFT($A209,3)="Lcp",SUMIFS('BASE-LCP'!$K:$K,'BASE-LCP'!$A:$A,Capex!$A203,'BASE-LCP'!$B:$B,"março")/1000,IF(LEFT($A209,3)="icp",SUMIFS('BASE-ICP'!$K:$K,'BASE-ICP'!$A:$A,Capex!$A203,'BASE-ICP'!$B:$B,"março")/1000,"")),"")</f>
        <v>3.8293700000000004</v>
      </c>
      <c r="CA209" s="427">
        <v>0</v>
      </c>
      <c r="CB209" s="372">
        <v>0</v>
      </c>
      <c r="CC209" s="422"/>
      <c r="CD209" s="423">
        <f>IFERROR(IF(LEFT($A209,3)="Lcp",SUMIFS('BASE-LCP'!$K:$K,'BASE-LCP'!$A:$A,Capex!$A203,'BASE-LCP'!$B:$B,"abril")/1000,IF(LEFT($A209,3)="icp",SUMIFS('BASE-ICP'!$K:$K,'BASE-ICP'!$A:$A,Capex!$A203,'BASE-ICP'!$B:$B,"abril")/1000,"")),"")</f>
        <v>2.04942</v>
      </c>
      <c r="CE209" s="427">
        <v>0</v>
      </c>
      <c r="CF209" s="372">
        <v>0</v>
      </c>
      <c r="CG209" s="419"/>
      <c r="CH209" s="423">
        <v>0</v>
      </c>
      <c r="CI209" s="427">
        <v>0</v>
      </c>
      <c r="CJ209" s="372">
        <v>0</v>
      </c>
      <c r="CK209" s="419"/>
      <c r="CL209" s="423">
        <f>IFERROR(IF(LEFT($A209,3)="Lcp",SUMIFS('BASE-LCP'!$K:$K,'BASE-LCP'!$A:$A,Capex!$A203,'BASE-LCP'!$B:$B,"junho")/1000,IF(LEFT($A209,3)="icp",SUMIFS('BASE-ICP'!$K:$K,'BASE-ICP'!$A:$A,Capex!$A203,'BASE-ICP'!$B:$B,"junho")/1000,"")),"")</f>
        <v>9.4994700000000005</v>
      </c>
      <c r="CM209" s="427">
        <v>0</v>
      </c>
      <c r="CN209" s="372"/>
      <c r="CO209" s="419"/>
      <c r="CP209" s="423">
        <f>IFERROR(IF(LEFT($A209,3)="Lcp",SUMIFS('BASE-LCP'!$K:$K,'BASE-LCP'!$A:$A,Capex!$A203,'BASE-LCP'!$B:$B,"julho")/1000,IF(LEFT($A209,3)="icp",SUMIFS('BASE-ICP'!$K:$K,'BASE-ICP'!$A:$A,Capex!$A203,'BASE-ICP'!$B:$B,"julho")/1000,"")),"")</f>
        <v>0</v>
      </c>
      <c r="CQ209" s="427">
        <v>0</v>
      </c>
      <c r="CR209" s="372"/>
      <c r="CS209" s="419"/>
      <c r="CT209" s="423">
        <f>IFERROR(IF(LEFT($A209,3)="Lcp",SUMIFS('BASE-LCP'!$K:$K,'BASE-LCP'!$A:$A,Capex!$A203,'BASE-LCP'!$B:$B,"agosto")/1000,IF(LEFT($A209,3)="icp",SUMIFS('BASE-ICP'!$K:$K,'BASE-ICP'!$A:$A,Capex!$A203,'BASE-ICP'!$B:$B,"agosto")/1000,"")),"")</f>
        <v>0</v>
      </c>
      <c r="CU209" s="427">
        <v>0</v>
      </c>
      <c r="CV209" s="372"/>
      <c r="CW209" s="419"/>
      <c r="CX209" s="423">
        <f>IFERROR(IF(LEFT($A209,3)="Lcp",SUMIFS('BASE-LCP'!$K:$K,'BASE-LCP'!$A:$A,Capex!$A203,'BASE-LCP'!$B:$B,"setembro")/1000,IF(LEFT($A209,3)="icp",SUMIFS('BASE-ICP'!$K:$K,'BASE-ICP'!$A:$A,Capex!$A203,'BASE-ICP'!$B:$B,"setembro")/1000,"")),"")</f>
        <v>0</v>
      </c>
      <c r="CY209" s="427">
        <v>0</v>
      </c>
      <c r="CZ209" s="372"/>
      <c r="DA209" s="419"/>
      <c r="DB209" s="423">
        <f>IFERROR(IF(LEFT($A209,3)="Lcp",SUMIFS('BASE-LCP'!$K:$K,'BASE-LCP'!$A:$A,Capex!$A203,'BASE-LCP'!$B:$B,"outubro")/1000,IF(LEFT($A209,3)="icp",SUMIFS('BASE-ICP'!$K:$K,'BASE-ICP'!$A:$A,Capex!$A203,'BASE-ICP'!$B:$B,"outubro")/1000,"")),"")</f>
        <v>0</v>
      </c>
      <c r="DC209" s="427">
        <v>0</v>
      </c>
      <c r="DD209" s="372"/>
      <c r="DE209" s="419"/>
      <c r="DF209" s="423">
        <f>IFERROR(IF(LEFT($A209,3)="Lcp",SUMIFS('BASE-LCP'!$K:$K,'BASE-LCP'!$A:$A,Capex!$A203,'BASE-LCP'!$B:$B,"novembro")/1000,IF(LEFT($A209,3)="icp",SUMIFS('BASE-ICP'!$K:$K,'BASE-ICP'!$A:$A,Capex!$A203,'BASE-ICP'!$B:$B,"novembro")/1000,"")),"")</f>
        <v>0</v>
      </c>
      <c r="DG209" s="427">
        <v>0</v>
      </c>
      <c r="DH209" s="372"/>
      <c r="DI209" s="419"/>
      <c r="DJ209" s="423">
        <f>IFERROR(IF(LEFT($A209,3)="Lcp",SUMIFS('BASE-LCP'!$K:$K,'BASE-LCP'!$A:$A,Capex!$A203,'BASE-LCP'!$B:$B,"dezembro")/1000,IF(LEFT($A209,3)="icp",SUMIFS('BASE-ICP'!$K:$K,'BASE-ICP'!$A:$A,Capex!$A203,'BASE-ICP'!$B:$B,"dezembro")/1000,"")),"")</f>
        <v>0</v>
      </c>
      <c r="DK209" s="427">
        <v>0</v>
      </c>
      <c r="DL209" s="452">
        <f t="shared" si="120"/>
        <v>0</v>
      </c>
      <c r="DM209" s="374"/>
      <c r="DN209" s="374">
        <v>0</v>
      </c>
      <c r="DO209" s="374"/>
      <c r="DP209" s="374"/>
      <c r="DQ209" s="374"/>
      <c r="DR209" s="374"/>
      <c r="DS209" s="374"/>
      <c r="DT209" s="374"/>
      <c r="DU209" s="374"/>
      <c r="DV209" s="374"/>
      <c r="DW209" s="374"/>
      <c r="DX209" s="374"/>
      <c r="DY209" s="450"/>
      <c r="DZ209" s="374">
        <f t="shared" si="121"/>
        <v>0</v>
      </c>
      <c r="EA209" s="216">
        <f t="shared" si="122"/>
        <v>0</v>
      </c>
      <c r="EB209" s="320">
        <f t="shared" si="123"/>
        <v>9.4994700000000005</v>
      </c>
      <c r="EC209" s="241">
        <f t="shared" si="124"/>
        <v>0</v>
      </c>
      <c r="ED209" s="241">
        <f t="shared" si="125"/>
        <v>0</v>
      </c>
      <c r="EE209" s="241">
        <f t="shared" si="126"/>
        <v>0</v>
      </c>
      <c r="EF209" s="241">
        <f t="shared" si="127"/>
        <v>0</v>
      </c>
      <c r="EG209" s="346">
        <f t="shared" si="128"/>
        <v>0</v>
      </c>
      <c r="EH209" s="445">
        <f t="shared" si="129"/>
        <v>0</v>
      </c>
      <c r="EI209" s="447">
        <f t="shared" si="130"/>
        <v>0</v>
      </c>
      <c r="EJ209" s="364">
        <f t="shared" si="131"/>
        <v>9.4994700000000005</v>
      </c>
      <c r="EK209" s="365">
        <f t="shared" si="132"/>
        <v>-9.4994700000000005</v>
      </c>
      <c r="EL209" s="529">
        <f t="shared" si="133"/>
        <v>0</v>
      </c>
      <c r="EM209" s="530">
        <v>0</v>
      </c>
      <c r="EN209" s="530">
        <v>0</v>
      </c>
      <c r="EO209" s="530">
        <v>0</v>
      </c>
      <c r="EP209" s="530">
        <v>0</v>
      </c>
      <c r="EQ209" s="530">
        <v>0</v>
      </c>
      <c r="ER209" s="530">
        <v>0</v>
      </c>
      <c r="ES209" s="530">
        <v>0</v>
      </c>
      <c r="ET209" s="530">
        <v>0</v>
      </c>
      <c r="EU209" s="530">
        <v>0</v>
      </c>
      <c r="EV209" s="530">
        <v>0</v>
      </c>
      <c r="EW209" s="530">
        <v>0</v>
      </c>
      <c r="EX209" s="530">
        <v>0</v>
      </c>
      <c r="EY209" s="530">
        <f t="shared" si="134"/>
        <v>0</v>
      </c>
      <c r="EZ209" s="530">
        <f t="shared" si="135"/>
        <v>0</v>
      </c>
      <c r="FA209" s="530">
        <f t="shared" si="136"/>
        <v>0</v>
      </c>
      <c r="FB209" s="530">
        <f t="shared" si="137"/>
        <v>0</v>
      </c>
      <c r="FC209" s="384">
        <f>IFERROR(VLOOKUP(Capex!A203,BASE_558!D:R,8,FALSE)/1000,"")</f>
        <v>300.18459999999999</v>
      </c>
      <c r="FD209" s="328">
        <f>IFERROR(VLOOKUP(Capex!A203,BASE_558!D:R,9,)/1000,"")</f>
        <v>274.76365000000004</v>
      </c>
      <c r="FE209" s="328">
        <f>IFERROR(IF(LEFT(A209,3)="LCP",(VLOOKUP(Capex!A203,BASE_558!D:R,10,)/1000),SUMIFS('BASE ICP_PO_SC'!F:F,'BASE ICP_PO_SC'!A:A,Capex!A203,'BASE ICP_PO_SC'!E:E,"&lt;&gt;")/1000),"")</f>
        <v>0</v>
      </c>
      <c r="FF209" s="328">
        <f>IFERROR(IF(LEFT(A209,3)="LCP",(VLOOKUP(Capex!A203,BASE_558!D:R,11,)/1000),SUMIFS('BASE ICP_PO_SC'!F:F,'BASE ICP_PO_SC'!A:A,Capex!A203,'BASE ICP_PO_SC'!E:E,"")/1000),"")</f>
        <v>0</v>
      </c>
      <c r="FG209" s="328">
        <f>IFERROR(VLOOKUP(A209,BASE_558!D:R,13,FALSE)/1000,"")</f>
        <v>0</v>
      </c>
      <c r="FH209" s="328">
        <f>IFERROR(VLOOKUP(A209,BASE_558!D:R,15,FALSE)/1000,"")</f>
        <v>185.19800000000001</v>
      </c>
      <c r="FI209" s="547">
        <f t="shared" si="138"/>
        <v>0</v>
      </c>
      <c r="FJ209" s="547">
        <f t="shared" si="139"/>
        <v>0</v>
      </c>
      <c r="FK209" s="540">
        <f t="shared" si="140"/>
        <v>0</v>
      </c>
    </row>
    <row r="210" spans="1:167" s="23" customFormat="1" ht="24" customHeight="1">
      <c r="A210" s="84" t="s">
        <v>750</v>
      </c>
      <c r="B210" s="404"/>
      <c r="C210" s="404">
        <v>1540</v>
      </c>
      <c r="D210" s="338" t="s">
        <v>2260</v>
      </c>
      <c r="E210" s="378">
        <v>3753624</v>
      </c>
      <c r="F210" s="5"/>
      <c r="G210" s="310" t="s">
        <v>9</v>
      </c>
      <c r="H210" s="356"/>
      <c r="I210" s="356" t="s">
        <v>6</v>
      </c>
      <c r="J210" s="356">
        <v>2021</v>
      </c>
      <c r="K210" s="321">
        <v>44295</v>
      </c>
      <c r="L210" s="317">
        <v>45288</v>
      </c>
      <c r="M210" s="409"/>
      <c r="N210" s="317">
        <f t="shared" si="109"/>
        <v>45207</v>
      </c>
      <c r="O210" s="317">
        <f t="shared" si="110"/>
        <v>45572</v>
      </c>
      <c r="P210" s="418" t="str">
        <f t="shared" si="141"/>
        <v>CRTD</v>
      </c>
      <c r="Q210" s="418" t="str">
        <f t="shared" si="141"/>
        <v>CRTD</v>
      </c>
      <c r="R210" s="418" t="str">
        <f t="shared" si="141"/>
        <v>CRTD</v>
      </c>
      <c r="S210" s="418" t="str">
        <f t="shared" si="141"/>
        <v>CRTD</v>
      </c>
      <c r="T210" s="418" t="str">
        <f t="shared" si="141"/>
        <v>CRTD</v>
      </c>
      <c r="U210" s="418" t="str">
        <f t="shared" si="141"/>
        <v>CRTD</v>
      </c>
      <c r="V210" s="418" t="str">
        <f t="shared" si="141"/>
        <v>CRTD</v>
      </c>
      <c r="W210" s="418" t="str">
        <f t="shared" si="141"/>
        <v>CRTD</v>
      </c>
      <c r="X210" s="418" t="str">
        <f t="shared" si="141"/>
        <v>CRTD</v>
      </c>
      <c r="Y210" s="418" t="str">
        <f t="shared" si="141"/>
        <v>CRTD</v>
      </c>
      <c r="Z210" s="418" t="str">
        <f t="shared" si="141"/>
        <v>CRTD</v>
      </c>
      <c r="AA210" s="418" t="str">
        <f t="shared" si="141"/>
        <v>CRTD</v>
      </c>
      <c r="AB210" s="350"/>
      <c r="AC210" s="309" t="s">
        <v>3932</v>
      </c>
      <c r="AD210" s="311" t="s">
        <v>224</v>
      </c>
      <c r="AE210" s="381" t="s">
        <v>956</v>
      </c>
      <c r="AF210" s="310" t="s">
        <v>6985</v>
      </c>
      <c r="AG210" s="310" t="s">
        <v>9083</v>
      </c>
      <c r="AH210" s="310" t="s">
        <v>732</v>
      </c>
      <c r="AI210" s="381" t="s">
        <v>316</v>
      </c>
      <c r="AJ210" s="6" t="s">
        <v>218</v>
      </c>
      <c r="AK210" s="6" t="str">
        <f t="shared" si="118"/>
        <v>IGUAL</v>
      </c>
      <c r="AL210" s="151" t="str">
        <f>IFERROR(IF(LEFT(A210,3)="LCP",VLOOKUP(A210,STATUS_SAP_LCP!B:C,2,FALSE),VLOOKUP(A210,STATUS_SAP_ICP!B:C,2,FALSE)),"NO BUDGET")</f>
        <v>CLSD BUDG AUC  AVAC  //  APPR BREL EXPL</v>
      </c>
      <c r="AM210" s="6" t="str">
        <f t="shared" si="116"/>
        <v>CLSD</v>
      </c>
      <c r="AN210" s="282" t="s">
        <v>9096</v>
      </c>
      <c r="AO210" s="493">
        <v>1</v>
      </c>
      <c r="AP210" s="499" t="s">
        <v>9607</v>
      </c>
      <c r="AQ210" s="465">
        <v>45288</v>
      </c>
      <c r="AR210" s="460"/>
      <c r="AS210" s="57"/>
      <c r="AT210" s="185"/>
      <c r="AU210" s="318">
        <v>62.812859999999993</v>
      </c>
      <c r="AV210" s="223">
        <v>0.67960000000000009</v>
      </c>
      <c r="AW210" s="318">
        <v>0</v>
      </c>
      <c r="AX210" s="223">
        <v>0</v>
      </c>
      <c r="AY210" s="318">
        <f t="shared" si="111"/>
        <v>0</v>
      </c>
      <c r="AZ210" s="223"/>
      <c r="BA210" s="318"/>
      <c r="BB210" s="519">
        <f t="shared" si="112"/>
        <v>0</v>
      </c>
      <c r="BC210" s="518"/>
      <c r="BD210" s="518"/>
      <c r="BE210" s="518"/>
      <c r="BF210" s="518"/>
      <c r="BG210" s="518"/>
      <c r="BH210" s="518"/>
      <c r="BI210" s="518"/>
      <c r="BJ210" s="518"/>
      <c r="BK210" s="518"/>
      <c r="BL210" s="518"/>
      <c r="BM210" s="518"/>
      <c r="BN210" s="518"/>
      <c r="BO210" s="367">
        <f t="shared" si="119"/>
        <v>0</v>
      </c>
      <c r="BP210" s="421"/>
      <c r="BQ210" s="422"/>
      <c r="BR210" s="423">
        <f>IFERROR(IF(LEFT($A210,3)="Lcp",SUMIFS('BASE-LCP'!$K:$K,'BASE-LCP'!$A:$A,Capex!$A204,'BASE-LCP'!$B:$B,"janeiro")/1000,IF(LEFT($A210,3)="icp",SUMIFS('BASE-ICP'!$K:$K,'BASE-ICP'!$A:$A,Capex!$A204,'BASE-ICP'!$B:$B,"janeiro")/1000,"")),"")</f>
        <v>0</v>
      </c>
      <c r="BS210" s="427">
        <v>0</v>
      </c>
      <c r="BT210" s="372">
        <v>0</v>
      </c>
      <c r="BU210" s="422"/>
      <c r="BV210" s="423">
        <f>IFERROR(IF(LEFT($A210,3)="Lcp",SUMIFS('BASE-LCP'!$K:$K,'BASE-LCP'!$A:$A,Capex!$A204,'BASE-LCP'!$B:$B,"fevereiro")/1000,IF(LEFT($A210,3)="icp",SUMIFS('BASE-ICP'!$K:$K,'BASE-ICP'!$A:$A,Capex!$A204,'BASE-ICP'!$B:$B,"fevereiro")/1000,"")),"")</f>
        <v>0</v>
      </c>
      <c r="BW210" s="427">
        <v>0</v>
      </c>
      <c r="BX210" s="372">
        <v>0</v>
      </c>
      <c r="BY210" s="419"/>
      <c r="BZ210" s="423">
        <f>IFERROR(IF(LEFT($A210,3)="Lcp",SUMIFS('BASE-LCP'!$K:$K,'BASE-LCP'!$A:$A,Capex!$A204,'BASE-LCP'!$B:$B,"março")/1000,IF(LEFT($A210,3)="icp",SUMIFS('BASE-ICP'!$K:$K,'BASE-ICP'!$A:$A,Capex!$A204,'BASE-ICP'!$B:$B,"março")/1000,"")),"")</f>
        <v>0</v>
      </c>
      <c r="CA210" s="427">
        <v>0</v>
      </c>
      <c r="CB210" s="372">
        <v>0</v>
      </c>
      <c r="CC210" s="422"/>
      <c r="CD210" s="423">
        <f>IFERROR(IF(LEFT($A210,3)="Lcp",SUMIFS('BASE-LCP'!$K:$K,'BASE-LCP'!$A:$A,Capex!$A204,'BASE-LCP'!$B:$B,"abril")/1000,IF(LEFT($A210,3)="icp",SUMIFS('BASE-ICP'!$K:$K,'BASE-ICP'!$A:$A,Capex!$A204,'BASE-ICP'!$B:$B,"abril")/1000,"")),"")</f>
        <v>0</v>
      </c>
      <c r="CE210" s="427">
        <v>0</v>
      </c>
      <c r="CF210" s="372">
        <v>0</v>
      </c>
      <c r="CG210" s="419"/>
      <c r="CH210" s="423">
        <v>0</v>
      </c>
      <c r="CI210" s="427">
        <v>0</v>
      </c>
      <c r="CJ210" s="372">
        <v>0</v>
      </c>
      <c r="CK210" s="419"/>
      <c r="CL210" s="423">
        <f>IFERROR(IF(LEFT($A210,3)="Lcp",SUMIFS('BASE-LCP'!$K:$K,'BASE-LCP'!$A:$A,Capex!$A204,'BASE-LCP'!$B:$B,"junho")/1000,IF(LEFT($A210,3)="icp",SUMIFS('BASE-ICP'!$K:$K,'BASE-ICP'!$A:$A,Capex!$A204,'BASE-ICP'!$B:$B,"junho")/1000,"")),"")</f>
        <v>0</v>
      </c>
      <c r="CM210" s="427">
        <v>0</v>
      </c>
      <c r="CN210" s="372"/>
      <c r="CO210" s="419"/>
      <c r="CP210" s="423">
        <f>IFERROR(IF(LEFT($A210,3)="Lcp",SUMIFS('BASE-LCP'!$K:$K,'BASE-LCP'!$A:$A,Capex!$A204,'BASE-LCP'!$B:$B,"julho")/1000,IF(LEFT($A210,3)="icp",SUMIFS('BASE-ICP'!$K:$K,'BASE-ICP'!$A:$A,Capex!$A204,'BASE-ICP'!$B:$B,"julho")/1000,"")),"")</f>
        <v>0</v>
      </c>
      <c r="CQ210" s="427">
        <v>0</v>
      </c>
      <c r="CR210" s="372"/>
      <c r="CS210" s="419"/>
      <c r="CT210" s="423">
        <f>IFERROR(IF(LEFT($A210,3)="Lcp",SUMIFS('BASE-LCP'!$K:$K,'BASE-LCP'!$A:$A,Capex!$A204,'BASE-LCP'!$B:$B,"agosto")/1000,IF(LEFT($A210,3)="icp",SUMIFS('BASE-ICP'!$K:$K,'BASE-ICP'!$A:$A,Capex!$A204,'BASE-ICP'!$B:$B,"agosto")/1000,"")),"")</f>
        <v>0</v>
      </c>
      <c r="CU210" s="427">
        <v>0</v>
      </c>
      <c r="CV210" s="372"/>
      <c r="CW210" s="419"/>
      <c r="CX210" s="423">
        <f>IFERROR(IF(LEFT($A210,3)="Lcp",SUMIFS('BASE-LCP'!$K:$K,'BASE-LCP'!$A:$A,Capex!$A204,'BASE-LCP'!$B:$B,"setembro")/1000,IF(LEFT($A210,3)="icp",SUMIFS('BASE-ICP'!$K:$K,'BASE-ICP'!$A:$A,Capex!$A204,'BASE-ICP'!$B:$B,"setembro")/1000,"")),"")</f>
        <v>0</v>
      </c>
      <c r="CY210" s="427">
        <v>0</v>
      </c>
      <c r="CZ210" s="372"/>
      <c r="DA210" s="419"/>
      <c r="DB210" s="423">
        <f>IFERROR(IF(LEFT($A210,3)="Lcp",SUMIFS('BASE-LCP'!$K:$K,'BASE-LCP'!$A:$A,Capex!$A204,'BASE-LCP'!$B:$B,"outubro")/1000,IF(LEFT($A210,3)="icp",SUMIFS('BASE-ICP'!$K:$K,'BASE-ICP'!$A:$A,Capex!$A204,'BASE-ICP'!$B:$B,"outubro")/1000,"")),"")</f>
        <v>0</v>
      </c>
      <c r="DC210" s="427">
        <v>0</v>
      </c>
      <c r="DD210" s="372"/>
      <c r="DE210" s="419"/>
      <c r="DF210" s="423">
        <f>IFERROR(IF(LEFT($A210,3)="Lcp",SUMIFS('BASE-LCP'!$K:$K,'BASE-LCP'!$A:$A,Capex!$A204,'BASE-LCP'!$B:$B,"novembro")/1000,IF(LEFT($A210,3)="icp",SUMIFS('BASE-ICP'!$K:$K,'BASE-ICP'!$A:$A,Capex!$A204,'BASE-ICP'!$B:$B,"novembro")/1000,"")),"")</f>
        <v>0</v>
      </c>
      <c r="DG210" s="427">
        <v>0</v>
      </c>
      <c r="DH210" s="372"/>
      <c r="DI210" s="419"/>
      <c r="DJ210" s="423">
        <f>IFERROR(IF(LEFT($A210,3)="Lcp",SUMIFS('BASE-LCP'!$K:$K,'BASE-LCP'!$A:$A,Capex!$A204,'BASE-LCP'!$B:$B,"dezembro")/1000,IF(LEFT($A210,3)="icp",SUMIFS('BASE-ICP'!$K:$K,'BASE-ICP'!$A:$A,Capex!$A204,'BASE-ICP'!$B:$B,"dezembro")/1000,"")),"")</f>
        <v>0</v>
      </c>
      <c r="DK210" s="427">
        <v>0</v>
      </c>
      <c r="DL210" s="452">
        <f t="shared" si="120"/>
        <v>0</v>
      </c>
      <c r="DM210" s="374"/>
      <c r="DN210" s="374"/>
      <c r="DO210" s="374"/>
      <c r="DP210" s="374"/>
      <c r="DQ210" s="374"/>
      <c r="DR210" s="374"/>
      <c r="DS210" s="374"/>
      <c r="DT210" s="374"/>
      <c r="DU210" s="374"/>
      <c r="DV210" s="374"/>
      <c r="DW210" s="374"/>
      <c r="DX210" s="374"/>
      <c r="DY210" s="450"/>
      <c r="DZ210" s="374">
        <f t="shared" si="121"/>
        <v>0</v>
      </c>
      <c r="EA210" s="216">
        <f t="shared" si="122"/>
        <v>0</v>
      </c>
      <c r="EB210" s="320">
        <f t="shared" si="123"/>
        <v>0</v>
      </c>
      <c r="EC210" s="241">
        <f t="shared" si="124"/>
        <v>0</v>
      </c>
      <c r="ED210" s="241">
        <f t="shared" si="125"/>
        <v>0</v>
      </c>
      <c r="EE210" s="241">
        <f t="shared" si="126"/>
        <v>0</v>
      </c>
      <c r="EF210" s="241">
        <f t="shared" si="127"/>
        <v>0</v>
      </c>
      <c r="EG210" s="346">
        <f t="shared" si="128"/>
        <v>0</v>
      </c>
      <c r="EH210" s="445">
        <f t="shared" si="129"/>
        <v>0</v>
      </c>
      <c r="EI210" s="447">
        <f t="shared" si="130"/>
        <v>0</v>
      </c>
      <c r="EJ210" s="364">
        <f t="shared" si="131"/>
        <v>0</v>
      </c>
      <c r="EK210" s="365">
        <f t="shared" si="132"/>
        <v>0</v>
      </c>
      <c r="EL210" s="529">
        <f t="shared" si="133"/>
        <v>0</v>
      </c>
      <c r="EM210" s="530">
        <v>0</v>
      </c>
      <c r="EN210" s="530">
        <v>0</v>
      </c>
      <c r="EO210" s="530">
        <v>0</v>
      </c>
      <c r="EP210" s="530">
        <v>0</v>
      </c>
      <c r="EQ210" s="530">
        <v>0</v>
      </c>
      <c r="ER210" s="530">
        <v>0</v>
      </c>
      <c r="ES210" s="530">
        <v>0</v>
      </c>
      <c r="ET210" s="530">
        <v>0</v>
      </c>
      <c r="EU210" s="530">
        <v>0</v>
      </c>
      <c r="EV210" s="530">
        <v>0</v>
      </c>
      <c r="EW210" s="530">
        <v>0</v>
      </c>
      <c r="EX210" s="530">
        <v>0</v>
      </c>
      <c r="EY210" s="530">
        <f t="shared" si="134"/>
        <v>0</v>
      </c>
      <c r="EZ210" s="530">
        <f t="shared" si="135"/>
        <v>0</v>
      </c>
      <c r="FA210" s="530">
        <f t="shared" si="136"/>
        <v>0</v>
      </c>
      <c r="FB210" s="530">
        <f t="shared" si="137"/>
        <v>0</v>
      </c>
      <c r="FC210" s="384">
        <f>IFERROR(VLOOKUP(Capex!A204,BASE_558!D:R,8,FALSE)/1000,"")</f>
        <v>573.53</v>
      </c>
      <c r="FD210" s="328">
        <f>IFERROR(VLOOKUP(Capex!A204,BASE_558!D:R,9,)/1000,"")</f>
        <v>571.69055000000003</v>
      </c>
      <c r="FE210" s="328">
        <f>IFERROR(IF(LEFT(A210,3)="LCP",(VLOOKUP(Capex!A204,BASE_558!D:R,10,)/1000),SUMIFS('BASE ICP_PO_SC'!F:F,'BASE ICP_PO_SC'!A:A,Capex!A204,'BASE ICP_PO_SC'!E:E,"&lt;&gt;")/1000),"")</f>
        <v>0</v>
      </c>
      <c r="FF210" s="328">
        <f>IFERROR(IF(LEFT(A210,3)="LCP",(VLOOKUP(Capex!A204,BASE_558!D:R,11,)/1000),SUMIFS('BASE ICP_PO_SC'!F:F,'BASE ICP_PO_SC'!A:A,Capex!A204,'BASE ICP_PO_SC'!E:E,"")/1000),"")</f>
        <v>0</v>
      </c>
      <c r="FG210" s="328">
        <f>IFERROR(VLOOKUP(A210,BASE_558!D:R,13,FALSE)/1000,"")</f>
        <v>63.492460000000001</v>
      </c>
      <c r="FH210" s="328">
        <f>IFERROR(VLOOKUP(A210,BASE_558!D:R,15,FALSE)/1000,"")</f>
        <v>11.904860000000001</v>
      </c>
      <c r="FI210" s="547">
        <f t="shared" si="138"/>
        <v>0</v>
      </c>
      <c r="FJ210" s="547">
        <f t="shared" si="139"/>
        <v>0</v>
      </c>
      <c r="FK210" s="540">
        <f t="shared" si="140"/>
        <v>0</v>
      </c>
    </row>
    <row r="211" spans="1:167" s="23" customFormat="1" ht="24" customHeight="1">
      <c r="A211" s="84" t="s">
        <v>747</v>
      </c>
      <c r="B211" s="404"/>
      <c r="C211" s="404">
        <v>879</v>
      </c>
      <c r="D211" s="338" t="s">
        <v>1883</v>
      </c>
      <c r="E211" s="378">
        <v>3722351</v>
      </c>
      <c r="F211" s="310"/>
      <c r="G211" s="310" t="s">
        <v>9</v>
      </c>
      <c r="H211" s="338" t="s">
        <v>6</v>
      </c>
      <c r="I211" s="356"/>
      <c r="J211" s="356">
        <v>2021</v>
      </c>
      <c r="K211" s="352">
        <v>44295</v>
      </c>
      <c r="L211" s="317"/>
      <c r="M211" s="409"/>
      <c r="N211" s="317">
        <f t="shared" si="109"/>
        <v>45207</v>
      </c>
      <c r="O211" s="317">
        <f t="shared" si="110"/>
        <v>45572</v>
      </c>
      <c r="P211" s="418" t="str">
        <f t="shared" si="141"/>
        <v>SIM</v>
      </c>
      <c r="Q211" s="418" t="str">
        <f t="shared" si="141"/>
        <v>SIM</v>
      </c>
      <c r="R211" s="418" t="str">
        <f t="shared" si="141"/>
        <v>SIM</v>
      </c>
      <c r="S211" s="418" t="str">
        <f t="shared" si="141"/>
        <v>SIM</v>
      </c>
      <c r="T211" s="418" t="str">
        <f t="shared" si="141"/>
        <v>SIM</v>
      </c>
      <c r="U211" s="418" t="str">
        <f t="shared" si="141"/>
        <v>SIM</v>
      </c>
      <c r="V211" s="418" t="str">
        <f t="shared" si="141"/>
        <v>SIM</v>
      </c>
      <c r="W211" s="418" t="str">
        <f t="shared" si="141"/>
        <v>SIM</v>
      </c>
      <c r="X211" s="418" t="str">
        <f t="shared" si="141"/>
        <v>SIM</v>
      </c>
      <c r="Y211" s="418" t="str">
        <f t="shared" si="141"/>
        <v>SIM</v>
      </c>
      <c r="Z211" s="418" t="str">
        <f t="shared" si="141"/>
        <v>SIM</v>
      </c>
      <c r="AA211" s="418" t="str">
        <f t="shared" si="141"/>
        <v>SIM</v>
      </c>
      <c r="AB211" s="317"/>
      <c r="AC211" s="309" t="s">
        <v>3932</v>
      </c>
      <c r="AD211" s="311" t="s">
        <v>5</v>
      </c>
      <c r="AE211" s="361" t="s">
        <v>961</v>
      </c>
      <c r="AF211" s="310" t="s">
        <v>6985</v>
      </c>
      <c r="AG211" s="310" t="s">
        <v>2259</v>
      </c>
      <c r="AH211" s="310" t="s">
        <v>728</v>
      </c>
      <c r="AI211" s="309" t="s">
        <v>2255</v>
      </c>
      <c r="AJ211" s="6" t="s">
        <v>6786</v>
      </c>
      <c r="AK211" s="6" t="str">
        <f t="shared" si="118"/>
        <v>IGUAL</v>
      </c>
      <c r="AL211" s="151" t="str">
        <f>IFERROR(IF(LEFT(A211,3)="LCP",VLOOKUP(A211,STATUS_SAP_LCP!B:C,2,FALSE),VLOOKUP(A211,STATUS_SAP_ICP!B:C,2,FALSE)),"NO BUDGET")</f>
        <v>REL  BUDG AUC  AVAC  //  APPR BREL INPL</v>
      </c>
      <c r="AM211" s="6" t="str">
        <f t="shared" si="116"/>
        <v xml:space="preserve">REL </v>
      </c>
      <c r="AN211" s="428" t="s">
        <v>19071</v>
      </c>
      <c r="AO211" s="429"/>
      <c r="AP211" s="499" t="s">
        <v>9616</v>
      </c>
      <c r="AQ211" s="465">
        <v>46054</v>
      </c>
      <c r="AR211" s="460"/>
      <c r="AS211" s="57"/>
      <c r="AT211" s="185"/>
      <c r="AU211" s="318">
        <v>318.05406000000005</v>
      </c>
      <c r="AV211" s="223">
        <v>8.3832500000000003</v>
      </c>
      <c r="AW211" s="318">
        <v>0</v>
      </c>
      <c r="AX211" s="223">
        <v>0</v>
      </c>
      <c r="AY211" s="318">
        <f t="shared" si="111"/>
        <v>0</v>
      </c>
      <c r="AZ211" s="223"/>
      <c r="BA211" s="318"/>
      <c r="BB211" s="519">
        <f t="shared" si="112"/>
        <v>130</v>
      </c>
      <c r="BC211" s="518">
        <v>0</v>
      </c>
      <c r="BD211" s="518">
        <v>0</v>
      </c>
      <c r="BE211" s="518">
        <v>0</v>
      </c>
      <c r="BF211" s="518">
        <v>0</v>
      </c>
      <c r="BG211" s="518">
        <v>0</v>
      </c>
      <c r="BH211" s="518">
        <v>0</v>
      </c>
      <c r="BI211" s="518">
        <v>0</v>
      </c>
      <c r="BJ211" s="518">
        <v>0</v>
      </c>
      <c r="BK211" s="518">
        <v>0</v>
      </c>
      <c r="BL211" s="518">
        <v>50</v>
      </c>
      <c r="BM211" s="518">
        <v>50</v>
      </c>
      <c r="BN211" s="518">
        <v>30</v>
      </c>
      <c r="BO211" s="367">
        <f t="shared" si="119"/>
        <v>0</v>
      </c>
      <c r="BP211" s="421">
        <v>0</v>
      </c>
      <c r="BQ211" s="422"/>
      <c r="BR211" s="423">
        <f>IFERROR(IF(LEFT($A211,3)="Lcp",SUMIFS('BASE-LCP'!$K:$K,'BASE-LCP'!$A:$A,Capex!$A205,'BASE-LCP'!$B:$B,"janeiro")/1000,IF(LEFT($A211,3)="icp",SUMIFS('BASE-ICP'!$K:$K,'BASE-ICP'!$A:$A,Capex!$A205,'BASE-ICP'!$B:$B,"janeiro")/1000,"")),"")</f>
        <v>0</v>
      </c>
      <c r="BS211" s="427">
        <v>0</v>
      </c>
      <c r="BT211" s="372">
        <v>0</v>
      </c>
      <c r="BU211" s="422"/>
      <c r="BV211" s="423">
        <f>IFERROR(IF(LEFT($A211,3)="Lcp",SUMIFS('BASE-LCP'!$K:$K,'BASE-LCP'!$A:$A,Capex!$A205,'BASE-LCP'!$B:$B,"fevereiro")/1000,IF(LEFT($A211,3)="icp",SUMIFS('BASE-ICP'!$K:$K,'BASE-ICP'!$A:$A,Capex!$A205,'BASE-ICP'!$B:$B,"fevereiro")/1000,"")),"")</f>
        <v>0</v>
      </c>
      <c r="BW211" s="427">
        <v>0</v>
      </c>
      <c r="BX211" s="372">
        <v>0</v>
      </c>
      <c r="BY211" s="419"/>
      <c r="BZ211" s="423">
        <f>IFERROR(IF(LEFT($A211,3)="Lcp",SUMIFS('BASE-LCP'!$K:$K,'BASE-LCP'!$A:$A,Capex!$A205,'BASE-LCP'!$B:$B,"março")/1000,IF(LEFT($A211,3)="icp",SUMIFS('BASE-ICP'!$K:$K,'BASE-ICP'!$A:$A,Capex!$A205,'BASE-ICP'!$B:$B,"março")/1000,"")),"")</f>
        <v>0</v>
      </c>
      <c r="CA211" s="427">
        <v>0</v>
      </c>
      <c r="CB211" s="372">
        <v>0</v>
      </c>
      <c r="CC211" s="422"/>
      <c r="CD211" s="423">
        <f>IFERROR(IF(LEFT($A211,3)="Lcp",SUMIFS('BASE-LCP'!$K:$K,'BASE-LCP'!$A:$A,Capex!$A205,'BASE-LCP'!$B:$B,"abril")/1000,IF(LEFT($A211,3)="icp",SUMIFS('BASE-ICP'!$K:$K,'BASE-ICP'!$A:$A,Capex!$A205,'BASE-ICP'!$B:$B,"abril")/1000,"")),"")</f>
        <v>0</v>
      </c>
      <c r="CE211" s="427">
        <v>0</v>
      </c>
      <c r="CF211" s="372">
        <v>0</v>
      </c>
      <c r="CG211" s="419"/>
      <c r="CH211" s="423">
        <v>0</v>
      </c>
      <c r="CI211" s="427">
        <v>0</v>
      </c>
      <c r="CJ211" s="372">
        <v>0</v>
      </c>
      <c r="CK211" s="419"/>
      <c r="CL211" s="423">
        <f>IFERROR(IF(LEFT($A211,3)="Lcp",SUMIFS('BASE-LCP'!$K:$K,'BASE-LCP'!$A:$A,Capex!$A205,'BASE-LCP'!$B:$B,"junho")/1000,IF(LEFT($A211,3)="icp",SUMIFS('BASE-ICP'!$K:$K,'BASE-ICP'!$A:$A,Capex!$A205,'BASE-ICP'!$B:$B,"junho")/1000,"")),"")</f>
        <v>0</v>
      </c>
      <c r="CM211" s="427">
        <v>0</v>
      </c>
      <c r="CN211" s="372"/>
      <c r="CO211" s="419"/>
      <c r="CP211" s="423">
        <f>IFERROR(IF(LEFT($A211,3)="Lcp",SUMIFS('BASE-LCP'!$K:$K,'BASE-LCP'!$A:$A,Capex!$A205,'BASE-LCP'!$B:$B,"julho")/1000,IF(LEFT($A211,3)="icp",SUMIFS('BASE-ICP'!$K:$K,'BASE-ICP'!$A:$A,Capex!$A205,'BASE-ICP'!$B:$B,"julho")/1000,"")),"")</f>
        <v>0</v>
      </c>
      <c r="CQ211" s="427">
        <v>0</v>
      </c>
      <c r="CR211" s="372"/>
      <c r="CS211" s="419"/>
      <c r="CT211" s="423">
        <f>IFERROR(IF(LEFT($A211,3)="Lcp",SUMIFS('BASE-LCP'!$K:$K,'BASE-LCP'!$A:$A,Capex!$A205,'BASE-LCP'!$B:$B,"agosto")/1000,IF(LEFT($A211,3)="icp",SUMIFS('BASE-ICP'!$K:$K,'BASE-ICP'!$A:$A,Capex!$A205,'BASE-ICP'!$B:$B,"agosto")/1000,"")),"")</f>
        <v>0</v>
      </c>
      <c r="CU211" s="427">
        <v>0</v>
      </c>
      <c r="CV211" s="372"/>
      <c r="CW211" s="419"/>
      <c r="CX211" s="423">
        <f>IFERROR(IF(LEFT($A211,3)="Lcp",SUMIFS('BASE-LCP'!$K:$K,'BASE-LCP'!$A:$A,Capex!$A205,'BASE-LCP'!$B:$B,"setembro")/1000,IF(LEFT($A211,3)="icp",SUMIFS('BASE-ICP'!$K:$K,'BASE-ICP'!$A:$A,Capex!$A205,'BASE-ICP'!$B:$B,"setembro")/1000,"")),"")</f>
        <v>0</v>
      </c>
      <c r="CY211" s="427">
        <v>0</v>
      </c>
      <c r="CZ211" s="372"/>
      <c r="DA211" s="419"/>
      <c r="DB211" s="423">
        <f>IFERROR(IF(LEFT($A211,3)="Lcp",SUMIFS('BASE-LCP'!$K:$K,'BASE-LCP'!$A:$A,Capex!$A205,'BASE-LCP'!$B:$B,"outubro")/1000,IF(LEFT($A211,3)="icp",SUMIFS('BASE-ICP'!$K:$K,'BASE-ICP'!$A:$A,Capex!$A205,'BASE-ICP'!$B:$B,"outubro")/1000,"")),"")</f>
        <v>0</v>
      </c>
      <c r="DC211" s="427">
        <v>0</v>
      </c>
      <c r="DD211" s="372"/>
      <c r="DE211" s="419"/>
      <c r="DF211" s="423">
        <f>IFERROR(IF(LEFT($A211,3)="Lcp",SUMIFS('BASE-LCP'!$K:$K,'BASE-LCP'!$A:$A,Capex!$A205,'BASE-LCP'!$B:$B,"novembro")/1000,IF(LEFT($A211,3)="icp",SUMIFS('BASE-ICP'!$K:$K,'BASE-ICP'!$A:$A,Capex!$A205,'BASE-ICP'!$B:$B,"novembro")/1000,"")),"")</f>
        <v>0</v>
      </c>
      <c r="DG211" s="427">
        <v>0</v>
      </c>
      <c r="DH211" s="372"/>
      <c r="DI211" s="419"/>
      <c r="DJ211" s="423">
        <f>IFERROR(IF(LEFT($A211,3)="Lcp",SUMIFS('BASE-LCP'!$K:$K,'BASE-LCP'!$A:$A,Capex!$A205,'BASE-LCP'!$B:$B,"dezembro")/1000,IF(LEFT($A211,3)="icp",SUMIFS('BASE-ICP'!$K:$K,'BASE-ICP'!$A:$A,Capex!$A205,'BASE-ICP'!$B:$B,"dezembro")/1000,"")),"")</f>
        <v>0</v>
      </c>
      <c r="DK211" s="427">
        <v>0</v>
      </c>
      <c r="DL211" s="452">
        <f t="shared" si="120"/>
        <v>130</v>
      </c>
      <c r="DM211" s="374"/>
      <c r="DN211" s="374">
        <v>130</v>
      </c>
      <c r="DO211" s="374"/>
      <c r="DP211" s="374"/>
      <c r="DQ211" s="374"/>
      <c r="DR211" s="374"/>
      <c r="DS211" s="374"/>
      <c r="DT211" s="374"/>
      <c r="DU211" s="374"/>
      <c r="DV211" s="374"/>
      <c r="DW211" s="374"/>
      <c r="DX211" s="374"/>
      <c r="DY211" s="450"/>
      <c r="DZ211" s="374">
        <f t="shared" si="121"/>
        <v>130</v>
      </c>
      <c r="EA211" s="216">
        <f t="shared" si="122"/>
        <v>0</v>
      </c>
      <c r="EB211" s="320">
        <f t="shared" si="123"/>
        <v>0</v>
      </c>
      <c r="EC211" s="241">
        <f t="shared" si="124"/>
        <v>0</v>
      </c>
      <c r="ED211" s="241">
        <f t="shared" si="125"/>
        <v>0</v>
      </c>
      <c r="EE211" s="241">
        <f t="shared" si="126"/>
        <v>0</v>
      </c>
      <c r="EF211" s="241">
        <f t="shared" si="127"/>
        <v>0</v>
      </c>
      <c r="EG211" s="346">
        <f t="shared" si="128"/>
        <v>-130</v>
      </c>
      <c r="EH211" s="445">
        <f t="shared" si="129"/>
        <v>0</v>
      </c>
      <c r="EI211" s="447">
        <f t="shared" si="130"/>
        <v>0</v>
      </c>
      <c r="EJ211" s="364">
        <f t="shared" si="131"/>
        <v>0</v>
      </c>
      <c r="EK211" s="365">
        <f t="shared" si="132"/>
        <v>0</v>
      </c>
      <c r="EL211" s="529">
        <f t="shared" si="133"/>
        <v>0</v>
      </c>
      <c r="EM211" s="530">
        <v>0</v>
      </c>
      <c r="EN211" s="530">
        <v>0</v>
      </c>
      <c r="EO211" s="530">
        <v>0</v>
      </c>
      <c r="EP211" s="530">
        <v>0</v>
      </c>
      <c r="EQ211" s="530">
        <v>0</v>
      </c>
      <c r="ER211" s="530">
        <v>0</v>
      </c>
      <c r="ES211" s="530">
        <v>0</v>
      </c>
      <c r="ET211" s="530">
        <v>0</v>
      </c>
      <c r="EU211" s="530">
        <v>0</v>
      </c>
      <c r="EV211" s="530">
        <v>0</v>
      </c>
      <c r="EW211" s="530">
        <v>0</v>
      </c>
      <c r="EX211" s="530">
        <v>0</v>
      </c>
      <c r="EY211" s="530">
        <f t="shared" si="134"/>
        <v>0</v>
      </c>
      <c r="EZ211" s="530">
        <f t="shared" si="135"/>
        <v>0</v>
      </c>
      <c r="FA211" s="530">
        <f t="shared" si="136"/>
        <v>0</v>
      </c>
      <c r="FB211" s="530">
        <f t="shared" si="137"/>
        <v>0</v>
      </c>
      <c r="FC211" s="384">
        <f>IFERROR(VLOOKUP(Capex!A205,BASE_558!D:R,8,FALSE)/1000,"")</f>
        <v>107.81399999999999</v>
      </c>
      <c r="FD211" s="328">
        <f>IFERROR(VLOOKUP(Capex!A205,BASE_558!D:R,9,)/1000,"")</f>
        <v>49.774949999999997</v>
      </c>
      <c r="FE211" s="328">
        <f>IFERROR(IF(LEFT(A211,3)="LCP",(VLOOKUP(Capex!A205,BASE_558!D:R,10,)/1000),SUMIFS('BASE ICP_PO_SC'!F:F,'BASE ICP_PO_SC'!A:A,Capex!A205,'BASE ICP_PO_SC'!E:E,"&lt;&gt;")/1000),"")</f>
        <v>0</v>
      </c>
      <c r="FF211" s="328">
        <f>IFERROR(IF(LEFT(A211,3)="LCP",(VLOOKUP(Capex!A205,BASE_558!D:R,11,)/1000),SUMIFS('BASE ICP_PO_SC'!F:F,'BASE ICP_PO_SC'!A:A,Capex!A205,'BASE ICP_PO_SC'!E:E,"")/1000),"")</f>
        <v>0</v>
      </c>
      <c r="FG211" s="328">
        <f>IFERROR(VLOOKUP(A211,BASE_558!D:R,13,FALSE)/1000,"")</f>
        <v>337.03510999999997</v>
      </c>
      <c r="FH211" s="328">
        <f>IFERROR(VLOOKUP(A211,BASE_558!D:R,15,FALSE)/1000,"")</f>
        <v>128.08147</v>
      </c>
      <c r="FI211" s="547">
        <f t="shared" si="138"/>
        <v>0</v>
      </c>
      <c r="FJ211" s="547">
        <f t="shared" si="139"/>
        <v>0</v>
      </c>
      <c r="FK211" s="540">
        <f t="shared" si="140"/>
        <v>0</v>
      </c>
    </row>
    <row r="212" spans="1:167" s="23" customFormat="1" ht="24" customHeight="1">
      <c r="A212" s="84" t="s">
        <v>720</v>
      </c>
      <c r="B212" s="404"/>
      <c r="C212" s="404" t="s">
        <v>602</v>
      </c>
      <c r="D212" s="338" t="s">
        <v>1874</v>
      </c>
      <c r="E212" s="378">
        <v>3631637</v>
      </c>
      <c r="F212" s="5"/>
      <c r="G212" s="310" t="s">
        <v>9</v>
      </c>
      <c r="H212" s="356"/>
      <c r="I212" s="356" t="s">
        <v>6</v>
      </c>
      <c r="J212" s="356">
        <v>2021</v>
      </c>
      <c r="K212" s="321">
        <v>44227</v>
      </c>
      <c r="L212" s="317">
        <v>44946</v>
      </c>
      <c r="M212" s="409"/>
      <c r="N212" s="317">
        <f t="shared" si="109"/>
        <v>45139</v>
      </c>
      <c r="O212" s="317">
        <f t="shared" si="110"/>
        <v>45504</v>
      </c>
      <c r="P212" s="418" t="str">
        <f t="shared" si="141"/>
        <v>CRTD</v>
      </c>
      <c r="Q212" s="418" t="str">
        <f t="shared" si="141"/>
        <v>CRTD</v>
      </c>
      <c r="R212" s="418" t="str">
        <f t="shared" si="141"/>
        <v>CRTD</v>
      </c>
      <c r="S212" s="418" t="str">
        <f t="shared" si="141"/>
        <v>CRTD</v>
      </c>
      <c r="T212" s="418" t="str">
        <f t="shared" si="141"/>
        <v>CRTD</v>
      </c>
      <c r="U212" s="418" t="str">
        <f t="shared" si="141"/>
        <v>CRTD</v>
      </c>
      <c r="V212" s="418" t="str">
        <f t="shared" si="141"/>
        <v>CRTD</v>
      </c>
      <c r="W212" s="418" t="str">
        <f t="shared" si="141"/>
        <v>CRTD</v>
      </c>
      <c r="X212" s="418" t="str">
        <f t="shared" si="141"/>
        <v>CRTD</v>
      </c>
      <c r="Y212" s="418" t="str">
        <f t="shared" si="141"/>
        <v>CRTD</v>
      </c>
      <c r="Z212" s="418" t="str">
        <f t="shared" si="141"/>
        <v>CRTD</v>
      </c>
      <c r="AA212" s="418" t="str">
        <f t="shared" si="141"/>
        <v>CRTD</v>
      </c>
      <c r="AB212" s="350"/>
      <c r="AC212" s="309" t="s">
        <v>3931</v>
      </c>
      <c r="AD212" s="311" t="s">
        <v>223</v>
      </c>
      <c r="AE212" s="381" t="s">
        <v>2844</v>
      </c>
      <c r="AF212" s="310" t="s">
        <v>6985</v>
      </c>
      <c r="AG212" s="310" t="s">
        <v>9083</v>
      </c>
      <c r="AH212" s="310" t="s">
        <v>722</v>
      </c>
      <c r="AI212" s="309" t="s">
        <v>188</v>
      </c>
      <c r="AJ212" s="6" t="s">
        <v>218</v>
      </c>
      <c r="AK212" s="6" t="str">
        <f t="shared" si="118"/>
        <v>IGUAL</v>
      </c>
      <c r="AL212" s="151" t="str">
        <f>IFERROR(IF(LEFT(A212,3)="LCP",VLOOKUP(A212,STATUS_SAP_LCP!B:C,2,FALSE),VLOOKUP(A212,STATUS_SAP_ICP!B:C,2,FALSE)),"NO BUDGET")</f>
        <v>CLSD BUDG AUC  AVAC  //  APPR BREL EXPL</v>
      </c>
      <c r="AM212" s="6" t="str">
        <f t="shared" si="116"/>
        <v>CLSD</v>
      </c>
      <c r="AN212" s="282" t="s">
        <v>9096</v>
      </c>
      <c r="AO212" s="493">
        <v>1</v>
      </c>
      <c r="AP212" s="499" t="s">
        <v>9607</v>
      </c>
      <c r="AQ212" s="465">
        <v>44946</v>
      </c>
      <c r="AR212" s="460"/>
      <c r="AS212" s="57"/>
      <c r="AT212" s="185"/>
      <c r="AU212" s="318">
        <v>579.03324000000009</v>
      </c>
      <c r="AV212" s="223">
        <v>8.560550000000001</v>
      </c>
      <c r="AW212" s="318">
        <v>0</v>
      </c>
      <c r="AX212" s="223">
        <v>0</v>
      </c>
      <c r="AY212" s="318">
        <f t="shared" si="111"/>
        <v>0</v>
      </c>
      <c r="AZ212" s="223"/>
      <c r="BA212" s="318"/>
      <c r="BB212" s="519">
        <f t="shared" si="112"/>
        <v>0</v>
      </c>
      <c r="BC212" s="518"/>
      <c r="BD212" s="518"/>
      <c r="BE212" s="518"/>
      <c r="BF212" s="518"/>
      <c r="BG212" s="518"/>
      <c r="BH212" s="518"/>
      <c r="BI212" s="518"/>
      <c r="BJ212" s="518"/>
      <c r="BK212" s="518"/>
      <c r="BL212" s="518"/>
      <c r="BM212" s="518"/>
      <c r="BN212" s="518"/>
      <c r="BO212" s="367">
        <f t="shared" si="119"/>
        <v>0</v>
      </c>
      <c r="BP212" s="421"/>
      <c r="BQ212" s="422"/>
      <c r="BR212" s="423">
        <f>IFERROR(IF(LEFT($A212,3)="Lcp",SUMIFS('BASE-LCP'!$K:$K,'BASE-LCP'!$A:$A,Capex!$A207,'BASE-LCP'!$B:$B,"janeiro")/1000,IF(LEFT($A212,3)="icp",SUMIFS('BASE-ICP'!$K:$K,'BASE-ICP'!$A:$A,Capex!$A207,'BASE-ICP'!$B:$B,"janeiro")/1000,"")),"")</f>
        <v>0</v>
      </c>
      <c r="BS212" s="427">
        <v>0</v>
      </c>
      <c r="BT212" s="372">
        <v>0</v>
      </c>
      <c r="BU212" s="422"/>
      <c r="BV212" s="423">
        <f>IFERROR(IF(LEFT($A212,3)="Lcp",SUMIFS('BASE-LCP'!$K:$K,'BASE-LCP'!$A:$A,Capex!$A207,'BASE-LCP'!$B:$B,"fevereiro")/1000,IF(LEFT($A212,3)="icp",SUMIFS('BASE-ICP'!$K:$K,'BASE-ICP'!$A:$A,Capex!$A207,'BASE-ICP'!$B:$B,"fevereiro")/1000,"")),"")</f>
        <v>0</v>
      </c>
      <c r="BW212" s="427">
        <v>0</v>
      </c>
      <c r="BX212" s="372">
        <v>0</v>
      </c>
      <c r="BY212" s="419"/>
      <c r="BZ212" s="423">
        <f>IFERROR(IF(LEFT($A212,3)="Lcp",SUMIFS('BASE-LCP'!$K:$K,'BASE-LCP'!$A:$A,Capex!$A207,'BASE-LCP'!$B:$B,"março")/1000,IF(LEFT($A212,3)="icp",SUMIFS('BASE-ICP'!$K:$K,'BASE-ICP'!$A:$A,Capex!$A207,'BASE-ICP'!$B:$B,"março")/1000,"")),"")</f>
        <v>0</v>
      </c>
      <c r="CA212" s="427">
        <v>0</v>
      </c>
      <c r="CB212" s="372">
        <v>0</v>
      </c>
      <c r="CC212" s="422"/>
      <c r="CD212" s="423">
        <f>IFERROR(IF(LEFT($A212,3)="Lcp",SUMIFS('BASE-LCP'!$K:$K,'BASE-LCP'!$A:$A,Capex!$A207,'BASE-LCP'!$B:$B,"abril")/1000,IF(LEFT($A212,3)="icp",SUMIFS('BASE-ICP'!$K:$K,'BASE-ICP'!$A:$A,Capex!$A207,'BASE-ICP'!$B:$B,"abril")/1000,"")),"")</f>
        <v>0</v>
      </c>
      <c r="CE212" s="427">
        <v>0</v>
      </c>
      <c r="CF212" s="372">
        <v>0</v>
      </c>
      <c r="CG212" s="419"/>
      <c r="CH212" s="423">
        <v>0</v>
      </c>
      <c r="CI212" s="427">
        <v>0</v>
      </c>
      <c r="CJ212" s="372">
        <v>0</v>
      </c>
      <c r="CK212" s="419"/>
      <c r="CL212" s="423">
        <f>IFERROR(IF(LEFT($A212,3)="Lcp",SUMIFS('BASE-LCP'!$K:$K,'BASE-LCP'!$A:$A,Capex!$A207,'BASE-LCP'!$B:$B,"junho")/1000,IF(LEFT($A212,3)="icp",SUMIFS('BASE-ICP'!$K:$K,'BASE-ICP'!$A:$A,Capex!$A207,'BASE-ICP'!$B:$B,"junho")/1000,"")),"")</f>
        <v>0</v>
      </c>
      <c r="CM212" s="427">
        <v>0</v>
      </c>
      <c r="CN212" s="372"/>
      <c r="CO212" s="419"/>
      <c r="CP212" s="423">
        <f>IFERROR(IF(LEFT($A212,3)="Lcp",SUMIFS('BASE-LCP'!$K:$K,'BASE-LCP'!$A:$A,Capex!$A207,'BASE-LCP'!$B:$B,"julho")/1000,IF(LEFT($A212,3)="icp",SUMIFS('BASE-ICP'!$K:$K,'BASE-ICP'!$A:$A,Capex!$A207,'BASE-ICP'!$B:$B,"julho")/1000,"")),"")</f>
        <v>0</v>
      </c>
      <c r="CQ212" s="427">
        <v>0</v>
      </c>
      <c r="CR212" s="372"/>
      <c r="CS212" s="419"/>
      <c r="CT212" s="423">
        <f>IFERROR(IF(LEFT($A212,3)="Lcp",SUMIFS('BASE-LCP'!$K:$K,'BASE-LCP'!$A:$A,Capex!$A207,'BASE-LCP'!$B:$B,"agosto")/1000,IF(LEFT($A212,3)="icp",SUMIFS('BASE-ICP'!$K:$K,'BASE-ICP'!$A:$A,Capex!$A207,'BASE-ICP'!$B:$B,"agosto")/1000,"")),"")</f>
        <v>0</v>
      </c>
      <c r="CU212" s="427">
        <v>0</v>
      </c>
      <c r="CV212" s="372"/>
      <c r="CW212" s="419"/>
      <c r="CX212" s="423">
        <f>IFERROR(IF(LEFT($A212,3)="Lcp",SUMIFS('BASE-LCP'!$K:$K,'BASE-LCP'!$A:$A,Capex!$A207,'BASE-LCP'!$B:$B,"setembro")/1000,IF(LEFT($A212,3)="icp",SUMIFS('BASE-ICP'!$K:$K,'BASE-ICP'!$A:$A,Capex!$A207,'BASE-ICP'!$B:$B,"setembro")/1000,"")),"")</f>
        <v>0</v>
      </c>
      <c r="CY212" s="427">
        <v>0</v>
      </c>
      <c r="CZ212" s="372"/>
      <c r="DA212" s="419"/>
      <c r="DB212" s="423">
        <f>IFERROR(IF(LEFT($A212,3)="Lcp",SUMIFS('BASE-LCP'!$K:$K,'BASE-LCP'!$A:$A,Capex!$A207,'BASE-LCP'!$B:$B,"outubro")/1000,IF(LEFT($A212,3)="icp",SUMIFS('BASE-ICP'!$K:$K,'BASE-ICP'!$A:$A,Capex!$A207,'BASE-ICP'!$B:$B,"outubro")/1000,"")),"")</f>
        <v>0</v>
      </c>
      <c r="DC212" s="427">
        <v>0</v>
      </c>
      <c r="DD212" s="372"/>
      <c r="DE212" s="419"/>
      <c r="DF212" s="423">
        <f>IFERROR(IF(LEFT($A212,3)="Lcp",SUMIFS('BASE-LCP'!$K:$K,'BASE-LCP'!$A:$A,Capex!$A207,'BASE-LCP'!$B:$B,"novembro")/1000,IF(LEFT($A212,3)="icp",SUMIFS('BASE-ICP'!$K:$K,'BASE-ICP'!$A:$A,Capex!$A207,'BASE-ICP'!$B:$B,"novembro")/1000,"")),"")</f>
        <v>0</v>
      </c>
      <c r="DG212" s="427">
        <v>0</v>
      </c>
      <c r="DH212" s="372"/>
      <c r="DI212" s="419"/>
      <c r="DJ212" s="423">
        <f>IFERROR(IF(LEFT($A212,3)="Lcp",SUMIFS('BASE-LCP'!$K:$K,'BASE-LCP'!$A:$A,Capex!$A207,'BASE-LCP'!$B:$B,"dezembro")/1000,IF(LEFT($A212,3)="icp",SUMIFS('BASE-ICP'!$K:$K,'BASE-ICP'!$A:$A,Capex!$A207,'BASE-ICP'!$B:$B,"dezembro")/1000,"")),"")</f>
        <v>0</v>
      </c>
      <c r="DK212" s="427">
        <v>0</v>
      </c>
      <c r="DL212" s="452">
        <f t="shared" si="120"/>
        <v>0</v>
      </c>
      <c r="DM212" s="374"/>
      <c r="DN212" s="374"/>
      <c r="DO212" s="374"/>
      <c r="DP212" s="374"/>
      <c r="DQ212" s="374"/>
      <c r="DR212" s="374"/>
      <c r="DS212" s="374"/>
      <c r="DT212" s="374"/>
      <c r="DU212" s="374"/>
      <c r="DV212" s="374"/>
      <c r="DW212" s="374"/>
      <c r="DX212" s="374"/>
      <c r="DY212" s="450"/>
      <c r="DZ212" s="374">
        <f t="shared" si="121"/>
        <v>0</v>
      </c>
      <c r="EA212" s="216">
        <f t="shared" si="122"/>
        <v>0</v>
      </c>
      <c r="EB212" s="320">
        <f t="shared" si="123"/>
        <v>0</v>
      </c>
      <c r="EC212" s="241">
        <f t="shared" si="124"/>
        <v>0</v>
      </c>
      <c r="ED212" s="241">
        <f t="shared" si="125"/>
        <v>0</v>
      </c>
      <c r="EE212" s="241">
        <f t="shared" si="126"/>
        <v>0</v>
      </c>
      <c r="EF212" s="241">
        <f t="shared" si="127"/>
        <v>0</v>
      </c>
      <c r="EG212" s="346">
        <f t="shared" si="128"/>
        <v>0</v>
      </c>
      <c r="EH212" s="445">
        <f t="shared" si="129"/>
        <v>0</v>
      </c>
      <c r="EI212" s="447">
        <f t="shared" si="130"/>
        <v>0</v>
      </c>
      <c r="EJ212" s="364">
        <f t="shared" si="131"/>
        <v>0</v>
      </c>
      <c r="EK212" s="365">
        <f t="shared" si="132"/>
        <v>0</v>
      </c>
      <c r="EL212" s="529">
        <f t="shared" si="133"/>
        <v>0</v>
      </c>
      <c r="EM212" s="530">
        <v>0</v>
      </c>
      <c r="EN212" s="530">
        <v>0</v>
      </c>
      <c r="EO212" s="530">
        <v>0</v>
      </c>
      <c r="EP212" s="530">
        <v>0</v>
      </c>
      <c r="EQ212" s="530">
        <v>0</v>
      </c>
      <c r="ER212" s="530">
        <v>0</v>
      </c>
      <c r="ES212" s="530">
        <v>0</v>
      </c>
      <c r="ET212" s="530">
        <v>0</v>
      </c>
      <c r="EU212" s="530">
        <v>0</v>
      </c>
      <c r="EV212" s="530">
        <v>0</v>
      </c>
      <c r="EW212" s="530">
        <v>0</v>
      </c>
      <c r="EX212" s="530">
        <v>0</v>
      </c>
      <c r="EY212" s="530">
        <f t="shared" si="134"/>
        <v>0</v>
      </c>
      <c r="EZ212" s="530">
        <f t="shared" si="135"/>
        <v>0</v>
      </c>
      <c r="FA212" s="530">
        <f t="shared" si="136"/>
        <v>0</v>
      </c>
      <c r="FB212" s="530">
        <f t="shared" si="137"/>
        <v>0</v>
      </c>
      <c r="FC212" s="384">
        <f>IFERROR(VLOOKUP(Capex!A207,BASE_558!D:R,8,FALSE)/1000,"")</f>
        <v>156.626</v>
      </c>
      <c r="FD212" s="328">
        <f>IFERROR(VLOOKUP(Capex!A207,BASE_558!D:R,9,)/1000,"")</f>
        <v>113.53494999999999</v>
      </c>
      <c r="FE212" s="328">
        <f>IFERROR(IF(LEFT(A212,3)="LCP",(VLOOKUP(Capex!A207,BASE_558!D:R,10,)/1000),SUMIFS('BASE ICP_PO_SC'!F:F,'BASE ICP_PO_SC'!A:A,Capex!A207,'BASE ICP_PO_SC'!E:E,"&lt;&gt;")/1000),"")</f>
        <v>0</v>
      </c>
      <c r="FF212" s="328">
        <f>IFERROR(IF(LEFT(A212,3)="LCP",(VLOOKUP(Capex!A207,BASE_558!D:R,11,)/1000),SUMIFS('BASE ICP_PO_SC'!F:F,'BASE ICP_PO_SC'!A:A,Capex!A207,'BASE ICP_PO_SC'!E:E,"")/1000),"")</f>
        <v>0</v>
      </c>
      <c r="FG212" s="328">
        <f>IFERROR(VLOOKUP(A212,BASE_558!D:R,13,FALSE)/1000,"")</f>
        <v>587.59379000000001</v>
      </c>
      <c r="FH212" s="328">
        <f>IFERROR(VLOOKUP(A212,BASE_558!D:R,15,FALSE)/1000,"")</f>
        <v>184.94020999999998</v>
      </c>
      <c r="FI212" s="547">
        <f t="shared" si="138"/>
        <v>0</v>
      </c>
      <c r="FJ212" s="547">
        <f t="shared" si="139"/>
        <v>0</v>
      </c>
      <c r="FK212" s="540">
        <f t="shared" si="140"/>
        <v>0</v>
      </c>
    </row>
    <row r="213" spans="1:167" s="23" customFormat="1" ht="24" customHeight="1">
      <c r="A213" s="84" t="s">
        <v>749</v>
      </c>
      <c r="B213" s="404" t="s">
        <v>811</v>
      </c>
      <c r="C213" s="404">
        <v>973</v>
      </c>
      <c r="D213" s="338" t="s">
        <v>1879</v>
      </c>
      <c r="E213" s="378">
        <v>3675973</v>
      </c>
      <c r="F213" s="5"/>
      <c r="G213" s="310" t="s">
        <v>9</v>
      </c>
      <c r="H213" s="338"/>
      <c r="I213" s="356"/>
      <c r="J213" s="356">
        <v>2021</v>
      </c>
      <c r="K213" s="321">
        <v>44266</v>
      </c>
      <c r="L213" s="317">
        <v>44789</v>
      </c>
      <c r="M213" s="409"/>
      <c r="N213" s="317">
        <f t="shared" si="109"/>
        <v>45178</v>
      </c>
      <c r="O213" s="317">
        <f t="shared" si="110"/>
        <v>45543</v>
      </c>
      <c r="P213" s="418" t="str">
        <f t="shared" si="141"/>
        <v>CRTD</v>
      </c>
      <c r="Q213" s="418" t="str">
        <f t="shared" si="141"/>
        <v>CRTD</v>
      </c>
      <c r="R213" s="418" t="str">
        <f t="shared" si="141"/>
        <v>CRTD</v>
      </c>
      <c r="S213" s="418" t="str">
        <f t="shared" si="141"/>
        <v>CRTD</v>
      </c>
      <c r="T213" s="418" t="str">
        <f t="shared" si="141"/>
        <v>CRTD</v>
      </c>
      <c r="U213" s="418" t="str">
        <f t="shared" si="141"/>
        <v>CRTD</v>
      </c>
      <c r="V213" s="418" t="str">
        <f t="shared" si="141"/>
        <v>CRTD</v>
      </c>
      <c r="W213" s="418" t="str">
        <f t="shared" si="141"/>
        <v>CRTD</v>
      </c>
      <c r="X213" s="418" t="str">
        <f t="shared" si="141"/>
        <v>CRTD</v>
      </c>
      <c r="Y213" s="418" t="str">
        <f t="shared" si="141"/>
        <v>CRTD</v>
      </c>
      <c r="Z213" s="418" t="str">
        <f t="shared" si="141"/>
        <v>CRTD</v>
      </c>
      <c r="AA213" s="418" t="str">
        <f t="shared" si="141"/>
        <v>CRTD</v>
      </c>
      <c r="AB213" s="350"/>
      <c r="AC213" s="309" t="s">
        <v>3932</v>
      </c>
      <c r="AD213" s="311" t="s">
        <v>224</v>
      </c>
      <c r="AE213" s="381" t="s">
        <v>965</v>
      </c>
      <c r="AF213" s="310" t="s">
        <v>6985</v>
      </c>
      <c r="AG213" s="310" t="s">
        <v>9083</v>
      </c>
      <c r="AH213" s="310" t="s">
        <v>3254</v>
      </c>
      <c r="AI213" s="309" t="s">
        <v>2255</v>
      </c>
      <c r="AJ213" s="6" t="s">
        <v>218</v>
      </c>
      <c r="AK213" s="6" t="str">
        <f t="shared" si="118"/>
        <v>IGUAL</v>
      </c>
      <c r="AL213" s="151" t="str">
        <f>IFERROR(IF(LEFT(A213,3)="LCP",VLOOKUP(A213,STATUS_SAP_LCP!B:C,2,FALSE),VLOOKUP(A213,STATUS_SAP_ICP!B:C,2,FALSE)),"NO BUDGET")</f>
        <v>CLSD BUDG AUC  AVAC  //  APPR BREL EXPL</v>
      </c>
      <c r="AM213" s="6" t="str">
        <f t="shared" si="116"/>
        <v>CLSD</v>
      </c>
      <c r="AN213" s="282" t="s">
        <v>9084</v>
      </c>
      <c r="AO213" s="558">
        <v>1</v>
      </c>
      <c r="AP213" s="499" t="s">
        <v>9607</v>
      </c>
      <c r="AQ213" s="465">
        <v>44789</v>
      </c>
      <c r="AR213" s="460"/>
      <c r="AS213" s="57"/>
      <c r="AT213" s="185"/>
      <c r="AU213" s="318">
        <v>202.87671000000003</v>
      </c>
      <c r="AV213" s="223">
        <v>1.69201</v>
      </c>
      <c r="AW213" s="318">
        <v>0</v>
      </c>
      <c r="AX213" s="223">
        <v>0</v>
      </c>
      <c r="AY213" s="318">
        <f t="shared" si="111"/>
        <v>0</v>
      </c>
      <c r="AZ213" s="223"/>
      <c r="BA213" s="318"/>
      <c r="BB213" s="519">
        <f t="shared" si="112"/>
        <v>0</v>
      </c>
      <c r="BC213" s="518"/>
      <c r="BD213" s="518"/>
      <c r="BE213" s="518"/>
      <c r="BF213" s="518"/>
      <c r="BG213" s="518"/>
      <c r="BH213" s="518"/>
      <c r="BI213" s="518"/>
      <c r="BJ213" s="518"/>
      <c r="BK213" s="518"/>
      <c r="BL213" s="518"/>
      <c r="BM213" s="518"/>
      <c r="BN213" s="518"/>
      <c r="BO213" s="367">
        <f t="shared" si="119"/>
        <v>0</v>
      </c>
      <c r="BP213" s="421"/>
      <c r="BQ213" s="422"/>
      <c r="BR213" s="423">
        <f>IFERROR(IF(LEFT($A213,3)="Lcp",SUMIFS('BASE-LCP'!$K:$K,'BASE-LCP'!$A:$A,Capex!$A208,'BASE-LCP'!$B:$B,"janeiro")/1000,IF(LEFT($A213,3)="icp",SUMIFS('BASE-ICP'!$K:$K,'BASE-ICP'!$A:$A,Capex!$A208,'BASE-ICP'!$B:$B,"janeiro")/1000,"")),"")</f>
        <v>0</v>
      </c>
      <c r="BS213" s="427">
        <v>0</v>
      </c>
      <c r="BT213" s="372">
        <v>0</v>
      </c>
      <c r="BU213" s="422"/>
      <c r="BV213" s="423">
        <f>IFERROR(IF(LEFT($A213,3)="Lcp",SUMIFS('BASE-LCP'!$K:$K,'BASE-LCP'!$A:$A,Capex!$A208,'BASE-LCP'!$B:$B,"fevereiro")/1000,IF(LEFT($A213,3)="icp",SUMIFS('BASE-ICP'!$K:$K,'BASE-ICP'!$A:$A,Capex!$A208,'BASE-ICP'!$B:$B,"fevereiro")/1000,"")),"")</f>
        <v>0</v>
      </c>
      <c r="BW213" s="427">
        <v>0</v>
      </c>
      <c r="BX213" s="372">
        <v>0</v>
      </c>
      <c r="BY213" s="419"/>
      <c r="BZ213" s="423">
        <f>IFERROR(IF(LEFT($A213,3)="Lcp",SUMIFS('BASE-LCP'!$K:$K,'BASE-LCP'!$A:$A,Capex!$A208,'BASE-LCP'!$B:$B,"março")/1000,IF(LEFT($A213,3)="icp",SUMIFS('BASE-ICP'!$K:$K,'BASE-ICP'!$A:$A,Capex!$A208,'BASE-ICP'!$B:$B,"março")/1000,"")),"")</f>
        <v>0</v>
      </c>
      <c r="CA213" s="427">
        <v>0</v>
      </c>
      <c r="CB213" s="372">
        <v>0</v>
      </c>
      <c r="CC213" s="422"/>
      <c r="CD213" s="423">
        <f>IFERROR(IF(LEFT($A213,3)="Lcp",SUMIFS('BASE-LCP'!$K:$K,'BASE-LCP'!$A:$A,Capex!$A208,'BASE-LCP'!$B:$B,"abril")/1000,IF(LEFT($A213,3)="icp",SUMIFS('BASE-ICP'!$K:$K,'BASE-ICP'!$A:$A,Capex!$A208,'BASE-ICP'!$B:$B,"abril")/1000,"")),"")</f>
        <v>0</v>
      </c>
      <c r="CE213" s="427">
        <v>0</v>
      </c>
      <c r="CF213" s="372">
        <v>0</v>
      </c>
      <c r="CG213" s="419"/>
      <c r="CH213" s="423">
        <v>0</v>
      </c>
      <c r="CI213" s="427">
        <v>0</v>
      </c>
      <c r="CJ213" s="372">
        <v>0</v>
      </c>
      <c r="CK213" s="419"/>
      <c r="CL213" s="423">
        <f>IFERROR(IF(LEFT($A213,3)="Lcp",SUMIFS('BASE-LCP'!$K:$K,'BASE-LCP'!$A:$A,Capex!$A208,'BASE-LCP'!$B:$B,"junho")/1000,IF(LEFT($A213,3)="icp",SUMIFS('BASE-ICP'!$K:$K,'BASE-ICP'!$A:$A,Capex!$A208,'BASE-ICP'!$B:$B,"junho")/1000,"")),"")</f>
        <v>0</v>
      </c>
      <c r="CM213" s="427">
        <v>0</v>
      </c>
      <c r="CN213" s="372"/>
      <c r="CO213" s="419"/>
      <c r="CP213" s="423">
        <f>IFERROR(IF(LEFT($A213,3)="Lcp",SUMIFS('BASE-LCP'!$K:$K,'BASE-LCP'!$A:$A,Capex!$A208,'BASE-LCP'!$B:$B,"julho")/1000,IF(LEFT($A213,3)="icp",SUMIFS('BASE-ICP'!$K:$K,'BASE-ICP'!$A:$A,Capex!$A208,'BASE-ICP'!$B:$B,"julho")/1000,"")),"")</f>
        <v>0</v>
      </c>
      <c r="CQ213" s="427">
        <v>0</v>
      </c>
      <c r="CR213" s="372"/>
      <c r="CS213" s="419"/>
      <c r="CT213" s="423">
        <f>IFERROR(IF(LEFT($A213,3)="Lcp",SUMIFS('BASE-LCP'!$K:$K,'BASE-LCP'!$A:$A,Capex!$A208,'BASE-LCP'!$B:$B,"agosto")/1000,IF(LEFT($A213,3)="icp",SUMIFS('BASE-ICP'!$K:$K,'BASE-ICP'!$A:$A,Capex!$A208,'BASE-ICP'!$B:$B,"agosto")/1000,"")),"")</f>
        <v>0</v>
      </c>
      <c r="CU213" s="427">
        <v>0</v>
      </c>
      <c r="CV213" s="372"/>
      <c r="CW213" s="419"/>
      <c r="CX213" s="423">
        <f>IFERROR(IF(LEFT($A213,3)="Lcp",SUMIFS('BASE-LCP'!$K:$K,'BASE-LCP'!$A:$A,Capex!$A208,'BASE-LCP'!$B:$B,"setembro")/1000,IF(LEFT($A213,3)="icp",SUMIFS('BASE-ICP'!$K:$K,'BASE-ICP'!$A:$A,Capex!$A208,'BASE-ICP'!$B:$B,"setembro")/1000,"")),"")</f>
        <v>0</v>
      </c>
      <c r="CY213" s="427">
        <v>0</v>
      </c>
      <c r="CZ213" s="372"/>
      <c r="DA213" s="419"/>
      <c r="DB213" s="423">
        <f>IFERROR(IF(LEFT($A213,3)="Lcp",SUMIFS('BASE-LCP'!$K:$K,'BASE-LCP'!$A:$A,Capex!$A208,'BASE-LCP'!$B:$B,"outubro")/1000,IF(LEFT($A213,3)="icp",SUMIFS('BASE-ICP'!$K:$K,'BASE-ICP'!$A:$A,Capex!$A208,'BASE-ICP'!$B:$B,"outubro")/1000,"")),"")</f>
        <v>0</v>
      </c>
      <c r="DC213" s="427">
        <v>0</v>
      </c>
      <c r="DD213" s="372"/>
      <c r="DE213" s="419"/>
      <c r="DF213" s="423">
        <f>IFERROR(IF(LEFT($A213,3)="Lcp",SUMIFS('BASE-LCP'!$K:$K,'BASE-LCP'!$A:$A,Capex!$A208,'BASE-LCP'!$B:$B,"novembro")/1000,IF(LEFT($A213,3)="icp",SUMIFS('BASE-ICP'!$K:$K,'BASE-ICP'!$A:$A,Capex!$A208,'BASE-ICP'!$B:$B,"novembro")/1000,"")),"")</f>
        <v>0</v>
      </c>
      <c r="DG213" s="427">
        <v>0</v>
      </c>
      <c r="DH213" s="372"/>
      <c r="DI213" s="419"/>
      <c r="DJ213" s="423">
        <f>IFERROR(IF(LEFT($A213,3)="Lcp",SUMIFS('BASE-LCP'!$K:$K,'BASE-LCP'!$A:$A,Capex!$A208,'BASE-LCP'!$B:$B,"dezembro")/1000,IF(LEFT($A213,3)="icp",SUMIFS('BASE-ICP'!$K:$K,'BASE-ICP'!$A:$A,Capex!$A208,'BASE-ICP'!$B:$B,"dezembro")/1000,"")),"")</f>
        <v>0</v>
      </c>
      <c r="DK213" s="427">
        <v>0</v>
      </c>
      <c r="DL213" s="452">
        <f t="shared" si="120"/>
        <v>0</v>
      </c>
      <c r="DM213" s="374"/>
      <c r="DN213" s="374"/>
      <c r="DO213" s="374"/>
      <c r="DP213" s="374"/>
      <c r="DQ213" s="374"/>
      <c r="DR213" s="374"/>
      <c r="DS213" s="374"/>
      <c r="DT213" s="374"/>
      <c r="DU213" s="374"/>
      <c r="DV213" s="374"/>
      <c r="DW213" s="374"/>
      <c r="DX213" s="374"/>
      <c r="DY213" s="450"/>
      <c r="DZ213" s="374">
        <f t="shared" si="121"/>
        <v>0</v>
      </c>
      <c r="EA213" s="216">
        <f t="shared" si="122"/>
        <v>0</v>
      </c>
      <c r="EB213" s="320">
        <f t="shared" si="123"/>
        <v>0</v>
      </c>
      <c r="EC213" s="241">
        <f t="shared" si="124"/>
        <v>0</v>
      </c>
      <c r="ED213" s="241">
        <f t="shared" si="125"/>
        <v>0</v>
      </c>
      <c r="EE213" s="241">
        <f t="shared" si="126"/>
        <v>0</v>
      </c>
      <c r="EF213" s="241">
        <f t="shared" si="127"/>
        <v>0</v>
      </c>
      <c r="EG213" s="346">
        <f t="shared" si="128"/>
        <v>0</v>
      </c>
      <c r="EH213" s="445">
        <f t="shared" si="129"/>
        <v>0</v>
      </c>
      <c r="EI213" s="447">
        <f t="shared" si="130"/>
        <v>0</v>
      </c>
      <c r="EJ213" s="364">
        <f t="shared" si="131"/>
        <v>0</v>
      </c>
      <c r="EK213" s="365">
        <f t="shared" si="132"/>
        <v>0</v>
      </c>
      <c r="EL213" s="529">
        <f t="shared" si="133"/>
        <v>0</v>
      </c>
      <c r="EM213" s="530">
        <v>0</v>
      </c>
      <c r="EN213" s="530">
        <v>0</v>
      </c>
      <c r="EO213" s="530">
        <v>0</v>
      </c>
      <c r="EP213" s="530">
        <v>0</v>
      </c>
      <c r="EQ213" s="530">
        <v>0</v>
      </c>
      <c r="ER213" s="530">
        <v>0</v>
      </c>
      <c r="ES213" s="530">
        <v>0</v>
      </c>
      <c r="ET213" s="530">
        <v>0</v>
      </c>
      <c r="EU213" s="530">
        <v>0</v>
      </c>
      <c r="EV213" s="530">
        <v>0</v>
      </c>
      <c r="EW213" s="530">
        <v>0</v>
      </c>
      <c r="EX213" s="530">
        <v>0</v>
      </c>
      <c r="EY213" s="530">
        <f t="shared" si="134"/>
        <v>0</v>
      </c>
      <c r="EZ213" s="530">
        <f t="shared" si="135"/>
        <v>0</v>
      </c>
      <c r="FA213" s="530">
        <f t="shared" si="136"/>
        <v>0</v>
      </c>
      <c r="FB213" s="530">
        <f t="shared" si="137"/>
        <v>0</v>
      </c>
      <c r="FC213" s="384">
        <f>IFERROR(VLOOKUP(Capex!A208,BASE_558!D:R,8,FALSE)/1000,"")</f>
        <v>142.84979999999999</v>
      </c>
      <c r="FD213" s="328">
        <f>IFERROR(VLOOKUP(Capex!A208,BASE_558!D:R,9,)/1000,"")</f>
        <v>149.15191000000002</v>
      </c>
      <c r="FE213" s="328">
        <f>IFERROR(IF(LEFT(A213,3)="LCP",(VLOOKUP(Capex!A208,BASE_558!D:R,10,)/1000),SUMIFS('BASE ICP_PO_SC'!F:F,'BASE ICP_PO_SC'!A:A,Capex!A208,'BASE ICP_PO_SC'!E:E,"&lt;&gt;")/1000),"")</f>
        <v>0</v>
      </c>
      <c r="FF213" s="328">
        <f>IFERROR(IF(LEFT(A213,3)="LCP",(VLOOKUP(Capex!A208,BASE_558!D:R,11,)/1000),SUMIFS('BASE ICP_PO_SC'!F:F,'BASE ICP_PO_SC'!A:A,Capex!A208,'BASE ICP_PO_SC'!E:E,"")/1000),"")</f>
        <v>0</v>
      </c>
      <c r="FG213" s="328">
        <f>IFERROR(VLOOKUP(A213,BASE_558!D:R,13,FALSE)/1000,"")</f>
        <v>204.56872000000001</v>
      </c>
      <c r="FH213" s="328">
        <f>IFERROR(VLOOKUP(A213,BASE_558!D:R,15,FALSE)/1000,"")</f>
        <v>36.631279999999997</v>
      </c>
      <c r="FI213" s="547">
        <f t="shared" si="138"/>
        <v>0</v>
      </c>
      <c r="FJ213" s="547">
        <f t="shared" si="139"/>
        <v>0</v>
      </c>
      <c r="FK213" s="540">
        <f t="shared" si="140"/>
        <v>0</v>
      </c>
    </row>
    <row r="214" spans="1:167" s="23" customFormat="1" ht="24.75" customHeight="1">
      <c r="A214" s="84" t="s">
        <v>752</v>
      </c>
      <c r="B214" s="404"/>
      <c r="C214" s="404">
        <v>1599</v>
      </c>
      <c r="D214" s="338" t="s">
        <v>1884</v>
      </c>
      <c r="E214" s="378">
        <v>3781472</v>
      </c>
      <c r="F214" s="310"/>
      <c r="G214" s="310" t="s">
        <v>9</v>
      </c>
      <c r="H214" s="356" t="s">
        <v>6</v>
      </c>
      <c r="I214" s="356"/>
      <c r="J214" s="356">
        <v>2021</v>
      </c>
      <c r="K214" s="352">
        <v>44286</v>
      </c>
      <c r="L214" s="317"/>
      <c r="M214" s="409"/>
      <c r="N214" s="317">
        <f t="shared" si="109"/>
        <v>45198</v>
      </c>
      <c r="O214" s="317">
        <f t="shared" si="110"/>
        <v>45563</v>
      </c>
      <c r="P214" s="418" t="str">
        <f t="shared" si="141"/>
        <v>SIM</v>
      </c>
      <c r="Q214" s="418" t="str">
        <f t="shared" si="141"/>
        <v>SIM</v>
      </c>
      <c r="R214" s="418" t="str">
        <f t="shared" si="141"/>
        <v>SIM</v>
      </c>
      <c r="S214" s="418" t="str">
        <f t="shared" si="141"/>
        <v>SIM</v>
      </c>
      <c r="T214" s="418" t="str">
        <f t="shared" si="141"/>
        <v>SIM</v>
      </c>
      <c r="U214" s="418" t="str">
        <f t="shared" si="141"/>
        <v>SIM</v>
      </c>
      <c r="V214" s="418" t="str">
        <f t="shared" si="141"/>
        <v>SIM</v>
      </c>
      <c r="W214" s="418" t="str">
        <f t="shared" si="141"/>
        <v>SIM</v>
      </c>
      <c r="X214" s="418" t="str">
        <f t="shared" si="141"/>
        <v>SIM</v>
      </c>
      <c r="Y214" s="418" t="str">
        <f t="shared" si="141"/>
        <v>SIM</v>
      </c>
      <c r="Z214" s="418" t="str">
        <f t="shared" si="141"/>
        <v>SIM</v>
      </c>
      <c r="AA214" s="551" t="str">
        <f t="shared" si="141"/>
        <v>SIM</v>
      </c>
      <c r="AB214" s="317"/>
      <c r="AC214" s="309" t="s">
        <v>3932</v>
      </c>
      <c r="AD214" s="311" t="s">
        <v>224</v>
      </c>
      <c r="AE214" s="361" t="s">
        <v>979</v>
      </c>
      <c r="AF214" s="310" t="s">
        <v>6985</v>
      </c>
      <c r="AG214" s="310" t="s">
        <v>2259</v>
      </c>
      <c r="AH214" s="310" t="s">
        <v>737</v>
      </c>
      <c r="AI214" s="309" t="s">
        <v>186</v>
      </c>
      <c r="AJ214" s="6" t="s">
        <v>6786</v>
      </c>
      <c r="AK214" s="6" t="str">
        <f t="shared" si="118"/>
        <v>IGUAL</v>
      </c>
      <c r="AL214" s="151" t="str">
        <f>IFERROR(IF(LEFT(A214,3)="LCP",VLOOKUP(A214,STATUS_SAP_LCP!B:C,2,FALSE),VLOOKUP(A214,STATUS_SAP_ICP!B:C,2,FALSE)),"NO BUDGET")</f>
        <v>REL  BUDG AUC  AVAC  //  APPR BREL INPL</v>
      </c>
      <c r="AM214" s="6" t="str">
        <f t="shared" si="116"/>
        <v xml:space="preserve">REL </v>
      </c>
      <c r="AN214" s="543" t="s">
        <v>19957</v>
      </c>
      <c r="AO214" s="561"/>
      <c r="AP214" s="499" t="s">
        <v>5299</v>
      </c>
      <c r="AQ214" s="465">
        <v>45992</v>
      </c>
      <c r="AR214" s="460"/>
      <c r="AS214" s="57"/>
      <c r="AT214" s="185"/>
      <c r="AU214" s="318">
        <v>129.14052000000001</v>
      </c>
      <c r="AV214" s="223">
        <v>15.830690000000004</v>
      </c>
      <c r="AW214" s="318">
        <v>0</v>
      </c>
      <c r="AX214" s="223">
        <v>0</v>
      </c>
      <c r="AY214" s="318">
        <f t="shared" si="111"/>
        <v>66</v>
      </c>
      <c r="AZ214" s="223"/>
      <c r="BA214" s="318"/>
      <c r="BB214" s="519">
        <f t="shared" si="112"/>
        <v>66</v>
      </c>
      <c r="BC214" s="518">
        <v>0</v>
      </c>
      <c r="BD214" s="518">
        <v>0</v>
      </c>
      <c r="BE214" s="518">
        <v>0</v>
      </c>
      <c r="BF214" s="518">
        <v>0</v>
      </c>
      <c r="BG214" s="518">
        <v>0</v>
      </c>
      <c r="BH214" s="518">
        <v>0</v>
      </c>
      <c r="BI214" s="518">
        <v>0</v>
      </c>
      <c r="BJ214" s="518">
        <v>0</v>
      </c>
      <c r="BK214" s="518">
        <v>0</v>
      </c>
      <c r="BL214" s="518">
        <v>32</v>
      </c>
      <c r="BM214" s="518">
        <v>15</v>
      </c>
      <c r="BN214" s="518">
        <v>19</v>
      </c>
      <c r="BO214" s="367">
        <f t="shared" si="119"/>
        <v>66</v>
      </c>
      <c r="BP214" s="421">
        <v>0</v>
      </c>
      <c r="BQ214" s="422"/>
      <c r="BR214" s="423">
        <f>IFERROR(IF(LEFT($A214,3)="Lcp",SUMIFS('BASE-LCP'!$K:$K,'BASE-LCP'!$A:$A,Capex!$A209,'BASE-LCP'!$B:$B,"janeiro")/1000,IF(LEFT($A214,3)="icp",SUMIFS('BASE-ICP'!$K:$K,'BASE-ICP'!$A:$A,Capex!$A209,'BASE-ICP'!$B:$B,"janeiro")/1000,"")),"")</f>
        <v>0</v>
      </c>
      <c r="BS214" s="427">
        <v>0</v>
      </c>
      <c r="BT214" s="372">
        <v>0</v>
      </c>
      <c r="BU214" s="422"/>
      <c r="BV214" s="423">
        <f>IFERROR(IF(LEFT($A214,3)="Lcp",SUMIFS('BASE-LCP'!$K:$K,'BASE-LCP'!$A:$A,Capex!$A209,'BASE-LCP'!$B:$B,"fevereiro")/1000,IF(LEFT($A214,3)="icp",SUMIFS('BASE-ICP'!$K:$K,'BASE-ICP'!$A:$A,Capex!$A209,'BASE-ICP'!$B:$B,"fevereiro")/1000,"")),"")</f>
        <v>0</v>
      </c>
      <c r="BW214" s="427">
        <v>0</v>
      </c>
      <c r="BX214" s="372">
        <v>0</v>
      </c>
      <c r="BY214" s="419"/>
      <c r="BZ214" s="423">
        <f>IFERROR(IF(LEFT($A214,3)="Lcp",SUMIFS('BASE-LCP'!$K:$K,'BASE-LCP'!$A:$A,Capex!$A209,'BASE-LCP'!$B:$B,"março")/1000,IF(LEFT($A214,3)="icp",SUMIFS('BASE-ICP'!$K:$K,'BASE-ICP'!$A:$A,Capex!$A209,'BASE-ICP'!$B:$B,"março")/1000,"")),"")</f>
        <v>0</v>
      </c>
      <c r="CA214" s="427">
        <v>0</v>
      </c>
      <c r="CB214" s="372">
        <v>0</v>
      </c>
      <c r="CC214" s="422"/>
      <c r="CD214" s="423">
        <f>IFERROR(IF(LEFT($A214,3)="Lcp",SUMIFS('BASE-LCP'!$K:$K,'BASE-LCP'!$A:$A,Capex!$A209,'BASE-LCP'!$B:$B,"abril")/1000,IF(LEFT($A214,3)="icp",SUMIFS('BASE-ICP'!$K:$K,'BASE-ICP'!$A:$A,Capex!$A209,'BASE-ICP'!$B:$B,"abril")/1000,"")),"")</f>
        <v>0</v>
      </c>
      <c r="CE214" s="427">
        <v>0</v>
      </c>
      <c r="CF214" s="372">
        <v>0</v>
      </c>
      <c r="CG214" s="419"/>
      <c r="CH214" s="423">
        <v>0</v>
      </c>
      <c r="CI214" s="427">
        <v>0</v>
      </c>
      <c r="CJ214" s="372">
        <v>0</v>
      </c>
      <c r="CK214" s="419"/>
      <c r="CL214" s="423">
        <f>IFERROR(IF(LEFT($A214,3)="Lcp",SUMIFS('BASE-LCP'!$K:$K,'BASE-LCP'!$A:$A,Capex!$A209,'BASE-LCP'!$B:$B,"junho")/1000,IF(LEFT($A214,3)="icp",SUMIFS('BASE-ICP'!$K:$K,'BASE-ICP'!$A:$A,Capex!$A209,'BASE-ICP'!$B:$B,"junho")/1000,"")),"")</f>
        <v>0</v>
      </c>
      <c r="CM214" s="427">
        <v>0</v>
      </c>
      <c r="CN214" s="372"/>
      <c r="CO214" s="419"/>
      <c r="CP214" s="423">
        <f>IFERROR(IF(LEFT($A214,3)="Lcp",SUMIFS('BASE-LCP'!$K:$K,'BASE-LCP'!$A:$A,Capex!$A209,'BASE-LCP'!$B:$B,"julho")/1000,IF(LEFT($A214,3)="icp",SUMIFS('BASE-ICP'!$K:$K,'BASE-ICP'!$A:$A,Capex!$A209,'BASE-ICP'!$B:$B,"julho")/1000,"")),"")</f>
        <v>0</v>
      </c>
      <c r="CQ214" s="427">
        <v>0</v>
      </c>
      <c r="CR214" s="372"/>
      <c r="CS214" s="419"/>
      <c r="CT214" s="423">
        <f>IFERROR(IF(LEFT($A214,3)="Lcp",SUMIFS('BASE-LCP'!$K:$K,'BASE-LCP'!$A:$A,Capex!$A209,'BASE-LCP'!$B:$B,"agosto")/1000,IF(LEFT($A214,3)="icp",SUMIFS('BASE-ICP'!$K:$K,'BASE-ICP'!$A:$A,Capex!$A209,'BASE-ICP'!$B:$B,"agosto")/1000,"")),"")</f>
        <v>0</v>
      </c>
      <c r="CU214" s="427">
        <v>0</v>
      </c>
      <c r="CV214" s="372"/>
      <c r="CW214" s="419"/>
      <c r="CX214" s="423">
        <f>IFERROR(IF(LEFT($A214,3)="Lcp",SUMIFS('BASE-LCP'!$K:$K,'BASE-LCP'!$A:$A,Capex!$A209,'BASE-LCP'!$B:$B,"setembro")/1000,IF(LEFT($A214,3)="icp",SUMIFS('BASE-ICP'!$K:$K,'BASE-ICP'!$A:$A,Capex!$A209,'BASE-ICP'!$B:$B,"setembro")/1000,"")),"")</f>
        <v>0</v>
      </c>
      <c r="CY214" s="427">
        <v>0</v>
      </c>
      <c r="CZ214" s="372"/>
      <c r="DA214" s="419"/>
      <c r="DB214" s="423">
        <f>IFERROR(IF(LEFT($A214,3)="Lcp",SUMIFS('BASE-LCP'!$K:$K,'BASE-LCP'!$A:$A,Capex!$A209,'BASE-LCP'!$B:$B,"outubro")/1000,IF(LEFT($A214,3)="icp",SUMIFS('BASE-ICP'!$K:$K,'BASE-ICP'!$A:$A,Capex!$A209,'BASE-ICP'!$B:$B,"outubro")/1000,"")),"")</f>
        <v>0</v>
      </c>
      <c r="DC214" s="427">
        <v>32</v>
      </c>
      <c r="DD214" s="372"/>
      <c r="DE214" s="419"/>
      <c r="DF214" s="423">
        <f>IFERROR(IF(LEFT($A214,3)="Lcp",SUMIFS('BASE-LCP'!$K:$K,'BASE-LCP'!$A:$A,Capex!$A209,'BASE-LCP'!$B:$B,"novembro")/1000,IF(LEFT($A214,3)="icp",SUMIFS('BASE-ICP'!$K:$K,'BASE-ICP'!$A:$A,Capex!$A209,'BASE-ICP'!$B:$B,"novembro")/1000,"")),"")</f>
        <v>0</v>
      </c>
      <c r="DG214" s="427">
        <v>15</v>
      </c>
      <c r="DH214" s="372"/>
      <c r="DI214" s="419"/>
      <c r="DJ214" s="423">
        <f>IFERROR(IF(LEFT($A214,3)="Lcp",SUMIFS('BASE-LCP'!$K:$K,'BASE-LCP'!$A:$A,Capex!$A209,'BASE-LCP'!$B:$B,"dezembro")/1000,IF(LEFT($A214,3)="icp",SUMIFS('BASE-ICP'!$K:$K,'BASE-ICP'!$A:$A,Capex!$A209,'BASE-ICP'!$B:$B,"dezembro")/1000,"")),"")</f>
        <v>0</v>
      </c>
      <c r="DK214" s="427">
        <v>19</v>
      </c>
      <c r="DL214" s="452">
        <f t="shared" si="120"/>
        <v>0</v>
      </c>
      <c r="DM214" s="374"/>
      <c r="DN214" s="374">
        <v>0</v>
      </c>
      <c r="DO214" s="374"/>
      <c r="DP214" s="374"/>
      <c r="DQ214" s="374"/>
      <c r="DR214" s="374"/>
      <c r="DS214" s="374"/>
      <c r="DT214" s="374"/>
      <c r="DU214" s="374"/>
      <c r="DV214" s="374"/>
      <c r="DW214" s="374"/>
      <c r="DX214" s="374"/>
      <c r="DY214" s="450"/>
      <c r="DZ214" s="374">
        <f t="shared" si="121"/>
        <v>0</v>
      </c>
      <c r="EA214" s="216">
        <f t="shared" si="122"/>
        <v>0</v>
      </c>
      <c r="EB214" s="320">
        <f t="shared" si="123"/>
        <v>0</v>
      </c>
      <c r="EC214" s="241">
        <f t="shared" si="124"/>
        <v>0</v>
      </c>
      <c r="ED214" s="241">
        <f t="shared" si="125"/>
        <v>0</v>
      </c>
      <c r="EE214" s="241">
        <f t="shared" si="126"/>
        <v>0</v>
      </c>
      <c r="EF214" s="241">
        <f t="shared" si="127"/>
        <v>66</v>
      </c>
      <c r="EG214" s="346">
        <f t="shared" si="128"/>
        <v>0</v>
      </c>
      <c r="EH214" s="445">
        <f t="shared" si="129"/>
        <v>0</v>
      </c>
      <c r="EI214" s="447">
        <f t="shared" si="130"/>
        <v>0</v>
      </c>
      <c r="EJ214" s="364">
        <f t="shared" si="131"/>
        <v>0</v>
      </c>
      <c r="EK214" s="365">
        <f t="shared" si="132"/>
        <v>66</v>
      </c>
      <c r="EL214" s="529">
        <f t="shared" si="133"/>
        <v>66</v>
      </c>
      <c r="EM214" s="530">
        <v>0</v>
      </c>
      <c r="EN214" s="530">
        <v>0</v>
      </c>
      <c r="EO214" s="530">
        <v>0</v>
      </c>
      <c r="EP214" s="530">
        <v>0</v>
      </c>
      <c r="EQ214" s="530">
        <v>0</v>
      </c>
      <c r="ER214" s="530">
        <v>0</v>
      </c>
      <c r="ES214" s="530">
        <v>0</v>
      </c>
      <c r="ET214" s="530">
        <v>0</v>
      </c>
      <c r="EU214" s="530">
        <v>0</v>
      </c>
      <c r="EV214" s="530">
        <v>32</v>
      </c>
      <c r="EW214" s="530">
        <v>15</v>
      </c>
      <c r="EX214" s="530">
        <v>19</v>
      </c>
      <c r="EY214" s="530">
        <f t="shared" si="134"/>
        <v>0</v>
      </c>
      <c r="EZ214" s="530">
        <f t="shared" si="135"/>
        <v>0</v>
      </c>
      <c r="FA214" s="530">
        <f t="shared" si="136"/>
        <v>0</v>
      </c>
      <c r="FB214" s="530">
        <f t="shared" si="137"/>
        <v>66</v>
      </c>
      <c r="FC214" s="384">
        <f>IFERROR(VLOOKUP(Capex!A209,BASE_558!D:R,8,FALSE)/1000,"")</f>
        <v>185.19800000000001</v>
      </c>
      <c r="FD214" s="328">
        <f>IFERROR(VLOOKUP(Capex!A209,BASE_558!D:R,9,)/1000,"")</f>
        <v>0</v>
      </c>
      <c r="FE214" s="328">
        <f>IFERROR(IF(LEFT(A214,3)="LCP",(VLOOKUP(Capex!A209,BASE_558!D:R,10,)/1000),SUMIFS('BASE ICP_PO_SC'!F:F,'BASE ICP_PO_SC'!A:A,Capex!A209,'BASE ICP_PO_SC'!E:E,"&lt;&gt;")/1000),"")</f>
        <v>0</v>
      </c>
      <c r="FF214" s="328">
        <f>IFERROR(IF(LEFT(A214,3)="LCP",(VLOOKUP(Capex!A209,BASE_558!D:R,11,)/1000),SUMIFS('BASE ICP_PO_SC'!F:F,'BASE ICP_PO_SC'!A:A,Capex!A209,'BASE ICP_PO_SC'!E:E,"")/1000),"")</f>
        <v>0</v>
      </c>
      <c r="FG214" s="328">
        <f>IFERROR(VLOOKUP(A214,BASE_558!D:R,13,FALSE)/1000,"")</f>
        <v>159.24534</v>
      </c>
      <c r="FH214" s="328">
        <f>IFERROR(VLOOKUP(A214,BASE_558!D:R,15,FALSE)/1000,"")</f>
        <v>38.614260000000002</v>
      </c>
      <c r="FI214" s="547">
        <f t="shared" si="138"/>
        <v>0</v>
      </c>
      <c r="FJ214" s="547">
        <f t="shared" si="139"/>
        <v>0</v>
      </c>
      <c r="FK214" s="540">
        <f t="shared" si="140"/>
        <v>0</v>
      </c>
    </row>
    <row r="215" spans="1:167" s="23" customFormat="1" ht="24" customHeight="1">
      <c r="A215" s="84" t="s">
        <v>751</v>
      </c>
      <c r="B215" s="404"/>
      <c r="C215" s="404" t="s">
        <v>602</v>
      </c>
      <c r="D215" s="338" t="s">
        <v>1264</v>
      </c>
      <c r="E215" s="378">
        <v>3753725</v>
      </c>
      <c r="F215" s="5"/>
      <c r="G215" s="310" t="s">
        <v>9</v>
      </c>
      <c r="H215" s="338"/>
      <c r="I215" s="356"/>
      <c r="J215" s="356">
        <v>2021</v>
      </c>
      <c r="K215" s="321">
        <v>44273</v>
      </c>
      <c r="L215" s="317">
        <v>44558</v>
      </c>
      <c r="M215" s="409"/>
      <c r="N215" s="317">
        <f t="shared" si="109"/>
        <v>45185</v>
      </c>
      <c r="O215" s="317">
        <f t="shared" si="110"/>
        <v>45550</v>
      </c>
      <c r="P215" s="418" t="str">
        <f t="shared" ref="P215:AA224" si="142">IF($N215="","N/A",IF($O215="","N/A",IF(P$2&lt;=$N215,"NÃO",IF($AJ215="REL ","SIM",IF(P$2&lt;$O215,"NÃO",IF($AJ215&lt;&gt;"CLSD","SIM","CRTD"))))))</f>
        <v>CRTD</v>
      </c>
      <c r="Q215" s="418" t="str">
        <f t="shared" si="142"/>
        <v>CRTD</v>
      </c>
      <c r="R215" s="418" t="str">
        <f t="shared" si="142"/>
        <v>CRTD</v>
      </c>
      <c r="S215" s="418" t="str">
        <f t="shared" si="142"/>
        <v>CRTD</v>
      </c>
      <c r="T215" s="418" t="str">
        <f t="shared" si="142"/>
        <v>CRTD</v>
      </c>
      <c r="U215" s="418" t="str">
        <f t="shared" si="142"/>
        <v>CRTD</v>
      </c>
      <c r="V215" s="418" t="str">
        <f t="shared" si="142"/>
        <v>CRTD</v>
      </c>
      <c r="W215" s="418" t="str">
        <f t="shared" si="142"/>
        <v>CRTD</v>
      </c>
      <c r="X215" s="418" t="str">
        <f t="shared" si="142"/>
        <v>CRTD</v>
      </c>
      <c r="Y215" s="418" t="str">
        <f t="shared" si="142"/>
        <v>CRTD</v>
      </c>
      <c r="Z215" s="418" t="str">
        <f t="shared" si="142"/>
        <v>CRTD</v>
      </c>
      <c r="AA215" s="418" t="str">
        <f t="shared" si="142"/>
        <v>CRTD</v>
      </c>
      <c r="AB215" s="350"/>
      <c r="AC215" s="309" t="s">
        <v>2508</v>
      </c>
      <c r="AD215" s="311" t="s">
        <v>223</v>
      </c>
      <c r="AE215" s="361" t="s">
        <v>613</v>
      </c>
      <c r="AF215" s="310" t="s">
        <v>6985</v>
      </c>
      <c r="AG215" s="310" t="s">
        <v>9083</v>
      </c>
      <c r="AH215" s="310" t="s">
        <v>742</v>
      </c>
      <c r="AI215" s="309" t="s">
        <v>2255</v>
      </c>
      <c r="AJ215" s="6" t="s">
        <v>218</v>
      </c>
      <c r="AK215" s="6" t="str">
        <f t="shared" si="118"/>
        <v>IGUAL</v>
      </c>
      <c r="AL215" s="151" t="str">
        <f>IFERROR(IF(LEFT(A215,3)="LCP",VLOOKUP(A215,STATUS_SAP_LCP!B:C,2,FALSE),VLOOKUP(A215,STATUS_SAP_ICP!B:C,2,FALSE)),"NO BUDGET")</f>
        <v>CLSD BUDG AUC  AVAC  //  APPR BREL EXPL</v>
      </c>
      <c r="AM215" s="6" t="str">
        <f t="shared" si="116"/>
        <v>CLSD</v>
      </c>
      <c r="AN215" s="414" t="s">
        <v>9087</v>
      </c>
      <c r="AO215" s="558">
        <v>1</v>
      </c>
      <c r="AP215" s="499" t="s">
        <v>9607</v>
      </c>
      <c r="AQ215" s="465">
        <v>44558</v>
      </c>
      <c r="AR215" s="460"/>
      <c r="AS215" s="57"/>
      <c r="AT215" s="185"/>
      <c r="AU215" s="318">
        <v>68.495260000000002</v>
      </c>
      <c r="AV215" s="223">
        <v>0</v>
      </c>
      <c r="AW215" s="318">
        <v>0</v>
      </c>
      <c r="AX215" s="223">
        <v>0</v>
      </c>
      <c r="AY215" s="318">
        <f t="shared" si="111"/>
        <v>0</v>
      </c>
      <c r="AZ215" s="223"/>
      <c r="BA215" s="318"/>
      <c r="BB215" s="519">
        <f t="shared" si="112"/>
        <v>0</v>
      </c>
      <c r="BC215" s="518"/>
      <c r="BD215" s="518"/>
      <c r="BE215" s="518"/>
      <c r="BF215" s="518"/>
      <c r="BG215" s="518"/>
      <c r="BH215" s="518"/>
      <c r="BI215" s="518"/>
      <c r="BJ215" s="518"/>
      <c r="BK215" s="518"/>
      <c r="BL215" s="518"/>
      <c r="BM215" s="518"/>
      <c r="BN215" s="518"/>
      <c r="BO215" s="367">
        <f t="shared" si="119"/>
        <v>0</v>
      </c>
      <c r="BP215" s="421"/>
      <c r="BQ215" s="422"/>
      <c r="BR215" s="423">
        <f>IFERROR(IF(LEFT($A215,3)="Lcp",SUMIFS('BASE-LCP'!$K:$K,'BASE-LCP'!$A:$A,Capex!$A210,'BASE-LCP'!$B:$B,"janeiro")/1000,IF(LEFT($A215,3)="icp",SUMIFS('BASE-ICP'!$K:$K,'BASE-ICP'!$A:$A,Capex!$A210,'BASE-ICP'!$B:$B,"janeiro")/1000,"")),"")</f>
        <v>0</v>
      </c>
      <c r="BS215" s="427">
        <v>0</v>
      </c>
      <c r="BT215" s="372">
        <v>0</v>
      </c>
      <c r="BU215" s="422"/>
      <c r="BV215" s="423">
        <f>IFERROR(IF(LEFT($A215,3)="Lcp",SUMIFS('BASE-LCP'!$K:$K,'BASE-LCP'!$A:$A,Capex!$A210,'BASE-LCP'!$B:$B,"fevereiro")/1000,IF(LEFT($A215,3)="icp",SUMIFS('BASE-ICP'!$K:$K,'BASE-ICP'!$A:$A,Capex!$A210,'BASE-ICP'!$B:$B,"fevereiro")/1000,"")),"")</f>
        <v>0</v>
      </c>
      <c r="BW215" s="427">
        <v>0</v>
      </c>
      <c r="BX215" s="372">
        <v>0</v>
      </c>
      <c r="BY215" s="419"/>
      <c r="BZ215" s="423">
        <f>IFERROR(IF(LEFT($A215,3)="Lcp",SUMIFS('BASE-LCP'!$K:$K,'BASE-LCP'!$A:$A,Capex!$A210,'BASE-LCP'!$B:$B,"março")/1000,IF(LEFT($A215,3)="icp",SUMIFS('BASE-ICP'!$K:$K,'BASE-ICP'!$A:$A,Capex!$A210,'BASE-ICP'!$B:$B,"março")/1000,"")),"")</f>
        <v>0</v>
      </c>
      <c r="CA215" s="427">
        <v>0</v>
      </c>
      <c r="CB215" s="372">
        <v>0</v>
      </c>
      <c r="CC215" s="422"/>
      <c r="CD215" s="423">
        <f>IFERROR(IF(LEFT($A215,3)="Lcp",SUMIFS('BASE-LCP'!$K:$K,'BASE-LCP'!$A:$A,Capex!$A210,'BASE-LCP'!$B:$B,"abril")/1000,IF(LEFT($A215,3)="icp",SUMIFS('BASE-ICP'!$K:$K,'BASE-ICP'!$A:$A,Capex!$A210,'BASE-ICP'!$B:$B,"abril")/1000,"")),"")</f>
        <v>0</v>
      </c>
      <c r="CE215" s="427">
        <v>0</v>
      </c>
      <c r="CF215" s="372">
        <v>0</v>
      </c>
      <c r="CG215" s="419"/>
      <c r="CH215" s="423">
        <v>0</v>
      </c>
      <c r="CI215" s="427">
        <v>0</v>
      </c>
      <c r="CJ215" s="372">
        <v>0</v>
      </c>
      <c r="CK215" s="419"/>
      <c r="CL215" s="423">
        <f>IFERROR(IF(LEFT($A215,3)="Lcp",SUMIFS('BASE-LCP'!$K:$K,'BASE-LCP'!$A:$A,Capex!$A210,'BASE-LCP'!$B:$B,"junho")/1000,IF(LEFT($A215,3)="icp",SUMIFS('BASE-ICP'!$K:$K,'BASE-ICP'!$A:$A,Capex!$A210,'BASE-ICP'!$B:$B,"junho")/1000,"")),"")</f>
        <v>0</v>
      </c>
      <c r="CM215" s="427">
        <v>0</v>
      </c>
      <c r="CN215" s="372"/>
      <c r="CO215" s="419"/>
      <c r="CP215" s="423">
        <f>IFERROR(IF(LEFT($A215,3)="Lcp",SUMIFS('BASE-LCP'!$K:$K,'BASE-LCP'!$A:$A,Capex!$A210,'BASE-LCP'!$B:$B,"julho")/1000,IF(LEFT($A215,3)="icp",SUMIFS('BASE-ICP'!$K:$K,'BASE-ICP'!$A:$A,Capex!$A210,'BASE-ICP'!$B:$B,"julho")/1000,"")),"")</f>
        <v>0</v>
      </c>
      <c r="CQ215" s="427">
        <v>0</v>
      </c>
      <c r="CR215" s="372"/>
      <c r="CS215" s="419"/>
      <c r="CT215" s="423">
        <f>IFERROR(IF(LEFT($A215,3)="Lcp",SUMIFS('BASE-LCP'!$K:$K,'BASE-LCP'!$A:$A,Capex!$A210,'BASE-LCP'!$B:$B,"agosto")/1000,IF(LEFT($A215,3)="icp",SUMIFS('BASE-ICP'!$K:$K,'BASE-ICP'!$A:$A,Capex!$A210,'BASE-ICP'!$B:$B,"agosto")/1000,"")),"")</f>
        <v>0</v>
      </c>
      <c r="CU215" s="427">
        <v>0</v>
      </c>
      <c r="CV215" s="372"/>
      <c r="CW215" s="419"/>
      <c r="CX215" s="423">
        <f>IFERROR(IF(LEFT($A215,3)="Lcp",SUMIFS('BASE-LCP'!$K:$K,'BASE-LCP'!$A:$A,Capex!$A210,'BASE-LCP'!$B:$B,"setembro")/1000,IF(LEFT($A215,3)="icp",SUMIFS('BASE-ICP'!$K:$K,'BASE-ICP'!$A:$A,Capex!$A210,'BASE-ICP'!$B:$B,"setembro")/1000,"")),"")</f>
        <v>0</v>
      </c>
      <c r="CY215" s="427">
        <v>0</v>
      </c>
      <c r="CZ215" s="372"/>
      <c r="DA215" s="419"/>
      <c r="DB215" s="423">
        <f>IFERROR(IF(LEFT($A215,3)="Lcp",SUMIFS('BASE-LCP'!$K:$K,'BASE-LCP'!$A:$A,Capex!$A210,'BASE-LCP'!$B:$B,"outubro")/1000,IF(LEFT($A215,3)="icp",SUMIFS('BASE-ICP'!$K:$K,'BASE-ICP'!$A:$A,Capex!$A210,'BASE-ICP'!$B:$B,"outubro")/1000,"")),"")</f>
        <v>0</v>
      </c>
      <c r="DC215" s="427">
        <v>0</v>
      </c>
      <c r="DD215" s="372"/>
      <c r="DE215" s="419"/>
      <c r="DF215" s="423">
        <f>IFERROR(IF(LEFT($A215,3)="Lcp",SUMIFS('BASE-LCP'!$K:$K,'BASE-LCP'!$A:$A,Capex!$A210,'BASE-LCP'!$B:$B,"novembro")/1000,IF(LEFT($A215,3)="icp",SUMIFS('BASE-ICP'!$K:$K,'BASE-ICP'!$A:$A,Capex!$A210,'BASE-ICP'!$B:$B,"novembro")/1000,"")),"")</f>
        <v>0</v>
      </c>
      <c r="DG215" s="427">
        <v>0</v>
      </c>
      <c r="DH215" s="372"/>
      <c r="DI215" s="419"/>
      <c r="DJ215" s="423">
        <f>IFERROR(IF(LEFT($A215,3)="Lcp",SUMIFS('BASE-LCP'!$K:$K,'BASE-LCP'!$A:$A,Capex!$A210,'BASE-LCP'!$B:$B,"dezembro")/1000,IF(LEFT($A215,3)="icp",SUMIFS('BASE-ICP'!$K:$K,'BASE-ICP'!$A:$A,Capex!$A210,'BASE-ICP'!$B:$B,"dezembro")/1000,"")),"")</f>
        <v>0</v>
      </c>
      <c r="DK215" s="427">
        <v>0</v>
      </c>
      <c r="DL215" s="452">
        <f t="shared" si="120"/>
        <v>0</v>
      </c>
      <c r="DM215" s="374"/>
      <c r="DN215" s="374"/>
      <c r="DO215" s="374"/>
      <c r="DP215" s="374"/>
      <c r="DQ215" s="374"/>
      <c r="DR215" s="374"/>
      <c r="DS215" s="374"/>
      <c r="DT215" s="374"/>
      <c r="DU215" s="374"/>
      <c r="DV215" s="374"/>
      <c r="DW215" s="374"/>
      <c r="DX215" s="374"/>
      <c r="DY215" s="450"/>
      <c r="DZ215" s="374">
        <f t="shared" si="121"/>
        <v>0</v>
      </c>
      <c r="EA215" s="216">
        <f t="shared" si="122"/>
        <v>0</v>
      </c>
      <c r="EB215" s="320">
        <f t="shared" si="123"/>
        <v>0</v>
      </c>
      <c r="EC215" s="241">
        <f t="shared" si="124"/>
        <v>0</v>
      </c>
      <c r="ED215" s="241">
        <f t="shared" si="125"/>
        <v>0</v>
      </c>
      <c r="EE215" s="241">
        <f t="shared" si="126"/>
        <v>0</v>
      </c>
      <c r="EF215" s="241">
        <f t="shared" si="127"/>
        <v>0</v>
      </c>
      <c r="EG215" s="346">
        <f t="shared" si="128"/>
        <v>0</v>
      </c>
      <c r="EH215" s="445">
        <f t="shared" si="129"/>
        <v>0</v>
      </c>
      <c r="EI215" s="447">
        <f t="shared" si="130"/>
        <v>0</v>
      </c>
      <c r="EJ215" s="364">
        <f t="shared" si="131"/>
        <v>0</v>
      </c>
      <c r="EK215" s="365">
        <f t="shared" si="132"/>
        <v>0</v>
      </c>
      <c r="EL215" s="529">
        <f t="shared" si="133"/>
        <v>0</v>
      </c>
      <c r="EM215" s="530">
        <v>0</v>
      </c>
      <c r="EN215" s="530">
        <v>0</v>
      </c>
      <c r="EO215" s="530">
        <v>0</v>
      </c>
      <c r="EP215" s="530">
        <v>0</v>
      </c>
      <c r="EQ215" s="530">
        <v>0</v>
      </c>
      <c r="ER215" s="530">
        <v>0</v>
      </c>
      <c r="ES215" s="530">
        <v>0</v>
      </c>
      <c r="ET215" s="530">
        <v>0</v>
      </c>
      <c r="EU215" s="530">
        <v>0</v>
      </c>
      <c r="EV215" s="530">
        <v>0</v>
      </c>
      <c r="EW215" s="530">
        <v>0</v>
      </c>
      <c r="EX215" s="530">
        <v>0</v>
      </c>
      <c r="EY215" s="530">
        <f t="shared" si="134"/>
        <v>0</v>
      </c>
      <c r="EZ215" s="530">
        <f t="shared" si="135"/>
        <v>0</v>
      </c>
      <c r="FA215" s="530">
        <f t="shared" si="136"/>
        <v>0</v>
      </c>
      <c r="FB215" s="530">
        <f t="shared" si="137"/>
        <v>0</v>
      </c>
      <c r="FC215" s="384">
        <f>IFERROR(VLOOKUP(Capex!A210,BASE_558!D:R,8,FALSE)/1000,"")</f>
        <v>75.397320000000008</v>
      </c>
      <c r="FD215" s="328">
        <f>IFERROR(VLOOKUP(Capex!A210,BASE_558!D:R,9,)/1000,"")</f>
        <v>63.492460000000001</v>
      </c>
      <c r="FE215" s="328">
        <f>IFERROR(IF(LEFT(A215,3)="LCP",(VLOOKUP(Capex!A210,BASE_558!D:R,10,)/1000),SUMIFS('BASE ICP_PO_SC'!F:F,'BASE ICP_PO_SC'!A:A,Capex!A210,'BASE ICP_PO_SC'!E:E,"&lt;&gt;")/1000),"")</f>
        <v>0</v>
      </c>
      <c r="FF215" s="328">
        <f>IFERROR(IF(LEFT(A215,3)="LCP",(VLOOKUP(Capex!A210,BASE_558!D:R,11,)/1000),SUMIFS('BASE ICP_PO_SC'!F:F,'BASE ICP_PO_SC'!A:A,Capex!A210,'BASE ICP_PO_SC'!E:E,"")/1000),"")</f>
        <v>0</v>
      </c>
      <c r="FG215" s="328">
        <f>IFERROR(VLOOKUP(A215,BASE_558!D:R,13,FALSE)/1000,"")</f>
        <v>68.495260000000002</v>
      </c>
      <c r="FH215" s="328">
        <f>IFERROR(VLOOKUP(A215,BASE_558!D:R,15,FALSE)/1000,"")</f>
        <v>23.504740000000002</v>
      </c>
      <c r="FI215" s="547">
        <f t="shared" si="138"/>
        <v>0</v>
      </c>
      <c r="FJ215" s="547">
        <f t="shared" si="139"/>
        <v>0</v>
      </c>
      <c r="FK215" s="540">
        <f t="shared" si="140"/>
        <v>0</v>
      </c>
    </row>
    <row r="216" spans="1:167" s="23" customFormat="1" ht="24" customHeight="1">
      <c r="A216" s="84" t="s">
        <v>753</v>
      </c>
      <c r="B216" s="309" t="s">
        <v>1113</v>
      </c>
      <c r="C216" s="404">
        <v>1099</v>
      </c>
      <c r="D216" s="338" t="s">
        <v>1880</v>
      </c>
      <c r="E216" s="378">
        <v>4098373</v>
      </c>
      <c r="F216" s="310" t="s">
        <v>609</v>
      </c>
      <c r="G216" s="310" t="s">
        <v>9</v>
      </c>
      <c r="H216" s="338" t="s">
        <v>6</v>
      </c>
      <c r="I216" s="356"/>
      <c r="J216" s="356">
        <v>2021</v>
      </c>
      <c r="K216" s="352">
        <v>44363</v>
      </c>
      <c r="L216" s="317"/>
      <c r="M216" s="409"/>
      <c r="N216" s="317">
        <f t="shared" si="109"/>
        <v>45275</v>
      </c>
      <c r="O216" s="317">
        <f t="shared" si="110"/>
        <v>45640</v>
      </c>
      <c r="P216" s="418" t="str">
        <f t="shared" si="142"/>
        <v>SIM</v>
      </c>
      <c r="Q216" s="418" t="str">
        <f t="shared" si="142"/>
        <v>SIM</v>
      </c>
      <c r="R216" s="418" t="str">
        <f t="shared" si="142"/>
        <v>SIM</v>
      </c>
      <c r="S216" s="418" t="str">
        <f t="shared" si="142"/>
        <v>SIM</v>
      </c>
      <c r="T216" s="418" t="str">
        <f t="shared" si="142"/>
        <v>SIM</v>
      </c>
      <c r="U216" s="418" t="str">
        <f t="shared" si="142"/>
        <v>SIM</v>
      </c>
      <c r="V216" s="418" t="str">
        <f t="shared" si="142"/>
        <v>SIM</v>
      </c>
      <c r="W216" s="418" t="str">
        <f t="shared" si="142"/>
        <v>SIM</v>
      </c>
      <c r="X216" s="418" t="str">
        <f t="shared" si="142"/>
        <v>SIM</v>
      </c>
      <c r="Y216" s="418" t="str">
        <f t="shared" si="142"/>
        <v>SIM</v>
      </c>
      <c r="Z216" s="418" t="str">
        <f t="shared" si="142"/>
        <v>SIM</v>
      </c>
      <c r="AA216" s="418" t="str">
        <f t="shared" si="142"/>
        <v>SIM</v>
      </c>
      <c r="AB216" s="350"/>
      <c r="AC216" s="381" t="s">
        <v>3932</v>
      </c>
      <c r="AD216" s="311" t="s">
        <v>5</v>
      </c>
      <c r="AE216" s="381" t="s">
        <v>952</v>
      </c>
      <c r="AF216" s="310" t="s">
        <v>6985</v>
      </c>
      <c r="AG216" s="310" t="s">
        <v>2238</v>
      </c>
      <c r="AH216" s="310" t="s">
        <v>7032</v>
      </c>
      <c r="AI216" s="309" t="s">
        <v>187</v>
      </c>
      <c r="AJ216" s="6" t="s">
        <v>6786</v>
      </c>
      <c r="AK216" s="6" t="str">
        <f t="shared" si="118"/>
        <v>IGUAL</v>
      </c>
      <c r="AL216" s="151" t="str">
        <f>IFERROR(IF(LEFT(A216,3)="LCP",VLOOKUP(A216,STATUS_SAP_LCP!B:C,2,FALSE),VLOOKUP(A216,STATUS_SAP_ICP!B:C,2,FALSE)),"NO BUDGET")</f>
        <v>REL  BUDG AUC  AVAC  //  APPR BREL INPL</v>
      </c>
      <c r="AM216" s="6" t="str">
        <f t="shared" si="116"/>
        <v xml:space="preserve">REL </v>
      </c>
      <c r="AN216" s="282" t="s">
        <v>19035</v>
      </c>
      <c r="AO216" s="559"/>
      <c r="AP216" s="499" t="s">
        <v>5299</v>
      </c>
      <c r="AQ216" s="465">
        <v>45992</v>
      </c>
      <c r="AR216" s="460"/>
      <c r="AS216" s="57"/>
      <c r="AT216" s="185"/>
      <c r="AU216" s="318">
        <v>27.152079999999998</v>
      </c>
      <c r="AV216" s="223">
        <v>6.3384400000000003</v>
      </c>
      <c r="AW216" s="318">
        <v>116.31734</v>
      </c>
      <c r="AX216" s="223">
        <v>312.12116000000003</v>
      </c>
      <c r="AY216" s="318">
        <f t="shared" si="111"/>
        <v>1.3226399999999998</v>
      </c>
      <c r="AZ216" s="223"/>
      <c r="BA216" s="318"/>
      <c r="BB216" s="519">
        <f t="shared" si="112"/>
        <v>0</v>
      </c>
      <c r="BC216" s="518">
        <v>0</v>
      </c>
      <c r="BD216" s="518">
        <v>0</v>
      </c>
      <c r="BE216" s="518">
        <v>0</v>
      </c>
      <c r="BF216" s="518">
        <v>0</v>
      </c>
      <c r="BG216" s="518">
        <v>0</v>
      </c>
      <c r="BH216" s="518">
        <v>0</v>
      </c>
      <c r="BI216" s="518">
        <v>0</v>
      </c>
      <c r="BJ216" s="518">
        <v>0</v>
      </c>
      <c r="BK216" s="518">
        <v>0</v>
      </c>
      <c r="BL216" s="518">
        <v>0</v>
      </c>
      <c r="BM216" s="518">
        <v>0</v>
      </c>
      <c r="BN216" s="518">
        <v>0</v>
      </c>
      <c r="BO216" s="367">
        <f t="shared" si="119"/>
        <v>1.3226399999999998</v>
      </c>
      <c r="BP216" s="421">
        <v>0</v>
      </c>
      <c r="BQ216" s="422">
        <v>1.32264</v>
      </c>
      <c r="BR216" s="423">
        <f>IFERROR(IF(LEFT($A216,3)="Lcp",SUMIFS('BASE-LCP'!$K:$K,'BASE-LCP'!$A:$A,Capex!$A211,'BASE-LCP'!$B:$B,"janeiro")/1000,IF(LEFT($A216,3)="icp",SUMIFS('BASE-ICP'!$K:$K,'BASE-ICP'!$A:$A,Capex!$A211,'BASE-ICP'!$B:$B,"janeiro")/1000,"")),"")</f>
        <v>0</v>
      </c>
      <c r="BS216" s="427">
        <v>1.3226399999999998</v>
      </c>
      <c r="BT216" s="372">
        <v>0</v>
      </c>
      <c r="BU216" s="422"/>
      <c r="BV216" s="423">
        <f>IFERROR(IF(LEFT($A216,3)="Lcp",SUMIFS('BASE-LCP'!$K:$K,'BASE-LCP'!$A:$A,Capex!$A211,'BASE-LCP'!$B:$B,"fevereiro")/1000,IF(LEFT($A216,3)="icp",SUMIFS('BASE-ICP'!$K:$K,'BASE-ICP'!$A:$A,Capex!$A211,'BASE-ICP'!$B:$B,"fevereiro")/1000,"")),"")</f>
        <v>0</v>
      </c>
      <c r="BW216" s="427">
        <v>0</v>
      </c>
      <c r="BX216" s="372">
        <v>0</v>
      </c>
      <c r="BY216" s="419"/>
      <c r="BZ216" s="423">
        <f>IFERROR(IF(LEFT($A216,3)="Lcp",SUMIFS('BASE-LCP'!$K:$K,'BASE-LCP'!$A:$A,Capex!$A211,'BASE-LCP'!$B:$B,"março")/1000,IF(LEFT($A216,3)="icp",SUMIFS('BASE-ICP'!$K:$K,'BASE-ICP'!$A:$A,Capex!$A211,'BASE-ICP'!$B:$B,"março")/1000,"")),"")</f>
        <v>0</v>
      </c>
      <c r="CA216" s="427">
        <v>0</v>
      </c>
      <c r="CB216" s="372">
        <v>0</v>
      </c>
      <c r="CC216" s="422"/>
      <c r="CD216" s="423">
        <f>IFERROR(IF(LEFT($A216,3)="Lcp",SUMIFS('BASE-LCP'!$K:$K,'BASE-LCP'!$A:$A,Capex!$A211,'BASE-LCP'!$B:$B,"abril")/1000,IF(LEFT($A216,3)="icp",SUMIFS('BASE-ICP'!$K:$K,'BASE-ICP'!$A:$A,Capex!$A211,'BASE-ICP'!$B:$B,"abril")/1000,"")),"")</f>
        <v>0</v>
      </c>
      <c r="CE216" s="427">
        <v>0</v>
      </c>
      <c r="CF216" s="372">
        <v>0</v>
      </c>
      <c r="CG216" s="419"/>
      <c r="CH216" s="423">
        <v>0</v>
      </c>
      <c r="CI216" s="427">
        <v>0</v>
      </c>
      <c r="CJ216" s="372">
        <v>0</v>
      </c>
      <c r="CK216" s="419"/>
      <c r="CL216" s="423">
        <f>IFERROR(IF(LEFT($A216,3)="Lcp",SUMIFS('BASE-LCP'!$K:$K,'BASE-LCP'!$A:$A,Capex!$A211,'BASE-LCP'!$B:$B,"junho")/1000,IF(LEFT($A216,3)="icp",SUMIFS('BASE-ICP'!$K:$K,'BASE-ICP'!$A:$A,Capex!$A211,'BASE-ICP'!$B:$B,"junho")/1000,"")),"")</f>
        <v>0</v>
      </c>
      <c r="CM216" s="427">
        <v>0</v>
      </c>
      <c r="CN216" s="372"/>
      <c r="CO216" s="419"/>
      <c r="CP216" s="423">
        <f>IFERROR(IF(LEFT($A216,3)="Lcp",SUMIFS('BASE-LCP'!$K:$K,'BASE-LCP'!$A:$A,Capex!$A211,'BASE-LCP'!$B:$B,"julho")/1000,IF(LEFT($A216,3)="icp",SUMIFS('BASE-ICP'!$K:$K,'BASE-ICP'!$A:$A,Capex!$A211,'BASE-ICP'!$B:$B,"julho")/1000,"")),"")</f>
        <v>0</v>
      </c>
      <c r="CQ216" s="427">
        <v>0</v>
      </c>
      <c r="CR216" s="372"/>
      <c r="CS216" s="419"/>
      <c r="CT216" s="423">
        <f>IFERROR(IF(LEFT($A216,3)="Lcp",SUMIFS('BASE-LCP'!$K:$K,'BASE-LCP'!$A:$A,Capex!$A211,'BASE-LCP'!$B:$B,"agosto")/1000,IF(LEFT($A216,3)="icp",SUMIFS('BASE-ICP'!$K:$K,'BASE-ICP'!$A:$A,Capex!$A211,'BASE-ICP'!$B:$B,"agosto")/1000,"")),"")</f>
        <v>0</v>
      </c>
      <c r="CU216" s="427">
        <v>0</v>
      </c>
      <c r="CV216" s="372"/>
      <c r="CW216" s="419"/>
      <c r="CX216" s="423">
        <f>IFERROR(IF(LEFT($A216,3)="Lcp",SUMIFS('BASE-LCP'!$K:$K,'BASE-LCP'!$A:$A,Capex!$A211,'BASE-LCP'!$B:$B,"setembro")/1000,IF(LEFT($A216,3)="icp",SUMIFS('BASE-ICP'!$K:$K,'BASE-ICP'!$A:$A,Capex!$A211,'BASE-ICP'!$B:$B,"setembro")/1000,"")),"")</f>
        <v>0</v>
      </c>
      <c r="CY216" s="427">
        <v>0</v>
      </c>
      <c r="CZ216" s="372"/>
      <c r="DA216" s="419"/>
      <c r="DB216" s="423">
        <f>IFERROR(IF(LEFT($A216,3)="Lcp",SUMIFS('BASE-LCP'!$K:$K,'BASE-LCP'!$A:$A,Capex!$A211,'BASE-LCP'!$B:$B,"outubro")/1000,IF(LEFT($A216,3)="icp",SUMIFS('BASE-ICP'!$K:$K,'BASE-ICP'!$A:$A,Capex!$A211,'BASE-ICP'!$B:$B,"outubro")/1000,"")),"")</f>
        <v>0</v>
      </c>
      <c r="DC216" s="427">
        <v>0</v>
      </c>
      <c r="DD216" s="372"/>
      <c r="DE216" s="419"/>
      <c r="DF216" s="423">
        <f>IFERROR(IF(LEFT($A216,3)="Lcp",SUMIFS('BASE-LCP'!$K:$K,'BASE-LCP'!$A:$A,Capex!$A211,'BASE-LCP'!$B:$B,"novembro")/1000,IF(LEFT($A216,3)="icp",SUMIFS('BASE-ICP'!$K:$K,'BASE-ICP'!$A:$A,Capex!$A211,'BASE-ICP'!$B:$B,"novembro")/1000,"")),"")</f>
        <v>0</v>
      </c>
      <c r="DG216" s="427">
        <v>0</v>
      </c>
      <c r="DH216" s="372"/>
      <c r="DI216" s="419"/>
      <c r="DJ216" s="423">
        <f>IFERROR(IF(LEFT($A216,3)="Lcp",SUMIFS('BASE-LCP'!$K:$K,'BASE-LCP'!$A:$A,Capex!$A211,'BASE-LCP'!$B:$B,"dezembro")/1000,IF(LEFT($A216,3)="icp",SUMIFS('BASE-ICP'!$K:$K,'BASE-ICP'!$A:$A,Capex!$A211,'BASE-ICP'!$B:$B,"dezembro")/1000,"")),"")</f>
        <v>0</v>
      </c>
      <c r="DK216" s="427">
        <v>0</v>
      </c>
      <c r="DL216" s="452">
        <f t="shared" si="120"/>
        <v>200</v>
      </c>
      <c r="DM216" s="374"/>
      <c r="DN216" s="374">
        <v>200</v>
      </c>
      <c r="DO216" s="374"/>
      <c r="DP216" s="374"/>
      <c r="DQ216" s="374"/>
      <c r="DR216" s="374"/>
      <c r="DS216" s="374"/>
      <c r="DT216" s="374"/>
      <c r="DU216" s="374"/>
      <c r="DV216" s="374"/>
      <c r="DW216" s="374"/>
      <c r="DX216" s="374"/>
      <c r="DY216" s="450"/>
      <c r="DZ216" s="374">
        <f t="shared" si="121"/>
        <v>200</v>
      </c>
      <c r="EA216" s="216">
        <f t="shared" si="122"/>
        <v>0</v>
      </c>
      <c r="EB216" s="320">
        <f t="shared" si="123"/>
        <v>0</v>
      </c>
      <c r="EC216" s="241">
        <f t="shared" si="124"/>
        <v>1.3226399999999998</v>
      </c>
      <c r="ED216" s="241">
        <f t="shared" si="125"/>
        <v>0</v>
      </c>
      <c r="EE216" s="241">
        <f t="shared" si="126"/>
        <v>0</v>
      </c>
      <c r="EF216" s="241">
        <f t="shared" si="127"/>
        <v>0</v>
      </c>
      <c r="EG216" s="346">
        <f t="shared" si="128"/>
        <v>1.3226399999999998</v>
      </c>
      <c r="EH216" s="445">
        <f t="shared" si="129"/>
        <v>0</v>
      </c>
      <c r="EI216" s="447">
        <f t="shared" si="130"/>
        <v>0</v>
      </c>
      <c r="EJ216" s="364">
        <f t="shared" si="131"/>
        <v>1.3226399999999998</v>
      </c>
      <c r="EK216" s="365">
        <f t="shared" si="132"/>
        <v>0</v>
      </c>
      <c r="EL216" s="529">
        <f t="shared" si="133"/>
        <v>1.3226399999999998</v>
      </c>
      <c r="EM216" s="530">
        <v>1.3226399999999998</v>
      </c>
      <c r="EN216" s="530">
        <v>0</v>
      </c>
      <c r="EO216" s="530">
        <v>0</v>
      </c>
      <c r="EP216" s="530">
        <v>0</v>
      </c>
      <c r="EQ216" s="530">
        <v>0</v>
      </c>
      <c r="ER216" s="530">
        <v>0</v>
      </c>
      <c r="ES216" s="530">
        <v>0</v>
      </c>
      <c r="ET216" s="530">
        <v>0</v>
      </c>
      <c r="EU216" s="530">
        <v>0</v>
      </c>
      <c r="EV216" s="530">
        <v>0</v>
      </c>
      <c r="EW216" s="530">
        <v>0</v>
      </c>
      <c r="EX216" s="530">
        <v>0</v>
      </c>
      <c r="EY216" s="530">
        <f t="shared" si="134"/>
        <v>1.3226399999999998</v>
      </c>
      <c r="EZ216" s="530">
        <f t="shared" si="135"/>
        <v>0</v>
      </c>
      <c r="FA216" s="530">
        <f t="shared" si="136"/>
        <v>0</v>
      </c>
      <c r="FB216" s="530">
        <f t="shared" si="137"/>
        <v>0</v>
      </c>
      <c r="FC216" s="384">
        <f>IFERROR(VLOOKUP(Capex!A211,BASE_558!D:R,8,FALSE)/1000,"")</f>
        <v>465.11658</v>
      </c>
      <c r="FD216" s="328">
        <f>IFERROR(VLOOKUP(Capex!A211,BASE_558!D:R,9,)/1000,"")</f>
        <v>326.43731000000002</v>
      </c>
      <c r="FE216" s="328">
        <f>IFERROR(IF(LEFT(A216,3)="LCP",(VLOOKUP(Capex!A211,BASE_558!D:R,10,)/1000),SUMIFS('BASE ICP_PO_SC'!F:F,'BASE ICP_PO_SC'!A:A,Capex!A211,'BASE ICP_PO_SC'!E:E,"&lt;&gt;")/1000),"")</f>
        <v>0</v>
      </c>
      <c r="FF216" s="328">
        <f>IFERROR(IF(LEFT(A216,3)="LCP",(VLOOKUP(Capex!A211,BASE_558!D:R,11,)/1000),SUMIFS('BASE ICP_PO_SC'!F:F,'BASE ICP_PO_SC'!A:A,Capex!A211,'BASE ICP_PO_SC'!E:E,"")/1000),"")</f>
        <v>10.597799999999999</v>
      </c>
      <c r="FG216" s="328">
        <f>IFERROR(VLOOKUP(A216,BASE_558!D:R,13,FALSE)/1000,"")</f>
        <v>515.92328999999995</v>
      </c>
      <c r="FH216" s="328">
        <f>IFERROR(VLOOKUP(A216,BASE_558!D:R,15,FALSE)/1000,"")</f>
        <v>330.38451000000003</v>
      </c>
      <c r="FI216" s="547">
        <f t="shared" si="138"/>
        <v>0</v>
      </c>
      <c r="FJ216" s="547">
        <f t="shared" si="139"/>
        <v>0</v>
      </c>
      <c r="FK216" s="540">
        <f t="shared" si="140"/>
        <v>0</v>
      </c>
    </row>
    <row r="217" spans="1:167" s="23" customFormat="1" ht="24" customHeight="1">
      <c r="A217" s="84" t="s">
        <v>754</v>
      </c>
      <c r="B217" s="404"/>
      <c r="C217" s="404" t="s">
        <v>1264</v>
      </c>
      <c r="D217" s="338" t="s">
        <v>1881</v>
      </c>
      <c r="E217" s="378">
        <v>3815429</v>
      </c>
      <c r="F217" s="5"/>
      <c r="G217" s="310" t="s">
        <v>9</v>
      </c>
      <c r="H217" s="356"/>
      <c r="I217" s="356"/>
      <c r="J217" s="356">
        <v>2021</v>
      </c>
      <c r="K217" s="321">
        <v>44286</v>
      </c>
      <c r="L217" s="317">
        <v>45103</v>
      </c>
      <c r="M217" s="409"/>
      <c r="N217" s="317">
        <f t="shared" si="109"/>
        <v>45198</v>
      </c>
      <c r="O217" s="317">
        <f t="shared" si="110"/>
        <v>45563</v>
      </c>
      <c r="P217" s="418" t="str">
        <f t="shared" si="142"/>
        <v>CRTD</v>
      </c>
      <c r="Q217" s="418" t="str">
        <f t="shared" si="142"/>
        <v>CRTD</v>
      </c>
      <c r="R217" s="418" t="str">
        <f t="shared" si="142"/>
        <v>CRTD</v>
      </c>
      <c r="S217" s="418" t="str">
        <f t="shared" si="142"/>
        <v>CRTD</v>
      </c>
      <c r="T217" s="418" t="str">
        <f t="shared" si="142"/>
        <v>CRTD</v>
      </c>
      <c r="U217" s="418" t="str">
        <f t="shared" si="142"/>
        <v>CRTD</v>
      </c>
      <c r="V217" s="418" t="str">
        <f t="shared" si="142"/>
        <v>CRTD</v>
      </c>
      <c r="W217" s="418" t="str">
        <f t="shared" si="142"/>
        <v>CRTD</v>
      </c>
      <c r="X217" s="418" t="str">
        <f t="shared" si="142"/>
        <v>CRTD</v>
      </c>
      <c r="Y217" s="418" t="str">
        <f t="shared" si="142"/>
        <v>CRTD</v>
      </c>
      <c r="Z217" s="418" t="str">
        <f t="shared" si="142"/>
        <v>CRTD</v>
      </c>
      <c r="AA217" s="418" t="str">
        <f t="shared" si="142"/>
        <v>CRTD</v>
      </c>
      <c r="AB217" s="350"/>
      <c r="AC217" s="309" t="s">
        <v>3932</v>
      </c>
      <c r="AD217" s="311" t="s">
        <v>982</v>
      </c>
      <c r="AE217" s="381" t="s">
        <v>2261</v>
      </c>
      <c r="AF217" s="310" t="s">
        <v>6985</v>
      </c>
      <c r="AG217" s="310" t="s">
        <v>9083</v>
      </c>
      <c r="AH217" s="310" t="s">
        <v>799</v>
      </c>
      <c r="AI217" s="381" t="s">
        <v>186</v>
      </c>
      <c r="AJ217" s="6" t="s">
        <v>218</v>
      </c>
      <c r="AK217" s="6" t="str">
        <f t="shared" si="118"/>
        <v>IGUAL</v>
      </c>
      <c r="AL217" s="151" t="str">
        <f>IFERROR(IF(LEFT(A217,3)="LCP",VLOOKUP(A217,STATUS_SAP_LCP!B:C,2,FALSE),VLOOKUP(A217,STATUS_SAP_ICP!B:C,2,FALSE)),"NO BUDGET")</f>
        <v>CLSD BUDG AUC  AVAC  //  APPR BREL EXPL</v>
      </c>
      <c r="AM217" s="6" t="str">
        <f t="shared" si="116"/>
        <v>CLSD</v>
      </c>
      <c r="AN217" s="282" t="s">
        <v>9093</v>
      </c>
      <c r="AO217" s="493">
        <v>1</v>
      </c>
      <c r="AP217" s="499" t="s">
        <v>9607</v>
      </c>
      <c r="AQ217" s="465">
        <v>45103</v>
      </c>
      <c r="AR217" s="460"/>
      <c r="AS217" s="57"/>
      <c r="AT217" s="185"/>
      <c r="AU217" s="318">
        <v>67.040430000000001</v>
      </c>
      <c r="AV217" s="223">
        <v>4.9590199999999998</v>
      </c>
      <c r="AW217" s="318">
        <v>0</v>
      </c>
      <c r="AX217" s="223">
        <v>0</v>
      </c>
      <c r="AY217" s="318">
        <f t="shared" si="111"/>
        <v>0</v>
      </c>
      <c r="AZ217" s="223"/>
      <c r="BA217" s="318"/>
      <c r="BB217" s="519">
        <f t="shared" si="112"/>
        <v>0</v>
      </c>
      <c r="BC217" s="518"/>
      <c r="BD217" s="518"/>
      <c r="BE217" s="518"/>
      <c r="BF217" s="518"/>
      <c r="BG217" s="518"/>
      <c r="BH217" s="518"/>
      <c r="BI217" s="518"/>
      <c r="BJ217" s="518"/>
      <c r="BK217" s="518"/>
      <c r="BL217" s="518"/>
      <c r="BM217" s="518"/>
      <c r="BN217" s="518"/>
      <c r="BO217" s="367">
        <f t="shared" si="119"/>
        <v>0</v>
      </c>
      <c r="BP217" s="421"/>
      <c r="BQ217" s="422"/>
      <c r="BR217" s="423">
        <f>IFERROR(IF(LEFT($A217,3)="Lcp",SUMIFS('BASE-LCP'!$K:$K,'BASE-LCP'!$A:$A,Capex!$A212,'BASE-LCP'!$B:$B,"janeiro")/1000,IF(LEFT($A217,3)="icp",SUMIFS('BASE-ICP'!$K:$K,'BASE-ICP'!$A:$A,Capex!$A212,'BASE-ICP'!$B:$B,"janeiro")/1000,"")),"")</f>
        <v>0</v>
      </c>
      <c r="BS217" s="427">
        <v>0</v>
      </c>
      <c r="BT217" s="372">
        <v>0</v>
      </c>
      <c r="BU217" s="422"/>
      <c r="BV217" s="423">
        <f>IFERROR(IF(LEFT($A217,3)="Lcp",SUMIFS('BASE-LCP'!$K:$K,'BASE-LCP'!$A:$A,Capex!$A212,'BASE-LCP'!$B:$B,"fevereiro")/1000,IF(LEFT($A217,3)="icp",SUMIFS('BASE-ICP'!$K:$K,'BASE-ICP'!$A:$A,Capex!$A212,'BASE-ICP'!$B:$B,"fevereiro")/1000,"")),"")</f>
        <v>0</v>
      </c>
      <c r="BW217" s="427">
        <v>0</v>
      </c>
      <c r="BX217" s="372">
        <v>0</v>
      </c>
      <c r="BY217" s="419"/>
      <c r="BZ217" s="423">
        <f>IFERROR(IF(LEFT($A217,3)="Lcp",SUMIFS('BASE-LCP'!$K:$K,'BASE-LCP'!$A:$A,Capex!$A212,'BASE-LCP'!$B:$B,"março")/1000,IF(LEFT($A217,3)="icp",SUMIFS('BASE-ICP'!$K:$K,'BASE-ICP'!$A:$A,Capex!$A212,'BASE-ICP'!$B:$B,"março")/1000,"")),"")</f>
        <v>0</v>
      </c>
      <c r="CA217" s="427">
        <v>0</v>
      </c>
      <c r="CB217" s="372">
        <v>0</v>
      </c>
      <c r="CC217" s="422"/>
      <c r="CD217" s="423">
        <f>IFERROR(IF(LEFT($A217,3)="Lcp",SUMIFS('BASE-LCP'!$K:$K,'BASE-LCP'!$A:$A,Capex!$A212,'BASE-LCP'!$B:$B,"abril")/1000,IF(LEFT($A217,3)="icp",SUMIFS('BASE-ICP'!$K:$K,'BASE-ICP'!$A:$A,Capex!$A212,'BASE-ICP'!$B:$B,"abril")/1000,"")),"")</f>
        <v>0</v>
      </c>
      <c r="CE217" s="427">
        <v>0</v>
      </c>
      <c r="CF217" s="372">
        <v>0</v>
      </c>
      <c r="CG217" s="419"/>
      <c r="CH217" s="423">
        <v>0</v>
      </c>
      <c r="CI217" s="427">
        <v>0</v>
      </c>
      <c r="CJ217" s="372">
        <v>0</v>
      </c>
      <c r="CK217" s="419"/>
      <c r="CL217" s="423">
        <f>IFERROR(IF(LEFT($A217,3)="Lcp",SUMIFS('BASE-LCP'!$K:$K,'BASE-LCP'!$A:$A,Capex!$A212,'BASE-LCP'!$B:$B,"junho")/1000,IF(LEFT($A217,3)="icp",SUMIFS('BASE-ICP'!$K:$K,'BASE-ICP'!$A:$A,Capex!$A212,'BASE-ICP'!$B:$B,"junho")/1000,"")),"")</f>
        <v>0</v>
      </c>
      <c r="CM217" s="427">
        <v>0</v>
      </c>
      <c r="CN217" s="372"/>
      <c r="CO217" s="419"/>
      <c r="CP217" s="423">
        <f>IFERROR(IF(LEFT($A217,3)="Lcp",SUMIFS('BASE-LCP'!$K:$K,'BASE-LCP'!$A:$A,Capex!$A212,'BASE-LCP'!$B:$B,"julho")/1000,IF(LEFT($A217,3)="icp",SUMIFS('BASE-ICP'!$K:$K,'BASE-ICP'!$A:$A,Capex!$A212,'BASE-ICP'!$B:$B,"julho")/1000,"")),"")</f>
        <v>0</v>
      </c>
      <c r="CQ217" s="427">
        <v>0</v>
      </c>
      <c r="CR217" s="372"/>
      <c r="CS217" s="419"/>
      <c r="CT217" s="423">
        <f>IFERROR(IF(LEFT($A217,3)="Lcp",SUMIFS('BASE-LCP'!$K:$K,'BASE-LCP'!$A:$A,Capex!$A212,'BASE-LCP'!$B:$B,"agosto")/1000,IF(LEFT($A217,3)="icp",SUMIFS('BASE-ICP'!$K:$K,'BASE-ICP'!$A:$A,Capex!$A212,'BASE-ICP'!$B:$B,"agosto")/1000,"")),"")</f>
        <v>0</v>
      </c>
      <c r="CU217" s="427">
        <v>0</v>
      </c>
      <c r="CV217" s="372"/>
      <c r="CW217" s="419"/>
      <c r="CX217" s="423">
        <f>IFERROR(IF(LEFT($A217,3)="Lcp",SUMIFS('BASE-LCP'!$K:$K,'BASE-LCP'!$A:$A,Capex!$A212,'BASE-LCP'!$B:$B,"setembro")/1000,IF(LEFT($A217,3)="icp",SUMIFS('BASE-ICP'!$K:$K,'BASE-ICP'!$A:$A,Capex!$A212,'BASE-ICP'!$B:$B,"setembro")/1000,"")),"")</f>
        <v>0</v>
      </c>
      <c r="CY217" s="427">
        <v>0</v>
      </c>
      <c r="CZ217" s="372"/>
      <c r="DA217" s="419"/>
      <c r="DB217" s="423">
        <f>IFERROR(IF(LEFT($A217,3)="Lcp",SUMIFS('BASE-LCP'!$K:$K,'BASE-LCP'!$A:$A,Capex!$A212,'BASE-LCP'!$B:$B,"outubro")/1000,IF(LEFT($A217,3)="icp",SUMIFS('BASE-ICP'!$K:$K,'BASE-ICP'!$A:$A,Capex!$A212,'BASE-ICP'!$B:$B,"outubro")/1000,"")),"")</f>
        <v>0</v>
      </c>
      <c r="DC217" s="427">
        <v>0</v>
      </c>
      <c r="DD217" s="372"/>
      <c r="DE217" s="419"/>
      <c r="DF217" s="423">
        <f>IFERROR(IF(LEFT($A217,3)="Lcp",SUMIFS('BASE-LCP'!$K:$K,'BASE-LCP'!$A:$A,Capex!$A212,'BASE-LCP'!$B:$B,"novembro")/1000,IF(LEFT($A217,3)="icp",SUMIFS('BASE-ICP'!$K:$K,'BASE-ICP'!$A:$A,Capex!$A212,'BASE-ICP'!$B:$B,"novembro")/1000,"")),"")</f>
        <v>0</v>
      </c>
      <c r="DG217" s="427">
        <v>0</v>
      </c>
      <c r="DH217" s="372"/>
      <c r="DI217" s="419"/>
      <c r="DJ217" s="423">
        <f>IFERROR(IF(LEFT($A217,3)="Lcp",SUMIFS('BASE-LCP'!$K:$K,'BASE-LCP'!$A:$A,Capex!$A212,'BASE-LCP'!$B:$B,"dezembro")/1000,IF(LEFT($A217,3)="icp",SUMIFS('BASE-ICP'!$K:$K,'BASE-ICP'!$A:$A,Capex!$A212,'BASE-ICP'!$B:$B,"dezembro")/1000,"")),"")</f>
        <v>0</v>
      </c>
      <c r="DK217" s="427">
        <v>0</v>
      </c>
      <c r="DL217" s="452">
        <f t="shared" si="120"/>
        <v>0</v>
      </c>
      <c r="DM217" s="374"/>
      <c r="DN217" s="374"/>
      <c r="DO217" s="374"/>
      <c r="DP217" s="374"/>
      <c r="DQ217" s="374"/>
      <c r="DR217" s="374"/>
      <c r="DS217" s="374"/>
      <c r="DT217" s="374"/>
      <c r="DU217" s="374"/>
      <c r="DV217" s="374"/>
      <c r="DW217" s="374"/>
      <c r="DX217" s="374"/>
      <c r="DY217" s="450"/>
      <c r="DZ217" s="374">
        <f t="shared" si="121"/>
        <v>0</v>
      </c>
      <c r="EA217" s="216">
        <f t="shared" si="122"/>
        <v>0</v>
      </c>
      <c r="EB217" s="320">
        <f t="shared" si="123"/>
        <v>0</v>
      </c>
      <c r="EC217" s="241">
        <f t="shared" si="124"/>
        <v>0</v>
      </c>
      <c r="ED217" s="241">
        <f t="shared" si="125"/>
        <v>0</v>
      </c>
      <c r="EE217" s="241">
        <f t="shared" si="126"/>
        <v>0</v>
      </c>
      <c r="EF217" s="241">
        <f t="shared" si="127"/>
        <v>0</v>
      </c>
      <c r="EG217" s="346">
        <f t="shared" si="128"/>
        <v>0</v>
      </c>
      <c r="EH217" s="445">
        <f t="shared" si="129"/>
        <v>0</v>
      </c>
      <c r="EI217" s="447">
        <f t="shared" si="130"/>
        <v>0</v>
      </c>
      <c r="EJ217" s="364">
        <f t="shared" si="131"/>
        <v>0</v>
      </c>
      <c r="EK217" s="365">
        <f t="shared" si="132"/>
        <v>0</v>
      </c>
      <c r="EL217" s="529">
        <f t="shared" si="133"/>
        <v>0</v>
      </c>
      <c r="EM217" s="530">
        <v>0</v>
      </c>
      <c r="EN217" s="530">
        <v>0</v>
      </c>
      <c r="EO217" s="530">
        <v>0</v>
      </c>
      <c r="EP217" s="530">
        <v>0</v>
      </c>
      <c r="EQ217" s="530">
        <v>0</v>
      </c>
      <c r="ER217" s="530">
        <v>0</v>
      </c>
      <c r="ES217" s="530">
        <v>0</v>
      </c>
      <c r="ET217" s="530">
        <v>0</v>
      </c>
      <c r="EU217" s="530">
        <v>0</v>
      </c>
      <c r="EV217" s="530">
        <v>0</v>
      </c>
      <c r="EW217" s="530">
        <v>0</v>
      </c>
      <c r="EX217" s="530">
        <v>0</v>
      </c>
      <c r="EY217" s="530">
        <f t="shared" si="134"/>
        <v>0</v>
      </c>
      <c r="EZ217" s="530">
        <f t="shared" si="135"/>
        <v>0</v>
      </c>
      <c r="FA217" s="530">
        <f t="shared" si="136"/>
        <v>0</v>
      </c>
      <c r="FB217" s="530">
        <f t="shared" si="137"/>
        <v>0</v>
      </c>
      <c r="FC217" s="384">
        <f>IFERROR(VLOOKUP(Capex!A212,BASE_558!D:R,8,FALSE)/1000,"")</f>
        <v>772.53399999999999</v>
      </c>
      <c r="FD217" s="328">
        <f>IFERROR(VLOOKUP(Capex!A212,BASE_558!D:R,9,)/1000,"")</f>
        <v>587.59379000000001</v>
      </c>
      <c r="FE217" s="328">
        <f>IFERROR(IF(LEFT(A217,3)="LCP",(VLOOKUP(Capex!A212,BASE_558!D:R,10,)/1000),SUMIFS('BASE ICP_PO_SC'!F:F,'BASE ICP_PO_SC'!A:A,Capex!A212,'BASE ICP_PO_SC'!E:E,"&lt;&gt;")/1000),"")</f>
        <v>0</v>
      </c>
      <c r="FF217" s="328">
        <f>IFERROR(IF(LEFT(A217,3)="LCP",(VLOOKUP(Capex!A212,BASE_558!D:R,11,)/1000),SUMIFS('BASE ICP_PO_SC'!F:F,'BASE ICP_PO_SC'!A:A,Capex!A212,'BASE ICP_PO_SC'!E:E,"")/1000),"")</f>
        <v>0</v>
      </c>
      <c r="FG217" s="328">
        <f>IFERROR(VLOOKUP(A217,BASE_558!D:R,13,FALSE)/1000,"")</f>
        <v>71.999449999999996</v>
      </c>
      <c r="FH217" s="328">
        <f>IFERROR(VLOOKUP(A217,BASE_558!D:R,15,FALSE)/1000,"")</f>
        <v>3.0005500000000001</v>
      </c>
      <c r="FI217" s="547">
        <f t="shared" si="138"/>
        <v>0</v>
      </c>
      <c r="FJ217" s="547">
        <f t="shared" si="139"/>
        <v>0</v>
      </c>
      <c r="FK217" s="540">
        <f t="shared" si="140"/>
        <v>0</v>
      </c>
    </row>
    <row r="218" spans="1:167" s="23" customFormat="1" ht="24" customHeight="1">
      <c r="A218" s="84" t="s">
        <v>779</v>
      </c>
      <c r="B218" s="404"/>
      <c r="C218" s="404" t="s">
        <v>1264</v>
      </c>
      <c r="D218" s="338" t="s">
        <v>1885</v>
      </c>
      <c r="E218" s="378">
        <v>3872158</v>
      </c>
      <c r="F218" s="5"/>
      <c r="G218" s="310" t="s">
        <v>9</v>
      </c>
      <c r="H218" s="356" t="s">
        <v>6</v>
      </c>
      <c r="I218" s="356"/>
      <c r="J218" s="356">
        <v>2021</v>
      </c>
      <c r="K218" s="352">
        <v>44305</v>
      </c>
      <c r="L218" s="317"/>
      <c r="M218" s="409"/>
      <c r="N218" s="317">
        <f t="shared" si="109"/>
        <v>45217</v>
      </c>
      <c r="O218" s="317">
        <f t="shared" si="110"/>
        <v>45582</v>
      </c>
      <c r="P218" s="418" t="str">
        <f t="shared" si="142"/>
        <v>SIM</v>
      </c>
      <c r="Q218" s="418" t="str">
        <f t="shared" si="142"/>
        <v>SIM</v>
      </c>
      <c r="R218" s="418" t="str">
        <f t="shared" si="142"/>
        <v>SIM</v>
      </c>
      <c r="S218" s="418" t="str">
        <f t="shared" si="142"/>
        <v>SIM</v>
      </c>
      <c r="T218" s="418" t="str">
        <f t="shared" si="142"/>
        <v>SIM</v>
      </c>
      <c r="U218" s="418" t="str">
        <f t="shared" si="142"/>
        <v>SIM</v>
      </c>
      <c r="V218" s="418" t="str">
        <f t="shared" si="142"/>
        <v>SIM</v>
      </c>
      <c r="W218" s="418" t="str">
        <f t="shared" si="142"/>
        <v>SIM</v>
      </c>
      <c r="X218" s="418" t="str">
        <f t="shared" si="142"/>
        <v>SIM</v>
      </c>
      <c r="Y218" s="418" t="str">
        <f t="shared" si="142"/>
        <v>SIM</v>
      </c>
      <c r="Z218" s="418" t="str">
        <f t="shared" si="142"/>
        <v>SIM</v>
      </c>
      <c r="AA218" s="551" t="str">
        <f t="shared" si="142"/>
        <v>SIM</v>
      </c>
      <c r="AB218" s="350"/>
      <c r="AC218" s="309" t="s">
        <v>3932</v>
      </c>
      <c r="AD218" s="311" t="s">
        <v>224</v>
      </c>
      <c r="AE218" s="381" t="s">
        <v>957</v>
      </c>
      <c r="AF218" s="310" t="s">
        <v>6985</v>
      </c>
      <c r="AG218" s="262" t="s">
        <v>2251</v>
      </c>
      <c r="AH218" s="310" t="s">
        <v>1073</v>
      </c>
      <c r="AI218" s="381" t="s">
        <v>186</v>
      </c>
      <c r="AJ218" s="6" t="s">
        <v>6786</v>
      </c>
      <c r="AK218" s="6" t="str">
        <f t="shared" si="118"/>
        <v>IGUAL</v>
      </c>
      <c r="AL218" s="151" t="str">
        <f>IFERROR(IF(LEFT(A218,3)="LCP",VLOOKUP(A218,STATUS_SAP_LCP!B:C,2,FALSE),VLOOKUP(A218,STATUS_SAP_ICP!B:C,2,FALSE)),"NO BUDGET")</f>
        <v>REL  BUDG AUC  AVAC  //  APPR BNRL INPL</v>
      </c>
      <c r="AM218" s="6" t="str">
        <f t="shared" si="116"/>
        <v xml:space="preserve">REL </v>
      </c>
      <c r="AN218" s="428" t="s">
        <v>18970</v>
      </c>
      <c r="AO218" s="561"/>
      <c r="AP218" s="499" t="s">
        <v>10767</v>
      </c>
      <c r="AQ218" s="465">
        <v>46022</v>
      </c>
      <c r="AR218" s="460"/>
      <c r="AS218" s="57"/>
      <c r="AT218" s="185"/>
      <c r="AU218" s="318">
        <v>90.62915000000001</v>
      </c>
      <c r="AV218" s="223">
        <v>5.19564</v>
      </c>
      <c r="AW218" s="318">
        <v>0</v>
      </c>
      <c r="AX218" s="223">
        <v>0</v>
      </c>
      <c r="AY218" s="318">
        <f t="shared" si="111"/>
        <v>0</v>
      </c>
      <c r="AZ218" s="223"/>
      <c r="BA218" s="318"/>
      <c r="BB218" s="519">
        <f t="shared" si="112"/>
        <v>30</v>
      </c>
      <c r="BC218" s="518">
        <v>0</v>
      </c>
      <c r="BD218" s="518">
        <v>0</v>
      </c>
      <c r="BE218" s="518">
        <v>0</v>
      </c>
      <c r="BF218" s="518">
        <v>0</v>
      </c>
      <c r="BG218" s="518">
        <v>15</v>
      </c>
      <c r="BH218" s="518">
        <v>15</v>
      </c>
      <c r="BI218" s="518">
        <v>0</v>
      </c>
      <c r="BJ218" s="518">
        <v>0</v>
      </c>
      <c r="BK218" s="518">
        <v>0</v>
      </c>
      <c r="BL218" s="518">
        <v>0</v>
      </c>
      <c r="BM218" s="518">
        <v>0</v>
      </c>
      <c r="BN218" s="518">
        <v>0</v>
      </c>
      <c r="BO218" s="367">
        <f t="shared" si="119"/>
        <v>0</v>
      </c>
      <c r="BP218" s="421">
        <v>0</v>
      </c>
      <c r="BQ218" s="422"/>
      <c r="BR218" s="423">
        <f>IFERROR(IF(LEFT($A218,3)="Lcp",SUMIFS('BASE-LCP'!$K:$K,'BASE-LCP'!$A:$A,Capex!$A213,'BASE-LCP'!$B:$B,"janeiro")/1000,IF(LEFT($A218,3)="icp",SUMIFS('BASE-ICP'!$K:$K,'BASE-ICP'!$A:$A,Capex!$A213,'BASE-ICP'!$B:$B,"janeiro")/1000,"")),"")</f>
        <v>0</v>
      </c>
      <c r="BS218" s="427">
        <v>0</v>
      </c>
      <c r="BT218" s="372">
        <v>0</v>
      </c>
      <c r="BU218" s="422"/>
      <c r="BV218" s="423">
        <f>IFERROR(IF(LEFT($A218,3)="Lcp",SUMIFS('BASE-LCP'!$K:$K,'BASE-LCP'!$A:$A,Capex!$A213,'BASE-LCP'!$B:$B,"fevereiro")/1000,IF(LEFT($A218,3)="icp",SUMIFS('BASE-ICP'!$K:$K,'BASE-ICP'!$A:$A,Capex!$A213,'BASE-ICP'!$B:$B,"fevereiro")/1000,"")),"")</f>
        <v>0</v>
      </c>
      <c r="BW218" s="427">
        <v>0</v>
      </c>
      <c r="BX218" s="372">
        <v>0</v>
      </c>
      <c r="BY218" s="419"/>
      <c r="BZ218" s="423">
        <f>IFERROR(IF(LEFT($A218,3)="Lcp",SUMIFS('BASE-LCP'!$K:$K,'BASE-LCP'!$A:$A,Capex!$A213,'BASE-LCP'!$B:$B,"março")/1000,IF(LEFT($A218,3)="icp",SUMIFS('BASE-ICP'!$K:$K,'BASE-ICP'!$A:$A,Capex!$A213,'BASE-ICP'!$B:$B,"março")/1000,"")),"")</f>
        <v>0</v>
      </c>
      <c r="CA218" s="427">
        <v>0</v>
      </c>
      <c r="CB218" s="372">
        <v>0</v>
      </c>
      <c r="CC218" s="422"/>
      <c r="CD218" s="423">
        <f>IFERROR(IF(LEFT($A218,3)="Lcp",SUMIFS('BASE-LCP'!$K:$K,'BASE-LCP'!$A:$A,Capex!$A213,'BASE-LCP'!$B:$B,"abril")/1000,IF(LEFT($A218,3)="icp",SUMIFS('BASE-ICP'!$K:$K,'BASE-ICP'!$A:$A,Capex!$A213,'BASE-ICP'!$B:$B,"abril")/1000,"")),"")</f>
        <v>0</v>
      </c>
      <c r="CE218" s="427">
        <v>0</v>
      </c>
      <c r="CF218" s="372">
        <v>0</v>
      </c>
      <c r="CG218" s="419"/>
      <c r="CH218" s="423">
        <v>0</v>
      </c>
      <c r="CI218" s="427">
        <v>0</v>
      </c>
      <c r="CJ218" s="372">
        <v>0</v>
      </c>
      <c r="CK218" s="419"/>
      <c r="CL218" s="423">
        <f>IFERROR(IF(LEFT($A218,3)="Lcp",SUMIFS('BASE-LCP'!$K:$K,'BASE-LCP'!$A:$A,Capex!$A213,'BASE-LCP'!$B:$B,"junho")/1000,IF(LEFT($A218,3)="icp",SUMIFS('BASE-ICP'!$K:$K,'BASE-ICP'!$A:$A,Capex!$A213,'BASE-ICP'!$B:$B,"junho")/1000,"")),"")</f>
        <v>0</v>
      </c>
      <c r="CM218" s="427">
        <v>0</v>
      </c>
      <c r="CN218" s="372"/>
      <c r="CO218" s="419"/>
      <c r="CP218" s="423">
        <f>IFERROR(IF(LEFT($A218,3)="Lcp",SUMIFS('BASE-LCP'!$K:$K,'BASE-LCP'!$A:$A,Capex!$A213,'BASE-LCP'!$B:$B,"julho")/1000,IF(LEFT($A218,3)="icp",SUMIFS('BASE-ICP'!$K:$K,'BASE-ICP'!$A:$A,Capex!$A213,'BASE-ICP'!$B:$B,"julho")/1000,"")),"")</f>
        <v>0</v>
      </c>
      <c r="CQ218" s="427">
        <v>0</v>
      </c>
      <c r="CR218" s="372"/>
      <c r="CS218" s="419"/>
      <c r="CT218" s="423">
        <f>IFERROR(IF(LEFT($A218,3)="Lcp",SUMIFS('BASE-LCP'!$K:$K,'BASE-LCP'!$A:$A,Capex!$A213,'BASE-LCP'!$B:$B,"agosto")/1000,IF(LEFT($A218,3)="icp",SUMIFS('BASE-ICP'!$K:$K,'BASE-ICP'!$A:$A,Capex!$A213,'BASE-ICP'!$B:$B,"agosto")/1000,"")),"")</f>
        <v>0</v>
      </c>
      <c r="CU218" s="427">
        <v>0</v>
      </c>
      <c r="CV218" s="372"/>
      <c r="CW218" s="419"/>
      <c r="CX218" s="423">
        <f>IFERROR(IF(LEFT($A218,3)="Lcp",SUMIFS('BASE-LCP'!$K:$K,'BASE-LCP'!$A:$A,Capex!$A213,'BASE-LCP'!$B:$B,"setembro")/1000,IF(LEFT($A218,3)="icp",SUMIFS('BASE-ICP'!$K:$K,'BASE-ICP'!$A:$A,Capex!$A213,'BASE-ICP'!$B:$B,"setembro")/1000,"")),"")</f>
        <v>0</v>
      </c>
      <c r="CY218" s="427">
        <v>0</v>
      </c>
      <c r="CZ218" s="372"/>
      <c r="DA218" s="419"/>
      <c r="DB218" s="423">
        <f>IFERROR(IF(LEFT($A218,3)="Lcp",SUMIFS('BASE-LCP'!$K:$K,'BASE-LCP'!$A:$A,Capex!$A213,'BASE-LCP'!$B:$B,"outubro")/1000,IF(LEFT($A218,3)="icp",SUMIFS('BASE-ICP'!$K:$K,'BASE-ICP'!$A:$A,Capex!$A213,'BASE-ICP'!$B:$B,"outubro")/1000,"")),"")</f>
        <v>0</v>
      </c>
      <c r="DC218" s="427">
        <v>0</v>
      </c>
      <c r="DD218" s="372"/>
      <c r="DE218" s="419"/>
      <c r="DF218" s="423">
        <f>IFERROR(IF(LEFT($A218,3)="Lcp",SUMIFS('BASE-LCP'!$K:$K,'BASE-LCP'!$A:$A,Capex!$A213,'BASE-LCP'!$B:$B,"novembro")/1000,IF(LEFT($A218,3)="icp",SUMIFS('BASE-ICP'!$K:$K,'BASE-ICP'!$A:$A,Capex!$A213,'BASE-ICP'!$B:$B,"novembro")/1000,"")),"")</f>
        <v>0</v>
      </c>
      <c r="DG218" s="427">
        <v>0</v>
      </c>
      <c r="DH218" s="372"/>
      <c r="DI218" s="419"/>
      <c r="DJ218" s="423">
        <f>IFERROR(IF(LEFT($A218,3)="Lcp",SUMIFS('BASE-LCP'!$K:$K,'BASE-LCP'!$A:$A,Capex!$A213,'BASE-LCP'!$B:$B,"dezembro")/1000,IF(LEFT($A218,3)="icp",SUMIFS('BASE-ICP'!$K:$K,'BASE-ICP'!$A:$A,Capex!$A213,'BASE-ICP'!$B:$B,"dezembro")/1000,"")),"")</f>
        <v>0</v>
      </c>
      <c r="DK218" s="427">
        <v>0</v>
      </c>
      <c r="DL218" s="452">
        <f t="shared" si="120"/>
        <v>0</v>
      </c>
      <c r="DM218" s="374"/>
      <c r="DN218" s="374">
        <v>0</v>
      </c>
      <c r="DO218" s="374"/>
      <c r="DP218" s="374"/>
      <c r="DQ218" s="374"/>
      <c r="DR218" s="374"/>
      <c r="DS218" s="374"/>
      <c r="DT218" s="374"/>
      <c r="DU218" s="374"/>
      <c r="DV218" s="374"/>
      <c r="DW218" s="374"/>
      <c r="DX218" s="374"/>
      <c r="DY218" s="450"/>
      <c r="DZ218" s="374">
        <f t="shared" si="121"/>
        <v>0</v>
      </c>
      <c r="EA218" s="216">
        <f t="shared" si="122"/>
        <v>0</v>
      </c>
      <c r="EB218" s="320">
        <f t="shared" si="123"/>
        <v>0</v>
      </c>
      <c r="EC218" s="241">
        <f t="shared" si="124"/>
        <v>0</v>
      </c>
      <c r="ED218" s="241">
        <f t="shared" si="125"/>
        <v>0</v>
      </c>
      <c r="EE218" s="241">
        <f t="shared" si="126"/>
        <v>0</v>
      </c>
      <c r="EF218" s="241">
        <f t="shared" si="127"/>
        <v>0</v>
      </c>
      <c r="EG218" s="346">
        <f t="shared" si="128"/>
        <v>-30</v>
      </c>
      <c r="EH218" s="445">
        <f t="shared" si="129"/>
        <v>0</v>
      </c>
      <c r="EI218" s="447">
        <f t="shared" si="130"/>
        <v>0</v>
      </c>
      <c r="EJ218" s="364">
        <f t="shared" si="131"/>
        <v>0</v>
      </c>
      <c r="EK218" s="365">
        <f t="shared" si="132"/>
        <v>0</v>
      </c>
      <c r="EL218" s="529">
        <f t="shared" si="133"/>
        <v>0</v>
      </c>
      <c r="EM218" s="530">
        <v>0</v>
      </c>
      <c r="EN218" s="530">
        <v>0</v>
      </c>
      <c r="EO218" s="530">
        <v>0</v>
      </c>
      <c r="EP218" s="530">
        <v>0</v>
      </c>
      <c r="EQ218" s="530">
        <v>0</v>
      </c>
      <c r="ER218" s="530">
        <v>0</v>
      </c>
      <c r="ES218" s="530">
        <v>0</v>
      </c>
      <c r="ET218" s="530">
        <v>0</v>
      </c>
      <c r="EU218" s="530">
        <v>0</v>
      </c>
      <c r="EV218" s="530">
        <v>0</v>
      </c>
      <c r="EW218" s="530">
        <v>0</v>
      </c>
      <c r="EX218" s="530">
        <v>0</v>
      </c>
      <c r="EY218" s="530">
        <f t="shared" si="134"/>
        <v>0</v>
      </c>
      <c r="EZ218" s="530">
        <f t="shared" si="135"/>
        <v>0</v>
      </c>
      <c r="FA218" s="530">
        <f t="shared" si="136"/>
        <v>0</v>
      </c>
      <c r="FB218" s="530">
        <f t="shared" si="137"/>
        <v>0</v>
      </c>
      <c r="FC218" s="384">
        <f>IFERROR(VLOOKUP(Capex!A213,BASE_558!D:R,8,FALSE)/1000,"")</f>
        <v>241.2</v>
      </c>
      <c r="FD218" s="328">
        <f>IFERROR(VLOOKUP(Capex!A213,BASE_558!D:R,9,)/1000,"")</f>
        <v>204.56872000000001</v>
      </c>
      <c r="FE218" s="328">
        <f>IFERROR(IF(LEFT(A218,3)="LCP",(VLOOKUP(Capex!A213,BASE_558!D:R,10,)/1000),SUMIFS('BASE ICP_PO_SC'!F:F,'BASE ICP_PO_SC'!A:A,Capex!A213,'BASE ICP_PO_SC'!E:E,"&lt;&gt;")/1000),"")</f>
        <v>0</v>
      </c>
      <c r="FF218" s="328">
        <f>IFERROR(IF(LEFT(A218,3)="LCP",(VLOOKUP(Capex!A213,BASE_558!D:R,11,)/1000),SUMIFS('BASE ICP_PO_SC'!F:F,'BASE ICP_PO_SC'!A:A,Capex!A213,'BASE ICP_PO_SC'!E:E,"")/1000),"")</f>
        <v>0</v>
      </c>
      <c r="FG218" s="328">
        <f>IFERROR(VLOOKUP(A218,BASE_558!D:R,13,FALSE)/1000,"")</f>
        <v>95.824789999999993</v>
      </c>
      <c r="FH218" s="328">
        <f>IFERROR(VLOOKUP(A218,BASE_558!D:R,15,FALSE)/1000,"")</f>
        <v>4.1752099999999999</v>
      </c>
      <c r="FI218" s="547">
        <f t="shared" si="138"/>
        <v>0</v>
      </c>
      <c r="FJ218" s="547">
        <f t="shared" si="139"/>
        <v>0</v>
      </c>
      <c r="FK218" s="540">
        <f t="shared" si="140"/>
        <v>0</v>
      </c>
    </row>
    <row r="219" spans="1:167" s="23" customFormat="1" ht="24" customHeight="1">
      <c r="A219" s="84" t="s">
        <v>805</v>
      </c>
      <c r="B219" s="404"/>
      <c r="C219" s="404" t="s">
        <v>602</v>
      </c>
      <c r="D219" s="338" t="s">
        <v>2262</v>
      </c>
      <c r="E219" s="378">
        <v>3963949</v>
      </c>
      <c r="F219" s="5"/>
      <c r="G219" s="310" t="s">
        <v>9</v>
      </c>
      <c r="H219" s="338"/>
      <c r="I219" s="356" t="s">
        <v>6</v>
      </c>
      <c r="J219" s="356">
        <v>2021</v>
      </c>
      <c r="K219" s="321">
        <v>44305</v>
      </c>
      <c r="L219" s="317">
        <v>44553</v>
      </c>
      <c r="M219" s="409"/>
      <c r="N219" s="317">
        <f t="shared" si="109"/>
        <v>45217</v>
      </c>
      <c r="O219" s="317">
        <f t="shared" si="110"/>
        <v>45582</v>
      </c>
      <c r="P219" s="418" t="str">
        <f t="shared" si="142"/>
        <v>CRTD</v>
      </c>
      <c r="Q219" s="418" t="str">
        <f t="shared" si="142"/>
        <v>CRTD</v>
      </c>
      <c r="R219" s="418" t="str">
        <f t="shared" si="142"/>
        <v>CRTD</v>
      </c>
      <c r="S219" s="418" t="str">
        <f t="shared" si="142"/>
        <v>CRTD</v>
      </c>
      <c r="T219" s="418" t="str">
        <f t="shared" si="142"/>
        <v>CRTD</v>
      </c>
      <c r="U219" s="418" t="str">
        <f t="shared" si="142"/>
        <v>CRTD</v>
      </c>
      <c r="V219" s="418" t="str">
        <f t="shared" si="142"/>
        <v>CRTD</v>
      </c>
      <c r="W219" s="418" t="str">
        <f t="shared" si="142"/>
        <v>CRTD</v>
      </c>
      <c r="X219" s="418" t="str">
        <f t="shared" si="142"/>
        <v>CRTD</v>
      </c>
      <c r="Y219" s="418" t="str">
        <f t="shared" si="142"/>
        <v>CRTD</v>
      </c>
      <c r="Z219" s="418" t="str">
        <f t="shared" si="142"/>
        <v>CRTD</v>
      </c>
      <c r="AA219" s="418" t="str">
        <f t="shared" si="142"/>
        <v>CRTD</v>
      </c>
      <c r="AB219" s="350"/>
      <c r="AC219" s="309" t="s">
        <v>2508</v>
      </c>
      <c r="AD219" s="311"/>
      <c r="AE219" s="381"/>
      <c r="AF219" s="310" t="s">
        <v>6985</v>
      </c>
      <c r="AG219" s="310" t="s">
        <v>9083</v>
      </c>
      <c r="AH219" s="310" t="s">
        <v>806</v>
      </c>
      <c r="AI219" s="309" t="s">
        <v>186</v>
      </c>
      <c r="AJ219" s="6" t="s">
        <v>218</v>
      </c>
      <c r="AK219" s="6" t="str">
        <f t="shared" si="118"/>
        <v>IGUAL</v>
      </c>
      <c r="AL219" s="151" t="str">
        <f>IFERROR(IF(LEFT(A219,3)="LCP",VLOOKUP(A219,STATUS_SAP_LCP!B:C,2,FALSE),VLOOKUP(A219,STATUS_SAP_ICP!B:C,2,FALSE)),"NO BUDGET")</f>
        <v>CLSD BUDG AVAC  //  APPR BREL EXPL</v>
      </c>
      <c r="AM219" s="6" t="str">
        <f t="shared" si="116"/>
        <v>CLSD</v>
      </c>
      <c r="AN219" s="414" t="s">
        <v>9087</v>
      </c>
      <c r="AO219" s="558">
        <v>1</v>
      </c>
      <c r="AP219" s="499" t="s">
        <v>9607</v>
      </c>
      <c r="AQ219" s="465">
        <v>44553</v>
      </c>
      <c r="AR219" s="460"/>
      <c r="AS219" s="57"/>
      <c r="AT219" s="185"/>
      <c r="AU219" s="318">
        <v>46.03199</v>
      </c>
      <c r="AV219" s="223">
        <v>0</v>
      </c>
      <c r="AW219" s="318">
        <v>0</v>
      </c>
      <c r="AX219" s="223">
        <v>0</v>
      </c>
      <c r="AY219" s="318">
        <f t="shared" si="111"/>
        <v>0</v>
      </c>
      <c r="AZ219" s="223"/>
      <c r="BA219" s="318"/>
      <c r="BB219" s="519">
        <f t="shared" si="112"/>
        <v>0</v>
      </c>
      <c r="BC219" s="518"/>
      <c r="BD219" s="518"/>
      <c r="BE219" s="518"/>
      <c r="BF219" s="518"/>
      <c r="BG219" s="518"/>
      <c r="BH219" s="518"/>
      <c r="BI219" s="518"/>
      <c r="BJ219" s="518"/>
      <c r="BK219" s="518"/>
      <c r="BL219" s="518"/>
      <c r="BM219" s="518"/>
      <c r="BN219" s="518"/>
      <c r="BO219" s="367">
        <f t="shared" si="119"/>
        <v>0</v>
      </c>
      <c r="BP219" s="421"/>
      <c r="BQ219" s="422"/>
      <c r="BR219" s="423">
        <f>IFERROR(IF(LEFT($A219,3)="Lcp",SUMIFS('BASE-LCP'!$K:$K,'BASE-LCP'!$A:$A,Capex!$A214,'BASE-LCP'!$B:$B,"janeiro")/1000,IF(LEFT($A219,3)="icp",SUMIFS('BASE-ICP'!$K:$K,'BASE-ICP'!$A:$A,Capex!$A214,'BASE-ICP'!$B:$B,"janeiro")/1000,"")),"")</f>
        <v>0</v>
      </c>
      <c r="BS219" s="427">
        <v>0</v>
      </c>
      <c r="BT219" s="372">
        <v>0</v>
      </c>
      <c r="BU219" s="422"/>
      <c r="BV219" s="423">
        <f>IFERROR(IF(LEFT($A219,3)="Lcp",SUMIFS('BASE-LCP'!$K:$K,'BASE-LCP'!$A:$A,Capex!$A214,'BASE-LCP'!$B:$B,"fevereiro")/1000,IF(LEFT($A219,3)="icp",SUMIFS('BASE-ICP'!$K:$K,'BASE-ICP'!$A:$A,Capex!$A214,'BASE-ICP'!$B:$B,"fevereiro")/1000,"")),"")</f>
        <v>0</v>
      </c>
      <c r="BW219" s="427">
        <v>0</v>
      </c>
      <c r="BX219" s="372">
        <v>0</v>
      </c>
      <c r="BY219" s="419"/>
      <c r="BZ219" s="423">
        <f>IFERROR(IF(LEFT($A219,3)="Lcp",SUMIFS('BASE-LCP'!$K:$K,'BASE-LCP'!$A:$A,Capex!$A214,'BASE-LCP'!$B:$B,"março")/1000,IF(LEFT($A219,3)="icp",SUMIFS('BASE-ICP'!$K:$K,'BASE-ICP'!$A:$A,Capex!$A214,'BASE-ICP'!$B:$B,"março")/1000,"")),"")</f>
        <v>0</v>
      </c>
      <c r="CA219" s="427">
        <v>0</v>
      </c>
      <c r="CB219" s="372">
        <v>0</v>
      </c>
      <c r="CC219" s="422"/>
      <c r="CD219" s="423">
        <f>IFERROR(IF(LEFT($A219,3)="Lcp",SUMIFS('BASE-LCP'!$K:$K,'BASE-LCP'!$A:$A,Capex!$A214,'BASE-LCP'!$B:$B,"abril")/1000,IF(LEFT($A219,3)="icp",SUMIFS('BASE-ICP'!$K:$K,'BASE-ICP'!$A:$A,Capex!$A214,'BASE-ICP'!$B:$B,"abril")/1000,"")),"")</f>
        <v>0</v>
      </c>
      <c r="CE219" s="427">
        <v>0</v>
      </c>
      <c r="CF219" s="372">
        <v>0</v>
      </c>
      <c r="CG219" s="419"/>
      <c r="CH219" s="423">
        <v>0</v>
      </c>
      <c r="CI219" s="427">
        <v>0</v>
      </c>
      <c r="CJ219" s="372">
        <v>0</v>
      </c>
      <c r="CK219" s="419"/>
      <c r="CL219" s="423">
        <f>IFERROR(IF(LEFT($A219,3)="Lcp",SUMIFS('BASE-LCP'!$K:$K,'BASE-LCP'!$A:$A,Capex!$A214,'BASE-LCP'!$B:$B,"junho")/1000,IF(LEFT($A219,3)="icp",SUMIFS('BASE-ICP'!$K:$K,'BASE-ICP'!$A:$A,Capex!$A214,'BASE-ICP'!$B:$B,"junho")/1000,"")),"")</f>
        <v>0</v>
      </c>
      <c r="CM219" s="427">
        <v>0</v>
      </c>
      <c r="CN219" s="372"/>
      <c r="CO219" s="419"/>
      <c r="CP219" s="423">
        <f>IFERROR(IF(LEFT($A219,3)="Lcp",SUMIFS('BASE-LCP'!$K:$K,'BASE-LCP'!$A:$A,Capex!$A214,'BASE-LCP'!$B:$B,"julho")/1000,IF(LEFT($A219,3)="icp",SUMIFS('BASE-ICP'!$K:$K,'BASE-ICP'!$A:$A,Capex!$A214,'BASE-ICP'!$B:$B,"julho")/1000,"")),"")</f>
        <v>0</v>
      </c>
      <c r="CQ219" s="427">
        <v>0</v>
      </c>
      <c r="CR219" s="372"/>
      <c r="CS219" s="419"/>
      <c r="CT219" s="423">
        <f>IFERROR(IF(LEFT($A219,3)="Lcp",SUMIFS('BASE-LCP'!$K:$K,'BASE-LCP'!$A:$A,Capex!$A214,'BASE-LCP'!$B:$B,"agosto")/1000,IF(LEFT($A219,3)="icp",SUMIFS('BASE-ICP'!$K:$K,'BASE-ICP'!$A:$A,Capex!$A214,'BASE-ICP'!$B:$B,"agosto")/1000,"")),"")</f>
        <v>0</v>
      </c>
      <c r="CU219" s="427">
        <v>0</v>
      </c>
      <c r="CV219" s="372"/>
      <c r="CW219" s="419"/>
      <c r="CX219" s="423">
        <f>IFERROR(IF(LEFT($A219,3)="Lcp",SUMIFS('BASE-LCP'!$K:$K,'BASE-LCP'!$A:$A,Capex!$A214,'BASE-LCP'!$B:$B,"setembro")/1000,IF(LEFT($A219,3)="icp",SUMIFS('BASE-ICP'!$K:$K,'BASE-ICP'!$A:$A,Capex!$A214,'BASE-ICP'!$B:$B,"setembro")/1000,"")),"")</f>
        <v>0</v>
      </c>
      <c r="CY219" s="427">
        <v>0</v>
      </c>
      <c r="CZ219" s="372"/>
      <c r="DA219" s="419"/>
      <c r="DB219" s="423">
        <f>IFERROR(IF(LEFT($A219,3)="Lcp",SUMIFS('BASE-LCP'!$K:$K,'BASE-LCP'!$A:$A,Capex!$A214,'BASE-LCP'!$B:$B,"outubro")/1000,IF(LEFT($A219,3)="icp",SUMIFS('BASE-ICP'!$K:$K,'BASE-ICP'!$A:$A,Capex!$A214,'BASE-ICP'!$B:$B,"outubro")/1000,"")),"")</f>
        <v>0</v>
      </c>
      <c r="DC219" s="427">
        <v>0</v>
      </c>
      <c r="DD219" s="319"/>
      <c r="DE219" s="419"/>
      <c r="DF219" s="423">
        <f>IFERROR(IF(LEFT($A219,3)="Lcp",SUMIFS('BASE-LCP'!$K:$K,'BASE-LCP'!$A:$A,Capex!$A214,'BASE-LCP'!$B:$B,"novembro")/1000,IF(LEFT($A219,3)="icp",SUMIFS('BASE-ICP'!$K:$K,'BASE-ICP'!$A:$A,Capex!$A214,'BASE-ICP'!$B:$B,"novembro")/1000,"")),"")</f>
        <v>0</v>
      </c>
      <c r="DG219" s="427">
        <v>0</v>
      </c>
      <c r="DH219" s="319"/>
      <c r="DI219" s="419"/>
      <c r="DJ219" s="423">
        <f>IFERROR(IF(LEFT($A219,3)="Lcp",SUMIFS('BASE-LCP'!$K:$K,'BASE-LCP'!$A:$A,Capex!$A214,'BASE-LCP'!$B:$B,"dezembro")/1000,IF(LEFT($A219,3)="icp",SUMIFS('BASE-ICP'!$K:$K,'BASE-ICP'!$A:$A,Capex!$A214,'BASE-ICP'!$B:$B,"dezembro")/1000,"")),"")</f>
        <v>0</v>
      </c>
      <c r="DK219" s="427">
        <v>0</v>
      </c>
      <c r="DL219" s="452">
        <f t="shared" si="120"/>
        <v>0</v>
      </c>
      <c r="DM219" s="374"/>
      <c r="DN219" s="374"/>
      <c r="DO219" s="374"/>
      <c r="DP219" s="374"/>
      <c r="DQ219" s="374"/>
      <c r="DR219" s="374"/>
      <c r="DS219" s="374"/>
      <c r="DT219" s="374"/>
      <c r="DU219" s="374"/>
      <c r="DV219" s="374"/>
      <c r="DW219" s="374"/>
      <c r="DX219" s="374"/>
      <c r="DY219" s="450"/>
      <c r="DZ219" s="374">
        <f t="shared" si="121"/>
        <v>0</v>
      </c>
      <c r="EA219" s="216">
        <f t="shared" si="122"/>
        <v>0</v>
      </c>
      <c r="EB219" s="320">
        <f t="shared" si="123"/>
        <v>0</v>
      </c>
      <c r="EC219" s="241">
        <f t="shared" si="124"/>
        <v>0</v>
      </c>
      <c r="ED219" s="241">
        <f t="shared" si="125"/>
        <v>0</v>
      </c>
      <c r="EE219" s="241">
        <f t="shared" si="126"/>
        <v>0</v>
      </c>
      <c r="EF219" s="241">
        <f t="shared" si="127"/>
        <v>0</v>
      </c>
      <c r="EG219" s="346">
        <f t="shared" si="128"/>
        <v>0</v>
      </c>
      <c r="EH219" s="445">
        <f t="shared" si="129"/>
        <v>0</v>
      </c>
      <c r="EI219" s="447">
        <f t="shared" si="130"/>
        <v>0</v>
      </c>
      <c r="EJ219" s="364">
        <f t="shared" si="131"/>
        <v>0</v>
      </c>
      <c r="EK219" s="365">
        <f t="shared" si="132"/>
        <v>0</v>
      </c>
      <c r="EL219" s="529">
        <f t="shared" si="133"/>
        <v>0</v>
      </c>
      <c r="EM219" s="530">
        <v>0</v>
      </c>
      <c r="EN219" s="530">
        <v>0</v>
      </c>
      <c r="EO219" s="530">
        <v>0</v>
      </c>
      <c r="EP219" s="530">
        <v>0</v>
      </c>
      <c r="EQ219" s="530">
        <v>0</v>
      </c>
      <c r="ER219" s="530">
        <v>0</v>
      </c>
      <c r="ES219" s="530">
        <v>0</v>
      </c>
      <c r="ET219" s="530">
        <v>0</v>
      </c>
      <c r="EU219" s="530">
        <v>0</v>
      </c>
      <c r="EV219" s="530">
        <v>0</v>
      </c>
      <c r="EW219" s="530">
        <v>0</v>
      </c>
      <c r="EX219" s="530">
        <v>0</v>
      </c>
      <c r="EY219" s="530">
        <f t="shared" si="134"/>
        <v>0</v>
      </c>
      <c r="EZ219" s="530">
        <f t="shared" si="135"/>
        <v>0</v>
      </c>
      <c r="FA219" s="530">
        <f t="shared" si="136"/>
        <v>0</v>
      </c>
      <c r="FB219" s="530">
        <f t="shared" si="137"/>
        <v>0</v>
      </c>
      <c r="FC219" s="384">
        <f>IFERROR(VLOOKUP(Capex!A214,BASE_558!D:R,8,FALSE)/1000,"")</f>
        <v>197.8596</v>
      </c>
      <c r="FD219" s="328">
        <f>IFERROR(VLOOKUP(Capex!A214,BASE_558!D:R,9,)/1000,"")</f>
        <v>144.97120999999999</v>
      </c>
      <c r="FE219" s="328">
        <f>IFERROR(IF(LEFT(A219,3)="LCP",(VLOOKUP(Capex!A214,BASE_558!D:R,10,)/1000),SUMIFS('BASE ICP_PO_SC'!F:F,'BASE ICP_PO_SC'!A:A,Capex!A214,'BASE ICP_PO_SC'!E:E,"&lt;&gt;")/1000),"")</f>
        <v>14.27413</v>
      </c>
      <c r="FF219" s="328">
        <f>IFERROR(IF(LEFT(A219,3)="LCP",(VLOOKUP(Capex!A214,BASE_558!D:R,11,)/1000),SUMIFS('BASE ICP_PO_SC'!F:F,'BASE ICP_PO_SC'!A:A,Capex!A214,'BASE ICP_PO_SC'!E:E,"")/1000),"")</f>
        <v>0</v>
      </c>
      <c r="FG219" s="328">
        <f>IFERROR(VLOOKUP(A219,BASE_558!D:R,13,FALSE)/1000,"")</f>
        <v>46.03199</v>
      </c>
      <c r="FH219" s="328">
        <f>IFERROR(VLOOKUP(A219,BASE_558!D:R,15,FALSE)/1000,"")</f>
        <v>80.828009999999992</v>
      </c>
      <c r="FI219" s="547">
        <f t="shared" si="138"/>
        <v>0</v>
      </c>
      <c r="FJ219" s="547">
        <f t="shared" si="139"/>
        <v>0</v>
      </c>
      <c r="FK219" s="540">
        <f t="shared" si="140"/>
        <v>0</v>
      </c>
    </row>
    <row r="220" spans="1:167" s="23" customFormat="1" ht="24" customHeight="1">
      <c r="A220" s="84" t="s">
        <v>807</v>
      </c>
      <c r="B220" s="404" t="s">
        <v>1019</v>
      </c>
      <c r="C220" s="404" t="s">
        <v>1264</v>
      </c>
      <c r="D220" s="338" t="s">
        <v>1898</v>
      </c>
      <c r="E220" s="378">
        <v>3981729</v>
      </c>
      <c r="F220" s="5"/>
      <c r="G220" s="310" t="s">
        <v>9</v>
      </c>
      <c r="H220" s="356" t="s">
        <v>6</v>
      </c>
      <c r="I220" s="356"/>
      <c r="J220" s="356">
        <v>2021</v>
      </c>
      <c r="K220" s="352">
        <v>44368</v>
      </c>
      <c r="L220" s="317"/>
      <c r="M220" s="409"/>
      <c r="N220" s="317">
        <f t="shared" ref="N220:N283" si="143">IF(K220+912=912,"",K220+912)</f>
        <v>45280</v>
      </c>
      <c r="O220" s="317">
        <f t="shared" ref="O220:O283" si="144">IF(K220+1277=1277,"",K220+1277)</f>
        <v>45645</v>
      </c>
      <c r="P220" s="418" t="str">
        <f t="shared" si="142"/>
        <v>SIM</v>
      </c>
      <c r="Q220" s="418" t="str">
        <f t="shared" si="142"/>
        <v>SIM</v>
      </c>
      <c r="R220" s="418" t="str">
        <f t="shared" si="142"/>
        <v>SIM</v>
      </c>
      <c r="S220" s="418" t="str">
        <f t="shared" si="142"/>
        <v>SIM</v>
      </c>
      <c r="T220" s="418" t="str">
        <f t="shared" si="142"/>
        <v>SIM</v>
      </c>
      <c r="U220" s="418" t="str">
        <f t="shared" si="142"/>
        <v>SIM</v>
      </c>
      <c r="V220" s="418" t="str">
        <f t="shared" si="142"/>
        <v>SIM</v>
      </c>
      <c r="W220" s="418" t="str">
        <f t="shared" si="142"/>
        <v>SIM</v>
      </c>
      <c r="X220" s="418" t="str">
        <f t="shared" si="142"/>
        <v>SIM</v>
      </c>
      <c r="Y220" s="418" t="str">
        <f t="shared" si="142"/>
        <v>SIM</v>
      </c>
      <c r="Z220" s="418" t="str">
        <f t="shared" si="142"/>
        <v>SIM</v>
      </c>
      <c r="AA220" s="551" t="str">
        <f t="shared" si="142"/>
        <v>SIM</v>
      </c>
      <c r="AB220" s="350"/>
      <c r="AC220" s="309" t="s">
        <v>3932</v>
      </c>
      <c r="AD220" s="311" t="s">
        <v>224</v>
      </c>
      <c r="AE220" s="381" t="s">
        <v>956</v>
      </c>
      <c r="AF220" s="310" t="s">
        <v>6985</v>
      </c>
      <c r="AG220" s="310" t="s">
        <v>2079</v>
      </c>
      <c r="AH220" s="310" t="s">
        <v>851</v>
      </c>
      <c r="AI220" s="381" t="s">
        <v>316</v>
      </c>
      <c r="AJ220" s="6" t="s">
        <v>6786</v>
      </c>
      <c r="AK220" s="6" t="str">
        <f t="shared" si="118"/>
        <v>DIFERENTE</v>
      </c>
      <c r="AL220" s="151" t="str">
        <f>IFERROR(IF(LEFT(A220,3)="LCP",VLOOKUP(A220,STATUS_SAP_LCP!B:C,2,FALSE),VLOOKUP(A220,STATUS_SAP_ICP!B:C,2,FALSE)),"NO BUDGET")</f>
        <v>TECO BUDG AUC  AVAC  //  APPR BREL INPL</v>
      </c>
      <c r="AM220" s="6" t="str">
        <f t="shared" si="116"/>
        <v>TECO</v>
      </c>
      <c r="AN220" s="428" t="s">
        <v>17675</v>
      </c>
      <c r="AO220" s="559"/>
      <c r="AP220" s="499" t="s">
        <v>9617</v>
      </c>
      <c r="AQ220" s="465">
        <v>45868</v>
      </c>
      <c r="AR220" s="460"/>
      <c r="AS220" s="57"/>
      <c r="AT220" s="185"/>
      <c r="AU220" s="318">
        <v>495.32669999999996</v>
      </c>
      <c r="AV220" s="223">
        <v>559.57690000000002</v>
      </c>
      <c r="AW220" s="318">
        <v>-91.398160000000004</v>
      </c>
      <c r="AX220" s="223">
        <v>4.6093299999999999</v>
      </c>
      <c r="AY220" s="318">
        <f t="shared" ref="AY220:AY283" si="145">BO220</f>
        <v>0.10525999999999999</v>
      </c>
      <c r="AZ220" s="223"/>
      <c r="BA220" s="318"/>
      <c r="BB220" s="519">
        <f t="shared" ref="BB220:BB283" si="146">SUM(BC220:BN220)</f>
        <v>0</v>
      </c>
      <c r="BC220" s="518">
        <v>0</v>
      </c>
      <c r="BD220" s="518">
        <v>0</v>
      </c>
      <c r="BE220" s="518">
        <v>0</v>
      </c>
      <c r="BF220" s="518">
        <v>0</v>
      </c>
      <c r="BG220" s="518">
        <v>0</v>
      </c>
      <c r="BH220" s="518">
        <v>0</v>
      </c>
      <c r="BI220" s="518">
        <v>0</v>
      </c>
      <c r="BJ220" s="518">
        <v>0</v>
      </c>
      <c r="BK220" s="518">
        <v>0</v>
      </c>
      <c r="BL220" s="518">
        <v>0</v>
      </c>
      <c r="BM220" s="518">
        <v>0</v>
      </c>
      <c r="BN220" s="518">
        <v>0</v>
      </c>
      <c r="BO220" s="367">
        <f t="shared" si="119"/>
        <v>0.10525999999999999</v>
      </c>
      <c r="BP220" s="421">
        <v>0</v>
      </c>
      <c r="BQ220" s="422"/>
      <c r="BR220" s="423">
        <f>IFERROR(IF(LEFT($A220,3)="Lcp",SUMIFS('BASE-LCP'!$K:$K,'BASE-LCP'!$A:$A,Capex!$A215,'BASE-LCP'!$B:$B,"janeiro")/1000,IF(LEFT($A220,3)="icp",SUMIFS('BASE-ICP'!$K:$K,'BASE-ICP'!$A:$A,Capex!$A215,'BASE-ICP'!$B:$B,"janeiro")/1000,"")),"")</f>
        <v>0</v>
      </c>
      <c r="BS220" s="427">
        <v>0</v>
      </c>
      <c r="BT220" s="372">
        <v>0</v>
      </c>
      <c r="BU220" s="422"/>
      <c r="BV220" s="423">
        <f>IFERROR(IF(LEFT($A220,3)="Lcp",SUMIFS('BASE-LCP'!$K:$K,'BASE-LCP'!$A:$A,Capex!$A215,'BASE-LCP'!$B:$B,"fevereiro")/1000,IF(LEFT($A220,3)="icp",SUMIFS('BASE-ICP'!$K:$K,'BASE-ICP'!$A:$A,Capex!$A215,'BASE-ICP'!$B:$B,"fevereiro")/1000,"")),"")</f>
        <v>0</v>
      </c>
      <c r="BW220" s="427">
        <v>0</v>
      </c>
      <c r="BX220" s="372">
        <v>0</v>
      </c>
      <c r="BY220" s="419"/>
      <c r="BZ220" s="423">
        <f>IFERROR(IF(LEFT($A220,3)="Lcp",SUMIFS('BASE-LCP'!$K:$K,'BASE-LCP'!$A:$A,Capex!$A215,'BASE-LCP'!$B:$B,"março")/1000,IF(LEFT($A220,3)="icp",SUMIFS('BASE-ICP'!$K:$K,'BASE-ICP'!$A:$A,Capex!$A215,'BASE-ICP'!$B:$B,"março")/1000,"")),"")</f>
        <v>0</v>
      </c>
      <c r="CA220" s="427">
        <v>0</v>
      </c>
      <c r="CB220" s="372">
        <v>0</v>
      </c>
      <c r="CC220" s="422"/>
      <c r="CD220" s="423">
        <f>IFERROR(IF(LEFT($A220,3)="Lcp",SUMIFS('BASE-LCP'!$K:$K,'BASE-LCP'!$A:$A,Capex!$A215,'BASE-LCP'!$B:$B,"abril")/1000,IF(LEFT($A220,3)="icp",SUMIFS('BASE-ICP'!$K:$K,'BASE-ICP'!$A:$A,Capex!$A215,'BASE-ICP'!$B:$B,"abril")/1000,"")),"")</f>
        <v>0</v>
      </c>
      <c r="CE220" s="427">
        <v>0</v>
      </c>
      <c r="CF220" s="372">
        <v>0</v>
      </c>
      <c r="CG220" s="419">
        <v>0.10526000000000001</v>
      </c>
      <c r="CH220" s="423">
        <v>0.10525999999999999</v>
      </c>
      <c r="CI220" s="427">
        <v>0.10525999999999999</v>
      </c>
      <c r="CJ220" s="372">
        <v>0</v>
      </c>
      <c r="CK220" s="419"/>
      <c r="CL220" s="423">
        <f>IFERROR(IF(LEFT($A220,3)="Lcp",SUMIFS('BASE-LCP'!$K:$K,'BASE-LCP'!$A:$A,Capex!$A215,'BASE-LCP'!$B:$B,"junho")/1000,IF(LEFT($A220,3)="icp",SUMIFS('BASE-ICP'!$K:$K,'BASE-ICP'!$A:$A,Capex!$A215,'BASE-ICP'!$B:$B,"junho")/1000,"")),"")</f>
        <v>0</v>
      </c>
      <c r="CM220" s="427">
        <v>0</v>
      </c>
      <c r="CN220" s="372"/>
      <c r="CO220" s="419"/>
      <c r="CP220" s="423">
        <f>IFERROR(IF(LEFT($A220,3)="Lcp",SUMIFS('BASE-LCP'!$K:$K,'BASE-LCP'!$A:$A,Capex!$A215,'BASE-LCP'!$B:$B,"julho")/1000,IF(LEFT($A220,3)="icp",SUMIFS('BASE-ICP'!$K:$K,'BASE-ICP'!$A:$A,Capex!$A215,'BASE-ICP'!$B:$B,"julho")/1000,"")),"")</f>
        <v>0</v>
      </c>
      <c r="CQ220" s="427">
        <v>0</v>
      </c>
      <c r="CR220" s="372"/>
      <c r="CS220" s="419"/>
      <c r="CT220" s="423">
        <f>IFERROR(IF(LEFT($A220,3)="Lcp",SUMIFS('BASE-LCP'!$K:$K,'BASE-LCP'!$A:$A,Capex!$A215,'BASE-LCP'!$B:$B,"agosto")/1000,IF(LEFT($A220,3)="icp",SUMIFS('BASE-ICP'!$K:$K,'BASE-ICP'!$A:$A,Capex!$A215,'BASE-ICP'!$B:$B,"agosto")/1000,"")),"")</f>
        <v>0</v>
      </c>
      <c r="CU220" s="427">
        <v>0</v>
      </c>
      <c r="CV220" s="372"/>
      <c r="CW220" s="419"/>
      <c r="CX220" s="423">
        <f>IFERROR(IF(LEFT($A220,3)="Lcp",SUMIFS('BASE-LCP'!$K:$K,'BASE-LCP'!$A:$A,Capex!$A215,'BASE-LCP'!$B:$B,"setembro")/1000,IF(LEFT($A220,3)="icp",SUMIFS('BASE-ICP'!$K:$K,'BASE-ICP'!$A:$A,Capex!$A215,'BASE-ICP'!$B:$B,"setembro")/1000,"")),"")</f>
        <v>0</v>
      </c>
      <c r="CY220" s="427">
        <v>0</v>
      </c>
      <c r="CZ220" s="372"/>
      <c r="DA220" s="419"/>
      <c r="DB220" s="423">
        <f>IFERROR(IF(LEFT($A220,3)="Lcp",SUMIFS('BASE-LCP'!$K:$K,'BASE-LCP'!$A:$A,Capex!$A215,'BASE-LCP'!$B:$B,"outubro")/1000,IF(LEFT($A220,3)="icp",SUMIFS('BASE-ICP'!$K:$K,'BASE-ICP'!$A:$A,Capex!$A215,'BASE-ICP'!$B:$B,"outubro")/1000,"")),"")</f>
        <v>0</v>
      </c>
      <c r="DC220" s="427">
        <v>0</v>
      </c>
      <c r="DD220" s="372"/>
      <c r="DE220" s="419"/>
      <c r="DF220" s="423">
        <f>IFERROR(IF(LEFT($A220,3)="Lcp",SUMIFS('BASE-LCP'!$K:$K,'BASE-LCP'!$A:$A,Capex!$A215,'BASE-LCP'!$B:$B,"novembro")/1000,IF(LEFT($A220,3)="icp",SUMIFS('BASE-ICP'!$K:$K,'BASE-ICP'!$A:$A,Capex!$A215,'BASE-ICP'!$B:$B,"novembro")/1000,"")),"")</f>
        <v>0</v>
      </c>
      <c r="DG220" s="427">
        <v>0</v>
      </c>
      <c r="DH220" s="372"/>
      <c r="DI220" s="419"/>
      <c r="DJ220" s="423">
        <f>IFERROR(IF(LEFT($A220,3)="Lcp",SUMIFS('BASE-LCP'!$K:$K,'BASE-LCP'!$A:$A,Capex!$A215,'BASE-LCP'!$B:$B,"dezembro")/1000,IF(LEFT($A220,3)="icp",SUMIFS('BASE-ICP'!$K:$K,'BASE-ICP'!$A:$A,Capex!$A215,'BASE-ICP'!$B:$B,"dezembro")/1000,"")),"")</f>
        <v>0</v>
      </c>
      <c r="DK220" s="427">
        <v>0</v>
      </c>
      <c r="DL220" s="452">
        <f t="shared" si="120"/>
        <v>0</v>
      </c>
      <c r="DM220" s="374"/>
      <c r="DN220" s="374">
        <v>0</v>
      </c>
      <c r="DO220" s="374"/>
      <c r="DP220" s="374"/>
      <c r="DQ220" s="374"/>
      <c r="DR220" s="374"/>
      <c r="DS220" s="374"/>
      <c r="DT220" s="374"/>
      <c r="DU220" s="374"/>
      <c r="DV220" s="374"/>
      <c r="DW220" s="374"/>
      <c r="DX220" s="374"/>
      <c r="DY220" s="450"/>
      <c r="DZ220" s="374">
        <f t="shared" si="121"/>
        <v>0</v>
      </c>
      <c r="EA220" s="216">
        <f t="shared" si="122"/>
        <v>0</v>
      </c>
      <c r="EB220" s="320">
        <f t="shared" si="123"/>
        <v>0</v>
      </c>
      <c r="EC220" s="241">
        <f t="shared" si="124"/>
        <v>0</v>
      </c>
      <c r="ED220" s="241">
        <f t="shared" si="125"/>
        <v>0.10525999999999999</v>
      </c>
      <c r="EE220" s="241">
        <f t="shared" si="126"/>
        <v>0</v>
      </c>
      <c r="EF220" s="241">
        <f t="shared" si="127"/>
        <v>0</v>
      </c>
      <c r="EG220" s="346">
        <f t="shared" si="128"/>
        <v>0.10525999999999999</v>
      </c>
      <c r="EH220" s="445">
        <f t="shared" si="129"/>
        <v>0</v>
      </c>
      <c r="EI220" s="447">
        <f t="shared" si="130"/>
        <v>0.10525999999999999</v>
      </c>
      <c r="EJ220" s="364">
        <f t="shared" si="131"/>
        <v>0.10525999999999999</v>
      </c>
      <c r="EK220" s="365">
        <f t="shared" si="132"/>
        <v>0</v>
      </c>
      <c r="EL220" s="529">
        <f t="shared" si="133"/>
        <v>0.10525999999999999</v>
      </c>
      <c r="EM220" s="530">
        <v>0</v>
      </c>
      <c r="EN220" s="530">
        <v>0</v>
      </c>
      <c r="EO220" s="530">
        <v>0</v>
      </c>
      <c r="EP220" s="530">
        <v>0</v>
      </c>
      <c r="EQ220" s="530">
        <v>0.10525999999999999</v>
      </c>
      <c r="ER220" s="530">
        <v>0</v>
      </c>
      <c r="ES220" s="530">
        <v>0</v>
      </c>
      <c r="ET220" s="530">
        <v>0</v>
      </c>
      <c r="EU220" s="530">
        <v>0</v>
      </c>
      <c r="EV220" s="530">
        <v>0</v>
      </c>
      <c r="EW220" s="530">
        <v>0</v>
      </c>
      <c r="EX220" s="530">
        <v>0</v>
      </c>
      <c r="EY220" s="530">
        <f t="shared" si="134"/>
        <v>0</v>
      </c>
      <c r="EZ220" s="530">
        <f t="shared" si="135"/>
        <v>0.10525999999999999</v>
      </c>
      <c r="FA220" s="530">
        <f t="shared" si="136"/>
        <v>0</v>
      </c>
      <c r="FB220" s="530">
        <f t="shared" si="137"/>
        <v>0</v>
      </c>
      <c r="FC220" s="384">
        <f>IFERROR(VLOOKUP(Capex!A215,BASE_558!D:R,8,FALSE)/1000,"")</f>
        <v>92</v>
      </c>
      <c r="FD220" s="328">
        <f>IFERROR(VLOOKUP(Capex!A215,BASE_558!D:R,9,)/1000,"")</f>
        <v>68.495260000000002</v>
      </c>
      <c r="FE220" s="328">
        <f>IFERROR(IF(LEFT(A220,3)="LCP",(VLOOKUP(Capex!A215,BASE_558!D:R,10,)/1000),SUMIFS('BASE ICP_PO_SC'!F:F,'BASE ICP_PO_SC'!A:A,Capex!A215,'BASE ICP_PO_SC'!E:E,"&lt;&gt;")/1000),"")</f>
        <v>0</v>
      </c>
      <c r="FF220" s="328">
        <f>IFERROR(IF(LEFT(A220,3)="LCP",(VLOOKUP(Capex!A215,BASE_558!D:R,11,)/1000),SUMIFS('BASE ICP_PO_SC'!F:F,'BASE ICP_PO_SC'!A:A,Capex!A215,'BASE ICP_PO_SC'!E:E,"")/1000),"")</f>
        <v>0</v>
      </c>
      <c r="FG220" s="328">
        <f>IFERROR(VLOOKUP(A220,BASE_558!D:R,13,FALSE)/1000,"")</f>
        <v>969.67870999999991</v>
      </c>
      <c r="FH220" s="328">
        <f>IFERROR(VLOOKUP(A220,BASE_558!D:R,15,FALSE)/1000,"")</f>
        <v>400.04622999999998</v>
      </c>
      <c r="FI220" s="547">
        <f t="shared" si="138"/>
        <v>0</v>
      </c>
      <c r="FJ220" s="547">
        <f t="shared" si="139"/>
        <v>0</v>
      </c>
      <c r="FK220" s="540">
        <f t="shared" si="140"/>
        <v>0</v>
      </c>
    </row>
    <row r="221" spans="1:167" s="23" customFormat="1" ht="24" customHeight="1">
      <c r="A221" s="84" t="s">
        <v>837</v>
      </c>
      <c r="B221" s="404"/>
      <c r="C221" s="404" t="s">
        <v>602</v>
      </c>
      <c r="D221" s="338" t="s">
        <v>1907</v>
      </c>
      <c r="E221" s="378">
        <v>4060127</v>
      </c>
      <c r="F221" s="5"/>
      <c r="G221" s="310" t="s">
        <v>9</v>
      </c>
      <c r="H221" s="494" t="s">
        <v>6</v>
      </c>
      <c r="I221" s="356"/>
      <c r="J221" s="356">
        <v>2021</v>
      </c>
      <c r="K221" s="352">
        <v>44357</v>
      </c>
      <c r="L221" s="317">
        <v>45671</v>
      </c>
      <c r="M221" s="409"/>
      <c r="N221" s="317">
        <f t="shared" si="143"/>
        <v>45269</v>
      </c>
      <c r="O221" s="317">
        <f t="shared" si="144"/>
        <v>45634</v>
      </c>
      <c r="P221" s="418" t="str">
        <f t="shared" si="142"/>
        <v>CRTD</v>
      </c>
      <c r="Q221" s="418" t="str">
        <f t="shared" si="142"/>
        <v>CRTD</v>
      </c>
      <c r="R221" s="418" t="str">
        <f t="shared" si="142"/>
        <v>CRTD</v>
      </c>
      <c r="S221" s="418" t="str">
        <f t="shared" si="142"/>
        <v>CRTD</v>
      </c>
      <c r="T221" s="418" t="str">
        <f t="shared" si="142"/>
        <v>CRTD</v>
      </c>
      <c r="U221" s="418" t="str">
        <f t="shared" si="142"/>
        <v>CRTD</v>
      </c>
      <c r="V221" s="418" t="str">
        <f t="shared" si="142"/>
        <v>CRTD</v>
      </c>
      <c r="W221" s="418" t="str">
        <f t="shared" si="142"/>
        <v>CRTD</v>
      </c>
      <c r="X221" s="418" t="str">
        <f t="shared" si="142"/>
        <v>CRTD</v>
      </c>
      <c r="Y221" s="418" t="str">
        <f t="shared" si="142"/>
        <v>CRTD</v>
      </c>
      <c r="Z221" s="418" t="str">
        <f t="shared" si="142"/>
        <v>CRTD</v>
      </c>
      <c r="AA221" s="418" t="str">
        <f t="shared" si="142"/>
        <v>CRTD</v>
      </c>
      <c r="AB221" s="350"/>
      <c r="AC221" s="309" t="s">
        <v>2508</v>
      </c>
      <c r="AD221" s="311"/>
      <c r="AE221" s="361"/>
      <c r="AF221" s="310" t="s">
        <v>6985</v>
      </c>
      <c r="AG221" s="310" t="s">
        <v>6882</v>
      </c>
      <c r="AH221" s="310" t="s">
        <v>836</v>
      </c>
      <c r="AI221" s="309" t="s">
        <v>853</v>
      </c>
      <c r="AJ221" s="6" t="s">
        <v>218</v>
      </c>
      <c r="AK221" s="6" t="str">
        <f t="shared" si="118"/>
        <v>IGUAL</v>
      </c>
      <c r="AL221" s="151" t="str">
        <f>IFERROR(IF(LEFT(A221,3)="LCP",VLOOKUP(A221,STATUS_SAP_LCP!B:C,2,FALSE),VLOOKUP(A221,STATUS_SAP_ICP!B:C,2,FALSE)),"NO BUDGET")</f>
        <v>CLSD BUDG AUC  AVAC  //  APPR BREL EXPL</v>
      </c>
      <c r="AM221" s="6" t="str">
        <f t="shared" si="116"/>
        <v>CLSD</v>
      </c>
      <c r="AN221" s="414" t="s">
        <v>2651</v>
      </c>
      <c r="AO221" s="558">
        <v>1</v>
      </c>
      <c r="AP221" s="499" t="s">
        <v>9607</v>
      </c>
      <c r="AQ221" s="465">
        <v>45671</v>
      </c>
      <c r="AR221" s="460"/>
      <c r="AS221" s="57"/>
      <c r="AT221" s="185"/>
      <c r="AU221" s="318">
        <v>2021.83997</v>
      </c>
      <c r="AV221" s="223">
        <v>2084.0865899999999</v>
      </c>
      <c r="AW221" s="318">
        <v>1131.8930700000001</v>
      </c>
      <c r="AX221" s="223">
        <v>84.461240000000004</v>
      </c>
      <c r="AY221" s="318">
        <f t="shared" si="145"/>
        <v>0</v>
      </c>
      <c r="AZ221" s="223"/>
      <c r="BA221" s="318"/>
      <c r="BB221" s="519">
        <f t="shared" si="146"/>
        <v>0</v>
      </c>
      <c r="BC221" s="518">
        <v>0</v>
      </c>
      <c r="BD221" s="518">
        <v>0</v>
      </c>
      <c r="BE221" s="518">
        <v>0</v>
      </c>
      <c r="BF221" s="518">
        <v>0</v>
      </c>
      <c r="BG221" s="518">
        <v>0</v>
      </c>
      <c r="BH221" s="518">
        <v>0</v>
      </c>
      <c r="BI221" s="518">
        <v>0</v>
      </c>
      <c r="BJ221" s="518">
        <v>0</v>
      </c>
      <c r="BK221" s="518">
        <v>0</v>
      </c>
      <c r="BL221" s="518">
        <v>0</v>
      </c>
      <c r="BM221" s="518">
        <v>0</v>
      </c>
      <c r="BN221" s="518">
        <v>0</v>
      </c>
      <c r="BO221" s="367">
        <f t="shared" si="119"/>
        <v>0</v>
      </c>
      <c r="BP221" s="421">
        <v>0</v>
      </c>
      <c r="BQ221" s="422"/>
      <c r="BR221" s="423">
        <f>IFERROR(IF(LEFT($A221,3)="Lcp",SUMIFS('BASE-LCP'!$K:$K,'BASE-LCP'!$A:$A,Capex!$A216,'BASE-LCP'!$B:$B,"janeiro")/1000,IF(LEFT($A221,3)="icp",SUMIFS('BASE-ICP'!$K:$K,'BASE-ICP'!$A:$A,Capex!$A216,'BASE-ICP'!$B:$B,"janeiro")/1000,"")),"")</f>
        <v>1.3226399999999998</v>
      </c>
      <c r="BS221" s="427">
        <v>0</v>
      </c>
      <c r="BT221" s="372">
        <v>0</v>
      </c>
      <c r="BU221" s="422"/>
      <c r="BV221" s="423">
        <f>IFERROR(IF(LEFT($A221,3)="Lcp",SUMIFS('BASE-LCP'!$K:$K,'BASE-LCP'!$A:$A,Capex!$A216,'BASE-LCP'!$B:$B,"fevereiro")/1000,IF(LEFT($A221,3)="icp",SUMIFS('BASE-ICP'!$K:$K,'BASE-ICP'!$A:$A,Capex!$A216,'BASE-ICP'!$B:$B,"fevereiro")/1000,"")),"")</f>
        <v>0</v>
      </c>
      <c r="BW221" s="427">
        <v>0</v>
      </c>
      <c r="BX221" s="372">
        <v>0</v>
      </c>
      <c r="BY221" s="419"/>
      <c r="BZ221" s="423">
        <f>IFERROR(IF(LEFT($A221,3)="Lcp",SUMIFS('BASE-LCP'!$K:$K,'BASE-LCP'!$A:$A,Capex!$A216,'BASE-LCP'!$B:$B,"março")/1000,IF(LEFT($A221,3)="icp",SUMIFS('BASE-ICP'!$K:$K,'BASE-ICP'!$A:$A,Capex!$A216,'BASE-ICP'!$B:$B,"março")/1000,"")),"")</f>
        <v>0</v>
      </c>
      <c r="CA221" s="427">
        <v>0</v>
      </c>
      <c r="CB221" s="372">
        <v>0</v>
      </c>
      <c r="CC221" s="422"/>
      <c r="CD221" s="423">
        <f>IFERROR(IF(LEFT($A221,3)="Lcp",SUMIFS('BASE-LCP'!$K:$K,'BASE-LCP'!$A:$A,Capex!$A216,'BASE-LCP'!$B:$B,"abril")/1000,IF(LEFT($A221,3)="icp",SUMIFS('BASE-ICP'!$K:$K,'BASE-ICP'!$A:$A,Capex!$A216,'BASE-ICP'!$B:$B,"abril")/1000,"")),"")</f>
        <v>0</v>
      </c>
      <c r="CE221" s="427">
        <v>0</v>
      </c>
      <c r="CF221" s="372">
        <v>0</v>
      </c>
      <c r="CG221" s="419"/>
      <c r="CH221" s="423">
        <v>0</v>
      </c>
      <c r="CI221" s="427">
        <v>0</v>
      </c>
      <c r="CJ221" s="372">
        <v>0</v>
      </c>
      <c r="CK221" s="419"/>
      <c r="CL221" s="423">
        <f>IFERROR(IF(LEFT($A221,3)="Lcp",SUMIFS('BASE-LCP'!$K:$K,'BASE-LCP'!$A:$A,Capex!$A216,'BASE-LCP'!$B:$B,"junho")/1000,IF(LEFT($A221,3)="icp",SUMIFS('BASE-ICP'!$K:$K,'BASE-ICP'!$A:$A,Capex!$A216,'BASE-ICP'!$B:$B,"junho")/1000,"")),"")</f>
        <v>0</v>
      </c>
      <c r="CM221" s="427">
        <v>0</v>
      </c>
      <c r="CN221" s="372"/>
      <c r="CO221" s="419"/>
      <c r="CP221" s="423">
        <f>IFERROR(IF(LEFT($A221,3)="Lcp",SUMIFS('BASE-LCP'!$K:$K,'BASE-LCP'!$A:$A,Capex!$A216,'BASE-LCP'!$B:$B,"julho")/1000,IF(LEFT($A221,3)="icp",SUMIFS('BASE-ICP'!$K:$K,'BASE-ICP'!$A:$A,Capex!$A216,'BASE-ICP'!$B:$B,"julho")/1000,"")),"")</f>
        <v>0</v>
      </c>
      <c r="CQ221" s="427">
        <v>0</v>
      </c>
      <c r="CR221" s="372"/>
      <c r="CS221" s="419"/>
      <c r="CT221" s="423">
        <f>IFERROR(IF(LEFT($A221,3)="Lcp",SUMIFS('BASE-LCP'!$K:$K,'BASE-LCP'!$A:$A,Capex!$A216,'BASE-LCP'!$B:$B,"agosto")/1000,IF(LEFT($A221,3)="icp",SUMIFS('BASE-ICP'!$K:$K,'BASE-ICP'!$A:$A,Capex!$A216,'BASE-ICP'!$B:$B,"agosto")/1000,"")),"")</f>
        <v>0</v>
      </c>
      <c r="CU221" s="427">
        <v>0</v>
      </c>
      <c r="CV221" s="372"/>
      <c r="CW221" s="419"/>
      <c r="CX221" s="423">
        <f>IFERROR(IF(LEFT($A221,3)="Lcp",SUMIFS('BASE-LCP'!$K:$K,'BASE-LCP'!$A:$A,Capex!$A216,'BASE-LCP'!$B:$B,"setembro")/1000,IF(LEFT($A221,3)="icp",SUMIFS('BASE-ICP'!$K:$K,'BASE-ICP'!$A:$A,Capex!$A216,'BASE-ICP'!$B:$B,"setembro")/1000,"")),"")</f>
        <v>0</v>
      </c>
      <c r="CY221" s="427">
        <v>0</v>
      </c>
      <c r="CZ221" s="372"/>
      <c r="DA221" s="419"/>
      <c r="DB221" s="423">
        <f>IFERROR(IF(LEFT($A221,3)="Lcp",SUMIFS('BASE-LCP'!$K:$K,'BASE-LCP'!$A:$A,Capex!$A216,'BASE-LCP'!$B:$B,"outubro")/1000,IF(LEFT($A221,3)="icp",SUMIFS('BASE-ICP'!$K:$K,'BASE-ICP'!$A:$A,Capex!$A216,'BASE-ICP'!$B:$B,"outubro")/1000,"")),"")</f>
        <v>0</v>
      </c>
      <c r="DC221" s="427">
        <v>0</v>
      </c>
      <c r="DD221" s="372"/>
      <c r="DE221" s="419"/>
      <c r="DF221" s="423">
        <f>IFERROR(IF(LEFT($A221,3)="Lcp",SUMIFS('BASE-LCP'!$K:$K,'BASE-LCP'!$A:$A,Capex!$A216,'BASE-LCP'!$B:$B,"novembro")/1000,IF(LEFT($A221,3)="icp",SUMIFS('BASE-ICP'!$K:$K,'BASE-ICP'!$A:$A,Capex!$A216,'BASE-ICP'!$B:$B,"novembro")/1000,"")),"")</f>
        <v>0</v>
      </c>
      <c r="DG221" s="427">
        <v>0</v>
      </c>
      <c r="DH221" s="372"/>
      <c r="DI221" s="419"/>
      <c r="DJ221" s="423">
        <f>IFERROR(IF(LEFT($A221,3)="Lcp",SUMIFS('BASE-LCP'!$K:$K,'BASE-LCP'!$A:$A,Capex!$A216,'BASE-LCP'!$B:$B,"dezembro")/1000,IF(LEFT($A221,3)="icp",SUMIFS('BASE-ICP'!$K:$K,'BASE-ICP'!$A:$A,Capex!$A216,'BASE-ICP'!$B:$B,"dezembro")/1000,"")),"")</f>
        <v>0</v>
      </c>
      <c r="DK221" s="427">
        <v>0</v>
      </c>
      <c r="DL221" s="452">
        <f t="shared" si="120"/>
        <v>0</v>
      </c>
      <c r="DM221" s="374">
        <v>0</v>
      </c>
      <c r="DN221" s="374">
        <v>0</v>
      </c>
      <c r="DO221" s="374"/>
      <c r="DP221" s="374"/>
      <c r="DQ221" s="374"/>
      <c r="DR221" s="374"/>
      <c r="DS221" s="374"/>
      <c r="DT221" s="374"/>
      <c r="DU221" s="374"/>
      <c r="DV221" s="374"/>
      <c r="DW221" s="374"/>
      <c r="DX221" s="374"/>
      <c r="DY221" s="450"/>
      <c r="DZ221" s="374">
        <f t="shared" si="121"/>
        <v>0</v>
      </c>
      <c r="EA221" s="216">
        <f t="shared" si="122"/>
        <v>0</v>
      </c>
      <c r="EB221" s="320">
        <f t="shared" si="123"/>
        <v>0</v>
      </c>
      <c r="EC221" s="241">
        <f t="shared" si="124"/>
        <v>0</v>
      </c>
      <c r="ED221" s="241">
        <f t="shared" si="125"/>
        <v>0</v>
      </c>
      <c r="EE221" s="241">
        <f t="shared" si="126"/>
        <v>0</v>
      </c>
      <c r="EF221" s="241">
        <f t="shared" si="127"/>
        <v>0</v>
      </c>
      <c r="EG221" s="346">
        <f t="shared" si="128"/>
        <v>0</v>
      </c>
      <c r="EH221" s="445">
        <f t="shared" si="129"/>
        <v>0</v>
      </c>
      <c r="EI221" s="447">
        <f t="shared" si="130"/>
        <v>0</v>
      </c>
      <c r="EJ221" s="364">
        <f t="shared" si="131"/>
        <v>0</v>
      </c>
      <c r="EK221" s="365">
        <f t="shared" si="132"/>
        <v>0</v>
      </c>
      <c r="EL221" s="529">
        <f t="shared" si="133"/>
        <v>0</v>
      </c>
      <c r="EM221" s="530">
        <v>0</v>
      </c>
      <c r="EN221" s="530">
        <v>0</v>
      </c>
      <c r="EO221" s="530">
        <v>0</v>
      </c>
      <c r="EP221" s="530">
        <v>0</v>
      </c>
      <c r="EQ221" s="530">
        <v>0</v>
      </c>
      <c r="ER221" s="530">
        <v>0</v>
      </c>
      <c r="ES221" s="530">
        <v>0</v>
      </c>
      <c r="ET221" s="530">
        <v>0</v>
      </c>
      <c r="EU221" s="530">
        <v>0</v>
      </c>
      <c r="EV221" s="530">
        <v>0</v>
      </c>
      <c r="EW221" s="530">
        <v>0</v>
      </c>
      <c r="EX221" s="530">
        <v>0</v>
      </c>
      <c r="EY221" s="530">
        <f t="shared" si="134"/>
        <v>0</v>
      </c>
      <c r="EZ221" s="530">
        <f t="shared" si="135"/>
        <v>0</v>
      </c>
      <c r="FA221" s="530">
        <f t="shared" si="136"/>
        <v>0</v>
      </c>
      <c r="FB221" s="530">
        <f t="shared" si="137"/>
        <v>0</v>
      </c>
      <c r="FC221" s="384">
        <f>IFERROR(VLOOKUP(Capex!A216,BASE_558!D:R,8,FALSE)/1000,"")</f>
        <v>846.30780000000004</v>
      </c>
      <c r="FD221" s="328">
        <f>IFERROR(VLOOKUP(Capex!A216,BASE_558!D:R,9,)/1000,"")</f>
        <v>463.25165999999996</v>
      </c>
      <c r="FE221" s="328">
        <f>IFERROR(IF(LEFT(A221,3)="LCP",(VLOOKUP(Capex!A216,BASE_558!D:R,10,)/1000),SUMIFS('BASE ICP_PO_SC'!F:F,'BASE ICP_PO_SC'!A:A,Capex!A216,'BASE ICP_PO_SC'!E:E,"&lt;&gt;")/1000),"")</f>
        <v>52.618989999999997</v>
      </c>
      <c r="FF221" s="328">
        <f>IFERROR(IF(LEFT(A221,3)="LCP",(VLOOKUP(Capex!A216,BASE_558!D:R,11,)/1000),SUMIFS('BASE ICP_PO_SC'!F:F,'BASE ICP_PO_SC'!A:A,Capex!A216,'BASE ICP_PO_SC'!E:E,"")/1000),"")</f>
        <v>5.2639999999999999E-2</v>
      </c>
      <c r="FG221" s="328">
        <f>IFERROR(VLOOKUP(A221,BASE_558!D:R,13,FALSE)/1000,"")</f>
        <v>5322.2808700000005</v>
      </c>
      <c r="FH221" s="328">
        <f>IFERROR(VLOOKUP(A221,BASE_558!D:R,15,FALSE)/1000,"")</f>
        <v>189.76913000000002</v>
      </c>
      <c r="FI221" s="547">
        <f t="shared" si="138"/>
        <v>0</v>
      </c>
      <c r="FJ221" s="547">
        <f t="shared" si="139"/>
        <v>0</v>
      </c>
      <c r="FK221" s="540">
        <f t="shared" si="140"/>
        <v>0</v>
      </c>
    </row>
    <row r="222" spans="1:167" s="23" customFormat="1" ht="24" customHeight="1">
      <c r="A222" s="84" t="s">
        <v>841</v>
      </c>
      <c r="B222" s="404"/>
      <c r="C222" s="404">
        <v>11932</v>
      </c>
      <c r="D222" s="338" t="s">
        <v>2263</v>
      </c>
      <c r="E222" s="378">
        <v>4177784</v>
      </c>
      <c r="F222" s="310" t="s">
        <v>609</v>
      </c>
      <c r="G222" s="310" t="s">
        <v>9</v>
      </c>
      <c r="H222" s="356"/>
      <c r="I222" s="356"/>
      <c r="J222" s="356">
        <v>2021</v>
      </c>
      <c r="K222" s="321">
        <v>44354</v>
      </c>
      <c r="L222" s="317">
        <v>45288</v>
      </c>
      <c r="M222" s="409"/>
      <c r="N222" s="317">
        <f t="shared" si="143"/>
        <v>45266</v>
      </c>
      <c r="O222" s="317">
        <f t="shared" si="144"/>
        <v>45631</v>
      </c>
      <c r="P222" s="418" t="str">
        <f t="shared" si="142"/>
        <v>CRTD</v>
      </c>
      <c r="Q222" s="418" t="str">
        <f t="shared" si="142"/>
        <v>CRTD</v>
      </c>
      <c r="R222" s="418" t="str">
        <f t="shared" si="142"/>
        <v>CRTD</v>
      </c>
      <c r="S222" s="418" t="str">
        <f t="shared" si="142"/>
        <v>CRTD</v>
      </c>
      <c r="T222" s="418" t="str">
        <f t="shared" si="142"/>
        <v>CRTD</v>
      </c>
      <c r="U222" s="418" t="str">
        <f t="shared" si="142"/>
        <v>CRTD</v>
      </c>
      <c r="V222" s="418" t="str">
        <f t="shared" si="142"/>
        <v>CRTD</v>
      </c>
      <c r="W222" s="418" t="str">
        <f t="shared" si="142"/>
        <v>CRTD</v>
      </c>
      <c r="X222" s="418" t="str">
        <f t="shared" si="142"/>
        <v>CRTD</v>
      </c>
      <c r="Y222" s="418" t="str">
        <f t="shared" si="142"/>
        <v>CRTD</v>
      </c>
      <c r="Z222" s="418" t="str">
        <f t="shared" si="142"/>
        <v>CRTD</v>
      </c>
      <c r="AA222" s="418" t="str">
        <f t="shared" si="142"/>
        <v>CRTD</v>
      </c>
      <c r="AB222" s="350"/>
      <c r="AC222" s="309" t="s">
        <v>3932</v>
      </c>
      <c r="AD222" s="311" t="s">
        <v>5</v>
      </c>
      <c r="AE222" s="361" t="s">
        <v>961</v>
      </c>
      <c r="AF222" s="310" t="s">
        <v>6985</v>
      </c>
      <c r="AG222" s="310" t="s">
        <v>704</v>
      </c>
      <c r="AH222" s="310" t="s">
        <v>840</v>
      </c>
      <c r="AI222" s="309" t="s">
        <v>2255</v>
      </c>
      <c r="AJ222" s="6" t="s">
        <v>218</v>
      </c>
      <c r="AK222" s="6" t="str">
        <f t="shared" si="118"/>
        <v>IGUAL</v>
      </c>
      <c r="AL222" s="151" t="str">
        <f>IFERROR(IF(LEFT(A222,3)="LCP",VLOOKUP(A222,STATUS_SAP_LCP!B:C,2,FALSE),VLOOKUP(A222,STATUS_SAP_ICP!B:C,2,FALSE)),"NO BUDGET")</f>
        <v>CLSD BUDG AUC  AVAC  //  APPR BREL EXPL</v>
      </c>
      <c r="AM222" s="6" t="str">
        <f t="shared" si="116"/>
        <v>CLSD</v>
      </c>
      <c r="AN222" s="282" t="s">
        <v>2651</v>
      </c>
      <c r="AO222" s="493">
        <v>1</v>
      </c>
      <c r="AP222" s="499" t="s">
        <v>9607</v>
      </c>
      <c r="AQ222" s="465">
        <v>45288</v>
      </c>
      <c r="AR222" s="460"/>
      <c r="AS222" s="57"/>
      <c r="AT222" s="185"/>
      <c r="AU222" s="318">
        <v>312.93752999999998</v>
      </c>
      <c r="AV222" s="223">
        <v>51.082419999999999</v>
      </c>
      <c r="AW222" s="318">
        <v>122.11960000000002</v>
      </c>
      <c r="AX222" s="223">
        <v>0</v>
      </c>
      <c r="AY222" s="318">
        <f t="shared" si="145"/>
        <v>0</v>
      </c>
      <c r="AZ222" s="223"/>
      <c r="BA222" s="318"/>
      <c r="BB222" s="519">
        <f t="shared" si="146"/>
        <v>0</v>
      </c>
      <c r="BC222" s="518"/>
      <c r="BD222" s="518"/>
      <c r="BE222" s="518"/>
      <c r="BF222" s="518"/>
      <c r="BG222" s="518"/>
      <c r="BH222" s="518"/>
      <c r="BI222" s="518"/>
      <c r="BJ222" s="518"/>
      <c r="BK222" s="518"/>
      <c r="BL222" s="518"/>
      <c r="BM222" s="518"/>
      <c r="BN222" s="518"/>
      <c r="BO222" s="367">
        <f t="shared" si="119"/>
        <v>0</v>
      </c>
      <c r="BP222" s="421"/>
      <c r="BQ222" s="422"/>
      <c r="BR222" s="423">
        <f>IFERROR(IF(LEFT($A222,3)="Lcp",SUMIFS('BASE-LCP'!$K:$K,'BASE-LCP'!$A:$A,Capex!$A217,'BASE-LCP'!$B:$B,"janeiro")/1000,IF(LEFT($A222,3)="icp",SUMIFS('BASE-ICP'!$K:$K,'BASE-ICP'!$A:$A,Capex!$A217,'BASE-ICP'!$B:$B,"janeiro")/1000,"")),"")</f>
        <v>0</v>
      </c>
      <c r="BS222" s="427">
        <v>0</v>
      </c>
      <c r="BT222" s="372">
        <v>0</v>
      </c>
      <c r="BU222" s="422"/>
      <c r="BV222" s="423">
        <f>IFERROR(IF(LEFT($A222,3)="Lcp",SUMIFS('BASE-LCP'!$K:$K,'BASE-LCP'!$A:$A,Capex!$A217,'BASE-LCP'!$B:$B,"fevereiro")/1000,IF(LEFT($A222,3)="icp",SUMIFS('BASE-ICP'!$K:$K,'BASE-ICP'!$A:$A,Capex!$A217,'BASE-ICP'!$B:$B,"fevereiro")/1000,"")),"")</f>
        <v>0</v>
      </c>
      <c r="BW222" s="427">
        <v>0</v>
      </c>
      <c r="BX222" s="372">
        <v>0</v>
      </c>
      <c r="BY222" s="419"/>
      <c r="BZ222" s="423">
        <f>IFERROR(IF(LEFT($A222,3)="Lcp",SUMIFS('BASE-LCP'!$K:$K,'BASE-LCP'!$A:$A,Capex!$A217,'BASE-LCP'!$B:$B,"março")/1000,IF(LEFT($A222,3)="icp",SUMIFS('BASE-ICP'!$K:$K,'BASE-ICP'!$A:$A,Capex!$A217,'BASE-ICP'!$B:$B,"março")/1000,"")),"")</f>
        <v>0</v>
      </c>
      <c r="CA222" s="427">
        <v>0</v>
      </c>
      <c r="CB222" s="372">
        <v>0</v>
      </c>
      <c r="CC222" s="422"/>
      <c r="CD222" s="423">
        <f>IFERROR(IF(LEFT($A222,3)="Lcp",SUMIFS('BASE-LCP'!$K:$K,'BASE-LCP'!$A:$A,Capex!$A217,'BASE-LCP'!$B:$B,"abril")/1000,IF(LEFT($A222,3)="icp",SUMIFS('BASE-ICP'!$K:$K,'BASE-ICP'!$A:$A,Capex!$A217,'BASE-ICP'!$B:$B,"abril")/1000,"")),"")</f>
        <v>0</v>
      </c>
      <c r="CE222" s="427">
        <v>0</v>
      </c>
      <c r="CF222" s="372">
        <v>0</v>
      </c>
      <c r="CG222" s="419"/>
      <c r="CH222" s="423">
        <v>0</v>
      </c>
      <c r="CI222" s="427">
        <v>0</v>
      </c>
      <c r="CJ222" s="372">
        <v>0</v>
      </c>
      <c r="CK222" s="419"/>
      <c r="CL222" s="423">
        <f>IFERROR(IF(LEFT($A222,3)="Lcp",SUMIFS('BASE-LCP'!$K:$K,'BASE-LCP'!$A:$A,Capex!$A217,'BASE-LCP'!$B:$B,"junho")/1000,IF(LEFT($A222,3)="icp",SUMIFS('BASE-ICP'!$K:$K,'BASE-ICP'!$A:$A,Capex!$A217,'BASE-ICP'!$B:$B,"junho")/1000,"")),"")</f>
        <v>0</v>
      </c>
      <c r="CM222" s="427">
        <v>0</v>
      </c>
      <c r="CN222" s="372"/>
      <c r="CO222" s="419"/>
      <c r="CP222" s="423">
        <f>IFERROR(IF(LEFT($A222,3)="Lcp",SUMIFS('BASE-LCP'!$K:$K,'BASE-LCP'!$A:$A,Capex!$A217,'BASE-LCP'!$B:$B,"julho")/1000,IF(LEFT($A222,3)="icp",SUMIFS('BASE-ICP'!$K:$K,'BASE-ICP'!$A:$A,Capex!$A217,'BASE-ICP'!$B:$B,"julho")/1000,"")),"")</f>
        <v>0</v>
      </c>
      <c r="CQ222" s="427">
        <v>0</v>
      </c>
      <c r="CR222" s="372"/>
      <c r="CS222" s="419"/>
      <c r="CT222" s="423">
        <f>IFERROR(IF(LEFT($A222,3)="Lcp",SUMIFS('BASE-LCP'!$K:$K,'BASE-LCP'!$A:$A,Capex!$A217,'BASE-LCP'!$B:$B,"agosto")/1000,IF(LEFT($A222,3)="icp",SUMIFS('BASE-ICP'!$K:$K,'BASE-ICP'!$A:$A,Capex!$A217,'BASE-ICP'!$B:$B,"agosto")/1000,"")),"")</f>
        <v>0</v>
      </c>
      <c r="CU222" s="427">
        <v>0</v>
      </c>
      <c r="CV222" s="372"/>
      <c r="CW222" s="419"/>
      <c r="CX222" s="423">
        <f>IFERROR(IF(LEFT($A222,3)="Lcp",SUMIFS('BASE-LCP'!$K:$K,'BASE-LCP'!$A:$A,Capex!$A217,'BASE-LCP'!$B:$B,"setembro")/1000,IF(LEFT($A222,3)="icp",SUMIFS('BASE-ICP'!$K:$K,'BASE-ICP'!$A:$A,Capex!$A217,'BASE-ICP'!$B:$B,"setembro")/1000,"")),"")</f>
        <v>0</v>
      </c>
      <c r="CY222" s="427">
        <v>0</v>
      </c>
      <c r="CZ222" s="372"/>
      <c r="DA222" s="419"/>
      <c r="DB222" s="423">
        <f>IFERROR(IF(LEFT($A222,3)="Lcp",SUMIFS('BASE-LCP'!$K:$K,'BASE-LCP'!$A:$A,Capex!$A217,'BASE-LCP'!$B:$B,"outubro")/1000,IF(LEFT($A222,3)="icp",SUMIFS('BASE-ICP'!$K:$K,'BASE-ICP'!$A:$A,Capex!$A217,'BASE-ICP'!$B:$B,"outubro")/1000,"")),"")</f>
        <v>0</v>
      </c>
      <c r="DC222" s="427">
        <v>0</v>
      </c>
      <c r="DD222" s="372"/>
      <c r="DE222" s="419"/>
      <c r="DF222" s="423">
        <f>IFERROR(IF(LEFT($A222,3)="Lcp",SUMIFS('BASE-LCP'!$K:$K,'BASE-LCP'!$A:$A,Capex!$A217,'BASE-LCP'!$B:$B,"novembro")/1000,IF(LEFT($A222,3)="icp",SUMIFS('BASE-ICP'!$K:$K,'BASE-ICP'!$A:$A,Capex!$A217,'BASE-ICP'!$B:$B,"novembro")/1000,"")),"")</f>
        <v>0</v>
      </c>
      <c r="DG222" s="427">
        <v>0</v>
      </c>
      <c r="DH222" s="372"/>
      <c r="DI222" s="419"/>
      <c r="DJ222" s="423">
        <f>IFERROR(IF(LEFT($A222,3)="Lcp",SUMIFS('BASE-LCP'!$K:$K,'BASE-LCP'!$A:$A,Capex!$A217,'BASE-LCP'!$B:$B,"dezembro")/1000,IF(LEFT($A222,3)="icp",SUMIFS('BASE-ICP'!$K:$K,'BASE-ICP'!$A:$A,Capex!$A217,'BASE-ICP'!$B:$B,"dezembro")/1000,"")),"")</f>
        <v>0</v>
      </c>
      <c r="DK222" s="427">
        <v>0</v>
      </c>
      <c r="DL222" s="452">
        <f t="shared" si="120"/>
        <v>0</v>
      </c>
      <c r="DM222" s="374"/>
      <c r="DN222" s="374"/>
      <c r="DO222" s="374"/>
      <c r="DP222" s="374"/>
      <c r="DQ222" s="374"/>
      <c r="DR222" s="374"/>
      <c r="DS222" s="374"/>
      <c r="DT222" s="374"/>
      <c r="DU222" s="374"/>
      <c r="DV222" s="374"/>
      <c r="DW222" s="374"/>
      <c r="DX222" s="374"/>
      <c r="DY222" s="450"/>
      <c r="DZ222" s="374">
        <f t="shared" si="121"/>
        <v>0</v>
      </c>
      <c r="EA222" s="216">
        <f t="shared" si="122"/>
        <v>0</v>
      </c>
      <c r="EB222" s="320">
        <f t="shared" si="123"/>
        <v>0</v>
      </c>
      <c r="EC222" s="241">
        <f t="shared" si="124"/>
        <v>0</v>
      </c>
      <c r="ED222" s="241">
        <f t="shared" si="125"/>
        <v>0</v>
      </c>
      <c r="EE222" s="241">
        <f t="shared" si="126"/>
        <v>0</v>
      </c>
      <c r="EF222" s="241">
        <f t="shared" si="127"/>
        <v>0</v>
      </c>
      <c r="EG222" s="346">
        <f t="shared" si="128"/>
        <v>0</v>
      </c>
      <c r="EH222" s="445">
        <f t="shared" si="129"/>
        <v>0</v>
      </c>
      <c r="EI222" s="447">
        <f t="shared" si="130"/>
        <v>0</v>
      </c>
      <c r="EJ222" s="364">
        <f t="shared" si="131"/>
        <v>0</v>
      </c>
      <c r="EK222" s="365">
        <f t="shared" si="132"/>
        <v>0</v>
      </c>
      <c r="EL222" s="529">
        <f t="shared" si="133"/>
        <v>0</v>
      </c>
      <c r="EM222" s="530">
        <v>0</v>
      </c>
      <c r="EN222" s="530">
        <v>0</v>
      </c>
      <c r="EO222" s="530">
        <v>0</v>
      </c>
      <c r="EP222" s="530">
        <v>0</v>
      </c>
      <c r="EQ222" s="530">
        <v>0</v>
      </c>
      <c r="ER222" s="530">
        <v>0</v>
      </c>
      <c r="ES222" s="530">
        <v>0</v>
      </c>
      <c r="ET222" s="530">
        <v>0</v>
      </c>
      <c r="EU222" s="530">
        <v>0</v>
      </c>
      <c r="EV222" s="530">
        <v>0</v>
      </c>
      <c r="EW222" s="530">
        <v>0</v>
      </c>
      <c r="EX222" s="530">
        <v>0</v>
      </c>
      <c r="EY222" s="530">
        <f t="shared" si="134"/>
        <v>0</v>
      </c>
      <c r="EZ222" s="530">
        <f t="shared" si="135"/>
        <v>0</v>
      </c>
      <c r="FA222" s="530">
        <f t="shared" si="136"/>
        <v>0</v>
      </c>
      <c r="FB222" s="530">
        <f t="shared" si="137"/>
        <v>0</v>
      </c>
      <c r="FC222" s="384">
        <f>IFERROR(VLOOKUP(Capex!A217,BASE_558!D:R,8,FALSE)/1000,"")</f>
        <v>75</v>
      </c>
      <c r="FD222" s="328">
        <f>IFERROR(VLOOKUP(Capex!A217,BASE_558!D:R,9,)/1000,"")</f>
        <v>71.999449999999996</v>
      </c>
      <c r="FE222" s="328">
        <f>IFERROR(IF(LEFT(A222,3)="LCP",(VLOOKUP(Capex!A217,BASE_558!D:R,10,)/1000),SUMIFS('BASE ICP_PO_SC'!F:F,'BASE ICP_PO_SC'!A:A,Capex!A217,'BASE ICP_PO_SC'!E:E,"&lt;&gt;")/1000),"")</f>
        <v>0</v>
      </c>
      <c r="FF222" s="328">
        <f>IFERROR(IF(LEFT(A222,3)="LCP",(VLOOKUP(Capex!A217,BASE_558!D:R,11,)/1000),SUMIFS('BASE ICP_PO_SC'!F:F,'BASE ICP_PO_SC'!A:A,Capex!A217,'BASE ICP_PO_SC'!E:E,"")/1000),"")</f>
        <v>0</v>
      </c>
      <c r="FG222" s="328">
        <f>IFERROR(VLOOKUP(A222,BASE_558!D:R,13,FALSE)/1000,"")</f>
        <v>486.13954999999999</v>
      </c>
      <c r="FH222" s="328">
        <f>IFERROR(VLOOKUP(A222,BASE_558!D:R,15,FALSE)/1000,"")</f>
        <v>72.01446</v>
      </c>
      <c r="FI222" s="547">
        <f t="shared" si="138"/>
        <v>0</v>
      </c>
      <c r="FJ222" s="547">
        <f t="shared" si="139"/>
        <v>0</v>
      </c>
      <c r="FK222" s="540">
        <f t="shared" si="140"/>
        <v>0</v>
      </c>
    </row>
    <row r="223" spans="1:167" s="23" customFormat="1" ht="24" customHeight="1">
      <c r="A223" s="84" t="s">
        <v>843</v>
      </c>
      <c r="B223" s="404"/>
      <c r="C223" s="404">
        <v>3103</v>
      </c>
      <c r="D223" s="338" t="s">
        <v>2264</v>
      </c>
      <c r="E223" s="378">
        <v>4144541</v>
      </c>
      <c r="F223" s="5"/>
      <c r="G223" s="310" t="s">
        <v>9</v>
      </c>
      <c r="H223" s="356"/>
      <c r="I223" s="356"/>
      <c r="J223" s="356">
        <v>2021</v>
      </c>
      <c r="K223" s="321">
        <v>44341</v>
      </c>
      <c r="L223" s="317">
        <v>45288</v>
      </c>
      <c r="M223" s="409"/>
      <c r="N223" s="317">
        <f t="shared" si="143"/>
        <v>45253</v>
      </c>
      <c r="O223" s="317">
        <f t="shared" si="144"/>
        <v>45618</v>
      </c>
      <c r="P223" s="418" t="str">
        <f t="shared" si="142"/>
        <v>CRTD</v>
      </c>
      <c r="Q223" s="418" t="str">
        <f t="shared" si="142"/>
        <v>CRTD</v>
      </c>
      <c r="R223" s="418" t="str">
        <f t="shared" si="142"/>
        <v>CRTD</v>
      </c>
      <c r="S223" s="418" t="str">
        <f t="shared" si="142"/>
        <v>CRTD</v>
      </c>
      <c r="T223" s="418" t="str">
        <f t="shared" si="142"/>
        <v>CRTD</v>
      </c>
      <c r="U223" s="418" t="str">
        <f t="shared" si="142"/>
        <v>CRTD</v>
      </c>
      <c r="V223" s="418" t="str">
        <f t="shared" si="142"/>
        <v>CRTD</v>
      </c>
      <c r="W223" s="418" t="str">
        <f t="shared" si="142"/>
        <v>CRTD</v>
      </c>
      <c r="X223" s="418" t="str">
        <f t="shared" si="142"/>
        <v>CRTD</v>
      </c>
      <c r="Y223" s="418" t="str">
        <f t="shared" si="142"/>
        <v>CRTD</v>
      </c>
      <c r="Z223" s="418" t="str">
        <f t="shared" si="142"/>
        <v>CRTD</v>
      </c>
      <c r="AA223" s="418" t="str">
        <f t="shared" si="142"/>
        <v>CRTD</v>
      </c>
      <c r="AB223" s="350"/>
      <c r="AC223" s="309" t="s">
        <v>3932</v>
      </c>
      <c r="AD223" s="311" t="s">
        <v>5</v>
      </c>
      <c r="AE223" s="361" t="s">
        <v>952</v>
      </c>
      <c r="AF223" s="310" t="s">
        <v>6985</v>
      </c>
      <c r="AG223" s="310" t="s">
        <v>704</v>
      </c>
      <c r="AH223" s="310" t="s">
        <v>842</v>
      </c>
      <c r="AI223" s="309" t="s">
        <v>2255</v>
      </c>
      <c r="AJ223" s="6" t="s">
        <v>218</v>
      </c>
      <c r="AK223" s="6" t="str">
        <f t="shared" si="118"/>
        <v>IGUAL</v>
      </c>
      <c r="AL223" s="151" t="str">
        <f>IFERROR(IF(LEFT(A223,3)="LCP",VLOOKUP(A223,STATUS_SAP_LCP!B:C,2,FALSE),VLOOKUP(A223,STATUS_SAP_ICP!B:C,2,FALSE)),"NO BUDGET")</f>
        <v>CLSD BUDG AUC  AVAC  //  APPR BREL EXPL</v>
      </c>
      <c r="AM223" s="6" t="str">
        <f t="shared" si="116"/>
        <v>CLSD</v>
      </c>
      <c r="AN223" s="282" t="s">
        <v>2651</v>
      </c>
      <c r="AO223" s="493">
        <v>1</v>
      </c>
      <c r="AP223" s="499" t="s">
        <v>9607</v>
      </c>
      <c r="AQ223" s="465">
        <v>45288</v>
      </c>
      <c r="AR223" s="460"/>
      <c r="AS223" s="57"/>
      <c r="AT223" s="185"/>
      <c r="AU223" s="318">
        <v>168.27557999999999</v>
      </c>
      <c r="AV223" s="223">
        <v>6.0116299999999994</v>
      </c>
      <c r="AW223" s="318">
        <v>0</v>
      </c>
      <c r="AX223" s="223">
        <v>0</v>
      </c>
      <c r="AY223" s="318">
        <f t="shared" si="145"/>
        <v>0</v>
      </c>
      <c r="AZ223" s="223"/>
      <c r="BA223" s="318"/>
      <c r="BB223" s="519">
        <f t="shared" si="146"/>
        <v>0</v>
      </c>
      <c r="BC223" s="518"/>
      <c r="BD223" s="518"/>
      <c r="BE223" s="518"/>
      <c r="BF223" s="518"/>
      <c r="BG223" s="518"/>
      <c r="BH223" s="518"/>
      <c r="BI223" s="518"/>
      <c r="BJ223" s="518"/>
      <c r="BK223" s="518"/>
      <c r="BL223" s="518"/>
      <c r="BM223" s="518"/>
      <c r="BN223" s="518"/>
      <c r="BO223" s="367">
        <f t="shared" si="119"/>
        <v>0</v>
      </c>
      <c r="BP223" s="421"/>
      <c r="BQ223" s="422"/>
      <c r="BR223" s="423">
        <f>IFERROR(IF(LEFT($A223,3)="Lcp",SUMIFS('BASE-LCP'!$K:$K,'BASE-LCP'!$A:$A,Capex!$A218,'BASE-LCP'!$B:$B,"janeiro")/1000,IF(LEFT($A223,3)="icp",SUMIFS('BASE-ICP'!$K:$K,'BASE-ICP'!$A:$A,Capex!$A218,'BASE-ICP'!$B:$B,"janeiro")/1000,"")),"")</f>
        <v>0</v>
      </c>
      <c r="BS223" s="427">
        <v>0</v>
      </c>
      <c r="BT223" s="372">
        <v>0</v>
      </c>
      <c r="BU223" s="422"/>
      <c r="BV223" s="423">
        <f>IFERROR(IF(LEFT($A223,3)="Lcp",SUMIFS('BASE-LCP'!$K:$K,'BASE-LCP'!$A:$A,Capex!$A218,'BASE-LCP'!$B:$B,"fevereiro")/1000,IF(LEFT($A223,3)="icp",SUMIFS('BASE-ICP'!$K:$K,'BASE-ICP'!$A:$A,Capex!$A218,'BASE-ICP'!$B:$B,"fevereiro")/1000,"")),"")</f>
        <v>0</v>
      </c>
      <c r="BW223" s="427">
        <v>0</v>
      </c>
      <c r="BX223" s="372">
        <v>0</v>
      </c>
      <c r="BY223" s="419"/>
      <c r="BZ223" s="423">
        <f>IFERROR(IF(LEFT($A223,3)="Lcp",SUMIFS('BASE-LCP'!$K:$K,'BASE-LCP'!$A:$A,Capex!$A218,'BASE-LCP'!$B:$B,"março")/1000,IF(LEFT($A223,3)="icp",SUMIFS('BASE-ICP'!$K:$K,'BASE-ICP'!$A:$A,Capex!$A218,'BASE-ICP'!$B:$B,"março")/1000,"")),"")</f>
        <v>0</v>
      </c>
      <c r="CA223" s="427">
        <v>0</v>
      </c>
      <c r="CB223" s="372">
        <v>0</v>
      </c>
      <c r="CC223" s="422"/>
      <c r="CD223" s="423">
        <f>IFERROR(IF(LEFT($A223,3)="Lcp",SUMIFS('BASE-LCP'!$K:$K,'BASE-LCP'!$A:$A,Capex!$A218,'BASE-LCP'!$B:$B,"abril")/1000,IF(LEFT($A223,3)="icp",SUMIFS('BASE-ICP'!$K:$K,'BASE-ICP'!$A:$A,Capex!$A218,'BASE-ICP'!$B:$B,"abril")/1000,"")),"")</f>
        <v>0</v>
      </c>
      <c r="CE223" s="427">
        <v>0</v>
      </c>
      <c r="CF223" s="372">
        <v>0</v>
      </c>
      <c r="CG223" s="419"/>
      <c r="CH223" s="423">
        <v>0</v>
      </c>
      <c r="CI223" s="427">
        <v>0</v>
      </c>
      <c r="CJ223" s="372">
        <v>0</v>
      </c>
      <c r="CK223" s="419"/>
      <c r="CL223" s="423">
        <f>IFERROR(IF(LEFT($A223,3)="Lcp",SUMIFS('BASE-LCP'!$K:$K,'BASE-LCP'!$A:$A,Capex!$A218,'BASE-LCP'!$B:$B,"junho")/1000,IF(LEFT($A223,3)="icp",SUMIFS('BASE-ICP'!$K:$K,'BASE-ICP'!$A:$A,Capex!$A218,'BASE-ICP'!$B:$B,"junho")/1000,"")),"")</f>
        <v>0</v>
      </c>
      <c r="CM223" s="427">
        <v>0</v>
      </c>
      <c r="CN223" s="372"/>
      <c r="CO223" s="419"/>
      <c r="CP223" s="423">
        <f>IFERROR(IF(LEFT($A223,3)="Lcp",SUMIFS('BASE-LCP'!$K:$K,'BASE-LCP'!$A:$A,Capex!$A218,'BASE-LCP'!$B:$B,"julho")/1000,IF(LEFT($A223,3)="icp",SUMIFS('BASE-ICP'!$K:$K,'BASE-ICP'!$A:$A,Capex!$A218,'BASE-ICP'!$B:$B,"julho")/1000,"")),"")</f>
        <v>0</v>
      </c>
      <c r="CQ223" s="427">
        <v>0</v>
      </c>
      <c r="CR223" s="372"/>
      <c r="CS223" s="419"/>
      <c r="CT223" s="423">
        <f>IFERROR(IF(LEFT($A223,3)="Lcp",SUMIFS('BASE-LCP'!$K:$K,'BASE-LCP'!$A:$A,Capex!$A218,'BASE-LCP'!$B:$B,"agosto")/1000,IF(LEFT($A223,3)="icp",SUMIFS('BASE-ICP'!$K:$K,'BASE-ICP'!$A:$A,Capex!$A218,'BASE-ICP'!$B:$B,"agosto")/1000,"")),"")</f>
        <v>0</v>
      </c>
      <c r="CU223" s="427">
        <v>0</v>
      </c>
      <c r="CV223" s="372"/>
      <c r="CW223" s="419"/>
      <c r="CX223" s="423">
        <f>IFERROR(IF(LEFT($A223,3)="Lcp",SUMIFS('BASE-LCP'!$K:$K,'BASE-LCP'!$A:$A,Capex!$A218,'BASE-LCP'!$B:$B,"setembro")/1000,IF(LEFT($A223,3)="icp",SUMIFS('BASE-ICP'!$K:$K,'BASE-ICP'!$A:$A,Capex!$A218,'BASE-ICP'!$B:$B,"setembro")/1000,"")),"")</f>
        <v>0</v>
      </c>
      <c r="CY223" s="427">
        <v>0</v>
      </c>
      <c r="CZ223" s="372"/>
      <c r="DA223" s="419"/>
      <c r="DB223" s="423">
        <f>IFERROR(IF(LEFT($A223,3)="Lcp",SUMIFS('BASE-LCP'!$K:$K,'BASE-LCP'!$A:$A,Capex!$A218,'BASE-LCP'!$B:$B,"outubro")/1000,IF(LEFT($A223,3)="icp",SUMIFS('BASE-ICP'!$K:$K,'BASE-ICP'!$A:$A,Capex!$A218,'BASE-ICP'!$B:$B,"outubro")/1000,"")),"")</f>
        <v>0</v>
      </c>
      <c r="DC223" s="427">
        <v>0</v>
      </c>
      <c r="DD223" s="372"/>
      <c r="DE223" s="419"/>
      <c r="DF223" s="423">
        <f>IFERROR(IF(LEFT($A223,3)="Lcp",SUMIFS('BASE-LCP'!$K:$K,'BASE-LCP'!$A:$A,Capex!$A218,'BASE-LCP'!$B:$B,"novembro")/1000,IF(LEFT($A223,3)="icp",SUMIFS('BASE-ICP'!$K:$K,'BASE-ICP'!$A:$A,Capex!$A218,'BASE-ICP'!$B:$B,"novembro")/1000,"")),"")</f>
        <v>0</v>
      </c>
      <c r="DG223" s="427">
        <v>0</v>
      </c>
      <c r="DH223" s="372"/>
      <c r="DI223" s="419"/>
      <c r="DJ223" s="423">
        <f>IFERROR(IF(LEFT($A223,3)="Lcp",SUMIFS('BASE-LCP'!$K:$K,'BASE-LCP'!$A:$A,Capex!$A218,'BASE-LCP'!$B:$B,"dezembro")/1000,IF(LEFT($A223,3)="icp",SUMIFS('BASE-ICP'!$K:$K,'BASE-ICP'!$A:$A,Capex!$A218,'BASE-ICP'!$B:$B,"dezembro")/1000,"")),"")</f>
        <v>0</v>
      </c>
      <c r="DK223" s="427">
        <v>0</v>
      </c>
      <c r="DL223" s="452">
        <f t="shared" si="120"/>
        <v>0</v>
      </c>
      <c r="DM223" s="374"/>
      <c r="DN223" s="374"/>
      <c r="DO223" s="374"/>
      <c r="DP223" s="374"/>
      <c r="DQ223" s="374"/>
      <c r="DR223" s="374"/>
      <c r="DS223" s="374"/>
      <c r="DT223" s="374"/>
      <c r="DU223" s="374"/>
      <c r="DV223" s="374"/>
      <c r="DW223" s="374"/>
      <c r="DX223" s="374"/>
      <c r="DY223" s="450"/>
      <c r="DZ223" s="374">
        <f t="shared" si="121"/>
        <v>0</v>
      </c>
      <c r="EA223" s="216">
        <f t="shared" si="122"/>
        <v>0</v>
      </c>
      <c r="EB223" s="320">
        <f t="shared" si="123"/>
        <v>0</v>
      </c>
      <c r="EC223" s="241">
        <f t="shared" si="124"/>
        <v>0</v>
      </c>
      <c r="ED223" s="241">
        <f t="shared" si="125"/>
        <v>0</v>
      </c>
      <c r="EE223" s="241">
        <f t="shared" si="126"/>
        <v>0</v>
      </c>
      <c r="EF223" s="241">
        <f t="shared" si="127"/>
        <v>0</v>
      </c>
      <c r="EG223" s="346">
        <f t="shared" si="128"/>
        <v>0</v>
      </c>
      <c r="EH223" s="445">
        <f t="shared" si="129"/>
        <v>0</v>
      </c>
      <c r="EI223" s="447">
        <f t="shared" si="130"/>
        <v>0</v>
      </c>
      <c r="EJ223" s="364">
        <f t="shared" si="131"/>
        <v>0</v>
      </c>
      <c r="EK223" s="365">
        <f t="shared" si="132"/>
        <v>0</v>
      </c>
      <c r="EL223" s="529">
        <f t="shared" si="133"/>
        <v>0</v>
      </c>
      <c r="EM223" s="530">
        <v>0</v>
      </c>
      <c r="EN223" s="530">
        <v>0</v>
      </c>
      <c r="EO223" s="530">
        <v>0</v>
      </c>
      <c r="EP223" s="530">
        <v>0</v>
      </c>
      <c r="EQ223" s="530">
        <v>0</v>
      </c>
      <c r="ER223" s="530">
        <v>0</v>
      </c>
      <c r="ES223" s="530">
        <v>0</v>
      </c>
      <c r="ET223" s="530">
        <v>0</v>
      </c>
      <c r="EU223" s="530">
        <v>0</v>
      </c>
      <c r="EV223" s="530">
        <v>0</v>
      </c>
      <c r="EW223" s="530">
        <v>0</v>
      </c>
      <c r="EX223" s="530">
        <v>0</v>
      </c>
      <c r="EY223" s="530">
        <f t="shared" si="134"/>
        <v>0</v>
      </c>
      <c r="EZ223" s="530">
        <f t="shared" si="135"/>
        <v>0</v>
      </c>
      <c r="FA223" s="530">
        <f t="shared" si="136"/>
        <v>0</v>
      </c>
      <c r="FB223" s="530">
        <f t="shared" si="137"/>
        <v>0</v>
      </c>
      <c r="FC223" s="384">
        <f>IFERROR(VLOOKUP(Capex!A218,BASE_558!D:R,8,FALSE)/1000,"")</f>
        <v>100</v>
      </c>
      <c r="FD223" s="328">
        <f>IFERROR(VLOOKUP(Capex!A218,BASE_558!D:R,9,)/1000,"")</f>
        <v>95.824789999999993</v>
      </c>
      <c r="FE223" s="328">
        <f>IFERROR(IF(LEFT(A223,3)="LCP",(VLOOKUP(Capex!A218,BASE_558!D:R,10,)/1000),SUMIFS('BASE ICP_PO_SC'!F:F,'BASE ICP_PO_SC'!A:A,Capex!A218,'BASE ICP_PO_SC'!E:E,"&lt;&gt;")/1000),"")</f>
        <v>0</v>
      </c>
      <c r="FF223" s="328">
        <f>IFERROR(IF(LEFT(A223,3)="LCP",(VLOOKUP(Capex!A218,BASE_558!D:R,11,)/1000),SUMIFS('BASE ICP_PO_SC'!F:F,'BASE ICP_PO_SC'!A:A,Capex!A218,'BASE ICP_PO_SC'!E:E,"")/1000),"")</f>
        <v>0</v>
      </c>
      <c r="FG223" s="328">
        <f>IFERROR(VLOOKUP(A223,BASE_558!D:R,13,FALSE)/1000,"")</f>
        <v>174.28720999999999</v>
      </c>
      <c r="FH223" s="328">
        <f>IFERROR(VLOOKUP(A223,BASE_558!D:R,15,FALSE)/1000,"")</f>
        <v>9.7457900000000013</v>
      </c>
      <c r="FI223" s="547">
        <f t="shared" si="138"/>
        <v>0</v>
      </c>
      <c r="FJ223" s="547">
        <f t="shared" si="139"/>
        <v>0</v>
      </c>
      <c r="FK223" s="540">
        <f t="shared" si="140"/>
        <v>0</v>
      </c>
    </row>
    <row r="224" spans="1:167" s="23" customFormat="1" ht="24" customHeight="1">
      <c r="A224" s="153" t="s">
        <v>844</v>
      </c>
      <c r="B224" s="404"/>
      <c r="C224" s="404">
        <v>3833</v>
      </c>
      <c r="D224" s="338" t="s">
        <v>1882</v>
      </c>
      <c r="E224" s="378">
        <v>4129586</v>
      </c>
      <c r="F224" s="5" t="s">
        <v>609</v>
      </c>
      <c r="G224" s="310" t="s">
        <v>9</v>
      </c>
      <c r="H224" s="356" t="s">
        <v>6</v>
      </c>
      <c r="I224" s="356"/>
      <c r="J224" s="356">
        <v>2021</v>
      </c>
      <c r="K224" s="352">
        <v>44391</v>
      </c>
      <c r="L224" s="317"/>
      <c r="M224" s="409"/>
      <c r="N224" s="317">
        <f t="shared" si="143"/>
        <v>45303</v>
      </c>
      <c r="O224" s="317">
        <f t="shared" si="144"/>
        <v>45668</v>
      </c>
      <c r="P224" s="418" t="str">
        <f t="shared" si="142"/>
        <v>SIM</v>
      </c>
      <c r="Q224" s="418" t="str">
        <f t="shared" si="142"/>
        <v>SIM</v>
      </c>
      <c r="R224" s="418" t="str">
        <f t="shared" si="142"/>
        <v>SIM</v>
      </c>
      <c r="S224" s="418" t="str">
        <f t="shared" si="142"/>
        <v>SIM</v>
      </c>
      <c r="T224" s="418" t="str">
        <f t="shared" si="142"/>
        <v>SIM</v>
      </c>
      <c r="U224" s="418" t="str">
        <f t="shared" si="142"/>
        <v>SIM</v>
      </c>
      <c r="V224" s="418" t="str">
        <f t="shared" si="142"/>
        <v>SIM</v>
      </c>
      <c r="W224" s="418" t="str">
        <f t="shared" si="142"/>
        <v>SIM</v>
      </c>
      <c r="X224" s="418" t="str">
        <f t="shared" si="142"/>
        <v>SIM</v>
      </c>
      <c r="Y224" s="418" t="str">
        <f t="shared" si="142"/>
        <v>SIM</v>
      </c>
      <c r="Z224" s="418" t="str">
        <f t="shared" si="142"/>
        <v>SIM</v>
      </c>
      <c r="AA224" s="551" t="str">
        <f t="shared" si="142"/>
        <v>SIM</v>
      </c>
      <c r="AB224" s="350"/>
      <c r="AC224" s="309" t="s">
        <v>3932</v>
      </c>
      <c r="AD224" s="311" t="s">
        <v>222</v>
      </c>
      <c r="AE224" s="381" t="s">
        <v>965</v>
      </c>
      <c r="AF224" s="310" t="s">
        <v>6985</v>
      </c>
      <c r="AG224" s="310" t="s">
        <v>2186</v>
      </c>
      <c r="AH224" s="310" t="s">
        <v>1076</v>
      </c>
      <c r="AI224" s="309" t="s">
        <v>316</v>
      </c>
      <c r="AJ224" s="6" t="s">
        <v>6786</v>
      </c>
      <c r="AK224" s="6" t="str">
        <f t="shared" si="118"/>
        <v>IGUAL</v>
      </c>
      <c r="AL224" s="151" t="str">
        <f>IFERROR(IF(LEFT(A224,3)="LCP",VLOOKUP(A224,STATUS_SAP_LCP!B:C,2,FALSE),VLOOKUP(A224,STATUS_SAP_ICP!B:C,2,FALSE)),"NO BUDGET")</f>
        <v>REL  BUDG AUC  AVAC  //  APPR BREL INPL</v>
      </c>
      <c r="AM224" s="6" t="str">
        <f t="shared" si="116"/>
        <v xml:space="preserve">REL </v>
      </c>
      <c r="AN224" s="428" t="s">
        <v>19514</v>
      </c>
      <c r="AO224" s="559"/>
      <c r="AP224" s="499" t="s">
        <v>5299</v>
      </c>
      <c r="AQ224" s="465">
        <v>46022</v>
      </c>
      <c r="AR224" s="460"/>
      <c r="AS224" s="57"/>
      <c r="AT224" s="185"/>
      <c r="AU224" s="318">
        <v>4.17659</v>
      </c>
      <c r="AV224" s="223">
        <v>168.62004999999999</v>
      </c>
      <c r="AW224" s="318">
        <v>201.03131999999999</v>
      </c>
      <c r="AX224" s="223">
        <v>1367.1633099999999</v>
      </c>
      <c r="AY224" s="318">
        <f t="shared" si="145"/>
        <v>649.79999999999995</v>
      </c>
      <c r="AZ224" s="223"/>
      <c r="BA224" s="318"/>
      <c r="BB224" s="519">
        <f t="shared" si="146"/>
        <v>360</v>
      </c>
      <c r="BC224" s="518">
        <v>0</v>
      </c>
      <c r="BD224" s="518">
        <v>0</v>
      </c>
      <c r="BE224" s="518">
        <v>0</v>
      </c>
      <c r="BF224" s="518">
        <v>70</v>
      </c>
      <c r="BG224" s="518">
        <v>100</v>
      </c>
      <c r="BH224" s="518">
        <v>100</v>
      </c>
      <c r="BI224" s="518">
        <v>90</v>
      </c>
      <c r="BJ224" s="518">
        <v>0</v>
      </c>
      <c r="BK224" s="518">
        <v>0</v>
      </c>
      <c r="BL224" s="518">
        <v>0</v>
      </c>
      <c r="BM224" s="518">
        <v>0</v>
      </c>
      <c r="BN224" s="518">
        <v>0</v>
      </c>
      <c r="BO224" s="367">
        <f t="shared" si="119"/>
        <v>649.79999999999995</v>
      </c>
      <c r="BP224" s="421">
        <v>0</v>
      </c>
      <c r="BQ224" s="422">
        <v>-1265.06792</v>
      </c>
      <c r="BR224" s="423">
        <f>IFERROR(IF(LEFT($A224,3)="Lcp",SUMIFS('BASE-LCP'!$K:$K,'BASE-LCP'!$A:$A,Capex!$A219,'BASE-LCP'!$B:$B,"janeiro")/1000,IF(LEFT($A224,3)="icp",SUMIFS('BASE-ICP'!$K:$K,'BASE-ICP'!$A:$A,Capex!$A219,'BASE-ICP'!$B:$B,"janeiro")/1000,"")),"")</f>
        <v>0</v>
      </c>
      <c r="BS224" s="427">
        <v>-1265.06792</v>
      </c>
      <c r="BT224" s="372">
        <v>1281.7</v>
      </c>
      <c r="BU224" s="422"/>
      <c r="BV224" s="423">
        <f>IFERROR(IF(LEFT($A224,3)="Lcp",SUMIFS('BASE-LCP'!$K:$K,'BASE-LCP'!$A:$A,Capex!$A219,'BASE-LCP'!$B:$B,"fevereiro")/1000,IF(LEFT($A224,3)="icp",SUMIFS('BASE-ICP'!$K:$K,'BASE-ICP'!$A:$A,Capex!$A219,'BASE-ICP'!$B:$B,"fevereiro")/1000,"")),"")</f>
        <v>0</v>
      </c>
      <c r="BW224" s="427">
        <v>0</v>
      </c>
      <c r="BX224" s="372">
        <v>1281.7</v>
      </c>
      <c r="BY224" s="419">
        <v>4.7229999999999999</v>
      </c>
      <c r="BZ224" s="423">
        <f>IFERROR(IF(LEFT($A224,3)="Lcp",SUMIFS('BASE-LCP'!$K:$K,'BASE-LCP'!$A:$A,Capex!$A219,'BASE-LCP'!$B:$B,"março")/1000,IF(LEFT($A224,3)="icp",SUMIFS('BASE-ICP'!$K:$K,'BASE-ICP'!$A:$A,Capex!$A219,'BASE-ICP'!$B:$B,"março")/1000,"")),"")</f>
        <v>0</v>
      </c>
      <c r="CA224" s="427">
        <v>4.7230000000000008</v>
      </c>
      <c r="CB224" s="372">
        <v>1281.7</v>
      </c>
      <c r="CC224" s="422">
        <v>2016.08709</v>
      </c>
      <c r="CD224" s="423">
        <f>IFERROR(IF(LEFT($A224,3)="Lcp",SUMIFS('BASE-LCP'!$K:$K,'BASE-LCP'!$A:$A,Capex!$A219,'BASE-LCP'!$B:$B,"abril")/1000,IF(LEFT($A224,3)="icp",SUMIFS('BASE-ICP'!$K:$K,'BASE-ICP'!$A:$A,Capex!$A219,'BASE-ICP'!$B:$B,"abril")/1000,"")),"")</f>
        <v>0</v>
      </c>
      <c r="CE224" s="427">
        <v>2016.08709</v>
      </c>
      <c r="CF224" s="372">
        <v>0</v>
      </c>
      <c r="CG224" s="419">
        <v>-225.98129</v>
      </c>
      <c r="CH224" s="423">
        <v>-225.98129000000003</v>
      </c>
      <c r="CI224" s="427">
        <v>-225.98129000000003</v>
      </c>
      <c r="CJ224" s="372">
        <v>0</v>
      </c>
      <c r="CK224" s="419">
        <v>3.9119999999999995E-2</v>
      </c>
      <c r="CL224" s="423">
        <f>IFERROR(IF(LEFT($A224,3)="Lcp",SUMIFS('BASE-LCP'!$K:$K,'BASE-LCP'!$A:$A,Capex!$A219,'BASE-LCP'!$B:$B,"junho")/1000,IF(LEFT($A224,3)="icp",SUMIFS('BASE-ICP'!$K:$K,'BASE-ICP'!$A:$A,Capex!$A219,'BASE-ICP'!$B:$B,"junho")/1000,"")),"")</f>
        <v>0</v>
      </c>
      <c r="CM224" s="427">
        <v>3.9120000000000002E-2</v>
      </c>
      <c r="CN224" s="372"/>
      <c r="CO224" s="419"/>
      <c r="CP224" s="423">
        <f>IFERROR(IF(LEFT($A224,3)="Lcp",SUMIFS('BASE-LCP'!$K:$K,'BASE-LCP'!$A:$A,Capex!$A219,'BASE-LCP'!$B:$B,"julho")/1000,IF(LEFT($A224,3)="icp",SUMIFS('BASE-ICP'!$K:$K,'BASE-ICP'!$A:$A,Capex!$A219,'BASE-ICP'!$B:$B,"julho")/1000,"")),"")</f>
        <v>0</v>
      </c>
      <c r="CQ224" s="427">
        <v>0</v>
      </c>
      <c r="CR224" s="372"/>
      <c r="CS224" s="419"/>
      <c r="CT224" s="423">
        <f>IFERROR(IF(LEFT($A224,3)="Lcp",SUMIFS('BASE-LCP'!$K:$K,'BASE-LCP'!$A:$A,Capex!$A219,'BASE-LCP'!$B:$B,"agosto")/1000,IF(LEFT($A224,3)="icp",SUMIFS('BASE-ICP'!$K:$K,'BASE-ICP'!$A:$A,Capex!$A219,'BASE-ICP'!$B:$B,"agosto")/1000,"")),"")</f>
        <v>0</v>
      </c>
      <c r="CU224" s="427"/>
      <c r="CV224" s="372"/>
      <c r="CW224" s="419"/>
      <c r="CX224" s="423">
        <f>IFERROR(IF(LEFT($A224,3)="Lcp",SUMIFS('BASE-LCP'!$K:$K,'BASE-LCP'!$A:$A,Capex!$A219,'BASE-LCP'!$B:$B,"setembro")/1000,IF(LEFT($A224,3)="icp",SUMIFS('BASE-ICP'!$K:$K,'BASE-ICP'!$A:$A,Capex!$A219,'BASE-ICP'!$B:$B,"setembro")/1000,"")),"")</f>
        <v>0</v>
      </c>
      <c r="CY224" s="427">
        <v>0</v>
      </c>
      <c r="CZ224" s="372"/>
      <c r="DA224" s="419"/>
      <c r="DB224" s="423">
        <f>IFERROR(IF(LEFT($A224,3)="Lcp",SUMIFS('BASE-LCP'!$K:$K,'BASE-LCP'!$A:$A,Capex!$A219,'BASE-LCP'!$B:$B,"outubro")/1000,IF(LEFT($A224,3)="icp",SUMIFS('BASE-ICP'!$K:$K,'BASE-ICP'!$A:$A,Capex!$A219,'BASE-ICP'!$B:$B,"outubro")/1000,"")),"")</f>
        <v>0</v>
      </c>
      <c r="DC224" s="427">
        <v>4</v>
      </c>
      <c r="DD224" s="565"/>
      <c r="DE224" s="427"/>
      <c r="DF224" s="423">
        <f>IFERROR(IF(LEFT($A224,3)="Lcp",SUMIFS('BASE-LCP'!$K:$K,'BASE-LCP'!$A:$A,Capex!$A219,'BASE-LCP'!$B:$B,"novembro")/1000,IF(LEFT($A224,3)="icp",SUMIFS('BASE-ICP'!$K:$K,'BASE-ICP'!$A:$A,Capex!$A219,'BASE-ICP'!$B:$B,"novembro")/1000,"")),"")</f>
        <v>0</v>
      </c>
      <c r="DG224" s="427">
        <v>80</v>
      </c>
      <c r="DH224" s="565"/>
      <c r="DI224" s="427"/>
      <c r="DJ224" s="423">
        <f>IFERROR(IF(LEFT($A224,3)="Lcp",SUMIFS('BASE-LCP'!$K:$K,'BASE-LCP'!$A:$A,Capex!$A219,'BASE-LCP'!$B:$B,"dezembro")/1000,IF(LEFT($A224,3)="icp",SUMIFS('BASE-ICP'!$K:$K,'BASE-ICP'!$A:$A,Capex!$A219,'BASE-ICP'!$B:$B,"dezembro")/1000,"")),"")</f>
        <v>0</v>
      </c>
      <c r="DK224" s="427">
        <v>36</v>
      </c>
      <c r="DL224" s="452">
        <f t="shared" si="120"/>
        <v>0</v>
      </c>
      <c r="DM224" s="374"/>
      <c r="DN224" s="374">
        <v>0</v>
      </c>
      <c r="DO224" s="374"/>
      <c r="DP224" s="374"/>
      <c r="DQ224" s="374"/>
      <c r="DR224" s="374"/>
      <c r="DS224" s="374"/>
      <c r="DT224" s="374"/>
      <c r="DU224" s="374"/>
      <c r="DV224" s="374"/>
      <c r="DW224" s="374"/>
      <c r="DX224" s="374"/>
      <c r="DY224" s="450"/>
      <c r="DZ224" s="374">
        <f t="shared" si="121"/>
        <v>0</v>
      </c>
      <c r="EA224" s="216">
        <f t="shared" si="122"/>
        <v>3.9120000000000002E-2</v>
      </c>
      <c r="EB224" s="320">
        <f t="shared" si="123"/>
        <v>-3.9120000000000002E-2</v>
      </c>
      <c r="EC224" s="241">
        <f t="shared" si="124"/>
        <v>-1260.34492</v>
      </c>
      <c r="ED224" s="241">
        <f t="shared" si="125"/>
        <v>1790.14492</v>
      </c>
      <c r="EE224" s="241">
        <f t="shared" si="126"/>
        <v>0</v>
      </c>
      <c r="EF224" s="241">
        <f t="shared" si="127"/>
        <v>120</v>
      </c>
      <c r="EG224" s="346">
        <f t="shared" si="128"/>
        <v>289.79999999999995</v>
      </c>
      <c r="EH224" s="445">
        <f t="shared" si="129"/>
        <v>0</v>
      </c>
      <c r="EI224" s="447">
        <f t="shared" si="130"/>
        <v>-225.98129000000003</v>
      </c>
      <c r="EJ224" s="364">
        <f t="shared" si="131"/>
        <v>529.76087999999993</v>
      </c>
      <c r="EK224" s="365">
        <f t="shared" si="132"/>
        <v>120.03912000000003</v>
      </c>
      <c r="EL224" s="529">
        <f t="shared" si="133"/>
        <v>649.76087999999993</v>
      </c>
      <c r="EM224" s="530">
        <v>-1265.06792</v>
      </c>
      <c r="EN224" s="530">
        <v>0</v>
      </c>
      <c r="EO224" s="530">
        <v>4.7230000000000008</v>
      </c>
      <c r="EP224" s="530">
        <v>2016.08709</v>
      </c>
      <c r="EQ224" s="530">
        <v>-225.98129000000003</v>
      </c>
      <c r="ER224" s="530">
        <v>0</v>
      </c>
      <c r="ES224" s="530">
        <v>0</v>
      </c>
      <c r="ET224" s="530">
        <v>0</v>
      </c>
      <c r="EU224" s="530">
        <v>0</v>
      </c>
      <c r="EV224" s="530">
        <v>4</v>
      </c>
      <c r="EW224" s="530">
        <v>80</v>
      </c>
      <c r="EX224" s="530">
        <v>36</v>
      </c>
      <c r="EY224" s="530">
        <f t="shared" si="134"/>
        <v>-1260.34492</v>
      </c>
      <c r="EZ224" s="530">
        <f t="shared" si="135"/>
        <v>1790.1058</v>
      </c>
      <c r="FA224" s="530">
        <f t="shared" si="136"/>
        <v>0</v>
      </c>
      <c r="FB224" s="530">
        <f t="shared" si="137"/>
        <v>120</v>
      </c>
      <c r="FC224" s="384">
        <f>IFERROR(VLOOKUP(Capex!A219,BASE_558!D:R,8,FALSE)/1000,"")</f>
        <v>126.86</v>
      </c>
      <c r="FD224" s="328">
        <f>IFERROR(VLOOKUP(Capex!A219,BASE_558!D:R,9,)/1000,"")</f>
        <v>46.03199</v>
      </c>
      <c r="FE224" s="328">
        <f>IFERROR(IF(LEFT(A224,3)="LCP",(VLOOKUP(Capex!A219,BASE_558!D:R,10,)/1000),SUMIFS('BASE ICP_PO_SC'!F:F,'BASE ICP_PO_SC'!A:A,Capex!A219,'BASE ICP_PO_SC'!E:E,"&lt;&gt;")/1000),"")</f>
        <v>0</v>
      </c>
      <c r="FF224" s="328">
        <f>IFERROR(IF(LEFT(A224,3)="LCP",(VLOOKUP(Capex!A219,BASE_558!D:R,11,)/1000),SUMIFS('BASE ICP_PO_SC'!F:F,'BASE ICP_PO_SC'!A:A,Capex!A219,'BASE ICP_PO_SC'!E:E,"")/1000),"")</f>
        <v>0</v>
      </c>
      <c r="FG224" s="328">
        <f>IFERROR(VLOOKUP(A224,BASE_558!D:R,13,FALSE)/1000,"")</f>
        <v>2390.06853</v>
      </c>
      <c r="FH224" s="328">
        <f>IFERROR(VLOOKUP(A224,BASE_558!D:R,15,FALSE)/1000,"")</f>
        <v>373.93146999999999</v>
      </c>
      <c r="FI224" s="547">
        <f t="shared" si="138"/>
        <v>-3.911999999991167E-2</v>
      </c>
      <c r="FJ224" s="547">
        <f t="shared" si="139"/>
        <v>0</v>
      </c>
      <c r="FK224" s="540">
        <f t="shared" si="140"/>
        <v>0</v>
      </c>
    </row>
    <row r="225" spans="1:167" s="23" customFormat="1" ht="24" customHeight="1">
      <c r="A225" s="84" t="s">
        <v>848</v>
      </c>
      <c r="B225" s="404"/>
      <c r="C225" s="404" t="s">
        <v>602</v>
      </c>
      <c r="D225" s="338" t="s">
        <v>2265</v>
      </c>
      <c r="E225" s="378">
        <v>4149542</v>
      </c>
      <c r="F225" s="310"/>
      <c r="G225" s="310" t="s">
        <v>9</v>
      </c>
      <c r="H225" s="356"/>
      <c r="I225" s="356" t="s">
        <v>6</v>
      </c>
      <c r="J225" s="356">
        <v>2021</v>
      </c>
      <c r="K225" s="321">
        <v>44344</v>
      </c>
      <c r="L225" s="317">
        <v>45117</v>
      </c>
      <c r="M225" s="409"/>
      <c r="N225" s="317">
        <f t="shared" si="143"/>
        <v>45256</v>
      </c>
      <c r="O225" s="317">
        <f t="shared" si="144"/>
        <v>45621</v>
      </c>
      <c r="P225" s="418" t="str">
        <f t="shared" ref="P225:AA234" si="147">IF($N225="","N/A",IF($O225="","N/A",IF(P$2&lt;=$N225,"NÃO",IF($AJ225="REL ","SIM",IF(P$2&lt;$O225,"NÃO",IF($AJ225&lt;&gt;"CLSD","SIM","CRTD"))))))</f>
        <v>CRTD</v>
      </c>
      <c r="Q225" s="418" t="str">
        <f t="shared" si="147"/>
        <v>CRTD</v>
      </c>
      <c r="R225" s="418" t="str">
        <f t="shared" si="147"/>
        <v>CRTD</v>
      </c>
      <c r="S225" s="418" t="str">
        <f t="shared" si="147"/>
        <v>CRTD</v>
      </c>
      <c r="T225" s="418" t="str">
        <f t="shared" si="147"/>
        <v>CRTD</v>
      </c>
      <c r="U225" s="418" t="str">
        <f t="shared" si="147"/>
        <v>CRTD</v>
      </c>
      <c r="V225" s="418" t="str">
        <f t="shared" si="147"/>
        <v>CRTD</v>
      </c>
      <c r="W225" s="418" t="str">
        <f t="shared" si="147"/>
        <v>CRTD</v>
      </c>
      <c r="X225" s="418" t="str">
        <f t="shared" si="147"/>
        <v>CRTD</v>
      </c>
      <c r="Y225" s="418" t="str">
        <f t="shared" si="147"/>
        <v>CRTD</v>
      </c>
      <c r="Z225" s="418" t="str">
        <f t="shared" si="147"/>
        <v>CRTD</v>
      </c>
      <c r="AA225" s="418" t="str">
        <f t="shared" si="147"/>
        <v>CRTD</v>
      </c>
      <c r="AB225" s="350"/>
      <c r="AC225" s="309" t="s">
        <v>2508</v>
      </c>
      <c r="AD225" s="311"/>
      <c r="AE225" s="381"/>
      <c r="AF225" s="310" t="s">
        <v>6985</v>
      </c>
      <c r="AG225" s="310" t="s">
        <v>9083</v>
      </c>
      <c r="AH225" s="310" t="s">
        <v>849</v>
      </c>
      <c r="AI225" s="309" t="s">
        <v>2255</v>
      </c>
      <c r="AJ225" s="6" t="s">
        <v>218</v>
      </c>
      <c r="AK225" s="6" t="str">
        <f t="shared" si="118"/>
        <v>IGUAL</v>
      </c>
      <c r="AL225" s="151" t="str">
        <f>IFERROR(IF(LEFT(A225,3)="LCP",VLOOKUP(A225,STATUS_SAP_LCP!B:C,2,FALSE),VLOOKUP(A225,STATUS_SAP_ICP!B:C,2,FALSE)),"NO BUDGET")</f>
        <v>CLSD BUDG AUC  AVAC  //  APPR BREL EXPL</v>
      </c>
      <c r="AM225" s="6" t="str">
        <f t="shared" si="116"/>
        <v>CLSD</v>
      </c>
      <c r="AN225" s="282" t="s">
        <v>9087</v>
      </c>
      <c r="AO225" s="493">
        <v>1</v>
      </c>
      <c r="AP225" s="499" t="s">
        <v>9607</v>
      </c>
      <c r="AQ225" s="465">
        <v>45117</v>
      </c>
      <c r="AR225" s="460"/>
      <c r="AS225" s="57"/>
      <c r="AT225" s="185"/>
      <c r="AU225" s="318">
        <v>86.203130000000002</v>
      </c>
      <c r="AV225" s="223">
        <v>2.4101900000000001</v>
      </c>
      <c r="AW225" s="318">
        <v>0</v>
      </c>
      <c r="AX225" s="223">
        <v>0</v>
      </c>
      <c r="AY225" s="318">
        <f t="shared" si="145"/>
        <v>0</v>
      </c>
      <c r="AZ225" s="223"/>
      <c r="BA225" s="318"/>
      <c r="BB225" s="519">
        <f t="shared" si="146"/>
        <v>0</v>
      </c>
      <c r="BC225" s="518"/>
      <c r="BD225" s="518"/>
      <c r="BE225" s="518"/>
      <c r="BF225" s="518"/>
      <c r="BG225" s="518"/>
      <c r="BH225" s="518"/>
      <c r="BI225" s="518"/>
      <c r="BJ225" s="518"/>
      <c r="BK225" s="518"/>
      <c r="BL225" s="518"/>
      <c r="BM225" s="518"/>
      <c r="BN225" s="518"/>
      <c r="BO225" s="367">
        <f t="shared" si="119"/>
        <v>0</v>
      </c>
      <c r="BP225" s="421"/>
      <c r="BQ225" s="422"/>
      <c r="BR225" s="423">
        <f>IFERROR(IF(LEFT($A225,3)="Lcp",SUMIFS('BASE-LCP'!$K:$K,'BASE-LCP'!$A:$A,Capex!$A220,'BASE-LCP'!$B:$B,"janeiro")/1000,IF(LEFT($A225,3)="icp",SUMIFS('BASE-ICP'!$K:$K,'BASE-ICP'!$A:$A,Capex!$A220,'BASE-ICP'!$B:$B,"janeiro")/1000,"")),"")</f>
        <v>0</v>
      </c>
      <c r="BS225" s="427">
        <v>0</v>
      </c>
      <c r="BT225" s="372">
        <v>0</v>
      </c>
      <c r="BU225" s="422"/>
      <c r="BV225" s="423">
        <f>IFERROR(IF(LEFT($A225,3)="Lcp",SUMIFS('BASE-LCP'!$K:$K,'BASE-LCP'!$A:$A,Capex!$A220,'BASE-LCP'!$B:$B,"fevereiro")/1000,IF(LEFT($A225,3)="icp",SUMIFS('BASE-ICP'!$K:$K,'BASE-ICP'!$A:$A,Capex!$A220,'BASE-ICP'!$B:$B,"fevereiro")/1000,"")),"")</f>
        <v>0</v>
      </c>
      <c r="BW225" s="427">
        <v>0</v>
      </c>
      <c r="BX225" s="372">
        <v>0</v>
      </c>
      <c r="BY225" s="419"/>
      <c r="BZ225" s="423">
        <f>IFERROR(IF(LEFT($A225,3)="Lcp",SUMIFS('BASE-LCP'!$K:$K,'BASE-LCP'!$A:$A,Capex!$A220,'BASE-LCP'!$B:$B,"março")/1000,IF(LEFT($A225,3)="icp",SUMIFS('BASE-ICP'!$K:$K,'BASE-ICP'!$A:$A,Capex!$A220,'BASE-ICP'!$B:$B,"março")/1000,"")),"")</f>
        <v>0</v>
      </c>
      <c r="CA225" s="427">
        <v>0</v>
      </c>
      <c r="CB225" s="372">
        <v>0</v>
      </c>
      <c r="CC225" s="422"/>
      <c r="CD225" s="423">
        <f>IFERROR(IF(LEFT($A225,3)="Lcp",SUMIFS('BASE-LCP'!$K:$K,'BASE-LCP'!$A:$A,Capex!$A220,'BASE-LCP'!$B:$B,"abril")/1000,IF(LEFT($A225,3)="icp",SUMIFS('BASE-ICP'!$K:$K,'BASE-ICP'!$A:$A,Capex!$A220,'BASE-ICP'!$B:$B,"abril")/1000,"")),"")</f>
        <v>0</v>
      </c>
      <c r="CE225" s="427">
        <v>0</v>
      </c>
      <c r="CF225" s="372">
        <v>0</v>
      </c>
      <c r="CG225" s="419"/>
      <c r="CH225" s="423">
        <v>0</v>
      </c>
      <c r="CI225" s="427">
        <v>0</v>
      </c>
      <c r="CJ225" s="372">
        <v>0</v>
      </c>
      <c r="CK225" s="419"/>
      <c r="CL225" s="423">
        <f>IFERROR(IF(LEFT($A225,3)="Lcp",SUMIFS('BASE-LCP'!$K:$K,'BASE-LCP'!$A:$A,Capex!$A220,'BASE-LCP'!$B:$B,"junho")/1000,IF(LEFT($A225,3)="icp",SUMIFS('BASE-ICP'!$K:$K,'BASE-ICP'!$A:$A,Capex!$A220,'BASE-ICP'!$B:$B,"junho")/1000,"")),"")</f>
        <v>0</v>
      </c>
      <c r="CM225" s="427">
        <v>0</v>
      </c>
      <c r="CN225" s="372"/>
      <c r="CO225" s="419"/>
      <c r="CP225" s="423">
        <f>IFERROR(IF(LEFT($A225,3)="Lcp",SUMIFS('BASE-LCP'!$K:$K,'BASE-LCP'!$A:$A,Capex!$A220,'BASE-LCP'!$B:$B,"julho")/1000,IF(LEFT($A225,3)="icp",SUMIFS('BASE-ICP'!$K:$K,'BASE-ICP'!$A:$A,Capex!$A220,'BASE-ICP'!$B:$B,"julho")/1000,"")),"")</f>
        <v>0</v>
      </c>
      <c r="CQ225" s="427">
        <v>0</v>
      </c>
      <c r="CR225" s="372"/>
      <c r="CS225" s="419"/>
      <c r="CT225" s="423">
        <f>IFERROR(IF(LEFT($A225,3)="Lcp",SUMIFS('BASE-LCP'!$K:$K,'BASE-LCP'!$A:$A,Capex!$A220,'BASE-LCP'!$B:$B,"agosto")/1000,IF(LEFT($A225,3)="icp",SUMIFS('BASE-ICP'!$K:$K,'BASE-ICP'!$A:$A,Capex!$A220,'BASE-ICP'!$B:$B,"agosto")/1000,"")),"")</f>
        <v>0</v>
      </c>
      <c r="CU225" s="427">
        <v>0</v>
      </c>
      <c r="CV225" s="372"/>
      <c r="CW225" s="419"/>
      <c r="CX225" s="423">
        <f>IFERROR(IF(LEFT($A225,3)="Lcp",SUMIFS('BASE-LCP'!$K:$K,'BASE-LCP'!$A:$A,Capex!$A220,'BASE-LCP'!$B:$B,"setembro")/1000,IF(LEFT($A225,3)="icp",SUMIFS('BASE-ICP'!$K:$K,'BASE-ICP'!$A:$A,Capex!$A220,'BASE-ICP'!$B:$B,"setembro")/1000,"")),"")</f>
        <v>0</v>
      </c>
      <c r="CY225" s="427">
        <v>0</v>
      </c>
      <c r="CZ225" s="372"/>
      <c r="DA225" s="419"/>
      <c r="DB225" s="423">
        <f>IFERROR(IF(LEFT($A225,3)="Lcp",SUMIFS('BASE-LCP'!$K:$K,'BASE-LCP'!$A:$A,Capex!$A220,'BASE-LCP'!$B:$B,"outubro")/1000,IF(LEFT($A225,3)="icp",SUMIFS('BASE-ICP'!$K:$K,'BASE-ICP'!$A:$A,Capex!$A220,'BASE-ICP'!$B:$B,"outubro")/1000,"")),"")</f>
        <v>0</v>
      </c>
      <c r="DC225" s="427">
        <v>0</v>
      </c>
      <c r="DD225" s="372"/>
      <c r="DE225" s="419"/>
      <c r="DF225" s="423">
        <f>IFERROR(IF(LEFT($A225,3)="Lcp",SUMIFS('BASE-LCP'!$K:$K,'BASE-LCP'!$A:$A,Capex!$A220,'BASE-LCP'!$B:$B,"novembro")/1000,IF(LEFT($A225,3)="icp",SUMIFS('BASE-ICP'!$K:$K,'BASE-ICP'!$A:$A,Capex!$A220,'BASE-ICP'!$B:$B,"novembro")/1000,"")),"")</f>
        <v>0</v>
      </c>
      <c r="DG225" s="427">
        <v>0</v>
      </c>
      <c r="DH225" s="372"/>
      <c r="DI225" s="419"/>
      <c r="DJ225" s="423">
        <f>IFERROR(IF(LEFT($A225,3)="Lcp",SUMIFS('BASE-LCP'!$K:$K,'BASE-LCP'!$A:$A,Capex!$A220,'BASE-LCP'!$B:$B,"dezembro")/1000,IF(LEFT($A225,3)="icp",SUMIFS('BASE-ICP'!$K:$K,'BASE-ICP'!$A:$A,Capex!$A220,'BASE-ICP'!$B:$B,"dezembro")/1000,"")),"")</f>
        <v>0</v>
      </c>
      <c r="DK225" s="427">
        <v>0</v>
      </c>
      <c r="DL225" s="452">
        <f t="shared" si="120"/>
        <v>0</v>
      </c>
      <c r="DM225" s="374"/>
      <c r="DN225" s="374"/>
      <c r="DO225" s="374"/>
      <c r="DP225" s="374"/>
      <c r="DQ225" s="374"/>
      <c r="DR225" s="374"/>
      <c r="DS225" s="374"/>
      <c r="DT225" s="374"/>
      <c r="DU225" s="374"/>
      <c r="DV225" s="374"/>
      <c r="DW225" s="374"/>
      <c r="DX225" s="374"/>
      <c r="DY225" s="450"/>
      <c r="DZ225" s="374">
        <f t="shared" si="121"/>
        <v>0</v>
      </c>
      <c r="EA225" s="216">
        <f t="shared" si="122"/>
        <v>0</v>
      </c>
      <c r="EB225" s="320">
        <f t="shared" si="123"/>
        <v>0</v>
      </c>
      <c r="EC225" s="241">
        <f t="shared" si="124"/>
        <v>0</v>
      </c>
      <c r="ED225" s="241">
        <f t="shared" si="125"/>
        <v>0</v>
      </c>
      <c r="EE225" s="241">
        <f t="shared" si="126"/>
        <v>0</v>
      </c>
      <c r="EF225" s="241">
        <f t="shared" si="127"/>
        <v>0</v>
      </c>
      <c r="EG225" s="346">
        <f t="shared" si="128"/>
        <v>0</v>
      </c>
      <c r="EH225" s="445">
        <f t="shared" si="129"/>
        <v>0</v>
      </c>
      <c r="EI225" s="447">
        <f t="shared" si="130"/>
        <v>0</v>
      </c>
      <c r="EJ225" s="364">
        <f t="shared" si="131"/>
        <v>0</v>
      </c>
      <c r="EK225" s="365">
        <f t="shared" si="132"/>
        <v>0</v>
      </c>
      <c r="EL225" s="529">
        <f t="shared" si="133"/>
        <v>0</v>
      </c>
      <c r="EM225" s="530">
        <v>0</v>
      </c>
      <c r="EN225" s="530">
        <v>0</v>
      </c>
      <c r="EO225" s="530">
        <v>0</v>
      </c>
      <c r="EP225" s="530">
        <v>0</v>
      </c>
      <c r="EQ225" s="530">
        <v>0</v>
      </c>
      <c r="ER225" s="530">
        <v>0</v>
      </c>
      <c r="ES225" s="530">
        <v>0</v>
      </c>
      <c r="ET225" s="530">
        <v>0</v>
      </c>
      <c r="EU225" s="530">
        <v>0</v>
      </c>
      <c r="EV225" s="530">
        <v>0</v>
      </c>
      <c r="EW225" s="530">
        <v>0</v>
      </c>
      <c r="EX225" s="530">
        <v>0</v>
      </c>
      <c r="EY225" s="530">
        <f t="shared" si="134"/>
        <v>0</v>
      </c>
      <c r="EZ225" s="530">
        <f t="shared" si="135"/>
        <v>0</v>
      </c>
      <c r="FA225" s="530">
        <f t="shared" si="136"/>
        <v>0</v>
      </c>
      <c r="FB225" s="530">
        <f t="shared" si="137"/>
        <v>0</v>
      </c>
      <c r="FC225" s="384">
        <f>IFERROR(VLOOKUP(Capex!A220,BASE_558!D:R,8,FALSE)/1000,"")</f>
        <v>1369.7249399999998</v>
      </c>
      <c r="FD225" s="328">
        <f>IFERROR(VLOOKUP(Capex!A220,BASE_558!D:R,9,)/1000,"")</f>
        <v>968.22003000000007</v>
      </c>
      <c r="FE225" s="328">
        <f>IFERROR(IF(LEFT(A225,3)="LCP",(VLOOKUP(Capex!A220,BASE_558!D:R,10,)/1000),SUMIFS('BASE ICP_PO_SC'!F:F,'BASE ICP_PO_SC'!A:A,Capex!A220,'BASE ICP_PO_SC'!E:E,"&lt;&gt;")/1000),"")</f>
        <v>1.45468</v>
      </c>
      <c r="FF225" s="328">
        <f>IFERROR(IF(LEFT(A225,3)="LCP",(VLOOKUP(Capex!A220,BASE_558!D:R,11,)/1000),SUMIFS('BASE ICP_PO_SC'!F:F,'BASE ICP_PO_SC'!A:A,Capex!A220,'BASE ICP_PO_SC'!E:E,"")/1000),"")</f>
        <v>4.0000000000000001E-3</v>
      </c>
      <c r="FG225" s="328">
        <f>IFERROR(VLOOKUP(A225,BASE_558!D:R,13,FALSE)/1000,"")</f>
        <v>88.613320000000002</v>
      </c>
      <c r="FH225" s="328">
        <f>IFERROR(VLOOKUP(A225,BASE_558!D:R,15,FALSE)/1000,"")</f>
        <v>18.165680000000002</v>
      </c>
      <c r="FI225" s="547">
        <f t="shared" si="138"/>
        <v>0</v>
      </c>
      <c r="FJ225" s="547">
        <f t="shared" si="139"/>
        <v>0</v>
      </c>
      <c r="FK225" s="540">
        <f t="shared" si="140"/>
        <v>0</v>
      </c>
    </row>
    <row r="226" spans="1:167" s="23" customFormat="1" ht="24" customHeight="1">
      <c r="A226" s="84" t="s">
        <v>857</v>
      </c>
      <c r="B226" s="404" t="s">
        <v>1504</v>
      </c>
      <c r="C226" s="404">
        <v>7918</v>
      </c>
      <c r="D226" s="338" t="s">
        <v>1875</v>
      </c>
      <c r="E226" s="378">
        <v>4247961</v>
      </c>
      <c r="F226" s="5"/>
      <c r="G226" s="310" t="s">
        <v>9</v>
      </c>
      <c r="H226" s="356" t="s">
        <v>6</v>
      </c>
      <c r="I226" s="356"/>
      <c r="J226" s="356">
        <v>2021</v>
      </c>
      <c r="K226" s="352">
        <v>44376</v>
      </c>
      <c r="L226" s="317"/>
      <c r="M226" s="409"/>
      <c r="N226" s="317">
        <f t="shared" si="143"/>
        <v>45288</v>
      </c>
      <c r="O226" s="317">
        <f t="shared" si="144"/>
        <v>45653</v>
      </c>
      <c r="P226" s="418" t="str">
        <f t="shared" si="147"/>
        <v>SIM</v>
      </c>
      <c r="Q226" s="418" t="str">
        <f t="shared" si="147"/>
        <v>SIM</v>
      </c>
      <c r="R226" s="418" t="str">
        <f t="shared" si="147"/>
        <v>SIM</v>
      </c>
      <c r="S226" s="418" t="str">
        <f t="shared" si="147"/>
        <v>SIM</v>
      </c>
      <c r="T226" s="418" t="str">
        <f t="shared" si="147"/>
        <v>SIM</v>
      </c>
      <c r="U226" s="418" t="str">
        <f t="shared" si="147"/>
        <v>SIM</v>
      </c>
      <c r="V226" s="418" t="str">
        <f t="shared" si="147"/>
        <v>SIM</v>
      </c>
      <c r="W226" s="418" t="str">
        <f t="shared" si="147"/>
        <v>SIM</v>
      </c>
      <c r="X226" s="418" t="str">
        <f t="shared" si="147"/>
        <v>SIM</v>
      </c>
      <c r="Y226" s="418" t="str">
        <f t="shared" si="147"/>
        <v>SIM</v>
      </c>
      <c r="Z226" s="418" t="str">
        <f t="shared" si="147"/>
        <v>SIM</v>
      </c>
      <c r="AA226" s="418" t="str">
        <f t="shared" si="147"/>
        <v>SIM</v>
      </c>
      <c r="AB226" s="350"/>
      <c r="AC226" s="309" t="s">
        <v>3932</v>
      </c>
      <c r="AD226" s="311" t="s">
        <v>5</v>
      </c>
      <c r="AE226" s="361" t="s">
        <v>961</v>
      </c>
      <c r="AF226" s="310" t="s">
        <v>6985</v>
      </c>
      <c r="AG226" s="310" t="s">
        <v>2238</v>
      </c>
      <c r="AH226" s="310" t="s">
        <v>2823</v>
      </c>
      <c r="AI226" s="381" t="s">
        <v>183</v>
      </c>
      <c r="AJ226" s="6" t="s">
        <v>6786</v>
      </c>
      <c r="AK226" s="6" t="str">
        <f t="shared" si="118"/>
        <v>IGUAL</v>
      </c>
      <c r="AL226" s="151" t="str">
        <f>IFERROR(IF(LEFT(A226,3)="LCP",VLOOKUP(A226,STATUS_SAP_LCP!B:C,2,FALSE),VLOOKUP(A226,STATUS_SAP_ICP!B:C,2,FALSE)),"NO BUDGET")</f>
        <v>REL  BUDG AUC  AVAC  //  APPR BREL INPL</v>
      </c>
      <c r="AM226" s="6" t="str">
        <f t="shared" si="116"/>
        <v xml:space="preserve">REL </v>
      </c>
      <c r="AN226" s="282" t="s">
        <v>16154</v>
      </c>
      <c r="AO226" s="557"/>
      <c r="AP226" s="499" t="s">
        <v>5299</v>
      </c>
      <c r="AQ226" s="465">
        <v>46203</v>
      </c>
      <c r="AR226" s="460"/>
      <c r="AS226" s="57"/>
      <c r="AT226" s="185"/>
      <c r="AU226" s="318">
        <v>48.971359999999997</v>
      </c>
      <c r="AV226" s="223">
        <v>32.757400000000004</v>
      </c>
      <c r="AW226" s="318">
        <v>5.7120100000000003</v>
      </c>
      <c r="AX226" s="223">
        <v>4.6668500000000002</v>
      </c>
      <c r="AY226" s="318">
        <f t="shared" si="145"/>
        <v>0</v>
      </c>
      <c r="AZ226" s="223"/>
      <c r="BA226" s="318"/>
      <c r="BB226" s="519">
        <f t="shared" si="146"/>
        <v>0</v>
      </c>
      <c r="BC226" s="518">
        <v>0</v>
      </c>
      <c r="BD226" s="518">
        <v>0</v>
      </c>
      <c r="BE226" s="518">
        <v>0</v>
      </c>
      <c r="BF226" s="518">
        <v>0</v>
      </c>
      <c r="BG226" s="518">
        <v>0</v>
      </c>
      <c r="BH226" s="518">
        <v>0</v>
      </c>
      <c r="BI226" s="518">
        <v>0</v>
      </c>
      <c r="BJ226" s="518">
        <v>0</v>
      </c>
      <c r="BK226" s="518">
        <v>0</v>
      </c>
      <c r="BL226" s="518">
        <v>0</v>
      </c>
      <c r="BM226" s="518">
        <v>0</v>
      </c>
      <c r="BN226" s="518">
        <v>0</v>
      </c>
      <c r="BO226" s="367">
        <f t="shared" si="119"/>
        <v>0</v>
      </c>
      <c r="BP226" s="421">
        <v>0</v>
      </c>
      <c r="BQ226" s="422"/>
      <c r="BR226" s="423">
        <f>IFERROR(IF(LEFT($A226,3)="Lcp",SUMIFS('BASE-LCP'!$K:$K,'BASE-LCP'!$A:$A,Capex!$A221,'BASE-LCP'!$B:$B,"janeiro")/1000,IF(LEFT($A226,3)="icp",SUMIFS('BASE-ICP'!$K:$K,'BASE-ICP'!$A:$A,Capex!$A221,'BASE-ICP'!$B:$B,"janeiro")/1000,"")),"")</f>
        <v>0</v>
      </c>
      <c r="BS226" s="427">
        <v>0</v>
      </c>
      <c r="BT226" s="372">
        <v>0</v>
      </c>
      <c r="BU226" s="422"/>
      <c r="BV226" s="423">
        <f>IFERROR(IF(LEFT($A226,3)="Lcp",SUMIFS('BASE-LCP'!$K:$K,'BASE-LCP'!$A:$A,Capex!$A221,'BASE-LCP'!$B:$B,"fevereiro")/1000,IF(LEFT($A226,3)="icp",SUMIFS('BASE-ICP'!$K:$K,'BASE-ICP'!$A:$A,Capex!$A221,'BASE-ICP'!$B:$B,"fevereiro")/1000,"")),"")</f>
        <v>0</v>
      </c>
      <c r="BW226" s="427">
        <v>0</v>
      </c>
      <c r="BX226" s="372">
        <v>0</v>
      </c>
      <c r="BY226" s="419"/>
      <c r="BZ226" s="423">
        <f>IFERROR(IF(LEFT($A226,3)="Lcp",SUMIFS('BASE-LCP'!$K:$K,'BASE-LCP'!$A:$A,Capex!$A221,'BASE-LCP'!$B:$B,"março")/1000,IF(LEFT($A226,3)="icp",SUMIFS('BASE-ICP'!$K:$K,'BASE-ICP'!$A:$A,Capex!$A221,'BASE-ICP'!$B:$B,"março")/1000,"")),"")</f>
        <v>0</v>
      </c>
      <c r="CA226" s="427">
        <v>0</v>
      </c>
      <c r="CB226" s="372">
        <v>0</v>
      </c>
      <c r="CC226" s="422"/>
      <c r="CD226" s="423">
        <f>IFERROR(IF(LEFT($A226,3)="Lcp",SUMIFS('BASE-LCP'!$K:$K,'BASE-LCP'!$A:$A,Capex!$A221,'BASE-LCP'!$B:$B,"abril")/1000,IF(LEFT($A226,3)="icp",SUMIFS('BASE-ICP'!$K:$K,'BASE-ICP'!$A:$A,Capex!$A221,'BASE-ICP'!$B:$B,"abril")/1000,"")),"")</f>
        <v>0</v>
      </c>
      <c r="CE226" s="427">
        <v>0</v>
      </c>
      <c r="CF226" s="372">
        <v>0</v>
      </c>
      <c r="CG226" s="419"/>
      <c r="CH226" s="423">
        <v>0</v>
      </c>
      <c r="CI226" s="427">
        <v>0</v>
      </c>
      <c r="CJ226" s="372">
        <v>0</v>
      </c>
      <c r="CK226" s="419"/>
      <c r="CL226" s="423">
        <f>IFERROR(IF(LEFT($A226,3)="Lcp",SUMIFS('BASE-LCP'!$K:$K,'BASE-LCP'!$A:$A,Capex!$A221,'BASE-LCP'!$B:$B,"junho")/1000,IF(LEFT($A226,3)="icp",SUMIFS('BASE-ICP'!$K:$K,'BASE-ICP'!$A:$A,Capex!$A221,'BASE-ICP'!$B:$B,"junho")/1000,"")),"")</f>
        <v>0</v>
      </c>
      <c r="CM226" s="427">
        <v>0</v>
      </c>
      <c r="CN226" s="372"/>
      <c r="CO226" s="419"/>
      <c r="CP226" s="423">
        <f>IFERROR(IF(LEFT($A226,3)="Lcp",SUMIFS('BASE-LCP'!$K:$K,'BASE-LCP'!$A:$A,Capex!$A221,'BASE-LCP'!$B:$B,"julho")/1000,IF(LEFT($A226,3)="icp",SUMIFS('BASE-ICP'!$K:$K,'BASE-ICP'!$A:$A,Capex!$A221,'BASE-ICP'!$B:$B,"julho")/1000,"")),"")</f>
        <v>0</v>
      </c>
      <c r="CQ226" s="427">
        <v>0</v>
      </c>
      <c r="CR226" s="372"/>
      <c r="CS226" s="419"/>
      <c r="CT226" s="423">
        <f>IFERROR(IF(LEFT($A226,3)="Lcp",SUMIFS('BASE-LCP'!$K:$K,'BASE-LCP'!$A:$A,Capex!$A221,'BASE-LCP'!$B:$B,"agosto")/1000,IF(LEFT($A226,3)="icp",SUMIFS('BASE-ICP'!$K:$K,'BASE-ICP'!$A:$A,Capex!$A221,'BASE-ICP'!$B:$B,"agosto")/1000,"")),"")</f>
        <v>0</v>
      </c>
      <c r="CU226" s="427">
        <v>0</v>
      </c>
      <c r="CV226" s="372"/>
      <c r="CW226" s="419"/>
      <c r="CX226" s="423">
        <f>IFERROR(IF(LEFT($A226,3)="Lcp",SUMIFS('BASE-LCP'!$K:$K,'BASE-LCP'!$A:$A,Capex!$A221,'BASE-LCP'!$B:$B,"setembro")/1000,IF(LEFT($A226,3)="icp",SUMIFS('BASE-ICP'!$K:$K,'BASE-ICP'!$A:$A,Capex!$A221,'BASE-ICP'!$B:$B,"setembro")/1000,"")),"")</f>
        <v>0</v>
      </c>
      <c r="CY226" s="427">
        <v>0</v>
      </c>
      <c r="CZ226" s="372"/>
      <c r="DA226" s="419"/>
      <c r="DB226" s="423">
        <f>IFERROR(IF(LEFT($A226,3)="Lcp",SUMIFS('BASE-LCP'!$K:$K,'BASE-LCP'!$A:$A,Capex!$A221,'BASE-LCP'!$B:$B,"outubro")/1000,IF(LEFT($A226,3)="icp",SUMIFS('BASE-ICP'!$K:$K,'BASE-ICP'!$A:$A,Capex!$A221,'BASE-ICP'!$B:$B,"outubro")/1000,"")),"")</f>
        <v>0</v>
      </c>
      <c r="DC226" s="427">
        <v>0</v>
      </c>
      <c r="DD226" s="372"/>
      <c r="DE226" s="419"/>
      <c r="DF226" s="423">
        <f>IFERROR(IF(LEFT($A226,3)="Lcp",SUMIFS('BASE-LCP'!$K:$K,'BASE-LCP'!$A:$A,Capex!$A221,'BASE-LCP'!$B:$B,"novembro")/1000,IF(LEFT($A226,3)="icp",SUMIFS('BASE-ICP'!$K:$K,'BASE-ICP'!$A:$A,Capex!$A221,'BASE-ICP'!$B:$B,"novembro")/1000,"")),"")</f>
        <v>0</v>
      </c>
      <c r="DG226" s="427">
        <v>0</v>
      </c>
      <c r="DH226" s="372"/>
      <c r="DI226" s="419"/>
      <c r="DJ226" s="423">
        <f>IFERROR(IF(LEFT($A226,3)="Lcp",SUMIFS('BASE-LCP'!$K:$K,'BASE-LCP'!$A:$A,Capex!$A221,'BASE-LCP'!$B:$B,"dezembro")/1000,IF(LEFT($A226,3)="icp",SUMIFS('BASE-ICP'!$K:$K,'BASE-ICP'!$A:$A,Capex!$A221,'BASE-ICP'!$B:$B,"dezembro")/1000,"")),"")</f>
        <v>0</v>
      </c>
      <c r="DK226" s="427">
        <v>0</v>
      </c>
      <c r="DL226" s="452">
        <f t="shared" si="120"/>
        <v>52.1</v>
      </c>
      <c r="DM226" s="374"/>
      <c r="DN226" s="374">
        <v>52.1</v>
      </c>
      <c r="DO226" s="374"/>
      <c r="DP226" s="374"/>
      <c r="DQ226" s="374"/>
      <c r="DR226" s="374"/>
      <c r="DS226" s="374"/>
      <c r="DT226" s="374"/>
      <c r="DU226" s="374"/>
      <c r="DV226" s="374"/>
      <c r="DW226" s="374"/>
      <c r="DX226" s="374"/>
      <c r="DY226" s="450"/>
      <c r="DZ226" s="374">
        <f t="shared" si="121"/>
        <v>52.1</v>
      </c>
      <c r="EA226" s="216">
        <f t="shared" si="122"/>
        <v>0</v>
      </c>
      <c r="EB226" s="320">
        <f t="shared" si="123"/>
        <v>0</v>
      </c>
      <c r="EC226" s="241">
        <f t="shared" si="124"/>
        <v>0</v>
      </c>
      <c r="ED226" s="241">
        <f t="shared" si="125"/>
        <v>0</v>
      </c>
      <c r="EE226" s="241">
        <f t="shared" si="126"/>
        <v>0</v>
      </c>
      <c r="EF226" s="241">
        <f t="shared" si="127"/>
        <v>0</v>
      </c>
      <c r="EG226" s="346">
        <f t="shared" si="128"/>
        <v>0</v>
      </c>
      <c r="EH226" s="445">
        <f t="shared" si="129"/>
        <v>0</v>
      </c>
      <c r="EI226" s="447">
        <f t="shared" si="130"/>
        <v>0</v>
      </c>
      <c r="EJ226" s="364">
        <f t="shared" si="131"/>
        <v>0</v>
      </c>
      <c r="EK226" s="365">
        <f t="shared" si="132"/>
        <v>0</v>
      </c>
      <c r="EL226" s="529">
        <f t="shared" si="133"/>
        <v>0</v>
      </c>
      <c r="EM226" s="530">
        <v>0</v>
      </c>
      <c r="EN226" s="530">
        <v>0</v>
      </c>
      <c r="EO226" s="530">
        <v>0</v>
      </c>
      <c r="EP226" s="530">
        <v>0</v>
      </c>
      <c r="EQ226" s="530">
        <v>0</v>
      </c>
      <c r="ER226" s="530">
        <v>0</v>
      </c>
      <c r="ES226" s="530">
        <v>0</v>
      </c>
      <c r="ET226" s="530">
        <v>0</v>
      </c>
      <c r="EU226" s="530">
        <v>0</v>
      </c>
      <c r="EV226" s="530">
        <v>0</v>
      </c>
      <c r="EW226" s="530">
        <v>0</v>
      </c>
      <c r="EX226" s="530">
        <v>0</v>
      </c>
      <c r="EY226" s="530">
        <f t="shared" si="134"/>
        <v>0</v>
      </c>
      <c r="EZ226" s="530">
        <f t="shared" si="135"/>
        <v>0</v>
      </c>
      <c r="FA226" s="530">
        <f t="shared" si="136"/>
        <v>0</v>
      </c>
      <c r="FB226" s="530">
        <f t="shared" si="137"/>
        <v>0</v>
      </c>
      <c r="FC226" s="384">
        <f>IFERROR(VLOOKUP(Capex!A221,BASE_558!D:R,8,FALSE)/1000,"")</f>
        <v>5512.05</v>
      </c>
      <c r="FD226" s="328">
        <f>IFERROR(VLOOKUP(Capex!A221,BASE_558!D:R,9,)/1000,"")</f>
        <v>5322.2808700000005</v>
      </c>
      <c r="FE226" s="328">
        <f>IFERROR(IF(LEFT(A226,3)="LCP",(VLOOKUP(Capex!A221,BASE_558!D:R,10,)/1000),SUMIFS('BASE ICP_PO_SC'!F:F,'BASE ICP_PO_SC'!A:A,Capex!A221,'BASE ICP_PO_SC'!E:E,"&lt;&gt;")/1000),"")</f>
        <v>0</v>
      </c>
      <c r="FF226" s="328">
        <f>IFERROR(IF(LEFT(A226,3)="LCP",(VLOOKUP(Capex!A221,BASE_558!D:R,11,)/1000),SUMIFS('BASE ICP_PO_SC'!F:F,'BASE ICP_PO_SC'!A:A,Capex!A221,'BASE ICP_PO_SC'!E:E,"")/1000),"")</f>
        <v>0</v>
      </c>
      <c r="FG226" s="328">
        <f>IFERROR(VLOOKUP(A226,BASE_558!D:R,13,FALSE)/1000,"")</f>
        <v>103.24843</v>
      </c>
      <c r="FH226" s="328">
        <f>IFERROR(VLOOKUP(A226,BASE_558!D:R,15,FALSE)/1000,"")</f>
        <v>183.70657</v>
      </c>
      <c r="FI226" s="547">
        <f t="shared" si="138"/>
        <v>0</v>
      </c>
      <c r="FJ226" s="547">
        <f t="shared" si="139"/>
        <v>0</v>
      </c>
      <c r="FK226" s="540">
        <f t="shared" si="140"/>
        <v>0</v>
      </c>
    </row>
    <row r="227" spans="1:167" s="23" customFormat="1" ht="24" customHeight="1">
      <c r="A227" s="84" t="s">
        <v>859</v>
      </c>
      <c r="B227" s="404"/>
      <c r="C227" s="404" t="s">
        <v>602</v>
      </c>
      <c r="D227" s="338" t="s">
        <v>2266</v>
      </c>
      <c r="E227" s="378">
        <v>4154934</v>
      </c>
      <c r="F227" s="5"/>
      <c r="G227" s="310" t="s">
        <v>9</v>
      </c>
      <c r="H227" s="338"/>
      <c r="I227" s="356"/>
      <c r="J227" s="356">
        <v>2021</v>
      </c>
      <c r="K227" s="321">
        <v>44344</v>
      </c>
      <c r="L227" s="317">
        <v>44708</v>
      </c>
      <c r="M227" s="409"/>
      <c r="N227" s="317">
        <f t="shared" si="143"/>
        <v>45256</v>
      </c>
      <c r="O227" s="317">
        <f t="shared" si="144"/>
        <v>45621</v>
      </c>
      <c r="P227" s="418" t="str">
        <f t="shared" si="147"/>
        <v>CRTD</v>
      </c>
      <c r="Q227" s="418" t="str">
        <f t="shared" si="147"/>
        <v>CRTD</v>
      </c>
      <c r="R227" s="418" t="str">
        <f t="shared" si="147"/>
        <v>CRTD</v>
      </c>
      <c r="S227" s="418" t="str">
        <f t="shared" si="147"/>
        <v>CRTD</v>
      </c>
      <c r="T227" s="418" t="str">
        <f t="shared" si="147"/>
        <v>CRTD</v>
      </c>
      <c r="U227" s="418" t="str">
        <f t="shared" si="147"/>
        <v>CRTD</v>
      </c>
      <c r="V227" s="418" t="str">
        <f t="shared" si="147"/>
        <v>CRTD</v>
      </c>
      <c r="W227" s="418" t="str">
        <f t="shared" si="147"/>
        <v>CRTD</v>
      </c>
      <c r="X227" s="418" t="str">
        <f t="shared" si="147"/>
        <v>CRTD</v>
      </c>
      <c r="Y227" s="418" t="str">
        <f t="shared" si="147"/>
        <v>CRTD</v>
      </c>
      <c r="Z227" s="418" t="str">
        <f t="shared" si="147"/>
        <v>CRTD</v>
      </c>
      <c r="AA227" s="418" t="str">
        <f t="shared" si="147"/>
        <v>CRTD</v>
      </c>
      <c r="AB227" s="350"/>
      <c r="AC227" s="309" t="s">
        <v>2508</v>
      </c>
      <c r="AD227" s="311"/>
      <c r="AE227" s="381"/>
      <c r="AF227" s="310" t="s">
        <v>6985</v>
      </c>
      <c r="AG227" s="310" t="s">
        <v>9083</v>
      </c>
      <c r="AH227" s="310" t="s">
        <v>858</v>
      </c>
      <c r="AI227" s="381" t="s">
        <v>186</v>
      </c>
      <c r="AJ227" s="6" t="s">
        <v>218</v>
      </c>
      <c r="AK227" s="6" t="str">
        <f t="shared" si="118"/>
        <v>IGUAL</v>
      </c>
      <c r="AL227" s="151" t="str">
        <f>IFERROR(IF(LEFT(A227,3)="LCP",VLOOKUP(A227,STATUS_SAP_LCP!B:C,2,FALSE),VLOOKUP(A227,STATUS_SAP_ICP!B:C,2,FALSE)),"NO BUDGET")</f>
        <v>CLSD BUDG AUC  AVAC  //  APPR BREL EXPL</v>
      </c>
      <c r="AM227" s="6" t="str">
        <f t="shared" si="116"/>
        <v>CLSD</v>
      </c>
      <c r="AN227" s="414" t="s">
        <v>9087</v>
      </c>
      <c r="AO227" s="558">
        <v>1</v>
      </c>
      <c r="AP227" s="499" t="s">
        <v>9607</v>
      </c>
      <c r="AQ227" s="465">
        <v>44708</v>
      </c>
      <c r="AR227" s="460"/>
      <c r="AS227" s="57"/>
      <c r="AT227" s="185"/>
      <c r="AU227" s="318">
        <v>33.632639999999995</v>
      </c>
      <c r="AV227" s="223">
        <v>7.2782100000000005</v>
      </c>
      <c r="AW227" s="318">
        <v>0</v>
      </c>
      <c r="AX227" s="223">
        <v>0</v>
      </c>
      <c r="AY227" s="318">
        <f t="shared" si="145"/>
        <v>0</v>
      </c>
      <c r="AZ227" s="223"/>
      <c r="BA227" s="318"/>
      <c r="BB227" s="519">
        <f t="shared" si="146"/>
        <v>0</v>
      </c>
      <c r="BC227" s="518"/>
      <c r="BD227" s="518"/>
      <c r="BE227" s="518"/>
      <c r="BF227" s="518"/>
      <c r="BG227" s="518"/>
      <c r="BH227" s="518"/>
      <c r="BI227" s="518"/>
      <c r="BJ227" s="518"/>
      <c r="BK227" s="518"/>
      <c r="BL227" s="518"/>
      <c r="BM227" s="518"/>
      <c r="BN227" s="518"/>
      <c r="BO227" s="367">
        <f t="shared" si="119"/>
        <v>0</v>
      </c>
      <c r="BP227" s="421"/>
      <c r="BQ227" s="422"/>
      <c r="BR227" s="423">
        <f>IFERROR(IF(LEFT($A227,3)="Lcp",SUMIFS('BASE-LCP'!$K:$K,'BASE-LCP'!$A:$A,Capex!$A222,'BASE-LCP'!$B:$B,"janeiro")/1000,IF(LEFT($A227,3)="icp",SUMIFS('BASE-ICP'!$K:$K,'BASE-ICP'!$A:$A,Capex!$A222,'BASE-ICP'!$B:$B,"janeiro")/1000,"")),"")</f>
        <v>0</v>
      </c>
      <c r="BS227" s="427">
        <v>0</v>
      </c>
      <c r="BT227" s="372">
        <v>0</v>
      </c>
      <c r="BU227" s="422"/>
      <c r="BV227" s="423">
        <f>IFERROR(IF(LEFT($A227,3)="Lcp",SUMIFS('BASE-LCP'!$K:$K,'BASE-LCP'!$A:$A,Capex!$A222,'BASE-LCP'!$B:$B,"fevereiro")/1000,IF(LEFT($A227,3)="icp",SUMIFS('BASE-ICP'!$K:$K,'BASE-ICP'!$A:$A,Capex!$A222,'BASE-ICP'!$B:$B,"fevereiro")/1000,"")),"")</f>
        <v>0</v>
      </c>
      <c r="BW227" s="427">
        <v>0</v>
      </c>
      <c r="BX227" s="372">
        <v>0</v>
      </c>
      <c r="BY227" s="419"/>
      <c r="BZ227" s="423">
        <f>IFERROR(IF(LEFT($A227,3)="Lcp",SUMIFS('BASE-LCP'!$K:$K,'BASE-LCP'!$A:$A,Capex!$A222,'BASE-LCP'!$B:$B,"março")/1000,IF(LEFT($A227,3)="icp",SUMIFS('BASE-ICP'!$K:$K,'BASE-ICP'!$A:$A,Capex!$A222,'BASE-ICP'!$B:$B,"março")/1000,"")),"")</f>
        <v>0</v>
      </c>
      <c r="CA227" s="427">
        <v>0</v>
      </c>
      <c r="CB227" s="372">
        <v>0</v>
      </c>
      <c r="CC227" s="422"/>
      <c r="CD227" s="423">
        <f>IFERROR(IF(LEFT($A227,3)="Lcp",SUMIFS('BASE-LCP'!$K:$K,'BASE-LCP'!$A:$A,Capex!$A222,'BASE-LCP'!$B:$B,"abril")/1000,IF(LEFT($A227,3)="icp",SUMIFS('BASE-ICP'!$K:$K,'BASE-ICP'!$A:$A,Capex!$A222,'BASE-ICP'!$B:$B,"abril")/1000,"")),"")</f>
        <v>0</v>
      </c>
      <c r="CE227" s="427">
        <v>0</v>
      </c>
      <c r="CF227" s="372">
        <v>0</v>
      </c>
      <c r="CG227" s="419"/>
      <c r="CH227" s="423">
        <v>0</v>
      </c>
      <c r="CI227" s="427">
        <v>0</v>
      </c>
      <c r="CJ227" s="372">
        <v>0</v>
      </c>
      <c r="CK227" s="419"/>
      <c r="CL227" s="423">
        <f>IFERROR(IF(LEFT($A227,3)="Lcp",SUMIFS('BASE-LCP'!$K:$K,'BASE-LCP'!$A:$A,Capex!$A222,'BASE-LCP'!$B:$B,"junho")/1000,IF(LEFT($A227,3)="icp",SUMIFS('BASE-ICP'!$K:$K,'BASE-ICP'!$A:$A,Capex!$A222,'BASE-ICP'!$B:$B,"junho")/1000,"")),"")</f>
        <v>0</v>
      </c>
      <c r="CM227" s="427">
        <v>0</v>
      </c>
      <c r="CN227" s="372"/>
      <c r="CO227" s="419"/>
      <c r="CP227" s="423">
        <f>IFERROR(IF(LEFT($A227,3)="Lcp",SUMIFS('BASE-LCP'!$K:$K,'BASE-LCP'!$A:$A,Capex!$A222,'BASE-LCP'!$B:$B,"julho")/1000,IF(LEFT($A227,3)="icp",SUMIFS('BASE-ICP'!$K:$K,'BASE-ICP'!$A:$A,Capex!$A222,'BASE-ICP'!$B:$B,"julho")/1000,"")),"")</f>
        <v>0</v>
      </c>
      <c r="CQ227" s="427">
        <v>0</v>
      </c>
      <c r="CR227" s="372"/>
      <c r="CS227" s="419"/>
      <c r="CT227" s="423">
        <f>IFERROR(IF(LEFT($A227,3)="Lcp",SUMIFS('BASE-LCP'!$K:$K,'BASE-LCP'!$A:$A,Capex!$A222,'BASE-LCP'!$B:$B,"agosto")/1000,IF(LEFT($A227,3)="icp",SUMIFS('BASE-ICP'!$K:$K,'BASE-ICP'!$A:$A,Capex!$A222,'BASE-ICP'!$B:$B,"agosto")/1000,"")),"")</f>
        <v>0</v>
      </c>
      <c r="CU227" s="427">
        <v>0</v>
      </c>
      <c r="CV227" s="372"/>
      <c r="CW227" s="419"/>
      <c r="CX227" s="423">
        <f>IFERROR(IF(LEFT($A227,3)="Lcp",SUMIFS('BASE-LCP'!$K:$K,'BASE-LCP'!$A:$A,Capex!$A222,'BASE-LCP'!$B:$B,"setembro")/1000,IF(LEFT($A227,3)="icp",SUMIFS('BASE-ICP'!$K:$K,'BASE-ICP'!$A:$A,Capex!$A222,'BASE-ICP'!$B:$B,"setembro")/1000,"")),"")</f>
        <v>0</v>
      </c>
      <c r="CY227" s="427">
        <v>0</v>
      </c>
      <c r="CZ227" s="372"/>
      <c r="DA227" s="419"/>
      <c r="DB227" s="423">
        <f>IFERROR(IF(LEFT($A227,3)="Lcp",SUMIFS('BASE-LCP'!$K:$K,'BASE-LCP'!$A:$A,Capex!$A222,'BASE-LCP'!$B:$B,"outubro")/1000,IF(LEFT($A227,3)="icp",SUMIFS('BASE-ICP'!$K:$K,'BASE-ICP'!$A:$A,Capex!$A222,'BASE-ICP'!$B:$B,"outubro")/1000,"")),"")</f>
        <v>0</v>
      </c>
      <c r="DC227" s="427">
        <v>0</v>
      </c>
      <c r="DD227" s="372"/>
      <c r="DE227" s="419"/>
      <c r="DF227" s="423">
        <f>IFERROR(IF(LEFT($A227,3)="Lcp",SUMIFS('BASE-LCP'!$K:$K,'BASE-LCP'!$A:$A,Capex!$A222,'BASE-LCP'!$B:$B,"novembro")/1000,IF(LEFT($A227,3)="icp",SUMIFS('BASE-ICP'!$K:$K,'BASE-ICP'!$A:$A,Capex!$A222,'BASE-ICP'!$B:$B,"novembro")/1000,"")),"")</f>
        <v>0</v>
      </c>
      <c r="DG227" s="427">
        <v>0</v>
      </c>
      <c r="DH227" s="372"/>
      <c r="DI227" s="419"/>
      <c r="DJ227" s="423">
        <f>IFERROR(IF(LEFT($A227,3)="Lcp",SUMIFS('BASE-LCP'!$K:$K,'BASE-LCP'!$A:$A,Capex!$A222,'BASE-LCP'!$B:$B,"dezembro")/1000,IF(LEFT($A227,3)="icp",SUMIFS('BASE-ICP'!$K:$K,'BASE-ICP'!$A:$A,Capex!$A222,'BASE-ICP'!$B:$B,"dezembro")/1000,"")),"")</f>
        <v>0</v>
      </c>
      <c r="DK227" s="427">
        <v>0</v>
      </c>
      <c r="DL227" s="452">
        <f t="shared" si="120"/>
        <v>0</v>
      </c>
      <c r="DM227" s="374"/>
      <c r="DN227" s="374"/>
      <c r="DO227" s="374"/>
      <c r="DP227" s="374"/>
      <c r="DQ227" s="374"/>
      <c r="DR227" s="374"/>
      <c r="DS227" s="374"/>
      <c r="DT227" s="374"/>
      <c r="DU227" s="374"/>
      <c r="DV227" s="374"/>
      <c r="DW227" s="374"/>
      <c r="DX227" s="374"/>
      <c r="DY227" s="450"/>
      <c r="DZ227" s="374">
        <f t="shared" si="121"/>
        <v>0</v>
      </c>
      <c r="EA227" s="216">
        <f t="shared" si="122"/>
        <v>0</v>
      </c>
      <c r="EB227" s="320">
        <f t="shared" si="123"/>
        <v>0</v>
      </c>
      <c r="EC227" s="241">
        <f t="shared" si="124"/>
        <v>0</v>
      </c>
      <c r="ED227" s="241">
        <f t="shared" si="125"/>
        <v>0</v>
      </c>
      <c r="EE227" s="241">
        <f t="shared" si="126"/>
        <v>0</v>
      </c>
      <c r="EF227" s="241">
        <f t="shared" si="127"/>
        <v>0</v>
      </c>
      <c r="EG227" s="346">
        <f t="shared" si="128"/>
        <v>0</v>
      </c>
      <c r="EH227" s="445">
        <f t="shared" si="129"/>
        <v>0</v>
      </c>
      <c r="EI227" s="447">
        <f t="shared" si="130"/>
        <v>0</v>
      </c>
      <c r="EJ227" s="364">
        <f t="shared" si="131"/>
        <v>0</v>
      </c>
      <c r="EK227" s="365">
        <f t="shared" si="132"/>
        <v>0</v>
      </c>
      <c r="EL227" s="529">
        <f t="shared" si="133"/>
        <v>0</v>
      </c>
      <c r="EM227" s="530">
        <v>0</v>
      </c>
      <c r="EN227" s="530">
        <v>0</v>
      </c>
      <c r="EO227" s="530">
        <v>0</v>
      </c>
      <c r="EP227" s="530">
        <v>0</v>
      </c>
      <c r="EQ227" s="530">
        <v>0</v>
      </c>
      <c r="ER227" s="530">
        <v>0</v>
      </c>
      <c r="ES227" s="530">
        <v>0</v>
      </c>
      <c r="ET227" s="530">
        <v>0</v>
      </c>
      <c r="EU227" s="530">
        <v>0</v>
      </c>
      <c r="EV227" s="530">
        <v>0</v>
      </c>
      <c r="EW227" s="530">
        <v>0</v>
      </c>
      <c r="EX227" s="530">
        <v>0</v>
      </c>
      <c r="EY227" s="530">
        <f t="shared" si="134"/>
        <v>0</v>
      </c>
      <c r="EZ227" s="530">
        <f t="shared" si="135"/>
        <v>0</v>
      </c>
      <c r="FA227" s="530">
        <f t="shared" si="136"/>
        <v>0</v>
      </c>
      <c r="FB227" s="530">
        <f t="shared" si="137"/>
        <v>0</v>
      </c>
      <c r="FC227" s="384">
        <f>IFERROR(VLOOKUP(Capex!A222,BASE_558!D:R,8,FALSE)/1000,"")</f>
        <v>558.15400999999997</v>
      </c>
      <c r="FD227" s="328">
        <f>IFERROR(VLOOKUP(Capex!A222,BASE_558!D:R,9,)/1000,"")</f>
        <v>486.13954999999999</v>
      </c>
      <c r="FE227" s="328">
        <f>IFERROR(IF(LEFT(A227,3)="LCP",(VLOOKUP(Capex!A222,BASE_558!D:R,10,)/1000),SUMIFS('BASE ICP_PO_SC'!F:F,'BASE ICP_PO_SC'!A:A,Capex!A222,'BASE ICP_PO_SC'!E:E,"&lt;&gt;")/1000),"")</f>
        <v>0</v>
      </c>
      <c r="FF227" s="328">
        <f>IFERROR(IF(LEFT(A227,3)="LCP",(VLOOKUP(Capex!A222,BASE_558!D:R,11,)/1000),SUMIFS('BASE ICP_PO_SC'!F:F,'BASE ICP_PO_SC'!A:A,Capex!A222,'BASE ICP_PO_SC'!E:E,"")/1000),"")</f>
        <v>0</v>
      </c>
      <c r="FG227" s="328">
        <f>IFERROR(VLOOKUP(A227,BASE_558!D:R,13,FALSE)/1000,"")</f>
        <v>40.910849999999996</v>
      </c>
      <c r="FH227" s="328">
        <f>IFERROR(VLOOKUP(A227,BASE_558!D:R,15,FALSE)/1000,"")</f>
        <v>19.689150000000001</v>
      </c>
      <c r="FI227" s="547">
        <f t="shared" si="138"/>
        <v>0</v>
      </c>
      <c r="FJ227" s="547">
        <f t="shared" si="139"/>
        <v>0</v>
      </c>
      <c r="FK227" s="540">
        <f t="shared" si="140"/>
        <v>0</v>
      </c>
    </row>
    <row r="228" spans="1:167" s="23" customFormat="1" ht="24" customHeight="1">
      <c r="A228" s="84" t="s">
        <v>942</v>
      </c>
      <c r="B228" s="404"/>
      <c r="C228" s="404" t="s">
        <v>602</v>
      </c>
      <c r="D228" s="338" t="s">
        <v>2267</v>
      </c>
      <c r="E228" s="378">
        <v>4162039</v>
      </c>
      <c r="F228" s="5"/>
      <c r="G228" s="310" t="s">
        <v>9</v>
      </c>
      <c r="H228" s="356"/>
      <c r="I228" s="356" t="s">
        <v>6</v>
      </c>
      <c r="J228" s="356">
        <v>2021</v>
      </c>
      <c r="K228" s="321">
        <v>44344</v>
      </c>
      <c r="L228" s="317">
        <v>44711</v>
      </c>
      <c r="M228" s="409"/>
      <c r="N228" s="317">
        <f t="shared" si="143"/>
        <v>45256</v>
      </c>
      <c r="O228" s="317">
        <f t="shared" si="144"/>
        <v>45621</v>
      </c>
      <c r="P228" s="418" t="str">
        <f t="shared" si="147"/>
        <v>CRTD</v>
      </c>
      <c r="Q228" s="418" t="str">
        <f t="shared" si="147"/>
        <v>CRTD</v>
      </c>
      <c r="R228" s="418" t="str">
        <f t="shared" si="147"/>
        <v>CRTD</v>
      </c>
      <c r="S228" s="418" t="str">
        <f t="shared" si="147"/>
        <v>CRTD</v>
      </c>
      <c r="T228" s="418" t="str">
        <f t="shared" si="147"/>
        <v>CRTD</v>
      </c>
      <c r="U228" s="418" t="str">
        <f t="shared" si="147"/>
        <v>CRTD</v>
      </c>
      <c r="V228" s="418" t="str">
        <f t="shared" si="147"/>
        <v>CRTD</v>
      </c>
      <c r="W228" s="418" t="str">
        <f t="shared" si="147"/>
        <v>CRTD</v>
      </c>
      <c r="X228" s="418" t="str">
        <f t="shared" si="147"/>
        <v>CRTD</v>
      </c>
      <c r="Y228" s="418" t="str">
        <f t="shared" si="147"/>
        <v>CRTD</v>
      </c>
      <c r="Z228" s="418" t="str">
        <f t="shared" si="147"/>
        <v>CRTD</v>
      </c>
      <c r="AA228" s="418" t="str">
        <f t="shared" si="147"/>
        <v>CRTD</v>
      </c>
      <c r="AB228" s="350"/>
      <c r="AC228" s="309" t="s">
        <v>2508</v>
      </c>
      <c r="AD228" s="311"/>
      <c r="AE228" s="381"/>
      <c r="AF228" s="310" t="s">
        <v>6985</v>
      </c>
      <c r="AG228" s="310" t="s">
        <v>9083</v>
      </c>
      <c r="AH228" s="310" t="s">
        <v>6977</v>
      </c>
      <c r="AI228" s="309" t="s">
        <v>186</v>
      </c>
      <c r="AJ228" s="6" t="s">
        <v>218</v>
      </c>
      <c r="AK228" s="6" t="str">
        <f t="shared" si="118"/>
        <v>IGUAL</v>
      </c>
      <c r="AL228" s="151" t="str">
        <f>IFERROR(IF(LEFT(A228,3)="LCP",VLOOKUP(A228,STATUS_SAP_LCP!B:C,2,FALSE),VLOOKUP(A228,STATUS_SAP_ICP!B:C,2,FALSE)),"NO BUDGET")</f>
        <v>CLSD BUDG AUC  AVAC  //  APPR BREL EXPL</v>
      </c>
      <c r="AM228" s="6" t="str">
        <f t="shared" si="116"/>
        <v>CLSD</v>
      </c>
      <c r="AN228" s="282" t="s">
        <v>9087</v>
      </c>
      <c r="AO228" s="493">
        <v>1</v>
      </c>
      <c r="AP228" s="499" t="s">
        <v>9607</v>
      </c>
      <c r="AQ228" s="465">
        <v>44711</v>
      </c>
      <c r="AR228" s="460"/>
      <c r="AS228" s="57"/>
      <c r="AT228" s="185"/>
      <c r="AU228" s="318">
        <v>57.994110000000006</v>
      </c>
      <c r="AV228" s="223">
        <v>6.5419299999999998</v>
      </c>
      <c r="AW228" s="318">
        <v>0</v>
      </c>
      <c r="AX228" s="223">
        <v>0</v>
      </c>
      <c r="AY228" s="318">
        <f t="shared" si="145"/>
        <v>0</v>
      </c>
      <c r="AZ228" s="223"/>
      <c r="BA228" s="318"/>
      <c r="BB228" s="519">
        <f t="shared" si="146"/>
        <v>0</v>
      </c>
      <c r="BC228" s="518"/>
      <c r="BD228" s="518"/>
      <c r="BE228" s="518"/>
      <c r="BF228" s="518"/>
      <c r="BG228" s="518"/>
      <c r="BH228" s="518"/>
      <c r="BI228" s="518"/>
      <c r="BJ228" s="518"/>
      <c r="BK228" s="518"/>
      <c r="BL228" s="518"/>
      <c r="BM228" s="518"/>
      <c r="BN228" s="518"/>
      <c r="BO228" s="367">
        <f t="shared" si="119"/>
        <v>0</v>
      </c>
      <c r="BP228" s="421"/>
      <c r="BQ228" s="422"/>
      <c r="BR228" s="423">
        <f>IFERROR(IF(LEFT($A228,3)="Lcp",SUMIFS('BASE-LCP'!$K:$K,'BASE-LCP'!$A:$A,Capex!$A223,'BASE-LCP'!$B:$B,"janeiro")/1000,IF(LEFT($A228,3)="icp",SUMIFS('BASE-ICP'!$K:$K,'BASE-ICP'!$A:$A,Capex!$A223,'BASE-ICP'!$B:$B,"janeiro")/1000,"")),"")</f>
        <v>0</v>
      </c>
      <c r="BS228" s="427">
        <v>0</v>
      </c>
      <c r="BT228" s="372">
        <v>0</v>
      </c>
      <c r="BU228" s="422"/>
      <c r="BV228" s="423">
        <f>IFERROR(IF(LEFT($A228,3)="Lcp",SUMIFS('BASE-LCP'!$K:$K,'BASE-LCP'!$A:$A,Capex!$A223,'BASE-LCP'!$B:$B,"fevereiro")/1000,IF(LEFT($A228,3)="icp",SUMIFS('BASE-ICP'!$K:$K,'BASE-ICP'!$A:$A,Capex!$A223,'BASE-ICP'!$B:$B,"fevereiro")/1000,"")),"")</f>
        <v>0</v>
      </c>
      <c r="BW228" s="427">
        <v>0</v>
      </c>
      <c r="BX228" s="372">
        <v>0</v>
      </c>
      <c r="BY228" s="419"/>
      <c r="BZ228" s="423">
        <f>IFERROR(IF(LEFT($A228,3)="Lcp",SUMIFS('BASE-LCP'!$K:$K,'BASE-LCP'!$A:$A,Capex!$A223,'BASE-LCP'!$B:$B,"março")/1000,IF(LEFT($A228,3)="icp",SUMIFS('BASE-ICP'!$K:$K,'BASE-ICP'!$A:$A,Capex!$A223,'BASE-ICP'!$B:$B,"março")/1000,"")),"")</f>
        <v>0</v>
      </c>
      <c r="CA228" s="427">
        <v>0</v>
      </c>
      <c r="CB228" s="372">
        <v>0</v>
      </c>
      <c r="CC228" s="422"/>
      <c r="CD228" s="423">
        <f>IFERROR(IF(LEFT($A228,3)="Lcp",SUMIFS('BASE-LCP'!$K:$K,'BASE-LCP'!$A:$A,Capex!$A223,'BASE-LCP'!$B:$B,"abril")/1000,IF(LEFT($A228,3)="icp",SUMIFS('BASE-ICP'!$K:$K,'BASE-ICP'!$A:$A,Capex!$A223,'BASE-ICP'!$B:$B,"abril")/1000,"")),"")</f>
        <v>0</v>
      </c>
      <c r="CE228" s="427">
        <v>0</v>
      </c>
      <c r="CF228" s="372">
        <v>0</v>
      </c>
      <c r="CG228" s="419"/>
      <c r="CH228" s="423">
        <v>0</v>
      </c>
      <c r="CI228" s="427">
        <v>0</v>
      </c>
      <c r="CJ228" s="372">
        <v>0</v>
      </c>
      <c r="CK228" s="419"/>
      <c r="CL228" s="423">
        <f>IFERROR(IF(LEFT($A228,3)="Lcp",SUMIFS('BASE-LCP'!$K:$K,'BASE-LCP'!$A:$A,Capex!$A223,'BASE-LCP'!$B:$B,"junho")/1000,IF(LEFT($A228,3)="icp",SUMIFS('BASE-ICP'!$K:$K,'BASE-ICP'!$A:$A,Capex!$A223,'BASE-ICP'!$B:$B,"junho")/1000,"")),"")</f>
        <v>0</v>
      </c>
      <c r="CM228" s="427">
        <v>0</v>
      </c>
      <c r="CN228" s="372"/>
      <c r="CO228" s="419"/>
      <c r="CP228" s="423">
        <f>IFERROR(IF(LEFT($A228,3)="Lcp",SUMIFS('BASE-LCP'!$K:$K,'BASE-LCP'!$A:$A,Capex!$A223,'BASE-LCP'!$B:$B,"julho")/1000,IF(LEFT($A228,3)="icp",SUMIFS('BASE-ICP'!$K:$K,'BASE-ICP'!$A:$A,Capex!$A223,'BASE-ICP'!$B:$B,"julho")/1000,"")),"")</f>
        <v>0</v>
      </c>
      <c r="CQ228" s="427">
        <v>0</v>
      </c>
      <c r="CR228" s="372"/>
      <c r="CS228" s="419"/>
      <c r="CT228" s="423">
        <f>IFERROR(IF(LEFT($A228,3)="Lcp",SUMIFS('BASE-LCP'!$K:$K,'BASE-LCP'!$A:$A,Capex!$A223,'BASE-LCP'!$B:$B,"agosto")/1000,IF(LEFT($A228,3)="icp",SUMIFS('BASE-ICP'!$K:$K,'BASE-ICP'!$A:$A,Capex!$A223,'BASE-ICP'!$B:$B,"agosto")/1000,"")),"")</f>
        <v>0</v>
      </c>
      <c r="CU228" s="427">
        <v>0</v>
      </c>
      <c r="CV228" s="372"/>
      <c r="CW228" s="419"/>
      <c r="CX228" s="423">
        <f>IFERROR(IF(LEFT($A228,3)="Lcp",SUMIFS('BASE-LCP'!$K:$K,'BASE-LCP'!$A:$A,Capex!$A223,'BASE-LCP'!$B:$B,"setembro")/1000,IF(LEFT($A228,3)="icp",SUMIFS('BASE-ICP'!$K:$K,'BASE-ICP'!$A:$A,Capex!$A223,'BASE-ICP'!$B:$B,"setembro")/1000,"")),"")</f>
        <v>0</v>
      </c>
      <c r="CY228" s="427">
        <v>0</v>
      </c>
      <c r="CZ228" s="372"/>
      <c r="DA228" s="419"/>
      <c r="DB228" s="423">
        <f>IFERROR(IF(LEFT($A228,3)="Lcp",SUMIFS('BASE-LCP'!$K:$K,'BASE-LCP'!$A:$A,Capex!$A223,'BASE-LCP'!$B:$B,"outubro")/1000,IF(LEFT($A228,3)="icp",SUMIFS('BASE-ICP'!$K:$K,'BASE-ICP'!$A:$A,Capex!$A223,'BASE-ICP'!$B:$B,"outubro")/1000,"")),"")</f>
        <v>0</v>
      </c>
      <c r="DC228" s="427">
        <v>0</v>
      </c>
      <c r="DD228" s="372"/>
      <c r="DE228" s="419"/>
      <c r="DF228" s="423">
        <f>IFERROR(IF(LEFT($A228,3)="Lcp",SUMIFS('BASE-LCP'!$K:$K,'BASE-LCP'!$A:$A,Capex!$A223,'BASE-LCP'!$B:$B,"novembro")/1000,IF(LEFT($A228,3)="icp",SUMIFS('BASE-ICP'!$K:$K,'BASE-ICP'!$A:$A,Capex!$A223,'BASE-ICP'!$B:$B,"novembro")/1000,"")),"")</f>
        <v>0</v>
      </c>
      <c r="DG228" s="427">
        <v>0</v>
      </c>
      <c r="DH228" s="372"/>
      <c r="DI228" s="419"/>
      <c r="DJ228" s="423">
        <f>IFERROR(IF(LEFT($A228,3)="Lcp",SUMIFS('BASE-LCP'!$K:$K,'BASE-LCP'!$A:$A,Capex!$A223,'BASE-LCP'!$B:$B,"dezembro")/1000,IF(LEFT($A228,3)="icp",SUMIFS('BASE-ICP'!$K:$K,'BASE-ICP'!$A:$A,Capex!$A223,'BASE-ICP'!$B:$B,"dezembro")/1000,"")),"")</f>
        <v>0</v>
      </c>
      <c r="DK228" s="427">
        <v>0</v>
      </c>
      <c r="DL228" s="452">
        <f t="shared" si="120"/>
        <v>0</v>
      </c>
      <c r="DM228" s="374"/>
      <c r="DN228" s="374"/>
      <c r="DO228" s="374"/>
      <c r="DP228" s="374"/>
      <c r="DQ228" s="374"/>
      <c r="DR228" s="374"/>
      <c r="DS228" s="374"/>
      <c r="DT228" s="374"/>
      <c r="DU228" s="374"/>
      <c r="DV228" s="374"/>
      <c r="DW228" s="374"/>
      <c r="DX228" s="374"/>
      <c r="DY228" s="450"/>
      <c r="DZ228" s="374">
        <f t="shared" si="121"/>
        <v>0</v>
      </c>
      <c r="EA228" s="216">
        <f t="shared" si="122"/>
        <v>0</v>
      </c>
      <c r="EB228" s="320">
        <f t="shared" si="123"/>
        <v>0</v>
      </c>
      <c r="EC228" s="241">
        <f t="shared" si="124"/>
        <v>0</v>
      </c>
      <c r="ED228" s="241">
        <f t="shared" si="125"/>
        <v>0</v>
      </c>
      <c r="EE228" s="241">
        <f t="shared" si="126"/>
        <v>0</v>
      </c>
      <c r="EF228" s="241">
        <f t="shared" si="127"/>
        <v>0</v>
      </c>
      <c r="EG228" s="346">
        <f t="shared" si="128"/>
        <v>0</v>
      </c>
      <c r="EH228" s="445">
        <f t="shared" si="129"/>
        <v>0</v>
      </c>
      <c r="EI228" s="447">
        <f t="shared" si="130"/>
        <v>0</v>
      </c>
      <c r="EJ228" s="364">
        <f t="shared" si="131"/>
        <v>0</v>
      </c>
      <c r="EK228" s="365">
        <f t="shared" si="132"/>
        <v>0</v>
      </c>
      <c r="EL228" s="529">
        <f t="shared" si="133"/>
        <v>0</v>
      </c>
      <c r="EM228" s="530">
        <v>0</v>
      </c>
      <c r="EN228" s="530">
        <v>0</v>
      </c>
      <c r="EO228" s="530">
        <v>0</v>
      </c>
      <c r="EP228" s="530">
        <v>0</v>
      </c>
      <c r="EQ228" s="530">
        <v>0</v>
      </c>
      <c r="ER228" s="530">
        <v>0</v>
      </c>
      <c r="ES228" s="530">
        <v>0</v>
      </c>
      <c r="ET228" s="530">
        <v>0</v>
      </c>
      <c r="EU228" s="530">
        <v>0</v>
      </c>
      <c r="EV228" s="530">
        <v>0</v>
      </c>
      <c r="EW228" s="530">
        <v>0</v>
      </c>
      <c r="EX228" s="530">
        <v>0</v>
      </c>
      <c r="EY228" s="530">
        <f t="shared" si="134"/>
        <v>0</v>
      </c>
      <c r="EZ228" s="530">
        <f t="shared" si="135"/>
        <v>0</v>
      </c>
      <c r="FA228" s="530">
        <f t="shared" si="136"/>
        <v>0</v>
      </c>
      <c r="FB228" s="530">
        <f t="shared" si="137"/>
        <v>0</v>
      </c>
      <c r="FC228" s="384">
        <f>IFERROR(VLOOKUP(Capex!A223,BASE_558!D:R,8,FALSE)/1000,"")</f>
        <v>184.03299999999999</v>
      </c>
      <c r="FD228" s="328">
        <f>IFERROR(VLOOKUP(Capex!A223,BASE_558!D:R,9,)/1000,"")</f>
        <v>174.28720999999999</v>
      </c>
      <c r="FE228" s="328">
        <f>IFERROR(IF(LEFT(A228,3)="LCP",(VLOOKUP(Capex!A223,BASE_558!D:R,10,)/1000),SUMIFS('BASE ICP_PO_SC'!F:F,'BASE ICP_PO_SC'!A:A,Capex!A223,'BASE ICP_PO_SC'!E:E,"&lt;&gt;")/1000),"")</f>
        <v>0</v>
      </c>
      <c r="FF228" s="328">
        <f>IFERROR(IF(LEFT(A228,3)="LCP",(VLOOKUP(Capex!A223,BASE_558!D:R,11,)/1000),SUMIFS('BASE ICP_PO_SC'!F:F,'BASE ICP_PO_SC'!A:A,Capex!A223,'BASE ICP_PO_SC'!E:E,"")/1000),"")</f>
        <v>0</v>
      </c>
      <c r="FG228" s="328">
        <f>IFERROR(VLOOKUP(A228,BASE_558!D:R,13,FALSE)/1000,"")</f>
        <v>64.53604</v>
      </c>
      <c r="FH228" s="328">
        <f>IFERROR(VLOOKUP(A228,BASE_558!D:R,15,FALSE)/1000,"")</f>
        <v>5.4639600000000002</v>
      </c>
      <c r="FI228" s="547">
        <f t="shared" si="138"/>
        <v>0</v>
      </c>
      <c r="FJ228" s="547">
        <f t="shared" si="139"/>
        <v>0</v>
      </c>
      <c r="FK228" s="540">
        <f t="shared" si="140"/>
        <v>0</v>
      </c>
    </row>
    <row r="229" spans="1:167" s="23" customFormat="1" ht="24" customHeight="1">
      <c r="A229" s="84" t="s">
        <v>944</v>
      </c>
      <c r="B229" s="404"/>
      <c r="C229" s="404" t="s">
        <v>602</v>
      </c>
      <c r="D229" s="338" t="s">
        <v>2268</v>
      </c>
      <c r="E229" s="378">
        <v>4175146</v>
      </c>
      <c r="F229" s="5"/>
      <c r="G229" s="310" t="s">
        <v>9</v>
      </c>
      <c r="H229" s="356"/>
      <c r="I229" s="356" t="s">
        <v>6</v>
      </c>
      <c r="J229" s="356">
        <v>2021</v>
      </c>
      <c r="K229" s="321">
        <v>44369</v>
      </c>
      <c r="L229" s="317">
        <v>45138</v>
      </c>
      <c r="M229" s="409"/>
      <c r="N229" s="317">
        <f t="shared" si="143"/>
        <v>45281</v>
      </c>
      <c r="O229" s="317">
        <f t="shared" si="144"/>
        <v>45646</v>
      </c>
      <c r="P229" s="418" t="str">
        <f t="shared" si="147"/>
        <v>CRTD</v>
      </c>
      <c r="Q229" s="418" t="str">
        <f t="shared" si="147"/>
        <v>CRTD</v>
      </c>
      <c r="R229" s="418" t="str">
        <f t="shared" si="147"/>
        <v>CRTD</v>
      </c>
      <c r="S229" s="418" t="str">
        <f t="shared" si="147"/>
        <v>CRTD</v>
      </c>
      <c r="T229" s="418" t="str">
        <f t="shared" si="147"/>
        <v>CRTD</v>
      </c>
      <c r="U229" s="418" t="str">
        <f t="shared" si="147"/>
        <v>CRTD</v>
      </c>
      <c r="V229" s="418" t="str">
        <f t="shared" si="147"/>
        <v>CRTD</v>
      </c>
      <c r="W229" s="418" t="str">
        <f t="shared" si="147"/>
        <v>CRTD</v>
      </c>
      <c r="X229" s="418" t="str">
        <f t="shared" si="147"/>
        <v>CRTD</v>
      </c>
      <c r="Y229" s="418" t="str">
        <f t="shared" si="147"/>
        <v>CRTD</v>
      </c>
      <c r="Z229" s="418" t="str">
        <f t="shared" si="147"/>
        <v>CRTD</v>
      </c>
      <c r="AA229" s="418" t="str">
        <f t="shared" si="147"/>
        <v>CRTD</v>
      </c>
      <c r="AB229" s="350"/>
      <c r="AC229" s="309" t="s">
        <v>2508</v>
      </c>
      <c r="AD229" s="311"/>
      <c r="AE229" s="381"/>
      <c r="AF229" s="310" t="s">
        <v>6985</v>
      </c>
      <c r="AG229" s="310" t="s">
        <v>9083</v>
      </c>
      <c r="AH229" s="310" t="s">
        <v>6978</v>
      </c>
      <c r="AI229" s="309" t="s">
        <v>186</v>
      </c>
      <c r="AJ229" s="6" t="s">
        <v>218</v>
      </c>
      <c r="AK229" s="6" t="str">
        <f t="shared" si="118"/>
        <v>IGUAL</v>
      </c>
      <c r="AL229" s="151" t="str">
        <f>IFERROR(IF(LEFT(A229,3)="LCP",VLOOKUP(A229,STATUS_SAP_LCP!B:C,2,FALSE),VLOOKUP(A229,STATUS_SAP_ICP!B:C,2,FALSE)),"NO BUDGET")</f>
        <v>CLSD BUDG AUC  AVAC  //  APPR BREL EXPL</v>
      </c>
      <c r="AM229" s="6" t="str">
        <f t="shared" si="116"/>
        <v>CLSD</v>
      </c>
      <c r="AN229" s="282" t="s">
        <v>9087</v>
      </c>
      <c r="AO229" s="493">
        <v>1</v>
      </c>
      <c r="AP229" s="499" t="s">
        <v>9607</v>
      </c>
      <c r="AQ229" s="465">
        <v>45138</v>
      </c>
      <c r="AR229" s="460"/>
      <c r="AS229" s="57"/>
      <c r="AT229" s="185"/>
      <c r="AU229" s="318">
        <v>43.955910000000003</v>
      </c>
      <c r="AV229" s="223">
        <v>14.44387</v>
      </c>
      <c r="AW229" s="318">
        <v>2.0873300000000001</v>
      </c>
      <c r="AX229" s="223">
        <v>0</v>
      </c>
      <c r="AY229" s="318">
        <f t="shared" si="145"/>
        <v>0</v>
      </c>
      <c r="AZ229" s="223"/>
      <c r="BA229" s="318"/>
      <c r="BB229" s="519">
        <f t="shared" si="146"/>
        <v>0</v>
      </c>
      <c r="BC229" s="518"/>
      <c r="BD229" s="518"/>
      <c r="BE229" s="518"/>
      <c r="BF229" s="518"/>
      <c r="BG229" s="518"/>
      <c r="BH229" s="518"/>
      <c r="BI229" s="518"/>
      <c r="BJ229" s="518"/>
      <c r="BK229" s="518"/>
      <c r="BL229" s="518"/>
      <c r="BM229" s="518"/>
      <c r="BN229" s="518"/>
      <c r="BO229" s="367">
        <f t="shared" si="119"/>
        <v>0</v>
      </c>
      <c r="BP229" s="421"/>
      <c r="BQ229" s="422"/>
      <c r="BR229" s="423">
        <f>IFERROR(IF(LEFT($A229,3)="Lcp",SUMIFS('BASE-LCP'!$K:$K,'BASE-LCP'!$A:$A,Capex!$A224,'BASE-LCP'!$B:$B,"janeiro")/1000,IF(LEFT($A229,3)="icp",SUMIFS('BASE-ICP'!$K:$K,'BASE-ICP'!$A:$A,Capex!$A224,'BASE-ICP'!$B:$B,"janeiro")/1000,"")),"")</f>
        <v>-1265.06792</v>
      </c>
      <c r="BS229" s="427">
        <v>0</v>
      </c>
      <c r="BT229" s="372">
        <v>0</v>
      </c>
      <c r="BU229" s="422"/>
      <c r="BV229" s="423">
        <f>IFERROR(IF(LEFT($A229,3)="Lcp",SUMIFS('BASE-LCP'!$K:$K,'BASE-LCP'!$A:$A,Capex!$A224,'BASE-LCP'!$B:$B,"fevereiro")/1000,IF(LEFT($A229,3)="icp",SUMIFS('BASE-ICP'!$K:$K,'BASE-ICP'!$A:$A,Capex!$A224,'BASE-ICP'!$B:$B,"fevereiro")/1000,"")),"")</f>
        <v>0</v>
      </c>
      <c r="BW229" s="427">
        <v>0</v>
      </c>
      <c r="BX229" s="372">
        <v>0</v>
      </c>
      <c r="BY229" s="419"/>
      <c r="BZ229" s="423">
        <f>IFERROR(IF(LEFT($A229,3)="Lcp",SUMIFS('BASE-LCP'!$K:$K,'BASE-LCP'!$A:$A,Capex!$A224,'BASE-LCP'!$B:$B,"março")/1000,IF(LEFT($A229,3)="icp",SUMIFS('BASE-ICP'!$K:$K,'BASE-ICP'!$A:$A,Capex!$A224,'BASE-ICP'!$B:$B,"março")/1000,"")),"")</f>
        <v>4.7230000000000008</v>
      </c>
      <c r="CA229" s="427">
        <v>0</v>
      </c>
      <c r="CB229" s="372">
        <v>0</v>
      </c>
      <c r="CC229" s="422"/>
      <c r="CD229" s="423">
        <f>IFERROR(IF(LEFT($A229,3)="Lcp",SUMIFS('BASE-LCP'!$K:$K,'BASE-LCP'!$A:$A,Capex!$A224,'BASE-LCP'!$B:$B,"abril")/1000,IF(LEFT($A229,3)="icp",SUMIFS('BASE-ICP'!$K:$K,'BASE-ICP'!$A:$A,Capex!$A224,'BASE-ICP'!$B:$B,"abril")/1000,"")),"")</f>
        <v>2016.08709</v>
      </c>
      <c r="CE229" s="427">
        <v>0</v>
      </c>
      <c r="CF229" s="372">
        <v>0</v>
      </c>
      <c r="CG229" s="419"/>
      <c r="CH229" s="423">
        <v>0</v>
      </c>
      <c r="CI229" s="427">
        <v>0</v>
      </c>
      <c r="CJ229" s="372">
        <v>0</v>
      </c>
      <c r="CK229" s="419"/>
      <c r="CL229" s="423">
        <f>IFERROR(IF(LEFT($A229,3)="Lcp",SUMIFS('BASE-LCP'!$K:$K,'BASE-LCP'!$A:$A,Capex!$A224,'BASE-LCP'!$B:$B,"junho")/1000,IF(LEFT($A229,3)="icp",SUMIFS('BASE-ICP'!$K:$K,'BASE-ICP'!$A:$A,Capex!$A224,'BASE-ICP'!$B:$B,"junho")/1000,"")),"")</f>
        <v>3.9120000000000002E-2</v>
      </c>
      <c r="CM229" s="427">
        <v>0</v>
      </c>
      <c r="CN229" s="372"/>
      <c r="CO229" s="419"/>
      <c r="CP229" s="423">
        <f>IFERROR(IF(LEFT($A229,3)="Lcp",SUMIFS('BASE-LCP'!$K:$K,'BASE-LCP'!$A:$A,Capex!$A224,'BASE-LCP'!$B:$B,"julho")/1000,IF(LEFT($A229,3)="icp",SUMIFS('BASE-ICP'!$K:$K,'BASE-ICP'!$A:$A,Capex!$A224,'BASE-ICP'!$B:$B,"julho")/1000,"")),"")</f>
        <v>1.0473899999999998</v>
      </c>
      <c r="CQ229" s="427">
        <v>0</v>
      </c>
      <c r="CR229" s="372"/>
      <c r="CS229" s="419"/>
      <c r="CT229" s="423">
        <f>IFERROR(IF(LEFT($A229,3)="Lcp",SUMIFS('BASE-LCP'!$K:$K,'BASE-LCP'!$A:$A,Capex!$A224,'BASE-LCP'!$B:$B,"agosto")/1000,IF(LEFT($A229,3)="icp",SUMIFS('BASE-ICP'!$K:$K,'BASE-ICP'!$A:$A,Capex!$A224,'BASE-ICP'!$B:$B,"agosto")/1000,"")),"")</f>
        <v>0</v>
      </c>
      <c r="CU229" s="427">
        <v>0</v>
      </c>
      <c r="CV229" s="372"/>
      <c r="CW229" s="419"/>
      <c r="CX229" s="423">
        <f>IFERROR(IF(LEFT($A229,3)="Lcp",SUMIFS('BASE-LCP'!$K:$K,'BASE-LCP'!$A:$A,Capex!$A224,'BASE-LCP'!$B:$B,"setembro")/1000,IF(LEFT($A229,3)="icp",SUMIFS('BASE-ICP'!$K:$K,'BASE-ICP'!$A:$A,Capex!$A224,'BASE-ICP'!$B:$B,"setembro")/1000,"")),"")</f>
        <v>0</v>
      </c>
      <c r="CY229" s="427">
        <v>0</v>
      </c>
      <c r="CZ229" s="372"/>
      <c r="DA229" s="419"/>
      <c r="DB229" s="423">
        <f>IFERROR(IF(LEFT($A229,3)="Lcp",SUMIFS('BASE-LCP'!$K:$K,'BASE-LCP'!$A:$A,Capex!$A224,'BASE-LCP'!$B:$B,"outubro")/1000,IF(LEFT($A229,3)="icp",SUMIFS('BASE-ICP'!$K:$K,'BASE-ICP'!$A:$A,Capex!$A224,'BASE-ICP'!$B:$B,"outubro")/1000,"")),"")</f>
        <v>0</v>
      </c>
      <c r="DC229" s="427">
        <v>0</v>
      </c>
      <c r="DD229" s="372"/>
      <c r="DE229" s="419"/>
      <c r="DF229" s="423">
        <f>IFERROR(IF(LEFT($A229,3)="Lcp",SUMIFS('BASE-LCP'!$K:$K,'BASE-LCP'!$A:$A,Capex!$A224,'BASE-LCP'!$B:$B,"novembro")/1000,IF(LEFT($A229,3)="icp",SUMIFS('BASE-ICP'!$K:$K,'BASE-ICP'!$A:$A,Capex!$A224,'BASE-ICP'!$B:$B,"novembro")/1000,"")),"")</f>
        <v>0</v>
      </c>
      <c r="DG229" s="427">
        <v>0</v>
      </c>
      <c r="DH229" s="372"/>
      <c r="DI229" s="419"/>
      <c r="DJ229" s="423">
        <f>IFERROR(IF(LEFT($A229,3)="Lcp",SUMIFS('BASE-LCP'!$K:$K,'BASE-LCP'!$A:$A,Capex!$A224,'BASE-LCP'!$B:$B,"dezembro")/1000,IF(LEFT($A229,3)="icp",SUMIFS('BASE-ICP'!$K:$K,'BASE-ICP'!$A:$A,Capex!$A224,'BASE-ICP'!$B:$B,"dezembro")/1000,"")),"")</f>
        <v>0</v>
      </c>
      <c r="DK229" s="427">
        <v>0</v>
      </c>
      <c r="DL229" s="452">
        <f t="shared" si="120"/>
        <v>0</v>
      </c>
      <c r="DM229" s="374"/>
      <c r="DN229" s="374"/>
      <c r="DO229" s="374"/>
      <c r="DP229" s="374"/>
      <c r="DQ229" s="374"/>
      <c r="DR229" s="374"/>
      <c r="DS229" s="374"/>
      <c r="DT229" s="374"/>
      <c r="DU229" s="374"/>
      <c r="DV229" s="374"/>
      <c r="DW229" s="374"/>
      <c r="DX229" s="374"/>
      <c r="DY229" s="450"/>
      <c r="DZ229" s="374">
        <f t="shared" si="121"/>
        <v>0</v>
      </c>
      <c r="EA229" s="216">
        <f t="shared" si="122"/>
        <v>0</v>
      </c>
      <c r="EB229" s="320">
        <f t="shared" si="123"/>
        <v>3.9120000000000002E-2</v>
      </c>
      <c r="EC229" s="241">
        <f t="shared" si="124"/>
        <v>0</v>
      </c>
      <c r="ED229" s="241">
        <f t="shared" si="125"/>
        <v>0</v>
      </c>
      <c r="EE229" s="241">
        <f t="shared" si="126"/>
        <v>0</v>
      </c>
      <c r="EF229" s="241">
        <f t="shared" si="127"/>
        <v>0</v>
      </c>
      <c r="EG229" s="346">
        <f t="shared" si="128"/>
        <v>0</v>
      </c>
      <c r="EH229" s="445">
        <f t="shared" si="129"/>
        <v>0</v>
      </c>
      <c r="EI229" s="447">
        <f t="shared" si="130"/>
        <v>0</v>
      </c>
      <c r="EJ229" s="364">
        <f t="shared" si="131"/>
        <v>3.9120000000000002E-2</v>
      </c>
      <c r="EK229" s="365">
        <f t="shared" si="132"/>
        <v>-3.9120000000000002E-2</v>
      </c>
      <c r="EL229" s="529">
        <f t="shared" si="133"/>
        <v>0</v>
      </c>
      <c r="EM229" s="530">
        <v>0</v>
      </c>
      <c r="EN229" s="530">
        <v>0</v>
      </c>
      <c r="EO229" s="530">
        <v>0</v>
      </c>
      <c r="EP229" s="530">
        <v>0</v>
      </c>
      <c r="EQ229" s="530">
        <v>0</v>
      </c>
      <c r="ER229" s="530">
        <v>0</v>
      </c>
      <c r="ES229" s="530">
        <v>0</v>
      </c>
      <c r="ET229" s="530">
        <v>0</v>
      </c>
      <c r="EU229" s="530">
        <v>0</v>
      </c>
      <c r="EV229" s="530">
        <v>0</v>
      </c>
      <c r="EW229" s="530">
        <v>0</v>
      </c>
      <c r="EX229" s="530">
        <v>0</v>
      </c>
      <c r="EY229" s="530">
        <f t="shared" si="134"/>
        <v>0</v>
      </c>
      <c r="EZ229" s="530">
        <f t="shared" si="135"/>
        <v>0</v>
      </c>
      <c r="FA229" s="530">
        <f t="shared" si="136"/>
        <v>0</v>
      </c>
      <c r="FB229" s="530">
        <f t="shared" si="137"/>
        <v>0</v>
      </c>
      <c r="FC229" s="384">
        <f>IFERROR(VLOOKUP(Capex!A224,BASE_558!D:R,8,FALSE)/1000,"")</f>
        <v>2764</v>
      </c>
      <c r="FD229" s="328">
        <f>IFERROR(VLOOKUP(Capex!A224,BASE_558!D:R,9,)/1000,"")</f>
        <v>2271.8386600000003</v>
      </c>
      <c r="FE229" s="328">
        <f>IFERROR(IF(LEFT(A229,3)="LCP",(VLOOKUP(Capex!A224,BASE_558!D:R,10,)/1000),SUMIFS('BASE ICP_PO_SC'!F:F,'BASE ICP_PO_SC'!A:A,Capex!A224,'BASE ICP_PO_SC'!E:E,"&lt;&gt;")/1000),"")</f>
        <v>94.327759999999998</v>
      </c>
      <c r="FF229" s="328">
        <f>IFERROR(IF(LEFT(A229,3)="LCP",(VLOOKUP(Capex!A224,BASE_558!D:R,11,)/1000),SUMIFS('BASE ICP_PO_SC'!F:F,'BASE ICP_PO_SC'!A:A,Capex!A224,'BASE ICP_PO_SC'!E:E,"")/1000),"")</f>
        <v>23.90211</v>
      </c>
      <c r="FG229" s="328">
        <f>IFERROR(VLOOKUP(A229,BASE_558!D:R,13,FALSE)/1000,"")</f>
        <v>60.487110000000001</v>
      </c>
      <c r="FH229" s="328">
        <f>IFERROR(VLOOKUP(A229,BASE_558!D:R,15,FALSE)/1000,"")</f>
        <v>10.11289</v>
      </c>
      <c r="FI229" s="547">
        <f t="shared" si="138"/>
        <v>0</v>
      </c>
      <c r="FJ229" s="547">
        <f t="shared" si="139"/>
        <v>0</v>
      </c>
      <c r="FK229" s="540">
        <f t="shared" si="140"/>
        <v>0</v>
      </c>
    </row>
    <row r="230" spans="1:167" s="23" customFormat="1" ht="24" customHeight="1">
      <c r="A230" s="84" t="s">
        <v>945</v>
      </c>
      <c r="B230" s="404"/>
      <c r="C230" s="404">
        <v>12538</v>
      </c>
      <c r="D230" s="338" t="s">
        <v>1887</v>
      </c>
      <c r="E230" s="378">
        <v>4462054</v>
      </c>
      <c r="F230" s="310" t="s">
        <v>609</v>
      </c>
      <c r="G230" s="310" t="s">
        <v>9</v>
      </c>
      <c r="H230" s="338"/>
      <c r="I230" s="356" t="s">
        <v>6</v>
      </c>
      <c r="J230" s="356">
        <v>2021</v>
      </c>
      <c r="K230" s="352">
        <v>44434</v>
      </c>
      <c r="L230" s="317">
        <v>45422</v>
      </c>
      <c r="M230" s="409"/>
      <c r="N230" s="317">
        <f t="shared" si="143"/>
        <v>45346</v>
      </c>
      <c r="O230" s="317">
        <f t="shared" si="144"/>
        <v>45711</v>
      </c>
      <c r="P230" s="418" t="str">
        <f t="shared" si="147"/>
        <v>NÃO</v>
      </c>
      <c r="Q230" s="418" t="str">
        <f t="shared" si="147"/>
        <v>CRTD</v>
      </c>
      <c r="R230" s="418" t="str">
        <f t="shared" si="147"/>
        <v>CRTD</v>
      </c>
      <c r="S230" s="418" t="str">
        <f t="shared" si="147"/>
        <v>CRTD</v>
      </c>
      <c r="T230" s="418" t="str">
        <f t="shared" si="147"/>
        <v>CRTD</v>
      </c>
      <c r="U230" s="418" t="str">
        <f t="shared" si="147"/>
        <v>CRTD</v>
      </c>
      <c r="V230" s="418" t="str">
        <f t="shared" si="147"/>
        <v>CRTD</v>
      </c>
      <c r="W230" s="418" t="str">
        <f t="shared" si="147"/>
        <v>CRTD</v>
      </c>
      <c r="X230" s="418" t="str">
        <f t="shared" si="147"/>
        <v>CRTD</v>
      </c>
      <c r="Y230" s="418" t="str">
        <f t="shared" si="147"/>
        <v>CRTD</v>
      </c>
      <c r="Z230" s="418" t="str">
        <f t="shared" si="147"/>
        <v>CRTD</v>
      </c>
      <c r="AA230" s="418" t="str">
        <f t="shared" si="147"/>
        <v>CRTD</v>
      </c>
      <c r="AB230" s="350"/>
      <c r="AC230" s="309" t="s">
        <v>3932</v>
      </c>
      <c r="AD230" s="311" t="s">
        <v>223</v>
      </c>
      <c r="AE230" s="381" t="s">
        <v>186</v>
      </c>
      <c r="AF230" s="310" t="s">
        <v>6985</v>
      </c>
      <c r="AG230" s="310" t="s">
        <v>2259</v>
      </c>
      <c r="AH230" s="310" t="s">
        <v>1083</v>
      </c>
      <c r="AI230" s="381" t="s">
        <v>186</v>
      </c>
      <c r="AJ230" s="6" t="s">
        <v>218</v>
      </c>
      <c r="AK230" s="6" t="str">
        <f t="shared" si="118"/>
        <v>IGUAL</v>
      </c>
      <c r="AL230" s="151" t="str">
        <f>IFERROR(IF(LEFT(A230,3)="LCP",VLOOKUP(A230,STATUS_SAP_LCP!B:C,2,FALSE),VLOOKUP(A230,STATUS_SAP_ICP!B:C,2,FALSE)),"NO BUDGET")</f>
        <v>CLSD BUDG AUC  AVAC  //  APPR BREL EXPL</v>
      </c>
      <c r="AM230" s="6" t="str">
        <f t="shared" si="116"/>
        <v>CLSD</v>
      </c>
      <c r="AN230" s="282" t="s">
        <v>2651</v>
      </c>
      <c r="AO230" s="493">
        <v>1</v>
      </c>
      <c r="AP230" s="499" t="s">
        <v>9607</v>
      </c>
      <c r="AQ230" s="465">
        <v>45422</v>
      </c>
      <c r="AR230" s="460"/>
      <c r="AS230" s="57"/>
      <c r="AT230" s="185"/>
      <c r="AU230" s="318">
        <v>50.497160000000008</v>
      </c>
      <c r="AV230" s="223">
        <v>250.09285</v>
      </c>
      <c r="AW230" s="318">
        <v>88.083370000000002</v>
      </c>
      <c r="AX230" s="223">
        <v>-61.131010000000003</v>
      </c>
      <c r="AY230" s="318">
        <f t="shared" si="145"/>
        <v>0</v>
      </c>
      <c r="AZ230" s="223"/>
      <c r="BA230" s="318"/>
      <c r="BB230" s="519">
        <f t="shared" si="146"/>
        <v>0</v>
      </c>
      <c r="BC230" s="518">
        <v>0</v>
      </c>
      <c r="BD230" s="518">
        <v>0</v>
      </c>
      <c r="BE230" s="518">
        <v>0</v>
      </c>
      <c r="BF230" s="518">
        <v>0</v>
      </c>
      <c r="BG230" s="518">
        <v>0</v>
      </c>
      <c r="BH230" s="518">
        <v>0</v>
      </c>
      <c r="BI230" s="518">
        <v>0</v>
      </c>
      <c r="BJ230" s="518">
        <v>0</v>
      </c>
      <c r="BK230" s="518">
        <v>0</v>
      </c>
      <c r="BL230" s="518">
        <v>0</v>
      </c>
      <c r="BM230" s="518">
        <v>0</v>
      </c>
      <c r="BN230" s="518">
        <v>0</v>
      </c>
      <c r="BO230" s="367">
        <f t="shared" si="119"/>
        <v>0</v>
      </c>
      <c r="BP230" s="421">
        <v>0</v>
      </c>
      <c r="BQ230" s="422"/>
      <c r="BR230" s="423">
        <f>IFERROR(IF(LEFT($A230,3)="Lcp",SUMIFS('BASE-LCP'!$K:$K,'BASE-LCP'!$A:$A,Capex!$A225,'BASE-LCP'!$B:$B,"janeiro")/1000,IF(LEFT($A230,3)="icp",SUMIFS('BASE-ICP'!$K:$K,'BASE-ICP'!$A:$A,Capex!$A225,'BASE-ICP'!$B:$B,"janeiro")/1000,"")),"")</f>
        <v>0</v>
      </c>
      <c r="BS230" s="427">
        <v>0</v>
      </c>
      <c r="BT230" s="372">
        <v>0</v>
      </c>
      <c r="BU230" s="422"/>
      <c r="BV230" s="423">
        <f>IFERROR(IF(LEFT($A230,3)="Lcp",SUMIFS('BASE-LCP'!$K:$K,'BASE-LCP'!$A:$A,Capex!$A225,'BASE-LCP'!$B:$B,"fevereiro")/1000,IF(LEFT($A230,3)="icp",SUMIFS('BASE-ICP'!$K:$K,'BASE-ICP'!$A:$A,Capex!$A225,'BASE-ICP'!$B:$B,"fevereiro")/1000,"")),"")</f>
        <v>0</v>
      </c>
      <c r="BW230" s="427">
        <v>0</v>
      </c>
      <c r="BX230" s="372">
        <v>0</v>
      </c>
      <c r="BY230" s="419"/>
      <c r="BZ230" s="423">
        <f>IFERROR(IF(LEFT($A230,3)="Lcp",SUMIFS('BASE-LCP'!$K:$K,'BASE-LCP'!$A:$A,Capex!$A225,'BASE-LCP'!$B:$B,"março")/1000,IF(LEFT($A230,3)="icp",SUMIFS('BASE-ICP'!$K:$K,'BASE-ICP'!$A:$A,Capex!$A225,'BASE-ICP'!$B:$B,"março")/1000,"")),"")</f>
        <v>0</v>
      </c>
      <c r="CA230" s="427">
        <v>0</v>
      </c>
      <c r="CB230" s="372">
        <v>0</v>
      </c>
      <c r="CC230" s="422"/>
      <c r="CD230" s="423">
        <f>IFERROR(IF(LEFT($A230,3)="Lcp",SUMIFS('BASE-LCP'!$K:$K,'BASE-LCP'!$A:$A,Capex!$A225,'BASE-LCP'!$B:$B,"abril")/1000,IF(LEFT($A230,3)="icp",SUMIFS('BASE-ICP'!$K:$K,'BASE-ICP'!$A:$A,Capex!$A225,'BASE-ICP'!$B:$B,"abril")/1000,"")),"")</f>
        <v>0</v>
      </c>
      <c r="CE230" s="427">
        <v>0</v>
      </c>
      <c r="CF230" s="372">
        <v>0</v>
      </c>
      <c r="CG230" s="419"/>
      <c r="CH230" s="423">
        <v>0</v>
      </c>
      <c r="CI230" s="427">
        <v>0</v>
      </c>
      <c r="CJ230" s="372">
        <v>0</v>
      </c>
      <c r="CK230" s="419"/>
      <c r="CL230" s="423">
        <f>IFERROR(IF(LEFT($A230,3)="Lcp",SUMIFS('BASE-LCP'!$K:$K,'BASE-LCP'!$A:$A,Capex!$A225,'BASE-LCP'!$B:$B,"junho")/1000,IF(LEFT($A230,3)="icp",SUMIFS('BASE-ICP'!$K:$K,'BASE-ICP'!$A:$A,Capex!$A225,'BASE-ICP'!$B:$B,"junho")/1000,"")),"")</f>
        <v>0</v>
      </c>
      <c r="CM230" s="427">
        <v>0</v>
      </c>
      <c r="CN230" s="372"/>
      <c r="CO230" s="419"/>
      <c r="CP230" s="423">
        <f>IFERROR(IF(LEFT($A230,3)="Lcp",SUMIFS('BASE-LCP'!$K:$K,'BASE-LCP'!$A:$A,Capex!$A225,'BASE-LCP'!$B:$B,"julho")/1000,IF(LEFT($A230,3)="icp",SUMIFS('BASE-ICP'!$K:$K,'BASE-ICP'!$A:$A,Capex!$A225,'BASE-ICP'!$B:$B,"julho")/1000,"")),"")</f>
        <v>0</v>
      </c>
      <c r="CQ230" s="427">
        <v>0</v>
      </c>
      <c r="CR230" s="372"/>
      <c r="CS230" s="419"/>
      <c r="CT230" s="423">
        <f>IFERROR(IF(LEFT($A230,3)="Lcp",SUMIFS('BASE-LCP'!$K:$K,'BASE-LCP'!$A:$A,Capex!$A225,'BASE-LCP'!$B:$B,"agosto")/1000,IF(LEFT($A230,3)="icp",SUMIFS('BASE-ICP'!$K:$K,'BASE-ICP'!$A:$A,Capex!$A225,'BASE-ICP'!$B:$B,"agosto")/1000,"")),"")</f>
        <v>0</v>
      </c>
      <c r="CU230" s="427">
        <v>0</v>
      </c>
      <c r="CV230" s="372"/>
      <c r="CW230" s="419"/>
      <c r="CX230" s="423">
        <f>IFERROR(IF(LEFT($A230,3)="Lcp",SUMIFS('BASE-LCP'!$K:$K,'BASE-LCP'!$A:$A,Capex!$A225,'BASE-LCP'!$B:$B,"setembro")/1000,IF(LEFT($A230,3)="icp",SUMIFS('BASE-ICP'!$K:$K,'BASE-ICP'!$A:$A,Capex!$A225,'BASE-ICP'!$B:$B,"setembro")/1000,"")),"")</f>
        <v>0</v>
      </c>
      <c r="CY230" s="427">
        <v>0</v>
      </c>
      <c r="CZ230" s="372"/>
      <c r="DA230" s="419"/>
      <c r="DB230" s="423">
        <f>IFERROR(IF(LEFT($A230,3)="Lcp",SUMIFS('BASE-LCP'!$K:$K,'BASE-LCP'!$A:$A,Capex!$A225,'BASE-LCP'!$B:$B,"outubro")/1000,IF(LEFT($A230,3)="icp",SUMIFS('BASE-ICP'!$K:$K,'BASE-ICP'!$A:$A,Capex!$A225,'BASE-ICP'!$B:$B,"outubro")/1000,"")),"")</f>
        <v>0</v>
      </c>
      <c r="DC230" s="427">
        <v>0</v>
      </c>
      <c r="DD230" s="372"/>
      <c r="DE230" s="419"/>
      <c r="DF230" s="423">
        <f>IFERROR(IF(LEFT($A230,3)="Lcp",SUMIFS('BASE-LCP'!$K:$K,'BASE-LCP'!$A:$A,Capex!$A225,'BASE-LCP'!$B:$B,"novembro")/1000,IF(LEFT($A230,3)="icp",SUMIFS('BASE-ICP'!$K:$K,'BASE-ICP'!$A:$A,Capex!$A225,'BASE-ICP'!$B:$B,"novembro")/1000,"")),"")</f>
        <v>0</v>
      </c>
      <c r="DG230" s="427">
        <v>0</v>
      </c>
      <c r="DH230" s="372"/>
      <c r="DI230" s="419"/>
      <c r="DJ230" s="423">
        <f>IFERROR(IF(LEFT($A230,3)="Lcp",SUMIFS('BASE-LCP'!$K:$K,'BASE-LCP'!$A:$A,Capex!$A225,'BASE-LCP'!$B:$B,"dezembro")/1000,IF(LEFT($A230,3)="icp",SUMIFS('BASE-ICP'!$K:$K,'BASE-ICP'!$A:$A,Capex!$A225,'BASE-ICP'!$B:$B,"dezembro")/1000,"")),"")</f>
        <v>0</v>
      </c>
      <c r="DK230" s="427">
        <v>0</v>
      </c>
      <c r="DL230" s="452">
        <f t="shared" si="120"/>
        <v>0</v>
      </c>
      <c r="DM230" s="374"/>
      <c r="DN230" s="374">
        <v>0</v>
      </c>
      <c r="DO230" s="374"/>
      <c r="DP230" s="374"/>
      <c r="DQ230" s="374"/>
      <c r="DR230" s="374"/>
      <c r="DS230" s="374"/>
      <c r="DT230" s="374"/>
      <c r="DU230" s="374"/>
      <c r="DV230" s="374"/>
      <c r="DW230" s="374"/>
      <c r="DX230" s="374"/>
      <c r="DY230" s="450"/>
      <c r="DZ230" s="374">
        <f t="shared" si="121"/>
        <v>0</v>
      </c>
      <c r="EA230" s="216">
        <f t="shared" si="122"/>
        <v>0</v>
      </c>
      <c r="EB230" s="320">
        <f t="shared" si="123"/>
        <v>0</v>
      </c>
      <c r="EC230" s="241">
        <f t="shared" si="124"/>
        <v>0</v>
      </c>
      <c r="ED230" s="241">
        <f t="shared" si="125"/>
        <v>0</v>
      </c>
      <c r="EE230" s="241">
        <f t="shared" si="126"/>
        <v>0</v>
      </c>
      <c r="EF230" s="241">
        <f t="shared" si="127"/>
        <v>0</v>
      </c>
      <c r="EG230" s="346">
        <f t="shared" si="128"/>
        <v>0</v>
      </c>
      <c r="EH230" s="445">
        <f t="shared" si="129"/>
        <v>0</v>
      </c>
      <c r="EI230" s="447">
        <f t="shared" si="130"/>
        <v>0</v>
      </c>
      <c r="EJ230" s="364">
        <f t="shared" si="131"/>
        <v>0</v>
      </c>
      <c r="EK230" s="365">
        <f t="shared" si="132"/>
        <v>0</v>
      </c>
      <c r="EL230" s="529">
        <f t="shared" si="133"/>
        <v>0</v>
      </c>
      <c r="EM230" s="530">
        <v>0</v>
      </c>
      <c r="EN230" s="530">
        <v>0</v>
      </c>
      <c r="EO230" s="530">
        <v>0</v>
      </c>
      <c r="EP230" s="530">
        <v>0</v>
      </c>
      <c r="EQ230" s="530">
        <v>0</v>
      </c>
      <c r="ER230" s="530">
        <v>0</v>
      </c>
      <c r="ES230" s="530">
        <v>0</v>
      </c>
      <c r="ET230" s="530">
        <v>0</v>
      </c>
      <c r="EU230" s="530">
        <v>0</v>
      </c>
      <c r="EV230" s="530">
        <v>0</v>
      </c>
      <c r="EW230" s="530">
        <v>0</v>
      </c>
      <c r="EX230" s="530">
        <v>0</v>
      </c>
      <c r="EY230" s="530">
        <f t="shared" si="134"/>
        <v>0</v>
      </c>
      <c r="EZ230" s="530">
        <f t="shared" si="135"/>
        <v>0</v>
      </c>
      <c r="FA230" s="530">
        <f t="shared" si="136"/>
        <v>0</v>
      </c>
      <c r="FB230" s="530">
        <f t="shared" si="137"/>
        <v>0</v>
      </c>
      <c r="FC230" s="384">
        <f>IFERROR(VLOOKUP(Capex!A225,BASE_558!D:R,8,FALSE)/1000,"")</f>
        <v>106.779</v>
      </c>
      <c r="FD230" s="328">
        <f>IFERROR(VLOOKUP(Capex!A225,BASE_558!D:R,9,)/1000,"")</f>
        <v>88.613320000000002</v>
      </c>
      <c r="FE230" s="328">
        <f>IFERROR(IF(LEFT(A230,3)="LCP",(VLOOKUP(Capex!A225,BASE_558!D:R,10,)/1000),SUMIFS('BASE ICP_PO_SC'!F:F,'BASE ICP_PO_SC'!A:A,Capex!A225,'BASE ICP_PO_SC'!E:E,"&lt;&gt;")/1000),"")</f>
        <v>0</v>
      </c>
      <c r="FF230" s="328">
        <f>IFERROR(IF(LEFT(A230,3)="LCP",(VLOOKUP(Capex!A225,BASE_558!D:R,11,)/1000),SUMIFS('BASE ICP_PO_SC'!F:F,'BASE ICP_PO_SC'!A:A,Capex!A225,'BASE ICP_PO_SC'!E:E,"")/1000),"")</f>
        <v>0</v>
      </c>
      <c r="FG230" s="328">
        <f>IFERROR(VLOOKUP(A230,BASE_558!D:R,13,FALSE)/1000,"")</f>
        <v>327.54237000000001</v>
      </c>
      <c r="FH230" s="328">
        <f>IFERROR(VLOOKUP(A230,BASE_558!D:R,15,FALSE)/1000,"")</f>
        <v>18.384450000000001</v>
      </c>
      <c r="FI230" s="547">
        <f t="shared" si="138"/>
        <v>0</v>
      </c>
      <c r="FJ230" s="547">
        <f t="shared" si="139"/>
        <v>0</v>
      </c>
      <c r="FK230" s="540">
        <f t="shared" si="140"/>
        <v>0</v>
      </c>
    </row>
    <row r="231" spans="1:167" s="23" customFormat="1" ht="24" customHeight="1">
      <c r="A231" s="84" t="s">
        <v>989</v>
      </c>
      <c r="B231" s="404"/>
      <c r="C231" s="404">
        <v>13699</v>
      </c>
      <c r="D231" s="338" t="s">
        <v>1888</v>
      </c>
      <c r="E231" s="378">
        <v>4193543</v>
      </c>
      <c r="F231" s="310"/>
      <c r="G231" s="310" t="s">
        <v>9</v>
      </c>
      <c r="H231" s="338"/>
      <c r="I231" s="356"/>
      <c r="J231" s="356">
        <v>2021</v>
      </c>
      <c r="K231" s="321">
        <v>44354</v>
      </c>
      <c r="L231" s="317">
        <v>45103</v>
      </c>
      <c r="M231" s="409"/>
      <c r="N231" s="317">
        <f t="shared" si="143"/>
        <v>45266</v>
      </c>
      <c r="O231" s="317">
        <f t="shared" si="144"/>
        <v>45631</v>
      </c>
      <c r="P231" s="418" t="str">
        <f t="shared" si="147"/>
        <v>CRTD</v>
      </c>
      <c r="Q231" s="418" t="str">
        <f t="shared" si="147"/>
        <v>CRTD</v>
      </c>
      <c r="R231" s="418" t="str">
        <f t="shared" si="147"/>
        <v>CRTD</v>
      </c>
      <c r="S231" s="418" t="str">
        <f t="shared" si="147"/>
        <v>CRTD</v>
      </c>
      <c r="T231" s="418" t="str">
        <f t="shared" si="147"/>
        <v>CRTD</v>
      </c>
      <c r="U231" s="418" t="str">
        <f t="shared" si="147"/>
        <v>CRTD</v>
      </c>
      <c r="V231" s="418" t="str">
        <f t="shared" si="147"/>
        <v>CRTD</v>
      </c>
      <c r="W231" s="418" t="str">
        <f t="shared" si="147"/>
        <v>CRTD</v>
      </c>
      <c r="X231" s="418" t="str">
        <f t="shared" si="147"/>
        <v>CRTD</v>
      </c>
      <c r="Y231" s="418" t="str">
        <f t="shared" si="147"/>
        <v>CRTD</v>
      </c>
      <c r="Z231" s="418" t="str">
        <f t="shared" si="147"/>
        <v>CRTD</v>
      </c>
      <c r="AA231" s="418" t="str">
        <f t="shared" si="147"/>
        <v>CRTD</v>
      </c>
      <c r="AB231" s="350"/>
      <c r="AC231" s="309" t="s">
        <v>3932</v>
      </c>
      <c r="AD231" s="311" t="s">
        <v>982</v>
      </c>
      <c r="AE231" s="361" t="s">
        <v>2261</v>
      </c>
      <c r="AF231" s="310" t="s">
        <v>6985</v>
      </c>
      <c r="AG231" s="310" t="s">
        <v>9083</v>
      </c>
      <c r="AH231" s="310" t="s">
        <v>947</v>
      </c>
      <c r="AI231" s="381" t="s">
        <v>2255</v>
      </c>
      <c r="AJ231" s="6" t="s">
        <v>218</v>
      </c>
      <c r="AK231" s="6" t="str">
        <f t="shared" si="118"/>
        <v>IGUAL</v>
      </c>
      <c r="AL231" s="151" t="str">
        <f>IFERROR(IF(LEFT(A231,3)="LCP",VLOOKUP(A231,STATUS_SAP_LCP!B:C,2,FALSE),VLOOKUP(A231,STATUS_SAP_ICP!B:C,2,FALSE)),"NO BUDGET")</f>
        <v>CLSD BUDG AUC  AVAC  //  APPR BREL EXPL</v>
      </c>
      <c r="AM231" s="6" t="str">
        <f t="shared" si="116"/>
        <v>CLSD</v>
      </c>
      <c r="AN231" s="282" t="s">
        <v>9093</v>
      </c>
      <c r="AO231" s="493">
        <v>1</v>
      </c>
      <c r="AP231" s="499" t="s">
        <v>9607</v>
      </c>
      <c r="AQ231" s="465">
        <v>45103</v>
      </c>
      <c r="AR231" s="460"/>
      <c r="AS231" s="57"/>
      <c r="AT231" s="185"/>
      <c r="AU231" s="318">
        <v>94.793229999999994</v>
      </c>
      <c r="AV231" s="223">
        <v>0.80980000000000008</v>
      </c>
      <c r="AW231" s="318">
        <v>0</v>
      </c>
      <c r="AX231" s="223">
        <v>0</v>
      </c>
      <c r="AY231" s="318">
        <f t="shared" si="145"/>
        <v>0</v>
      </c>
      <c r="AZ231" s="223"/>
      <c r="BA231" s="318"/>
      <c r="BB231" s="519">
        <f t="shared" si="146"/>
        <v>0</v>
      </c>
      <c r="BC231" s="518"/>
      <c r="BD231" s="518"/>
      <c r="BE231" s="518"/>
      <c r="BF231" s="518"/>
      <c r="BG231" s="518"/>
      <c r="BH231" s="518"/>
      <c r="BI231" s="518"/>
      <c r="BJ231" s="518"/>
      <c r="BK231" s="518"/>
      <c r="BL231" s="518"/>
      <c r="BM231" s="518"/>
      <c r="BN231" s="518"/>
      <c r="BO231" s="367">
        <f t="shared" si="119"/>
        <v>0</v>
      </c>
      <c r="BP231" s="421"/>
      <c r="BQ231" s="422"/>
      <c r="BR231" s="423">
        <f>IFERROR(IF(LEFT($A231,3)="Lcp",SUMIFS('BASE-LCP'!$K:$K,'BASE-LCP'!$A:$A,Capex!$A226,'BASE-LCP'!$B:$B,"janeiro")/1000,IF(LEFT($A231,3)="icp",SUMIFS('BASE-ICP'!$K:$K,'BASE-ICP'!$A:$A,Capex!$A226,'BASE-ICP'!$B:$B,"janeiro")/1000,"")),"")</f>
        <v>0</v>
      </c>
      <c r="BS231" s="427">
        <v>0</v>
      </c>
      <c r="BT231" s="372">
        <v>0</v>
      </c>
      <c r="BU231" s="422"/>
      <c r="BV231" s="423">
        <f>IFERROR(IF(LEFT($A231,3)="Lcp",SUMIFS('BASE-LCP'!$K:$K,'BASE-LCP'!$A:$A,Capex!$A226,'BASE-LCP'!$B:$B,"fevereiro")/1000,IF(LEFT($A231,3)="icp",SUMIFS('BASE-ICP'!$K:$K,'BASE-ICP'!$A:$A,Capex!$A226,'BASE-ICP'!$B:$B,"fevereiro")/1000,"")),"")</f>
        <v>0</v>
      </c>
      <c r="BW231" s="427">
        <v>0</v>
      </c>
      <c r="BX231" s="372">
        <v>0</v>
      </c>
      <c r="BY231" s="419"/>
      <c r="BZ231" s="423">
        <f>IFERROR(IF(LEFT($A231,3)="Lcp",SUMIFS('BASE-LCP'!$K:$K,'BASE-LCP'!$A:$A,Capex!$A226,'BASE-LCP'!$B:$B,"março")/1000,IF(LEFT($A231,3)="icp",SUMIFS('BASE-ICP'!$K:$K,'BASE-ICP'!$A:$A,Capex!$A226,'BASE-ICP'!$B:$B,"março")/1000,"")),"")</f>
        <v>0</v>
      </c>
      <c r="CA231" s="427">
        <v>0</v>
      </c>
      <c r="CB231" s="372">
        <v>0</v>
      </c>
      <c r="CC231" s="422"/>
      <c r="CD231" s="423">
        <f>IFERROR(IF(LEFT($A231,3)="Lcp",SUMIFS('BASE-LCP'!$K:$K,'BASE-LCP'!$A:$A,Capex!$A226,'BASE-LCP'!$B:$B,"abril")/1000,IF(LEFT($A231,3)="icp",SUMIFS('BASE-ICP'!$K:$K,'BASE-ICP'!$A:$A,Capex!$A226,'BASE-ICP'!$B:$B,"abril")/1000,"")),"")</f>
        <v>0</v>
      </c>
      <c r="CE231" s="427">
        <v>0</v>
      </c>
      <c r="CF231" s="372">
        <v>0</v>
      </c>
      <c r="CG231" s="419"/>
      <c r="CH231" s="423">
        <v>0</v>
      </c>
      <c r="CI231" s="427">
        <v>0</v>
      </c>
      <c r="CJ231" s="372">
        <v>0</v>
      </c>
      <c r="CK231" s="419"/>
      <c r="CL231" s="423">
        <f>IFERROR(IF(LEFT($A231,3)="Lcp",SUMIFS('BASE-LCP'!$K:$K,'BASE-LCP'!$A:$A,Capex!$A226,'BASE-LCP'!$B:$B,"junho")/1000,IF(LEFT($A231,3)="icp",SUMIFS('BASE-ICP'!$K:$K,'BASE-ICP'!$A:$A,Capex!$A226,'BASE-ICP'!$B:$B,"junho")/1000,"")),"")</f>
        <v>0</v>
      </c>
      <c r="CM231" s="427">
        <v>0</v>
      </c>
      <c r="CN231" s="372"/>
      <c r="CO231" s="419"/>
      <c r="CP231" s="423">
        <f>IFERROR(IF(LEFT($A231,3)="Lcp",SUMIFS('BASE-LCP'!$K:$K,'BASE-LCP'!$A:$A,Capex!$A226,'BASE-LCP'!$B:$B,"julho")/1000,IF(LEFT($A231,3)="icp",SUMIFS('BASE-ICP'!$K:$K,'BASE-ICP'!$A:$A,Capex!$A226,'BASE-ICP'!$B:$B,"julho")/1000,"")),"")</f>
        <v>0</v>
      </c>
      <c r="CQ231" s="427">
        <v>0</v>
      </c>
      <c r="CR231" s="372"/>
      <c r="CS231" s="419"/>
      <c r="CT231" s="423">
        <f>IFERROR(IF(LEFT($A231,3)="Lcp",SUMIFS('BASE-LCP'!$K:$K,'BASE-LCP'!$A:$A,Capex!$A226,'BASE-LCP'!$B:$B,"agosto")/1000,IF(LEFT($A231,3)="icp",SUMIFS('BASE-ICP'!$K:$K,'BASE-ICP'!$A:$A,Capex!$A226,'BASE-ICP'!$B:$B,"agosto")/1000,"")),"")</f>
        <v>0</v>
      </c>
      <c r="CU231" s="427">
        <v>0</v>
      </c>
      <c r="CV231" s="372"/>
      <c r="CW231" s="419"/>
      <c r="CX231" s="423">
        <f>IFERROR(IF(LEFT($A231,3)="Lcp",SUMIFS('BASE-LCP'!$K:$K,'BASE-LCP'!$A:$A,Capex!$A226,'BASE-LCP'!$B:$B,"setembro")/1000,IF(LEFT($A231,3)="icp",SUMIFS('BASE-ICP'!$K:$K,'BASE-ICP'!$A:$A,Capex!$A226,'BASE-ICP'!$B:$B,"setembro")/1000,"")),"")</f>
        <v>0</v>
      </c>
      <c r="CY231" s="427">
        <v>0</v>
      </c>
      <c r="CZ231" s="372"/>
      <c r="DA231" s="419"/>
      <c r="DB231" s="423">
        <f>IFERROR(IF(LEFT($A231,3)="Lcp",SUMIFS('BASE-LCP'!$K:$K,'BASE-LCP'!$A:$A,Capex!$A226,'BASE-LCP'!$B:$B,"outubro")/1000,IF(LEFT($A231,3)="icp",SUMIFS('BASE-ICP'!$K:$K,'BASE-ICP'!$A:$A,Capex!$A226,'BASE-ICP'!$B:$B,"outubro")/1000,"")),"")</f>
        <v>0</v>
      </c>
      <c r="DC231" s="427">
        <v>0</v>
      </c>
      <c r="DD231" s="372"/>
      <c r="DE231" s="419"/>
      <c r="DF231" s="423">
        <f>IFERROR(IF(LEFT($A231,3)="Lcp",SUMIFS('BASE-LCP'!$K:$K,'BASE-LCP'!$A:$A,Capex!$A226,'BASE-LCP'!$B:$B,"novembro")/1000,IF(LEFT($A231,3)="icp",SUMIFS('BASE-ICP'!$K:$K,'BASE-ICP'!$A:$A,Capex!$A226,'BASE-ICP'!$B:$B,"novembro")/1000,"")),"")</f>
        <v>0</v>
      </c>
      <c r="DG231" s="427">
        <v>0</v>
      </c>
      <c r="DH231" s="372"/>
      <c r="DI231" s="419"/>
      <c r="DJ231" s="423">
        <f>IFERROR(IF(LEFT($A231,3)="Lcp",SUMIFS('BASE-LCP'!$K:$K,'BASE-LCP'!$A:$A,Capex!$A226,'BASE-LCP'!$B:$B,"dezembro")/1000,IF(LEFT($A231,3)="icp",SUMIFS('BASE-ICP'!$K:$K,'BASE-ICP'!$A:$A,Capex!$A226,'BASE-ICP'!$B:$B,"dezembro")/1000,"")),"")</f>
        <v>0</v>
      </c>
      <c r="DK231" s="427">
        <v>0</v>
      </c>
      <c r="DL231" s="452">
        <f t="shared" si="120"/>
        <v>0</v>
      </c>
      <c r="DM231" s="374"/>
      <c r="DN231" s="374"/>
      <c r="DO231" s="374"/>
      <c r="DP231" s="374"/>
      <c r="DQ231" s="374"/>
      <c r="DR231" s="374"/>
      <c r="DS231" s="374"/>
      <c r="DT231" s="374"/>
      <c r="DU231" s="374"/>
      <c r="DV231" s="374"/>
      <c r="DW231" s="374"/>
      <c r="DX231" s="374"/>
      <c r="DY231" s="450"/>
      <c r="DZ231" s="374">
        <f t="shared" si="121"/>
        <v>0</v>
      </c>
      <c r="EA231" s="216">
        <f t="shared" si="122"/>
        <v>0</v>
      </c>
      <c r="EB231" s="320">
        <f t="shared" si="123"/>
        <v>0</v>
      </c>
      <c r="EC231" s="241">
        <f t="shared" si="124"/>
        <v>0</v>
      </c>
      <c r="ED231" s="241">
        <f t="shared" si="125"/>
        <v>0</v>
      </c>
      <c r="EE231" s="241">
        <f t="shared" si="126"/>
        <v>0</v>
      </c>
      <c r="EF231" s="241">
        <f t="shared" si="127"/>
        <v>0</v>
      </c>
      <c r="EG231" s="346">
        <f t="shared" si="128"/>
        <v>0</v>
      </c>
      <c r="EH231" s="445">
        <f t="shared" si="129"/>
        <v>0</v>
      </c>
      <c r="EI231" s="447">
        <f t="shared" si="130"/>
        <v>0</v>
      </c>
      <c r="EJ231" s="364">
        <f t="shared" si="131"/>
        <v>0</v>
      </c>
      <c r="EK231" s="365">
        <f t="shared" si="132"/>
        <v>0</v>
      </c>
      <c r="EL231" s="529">
        <f t="shared" si="133"/>
        <v>0</v>
      </c>
      <c r="EM231" s="530">
        <v>0</v>
      </c>
      <c r="EN231" s="530">
        <v>0</v>
      </c>
      <c r="EO231" s="530">
        <v>0</v>
      </c>
      <c r="EP231" s="530">
        <v>0</v>
      </c>
      <c r="EQ231" s="530">
        <v>0</v>
      </c>
      <c r="ER231" s="530">
        <v>0</v>
      </c>
      <c r="ES231" s="530">
        <v>0</v>
      </c>
      <c r="ET231" s="530">
        <v>0</v>
      </c>
      <c r="EU231" s="530">
        <v>0</v>
      </c>
      <c r="EV231" s="530">
        <v>0</v>
      </c>
      <c r="EW231" s="530">
        <v>0</v>
      </c>
      <c r="EX231" s="530">
        <v>0</v>
      </c>
      <c r="EY231" s="530">
        <f t="shared" si="134"/>
        <v>0</v>
      </c>
      <c r="EZ231" s="530">
        <f t="shared" si="135"/>
        <v>0</v>
      </c>
      <c r="FA231" s="530">
        <f t="shared" si="136"/>
        <v>0</v>
      </c>
      <c r="FB231" s="530">
        <f t="shared" si="137"/>
        <v>0</v>
      </c>
      <c r="FC231" s="384">
        <f>IFERROR(VLOOKUP(Capex!A226,BASE_558!D:R,8,FALSE)/1000,"")</f>
        <v>286.95499999999998</v>
      </c>
      <c r="FD231" s="328">
        <f>IFERROR(VLOOKUP(Capex!A226,BASE_558!D:R,9,)/1000,"")</f>
        <v>92.107619999999997</v>
      </c>
      <c r="FE231" s="328">
        <f>IFERROR(IF(LEFT(A231,3)="LCP",(VLOOKUP(Capex!A226,BASE_558!D:R,10,)/1000),SUMIFS('BASE ICP_PO_SC'!F:F,'BASE ICP_PO_SC'!A:A,Capex!A226,'BASE ICP_PO_SC'!E:E,"&lt;&gt;")/1000),"")</f>
        <v>11.14081</v>
      </c>
      <c r="FF231" s="328">
        <f>IFERROR(IF(LEFT(A231,3)="LCP",(VLOOKUP(Capex!A226,BASE_558!D:R,11,)/1000),SUMIFS('BASE ICP_PO_SC'!F:F,'BASE ICP_PO_SC'!A:A,Capex!A226,'BASE ICP_PO_SC'!E:E,"")/1000),"")</f>
        <v>0</v>
      </c>
      <c r="FG231" s="328">
        <f>IFERROR(VLOOKUP(A231,BASE_558!D:R,13,FALSE)/1000,"")</f>
        <v>95.603030000000004</v>
      </c>
      <c r="FH231" s="328">
        <f>IFERROR(VLOOKUP(A231,BASE_558!D:R,15,FALSE)/1000,"")</f>
        <v>4.4969700000000001</v>
      </c>
      <c r="FI231" s="547">
        <f t="shared" si="138"/>
        <v>0</v>
      </c>
      <c r="FJ231" s="547">
        <f t="shared" si="139"/>
        <v>0</v>
      </c>
      <c r="FK231" s="540">
        <f t="shared" si="140"/>
        <v>0</v>
      </c>
    </row>
    <row r="232" spans="1:167" s="23" customFormat="1" ht="24" customHeight="1">
      <c r="A232" s="84" t="s">
        <v>990</v>
      </c>
      <c r="B232" s="404"/>
      <c r="C232" s="404">
        <v>9442</v>
      </c>
      <c r="D232" s="338" t="s">
        <v>2269</v>
      </c>
      <c r="E232" s="378">
        <v>4193801</v>
      </c>
      <c r="F232" s="310" t="s">
        <v>609</v>
      </c>
      <c r="G232" s="310" t="s">
        <v>9</v>
      </c>
      <c r="H232" s="338" t="s">
        <v>6</v>
      </c>
      <c r="I232" s="356"/>
      <c r="J232" s="356">
        <v>2021</v>
      </c>
      <c r="K232" s="352">
        <v>44351</v>
      </c>
      <c r="L232" s="317"/>
      <c r="M232" s="409"/>
      <c r="N232" s="317">
        <f t="shared" si="143"/>
        <v>45263</v>
      </c>
      <c r="O232" s="317">
        <f t="shared" si="144"/>
        <v>45628</v>
      </c>
      <c r="P232" s="418" t="str">
        <f t="shared" si="147"/>
        <v>SIM</v>
      </c>
      <c r="Q232" s="418" t="str">
        <f t="shared" si="147"/>
        <v>SIM</v>
      </c>
      <c r="R232" s="418" t="str">
        <f t="shared" si="147"/>
        <v>SIM</v>
      </c>
      <c r="S232" s="418" t="str">
        <f t="shared" si="147"/>
        <v>SIM</v>
      </c>
      <c r="T232" s="418" t="str">
        <f t="shared" si="147"/>
        <v>SIM</v>
      </c>
      <c r="U232" s="418" t="str">
        <f t="shared" si="147"/>
        <v>SIM</v>
      </c>
      <c r="V232" s="418" t="str">
        <f t="shared" si="147"/>
        <v>SIM</v>
      </c>
      <c r="W232" s="418" t="str">
        <f t="shared" si="147"/>
        <v>SIM</v>
      </c>
      <c r="X232" s="418" t="str">
        <f t="shared" si="147"/>
        <v>SIM</v>
      </c>
      <c r="Y232" s="418" t="str">
        <f t="shared" si="147"/>
        <v>SIM</v>
      </c>
      <c r="Z232" s="418" t="str">
        <f t="shared" si="147"/>
        <v>SIM</v>
      </c>
      <c r="AA232" s="418" t="str">
        <f t="shared" si="147"/>
        <v>SIM</v>
      </c>
      <c r="AB232" s="317"/>
      <c r="AC232" s="309" t="s">
        <v>3932</v>
      </c>
      <c r="AD232" s="311" t="s">
        <v>5</v>
      </c>
      <c r="AE232" s="381" t="s">
        <v>951</v>
      </c>
      <c r="AF232" s="310" t="s">
        <v>6985</v>
      </c>
      <c r="AG232" s="310" t="s">
        <v>2186</v>
      </c>
      <c r="AH232" s="310" t="s">
        <v>756</v>
      </c>
      <c r="AI232" s="309" t="s">
        <v>2255</v>
      </c>
      <c r="AJ232" s="6" t="s">
        <v>6786</v>
      </c>
      <c r="AK232" s="6" t="str">
        <f t="shared" si="118"/>
        <v>DIFERENTE</v>
      </c>
      <c r="AL232" s="151" t="str">
        <f>IFERROR(IF(LEFT(A232,3)="LCP",VLOOKUP(A232,STATUS_SAP_LCP!B:C,2,FALSE),VLOOKUP(A232,STATUS_SAP_ICP!B:C,2,FALSE)),"NO BUDGET")</f>
        <v>TECO BUDG AUC  AVAC  //  APPR BREL INPL</v>
      </c>
      <c r="AM232" s="6" t="str">
        <f t="shared" si="116"/>
        <v>TECO</v>
      </c>
      <c r="AN232" s="429" t="s">
        <v>20132</v>
      </c>
      <c r="AO232" s="429"/>
      <c r="AP232" s="499" t="s">
        <v>9616</v>
      </c>
      <c r="AQ232" s="465">
        <v>46022</v>
      </c>
      <c r="AR232" s="460"/>
      <c r="AS232" s="57"/>
      <c r="AT232" s="185"/>
      <c r="AU232" s="318">
        <v>0</v>
      </c>
      <c r="AV232" s="223">
        <v>62.636309999999995</v>
      </c>
      <c r="AW232" s="318">
        <v>3.1237399999999997</v>
      </c>
      <c r="AX232" s="223">
        <v>0</v>
      </c>
      <c r="AY232" s="318">
        <f t="shared" si="145"/>
        <v>0</v>
      </c>
      <c r="AZ232" s="223"/>
      <c r="BA232" s="318"/>
      <c r="BB232" s="519">
        <f t="shared" si="146"/>
        <v>0</v>
      </c>
      <c r="BC232" s="518">
        <v>0</v>
      </c>
      <c r="BD232" s="518">
        <v>0</v>
      </c>
      <c r="BE232" s="518">
        <v>0</v>
      </c>
      <c r="BF232" s="518">
        <v>0</v>
      </c>
      <c r="BG232" s="518">
        <v>0</v>
      </c>
      <c r="BH232" s="518">
        <v>0</v>
      </c>
      <c r="BI232" s="518">
        <v>0</v>
      </c>
      <c r="BJ232" s="518">
        <v>0</v>
      </c>
      <c r="BK232" s="518">
        <v>0</v>
      </c>
      <c r="BL232" s="518">
        <v>0</v>
      </c>
      <c r="BM232" s="518">
        <v>0</v>
      </c>
      <c r="BN232" s="518">
        <v>0</v>
      </c>
      <c r="BO232" s="367">
        <f t="shared" si="119"/>
        <v>0</v>
      </c>
      <c r="BP232" s="421">
        <v>0</v>
      </c>
      <c r="BQ232" s="422"/>
      <c r="BR232" s="423">
        <f>IFERROR(IF(LEFT($A232,3)="Lcp",SUMIFS('BASE-LCP'!$K:$K,'BASE-LCP'!$A:$A,Capex!$A227,'BASE-LCP'!$B:$B,"janeiro")/1000,IF(LEFT($A232,3)="icp",SUMIFS('BASE-ICP'!$K:$K,'BASE-ICP'!$A:$A,Capex!$A227,'BASE-ICP'!$B:$B,"janeiro")/1000,"")),"")</f>
        <v>0</v>
      </c>
      <c r="BS232" s="427">
        <v>0</v>
      </c>
      <c r="BT232" s="372">
        <v>0</v>
      </c>
      <c r="BU232" s="422"/>
      <c r="BV232" s="423">
        <f>IFERROR(IF(LEFT($A232,3)="Lcp",SUMIFS('BASE-LCP'!$K:$K,'BASE-LCP'!$A:$A,Capex!$A227,'BASE-LCP'!$B:$B,"fevereiro")/1000,IF(LEFT($A232,3)="icp",SUMIFS('BASE-ICP'!$K:$K,'BASE-ICP'!$A:$A,Capex!$A227,'BASE-ICP'!$B:$B,"fevereiro")/1000,"")),"")</f>
        <v>0</v>
      </c>
      <c r="BW232" s="427">
        <v>0</v>
      </c>
      <c r="BX232" s="372">
        <v>0</v>
      </c>
      <c r="BY232" s="419"/>
      <c r="BZ232" s="423">
        <f>IFERROR(IF(LEFT($A232,3)="Lcp",SUMIFS('BASE-LCP'!$K:$K,'BASE-LCP'!$A:$A,Capex!$A227,'BASE-LCP'!$B:$B,"março")/1000,IF(LEFT($A232,3)="icp",SUMIFS('BASE-ICP'!$K:$K,'BASE-ICP'!$A:$A,Capex!$A227,'BASE-ICP'!$B:$B,"março")/1000,"")),"")</f>
        <v>0</v>
      </c>
      <c r="CA232" s="427">
        <v>0</v>
      </c>
      <c r="CB232" s="372">
        <v>0</v>
      </c>
      <c r="CC232" s="422"/>
      <c r="CD232" s="423">
        <f>IFERROR(IF(LEFT($A232,3)="Lcp",SUMIFS('BASE-LCP'!$K:$K,'BASE-LCP'!$A:$A,Capex!$A227,'BASE-LCP'!$B:$B,"abril")/1000,IF(LEFT($A232,3)="icp",SUMIFS('BASE-ICP'!$K:$K,'BASE-ICP'!$A:$A,Capex!$A227,'BASE-ICP'!$B:$B,"abril")/1000,"")),"")</f>
        <v>0</v>
      </c>
      <c r="CE232" s="427">
        <v>0</v>
      </c>
      <c r="CF232" s="372">
        <v>0</v>
      </c>
      <c r="CG232" s="419"/>
      <c r="CH232" s="423">
        <v>0</v>
      </c>
      <c r="CI232" s="427">
        <v>0</v>
      </c>
      <c r="CJ232" s="372">
        <v>0</v>
      </c>
      <c r="CK232" s="419"/>
      <c r="CL232" s="423">
        <f>IFERROR(IF(LEFT($A232,3)="Lcp",SUMIFS('BASE-LCP'!$K:$K,'BASE-LCP'!$A:$A,Capex!$A227,'BASE-LCP'!$B:$B,"junho")/1000,IF(LEFT($A232,3)="icp",SUMIFS('BASE-ICP'!$K:$K,'BASE-ICP'!$A:$A,Capex!$A227,'BASE-ICP'!$B:$B,"junho")/1000,"")),"")</f>
        <v>0</v>
      </c>
      <c r="CM232" s="427">
        <v>0</v>
      </c>
      <c r="CN232" s="372"/>
      <c r="CO232" s="419"/>
      <c r="CP232" s="423">
        <f>IFERROR(IF(LEFT($A232,3)="Lcp",SUMIFS('BASE-LCP'!$K:$K,'BASE-LCP'!$A:$A,Capex!$A227,'BASE-LCP'!$B:$B,"julho")/1000,IF(LEFT($A232,3)="icp",SUMIFS('BASE-ICP'!$K:$K,'BASE-ICP'!$A:$A,Capex!$A227,'BASE-ICP'!$B:$B,"julho")/1000,"")),"")</f>
        <v>0</v>
      </c>
      <c r="CQ232" s="427">
        <v>0</v>
      </c>
      <c r="CR232" s="372"/>
      <c r="CS232" s="419"/>
      <c r="CT232" s="423">
        <f>IFERROR(IF(LEFT($A232,3)="Lcp",SUMIFS('BASE-LCP'!$K:$K,'BASE-LCP'!$A:$A,Capex!$A227,'BASE-LCP'!$B:$B,"agosto")/1000,IF(LEFT($A232,3)="icp",SUMIFS('BASE-ICP'!$K:$K,'BASE-ICP'!$A:$A,Capex!$A227,'BASE-ICP'!$B:$B,"agosto")/1000,"")),"")</f>
        <v>0</v>
      </c>
      <c r="CU232" s="427">
        <v>0</v>
      </c>
      <c r="CV232" s="372"/>
      <c r="CW232" s="419"/>
      <c r="CX232" s="423">
        <f>IFERROR(IF(LEFT($A232,3)="Lcp",SUMIFS('BASE-LCP'!$K:$K,'BASE-LCP'!$A:$A,Capex!$A227,'BASE-LCP'!$B:$B,"setembro")/1000,IF(LEFT($A232,3)="icp",SUMIFS('BASE-ICP'!$K:$K,'BASE-ICP'!$A:$A,Capex!$A227,'BASE-ICP'!$B:$B,"setembro")/1000,"")),"")</f>
        <v>0</v>
      </c>
      <c r="CY232" s="427">
        <v>0</v>
      </c>
      <c r="CZ232" s="372"/>
      <c r="DA232" s="419"/>
      <c r="DB232" s="423">
        <f>IFERROR(IF(LEFT($A232,3)="Lcp",SUMIFS('BASE-LCP'!$K:$K,'BASE-LCP'!$A:$A,Capex!$A227,'BASE-LCP'!$B:$B,"outubro")/1000,IF(LEFT($A232,3)="icp",SUMIFS('BASE-ICP'!$K:$K,'BASE-ICP'!$A:$A,Capex!$A227,'BASE-ICP'!$B:$B,"outubro")/1000,"")),"")</f>
        <v>0</v>
      </c>
      <c r="DC232" s="427">
        <v>0</v>
      </c>
      <c r="DD232" s="372"/>
      <c r="DE232" s="419"/>
      <c r="DF232" s="423">
        <f>IFERROR(IF(LEFT($A232,3)="Lcp",SUMIFS('BASE-LCP'!$K:$K,'BASE-LCP'!$A:$A,Capex!$A227,'BASE-LCP'!$B:$B,"novembro")/1000,IF(LEFT($A232,3)="icp",SUMIFS('BASE-ICP'!$K:$K,'BASE-ICP'!$A:$A,Capex!$A227,'BASE-ICP'!$B:$B,"novembro")/1000,"")),"")</f>
        <v>0</v>
      </c>
      <c r="DG232" s="427">
        <v>0</v>
      </c>
      <c r="DH232" s="372"/>
      <c r="DI232" s="419"/>
      <c r="DJ232" s="423">
        <f>IFERROR(IF(LEFT($A232,3)="Lcp",SUMIFS('BASE-LCP'!$K:$K,'BASE-LCP'!$A:$A,Capex!$A227,'BASE-LCP'!$B:$B,"dezembro")/1000,IF(LEFT($A232,3)="icp",SUMIFS('BASE-ICP'!$K:$K,'BASE-ICP'!$A:$A,Capex!$A227,'BASE-ICP'!$B:$B,"dezembro")/1000,"")),"")</f>
        <v>0</v>
      </c>
      <c r="DK232" s="427">
        <v>0</v>
      </c>
      <c r="DL232" s="452">
        <f t="shared" si="120"/>
        <v>0</v>
      </c>
      <c r="DM232" s="374"/>
      <c r="DN232" s="374">
        <v>0</v>
      </c>
      <c r="DO232" s="374"/>
      <c r="DP232" s="374"/>
      <c r="DQ232" s="374"/>
      <c r="DR232" s="374"/>
      <c r="DS232" s="374"/>
      <c r="DT232" s="374"/>
      <c r="DU232" s="374"/>
      <c r="DV232" s="374"/>
      <c r="DW232" s="374"/>
      <c r="DX232" s="374"/>
      <c r="DY232" s="450"/>
      <c r="DZ232" s="374">
        <f t="shared" si="121"/>
        <v>0</v>
      </c>
      <c r="EA232" s="216">
        <f t="shared" si="122"/>
        <v>0</v>
      </c>
      <c r="EB232" s="320">
        <f t="shared" si="123"/>
        <v>0</v>
      </c>
      <c r="EC232" s="241">
        <f t="shared" si="124"/>
        <v>0</v>
      </c>
      <c r="ED232" s="241">
        <f t="shared" si="125"/>
        <v>0</v>
      </c>
      <c r="EE232" s="241">
        <f t="shared" si="126"/>
        <v>0</v>
      </c>
      <c r="EF232" s="241">
        <f t="shared" si="127"/>
        <v>0</v>
      </c>
      <c r="EG232" s="346">
        <f t="shared" si="128"/>
        <v>0</v>
      </c>
      <c r="EH232" s="445">
        <f t="shared" si="129"/>
        <v>0</v>
      </c>
      <c r="EI232" s="447">
        <f t="shared" si="130"/>
        <v>0</v>
      </c>
      <c r="EJ232" s="364">
        <f t="shared" si="131"/>
        <v>0</v>
      </c>
      <c r="EK232" s="365">
        <f t="shared" si="132"/>
        <v>0</v>
      </c>
      <c r="EL232" s="529">
        <f t="shared" si="133"/>
        <v>0</v>
      </c>
      <c r="EM232" s="530">
        <v>0</v>
      </c>
      <c r="EN232" s="530">
        <v>0</v>
      </c>
      <c r="EO232" s="530">
        <v>0</v>
      </c>
      <c r="EP232" s="530">
        <v>0</v>
      </c>
      <c r="EQ232" s="530">
        <v>0</v>
      </c>
      <c r="ER232" s="530">
        <v>0</v>
      </c>
      <c r="ES232" s="530">
        <v>0</v>
      </c>
      <c r="ET232" s="530">
        <v>0</v>
      </c>
      <c r="EU232" s="530">
        <v>0</v>
      </c>
      <c r="EV232" s="530">
        <v>0</v>
      </c>
      <c r="EW232" s="530">
        <v>0</v>
      </c>
      <c r="EX232" s="530">
        <v>0</v>
      </c>
      <c r="EY232" s="530">
        <f t="shared" si="134"/>
        <v>0</v>
      </c>
      <c r="EZ232" s="530">
        <f t="shared" si="135"/>
        <v>0</v>
      </c>
      <c r="FA232" s="530">
        <f t="shared" si="136"/>
        <v>0</v>
      </c>
      <c r="FB232" s="530">
        <f t="shared" si="137"/>
        <v>0</v>
      </c>
      <c r="FC232" s="384">
        <f>IFERROR(VLOOKUP(Capex!A227,BASE_558!D:R,8,FALSE)/1000,"")</f>
        <v>60.6</v>
      </c>
      <c r="FD232" s="328">
        <f>IFERROR(VLOOKUP(Capex!A227,BASE_558!D:R,9,)/1000,"")</f>
        <v>40.910849999999996</v>
      </c>
      <c r="FE232" s="328">
        <f>IFERROR(IF(LEFT(A232,3)="LCP",(VLOOKUP(Capex!A227,BASE_558!D:R,10,)/1000),SUMIFS('BASE ICP_PO_SC'!F:F,'BASE ICP_PO_SC'!A:A,Capex!A227,'BASE ICP_PO_SC'!E:E,"&lt;&gt;")/1000),"")</f>
        <v>0</v>
      </c>
      <c r="FF232" s="328">
        <f>IFERROR(IF(LEFT(A232,3)="LCP",(VLOOKUP(Capex!A227,BASE_558!D:R,11,)/1000),SUMIFS('BASE ICP_PO_SC'!F:F,'BASE ICP_PO_SC'!A:A,Capex!A227,'BASE ICP_PO_SC'!E:E,"")/1000),"")</f>
        <v>0</v>
      </c>
      <c r="FG232" s="328">
        <f>IFERROR(VLOOKUP(A232,BASE_558!D:R,13,FALSE)/1000,"")</f>
        <v>65.760050000000007</v>
      </c>
      <c r="FH232" s="328">
        <f>IFERROR(VLOOKUP(A232,BASE_558!D:R,15,FALSE)/1000,"")</f>
        <v>181.87695000000002</v>
      </c>
      <c r="FI232" s="547">
        <f t="shared" si="138"/>
        <v>0</v>
      </c>
      <c r="FJ232" s="547">
        <f t="shared" si="139"/>
        <v>0</v>
      </c>
      <c r="FK232" s="540">
        <f t="shared" si="140"/>
        <v>0</v>
      </c>
    </row>
    <row r="233" spans="1:167" s="23" customFormat="1" ht="24" customHeight="1">
      <c r="A233" s="84" t="s">
        <v>991</v>
      </c>
      <c r="B233" s="404"/>
      <c r="C233" s="404" t="s">
        <v>602</v>
      </c>
      <c r="D233" s="338" t="s">
        <v>2270</v>
      </c>
      <c r="E233" s="378">
        <v>4175016</v>
      </c>
      <c r="F233" s="310"/>
      <c r="G233" s="310" t="s">
        <v>9</v>
      </c>
      <c r="H233" s="356"/>
      <c r="I233" s="356"/>
      <c r="J233" s="356">
        <v>2021</v>
      </c>
      <c r="K233" s="321">
        <v>44344</v>
      </c>
      <c r="L233" s="317">
        <v>44650</v>
      </c>
      <c r="M233" s="409"/>
      <c r="N233" s="317">
        <f t="shared" si="143"/>
        <v>45256</v>
      </c>
      <c r="O233" s="317">
        <f t="shared" si="144"/>
        <v>45621</v>
      </c>
      <c r="P233" s="418" t="str">
        <f t="shared" si="147"/>
        <v>CRTD</v>
      </c>
      <c r="Q233" s="418" t="str">
        <f t="shared" si="147"/>
        <v>CRTD</v>
      </c>
      <c r="R233" s="418" t="str">
        <f t="shared" si="147"/>
        <v>CRTD</v>
      </c>
      <c r="S233" s="418" t="str">
        <f t="shared" si="147"/>
        <v>CRTD</v>
      </c>
      <c r="T233" s="418" t="str">
        <f t="shared" si="147"/>
        <v>CRTD</v>
      </c>
      <c r="U233" s="418" t="str">
        <f t="shared" si="147"/>
        <v>CRTD</v>
      </c>
      <c r="V233" s="418" t="str">
        <f t="shared" si="147"/>
        <v>CRTD</v>
      </c>
      <c r="W233" s="418" t="str">
        <f t="shared" si="147"/>
        <v>CRTD</v>
      </c>
      <c r="X233" s="418" t="str">
        <f t="shared" si="147"/>
        <v>CRTD</v>
      </c>
      <c r="Y233" s="418" t="str">
        <f t="shared" si="147"/>
        <v>CRTD</v>
      </c>
      <c r="Z233" s="418" t="str">
        <f t="shared" si="147"/>
        <v>CRTD</v>
      </c>
      <c r="AA233" s="418" t="str">
        <f t="shared" si="147"/>
        <v>CRTD</v>
      </c>
      <c r="AB233" s="350"/>
      <c r="AC233" s="309" t="s">
        <v>3930</v>
      </c>
      <c r="AD233" s="311"/>
      <c r="AE233" s="381"/>
      <c r="AF233" s="310" t="s">
        <v>6985</v>
      </c>
      <c r="AG233" s="310" t="s">
        <v>9083</v>
      </c>
      <c r="AH233" s="310" t="s">
        <v>1445</v>
      </c>
      <c r="AI233" s="381" t="s">
        <v>188</v>
      </c>
      <c r="AJ233" s="6" t="s">
        <v>218</v>
      </c>
      <c r="AK233" s="6" t="str">
        <f t="shared" si="118"/>
        <v>IGUAL</v>
      </c>
      <c r="AL233" s="151" t="str">
        <f>IFERROR(IF(LEFT(A233,3)="LCP",VLOOKUP(A233,STATUS_SAP_LCP!B:C,2,FALSE),VLOOKUP(A233,STATUS_SAP_ICP!B:C,2,FALSE)),"NO BUDGET")</f>
        <v>CLSD BUDG AUC  AVAC  //  APPR BREL EXPL</v>
      </c>
      <c r="AM233" s="6" t="str">
        <f t="shared" si="116"/>
        <v>CLSD</v>
      </c>
      <c r="AN233" s="282" t="s">
        <v>9096</v>
      </c>
      <c r="AO233" s="493">
        <v>1</v>
      </c>
      <c r="AP233" s="499" t="s">
        <v>9607</v>
      </c>
      <c r="AQ233" s="465">
        <v>44650</v>
      </c>
      <c r="AR233" s="460"/>
      <c r="AS233" s="57"/>
      <c r="AT233" s="185"/>
      <c r="AU233" s="318">
        <v>72.603270000000009</v>
      </c>
      <c r="AV233" s="223">
        <v>-6.3409400000000007</v>
      </c>
      <c r="AW233" s="318">
        <v>0</v>
      </c>
      <c r="AX233" s="223">
        <v>0</v>
      </c>
      <c r="AY233" s="318">
        <f t="shared" si="145"/>
        <v>0</v>
      </c>
      <c r="AZ233" s="223"/>
      <c r="BA233" s="318"/>
      <c r="BB233" s="519">
        <f t="shared" si="146"/>
        <v>0</v>
      </c>
      <c r="BC233" s="518"/>
      <c r="BD233" s="518"/>
      <c r="BE233" s="518"/>
      <c r="BF233" s="518"/>
      <c r="BG233" s="518"/>
      <c r="BH233" s="518"/>
      <c r="BI233" s="518"/>
      <c r="BJ233" s="518"/>
      <c r="BK233" s="518"/>
      <c r="BL233" s="518"/>
      <c r="BM233" s="518"/>
      <c r="BN233" s="518"/>
      <c r="BO233" s="367">
        <f t="shared" si="119"/>
        <v>0</v>
      </c>
      <c r="BP233" s="421"/>
      <c r="BQ233" s="422"/>
      <c r="BR233" s="423">
        <f>IFERROR(IF(LEFT($A233,3)="Lcp",SUMIFS('BASE-LCP'!$K:$K,'BASE-LCP'!$A:$A,Capex!$A228,'BASE-LCP'!$B:$B,"janeiro")/1000,IF(LEFT($A233,3)="icp",SUMIFS('BASE-ICP'!$K:$K,'BASE-ICP'!$A:$A,Capex!$A228,'BASE-ICP'!$B:$B,"janeiro")/1000,"")),"")</f>
        <v>0</v>
      </c>
      <c r="BS233" s="427">
        <v>0</v>
      </c>
      <c r="BT233" s="372">
        <v>0</v>
      </c>
      <c r="BU233" s="422"/>
      <c r="BV233" s="423">
        <f>IFERROR(IF(LEFT($A233,3)="Lcp",SUMIFS('BASE-LCP'!$K:$K,'BASE-LCP'!$A:$A,Capex!$A228,'BASE-LCP'!$B:$B,"fevereiro")/1000,IF(LEFT($A233,3)="icp",SUMIFS('BASE-ICP'!$K:$K,'BASE-ICP'!$A:$A,Capex!$A228,'BASE-ICP'!$B:$B,"fevereiro")/1000,"")),"")</f>
        <v>0</v>
      </c>
      <c r="BW233" s="427">
        <v>0</v>
      </c>
      <c r="BX233" s="372">
        <v>0</v>
      </c>
      <c r="BY233" s="419"/>
      <c r="BZ233" s="423">
        <f>IFERROR(IF(LEFT($A233,3)="Lcp",SUMIFS('BASE-LCP'!$K:$K,'BASE-LCP'!$A:$A,Capex!$A228,'BASE-LCP'!$B:$B,"março")/1000,IF(LEFT($A233,3)="icp",SUMIFS('BASE-ICP'!$K:$K,'BASE-ICP'!$A:$A,Capex!$A228,'BASE-ICP'!$B:$B,"março")/1000,"")),"")</f>
        <v>0</v>
      </c>
      <c r="CA233" s="427">
        <v>0</v>
      </c>
      <c r="CB233" s="372">
        <v>0</v>
      </c>
      <c r="CC233" s="422"/>
      <c r="CD233" s="423">
        <f>IFERROR(IF(LEFT($A233,3)="Lcp",SUMIFS('BASE-LCP'!$K:$K,'BASE-LCP'!$A:$A,Capex!$A228,'BASE-LCP'!$B:$B,"abril")/1000,IF(LEFT($A233,3)="icp",SUMIFS('BASE-ICP'!$K:$K,'BASE-ICP'!$A:$A,Capex!$A228,'BASE-ICP'!$B:$B,"abril")/1000,"")),"")</f>
        <v>0</v>
      </c>
      <c r="CE233" s="427">
        <v>0</v>
      </c>
      <c r="CF233" s="372">
        <v>0</v>
      </c>
      <c r="CG233" s="419"/>
      <c r="CH233" s="423">
        <v>0</v>
      </c>
      <c r="CI233" s="427">
        <v>0</v>
      </c>
      <c r="CJ233" s="372">
        <v>0</v>
      </c>
      <c r="CK233" s="419"/>
      <c r="CL233" s="423">
        <f>IFERROR(IF(LEFT($A233,3)="Lcp",SUMIFS('BASE-LCP'!$K:$K,'BASE-LCP'!$A:$A,Capex!$A228,'BASE-LCP'!$B:$B,"junho")/1000,IF(LEFT($A233,3)="icp",SUMIFS('BASE-ICP'!$K:$K,'BASE-ICP'!$A:$A,Capex!$A228,'BASE-ICP'!$B:$B,"junho")/1000,"")),"")</f>
        <v>0</v>
      </c>
      <c r="CM233" s="427">
        <v>0</v>
      </c>
      <c r="CN233" s="372"/>
      <c r="CO233" s="419"/>
      <c r="CP233" s="423">
        <f>IFERROR(IF(LEFT($A233,3)="Lcp",SUMIFS('BASE-LCP'!$K:$K,'BASE-LCP'!$A:$A,Capex!$A228,'BASE-LCP'!$B:$B,"julho")/1000,IF(LEFT($A233,3)="icp",SUMIFS('BASE-ICP'!$K:$K,'BASE-ICP'!$A:$A,Capex!$A228,'BASE-ICP'!$B:$B,"julho")/1000,"")),"")</f>
        <v>0</v>
      </c>
      <c r="CQ233" s="427">
        <v>0</v>
      </c>
      <c r="CR233" s="372"/>
      <c r="CS233" s="419"/>
      <c r="CT233" s="423">
        <f>IFERROR(IF(LEFT($A233,3)="Lcp",SUMIFS('BASE-LCP'!$K:$K,'BASE-LCP'!$A:$A,Capex!$A228,'BASE-LCP'!$B:$B,"agosto")/1000,IF(LEFT($A233,3)="icp",SUMIFS('BASE-ICP'!$K:$K,'BASE-ICP'!$A:$A,Capex!$A228,'BASE-ICP'!$B:$B,"agosto")/1000,"")),"")</f>
        <v>0</v>
      </c>
      <c r="CU233" s="427">
        <v>0</v>
      </c>
      <c r="CV233" s="372"/>
      <c r="CW233" s="419"/>
      <c r="CX233" s="423">
        <f>IFERROR(IF(LEFT($A233,3)="Lcp",SUMIFS('BASE-LCP'!$K:$K,'BASE-LCP'!$A:$A,Capex!$A228,'BASE-LCP'!$B:$B,"setembro")/1000,IF(LEFT($A233,3)="icp",SUMIFS('BASE-ICP'!$K:$K,'BASE-ICP'!$A:$A,Capex!$A228,'BASE-ICP'!$B:$B,"setembro")/1000,"")),"")</f>
        <v>0</v>
      </c>
      <c r="CY233" s="427">
        <v>0</v>
      </c>
      <c r="CZ233" s="372"/>
      <c r="DA233" s="419"/>
      <c r="DB233" s="423">
        <f>IFERROR(IF(LEFT($A233,3)="Lcp",SUMIFS('BASE-LCP'!$K:$K,'BASE-LCP'!$A:$A,Capex!$A228,'BASE-LCP'!$B:$B,"outubro")/1000,IF(LEFT($A233,3)="icp",SUMIFS('BASE-ICP'!$K:$K,'BASE-ICP'!$A:$A,Capex!$A228,'BASE-ICP'!$B:$B,"outubro")/1000,"")),"")</f>
        <v>0</v>
      </c>
      <c r="DC233" s="427">
        <v>0</v>
      </c>
      <c r="DD233" s="372"/>
      <c r="DE233" s="419"/>
      <c r="DF233" s="423">
        <f>IFERROR(IF(LEFT($A233,3)="Lcp",SUMIFS('BASE-LCP'!$K:$K,'BASE-LCP'!$A:$A,Capex!$A228,'BASE-LCP'!$B:$B,"novembro")/1000,IF(LEFT($A233,3)="icp",SUMIFS('BASE-ICP'!$K:$K,'BASE-ICP'!$A:$A,Capex!$A228,'BASE-ICP'!$B:$B,"novembro")/1000,"")),"")</f>
        <v>0</v>
      </c>
      <c r="DG233" s="427">
        <v>0</v>
      </c>
      <c r="DH233" s="372"/>
      <c r="DI233" s="419"/>
      <c r="DJ233" s="423">
        <f>IFERROR(IF(LEFT($A233,3)="Lcp",SUMIFS('BASE-LCP'!$K:$K,'BASE-LCP'!$A:$A,Capex!$A228,'BASE-LCP'!$B:$B,"dezembro")/1000,IF(LEFT($A233,3)="icp",SUMIFS('BASE-ICP'!$K:$K,'BASE-ICP'!$A:$A,Capex!$A228,'BASE-ICP'!$B:$B,"dezembro")/1000,"")),"")</f>
        <v>0</v>
      </c>
      <c r="DK233" s="427">
        <v>0</v>
      </c>
      <c r="DL233" s="452">
        <f t="shared" si="120"/>
        <v>0</v>
      </c>
      <c r="DM233" s="374"/>
      <c r="DN233" s="374"/>
      <c r="DO233" s="374"/>
      <c r="DP233" s="374"/>
      <c r="DQ233" s="374"/>
      <c r="DR233" s="374"/>
      <c r="DS233" s="374"/>
      <c r="DT233" s="374"/>
      <c r="DU233" s="374"/>
      <c r="DV233" s="374"/>
      <c r="DW233" s="374"/>
      <c r="DX233" s="374"/>
      <c r="DY233" s="450"/>
      <c r="DZ233" s="374">
        <f t="shared" si="121"/>
        <v>0</v>
      </c>
      <c r="EA233" s="216">
        <f t="shared" si="122"/>
        <v>0</v>
      </c>
      <c r="EB233" s="320">
        <f t="shared" si="123"/>
        <v>0</v>
      </c>
      <c r="EC233" s="241">
        <f t="shared" si="124"/>
        <v>0</v>
      </c>
      <c r="ED233" s="241">
        <f t="shared" si="125"/>
        <v>0</v>
      </c>
      <c r="EE233" s="241">
        <f t="shared" si="126"/>
        <v>0</v>
      </c>
      <c r="EF233" s="241">
        <f t="shared" si="127"/>
        <v>0</v>
      </c>
      <c r="EG233" s="346">
        <f t="shared" si="128"/>
        <v>0</v>
      </c>
      <c r="EH233" s="445">
        <f t="shared" si="129"/>
        <v>0</v>
      </c>
      <c r="EI233" s="447">
        <f t="shared" si="130"/>
        <v>0</v>
      </c>
      <c r="EJ233" s="364">
        <f t="shared" si="131"/>
        <v>0</v>
      </c>
      <c r="EK233" s="365">
        <f t="shared" si="132"/>
        <v>0</v>
      </c>
      <c r="EL233" s="529">
        <f t="shared" si="133"/>
        <v>0</v>
      </c>
      <c r="EM233" s="530">
        <v>0</v>
      </c>
      <c r="EN233" s="530">
        <v>0</v>
      </c>
      <c r="EO233" s="530">
        <v>0</v>
      </c>
      <c r="EP233" s="530">
        <v>0</v>
      </c>
      <c r="EQ233" s="530">
        <v>0</v>
      </c>
      <c r="ER233" s="530">
        <v>0</v>
      </c>
      <c r="ES233" s="530">
        <v>0</v>
      </c>
      <c r="ET233" s="530">
        <v>0</v>
      </c>
      <c r="EU233" s="530">
        <v>0</v>
      </c>
      <c r="EV233" s="530">
        <v>0</v>
      </c>
      <c r="EW233" s="530">
        <v>0</v>
      </c>
      <c r="EX233" s="530">
        <v>0</v>
      </c>
      <c r="EY233" s="530">
        <f t="shared" si="134"/>
        <v>0</v>
      </c>
      <c r="EZ233" s="530">
        <f t="shared" si="135"/>
        <v>0</v>
      </c>
      <c r="FA233" s="530">
        <f t="shared" si="136"/>
        <v>0</v>
      </c>
      <c r="FB233" s="530">
        <f t="shared" si="137"/>
        <v>0</v>
      </c>
      <c r="FC233" s="384">
        <f>IFERROR(VLOOKUP(Capex!A228,BASE_558!D:R,8,FALSE)/1000,"")</f>
        <v>70</v>
      </c>
      <c r="FD233" s="328">
        <f>IFERROR(VLOOKUP(Capex!A228,BASE_558!D:R,9,)/1000,"")</f>
        <v>64.53604</v>
      </c>
      <c r="FE233" s="328">
        <f>IFERROR(IF(LEFT(A233,3)="LCP",(VLOOKUP(Capex!A228,BASE_558!D:R,10,)/1000),SUMIFS('BASE ICP_PO_SC'!F:F,'BASE ICP_PO_SC'!A:A,Capex!A228,'BASE ICP_PO_SC'!E:E,"&lt;&gt;")/1000),"")</f>
        <v>0</v>
      </c>
      <c r="FF233" s="328">
        <f>IFERROR(IF(LEFT(A233,3)="LCP",(VLOOKUP(Capex!A228,BASE_558!D:R,11,)/1000),SUMIFS('BASE ICP_PO_SC'!F:F,'BASE ICP_PO_SC'!A:A,Capex!A228,'BASE ICP_PO_SC'!E:E,"")/1000),"")</f>
        <v>0</v>
      </c>
      <c r="FG233" s="328">
        <f>IFERROR(VLOOKUP(A233,BASE_558!D:R,13,FALSE)/1000,"")</f>
        <v>66.262330000000006</v>
      </c>
      <c r="FH233" s="328">
        <f>IFERROR(VLOOKUP(A233,BASE_558!D:R,15,FALSE)/1000,"")</f>
        <v>15.73767</v>
      </c>
      <c r="FI233" s="547">
        <f t="shared" si="138"/>
        <v>0</v>
      </c>
      <c r="FJ233" s="547">
        <f t="shared" si="139"/>
        <v>0</v>
      </c>
      <c r="FK233" s="540">
        <f t="shared" si="140"/>
        <v>0</v>
      </c>
    </row>
    <row r="234" spans="1:167" s="23" customFormat="1" ht="24" customHeight="1">
      <c r="A234" s="84" t="s">
        <v>988</v>
      </c>
      <c r="B234" s="404"/>
      <c r="C234" s="404">
        <v>14371</v>
      </c>
      <c r="D234" s="338" t="s">
        <v>2271</v>
      </c>
      <c r="E234" s="378">
        <v>4256296</v>
      </c>
      <c r="F234" s="310"/>
      <c r="G234" s="310" t="s">
        <v>9</v>
      </c>
      <c r="H234" s="338"/>
      <c r="I234" s="356"/>
      <c r="J234" s="356">
        <v>2021</v>
      </c>
      <c r="K234" s="321">
        <v>44377</v>
      </c>
      <c r="L234" s="317">
        <v>44708</v>
      </c>
      <c r="M234" s="409"/>
      <c r="N234" s="317">
        <f t="shared" si="143"/>
        <v>45289</v>
      </c>
      <c r="O234" s="317">
        <f t="shared" si="144"/>
        <v>45654</v>
      </c>
      <c r="P234" s="418" t="str">
        <f t="shared" si="147"/>
        <v>CRTD</v>
      </c>
      <c r="Q234" s="418" t="str">
        <f t="shared" si="147"/>
        <v>CRTD</v>
      </c>
      <c r="R234" s="418" t="str">
        <f t="shared" si="147"/>
        <v>CRTD</v>
      </c>
      <c r="S234" s="418" t="str">
        <f t="shared" si="147"/>
        <v>CRTD</v>
      </c>
      <c r="T234" s="418" t="str">
        <f t="shared" si="147"/>
        <v>CRTD</v>
      </c>
      <c r="U234" s="418" t="str">
        <f t="shared" si="147"/>
        <v>CRTD</v>
      </c>
      <c r="V234" s="418" t="str">
        <f t="shared" si="147"/>
        <v>CRTD</v>
      </c>
      <c r="W234" s="418" t="str">
        <f t="shared" si="147"/>
        <v>CRTD</v>
      </c>
      <c r="X234" s="418" t="str">
        <f t="shared" si="147"/>
        <v>CRTD</v>
      </c>
      <c r="Y234" s="418" t="str">
        <f t="shared" si="147"/>
        <v>CRTD</v>
      </c>
      <c r="Z234" s="418" t="str">
        <f t="shared" si="147"/>
        <v>CRTD</v>
      </c>
      <c r="AA234" s="418" t="str">
        <f t="shared" si="147"/>
        <v>CRTD</v>
      </c>
      <c r="AB234" s="350"/>
      <c r="AC234" s="309" t="s">
        <v>3932</v>
      </c>
      <c r="AD234" s="311" t="s">
        <v>222</v>
      </c>
      <c r="AE234" s="361" t="s">
        <v>958</v>
      </c>
      <c r="AF234" s="310" t="s">
        <v>6985</v>
      </c>
      <c r="AG234" s="310" t="s">
        <v>9083</v>
      </c>
      <c r="AH234" s="310" t="s">
        <v>998</v>
      </c>
      <c r="AI234" s="381" t="s">
        <v>183</v>
      </c>
      <c r="AJ234" s="6" t="s">
        <v>218</v>
      </c>
      <c r="AK234" s="6" t="str">
        <f t="shared" si="118"/>
        <v>IGUAL</v>
      </c>
      <c r="AL234" s="151" t="str">
        <f>IFERROR(IF(LEFT(A234,3)="LCP",VLOOKUP(A234,STATUS_SAP_LCP!B:C,2,FALSE),VLOOKUP(A234,STATUS_SAP_ICP!B:C,2,FALSE)),"NO BUDGET")</f>
        <v>CLSD BUDG AUC  AVAC  //  APPR BREL EXPL</v>
      </c>
      <c r="AM234" s="6" t="str">
        <f t="shared" si="116"/>
        <v>CLSD</v>
      </c>
      <c r="AN234" s="414" t="s">
        <v>9085</v>
      </c>
      <c r="AO234" s="558">
        <v>1</v>
      </c>
      <c r="AP234" s="499" t="s">
        <v>9607</v>
      </c>
      <c r="AQ234" s="465">
        <v>44708</v>
      </c>
      <c r="AR234" s="460"/>
      <c r="AS234" s="57"/>
      <c r="AT234" s="185"/>
      <c r="AU234" s="318">
        <v>238.61283</v>
      </c>
      <c r="AV234" s="223">
        <v>0</v>
      </c>
      <c r="AW234" s="318">
        <v>0</v>
      </c>
      <c r="AX234" s="223">
        <v>0</v>
      </c>
      <c r="AY234" s="318">
        <f t="shared" si="145"/>
        <v>0</v>
      </c>
      <c r="AZ234" s="223"/>
      <c r="BA234" s="318"/>
      <c r="BB234" s="519">
        <f t="shared" si="146"/>
        <v>0</v>
      </c>
      <c r="BC234" s="518"/>
      <c r="BD234" s="518"/>
      <c r="BE234" s="518"/>
      <c r="BF234" s="518"/>
      <c r="BG234" s="518"/>
      <c r="BH234" s="518"/>
      <c r="BI234" s="518"/>
      <c r="BJ234" s="518"/>
      <c r="BK234" s="518"/>
      <c r="BL234" s="518"/>
      <c r="BM234" s="518"/>
      <c r="BN234" s="518"/>
      <c r="BO234" s="367">
        <f t="shared" si="119"/>
        <v>0</v>
      </c>
      <c r="BP234" s="421"/>
      <c r="BQ234" s="422"/>
      <c r="BR234" s="423">
        <f>IFERROR(IF(LEFT($A234,3)="Lcp",SUMIFS('BASE-LCP'!$K:$K,'BASE-LCP'!$A:$A,Capex!$A229,'BASE-LCP'!$B:$B,"janeiro")/1000,IF(LEFT($A234,3)="icp",SUMIFS('BASE-ICP'!$K:$K,'BASE-ICP'!$A:$A,Capex!$A229,'BASE-ICP'!$B:$B,"janeiro")/1000,"")),"")</f>
        <v>0</v>
      </c>
      <c r="BS234" s="427">
        <v>0</v>
      </c>
      <c r="BT234" s="372">
        <v>0</v>
      </c>
      <c r="BU234" s="422"/>
      <c r="BV234" s="423">
        <f>IFERROR(IF(LEFT($A234,3)="Lcp",SUMIFS('BASE-LCP'!$K:$K,'BASE-LCP'!$A:$A,Capex!$A229,'BASE-LCP'!$B:$B,"fevereiro")/1000,IF(LEFT($A234,3)="icp",SUMIFS('BASE-ICP'!$K:$K,'BASE-ICP'!$A:$A,Capex!$A229,'BASE-ICP'!$B:$B,"fevereiro")/1000,"")),"")</f>
        <v>0</v>
      </c>
      <c r="BW234" s="427">
        <v>0</v>
      </c>
      <c r="BX234" s="372">
        <v>0</v>
      </c>
      <c r="BY234" s="419"/>
      <c r="BZ234" s="423">
        <f>IFERROR(IF(LEFT($A234,3)="Lcp",SUMIFS('BASE-LCP'!$K:$K,'BASE-LCP'!$A:$A,Capex!$A229,'BASE-LCP'!$B:$B,"março")/1000,IF(LEFT($A234,3)="icp",SUMIFS('BASE-ICP'!$K:$K,'BASE-ICP'!$A:$A,Capex!$A229,'BASE-ICP'!$B:$B,"março")/1000,"")),"")</f>
        <v>0</v>
      </c>
      <c r="CA234" s="427">
        <v>0</v>
      </c>
      <c r="CB234" s="372">
        <v>0</v>
      </c>
      <c r="CC234" s="422"/>
      <c r="CD234" s="423">
        <f>IFERROR(IF(LEFT($A234,3)="Lcp",SUMIFS('BASE-LCP'!$K:$K,'BASE-LCP'!$A:$A,Capex!$A229,'BASE-LCP'!$B:$B,"abril")/1000,IF(LEFT($A234,3)="icp",SUMIFS('BASE-ICP'!$K:$K,'BASE-ICP'!$A:$A,Capex!$A229,'BASE-ICP'!$B:$B,"abril")/1000,"")),"")</f>
        <v>0</v>
      </c>
      <c r="CE234" s="427">
        <v>0</v>
      </c>
      <c r="CF234" s="372">
        <v>0</v>
      </c>
      <c r="CG234" s="419"/>
      <c r="CH234" s="423">
        <v>0</v>
      </c>
      <c r="CI234" s="427">
        <v>0</v>
      </c>
      <c r="CJ234" s="372">
        <v>0</v>
      </c>
      <c r="CK234" s="419"/>
      <c r="CL234" s="423">
        <f>IFERROR(IF(LEFT($A234,3)="Lcp",SUMIFS('BASE-LCP'!$K:$K,'BASE-LCP'!$A:$A,Capex!$A229,'BASE-LCP'!$B:$B,"junho")/1000,IF(LEFT($A234,3)="icp",SUMIFS('BASE-ICP'!$K:$K,'BASE-ICP'!$A:$A,Capex!$A229,'BASE-ICP'!$B:$B,"junho")/1000,"")),"")</f>
        <v>0</v>
      </c>
      <c r="CM234" s="427">
        <v>0</v>
      </c>
      <c r="CN234" s="372"/>
      <c r="CO234" s="419"/>
      <c r="CP234" s="423">
        <f>IFERROR(IF(LEFT($A234,3)="Lcp",SUMIFS('BASE-LCP'!$K:$K,'BASE-LCP'!$A:$A,Capex!$A229,'BASE-LCP'!$B:$B,"julho")/1000,IF(LEFT($A234,3)="icp",SUMIFS('BASE-ICP'!$K:$K,'BASE-ICP'!$A:$A,Capex!$A229,'BASE-ICP'!$B:$B,"julho")/1000,"")),"")</f>
        <v>0</v>
      </c>
      <c r="CQ234" s="427">
        <v>0</v>
      </c>
      <c r="CR234" s="372"/>
      <c r="CS234" s="419"/>
      <c r="CT234" s="423">
        <f>IFERROR(IF(LEFT($A234,3)="Lcp",SUMIFS('BASE-LCP'!$K:$K,'BASE-LCP'!$A:$A,Capex!$A229,'BASE-LCP'!$B:$B,"agosto")/1000,IF(LEFT($A234,3)="icp",SUMIFS('BASE-ICP'!$K:$K,'BASE-ICP'!$A:$A,Capex!$A229,'BASE-ICP'!$B:$B,"agosto")/1000,"")),"")</f>
        <v>0</v>
      </c>
      <c r="CU234" s="427">
        <v>0</v>
      </c>
      <c r="CV234" s="372"/>
      <c r="CW234" s="419"/>
      <c r="CX234" s="423">
        <f>IFERROR(IF(LEFT($A234,3)="Lcp",SUMIFS('BASE-LCP'!$K:$K,'BASE-LCP'!$A:$A,Capex!$A229,'BASE-LCP'!$B:$B,"setembro")/1000,IF(LEFT($A234,3)="icp",SUMIFS('BASE-ICP'!$K:$K,'BASE-ICP'!$A:$A,Capex!$A229,'BASE-ICP'!$B:$B,"setembro")/1000,"")),"")</f>
        <v>0</v>
      </c>
      <c r="CY234" s="427">
        <v>0</v>
      </c>
      <c r="CZ234" s="372"/>
      <c r="DA234" s="419"/>
      <c r="DB234" s="423">
        <f>IFERROR(IF(LEFT($A234,3)="Lcp",SUMIFS('BASE-LCP'!$K:$K,'BASE-LCP'!$A:$A,Capex!$A229,'BASE-LCP'!$B:$B,"outubro")/1000,IF(LEFT($A234,3)="icp",SUMIFS('BASE-ICP'!$K:$K,'BASE-ICP'!$A:$A,Capex!$A229,'BASE-ICP'!$B:$B,"outubro")/1000,"")),"")</f>
        <v>0</v>
      </c>
      <c r="DC234" s="427">
        <v>0</v>
      </c>
      <c r="DD234" s="372"/>
      <c r="DE234" s="419"/>
      <c r="DF234" s="423">
        <f>IFERROR(IF(LEFT($A234,3)="Lcp",SUMIFS('BASE-LCP'!$K:$K,'BASE-LCP'!$A:$A,Capex!$A229,'BASE-LCP'!$B:$B,"novembro")/1000,IF(LEFT($A234,3)="icp",SUMIFS('BASE-ICP'!$K:$K,'BASE-ICP'!$A:$A,Capex!$A229,'BASE-ICP'!$B:$B,"novembro")/1000,"")),"")</f>
        <v>0</v>
      </c>
      <c r="DG234" s="427">
        <v>0</v>
      </c>
      <c r="DH234" s="372"/>
      <c r="DI234" s="419"/>
      <c r="DJ234" s="423">
        <f>IFERROR(IF(LEFT($A234,3)="Lcp",SUMIFS('BASE-LCP'!$K:$K,'BASE-LCP'!$A:$A,Capex!$A229,'BASE-LCP'!$B:$B,"dezembro")/1000,IF(LEFT($A234,3)="icp",SUMIFS('BASE-ICP'!$K:$K,'BASE-ICP'!$A:$A,Capex!$A229,'BASE-ICP'!$B:$B,"dezembro")/1000,"")),"")</f>
        <v>0</v>
      </c>
      <c r="DK234" s="427">
        <v>0</v>
      </c>
      <c r="DL234" s="452">
        <f t="shared" si="120"/>
        <v>0</v>
      </c>
      <c r="DM234" s="374"/>
      <c r="DN234" s="374"/>
      <c r="DO234" s="374"/>
      <c r="DP234" s="374"/>
      <c r="DQ234" s="374"/>
      <c r="DR234" s="374"/>
      <c r="DS234" s="374"/>
      <c r="DT234" s="374"/>
      <c r="DU234" s="374"/>
      <c r="DV234" s="374"/>
      <c r="DW234" s="374"/>
      <c r="DX234" s="374"/>
      <c r="DY234" s="450"/>
      <c r="DZ234" s="374">
        <f t="shared" si="121"/>
        <v>0</v>
      </c>
      <c r="EA234" s="216">
        <f t="shared" si="122"/>
        <v>0</v>
      </c>
      <c r="EB234" s="320">
        <f t="shared" si="123"/>
        <v>0</v>
      </c>
      <c r="EC234" s="241">
        <f t="shared" si="124"/>
        <v>0</v>
      </c>
      <c r="ED234" s="241">
        <f t="shared" si="125"/>
        <v>0</v>
      </c>
      <c r="EE234" s="241">
        <f t="shared" si="126"/>
        <v>0</v>
      </c>
      <c r="EF234" s="241">
        <f t="shared" si="127"/>
        <v>0</v>
      </c>
      <c r="EG234" s="346">
        <f t="shared" si="128"/>
        <v>0</v>
      </c>
      <c r="EH234" s="445">
        <f t="shared" si="129"/>
        <v>0</v>
      </c>
      <c r="EI234" s="447">
        <f t="shared" si="130"/>
        <v>0</v>
      </c>
      <c r="EJ234" s="364">
        <f t="shared" si="131"/>
        <v>0</v>
      </c>
      <c r="EK234" s="365">
        <f t="shared" si="132"/>
        <v>0</v>
      </c>
      <c r="EL234" s="529">
        <f t="shared" si="133"/>
        <v>0</v>
      </c>
      <c r="EM234" s="530">
        <v>0</v>
      </c>
      <c r="EN234" s="530">
        <v>0</v>
      </c>
      <c r="EO234" s="530">
        <v>0</v>
      </c>
      <c r="EP234" s="530">
        <v>0</v>
      </c>
      <c r="EQ234" s="530">
        <v>0</v>
      </c>
      <c r="ER234" s="530">
        <v>0</v>
      </c>
      <c r="ES234" s="530">
        <v>0</v>
      </c>
      <c r="ET234" s="530">
        <v>0</v>
      </c>
      <c r="EU234" s="530">
        <v>0</v>
      </c>
      <c r="EV234" s="530">
        <v>0</v>
      </c>
      <c r="EW234" s="530">
        <v>0</v>
      </c>
      <c r="EX234" s="530">
        <v>0</v>
      </c>
      <c r="EY234" s="530">
        <f t="shared" si="134"/>
        <v>0</v>
      </c>
      <c r="EZ234" s="530">
        <f t="shared" si="135"/>
        <v>0</v>
      </c>
      <c r="FA234" s="530">
        <f t="shared" si="136"/>
        <v>0</v>
      </c>
      <c r="FB234" s="530">
        <f t="shared" si="137"/>
        <v>0</v>
      </c>
      <c r="FC234" s="384">
        <f>IFERROR(VLOOKUP(Capex!A229,BASE_558!D:R,8,FALSE)/1000,"")</f>
        <v>70.599999999999994</v>
      </c>
      <c r="FD234" s="328">
        <f>IFERROR(VLOOKUP(Capex!A229,BASE_558!D:R,9,)/1000,"")</f>
        <v>60.487110000000001</v>
      </c>
      <c r="FE234" s="328">
        <f>IFERROR(IF(LEFT(A234,3)="LCP",(VLOOKUP(Capex!A229,BASE_558!D:R,10,)/1000),SUMIFS('BASE ICP_PO_SC'!F:F,'BASE ICP_PO_SC'!A:A,Capex!A229,'BASE ICP_PO_SC'!E:E,"&lt;&gt;")/1000),"")</f>
        <v>0</v>
      </c>
      <c r="FF234" s="328">
        <f>IFERROR(IF(LEFT(A234,3)="LCP",(VLOOKUP(Capex!A229,BASE_558!D:R,11,)/1000),SUMIFS('BASE ICP_PO_SC'!F:F,'BASE ICP_PO_SC'!A:A,Capex!A229,'BASE ICP_PO_SC'!E:E,"")/1000),"")</f>
        <v>0</v>
      </c>
      <c r="FG234" s="328">
        <f>IFERROR(VLOOKUP(A234,BASE_558!D:R,13,FALSE)/1000,"")</f>
        <v>238.61282999999997</v>
      </c>
      <c r="FH234" s="328">
        <f>IFERROR(VLOOKUP(A234,BASE_558!D:R,15,FALSE)/1000,"")</f>
        <v>15.721170000000001</v>
      </c>
      <c r="FI234" s="547">
        <f t="shared" si="138"/>
        <v>0</v>
      </c>
      <c r="FJ234" s="547">
        <f t="shared" si="139"/>
        <v>0</v>
      </c>
      <c r="FK234" s="540">
        <f t="shared" si="140"/>
        <v>0</v>
      </c>
    </row>
    <row r="235" spans="1:167" s="23" customFormat="1" ht="24" customHeight="1">
      <c r="A235" s="84" t="s">
        <v>996</v>
      </c>
      <c r="B235" s="404"/>
      <c r="C235" s="404">
        <v>9504</v>
      </c>
      <c r="D235" s="338" t="s">
        <v>2272</v>
      </c>
      <c r="E235" s="378">
        <v>4226107</v>
      </c>
      <c r="F235" s="310"/>
      <c r="G235" s="310" t="s">
        <v>9</v>
      </c>
      <c r="H235" s="356" t="s">
        <v>6</v>
      </c>
      <c r="I235" s="356"/>
      <c r="J235" s="356">
        <v>2021</v>
      </c>
      <c r="K235" s="352">
        <v>44369</v>
      </c>
      <c r="L235" s="317">
        <v>45580</v>
      </c>
      <c r="M235" s="409"/>
      <c r="N235" s="317">
        <f t="shared" si="143"/>
        <v>45281</v>
      </c>
      <c r="O235" s="317">
        <f t="shared" si="144"/>
        <v>45646</v>
      </c>
      <c r="P235" s="418" t="str">
        <f t="shared" ref="P235:AA244" si="148">IF($N235="","N/A",IF($O235="","N/A",IF(P$2&lt;=$N235,"NÃO",IF($AJ235="REL ","SIM",IF(P$2&lt;$O235,"NÃO",IF($AJ235&lt;&gt;"CLSD","SIM","CRTD"))))))</f>
        <v>CRTD</v>
      </c>
      <c r="Q235" s="418" t="str">
        <f t="shared" si="148"/>
        <v>CRTD</v>
      </c>
      <c r="R235" s="418" t="str">
        <f t="shared" si="148"/>
        <v>CRTD</v>
      </c>
      <c r="S235" s="418" t="str">
        <f t="shared" si="148"/>
        <v>CRTD</v>
      </c>
      <c r="T235" s="418" t="str">
        <f t="shared" si="148"/>
        <v>CRTD</v>
      </c>
      <c r="U235" s="418" t="str">
        <f t="shared" si="148"/>
        <v>CRTD</v>
      </c>
      <c r="V235" s="418" t="str">
        <f t="shared" si="148"/>
        <v>CRTD</v>
      </c>
      <c r="W235" s="418" t="str">
        <f t="shared" si="148"/>
        <v>CRTD</v>
      </c>
      <c r="X235" s="418" t="str">
        <f t="shared" si="148"/>
        <v>CRTD</v>
      </c>
      <c r="Y235" s="418" t="str">
        <f t="shared" si="148"/>
        <v>CRTD</v>
      </c>
      <c r="Z235" s="418" t="str">
        <f t="shared" si="148"/>
        <v>CRTD</v>
      </c>
      <c r="AA235" s="418" t="str">
        <f t="shared" si="148"/>
        <v>CRTD</v>
      </c>
      <c r="AB235" s="350"/>
      <c r="AC235" s="309" t="s">
        <v>3932</v>
      </c>
      <c r="AD235" s="311" t="s">
        <v>5</v>
      </c>
      <c r="AE235" s="381" t="s">
        <v>951</v>
      </c>
      <c r="AF235" s="310" t="s">
        <v>6985</v>
      </c>
      <c r="AG235" s="310" t="s">
        <v>704</v>
      </c>
      <c r="AH235" s="310" t="s">
        <v>993</v>
      </c>
      <c r="AI235" s="381" t="s">
        <v>2255</v>
      </c>
      <c r="AJ235" s="6" t="s">
        <v>218</v>
      </c>
      <c r="AK235" s="6" t="str">
        <f t="shared" si="118"/>
        <v>IGUAL</v>
      </c>
      <c r="AL235" s="151" t="str">
        <f>IFERROR(IF(LEFT(A235,3)="LCP",VLOOKUP(A235,STATUS_SAP_LCP!B:C,2,FALSE),VLOOKUP(A235,STATUS_SAP_ICP!B:C,2,FALSE)),"NO BUDGET")</f>
        <v>CLSD BUDG AUC  AVAC  //  APPR BNRL EXPL</v>
      </c>
      <c r="AM235" s="6" t="str">
        <f t="shared" si="116"/>
        <v>CLSD</v>
      </c>
      <c r="AN235" s="282" t="s">
        <v>2651</v>
      </c>
      <c r="AO235" s="493">
        <v>1</v>
      </c>
      <c r="AP235" s="499" t="s">
        <v>9607</v>
      </c>
      <c r="AQ235" s="465">
        <v>45580</v>
      </c>
      <c r="AR235" s="460"/>
      <c r="AS235" s="57"/>
      <c r="AT235" s="185"/>
      <c r="AU235" s="318">
        <v>30.946739999999998</v>
      </c>
      <c r="AV235" s="223">
        <v>141.01892000000001</v>
      </c>
      <c r="AW235" s="318">
        <v>19.830950000000001</v>
      </c>
      <c r="AX235" s="223">
        <v>0</v>
      </c>
      <c r="AY235" s="318">
        <f t="shared" si="145"/>
        <v>0</v>
      </c>
      <c r="AZ235" s="223"/>
      <c r="BA235" s="318"/>
      <c r="BB235" s="519">
        <f t="shared" si="146"/>
        <v>0</v>
      </c>
      <c r="BC235" s="518">
        <v>0</v>
      </c>
      <c r="BD235" s="518">
        <v>0</v>
      </c>
      <c r="BE235" s="518">
        <v>0</v>
      </c>
      <c r="BF235" s="518">
        <v>0</v>
      </c>
      <c r="BG235" s="518">
        <v>0</v>
      </c>
      <c r="BH235" s="518">
        <v>0</v>
      </c>
      <c r="BI235" s="518">
        <v>0</v>
      </c>
      <c r="BJ235" s="518">
        <v>0</v>
      </c>
      <c r="BK235" s="518">
        <v>0</v>
      </c>
      <c r="BL235" s="518">
        <v>0</v>
      </c>
      <c r="BM235" s="518">
        <v>0</v>
      </c>
      <c r="BN235" s="518">
        <v>0</v>
      </c>
      <c r="BO235" s="367">
        <f t="shared" si="119"/>
        <v>0</v>
      </c>
      <c r="BP235" s="421">
        <v>0</v>
      </c>
      <c r="BQ235" s="422"/>
      <c r="BR235" s="423">
        <f>IFERROR(IF(LEFT($A235,3)="Lcp",SUMIFS('BASE-LCP'!$K:$K,'BASE-LCP'!$A:$A,Capex!$A230,'BASE-LCP'!$B:$B,"janeiro")/1000,IF(LEFT($A235,3)="icp",SUMIFS('BASE-ICP'!$K:$K,'BASE-ICP'!$A:$A,Capex!$A230,'BASE-ICP'!$B:$B,"janeiro")/1000,"")),"")</f>
        <v>0</v>
      </c>
      <c r="BS235" s="427">
        <v>0</v>
      </c>
      <c r="BT235" s="372">
        <v>0</v>
      </c>
      <c r="BU235" s="422"/>
      <c r="BV235" s="423">
        <f>IFERROR(IF(LEFT($A235,3)="Lcp",SUMIFS('BASE-LCP'!$K:$K,'BASE-LCP'!$A:$A,Capex!$A230,'BASE-LCP'!$B:$B,"fevereiro")/1000,IF(LEFT($A235,3)="icp",SUMIFS('BASE-ICP'!$K:$K,'BASE-ICP'!$A:$A,Capex!$A230,'BASE-ICP'!$B:$B,"fevereiro")/1000,"")),"")</f>
        <v>0</v>
      </c>
      <c r="BW235" s="427">
        <v>0</v>
      </c>
      <c r="BX235" s="372">
        <v>0</v>
      </c>
      <c r="BY235" s="419"/>
      <c r="BZ235" s="423">
        <f>IFERROR(IF(LEFT($A235,3)="Lcp",SUMIFS('BASE-LCP'!$K:$K,'BASE-LCP'!$A:$A,Capex!$A230,'BASE-LCP'!$B:$B,"março")/1000,IF(LEFT($A235,3)="icp",SUMIFS('BASE-ICP'!$K:$K,'BASE-ICP'!$A:$A,Capex!$A230,'BASE-ICP'!$B:$B,"março")/1000,"")),"")</f>
        <v>0</v>
      </c>
      <c r="CA235" s="427">
        <v>0</v>
      </c>
      <c r="CB235" s="372">
        <v>0</v>
      </c>
      <c r="CC235" s="422"/>
      <c r="CD235" s="423">
        <f>IFERROR(IF(LEFT($A235,3)="Lcp",SUMIFS('BASE-LCP'!$K:$K,'BASE-LCP'!$A:$A,Capex!$A230,'BASE-LCP'!$B:$B,"abril")/1000,IF(LEFT($A235,3)="icp",SUMIFS('BASE-ICP'!$K:$K,'BASE-ICP'!$A:$A,Capex!$A230,'BASE-ICP'!$B:$B,"abril")/1000,"")),"")</f>
        <v>0</v>
      </c>
      <c r="CE235" s="427">
        <v>0</v>
      </c>
      <c r="CF235" s="372">
        <v>0</v>
      </c>
      <c r="CG235" s="419"/>
      <c r="CH235" s="423">
        <v>0</v>
      </c>
      <c r="CI235" s="427">
        <v>0</v>
      </c>
      <c r="CJ235" s="372">
        <v>0</v>
      </c>
      <c r="CK235" s="419"/>
      <c r="CL235" s="423">
        <f>IFERROR(IF(LEFT($A235,3)="Lcp",SUMIFS('BASE-LCP'!$K:$K,'BASE-LCP'!$A:$A,Capex!$A230,'BASE-LCP'!$B:$B,"junho")/1000,IF(LEFT($A235,3)="icp",SUMIFS('BASE-ICP'!$K:$K,'BASE-ICP'!$A:$A,Capex!$A230,'BASE-ICP'!$B:$B,"junho")/1000,"")),"")</f>
        <v>0</v>
      </c>
      <c r="CM235" s="427">
        <v>0</v>
      </c>
      <c r="CN235" s="372"/>
      <c r="CO235" s="419"/>
      <c r="CP235" s="423">
        <f>IFERROR(IF(LEFT($A235,3)="Lcp",SUMIFS('BASE-LCP'!$K:$K,'BASE-LCP'!$A:$A,Capex!$A230,'BASE-LCP'!$B:$B,"julho")/1000,IF(LEFT($A235,3)="icp",SUMIFS('BASE-ICP'!$K:$K,'BASE-ICP'!$A:$A,Capex!$A230,'BASE-ICP'!$B:$B,"julho")/1000,"")),"")</f>
        <v>0</v>
      </c>
      <c r="CQ235" s="427">
        <v>0</v>
      </c>
      <c r="CR235" s="372"/>
      <c r="CS235" s="419"/>
      <c r="CT235" s="423">
        <f>IFERROR(IF(LEFT($A235,3)="Lcp",SUMIFS('BASE-LCP'!$K:$K,'BASE-LCP'!$A:$A,Capex!$A230,'BASE-LCP'!$B:$B,"agosto")/1000,IF(LEFT($A235,3)="icp",SUMIFS('BASE-ICP'!$K:$K,'BASE-ICP'!$A:$A,Capex!$A230,'BASE-ICP'!$B:$B,"agosto")/1000,"")),"")</f>
        <v>0</v>
      </c>
      <c r="CU235" s="427">
        <v>0</v>
      </c>
      <c r="CV235" s="372"/>
      <c r="CW235" s="419"/>
      <c r="CX235" s="423">
        <f>IFERROR(IF(LEFT($A235,3)="Lcp",SUMIFS('BASE-LCP'!$K:$K,'BASE-LCP'!$A:$A,Capex!$A230,'BASE-LCP'!$B:$B,"setembro")/1000,IF(LEFT($A235,3)="icp",SUMIFS('BASE-ICP'!$K:$K,'BASE-ICP'!$A:$A,Capex!$A230,'BASE-ICP'!$B:$B,"setembro")/1000,"")),"")</f>
        <v>0</v>
      </c>
      <c r="CY235" s="427">
        <v>0</v>
      </c>
      <c r="CZ235" s="372"/>
      <c r="DA235" s="419"/>
      <c r="DB235" s="423">
        <f>IFERROR(IF(LEFT($A235,3)="Lcp",SUMIFS('BASE-LCP'!$K:$K,'BASE-LCP'!$A:$A,Capex!$A230,'BASE-LCP'!$B:$B,"outubro")/1000,IF(LEFT($A235,3)="icp",SUMIFS('BASE-ICP'!$K:$K,'BASE-ICP'!$A:$A,Capex!$A230,'BASE-ICP'!$B:$B,"outubro")/1000,"")),"")</f>
        <v>0</v>
      </c>
      <c r="DC235" s="427">
        <v>0</v>
      </c>
      <c r="DD235" s="372"/>
      <c r="DE235" s="419"/>
      <c r="DF235" s="423">
        <f>IFERROR(IF(LEFT($A235,3)="Lcp",SUMIFS('BASE-LCP'!$K:$K,'BASE-LCP'!$A:$A,Capex!$A230,'BASE-LCP'!$B:$B,"novembro")/1000,IF(LEFT($A235,3)="icp",SUMIFS('BASE-ICP'!$K:$K,'BASE-ICP'!$A:$A,Capex!$A230,'BASE-ICP'!$B:$B,"novembro")/1000,"")),"")</f>
        <v>0</v>
      </c>
      <c r="DG235" s="427">
        <v>0</v>
      </c>
      <c r="DH235" s="372"/>
      <c r="DI235" s="419"/>
      <c r="DJ235" s="423">
        <f>IFERROR(IF(LEFT($A235,3)="Lcp",SUMIFS('BASE-LCP'!$K:$K,'BASE-LCP'!$A:$A,Capex!$A230,'BASE-LCP'!$B:$B,"dezembro")/1000,IF(LEFT($A235,3)="icp",SUMIFS('BASE-ICP'!$K:$K,'BASE-ICP'!$A:$A,Capex!$A230,'BASE-ICP'!$B:$B,"dezembro")/1000,"")),"")</f>
        <v>0</v>
      </c>
      <c r="DK235" s="427">
        <v>0</v>
      </c>
      <c r="DL235" s="452">
        <f t="shared" si="120"/>
        <v>0</v>
      </c>
      <c r="DM235" s="374"/>
      <c r="DN235" s="374">
        <v>0</v>
      </c>
      <c r="DO235" s="374"/>
      <c r="DP235" s="374"/>
      <c r="DQ235" s="374"/>
      <c r="DR235" s="374"/>
      <c r="DS235" s="374"/>
      <c r="DT235" s="374"/>
      <c r="DU235" s="374"/>
      <c r="DV235" s="374"/>
      <c r="DW235" s="374"/>
      <c r="DX235" s="374"/>
      <c r="DY235" s="450"/>
      <c r="DZ235" s="374">
        <f t="shared" si="121"/>
        <v>0</v>
      </c>
      <c r="EA235" s="216">
        <f t="shared" si="122"/>
        <v>0</v>
      </c>
      <c r="EB235" s="320">
        <f t="shared" si="123"/>
        <v>0</v>
      </c>
      <c r="EC235" s="241">
        <f t="shared" si="124"/>
        <v>0</v>
      </c>
      <c r="ED235" s="241">
        <f t="shared" si="125"/>
        <v>0</v>
      </c>
      <c r="EE235" s="241">
        <f t="shared" si="126"/>
        <v>0</v>
      </c>
      <c r="EF235" s="241">
        <f t="shared" si="127"/>
        <v>0</v>
      </c>
      <c r="EG235" s="346">
        <f t="shared" si="128"/>
        <v>0</v>
      </c>
      <c r="EH235" s="445">
        <f t="shared" si="129"/>
        <v>0</v>
      </c>
      <c r="EI235" s="447">
        <f t="shared" si="130"/>
        <v>0</v>
      </c>
      <c r="EJ235" s="364">
        <f t="shared" si="131"/>
        <v>0</v>
      </c>
      <c r="EK235" s="365">
        <f t="shared" si="132"/>
        <v>0</v>
      </c>
      <c r="EL235" s="529">
        <f t="shared" si="133"/>
        <v>0</v>
      </c>
      <c r="EM235" s="530">
        <v>0</v>
      </c>
      <c r="EN235" s="530">
        <v>0</v>
      </c>
      <c r="EO235" s="530">
        <v>0</v>
      </c>
      <c r="EP235" s="530">
        <v>0</v>
      </c>
      <c r="EQ235" s="530">
        <v>0</v>
      </c>
      <c r="ER235" s="530">
        <v>0</v>
      </c>
      <c r="ES235" s="530">
        <v>0</v>
      </c>
      <c r="ET235" s="530">
        <v>0</v>
      </c>
      <c r="EU235" s="530">
        <v>0</v>
      </c>
      <c r="EV235" s="530">
        <v>0</v>
      </c>
      <c r="EW235" s="530">
        <v>0</v>
      </c>
      <c r="EX235" s="530">
        <v>0</v>
      </c>
      <c r="EY235" s="530">
        <f t="shared" si="134"/>
        <v>0</v>
      </c>
      <c r="EZ235" s="530">
        <f t="shared" si="135"/>
        <v>0</v>
      </c>
      <c r="FA235" s="530">
        <f t="shared" si="136"/>
        <v>0</v>
      </c>
      <c r="FB235" s="530">
        <f t="shared" si="137"/>
        <v>0</v>
      </c>
      <c r="FC235" s="384">
        <f>IFERROR(VLOOKUP(Capex!A230,BASE_558!D:R,8,FALSE)/1000,"")</f>
        <v>345.92682000000002</v>
      </c>
      <c r="FD235" s="328">
        <f>IFERROR(VLOOKUP(Capex!A230,BASE_558!D:R,9,)/1000,"")</f>
        <v>327.54237000000001</v>
      </c>
      <c r="FE235" s="328">
        <f>IFERROR(IF(LEFT(A235,3)="LCP",(VLOOKUP(Capex!A230,BASE_558!D:R,10,)/1000),SUMIFS('BASE ICP_PO_SC'!F:F,'BASE ICP_PO_SC'!A:A,Capex!A230,'BASE ICP_PO_SC'!E:E,"&lt;&gt;")/1000),"")</f>
        <v>0</v>
      </c>
      <c r="FF235" s="328">
        <f>IFERROR(IF(LEFT(A235,3)="LCP",(VLOOKUP(Capex!A230,BASE_558!D:R,11,)/1000),SUMIFS('BASE ICP_PO_SC'!F:F,'BASE ICP_PO_SC'!A:A,Capex!A230,'BASE ICP_PO_SC'!E:E,"")/1000),"")</f>
        <v>0</v>
      </c>
      <c r="FG235" s="328">
        <f>IFERROR(VLOOKUP(A235,BASE_558!D:R,13,FALSE)/1000,"")</f>
        <v>191.79660999999999</v>
      </c>
      <c r="FH235" s="328">
        <f>IFERROR(VLOOKUP(A235,BASE_558!D:R,15,FALSE)/1000,"")</f>
        <v>3.7883899999999997</v>
      </c>
      <c r="FI235" s="547">
        <f t="shared" si="138"/>
        <v>0</v>
      </c>
      <c r="FJ235" s="547">
        <f t="shared" si="139"/>
        <v>0</v>
      </c>
      <c r="FK235" s="540">
        <f t="shared" si="140"/>
        <v>0</v>
      </c>
    </row>
    <row r="236" spans="1:167" s="23" customFormat="1" ht="24" customHeight="1">
      <c r="A236" s="84" t="s">
        <v>997</v>
      </c>
      <c r="B236" s="404"/>
      <c r="C236" s="404">
        <v>9445</v>
      </c>
      <c r="D236" s="338" t="s">
        <v>2273</v>
      </c>
      <c r="E236" s="378">
        <v>4270167</v>
      </c>
      <c r="F236" s="310"/>
      <c r="G236" s="310" t="s">
        <v>9</v>
      </c>
      <c r="H236" s="338" t="s">
        <v>6</v>
      </c>
      <c r="I236" s="356"/>
      <c r="J236" s="356">
        <v>2021</v>
      </c>
      <c r="K236" s="352">
        <v>44376</v>
      </c>
      <c r="L236" s="317">
        <v>45580</v>
      </c>
      <c r="M236" s="409"/>
      <c r="N236" s="317">
        <f t="shared" si="143"/>
        <v>45288</v>
      </c>
      <c r="O236" s="317">
        <f t="shared" si="144"/>
        <v>45653</v>
      </c>
      <c r="P236" s="418" t="str">
        <f t="shared" si="148"/>
        <v>CRTD</v>
      </c>
      <c r="Q236" s="418" t="str">
        <f t="shared" si="148"/>
        <v>CRTD</v>
      </c>
      <c r="R236" s="418" t="str">
        <f t="shared" si="148"/>
        <v>CRTD</v>
      </c>
      <c r="S236" s="418" t="str">
        <f t="shared" si="148"/>
        <v>CRTD</v>
      </c>
      <c r="T236" s="418" t="str">
        <f t="shared" si="148"/>
        <v>CRTD</v>
      </c>
      <c r="U236" s="418" t="str">
        <f t="shared" si="148"/>
        <v>CRTD</v>
      </c>
      <c r="V236" s="418" t="str">
        <f t="shared" si="148"/>
        <v>CRTD</v>
      </c>
      <c r="W236" s="418" t="str">
        <f t="shared" si="148"/>
        <v>CRTD</v>
      </c>
      <c r="X236" s="418" t="str">
        <f t="shared" si="148"/>
        <v>CRTD</v>
      </c>
      <c r="Y236" s="418" t="str">
        <f t="shared" si="148"/>
        <v>CRTD</v>
      </c>
      <c r="Z236" s="418" t="str">
        <f t="shared" si="148"/>
        <v>CRTD</v>
      </c>
      <c r="AA236" s="418" t="str">
        <f t="shared" si="148"/>
        <v>CRTD</v>
      </c>
      <c r="AB236" s="350"/>
      <c r="AC236" s="309" t="s">
        <v>3932</v>
      </c>
      <c r="AD236" s="311" t="s">
        <v>5</v>
      </c>
      <c r="AE236" s="381" t="s">
        <v>951</v>
      </c>
      <c r="AF236" s="310" t="s">
        <v>6985</v>
      </c>
      <c r="AG236" s="310" t="s">
        <v>704</v>
      </c>
      <c r="AH236" s="310" t="s">
        <v>992</v>
      </c>
      <c r="AI236" s="309" t="s">
        <v>2255</v>
      </c>
      <c r="AJ236" s="6" t="s">
        <v>218</v>
      </c>
      <c r="AK236" s="6" t="str">
        <f t="shared" si="118"/>
        <v>IGUAL</v>
      </c>
      <c r="AL236" s="151" t="str">
        <f>IFERROR(IF(LEFT(A236,3)="LCP",VLOOKUP(A236,STATUS_SAP_LCP!B:C,2,FALSE),VLOOKUP(A236,STATUS_SAP_ICP!B:C,2,FALSE)),"NO BUDGET")</f>
        <v>CLSD BUDG AUC  AVAC  //  APPR BREL EXPL</v>
      </c>
      <c r="AM236" s="6" t="str">
        <f t="shared" si="116"/>
        <v>CLSD</v>
      </c>
      <c r="AN236" s="282" t="s">
        <v>2651</v>
      </c>
      <c r="AO236" s="493">
        <v>1</v>
      </c>
      <c r="AP236" s="499" t="s">
        <v>9607</v>
      </c>
      <c r="AQ236" s="465">
        <v>45580</v>
      </c>
      <c r="AR236" s="460"/>
      <c r="AS236" s="57"/>
      <c r="AT236" s="185"/>
      <c r="AU236" s="318">
        <v>30.946739999999998</v>
      </c>
      <c r="AV236" s="223">
        <v>141.10813999999999</v>
      </c>
      <c r="AW236" s="318">
        <v>19.646750000000001</v>
      </c>
      <c r="AX236" s="223">
        <v>0</v>
      </c>
      <c r="AY236" s="318">
        <f t="shared" si="145"/>
        <v>0</v>
      </c>
      <c r="AZ236" s="223"/>
      <c r="BA236" s="318"/>
      <c r="BB236" s="519">
        <f t="shared" si="146"/>
        <v>0</v>
      </c>
      <c r="BC236" s="518">
        <v>0</v>
      </c>
      <c r="BD236" s="518">
        <v>0</v>
      </c>
      <c r="BE236" s="518">
        <v>0</v>
      </c>
      <c r="BF236" s="518">
        <v>0</v>
      </c>
      <c r="BG236" s="518">
        <v>0</v>
      </c>
      <c r="BH236" s="518">
        <v>0</v>
      </c>
      <c r="BI236" s="518">
        <v>0</v>
      </c>
      <c r="BJ236" s="518">
        <v>0</v>
      </c>
      <c r="BK236" s="518">
        <v>0</v>
      </c>
      <c r="BL236" s="518">
        <v>0</v>
      </c>
      <c r="BM236" s="518">
        <v>0</v>
      </c>
      <c r="BN236" s="518">
        <v>0</v>
      </c>
      <c r="BO236" s="367">
        <f t="shared" si="119"/>
        <v>0</v>
      </c>
      <c r="BP236" s="421">
        <v>0</v>
      </c>
      <c r="BQ236" s="422"/>
      <c r="BR236" s="423">
        <f>IFERROR(IF(LEFT($A236,3)="Lcp",SUMIFS('BASE-LCP'!$K:$K,'BASE-LCP'!$A:$A,Capex!$A231,'BASE-LCP'!$B:$B,"janeiro")/1000,IF(LEFT($A236,3)="icp",SUMIFS('BASE-ICP'!$K:$K,'BASE-ICP'!$A:$A,Capex!$A231,'BASE-ICP'!$B:$B,"janeiro")/1000,"")),"")</f>
        <v>0</v>
      </c>
      <c r="BS236" s="427">
        <v>0</v>
      </c>
      <c r="BT236" s="372">
        <v>0</v>
      </c>
      <c r="BU236" s="422"/>
      <c r="BV236" s="423">
        <f>IFERROR(IF(LEFT($A236,3)="Lcp",SUMIFS('BASE-LCP'!$K:$K,'BASE-LCP'!$A:$A,Capex!$A231,'BASE-LCP'!$B:$B,"fevereiro")/1000,IF(LEFT($A236,3)="icp",SUMIFS('BASE-ICP'!$K:$K,'BASE-ICP'!$A:$A,Capex!$A231,'BASE-ICP'!$B:$B,"fevereiro")/1000,"")),"")</f>
        <v>0</v>
      </c>
      <c r="BW236" s="427">
        <v>0</v>
      </c>
      <c r="BX236" s="372">
        <v>0</v>
      </c>
      <c r="BY236" s="419"/>
      <c r="BZ236" s="423">
        <f>IFERROR(IF(LEFT($A236,3)="Lcp",SUMIFS('BASE-LCP'!$K:$K,'BASE-LCP'!$A:$A,Capex!$A231,'BASE-LCP'!$B:$B,"março")/1000,IF(LEFT($A236,3)="icp",SUMIFS('BASE-ICP'!$K:$K,'BASE-ICP'!$A:$A,Capex!$A231,'BASE-ICP'!$B:$B,"março")/1000,"")),"")</f>
        <v>0</v>
      </c>
      <c r="CA236" s="427">
        <v>0</v>
      </c>
      <c r="CB236" s="372">
        <v>0</v>
      </c>
      <c r="CC236" s="422"/>
      <c r="CD236" s="423">
        <f>IFERROR(IF(LEFT($A236,3)="Lcp",SUMIFS('BASE-LCP'!$K:$K,'BASE-LCP'!$A:$A,Capex!$A231,'BASE-LCP'!$B:$B,"abril")/1000,IF(LEFT($A236,3)="icp",SUMIFS('BASE-ICP'!$K:$K,'BASE-ICP'!$A:$A,Capex!$A231,'BASE-ICP'!$B:$B,"abril")/1000,"")),"")</f>
        <v>0</v>
      </c>
      <c r="CE236" s="427">
        <v>0</v>
      </c>
      <c r="CF236" s="372">
        <v>0</v>
      </c>
      <c r="CG236" s="419"/>
      <c r="CH236" s="423">
        <v>0</v>
      </c>
      <c r="CI236" s="427">
        <v>0</v>
      </c>
      <c r="CJ236" s="372">
        <v>0</v>
      </c>
      <c r="CK236" s="419"/>
      <c r="CL236" s="423">
        <f>IFERROR(IF(LEFT($A236,3)="Lcp",SUMIFS('BASE-LCP'!$K:$K,'BASE-LCP'!$A:$A,Capex!$A231,'BASE-LCP'!$B:$B,"junho")/1000,IF(LEFT($A236,3)="icp",SUMIFS('BASE-ICP'!$K:$K,'BASE-ICP'!$A:$A,Capex!$A231,'BASE-ICP'!$B:$B,"junho")/1000,"")),"")</f>
        <v>0</v>
      </c>
      <c r="CM236" s="427">
        <v>0</v>
      </c>
      <c r="CN236" s="372"/>
      <c r="CO236" s="419"/>
      <c r="CP236" s="423">
        <f>IFERROR(IF(LEFT($A236,3)="Lcp",SUMIFS('BASE-LCP'!$K:$K,'BASE-LCP'!$A:$A,Capex!$A231,'BASE-LCP'!$B:$B,"julho")/1000,IF(LEFT($A236,3)="icp",SUMIFS('BASE-ICP'!$K:$K,'BASE-ICP'!$A:$A,Capex!$A231,'BASE-ICP'!$B:$B,"julho")/1000,"")),"")</f>
        <v>0</v>
      </c>
      <c r="CQ236" s="427">
        <v>0</v>
      </c>
      <c r="CR236" s="372"/>
      <c r="CS236" s="419"/>
      <c r="CT236" s="423">
        <f>IFERROR(IF(LEFT($A236,3)="Lcp",SUMIFS('BASE-LCP'!$K:$K,'BASE-LCP'!$A:$A,Capex!$A231,'BASE-LCP'!$B:$B,"agosto")/1000,IF(LEFT($A236,3)="icp",SUMIFS('BASE-ICP'!$K:$K,'BASE-ICP'!$A:$A,Capex!$A231,'BASE-ICP'!$B:$B,"agosto")/1000,"")),"")</f>
        <v>0</v>
      </c>
      <c r="CU236" s="427">
        <v>0</v>
      </c>
      <c r="CV236" s="372"/>
      <c r="CW236" s="419"/>
      <c r="CX236" s="423">
        <f>IFERROR(IF(LEFT($A236,3)="Lcp",SUMIFS('BASE-LCP'!$K:$K,'BASE-LCP'!$A:$A,Capex!$A231,'BASE-LCP'!$B:$B,"setembro")/1000,IF(LEFT($A236,3)="icp",SUMIFS('BASE-ICP'!$K:$K,'BASE-ICP'!$A:$A,Capex!$A231,'BASE-ICP'!$B:$B,"setembro")/1000,"")),"")</f>
        <v>0</v>
      </c>
      <c r="CY236" s="427">
        <v>0</v>
      </c>
      <c r="CZ236" s="372"/>
      <c r="DA236" s="419"/>
      <c r="DB236" s="423">
        <f>IFERROR(IF(LEFT($A236,3)="Lcp",SUMIFS('BASE-LCP'!$K:$K,'BASE-LCP'!$A:$A,Capex!$A231,'BASE-LCP'!$B:$B,"outubro")/1000,IF(LEFT($A236,3)="icp",SUMIFS('BASE-ICP'!$K:$K,'BASE-ICP'!$A:$A,Capex!$A231,'BASE-ICP'!$B:$B,"outubro")/1000,"")),"")</f>
        <v>0</v>
      </c>
      <c r="DC236" s="427">
        <v>0</v>
      </c>
      <c r="DD236" s="372"/>
      <c r="DE236" s="419"/>
      <c r="DF236" s="423">
        <f>IFERROR(IF(LEFT($A236,3)="Lcp",SUMIFS('BASE-LCP'!$K:$K,'BASE-LCP'!$A:$A,Capex!$A231,'BASE-LCP'!$B:$B,"novembro")/1000,IF(LEFT($A236,3)="icp",SUMIFS('BASE-ICP'!$K:$K,'BASE-ICP'!$A:$A,Capex!$A231,'BASE-ICP'!$B:$B,"novembro")/1000,"")),"")</f>
        <v>0</v>
      </c>
      <c r="DG236" s="427">
        <v>0</v>
      </c>
      <c r="DH236" s="372"/>
      <c r="DI236" s="419"/>
      <c r="DJ236" s="423">
        <f>IFERROR(IF(LEFT($A236,3)="Lcp",SUMIFS('BASE-LCP'!$K:$K,'BASE-LCP'!$A:$A,Capex!$A231,'BASE-LCP'!$B:$B,"dezembro")/1000,IF(LEFT($A236,3)="icp",SUMIFS('BASE-ICP'!$K:$K,'BASE-ICP'!$A:$A,Capex!$A231,'BASE-ICP'!$B:$B,"dezembro")/1000,"")),"")</f>
        <v>0</v>
      </c>
      <c r="DK236" s="427">
        <v>0</v>
      </c>
      <c r="DL236" s="452">
        <f t="shared" si="120"/>
        <v>0</v>
      </c>
      <c r="DM236" s="374"/>
      <c r="DN236" s="374">
        <v>0</v>
      </c>
      <c r="DO236" s="374"/>
      <c r="DP236" s="374"/>
      <c r="DQ236" s="374"/>
      <c r="DR236" s="374"/>
      <c r="DS236" s="374"/>
      <c r="DT236" s="374"/>
      <c r="DU236" s="374"/>
      <c r="DV236" s="374"/>
      <c r="DW236" s="374"/>
      <c r="DX236" s="374"/>
      <c r="DY236" s="450"/>
      <c r="DZ236" s="374">
        <f t="shared" si="121"/>
        <v>0</v>
      </c>
      <c r="EA236" s="216">
        <f t="shared" si="122"/>
        <v>0</v>
      </c>
      <c r="EB236" s="320">
        <f t="shared" si="123"/>
        <v>0</v>
      </c>
      <c r="EC236" s="241">
        <f t="shared" si="124"/>
        <v>0</v>
      </c>
      <c r="ED236" s="241">
        <f t="shared" si="125"/>
        <v>0</v>
      </c>
      <c r="EE236" s="241">
        <f t="shared" si="126"/>
        <v>0</v>
      </c>
      <c r="EF236" s="241">
        <f t="shared" si="127"/>
        <v>0</v>
      </c>
      <c r="EG236" s="346">
        <f t="shared" si="128"/>
        <v>0</v>
      </c>
      <c r="EH236" s="445">
        <f t="shared" si="129"/>
        <v>0</v>
      </c>
      <c r="EI236" s="447">
        <f t="shared" si="130"/>
        <v>0</v>
      </c>
      <c r="EJ236" s="364">
        <f t="shared" si="131"/>
        <v>0</v>
      </c>
      <c r="EK236" s="365">
        <f t="shared" si="132"/>
        <v>0</v>
      </c>
      <c r="EL236" s="529">
        <f t="shared" si="133"/>
        <v>0</v>
      </c>
      <c r="EM236" s="530">
        <v>0</v>
      </c>
      <c r="EN236" s="530">
        <v>0</v>
      </c>
      <c r="EO236" s="530">
        <v>0</v>
      </c>
      <c r="EP236" s="530">
        <v>0</v>
      </c>
      <c r="EQ236" s="530">
        <v>0</v>
      </c>
      <c r="ER236" s="530">
        <v>0</v>
      </c>
      <c r="ES236" s="530">
        <v>0</v>
      </c>
      <c r="ET236" s="530">
        <v>0</v>
      </c>
      <c r="EU236" s="530">
        <v>0</v>
      </c>
      <c r="EV236" s="530">
        <v>0</v>
      </c>
      <c r="EW236" s="530">
        <v>0</v>
      </c>
      <c r="EX236" s="530">
        <v>0</v>
      </c>
      <c r="EY236" s="530">
        <f t="shared" si="134"/>
        <v>0</v>
      </c>
      <c r="EZ236" s="530">
        <f t="shared" si="135"/>
        <v>0</v>
      </c>
      <c r="FA236" s="530">
        <f t="shared" si="136"/>
        <v>0</v>
      </c>
      <c r="FB236" s="530">
        <f t="shared" si="137"/>
        <v>0</v>
      </c>
      <c r="FC236" s="384">
        <f>IFERROR(VLOOKUP(Capex!A231,BASE_558!D:R,8,FALSE)/1000,"")</f>
        <v>100.1</v>
      </c>
      <c r="FD236" s="328">
        <f>IFERROR(VLOOKUP(Capex!A231,BASE_558!D:R,9,)/1000,"")</f>
        <v>95.603030000000004</v>
      </c>
      <c r="FE236" s="328">
        <f>IFERROR(IF(LEFT(A236,3)="LCP",(VLOOKUP(Capex!A231,BASE_558!D:R,10,)/1000),SUMIFS('BASE ICP_PO_SC'!F:F,'BASE ICP_PO_SC'!A:A,Capex!A231,'BASE ICP_PO_SC'!E:E,"&lt;&gt;")/1000),"")</f>
        <v>0</v>
      </c>
      <c r="FF236" s="328">
        <f>IFERROR(IF(LEFT(A236,3)="LCP",(VLOOKUP(Capex!A231,BASE_558!D:R,11,)/1000),SUMIFS('BASE ICP_PO_SC'!F:F,'BASE ICP_PO_SC'!A:A,Capex!A231,'BASE ICP_PO_SC'!E:E,"")/1000),"")</f>
        <v>0</v>
      </c>
      <c r="FG236" s="328">
        <f>IFERROR(VLOOKUP(A236,BASE_558!D:R,13,FALSE)/1000,"")</f>
        <v>191.70162999999999</v>
      </c>
      <c r="FH236" s="328">
        <f>IFERROR(VLOOKUP(A236,BASE_558!D:R,15,FALSE)/1000,"")</f>
        <v>3.76037</v>
      </c>
      <c r="FI236" s="547">
        <f t="shared" si="138"/>
        <v>0</v>
      </c>
      <c r="FJ236" s="547">
        <f t="shared" si="139"/>
        <v>0</v>
      </c>
      <c r="FK236" s="540">
        <f t="shared" si="140"/>
        <v>0</v>
      </c>
    </row>
    <row r="237" spans="1:167" s="23" customFormat="1" ht="24" customHeight="1">
      <c r="A237" s="84" t="s">
        <v>994</v>
      </c>
      <c r="B237" s="404"/>
      <c r="C237" s="404">
        <v>2270</v>
      </c>
      <c r="D237" s="338" t="s">
        <v>1889</v>
      </c>
      <c r="E237" s="378">
        <v>4249298</v>
      </c>
      <c r="F237" s="5"/>
      <c r="G237" s="310" t="s">
        <v>9</v>
      </c>
      <c r="H237" s="356" t="s">
        <v>6</v>
      </c>
      <c r="I237" s="356"/>
      <c r="J237" s="356">
        <v>2021</v>
      </c>
      <c r="K237" s="352">
        <v>44369</v>
      </c>
      <c r="L237" s="317"/>
      <c r="M237" s="409"/>
      <c r="N237" s="317">
        <f t="shared" si="143"/>
        <v>45281</v>
      </c>
      <c r="O237" s="317">
        <f t="shared" si="144"/>
        <v>45646</v>
      </c>
      <c r="P237" s="418" t="str">
        <f t="shared" si="148"/>
        <v>SIM</v>
      </c>
      <c r="Q237" s="418" t="str">
        <f t="shared" si="148"/>
        <v>SIM</v>
      </c>
      <c r="R237" s="418" t="str">
        <f t="shared" si="148"/>
        <v>SIM</v>
      </c>
      <c r="S237" s="418" t="str">
        <f t="shared" si="148"/>
        <v>SIM</v>
      </c>
      <c r="T237" s="418" t="str">
        <f t="shared" si="148"/>
        <v>SIM</v>
      </c>
      <c r="U237" s="418" t="str">
        <f t="shared" si="148"/>
        <v>SIM</v>
      </c>
      <c r="V237" s="418" t="str">
        <f t="shared" si="148"/>
        <v>SIM</v>
      </c>
      <c r="W237" s="418" t="str">
        <f t="shared" si="148"/>
        <v>SIM</v>
      </c>
      <c r="X237" s="551" t="str">
        <f t="shared" si="148"/>
        <v>SIM</v>
      </c>
      <c r="Y237" s="418" t="str">
        <f t="shared" si="148"/>
        <v>SIM</v>
      </c>
      <c r="Z237" s="418" t="str">
        <f t="shared" si="148"/>
        <v>SIM</v>
      </c>
      <c r="AA237" s="567" t="str">
        <f t="shared" si="148"/>
        <v>SIM</v>
      </c>
      <c r="AB237" s="350"/>
      <c r="AC237" s="309" t="s">
        <v>3932</v>
      </c>
      <c r="AD237" s="311" t="s">
        <v>224</v>
      </c>
      <c r="AE237" s="381" t="s">
        <v>957</v>
      </c>
      <c r="AF237" s="310" t="s">
        <v>6985</v>
      </c>
      <c r="AG237" s="262" t="s">
        <v>2251</v>
      </c>
      <c r="AH237" s="310" t="s">
        <v>1074</v>
      </c>
      <c r="AI237" s="309" t="s">
        <v>186</v>
      </c>
      <c r="AJ237" s="6" t="s">
        <v>6786</v>
      </c>
      <c r="AK237" s="6" t="str">
        <f t="shared" si="118"/>
        <v>IGUAL</v>
      </c>
      <c r="AL237" s="151" t="str">
        <f>IFERROR(IF(LEFT(A237,3)="LCP",VLOOKUP(A237,STATUS_SAP_LCP!B:C,2,FALSE),VLOOKUP(A237,STATUS_SAP_ICP!B:C,2,FALSE)),"NO BUDGET")</f>
        <v>REL  BUDG AUC  AVAC  //  APPR BREL INPL</v>
      </c>
      <c r="AM237" s="6" t="str">
        <f t="shared" si="116"/>
        <v xml:space="preserve">REL </v>
      </c>
      <c r="AN237" s="543" t="s">
        <v>19521</v>
      </c>
      <c r="AO237" s="561"/>
      <c r="AP237" s="499" t="s">
        <v>9616</v>
      </c>
      <c r="AQ237" s="465">
        <v>45868</v>
      </c>
      <c r="AR237" s="460"/>
      <c r="AS237" s="57"/>
      <c r="AT237" s="185"/>
      <c r="AU237" s="318">
        <v>55.747410000000002</v>
      </c>
      <c r="AV237" s="223">
        <v>0.46811999999999998</v>
      </c>
      <c r="AW237" s="318">
        <v>0.72792000000000001</v>
      </c>
      <c r="AX237" s="223">
        <v>0</v>
      </c>
      <c r="AY237" s="318">
        <f t="shared" si="145"/>
        <v>0</v>
      </c>
      <c r="AZ237" s="223"/>
      <c r="BA237" s="318"/>
      <c r="BB237" s="519">
        <f t="shared" si="146"/>
        <v>0</v>
      </c>
      <c r="BC237" s="518">
        <v>0</v>
      </c>
      <c r="BD237" s="518">
        <v>0</v>
      </c>
      <c r="BE237" s="518">
        <v>0</v>
      </c>
      <c r="BF237" s="518">
        <v>0</v>
      </c>
      <c r="BG237" s="518">
        <v>0</v>
      </c>
      <c r="BH237" s="518">
        <v>0</v>
      </c>
      <c r="BI237" s="518">
        <v>0</v>
      </c>
      <c r="BJ237" s="518">
        <v>0</v>
      </c>
      <c r="BK237" s="518">
        <v>0</v>
      </c>
      <c r="BL237" s="518">
        <v>0</v>
      </c>
      <c r="BM237" s="518">
        <v>0</v>
      </c>
      <c r="BN237" s="518">
        <v>0</v>
      </c>
      <c r="BO237" s="367">
        <f t="shared" si="119"/>
        <v>0</v>
      </c>
      <c r="BP237" s="421">
        <v>0</v>
      </c>
      <c r="BQ237" s="422"/>
      <c r="BR237" s="423">
        <f>IFERROR(IF(LEFT($A237,3)="Lcp",SUMIFS('BASE-LCP'!$K:$K,'BASE-LCP'!$A:$A,Capex!$A232,'BASE-LCP'!$B:$B,"janeiro")/1000,IF(LEFT($A237,3)="icp",SUMIFS('BASE-ICP'!$K:$K,'BASE-ICP'!$A:$A,Capex!$A232,'BASE-ICP'!$B:$B,"janeiro")/1000,"")),"")</f>
        <v>0</v>
      </c>
      <c r="BS237" s="427">
        <v>0</v>
      </c>
      <c r="BT237" s="372">
        <v>0</v>
      </c>
      <c r="BU237" s="422"/>
      <c r="BV237" s="423">
        <f>IFERROR(IF(LEFT($A237,3)="Lcp",SUMIFS('BASE-LCP'!$K:$K,'BASE-LCP'!$A:$A,Capex!$A232,'BASE-LCP'!$B:$B,"fevereiro")/1000,IF(LEFT($A237,3)="icp",SUMIFS('BASE-ICP'!$K:$K,'BASE-ICP'!$A:$A,Capex!$A232,'BASE-ICP'!$B:$B,"fevereiro")/1000,"")),"")</f>
        <v>0</v>
      </c>
      <c r="BW237" s="427">
        <v>0</v>
      </c>
      <c r="BX237" s="372">
        <v>0</v>
      </c>
      <c r="BY237" s="419"/>
      <c r="BZ237" s="423">
        <f>IFERROR(IF(LEFT($A237,3)="Lcp",SUMIFS('BASE-LCP'!$K:$K,'BASE-LCP'!$A:$A,Capex!$A232,'BASE-LCP'!$B:$B,"março")/1000,IF(LEFT($A237,3)="icp",SUMIFS('BASE-ICP'!$K:$K,'BASE-ICP'!$A:$A,Capex!$A232,'BASE-ICP'!$B:$B,"março")/1000,"")),"")</f>
        <v>0</v>
      </c>
      <c r="CA237" s="427">
        <v>0</v>
      </c>
      <c r="CB237" s="372">
        <v>0</v>
      </c>
      <c r="CC237" s="422"/>
      <c r="CD237" s="423">
        <f>IFERROR(IF(LEFT($A237,3)="Lcp",SUMIFS('BASE-LCP'!$K:$K,'BASE-LCP'!$A:$A,Capex!$A232,'BASE-LCP'!$B:$B,"abril")/1000,IF(LEFT($A237,3)="icp",SUMIFS('BASE-ICP'!$K:$K,'BASE-ICP'!$A:$A,Capex!$A232,'BASE-ICP'!$B:$B,"abril")/1000,"")),"")</f>
        <v>0</v>
      </c>
      <c r="CE237" s="427">
        <v>0</v>
      </c>
      <c r="CF237" s="372">
        <v>0</v>
      </c>
      <c r="CG237" s="419"/>
      <c r="CH237" s="423">
        <v>0</v>
      </c>
      <c r="CI237" s="427">
        <v>0</v>
      </c>
      <c r="CJ237" s="372">
        <v>0</v>
      </c>
      <c r="CK237" s="419"/>
      <c r="CL237" s="423">
        <f>IFERROR(IF(LEFT($A237,3)="Lcp",SUMIFS('BASE-LCP'!$K:$K,'BASE-LCP'!$A:$A,Capex!$A232,'BASE-LCP'!$B:$B,"junho")/1000,IF(LEFT($A237,3)="icp",SUMIFS('BASE-ICP'!$K:$K,'BASE-ICP'!$A:$A,Capex!$A232,'BASE-ICP'!$B:$B,"junho")/1000,"")),"")</f>
        <v>0</v>
      </c>
      <c r="CM237" s="427">
        <v>0</v>
      </c>
      <c r="CN237" s="372"/>
      <c r="CO237" s="419"/>
      <c r="CP237" s="423">
        <f>IFERROR(IF(LEFT($A237,3)="Lcp",SUMIFS('BASE-LCP'!$K:$K,'BASE-LCP'!$A:$A,Capex!$A232,'BASE-LCP'!$B:$B,"julho")/1000,IF(LEFT($A237,3)="icp",SUMIFS('BASE-ICP'!$K:$K,'BASE-ICP'!$A:$A,Capex!$A232,'BASE-ICP'!$B:$B,"julho")/1000,"")),"")</f>
        <v>0</v>
      </c>
      <c r="CQ237" s="427">
        <v>0</v>
      </c>
      <c r="CR237" s="372"/>
      <c r="CS237" s="419"/>
      <c r="CT237" s="423">
        <f>IFERROR(IF(LEFT($A237,3)="Lcp",SUMIFS('BASE-LCP'!$K:$K,'BASE-LCP'!$A:$A,Capex!$A232,'BASE-LCP'!$B:$B,"agosto")/1000,IF(LEFT($A237,3)="icp",SUMIFS('BASE-ICP'!$K:$K,'BASE-ICP'!$A:$A,Capex!$A232,'BASE-ICP'!$B:$B,"agosto")/1000,"")),"")</f>
        <v>0</v>
      </c>
      <c r="CU237" s="427">
        <v>0</v>
      </c>
      <c r="CV237" s="372"/>
      <c r="CW237" s="419"/>
      <c r="CX237" s="423">
        <f>IFERROR(IF(LEFT($A237,3)="Lcp",SUMIFS('BASE-LCP'!$K:$K,'BASE-LCP'!$A:$A,Capex!$A232,'BASE-LCP'!$B:$B,"setembro")/1000,IF(LEFT($A237,3)="icp",SUMIFS('BASE-ICP'!$K:$K,'BASE-ICP'!$A:$A,Capex!$A232,'BASE-ICP'!$B:$B,"setembro")/1000,"")),"")</f>
        <v>0</v>
      </c>
      <c r="CY237" s="427">
        <v>0</v>
      </c>
      <c r="CZ237" s="372"/>
      <c r="DA237" s="419"/>
      <c r="DB237" s="423">
        <f>IFERROR(IF(LEFT($A237,3)="Lcp",SUMIFS('BASE-LCP'!$K:$K,'BASE-LCP'!$A:$A,Capex!$A232,'BASE-LCP'!$B:$B,"outubro")/1000,IF(LEFT($A237,3)="icp",SUMIFS('BASE-ICP'!$K:$K,'BASE-ICP'!$A:$A,Capex!$A232,'BASE-ICP'!$B:$B,"outubro")/1000,"")),"")</f>
        <v>0</v>
      </c>
      <c r="DC237" s="427">
        <v>0</v>
      </c>
      <c r="DD237" s="372"/>
      <c r="DE237" s="419"/>
      <c r="DF237" s="423">
        <f>IFERROR(IF(LEFT($A237,3)="Lcp",SUMIFS('BASE-LCP'!$K:$K,'BASE-LCP'!$A:$A,Capex!$A232,'BASE-LCP'!$B:$B,"novembro")/1000,IF(LEFT($A237,3)="icp",SUMIFS('BASE-ICP'!$K:$K,'BASE-ICP'!$A:$A,Capex!$A232,'BASE-ICP'!$B:$B,"novembro")/1000,"")),"")</f>
        <v>0</v>
      </c>
      <c r="DG237" s="427">
        <v>0</v>
      </c>
      <c r="DH237" s="372"/>
      <c r="DI237" s="419"/>
      <c r="DJ237" s="423">
        <f>IFERROR(IF(LEFT($A237,3)="Lcp",SUMIFS('BASE-LCP'!$K:$K,'BASE-LCP'!$A:$A,Capex!$A232,'BASE-LCP'!$B:$B,"dezembro")/1000,IF(LEFT($A237,3)="icp",SUMIFS('BASE-ICP'!$K:$K,'BASE-ICP'!$A:$A,Capex!$A232,'BASE-ICP'!$B:$B,"dezembro")/1000,"")),"")</f>
        <v>0</v>
      </c>
      <c r="DK237" s="427">
        <v>0</v>
      </c>
      <c r="DL237" s="452">
        <f t="shared" si="120"/>
        <v>0</v>
      </c>
      <c r="DM237" s="374"/>
      <c r="DN237" s="374">
        <v>0</v>
      </c>
      <c r="DO237" s="374"/>
      <c r="DP237" s="374"/>
      <c r="DQ237" s="374"/>
      <c r="DR237" s="374"/>
      <c r="DS237" s="374"/>
      <c r="DT237" s="374"/>
      <c r="DU237" s="374"/>
      <c r="DV237" s="374"/>
      <c r="DW237" s="374"/>
      <c r="DX237" s="374"/>
      <c r="DY237" s="450"/>
      <c r="DZ237" s="374">
        <f t="shared" si="121"/>
        <v>0</v>
      </c>
      <c r="EA237" s="216">
        <f t="shared" si="122"/>
        <v>0</v>
      </c>
      <c r="EB237" s="320">
        <f t="shared" si="123"/>
        <v>0</v>
      </c>
      <c r="EC237" s="241">
        <f t="shared" si="124"/>
        <v>0</v>
      </c>
      <c r="ED237" s="241">
        <f t="shared" si="125"/>
        <v>0</v>
      </c>
      <c r="EE237" s="241">
        <f t="shared" si="126"/>
        <v>0</v>
      </c>
      <c r="EF237" s="241">
        <f t="shared" si="127"/>
        <v>0</v>
      </c>
      <c r="EG237" s="346">
        <f t="shared" si="128"/>
        <v>0</v>
      </c>
      <c r="EH237" s="445">
        <f t="shared" si="129"/>
        <v>0</v>
      </c>
      <c r="EI237" s="447">
        <f t="shared" si="130"/>
        <v>0</v>
      </c>
      <c r="EJ237" s="364">
        <f t="shared" si="131"/>
        <v>0</v>
      </c>
      <c r="EK237" s="365">
        <f t="shared" si="132"/>
        <v>0</v>
      </c>
      <c r="EL237" s="529">
        <f t="shared" si="133"/>
        <v>0</v>
      </c>
      <c r="EM237" s="530">
        <v>0</v>
      </c>
      <c r="EN237" s="530">
        <v>0</v>
      </c>
      <c r="EO237" s="530">
        <v>0</v>
      </c>
      <c r="EP237" s="530">
        <v>0</v>
      </c>
      <c r="EQ237" s="530">
        <v>0</v>
      </c>
      <c r="ER237" s="530">
        <v>0</v>
      </c>
      <c r="ES237" s="530">
        <v>0</v>
      </c>
      <c r="ET237" s="530">
        <v>0</v>
      </c>
      <c r="EU237" s="530">
        <v>0</v>
      </c>
      <c r="EV237" s="530">
        <v>0</v>
      </c>
      <c r="EW237" s="530">
        <v>0</v>
      </c>
      <c r="EX237" s="530">
        <v>0</v>
      </c>
      <c r="EY237" s="530">
        <f t="shared" si="134"/>
        <v>0</v>
      </c>
      <c r="EZ237" s="530">
        <f t="shared" si="135"/>
        <v>0</v>
      </c>
      <c r="FA237" s="530">
        <f t="shared" si="136"/>
        <v>0</v>
      </c>
      <c r="FB237" s="530">
        <f t="shared" si="137"/>
        <v>0</v>
      </c>
      <c r="FC237" s="384">
        <f>IFERROR(VLOOKUP(Capex!A232,BASE_558!D:R,8,FALSE)/1000,"")</f>
        <v>247.637</v>
      </c>
      <c r="FD237" s="328">
        <f>IFERROR(VLOOKUP(Capex!A232,BASE_558!D:R,9,)/1000,"")</f>
        <v>65.760050000000007</v>
      </c>
      <c r="FE237" s="328">
        <f>IFERROR(IF(LEFT(A237,3)="LCP",(VLOOKUP(Capex!A232,BASE_558!D:R,10,)/1000),SUMIFS('BASE ICP_PO_SC'!F:F,'BASE ICP_PO_SC'!A:A,Capex!A232,'BASE ICP_PO_SC'!E:E,"&lt;&gt;")/1000),"")</f>
        <v>0</v>
      </c>
      <c r="FF237" s="328">
        <f>IFERROR(IF(LEFT(A237,3)="LCP",(VLOOKUP(Capex!A232,BASE_558!D:R,11,)/1000),SUMIFS('BASE ICP_PO_SC'!F:F,'BASE ICP_PO_SC'!A:A,Capex!A232,'BASE ICP_PO_SC'!E:E,"")/1000),"")</f>
        <v>0</v>
      </c>
      <c r="FG237" s="328">
        <f>IFERROR(VLOOKUP(A237,BASE_558!D:R,13,FALSE)/1000,"")</f>
        <v>56.943449999999999</v>
      </c>
      <c r="FH237" s="328">
        <f>IFERROR(VLOOKUP(A237,BASE_558!D:R,15,FALSE)/1000,"")</f>
        <v>46.256550000000004</v>
      </c>
      <c r="FI237" s="547">
        <f t="shared" si="138"/>
        <v>0</v>
      </c>
      <c r="FJ237" s="547">
        <f t="shared" si="139"/>
        <v>0</v>
      </c>
      <c r="FK237" s="540">
        <f t="shared" si="140"/>
        <v>0</v>
      </c>
    </row>
    <row r="238" spans="1:167" s="23" customFormat="1" ht="24" customHeight="1">
      <c r="A238" s="84" t="s">
        <v>1001</v>
      </c>
      <c r="B238" s="404"/>
      <c r="C238" s="404">
        <v>15312</v>
      </c>
      <c r="D238" s="338" t="s">
        <v>2274</v>
      </c>
      <c r="E238" s="378">
        <v>4251643</v>
      </c>
      <c r="F238" s="310" t="s">
        <v>609</v>
      </c>
      <c r="G238" s="310" t="s">
        <v>9</v>
      </c>
      <c r="H238" s="356"/>
      <c r="I238" s="356" t="s">
        <v>6</v>
      </c>
      <c r="J238" s="356">
        <v>2021</v>
      </c>
      <c r="K238" s="323">
        <v>44369</v>
      </c>
      <c r="L238" s="317">
        <v>45265</v>
      </c>
      <c r="M238" s="409"/>
      <c r="N238" s="317">
        <f t="shared" si="143"/>
        <v>45281</v>
      </c>
      <c r="O238" s="317">
        <f t="shared" si="144"/>
        <v>45646</v>
      </c>
      <c r="P238" s="418" t="str">
        <f t="shared" si="148"/>
        <v>CRTD</v>
      </c>
      <c r="Q238" s="418" t="str">
        <f t="shared" si="148"/>
        <v>CRTD</v>
      </c>
      <c r="R238" s="418" t="str">
        <f t="shared" si="148"/>
        <v>CRTD</v>
      </c>
      <c r="S238" s="418" t="str">
        <f t="shared" si="148"/>
        <v>CRTD</v>
      </c>
      <c r="T238" s="418" t="str">
        <f t="shared" si="148"/>
        <v>CRTD</v>
      </c>
      <c r="U238" s="418" t="str">
        <f t="shared" si="148"/>
        <v>CRTD</v>
      </c>
      <c r="V238" s="418" t="str">
        <f t="shared" si="148"/>
        <v>CRTD</v>
      </c>
      <c r="W238" s="418" t="str">
        <f t="shared" si="148"/>
        <v>CRTD</v>
      </c>
      <c r="X238" s="418" t="str">
        <f t="shared" si="148"/>
        <v>CRTD</v>
      </c>
      <c r="Y238" s="418" t="str">
        <f t="shared" si="148"/>
        <v>CRTD</v>
      </c>
      <c r="Z238" s="418" t="str">
        <f t="shared" si="148"/>
        <v>CRTD</v>
      </c>
      <c r="AA238" s="418" t="str">
        <f t="shared" si="148"/>
        <v>CRTD</v>
      </c>
      <c r="AB238" s="353"/>
      <c r="AC238" s="309" t="s">
        <v>3932</v>
      </c>
      <c r="AD238" s="311" t="s">
        <v>222</v>
      </c>
      <c r="AE238" s="361" t="s">
        <v>965</v>
      </c>
      <c r="AF238" s="310" t="s">
        <v>6985</v>
      </c>
      <c r="AG238" s="310" t="s">
        <v>9083</v>
      </c>
      <c r="AH238" s="310" t="s">
        <v>1000</v>
      </c>
      <c r="AI238" s="309" t="s">
        <v>2255</v>
      </c>
      <c r="AJ238" s="6" t="s">
        <v>218</v>
      </c>
      <c r="AK238" s="6" t="str">
        <f t="shared" si="118"/>
        <v>IGUAL</v>
      </c>
      <c r="AL238" s="151" t="str">
        <f>IFERROR(IF(LEFT(A238,3)="LCP",VLOOKUP(A238,STATUS_SAP_LCP!B:C,2,FALSE),VLOOKUP(A238,STATUS_SAP_ICP!B:C,2,FALSE)),"NO BUDGET")</f>
        <v>CLSD BUDG AUC  AVAC  //  APPR BREL EXPL</v>
      </c>
      <c r="AM238" s="6" t="str">
        <f t="shared" si="116"/>
        <v>CLSD</v>
      </c>
      <c r="AN238" s="282" t="s">
        <v>9098</v>
      </c>
      <c r="AO238" s="493">
        <v>1</v>
      </c>
      <c r="AP238" s="499" t="s">
        <v>9607</v>
      </c>
      <c r="AQ238" s="465">
        <v>45265</v>
      </c>
      <c r="AR238" s="460"/>
      <c r="AS238" s="57"/>
      <c r="AT238" s="185"/>
      <c r="AU238" s="318">
        <v>183.27968000000001</v>
      </c>
      <c r="AV238" s="223">
        <v>0</v>
      </c>
      <c r="AW238" s="318">
        <v>0</v>
      </c>
      <c r="AX238" s="223">
        <v>0</v>
      </c>
      <c r="AY238" s="318">
        <f t="shared" si="145"/>
        <v>0</v>
      </c>
      <c r="AZ238" s="223"/>
      <c r="BA238" s="318"/>
      <c r="BB238" s="519">
        <f t="shared" si="146"/>
        <v>0</v>
      </c>
      <c r="BC238" s="518"/>
      <c r="BD238" s="518"/>
      <c r="BE238" s="518"/>
      <c r="BF238" s="518"/>
      <c r="BG238" s="518"/>
      <c r="BH238" s="518"/>
      <c r="BI238" s="518"/>
      <c r="BJ238" s="518"/>
      <c r="BK238" s="518"/>
      <c r="BL238" s="518"/>
      <c r="BM238" s="518"/>
      <c r="BN238" s="518"/>
      <c r="BO238" s="367">
        <f t="shared" si="119"/>
        <v>0</v>
      </c>
      <c r="BP238" s="421"/>
      <c r="BQ238" s="422"/>
      <c r="BR238" s="423">
        <f>IFERROR(IF(LEFT($A238,3)="Lcp",SUMIFS('BASE-LCP'!$K:$K,'BASE-LCP'!$A:$A,Capex!$A233,'BASE-LCP'!$B:$B,"janeiro")/1000,IF(LEFT($A238,3)="icp",SUMIFS('BASE-ICP'!$K:$K,'BASE-ICP'!$A:$A,Capex!$A233,'BASE-ICP'!$B:$B,"janeiro")/1000,"")),"")</f>
        <v>0</v>
      </c>
      <c r="BS238" s="427">
        <v>0</v>
      </c>
      <c r="BT238" s="372">
        <v>0</v>
      </c>
      <c r="BU238" s="422"/>
      <c r="BV238" s="423">
        <f>IFERROR(IF(LEFT($A238,3)="Lcp",SUMIFS('BASE-LCP'!$K:$K,'BASE-LCP'!$A:$A,Capex!$A233,'BASE-LCP'!$B:$B,"fevereiro")/1000,IF(LEFT($A238,3)="icp",SUMIFS('BASE-ICP'!$K:$K,'BASE-ICP'!$A:$A,Capex!$A233,'BASE-ICP'!$B:$B,"fevereiro")/1000,"")),"")</f>
        <v>0</v>
      </c>
      <c r="BW238" s="427">
        <v>0</v>
      </c>
      <c r="BX238" s="372">
        <v>0</v>
      </c>
      <c r="BY238" s="419"/>
      <c r="BZ238" s="423">
        <f>IFERROR(IF(LEFT($A238,3)="Lcp",SUMIFS('BASE-LCP'!$K:$K,'BASE-LCP'!$A:$A,Capex!$A233,'BASE-LCP'!$B:$B,"março")/1000,IF(LEFT($A238,3)="icp",SUMIFS('BASE-ICP'!$K:$K,'BASE-ICP'!$A:$A,Capex!$A233,'BASE-ICP'!$B:$B,"março")/1000,"")),"")</f>
        <v>0</v>
      </c>
      <c r="CA238" s="427">
        <v>0</v>
      </c>
      <c r="CB238" s="372">
        <v>0</v>
      </c>
      <c r="CC238" s="422"/>
      <c r="CD238" s="423">
        <f>IFERROR(IF(LEFT($A238,3)="Lcp",SUMIFS('BASE-LCP'!$K:$K,'BASE-LCP'!$A:$A,Capex!$A233,'BASE-LCP'!$B:$B,"abril")/1000,IF(LEFT($A238,3)="icp",SUMIFS('BASE-ICP'!$K:$K,'BASE-ICP'!$A:$A,Capex!$A233,'BASE-ICP'!$B:$B,"abril")/1000,"")),"")</f>
        <v>0</v>
      </c>
      <c r="CE238" s="427">
        <v>0</v>
      </c>
      <c r="CF238" s="372">
        <v>0</v>
      </c>
      <c r="CG238" s="419"/>
      <c r="CH238" s="423">
        <v>0</v>
      </c>
      <c r="CI238" s="427">
        <v>0</v>
      </c>
      <c r="CJ238" s="372">
        <v>0</v>
      </c>
      <c r="CK238" s="419"/>
      <c r="CL238" s="423">
        <f>IFERROR(IF(LEFT($A238,3)="Lcp",SUMIFS('BASE-LCP'!$K:$K,'BASE-LCP'!$A:$A,Capex!$A233,'BASE-LCP'!$B:$B,"junho")/1000,IF(LEFT($A238,3)="icp",SUMIFS('BASE-ICP'!$K:$K,'BASE-ICP'!$A:$A,Capex!$A233,'BASE-ICP'!$B:$B,"junho")/1000,"")),"")</f>
        <v>0</v>
      </c>
      <c r="CM238" s="427">
        <v>0</v>
      </c>
      <c r="CN238" s="372"/>
      <c r="CO238" s="419"/>
      <c r="CP238" s="423">
        <f>IFERROR(IF(LEFT($A238,3)="Lcp",SUMIFS('BASE-LCP'!$K:$K,'BASE-LCP'!$A:$A,Capex!$A233,'BASE-LCP'!$B:$B,"julho")/1000,IF(LEFT($A238,3)="icp",SUMIFS('BASE-ICP'!$K:$K,'BASE-ICP'!$A:$A,Capex!$A233,'BASE-ICP'!$B:$B,"julho")/1000,"")),"")</f>
        <v>0</v>
      </c>
      <c r="CQ238" s="427">
        <v>0</v>
      </c>
      <c r="CR238" s="372"/>
      <c r="CS238" s="419"/>
      <c r="CT238" s="423">
        <f>IFERROR(IF(LEFT($A238,3)="Lcp",SUMIFS('BASE-LCP'!$K:$K,'BASE-LCP'!$A:$A,Capex!$A233,'BASE-LCP'!$B:$B,"agosto")/1000,IF(LEFT($A238,3)="icp",SUMIFS('BASE-ICP'!$K:$K,'BASE-ICP'!$A:$A,Capex!$A233,'BASE-ICP'!$B:$B,"agosto")/1000,"")),"")</f>
        <v>0</v>
      </c>
      <c r="CU238" s="427">
        <v>0</v>
      </c>
      <c r="CV238" s="372"/>
      <c r="CW238" s="419"/>
      <c r="CX238" s="423">
        <f>IFERROR(IF(LEFT($A238,3)="Lcp",SUMIFS('BASE-LCP'!$K:$K,'BASE-LCP'!$A:$A,Capex!$A233,'BASE-LCP'!$B:$B,"setembro")/1000,IF(LEFT($A238,3)="icp",SUMIFS('BASE-ICP'!$K:$K,'BASE-ICP'!$A:$A,Capex!$A233,'BASE-ICP'!$B:$B,"setembro")/1000,"")),"")</f>
        <v>0</v>
      </c>
      <c r="CY238" s="427">
        <v>0</v>
      </c>
      <c r="CZ238" s="372"/>
      <c r="DA238" s="419"/>
      <c r="DB238" s="423">
        <f>IFERROR(IF(LEFT($A238,3)="Lcp",SUMIFS('BASE-LCP'!$K:$K,'BASE-LCP'!$A:$A,Capex!$A233,'BASE-LCP'!$B:$B,"outubro")/1000,IF(LEFT($A238,3)="icp",SUMIFS('BASE-ICP'!$K:$K,'BASE-ICP'!$A:$A,Capex!$A233,'BASE-ICP'!$B:$B,"outubro")/1000,"")),"")</f>
        <v>0</v>
      </c>
      <c r="DC238" s="427">
        <v>0</v>
      </c>
      <c r="DD238" s="372"/>
      <c r="DE238" s="419"/>
      <c r="DF238" s="423">
        <f>IFERROR(IF(LEFT($A238,3)="Lcp",SUMIFS('BASE-LCP'!$K:$K,'BASE-LCP'!$A:$A,Capex!$A233,'BASE-LCP'!$B:$B,"novembro")/1000,IF(LEFT($A238,3)="icp",SUMIFS('BASE-ICP'!$K:$K,'BASE-ICP'!$A:$A,Capex!$A233,'BASE-ICP'!$B:$B,"novembro")/1000,"")),"")</f>
        <v>0</v>
      </c>
      <c r="DG238" s="427">
        <v>0</v>
      </c>
      <c r="DH238" s="372"/>
      <c r="DI238" s="419"/>
      <c r="DJ238" s="423">
        <f>IFERROR(IF(LEFT($A238,3)="Lcp",SUMIFS('BASE-LCP'!$K:$K,'BASE-LCP'!$A:$A,Capex!$A233,'BASE-LCP'!$B:$B,"dezembro")/1000,IF(LEFT($A238,3)="icp",SUMIFS('BASE-ICP'!$K:$K,'BASE-ICP'!$A:$A,Capex!$A233,'BASE-ICP'!$B:$B,"dezembro")/1000,"")),"")</f>
        <v>0</v>
      </c>
      <c r="DK238" s="427">
        <v>0</v>
      </c>
      <c r="DL238" s="452">
        <f t="shared" si="120"/>
        <v>0</v>
      </c>
      <c r="DM238" s="374"/>
      <c r="DN238" s="374"/>
      <c r="DO238" s="374"/>
      <c r="DP238" s="374"/>
      <c r="DQ238" s="374"/>
      <c r="DR238" s="374"/>
      <c r="DS238" s="374"/>
      <c r="DT238" s="374"/>
      <c r="DU238" s="374"/>
      <c r="DV238" s="374"/>
      <c r="DW238" s="374"/>
      <c r="DX238" s="374"/>
      <c r="DY238" s="450"/>
      <c r="DZ238" s="374">
        <f t="shared" si="121"/>
        <v>0</v>
      </c>
      <c r="EA238" s="216">
        <f t="shared" si="122"/>
        <v>0</v>
      </c>
      <c r="EB238" s="320">
        <f t="shared" si="123"/>
        <v>0</v>
      </c>
      <c r="EC238" s="241">
        <f t="shared" si="124"/>
        <v>0</v>
      </c>
      <c r="ED238" s="241">
        <f t="shared" si="125"/>
        <v>0</v>
      </c>
      <c r="EE238" s="241">
        <f t="shared" si="126"/>
        <v>0</v>
      </c>
      <c r="EF238" s="241">
        <f t="shared" si="127"/>
        <v>0</v>
      </c>
      <c r="EG238" s="346">
        <f t="shared" si="128"/>
        <v>0</v>
      </c>
      <c r="EH238" s="445">
        <f t="shared" si="129"/>
        <v>0</v>
      </c>
      <c r="EI238" s="447">
        <f t="shared" si="130"/>
        <v>0</v>
      </c>
      <c r="EJ238" s="364">
        <f t="shared" si="131"/>
        <v>0</v>
      </c>
      <c r="EK238" s="365">
        <f t="shared" si="132"/>
        <v>0</v>
      </c>
      <c r="EL238" s="529">
        <f t="shared" si="133"/>
        <v>0</v>
      </c>
      <c r="EM238" s="530">
        <v>0</v>
      </c>
      <c r="EN238" s="530">
        <v>0</v>
      </c>
      <c r="EO238" s="530">
        <v>0</v>
      </c>
      <c r="EP238" s="530">
        <v>0</v>
      </c>
      <c r="EQ238" s="530">
        <v>0</v>
      </c>
      <c r="ER238" s="530">
        <v>0</v>
      </c>
      <c r="ES238" s="530">
        <v>0</v>
      </c>
      <c r="ET238" s="530">
        <v>0</v>
      </c>
      <c r="EU238" s="530">
        <v>0</v>
      </c>
      <c r="EV238" s="530">
        <v>0</v>
      </c>
      <c r="EW238" s="530">
        <v>0</v>
      </c>
      <c r="EX238" s="530">
        <v>0</v>
      </c>
      <c r="EY238" s="530">
        <f t="shared" si="134"/>
        <v>0</v>
      </c>
      <c r="EZ238" s="530">
        <f t="shared" si="135"/>
        <v>0</v>
      </c>
      <c r="FA238" s="530">
        <f t="shared" si="136"/>
        <v>0</v>
      </c>
      <c r="FB238" s="530">
        <f t="shared" si="137"/>
        <v>0</v>
      </c>
      <c r="FC238" s="384">
        <f>IFERROR(VLOOKUP(Capex!A233,BASE_558!D:R,8,FALSE)/1000,"")</f>
        <v>82</v>
      </c>
      <c r="FD238" s="328">
        <f>IFERROR(VLOOKUP(Capex!A233,BASE_558!D:R,9,)/1000,"")</f>
        <v>66.262330000000006</v>
      </c>
      <c r="FE238" s="328">
        <f>IFERROR(IF(LEFT(A238,3)="LCP",(VLOOKUP(Capex!A233,BASE_558!D:R,10,)/1000),SUMIFS('BASE ICP_PO_SC'!F:F,'BASE ICP_PO_SC'!A:A,Capex!A233,'BASE ICP_PO_SC'!E:E,"&lt;&gt;")/1000),"")</f>
        <v>0</v>
      </c>
      <c r="FF238" s="328">
        <f>IFERROR(IF(LEFT(A238,3)="LCP",(VLOOKUP(Capex!A233,BASE_558!D:R,11,)/1000),SUMIFS('BASE ICP_PO_SC'!F:F,'BASE ICP_PO_SC'!A:A,Capex!A233,'BASE ICP_PO_SC'!E:E,"")/1000),"")</f>
        <v>0</v>
      </c>
      <c r="FG238" s="328">
        <f>IFERROR(VLOOKUP(A238,BASE_558!D:R,13,FALSE)/1000,"")</f>
        <v>183.27967999999998</v>
      </c>
      <c r="FH238" s="328">
        <f>IFERROR(VLOOKUP(A238,BASE_558!D:R,15,FALSE)/1000,"")</f>
        <v>11.720319999999999</v>
      </c>
      <c r="FI238" s="547">
        <f t="shared" si="138"/>
        <v>0</v>
      </c>
      <c r="FJ238" s="547">
        <f t="shared" si="139"/>
        <v>0</v>
      </c>
      <c r="FK238" s="540">
        <f t="shared" si="140"/>
        <v>0</v>
      </c>
    </row>
    <row r="239" spans="1:167" s="23" customFormat="1" ht="24.75" customHeight="1">
      <c r="A239" s="84" t="s">
        <v>1009</v>
      </c>
      <c r="B239" s="404"/>
      <c r="C239" s="404">
        <v>2590</v>
      </c>
      <c r="D239" s="338" t="s">
        <v>2275</v>
      </c>
      <c r="E239" s="378">
        <v>4441744</v>
      </c>
      <c r="F239" s="5"/>
      <c r="G239" s="310" t="s">
        <v>9</v>
      </c>
      <c r="H239" s="356"/>
      <c r="I239" s="356" t="s">
        <v>6</v>
      </c>
      <c r="J239" s="356">
        <v>2021</v>
      </c>
      <c r="K239" s="321">
        <v>44420</v>
      </c>
      <c r="L239" s="317">
        <v>45288</v>
      </c>
      <c r="M239" s="409"/>
      <c r="N239" s="317">
        <f t="shared" si="143"/>
        <v>45332</v>
      </c>
      <c r="O239" s="317">
        <f t="shared" si="144"/>
        <v>45697</v>
      </c>
      <c r="P239" s="418" t="str">
        <f t="shared" si="148"/>
        <v>NÃO</v>
      </c>
      <c r="Q239" s="418" t="str">
        <f t="shared" si="148"/>
        <v>CRTD</v>
      </c>
      <c r="R239" s="418" t="str">
        <f t="shared" si="148"/>
        <v>CRTD</v>
      </c>
      <c r="S239" s="418" t="str">
        <f t="shared" si="148"/>
        <v>CRTD</v>
      </c>
      <c r="T239" s="418" t="str">
        <f t="shared" si="148"/>
        <v>CRTD</v>
      </c>
      <c r="U239" s="418" t="str">
        <f t="shared" si="148"/>
        <v>CRTD</v>
      </c>
      <c r="V239" s="418" t="str">
        <f t="shared" si="148"/>
        <v>CRTD</v>
      </c>
      <c r="W239" s="418" t="str">
        <f t="shared" si="148"/>
        <v>CRTD</v>
      </c>
      <c r="X239" s="418" t="str">
        <f t="shared" si="148"/>
        <v>CRTD</v>
      </c>
      <c r="Y239" s="418" t="str">
        <f t="shared" si="148"/>
        <v>CRTD</v>
      </c>
      <c r="Z239" s="418" t="str">
        <f t="shared" si="148"/>
        <v>CRTD</v>
      </c>
      <c r="AA239" s="418" t="str">
        <f t="shared" si="148"/>
        <v>CRTD</v>
      </c>
      <c r="AB239" s="350"/>
      <c r="AC239" s="309" t="s">
        <v>3932</v>
      </c>
      <c r="AD239" s="311" t="s">
        <v>222</v>
      </c>
      <c r="AE239" s="361" t="s">
        <v>958</v>
      </c>
      <c r="AF239" s="310" t="s">
        <v>6985</v>
      </c>
      <c r="AG239" s="310" t="s">
        <v>9083</v>
      </c>
      <c r="AH239" s="310" t="s">
        <v>1032</v>
      </c>
      <c r="AI239" s="309" t="s">
        <v>187</v>
      </c>
      <c r="AJ239" s="6" t="s">
        <v>218</v>
      </c>
      <c r="AK239" s="6" t="str">
        <f t="shared" si="118"/>
        <v>IGUAL</v>
      </c>
      <c r="AL239" s="151" t="str">
        <f>IFERROR(IF(LEFT(A239,3)="LCP",VLOOKUP(A239,STATUS_SAP_LCP!B:C,2,FALSE),VLOOKUP(A239,STATUS_SAP_ICP!B:C,2,FALSE)),"NO BUDGET")</f>
        <v>CLSD BUDG AUC  AVAC  //  APPR BREL EXPL</v>
      </c>
      <c r="AM239" s="6" t="str">
        <f t="shared" si="116"/>
        <v>CLSD</v>
      </c>
      <c r="AN239" s="282" t="s">
        <v>9096</v>
      </c>
      <c r="AO239" s="493">
        <v>1</v>
      </c>
      <c r="AP239" s="499" t="s">
        <v>9607</v>
      </c>
      <c r="AQ239" s="465">
        <v>45288</v>
      </c>
      <c r="AR239" s="460"/>
      <c r="AS239" s="57"/>
      <c r="AT239" s="185"/>
      <c r="AU239" s="318">
        <v>68.664789999999996</v>
      </c>
      <c r="AV239" s="223">
        <v>91.65173999999999</v>
      </c>
      <c r="AW239" s="318">
        <v>0</v>
      </c>
      <c r="AX239" s="223">
        <v>0</v>
      </c>
      <c r="AY239" s="318">
        <f t="shared" si="145"/>
        <v>0</v>
      </c>
      <c r="AZ239" s="223"/>
      <c r="BA239" s="318"/>
      <c r="BB239" s="519">
        <f t="shared" si="146"/>
        <v>0</v>
      </c>
      <c r="BC239" s="518"/>
      <c r="BD239" s="518"/>
      <c r="BE239" s="518"/>
      <c r="BF239" s="518"/>
      <c r="BG239" s="518"/>
      <c r="BH239" s="518"/>
      <c r="BI239" s="518"/>
      <c r="BJ239" s="518"/>
      <c r="BK239" s="518"/>
      <c r="BL239" s="518"/>
      <c r="BM239" s="518"/>
      <c r="BN239" s="518"/>
      <c r="BO239" s="367">
        <f t="shared" si="119"/>
        <v>0</v>
      </c>
      <c r="BP239" s="421"/>
      <c r="BQ239" s="422"/>
      <c r="BR239" s="423">
        <f>IFERROR(IF(LEFT($A239,3)="Lcp",SUMIFS('BASE-LCP'!$K:$K,'BASE-LCP'!$A:$A,Capex!$A235,'BASE-LCP'!$B:$B,"janeiro")/1000,IF(LEFT($A239,3)="icp",SUMIFS('BASE-ICP'!$K:$K,'BASE-ICP'!$A:$A,Capex!$A235,'BASE-ICP'!$B:$B,"janeiro")/1000,"")),"")</f>
        <v>0</v>
      </c>
      <c r="BS239" s="427">
        <v>0</v>
      </c>
      <c r="BT239" s="372">
        <v>0</v>
      </c>
      <c r="BU239" s="422"/>
      <c r="BV239" s="423">
        <f>IFERROR(IF(LEFT($A239,3)="Lcp",SUMIFS('BASE-LCP'!$K:$K,'BASE-LCP'!$A:$A,Capex!$A235,'BASE-LCP'!$B:$B,"fevereiro")/1000,IF(LEFT($A239,3)="icp",SUMIFS('BASE-ICP'!$K:$K,'BASE-ICP'!$A:$A,Capex!$A235,'BASE-ICP'!$B:$B,"fevereiro")/1000,"")),"")</f>
        <v>0</v>
      </c>
      <c r="BW239" s="427">
        <v>0</v>
      </c>
      <c r="BX239" s="372">
        <v>0</v>
      </c>
      <c r="BY239" s="419"/>
      <c r="BZ239" s="423">
        <f>IFERROR(IF(LEFT($A239,3)="Lcp",SUMIFS('BASE-LCP'!$K:$K,'BASE-LCP'!$A:$A,Capex!$A235,'BASE-LCP'!$B:$B,"março")/1000,IF(LEFT($A239,3)="icp",SUMIFS('BASE-ICP'!$K:$K,'BASE-ICP'!$A:$A,Capex!$A235,'BASE-ICP'!$B:$B,"março")/1000,"")),"")</f>
        <v>0</v>
      </c>
      <c r="CA239" s="427">
        <v>0</v>
      </c>
      <c r="CB239" s="372">
        <v>0</v>
      </c>
      <c r="CC239" s="422"/>
      <c r="CD239" s="423">
        <f>IFERROR(IF(LEFT($A239,3)="Lcp",SUMIFS('BASE-LCP'!$K:$K,'BASE-LCP'!$A:$A,Capex!$A235,'BASE-LCP'!$B:$B,"abril")/1000,IF(LEFT($A239,3)="icp",SUMIFS('BASE-ICP'!$K:$K,'BASE-ICP'!$A:$A,Capex!$A235,'BASE-ICP'!$B:$B,"abril")/1000,"")),"")</f>
        <v>0</v>
      </c>
      <c r="CE239" s="427">
        <v>0</v>
      </c>
      <c r="CF239" s="372">
        <v>0</v>
      </c>
      <c r="CG239" s="419"/>
      <c r="CH239" s="423">
        <v>0</v>
      </c>
      <c r="CI239" s="427">
        <v>0</v>
      </c>
      <c r="CJ239" s="372">
        <v>0</v>
      </c>
      <c r="CK239" s="419"/>
      <c r="CL239" s="423">
        <f>IFERROR(IF(LEFT($A239,3)="Lcp",SUMIFS('BASE-LCP'!$K:$K,'BASE-LCP'!$A:$A,Capex!$A235,'BASE-LCP'!$B:$B,"junho")/1000,IF(LEFT($A239,3)="icp",SUMIFS('BASE-ICP'!$K:$K,'BASE-ICP'!$A:$A,Capex!$A235,'BASE-ICP'!$B:$B,"junho")/1000,"")),"")</f>
        <v>0</v>
      </c>
      <c r="CM239" s="427">
        <v>0</v>
      </c>
      <c r="CN239" s="372"/>
      <c r="CO239" s="419"/>
      <c r="CP239" s="423">
        <f>IFERROR(IF(LEFT($A239,3)="Lcp",SUMIFS('BASE-LCP'!$K:$K,'BASE-LCP'!$A:$A,Capex!$A235,'BASE-LCP'!$B:$B,"julho")/1000,IF(LEFT($A239,3)="icp",SUMIFS('BASE-ICP'!$K:$K,'BASE-ICP'!$A:$A,Capex!$A235,'BASE-ICP'!$B:$B,"julho")/1000,"")),"")</f>
        <v>0</v>
      </c>
      <c r="CQ239" s="427">
        <v>0</v>
      </c>
      <c r="CR239" s="372"/>
      <c r="CS239" s="419"/>
      <c r="CT239" s="423">
        <f>IFERROR(IF(LEFT($A239,3)="Lcp",SUMIFS('BASE-LCP'!$K:$K,'BASE-LCP'!$A:$A,Capex!$A235,'BASE-LCP'!$B:$B,"agosto")/1000,IF(LEFT($A239,3)="icp",SUMIFS('BASE-ICP'!$K:$K,'BASE-ICP'!$A:$A,Capex!$A235,'BASE-ICP'!$B:$B,"agosto")/1000,"")),"")</f>
        <v>0</v>
      </c>
      <c r="CU239" s="427">
        <v>0</v>
      </c>
      <c r="CV239" s="372"/>
      <c r="CW239" s="419"/>
      <c r="CX239" s="423">
        <f>IFERROR(IF(LEFT($A239,3)="Lcp",SUMIFS('BASE-LCP'!$K:$K,'BASE-LCP'!$A:$A,Capex!$A235,'BASE-LCP'!$B:$B,"setembro")/1000,IF(LEFT($A239,3)="icp",SUMIFS('BASE-ICP'!$K:$K,'BASE-ICP'!$A:$A,Capex!$A235,'BASE-ICP'!$B:$B,"setembro")/1000,"")),"")</f>
        <v>0</v>
      </c>
      <c r="CY239" s="427">
        <v>0</v>
      </c>
      <c r="CZ239" s="372"/>
      <c r="DA239" s="419"/>
      <c r="DB239" s="423">
        <f>IFERROR(IF(LEFT($A239,3)="Lcp",SUMIFS('BASE-LCP'!$K:$K,'BASE-LCP'!$A:$A,Capex!$A235,'BASE-LCP'!$B:$B,"outubro")/1000,IF(LEFT($A239,3)="icp",SUMIFS('BASE-ICP'!$K:$K,'BASE-ICP'!$A:$A,Capex!$A235,'BASE-ICP'!$B:$B,"outubro")/1000,"")),"")</f>
        <v>0</v>
      </c>
      <c r="DC239" s="427">
        <v>0</v>
      </c>
      <c r="DD239" s="372"/>
      <c r="DE239" s="419"/>
      <c r="DF239" s="423">
        <f>IFERROR(IF(LEFT($A239,3)="Lcp",SUMIFS('BASE-LCP'!$K:$K,'BASE-LCP'!$A:$A,Capex!$A235,'BASE-LCP'!$B:$B,"novembro")/1000,IF(LEFT($A239,3)="icp",SUMIFS('BASE-ICP'!$K:$K,'BASE-ICP'!$A:$A,Capex!$A235,'BASE-ICP'!$B:$B,"novembro")/1000,"")),"")</f>
        <v>0</v>
      </c>
      <c r="DG239" s="427">
        <v>0</v>
      </c>
      <c r="DH239" s="372"/>
      <c r="DI239" s="419"/>
      <c r="DJ239" s="423">
        <f>IFERROR(IF(LEFT($A239,3)="Lcp",SUMIFS('BASE-LCP'!$K:$K,'BASE-LCP'!$A:$A,Capex!$A235,'BASE-LCP'!$B:$B,"dezembro")/1000,IF(LEFT($A239,3)="icp",SUMIFS('BASE-ICP'!$K:$K,'BASE-ICP'!$A:$A,Capex!$A235,'BASE-ICP'!$B:$B,"dezembro")/1000,"")),"")</f>
        <v>0</v>
      </c>
      <c r="DK239" s="427">
        <v>0</v>
      </c>
      <c r="DL239" s="452">
        <f t="shared" si="120"/>
        <v>0</v>
      </c>
      <c r="DM239" s="374"/>
      <c r="DN239" s="374"/>
      <c r="DO239" s="374"/>
      <c r="DP239" s="374"/>
      <c r="DQ239" s="374"/>
      <c r="DR239" s="374"/>
      <c r="DS239" s="374"/>
      <c r="DT239" s="374"/>
      <c r="DU239" s="374"/>
      <c r="DV239" s="374"/>
      <c r="DW239" s="374"/>
      <c r="DX239" s="374"/>
      <c r="DY239" s="450"/>
      <c r="DZ239" s="374">
        <f t="shared" si="121"/>
        <v>0</v>
      </c>
      <c r="EA239" s="216">
        <f t="shared" si="122"/>
        <v>0</v>
      </c>
      <c r="EB239" s="320">
        <f t="shared" si="123"/>
        <v>0</v>
      </c>
      <c r="EC239" s="241">
        <f t="shared" si="124"/>
        <v>0</v>
      </c>
      <c r="ED239" s="241">
        <f t="shared" si="125"/>
        <v>0</v>
      </c>
      <c r="EE239" s="241">
        <f t="shared" si="126"/>
        <v>0</v>
      </c>
      <c r="EF239" s="241">
        <f t="shared" si="127"/>
        <v>0</v>
      </c>
      <c r="EG239" s="346">
        <f t="shared" si="128"/>
        <v>0</v>
      </c>
      <c r="EH239" s="445">
        <f t="shared" si="129"/>
        <v>0</v>
      </c>
      <c r="EI239" s="447">
        <f t="shared" si="130"/>
        <v>0</v>
      </c>
      <c r="EJ239" s="364">
        <f t="shared" si="131"/>
        <v>0</v>
      </c>
      <c r="EK239" s="365">
        <f t="shared" si="132"/>
        <v>0</v>
      </c>
      <c r="EL239" s="529">
        <f t="shared" si="133"/>
        <v>0</v>
      </c>
      <c r="EM239" s="530">
        <v>0</v>
      </c>
      <c r="EN239" s="530">
        <v>0</v>
      </c>
      <c r="EO239" s="530">
        <v>0</v>
      </c>
      <c r="EP239" s="530">
        <v>0</v>
      </c>
      <c r="EQ239" s="530">
        <v>0</v>
      </c>
      <c r="ER239" s="530">
        <v>0</v>
      </c>
      <c r="ES239" s="530">
        <v>0</v>
      </c>
      <c r="ET239" s="530">
        <v>0</v>
      </c>
      <c r="EU239" s="530">
        <v>0</v>
      </c>
      <c r="EV239" s="530">
        <v>0</v>
      </c>
      <c r="EW239" s="530">
        <v>0</v>
      </c>
      <c r="EX239" s="530">
        <v>0</v>
      </c>
      <c r="EY239" s="530">
        <f t="shared" si="134"/>
        <v>0</v>
      </c>
      <c r="EZ239" s="530">
        <f t="shared" si="135"/>
        <v>0</v>
      </c>
      <c r="FA239" s="530">
        <f t="shared" si="136"/>
        <v>0</v>
      </c>
      <c r="FB239" s="530">
        <f t="shared" si="137"/>
        <v>0</v>
      </c>
      <c r="FC239" s="384">
        <f>IFERROR(VLOOKUP(Capex!A235,BASE_558!D:R,8,FALSE)/1000,"")</f>
        <v>195.58500000000001</v>
      </c>
      <c r="FD239" s="328">
        <f>IFERROR(VLOOKUP(Capex!A235,BASE_558!D:R,9,)/1000,"")</f>
        <v>191.79660999999999</v>
      </c>
      <c r="FE239" s="328">
        <f>IFERROR(IF(LEFT(A239,3)="LCP",(VLOOKUP(Capex!A235,BASE_558!D:R,10,)/1000),SUMIFS('BASE ICP_PO_SC'!F:F,'BASE ICP_PO_SC'!A:A,Capex!A235,'BASE ICP_PO_SC'!E:E,"&lt;&gt;")/1000),"")</f>
        <v>0</v>
      </c>
      <c r="FF239" s="328">
        <f>IFERROR(IF(LEFT(A239,3)="LCP",(VLOOKUP(Capex!A235,BASE_558!D:R,11,)/1000),SUMIFS('BASE ICP_PO_SC'!F:F,'BASE ICP_PO_SC'!A:A,Capex!A235,'BASE ICP_PO_SC'!E:E,"")/1000),"")</f>
        <v>0</v>
      </c>
      <c r="FG239" s="328">
        <f>IFERROR(VLOOKUP(A239,BASE_558!D:R,13,FALSE)/1000,"")</f>
        <v>160.31653</v>
      </c>
      <c r="FH239" s="328">
        <f>IFERROR(VLOOKUP(A239,BASE_558!D:R,15,FALSE)/1000,"")</f>
        <v>7.6834700000000007</v>
      </c>
      <c r="FI239" s="547">
        <f t="shared" si="138"/>
        <v>0</v>
      </c>
      <c r="FJ239" s="547">
        <f t="shared" si="139"/>
        <v>0</v>
      </c>
      <c r="FK239" s="540">
        <f t="shared" si="140"/>
        <v>0</v>
      </c>
    </row>
    <row r="240" spans="1:167" s="23" customFormat="1" ht="24" customHeight="1">
      <c r="A240" s="84" t="s">
        <v>1011</v>
      </c>
      <c r="B240" s="404"/>
      <c r="C240" s="404">
        <v>3605</v>
      </c>
      <c r="D240" s="338" t="s">
        <v>1876</v>
      </c>
      <c r="E240" s="378">
        <v>4280835</v>
      </c>
      <c r="F240" s="5"/>
      <c r="G240" s="310" t="s">
        <v>9</v>
      </c>
      <c r="H240" s="338" t="s">
        <v>6</v>
      </c>
      <c r="I240" s="356" t="s">
        <v>602</v>
      </c>
      <c r="J240" s="356">
        <v>2021</v>
      </c>
      <c r="K240" s="352">
        <v>44386</v>
      </c>
      <c r="L240" s="317">
        <v>45552</v>
      </c>
      <c r="M240" s="409"/>
      <c r="N240" s="317">
        <f t="shared" si="143"/>
        <v>45298</v>
      </c>
      <c r="O240" s="317">
        <f t="shared" si="144"/>
        <v>45663</v>
      </c>
      <c r="P240" s="418" t="str">
        <f t="shared" si="148"/>
        <v>CRTD</v>
      </c>
      <c r="Q240" s="418" t="str">
        <f t="shared" si="148"/>
        <v>CRTD</v>
      </c>
      <c r="R240" s="418" t="str">
        <f t="shared" si="148"/>
        <v>CRTD</v>
      </c>
      <c r="S240" s="418" t="str">
        <f t="shared" si="148"/>
        <v>CRTD</v>
      </c>
      <c r="T240" s="418" t="str">
        <f t="shared" si="148"/>
        <v>CRTD</v>
      </c>
      <c r="U240" s="418" t="str">
        <f t="shared" si="148"/>
        <v>CRTD</v>
      </c>
      <c r="V240" s="418" t="str">
        <f t="shared" si="148"/>
        <v>CRTD</v>
      </c>
      <c r="W240" s="418" t="str">
        <f t="shared" si="148"/>
        <v>CRTD</v>
      </c>
      <c r="X240" s="418" t="str">
        <f t="shared" si="148"/>
        <v>CRTD</v>
      </c>
      <c r="Y240" s="418" t="str">
        <f t="shared" si="148"/>
        <v>CRTD</v>
      </c>
      <c r="Z240" s="418" t="str">
        <f t="shared" si="148"/>
        <v>CRTD</v>
      </c>
      <c r="AA240" s="418" t="str">
        <f t="shared" si="148"/>
        <v>CRTD</v>
      </c>
      <c r="AB240" s="350"/>
      <c r="AC240" s="309" t="s">
        <v>3932</v>
      </c>
      <c r="AD240" s="311" t="s">
        <v>5</v>
      </c>
      <c r="AE240" s="361" t="s">
        <v>961</v>
      </c>
      <c r="AF240" s="310" t="s">
        <v>6985</v>
      </c>
      <c r="AG240" s="310" t="s">
        <v>2251</v>
      </c>
      <c r="AH240" s="310" t="s">
        <v>1028</v>
      </c>
      <c r="AI240" s="309" t="s">
        <v>186</v>
      </c>
      <c r="AJ240" s="6" t="s">
        <v>218</v>
      </c>
      <c r="AK240" s="6" t="str">
        <f t="shared" si="118"/>
        <v>IGUAL</v>
      </c>
      <c r="AL240" s="151" t="str">
        <f>IFERROR(IF(LEFT(A240,3)="LCP",VLOOKUP(A240,STATUS_SAP_LCP!B:C,2,FALSE),VLOOKUP(A240,STATUS_SAP_ICP!B:C,2,FALSE)),"NO BUDGET")</f>
        <v>CLSD BUDG AUC  AVAC  //  APPR BREL EXPL</v>
      </c>
      <c r="AM240" s="6" t="str">
        <f t="shared" si="116"/>
        <v>CLSD</v>
      </c>
      <c r="AN240" s="429" t="s">
        <v>557</v>
      </c>
      <c r="AO240" s="493">
        <v>1</v>
      </c>
      <c r="AP240" s="499" t="s">
        <v>9618</v>
      </c>
      <c r="AQ240" s="465">
        <v>45552</v>
      </c>
      <c r="AR240" s="460"/>
      <c r="AS240" s="57"/>
      <c r="AT240" s="185"/>
      <c r="AU240" s="318">
        <v>2.91269</v>
      </c>
      <c r="AV240" s="223">
        <v>11.211100000000002</v>
      </c>
      <c r="AW240" s="318">
        <v>13.13691</v>
      </c>
      <c r="AX240" s="223">
        <v>-27.2607</v>
      </c>
      <c r="AY240" s="318">
        <f t="shared" si="145"/>
        <v>0</v>
      </c>
      <c r="AZ240" s="223"/>
      <c r="BA240" s="318"/>
      <c r="BB240" s="519">
        <f t="shared" si="146"/>
        <v>0</v>
      </c>
      <c r="BC240" s="518">
        <v>0</v>
      </c>
      <c r="BD240" s="518">
        <v>0</v>
      </c>
      <c r="BE240" s="518">
        <v>0</v>
      </c>
      <c r="BF240" s="518">
        <v>0</v>
      </c>
      <c r="BG240" s="518">
        <v>0</v>
      </c>
      <c r="BH240" s="518">
        <v>0</v>
      </c>
      <c r="BI240" s="518">
        <v>0</v>
      </c>
      <c r="BJ240" s="518">
        <v>0</v>
      </c>
      <c r="BK240" s="518">
        <v>0</v>
      </c>
      <c r="BL240" s="518">
        <v>0</v>
      </c>
      <c r="BM240" s="518">
        <v>0</v>
      </c>
      <c r="BN240" s="518">
        <v>0</v>
      </c>
      <c r="BO240" s="367">
        <f t="shared" si="119"/>
        <v>0</v>
      </c>
      <c r="BP240" s="421">
        <v>0</v>
      </c>
      <c r="BQ240" s="422"/>
      <c r="BR240" s="423">
        <f>IFERROR(IF(LEFT($A240,3)="Lcp",SUMIFS('BASE-LCP'!$K:$K,'BASE-LCP'!$A:$A,Capex!$A236,'BASE-LCP'!$B:$B,"janeiro")/1000,IF(LEFT($A240,3)="icp",SUMIFS('BASE-ICP'!$K:$K,'BASE-ICP'!$A:$A,Capex!$A236,'BASE-ICP'!$B:$B,"janeiro")/1000,"")),"")</f>
        <v>0</v>
      </c>
      <c r="BS240" s="427">
        <v>0</v>
      </c>
      <c r="BT240" s="372">
        <v>0</v>
      </c>
      <c r="BU240" s="422"/>
      <c r="BV240" s="423">
        <f>IFERROR(IF(LEFT($A240,3)="Lcp",SUMIFS('BASE-LCP'!$K:$K,'BASE-LCP'!$A:$A,Capex!$A236,'BASE-LCP'!$B:$B,"fevereiro")/1000,IF(LEFT($A240,3)="icp",SUMIFS('BASE-ICP'!$K:$K,'BASE-ICP'!$A:$A,Capex!$A236,'BASE-ICP'!$B:$B,"fevereiro")/1000,"")),"")</f>
        <v>0</v>
      </c>
      <c r="BW240" s="427">
        <v>0</v>
      </c>
      <c r="BX240" s="372">
        <v>0</v>
      </c>
      <c r="BY240" s="419"/>
      <c r="BZ240" s="423">
        <f>IFERROR(IF(LEFT($A240,3)="Lcp",SUMIFS('BASE-LCP'!$K:$K,'BASE-LCP'!$A:$A,Capex!$A236,'BASE-LCP'!$B:$B,"março")/1000,IF(LEFT($A240,3)="icp",SUMIFS('BASE-ICP'!$K:$K,'BASE-ICP'!$A:$A,Capex!$A236,'BASE-ICP'!$B:$B,"março")/1000,"")),"")</f>
        <v>0</v>
      </c>
      <c r="CA240" s="427">
        <v>0</v>
      </c>
      <c r="CB240" s="372">
        <v>0</v>
      </c>
      <c r="CC240" s="422"/>
      <c r="CD240" s="423">
        <f>IFERROR(IF(LEFT($A240,3)="Lcp",SUMIFS('BASE-LCP'!$K:$K,'BASE-LCP'!$A:$A,Capex!$A236,'BASE-LCP'!$B:$B,"abril")/1000,IF(LEFT($A240,3)="icp",SUMIFS('BASE-ICP'!$K:$K,'BASE-ICP'!$A:$A,Capex!$A236,'BASE-ICP'!$B:$B,"abril")/1000,"")),"")</f>
        <v>0</v>
      </c>
      <c r="CE240" s="427">
        <v>0</v>
      </c>
      <c r="CF240" s="372">
        <v>0</v>
      </c>
      <c r="CG240" s="419"/>
      <c r="CH240" s="423">
        <v>0</v>
      </c>
      <c r="CI240" s="427">
        <v>0</v>
      </c>
      <c r="CJ240" s="372">
        <v>0</v>
      </c>
      <c r="CK240" s="419"/>
      <c r="CL240" s="423">
        <f>IFERROR(IF(LEFT($A240,3)="Lcp",SUMIFS('BASE-LCP'!$K:$K,'BASE-LCP'!$A:$A,Capex!$A236,'BASE-LCP'!$B:$B,"junho")/1000,IF(LEFT($A240,3)="icp",SUMIFS('BASE-ICP'!$K:$K,'BASE-ICP'!$A:$A,Capex!$A236,'BASE-ICP'!$B:$B,"junho")/1000,"")),"")</f>
        <v>0</v>
      </c>
      <c r="CM240" s="427">
        <v>0</v>
      </c>
      <c r="CN240" s="372"/>
      <c r="CO240" s="419"/>
      <c r="CP240" s="423">
        <f>IFERROR(IF(LEFT($A240,3)="Lcp",SUMIFS('BASE-LCP'!$K:$K,'BASE-LCP'!$A:$A,Capex!$A236,'BASE-LCP'!$B:$B,"julho")/1000,IF(LEFT($A240,3)="icp",SUMIFS('BASE-ICP'!$K:$K,'BASE-ICP'!$A:$A,Capex!$A236,'BASE-ICP'!$B:$B,"julho")/1000,"")),"")</f>
        <v>0</v>
      </c>
      <c r="CQ240" s="427">
        <v>0</v>
      </c>
      <c r="CR240" s="372"/>
      <c r="CS240" s="419"/>
      <c r="CT240" s="423">
        <f>IFERROR(IF(LEFT($A240,3)="Lcp",SUMIFS('BASE-LCP'!$K:$K,'BASE-LCP'!$A:$A,Capex!$A236,'BASE-LCP'!$B:$B,"agosto")/1000,IF(LEFT($A240,3)="icp",SUMIFS('BASE-ICP'!$K:$K,'BASE-ICP'!$A:$A,Capex!$A236,'BASE-ICP'!$B:$B,"agosto")/1000,"")),"")</f>
        <v>0</v>
      </c>
      <c r="CU240" s="427">
        <v>0</v>
      </c>
      <c r="CV240" s="372"/>
      <c r="CW240" s="419"/>
      <c r="CX240" s="423">
        <f>IFERROR(IF(LEFT($A240,3)="Lcp",SUMIFS('BASE-LCP'!$K:$K,'BASE-LCP'!$A:$A,Capex!$A236,'BASE-LCP'!$B:$B,"setembro")/1000,IF(LEFT($A240,3)="icp",SUMIFS('BASE-ICP'!$K:$K,'BASE-ICP'!$A:$A,Capex!$A236,'BASE-ICP'!$B:$B,"setembro")/1000,"")),"")</f>
        <v>0</v>
      </c>
      <c r="CY240" s="427">
        <v>0</v>
      </c>
      <c r="CZ240" s="372"/>
      <c r="DA240" s="419"/>
      <c r="DB240" s="423">
        <f>IFERROR(IF(LEFT($A240,3)="Lcp",SUMIFS('BASE-LCP'!$K:$K,'BASE-LCP'!$A:$A,Capex!$A236,'BASE-LCP'!$B:$B,"outubro")/1000,IF(LEFT($A240,3)="icp",SUMIFS('BASE-ICP'!$K:$K,'BASE-ICP'!$A:$A,Capex!$A236,'BASE-ICP'!$B:$B,"outubro")/1000,"")),"")</f>
        <v>0</v>
      </c>
      <c r="DC240" s="427">
        <v>0</v>
      </c>
      <c r="DD240" s="372"/>
      <c r="DE240" s="419"/>
      <c r="DF240" s="423">
        <f>IFERROR(IF(LEFT($A240,3)="Lcp",SUMIFS('BASE-LCP'!$K:$K,'BASE-LCP'!$A:$A,Capex!$A236,'BASE-LCP'!$B:$B,"novembro")/1000,IF(LEFT($A240,3)="icp",SUMIFS('BASE-ICP'!$K:$K,'BASE-ICP'!$A:$A,Capex!$A236,'BASE-ICP'!$B:$B,"novembro")/1000,"")),"")</f>
        <v>0</v>
      </c>
      <c r="DG240" s="427">
        <v>0</v>
      </c>
      <c r="DH240" s="372"/>
      <c r="DI240" s="419"/>
      <c r="DJ240" s="423">
        <f>IFERROR(IF(LEFT($A240,3)="Lcp",SUMIFS('BASE-LCP'!$K:$K,'BASE-LCP'!$A:$A,Capex!$A236,'BASE-LCP'!$B:$B,"dezembro")/1000,IF(LEFT($A240,3)="icp",SUMIFS('BASE-ICP'!$K:$K,'BASE-ICP'!$A:$A,Capex!$A236,'BASE-ICP'!$B:$B,"dezembro")/1000,"")),"")</f>
        <v>0</v>
      </c>
      <c r="DK240" s="427">
        <v>0</v>
      </c>
      <c r="DL240" s="452">
        <f t="shared" si="120"/>
        <v>0</v>
      </c>
      <c r="DM240" s="374"/>
      <c r="DN240" s="374">
        <v>0</v>
      </c>
      <c r="DO240" s="374"/>
      <c r="DP240" s="374"/>
      <c r="DQ240" s="374"/>
      <c r="DR240" s="374"/>
      <c r="DS240" s="374"/>
      <c r="DT240" s="374"/>
      <c r="DU240" s="374"/>
      <c r="DV240" s="374"/>
      <c r="DW240" s="374"/>
      <c r="DX240" s="374"/>
      <c r="DY240" s="450"/>
      <c r="DZ240" s="374">
        <f t="shared" si="121"/>
        <v>0</v>
      </c>
      <c r="EA240" s="216">
        <f t="shared" si="122"/>
        <v>0</v>
      </c>
      <c r="EB240" s="320">
        <f t="shared" si="123"/>
        <v>0</v>
      </c>
      <c r="EC240" s="241">
        <f t="shared" si="124"/>
        <v>0</v>
      </c>
      <c r="ED240" s="241">
        <f t="shared" si="125"/>
        <v>0</v>
      </c>
      <c r="EE240" s="241">
        <f t="shared" si="126"/>
        <v>0</v>
      </c>
      <c r="EF240" s="241">
        <f t="shared" si="127"/>
        <v>0</v>
      </c>
      <c r="EG240" s="346">
        <f t="shared" si="128"/>
        <v>0</v>
      </c>
      <c r="EH240" s="445">
        <f t="shared" si="129"/>
        <v>0</v>
      </c>
      <c r="EI240" s="447">
        <f t="shared" si="130"/>
        <v>0</v>
      </c>
      <c r="EJ240" s="364">
        <f t="shared" si="131"/>
        <v>0</v>
      </c>
      <c r="EK240" s="365">
        <f t="shared" si="132"/>
        <v>0</v>
      </c>
      <c r="EL240" s="529">
        <f t="shared" si="133"/>
        <v>0</v>
      </c>
      <c r="EM240" s="530">
        <v>0</v>
      </c>
      <c r="EN240" s="530">
        <v>0</v>
      </c>
      <c r="EO240" s="530">
        <v>0</v>
      </c>
      <c r="EP240" s="530">
        <v>0</v>
      </c>
      <c r="EQ240" s="530">
        <v>0</v>
      </c>
      <c r="ER240" s="530">
        <v>0</v>
      </c>
      <c r="ES240" s="530">
        <v>0</v>
      </c>
      <c r="ET240" s="530">
        <v>0</v>
      </c>
      <c r="EU240" s="530">
        <v>0</v>
      </c>
      <c r="EV240" s="530">
        <v>0</v>
      </c>
      <c r="EW240" s="530">
        <v>0</v>
      </c>
      <c r="EX240" s="530">
        <v>0</v>
      </c>
      <c r="EY240" s="530">
        <f t="shared" si="134"/>
        <v>0</v>
      </c>
      <c r="EZ240" s="530">
        <f t="shared" si="135"/>
        <v>0</v>
      </c>
      <c r="FA240" s="530">
        <f t="shared" si="136"/>
        <v>0</v>
      </c>
      <c r="FB240" s="530">
        <f t="shared" si="137"/>
        <v>0</v>
      </c>
      <c r="FC240" s="384">
        <f>IFERROR(VLOOKUP(Capex!A236,BASE_558!D:R,8,FALSE)/1000,"")</f>
        <v>195.46199999999999</v>
      </c>
      <c r="FD240" s="328">
        <f>IFERROR(VLOOKUP(Capex!A236,BASE_558!D:R,9,)/1000,"")</f>
        <v>191.70162999999999</v>
      </c>
      <c r="FE240" s="328">
        <f>IFERROR(IF(LEFT(A240,3)="LCP",(VLOOKUP(Capex!A236,BASE_558!D:R,10,)/1000),SUMIFS('BASE ICP_PO_SC'!F:F,'BASE ICP_PO_SC'!A:A,Capex!A236,'BASE ICP_PO_SC'!E:E,"&lt;&gt;")/1000),"")</f>
        <v>0</v>
      </c>
      <c r="FF240" s="328">
        <f>IFERROR(IF(LEFT(A240,3)="LCP",(VLOOKUP(Capex!A236,BASE_558!D:R,11,)/1000),SUMIFS('BASE ICP_PO_SC'!F:F,'BASE ICP_PO_SC'!A:A,Capex!A236,'BASE ICP_PO_SC'!E:E,"")/1000),"")</f>
        <v>0</v>
      </c>
      <c r="FG240" s="328">
        <f>IFERROR(VLOOKUP(A240,BASE_558!D:R,13,FALSE)/1000,"")</f>
        <v>0</v>
      </c>
      <c r="FH240" s="328">
        <f>IFERROR(VLOOKUP(A240,BASE_558!D:R,15,FALSE)/1000,"")</f>
        <v>73.208470000000005</v>
      </c>
      <c r="FI240" s="547">
        <f t="shared" si="138"/>
        <v>0</v>
      </c>
      <c r="FJ240" s="547">
        <f t="shared" si="139"/>
        <v>0</v>
      </c>
      <c r="FK240" s="540">
        <f t="shared" si="140"/>
        <v>0</v>
      </c>
    </row>
    <row r="241" spans="1:167" s="23" customFormat="1" ht="24" customHeight="1">
      <c r="A241" s="84" t="s">
        <v>1010</v>
      </c>
      <c r="B241" s="404"/>
      <c r="C241" s="404">
        <v>10312</v>
      </c>
      <c r="D241" s="338" t="s">
        <v>1886</v>
      </c>
      <c r="E241" s="378">
        <v>4413319</v>
      </c>
      <c r="F241" s="5"/>
      <c r="G241" s="310" t="s">
        <v>9</v>
      </c>
      <c r="H241" s="356"/>
      <c r="I241" s="356"/>
      <c r="J241" s="356">
        <v>2021</v>
      </c>
      <c r="K241" s="321">
        <v>44418</v>
      </c>
      <c r="L241" s="317">
        <v>45288</v>
      </c>
      <c r="M241" s="409"/>
      <c r="N241" s="317">
        <f t="shared" si="143"/>
        <v>45330</v>
      </c>
      <c r="O241" s="317">
        <f t="shared" si="144"/>
        <v>45695</v>
      </c>
      <c r="P241" s="418" t="str">
        <f t="shared" si="148"/>
        <v>NÃO</v>
      </c>
      <c r="Q241" s="418" t="str">
        <f t="shared" si="148"/>
        <v>CRTD</v>
      </c>
      <c r="R241" s="418" t="str">
        <f t="shared" si="148"/>
        <v>CRTD</v>
      </c>
      <c r="S241" s="418" t="str">
        <f t="shared" si="148"/>
        <v>CRTD</v>
      </c>
      <c r="T241" s="418" t="str">
        <f t="shared" si="148"/>
        <v>CRTD</v>
      </c>
      <c r="U241" s="418" t="str">
        <f t="shared" si="148"/>
        <v>CRTD</v>
      </c>
      <c r="V241" s="418" t="str">
        <f t="shared" si="148"/>
        <v>CRTD</v>
      </c>
      <c r="W241" s="418" t="str">
        <f t="shared" si="148"/>
        <v>CRTD</v>
      </c>
      <c r="X241" s="418" t="str">
        <f t="shared" si="148"/>
        <v>CRTD</v>
      </c>
      <c r="Y241" s="418" t="str">
        <f t="shared" si="148"/>
        <v>CRTD</v>
      </c>
      <c r="Z241" s="418" t="str">
        <f t="shared" si="148"/>
        <v>CRTD</v>
      </c>
      <c r="AA241" s="418" t="str">
        <f t="shared" si="148"/>
        <v>CRTD</v>
      </c>
      <c r="AB241" s="350"/>
      <c r="AC241" s="309" t="s">
        <v>3932</v>
      </c>
      <c r="AD241" s="311" t="s">
        <v>985</v>
      </c>
      <c r="AE241" s="361" t="s">
        <v>186</v>
      </c>
      <c r="AF241" s="310" t="s">
        <v>6985</v>
      </c>
      <c r="AG241" s="310" t="s">
        <v>9083</v>
      </c>
      <c r="AH241" s="310" t="s">
        <v>3255</v>
      </c>
      <c r="AI241" s="309" t="s">
        <v>186</v>
      </c>
      <c r="AJ241" s="6" t="s">
        <v>218</v>
      </c>
      <c r="AK241" s="6" t="str">
        <f t="shared" si="118"/>
        <v>IGUAL</v>
      </c>
      <c r="AL241" s="151" t="str">
        <f>IFERROR(IF(LEFT(A241,3)="LCP",VLOOKUP(A241,STATUS_SAP_LCP!B:C,2,FALSE),VLOOKUP(A241,STATUS_SAP_ICP!B:C,2,FALSE)),"NO BUDGET")</f>
        <v>CLSD BUDG AUC  AVAC  //  APPR BREL EXPL</v>
      </c>
      <c r="AM241" s="6" t="str">
        <f t="shared" si="116"/>
        <v>CLSD</v>
      </c>
      <c r="AN241" s="282" t="s">
        <v>9093</v>
      </c>
      <c r="AO241" s="493">
        <v>1</v>
      </c>
      <c r="AP241" s="499" t="s">
        <v>9607</v>
      </c>
      <c r="AQ241" s="465">
        <v>45288</v>
      </c>
      <c r="AR241" s="460"/>
      <c r="AS241" s="57"/>
      <c r="AT241" s="185"/>
      <c r="AU241" s="318">
        <v>101.15732</v>
      </c>
      <c r="AV241" s="223">
        <v>71.75184999999999</v>
      </c>
      <c r="AW241" s="318">
        <v>0</v>
      </c>
      <c r="AX241" s="223">
        <v>0</v>
      </c>
      <c r="AY241" s="318">
        <f t="shared" si="145"/>
        <v>0</v>
      </c>
      <c r="AZ241" s="223"/>
      <c r="BA241" s="318"/>
      <c r="BB241" s="519">
        <f t="shared" si="146"/>
        <v>0</v>
      </c>
      <c r="BC241" s="518"/>
      <c r="BD241" s="518"/>
      <c r="BE241" s="518"/>
      <c r="BF241" s="518"/>
      <c r="BG241" s="518"/>
      <c r="BH241" s="518"/>
      <c r="BI241" s="518"/>
      <c r="BJ241" s="518"/>
      <c r="BK241" s="518"/>
      <c r="BL241" s="518"/>
      <c r="BM241" s="518"/>
      <c r="BN241" s="518"/>
      <c r="BO241" s="367">
        <f t="shared" si="119"/>
        <v>0</v>
      </c>
      <c r="BP241" s="421"/>
      <c r="BQ241" s="422"/>
      <c r="BR241" s="423">
        <f>IFERROR(IF(LEFT($A241,3)="Lcp",SUMIFS('BASE-LCP'!$K:$K,'BASE-LCP'!$A:$A,Capex!$A237,'BASE-LCP'!$B:$B,"janeiro")/1000,IF(LEFT($A241,3)="icp",SUMIFS('BASE-ICP'!$K:$K,'BASE-ICP'!$A:$A,Capex!$A237,'BASE-ICP'!$B:$B,"janeiro")/1000,"")),"")</f>
        <v>0</v>
      </c>
      <c r="BS241" s="427">
        <v>0</v>
      </c>
      <c r="BT241" s="372">
        <v>0</v>
      </c>
      <c r="BU241" s="422"/>
      <c r="BV241" s="423">
        <f>IFERROR(IF(LEFT($A241,3)="Lcp",SUMIFS('BASE-LCP'!$K:$K,'BASE-LCP'!$A:$A,Capex!$A237,'BASE-LCP'!$B:$B,"fevereiro")/1000,IF(LEFT($A241,3)="icp",SUMIFS('BASE-ICP'!$K:$K,'BASE-ICP'!$A:$A,Capex!$A237,'BASE-ICP'!$B:$B,"fevereiro")/1000,"")),"")</f>
        <v>0</v>
      </c>
      <c r="BW241" s="427">
        <v>0</v>
      </c>
      <c r="BX241" s="372">
        <v>0</v>
      </c>
      <c r="BY241" s="419"/>
      <c r="BZ241" s="423">
        <f>IFERROR(IF(LEFT($A241,3)="Lcp",SUMIFS('BASE-LCP'!$K:$K,'BASE-LCP'!$A:$A,Capex!$A237,'BASE-LCP'!$B:$B,"março")/1000,IF(LEFT($A241,3)="icp",SUMIFS('BASE-ICP'!$K:$K,'BASE-ICP'!$A:$A,Capex!$A237,'BASE-ICP'!$B:$B,"março")/1000,"")),"")</f>
        <v>0</v>
      </c>
      <c r="CA241" s="427">
        <v>0</v>
      </c>
      <c r="CB241" s="372">
        <v>0</v>
      </c>
      <c r="CC241" s="422"/>
      <c r="CD241" s="423">
        <f>IFERROR(IF(LEFT($A241,3)="Lcp",SUMIFS('BASE-LCP'!$K:$K,'BASE-LCP'!$A:$A,Capex!$A237,'BASE-LCP'!$B:$B,"abril")/1000,IF(LEFT($A241,3)="icp",SUMIFS('BASE-ICP'!$K:$K,'BASE-ICP'!$A:$A,Capex!$A237,'BASE-ICP'!$B:$B,"abril")/1000,"")),"")</f>
        <v>0</v>
      </c>
      <c r="CE241" s="427">
        <v>0</v>
      </c>
      <c r="CF241" s="372">
        <v>0</v>
      </c>
      <c r="CG241" s="419"/>
      <c r="CH241" s="423">
        <v>0</v>
      </c>
      <c r="CI241" s="427">
        <v>0</v>
      </c>
      <c r="CJ241" s="372">
        <v>0</v>
      </c>
      <c r="CK241" s="419"/>
      <c r="CL241" s="423">
        <f>IFERROR(IF(LEFT($A241,3)="Lcp",SUMIFS('BASE-LCP'!$K:$K,'BASE-LCP'!$A:$A,Capex!$A237,'BASE-LCP'!$B:$B,"junho")/1000,IF(LEFT($A241,3)="icp",SUMIFS('BASE-ICP'!$K:$K,'BASE-ICP'!$A:$A,Capex!$A237,'BASE-ICP'!$B:$B,"junho")/1000,"")),"")</f>
        <v>0</v>
      </c>
      <c r="CM241" s="427">
        <v>0</v>
      </c>
      <c r="CN241" s="372"/>
      <c r="CO241" s="419"/>
      <c r="CP241" s="423">
        <f>IFERROR(IF(LEFT($A241,3)="Lcp",SUMIFS('BASE-LCP'!$K:$K,'BASE-LCP'!$A:$A,Capex!$A237,'BASE-LCP'!$B:$B,"julho")/1000,IF(LEFT($A241,3)="icp",SUMIFS('BASE-ICP'!$K:$K,'BASE-ICP'!$A:$A,Capex!$A237,'BASE-ICP'!$B:$B,"julho")/1000,"")),"")</f>
        <v>0</v>
      </c>
      <c r="CQ241" s="427">
        <v>0</v>
      </c>
      <c r="CR241" s="372"/>
      <c r="CS241" s="419"/>
      <c r="CT241" s="423">
        <f>IFERROR(IF(LEFT($A241,3)="Lcp",SUMIFS('BASE-LCP'!$K:$K,'BASE-LCP'!$A:$A,Capex!$A237,'BASE-LCP'!$B:$B,"agosto")/1000,IF(LEFT($A241,3)="icp",SUMIFS('BASE-ICP'!$K:$K,'BASE-ICP'!$A:$A,Capex!$A237,'BASE-ICP'!$B:$B,"agosto")/1000,"")),"")</f>
        <v>0</v>
      </c>
      <c r="CU241" s="427">
        <v>0</v>
      </c>
      <c r="CV241" s="372"/>
      <c r="CW241" s="419"/>
      <c r="CX241" s="423">
        <f>IFERROR(IF(LEFT($A241,3)="Lcp",SUMIFS('BASE-LCP'!$K:$K,'BASE-LCP'!$A:$A,Capex!$A237,'BASE-LCP'!$B:$B,"setembro")/1000,IF(LEFT($A241,3)="icp",SUMIFS('BASE-ICP'!$K:$K,'BASE-ICP'!$A:$A,Capex!$A237,'BASE-ICP'!$B:$B,"setembro")/1000,"")),"")</f>
        <v>0</v>
      </c>
      <c r="CY241" s="427">
        <v>0</v>
      </c>
      <c r="CZ241" s="372"/>
      <c r="DA241" s="419"/>
      <c r="DB241" s="423">
        <f>IFERROR(IF(LEFT($A241,3)="Lcp",SUMIFS('BASE-LCP'!$K:$K,'BASE-LCP'!$A:$A,Capex!$A237,'BASE-LCP'!$B:$B,"outubro")/1000,IF(LEFT($A241,3)="icp",SUMIFS('BASE-ICP'!$K:$K,'BASE-ICP'!$A:$A,Capex!$A237,'BASE-ICP'!$B:$B,"outubro")/1000,"")),"")</f>
        <v>0</v>
      </c>
      <c r="DC241" s="427">
        <v>0</v>
      </c>
      <c r="DD241" s="372"/>
      <c r="DE241" s="419"/>
      <c r="DF241" s="423">
        <f>IFERROR(IF(LEFT($A241,3)="Lcp",SUMIFS('BASE-LCP'!$K:$K,'BASE-LCP'!$A:$A,Capex!$A237,'BASE-LCP'!$B:$B,"novembro")/1000,IF(LEFT($A241,3)="icp",SUMIFS('BASE-ICP'!$K:$K,'BASE-ICP'!$A:$A,Capex!$A237,'BASE-ICP'!$B:$B,"novembro")/1000,"")),"")</f>
        <v>0</v>
      </c>
      <c r="DG241" s="427">
        <v>0</v>
      </c>
      <c r="DH241" s="372"/>
      <c r="DI241" s="419"/>
      <c r="DJ241" s="423">
        <f>IFERROR(IF(LEFT($A241,3)="Lcp",SUMIFS('BASE-LCP'!$K:$K,'BASE-LCP'!$A:$A,Capex!$A237,'BASE-LCP'!$B:$B,"dezembro")/1000,IF(LEFT($A241,3)="icp",SUMIFS('BASE-ICP'!$K:$K,'BASE-ICP'!$A:$A,Capex!$A237,'BASE-ICP'!$B:$B,"dezembro")/1000,"")),"")</f>
        <v>0</v>
      </c>
      <c r="DK241" s="427">
        <v>0</v>
      </c>
      <c r="DL241" s="452">
        <f t="shared" si="120"/>
        <v>0</v>
      </c>
      <c r="DM241" s="374"/>
      <c r="DN241" s="374"/>
      <c r="DO241" s="374"/>
      <c r="DP241" s="374"/>
      <c r="DQ241" s="374"/>
      <c r="DR241" s="374"/>
      <c r="DS241" s="374"/>
      <c r="DT241" s="374"/>
      <c r="DU241" s="374"/>
      <c r="DV241" s="374"/>
      <c r="DW241" s="374"/>
      <c r="DX241" s="374"/>
      <c r="DY241" s="450"/>
      <c r="DZ241" s="374">
        <f t="shared" si="121"/>
        <v>0</v>
      </c>
      <c r="EA241" s="216">
        <f t="shared" si="122"/>
        <v>0</v>
      </c>
      <c r="EB241" s="320">
        <f t="shared" si="123"/>
        <v>0</v>
      </c>
      <c r="EC241" s="241">
        <f t="shared" si="124"/>
        <v>0</v>
      </c>
      <c r="ED241" s="241">
        <f t="shared" si="125"/>
        <v>0</v>
      </c>
      <c r="EE241" s="241">
        <f t="shared" si="126"/>
        <v>0</v>
      </c>
      <c r="EF241" s="241">
        <f t="shared" si="127"/>
        <v>0</v>
      </c>
      <c r="EG241" s="346">
        <f t="shared" si="128"/>
        <v>0</v>
      </c>
      <c r="EH241" s="445">
        <f t="shared" si="129"/>
        <v>0</v>
      </c>
      <c r="EI241" s="447">
        <f t="shared" si="130"/>
        <v>0</v>
      </c>
      <c r="EJ241" s="364">
        <f t="shared" si="131"/>
        <v>0</v>
      </c>
      <c r="EK241" s="365">
        <f t="shared" si="132"/>
        <v>0</v>
      </c>
      <c r="EL241" s="529">
        <f t="shared" si="133"/>
        <v>0</v>
      </c>
      <c r="EM241" s="530">
        <v>0</v>
      </c>
      <c r="EN241" s="530">
        <v>0</v>
      </c>
      <c r="EO241" s="530">
        <v>0</v>
      </c>
      <c r="EP241" s="530">
        <v>0</v>
      </c>
      <c r="EQ241" s="530">
        <v>0</v>
      </c>
      <c r="ER241" s="530">
        <v>0</v>
      </c>
      <c r="ES241" s="530">
        <v>0</v>
      </c>
      <c r="ET241" s="530">
        <v>0</v>
      </c>
      <c r="EU241" s="530">
        <v>0</v>
      </c>
      <c r="EV241" s="530">
        <v>0</v>
      </c>
      <c r="EW241" s="530">
        <v>0</v>
      </c>
      <c r="EX241" s="530">
        <v>0</v>
      </c>
      <c r="EY241" s="530">
        <f t="shared" si="134"/>
        <v>0</v>
      </c>
      <c r="EZ241" s="530">
        <f t="shared" si="135"/>
        <v>0</v>
      </c>
      <c r="FA241" s="530">
        <f t="shared" si="136"/>
        <v>0</v>
      </c>
      <c r="FB241" s="530">
        <f t="shared" si="137"/>
        <v>0</v>
      </c>
      <c r="FC241" s="384">
        <f>IFERROR(VLOOKUP(Capex!A237,BASE_558!D:R,8,FALSE)/1000,"")</f>
        <v>103.2</v>
      </c>
      <c r="FD241" s="328">
        <f>IFERROR(VLOOKUP(Capex!A237,BASE_558!D:R,9,)/1000,"")</f>
        <v>56.943449999999999</v>
      </c>
      <c r="FE241" s="328">
        <f>IFERROR(IF(LEFT(A241,3)="LCP",(VLOOKUP(Capex!A237,BASE_558!D:R,10,)/1000),SUMIFS('BASE ICP_PO_SC'!F:F,'BASE ICP_PO_SC'!A:A,Capex!A237,'BASE ICP_PO_SC'!E:E,"&lt;&gt;")/1000),"")</f>
        <v>0</v>
      </c>
      <c r="FF241" s="328">
        <f>IFERROR(IF(LEFT(A241,3)="LCP",(VLOOKUP(Capex!A237,BASE_558!D:R,11,)/1000),SUMIFS('BASE ICP_PO_SC'!F:F,'BASE ICP_PO_SC'!A:A,Capex!A237,'BASE ICP_PO_SC'!E:E,"")/1000),"")</f>
        <v>0</v>
      </c>
      <c r="FG241" s="328">
        <f>IFERROR(VLOOKUP(A241,BASE_558!D:R,13,FALSE)/1000,"")</f>
        <v>172.90917000000002</v>
      </c>
      <c r="FH241" s="328">
        <f>IFERROR(VLOOKUP(A241,BASE_558!D:R,15,FALSE)/1000,"")</f>
        <v>9.5370600000000003</v>
      </c>
      <c r="FI241" s="547">
        <f t="shared" si="138"/>
        <v>0</v>
      </c>
      <c r="FJ241" s="547">
        <f t="shared" si="139"/>
        <v>0</v>
      </c>
      <c r="FK241" s="540">
        <f t="shared" si="140"/>
        <v>0</v>
      </c>
    </row>
    <row r="242" spans="1:167" s="23" customFormat="1" ht="24" customHeight="1">
      <c r="A242" s="84" t="s">
        <v>1007</v>
      </c>
      <c r="B242" s="404"/>
      <c r="C242" s="404" t="s">
        <v>602</v>
      </c>
      <c r="D242" s="338" t="s">
        <v>1891</v>
      </c>
      <c r="E242" s="378">
        <v>4267113</v>
      </c>
      <c r="F242" s="5"/>
      <c r="G242" s="310" t="s">
        <v>9</v>
      </c>
      <c r="H242" s="338"/>
      <c r="I242" s="356" t="s">
        <v>6</v>
      </c>
      <c r="J242" s="356">
        <v>2021</v>
      </c>
      <c r="K242" s="321">
        <v>44386</v>
      </c>
      <c r="L242" s="317">
        <v>45289</v>
      </c>
      <c r="M242" s="409"/>
      <c r="N242" s="317">
        <f t="shared" si="143"/>
        <v>45298</v>
      </c>
      <c r="O242" s="317">
        <f t="shared" si="144"/>
        <v>45663</v>
      </c>
      <c r="P242" s="418" t="str">
        <f t="shared" si="148"/>
        <v>CRTD</v>
      </c>
      <c r="Q242" s="418" t="str">
        <f t="shared" si="148"/>
        <v>CRTD</v>
      </c>
      <c r="R242" s="418" t="str">
        <f t="shared" si="148"/>
        <v>CRTD</v>
      </c>
      <c r="S242" s="418" t="str">
        <f t="shared" si="148"/>
        <v>CRTD</v>
      </c>
      <c r="T242" s="418" t="str">
        <f t="shared" si="148"/>
        <v>CRTD</v>
      </c>
      <c r="U242" s="418" t="str">
        <f t="shared" si="148"/>
        <v>CRTD</v>
      </c>
      <c r="V242" s="418" t="str">
        <f t="shared" si="148"/>
        <v>CRTD</v>
      </c>
      <c r="W242" s="418" t="str">
        <f t="shared" si="148"/>
        <v>CRTD</v>
      </c>
      <c r="X242" s="418" t="str">
        <f t="shared" si="148"/>
        <v>CRTD</v>
      </c>
      <c r="Y242" s="418" t="str">
        <f t="shared" si="148"/>
        <v>CRTD</v>
      </c>
      <c r="Z242" s="418" t="str">
        <f t="shared" si="148"/>
        <v>CRTD</v>
      </c>
      <c r="AA242" s="418" t="str">
        <f t="shared" si="148"/>
        <v>CRTD</v>
      </c>
      <c r="AB242" s="317"/>
      <c r="AC242" s="309" t="s">
        <v>3930</v>
      </c>
      <c r="AD242" s="311"/>
      <c r="AE242" s="361"/>
      <c r="AF242" s="310" t="s">
        <v>6985</v>
      </c>
      <c r="AG242" s="310" t="s">
        <v>2485</v>
      </c>
      <c r="AH242" s="310" t="s">
        <v>1036</v>
      </c>
      <c r="AI242" s="381" t="s">
        <v>188</v>
      </c>
      <c r="AJ242" s="6" t="s">
        <v>218</v>
      </c>
      <c r="AK242" s="6" t="str">
        <f t="shared" si="118"/>
        <v>IGUAL</v>
      </c>
      <c r="AL242" s="151" t="str">
        <f>IFERROR(IF(LEFT(A242,3)="LCP",VLOOKUP(A242,STATUS_SAP_LCP!B:C,2,FALSE),VLOOKUP(A242,STATUS_SAP_ICP!B:C,2,FALSE)),"NO BUDGET")</f>
        <v>CLSD BUDG AUC  AVAC  //  APPR BREL EXPL</v>
      </c>
      <c r="AM242" s="6" t="str">
        <f t="shared" si="116"/>
        <v>CLSD</v>
      </c>
      <c r="AN242" s="414" t="s">
        <v>2651</v>
      </c>
      <c r="AO242" s="558">
        <v>1</v>
      </c>
      <c r="AP242" s="499" t="s">
        <v>9607</v>
      </c>
      <c r="AQ242" s="465">
        <v>45289</v>
      </c>
      <c r="AR242" s="460"/>
      <c r="AS242" s="57"/>
      <c r="AT242" s="185"/>
      <c r="AU242" s="318">
        <v>221.22225000000003</v>
      </c>
      <c r="AV242" s="223">
        <v>22.38814</v>
      </c>
      <c r="AW242" s="318">
        <v>5.4385499999999993</v>
      </c>
      <c r="AX242" s="223">
        <v>0</v>
      </c>
      <c r="AY242" s="318">
        <f t="shared" si="145"/>
        <v>0</v>
      </c>
      <c r="AZ242" s="223"/>
      <c r="BA242" s="318"/>
      <c r="BB242" s="519">
        <f t="shared" si="146"/>
        <v>0</v>
      </c>
      <c r="BC242" s="518"/>
      <c r="BD242" s="518"/>
      <c r="BE242" s="518"/>
      <c r="BF242" s="518"/>
      <c r="BG242" s="518"/>
      <c r="BH242" s="518"/>
      <c r="BI242" s="518"/>
      <c r="BJ242" s="518"/>
      <c r="BK242" s="518"/>
      <c r="BL242" s="518"/>
      <c r="BM242" s="518"/>
      <c r="BN242" s="518"/>
      <c r="BO242" s="367">
        <f t="shared" si="119"/>
        <v>0</v>
      </c>
      <c r="BP242" s="421"/>
      <c r="BQ242" s="422"/>
      <c r="BR242" s="423">
        <f>IFERROR(IF(LEFT($A242,3)="Lcp",SUMIFS('BASE-LCP'!$K:$K,'BASE-LCP'!$A:$A,Capex!$A238,'BASE-LCP'!$B:$B,"janeiro")/1000,IF(LEFT($A242,3)="icp",SUMIFS('BASE-ICP'!$K:$K,'BASE-ICP'!$A:$A,Capex!$A238,'BASE-ICP'!$B:$B,"janeiro")/1000,"")),"")</f>
        <v>0</v>
      </c>
      <c r="BS242" s="427">
        <v>0</v>
      </c>
      <c r="BT242" s="372">
        <v>0</v>
      </c>
      <c r="BU242" s="422"/>
      <c r="BV242" s="423">
        <f>IFERROR(IF(LEFT($A242,3)="Lcp",SUMIFS('BASE-LCP'!$K:$K,'BASE-LCP'!$A:$A,Capex!$A238,'BASE-LCP'!$B:$B,"fevereiro")/1000,IF(LEFT($A242,3)="icp",SUMIFS('BASE-ICP'!$K:$K,'BASE-ICP'!$A:$A,Capex!$A238,'BASE-ICP'!$B:$B,"fevereiro")/1000,"")),"")</f>
        <v>0</v>
      </c>
      <c r="BW242" s="427">
        <v>0</v>
      </c>
      <c r="BX242" s="372">
        <v>0</v>
      </c>
      <c r="BY242" s="419"/>
      <c r="BZ242" s="423">
        <f>IFERROR(IF(LEFT($A242,3)="Lcp",SUMIFS('BASE-LCP'!$K:$K,'BASE-LCP'!$A:$A,Capex!$A238,'BASE-LCP'!$B:$B,"março")/1000,IF(LEFT($A242,3)="icp",SUMIFS('BASE-ICP'!$K:$K,'BASE-ICP'!$A:$A,Capex!$A238,'BASE-ICP'!$B:$B,"março")/1000,"")),"")</f>
        <v>0</v>
      </c>
      <c r="CA242" s="427">
        <v>0</v>
      </c>
      <c r="CB242" s="372">
        <v>0</v>
      </c>
      <c r="CC242" s="422"/>
      <c r="CD242" s="423">
        <f>IFERROR(IF(LEFT($A242,3)="Lcp",SUMIFS('BASE-LCP'!$K:$K,'BASE-LCP'!$A:$A,Capex!$A238,'BASE-LCP'!$B:$B,"abril")/1000,IF(LEFT($A242,3)="icp",SUMIFS('BASE-ICP'!$K:$K,'BASE-ICP'!$A:$A,Capex!$A238,'BASE-ICP'!$B:$B,"abril")/1000,"")),"")</f>
        <v>0</v>
      </c>
      <c r="CE242" s="427">
        <v>0</v>
      </c>
      <c r="CF242" s="372">
        <v>0</v>
      </c>
      <c r="CG242" s="419"/>
      <c r="CH242" s="423">
        <v>0</v>
      </c>
      <c r="CI242" s="427">
        <v>0</v>
      </c>
      <c r="CJ242" s="372">
        <v>0</v>
      </c>
      <c r="CK242" s="419"/>
      <c r="CL242" s="423">
        <f>IFERROR(IF(LEFT($A242,3)="Lcp",SUMIFS('BASE-LCP'!$K:$K,'BASE-LCP'!$A:$A,Capex!$A238,'BASE-LCP'!$B:$B,"junho")/1000,IF(LEFT($A242,3)="icp",SUMIFS('BASE-ICP'!$K:$K,'BASE-ICP'!$A:$A,Capex!$A238,'BASE-ICP'!$B:$B,"junho")/1000,"")),"")</f>
        <v>0</v>
      </c>
      <c r="CM242" s="427">
        <v>0</v>
      </c>
      <c r="CN242" s="372"/>
      <c r="CO242" s="419"/>
      <c r="CP242" s="423">
        <f>IFERROR(IF(LEFT($A242,3)="Lcp",SUMIFS('BASE-LCP'!$K:$K,'BASE-LCP'!$A:$A,Capex!$A238,'BASE-LCP'!$B:$B,"julho")/1000,IF(LEFT($A242,3)="icp",SUMIFS('BASE-ICP'!$K:$K,'BASE-ICP'!$A:$A,Capex!$A238,'BASE-ICP'!$B:$B,"julho")/1000,"")),"")</f>
        <v>0</v>
      </c>
      <c r="CQ242" s="427">
        <v>0</v>
      </c>
      <c r="CR242" s="372"/>
      <c r="CS242" s="419"/>
      <c r="CT242" s="423">
        <f>IFERROR(IF(LEFT($A242,3)="Lcp",SUMIFS('BASE-LCP'!$K:$K,'BASE-LCP'!$A:$A,Capex!$A238,'BASE-LCP'!$B:$B,"agosto")/1000,IF(LEFT($A242,3)="icp",SUMIFS('BASE-ICP'!$K:$K,'BASE-ICP'!$A:$A,Capex!$A238,'BASE-ICP'!$B:$B,"agosto")/1000,"")),"")</f>
        <v>0</v>
      </c>
      <c r="CU242" s="427">
        <v>0</v>
      </c>
      <c r="CV242" s="372"/>
      <c r="CW242" s="419"/>
      <c r="CX242" s="423">
        <f>IFERROR(IF(LEFT($A242,3)="Lcp",SUMIFS('BASE-LCP'!$K:$K,'BASE-LCP'!$A:$A,Capex!$A238,'BASE-LCP'!$B:$B,"setembro")/1000,IF(LEFT($A242,3)="icp",SUMIFS('BASE-ICP'!$K:$K,'BASE-ICP'!$A:$A,Capex!$A238,'BASE-ICP'!$B:$B,"setembro")/1000,"")),"")</f>
        <v>0</v>
      </c>
      <c r="CY242" s="427">
        <v>0</v>
      </c>
      <c r="CZ242" s="372"/>
      <c r="DA242" s="419"/>
      <c r="DB242" s="423">
        <f>IFERROR(IF(LEFT($A242,3)="Lcp",SUMIFS('BASE-LCP'!$K:$K,'BASE-LCP'!$A:$A,Capex!$A238,'BASE-LCP'!$B:$B,"outubro")/1000,IF(LEFT($A242,3)="icp",SUMIFS('BASE-ICP'!$K:$K,'BASE-ICP'!$A:$A,Capex!$A238,'BASE-ICP'!$B:$B,"outubro")/1000,"")),"")</f>
        <v>0</v>
      </c>
      <c r="DC242" s="427">
        <v>0</v>
      </c>
      <c r="DD242" s="372"/>
      <c r="DE242" s="419"/>
      <c r="DF242" s="423">
        <f>IFERROR(IF(LEFT($A242,3)="Lcp",SUMIFS('BASE-LCP'!$K:$K,'BASE-LCP'!$A:$A,Capex!$A238,'BASE-LCP'!$B:$B,"novembro")/1000,IF(LEFT($A242,3)="icp",SUMIFS('BASE-ICP'!$K:$K,'BASE-ICP'!$A:$A,Capex!$A238,'BASE-ICP'!$B:$B,"novembro")/1000,"")),"")</f>
        <v>0</v>
      </c>
      <c r="DG242" s="427">
        <v>0</v>
      </c>
      <c r="DH242" s="372"/>
      <c r="DI242" s="419"/>
      <c r="DJ242" s="423">
        <f>IFERROR(IF(LEFT($A242,3)="Lcp",SUMIFS('BASE-LCP'!$K:$K,'BASE-LCP'!$A:$A,Capex!$A238,'BASE-LCP'!$B:$B,"dezembro")/1000,IF(LEFT($A242,3)="icp",SUMIFS('BASE-ICP'!$K:$K,'BASE-ICP'!$A:$A,Capex!$A238,'BASE-ICP'!$B:$B,"dezembro")/1000,"")),"")</f>
        <v>0</v>
      </c>
      <c r="DK242" s="427">
        <v>0</v>
      </c>
      <c r="DL242" s="452">
        <f t="shared" si="120"/>
        <v>0</v>
      </c>
      <c r="DM242" s="374"/>
      <c r="DN242" s="374"/>
      <c r="DO242" s="374"/>
      <c r="DP242" s="374"/>
      <c r="DQ242" s="374"/>
      <c r="DR242" s="374"/>
      <c r="DS242" s="374"/>
      <c r="DT242" s="374"/>
      <c r="DU242" s="374"/>
      <c r="DV242" s="374"/>
      <c r="DW242" s="374"/>
      <c r="DX242" s="374"/>
      <c r="DY242" s="450"/>
      <c r="DZ242" s="374">
        <f t="shared" si="121"/>
        <v>0</v>
      </c>
      <c r="EA242" s="216">
        <f t="shared" si="122"/>
        <v>0</v>
      </c>
      <c r="EB242" s="320">
        <f t="shared" si="123"/>
        <v>0</v>
      </c>
      <c r="EC242" s="241">
        <f t="shared" si="124"/>
        <v>0</v>
      </c>
      <c r="ED242" s="241">
        <f t="shared" si="125"/>
        <v>0</v>
      </c>
      <c r="EE242" s="241">
        <f t="shared" si="126"/>
        <v>0</v>
      </c>
      <c r="EF242" s="241">
        <f t="shared" si="127"/>
        <v>0</v>
      </c>
      <c r="EG242" s="346">
        <f t="shared" si="128"/>
        <v>0</v>
      </c>
      <c r="EH242" s="445">
        <f t="shared" si="129"/>
        <v>0</v>
      </c>
      <c r="EI242" s="447">
        <f t="shared" si="130"/>
        <v>0</v>
      </c>
      <c r="EJ242" s="364">
        <f t="shared" si="131"/>
        <v>0</v>
      </c>
      <c r="EK242" s="365">
        <f t="shared" si="132"/>
        <v>0</v>
      </c>
      <c r="EL242" s="529">
        <f t="shared" si="133"/>
        <v>0</v>
      </c>
      <c r="EM242" s="530">
        <v>0</v>
      </c>
      <c r="EN242" s="530">
        <v>0</v>
      </c>
      <c r="EO242" s="530">
        <v>0</v>
      </c>
      <c r="EP242" s="530">
        <v>0</v>
      </c>
      <c r="EQ242" s="530">
        <v>0</v>
      </c>
      <c r="ER242" s="530">
        <v>0</v>
      </c>
      <c r="ES242" s="530">
        <v>0</v>
      </c>
      <c r="ET242" s="530">
        <v>0</v>
      </c>
      <c r="EU242" s="530">
        <v>0</v>
      </c>
      <c r="EV242" s="530">
        <v>0</v>
      </c>
      <c r="EW242" s="530">
        <v>0</v>
      </c>
      <c r="EX242" s="530">
        <v>0</v>
      </c>
      <c r="EY242" s="530">
        <f t="shared" si="134"/>
        <v>0</v>
      </c>
      <c r="EZ242" s="530">
        <f t="shared" si="135"/>
        <v>0</v>
      </c>
      <c r="FA242" s="530">
        <f t="shared" si="136"/>
        <v>0</v>
      </c>
      <c r="FB242" s="530">
        <f t="shared" si="137"/>
        <v>0</v>
      </c>
      <c r="FC242" s="384">
        <f>IFERROR(VLOOKUP(Capex!A238,BASE_558!D:R,8,FALSE)/1000,"")</f>
        <v>195</v>
      </c>
      <c r="FD242" s="328">
        <f>IFERROR(VLOOKUP(Capex!A238,BASE_558!D:R,9,)/1000,"")</f>
        <v>183.27967999999998</v>
      </c>
      <c r="FE242" s="328">
        <f>IFERROR(IF(LEFT(A242,3)="LCP",(VLOOKUP(Capex!A238,BASE_558!D:R,10,)/1000),SUMIFS('BASE ICP_PO_SC'!F:F,'BASE ICP_PO_SC'!A:A,Capex!A238,'BASE ICP_PO_SC'!E:E,"&lt;&gt;")/1000),"")</f>
        <v>0</v>
      </c>
      <c r="FF242" s="328">
        <f>IFERROR(IF(LEFT(A242,3)="LCP",(VLOOKUP(Capex!A238,BASE_558!D:R,11,)/1000),SUMIFS('BASE ICP_PO_SC'!F:F,'BASE ICP_PO_SC'!A:A,Capex!A238,'BASE ICP_PO_SC'!E:E,"")/1000),"")</f>
        <v>0</v>
      </c>
      <c r="FG242" s="328">
        <f>IFERROR(VLOOKUP(A242,BASE_558!D:R,13,FALSE)/1000,"")</f>
        <v>249.04894000000002</v>
      </c>
      <c r="FH242" s="328">
        <f>IFERROR(VLOOKUP(A242,BASE_558!D:R,15,FALSE)/1000,"")</f>
        <v>0.45106000000000002</v>
      </c>
      <c r="FI242" s="547">
        <f t="shared" si="138"/>
        <v>0</v>
      </c>
      <c r="FJ242" s="547">
        <f t="shared" si="139"/>
        <v>0</v>
      </c>
      <c r="FK242" s="540">
        <f t="shared" si="140"/>
        <v>0</v>
      </c>
    </row>
    <row r="243" spans="1:167" s="23" customFormat="1" ht="24" customHeight="1">
      <c r="A243" s="84" t="s">
        <v>1006</v>
      </c>
      <c r="B243" s="404"/>
      <c r="C243" s="404">
        <v>16888</v>
      </c>
      <c r="D243" s="338" t="s">
        <v>2276</v>
      </c>
      <c r="E243" s="378">
        <v>4321792</v>
      </c>
      <c r="F243" s="310"/>
      <c r="G243" s="310" t="s">
        <v>9</v>
      </c>
      <c r="H243" s="338"/>
      <c r="I243" s="356"/>
      <c r="J243" s="356">
        <v>2021</v>
      </c>
      <c r="K243" s="321">
        <v>44386</v>
      </c>
      <c r="L243" s="317">
        <v>45103</v>
      </c>
      <c r="M243" s="409"/>
      <c r="N243" s="317">
        <f t="shared" si="143"/>
        <v>45298</v>
      </c>
      <c r="O243" s="317">
        <f t="shared" si="144"/>
        <v>45663</v>
      </c>
      <c r="P243" s="418" t="str">
        <f t="shared" si="148"/>
        <v>CRTD</v>
      </c>
      <c r="Q243" s="418" t="str">
        <f t="shared" si="148"/>
        <v>CRTD</v>
      </c>
      <c r="R243" s="418" t="str">
        <f t="shared" si="148"/>
        <v>CRTD</v>
      </c>
      <c r="S243" s="418" t="str">
        <f t="shared" si="148"/>
        <v>CRTD</v>
      </c>
      <c r="T243" s="418" t="str">
        <f t="shared" si="148"/>
        <v>CRTD</v>
      </c>
      <c r="U243" s="418" t="str">
        <f t="shared" si="148"/>
        <v>CRTD</v>
      </c>
      <c r="V243" s="418" t="str">
        <f t="shared" si="148"/>
        <v>CRTD</v>
      </c>
      <c r="W243" s="418" t="str">
        <f t="shared" si="148"/>
        <v>CRTD</v>
      </c>
      <c r="X243" s="418" t="str">
        <f t="shared" si="148"/>
        <v>CRTD</v>
      </c>
      <c r="Y243" s="418" t="str">
        <f t="shared" si="148"/>
        <v>CRTD</v>
      </c>
      <c r="Z243" s="418" t="str">
        <f t="shared" si="148"/>
        <v>CRTD</v>
      </c>
      <c r="AA243" s="418" t="str">
        <f t="shared" si="148"/>
        <v>CRTD</v>
      </c>
      <c r="AB243" s="568"/>
      <c r="AC243" s="309" t="s">
        <v>3932</v>
      </c>
      <c r="AD243" s="311" t="s">
        <v>985</v>
      </c>
      <c r="AE243" s="361" t="s">
        <v>186</v>
      </c>
      <c r="AF243" s="310" t="s">
        <v>6985</v>
      </c>
      <c r="AG243" s="310" t="s">
        <v>9083</v>
      </c>
      <c r="AH243" s="310" t="s">
        <v>1031</v>
      </c>
      <c r="AI243" s="309" t="s">
        <v>186</v>
      </c>
      <c r="AJ243" s="6" t="s">
        <v>218</v>
      </c>
      <c r="AK243" s="6" t="str">
        <f t="shared" si="118"/>
        <v>IGUAL</v>
      </c>
      <c r="AL243" s="151" t="str">
        <f>IFERROR(IF(LEFT(A243,3)="LCP",VLOOKUP(A243,STATUS_SAP_LCP!B:C,2,FALSE),VLOOKUP(A243,STATUS_SAP_ICP!B:C,2,FALSE)),"NO BUDGET")</f>
        <v>CLSD BUDG AUC  AVAC  //  APPR BREL EXPL</v>
      </c>
      <c r="AM243" s="6" t="str">
        <f t="shared" si="116"/>
        <v>CLSD</v>
      </c>
      <c r="AN243" s="414" t="s">
        <v>9093</v>
      </c>
      <c r="AO243" s="558">
        <v>1</v>
      </c>
      <c r="AP243" s="499" t="s">
        <v>9607</v>
      </c>
      <c r="AQ243" s="465">
        <v>45103</v>
      </c>
      <c r="AR243" s="460"/>
      <c r="AS243" s="57"/>
      <c r="AT243" s="185"/>
      <c r="AU243" s="318">
        <v>118.35044999999998</v>
      </c>
      <c r="AV243" s="223">
        <v>-0.63858000000000004</v>
      </c>
      <c r="AW243" s="318">
        <v>0</v>
      </c>
      <c r="AX243" s="223">
        <v>0</v>
      </c>
      <c r="AY243" s="318">
        <f t="shared" si="145"/>
        <v>0</v>
      </c>
      <c r="AZ243" s="223"/>
      <c r="BA243" s="318"/>
      <c r="BB243" s="519">
        <f t="shared" si="146"/>
        <v>0</v>
      </c>
      <c r="BC243" s="518"/>
      <c r="BD243" s="518"/>
      <c r="BE243" s="518"/>
      <c r="BF243" s="518"/>
      <c r="BG243" s="518"/>
      <c r="BH243" s="518"/>
      <c r="BI243" s="518"/>
      <c r="BJ243" s="518"/>
      <c r="BK243" s="518"/>
      <c r="BL243" s="518"/>
      <c r="BM243" s="518"/>
      <c r="BN243" s="518"/>
      <c r="BO243" s="367">
        <f t="shared" si="119"/>
        <v>0</v>
      </c>
      <c r="BP243" s="421"/>
      <c r="BQ243" s="422"/>
      <c r="BR243" s="423">
        <f>IFERROR(IF(LEFT($A243,3)="Lcp",SUMIFS('BASE-LCP'!$K:$K,'BASE-LCP'!$A:$A,Capex!$A239,'BASE-LCP'!$B:$B,"janeiro")/1000,IF(LEFT($A243,3)="icp",SUMIFS('BASE-ICP'!$K:$K,'BASE-ICP'!$A:$A,Capex!$A239,'BASE-ICP'!$B:$B,"janeiro")/1000,"")),"")</f>
        <v>0</v>
      </c>
      <c r="BS243" s="427">
        <v>0</v>
      </c>
      <c r="BT243" s="372">
        <v>0</v>
      </c>
      <c r="BU243" s="422"/>
      <c r="BV243" s="423">
        <f>IFERROR(IF(LEFT($A243,3)="Lcp",SUMIFS('BASE-LCP'!$K:$K,'BASE-LCP'!$A:$A,Capex!$A239,'BASE-LCP'!$B:$B,"fevereiro")/1000,IF(LEFT($A243,3)="icp",SUMIFS('BASE-ICP'!$K:$K,'BASE-ICP'!$A:$A,Capex!$A239,'BASE-ICP'!$B:$B,"fevereiro")/1000,"")),"")</f>
        <v>0</v>
      </c>
      <c r="BW243" s="427">
        <v>0</v>
      </c>
      <c r="BX243" s="372">
        <v>0</v>
      </c>
      <c r="BY243" s="419"/>
      <c r="BZ243" s="423">
        <f>IFERROR(IF(LEFT($A243,3)="Lcp",SUMIFS('BASE-LCP'!$K:$K,'BASE-LCP'!$A:$A,Capex!$A239,'BASE-LCP'!$B:$B,"março")/1000,IF(LEFT($A243,3)="icp",SUMIFS('BASE-ICP'!$K:$K,'BASE-ICP'!$A:$A,Capex!$A239,'BASE-ICP'!$B:$B,"março")/1000,"")),"")</f>
        <v>0</v>
      </c>
      <c r="CA243" s="427">
        <v>0</v>
      </c>
      <c r="CB243" s="372">
        <v>0</v>
      </c>
      <c r="CC243" s="422"/>
      <c r="CD243" s="423">
        <f>IFERROR(IF(LEFT($A243,3)="Lcp",SUMIFS('BASE-LCP'!$K:$K,'BASE-LCP'!$A:$A,Capex!$A239,'BASE-LCP'!$B:$B,"abril")/1000,IF(LEFT($A243,3)="icp",SUMIFS('BASE-ICP'!$K:$K,'BASE-ICP'!$A:$A,Capex!$A239,'BASE-ICP'!$B:$B,"abril")/1000,"")),"")</f>
        <v>0</v>
      </c>
      <c r="CE243" s="427">
        <v>0</v>
      </c>
      <c r="CF243" s="372">
        <v>0</v>
      </c>
      <c r="CG243" s="419"/>
      <c r="CH243" s="423">
        <v>0</v>
      </c>
      <c r="CI243" s="427">
        <v>0</v>
      </c>
      <c r="CJ243" s="372">
        <v>0</v>
      </c>
      <c r="CK243" s="419"/>
      <c r="CL243" s="423">
        <f>IFERROR(IF(LEFT($A243,3)="Lcp",SUMIFS('BASE-LCP'!$K:$K,'BASE-LCP'!$A:$A,Capex!$A239,'BASE-LCP'!$B:$B,"junho")/1000,IF(LEFT($A243,3)="icp",SUMIFS('BASE-ICP'!$K:$K,'BASE-ICP'!$A:$A,Capex!$A239,'BASE-ICP'!$B:$B,"junho")/1000,"")),"")</f>
        <v>0</v>
      </c>
      <c r="CM243" s="427">
        <v>0</v>
      </c>
      <c r="CN243" s="372"/>
      <c r="CO243" s="419"/>
      <c r="CP243" s="423">
        <f>IFERROR(IF(LEFT($A243,3)="Lcp",SUMIFS('BASE-LCP'!$K:$K,'BASE-LCP'!$A:$A,Capex!$A239,'BASE-LCP'!$B:$B,"julho")/1000,IF(LEFT($A243,3)="icp",SUMIFS('BASE-ICP'!$K:$K,'BASE-ICP'!$A:$A,Capex!$A239,'BASE-ICP'!$B:$B,"julho")/1000,"")),"")</f>
        <v>0</v>
      </c>
      <c r="CQ243" s="427">
        <v>0</v>
      </c>
      <c r="CR243" s="372"/>
      <c r="CS243" s="419"/>
      <c r="CT243" s="423">
        <f>IFERROR(IF(LEFT($A243,3)="Lcp",SUMIFS('BASE-LCP'!$K:$K,'BASE-LCP'!$A:$A,Capex!$A239,'BASE-LCP'!$B:$B,"agosto")/1000,IF(LEFT($A243,3)="icp",SUMIFS('BASE-ICP'!$K:$K,'BASE-ICP'!$A:$A,Capex!$A239,'BASE-ICP'!$B:$B,"agosto")/1000,"")),"")</f>
        <v>0</v>
      </c>
      <c r="CU243" s="427">
        <v>0</v>
      </c>
      <c r="CV243" s="372"/>
      <c r="CW243" s="419"/>
      <c r="CX243" s="423">
        <f>IFERROR(IF(LEFT($A243,3)="Lcp",SUMIFS('BASE-LCP'!$K:$K,'BASE-LCP'!$A:$A,Capex!$A239,'BASE-LCP'!$B:$B,"setembro")/1000,IF(LEFT($A243,3)="icp",SUMIFS('BASE-ICP'!$K:$K,'BASE-ICP'!$A:$A,Capex!$A239,'BASE-ICP'!$B:$B,"setembro")/1000,"")),"")</f>
        <v>0</v>
      </c>
      <c r="CY243" s="427">
        <v>0</v>
      </c>
      <c r="CZ243" s="372"/>
      <c r="DA243" s="419"/>
      <c r="DB243" s="423">
        <f>IFERROR(IF(LEFT($A243,3)="Lcp",SUMIFS('BASE-LCP'!$K:$K,'BASE-LCP'!$A:$A,Capex!$A239,'BASE-LCP'!$B:$B,"outubro")/1000,IF(LEFT($A243,3)="icp",SUMIFS('BASE-ICP'!$K:$K,'BASE-ICP'!$A:$A,Capex!$A239,'BASE-ICP'!$B:$B,"outubro")/1000,"")),"")</f>
        <v>0</v>
      </c>
      <c r="DC243" s="427">
        <v>0</v>
      </c>
      <c r="DD243" s="372"/>
      <c r="DE243" s="419"/>
      <c r="DF243" s="423">
        <f>IFERROR(IF(LEFT($A243,3)="Lcp",SUMIFS('BASE-LCP'!$K:$K,'BASE-LCP'!$A:$A,Capex!$A239,'BASE-LCP'!$B:$B,"novembro")/1000,IF(LEFT($A243,3)="icp",SUMIFS('BASE-ICP'!$K:$K,'BASE-ICP'!$A:$A,Capex!$A239,'BASE-ICP'!$B:$B,"novembro")/1000,"")),"")</f>
        <v>0</v>
      </c>
      <c r="DG243" s="427">
        <v>0</v>
      </c>
      <c r="DH243" s="372"/>
      <c r="DI243" s="419"/>
      <c r="DJ243" s="423">
        <f>IFERROR(IF(LEFT($A243,3)="Lcp",SUMIFS('BASE-LCP'!$K:$K,'BASE-LCP'!$A:$A,Capex!$A239,'BASE-LCP'!$B:$B,"dezembro")/1000,IF(LEFT($A243,3)="icp",SUMIFS('BASE-ICP'!$K:$K,'BASE-ICP'!$A:$A,Capex!$A239,'BASE-ICP'!$B:$B,"dezembro")/1000,"")),"")</f>
        <v>0</v>
      </c>
      <c r="DK243" s="427">
        <v>0</v>
      </c>
      <c r="DL243" s="452">
        <f t="shared" si="120"/>
        <v>0</v>
      </c>
      <c r="DM243" s="374"/>
      <c r="DN243" s="374"/>
      <c r="DO243" s="374"/>
      <c r="DP243" s="374"/>
      <c r="DQ243" s="374"/>
      <c r="DR243" s="374"/>
      <c r="DS243" s="374"/>
      <c r="DT243" s="374"/>
      <c r="DU243" s="374"/>
      <c r="DV243" s="374"/>
      <c r="DW243" s="374"/>
      <c r="DX243" s="374"/>
      <c r="DY243" s="450"/>
      <c r="DZ243" s="374">
        <f t="shared" si="121"/>
        <v>0</v>
      </c>
      <c r="EA243" s="216">
        <f t="shared" si="122"/>
        <v>0</v>
      </c>
      <c r="EB243" s="320">
        <f t="shared" si="123"/>
        <v>0</v>
      </c>
      <c r="EC243" s="241">
        <f t="shared" si="124"/>
        <v>0</v>
      </c>
      <c r="ED243" s="241">
        <f t="shared" si="125"/>
        <v>0</v>
      </c>
      <c r="EE243" s="241">
        <f t="shared" si="126"/>
        <v>0</v>
      </c>
      <c r="EF243" s="241">
        <f t="shared" si="127"/>
        <v>0</v>
      </c>
      <c r="EG243" s="346">
        <f t="shared" si="128"/>
        <v>0</v>
      </c>
      <c r="EH243" s="445">
        <f t="shared" si="129"/>
        <v>0</v>
      </c>
      <c r="EI243" s="447">
        <f t="shared" si="130"/>
        <v>0</v>
      </c>
      <c r="EJ243" s="364">
        <f t="shared" si="131"/>
        <v>0</v>
      </c>
      <c r="EK243" s="365">
        <f t="shared" si="132"/>
        <v>0</v>
      </c>
      <c r="EL243" s="529">
        <f t="shared" si="133"/>
        <v>0</v>
      </c>
      <c r="EM243" s="530">
        <v>0</v>
      </c>
      <c r="EN243" s="530">
        <v>0</v>
      </c>
      <c r="EO243" s="530">
        <v>0</v>
      </c>
      <c r="EP243" s="530">
        <v>0</v>
      </c>
      <c r="EQ243" s="530">
        <v>0</v>
      </c>
      <c r="ER243" s="530">
        <v>0</v>
      </c>
      <c r="ES243" s="530">
        <v>0</v>
      </c>
      <c r="ET243" s="530">
        <v>0</v>
      </c>
      <c r="EU243" s="530">
        <v>0</v>
      </c>
      <c r="EV243" s="530">
        <v>0</v>
      </c>
      <c r="EW243" s="530">
        <v>0</v>
      </c>
      <c r="EX243" s="530">
        <v>0</v>
      </c>
      <c r="EY243" s="530">
        <f t="shared" si="134"/>
        <v>0</v>
      </c>
      <c r="EZ243" s="530">
        <f t="shared" si="135"/>
        <v>0</v>
      </c>
      <c r="FA243" s="530">
        <f t="shared" si="136"/>
        <v>0</v>
      </c>
      <c r="FB243" s="530">
        <f t="shared" si="137"/>
        <v>0</v>
      </c>
      <c r="FC243" s="384">
        <f>IFERROR(VLOOKUP(Capex!A239,BASE_558!D:R,8,FALSE)/1000,"")</f>
        <v>168</v>
      </c>
      <c r="FD243" s="328">
        <f>IFERROR(VLOOKUP(Capex!A239,BASE_558!D:R,9,)/1000,"")</f>
        <v>160.31653</v>
      </c>
      <c r="FE243" s="328">
        <f>IFERROR(IF(LEFT(A243,3)="LCP",(VLOOKUP(Capex!A239,BASE_558!D:R,10,)/1000),SUMIFS('BASE ICP_PO_SC'!F:F,'BASE ICP_PO_SC'!A:A,Capex!A239,'BASE ICP_PO_SC'!E:E,"&lt;&gt;")/1000),"")</f>
        <v>0</v>
      </c>
      <c r="FF243" s="328">
        <f>IFERROR(IF(LEFT(A243,3)="LCP",(VLOOKUP(Capex!A239,BASE_558!D:R,11,)/1000),SUMIFS('BASE ICP_PO_SC'!F:F,'BASE ICP_PO_SC'!A:A,Capex!A239,'BASE ICP_PO_SC'!E:E,"")/1000),"")</f>
        <v>0</v>
      </c>
      <c r="FG243" s="328">
        <f>IFERROR(VLOOKUP(A243,BASE_558!D:R,13,FALSE)/1000,"")</f>
        <v>117.71186999999999</v>
      </c>
      <c r="FH243" s="328">
        <f>IFERROR(VLOOKUP(A243,BASE_558!D:R,15,FALSE)/1000,"")</f>
        <v>6.4550400000000003</v>
      </c>
      <c r="FI243" s="547">
        <f t="shared" si="138"/>
        <v>0</v>
      </c>
      <c r="FJ243" s="547">
        <f t="shared" si="139"/>
        <v>0</v>
      </c>
      <c r="FK243" s="540">
        <f t="shared" si="140"/>
        <v>0</v>
      </c>
    </row>
    <row r="244" spans="1:167" s="23" customFormat="1" ht="24" customHeight="1">
      <c r="A244" s="84" t="s">
        <v>1013</v>
      </c>
      <c r="B244" s="404"/>
      <c r="C244" s="404">
        <v>2523</v>
      </c>
      <c r="D244" s="338" t="s">
        <v>1900</v>
      </c>
      <c r="E244" s="378">
        <v>4305993</v>
      </c>
      <c r="F244" s="5"/>
      <c r="G244" s="310" t="s">
        <v>9</v>
      </c>
      <c r="H244" s="338" t="s">
        <v>6</v>
      </c>
      <c r="I244" s="356"/>
      <c r="J244" s="356">
        <v>2021</v>
      </c>
      <c r="K244" s="352">
        <v>44386</v>
      </c>
      <c r="L244" s="317">
        <v>45701</v>
      </c>
      <c r="M244" s="409"/>
      <c r="N244" s="317">
        <f t="shared" si="143"/>
        <v>45298</v>
      </c>
      <c r="O244" s="317">
        <f t="shared" si="144"/>
        <v>45663</v>
      </c>
      <c r="P244" s="418" t="str">
        <f t="shared" si="148"/>
        <v>CRTD</v>
      </c>
      <c r="Q244" s="418" t="str">
        <f t="shared" si="148"/>
        <v>CRTD</v>
      </c>
      <c r="R244" s="418" t="str">
        <f t="shared" si="148"/>
        <v>CRTD</v>
      </c>
      <c r="S244" s="418" t="str">
        <f t="shared" si="148"/>
        <v>CRTD</v>
      </c>
      <c r="T244" s="418" t="str">
        <f t="shared" si="148"/>
        <v>CRTD</v>
      </c>
      <c r="U244" s="418" t="str">
        <f t="shared" si="148"/>
        <v>CRTD</v>
      </c>
      <c r="V244" s="418" t="str">
        <f t="shared" si="148"/>
        <v>CRTD</v>
      </c>
      <c r="W244" s="418" t="str">
        <f t="shared" si="148"/>
        <v>CRTD</v>
      </c>
      <c r="X244" s="418" t="str">
        <f t="shared" si="148"/>
        <v>CRTD</v>
      </c>
      <c r="Y244" s="418" t="str">
        <f t="shared" si="148"/>
        <v>CRTD</v>
      </c>
      <c r="Z244" s="418" t="str">
        <f t="shared" si="148"/>
        <v>CRTD</v>
      </c>
      <c r="AA244" s="418" t="str">
        <f t="shared" si="148"/>
        <v>CRTD</v>
      </c>
      <c r="AB244" s="350"/>
      <c r="AC244" s="309" t="s">
        <v>3932</v>
      </c>
      <c r="AD244" s="311" t="s">
        <v>982</v>
      </c>
      <c r="AE244" s="311" t="s">
        <v>2261</v>
      </c>
      <c r="AF244" s="310" t="s">
        <v>6985</v>
      </c>
      <c r="AG244" s="310" t="s">
        <v>2251</v>
      </c>
      <c r="AH244" s="310" t="s">
        <v>1029</v>
      </c>
      <c r="AI244" s="309" t="s">
        <v>186</v>
      </c>
      <c r="AJ244" s="6" t="s">
        <v>218</v>
      </c>
      <c r="AK244" s="6" t="str">
        <f t="shared" si="118"/>
        <v>IGUAL</v>
      </c>
      <c r="AL244" s="151" t="str">
        <f>IFERROR(IF(LEFT(A244,3)="LCP",VLOOKUP(A244,STATUS_SAP_LCP!B:C,2,FALSE),VLOOKUP(A244,STATUS_SAP_ICP!B:C,2,FALSE)),"NO BUDGET")</f>
        <v>CLSD BUDG AUC  AVAC  //  APPR BREL EXPL</v>
      </c>
      <c r="AM244" s="6" t="str">
        <f t="shared" si="116"/>
        <v>CLSD</v>
      </c>
      <c r="AN244" s="414" t="s">
        <v>8546</v>
      </c>
      <c r="AO244" s="558">
        <v>1</v>
      </c>
      <c r="AP244" s="499" t="s">
        <v>9618</v>
      </c>
      <c r="AQ244" s="465">
        <v>45701</v>
      </c>
      <c r="AR244" s="460"/>
      <c r="AS244" s="57"/>
      <c r="AT244" s="185"/>
      <c r="AU244" s="318">
        <v>68.743170000000006</v>
      </c>
      <c r="AV244" s="223">
        <v>11.029169999999999</v>
      </c>
      <c r="AW244" s="318">
        <v>33.982059999999997</v>
      </c>
      <c r="AX244" s="223">
        <v>-99.219490000000008</v>
      </c>
      <c r="AY244" s="318">
        <f t="shared" si="145"/>
        <v>-14.53491</v>
      </c>
      <c r="AZ244" s="223"/>
      <c r="BA244" s="318"/>
      <c r="BB244" s="519">
        <f t="shared" si="146"/>
        <v>0</v>
      </c>
      <c r="BC244" s="518">
        <v>0</v>
      </c>
      <c r="BD244" s="518">
        <v>0</v>
      </c>
      <c r="BE244" s="518">
        <v>0</v>
      </c>
      <c r="BF244" s="518">
        <v>0</v>
      </c>
      <c r="BG244" s="518">
        <v>0</v>
      </c>
      <c r="BH244" s="518">
        <v>0</v>
      </c>
      <c r="BI244" s="518">
        <v>0</v>
      </c>
      <c r="BJ244" s="518">
        <v>0</v>
      </c>
      <c r="BK244" s="518">
        <v>0</v>
      </c>
      <c r="BL244" s="518">
        <v>0</v>
      </c>
      <c r="BM244" s="518">
        <v>0</v>
      </c>
      <c r="BN244" s="518">
        <v>0</v>
      </c>
      <c r="BO244" s="367">
        <f t="shared" si="119"/>
        <v>-14.53491</v>
      </c>
      <c r="BP244" s="421">
        <v>0</v>
      </c>
      <c r="BQ244" s="422"/>
      <c r="BR244" s="423">
        <f>IFERROR(IF(LEFT($A244,3)="Lcp",SUMIFS('BASE-LCP'!$K:$K,'BASE-LCP'!$A:$A,Capex!$A240,'BASE-LCP'!$B:$B,"janeiro")/1000,IF(LEFT($A244,3)="icp",SUMIFS('BASE-ICP'!$K:$K,'BASE-ICP'!$A:$A,Capex!$A240,'BASE-ICP'!$B:$B,"janeiro")/1000,"")),"")</f>
        <v>0</v>
      </c>
      <c r="BS244" s="427">
        <v>0</v>
      </c>
      <c r="BT244" s="372">
        <v>0</v>
      </c>
      <c r="BU244" s="422">
        <v>-14.53491</v>
      </c>
      <c r="BV244" s="423">
        <f>IFERROR(IF(LEFT($A244,3)="Lcp",SUMIFS('BASE-LCP'!$K:$K,'BASE-LCP'!$A:$A,Capex!$A240,'BASE-LCP'!$B:$B,"fevereiro")/1000,IF(LEFT($A244,3)="icp",SUMIFS('BASE-ICP'!$K:$K,'BASE-ICP'!$A:$A,Capex!$A240,'BASE-ICP'!$B:$B,"fevereiro")/1000,"")),"")</f>
        <v>0</v>
      </c>
      <c r="BW244" s="427">
        <v>-14.53491</v>
      </c>
      <c r="BX244" s="372">
        <v>0</v>
      </c>
      <c r="BY244" s="419"/>
      <c r="BZ244" s="423">
        <f>IFERROR(IF(LEFT($A244,3)="Lcp",SUMIFS('BASE-LCP'!$K:$K,'BASE-LCP'!$A:$A,Capex!$A240,'BASE-LCP'!$B:$B,"março")/1000,IF(LEFT($A244,3)="icp",SUMIFS('BASE-ICP'!$K:$K,'BASE-ICP'!$A:$A,Capex!$A240,'BASE-ICP'!$B:$B,"março")/1000,"")),"")</f>
        <v>0</v>
      </c>
      <c r="CA244" s="427">
        <v>0</v>
      </c>
      <c r="CB244" s="372">
        <v>0</v>
      </c>
      <c r="CC244" s="422"/>
      <c r="CD244" s="423">
        <f>IFERROR(IF(LEFT($A244,3)="Lcp",SUMIFS('BASE-LCP'!$K:$K,'BASE-LCP'!$A:$A,Capex!$A240,'BASE-LCP'!$B:$B,"abril")/1000,IF(LEFT($A244,3)="icp",SUMIFS('BASE-ICP'!$K:$K,'BASE-ICP'!$A:$A,Capex!$A240,'BASE-ICP'!$B:$B,"abril")/1000,"")),"")</f>
        <v>0</v>
      </c>
      <c r="CE244" s="427">
        <v>0</v>
      </c>
      <c r="CF244" s="372">
        <v>0</v>
      </c>
      <c r="CG244" s="419"/>
      <c r="CH244" s="423">
        <v>0</v>
      </c>
      <c r="CI244" s="427">
        <v>0</v>
      </c>
      <c r="CJ244" s="372">
        <v>0</v>
      </c>
      <c r="CK244" s="419"/>
      <c r="CL244" s="423">
        <f>IFERROR(IF(LEFT($A244,3)="Lcp",SUMIFS('BASE-LCP'!$K:$K,'BASE-LCP'!$A:$A,Capex!$A240,'BASE-LCP'!$B:$B,"junho")/1000,IF(LEFT($A244,3)="icp",SUMIFS('BASE-ICP'!$K:$K,'BASE-ICP'!$A:$A,Capex!$A240,'BASE-ICP'!$B:$B,"junho")/1000,"")),"")</f>
        <v>0</v>
      </c>
      <c r="CM244" s="427">
        <v>0</v>
      </c>
      <c r="CN244" s="372"/>
      <c r="CO244" s="419"/>
      <c r="CP244" s="423">
        <f>IFERROR(IF(LEFT($A244,3)="Lcp",SUMIFS('BASE-LCP'!$K:$K,'BASE-LCP'!$A:$A,Capex!$A240,'BASE-LCP'!$B:$B,"julho")/1000,IF(LEFT($A244,3)="icp",SUMIFS('BASE-ICP'!$K:$K,'BASE-ICP'!$A:$A,Capex!$A240,'BASE-ICP'!$B:$B,"julho")/1000,"")),"")</f>
        <v>0</v>
      </c>
      <c r="CQ244" s="427">
        <v>0</v>
      </c>
      <c r="CR244" s="372"/>
      <c r="CS244" s="419"/>
      <c r="CT244" s="423">
        <f>IFERROR(IF(LEFT($A244,3)="Lcp",SUMIFS('BASE-LCP'!$K:$K,'BASE-LCP'!$A:$A,Capex!$A240,'BASE-LCP'!$B:$B,"agosto")/1000,IF(LEFT($A244,3)="icp",SUMIFS('BASE-ICP'!$K:$K,'BASE-ICP'!$A:$A,Capex!$A240,'BASE-ICP'!$B:$B,"agosto")/1000,"")),"")</f>
        <v>0</v>
      </c>
      <c r="CU244" s="427">
        <v>0</v>
      </c>
      <c r="CV244" s="372"/>
      <c r="CW244" s="419"/>
      <c r="CX244" s="423">
        <f>IFERROR(IF(LEFT($A244,3)="Lcp",SUMIFS('BASE-LCP'!$K:$K,'BASE-LCP'!$A:$A,Capex!$A240,'BASE-LCP'!$B:$B,"setembro")/1000,IF(LEFT($A244,3)="icp",SUMIFS('BASE-ICP'!$K:$K,'BASE-ICP'!$A:$A,Capex!$A240,'BASE-ICP'!$B:$B,"setembro")/1000,"")),"")</f>
        <v>0</v>
      </c>
      <c r="CY244" s="427">
        <v>0</v>
      </c>
      <c r="CZ244" s="372"/>
      <c r="DA244" s="419"/>
      <c r="DB244" s="423">
        <f>IFERROR(IF(LEFT($A244,3)="Lcp",SUMIFS('BASE-LCP'!$K:$K,'BASE-LCP'!$A:$A,Capex!$A240,'BASE-LCP'!$B:$B,"outubro")/1000,IF(LEFT($A244,3)="icp",SUMIFS('BASE-ICP'!$K:$K,'BASE-ICP'!$A:$A,Capex!$A240,'BASE-ICP'!$B:$B,"outubro")/1000,"")),"")</f>
        <v>0</v>
      </c>
      <c r="DC244" s="427">
        <v>0</v>
      </c>
      <c r="DD244" s="372"/>
      <c r="DE244" s="419"/>
      <c r="DF244" s="423">
        <f>IFERROR(IF(LEFT($A244,3)="Lcp",SUMIFS('BASE-LCP'!$K:$K,'BASE-LCP'!$A:$A,Capex!$A240,'BASE-LCP'!$B:$B,"novembro")/1000,IF(LEFT($A244,3)="icp",SUMIFS('BASE-ICP'!$K:$K,'BASE-ICP'!$A:$A,Capex!$A240,'BASE-ICP'!$B:$B,"novembro")/1000,"")),"")</f>
        <v>0</v>
      </c>
      <c r="DG244" s="427">
        <v>0</v>
      </c>
      <c r="DH244" s="372"/>
      <c r="DI244" s="419"/>
      <c r="DJ244" s="423">
        <f>IFERROR(IF(LEFT($A244,3)="Lcp",SUMIFS('BASE-LCP'!$K:$K,'BASE-LCP'!$A:$A,Capex!$A240,'BASE-LCP'!$B:$B,"dezembro")/1000,IF(LEFT($A244,3)="icp",SUMIFS('BASE-ICP'!$K:$K,'BASE-ICP'!$A:$A,Capex!$A240,'BASE-ICP'!$B:$B,"dezembro")/1000,"")),"")</f>
        <v>0</v>
      </c>
      <c r="DK244" s="427">
        <v>0</v>
      </c>
      <c r="DL244" s="452">
        <f t="shared" si="120"/>
        <v>0</v>
      </c>
      <c r="DM244" s="374"/>
      <c r="DN244" s="374">
        <v>0</v>
      </c>
      <c r="DO244" s="374"/>
      <c r="DP244" s="374"/>
      <c r="DQ244" s="374"/>
      <c r="DR244" s="374"/>
      <c r="DS244" s="374"/>
      <c r="DT244" s="374"/>
      <c r="DU244" s="374"/>
      <c r="DV244" s="374"/>
      <c r="DW244" s="374"/>
      <c r="DX244" s="374"/>
      <c r="DY244" s="450"/>
      <c r="DZ244" s="374">
        <f t="shared" si="121"/>
        <v>0</v>
      </c>
      <c r="EA244" s="216">
        <f t="shared" si="122"/>
        <v>0</v>
      </c>
      <c r="EB244" s="320">
        <f t="shared" si="123"/>
        <v>0</v>
      </c>
      <c r="EC244" s="241">
        <f t="shared" si="124"/>
        <v>-14.53491</v>
      </c>
      <c r="ED244" s="241">
        <f t="shared" si="125"/>
        <v>0</v>
      </c>
      <c r="EE244" s="241">
        <f t="shared" si="126"/>
        <v>0</v>
      </c>
      <c r="EF244" s="241">
        <f t="shared" si="127"/>
        <v>0</v>
      </c>
      <c r="EG244" s="346">
        <f t="shared" si="128"/>
        <v>-14.53491</v>
      </c>
      <c r="EH244" s="445">
        <f t="shared" si="129"/>
        <v>0</v>
      </c>
      <c r="EI244" s="447">
        <f t="shared" si="130"/>
        <v>0</v>
      </c>
      <c r="EJ244" s="364">
        <f t="shared" si="131"/>
        <v>-14.53491</v>
      </c>
      <c r="EK244" s="365">
        <f t="shared" si="132"/>
        <v>0</v>
      </c>
      <c r="EL244" s="529">
        <f t="shared" si="133"/>
        <v>-14.53491</v>
      </c>
      <c r="EM244" s="530">
        <v>0</v>
      </c>
      <c r="EN244" s="530">
        <v>-14.53491</v>
      </c>
      <c r="EO244" s="530">
        <v>0</v>
      </c>
      <c r="EP244" s="530">
        <v>0</v>
      </c>
      <c r="EQ244" s="530">
        <v>0</v>
      </c>
      <c r="ER244" s="530">
        <v>0</v>
      </c>
      <c r="ES244" s="530">
        <v>0</v>
      </c>
      <c r="ET244" s="530">
        <v>0</v>
      </c>
      <c r="EU244" s="530">
        <v>0</v>
      </c>
      <c r="EV244" s="530">
        <v>0</v>
      </c>
      <c r="EW244" s="530">
        <v>0</v>
      </c>
      <c r="EX244" s="530">
        <v>0</v>
      </c>
      <c r="EY244" s="530">
        <f t="shared" si="134"/>
        <v>-14.53491</v>
      </c>
      <c r="EZ244" s="530">
        <f t="shared" si="135"/>
        <v>0</v>
      </c>
      <c r="FA244" s="530">
        <f t="shared" si="136"/>
        <v>0</v>
      </c>
      <c r="FB244" s="530">
        <f t="shared" si="137"/>
        <v>0</v>
      </c>
      <c r="FC244" s="384">
        <f>IFERROR(VLOOKUP(Capex!A240,BASE_558!D:R,8,FALSE)/1000,"")</f>
        <v>73.208470000000005</v>
      </c>
      <c r="FD244" s="328">
        <f>IFERROR(VLOOKUP(Capex!A240,BASE_558!D:R,9,)/1000,"")</f>
        <v>0</v>
      </c>
      <c r="FE244" s="328">
        <f>IFERROR(IF(LEFT(A244,3)="LCP",(VLOOKUP(Capex!A240,BASE_558!D:R,10,)/1000),SUMIFS('BASE ICP_PO_SC'!F:F,'BASE ICP_PO_SC'!A:A,Capex!A240,'BASE ICP_PO_SC'!E:E,"&lt;&gt;")/1000),"")</f>
        <v>0</v>
      </c>
      <c r="FF244" s="328">
        <f>IFERROR(IF(LEFT(A244,3)="LCP",(VLOOKUP(Capex!A240,BASE_558!D:R,11,)/1000),SUMIFS('BASE ICP_PO_SC'!F:F,'BASE ICP_PO_SC'!A:A,Capex!A240,'BASE ICP_PO_SC'!E:E,"")/1000),"")</f>
        <v>0</v>
      </c>
      <c r="FG244" s="328">
        <f>IFERROR(VLOOKUP(A244,BASE_558!D:R,13,FALSE)/1000,"")</f>
        <v>0</v>
      </c>
      <c r="FH244" s="328">
        <f>IFERROR(VLOOKUP(A244,BASE_558!D:R,15,FALSE)/1000,"")</f>
        <v>175.17137</v>
      </c>
      <c r="FI244" s="547">
        <f t="shared" si="138"/>
        <v>0</v>
      </c>
      <c r="FJ244" s="547">
        <f t="shared" si="139"/>
        <v>0</v>
      </c>
      <c r="FK244" s="540">
        <f t="shared" si="140"/>
        <v>0</v>
      </c>
    </row>
    <row r="245" spans="1:167" s="23" customFormat="1" ht="24" customHeight="1">
      <c r="A245" s="84" t="s">
        <v>1027</v>
      </c>
      <c r="B245" s="404"/>
      <c r="C245" s="404">
        <v>14331</v>
      </c>
      <c r="D245" s="338" t="s">
        <v>1899</v>
      </c>
      <c r="E245" s="378">
        <v>4306091</v>
      </c>
      <c r="F245" s="310"/>
      <c r="G245" s="310" t="s">
        <v>9</v>
      </c>
      <c r="H245" s="338"/>
      <c r="I245" s="356"/>
      <c r="J245" s="356">
        <v>2021</v>
      </c>
      <c r="K245" s="321">
        <v>44392</v>
      </c>
      <c r="L245" s="317">
        <v>45103</v>
      </c>
      <c r="M245" s="409"/>
      <c r="N245" s="317">
        <f t="shared" si="143"/>
        <v>45304</v>
      </c>
      <c r="O245" s="317">
        <f t="shared" si="144"/>
        <v>45669</v>
      </c>
      <c r="P245" s="418" t="str">
        <f t="shared" ref="P245:AA254" si="149">IF($N245="","N/A",IF($O245="","N/A",IF(P$2&lt;=$N245,"NÃO",IF($AJ245="REL ","SIM",IF(P$2&lt;$O245,"NÃO",IF($AJ245&lt;&gt;"CLSD","SIM","CRTD"))))))</f>
        <v>CRTD</v>
      </c>
      <c r="Q245" s="418" t="str">
        <f t="shared" si="149"/>
        <v>CRTD</v>
      </c>
      <c r="R245" s="418" t="str">
        <f t="shared" si="149"/>
        <v>CRTD</v>
      </c>
      <c r="S245" s="418" t="str">
        <f t="shared" si="149"/>
        <v>CRTD</v>
      </c>
      <c r="T245" s="418" t="str">
        <f t="shared" si="149"/>
        <v>CRTD</v>
      </c>
      <c r="U245" s="418" t="str">
        <f t="shared" si="149"/>
        <v>CRTD</v>
      </c>
      <c r="V245" s="418" t="str">
        <f t="shared" si="149"/>
        <v>CRTD</v>
      </c>
      <c r="W245" s="418" t="str">
        <f t="shared" si="149"/>
        <v>CRTD</v>
      </c>
      <c r="X245" s="418" t="str">
        <f t="shared" si="149"/>
        <v>CRTD</v>
      </c>
      <c r="Y245" s="418" t="str">
        <f t="shared" si="149"/>
        <v>CRTD</v>
      </c>
      <c r="Z245" s="418" t="str">
        <f t="shared" si="149"/>
        <v>CRTD</v>
      </c>
      <c r="AA245" s="418" t="str">
        <f t="shared" si="149"/>
        <v>CRTD</v>
      </c>
      <c r="AB245" s="350"/>
      <c r="AC245" s="309" t="s">
        <v>3932</v>
      </c>
      <c r="AD245" s="311" t="s">
        <v>5</v>
      </c>
      <c r="AE245" s="361" t="s">
        <v>952</v>
      </c>
      <c r="AF245" s="310" t="s">
        <v>6985</v>
      </c>
      <c r="AG245" s="310" t="s">
        <v>9083</v>
      </c>
      <c r="AH245" s="310" t="s">
        <v>1030</v>
      </c>
      <c r="AI245" s="309" t="s">
        <v>187</v>
      </c>
      <c r="AJ245" s="6" t="s">
        <v>218</v>
      </c>
      <c r="AK245" s="6" t="str">
        <f t="shared" si="118"/>
        <v>IGUAL</v>
      </c>
      <c r="AL245" s="151" t="str">
        <f>IFERROR(IF(LEFT(A245,3)="LCP",VLOOKUP(A245,STATUS_SAP_LCP!B:C,2,FALSE),VLOOKUP(A245,STATUS_SAP_ICP!B:C,2,FALSE)),"NO BUDGET")</f>
        <v>CLSD BUDG AUC  AVAC  //  APPR BREL EXPL</v>
      </c>
      <c r="AM245" s="6" t="str">
        <f t="shared" si="116"/>
        <v>CLSD</v>
      </c>
      <c r="AN245" s="414" t="s">
        <v>9093</v>
      </c>
      <c r="AO245" s="558">
        <v>1</v>
      </c>
      <c r="AP245" s="499" t="s">
        <v>9607</v>
      </c>
      <c r="AQ245" s="465">
        <v>45103</v>
      </c>
      <c r="AR245" s="460"/>
      <c r="AS245" s="57"/>
      <c r="AT245" s="185"/>
      <c r="AU245" s="318">
        <v>52.345169999999996</v>
      </c>
      <c r="AV245" s="223">
        <v>76.677410000000009</v>
      </c>
      <c r="AW245" s="318">
        <v>1.1587700000000001</v>
      </c>
      <c r="AX245" s="223">
        <v>0</v>
      </c>
      <c r="AY245" s="318">
        <f t="shared" si="145"/>
        <v>0</v>
      </c>
      <c r="AZ245" s="223"/>
      <c r="BA245" s="318"/>
      <c r="BB245" s="519">
        <f t="shared" si="146"/>
        <v>0</v>
      </c>
      <c r="BC245" s="518"/>
      <c r="BD245" s="518"/>
      <c r="BE245" s="518"/>
      <c r="BF245" s="518"/>
      <c r="BG245" s="518"/>
      <c r="BH245" s="518"/>
      <c r="BI245" s="518"/>
      <c r="BJ245" s="518"/>
      <c r="BK245" s="518"/>
      <c r="BL245" s="518"/>
      <c r="BM245" s="518"/>
      <c r="BN245" s="518"/>
      <c r="BO245" s="367">
        <f t="shared" si="119"/>
        <v>0</v>
      </c>
      <c r="BP245" s="421"/>
      <c r="BQ245" s="422"/>
      <c r="BR245" s="423">
        <f>IFERROR(IF(LEFT($A245,3)="Lcp",SUMIFS('BASE-LCP'!$K:$K,'BASE-LCP'!$A:$A,Capex!$A241,'BASE-LCP'!$B:$B,"janeiro")/1000,IF(LEFT($A245,3)="icp",SUMIFS('BASE-ICP'!$K:$K,'BASE-ICP'!$A:$A,Capex!$A241,'BASE-ICP'!$B:$B,"janeiro")/1000,"")),"")</f>
        <v>0</v>
      </c>
      <c r="BS245" s="427">
        <v>0</v>
      </c>
      <c r="BT245" s="372">
        <v>0</v>
      </c>
      <c r="BU245" s="422"/>
      <c r="BV245" s="423">
        <f>IFERROR(IF(LEFT($A245,3)="Lcp",SUMIFS('BASE-LCP'!$K:$K,'BASE-LCP'!$A:$A,Capex!$A241,'BASE-LCP'!$B:$B,"fevereiro")/1000,IF(LEFT($A245,3)="icp",SUMIFS('BASE-ICP'!$K:$K,'BASE-ICP'!$A:$A,Capex!$A241,'BASE-ICP'!$B:$B,"fevereiro")/1000,"")),"")</f>
        <v>0</v>
      </c>
      <c r="BW245" s="427">
        <v>0</v>
      </c>
      <c r="BX245" s="372">
        <v>0</v>
      </c>
      <c r="BY245" s="419"/>
      <c r="BZ245" s="423">
        <f>IFERROR(IF(LEFT($A245,3)="Lcp",SUMIFS('BASE-LCP'!$K:$K,'BASE-LCP'!$A:$A,Capex!$A241,'BASE-LCP'!$B:$B,"março")/1000,IF(LEFT($A245,3)="icp",SUMIFS('BASE-ICP'!$K:$K,'BASE-ICP'!$A:$A,Capex!$A241,'BASE-ICP'!$B:$B,"março")/1000,"")),"")</f>
        <v>0</v>
      </c>
      <c r="CA245" s="427">
        <v>0</v>
      </c>
      <c r="CB245" s="372">
        <v>0</v>
      </c>
      <c r="CC245" s="422"/>
      <c r="CD245" s="423">
        <f>IFERROR(IF(LEFT($A245,3)="Lcp",SUMIFS('BASE-LCP'!$K:$K,'BASE-LCP'!$A:$A,Capex!$A241,'BASE-LCP'!$B:$B,"abril")/1000,IF(LEFT($A245,3)="icp",SUMIFS('BASE-ICP'!$K:$K,'BASE-ICP'!$A:$A,Capex!$A241,'BASE-ICP'!$B:$B,"abril")/1000,"")),"")</f>
        <v>0</v>
      </c>
      <c r="CE245" s="427">
        <v>0</v>
      </c>
      <c r="CF245" s="372">
        <v>0</v>
      </c>
      <c r="CG245" s="419"/>
      <c r="CH245" s="423">
        <v>0</v>
      </c>
      <c r="CI245" s="427">
        <v>0</v>
      </c>
      <c r="CJ245" s="372">
        <v>0</v>
      </c>
      <c r="CK245" s="419"/>
      <c r="CL245" s="423">
        <f>IFERROR(IF(LEFT($A245,3)="Lcp",SUMIFS('BASE-LCP'!$K:$K,'BASE-LCP'!$A:$A,Capex!$A241,'BASE-LCP'!$B:$B,"junho")/1000,IF(LEFT($A245,3)="icp",SUMIFS('BASE-ICP'!$K:$K,'BASE-ICP'!$A:$A,Capex!$A241,'BASE-ICP'!$B:$B,"junho")/1000,"")),"")</f>
        <v>0</v>
      </c>
      <c r="CM245" s="427">
        <v>0</v>
      </c>
      <c r="CN245" s="372"/>
      <c r="CO245" s="419"/>
      <c r="CP245" s="423">
        <f>IFERROR(IF(LEFT($A245,3)="Lcp",SUMIFS('BASE-LCP'!$K:$K,'BASE-LCP'!$A:$A,Capex!$A241,'BASE-LCP'!$B:$B,"julho")/1000,IF(LEFT($A245,3)="icp",SUMIFS('BASE-ICP'!$K:$K,'BASE-ICP'!$A:$A,Capex!$A241,'BASE-ICP'!$B:$B,"julho")/1000,"")),"")</f>
        <v>0</v>
      </c>
      <c r="CQ245" s="427">
        <v>0</v>
      </c>
      <c r="CR245" s="372"/>
      <c r="CS245" s="419"/>
      <c r="CT245" s="423">
        <f>IFERROR(IF(LEFT($A245,3)="Lcp",SUMIFS('BASE-LCP'!$K:$K,'BASE-LCP'!$A:$A,Capex!$A241,'BASE-LCP'!$B:$B,"agosto")/1000,IF(LEFT($A245,3)="icp",SUMIFS('BASE-ICP'!$K:$K,'BASE-ICP'!$A:$A,Capex!$A241,'BASE-ICP'!$B:$B,"agosto")/1000,"")),"")</f>
        <v>0</v>
      </c>
      <c r="CU245" s="427">
        <v>0</v>
      </c>
      <c r="CV245" s="372"/>
      <c r="CW245" s="419"/>
      <c r="CX245" s="423">
        <f>IFERROR(IF(LEFT($A245,3)="Lcp",SUMIFS('BASE-LCP'!$K:$K,'BASE-LCP'!$A:$A,Capex!$A241,'BASE-LCP'!$B:$B,"setembro")/1000,IF(LEFT($A245,3)="icp",SUMIFS('BASE-ICP'!$K:$K,'BASE-ICP'!$A:$A,Capex!$A241,'BASE-ICP'!$B:$B,"setembro")/1000,"")),"")</f>
        <v>0</v>
      </c>
      <c r="CY245" s="427">
        <v>0</v>
      </c>
      <c r="CZ245" s="372"/>
      <c r="DA245" s="419"/>
      <c r="DB245" s="423">
        <f>IFERROR(IF(LEFT($A245,3)="Lcp",SUMIFS('BASE-LCP'!$K:$K,'BASE-LCP'!$A:$A,Capex!$A241,'BASE-LCP'!$B:$B,"outubro")/1000,IF(LEFT($A245,3)="icp",SUMIFS('BASE-ICP'!$K:$K,'BASE-ICP'!$A:$A,Capex!$A241,'BASE-ICP'!$B:$B,"outubro")/1000,"")),"")</f>
        <v>0</v>
      </c>
      <c r="DC245" s="427">
        <v>0</v>
      </c>
      <c r="DD245" s="372"/>
      <c r="DE245" s="419"/>
      <c r="DF245" s="423">
        <f>IFERROR(IF(LEFT($A245,3)="Lcp",SUMIFS('BASE-LCP'!$K:$K,'BASE-LCP'!$A:$A,Capex!$A241,'BASE-LCP'!$B:$B,"novembro")/1000,IF(LEFT($A245,3)="icp",SUMIFS('BASE-ICP'!$K:$K,'BASE-ICP'!$A:$A,Capex!$A241,'BASE-ICP'!$B:$B,"novembro")/1000,"")),"")</f>
        <v>0</v>
      </c>
      <c r="DG245" s="427">
        <v>0</v>
      </c>
      <c r="DH245" s="372"/>
      <c r="DI245" s="419"/>
      <c r="DJ245" s="423">
        <f>IFERROR(IF(LEFT($A245,3)="Lcp",SUMIFS('BASE-LCP'!$K:$K,'BASE-LCP'!$A:$A,Capex!$A241,'BASE-LCP'!$B:$B,"dezembro")/1000,IF(LEFT($A245,3)="icp",SUMIFS('BASE-ICP'!$K:$K,'BASE-ICP'!$A:$A,Capex!$A241,'BASE-ICP'!$B:$B,"dezembro")/1000,"")),"")</f>
        <v>0</v>
      </c>
      <c r="DK245" s="427">
        <v>0</v>
      </c>
      <c r="DL245" s="452">
        <f t="shared" si="120"/>
        <v>0</v>
      </c>
      <c r="DM245" s="374"/>
      <c r="DN245" s="374"/>
      <c r="DO245" s="374"/>
      <c r="DP245" s="374"/>
      <c r="DQ245" s="374"/>
      <c r="DR245" s="374"/>
      <c r="DS245" s="374"/>
      <c r="DT245" s="374"/>
      <c r="DU245" s="374"/>
      <c r="DV245" s="374"/>
      <c r="DW245" s="374"/>
      <c r="DX245" s="374"/>
      <c r="DY245" s="450"/>
      <c r="DZ245" s="374">
        <f t="shared" si="121"/>
        <v>0</v>
      </c>
      <c r="EA245" s="216">
        <f t="shared" si="122"/>
        <v>0</v>
      </c>
      <c r="EB245" s="320">
        <f t="shared" si="123"/>
        <v>0</v>
      </c>
      <c r="EC245" s="241">
        <f t="shared" si="124"/>
        <v>0</v>
      </c>
      <c r="ED245" s="241">
        <f t="shared" si="125"/>
        <v>0</v>
      </c>
      <c r="EE245" s="241">
        <f t="shared" si="126"/>
        <v>0</v>
      </c>
      <c r="EF245" s="241">
        <f t="shared" si="127"/>
        <v>0</v>
      </c>
      <c r="EG245" s="346">
        <f t="shared" si="128"/>
        <v>0</v>
      </c>
      <c r="EH245" s="445">
        <f t="shared" si="129"/>
        <v>0</v>
      </c>
      <c r="EI245" s="447">
        <f t="shared" si="130"/>
        <v>0</v>
      </c>
      <c r="EJ245" s="364">
        <f t="shared" si="131"/>
        <v>0</v>
      </c>
      <c r="EK245" s="365">
        <f t="shared" si="132"/>
        <v>0</v>
      </c>
      <c r="EL245" s="529">
        <f t="shared" si="133"/>
        <v>0</v>
      </c>
      <c r="EM245" s="530">
        <v>0</v>
      </c>
      <c r="EN245" s="530">
        <v>0</v>
      </c>
      <c r="EO245" s="530">
        <v>0</v>
      </c>
      <c r="EP245" s="530">
        <v>0</v>
      </c>
      <c r="EQ245" s="530">
        <v>0</v>
      </c>
      <c r="ER245" s="530">
        <v>0</v>
      </c>
      <c r="ES245" s="530">
        <v>0</v>
      </c>
      <c r="ET245" s="530">
        <v>0</v>
      </c>
      <c r="EU245" s="530">
        <v>0</v>
      </c>
      <c r="EV245" s="530">
        <v>0</v>
      </c>
      <c r="EW245" s="530">
        <v>0</v>
      </c>
      <c r="EX245" s="530">
        <v>0</v>
      </c>
      <c r="EY245" s="530">
        <f t="shared" si="134"/>
        <v>0</v>
      </c>
      <c r="EZ245" s="530">
        <f t="shared" si="135"/>
        <v>0</v>
      </c>
      <c r="FA245" s="530">
        <f t="shared" si="136"/>
        <v>0</v>
      </c>
      <c r="FB245" s="530">
        <f t="shared" si="137"/>
        <v>0</v>
      </c>
      <c r="FC245" s="384">
        <f>IFERROR(VLOOKUP(Capex!A241,BASE_558!D:R,8,FALSE)/1000,"")</f>
        <v>182.44623000000001</v>
      </c>
      <c r="FD245" s="328">
        <f>IFERROR(VLOOKUP(Capex!A241,BASE_558!D:R,9,)/1000,"")</f>
        <v>172.90917000000002</v>
      </c>
      <c r="FE245" s="328">
        <f>IFERROR(IF(LEFT(A245,3)="LCP",(VLOOKUP(Capex!A241,BASE_558!D:R,10,)/1000),SUMIFS('BASE ICP_PO_SC'!F:F,'BASE ICP_PO_SC'!A:A,Capex!A241,'BASE ICP_PO_SC'!E:E,"&lt;&gt;")/1000),"")</f>
        <v>0</v>
      </c>
      <c r="FF245" s="328">
        <f>IFERROR(IF(LEFT(A245,3)="LCP",(VLOOKUP(Capex!A241,BASE_558!D:R,11,)/1000),SUMIFS('BASE ICP_PO_SC'!F:F,'BASE ICP_PO_SC'!A:A,Capex!A241,'BASE ICP_PO_SC'!E:E,"")/1000),"")</f>
        <v>0</v>
      </c>
      <c r="FG245" s="328">
        <f>IFERROR(VLOOKUP(A245,BASE_558!D:R,13,FALSE)/1000,"")</f>
        <v>130.18135000000001</v>
      </c>
      <c r="FH245" s="328">
        <f>IFERROR(VLOOKUP(A245,BASE_558!D:R,15,FALSE)/1000,"")</f>
        <v>13.46865</v>
      </c>
      <c r="FI245" s="547">
        <f t="shared" si="138"/>
        <v>0</v>
      </c>
      <c r="FJ245" s="547">
        <f t="shared" si="139"/>
        <v>0</v>
      </c>
      <c r="FK245" s="540">
        <f t="shared" si="140"/>
        <v>0</v>
      </c>
    </row>
    <row r="246" spans="1:167" s="23" customFormat="1" ht="24" customHeight="1">
      <c r="A246" s="84" t="s">
        <v>1025</v>
      </c>
      <c r="B246" s="404"/>
      <c r="C246" s="404" t="s">
        <v>1264</v>
      </c>
      <c r="D246" s="338" t="s">
        <v>1892</v>
      </c>
      <c r="E246" s="378">
        <v>4320565</v>
      </c>
      <c r="F246" s="5"/>
      <c r="G246" s="310" t="s">
        <v>9</v>
      </c>
      <c r="H246" s="356" t="s">
        <v>6</v>
      </c>
      <c r="I246" s="356"/>
      <c r="J246" s="356">
        <v>2021</v>
      </c>
      <c r="K246" s="352">
        <v>44383</v>
      </c>
      <c r="L246" s="317"/>
      <c r="M246" s="409"/>
      <c r="N246" s="317">
        <f t="shared" si="143"/>
        <v>45295</v>
      </c>
      <c r="O246" s="317">
        <f t="shared" si="144"/>
        <v>45660</v>
      </c>
      <c r="P246" s="418" t="str">
        <f t="shared" si="149"/>
        <v>SIM</v>
      </c>
      <c r="Q246" s="418" t="str">
        <f t="shared" si="149"/>
        <v>SIM</v>
      </c>
      <c r="R246" s="418" t="str">
        <f t="shared" si="149"/>
        <v>SIM</v>
      </c>
      <c r="S246" s="418" t="str">
        <f t="shared" si="149"/>
        <v>SIM</v>
      </c>
      <c r="T246" s="418" t="str">
        <f t="shared" si="149"/>
        <v>SIM</v>
      </c>
      <c r="U246" s="418" t="str">
        <f t="shared" si="149"/>
        <v>SIM</v>
      </c>
      <c r="V246" s="418" t="str">
        <f t="shared" si="149"/>
        <v>SIM</v>
      </c>
      <c r="W246" s="418" t="str">
        <f t="shared" si="149"/>
        <v>SIM</v>
      </c>
      <c r="X246" s="418" t="str">
        <f t="shared" si="149"/>
        <v>SIM</v>
      </c>
      <c r="Y246" s="418" t="str">
        <f t="shared" si="149"/>
        <v>SIM</v>
      </c>
      <c r="Z246" s="418" t="str">
        <f t="shared" si="149"/>
        <v>SIM</v>
      </c>
      <c r="AA246" s="418" t="str">
        <f t="shared" si="149"/>
        <v>SIM</v>
      </c>
      <c r="AB246" s="350"/>
      <c r="AC246" s="309" t="s">
        <v>3932</v>
      </c>
      <c r="AD246" s="311" t="s">
        <v>224</v>
      </c>
      <c r="AE246" s="381" t="s">
        <v>957</v>
      </c>
      <c r="AF246" s="310" t="s">
        <v>6985</v>
      </c>
      <c r="AG246" s="262" t="s">
        <v>2251</v>
      </c>
      <c r="AH246" s="310" t="s">
        <v>6972</v>
      </c>
      <c r="AI246" s="381" t="s">
        <v>186</v>
      </c>
      <c r="AJ246" s="6" t="s">
        <v>6786</v>
      </c>
      <c r="AK246" s="6" t="str">
        <f t="shared" si="118"/>
        <v>IGUAL</v>
      </c>
      <c r="AL246" s="151" t="str">
        <f>IFERROR(IF(LEFT(A246,3)="LCP",VLOOKUP(A246,STATUS_SAP_LCP!B:C,2,FALSE),VLOOKUP(A246,STATUS_SAP_ICP!B:C,2,FALSE)),"NO BUDGET")</f>
        <v>REL  BUDG AUC  AVAC  //  APPR BREL INPL</v>
      </c>
      <c r="AM246" s="6" t="str">
        <f t="shared" si="116"/>
        <v xml:space="preserve">REL </v>
      </c>
      <c r="AN246" s="282" t="s">
        <v>18972</v>
      </c>
      <c r="AO246" s="557"/>
      <c r="AP246" s="499" t="s">
        <v>9616</v>
      </c>
      <c r="AQ246" s="465">
        <v>46357</v>
      </c>
      <c r="AR246" s="460"/>
      <c r="AS246" s="57"/>
      <c r="AT246" s="185"/>
      <c r="AU246" s="318">
        <v>157.86739</v>
      </c>
      <c r="AV246" s="223">
        <v>70.040230000000008</v>
      </c>
      <c r="AW246" s="318">
        <v>0</v>
      </c>
      <c r="AX246" s="223">
        <v>0</v>
      </c>
      <c r="AY246" s="318">
        <f t="shared" si="145"/>
        <v>183.33333333333334</v>
      </c>
      <c r="AZ246" s="223"/>
      <c r="BA246" s="318"/>
      <c r="BB246" s="519">
        <f t="shared" si="146"/>
        <v>183.33333333333334</v>
      </c>
      <c r="BC246" s="518">
        <v>0</v>
      </c>
      <c r="BD246" s="518">
        <v>0</v>
      </c>
      <c r="BE246" s="518">
        <v>0</v>
      </c>
      <c r="BF246" s="518">
        <v>0</v>
      </c>
      <c r="BG246" s="518">
        <v>0</v>
      </c>
      <c r="BH246" s="518">
        <v>0</v>
      </c>
      <c r="BI246" s="518">
        <v>0</v>
      </c>
      <c r="BJ246" s="518">
        <v>0</v>
      </c>
      <c r="BK246" s="518">
        <v>0</v>
      </c>
      <c r="BL246" s="518">
        <v>61.111111111111114</v>
      </c>
      <c r="BM246" s="518">
        <v>61.111111111111114</v>
      </c>
      <c r="BN246" s="518">
        <v>61.111111111111114</v>
      </c>
      <c r="BO246" s="367">
        <f t="shared" si="119"/>
        <v>183.33333333333334</v>
      </c>
      <c r="BP246" s="421">
        <v>0</v>
      </c>
      <c r="BQ246" s="422"/>
      <c r="BR246" s="423">
        <f>IFERROR(IF(LEFT($A246,3)="Lcp",SUMIFS('BASE-LCP'!$K:$K,'BASE-LCP'!$A:$A,Capex!$A243,'BASE-LCP'!$B:$B,"janeiro")/1000,IF(LEFT($A246,3)="icp",SUMIFS('BASE-ICP'!$K:$K,'BASE-ICP'!$A:$A,Capex!$A243,'BASE-ICP'!$B:$B,"janeiro")/1000,"")),"")</f>
        <v>0</v>
      </c>
      <c r="BS246" s="427">
        <v>0</v>
      </c>
      <c r="BT246" s="372">
        <v>0</v>
      </c>
      <c r="BU246" s="422"/>
      <c r="BV246" s="423">
        <f>IFERROR(IF(LEFT($A246,3)="Lcp",SUMIFS('BASE-LCP'!$K:$K,'BASE-LCP'!$A:$A,Capex!$A243,'BASE-LCP'!$B:$B,"fevereiro")/1000,IF(LEFT($A246,3)="icp",SUMIFS('BASE-ICP'!$K:$K,'BASE-ICP'!$A:$A,Capex!$A243,'BASE-ICP'!$B:$B,"fevereiro")/1000,"")),"")</f>
        <v>0</v>
      </c>
      <c r="BW246" s="427">
        <v>0</v>
      </c>
      <c r="BX246" s="372">
        <v>0</v>
      </c>
      <c r="BY246" s="419"/>
      <c r="BZ246" s="423">
        <f>IFERROR(IF(LEFT($A246,3)="Lcp",SUMIFS('BASE-LCP'!$K:$K,'BASE-LCP'!$A:$A,Capex!$A243,'BASE-LCP'!$B:$B,"março")/1000,IF(LEFT($A246,3)="icp",SUMIFS('BASE-ICP'!$K:$K,'BASE-ICP'!$A:$A,Capex!$A243,'BASE-ICP'!$B:$B,"março")/1000,"")),"")</f>
        <v>0</v>
      </c>
      <c r="CA246" s="427">
        <v>0</v>
      </c>
      <c r="CB246" s="372">
        <v>0</v>
      </c>
      <c r="CC246" s="422"/>
      <c r="CD246" s="423">
        <f>IFERROR(IF(LEFT($A246,3)="Lcp",SUMIFS('BASE-LCP'!$K:$K,'BASE-LCP'!$A:$A,Capex!$A243,'BASE-LCP'!$B:$B,"abril")/1000,IF(LEFT($A246,3)="icp",SUMIFS('BASE-ICP'!$K:$K,'BASE-ICP'!$A:$A,Capex!$A243,'BASE-ICP'!$B:$B,"abril")/1000,"")),"")</f>
        <v>0</v>
      </c>
      <c r="CE246" s="427">
        <v>0</v>
      </c>
      <c r="CF246" s="372">
        <v>0</v>
      </c>
      <c r="CG246" s="419"/>
      <c r="CH246" s="423">
        <v>0</v>
      </c>
      <c r="CI246" s="427">
        <v>0</v>
      </c>
      <c r="CJ246" s="372">
        <v>0</v>
      </c>
      <c r="CK246" s="419"/>
      <c r="CL246" s="423">
        <f>IFERROR(IF(LEFT($A246,3)="Lcp",SUMIFS('BASE-LCP'!$K:$K,'BASE-LCP'!$A:$A,Capex!$A243,'BASE-LCP'!$B:$B,"junho")/1000,IF(LEFT($A246,3)="icp",SUMIFS('BASE-ICP'!$K:$K,'BASE-ICP'!$A:$A,Capex!$A243,'BASE-ICP'!$B:$B,"junho")/1000,"")),"")</f>
        <v>0</v>
      </c>
      <c r="CM246" s="427">
        <v>0</v>
      </c>
      <c r="CN246" s="372"/>
      <c r="CO246" s="419"/>
      <c r="CP246" s="423">
        <f>IFERROR(IF(LEFT($A246,3)="Lcp",SUMIFS('BASE-LCP'!$K:$K,'BASE-LCP'!$A:$A,Capex!$A243,'BASE-LCP'!$B:$B,"julho")/1000,IF(LEFT($A246,3)="icp",SUMIFS('BASE-ICP'!$K:$K,'BASE-ICP'!$A:$A,Capex!$A243,'BASE-ICP'!$B:$B,"julho")/1000,"")),"")</f>
        <v>0</v>
      </c>
      <c r="CQ246" s="427">
        <v>0</v>
      </c>
      <c r="CR246" s="372"/>
      <c r="CS246" s="419"/>
      <c r="CT246" s="423">
        <f>IFERROR(IF(LEFT($A246,3)="Lcp",SUMIFS('BASE-LCP'!$K:$K,'BASE-LCP'!$A:$A,Capex!$A243,'BASE-LCP'!$B:$B,"agosto")/1000,IF(LEFT($A246,3)="icp",SUMIFS('BASE-ICP'!$K:$K,'BASE-ICP'!$A:$A,Capex!$A243,'BASE-ICP'!$B:$B,"agosto")/1000,"")),"")</f>
        <v>0</v>
      </c>
      <c r="CU246" s="427">
        <v>0</v>
      </c>
      <c r="CV246" s="372"/>
      <c r="CW246" s="419"/>
      <c r="CX246" s="423">
        <f>IFERROR(IF(LEFT($A246,3)="Lcp",SUMIFS('BASE-LCP'!$K:$K,'BASE-LCP'!$A:$A,Capex!$A243,'BASE-LCP'!$B:$B,"setembro")/1000,IF(LEFT($A246,3)="icp",SUMIFS('BASE-ICP'!$K:$K,'BASE-ICP'!$A:$A,Capex!$A243,'BASE-ICP'!$B:$B,"setembro")/1000,"")),"")</f>
        <v>0</v>
      </c>
      <c r="CY246" s="427">
        <v>0</v>
      </c>
      <c r="CZ246" s="372"/>
      <c r="DA246" s="419"/>
      <c r="DB246" s="423">
        <f>IFERROR(IF(LEFT($A246,3)="Lcp",SUMIFS('BASE-LCP'!$K:$K,'BASE-LCP'!$A:$A,Capex!$A243,'BASE-LCP'!$B:$B,"outubro")/1000,IF(LEFT($A246,3)="icp",SUMIFS('BASE-ICP'!$K:$K,'BASE-ICP'!$A:$A,Capex!$A243,'BASE-ICP'!$B:$B,"outubro")/1000,"")),"")</f>
        <v>0</v>
      </c>
      <c r="DC246" s="427">
        <v>61.111111111111114</v>
      </c>
      <c r="DD246" s="372"/>
      <c r="DE246" s="419"/>
      <c r="DF246" s="423">
        <f>IFERROR(IF(LEFT($A246,3)="Lcp",SUMIFS('BASE-LCP'!$K:$K,'BASE-LCP'!$A:$A,Capex!$A243,'BASE-LCP'!$B:$B,"novembro")/1000,IF(LEFT($A246,3)="icp",SUMIFS('BASE-ICP'!$K:$K,'BASE-ICP'!$A:$A,Capex!$A243,'BASE-ICP'!$B:$B,"novembro")/1000,"")),"")</f>
        <v>0</v>
      </c>
      <c r="DG246" s="427">
        <v>61.111111111111114</v>
      </c>
      <c r="DH246" s="372"/>
      <c r="DI246" s="419"/>
      <c r="DJ246" s="423">
        <f>IFERROR(IF(LEFT($A246,3)="Lcp",SUMIFS('BASE-LCP'!$K:$K,'BASE-LCP'!$A:$A,Capex!$A243,'BASE-LCP'!$B:$B,"dezembro")/1000,IF(LEFT($A246,3)="icp",SUMIFS('BASE-ICP'!$K:$K,'BASE-ICP'!$A:$A,Capex!$A243,'BASE-ICP'!$B:$B,"dezembro")/1000,"")),"")</f>
        <v>0</v>
      </c>
      <c r="DK246" s="427">
        <v>61.111111111111114</v>
      </c>
      <c r="DL246" s="452">
        <f t="shared" si="120"/>
        <v>366</v>
      </c>
      <c r="DM246" s="374"/>
      <c r="DN246" s="374">
        <v>366</v>
      </c>
      <c r="DO246" s="374"/>
      <c r="DP246" s="374"/>
      <c r="DQ246" s="374"/>
      <c r="DR246" s="374"/>
      <c r="DS246" s="374"/>
      <c r="DT246" s="374"/>
      <c r="DU246" s="374"/>
      <c r="DV246" s="374"/>
      <c r="DW246" s="374"/>
      <c r="DX246" s="374"/>
      <c r="DY246" s="450"/>
      <c r="DZ246" s="374">
        <f t="shared" si="121"/>
        <v>366</v>
      </c>
      <c r="EA246" s="216">
        <f t="shared" si="122"/>
        <v>0</v>
      </c>
      <c r="EB246" s="320">
        <f t="shared" si="123"/>
        <v>0</v>
      </c>
      <c r="EC246" s="241">
        <f t="shared" si="124"/>
        <v>0</v>
      </c>
      <c r="ED246" s="241">
        <f t="shared" si="125"/>
        <v>0</v>
      </c>
      <c r="EE246" s="241">
        <f t="shared" si="126"/>
        <v>0</v>
      </c>
      <c r="EF246" s="241">
        <f t="shared" si="127"/>
        <v>183.33333333333334</v>
      </c>
      <c r="EG246" s="346">
        <f t="shared" si="128"/>
        <v>0</v>
      </c>
      <c r="EH246" s="445">
        <f t="shared" si="129"/>
        <v>0</v>
      </c>
      <c r="EI246" s="447">
        <f t="shared" si="130"/>
        <v>0</v>
      </c>
      <c r="EJ246" s="364">
        <f t="shared" si="131"/>
        <v>0</v>
      </c>
      <c r="EK246" s="365">
        <f t="shared" si="132"/>
        <v>183.33333333333334</v>
      </c>
      <c r="EL246" s="529">
        <f t="shared" si="133"/>
        <v>183.33333333333334</v>
      </c>
      <c r="EM246" s="530">
        <v>0</v>
      </c>
      <c r="EN246" s="530">
        <v>0</v>
      </c>
      <c r="EO246" s="530">
        <v>0</v>
      </c>
      <c r="EP246" s="530">
        <v>0</v>
      </c>
      <c r="EQ246" s="530">
        <v>0</v>
      </c>
      <c r="ER246" s="530">
        <v>0</v>
      </c>
      <c r="ES246" s="530">
        <v>0</v>
      </c>
      <c r="ET246" s="530">
        <v>0</v>
      </c>
      <c r="EU246" s="530">
        <v>0</v>
      </c>
      <c r="EV246" s="530">
        <v>61.111111111111114</v>
      </c>
      <c r="EW246" s="530">
        <v>61.111111111111114</v>
      </c>
      <c r="EX246" s="530">
        <v>61.111111111111114</v>
      </c>
      <c r="EY246" s="530">
        <f t="shared" si="134"/>
        <v>0</v>
      </c>
      <c r="EZ246" s="530">
        <f t="shared" si="135"/>
        <v>0</v>
      </c>
      <c r="FA246" s="530">
        <f t="shared" si="136"/>
        <v>0</v>
      </c>
      <c r="FB246" s="530">
        <f t="shared" si="137"/>
        <v>183.33333333333334</v>
      </c>
      <c r="FC246" s="384">
        <f>IFERROR(VLOOKUP(Capex!A243,BASE_558!D:R,8,FALSE)/1000,"")</f>
        <v>124.16691</v>
      </c>
      <c r="FD246" s="328">
        <f>IFERROR(VLOOKUP(Capex!A243,BASE_558!D:R,9,)/1000,"")</f>
        <v>117.71186999999999</v>
      </c>
      <c r="FE246" s="328">
        <f>IFERROR(IF(LEFT(A246,3)="LCP",(VLOOKUP(Capex!A243,BASE_558!D:R,10,)/1000),SUMIFS('BASE ICP_PO_SC'!F:F,'BASE ICP_PO_SC'!A:A,Capex!A243,'BASE ICP_PO_SC'!E:E,"&lt;&gt;")/1000),"")</f>
        <v>0</v>
      </c>
      <c r="FF246" s="328">
        <f>IFERROR(IF(LEFT(A246,3)="LCP",(VLOOKUP(Capex!A243,BASE_558!D:R,11,)/1000),SUMIFS('BASE ICP_PO_SC'!F:F,'BASE ICP_PO_SC'!A:A,Capex!A243,'BASE ICP_PO_SC'!E:E,"")/1000),"")</f>
        <v>0</v>
      </c>
      <c r="FG246" s="328">
        <f>IFERROR(VLOOKUP(A246,BASE_558!D:R,13,FALSE)/1000,"")</f>
        <v>227.90762000000001</v>
      </c>
      <c r="FH246" s="328">
        <f>IFERROR(VLOOKUP(A246,BASE_558!D:R,15,FALSE)/1000,"")</f>
        <v>651.79237999999998</v>
      </c>
      <c r="FI246" s="547">
        <f t="shared" si="138"/>
        <v>0</v>
      </c>
      <c r="FJ246" s="547">
        <f t="shared" si="139"/>
        <v>0</v>
      </c>
      <c r="FK246" s="540">
        <f t="shared" si="140"/>
        <v>0</v>
      </c>
    </row>
    <row r="247" spans="1:167" s="23" customFormat="1" ht="24" customHeight="1">
      <c r="A247" s="84" t="s">
        <v>1026</v>
      </c>
      <c r="B247" s="404"/>
      <c r="C247" s="404">
        <v>16273</v>
      </c>
      <c r="D247" s="338" t="s">
        <v>2278</v>
      </c>
      <c r="E247" s="378">
        <v>4320452</v>
      </c>
      <c r="F247" s="5"/>
      <c r="G247" s="310" t="s">
        <v>9</v>
      </c>
      <c r="H247" s="338" t="s">
        <v>6</v>
      </c>
      <c r="I247" s="356"/>
      <c r="J247" s="356">
        <v>2021</v>
      </c>
      <c r="K247" s="352">
        <v>44383</v>
      </c>
      <c r="L247" s="317"/>
      <c r="M247" s="409"/>
      <c r="N247" s="317">
        <f t="shared" si="143"/>
        <v>45295</v>
      </c>
      <c r="O247" s="317">
        <f t="shared" si="144"/>
        <v>45660</v>
      </c>
      <c r="P247" s="418" t="str">
        <f t="shared" si="149"/>
        <v>SIM</v>
      </c>
      <c r="Q247" s="418" t="str">
        <f t="shared" si="149"/>
        <v>SIM</v>
      </c>
      <c r="R247" s="418" t="str">
        <f t="shared" si="149"/>
        <v>SIM</v>
      </c>
      <c r="S247" s="418" t="str">
        <f t="shared" si="149"/>
        <v>SIM</v>
      </c>
      <c r="T247" s="418" t="str">
        <f t="shared" si="149"/>
        <v>SIM</v>
      </c>
      <c r="U247" s="418" t="str">
        <f t="shared" si="149"/>
        <v>SIM</v>
      </c>
      <c r="V247" s="418" t="str">
        <f t="shared" si="149"/>
        <v>SIM</v>
      </c>
      <c r="W247" s="418" t="str">
        <f t="shared" si="149"/>
        <v>SIM</v>
      </c>
      <c r="X247" s="418" t="str">
        <f t="shared" si="149"/>
        <v>SIM</v>
      </c>
      <c r="Y247" s="418" t="str">
        <f t="shared" si="149"/>
        <v>SIM</v>
      </c>
      <c r="Z247" s="418" t="str">
        <f t="shared" si="149"/>
        <v>SIM</v>
      </c>
      <c r="AA247" s="551" t="str">
        <f t="shared" si="149"/>
        <v>SIM</v>
      </c>
      <c r="AB247" s="317"/>
      <c r="AC247" s="309" t="s">
        <v>3932</v>
      </c>
      <c r="AD247" s="311" t="s">
        <v>5</v>
      </c>
      <c r="AE247" s="381" t="s">
        <v>952</v>
      </c>
      <c r="AF247" s="310" t="s">
        <v>6985</v>
      </c>
      <c r="AG247" s="310" t="s">
        <v>2124</v>
      </c>
      <c r="AH247" s="310" t="s">
        <v>6965</v>
      </c>
      <c r="AI247" s="381" t="s">
        <v>186</v>
      </c>
      <c r="AJ247" s="6" t="s">
        <v>6786</v>
      </c>
      <c r="AK247" s="6" t="str">
        <f t="shared" si="118"/>
        <v>IGUAL</v>
      </c>
      <c r="AL247" s="151" t="str">
        <f>IFERROR(IF(LEFT(A247,3)="LCP",VLOOKUP(A247,STATUS_SAP_LCP!B:C,2,FALSE),VLOOKUP(A247,STATUS_SAP_ICP!B:C,2,FALSE)),"NO BUDGET")</f>
        <v>REL  BUDG AUC  AVAC  //  APPR BREL INPL</v>
      </c>
      <c r="AM247" s="6" t="str">
        <f t="shared" si="116"/>
        <v xml:space="preserve">REL </v>
      </c>
      <c r="AN247" s="282" t="s">
        <v>19518</v>
      </c>
      <c r="AO247" s="414"/>
      <c r="AP247" s="499" t="s">
        <v>9616</v>
      </c>
      <c r="AQ247" s="465">
        <v>45868</v>
      </c>
      <c r="AR247" s="460"/>
      <c r="AS247" s="57"/>
      <c r="AT247" s="185"/>
      <c r="AU247" s="318">
        <v>106.95298</v>
      </c>
      <c r="AV247" s="223">
        <v>24.020660000000003</v>
      </c>
      <c r="AW247" s="318">
        <v>0</v>
      </c>
      <c r="AX247" s="223">
        <v>38.605920000000005</v>
      </c>
      <c r="AY247" s="318">
        <f t="shared" si="145"/>
        <v>10</v>
      </c>
      <c r="AZ247" s="223"/>
      <c r="BA247" s="318"/>
      <c r="BB247" s="519">
        <f t="shared" si="146"/>
        <v>0</v>
      </c>
      <c r="BC247" s="518">
        <v>0</v>
      </c>
      <c r="BD247" s="518">
        <v>0</v>
      </c>
      <c r="BE247" s="518">
        <v>0</v>
      </c>
      <c r="BF247" s="518">
        <v>0</v>
      </c>
      <c r="BG247" s="518">
        <v>0</v>
      </c>
      <c r="BH247" s="518">
        <v>0</v>
      </c>
      <c r="BI247" s="518">
        <v>0</v>
      </c>
      <c r="BJ247" s="518">
        <v>0</v>
      </c>
      <c r="BK247" s="518">
        <v>0</v>
      </c>
      <c r="BL247" s="518">
        <v>0</v>
      </c>
      <c r="BM247" s="518">
        <v>0</v>
      </c>
      <c r="BN247" s="518">
        <v>0</v>
      </c>
      <c r="BO247" s="367">
        <f t="shared" si="119"/>
        <v>10</v>
      </c>
      <c r="BP247" s="421">
        <v>0</v>
      </c>
      <c r="BQ247" s="422"/>
      <c r="BR247" s="423">
        <f>IFERROR(IF(LEFT($A247,3)="Lcp",SUMIFS('BASE-LCP'!$K:$K,'BASE-LCP'!$A:$A,Capex!$A244,'BASE-LCP'!$B:$B,"janeiro")/1000,IF(LEFT($A247,3)="icp",SUMIFS('BASE-ICP'!$K:$K,'BASE-ICP'!$A:$A,Capex!$A244,'BASE-ICP'!$B:$B,"janeiro")/1000,"")),"")</f>
        <v>0</v>
      </c>
      <c r="BS247" s="427">
        <v>0</v>
      </c>
      <c r="BT247" s="372">
        <v>0</v>
      </c>
      <c r="BU247" s="422"/>
      <c r="BV247" s="423">
        <f>IFERROR(IF(LEFT($A247,3)="Lcp",SUMIFS('BASE-LCP'!$K:$K,'BASE-LCP'!$A:$A,Capex!$A244,'BASE-LCP'!$B:$B,"fevereiro")/1000,IF(LEFT($A247,3)="icp",SUMIFS('BASE-ICP'!$K:$K,'BASE-ICP'!$A:$A,Capex!$A244,'BASE-ICP'!$B:$B,"fevereiro")/1000,"")),"")</f>
        <v>-14.53491</v>
      </c>
      <c r="BW247" s="427">
        <v>0</v>
      </c>
      <c r="BX247" s="372">
        <v>0</v>
      </c>
      <c r="BY247" s="419"/>
      <c r="BZ247" s="423">
        <f>IFERROR(IF(LEFT($A247,3)="Lcp",SUMIFS('BASE-LCP'!$K:$K,'BASE-LCP'!$A:$A,Capex!$A244,'BASE-LCP'!$B:$B,"março")/1000,IF(LEFT($A247,3)="icp",SUMIFS('BASE-ICP'!$K:$K,'BASE-ICP'!$A:$A,Capex!$A244,'BASE-ICP'!$B:$B,"março")/1000,"")),"")</f>
        <v>0</v>
      </c>
      <c r="CA247" s="427">
        <v>0</v>
      </c>
      <c r="CB247" s="372">
        <v>0</v>
      </c>
      <c r="CC247" s="422"/>
      <c r="CD247" s="423">
        <f>IFERROR(IF(LEFT($A247,3)="Lcp",SUMIFS('BASE-LCP'!$K:$K,'BASE-LCP'!$A:$A,Capex!$A244,'BASE-LCP'!$B:$B,"abril")/1000,IF(LEFT($A247,3)="icp",SUMIFS('BASE-ICP'!$K:$K,'BASE-ICP'!$A:$A,Capex!$A244,'BASE-ICP'!$B:$B,"abril")/1000,"")),"")</f>
        <v>0</v>
      </c>
      <c r="CE247" s="427">
        <v>0</v>
      </c>
      <c r="CF247" s="372">
        <v>0</v>
      </c>
      <c r="CG247" s="419"/>
      <c r="CH247" s="423">
        <v>0</v>
      </c>
      <c r="CI247" s="427">
        <v>0</v>
      </c>
      <c r="CJ247" s="372">
        <v>0</v>
      </c>
      <c r="CK247" s="419"/>
      <c r="CL247" s="423">
        <f>IFERROR(IF(LEFT($A247,3)="Lcp",SUMIFS('BASE-LCP'!$K:$K,'BASE-LCP'!$A:$A,Capex!$A244,'BASE-LCP'!$B:$B,"junho")/1000,IF(LEFT($A247,3)="icp",SUMIFS('BASE-ICP'!$K:$K,'BASE-ICP'!$A:$A,Capex!$A244,'BASE-ICP'!$B:$B,"junho")/1000,"")),"")</f>
        <v>0</v>
      </c>
      <c r="CM247" s="427">
        <v>0</v>
      </c>
      <c r="CN247" s="372"/>
      <c r="CO247" s="419"/>
      <c r="CP247" s="423">
        <f>IFERROR(IF(LEFT($A247,3)="Lcp",SUMIFS('BASE-LCP'!$K:$K,'BASE-LCP'!$A:$A,Capex!$A244,'BASE-LCP'!$B:$B,"julho")/1000,IF(LEFT($A247,3)="icp",SUMIFS('BASE-ICP'!$K:$K,'BASE-ICP'!$A:$A,Capex!$A244,'BASE-ICP'!$B:$B,"julho")/1000,"")),"")</f>
        <v>0</v>
      </c>
      <c r="CQ247" s="427">
        <v>0</v>
      </c>
      <c r="CR247" s="372"/>
      <c r="CS247" s="419"/>
      <c r="CT247" s="423">
        <f>IFERROR(IF(LEFT($A247,3)="Lcp",SUMIFS('BASE-LCP'!$K:$K,'BASE-LCP'!$A:$A,Capex!$A244,'BASE-LCP'!$B:$B,"agosto")/1000,IF(LEFT($A247,3)="icp",SUMIFS('BASE-ICP'!$K:$K,'BASE-ICP'!$A:$A,Capex!$A244,'BASE-ICP'!$B:$B,"agosto")/1000,"")),"")</f>
        <v>0</v>
      </c>
      <c r="CU247" s="427">
        <v>10</v>
      </c>
      <c r="CV247" s="372"/>
      <c r="CW247" s="419"/>
      <c r="CX247" s="423">
        <f>IFERROR(IF(LEFT($A247,3)="Lcp",SUMIFS('BASE-LCP'!$K:$K,'BASE-LCP'!$A:$A,Capex!$A244,'BASE-LCP'!$B:$B,"setembro")/1000,IF(LEFT($A247,3)="icp",SUMIFS('BASE-ICP'!$K:$K,'BASE-ICP'!$A:$A,Capex!$A244,'BASE-ICP'!$B:$B,"setembro")/1000,"")),"")</f>
        <v>0</v>
      </c>
      <c r="CY247" s="427">
        <v>0</v>
      </c>
      <c r="CZ247" s="372"/>
      <c r="DA247" s="419"/>
      <c r="DB247" s="423">
        <f>IFERROR(IF(LEFT($A247,3)="Lcp",SUMIFS('BASE-LCP'!$K:$K,'BASE-LCP'!$A:$A,Capex!$A244,'BASE-LCP'!$B:$B,"outubro")/1000,IF(LEFT($A247,3)="icp",SUMIFS('BASE-ICP'!$K:$K,'BASE-ICP'!$A:$A,Capex!$A244,'BASE-ICP'!$B:$B,"outubro")/1000,"")),"")</f>
        <v>0</v>
      </c>
      <c r="DC247" s="427">
        <v>0</v>
      </c>
      <c r="DD247" s="372"/>
      <c r="DE247" s="419"/>
      <c r="DF247" s="423">
        <f>IFERROR(IF(LEFT($A247,3)="Lcp",SUMIFS('BASE-LCP'!$K:$K,'BASE-LCP'!$A:$A,Capex!$A244,'BASE-LCP'!$B:$B,"novembro")/1000,IF(LEFT($A247,3)="icp",SUMIFS('BASE-ICP'!$K:$K,'BASE-ICP'!$A:$A,Capex!$A244,'BASE-ICP'!$B:$B,"novembro")/1000,"")),"")</f>
        <v>0</v>
      </c>
      <c r="DG247" s="427">
        <v>0</v>
      </c>
      <c r="DH247" s="372"/>
      <c r="DI247" s="419"/>
      <c r="DJ247" s="423">
        <f>IFERROR(IF(LEFT($A247,3)="Lcp",SUMIFS('BASE-LCP'!$K:$K,'BASE-LCP'!$A:$A,Capex!$A244,'BASE-LCP'!$B:$B,"dezembro")/1000,IF(LEFT($A247,3)="icp",SUMIFS('BASE-ICP'!$K:$K,'BASE-ICP'!$A:$A,Capex!$A244,'BASE-ICP'!$B:$B,"dezembro")/1000,"")),"")</f>
        <v>0</v>
      </c>
      <c r="DK247" s="427">
        <v>0</v>
      </c>
      <c r="DL247" s="452">
        <f t="shared" si="120"/>
        <v>0</v>
      </c>
      <c r="DM247" s="374"/>
      <c r="DN247" s="374">
        <v>0</v>
      </c>
      <c r="DO247" s="374"/>
      <c r="DP247" s="374"/>
      <c r="DQ247" s="374"/>
      <c r="DR247" s="374"/>
      <c r="DS247" s="374"/>
      <c r="DT247" s="374"/>
      <c r="DU247" s="374"/>
      <c r="DV247" s="374"/>
      <c r="DW247" s="374"/>
      <c r="DX247" s="374"/>
      <c r="DY247" s="450"/>
      <c r="DZ247" s="374">
        <f t="shared" si="121"/>
        <v>0</v>
      </c>
      <c r="EA247" s="216">
        <f t="shared" si="122"/>
        <v>0</v>
      </c>
      <c r="EB247" s="320">
        <f t="shared" si="123"/>
        <v>0</v>
      </c>
      <c r="EC247" s="241">
        <f t="shared" si="124"/>
        <v>0</v>
      </c>
      <c r="ED247" s="241">
        <f t="shared" si="125"/>
        <v>0</v>
      </c>
      <c r="EE247" s="241">
        <f t="shared" si="126"/>
        <v>10</v>
      </c>
      <c r="EF247" s="241">
        <f t="shared" si="127"/>
        <v>0</v>
      </c>
      <c r="EG247" s="346">
        <f t="shared" si="128"/>
        <v>10</v>
      </c>
      <c r="EH247" s="445">
        <f t="shared" si="129"/>
        <v>0</v>
      </c>
      <c r="EI247" s="447">
        <f t="shared" si="130"/>
        <v>0</v>
      </c>
      <c r="EJ247" s="364">
        <f t="shared" si="131"/>
        <v>0</v>
      </c>
      <c r="EK247" s="365">
        <f t="shared" si="132"/>
        <v>10</v>
      </c>
      <c r="EL247" s="529">
        <f t="shared" si="133"/>
        <v>10</v>
      </c>
      <c r="EM247" s="530">
        <v>0</v>
      </c>
      <c r="EN247" s="530">
        <v>0</v>
      </c>
      <c r="EO247" s="530">
        <v>0</v>
      </c>
      <c r="EP247" s="530">
        <v>0</v>
      </c>
      <c r="EQ247" s="530">
        <v>0</v>
      </c>
      <c r="ER247" s="530">
        <v>0</v>
      </c>
      <c r="ES247" s="530">
        <v>10</v>
      </c>
      <c r="ET247" s="530">
        <v>0</v>
      </c>
      <c r="EU247" s="530">
        <v>0</v>
      </c>
      <c r="EV247" s="530">
        <v>0</v>
      </c>
      <c r="EW247" s="530">
        <v>0</v>
      </c>
      <c r="EX247" s="530">
        <v>0</v>
      </c>
      <c r="EY247" s="530">
        <f t="shared" si="134"/>
        <v>0</v>
      </c>
      <c r="EZ247" s="530">
        <f t="shared" si="135"/>
        <v>0</v>
      </c>
      <c r="FA247" s="530">
        <f t="shared" si="136"/>
        <v>10</v>
      </c>
      <c r="FB247" s="530">
        <f t="shared" si="137"/>
        <v>0</v>
      </c>
      <c r="FC247" s="384">
        <f>IFERROR(VLOOKUP(Capex!A244,BASE_558!D:R,8,FALSE)/1000,"")</f>
        <v>175.17137</v>
      </c>
      <c r="FD247" s="328">
        <f>IFERROR(VLOOKUP(Capex!A244,BASE_558!D:R,9,)/1000,"")</f>
        <v>0</v>
      </c>
      <c r="FE247" s="328">
        <f>IFERROR(IF(LEFT(A247,3)="LCP",(VLOOKUP(Capex!A244,BASE_558!D:R,10,)/1000),SUMIFS('BASE ICP_PO_SC'!F:F,'BASE ICP_PO_SC'!A:A,Capex!A244,'BASE ICP_PO_SC'!E:E,"&lt;&gt;")/1000),"")</f>
        <v>0</v>
      </c>
      <c r="FF247" s="328">
        <f>IFERROR(IF(LEFT(A247,3)="LCP",(VLOOKUP(Capex!A244,BASE_558!D:R,11,)/1000),SUMIFS('BASE ICP_PO_SC'!F:F,'BASE ICP_PO_SC'!A:A,Capex!A244,'BASE ICP_PO_SC'!E:E,"")/1000),"")</f>
        <v>0</v>
      </c>
      <c r="FG247" s="328">
        <f>IFERROR(VLOOKUP(A247,BASE_558!D:R,13,FALSE)/1000,"")</f>
        <v>169.57955999999999</v>
      </c>
      <c r="FH247" s="328">
        <f>IFERROR(VLOOKUP(A247,BASE_558!D:R,15,FALSE)/1000,"")</f>
        <v>180.52044000000001</v>
      </c>
      <c r="FI247" s="547">
        <f t="shared" si="138"/>
        <v>0</v>
      </c>
      <c r="FJ247" s="547">
        <f t="shared" si="139"/>
        <v>0</v>
      </c>
      <c r="FK247" s="540">
        <f t="shared" si="140"/>
        <v>0</v>
      </c>
    </row>
    <row r="248" spans="1:167" s="23" customFormat="1" ht="24" customHeight="1">
      <c r="A248" s="84" t="s">
        <v>1014</v>
      </c>
      <c r="B248" s="404"/>
      <c r="C248" s="404">
        <v>12955</v>
      </c>
      <c r="D248" s="338" t="s">
        <v>2279</v>
      </c>
      <c r="E248" s="378">
        <v>4340683</v>
      </c>
      <c r="F248" s="5"/>
      <c r="G248" s="310" t="s">
        <v>9</v>
      </c>
      <c r="H248" s="356" t="s">
        <v>6</v>
      </c>
      <c r="I248" s="356"/>
      <c r="J248" s="356">
        <v>2021</v>
      </c>
      <c r="K248" s="352">
        <v>44392</v>
      </c>
      <c r="L248" s="317"/>
      <c r="M248" s="409"/>
      <c r="N248" s="317">
        <f t="shared" si="143"/>
        <v>45304</v>
      </c>
      <c r="O248" s="317">
        <f t="shared" si="144"/>
        <v>45669</v>
      </c>
      <c r="P248" s="418" t="str">
        <f t="shared" si="149"/>
        <v>SIM</v>
      </c>
      <c r="Q248" s="418" t="str">
        <f t="shared" si="149"/>
        <v>SIM</v>
      </c>
      <c r="R248" s="418" t="str">
        <f t="shared" si="149"/>
        <v>SIM</v>
      </c>
      <c r="S248" s="418" t="str">
        <f t="shared" si="149"/>
        <v>SIM</v>
      </c>
      <c r="T248" s="418" t="str">
        <f t="shared" si="149"/>
        <v>SIM</v>
      </c>
      <c r="U248" s="418" t="str">
        <f t="shared" si="149"/>
        <v>SIM</v>
      </c>
      <c r="V248" s="418" t="str">
        <f t="shared" si="149"/>
        <v>SIM</v>
      </c>
      <c r="W248" s="418" t="str">
        <f t="shared" si="149"/>
        <v>SIM</v>
      </c>
      <c r="X248" s="551" t="str">
        <f t="shared" si="149"/>
        <v>SIM</v>
      </c>
      <c r="Y248" s="418" t="str">
        <f t="shared" si="149"/>
        <v>SIM</v>
      </c>
      <c r="Z248" s="418" t="str">
        <f t="shared" si="149"/>
        <v>SIM</v>
      </c>
      <c r="AA248" s="567" t="str">
        <f t="shared" si="149"/>
        <v>SIM</v>
      </c>
      <c r="AB248" s="350"/>
      <c r="AC248" s="309" t="s">
        <v>3932</v>
      </c>
      <c r="AD248" s="311" t="s">
        <v>222</v>
      </c>
      <c r="AE248" s="361" t="s">
        <v>979</v>
      </c>
      <c r="AF248" s="310" t="s">
        <v>6985</v>
      </c>
      <c r="AG248" s="310" t="s">
        <v>2079</v>
      </c>
      <c r="AH248" s="310" t="s">
        <v>1033</v>
      </c>
      <c r="AI248" s="309" t="s">
        <v>187</v>
      </c>
      <c r="AJ248" s="6" t="s">
        <v>6786</v>
      </c>
      <c r="AK248" s="6" t="str">
        <f t="shared" si="118"/>
        <v>IGUAL</v>
      </c>
      <c r="AL248" s="151" t="str">
        <f>IFERROR(IF(LEFT(A248,3)="LCP",VLOOKUP(A248,STATUS_SAP_LCP!B:C,2,FALSE),VLOOKUP(A248,STATUS_SAP_ICP!B:C,2,FALSE)),"NO BUDGET")</f>
        <v>REL  BUDG AUC  AVAC  //  APPR BREL INPL</v>
      </c>
      <c r="AM248" s="6" t="str">
        <f t="shared" si="116"/>
        <v xml:space="preserve">REL </v>
      </c>
      <c r="AN248" s="552" t="s">
        <v>19073</v>
      </c>
      <c r="AO248" s="564"/>
      <c r="AP248" s="499" t="s">
        <v>9617</v>
      </c>
      <c r="AQ248" s="465">
        <v>46022</v>
      </c>
      <c r="AR248" s="460"/>
      <c r="AS248" s="57"/>
      <c r="AT248" s="185"/>
      <c r="AU248" s="318">
        <v>95.07002</v>
      </c>
      <c r="AV248" s="223">
        <v>-2.2819199999999999</v>
      </c>
      <c r="AW248" s="318">
        <v>0</v>
      </c>
      <c r="AX248" s="223">
        <v>0</v>
      </c>
      <c r="AY248" s="318">
        <f t="shared" si="145"/>
        <v>0</v>
      </c>
      <c r="AZ248" s="223"/>
      <c r="BA248" s="318"/>
      <c r="BB248" s="519">
        <f t="shared" si="146"/>
        <v>5</v>
      </c>
      <c r="BC248" s="518">
        <v>0</v>
      </c>
      <c r="BD248" s="518">
        <v>0</v>
      </c>
      <c r="BE248" s="518">
        <v>5</v>
      </c>
      <c r="BF248" s="518">
        <v>0</v>
      </c>
      <c r="BG248" s="518">
        <v>0</v>
      </c>
      <c r="BH248" s="518">
        <v>0</v>
      </c>
      <c r="BI248" s="518">
        <v>0</v>
      </c>
      <c r="BJ248" s="518">
        <v>0</v>
      </c>
      <c r="BK248" s="518">
        <v>0</v>
      </c>
      <c r="BL248" s="518">
        <v>0</v>
      </c>
      <c r="BM248" s="518">
        <v>0</v>
      </c>
      <c r="BN248" s="518">
        <v>0</v>
      </c>
      <c r="BO248" s="367">
        <f t="shared" si="119"/>
        <v>0</v>
      </c>
      <c r="BP248" s="421">
        <v>0</v>
      </c>
      <c r="BQ248" s="422"/>
      <c r="BR248" s="423">
        <f>IFERROR(IF(LEFT($A248,3)="Lcp",SUMIFS('BASE-LCP'!$K:$K,'BASE-LCP'!$A:$A,Capex!$A245,'BASE-LCP'!$B:$B,"janeiro")/1000,IF(LEFT($A248,3)="icp",SUMIFS('BASE-ICP'!$K:$K,'BASE-ICP'!$A:$A,Capex!$A245,'BASE-ICP'!$B:$B,"janeiro")/1000,"")),"")</f>
        <v>0</v>
      </c>
      <c r="BS248" s="427">
        <v>0</v>
      </c>
      <c r="BT248" s="372">
        <v>0</v>
      </c>
      <c r="BU248" s="422"/>
      <c r="BV248" s="423">
        <f>IFERROR(IF(LEFT($A248,3)="Lcp",SUMIFS('BASE-LCP'!$K:$K,'BASE-LCP'!$A:$A,Capex!$A245,'BASE-LCP'!$B:$B,"fevereiro")/1000,IF(LEFT($A248,3)="icp",SUMIFS('BASE-ICP'!$K:$K,'BASE-ICP'!$A:$A,Capex!$A245,'BASE-ICP'!$B:$B,"fevereiro")/1000,"")),"")</f>
        <v>0</v>
      </c>
      <c r="BW248" s="427">
        <v>0</v>
      </c>
      <c r="BX248" s="372">
        <v>0</v>
      </c>
      <c r="BY248" s="419"/>
      <c r="BZ248" s="423">
        <f>IFERROR(IF(LEFT($A248,3)="Lcp",SUMIFS('BASE-LCP'!$K:$K,'BASE-LCP'!$A:$A,Capex!$A245,'BASE-LCP'!$B:$B,"março")/1000,IF(LEFT($A248,3)="icp",SUMIFS('BASE-ICP'!$K:$K,'BASE-ICP'!$A:$A,Capex!$A245,'BASE-ICP'!$B:$B,"março")/1000,"")),"")</f>
        <v>0</v>
      </c>
      <c r="CA248" s="427">
        <v>0</v>
      </c>
      <c r="CB248" s="372">
        <v>0</v>
      </c>
      <c r="CC248" s="422"/>
      <c r="CD248" s="423">
        <f>IFERROR(IF(LEFT($A248,3)="Lcp",SUMIFS('BASE-LCP'!$K:$K,'BASE-LCP'!$A:$A,Capex!$A245,'BASE-LCP'!$B:$B,"abril")/1000,IF(LEFT($A248,3)="icp",SUMIFS('BASE-ICP'!$K:$K,'BASE-ICP'!$A:$A,Capex!$A245,'BASE-ICP'!$B:$B,"abril")/1000,"")),"")</f>
        <v>0</v>
      </c>
      <c r="CE248" s="427">
        <v>0</v>
      </c>
      <c r="CF248" s="372">
        <v>0</v>
      </c>
      <c r="CG248" s="419"/>
      <c r="CH248" s="423">
        <v>0</v>
      </c>
      <c r="CI248" s="427">
        <v>0</v>
      </c>
      <c r="CJ248" s="372">
        <v>0</v>
      </c>
      <c r="CK248" s="419"/>
      <c r="CL248" s="423">
        <f>IFERROR(IF(LEFT($A248,3)="Lcp",SUMIFS('BASE-LCP'!$K:$K,'BASE-LCP'!$A:$A,Capex!$A245,'BASE-LCP'!$B:$B,"junho")/1000,IF(LEFT($A248,3)="icp",SUMIFS('BASE-ICP'!$K:$K,'BASE-ICP'!$A:$A,Capex!$A245,'BASE-ICP'!$B:$B,"junho")/1000,"")),"")</f>
        <v>0</v>
      </c>
      <c r="CM248" s="427">
        <v>0</v>
      </c>
      <c r="CN248" s="372"/>
      <c r="CO248" s="419"/>
      <c r="CP248" s="423">
        <f>IFERROR(IF(LEFT($A248,3)="Lcp",SUMIFS('BASE-LCP'!$K:$K,'BASE-LCP'!$A:$A,Capex!$A245,'BASE-LCP'!$B:$B,"julho")/1000,IF(LEFT($A248,3)="icp",SUMIFS('BASE-ICP'!$K:$K,'BASE-ICP'!$A:$A,Capex!$A245,'BASE-ICP'!$B:$B,"julho")/1000,"")),"")</f>
        <v>0</v>
      </c>
      <c r="CQ248" s="427">
        <v>0</v>
      </c>
      <c r="CR248" s="372"/>
      <c r="CS248" s="419"/>
      <c r="CT248" s="423">
        <f>IFERROR(IF(LEFT($A248,3)="Lcp",SUMIFS('BASE-LCP'!$K:$K,'BASE-LCP'!$A:$A,Capex!$A245,'BASE-LCP'!$B:$B,"agosto")/1000,IF(LEFT($A248,3)="icp",SUMIFS('BASE-ICP'!$K:$K,'BASE-ICP'!$A:$A,Capex!$A245,'BASE-ICP'!$B:$B,"agosto")/1000,"")),"")</f>
        <v>0</v>
      </c>
      <c r="CU248" s="427">
        <v>0</v>
      </c>
      <c r="CV248" s="372"/>
      <c r="CW248" s="419"/>
      <c r="CX248" s="423">
        <f>IFERROR(IF(LEFT($A248,3)="Lcp",SUMIFS('BASE-LCP'!$K:$K,'BASE-LCP'!$A:$A,Capex!$A245,'BASE-LCP'!$B:$B,"setembro")/1000,IF(LEFT($A248,3)="icp",SUMIFS('BASE-ICP'!$K:$K,'BASE-ICP'!$A:$A,Capex!$A245,'BASE-ICP'!$B:$B,"setembro")/1000,"")),"")</f>
        <v>0</v>
      </c>
      <c r="CY248" s="427">
        <v>0</v>
      </c>
      <c r="CZ248" s="372"/>
      <c r="DA248" s="419"/>
      <c r="DB248" s="423">
        <f>IFERROR(IF(LEFT($A248,3)="Lcp",SUMIFS('BASE-LCP'!$K:$K,'BASE-LCP'!$A:$A,Capex!$A245,'BASE-LCP'!$B:$B,"outubro")/1000,IF(LEFT($A248,3)="icp",SUMIFS('BASE-ICP'!$K:$K,'BASE-ICP'!$A:$A,Capex!$A245,'BASE-ICP'!$B:$B,"outubro")/1000,"")),"")</f>
        <v>0</v>
      </c>
      <c r="DC248" s="427">
        <v>0</v>
      </c>
      <c r="DD248" s="372"/>
      <c r="DE248" s="419"/>
      <c r="DF248" s="423">
        <f>IFERROR(IF(LEFT($A248,3)="Lcp",SUMIFS('BASE-LCP'!$K:$K,'BASE-LCP'!$A:$A,Capex!$A245,'BASE-LCP'!$B:$B,"novembro")/1000,IF(LEFT($A248,3)="icp",SUMIFS('BASE-ICP'!$K:$K,'BASE-ICP'!$A:$A,Capex!$A245,'BASE-ICP'!$B:$B,"novembro")/1000,"")),"")</f>
        <v>0</v>
      </c>
      <c r="DG248" s="427">
        <v>0</v>
      </c>
      <c r="DH248" s="372"/>
      <c r="DI248" s="419"/>
      <c r="DJ248" s="423">
        <f>IFERROR(IF(LEFT($A248,3)="Lcp",SUMIFS('BASE-LCP'!$K:$K,'BASE-LCP'!$A:$A,Capex!$A245,'BASE-LCP'!$B:$B,"dezembro")/1000,IF(LEFT($A248,3)="icp",SUMIFS('BASE-ICP'!$K:$K,'BASE-ICP'!$A:$A,Capex!$A245,'BASE-ICP'!$B:$B,"dezembro")/1000,"")),"")</f>
        <v>0</v>
      </c>
      <c r="DK248" s="427">
        <v>0</v>
      </c>
      <c r="DL248" s="452">
        <f t="shared" si="120"/>
        <v>0</v>
      </c>
      <c r="DM248" s="374"/>
      <c r="DN248" s="374">
        <v>0</v>
      </c>
      <c r="DO248" s="374"/>
      <c r="DP248" s="374"/>
      <c r="DQ248" s="374"/>
      <c r="DR248" s="374"/>
      <c r="DS248" s="374"/>
      <c r="DT248" s="374"/>
      <c r="DU248" s="374"/>
      <c r="DV248" s="374"/>
      <c r="DW248" s="374"/>
      <c r="DX248" s="374"/>
      <c r="DY248" s="450"/>
      <c r="DZ248" s="374">
        <f t="shared" si="121"/>
        <v>0</v>
      </c>
      <c r="EA248" s="216">
        <f t="shared" si="122"/>
        <v>0</v>
      </c>
      <c r="EB248" s="320">
        <f t="shared" si="123"/>
        <v>0</v>
      </c>
      <c r="EC248" s="241">
        <f t="shared" si="124"/>
        <v>0</v>
      </c>
      <c r="ED248" s="241">
        <f t="shared" si="125"/>
        <v>0</v>
      </c>
      <c r="EE248" s="241">
        <f t="shared" si="126"/>
        <v>0</v>
      </c>
      <c r="EF248" s="241">
        <f t="shared" si="127"/>
        <v>0</v>
      </c>
      <c r="EG248" s="346">
        <f t="shared" si="128"/>
        <v>-5</v>
      </c>
      <c r="EH248" s="445">
        <f t="shared" si="129"/>
        <v>0</v>
      </c>
      <c r="EI248" s="447">
        <f t="shared" si="130"/>
        <v>0</v>
      </c>
      <c r="EJ248" s="364">
        <f t="shared" si="131"/>
        <v>0</v>
      </c>
      <c r="EK248" s="365">
        <f t="shared" si="132"/>
        <v>0</v>
      </c>
      <c r="EL248" s="529">
        <f t="shared" si="133"/>
        <v>0</v>
      </c>
      <c r="EM248" s="530">
        <v>0</v>
      </c>
      <c r="EN248" s="530">
        <v>0</v>
      </c>
      <c r="EO248" s="530">
        <v>0</v>
      </c>
      <c r="EP248" s="530">
        <v>0</v>
      </c>
      <c r="EQ248" s="530">
        <v>0</v>
      </c>
      <c r="ER248" s="530">
        <v>0</v>
      </c>
      <c r="ES248" s="530">
        <v>0</v>
      </c>
      <c r="ET248" s="530">
        <v>0</v>
      </c>
      <c r="EU248" s="530">
        <v>0</v>
      </c>
      <c r="EV248" s="530">
        <v>0</v>
      </c>
      <c r="EW248" s="530">
        <v>0</v>
      </c>
      <c r="EX248" s="530">
        <v>0</v>
      </c>
      <c r="EY248" s="530">
        <f t="shared" si="134"/>
        <v>0</v>
      </c>
      <c r="EZ248" s="530">
        <f t="shared" si="135"/>
        <v>0</v>
      </c>
      <c r="FA248" s="530">
        <f t="shared" si="136"/>
        <v>0</v>
      </c>
      <c r="FB248" s="530">
        <f t="shared" si="137"/>
        <v>0</v>
      </c>
      <c r="FC248" s="384">
        <f>IFERROR(VLOOKUP(Capex!A245,BASE_558!D:R,8,FALSE)/1000,"")</f>
        <v>143.65</v>
      </c>
      <c r="FD248" s="328">
        <f>IFERROR(VLOOKUP(Capex!A245,BASE_558!D:R,9,)/1000,"")</f>
        <v>130.18135000000001</v>
      </c>
      <c r="FE248" s="328">
        <f>IFERROR(IF(LEFT(A248,3)="LCP",(VLOOKUP(Capex!A245,BASE_558!D:R,10,)/1000),SUMIFS('BASE ICP_PO_SC'!F:F,'BASE ICP_PO_SC'!A:A,Capex!A245,'BASE ICP_PO_SC'!E:E,"&lt;&gt;")/1000),"")</f>
        <v>0</v>
      </c>
      <c r="FF248" s="328">
        <f>IFERROR(IF(LEFT(A248,3)="LCP",(VLOOKUP(Capex!A245,BASE_558!D:R,11,)/1000),SUMIFS('BASE ICP_PO_SC'!F:F,'BASE ICP_PO_SC'!A:A,Capex!A245,'BASE ICP_PO_SC'!E:E,"")/1000),"")</f>
        <v>0</v>
      </c>
      <c r="FG248" s="328">
        <f>IFERROR(VLOOKUP(A248,BASE_558!D:R,13,FALSE)/1000,"")</f>
        <v>92.7881</v>
      </c>
      <c r="FH248" s="328">
        <f>IFERROR(VLOOKUP(A248,BASE_558!D:R,15,FALSE)/1000,"")</f>
        <v>12.251899999999999</v>
      </c>
      <c r="FI248" s="547">
        <f t="shared" si="138"/>
        <v>0</v>
      </c>
      <c r="FJ248" s="547">
        <f t="shared" si="139"/>
        <v>0</v>
      </c>
      <c r="FK248" s="540">
        <f t="shared" si="140"/>
        <v>0</v>
      </c>
    </row>
    <row r="249" spans="1:167" s="23" customFormat="1" ht="24" customHeight="1">
      <c r="A249" s="84" t="s">
        <v>1101</v>
      </c>
      <c r="B249" s="404"/>
      <c r="C249" s="404">
        <v>17605</v>
      </c>
      <c r="D249" s="338" t="s">
        <v>2280</v>
      </c>
      <c r="E249" s="378">
        <v>4636423</v>
      </c>
      <c r="F249" s="5"/>
      <c r="G249" s="310" t="s">
        <v>9</v>
      </c>
      <c r="H249" s="338"/>
      <c r="I249" s="356" t="s">
        <v>6</v>
      </c>
      <c r="J249" s="356">
        <v>2021</v>
      </c>
      <c r="K249" s="321">
        <v>44461</v>
      </c>
      <c r="L249" s="317">
        <v>44907</v>
      </c>
      <c r="M249" s="409"/>
      <c r="N249" s="317">
        <f t="shared" si="143"/>
        <v>45373</v>
      </c>
      <c r="O249" s="317">
        <f t="shared" si="144"/>
        <v>45738</v>
      </c>
      <c r="P249" s="418" t="str">
        <f t="shared" si="149"/>
        <v>NÃO</v>
      </c>
      <c r="Q249" s="418" t="str">
        <f t="shared" si="149"/>
        <v>NÃO</v>
      </c>
      <c r="R249" s="418" t="str">
        <f t="shared" si="149"/>
        <v>CRTD</v>
      </c>
      <c r="S249" s="418" t="str">
        <f t="shared" si="149"/>
        <v>CRTD</v>
      </c>
      <c r="T249" s="418" t="str">
        <f t="shared" si="149"/>
        <v>CRTD</v>
      </c>
      <c r="U249" s="418" t="str">
        <f t="shared" si="149"/>
        <v>CRTD</v>
      </c>
      <c r="V249" s="418" t="str">
        <f t="shared" si="149"/>
        <v>CRTD</v>
      </c>
      <c r="W249" s="418" t="str">
        <f t="shared" si="149"/>
        <v>CRTD</v>
      </c>
      <c r="X249" s="418" t="str">
        <f t="shared" si="149"/>
        <v>CRTD</v>
      </c>
      <c r="Y249" s="418" t="str">
        <f t="shared" si="149"/>
        <v>CRTD</v>
      </c>
      <c r="Z249" s="418" t="str">
        <f t="shared" si="149"/>
        <v>CRTD</v>
      </c>
      <c r="AA249" s="418" t="str">
        <f t="shared" si="149"/>
        <v>CRTD</v>
      </c>
      <c r="AB249" s="350"/>
      <c r="AC249" s="309" t="s">
        <v>3932</v>
      </c>
      <c r="AD249" s="311" t="s">
        <v>5</v>
      </c>
      <c r="AE249" s="381" t="s">
        <v>961</v>
      </c>
      <c r="AF249" s="310" t="s">
        <v>6985</v>
      </c>
      <c r="AG249" s="310" t="s">
        <v>704</v>
      </c>
      <c r="AH249" s="310" t="s">
        <v>1530</v>
      </c>
      <c r="AI249" s="381" t="s">
        <v>2255</v>
      </c>
      <c r="AJ249" s="6" t="s">
        <v>218</v>
      </c>
      <c r="AK249" s="6" t="str">
        <f t="shared" si="118"/>
        <v>IGUAL</v>
      </c>
      <c r="AL249" s="151" t="str">
        <f>IFERROR(IF(LEFT(A249,3)="LCP",VLOOKUP(A249,STATUS_SAP_LCP!B:C,2,FALSE),VLOOKUP(A249,STATUS_SAP_ICP!B:C,2,FALSE)),"NO BUDGET")</f>
        <v>CLSD BUDG AUC  AVAC  //  APPR BREL EXPL</v>
      </c>
      <c r="AM249" s="6" t="str">
        <f t="shared" si="116"/>
        <v>CLSD</v>
      </c>
      <c r="AN249" s="414" t="s">
        <v>2651</v>
      </c>
      <c r="AO249" s="558">
        <v>1</v>
      </c>
      <c r="AP249" s="499" t="s">
        <v>9607</v>
      </c>
      <c r="AQ249" s="465">
        <v>44907</v>
      </c>
      <c r="AR249" s="460"/>
      <c r="AS249" s="57"/>
      <c r="AT249" s="185"/>
      <c r="AU249" s="318">
        <v>34.642309999999995</v>
      </c>
      <c r="AV249" s="223">
        <v>75.041399999999996</v>
      </c>
      <c r="AW249" s="318">
        <v>0</v>
      </c>
      <c r="AX249" s="223">
        <v>0</v>
      </c>
      <c r="AY249" s="318">
        <f t="shared" si="145"/>
        <v>0</v>
      </c>
      <c r="AZ249" s="223"/>
      <c r="BA249" s="318"/>
      <c r="BB249" s="519">
        <f t="shared" si="146"/>
        <v>0</v>
      </c>
      <c r="BC249" s="518"/>
      <c r="BD249" s="518"/>
      <c r="BE249" s="518"/>
      <c r="BF249" s="518"/>
      <c r="BG249" s="518"/>
      <c r="BH249" s="518"/>
      <c r="BI249" s="518"/>
      <c r="BJ249" s="518"/>
      <c r="BK249" s="518"/>
      <c r="BL249" s="518"/>
      <c r="BM249" s="518"/>
      <c r="BN249" s="518"/>
      <c r="BO249" s="367">
        <f t="shared" si="119"/>
        <v>0</v>
      </c>
      <c r="BP249" s="421"/>
      <c r="BQ249" s="422"/>
      <c r="BR249" s="423">
        <f>IFERROR(IF(LEFT($A249,3)="Lcp",SUMIFS('BASE-LCP'!$K:$K,'BASE-LCP'!$A:$A,Capex!$A246,'BASE-LCP'!$B:$B,"janeiro")/1000,IF(LEFT($A249,3)="icp",SUMIFS('BASE-ICP'!$K:$K,'BASE-ICP'!$A:$A,Capex!$A246,'BASE-ICP'!$B:$B,"janeiro")/1000,"")),"")</f>
        <v>0</v>
      </c>
      <c r="BS249" s="427">
        <v>0</v>
      </c>
      <c r="BT249" s="372">
        <v>0</v>
      </c>
      <c r="BU249" s="422"/>
      <c r="BV249" s="423">
        <f>IFERROR(IF(LEFT($A249,3)="Lcp",SUMIFS('BASE-LCP'!$K:$K,'BASE-LCP'!$A:$A,Capex!$A246,'BASE-LCP'!$B:$B,"fevereiro")/1000,IF(LEFT($A249,3)="icp",SUMIFS('BASE-ICP'!$K:$K,'BASE-ICP'!$A:$A,Capex!$A246,'BASE-ICP'!$B:$B,"fevereiro")/1000,"")),"")</f>
        <v>0</v>
      </c>
      <c r="BW249" s="427">
        <v>0</v>
      </c>
      <c r="BX249" s="372">
        <v>0</v>
      </c>
      <c r="BY249" s="419"/>
      <c r="BZ249" s="423">
        <f>IFERROR(IF(LEFT($A249,3)="Lcp",SUMIFS('BASE-LCP'!$K:$K,'BASE-LCP'!$A:$A,Capex!$A246,'BASE-LCP'!$B:$B,"março")/1000,IF(LEFT($A249,3)="icp",SUMIFS('BASE-ICP'!$K:$K,'BASE-ICP'!$A:$A,Capex!$A246,'BASE-ICP'!$B:$B,"março")/1000,"")),"")</f>
        <v>0</v>
      </c>
      <c r="CA249" s="427">
        <v>0</v>
      </c>
      <c r="CB249" s="372">
        <v>0</v>
      </c>
      <c r="CC249" s="422"/>
      <c r="CD249" s="423">
        <f>IFERROR(IF(LEFT($A249,3)="Lcp",SUMIFS('BASE-LCP'!$K:$K,'BASE-LCP'!$A:$A,Capex!$A246,'BASE-LCP'!$B:$B,"abril")/1000,IF(LEFT($A249,3)="icp",SUMIFS('BASE-ICP'!$K:$K,'BASE-ICP'!$A:$A,Capex!$A246,'BASE-ICP'!$B:$B,"abril")/1000,"")),"")</f>
        <v>0</v>
      </c>
      <c r="CE249" s="427">
        <v>0</v>
      </c>
      <c r="CF249" s="372">
        <v>0</v>
      </c>
      <c r="CG249" s="419"/>
      <c r="CH249" s="423">
        <v>0</v>
      </c>
      <c r="CI249" s="427">
        <v>0</v>
      </c>
      <c r="CJ249" s="372">
        <v>0</v>
      </c>
      <c r="CK249" s="419"/>
      <c r="CL249" s="423">
        <f>IFERROR(IF(LEFT($A249,3)="Lcp",SUMIFS('BASE-LCP'!$K:$K,'BASE-LCP'!$A:$A,Capex!$A246,'BASE-LCP'!$B:$B,"junho")/1000,IF(LEFT($A249,3)="icp",SUMIFS('BASE-ICP'!$K:$K,'BASE-ICP'!$A:$A,Capex!$A246,'BASE-ICP'!$B:$B,"junho")/1000,"")),"")</f>
        <v>0</v>
      </c>
      <c r="CM249" s="427">
        <v>0</v>
      </c>
      <c r="CN249" s="372"/>
      <c r="CO249" s="419"/>
      <c r="CP249" s="423">
        <f>IFERROR(IF(LEFT($A249,3)="Lcp",SUMIFS('BASE-LCP'!$K:$K,'BASE-LCP'!$A:$A,Capex!$A246,'BASE-LCP'!$B:$B,"julho")/1000,IF(LEFT($A249,3)="icp",SUMIFS('BASE-ICP'!$K:$K,'BASE-ICP'!$A:$A,Capex!$A246,'BASE-ICP'!$B:$B,"julho")/1000,"")),"")</f>
        <v>0</v>
      </c>
      <c r="CQ249" s="427">
        <v>0</v>
      </c>
      <c r="CR249" s="372"/>
      <c r="CS249" s="419"/>
      <c r="CT249" s="423">
        <f>IFERROR(IF(LEFT($A249,3)="Lcp",SUMIFS('BASE-LCP'!$K:$K,'BASE-LCP'!$A:$A,Capex!$A246,'BASE-LCP'!$B:$B,"agosto")/1000,IF(LEFT($A249,3)="icp",SUMIFS('BASE-ICP'!$K:$K,'BASE-ICP'!$A:$A,Capex!$A246,'BASE-ICP'!$B:$B,"agosto")/1000,"")),"")</f>
        <v>0</v>
      </c>
      <c r="CU249" s="427">
        <v>0</v>
      </c>
      <c r="CV249" s="372"/>
      <c r="CW249" s="419"/>
      <c r="CX249" s="423">
        <f>IFERROR(IF(LEFT($A249,3)="Lcp",SUMIFS('BASE-LCP'!$K:$K,'BASE-LCP'!$A:$A,Capex!$A246,'BASE-LCP'!$B:$B,"setembro")/1000,IF(LEFT($A249,3)="icp",SUMIFS('BASE-ICP'!$K:$K,'BASE-ICP'!$A:$A,Capex!$A246,'BASE-ICP'!$B:$B,"setembro")/1000,"")),"")</f>
        <v>0</v>
      </c>
      <c r="CY249" s="427">
        <v>0</v>
      </c>
      <c r="CZ249" s="372"/>
      <c r="DA249" s="419"/>
      <c r="DB249" s="423">
        <f>IFERROR(IF(LEFT($A249,3)="Lcp",SUMIFS('BASE-LCP'!$K:$K,'BASE-LCP'!$A:$A,Capex!$A246,'BASE-LCP'!$B:$B,"outubro")/1000,IF(LEFT($A249,3)="icp",SUMIFS('BASE-ICP'!$K:$K,'BASE-ICP'!$A:$A,Capex!$A246,'BASE-ICP'!$B:$B,"outubro")/1000,"")),"")</f>
        <v>0</v>
      </c>
      <c r="DC249" s="427">
        <v>0</v>
      </c>
      <c r="DD249" s="372"/>
      <c r="DE249" s="419"/>
      <c r="DF249" s="423">
        <f>IFERROR(IF(LEFT($A249,3)="Lcp",SUMIFS('BASE-LCP'!$K:$K,'BASE-LCP'!$A:$A,Capex!$A246,'BASE-LCP'!$B:$B,"novembro")/1000,IF(LEFT($A249,3)="icp",SUMIFS('BASE-ICP'!$K:$K,'BASE-ICP'!$A:$A,Capex!$A246,'BASE-ICP'!$B:$B,"novembro")/1000,"")),"")</f>
        <v>0</v>
      </c>
      <c r="DG249" s="427">
        <v>0</v>
      </c>
      <c r="DH249" s="372"/>
      <c r="DI249" s="419"/>
      <c r="DJ249" s="423">
        <f>IFERROR(IF(LEFT($A249,3)="Lcp",SUMIFS('BASE-LCP'!$K:$K,'BASE-LCP'!$A:$A,Capex!$A246,'BASE-LCP'!$B:$B,"dezembro")/1000,IF(LEFT($A249,3)="icp",SUMIFS('BASE-ICP'!$K:$K,'BASE-ICP'!$A:$A,Capex!$A246,'BASE-ICP'!$B:$B,"dezembro")/1000,"")),"")</f>
        <v>0</v>
      </c>
      <c r="DK249" s="427">
        <v>0</v>
      </c>
      <c r="DL249" s="452">
        <f t="shared" si="120"/>
        <v>0</v>
      </c>
      <c r="DM249" s="374"/>
      <c r="DN249" s="374"/>
      <c r="DO249" s="374"/>
      <c r="DP249" s="374"/>
      <c r="DQ249" s="374"/>
      <c r="DR249" s="374"/>
      <c r="DS249" s="374"/>
      <c r="DT249" s="374"/>
      <c r="DU249" s="374"/>
      <c r="DV249" s="374"/>
      <c r="DW249" s="374"/>
      <c r="DX249" s="374"/>
      <c r="DY249" s="450"/>
      <c r="DZ249" s="374">
        <f t="shared" si="121"/>
        <v>0</v>
      </c>
      <c r="EA249" s="216">
        <f t="shared" si="122"/>
        <v>0</v>
      </c>
      <c r="EB249" s="320">
        <f t="shared" si="123"/>
        <v>0</v>
      </c>
      <c r="EC249" s="241">
        <f t="shared" si="124"/>
        <v>0</v>
      </c>
      <c r="ED249" s="241">
        <f t="shared" si="125"/>
        <v>0</v>
      </c>
      <c r="EE249" s="241">
        <f t="shared" si="126"/>
        <v>0</v>
      </c>
      <c r="EF249" s="241">
        <f t="shared" si="127"/>
        <v>0</v>
      </c>
      <c r="EG249" s="346">
        <f t="shared" si="128"/>
        <v>0</v>
      </c>
      <c r="EH249" s="445">
        <f t="shared" si="129"/>
        <v>0</v>
      </c>
      <c r="EI249" s="447">
        <f t="shared" si="130"/>
        <v>0</v>
      </c>
      <c r="EJ249" s="364">
        <f t="shared" si="131"/>
        <v>0</v>
      </c>
      <c r="EK249" s="365">
        <f t="shared" si="132"/>
        <v>0</v>
      </c>
      <c r="EL249" s="529">
        <f t="shared" si="133"/>
        <v>0</v>
      </c>
      <c r="EM249" s="530">
        <v>0</v>
      </c>
      <c r="EN249" s="530">
        <v>0</v>
      </c>
      <c r="EO249" s="530">
        <v>0</v>
      </c>
      <c r="EP249" s="530">
        <v>0</v>
      </c>
      <c r="EQ249" s="530">
        <v>0</v>
      </c>
      <c r="ER249" s="530">
        <v>0</v>
      </c>
      <c r="ES249" s="530">
        <v>0</v>
      </c>
      <c r="ET249" s="530">
        <v>0</v>
      </c>
      <c r="EU249" s="530">
        <v>0</v>
      </c>
      <c r="EV249" s="530">
        <v>0</v>
      </c>
      <c r="EW249" s="530">
        <v>0</v>
      </c>
      <c r="EX249" s="530">
        <v>0</v>
      </c>
      <c r="EY249" s="530">
        <f t="shared" si="134"/>
        <v>0</v>
      </c>
      <c r="EZ249" s="530">
        <f t="shared" si="135"/>
        <v>0</v>
      </c>
      <c r="FA249" s="530">
        <f t="shared" si="136"/>
        <v>0</v>
      </c>
      <c r="FB249" s="530">
        <f t="shared" si="137"/>
        <v>0</v>
      </c>
      <c r="FC249" s="384">
        <f>IFERROR(VLOOKUP(Capex!A246,BASE_558!D:R,8,FALSE)/1000,"")</f>
        <v>879.7</v>
      </c>
      <c r="FD249" s="328">
        <f>IFERROR(VLOOKUP(Capex!A246,BASE_558!D:R,9,)/1000,"")</f>
        <v>227.90762000000001</v>
      </c>
      <c r="FE249" s="328">
        <f>IFERROR(IF(LEFT(A249,3)="LCP",(VLOOKUP(Capex!A246,BASE_558!D:R,10,)/1000),SUMIFS('BASE ICP_PO_SC'!F:F,'BASE ICP_PO_SC'!A:A,Capex!A246,'BASE ICP_PO_SC'!E:E,"&lt;&gt;")/1000),"")</f>
        <v>0</v>
      </c>
      <c r="FF249" s="328">
        <f>IFERROR(IF(LEFT(A249,3)="LCP",(VLOOKUP(Capex!A246,BASE_558!D:R,11,)/1000),SUMIFS('BASE ICP_PO_SC'!F:F,'BASE ICP_PO_SC'!A:A,Capex!A246,'BASE ICP_PO_SC'!E:E,"")/1000),"")</f>
        <v>0</v>
      </c>
      <c r="FG249" s="328">
        <f>IFERROR(VLOOKUP(A249,BASE_558!D:R,13,FALSE)/1000,"")</f>
        <v>109.68371</v>
      </c>
      <c r="FH249" s="328">
        <f>IFERROR(VLOOKUP(A249,BASE_558!D:R,15,FALSE)/1000,"")</f>
        <v>73.986289999999997</v>
      </c>
      <c r="FI249" s="547">
        <f t="shared" si="138"/>
        <v>0</v>
      </c>
      <c r="FJ249" s="547">
        <f t="shared" si="139"/>
        <v>0</v>
      </c>
      <c r="FK249" s="540">
        <f t="shared" si="140"/>
        <v>0</v>
      </c>
    </row>
    <row r="250" spans="1:167" s="23" customFormat="1" ht="24" customHeight="1">
      <c r="A250" s="84" t="s">
        <v>1146</v>
      </c>
      <c r="B250" s="404"/>
      <c r="C250" s="404" t="s">
        <v>602</v>
      </c>
      <c r="D250" s="338" t="s">
        <v>1873</v>
      </c>
      <c r="E250" s="378">
        <v>4723158</v>
      </c>
      <c r="F250" s="5"/>
      <c r="G250" s="310" t="s">
        <v>9</v>
      </c>
      <c r="H250" s="338"/>
      <c r="I250" s="356" t="s">
        <v>6</v>
      </c>
      <c r="J250" s="356">
        <v>2021</v>
      </c>
      <c r="K250" s="321">
        <v>44461</v>
      </c>
      <c r="L250" s="317">
        <v>45289</v>
      </c>
      <c r="M250" s="409"/>
      <c r="N250" s="317">
        <f t="shared" si="143"/>
        <v>45373</v>
      </c>
      <c r="O250" s="317">
        <f t="shared" si="144"/>
        <v>45738</v>
      </c>
      <c r="P250" s="418" t="str">
        <f t="shared" si="149"/>
        <v>NÃO</v>
      </c>
      <c r="Q250" s="418" t="str">
        <f t="shared" si="149"/>
        <v>NÃO</v>
      </c>
      <c r="R250" s="418" t="str">
        <f t="shared" si="149"/>
        <v>CRTD</v>
      </c>
      <c r="S250" s="418" t="str">
        <f t="shared" si="149"/>
        <v>CRTD</v>
      </c>
      <c r="T250" s="418" t="str">
        <f t="shared" si="149"/>
        <v>CRTD</v>
      </c>
      <c r="U250" s="418" t="str">
        <f t="shared" si="149"/>
        <v>CRTD</v>
      </c>
      <c r="V250" s="418" t="str">
        <f t="shared" si="149"/>
        <v>CRTD</v>
      </c>
      <c r="W250" s="418" t="str">
        <f t="shared" si="149"/>
        <v>CRTD</v>
      </c>
      <c r="X250" s="418" t="str">
        <f t="shared" si="149"/>
        <v>CRTD</v>
      </c>
      <c r="Y250" s="418" t="str">
        <f t="shared" si="149"/>
        <v>CRTD</v>
      </c>
      <c r="Z250" s="418" t="str">
        <f t="shared" si="149"/>
        <v>CRTD</v>
      </c>
      <c r="AA250" s="418" t="str">
        <f t="shared" si="149"/>
        <v>CRTD</v>
      </c>
      <c r="AB250" s="317"/>
      <c r="AC250" s="309" t="s">
        <v>3931</v>
      </c>
      <c r="AD250" s="311"/>
      <c r="AE250" s="361"/>
      <c r="AF250" s="310" t="s">
        <v>6985</v>
      </c>
      <c r="AG250" s="310" t="s">
        <v>9083</v>
      </c>
      <c r="AH250" s="310" t="s">
        <v>1143</v>
      </c>
      <c r="AI250" s="309" t="s">
        <v>188</v>
      </c>
      <c r="AJ250" s="6" t="s">
        <v>218</v>
      </c>
      <c r="AK250" s="6" t="str">
        <f t="shared" si="118"/>
        <v>IGUAL</v>
      </c>
      <c r="AL250" s="151" t="str">
        <f>IFERROR(IF(LEFT(A250,3)="LCP",VLOOKUP(A250,STATUS_SAP_LCP!B:C,2,FALSE),VLOOKUP(A250,STATUS_SAP_ICP!B:C,2,FALSE)),"NO BUDGET")</f>
        <v>CLSD BUDG AUC  AVAC  //  APPR BREL EXPL</v>
      </c>
      <c r="AM250" s="6" t="str">
        <f t="shared" si="116"/>
        <v>CLSD</v>
      </c>
      <c r="AN250" s="414" t="s">
        <v>9096</v>
      </c>
      <c r="AO250" s="558">
        <v>1</v>
      </c>
      <c r="AP250" s="499" t="s">
        <v>9607</v>
      </c>
      <c r="AQ250" s="465">
        <v>45289</v>
      </c>
      <c r="AR250" s="460"/>
      <c r="AS250" s="57"/>
      <c r="AT250" s="185"/>
      <c r="AU250" s="318">
        <v>30.81091</v>
      </c>
      <c r="AV250" s="223">
        <v>4.3600000000000083E-2</v>
      </c>
      <c r="AW250" s="318">
        <v>0</v>
      </c>
      <c r="AX250" s="223">
        <v>0</v>
      </c>
      <c r="AY250" s="318">
        <f t="shared" si="145"/>
        <v>0</v>
      </c>
      <c r="AZ250" s="223"/>
      <c r="BA250" s="318"/>
      <c r="BB250" s="519">
        <f t="shared" si="146"/>
        <v>0</v>
      </c>
      <c r="BC250" s="518"/>
      <c r="BD250" s="518"/>
      <c r="BE250" s="518"/>
      <c r="BF250" s="518"/>
      <c r="BG250" s="518"/>
      <c r="BH250" s="518"/>
      <c r="BI250" s="518"/>
      <c r="BJ250" s="518"/>
      <c r="BK250" s="518"/>
      <c r="BL250" s="518"/>
      <c r="BM250" s="518"/>
      <c r="BN250" s="518"/>
      <c r="BO250" s="367">
        <f t="shared" si="119"/>
        <v>0</v>
      </c>
      <c r="BP250" s="421"/>
      <c r="BQ250" s="422"/>
      <c r="BR250" s="423">
        <f>IFERROR(IF(LEFT($A250,3)="Lcp",SUMIFS('BASE-LCP'!$K:$K,'BASE-LCP'!$A:$A,Capex!$A248,'BASE-LCP'!$B:$B,"janeiro")/1000,IF(LEFT($A250,3)="icp",SUMIFS('BASE-ICP'!$K:$K,'BASE-ICP'!$A:$A,Capex!$A248,'BASE-ICP'!$B:$B,"janeiro")/1000,"")),"")</f>
        <v>0</v>
      </c>
      <c r="BS250" s="427">
        <v>0</v>
      </c>
      <c r="BT250" s="372">
        <v>0</v>
      </c>
      <c r="BU250" s="422"/>
      <c r="BV250" s="423">
        <f>IFERROR(IF(LEFT($A250,3)="Lcp",SUMIFS('BASE-LCP'!$K:$K,'BASE-LCP'!$A:$A,Capex!$A248,'BASE-LCP'!$B:$B,"fevereiro")/1000,IF(LEFT($A250,3)="icp",SUMIFS('BASE-ICP'!$K:$K,'BASE-ICP'!$A:$A,Capex!$A248,'BASE-ICP'!$B:$B,"fevereiro")/1000,"")),"")</f>
        <v>0</v>
      </c>
      <c r="BW250" s="427">
        <v>0</v>
      </c>
      <c r="BX250" s="372">
        <v>0</v>
      </c>
      <c r="BY250" s="419"/>
      <c r="BZ250" s="423">
        <f>IFERROR(IF(LEFT($A250,3)="Lcp",SUMIFS('BASE-LCP'!$K:$K,'BASE-LCP'!$A:$A,Capex!$A248,'BASE-LCP'!$B:$B,"março")/1000,IF(LEFT($A250,3)="icp",SUMIFS('BASE-ICP'!$K:$K,'BASE-ICP'!$A:$A,Capex!$A248,'BASE-ICP'!$B:$B,"março")/1000,"")),"")</f>
        <v>0</v>
      </c>
      <c r="CA250" s="427">
        <v>0</v>
      </c>
      <c r="CB250" s="372">
        <v>0</v>
      </c>
      <c r="CC250" s="422"/>
      <c r="CD250" s="423">
        <f>IFERROR(IF(LEFT($A250,3)="Lcp",SUMIFS('BASE-LCP'!$K:$K,'BASE-LCP'!$A:$A,Capex!$A248,'BASE-LCP'!$B:$B,"abril")/1000,IF(LEFT($A250,3)="icp",SUMIFS('BASE-ICP'!$K:$K,'BASE-ICP'!$A:$A,Capex!$A248,'BASE-ICP'!$B:$B,"abril")/1000,"")),"")</f>
        <v>0</v>
      </c>
      <c r="CE250" s="427">
        <v>0</v>
      </c>
      <c r="CF250" s="372">
        <v>0</v>
      </c>
      <c r="CG250" s="419"/>
      <c r="CH250" s="423">
        <v>0</v>
      </c>
      <c r="CI250" s="427">
        <v>0</v>
      </c>
      <c r="CJ250" s="372">
        <v>0</v>
      </c>
      <c r="CK250" s="419"/>
      <c r="CL250" s="423">
        <f>IFERROR(IF(LEFT($A250,3)="Lcp",SUMIFS('BASE-LCP'!$K:$K,'BASE-LCP'!$A:$A,Capex!$A248,'BASE-LCP'!$B:$B,"junho")/1000,IF(LEFT($A250,3)="icp",SUMIFS('BASE-ICP'!$K:$K,'BASE-ICP'!$A:$A,Capex!$A248,'BASE-ICP'!$B:$B,"junho")/1000,"")),"")</f>
        <v>0</v>
      </c>
      <c r="CM250" s="427">
        <v>0</v>
      </c>
      <c r="CN250" s="372"/>
      <c r="CO250" s="419"/>
      <c r="CP250" s="423">
        <f>IFERROR(IF(LEFT($A250,3)="Lcp",SUMIFS('BASE-LCP'!$K:$K,'BASE-LCP'!$A:$A,Capex!$A248,'BASE-LCP'!$B:$B,"julho")/1000,IF(LEFT($A250,3)="icp",SUMIFS('BASE-ICP'!$K:$K,'BASE-ICP'!$A:$A,Capex!$A248,'BASE-ICP'!$B:$B,"julho")/1000,"")),"")</f>
        <v>0</v>
      </c>
      <c r="CQ250" s="427">
        <v>0</v>
      </c>
      <c r="CR250" s="372"/>
      <c r="CS250" s="419"/>
      <c r="CT250" s="423">
        <f>IFERROR(IF(LEFT($A250,3)="Lcp",SUMIFS('BASE-LCP'!$K:$K,'BASE-LCP'!$A:$A,Capex!$A248,'BASE-LCP'!$B:$B,"agosto")/1000,IF(LEFT($A250,3)="icp",SUMIFS('BASE-ICP'!$K:$K,'BASE-ICP'!$A:$A,Capex!$A248,'BASE-ICP'!$B:$B,"agosto")/1000,"")),"")</f>
        <v>0</v>
      </c>
      <c r="CU250" s="427">
        <v>0</v>
      </c>
      <c r="CV250" s="372"/>
      <c r="CW250" s="419"/>
      <c r="CX250" s="423">
        <f>IFERROR(IF(LEFT($A250,3)="Lcp",SUMIFS('BASE-LCP'!$K:$K,'BASE-LCP'!$A:$A,Capex!$A248,'BASE-LCP'!$B:$B,"setembro")/1000,IF(LEFT($A250,3)="icp",SUMIFS('BASE-ICP'!$K:$K,'BASE-ICP'!$A:$A,Capex!$A248,'BASE-ICP'!$B:$B,"setembro")/1000,"")),"")</f>
        <v>0</v>
      </c>
      <c r="CY250" s="427">
        <v>0</v>
      </c>
      <c r="CZ250" s="372"/>
      <c r="DA250" s="419"/>
      <c r="DB250" s="423">
        <f>IFERROR(IF(LEFT($A250,3)="Lcp",SUMIFS('BASE-LCP'!$K:$K,'BASE-LCP'!$A:$A,Capex!$A248,'BASE-LCP'!$B:$B,"outubro")/1000,IF(LEFT($A250,3)="icp",SUMIFS('BASE-ICP'!$K:$K,'BASE-ICP'!$A:$A,Capex!$A248,'BASE-ICP'!$B:$B,"outubro")/1000,"")),"")</f>
        <v>0</v>
      </c>
      <c r="DC250" s="427">
        <v>0</v>
      </c>
      <c r="DD250" s="372"/>
      <c r="DE250" s="419"/>
      <c r="DF250" s="423">
        <f>IFERROR(IF(LEFT($A250,3)="Lcp",SUMIFS('BASE-LCP'!$K:$K,'BASE-LCP'!$A:$A,Capex!$A248,'BASE-LCP'!$B:$B,"novembro")/1000,IF(LEFT($A250,3)="icp",SUMIFS('BASE-ICP'!$K:$K,'BASE-ICP'!$A:$A,Capex!$A248,'BASE-ICP'!$B:$B,"novembro")/1000,"")),"")</f>
        <v>0</v>
      </c>
      <c r="DG250" s="427">
        <v>0</v>
      </c>
      <c r="DH250" s="372"/>
      <c r="DI250" s="419"/>
      <c r="DJ250" s="423">
        <f>IFERROR(IF(LEFT($A250,3)="Lcp",SUMIFS('BASE-LCP'!$K:$K,'BASE-LCP'!$A:$A,Capex!$A248,'BASE-LCP'!$B:$B,"dezembro")/1000,IF(LEFT($A250,3)="icp",SUMIFS('BASE-ICP'!$K:$K,'BASE-ICP'!$A:$A,Capex!$A248,'BASE-ICP'!$B:$B,"dezembro")/1000,"")),"")</f>
        <v>0</v>
      </c>
      <c r="DK250" s="427">
        <v>0</v>
      </c>
      <c r="DL250" s="452">
        <f t="shared" si="120"/>
        <v>0</v>
      </c>
      <c r="DM250" s="374"/>
      <c r="DN250" s="374"/>
      <c r="DO250" s="374"/>
      <c r="DP250" s="374"/>
      <c r="DQ250" s="374"/>
      <c r="DR250" s="374"/>
      <c r="DS250" s="374"/>
      <c r="DT250" s="374"/>
      <c r="DU250" s="374"/>
      <c r="DV250" s="374"/>
      <c r="DW250" s="374"/>
      <c r="DX250" s="374"/>
      <c r="DY250" s="450"/>
      <c r="DZ250" s="374">
        <f t="shared" si="121"/>
        <v>0</v>
      </c>
      <c r="EA250" s="216">
        <f t="shared" si="122"/>
        <v>0</v>
      </c>
      <c r="EB250" s="320">
        <f t="shared" si="123"/>
        <v>0</v>
      </c>
      <c r="EC250" s="241">
        <f t="shared" si="124"/>
        <v>0</v>
      </c>
      <c r="ED250" s="241">
        <f t="shared" si="125"/>
        <v>0</v>
      </c>
      <c r="EE250" s="241">
        <f t="shared" si="126"/>
        <v>0</v>
      </c>
      <c r="EF250" s="241">
        <f t="shared" si="127"/>
        <v>0</v>
      </c>
      <c r="EG250" s="346">
        <f t="shared" si="128"/>
        <v>0</v>
      </c>
      <c r="EH250" s="445">
        <f t="shared" si="129"/>
        <v>0</v>
      </c>
      <c r="EI250" s="447">
        <f t="shared" si="130"/>
        <v>0</v>
      </c>
      <c r="EJ250" s="364">
        <f t="shared" si="131"/>
        <v>0</v>
      </c>
      <c r="EK250" s="365">
        <f t="shared" si="132"/>
        <v>0</v>
      </c>
      <c r="EL250" s="529">
        <f t="shared" si="133"/>
        <v>0</v>
      </c>
      <c r="EM250" s="530">
        <v>0</v>
      </c>
      <c r="EN250" s="530">
        <v>0</v>
      </c>
      <c r="EO250" s="530">
        <v>0</v>
      </c>
      <c r="EP250" s="530">
        <v>0</v>
      </c>
      <c r="EQ250" s="530">
        <v>0</v>
      </c>
      <c r="ER250" s="530">
        <v>0</v>
      </c>
      <c r="ES250" s="530">
        <v>0</v>
      </c>
      <c r="ET250" s="530">
        <v>0</v>
      </c>
      <c r="EU250" s="530">
        <v>0</v>
      </c>
      <c r="EV250" s="530">
        <v>0</v>
      </c>
      <c r="EW250" s="530">
        <v>0</v>
      </c>
      <c r="EX250" s="530">
        <v>0</v>
      </c>
      <c r="EY250" s="530">
        <f t="shared" si="134"/>
        <v>0</v>
      </c>
      <c r="EZ250" s="530">
        <f t="shared" si="135"/>
        <v>0</v>
      </c>
      <c r="FA250" s="530">
        <f t="shared" si="136"/>
        <v>0</v>
      </c>
      <c r="FB250" s="530">
        <f t="shared" si="137"/>
        <v>0</v>
      </c>
      <c r="FC250" s="384">
        <f>IFERROR(VLOOKUP(Capex!A248,BASE_558!D:R,8,FALSE)/1000,"")</f>
        <v>105.04</v>
      </c>
      <c r="FD250" s="328">
        <f>IFERROR(VLOOKUP(Capex!A248,BASE_558!D:R,9,)/1000,"")</f>
        <v>92.7881</v>
      </c>
      <c r="FE250" s="328">
        <f>IFERROR(IF(LEFT(A250,3)="LCP",(VLOOKUP(Capex!A248,BASE_558!D:R,10,)/1000),SUMIFS('BASE ICP_PO_SC'!F:F,'BASE ICP_PO_SC'!A:A,Capex!A248,'BASE ICP_PO_SC'!E:E,"&lt;&gt;")/1000),"")</f>
        <v>0</v>
      </c>
      <c r="FF250" s="328">
        <f>IFERROR(IF(LEFT(A250,3)="LCP",(VLOOKUP(Capex!A248,BASE_558!D:R,11,)/1000),SUMIFS('BASE ICP_PO_SC'!F:F,'BASE ICP_PO_SC'!A:A,Capex!A248,'BASE ICP_PO_SC'!E:E,"")/1000),"")</f>
        <v>0</v>
      </c>
      <c r="FG250" s="328">
        <f>IFERROR(VLOOKUP(A250,BASE_558!D:R,13,FALSE)/1000,"")</f>
        <v>30.854509999999998</v>
      </c>
      <c r="FH250" s="328">
        <f>IFERROR(VLOOKUP(A250,BASE_558!D:R,15,FALSE)/1000,"")</f>
        <v>2.00949</v>
      </c>
      <c r="FI250" s="547">
        <f t="shared" si="138"/>
        <v>0</v>
      </c>
      <c r="FJ250" s="547">
        <f t="shared" si="139"/>
        <v>0</v>
      </c>
      <c r="FK250" s="540">
        <f t="shared" si="140"/>
        <v>0</v>
      </c>
    </row>
    <row r="251" spans="1:167" s="23" customFormat="1" ht="24" customHeight="1">
      <c r="A251" s="84" t="s">
        <v>1152</v>
      </c>
      <c r="B251" s="404" t="s">
        <v>1314</v>
      </c>
      <c r="C251" s="404" t="s">
        <v>1264</v>
      </c>
      <c r="D251" s="338" t="s">
        <v>1704</v>
      </c>
      <c r="E251" s="378">
        <v>4741958</v>
      </c>
      <c r="F251" s="310" t="s">
        <v>609</v>
      </c>
      <c r="G251" s="310" t="s">
        <v>9</v>
      </c>
      <c r="H251" s="338" t="s">
        <v>6</v>
      </c>
      <c r="I251" s="356"/>
      <c r="J251" s="356">
        <v>2021</v>
      </c>
      <c r="K251" s="352">
        <v>44483</v>
      </c>
      <c r="L251" s="317"/>
      <c r="M251" s="409"/>
      <c r="N251" s="317">
        <f t="shared" si="143"/>
        <v>45395</v>
      </c>
      <c r="O251" s="317">
        <f t="shared" si="144"/>
        <v>45760</v>
      </c>
      <c r="P251" s="418" t="str">
        <f t="shared" si="149"/>
        <v>SIM</v>
      </c>
      <c r="Q251" s="418" t="str">
        <f t="shared" si="149"/>
        <v>SIM</v>
      </c>
      <c r="R251" s="418" t="str">
        <f t="shared" si="149"/>
        <v>SIM</v>
      </c>
      <c r="S251" s="418" t="str">
        <f t="shared" si="149"/>
        <v>SIM</v>
      </c>
      <c r="T251" s="418" t="str">
        <f t="shared" si="149"/>
        <v>SIM</v>
      </c>
      <c r="U251" s="418" t="str">
        <f t="shared" si="149"/>
        <v>SIM</v>
      </c>
      <c r="V251" s="418" t="str">
        <f t="shared" si="149"/>
        <v>SIM</v>
      </c>
      <c r="W251" s="418" t="str">
        <f t="shared" si="149"/>
        <v>SIM</v>
      </c>
      <c r="X251" s="418" t="str">
        <f t="shared" si="149"/>
        <v>SIM</v>
      </c>
      <c r="Y251" s="418" t="str">
        <f t="shared" si="149"/>
        <v>SIM</v>
      </c>
      <c r="Z251" s="418" t="str">
        <f t="shared" si="149"/>
        <v>SIM</v>
      </c>
      <c r="AA251" s="418" t="str">
        <f t="shared" si="149"/>
        <v>SIM</v>
      </c>
      <c r="AB251" s="350"/>
      <c r="AC251" s="309" t="s">
        <v>3932</v>
      </c>
      <c r="AD251" s="311" t="s">
        <v>224</v>
      </c>
      <c r="AE251" s="361" t="s">
        <v>979</v>
      </c>
      <c r="AF251" s="310" t="s">
        <v>6985</v>
      </c>
      <c r="AG251" s="310" t="s">
        <v>2079</v>
      </c>
      <c r="AH251" s="310" t="s">
        <v>2824</v>
      </c>
      <c r="AI251" s="381" t="s">
        <v>316</v>
      </c>
      <c r="AJ251" s="6" t="s">
        <v>6786</v>
      </c>
      <c r="AK251" s="6" t="str">
        <f t="shared" si="118"/>
        <v>IGUAL</v>
      </c>
      <c r="AL251" s="151" t="str">
        <f>IFERROR(IF(LEFT(A251,3)="LCP",VLOOKUP(A251,STATUS_SAP_LCP!B:C,2,FALSE),VLOOKUP(A251,STATUS_SAP_ICP!B:C,2,FALSE)),"NO BUDGET")</f>
        <v>REL  BUDG AUC  AVAC  //  APPR BREL INPL</v>
      </c>
      <c r="AM251" s="6" t="str">
        <f t="shared" si="116"/>
        <v xml:space="preserve">REL </v>
      </c>
      <c r="AN251" s="429" t="s">
        <v>16165</v>
      </c>
      <c r="AO251" s="429"/>
      <c r="AP251" s="499" t="s">
        <v>9616</v>
      </c>
      <c r="AQ251" s="465">
        <v>46357</v>
      </c>
      <c r="AR251" s="460"/>
      <c r="AS251" s="57"/>
      <c r="AT251" s="185"/>
      <c r="AU251" s="318">
        <v>12.270350000000001</v>
      </c>
      <c r="AV251" s="223">
        <v>4.8958600000000008</v>
      </c>
      <c r="AW251" s="318">
        <v>526.39163999999994</v>
      </c>
      <c r="AX251" s="223">
        <v>16.283570000000001</v>
      </c>
      <c r="AY251" s="318">
        <f t="shared" si="145"/>
        <v>150</v>
      </c>
      <c r="AZ251" s="223"/>
      <c r="BA251" s="318"/>
      <c r="BB251" s="519">
        <f t="shared" si="146"/>
        <v>150</v>
      </c>
      <c r="BC251" s="518">
        <v>0</v>
      </c>
      <c r="BD251" s="518">
        <v>0</v>
      </c>
      <c r="BE251" s="518">
        <v>0</v>
      </c>
      <c r="BF251" s="518">
        <v>0</v>
      </c>
      <c r="BG251" s="518">
        <v>0</v>
      </c>
      <c r="BH251" s="518">
        <v>0</v>
      </c>
      <c r="BI251" s="518">
        <v>0</v>
      </c>
      <c r="BJ251" s="518">
        <v>30</v>
      </c>
      <c r="BK251" s="518">
        <v>30</v>
      </c>
      <c r="BL251" s="518">
        <v>30</v>
      </c>
      <c r="BM251" s="518">
        <v>30</v>
      </c>
      <c r="BN251" s="518">
        <v>30</v>
      </c>
      <c r="BO251" s="367">
        <f t="shared" si="119"/>
        <v>150</v>
      </c>
      <c r="BP251" s="421">
        <v>0</v>
      </c>
      <c r="BQ251" s="422"/>
      <c r="BR251" s="423">
        <f>IFERROR(IF(LEFT($A251,3)="Lcp",SUMIFS('BASE-LCP'!$K:$K,'BASE-LCP'!$A:$A,Capex!$A250,'BASE-LCP'!$B:$B,"janeiro")/1000,IF(LEFT($A251,3)="icp",SUMIFS('BASE-ICP'!$K:$K,'BASE-ICP'!$A:$A,Capex!$A250,'BASE-ICP'!$B:$B,"janeiro")/1000,"")),"")</f>
        <v>0</v>
      </c>
      <c r="BS251" s="427">
        <v>0</v>
      </c>
      <c r="BT251" s="372">
        <v>0</v>
      </c>
      <c r="BU251" s="422"/>
      <c r="BV251" s="423">
        <f>IFERROR(IF(LEFT($A251,3)="Lcp",SUMIFS('BASE-LCP'!$K:$K,'BASE-LCP'!$A:$A,Capex!$A250,'BASE-LCP'!$B:$B,"fevereiro")/1000,IF(LEFT($A251,3)="icp",SUMIFS('BASE-ICP'!$K:$K,'BASE-ICP'!$A:$A,Capex!$A250,'BASE-ICP'!$B:$B,"fevereiro")/1000,"")),"")</f>
        <v>0</v>
      </c>
      <c r="BW251" s="427">
        <v>0</v>
      </c>
      <c r="BX251" s="372">
        <v>0</v>
      </c>
      <c r="BY251" s="419"/>
      <c r="BZ251" s="423">
        <f>IFERROR(IF(LEFT($A251,3)="Lcp",SUMIFS('BASE-LCP'!$K:$K,'BASE-LCP'!$A:$A,Capex!$A250,'BASE-LCP'!$B:$B,"março")/1000,IF(LEFT($A251,3)="icp",SUMIFS('BASE-ICP'!$K:$K,'BASE-ICP'!$A:$A,Capex!$A250,'BASE-ICP'!$B:$B,"março")/1000,"")),"")</f>
        <v>0</v>
      </c>
      <c r="CA251" s="427">
        <v>0</v>
      </c>
      <c r="CB251" s="372">
        <v>0</v>
      </c>
      <c r="CC251" s="422"/>
      <c r="CD251" s="423">
        <f>IFERROR(IF(LEFT($A251,3)="Lcp",SUMIFS('BASE-LCP'!$K:$K,'BASE-LCP'!$A:$A,Capex!$A250,'BASE-LCP'!$B:$B,"abril")/1000,IF(LEFT($A251,3)="icp",SUMIFS('BASE-ICP'!$K:$K,'BASE-ICP'!$A:$A,Capex!$A250,'BASE-ICP'!$B:$B,"abril")/1000,"")),"")</f>
        <v>0</v>
      </c>
      <c r="CE251" s="427">
        <v>0</v>
      </c>
      <c r="CF251" s="372">
        <v>0</v>
      </c>
      <c r="CG251" s="419"/>
      <c r="CH251" s="423">
        <v>0</v>
      </c>
      <c r="CI251" s="427">
        <v>0</v>
      </c>
      <c r="CJ251" s="372">
        <v>0</v>
      </c>
      <c r="CK251" s="419"/>
      <c r="CL251" s="423">
        <f>IFERROR(IF(LEFT($A251,3)="Lcp",SUMIFS('BASE-LCP'!$K:$K,'BASE-LCP'!$A:$A,Capex!$A250,'BASE-LCP'!$B:$B,"junho")/1000,IF(LEFT($A251,3)="icp",SUMIFS('BASE-ICP'!$K:$K,'BASE-ICP'!$A:$A,Capex!$A250,'BASE-ICP'!$B:$B,"junho")/1000,"")),"")</f>
        <v>0</v>
      </c>
      <c r="CM251" s="427">
        <v>0</v>
      </c>
      <c r="CN251" s="372"/>
      <c r="CO251" s="419"/>
      <c r="CP251" s="423">
        <f>IFERROR(IF(LEFT($A251,3)="Lcp",SUMIFS('BASE-LCP'!$K:$K,'BASE-LCP'!$A:$A,Capex!$A250,'BASE-LCP'!$B:$B,"julho")/1000,IF(LEFT($A251,3)="icp",SUMIFS('BASE-ICP'!$K:$K,'BASE-ICP'!$A:$A,Capex!$A250,'BASE-ICP'!$B:$B,"julho")/1000,"")),"")</f>
        <v>0</v>
      </c>
      <c r="CQ251" s="427">
        <v>0</v>
      </c>
      <c r="CR251" s="372"/>
      <c r="CS251" s="419"/>
      <c r="CT251" s="423">
        <f>IFERROR(IF(LEFT($A251,3)="Lcp",SUMIFS('BASE-LCP'!$K:$K,'BASE-LCP'!$A:$A,Capex!$A250,'BASE-LCP'!$B:$B,"agosto")/1000,IF(LEFT($A251,3)="icp",SUMIFS('BASE-ICP'!$K:$K,'BASE-ICP'!$A:$A,Capex!$A250,'BASE-ICP'!$B:$B,"agosto")/1000,"")),"")</f>
        <v>0</v>
      </c>
      <c r="CU251" s="427">
        <v>0</v>
      </c>
      <c r="CV251" s="372"/>
      <c r="CW251" s="419"/>
      <c r="CX251" s="423">
        <f>IFERROR(IF(LEFT($A251,3)="Lcp",SUMIFS('BASE-LCP'!$K:$K,'BASE-LCP'!$A:$A,Capex!$A250,'BASE-LCP'!$B:$B,"setembro")/1000,IF(LEFT($A251,3)="icp",SUMIFS('BASE-ICP'!$K:$K,'BASE-ICP'!$A:$A,Capex!$A250,'BASE-ICP'!$B:$B,"setembro")/1000,"")),"")</f>
        <v>0</v>
      </c>
      <c r="CY251" s="427">
        <v>0</v>
      </c>
      <c r="CZ251" s="372"/>
      <c r="DA251" s="419"/>
      <c r="DB251" s="423">
        <f>IFERROR(IF(LEFT($A251,3)="Lcp",SUMIFS('BASE-LCP'!$K:$K,'BASE-LCP'!$A:$A,Capex!$A250,'BASE-LCP'!$B:$B,"outubro")/1000,IF(LEFT($A251,3)="icp",SUMIFS('BASE-ICP'!$K:$K,'BASE-ICP'!$A:$A,Capex!$A250,'BASE-ICP'!$B:$B,"outubro")/1000,"")),"")</f>
        <v>0</v>
      </c>
      <c r="DC251" s="427">
        <v>30</v>
      </c>
      <c r="DD251" s="372"/>
      <c r="DE251" s="419"/>
      <c r="DF251" s="423">
        <f>IFERROR(IF(LEFT($A251,3)="Lcp",SUMIFS('BASE-LCP'!$K:$K,'BASE-LCP'!$A:$A,Capex!$A250,'BASE-LCP'!$B:$B,"novembro")/1000,IF(LEFT($A251,3)="icp",SUMIFS('BASE-ICP'!$K:$K,'BASE-ICP'!$A:$A,Capex!$A250,'BASE-ICP'!$B:$B,"novembro")/1000,"")),"")</f>
        <v>0</v>
      </c>
      <c r="DG251" s="427">
        <v>60</v>
      </c>
      <c r="DH251" s="372"/>
      <c r="DI251" s="419"/>
      <c r="DJ251" s="423">
        <f>IFERROR(IF(LEFT($A251,3)="Lcp",SUMIFS('BASE-LCP'!$K:$K,'BASE-LCP'!$A:$A,Capex!$A250,'BASE-LCP'!$B:$B,"dezembro")/1000,IF(LEFT($A251,3)="icp",SUMIFS('BASE-ICP'!$K:$K,'BASE-ICP'!$A:$A,Capex!$A250,'BASE-ICP'!$B:$B,"dezembro")/1000,"")),"")</f>
        <v>0</v>
      </c>
      <c r="DK251" s="427">
        <v>60</v>
      </c>
      <c r="DL251" s="452">
        <f t="shared" si="120"/>
        <v>360</v>
      </c>
      <c r="DM251" s="374"/>
      <c r="DN251" s="374">
        <v>360</v>
      </c>
      <c r="DO251" s="374"/>
      <c r="DP251" s="374"/>
      <c r="DQ251" s="374"/>
      <c r="DR251" s="374"/>
      <c r="DS251" s="374"/>
      <c r="DT251" s="374"/>
      <c r="DU251" s="374"/>
      <c r="DV251" s="374"/>
      <c r="DW251" s="374"/>
      <c r="DX251" s="374"/>
      <c r="DY251" s="450"/>
      <c r="DZ251" s="374">
        <f t="shared" si="121"/>
        <v>360</v>
      </c>
      <c r="EA251" s="216">
        <f t="shared" si="122"/>
        <v>0</v>
      </c>
      <c r="EB251" s="320">
        <f t="shared" si="123"/>
        <v>0</v>
      </c>
      <c r="EC251" s="241">
        <f t="shared" si="124"/>
        <v>0</v>
      </c>
      <c r="ED251" s="241">
        <f t="shared" si="125"/>
        <v>0</v>
      </c>
      <c r="EE251" s="241">
        <f t="shared" si="126"/>
        <v>0</v>
      </c>
      <c r="EF251" s="241">
        <f t="shared" si="127"/>
        <v>150</v>
      </c>
      <c r="EG251" s="346">
        <f t="shared" si="128"/>
        <v>0</v>
      </c>
      <c r="EH251" s="445">
        <f t="shared" si="129"/>
        <v>0</v>
      </c>
      <c r="EI251" s="447">
        <f t="shared" si="130"/>
        <v>0</v>
      </c>
      <c r="EJ251" s="364">
        <f t="shared" si="131"/>
        <v>0</v>
      </c>
      <c r="EK251" s="365">
        <f t="shared" si="132"/>
        <v>150</v>
      </c>
      <c r="EL251" s="529">
        <f t="shared" si="133"/>
        <v>150</v>
      </c>
      <c r="EM251" s="530">
        <v>0</v>
      </c>
      <c r="EN251" s="530">
        <v>0</v>
      </c>
      <c r="EO251" s="530">
        <v>0</v>
      </c>
      <c r="EP251" s="530">
        <v>0</v>
      </c>
      <c r="EQ251" s="530">
        <v>0</v>
      </c>
      <c r="ER251" s="530">
        <v>0</v>
      </c>
      <c r="ES251" s="530">
        <v>0</v>
      </c>
      <c r="ET251" s="530">
        <v>0</v>
      </c>
      <c r="EU251" s="530">
        <v>0</v>
      </c>
      <c r="EV251" s="530">
        <v>30</v>
      </c>
      <c r="EW251" s="530">
        <v>60</v>
      </c>
      <c r="EX251" s="530">
        <v>60</v>
      </c>
      <c r="EY251" s="530">
        <f t="shared" si="134"/>
        <v>0</v>
      </c>
      <c r="EZ251" s="530">
        <f t="shared" si="135"/>
        <v>0</v>
      </c>
      <c r="FA251" s="530">
        <f t="shared" si="136"/>
        <v>0</v>
      </c>
      <c r="FB251" s="530">
        <f t="shared" si="137"/>
        <v>150</v>
      </c>
      <c r="FC251" s="384">
        <f>IFERROR(VLOOKUP(Capex!A250,BASE_558!D:R,8,FALSE)/1000,"")</f>
        <v>32.863999999999997</v>
      </c>
      <c r="FD251" s="328">
        <f>IFERROR(VLOOKUP(Capex!A250,BASE_558!D:R,9,)/1000,"")</f>
        <v>30.854509999999998</v>
      </c>
      <c r="FE251" s="328">
        <f>IFERROR(IF(LEFT(A251,3)="LCP",(VLOOKUP(Capex!A250,BASE_558!D:R,10,)/1000),SUMIFS('BASE ICP_PO_SC'!F:F,'BASE ICP_PO_SC'!A:A,Capex!A250,'BASE ICP_PO_SC'!E:E,"&lt;&gt;")/1000),"")</f>
        <v>0</v>
      </c>
      <c r="FF251" s="328">
        <f>IFERROR(IF(LEFT(A251,3)="LCP",(VLOOKUP(Capex!A250,BASE_558!D:R,11,)/1000),SUMIFS('BASE ICP_PO_SC'!F:F,'BASE ICP_PO_SC'!A:A,Capex!A250,'BASE ICP_PO_SC'!E:E,"")/1000),"")</f>
        <v>0</v>
      </c>
      <c r="FG251" s="328">
        <f>IFERROR(VLOOKUP(A251,BASE_558!D:R,13,FALSE)/1000,"")</f>
        <v>648.22996999999998</v>
      </c>
      <c r="FH251" s="328">
        <f>IFERROR(VLOOKUP(A251,BASE_558!D:R,15,FALSE)/1000,"")</f>
        <v>422.31003000000004</v>
      </c>
      <c r="FI251" s="547">
        <f t="shared" si="138"/>
        <v>0</v>
      </c>
      <c r="FJ251" s="547">
        <f t="shared" si="139"/>
        <v>0</v>
      </c>
      <c r="FK251" s="540">
        <f t="shared" si="140"/>
        <v>0</v>
      </c>
    </row>
    <row r="252" spans="1:167" s="23" customFormat="1" ht="24" customHeight="1">
      <c r="A252" s="84" t="s">
        <v>1155</v>
      </c>
      <c r="B252" s="404" t="s">
        <v>2421</v>
      </c>
      <c r="C252" s="404" t="s">
        <v>1264</v>
      </c>
      <c r="D252" s="338" t="s">
        <v>1908</v>
      </c>
      <c r="E252" s="378">
        <v>4771098</v>
      </c>
      <c r="F252" s="310" t="s">
        <v>609</v>
      </c>
      <c r="G252" s="310" t="s">
        <v>9</v>
      </c>
      <c r="H252" s="356" t="s">
        <v>6</v>
      </c>
      <c r="I252" s="356"/>
      <c r="J252" s="356">
        <v>2021</v>
      </c>
      <c r="K252" s="352">
        <v>44504</v>
      </c>
      <c r="L252" s="317"/>
      <c r="M252" s="409"/>
      <c r="N252" s="317">
        <f t="shared" si="143"/>
        <v>45416</v>
      </c>
      <c r="O252" s="317">
        <f t="shared" si="144"/>
        <v>45781</v>
      </c>
      <c r="P252" s="418" t="str">
        <f t="shared" si="149"/>
        <v>SIM</v>
      </c>
      <c r="Q252" s="418" t="str">
        <f t="shared" si="149"/>
        <v>SIM</v>
      </c>
      <c r="R252" s="418" t="str">
        <f t="shared" si="149"/>
        <v>SIM</v>
      </c>
      <c r="S252" s="418" t="str">
        <f t="shared" si="149"/>
        <v>SIM</v>
      </c>
      <c r="T252" s="418" t="str">
        <f t="shared" si="149"/>
        <v>SIM</v>
      </c>
      <c r="U252" s="418" t="str">
        <f t="shared" si="149"/>
        <v>SIM</v>
      </c>
      <c r="V252" s="418" t="str">
        <f t="shared" si="149"/>
        <v>SIM</v>
      </c>
      <c r="W252" s="418" t="str">
        <f t="shared" si="149"/>
        <v>SIM</v>
      </c>
      <c r="X252" s="418" t="str">
        <f t="shared" si="149"/>
        <v>SIM</v>
      </c>
      <c r="Y252" s="418" t="str">
        <f t="shared" si="149"/>
        <v>SIM</v>
      </c>
      <c r="Z252" s="418" t="str">
        <f t="shared" si="149"/>
        <v>SIM</v>
      </c>
      <c r="AA252" s="551" t="str">
        <f t="shared" si="149"/>
        <v>SIM</v>
      </c>
      <c r="AB252" s="350"/>
      <c r="AC252" s="309" t="s">
        <v>3932</v>
      </c>
      <c r="AD252" s="311" t="s">
        <v>5</v>
      </c>
      <c r="AE252" s="361" t="s">
        <v>951</v>
      </c>
      <c r="AF252" s="310" t="s">
        <v>6985</v>
      </c>
      <c r="AG252" s="310" t="s">
        <v>2186</v>
      </c>
      <c r="AH252" s="310" t="s">
        <v>1163</v>
      </c>
      <c r="AI252" s="309" t="s">
        <v>2255</v>
      </c>
      <c r="AJ252" s="6" t="s">
        <v>6786</v>
      </c>
      <c r="AK252" s="6" t="str">
        <f t="shared" si="118"/>
        <v>IGUAL</v>
      </c>
      <c r="AL252" s="151" t="str">
        <f>IFERROR(IF(LEFT(A252,3)="LCP",VLOOKUP(A252,STATUS_SAP_LCP!B:C,2,FALSE),VLOOKUP(A252,STATUS_SAP_ICP!B:C,2,FALSE)),"NO BUDGET")</f>
        <v>REL  BUDG AUC  AVAC  //  RJCD BREL INPL</v>
      </c>
      <c r="AM252" s="6" t="str">
        <f t="shared" si="116"/>
        <v xml:space="preserve">REL </v>
      </c>
      <c r="AN252" s="428" t="s">
        <v>19515</v>
      </c>
      <c r="AO252" s="557"/>
      <c r="AP252" s="499" t="s">
        <v>5299</v>
      </c>
      <c r="AQ252" s="465">
        <v>45960</v>
      </c>
      <c r="AR252" s="460"/>
      <c r="AS252" s="57"/>
      <c r="AT252" s="185"/>
      <c r="AU252" s="318">
        <v>0</v>
      </c>
      <c r="AV252" s="223">
        <v>1530.96568</v>
      </c>
      <c r="AW252" s="318">
        <v>204.43654000000001</v>
      </c>
      <c r="AX252" s="223">
        <v>152.40870999999999</v>
      </c>
      <c r="AY252" s="318">
        <f t="shared" si="145"/>
        <v>114</v>
      </c>
      <c r="AZ252" s="223"/>
      <c r="BA252" s="318"/>
      <c r="BB252" s="519">
        <f t="shared" si="146"/>
        <v>136</v>
      </c>
      <c r="BC252" s="518">
        <v>0</v>
      </c>
      <c r="BD252" s="518">
        <v>0</v>
      </c>
      <c r="BE252" s="518">
        <v>0</v>
      </c>
      <c r="BF252" s="518">
        <v>0</v>
      </c>
      <c r="BG252" s="518">
        <v>68</v>
      </c>
      <c r="BH252" s="518">
        <v>68</v>
      </c>
      <c r="BI252" s="518">
        <v>0</v>
      </c>
      <c r="BJ252" s="518">
        <v>0</v>
      </c>
      <c r="BK252" s="518">
        <v>0</v>
      </c>
      <c r="BL252" s="518">
        <v>0</v>
      </c>
      <c r="BM252" s="518">
        <v>0</v>
      </c>
      <c r="BN252" s="518">
        <v>0</v>
      </c>
      <c r="BO252" s="367">
        <f t="shared" si="119"/>
        <v>114</v>
      </c>
      <c r="BP252" s="421">
        <v>0</v>
      </c>
      <c r="BQ252" s="422"/>
      <c r="BR252" s="423">
        <f>IFERROR(IF(LEFT($A252,3)="Lcp",SUMIFS('BASE-LCP'!$K:$K,'BASE-LCP'!$A:$A,Capex!$A251,'BASE-LCP'!$B:$B,"janeiro")/1000,IF(LEFT($A252,3)="icp",SUMIFS('BASE-ICP'!$K:$K,'BASE-ICP'!$A:$A,Capex!$A251,'BASE-ICP'!$B:$B,"janeiro")/1000,"")),"")</f>
        <v>0</v>
      </c>
      <c r="BS252" s="427">
        <v>0</v>
      </c>
      <c r="BT252" s="372">
        <v>0</v>
      </c>
      <c r="BU252" s="422"/>
      <c r="BV252" s="423">
        <f>IFERROR(IF(LEFT($A252,3)="Lcp",SUMIFS('BASE-LCP'!$K:$K,'BASE-LCP'!$A:$A,Capex!$A251,'BASE-LCP'!$B:$B,"fevereiro")/1000,IF(LEFT($A252,3)="icp",SUMIFS('BASE-ICP'!$K:$K,'BASE-ICP'!$A:$A,Capex!$A251,'BASE-ICP'!$B:$B,"fevereiro")/1000,"")),"")</f>
        <v>0</v>
      </c>
      <c r="BW252" s="427">
        <v>0</v>
      </c>
      <c r="BX252" s="372">
        <v>0</v>
      </c>
      <c r="BY252" s="419"/>
      <c r="BZ252" s="423">
        <f>IFERROR(IF(LEFT($A252,3)="Lcp",SUMIFS('BASE-LCP'!$K:$K,'BASE-LCP'!$A:$A,Capex!$A251,'BASE-LCP'!$B:$B,"março")/1000,IF(LEFT($A252,3)="icp",SUMIFS('BASE-ICP'!$K:$K,'BASE-ICP'!$A:$A,Capex!$A251,'BASE-ICP'!$B:$B,"março")/1000,"")),"")</f>
        <v>0</v>
      </c>
      <c r="CA252" s="427">
        <v>0</v>
      </c>
      <c r="CB252" s="372">
        <v>0</v>
      </c>
      <c r="CC252" s="422"/>
      <c r="CD252" s="423">
        <f>IFERROR(IF(LEFT($A252,3)="Lcp",SUMIFS('BASE-LCP'!$K:$K,'BASE-LCP'!$A:$A,Capex!$A251,'BASE-LCP'!$B:$B,"abril")/1000,IF(LEFT($A252,3)="icp",SUMIFS('BASE-ICP'!$K:$K,'BASE-ICP'!$A:$A,Capex!$A251,'BASE-ICP'!$B:$B,"abril")/1000,"")),"")</f>
        <v>0</v>
      </c>
      <c r="CE252" s="427">
        <v>0</v>
      </c>
      <c r="CF252" s="372">
        <v>0</v>
      </c>
      <c r="CG252" s="419"/>
      <c r="CH252" s="423">
        <v>0</v>
      </c>
      <c r="CI252" s="427">
        <v>0</v>
      </c>
      <c r="CJ252" s="372">
        <v>0</v>
      </c>
      <c r="CK252" s="419"/>
      <c r="CL252" s="423">
        <f>IFERROR(IF(LEFT($A252,3)="Lcp",SUMIFS('BASE-LCP'!$K:$K,'BASE-LCP'!$A:$A,Capex!$A251,'BASE-LCP'!$B:$B,"junho")/1000,IF(LEFT($A252,3)="icp",SUMIFS('BASE-ICP'!$K:$K,'BASE-ICP'!$A:$A,Capex!$A251,'BASE-ICP'!$B:$B,"junho")/1000,"")),"")</f>
        <v>0</v>
      </c>
      <c r="CM252" s="427">
        <v>0</v>
      </c>
      <c r="CN252" s="372"/>
      <c r="CO252" s="419"/>
      <c r="CP252" s="423">
        <f>IFERROR(IF(LEFT($A252,3)="Lcp",SUMIFS('BASE-LCP'!$K:$K,'BASE-LCP'!$A:$A,Capex!$A251,'BASE-LCP'!$B:$B,"julho")/1000,IF(LEFT($A252,3)="icp",SUMIFS('BASE-ICP'!$K:$K,'BASE-ICP'!$A:$A,Capex!$A251,'BASE-ICP'!$B:$B,"julho")/1000,"")),"")</f>
        <v>0</v>
      </c>
      <c r="CQ252" s="427">
        <v>0</v>
      </c>
      <c r="CR252" s="372"/>
      <c r="CS252" s="419"/>
      <c r="CT252" s="423">
        <f>IFERROR(IF(LEFT($A252,3)="Lcp",SUMIFS('BASE-LCP'!$K:$K,'BASE-LCP'!$A:$A,Capex!$A251,'BASE-LCP'!$B:$B,"agosto")/1000,IF(LEFT($A252,3)="icp",SUMIFS('BASE-ICP'!$K:$K,'BASE-ICP'!$A:$A,Capex!$A251,'BASE-ICP'!$B:$B,"agosto")/1000,"")),"")</f>
        <v>0</v>
      </c>
      <c r="CU252" s="427">
        <v>0</v>
      </c>
      <c r="CV252" s="372"/>
      <c r="CW252" s="419"/>
      <c r="CX252" s="423">
        <f>IFERROR(IF(LEFT($A252,3)="Lcp",SUMIFS('BASE-LCP'!$K:$K,'BASE-LCP'!$A:$A,Capex!$A251,'BASE-LCP'!$B:$B,"setembro")/1000,IF(LEFT($A252,3)="icp",SUMIFS('BASE-ICP'!$K:$K,'BASE-ICP'!$A:$A,Capex!$A251,'BASE-ICP'!$B:$B,"setembro")/1000,"")),"")</f>
        <v>0</v>
      </c>
      <c r="CY252" s="427">
        <v>0</v>
      </c>
      <c r="CZ252" s="372"/>
      <c r="DA252" s="419"/>
      <c r="DB252" s="423">
        <f>IFERROR(IF(LEFT($A252,3)="Lcp",SUMIFS('BASE-LCP'!$K:$K,'BASE-LCP'!$A:$A,Capex!$A251,'BASE-LCP'!$B:$B,"outubro")/1000,IF(LEFT($A252,3)="icp",SUMIFS('BASE-ICP'!$K:$K,'BASE-ICP'!$A:$A,Capex!$A251,'BASE-ICP'!$B:$B,"outubro")/1000,"")),"")</f>
        <v>0</v>
      </c>
      <c r="DC252" s="427">
        <v>14</v>
      </c>
      <c r="DD252" s="372"/>
      <c r="DE252" s="419"/>
      <c r="DF252" s="423">
        <f>IFERROR(IF(LEFT($A252,3)="Lcp",SUMIFS('BASE-LCP'!$K:$K,'BASE-LCP'!$A:$A,Capex!$A251,'BASE-LCP'!$B:$B,"novembro")/1000,IF(LEFT($A252,3)="icp",SUMIFS('BASE-ICP'!$K:$K,'BASE-ICP'!$A:$A,Capex!$A251,'BASE-ICP'!$B:$B,"novembro")/1000,"")),"")</f>
        <v>0</v>
      </c>
      <c r="DG252" s="427">
        <v>50</v>
      </c>
      <c r="DH252" s="372"/>
      <c r="DI252" s="419"/>
      <c r="DJ252" s="423">
        <f>IFERROR(IF(LEFT($A252,3)="Lcp",SUMIFS('BASE-LCP'!$K:$K,'BASE-LCP'!$A:$A,Capex!$A251,'BASE-LCP'!$B:$B,"dezembro")/1000,IF(LEFT($A252,3)="icp",SUMIFS('BASE-ICP'!$K:$K,'BASE-ICP'!$A:$A,Capex!$A251,'BASE-ICP'!$B:$B,"dezembro")/1000,"")),"")</f>
        <v>0</v>
      </c>
      <c r="DK252" s="427">
        <v>50</v>
      </c>
      <c r="DL252" s="452">
        <f t="shared" si="120"/>
        <v>0</v>
      </c>
      <c r="DM252" s="374"/>
      <c r="DN252" s="374">
        <v>0</v>
      </c>
      <c r="DO252" s="374"/>
      <c r="DP252" s="374"/>
      <c r="DQ252" s="374"/>
      <c r="DR252" s="374"/>
      <c r="DS252" s="374"/>
      <c r="DT252" s="374"/>
      <c r="DU252" s="374"/>
      <c r="DV252" s="374"/>
      <c r="DW252" s="374"/>
      <c r="DX252" s="374"/>
      <c r="DY252" s="450"/>
      <c r="DZ252" s="374">
        <f t="shared" si="121"/>
        <v>0</v>
      </c>
      <c r="EA252" s="216">
        <f t="shared" si="122"/>
        <v>0</v>
      </c>
      <c r="EB252" s="320">
        <f t="shared" si="123"/>
        <v>0</v>
      </c>
      <c r="EC252" s="241">
        <f t="shared" si="124"/>
        <v>0</v>
      </c>
      <c r="ED252" s="241">
        <f t="shared" si="125"/>
        <v>0</v>
      </c>
      <c r="EE252" s="241">
        <f t="shared" si="126"/>
        <v>0</v>
      </c>
      <c r="EF252" s="241">
        <f t="shared" si="127"/>
        <v>114</v>
      </c>
      <c r="EG252" s="346">
        <f t="shared" si="128"/>
        <v>-22</v>
      </c>
      <c r="EH252" s="445">
        <f t="shared" si="129"/>
        <v>0</v>
      </c>
      <c r="EI252" s="447">
        <f t="shared" si="130"/>
        <v>0</v>
      </c>
      <c r="EJ252" s="364">
        <f t="shared" si="131"/>
        <v>0</v>
      </c>
      <c r="EK252" s="365">
        <f t="shared" si="132"/>
        <v>114</v>
      </c>
      <c r="EL252" s="529">
        <f t="shared" si="133"/>
        <v>114</v>
      </c>
      <c r="EM252" s="530">
        <v>0</v>
      </c>
      <c r="EN252" s="530">
        <v>0</v>
      </c>
      <c r="EO252" s="530">
        <v>0</v>
      </c>
      <c r="EP252" s="530">
        <v>0</v>
      </c>
      <c r="EQ252" s="530">
        <v>0</v>
      </c>
      <c r="ER252" s="530">
        <v>0</v>
      </c>
      <c r="ES252" s="530">
        <v>0</v>
      </c>
      <c r="ET252" s="530">
        <v>0</v>
      </c>
      <c r="EU252" s="530">
        <v>0</v>
      </c>
      <c r="EV252" s="530">
        <v>14</v>
      </c>
      <c r="EW252" s="530">
        <v>50</v>
      </c>
      <c r="EX252" s="530">
        <v>50</v>
      </c>
      <c r="EY252" s="530">
        <f t="shared" si="134"/>
        <v>0</v>
      </c>
      <c r="EZ252" s="530">
        <f t="shared" si="135"/>
        <v>0</v>
      </c>
      <c r="FA252" s="530">
        <f t="shared" si="136"/>
        <v>0</v>
      </c>
      <c r="FB252" s="530">
        <f t="shared" si="137"/>
        <v>114</v>
      </c>
      <c r="FC252" s="384">
        <f>IFERROR(VLOOKUP(Capex!A251,BASE_558!D:R,8,FALSE)/1000,"")</f>
        <v>1070.54</v>
      </c>
      <c r="FD252" s="328">
        <f>IFERROR(VLOOKUP(Capex!A251,BASE_558!D:R,9,)/1000,"")</f>
        <v>559.84142000000008</v>
      </c>
      <c r="FE252" s="328">
        <f>IFERROR(IF(LEFT(A252,3)="LCP",(VLOOKUP(Capex!A251,BASE_558!D:R,10,)/1000),SUMIFS('BASE ICP_PO_SC'!F:F,'BASE ICP_PO_SC'!A:A,Capex!A251,'BASE ICP_PO_SC'!E:E,"&lt;&gt;")/1000),"")</f>
        <v>0</v>
      </c>
      <c r="FF252" s="328">
        <f>IFERROR(IF(LEFT(A252,3)="LCP",(VLOOKUP(Capex!A251,BASE_558!D:R,11,)/1000),SUMIFS('BASE ICP_PO_SC'!F:F,'BASE ICP_PO_SC'!A:A,Capex!A251,'BASE ICP_PO_SC'!E:E,"")/1000),"")</f>
        <v>88.388550000000009</v>
      </c>
      <c r="FG252" s="328">
        <f>IFERROR(VLOOKUP(A252,BASE_558!D:R,13,FALSE)/1000,"")</f>
        <v>1902.48884</v>
      </c>
      <c r="FH252" s="328">
        <f>IFERROR(VLOOKUP(A252,BASE_558!D:R,15,FALSE)/1000,"")</f>
        <v>36.768269999999994</v>
      </c>
      <c r="FI252" s="547">
        <f t="shared" si="138"/>
        <v>0</v>
      </c>
      <c r="FJ252" s="547">
        <f t="shared" si="139"/>
        <v>0</v>
      </c>
      <c r="FK252" s="540">
        <f t="shared" si="140"/>
        <v>0</v>
      </c>
    </row>
    <row r="253" spans="1:167" s="23" customFormat="1" ht="24" customHeight="1">
      <c r="A253" s="84" t="s">
        <v>1156</v>
      </c>
      <c r="B253" s="404"/>
      <c r="C253" s="404">
        <v>16119</v>
      </c>
      <c r="D253" s="338" t="s">
        <v>2283</v>
      </c>
      <c r="E253" s="378">
        <v>4771285</v>
      </c>
      <c r="F253" s="310"/>
      <c r="G253" s="310" t="s">
        <v>9</v>
      </c>
      <c r="H253" s="338"/>
      <c r="I253" s="356" t="s">
        <v>6</v>
      </c>
      <c r="J253" s="356">
        <v>2021</v>
      </c>
      <c r="K253" s="321">
        <v>44487</v>
      </c>
      <c r="L253" s="317">
        <v>45325</v>
      </c>
      <c r="M253" s="409"/>
      <c r="N253" s="317">
        <f t="shared" si="143"/>
        <v>45399</v>
      </c>
      <c r="O253" s="317">
        <f t="shared" si="144"/>
        <v>45764</v>
      </c>
      <c r="P253" s="418" t="str">
        <f t="shared" si="149"/>
        <v>NÃO</v>
      </c>
      <c r="Q253" s="418" t="str">
        <f t="shared" si="149"/>
        <v>NÃO</v>
      </c>
      <c r="R253" s="418" t="str">
        <f t="shared" si="149"/>
        <v>NÃO</v>
      </c>
      <c r="S253" s="418" t="str">
        <f t="shared" si="149"/>
        <v>CRTD</v>
      </c>
      <c r="T253" s="418" t="str">
        <f t="shared" si="149"/>
        <v>CRTD</v>
      </c>
      <c r="U253" s="418" t="str">
        <f t="shared" si="149"/>
        <v>CRTD</v>
      </c>
      <c r="V253" s="418" t="str">
        <f t="shared" si="149"/>
        <v>CRTD</v>
      </c>
      <c r="W253" s="418" t="str">
        <f t="shared" si="149"/>
        <v>CRTD</v>
      </c>
      <c r="X253" s="418" t="str">
        <f t="shared" si="149"/>
        <v>CRTD</v>
      </c>
      <c r="Y253" s="418" t="str">
        <f t="shared" si="149"/>
        <v>CRTD</v>
      </c>
      <c r="Z253" s="418" t="str">
        <f t="shared" si="149"/>
        <v>CRTD</v>
      </c>
      <c r="AA253" s="418" t="str">
        <f t="shared" si="149"/>
        <v>CRTD</v>
      </c>
      <c r="AB253" s="350"/>
      <c r="AC253" s="309" t="s">
        <v>3932</v>
      </c>
      <c r="AD253" s="311" t="s">
        <v>5</v>
      </c>
      <c r="AE253" s="361" t="s">
        <v>951</v>
      </c>
      <c r="AF253" s="310" t="s">
        <v>6985</v>
      </c>
      <c r="AG253" s="310" t="s">
        <v>704</v>
      </c>
      <c r="AH253" s="310" t="s">
        <v>1164</v>
      </c>
      <c r="AI253" s="381" t="s">
        <v>316</v>
      </c>
      <c r="AJ253" s="6" t="s">
        <v>218</v>
      </c>
      <c r="AK253" s="6" t="str">
        <f t="shared" si="118"/>
        <v>IGUAL</v>
      </c>
      <c r="AL253" s="151" t="str">
        <f>IFERROR(IF(LEFT(A253,3)="LCP",VLOOKUP(A253,STATUS_SAP_LCP!B:C,2,FALSE),VLOOKUP(A253,STATUS_SAP_ICP!B:C,2,FALSE)),"NO BUDGET")</f>
        <v>CLSD BUDG AUC  AVAC  //  APPR BREL EXPL</v>
      </c>
      <c r="AM253" s="6" t="str">
        <f t="shared" si="116"/>
        <v>CLSD</v>
      </c>
      <c r="AN253" s="414" t="s">
        <v>2651</v>
      </c>
      <c r="AO253" s="558">
        <v>1</v>
      </c>
      <c r="AP253" s="499" t="s">
        <v>9607</v>
      </c>
      <c r="AQ253" s="465">
        <v>45325</v>
      </c>
      <c r="AR253" s="460"/>
      <c r="AS253" s="57"/>
      <c r="AT253" s="185"/>
      <c r="AU253" s="318">
        <v>71.083579999999998</v>
      </c>
      <c r="AV253" s="223">
        <v>88.124340000000018</v>
      </c>
      <c r="AW253" s="318">
        <v>12.844670000000002</v>
      </c>
      <c r="AX253" s="223">
        <v>0</v>
      </c>
      <c r="AY253" s="318">
        <f t="shared" si="145"/>
        <v>0</v>
      </c>
      <c r="AZ253" s="223"/>
      <c r="BA253" s="318"/>
      <c r="BB253" s="519">
        <f t="shared" si="146"/>
        <v>0</v>
      </c>
      <c r="BC253" s="518">
        <v>0</v>
      </c>
      <c r="BD253" s="518">
        <v>0</v>
      </c>
      <c r="BE253" s="518">
        <v>0</v>
      </c>
      <c r="BF253" s="518">
        <v>0</v>
      </c>
      <c r="BG253" s="518">
        <v>0</v>
      </c>
      <c r="BH253" s="518">
        <v>0</v>
      </c>
      <c r="BI253" s="518">
        <v>0</v>
      </c>
      <c r="BJ253" s="518">
        <v>0</v>
      </c>
      <c r="BK253" s="518">
        <v>0</v>
      </c>
      <c r="BL253" s="518">
        <v>0</v>
      </c>
      <c r="BM253" s="518">
        <v>0</v>
      </c>
      <c r="BN253" s="518">
        <v>0</v>
      </c>
      <c r="BO253" s="367">
        <f t="shared" si="119"/>
        <v>0</v>
      </c>
      <c r="BP253" s="421">
        <v>0</v>
      </c>
      <c r="BQ253" s="422"/>
      <c r="BR253" s="423">
        <f>IFERROR(IF(LEFT($A253,3)="Lcp",SUMIFS('BASE-LCP'!$K:$K,'BASE-LCP'!$A:$A,Capex!$A252,'BASE-LCP'!$B:$B,"janeiro")/1000,IF(LEFT($A253,3)="icp",SUMIFS('BASE-ICP'!$K:$K,'BASE-ICP'!$A:$A,Capex!$A252,'BASE-ICP'!$B:$B,"janeiro")/1000,"")),"")</f>
        <v>0</v>
      </c>
      <c r="BS253" s="427">
        <v>0</v>
      </c>
      <c r="BT253" s="372">
        <v>0</v>
      </c>
      <c r="BU253" s="422"/>
      <c r="BV253" s="423">
        <f>IFERROR(IF(LEFT($A253,3)="Lcp",SUMIFS('BASE-LCP'!$K:$K,'BASE-LCP'!$A:$A,Capex!$A252,'BASE-LCP'!$B:$B,"fevereiro")/1000,IF(LEFT($A253,3)="icp",SUMIFS('BASE-ICP'!$K:$K,'BASE-ICP'!$A:$A,Capex!$A252,'BASE-ICP'!$B:$B,"fevereiro")/1000,"")),"")</f>
        <v>0</v>
      </c>
      <c r="BW253" s="427">
        <v>0</v>
      </c>
      <c r="BX253" s="372">
        <v>0</v>
      </c>
      <c r="BY253" s="419"/>
      <c r="BZ253" s="423">
        <f>IFERROR(IF(LEFT($A253,3)="Lcp",SUMIFS('BASE-LCP'!$K:$K,'BASE-LCP'!$A:$A,Capex!$A252,'BASE-LCP'!$B:$B,"março")/1000,IF(LEFT($A253,3)="icp",SUMIFS('BASE-ICP'!$K:$K,'BASE-ICP'!$A:$A,Capex!$A252,'BASE-ICP'!$B:$B,"março")/1000,"")),"")</f>
        <v>0</v>
      </c>
      <c r="CA253" s="427">
        <v>0</v>
      </c>
      <c r="CB253" s="372">
        <v>0</v>
      </c>
      <c r="CC253" s="422"/>
      <c r="CD253" s="423">
        <f>IFERROR(IF(LEFT($A253,3)="Lcp",SUMIFS('BASE-LCP'!$K:$K,'BASE-LCP'!$A:$A,Capex!$A252,'BASE-LCP'!$B:$B,"abril")/1000,IF(LEFT($A253,3)="icp",SUMIFS('BASE-ICP'!$K:$K,'BASE-ICP'!$A:$A,Capex!$A252,'BASE-ICP'!$B:$B,"abril")/1000,"")),"")</f>
        <v>0</v>
      </c>
      <c r="CE253" s="427">
        <v>0</v>
      </c>
      <c r="CF253" s="372">
        <v>0</v>
      </c>
      <c r="CG253" s="419"/>
      <c r="CH253" s="423">
        <v>0</v>
      </c>
      <c r="CI253" s="427">
        <v>0</v>
      </c>
      <c r="CJ253" s="372">
        <v>0</v>
      </c>
      <c r="CK253" s="419"/>
      <c r="CL253" s="423">
        <f>IFERROR(IF(LEFT($A253,3)="Lcp",SUMIFS('BASE-LCP'!$K:$K,'BASE-LCP'!$A:$A,Capex!$A252,'BASE-LCP'!$B:$B,"junho")/1000,IF(LEFT($A253,3)="icp",SUMIFS('BASE-ICP'!$K:$K,'BASE-ICP'!$A:$A,Capex!$A252,'BASE-ICP'!$B:$B,"junho")/1000,"")),"")</f>
        <v>0</v>
      </c>
      <c r="CM253" s="427">
        <v>0</v>
      </c>
      <c r="CN253" s="372"/>
      <c r="CO253" s="419"/>
      <c r="CP253" s="423">
        <f>IFERROR(IF(LEFT($A253,3)="Lcp",SUMIFS('BASE-LCP'!$K:$K,'BASE-LCP'!$A:$A,Capex!$A252,'BASE-LCP'!$B:$B,"julho")/1000,IF(LEFT($A253,3)="icp",SUMIFS('BASE-ICP'!$K:$K,'BASE-ICP'!$A:$A,Capex!$A252,'BASE-ICP'!$B:$B,"julho")/1000,"")),"")</f>
        <v>0</v>
      </c>
      <c r="CQ253" s="427">
        <v>0</v>
      </c>
      <c r="CR253" s="372"/>
      <c r="CS253" s="419"/>
      <c r="CT253" s="423">
        <f>IFERROR(IF(LEFT($A253,3)="Lcp",SUMIFS('BASE-LCP'!$K:$K,'BASE-LCP'!$A:$A,Capex!$A252,'BASE-LCP'!$B:$B,"agosto")/1000,IF(LEFT($A253,3)="icp",SUMIFS('BASE-ICP'!$K:$K,'BASE-ICP'!$A:$A,Capex!$A252,'BASE-ICP'!$B:$B,"agosto")/1000,"")),"")</f>
        <v>0</v>
      </c>
      <c r="CU253" s="427">
        <v>0</v>
      </c>
      <c r="CV253" s="372"/>
      <c r="CW253" s="419"/>
      <c r="CX253" s="423">
        <f>IFERROR(IF(LEFT($A253,3)="Lcp",SUMIFS('BASE-LCP'!$K:$K,'BASE-LCP'!$A:$A,Capex!$A252,'BASE-LCP'!$B:$B,"setembro")/1000,IF(LEFT($A253,3)="icp",SUMIFS('BASE-ICP'!$K:$K,'BASE-ICP'!$A:$A,Capex!$A252,'BASE-ICP'!$B:$B,"setembro")/1000,"")),"")</f>
        <v>0</v>
      </c>
      <c r="CY253" s="427">
        <v>0</v>
      </c>
      <c r="CZ253" s="372"/>
      <c r="DA253" s="419"/>
      <c r="DB253" s="423">
        <f>IFERROR(IF(LEFT($A253,3)="Lcp",SUMIFS('BASE-LCP'!$K:$K,'BASE-LCP'!$A:$A,Capex!$A252,'BASE-LCP'!$B:$B,"outubro")/1000,IF(LEFT($A253,3)="icp",SUMIFS('BASE-ICP'!$K:$K,'BASE-ICP'!$A:$A,Capex!$A252,'BASE-ICP'!$B:$B,"outubro")/1000,"")),"")</f>
        <v>0</v>
      </c>
      <c r="DC253" s="427">
        <v>0</v>
      </c>
      <c r="DD253" s="372"/>
      <c r="DE253" s="419"/>
      <c r="DF253" s="423">
        <f>IFERROR(IF(LEFT($A253,3)="Lcp",SUMIFS('BASE-LCP'!$K:$K,'BASE-LCP'!$A:$A,Capex!$A252,'BASE-LCP'!$B:$B,"novembro")/1000,IF(LEFT($A253,3)="icp",SUMIFS('BASE-ICP'!$K:$K,'BASE-ICP'!$A:$A,Capex!$A252,'BASE-ICP'!$B:$B,"novembro")/1000,"")),"")</f>
        <v>0</v>
      </c>
      <c r="DG253" s="427">
        <v>0</v>
      </c>
      <c r="DH253" s="372"/>
      <c r="DI253" s="419"/>
      <c r="DJ253" s="423">
        <f>IFERROR(IF(LEFT($A253,3)="Lcp",SUMIFS('BASE-LCP'!$K:$K,'BASE-LCP'!$A:$A,Capex!$A252,'BASE-LCP'!$B:$B,"dezembro")/1000,IF(LEFT($A253,3)="icp",SUMIFS('BASE-ICP'!$K:$K,'BASE-ICP'!$A:$A,Capex!$A252,'BASE-ICP'!$B:$B,"dezembro")/1000,"")),"")</f>
        <v>0</v>
      </c>
      <c r="DK253" s="427">
        <v>0</v>
      </c>
      <c r="DL253" s="452">
        <f t="shared" si="120"/>
        <v>0</v>
      </c>
      <c r="DM253" s="374"/>
      <c r="DN253" s="374">
        <v>0</v>
      </c>
      <c r="DO253" s="374"/>
      <c r="DP253" s="374"/>
      <c r="DQ253" s="374"/>
      <c r="DR253" s="374"/>
      <c r="DS253" s="374"/>
      <c r="DT253" s="374"/>
      <c r="DU253" s="374"/>
      <c r="DV253" s="374"/>
      <c r="DW253" s="374"/>
      <c r="DX253" s="374"/>
      <c r="DY253" s="450"/>
      <c r="DZ253" s="374">
        <f t="shared" si="121"/>
        <v>0</v>
      </c>
      <c r="EA253" s="216">
        <f t="shared" si="122"/>
        <v>0</v>
      </c>
      <c r="EB253" s="320">
        <f t="shared" si="123"/>
        <v>0</v>
      </c>
      <c r="EC253" s="241">
        <f t="shared" si="124"/>
        <v>0</v>
      </c>
      <c r="ED253" s="241">
        <f t="shared" si="125"/>
        <v>0</v>
      </c>
      <c r="EE253" s="241">
        <f t="shared" si="126"/>
        <v>0</v>
      </c>
      <c r="EF253" s="241">
        <f t="shared" si="127"/>
        <v>0</v>
      </c>
      <c r="EG253" s="346">
        <f t="shared" si="128"/>
        <v>0</v>
      </c>
      <c r="EH253" s="445">
        <f t="shared" si="129"/>
        <v>0</v>
      </c>
      <c r="EI253" s="447">
        <f t="shared" si="130"/>
        <v>0</v>
      </c>
      <c r="EJ253" s="364">
        <f t="shared" si="131"/>
        <v>0</v>
      </c>
      <c r="EK253" s="365">
        <f t="shared" si="132"/>
        <v>0</v>
      </c>
      <c r="EL253" s="529">
        <f t="shared" si="133"/>
        <v>0</v>
      </c>
      <c r="EM253" s="530">
        <v>0</v>
      </c>
      <c r="EN253" s="530">
        <v>0</v>
      </c>
      <c r="EO253" s="530">
        <v>0</v>
      </c>
      <c r="EP253" s="530">
        <v>0</v>
      </c>
      <c r="EQ253" s="530">
        <v>0</v>
      </c>
      <c r="ER253" s="530">
        <v>0</v>
      </c>
      <c r="ES253" s="530">
        <v>0</v>
      </c>
      <c r="ET253" s="530">
        <v>0</v>
      </c>
      <c r="EU253" s="530">
        <v>0</v>
      </c>
      <c r="EV253" s="530">
        <v>0</v>
      </c>
      <c r="EW253" s="530">
        <v>0</v>
      </c>
      <c r="EX253" s="530">
        <v>0</v>
      </c>
      <c r="EY253" s="530">
        <f t="shared" si="134"/>
        <v>0</v>
      </c>
      <c r="EZ253" s="530">
        <f t="shared" si="135"/>
        <v>0</v>
      </c>
      <c r="FA253" s="530">
        <f t="shared" si="136"/>
        <v>0</v>
      </c>
      <c r="FB253" s="530">
        <f t="shared" si="137"/>
        <v>0</v>
      </c>
      <c r="FC253" s="384">
        <f>IFERROR(VLOOKUP(Capex!A252,BASE_558!D:R,8,FALSE)/1000,"")</f>
        <v>1939.25711</v>
      </c>
      <c r="FD253" s="328">
        <f>IFERROR(VLOOKUP(Capex!A252,BASE_558!D:R,9,)/1000,"")</f>
        <v>1887.8109299999999</v>
      </c>
      <c r="FE253" s="328">
        <f>IFERROR(IF(LEFT(A253,3)="LCP",(VLOOKUP(Capex!A252,BASE_558!D:R,10,)/1000),SUMIFS('BASE ICP_PO_SC'!F:F,'BASE ICP_PO_SC'!A:A,Capex!A252,'BASE ICP_PO_SC'!E:E,"&lt;&gt;")/1000),"")</f>
        <v>14.677910000000001</v>
      </c>
      <c r="FF253" s="328">
        <f>IFERROR(IF(LEFT(A253,3)="LCP",(VLOOKUP(Capex!A252,BASE_558!D:R,11,)/1000),SUMIFS('BASE ICP_PO_SC'!F:F,'BASE ICP_PO_SC'!A:A,Capex!A252,'BASE ICP_PO_SC'!E:E,"")/1000),"")</f>
        <v>0</v>
      </c>
      <c r="FG253" s="328">
        <f>IFERROR(VLOOKUP(A253,BASE_558!D:R,13,FALSE)/1000,"")</f>
        <v>172.05259000000001</v>
      </c>
      <c r="FH253" s="328">
        <f>IFERROR(VLOOKUP(A253,BASE_558!D:R,15,FALSE)/1000,"")</f>
        <v>2.18241</v>
      </c>
      <c r="FI253" s="547">
        <f t="shared" si="138"/>
        <v>0</v>
      </c>
      <c r="FJ253" s="547">
        <f t="shared" si="139"/>
        <v>0</v>
      </c>
      <c r="FK253" s="540">
        <f t="shared" si="140"/>
        <v>0</v>
      </c>
    </row>
    <row r="254" spans="1:167" s="23" customFormat="1" ht="24" customHeight="1">
      <c r="A254" s="84" t="s">
        <v>1351</v>
      </c>
      <c r="B254" s="404" t="s">
        <v>1502</v>
      </c>
      <c r="C254" s="404"/>
      <c r="D254" s="338" t="s">
        <v>1909</v>
      </c>
      <c r="E254" s="378">
        <v>4824059</v>
      </c>
      <c r="F254" s="5"/>
      <c r="G254" s="310" t="s">
        <v>9</v>
      </c>
      <c r="H254" s="356" t="s">
        <v>6</v>
      </c>
      <c r="I254" s="356"/>
      <c r="J254" s="356">
        <v>2021</v>
      </c>
      <c r="K254" s="352">
        <v>44517</v>
      </c>
      <c r="L254" s="317"/>
      <c r="M254" s="409"/>
      <c r="N254" s="317">
        <f t="shared" si="143"/>
        <v>45429</v>
      </c>
      <c r="O254" s="317">
        <f t="shared" si="144"/>
        <v>45794</v>
      </c>
      <c r="P254" s="418" t="str">
        <f t="shared" si="149"/>
        <v>SIM</v>
      </c>
      <c r="Q254" s="418" t="str">
        <f t="shared" si="149"/>
        <v>SIM</v>
      </c>
      <c r="R254" s="418" t="str">
        <f t="shared" si="149"/>
        <v>SIM</v>
      </c>
      <c r="S254" s="418" t="str">
        <f t="shared" si="149"/>
        <v>SIM</v>
      </c>
      <c r="T254" s="418" t="str">
        <f t="shared" si="149"/>
        <v>SIM</v>
      </c>
      <c r="U254" s="418" t="str">
        <f t="shared" si="149"/>
        <v>SIM</v>
      </c>
      <c r="V254" s="418" t="str">
        <f t="shared" si="149"/>
        <v>SIM</v>
      </c>
      <c r="W254" s="418" t="str">
        <f t="shared" si="149"/>
        <v>SIM</v>
      </c>
      <c r="X254" s="418" t="str">
        <f t="shared" si="149"/>
        <v>SIM</v>
      </c>
      <c r="Y254" s="551" t="str">
        <f t="shared" si="149"/>
        <v>SIM</v>
      </c>
      <c r="Z254" s="418" t="str">
        <f t="shared" si="149"/>
        <v>SIM</v>
      </c>
      <c r="AA254" s="567" t="str">
        <f t="shared" si="149"/>
        <v>SIM</v>
      </c>
      <c r="AB254" s="350"/>
      <c r="AC254" s="309" t="s">
        <v>3932</v>
      </c>
      <c r="AD254" s="311" t="s">
        <v>5</v>
      </c>
      <c r="AE254" s="361" t="s">
        <v>951</v>
      </c>
      <c r="AF254" s="310" t="s">
        <v>6985</v>
      </c>
      <c r="AG254" s="310" t="s">
        <v>3215</v>
      </c>
      <c r="AH254" s="310" t="s">
        <v>1352</v>
      </c>
      <c r="AI254" s="381" t="s">
        <v>2255</v>
      </c>
      <c r="AJ254" s="6" t="s">
        <v>6786</v>
      </c>
      <c r="AK254" s="6" t="str">
        <f t="shared" si="118"/>
        <v>DIFERENTE</v>
      </c>
      <c r="AL254" s="151" t="str">
        <f>IFERROR(IF(LEFT(A254,3)="LCP",VLOOKUP(A254,STATUS_SAP_LCP!B:C,2,FALSE),VLOOKUP(A254,STATUS_SAP_ICP!B:C,2,FALSE)),"NO BUDGET")</f>
        <v>TECO BUDG AUC  AVAC  //  APPR BREL INPL</v>
      </c>
      <c r="AM254" s="6" t="str">
        <f t="shared" si="116"/>
        <v>TECO</v>
      </c>
      <c r="AN254" s="543" t="s">
        <v>20131</v>
      </c>
      <c r="AO254" s="559"/>
      <c r="AP254" s="499" t="s">
        <v>5299</v>
      </c>
      <c r="AQ254" s="465">
        <v>45960</v>
      </c>
      <c r="AR254" s="460"/>
      <c r="AS254" s="57"/>
      <c r="AT254" s="185"/>
      <c r="AU254" s="318">
        <v>0</v>
      </c>
      <c r="AV254" s="223">
        <v>1.7474600000000002</v>
      </c>
      <c r="AW254" s="318">
        <v>224.79349000000002</v>
      </c>
      <c r="AX254" s="223">
        <v>0.42104999999999998</v>
      </c>
      <c r="AY254" s="318">
        <f t="shared" si="145"/>
        <v>0</v>
      </c>
      <c r="AZ254" s="223"/>
      <c r="BA254" s="318"/>
      <c r="BB254" s="519">
        <f t="shared" si="146"/>
        <v>0</v>
      </c>
      <c r="BC254" s="518">
        <v>0</v>
      </c>
      <c r="BD254" s="518">
        <v>0</v>
      </c>
      <c r="BE254" s="518">
        <v>0</v>
      </c>
      <c r="BF254" s="518">
        <v>0</v>
      </c>
      <c r="BG254" s="518">
        <v>0</v>
      </c>
      <c r="BH254" s="518">
        <v>0</v>
      </c>
      <c r="BI254" s="518">
        <v>0</v>
      </c>
      <c r="BJ254" s="518">
        <v>0</v>
      </c>
      <c r="BK254" s="518">
        <v>0</v>
      </c>
      <c r="BL254" s="518">
        <v>0</v>
      </c>
      <c r="BM254" s="518">
        <v>0</v>
      </c>
      <c r="BN254" s="518">
        <v>0</v>
      </c>
      <c r="BO254" s="367">
        <f t="shared" si="119"/>
        <v>0</v>
      </c>
      <c r="BP254" s="421">
        <v>0</v>
      </c>
      <c r="BQ254" s="422"/>
      <c r="BR254" s="423">
        <f>IFERROR(IF(LEFT($A254,3)="Lcp",SUMIFS('BASE-LCP'!$K:$K,'BASE-LCP'!$A:$A,Capex!$A253,'BASE-LCP'!$B:$B,"janeiro")/1000,IF(LEFT($A254,3)="icp",SUMIFS('BASE-ICP'!$K:$K,'BASE-ICP'!$A:$A,Capex!$A253,'BASE-ICP'!$B:$B,"janeiro")/1000,"")),"")</f>
        <v>0</v>
      </c>
      <c r="BS254" s="427">
        <v>0</v>
      </c>
      <c r="BT254" s="372">
        <v>0</v>
      </c>
      <c r="BU254" s="422"/>
      <c r="BV254" s="423">
        <f>IFERROR(IF(LEFT($A254,3)="Lcp",SUMIFS('BASE-LCP'!$K:$K,'BASE-LCP'!$A:$A,Capex!$A253,'BASE-LCP'!$B:$B,"fevereiro")/1000,IF(LEFT($A254,3)="icp",SUMIFS('BASE-ICP'!$K:$K,'BASE-ICP'!$A:$A,Capex!$A253,'BASE-ICP'!$B:$B,"fevereiro")/1000,"")),"")</f>
        <v>0</v>
      </c>
      <c r="BW254" s="427">
        <v>0</v>
      </c>
      <c r="BX254" s="372">
        <v>0</v>
      </c>
      <c r="BY254" s="419"/>
      <c r="BZ254" s="423">
        <f>IFERROR(IF(LEFT($A254,3)="Lcp",SUMIFS('BASE-LCP'!$K:$K,'BASE-LCP'!$A:$A,Capex!$A253,'BASE-LCP'!$B:$B,"março")/1000,IF(LEFT($A254,3)="icp",SUMIFS('BASE-ICP'!$K:$K,'BASE-ICP'!$A:$A,Capex!$A253,'BASE-ICP'!$B:$B,"março")/1000,"")),"")</f>
        <v>0</v>
      </c>
      <c r="CA254" s="427">
        <v>0</v>
      </c>
      <c r="CB254" s="372">
        <v>0</v>
      </c>
      <c r="CC254" s="422"/>
      <c r="CD254" s="423">
        <f>IFERROR(IF(LEFT($A254,3)="Lcp",SUMIFS('BASE-LCP'!$K:$K,'BASE-LCP'!$A:$A,Capex!$A253,'BASE-LCP'!$B:$B,"abril")/1000,IF(LEFT($A254,3)="icp",SUMIFS('BASE-ICP'!$K:$K,'BASE-ICP'!$A:$A,Capex!$A253,'BASE-ICP'!$B:$B,"abril")/1000,"")),"")</f>
        <v>0</v>
      </c>
      <c r="CE254" s="427">
        <v>0</v>
      </c>
      <c r="CF254" s="372">
        <v>0</v>
      </c>
      <c r="CG254" s="419"/>
      <c r="CH254" s="423">
        <v>0</v>
      </c>
      <c r="CI254" s="427">
        <v>0</v>
      </c>
      <c r="CJ254" s="372">
        <v>0</v>
      </c>
      <c r="CK254" s="419"/>
      <c r="CL254" s="423">
        <f>IFERROR(IF(LEFT($A254,3)="Lcp",SUMIFS('BASE-LCP'!$K:$K,'BASE-LCP'!$A:$A,Capex!$A253,'BASE-LCP'!$B:$B,"junho")/1000,IF(LEFT($A254,3)="icp",SUMIFS('BASE-ICP'!$K:$K,'BASE-ICP'!$A:$A,Capex!$A253,'BASE-ICP'!$B:$B,"junho")/1000,"")),"")</f>
        <v>0</v>
      </c>
      <c r="CM254" s="427">
        <v>0</v>
      </c>
      <c r="CN254" s="372"/>
      <c r="CO254" s="419"/>
      <c r="CP254" s="423">
        <f>IFERROR(IF(LEFT($A254,3)="Lcp",SUMIFS('BASE-LCP'!$K:$K,'BASE-LCP'!$A:$A,Capex!$A253,'BASE-LCP'!$B:$B,"julho")/1000,IF(LEFT($A254,3)="icp",SUMIFS('BASE-ICP'!$K:$K,'BASE-ICP'!$A:$A,Capex!$A253,'BASE-ICP'!$B:$B,"julho")/1000,"")),"")</f>
        <v>0</v>
      </c>
      <c r="CQ254" s="427">
        <v>0</v>
      </c>
      <c r="CR254" s="372"/>
      <c r="CS254" s="419"/>
      <c r="CT254" s="423">
        <f>IFERROR(IF(LEFT($A254,3)="Lcp",SUMIFS('BASE-LCP'!$K:$K,'BASE-LCP'!$A:$A,Capex!$A253,'BASE-LCP'!$B:$B,"agosto")/1000,IF(LEFT($A254,3)="icp",SUMIFS('BASE-ICP'!$K:$K,'BASE-ICP'!$A:$A,Capex!$A253,'BASE-ICP'!$B:$B,"agosto")/1000,"")),"")</f>
        <v>0</v>
      </c>
      <c r="CU254" s="427">
        <v>0</v>
      </c>
      <c r="CV254" s="372"/>
      <c r="CW254" s="419"/>
      <c r="CX254" s="423">
        <f>IFERROR(IF(LEFT($A254,3)="Lcp",SUMIFS('BASE-LCP'!$K:$K,'BASE-LCP'!$A:$A,Capex!$A253,'BASE-LCP'!$B:$B,"setembro")/1000,IF(LEFT($A254,3)="icp",SUMIFS('BASE-ICP'!$K:$K,'BASE-ICP'!$A:$A,Capex!$A253,'BASE-ICP'!$B:$B,"setembro")/1000,"")),"")</f>
        <v>0</v>
      </c>
      <c r="CY254" s="427">
        <v>0</v>
      </c>
      <c r="CZ254" s="372"/>
      <c r="DA254" s="419"/>
      <c r="DB254" s="423">
        <f>IFERROR(IF(LEFT($A254,3)="Lcp",SUMIFS('BASE-LCP'!$K:$K,'BASE-LCP'!$A:$A,Capex!$A253,'BASE-LCP'!$B:$B,"outubro")/1000,IF(LEFT($A254,3)="icp",SUMIFS('BASE-ICP'!$K:$K,'BASE-ICP'!$A:$A,Capex!$A253,'BASE-ICP'!$B:$B,"outubro")/1000,"")),"")</f>
        <v>0</v>
      </c>
      <c r="DC254" s="427">
        <v>0</v>
      </c>
      <c r="DD254" s="372"/>
      <c r="DE254" s="419"/>
      <c r="DF254" s="423">
        <f>IFERROR(IF(LEFT($A254,3)="Lcp",SUMIFS('BASE-LCP'!$K:$K,'BASE-LCP'!$A:$A,Capex!$A253,'BASE-LCP'!$B:$B,"novembro")/1000,IF(LEFT($A254,3)="icp",SUMIFS('BASE-ICP'!$K:$K,'BASE-ICP'!$A:$A,Capex!$A253,'BASE-ICP'!$B:$B,"novembro")/1000,"")),"")</f>
        <v>0</v>
      </c>
      <c r="DG254" s="427">
        <v>0</v>
      </c>
      <c r="DH254" s="372"/>
      <c r="DI254" s="419"/>
      <c r="DJ254" s="423">
        <f>IFERROR(IF(LEFT($A254,3)="Lcp",SUMIFS('BASE-LCP'!$K:$K,'BASE-LCP'!$A:$A,Capex!$A253,'BASE-LCP'!$B:$B,"dezembro")/1000,IF(LEFT($A254,3)="icp",SUMIFS('BASE-ICP'!$K:$K,'BASE-ICP'!$A:$A,Capex!$A253,'BASE-ICP'!$B:$B,"dezembro")/1000,"")),"")</f>
        <v>0</v>
      </c>
      <c r="DK254" s="427">
        <v>0</v>
      </c>
      <c r="DL254" s="452">
        <f t="shared" si="120"/>
        <v>0</v>
      </c>
      <c r="DM254" s="374"/>
      <c r="DN254" s="374">
        <v>0</v>
      </c>
      <c r="DO254" s="374"/>
      <c r="DP254" s="374"/>
      <c r="DQ254" s="374"/>
      <c r="DR254" s="374"/>
      <c r="DS254" s="374"/>
      <c r="DT254" s="374"/>
      <c r="DU254" s="374"/>
      <c r="DV254" s="374"/>
      <c r="DW254" s="374"/>
      <c r="DX254" s="374"/>
      <c r="DY254" s="450"/>
      <c r="DZ254" s="374">
        <f t="shared" si="121"/>
        <v>0</v>
      </c>
      <c r="EA254" s="216">
        <f t="shared" si="122"/>
        <v>0</v>
      </c>
      <c r="EB254" s="320">
        <f t="shared" si="123"/>
        <v>0</v>
      </c>
      <c r="EC254" s="241">
        <f t="shared" si="124"/>
        <v>0</v>
      </c>
      <c r="ED254" s="241">
        <f t="shared" si="125"/>
        <v>0</v>
      </c>
      <c r="EE254" s="241">
        <f t="shared" si="126"/>
        <v>0</v>
      </c>
      <c r="EF254" s="241">
        <f t="shared" si="127"/>
        <v>0</v>
      </c>
      <c r="EG254" s="346">
        <f t="shared" si="128"/>
        <v>0</v>
      </c>
      <c r="EH254" s="445">
        <f t="shared" si="129"/>
        <v>0</v>
      </c>
      <c r="EI254" s="447">
        <f t="shared" si="130"/>
        <v>0</v>
      </c>
      <c r="EJ254" s="364">
        <f t="shared" si="131"/>
        <v>0</v>
      </c>
      <c r="EK254" s="365">
        <f t="shared" si="132"/>
        <v>0</v>
      </c>
      <c r="EL254" s="529">
        <f t="shared" si="133"/>
        <v>0</v>
      </c>
      <c r="EM254" s="530">
        <v>0</v>
      </c>
      <c r="EN254" s="530">
        <v>0</v>
      </c>
      <c r="EO254" s="530">
        <v>0</v>
      </c>
      <c r="EP254" s="530">
        <v>0</v>
      </c>
      <c r="EQ254" s="530">
        <v>0</v>
      </c>
      <c r="ER254" s="530">
        <v>0</v>
      </c>
      <c r="ES254" s="530">
        <v>0</v>
      </c>
      <c r="ET254" s="530">
        <v>0</v>
      </c>
      <c r="EU254" s="530">
        <v>0</v>
      </c>
      <c r="EV254" s="530">
        <v>0</v>
      </c>
      <c r="EW254" s="530">
        <v>0</v>
      </c>
      <c r="EX254" s="530">
        <v>0</v>
      </c>
      <c r="EY254" s="530">
        <f t="shared" si="134"/>
        <v>0</v>
      </c>
      <c r="EZ254" s="530">
        <f t="shared" si="135"/>
        <v>0</v>
      </c>
      <c r="FA254" s="530">
        <f t="shared" si="136"/>
        <v>0</v>
      </c>
      <c r="FB254" s="530">
        <f t="shared" si="137"/>
        <v>0</v>
      </c>
      <c r="FC254" s="384">
        <f>IFERROR(VLOOKUP(Capex!A253,BASE_558!D:R,8,FALSE)/1000,"")</f>
        <v>174.23500000000001</v>
      </c>
      <c r="FD254" s="328">
        <f>IFERROR(VLOOKUP(Capex!A253,BASE_558!D:R,9,)/1000,"")</f>
        <v>172.05259000000001</v>
      </c>
      <c r="FE254" s="328">
        <f>IFERROR(IF(LEFT(A254,3)="LCP",(VLOOKUP(Capex!A253,BASE_558!D:R,10,)/1000),SUMIFS('BASE ICP_PO_SC'!F:F,'BASE ICP_PO_SC'!A:A,Capex!A253,'BASE ICP_PO_SC'!E:E,"&lt;&gt;")/1000),"")</f>
        <v>0</v>
      </c>
      <c r="FF254" s="328">
        <f>IFERROR(IF(LEFT(A254,3)="LCP",(VLOOKUP(Capex!A253,BASE_558!D:R,11,)/1000),SUMIFS('BASE ICP_PO_SC'!F:F,'BASE ICP_PO_SC'!A:A,Capex!A253,'BASE ICP_PO_SC'!E:E,"")/1000),"")</f>
        <v>0</v>
      </c>
      <c r="FG254" s="328">
        <f>IFERROR(VLOOKUP(A254,BASE_558!D:R,13,FALSE)/1000,"")</f>
        <v>226.96199999999999</v>
      </c>
      <c r="FH254" s="328">
        <f>IFERROR(VLOOKUP(A254,BASE_558!D:R,15,FALSE)/1000,"")</f>
        <v>53.518000000000001</v>
      </c>
      <c r="FI254" s="547">
        <f t="shared" si="138"/>
        <v>0</v>
      </c>
      <c r="FJ254" s="547">
        <f t="shared" si="139"/>
        <v>0</v>
      </c>
      <c r="FK254" s="540">
        <f t="shared" si="140"/>
        <v>0</v>
      </c>
    </row>
    <row r="255" spans="1:167" s="23" customFormat="1" ht="24" customHeight="1">
      <c r="A255" s="84" t="s">
        <v>1282</v>
      </c>
      <c r="B255" s="404"/>
      <c r="C255" s="404" t="s">
        <v>1264</v>
      </c>
      <c r="D255" s="338" t="s">
        <v>2284</v>
      </c>
      <c r="E255" s="378">
        <v>4829079</v>
      </c>
      <c r="F255" s="310"/>
      <c r="G255" s="310" t="s">
        <v>9</v>
      </c>
      <c r="H255" s="338"/>
      <c r="I255" s="356" t="s">
        <v>6</v>
      </c>
      <c r="J255" s="356">
        <v>2021</v>
      </c>
      <c r="K255" s="321">
        <v>44483</v>
      </c>
      <c r="L255" s="317">
        <v>45296</v>
      </c>
      <c r="M255" s="409"/>
      <c r="N255" s="317">
        <f t="shared" si="143"/>
        <v>45395</v>
      </c>
      <c r="O255" s="317">
        <f t="shared" si="144"/>
        <v>45760</v>
      </c>
      <c r="P255" s="418" t="str">
        <f t="shared" ref="P255:AA264" si="150">IF($N255="","N/A",IF($O255="","N/A",IF(P$2&lt;=$N255,"NÃO",IF($AJ255="REL ","SIM",IF(P$2&lt;$O255,"NÃO",IF($AJ255&lt;&gt;"CLSD","SIM","CRTD"))))))</f>
        <v>NÃO</v>
      </c>
      <c r="Q255" s="418" t="str">
        <f t="shared" si="150"/>
        <v>NÃO</v>
      </c>
      <c r="R255" s="418" t="str">
        <f t="shared" si="150"/>
        <v>NÃO</v>
      </c>
      <c r="S255" s="418" t="str">
        <f t="shared" si="150"/>
        <v>CRTD</v>
      </c>
      <c r="T255" s="418" t="str">
        <f t="shared" si="150"/>
        <v>CRTD</v>
      </c>
      <c r="U255" s="418" t="str">
        <f t="shared" si="150"/>
        <v>CRTD</v>
      </c>
      <c r="V255" s="418" t="str">
        <f t="shared" si="150"/>
        <v>CRTD</v>
      </c>
      <c r="W255" s="418" t="str">
        <f t="shared" si="150"/>
        <v>CRTD</v>
      </c>
      <c r="X255" s="418" t="str">
        <f t="shared" si="150"/>
        <v>CRTD</v>
      </c>
      <c r="Y255" s="418" t="str">
        <f t="shared" si="150"/>
        <v>CRTD</v>
      </c>
      <c r="Z255" s="418" t="str">
        <f t="shared" si="150"/>
        <v>CRTD</v>
      </c>
      <c r="AA255" s="418" t="str">
        <f t="shared" si="150"/>
        <v>CRTD</v>
      </c>
      <c r="AB255" s="350"/>
      <c r="AC255" s="309" t="s">
        <v>3932</v>
      </c>
      <c r="AD255" s="311" t="s">
        <v>5</v>
      </c>
      <c r="AE255" s="361" t="s">
        <v>951</v>
      </c>
      <c r="AF255" s="310" t="s">
        <v>6985</v>
      </c>
      <c r="AG255" s="310" t="s">
        <v>9083</v>
      </c>
      <c r="AH255" s="310" t="s">
        <v>2825</v>
      </c>
      <c r="AI255" s="381" t="s">
        <v>2255</v>
      </c>
      <c r="AJ255" s="6" t="s">
        <v>218</v>
      </c>
      <c r="AK255" s="6" t="str">
        <f t="shared" si="118"/>
        <v>IGUAL</v>
      </c>
      <c r="AL255" s="151" t="str">
        <f>IFERROR(IF(LEFT(A255,3)="LCP",VLOOKUP(A255,STATUS_SAP_LCP!B:C,2,FALSE),VLOOKUP(A255,STATUS_SAP_ICP!B:C,2,FALSE)),"NO BUDGET")</f>
        <v>CLSD BUDG AUC  AVAC  //  APPR BREL EXPL</v>
      </c>
      <c r="AM255" s="6" t="str">
        <f t="shared" si="116"/>
        <v>CLSD</v>
      </c>
      <c r="AN255" s="282" t="s">
        <v>9098</v>
      </c>
      <c r="AO255" s="493">
        <v>1</v>
      </c>
      <c r="AP255" s="499" t="s">
        <v>9607</v>
      </c>
      <c r="AQ255" s="465">
        <v>45296</v>
      </c>
      <c r="AR255" s="460"/>
      <c r="AS255" s="57"/>
      <c r="AT255" s="185"/>
      <c r="AU255" s="318">
        <v>117.49017000000001</v>
      </c>
      <c r="AV255" s="223">
        <v>0</v>
      </c>
      <c r="AW255" s="318">
        <v>0</v>
      </c>
      <c r="AX255" s="223">
        <v>0</v>
      </c>
      <c r="AY255" s="318">
        <f t="shared" si="145"/>
        <v>0</v>
      </c>
      <c r="AZ255" s="223"/>
      <c r="BA255" s="318"/>
      <c r="BB255" s="519">
        <f t="shared" si="146"/>
        <v>0</v>
      </c>
      <c r="BC255" s="518"/>
      <c r="BD255" s="518"/>
      <c r="BE255" s="518"/>
      <c r="BF255" s="518"/>
      <c r="BG255" s="518"/>
      <c r="BH255" s="518"/>
      <c r="BI255" s="518"/>
      <c r="BJ255" s="518"/>
      <c r="BK255" s="518"/>
      <c r="BL255" s="518"/>
      <c r="BM255" s="518"/>
      <c r="BN255" s="518"/>
      <c r="BO255" s="367">
        <f t="shared" si="119"/>
        <v>0</v>
      </c>
      <c r="BP255" s="421"/>
      <c r="BQ255" s="422"/>
      <c r="BR255" s="423">
        <f>IFERROR(IF(LEFT($A255,3)="Lcp",SUMIFS('BASE-LCP'!$K:$K,'BASE-LCP'!$A:$A,Capex!$A254,'BASE-LCP'!$B:$B,"janeiro")/1000,IF(LEFT($A255,3)="icp",SUMIFS('BASE-ICP'!$K:$K,'BASE-ICP'!$A:$A,Capex!$A254,'BASE-ICP'!$B:$B,"janeiro")/1000,"")),"")</f>
        <v>0</v>
      </c>
      <c r="BS255" s="427">
        <v>0</v>
      </c>
      <c r="BT255" s="372">
        <v>0</v>
      </c>
      <c r="BU255" s="422"/>
      <c r="BV255" s="423">
        <f>IFERROR(IF(LEFT($A255,3)="Lcp",SUMIFS('BASE-LCP'!$K:$K,'BASE-LCP'!$A:$A,Capex!$A254,'BASE-LCP'!$B:$B,"fevereiro")/1000,IF(LEFT($A255,3)="icp",SUMIFS('BASE-ICP'!$K:$K,'BASE-ICP'!$A:$A,Capex!$A254,'BASE-ICP'!$B:$B,"fevereiro")/1000,"")),"")</f>
        <v>0</v>
      </c>
      <c r="BW255" s="427">
        <v>0</v>
      </c>
      <c r="BX255" s="372">
        <v>0</v>
      </c>
      <c r="BY255" s="419"/>
      <c r="BZ255" s="423">
        <f>IFERROR(IF(LEFT($A255,3)="Lcp",SUMIFS('BASE-LCP'!$K:$K,'BASE-LCP'!$A:$A,Capex!$A254,'BASE-LCP'!$B:$B,"março")/1000,IF(LEFT($A255,3)="icp",SUMIFS('BASE-ICP'!$K:$K,'BASE-ICP'!$A:$A,Capex!$A254,'BASE-ICP'!$B:$B,"março")/1000,"")),"")</f>
        <v>0</v>
      </c>
      <c r="CA255" s="427">
        <v>0</v>
      </c>
      <c r="CB255" s="372">
        <v>0</v>
      </c>
      <c r="CC255" s="422"/>
      <c r="CD255" s="423">
        <f>IFERROR(IF(LEFT($A255,3)="Lcp",SUMIFS('BASE-LCP'!$K:$K,'BASE-LCP'!$A:$A,Capex!$A254,'BASE-LCP'!$B:$B,"abril")/1000,IF(LEFT($A255,3)="icp",SUMIFS('BASE-ICP'!$K:$K,'BASE-ICP'!$A:$A,Capex!$A254,'BASE-ICP'!$B:$B,"abril")/1000,"")),"")</f>
        <v>0</v>
      </c>
      <c r="CE255" s="427">
        <v>0</v>
      </c>
      <c r="CF255" s="372">
        <v>0</v>
      </c>
      <c r="CG255" s="419"/>
      <c r="CH255" s="423">
        <v>0</v>
      </c>
      <c r="CI255" s="427">
        <v>0</v>
      </c>
      <c r="CJ255" s="372">
        <v>0</v>
      </c>
      <c r="CK255" s="419"/>
      <c r="CL255" s="423">
        <f>IFERROR(IF(LEFT($A255,3)="Lcp",SUMIFS('BASE-LCP'!$K:$K,'BASE-LCP'!$A:$A,Capex!$A254,'BASE-LCP'!$B:$B,"junho")/1000,IF(LEFT($A255,3)="icp",SUMIFS('BASE-ICP'!$K:$K,'BASE-ICP'!$A:$A,Capex!$A254,'BASE-ICP'!$B:$B,"junho")/1000,"")),"")</f>
        <v>0</v>
      </c>
      <c r="CM255" s="427">
        <v>0</v>
      </c>
      <c r="CN255" s="372"/>
      <c r="CO255" s="419"/>
      <c r="CP255" s="423">
        <f>IFERROR(IF(LEFT($A255,3)="Lcp",SUMIFS('BASE-LCP'!$K:$K,'BASE-LCP'!$A:$A,Capex!$A254,'BASE-LCP'!$B:$B,"julho")/1000,IF(LEFT($A255,3)="icp",SUMIFS('BASE-ICP'!$K:$K,'BASE-ICP'!$A:$A,Capex!$A254,'BASE-ICP'!$B:$B,"julho")/1000,"")),"")</f>
        <v>0</v>
      </c>
      <c r="CQ255" s="427">
        <v>0</v>
      </c>
      <c r="CR255" s="372"/>
      <c r="CS255" s="419"/>
      <c r="CT255" s="423">
        <f>IFERROR(IF(LEFT($A255,3)="Lcp",SUMIFS('BASE-LCP'!$K:$K,'BASE-LCP'!$A:$A,Capex!$A254,'BASE-LCP'!$B:$B,"agosto")/1000,IF(LEFT($A255,3)="icp",SUMIFS('BASE-ICP'!$K:$K,'BASE-ICP'!$A:$A,Capex!$A254,'BASE-ICP'!$B:$B,"agosto")/1000,"")),"")</f>
        <v>0</v>
      </c>
      <c r="CU255" s="427">
        <v>0</v>
      </c>
      <c r="CV255" s="372"/>
      <c r="CW255" s="419"/>
      <c r="CX255" s="423">
        <f>IFERROR(IF(LEFT($A255,3)="Lcp",SUMIFS('BASE-LCP'!$K:$K,'BASE-LCP'!$A:$A,Capex!$A254,'BASE-LCP'!$B:$B,"setembro")/1000,IF(LEFT($A255,3)="icp",SUMIFS('BASE-ICP'!$K:$K,'BASE-ICP'!$A:$A,Capex!$A254,'BASE-ICP'!$B:$B,"setembro")/1000,"")),"")</f>
        <v>0</v>
      </c>
      <c r="CY255" s="427">
        <v>0</v>
      </c>
      <c r="CZ255" s="372"/>
      <c r="DA255" s="419"/>
      <c r="DB255" s="423">
        <f>IFERROR(IF(LEFT($A255,3)="Lcp",SUMIFS('BASE-LCP'!$K:$K,'BASE-LCP'!$A:$A,Capex!$A254,'BASE-LCP'!$B:$B,"outubro")/1000,IF(LEFT($A255,3)="icp",SUMIFS('BASE-ICP'!$K:$K,'BASE-ICP'!$A:$A,Capex!$A254,'BASE-ICP'!$B:$B,"outubro")/1000,"")),"")</f>
        <v>0</v>
      </c>
      <c r="DC255" s="427">
        <v>0</v>
      </c>
      <c r="DD255" s="372"/>
      <c r="DE255" s="419"/>
      <c r="DF255" s="423">
        <f>IFERROR(IF(LEFT($A255,3)="Lcp",SUMIFS('BASE-LCP'!$K:$K,'BASE-LCP'!$A:$A,Capex!$A254,'BASE-LCP'!$B:$B,"novembro")/1000,IF(LEFT($A255,3)="icp",SUMIFS('BASE-ICP'!$K:$K,'BASE-ICP'!$A:$A,Capex!$A254,'BASE-ICP'!$B:$B,"novembro")/1000,"")),"")</f>
        <v>0</v>
      </c>
      <c r="DG255" s="427">
        <v>0</v>
      </c>
      <c r="DH255" s="372"/>
      <c r="DI255" s="419"/>
      <c r="DJ255" s="423">
        <f>IFERROR(IF(LEFT($A255,3)="Lcp",SUMIFS('BASE-LCP'!$K:$K,'BASE-LCP'!$A:$A,Capex!$A254,'BASE-LCP'!$B:$B,"dezembro")/1000,IF(LEFT($A255,3)="icp",SUMIFS('BASE-ICP'!$K:$K,'BASE-ICP'!$A:$A,Capex!$A254,'BASE-ICP'!$B:$B,"dezembro")/1000,"")),"")</f>
        <v>0</v>
      </c>
      <c r="DK255" s="427">
        <v>0</v>
      </c>
      <c r="DL255" s="452">
        <f t="shared" si="120"/>
        <v>0</v>
      </c>
      <c r="DM255" s="374"/>
      <c r="DN255" s="374"/>
      <c r="DO255" s="374"/>
      <c r="DP255" s="374"/>
      <c r="DQ255" s="374"/>
      <c r="DR255" s="374"/>
      <c r="DS255" s="374"/>
      <c r="DT255" s="374"/>
      <c r="DU255" s="374"/>
      <c r="DV255" s="374"/>
      <c r="DW255" s="374"/>
      <c r="DX255" s="374"/>
      <c r="DY255" s="450"/>
      <c r="DZ255" s="374">
        <f t="shared" si="121"/>
        <v>0</v>
      </c>
      <c r="EA255" s="216">
        <f t="shared" si="122"/>
        <v>0</v>
      </c>
      <c r="EB255" s="320">
        <f t="shared" si="123"/>
        <v>0</v>
      </c>
      <c r="EC255" s="241">
        <f t="shared" si="124"/>
        <v>0</v>
      </c>
      <c r="ED255" s="241">
        <f t="shared" si="125"/>
        <v>0</v>
      </c>
      <c r="EE255" s="241">
        <f t="shared" si="126"/>
        <v>0</v>
      </c>
      <c r="EF255" s="241">
        <f t="shared" si="127"/>
        <v>0</v>
      </c>
      <c r="EG255" s="346">
        <f t="shared" si="128"/>
        <v>0</v>
      </c>
      <c r="EH255" s="445">
        <f t="shared" si="129"/>
        <v>0</v>
      </c>
      <c r="EI255" s="447">
        <f t="shared" si="130"/>
        <v>0</v>
      </c>
      <c r="EJ255" s="364">
        <f t="shared" si="131"/>
        <v>0</v>
      </c>
      <c r="EK255" s="365">
        <f t="shared" si="132"/>
        <v>0</v>
      </c>
      <c r="EL255" s="529">
        <f t="shared" si="133"/>
        <v>0</v>
      </c>
      <c r="EM255" s="530">
        <v>0</v>
      </c>
      <c r="EN255" s="530">
        <v>0</v>
      </c>
      <c r="EO255" s="530">
        <v>0</v>
      </c>
      <c r="EP255" s="530">
        <v>0</v>
      </c>
      <c r="EQ255" s="530">
        <v>0</v>
      </c>
      <c r="ER255" s="530">
        <v>0</v>
      </c>
      <c r="ES255" s="530">
        <v>0</v>
      </c>
      <c r="ET255" s="530">
        <v>0</v>
      </c>
      <c r="EU255" s="530">
        <v>0</v>
      </c>
      <c r="EV255" s="530">
        <v>0</v>
      </c>
      <c r="EW255" s="530">
        <v>0</v>
      </c>
      <c r="EX255" s="530">
        <v>0</v>
      </c>
      <c r="EY255" s="530">
        <f t="shared" si="134"/>
        <v>0</v>
      </c>
      <c r="EZ255" s="530">
        <f t="shared" si="135"/>
        <v>0</v>
      </c>
      <c r="FA255" s="530">
        <f t="shared" si="136"/>
        <v>0</v>
      </c>
      <c r="FB255" s="530">
        <f t="shared" si="137"/>
        <v>0</v>
      </c>
      <c r="FC255" s="384">
        <f>IFERROR(VLOOKUP(Capex!A254,BASE_558!D:R,8,FALSE)/1000,"")</f>
        <v>280.48</v>
      </c>
      <c r="FD255" s="328">
        <f>IFERROR(VLOOKUP(Capex!A254,BASE_558!D:R,9,)/1000,"")</f>
        <v>226.96199999999999</v>
      </c>
      <c r="FE255" s="328">
        <f>IFERROR(IF(LEFT(A255,3)="LCP",(VLOOKUP(Capex!A254,BASE_558!D:R,10,)/1000),SUMIFS('BASE ICP_PO_SC'!F:F,'BASE ICP_PO_SC'!A:A,Capex!A254,'BASE ICP_PO_SC'!E:E,"&lt;&gt;")/1000),"")</f>
        <v>0</v>
      </c>
      <c r="FF255" s="328">
        <f>IFERROR(IF(LEFT(A255,3)="LCP",(VLOOKUP(Capex!A254,BASE_558!D:R,11,)/1000),SUMIFS('BASE ICP_PO_SC'!F:F,'BASE ICP_PO_SC'!A:A,Capex!A254,'BASE ICP_PO_SC'!E:E,"")/1000),"")</f>
        <v>0</v>
      </c>
      <c r="FG255" s="328">
        <f>IFERROR(VLOOKUP(A255,BASE_558!D:R,13,FALSE)/1000,"")</f>
        <v>117.49016999999999</v>
      </c>
      <c r="FH255" s="328">
        <f>IFERROR(VLOOKUP(A255,BASE_558!D:R,15,FALSE)/1000,"")</f>
        <v>9.4388299999999994</v>
      </c>
      <c r="FI255" s="547">
        <f t="shared" si="138"/>
        <v>0</v>
      </c>
      <c r="FJ255" s="547">
        <f t="shared" si="139"/>
        <v>0</v>
      </c>
      <c r="FK255" s="540">
        <f t="shared" si="140"/>
        <v>0</v>
      </c>
    </row>
    <row r="256" spans="1:167" s="23" customFormat="1" ht="24" customHeight="1">
      <c r="A256" s="84" t="s">
        <v>1337</v>
      </c>
      <c r="B256" s="404" t="s">
        <v>1506</v>
      </c>
      <c r="C256" s="404">
        <v>17039</v>
      </c>
      <c r="D256" s="338" t="s">
        <v>2285</v>
      </c>
      <c r="E256" s="378">
        <v>4828989</v>
      </c>
      <c r="F256" s="5"/>
      <c r="G256" s="310" t="s">
        <v>9</v>
      </c>
      <c r="H256" s="338" t="s">
        <v>6</v>
      </c>
      <c r="I256" s="356" t="s">
        <v>6</v>
      </c>
      <c r="J256" s="356">
        <v>2021</v>
      </c>
      <c r="K256" s="352">
        <v>44523</v>
      </c>
      <c r="L256" s="317">
        <v>45650</v>
      </c>
      <c r="M256" s="409"/>
      <c r="N256" s="317">
        <f t="shared" si="143"/>
        <v>45435</v>
      </c>
      <c r="O256" s="317">
        <f t="shared" si="144"/>
        <v>45800</v>
      </c>
      <c r="P256" s="418" t="str">
        <f t="shared" si="150"/>
        <v>NÃO</v>
      </c>
      <c r="Q256" s="418" t="str">
        <f t="shared" si="150"/>
        <v>NÃO</v>
      </c>
      <c r="R256" s="418" t="str">
        <f t="shared" si="150"/>
        <v>NÃO</v>
      </c>
      <c r="S256" s="418" t="str">
        <f t="shared" si="150"/>
        <v>NÃO</v>
      </c>
      <c r="T256" s="418" t="str">
        <f t="shared" si="150"/>
        <v>CRTD</v>
      </c>
      <c r="U256" s="418" t="str">
        <f t="shared" si="150"/>
        <v>CRTD</v>
      </c>
      <c r="V256" s="418" t="str">
        <f t="shared" si="150"/>
        <v>CRTD</v>
      </c>
      <c r="W256" s="418" t="str">
        <f t="shared" si="150"/>
        <v>CRTD</v>
      </c>
      <c r="X256" s="418" t="str">
        <f t="shared" si="150"/>
        <v>CRTD</v>
      </c>
      <c r="Y256" s="418" t="str">
        <f t="shared" si="150"/>
        <v>CRTD</v>
      </c>
      <c r="Z256" s="418" t="str">
        <f t="shared" si="150"/>
        <v>CRTD</v>
      </c>
      <c r="AA256" s="418" t="str">
        <f t="shared" si="150"/>
        <v>CRTD</v>
      </c>
      <c r="AB256" s="350"/>
      <c r="AC256" s="309" t="s">
        <v>3932</v>
      </c>
      <c r="AD256" s="311" t="s">
        <v>224</v>
      </c>
      <c r="AE256" s="381" t="s">
        <v>965</v>
      </c>
      <c r="AF256" s="310" t="s">
        <v>6985</v>
      </c>
      <c r="AG256" s="310" t="s">
        <v>1125</v>
      </c>
      <c r="AH256" s="310" t="s">
        <v>2826</v>
      </c>
      <c r="AI256" s="309" t="s">
        <v>2255</v>
      </c>
      <c r="AJ256" s="6" t="s">
        <v>218</v>
      </c>
      <c r="AK256" s="6" t="str">
        <f t="shared" si="118"/>
        <v>IGUAL</v>
      </c>
      <c r="AL256" s="151" t="str">
        <f>IFERROR(IF(LEFT(A256,3)="LCP",VLOOKUP(A256,STATUS_SAP_LCP!B:C,2,FALSE),VLOOKUP(A256,STATUS_SAP_ICP!B:C,2,FALSE)),"NO BUDGET")</f>
        <v>CLSD BUDG AUC  AVAC  //  APPR BREL EXPL</v>
      </c>
      <c r="AM256" s="6" t="str">
        <f t="shared" si="116"/>
        <v>CLSD</v>
      </c>
      <c r="AN256" s="414" t="s">
        <v>2651</v>
      </c>
      <c r="AO256" s="558">
        <v>1</v>
      </c>
      <c r="AP256" s="499" t="s">
        <v>9607</v>
      </c>
      <c r="AQ256" s="465">
        <v>45650</v>
      </c>
      <c r="AR256" s="460"/>
      <c r="AS256" s="57"/>
      <c r="AT256" s="185"/>
      <c r="AU256" s="318">
        <v>0</v>
      </c>
      <c r="AV256" s="223">
        <v>448.43275999999997</v>
      </c>
      <c r="AW256" s="318">
        <v>46.126709999999996</v>
      </c>
      <c r="AX256" s="223">
        <v>12.02117</v>
      </c>
      <c r="AY256" s="318">
        <f t="shared" si="145"/>
        <v>0</v>
      </c>
      <c r="AZ256" s="223"/>
      <c r="BA256" s="318"/>
      <c r="BB256" s="519">
        <f t="shared" si="146"/>
        <v>0</v>
      </c>
      <c r="BC256" s="518">
        <v>0</v>
      </c>
      <c r="BD256" s="518">
        <v>0</v>
      </c>
      <c r="BE256" s="518">
        <v>0</v>
      </c>
      <c r="BF256" s="518">
        <v>0</v>
      </c>
      <c r="BG256" s="518">
        <v>0</v>
      </c>
      <c r="BH256" s="518">
        <v>0</v>
      </c>
      <c r="BI256" s="518">
        <v>0</v>
      </c>
      <c r="BJ256" s="518">
        <v>0</v>
      </c>
      <c r="BK256" s="518">
        <v>0</v>
      </c>
      <c r="BL256" s="518">
        <v>0</v>
      </c>
      <c r="BM256" s="518">
        <v>0</v>
      </c>
      <c r="BN256" s="518">
        <v>0</v>
      </c>
      <c r="BO256" s="367">
        <f t="shared" si="119"/>
        <v>0</v>
      </c>
      <c r="BP256" s="421">
        <v>0</v>
      </c>
      <c r="BQ256" s="422"/>
      <c r="BR256" s="423">
        <f>IFERROR(IF(LEFT($A256,3)="Lcp",SUMIFS('BASE-LCP'!$K:$K,'BASE-LCP'!$A:$A,Capex!$A255,'BASE-LCP'!$B:$B,"janeiro")/1000,IF(LEFT($A256,3)="icp",SUMIFS('BASE-ICP'!$K:$K,'BASE-ICP'!$A:$A,Capex!$A255,'BASE-ICP'!$B:$B,"janeiro")/1000,"")),"")</f>
        <v>0</v>
      </c>
      <c r="BS256" s="427">
        <v>0</v>
      </c>
      <c r="BT256" s="372">
        <v>0</v>
      </c>
      <c r="BU256" s="422"/>
      <c r="BV256" s="423">
        <f>IFERROR(IF(LEFT($A256,3)="Lcp",SUMIFS('BASE-LCP'!$K:$K,'BASE-LCP'!$A:$A,Capex!$A255,'BASE-LCP'!$B:$B,"fevereiro")/1000,IF(LEFT($A256,3)="icp",SUMIFS('BASE-ICP'!$K:$K,'BASE-ICP'!$A:$A,Capex!$A255,'BASE-ICP'!$B:$B,"fevereiro")/1000,"")),"")</f>
        <v>0</v>
      </c>
      <c r="BW256" s="427">
        <v>0</v>
      </c>
      <c r="BX256" s="372">
        <v>0</v>
      </c>
      <c r="BY256" s="419"/>
      <c r="BZ256" s="423">
        <f>IFERROR(IF(LEFT($A256,3)="Lcp",SUMIFS('BASE-LCP'!$K:$K,'BASE-LCP'!$A:$A,Capex!$A255,'BASE-LCP'!$B:$B,"março")/1000,IF(LEFT($A256,3)="icp",SUMIFS('BASE-ICP'!$K:$K,'BASE-ICP'!$A:$A,Capex!$A255,'BASE-ICP'!$B:$B,"março")/1000,"")),"")</f>
        <v>0</v>
      </c>
      <c r="CA256" s="427">
        <v>0</v>
      </c>
      <c r="CB256" s="372">
        <v>0</v>
      </c>
      <c r="CC256" s="422"/>
      <c r="CD256" s="423">
        <f>IFERROR(IF(LEFT($A256,3)="Lcp",SUMIFS('BASE-LCP'!$K:$K,'BASE-LCP'!$A:$A,Capex!$A255,'BASE-LCP'!$B:$B,"abril")/1000,IF(LEFT($A256,3)="icp",SUMIFS('BASE-ICP'!$K:$K,'BASE-ICP'!$A:$A,Capex!$A255,'BASE-ICP'!$B:$B,"abril")/1000,"")),"")</f>
        <v>0</v>
      </c>
      <c r="CE256" s="427">
        <v>0</v>
      </c>
      <c r="CF256" s="372">
        <v>0</v>
      </c>
      <c r="CG256" s="419"/>
      <c r="CH256" s="423">
        <v>0</v>
      </c>
      <c r="CI256" s="427">
        <v>0</v>
      </c>
      <c r="CJ256" s="372">
        <v>0</v>
      </c>
      <c r="CK256" s="419"/>
      <c r="CL256" s="423">
        <f>IFERROR(IF(LEFT($A256,3)="Lcp",SUMIFS('BASE-LCP'!$K:$K,'BASE-LCP'!$A:$A,Capex!$A255,'BASE-LCP'!$B:$B,"junho")/1000,IF(LEFT($A256,3)="icp",SUMIFS('BASE-ICP'!$K:$K,'BASE-ICP'!$A:$A,Capex!$A255,'BASE-ICP'!$B:$B,"junho")/1000,"")),"")</f>
        <v>0</v>
      </c>
      <c r="CM256" s="427">
        <v>0</v>
      </c>
      <c r="CN256" s="372"/>
      <c r="CO256" s="419"/>
      <c r="CP256" s="423">
        <f>IFERROR(IF(LEFT($A256,3)="Lcp",SUMIFS('BASE-LCP'!$K:$K,'BASE-LCP'!$A:$A,Capex!$A255,'BASE-LCP'!$B:$B,"julho")/1000,IF(LEFT($A256,3)="icp",SUMIFS('BASE-ICP'!$K:$K,'BASE-ICP'!$A:$A,Capex!$A255,'BASE-ICP'!$B:$B,"julho")/1000,"")),"")</f>
        <v>0</v>
      </c>
      <c r="CQ256" s="427">
        <v>0</v>
      </c>
      <c r="CR256" s="372"/>
      <c r="CS256" s="419"/>
      <c r="CT256" s="423">
        <f>IFERROR(IF(LEFT($A256,3)="Lcp",SUMIFS('BASE-LCP'!$K:$K,'BASE-LCP'!$A:$A,Capex!$A255,'BASE-LCP'!$B:$B,"agosto")/1000,IF(LEFT($A256,3)="icp",SUMIFS('BASE-ICP'!$K:$K,'BASE-ICP'!$A:$A,Capex!$A255,'BASE-ICP'!$B:$B,"agosto")/1000,"")),"")</f>
        <v>0</v>
      </c>
      <c r="CU256" s="427">
        <v>0</v>
      </c>
      <c r="CV256" s="372"/>
      <c r="CW256" s="419"/>
      <c r="CX256" s="423">
        <f>IFERROR(IF(LEFT($A256,3)="Lcp",SUMIFS('BASE-LCP'!$K:$K,'BASE-LCP'!$A:$A,Capex!$A255,'BASE-LCP'!$B:$B,"setembro")/1000,IF(LEFT($A256,3)="icp",SUMIFS('BASE-ICP'!$K:$K,'BASE-ICP'!$A:$A,Capex!$A255,'BASE-ICP'!$B:$B,"setembro")/1000,"")),"")</f>
        <v>0</v>
      </c>
      <c r="CY256" s="427">
        <v>0</v>
      </c>
      <c r="CZ256" s="372"/>
      <c r="DA256" s="419"/>
      <c r="DB256" s="423">
        <f>IFERROR(IF(LEFT($A256,3)="Lcp",SUMIFS('BASE-LCP'!$K:$K,'BASE-LCP'!$A:$A,Capex!$A255,'BASE-LCP'!$B:$B,"outubro")/1000,IF(LEFT($A256,3)="icp",SUMIFS('BASE-ICP'!$K:$K,'BASE-ICP'!$A:$A,Capex!$A255,'BASE-ICP'!$B:$B,"outubro")/1000,"")),"")</f>
        <v>0</v>
      </c>
      <c r="DC256" s="427">
        <v>0</v>
      </c>
      <c r="DD256" s="372"/>
      <c r="DE256" s="419"/>
      <c r="DF256" s="423">
        <f>IFERROR(IF(LEFT($A256,3)="Lcp",SUMIFS('BASE-LCP'!$K:$K,'BASE-LCP'!$A:$A,Capex!$A255,'BASE-LCP'!$B:$B,"novembro")/1000,IF(LEFT($A256,3)="icp",SUMIFS('BASE-ICP'!$K:$K,'BASE-ICP'!$A:$A,Capex!$A255,'BASE-ICP'!$B:$B,"novembro")/1000,"")),"")</f>
        <v>0</v>
      </c>
      <c r="DG256" s="427">
        <v>0</v>
      </c>
      <c r="DH256" s="372"/>
      <c r="DI256" s="419"/>
      <c r="DJ256" s="423">
        <f>IFERROR(IF(LEFT($A256,3)="Lcp",SUMIFS('BASE-LCP'!$K:$K,'BASE-LCP'!$A:$A,Capex!$A255,'BASE-LCP'!$B:$B,"dezembro")/1000,IF(LEFT($A256,3)="icp",SUMIFS('BASE-ICP'!$K:$K,'BASE-ICP'!$A:$A,Capex!$A255,'BASE-ICP'!$B:$B,"dezembro")/1000,"")),"")</f>
        <v>0</v>
      </c>
      <c r="DK256" s="427">
        <v>0</v>
      </c>
      <c r="DL256" s="452">
        <f t="shared" si="120"/>
        <v>0</v>
      </c>
      <c r="DM256" s="374"/>
      <c r="DN256" s="374">
        <v>0</v>
      </c>
      <c r="DO256" s="374"/>
      <c r="DP256" s="374"/>
      <c r="DQ256" s="374"/>
      <c r="DR256" s="374"/>
      <c r="DS256" s="374"/>
      <c r="DT256" s="374"/>
      <c r="DU256" s="374"/>
      <c r="DV256" s="374"/>
      <c r="DW256" s="374"/>
      <c r="DX256" s="374"/>
      <c r="DY256" s="450"/>
      <c r="DZ256" s="374">
        <f t="shared" si="121"/>
        <v>0</v>
      </c>
      <c r="EA256" s="216">
        <f t="shared" si="122"/>
        <v>0</v>
      </c>
      <c r="EB256" s="320">
        <f t="shared" si="123"/>
        <v>0</v>
      </c>
      <c r="EC256" s="241">
        <f t="shared" si="124"/>
        <v>0</v>
      </c>
      <c r="ED256" s="241">
        <f t="shared" si="125"/>
        <v>0</v>
      </c>
      <c r="EE256" s="241">
        <f t="shared" si="126"/>
        <v>0</v>
      </c>
      <c r="EF256" s="241">
        <f t="shared" si="127"/>
        <v>0</v>
      </c>
      <c r="EG256" s="346">
        <f t="shared" si="128"/>
        <v>0</v>
      </c>
      <c r="EH256" s="445">
        <f t="shared" si="129"/>
        <v>0</v>
      </c>
      <c r="EI256" s="447">
        <f t="shared" si="130"/>
        <v>0</v>
      </c>
      <c r="EJ256" s="364">
        <f t="shared" si="131"/>
        <v>0</v>
      </c>
      <c r="EK256" s="365">
        <f t="shared" si="132"/>
        <v>0</v>
      </c>
      <c r="EL256" s="529">
        <f t="shared" si="133"/>
        <v>0</v>
      </c>
      <c r="EM256" s="530">
        <v>0</v>
      </c>
      <c r="EN256" s="530">
        <v>0</v>
      </c>
      <c r="EO256" s="530">
        <v>0</v>
      </c>
      <c r="EP256" s="530">
        <v>0</v>
      </c>
      <c r="EQ256" s="530">
        <v>0</v>
      </c>
      <c r="ER256" s="530">
        <v>0</v>
      </c>
      <c r="ES256" s="530">
        <v>0</v>
      </c>
      <c r="ET256" s="530">
        <v>0</v>
      </c>
      <c r="EU256" s="530">
        <v>0</v>
      </c>
      <c r="EV256" s="530">
        <v>0</v>
      </c>
      <c r="EW256" s="530">
        <v>0</v>
      </c>
      <c r="EX256" s="530">
        <v>0</v>
      </c>
      <c r="EY256" s="530">
        <f t="shared" si="134"/>
        <v>0</v>
      </c>
      <c r="EZ256" s="530">
        <f t="shared" si="135"/>
        <v>0</v>
      </c>
      <c r="FA256" s="530">
        <f t="shared" si="136"/>
        <v>0</v>
      </c>
      <c r="FB256" s="530">
        <f t="shared" si="137"/>
        <v>0</v>
      </c>
      <c r="FC256" s="384">
        <f>IFERROR(VLOOKUP(Capex!A255,BASE_558!D:R,8,FALSE)/1000,"")</f>
        <v>126.929</v>
      </c>
      <c r="FD256" s="328">
        <f>IFERROR(VLOOKUP(Capex!A255,BASE_558!D:R,9,)/1000,"")</f>
        <v>117.49016999999999</v>
      </c>
      <c r="FE256" s="328">
        <f>IFERROR(IF(LEFT(A256,3)="LCP",(VLOOKUP(Capex!A255,BASE_558!D:R,10,)/1000),SUMIFS('BASE ICP_PO_SC'!F:F,'BASE ICP_PO_SC'!A:A,Capex!A255,'BASE ICP_PO_SC'!E:E,"&lt;&gt;")/1000),"")</f>
        <v>0</v>
      </c>
      <c r="FF256" s="328">
        <f>IFERROR(IF(LEFT(A256,3)="LCP",(VLOOKUP(Capex!A255,BASE_558!D:R,11,)/1000),SUMIFS('BASE ICP_PO_SC'!F:F,'BASE ICP_PO_SC'!A:A,Capex!A255,'BASE ICP_PO_SC'!E:E,"")/1000),"")</f>
        <v>0</v>
      </c>
      <c r="FG256" s="328">
        <f>IFERROR(VLOOKUP(A256,BASE_558!D:R,13,FALSE)/1000,"")</f>
        <v>506.59172999999998</v>
      </c>
      <c r="FH256" s="328">
        <f>IFERROR(VLOOKUP(A256,BASE_558!D:R,15,FALSE)/1000,"")</f>
        <v>93.408270000000002</v>
      </c>
      <c r="FI256" s="547">
        <f t="shared" si="138"/>
        <v>0</v>
      </c>
      <c r="FJ256" s="547">
        <f t="shared" si="139"/>
        <v>0</v>
      </c>
      <c r="FK256" s="540">
        <f t="shared" si="140"/>
        <v>0</v>
      </c>
    </row>
    <row r="257" spans="1:167" s="23" customFormat="1" ht="24" customHeight="1">
      <c r="A257" s="84" t="s">
        <v>1361</v>
      </c>
      <c r="B257" s="404"/>
      <c r="C257" s="404">
        <v>2513</v>
      </c>
      <c r="D257" s="338" t="s">
        <v>1705</v>
      </c>
      <c r="E257" s="378">
        <v>4878328</v>
      </c>
      <c r="F257" s="310" t="s">
        <v>609</v>
      </c>
      <c r="G257" s="310" t="s">
        <v>9</v>
      </c>
      <c r="H257" s="338" t="s">
        <v>6</v>
      </c>
      <c r="I257" s="356" t="s">
        <v>6</v>
      </c>
      <c r="J257" s="356">
        <v>2021</v>
      </c>
      <c r="K257" s="352">
        <v>44519</v>
      </c>
      <c r="L257" s="317">
        <v>45714</v>
      </c>
      <c r="M257" s="409"/>
      <c r="N257" s="317">
        <f t="shared" si="143"/>
        <v>45431</v>
      </c>
      <c r="O257" s="317">
        <f t="shared" si="144"/>
        <v>45796</v>
      </c>
      <c r="P257" s="418" t="str">
        <f t="shared" si="150"/>
        <v>NÃO</v>
      </c>
      <c r="Q257" s="418" t="str">
        <f t="shared" si="150"/>
        <v>NÃO</v>
      </c>
      <c r="R257" s="418" t="str">
        <f t="shared" si="150"/>
        <v>NÃO</v>
      </c>
      <c r="S257" s="418" t="str">
        <f t="shared" si="150"/>
        <v>NÃO</v>
      </c>
      <c r="T257" s="418" t="str">
        <f t="shared" si="150"/>
        <v>CRTD</v>
      </c>
      <c r="U257" s="418" t="str">
        <f t="shared" si="150"/>
        <v>CRTD</v>
      </c>
      <c r="V257" s="418" t="str">
        <f t="shared" si="150"/>
        <v>CRTD</v>
      </c>
      <c r="W257" s="418" t="str">
        <f t="shared" si="150"/>
        <v>CRTD</v>
      </c>
      <c r="X257" s="418" t="str">
        <f t="shared" si="150"/>
        <v>CRTD</v>
      </c>
      <c r="Y257" s="418" t="str">
        <f t="shared" si="150"/>
        <v>CRTD</v>
      </c>
      <c r="Z257" s="418" t="str">
        <f t="shared" si="150"/>
        <v>CRTD</v>
      </c>
      <c r="AA257" s="418" t="str">
        <f t="shared" si="150"/>
        <v>CRTD</v>
      </c>
      <c r="AB257" s="350"/>
      <c r="AC257" s="309" t="s">
        <v>3932</v>
      </c>
      <c r="AD257" s="311" t="s">
        <v>985</v>
      </c>
      <c r="AE257" s="361" t="s">
        <v>186</v>
      </c>
      <c r="AF257" s="310" t="s">
        <v>6985</v>
      </c>
      <c r="AG257" s="310" t="s">
        <v>1125</v>
      </c>
      <c r="AH257" s="310" t="s">
        <v>1448</v>
      </c>
      <c r="AI257" s="309" t="s">
        <v>186</v>
      </c>
      <c r="AJ257" s="6" t="s">
        <v>218</v>
      </c>
      <c r="AK257" s="6" t="str">
        <f t="shared" si="118"/>
        <v>IGUAL</v>
      </c>
      <c r="AL257" s="151" t="str">
        <f>IFERROR(IF(LEFT(A257,3)="LCP",VLOOKUP(A257,STATUS_SAP_LCP!B:C,2,FALSE),VLOOKUP(A257,STATUS_SAP_ICP!B:C,2,FALSE)),"NO BUDGET")</f>
        <v>CLSD BUDG AUC  AVAC  //  APPR BREL INPL</v>
      </c>
      <c r="AM257" s="6" t="str">
        <f t="shared" si="116"/>
        <v>CLSD</v>
      </c>
      <c r="AN257" s="282" t="s">
        <v>2651</v>
      </c>
      <c r="AO257" s="493">
        <v>1</v>
      </c>
      <c r="AP257" s="499" t="s">
        <v>9607</v>
      </c>
      <c r="AQ257" s="465">
        <v>45714</v>
      </c>
      <c r="AR257" s="460"/>
      <c r="AS257" s="57"/>
      <c r="AT257" s="185"/>
      <c r="AU257" s="318">
        <v>0</v>
      </c>
      <c r="AV257" s="223">
        <v>131.67488</v>
      </c>
      <c r="AW257" s="318">
        <v>90.613040000000012</v>
      </c>
      <c r="AX257" s="223">
        <v>2.7799899999999997</v>
      </c>
      <c r="AY257" s="318">
        <f t="shared" si="145"/>
        <v>0</v>
      </c>
      <c r="AZ257" s="223"/>
      <c r="BA257" s="318"/>
      <c r="BB257" s="519">
        <f t="shared" si="146"/>
        <v>0</v>
      </c>
      <c r="BC257" s="518">
        <v>0</v>
      </c>
      <c r="BD257" s="518">
        <v>0</v>
      </c>
      <c r="BE257" s="518">
        <v>0</v>
      </c>
      <c r="BF257" s="518">
        <v>0</v>
      </c>
      <c r="BG257" s="518">
        <v>0</v>
      </c>
      <c r="BH257" s="518">
        <v>0</v>
      </c>
      <c r="BI257" s="518">
        <v>0</v>
      </c>
      <c r="BJ257" s="518">
        <v>0</v>
      </c>
      <c r="BK257" s="518">
        <v>0</v>
      </c>
      <c r="BL257" s="518">
        <v>0</v>
      </c>
      <c r="BM257" s="518">
        <v>0</v>
      </c>
      <c r="BN257" s="518">
        <v>0</v>
      </c>
      <c r="BO257" s="367">
        <f t="shared" si="119"/>
        <v>0</v>
      </c>
      <c r="BP257" s="421">
        <v>0</v>
      </c>
      <c r="BQ257" s="422"/>
      <c r="BR257" s="423">
        <f>IFERROR(IF(LEFT($A257,3)="Lcp",SUMIFS('BASE-LCP'!$K:$K,'BASE-LCP'!$A:$A,Capex!$A257,'BASE-LCP'!$B:$B,"janeiro")/1000,IF(LEFT($A257,3)="icp",SUMIFS('BASE-ICP'!$K:$K,'BASE-ICP'!$A:$A,Capex!$A257,'BASE-ICP'!$B:$B,"janeiro")/1000,"")),"")</f>
        <v>0</v>
      </c>
      <c r="BS257" s="427">
        <v>0</v>
      </c>
      <c r="BT257" s="372">
        <v>0</v>
      </c>
      <c r="BU257" s="422"/>
      <c r="BV257" s="423">
        <f>IFERROR(IF(LEFT($A257,3)="Lcp",SUMIFS('BASE-LCP'!$K:$K,'BASE-LCP'!$A:$A,Capex!$A257,'BASE-LCP'!$B:$B,"fevereiro")/1000,IF(LEFT($A257,3)="icp",SUMIFS('BASE-ICP'!$K:$K,'BASE-ICP'!$A:$A,Capex!$A257,'BASE-ICP'!$B:$B,"fevereiro")/1000,"")),"")</f>
        <v>0</v>
      </c>
      <c r="BW257" s="427">
        <v>0</v>
      </c>
      <c r="BX257" s="372">
        <v>0</v>
      </c>
      <c r="BY257" s="419"/>
      <c r="BZ257" s="423">
        <f>IFERROR(IF(LEFT($A257,3)="Lcp",SUMIFS('BASE-LCP'!$K:$K,'BASE-LCP'!$A:$A,Capex!$A257,'BASE-LCP'!$B:$B,"março")/1000,IF(LEFT($A257,3)="icp",SUMIFS('BASE-ICP'!$K:$K,'BASE-ICP'!$A:$A,Capex!$A257,'BASE-ICP'!$B:$B,"março")/1000,"")),"")</f>
        <v>0</v>
      </c>
      <c r="CA257" s="427">
        <v>0</v>
      </c>
      <c r="CB257" s="372">
        <v>0</v>
      </c>
      <c r="CC257" s="422"/>
      <c r="CD257" s="423">
        <f>IFERROR(IF(LEFT($A257,3)="Lcp",SUMIFS('BASE-LCP'!$K:$K,'BASE-LCP'!$A:$A,Capex!$A257,'BASE-LCP'!$B:$B,"abril")/1000,IF(LEFT($A257,3)="icp",SUMIFS('BASE-ICP'!$K:$K,'BASE-ICP'!$A:$A,Capex!$A257,'BASE-ICP'!$B:$B,"abril")/1000,"")),"")</f>
        <v>0</v>
      </c>
      <c r="CE257" s="427">
        <v>0</v>
      </c>
      <c r="CF257" s="372">
        <v>0</v>
      </c>
      <c r="CG257" s="419"/>
      <c r="CH257" s="423">
        <v>0</v>
      </c>
      <c r="CI257" s="427">
        <v>0</v>
      </c>
      <c r="CJ257" s="372">
        <v>0</v>
      </c>
      <c r="CK257" s="419"/>
      <c r="CL257" s="423">
        <f>IFERROR(IF(LEFT($A257,3)="Lcp",SUMIFS('BASE-LCP'!$K:$K,'BASE-LCP'!$A:$A,Capex!$A257,'BASE-LCP'!$B:$B,"junho")/1000,IF(LEFT($A257,3)="icp",SUMIFS('BASE-ICP'!$K:$K,'BASE-ICP'!$A:$A,Capex!$A257,'BASE-ICP'!$B:$B,"junho")/1000,"")),"")</f>
        <v>0</v>
      </c>
      <c r="CM257" s="427">
        <v>0</v>
      </c>
      <c r="CN257" s="372"/>
      <c r="CO257" s="419"/>
      <c r="CP257" s="423">
        <f>IFERROR(IF(LEFT($A257,3)="Lcp",SUMIFS('BASE-LCP'!$K:$K,'BASE-LCP'!$A:$A,Capex!$A257,'BASE-LCP'!$B:$B,"julho")/1000,IF(LEFT($A257,3)="icp",SUMIFS('BASE-ICP'!$K:$K,'BASE-ICP'!$A:$A,Capex!$A257,'BASE-ICP'!$B:$B,"julho")/1000,"")),"")</f>
        <v>0</v>
      </c>
      <c r="CQ257" s="427">
        <v>0</v>
      </c>
      <c r="CR257" s="372"/>
      <c r="CS257" s="419"/>
      <c r="CT257" s="423">
        <f>IFERROR(IF(LEFT($A257,3)="Lcp",SUMIFS('BASE-LCP'!$K:$K,'BASE-LCP'!$A:$A,Capex!$A257,'BASE-LCP'!$B:$B,"agosto")/1000,IF(LEFT($A257,3)="icp",SUMIFS('BASE-ICP'!$K:$K,'BASE-ICP'!$A:$A,Capex!$A257,'BASE-ICP'!$B:$B,"agosto")/1000,"")),"")</f>
        <v>0</v>
      </c>
      <c r="CU257" s="427">
        <v>0</v>
      </c>
      <c r="CV257" s="372"/>
      <c r="CW257" s="419"/>
      <c r="CX257" s="423">
        <f>IFERROR(IF(LEFT($A257,3)="Lcp",SUMIFS('BASE-LCP'!$K:$K,'BASE-LCP'!$A:$A,Capex!$A257,'BASE-LCP'!$B:$B,"setembro")/1000,IF(LEFT($A257,3)="icp",SUMIFS('BASE-ICP'!$K:$K,'BASE-ICP'!$A:$A,Capex!$A257,'BASE-ICP'!$B:$B,"setembro")/1000,"")),"")</f>
        <v>0</v>
      </c>
      <c r="CY257" s="427">
        <v>0</v>
      </c>
      <c r="CZ257" s="372"/>
      <c r="DA257" s="419"/>
      <c r="DB257" s="423">
        <f>IFERROR(IF(LEFT($A257,3)="Lcp",SUMIFS('BASE-LCP'!$K:$K,'BASE-LCP'!$A:$A,Capex!$A257,'BASE-LCP'!$B:$B,"outubro")/1000,IF(LEFT($A257,3)="icp",SUMIFS('BASE-ICP'!$K:$K,'BASE-ICP'!$A:$A,Capex!$A257,'BASE-ICP'!$B:$B,"outubro")/1000,"")),"")</f>
        <v>0</v>
      </c>
      <c r="DC257" s="427">
        <v>0</v>
      </c>
      <c r="DD257" s="372"/>
      <c r="DE257" s="419"/>
      <c r="DF257" s="423">
        <f>IFERROR(IF(LEFT($A257,3)="Lcp",SUMIFS('BASE-LCP'!$K:$K,'BASE-LCP'!$A:$A,Capex!$A257,'BASE-LCP'!$B:$B,"novembro")/1000,IF(LEFT($A257,3)="icp",SUMIFS('BASE-ICP'!$K:$K,'BASE-ICP'!$A:$A,Capex!$A257,'BASE-ICP'!$B:$B,"novembro")/1000,"")),"")</f>
        <v>0</v>
      </c>
      <c r="DG257" s="427">
        <v>0</v>
      </c>
      <c r="DH257" s="372"/>
      <c r="DI257" s="419"/>
      <c r="DJ257" s="423">
        <f>IFERROR(IF(LEFT($A257,3)="Lcp",SUMIFS('BASE-LCP'!$K:$K,'BASE-LCP'!$A:$A,Capex!$A257,'BASE-LCP'!$B:$B,"dezembro")/1000,IF(LEFT($A257,3)="icp",SUMIFS('BASE-ICP'!$K:$K,'BASE-ICP'!$A:$A,Capex!$A257,'BASE-ICP'!$B:$B,"dezembro")/1000,"")),"")</f>
        <v>0</v>
      </c>
      <c r="DK257" s="427">
        <v>0</v>
      </c>
      <c r="DL257" s="452">
        <f t="shared" si="120"/>
        <v>0</v>
      </c>
      <c r="DM257" s="374"/>
      <c r="DN257" s="374">
        <v>0</v>
      </c>
      <c r="DO257" s="374"/>
      <c r="DP257" s="374"/>
      <c r="DQ257" s="374"/>
      <c r="DR257" s="374"/>
      <c r="DS257" s="374"/>
      <c r="DT257" s="374"/>
      <c r="DU257" s="374"/>
      <c r="DV257" s="374"/>
      <c r="DW257" s="374"/>
      <c r="DX257" s="374"/>
      <c r="DY257" s="450"/>
      <c r="DZ257" s="374">
        <f t="shared" si="121"/>
        <v>0</v>
      </c>
      <c r="EA257" s="216">
        <f t="shared" si="122"/>
        <v>0</v>
      </c>
      <c r="EB257" s="320">
        <f t="shared" si="123"/>
        <v>0</v>
      </c>
      <c r="EC257" s="241">
        <f t="shared" si="124"/>
        <v>0</v>
      </c>
      <c r="ED257" s="241">
        <f t="shared" si="125"/>
        <v>0</v>
      </c>
      <c r="EE257" s="241">
        <f t="shared" si="126"/>
        <v>0</v>
      </c>
      <c r="EF257" s="241">
        <f t="shared" si="127"/>
        <v>0</v>
      </c>
      <c r="EG257" s="346">
        <f t="shared" si="128"/>
        <v>0</v>
      </c>
      <c r="EH257" s="445">
        <f t="shared" si="129"/>
        <v>0</v>
      </c>
      <c r="EI257" s="447">
        <f t="shared" si="130"/>
        <v>0</v>
      </c>
      <c r="EJ257" s="364">
        <f t="shared" si="131"/>
        <v>0</v>
      </c>
      <c r="EK257" s="365">
        <f t="shared" si="132"/>
        <v>0</v>
      </c>
      <c r="EL257" s="529">
        <f t="shared" si="133"/>
        <v>0</v>
      </c>
      <c r="EM257" s="530">
        <v>0</v>
      </c>
      <c r="EN257" s="530">
        <v>0</v>
      </c>
      <c r="EO257" s="530">
        <v>0</v>
      </c>
      <c r="EP257" s="530">
        <v>0</v>
      </c>
      <c r="EQ257" s="530">
        <v>0</v>
      </c>
      <c r="ER257" s="530">
        <v>0</v>
      </c>
      <c r="ES257" s="530">
        <v>0</v>
      </c>
      <c r="ET257" s="530">
        <v>0</v>
      </c>
      <c r="EU257" s="530">
        <v>0</v>
      </c>
      <c r="EV257" s="530">
        <v>0</v>
      </c>
      <c r="EW257" s="530">
        <v>0</v>
      </c>
      <c r="EX257" s="530">
        <v>0</v>
      </c>
      <c r="EY257" s="530">
        <f t="shared" si="134"/>
        <v>0</v>
      </c>
      <c r="EZ257" s="530">
        <f t="shared" si="135"/>
        <v>0</v>
      </c>
      <c r="FA257" s="530">
        <f t="shared" si="136"/>
        <v>0</v>
      </c>
      <c r="FB257" s="530">
        <f t="shared" si="137"/>
        <v>0</v>
      </c>
      <c r="FC257" s="384">
        <f>IFERROR(VLOOKUP(Capex!A257,BASE_558!D:R,8,FALSE)/1000,"")</f>
        <v>262.87599999999998</v>
      </c>
      <c r="FD257" s="328">
        <f>IFERROR(VLOOKUP(Capex!A257,BASE_558!D:R,9,)/1000,"")</f>
        <v>225.06791000000001</v>
      </c>
      <c r="FE257" s="328">
        <f>IFERROR(IF(LEFT(A257,3)="LCP",(VLOOKUP(Capex!A257,BASE_558!D:R,10,)/1000),SUMIFS('BASE ICP_PO_SC'!F:F,'BASE ICP_PO_SC'!A:A,Capex!A257,'BASE ICP_PO_SC'!E:E,"&lt;&gt;")/1000),"")</f>
        <v>0</v>
      </c>
      <c r="FF257" s="328">
        <f>IFERROR(IF(LEFT(A257,3)="LCP",(VLOOKUP(Capex!A257,BASE_558!D:R,11,)/1000),SUMIFS('BASE ICP_PO_SC'!F:F,'BASE ICP_PO_SC'!A:A,Capex!A257,'BASE ICP_PO_SC'!E:E,"")/1000),"")</f>
        <v>0</v>
      </c>
      <c r="FG257" s="328">
        <f>IFERROR(VLOOKUP(A257,BASE_558!D:R,13,FALSE)/1000,"")</f>
        <v>225.06791000000001</v>
      </c>
      <c r="FH257" s="328">
        <f>IFERROR(VLOOKUP(A257,BASE_558!D:R,15,FALSE)/1000,"")</f>
        <v>37.80809</v>
      </c>
      <c r="FI257" s="547">
        <f t="shared" si="138"/>
        <v>0</v>
      </c>
      <c r="FJ257" s="547">
        <f t="shared" si="139"/>
        <v>0</v>
      </c>
      <c r="FK257" s="540">
        <f t="shared" si="140"/>
        <v>0</v>
      </c>
    </row>
    <row r="258" spans="1:167" s="23" customFormat="1" ht="24" customHeight="1">
      <c r="A258" s="310" t="s">
        <v>1399</v>
      </c>
      <c r="B258" s="404"/>
      <c r="C258" s="404"/>
      <c r="D258" s="338" t="s">
        <v>7195</v>
      </c>
      <c r="E258" s="378">
        <v>4996561</v>
      </c>
      <c r="F258" s="5"/>
      <c r="G258" s="310" t="s">
        <v>9</v>
      </c>
      <c r="H258" s="338" t="s">
        <v>6</v>
      </c>
      <c r="I258" s="356" t="s">
        <v>6</v>
      </c>
      <c r="J258" s="356">
        <v>2021</v>
      </c>
      <c r="K258" s="352">
        <v>44532</v>
      </c>
      <c r="L258" s="317">
        <v>45643</v>
      </c>
      <c r="M258" s="409" t="s">
        <v>6808</v>
      </c>
      <c r="N258" s="317">
        <f t="shared" si="143"/>
        <v>45444</v>
      </c>
      <c r="O258" s="317">
        <f t="shared" si="144"/>
        <v>45809</v>
      </c>
      <c r="P258" s="418" t="str">
        <f t="shared" si="150"/>
        <v>NÃO</v>
      </c>
      <c r="Q258" s="418" t="str">
        <f t="shared" si="150"/>
        <v>NÃO</v>
      </c>
      <c r="R258" s="418" t="str">
        <f t="shared" si="150"/>
        <v>NÃO</v>
      </c>
      <c r="S258" s="418" t="str">
        <f t="shared" si="150"/>
        <v>NÃO</v>
      </c>
      <c r="T258" s="418" t="str">
        <f t="shared" si="150"/>
        <v>NÃO</v>
      </c>
      <c r="U258" s="418" t="str">
        <f t="shared" si="150"/>
        <v>CRTD</v>
      </c>
      <c r="V258" s="418" t="str">
        <f t="shared" si="150"/>
        <v>CRTD</v>
      </c>
      <c r="W258" s="418" t="str">
        <f t="shared" si="150"/>
        <v>CRTD</v>
      </c>
      <c r="X258" s="418" t="str">
        <f t="shared" si="150"/>
        <v>CRTD</v>
      </c>
      <c r="Y258" s="418" t="str">
        <f t="shared" si="150"/>
        <v>CRTD</v>
      </c>
      <c r="Z258" s="418" t="str">
        <f t="shared" si="150"/>
        <v>CRTD</v>
      </c>
      <c r="AA258" s="418" t="str">
        <f t="shared" si="150"/>
        <v>CRTD</v>
      </c>
      <c r="AB258" s="350"/>
      <c r="AC258" s="309" t="s">
        <v>3931</v>
      </c>
      <c r="AD258" s="311" t="s">
        <v>223</v>
      </c>
      <c r="AE258" s="361" t="s">
        <v>980</v>
      </c>
      <c r="AF258" s="310" t="s">
        <v>6985</v>
      </c>
      <c r="AG258" s="310" t="s">
        <v>2485</v>
      </c>
      <c r="AH258" s="310" t="s">
        <v>1406</v>
      </c>
      <c r="AI258" s="309" t="s">
        <v>188</v>
      </c>
      <c r="AJ258" s="6" t="s">
        <v>218</v>
      </c>
      <c r="AK258" s="6" t="str">
        <f t="shared" si="118"/>
        <v>IGUAL</v>
      </c>
      <c r="AL258" s="151" t="str">
        <f>IFERROR(IF(LEFT(A258,3)="LCP",VLOOKUP(A258,STATUS_SAP_LCP!B:C,2,FALSE),VLOOKUP(A258,STATUS_SAP_ICP!B:C,2,FALSE)),"NO BUDGET")</f>
        <v>CLSD BUDG AUC  AVAC SETC  //  APPR BREL EXPL</v>
      </c>
      <c r="AM258" s="6" t="str">
        <f t="shared" ref="AM258:AM321" si="151">IF(LEFT(AL258,4)="PREL","REL ",IF(LEFT(AL258,9)="NO BUDGET","NO BUDGET",LEFT(AL258,4)))</f>
        <v>CLSD</v>
      </c>
      <c r="AN258" s="282" t="s">
        <v>2651</v>
      </c>
      <c r="AO258" s="493">
        <v>1</v>
      </c>
      <c r="AP258" s="499" t="s">
        <v>9607</v>
      </c>
      <c r="AQ258" s="465">
        <v>45643</v>
      </c>
      <c r="AR258" s="460"/>
      <c r="AS258" s="57"/>
      <c r="AT258" s="185"/>
      <c r="AU258" s="318">
        <v>15.78044</v>
      </c>
      <c r="AV258" s="223">
        <v>102.96928</v>
      </c>
      <c r="AW258" s="318">
        <v>63.739440000000002</v>
      </c>
      <c r="AX258" s="223">
        <v>44.630619999999993</v>
      </c>
      <c r="AY258" s="318">
        <f t="shared" si="145"/>
        <v>0</v>
      </c>
      <c r="AZ258" s="223"/>
      <c r="BA258" s="318"/>
      <c r="BB258" s="519">
        <f t="shared" si="146"/>
        <v>0</v>
      </c>
      <c r="BC258" s="518"/>
      <c r="BD258" s="518"/>
      <c r="BE258" s="518"/>
      <c r="BF258" s="518"/>
      <c r="BG258" s="518"/>
      <c r="BH258" s="518"/>
      <c r="BI258" s="518"/>
      <c r="BJ258" s="518"/>
      <c r="BK258" s="518"/>
      <c r="BL258" s="518"/>
      <c r="BM258" s="518"/>
      <c r="BN258" s="518"/>
      <c r="BO258" s="367">
        <f t="shared" si="119"/>
        <v>0</v>
      </c>
      <c r="BP258" s="421"/>
      <c r="BQ258" s="422"/>
      <c r="BR258" s="423">
        <f>IFERROR(IF(LEFT($A258,3)="Lcp",SUMIFS('BASE-LCP'!$K:$K,'BASE-LCP'!$A:$A,Capex!$A258,'BASE-LCP'!$B:$B,"janeiro")/1000,IF(LEFT($A258,3)="icp",SUMIFS('BASE-ICP'!$K:$K,'BASE-ICP'!$A:$A,Capex!$A258,'BASE-ICP'!$B:$B,"janeiro")/1000,"")),"")</f>
        <v>0</v>
      </c>
      <c r="BS258" s="427">
        <v>0</v>
      </c>
      <c r="BT258" s="372">
        <v>0</v>
      </c>
      <c r="BU258" s="422"/>
      <c r="BV258" s="423">
        <f>IFERROR(IF(LEFT($A258,3)="Lcp",SUMIFS('BASE-LCP'!$K:$K,'BASE-LCP'!$A:$A,Capex!$A258,'BASE-LCP'!$B:$B,"fevereiro")/1000,IF(LEFT($A258,3)="icp",SUMIFS('BASE-ICP'!$K:$K,'BASE-ICP'!$A:$A,Capex!$A258,'BASE-ICP'!$B:$B,"fevereiro")/1000,"")),"")</f>
        <v>0</v>
      </c>
      <c r="BW258" s="427">
        <v>0</v>
      </c>
      <c r="BX258" s="372">
        <v>0</v>
      </c>
      <c r="BY258" s="419"/>
      <c r="BZ258" s="423">
        <f>IFERROR(IF(LEFT($A258,3)="Lcp",SUMIFS('BASE-LCP'!$K:$K,'BASE-LCP'!$A:$A,Capex!$A258,'BASE-LCP'!$B:$B,"março")/1000,IF(LEFT($A258,3)="icp",SUMIFS('BASE-ICP'!$K:$K,'BASE-ICP'!$A:$A,Capex!$A258,'BASE-ICP'!$B:$B,"março")/1000,"")),"")</f>
        <v>0</v>
      </c>
      <c r="CA258" s="427">
        <v>0</v>
      </c>
      <c r="CB258" s="372">
        <v>0</v>
      </c>
      <c r="CC258" s="422"/>
      <c r="CD258" s="423">
        <f>IFERROR(IF(LEFT($A258,3)="Lcp",SUMIFS('BASE-LCP'!$K:$K,'BASE-LCP'!$A:$A,Capex!$A258,'BASE-LCP'!$B:$B,"abril")/1000,IF(LEFT($A258,3)="icp",SUMIFS('BASE-ICP'!$K:$K,'BASE-ICP'!$A:$A,Capex!$A258,'BASE-ICP'!$B:$B,"abril")/1000,"")),"")</f>
        <v>0</v>
      </c>
      <c r="CE258" s="427">
        <v>0</v>
      </c>
      <c r="CF258" s="372">
        <v>0</v>
      </c>
      <c r="CG258" s="419"/>
      <c r="CH258" s="423">
        <v>0</v>
      </c>
      <c r="CI258" s="427">
        <v>0</v>
      </c>
      <c r="CJ258" s="372">
        <v>0</v>
      </c>
      <c r="CK258" s="419"/>
      <c r="CL258" s="423">
        <f>IFERROR(IF(LEFT($A258,3)="Lcp",SUMIFS('BASE-LCP'!$K:$K,'BASE-LCP'!$A:$A,Capex!$A258,'BASE-LCP'!$B:$B,"junho")/1000,IF(LEFT($A258,3)="icp",SUMIFS('BASE-ICP'!$K:$K,'BASE-ICP'!$A:$A,Capex!$A258,'BASE-ICP'!$B:$B,"junho")/1000,"")),"")</f>
        <v>0</v>
      </c>
      <c r="CM258" s="427">
        <v>0</v>
      </c>
      <c r="CN258" s="372"/>
      <c r="CO258" s="419"/>
      <c r="CP258" s="423">
        <f>IFERROR(IF(LEFT($A258,3)="Lcp",SUMIFS('BASE-LCP'!$K:$K,'BASE-LCP'!$A:$A,Capex!$A258,'BASE-LCP'!$B:$B,"julho")/1000,IF(LEFT($A258,3)="icp",SUMIFS('BASE-ICP'!$K:$K,'BASE-ICP'!$A:$A,Capex!$A258,'BASE-ICP'!$B:$B,"julho")/1000,"")),"")</f>
        <v>0</v>
      </c>
      <c r="CQ258" s="427">
        <v>0</v>
      </c>
      <c r="CR258" s="372"/>
      <c r="CS258" s="419"/>
      <c r="CT258" s="423">
        <f>IFERROR(IF(LEFT($A258,3)="Lcp",SUMIFS('BASE-LCP'!$K:$K,'BASE-LCP'!$A:$A,Capex!$A258,'BASE-LCP'!$B:$B,"agosto")/1000,IF(LEFT($A258,3)="icp",SUMIFS('BASE-ICP'!$K:$K,'BASE-ICP'!$A:$A,Capex!$A258,'BASE-ICP'!$B:$B,"agosto")/1000,"")),"")</f>
        <v>0</v>
      </c>
      <c r="CU258" s="427">
        <v>0</v>
      </c>
      <c r="CV258" s="372"/>
      <c r="CW258" s="419"/>
      <c r="CX258" s="423">
        <f>IFERROR(IF(LEFT($A258,3)="Lcp",SUMIFS('BASE-LCP'!$K:$K,'BASE-LCP'!$A:$A,Capex!$A258,'BASE-LCP'!$B:$B,"setembro")/1000,IF(LEFT($A258,3)="icp",SUMIFS('BASE-ICP'!$K:$K,'BASE-ICP'!$A:$A,Capex!$A258,'BASE-ICP'!$B:$B,"setembro")/1000,"")),"")</f>
        <v>0</v>
      </c>
      <c r="CY258" s="427">
        <v>0</v>
      </c>
      <c r="CZ258" s="372"/>
      <c r="DA258" s="419"/>
      <c r="DB258" s="423">
        <f>IFERROR(IF(LEFT($A258,3)="Lcp",SUMIFS('BASE-LCP'!$K:$K,'BASE-LCP'!$A:$A,Capex!$A258,'BASE-LCP'!$B:$B,"outubro")/1000,IF(LEFT($A258,3)="icp",SUMIFS('BASE-ICP'!$K:$K,'BASE-ICP'!$A:$A,Capex!$A258,'BASE-ICP'!$B:$B,"outubro")/1000,"")),"")</f>
        <v>0</v>
      </c>
      <c r="DC258" s="427">
        <v>0</v>
      </c>
      <c r="DD258" s="372"/>
      <c r="DE258" s="419"/>
      <c r="DF258" s="423">
        <f>IFERROR(IF(LEFT($A258,3)="Lcp",SUMIFS('BASE-LCP'!$K:$K,'BASE-LCP'!$A:$A,Capex!$A258,'BASE-LCP'!$B:$B,"novembro")/1000,IF(LEFT($A258,3)="icp",SUMIFS('BASE-ICP'!$K:$K,'BASE-ICP'!$A:$A,Capex!$A258,'BASE-ICP'!$B:$B,"novembro")/1000,"")),"")</f>
        <v>0</v>
      </c>
      <c r="DG258" s="427">
        <v>0</v>
      </c>
      <c r="DH258" s="372"/>
      <c r="DI258" s="419"/>
      <c r="DJ258" s="423">
        <f>IFERROR(IF(LEFT($A258,3)="Lcp",SUMIFS('BASE-LCP'!$K:$K,'BASE-LCP'!$A:$A,Capex!$A258,'BASE-LCP'!$B:$B,"dezembro")/1000,IF(LEFT($A258,3)="icp",SUMIFS('BASE-ICP'!$K:$K,'BASE-ICP'!$A:$A,Capex!$A258,'BASE-ICP'!$B:$B,"dezembro")/1000,"")),"")</f>
        <v>0</v>
      </c>
      <c r="DK258" s="427">
        <v>0</v>
      </c>
      <c r="DL258" s="452">
        <f t="shared" si="120"/>
        <v>0</v>
      </c>
      <c r="DM258" s="374"/>
      <c r="DN258" s="374">
        <v>0</v>
      </c>
      <c r="DO258" s="374"/>
      <c r="DP258" s="374"/>
      <c r="DQ258" s="374"/>
      <c r="DR258" s="374"/>
      <c r="DS258" s="374"/>
      <c r="DT258" s="374"/>
      <c r="DU258" s="374"/>
      <c r="DV258" s="374"/>
      <c r="DW258" s="374"/>
      <c r="DX258" s="374"/>
      <c r="DY258" s="450"/>
      <c r="DZ258" s="374">
        <f t="shared" si="121"/>
        <v>0</v>
      </c>
      <c r="EA258" s="216">
        <f t="shared" si="122"/>
        <v>0</v>
      </c>
      <c r="EB258" s="320">
        <f t="shared" si="123"/>
        <v>0</v>
      </c>
      <c r="EC258" s="241">
        <f t="shared" si="124"/>
        <v>0</v>
      </c>
      <c r="ED258" s="241">
        <f t="shared" si="125"/>
        <v>0</v>
      </c>
      <c r="EE258" s="241">
        <f t="shared" si="126"/>
        <v>0</v>
      </c>
      <c r="EF258" s="241">
        <f t="shared" si="127"/>
        <v>0</v>
      </c>
      <c r="EG258" s="346">
        <f t="shared" si="128"/>
        <v>0</v>
      </c>
      <c r="EH258" s="445">
        <f t="shared" si="129"/>
        <v>0</v>
      </c>
      <c r="EI258" s="447">
        <f t="shared" si="130"/>
        <v>0</v>
      </c>
      <c r="EJ258" s="364">
        <f t="shared" si="131"/>
        <v>0</v>
      </c>
      <c r="EK258" s="365">
        <f t="shared" si="132"/>
        <v>0</v>
      </c>
      <c r="EL258" s="529">
        <f t="shared" si="133"/>
        <v>0</v>
      </c>
      <c r="EM258" s="530">
        <v>0</v>
      </c>
      <c r="EN258" s="530">
        <v>0</v>
      </c>
      <c r="EO258" s="530">
        <v>0</v>
      </c>
      <c r="EP258" s="530">
        <v>0</v>
      </c>
      <c r="EQ258" s="530">
        <v>0</v>
      </c>
      <c r="ER258" s="530">
        <v>0</v>
      </c>
      <c r="ES258" s="530">
        <v>0</v>
      </c>
      <c r="ET258" s="530">
        <v>0</v>
      </c>
      <c r="EU258" s="530">
        <v>0</v>
      </c>
      <c r="EV258" s="530">
        <v>0</v>
      </c>
      <c r="EW258" s="530">
        <v>0</v>
      </c>
      <c r="EX258" s="530">
        <v>0</v>
      </c>
      <c r="EY258" s="530">
        <f t="shared" si="134"/>
        <v>0</v>
      </c>
      <c r="EZ258" s="530">
        <f t="shared" si="135"/>
        <v>0</v>
      </c>
      <c r="FA258" s="530">
        <f t="shared" si="136"/>
        <v>0</v>
      </c>
      <c r="FB258" s="530">
        <f t="shared" si="137"/>
        <v>0</v>
      </c>
      <c r="FC258" s="384">
        <f>IFERROR(VLOOKUP(Capex!A258,BASE_558!D:R,8,FALSE)/1000,"")</f>
        <v>233.4</v>
      </c>
      <c r="FD258" s="328">
        <f>IFERROR(VLOOKUP(Capex!A258,BASE_558!D:R,9,)/1000,"")</f>
        <v>227.11977999999999</v>
      </c>
      <c r="FE258" s="328">
        <f>IFERROR(IF(LEFT(A258,3)="LCP",(VLOOKUP(Capex!A258,BASE_558!D:R,10,)/1000),SUMIFS('BASE ICP_PO_SC'!F:F,'BASE ICP_PO_SC'!A:A,Capex!A258,'BASE ICP_PO_SC'!E:E,"&lt;&gt;")/1000),"")</f>
        <v>0</v>
      </c>
      <c r="FF258" s="328">
        <f>IFERROR(IF(LEFT(A258,3)="LCP",(VLOOKUP(Capex!A258,BASE_558!D:R,11,)/1000),SUMIFS('BASE ICP_PO_SC'!F:F,'BASE ICP_PO_SC'!A:A,Capex!A258,'BASE ICP_PO_SC'!E:E,"")/1000),"")</f>
        <v>0</v>
      </c>
      <c r="FG258" s="328">
        <f>IFERROR(VLOOKUP(A258,BASE_558!D:R,13,FALSE)/1000,"")</f>
        <v>227.11977999999999</v>
      </c>
      <c r="FH258" s="328">
        <f>IFERROR(VLOOKUP(A258,BASE_558!D:R,15,FALSE)/1000,"")</f>
        <v>6.2802199999999999</v>
      </c>
      <c r="FI258" s="547">
        <f t="shared" si="138"/>
        <v>0</v>
      </c>
      <c r="FJ258" s="547">
        <f t="shared" si="139"/>
        <v>0</v>
      </c>
      <c r="FK258" s="540">
        <f t="shared" si="140"/>
        <v>0</v>
      </c>
    </row>
    <row r="259" spans="1:167" s="23" customFormat="1" ht="24" customHeight="1">
      <c r="A259" s="84" t="s">
        <v>1355</v>
      </c>
      <c r="B259" s="404"/>
      <c r="C259" s="404" t="s">
        <v>602</v>
      </c>
      <c r="D259" s="338" t="s">
        <v>2286</v>
      </c>
      <c r="E259" s="378">
        <v>4878446</v>
      </c>
      <c r="F259" s="5"/>
      <c r="G259" s="310" t="s">
        <v>9</v>
      </c>
      <c r="H259" s="356"/>
      <c r="I259" s="356" t="s">
        <v>6</v>
      </c>
      <c r="J259" s="356">
        <v>2021</v>
      </c>
      <c r="K259" s="321">
        <v>44522</v>
      </c>
      <c r="L259" s="317">
        <v>45326</v>
      </c>
      <c r="M259" s="409"/>
      <c r="N259" s="317">
        <f t="shared" si="143"/>
        <v>45434</v>
      </c>
      <c r="O259" s="317">
        <f t="shared" si="144"/>
        <v>45799</v>
      </c>
      <c r="P259" s="418" t="str">
        <f t="shared" si="150"/>
        <v>NÃO</v>
      </c>
      <c r="Q259" s="418" t="str">
        <f t="shared" si="150"/>
        <v>NÃO</v>
      </c>
      <c r="R259" s="418" t="str">
        <f t="shared" si="150"/>
        <v>NÃO</v>
      </c>
      <c r="S259" s="418" t="str">
        <f t="shared" si="150"/>
        <v>NÃO</v>
      </c>
      <c r="T259" s="418" t="str">
        <f t="shared" si="150"/>
        <v>CRTD</v>
      </c>
      <c r="U259" s="418" t="str">
        <f t="shared" si="150"/>
        <v>CRTD</v>
      </c>
      <c r="V259" s="418" t="str">
        <f t="shared" si="150"/>
        <v>CRTD</v>
      </c>
      <c r="W259" s="418" t="str">
        <f t="shared" si="150"/>
        <v>CRTD</v>
      </c>
      <c r="X259" s="418" t="str">
        <f t="shared" si="150"/>
        <v>CRTD</v>
      </c>
      <c r="Y259" s="418" t="str">
        <f t="shared" si="150"/>
        <v>CRTD</v>
      </c>
      <c r="Z259" s="418" t="str">
        <f t="shared" si="150"/>
        <v>CRTD</v>
      </c>
      <c r="AA259" s="418" t="str">
        <f t="shared" si="150"/>
        <v>CRTD</v>
      </c>
      <c r="AB259" s="350"/>
      <c r="AC259" s="309" t="s">
        <v>3931</v>
      </c>
      <c r="AD259" s="311"/>
      <c r="AE259" s="361"/>
      <c r="AF259" s="310" t="s">
        <v>6985</v>
      </c>
      <c r="AG259" s="310" t="s">
        <v>9083</v>
      </c>
      <c r="AH259" s="310" t="s">
        <v>1449</v>
      </c>
      <c r="AI259" s="309" t="s">
        <v>188</v>
      </c>
      <c r="AJ259" s="6" t="s">
        <v>218</v>
      </c>
      <c r="AK259" s="6" t="str">
        <f t="shared" si="118"/>
        <v>IGUAL</v>
      </c>
      <c r="AL259" s="151" t="str">
        <f>IFERROR(IF(LEFT(A259,3)="LCP",VLOOKUP(A259,STATUS_SAP_LCP!B:C,2,FALSE),VLOOKUP(A259,STATUS_SAP_ICP!B:C,2,FALSE)),"NO BUDGET")</f>
        <v>CLSD BUDG AUC  AVAC  //  APPR BREL EXPL</v>
      </c>
      <c r="AM259" s="6" t="str">
        <f t="shared" si="151"/>
        <v>CLSD</v>
      </c>
      <c r="AN259" s="282" t="s">
        <v>9096</v>
      </c>
      <c r="AO259" s="493">
        <v>1</v>
      </c>
      <c r="AP259" s="499" t="s">
        <v>9607</v>
      </c>
      <c r="AQ259" s="465">
        <v>45326</v>
      </c>
      <c r="AR259" s="460"/>
      <c r="AS259" s="57"/>
      <c r="AT259" s="185"/>
      <c r="AU259" s="318">
        <v>43.792940000000002</v>
      </c>
      <c r="AV259" s="223">
        <v>4.6486899999999993</v>
      </c>
      <c r="AW259" s="318">
        <v>3.2121499999999998</v>
      </c>
      <c r="AX259" s="223">
        <v>0</v>
      </c>
      <c r="AY259" s="318">
        <f t="shared" si="145"/>
        <v>0</v>
      </c>
      <c r="AZ259" s="223"/>
      <c r="BA259" s="318"/>
      <c r="BB259" s="519">
        <f t="shared" si="146"/>
        <v>0</v>
      </c>
      <c r="BC259" s="518"/>
      <c r="BD259" s="518"/>
      <c r="BE259" s="518"/>
      <c r="BF259" s="518"/>
      <c r="BG259" s="518"/>
      <c r="BH259" s="518"/>
      <c r="BI259" s="518"/>
      <c r="BJ259" s="518"/>
      <c r="BK259" s="518"/>
      <c r="BL259" s="518"/>
      <c r="BM259" s="518"/>
      <c r="BN259" s="518"/>
      <c r="BO259" s="367">
        <f t="shared" si="119"/>
        <v>0</v>
      </c>
      <c r="BP259" s="421"/>
      <c r="BQ259" s="422"/>
      <c r="BR259" s="423">
        <f>IFERROR(IF(LEFT($A259,3)="Lcp",SUMIFS('BASE-LCP'!$K:$K,'BASE-LCP'!$A:$A,Capex!$A259,'BASE-LCP'!$B:$B,"janeiro")/1000,IF(LEFT($A259,3)="icp",SUMIFS('BASE-ICP'!$K:$K,'BASE-ICP'!$A:$A,Capex!$A259,'BASE-ICP'!$B:$B,"janeiro")/1000,"")),"")</f>
        <v>0</v>
      </c>
      <c r="BS259" s="427">
        <v>0</v>
      </c>
      <c r="BT259" s="372">
        <v>0</v>
      </c>
      <c r="BU259" s="422"/>
      <c r="BV259" s="423">
        <f>IFERROR(IF(LEFT($A259,3)="Lcp",SUMIFS('BASE-LCP'!$K:$K,'BASE-LCP'!$A:$A,Capex!$A259,'BASE-LCP'!$B:$B,"fevereiro")/1000,IF(LEFT($A259,3)="icp",SUMIFS('BASE-ICP'!$K:$K,'BASE-ICP'!$A:$A,Capex!$A259,'BASE-ICP'!$B:$B,"fevereiro")/1000,"")),"")</f>
        <v>0</v>
      </c>
      <c r="BW259" s="427">
        <v>0</v>
      </c>
      <c r="BX259" s="372">
        <v>0</v>
      </c>
      <c r="BY259" s="419"/>
      <c r="BZ259" s="423">
        <f>IFERROR(IF(LEFT($A259,3)="Lcp",SUMIFS('BASE-LCP'!$K:$K,'BASE-LCP'!$A:$A,Capex!$A259,'BASE-LCP'!$B:$B,"março")/1000,IF(LEFT($A259,3)="icp",SUMIFS('BASE-ICP'!$K:$K,'BASE-ICP'!$A:$A,Capex!$A259,'BASE-ICP'!$B:$B,"março")/1000,"")),"")</f>
        <v>0</v>
      </c>
      <c r="CA259" s="427">
        <v>0</v>
      </c>
      <c r="CB259" s="372">
        <v>0</v>
      </c>
      <c r="CC259" s="422"/>
      <c r="CD259" s="423">
        <f>IFERROR(IF(LEFT($A259,3)="Lcp",SUMIFS('BASE-LCP'!$K:$K,'BASE-LCP'!$A:$A,Capex!$A259,'BASE-LCP'!$B:$B,"abril")/1000,IF(LEFT($A259,3)="icp",SUMIFS('BASE-ICP'!$K:$K,'BASE-ICP'!$A:$A,Capex!$A259,'BASE-ICP'!$B:$B,"abril")/1000,"")),"")</f>
        <v>0</v>
      </c>
      <c r="CE259" s="427">
        <v>0</v>
      </c>
      <c r="CF259" s="372">
        <v>0</v>
      </c>
      <c r="CG259" s="419"/>
      <c r="CH259" s="423">
        <v>0</v>
      </c>
      <c r="CI259" s="427">
        <v>0</v>
      </c>
      <c r="CJ259" s="372">
        <v>0</v>
      </c>
      <c r="CK259" s="419"/>
      <c r="CL259" s="423">
        <f>IFERROR(IF(LEFT($A259,3)="Lcp",SUMIFS('BASE-LCP'!$K:$K,'BASE-LCP'!$A:$A,Capex!$A259,'BASE-LCP'!$B:$B,"junho")/1000,IF(LEFT($A259,3)="icp",SUMIFS('BASE-ICP'!$K:$K,'BASE-ICP'!$A:$A,Capex!$A259,'BASE-ICP'!$B:$B,"junho")/1000,"")),"")</f>
        <v>0</v>
      </c>
      <c r="CM259" s="427">
        <v>0</v>
      </c>
      <c r="CN259" s="372"/>
      <c r="CO259" s="419"/>
      <c r="CP259" s="423">
        <f>IFERROR(IF(LEFT($A259,3)="Lcp",SUMIFS('BASE-LCP'!$K:$K,'BASE-LCP'!$A:$A,Capex!$A259,'BASE-LCP'!$B:$B,"julho")/1000,IF(LEFT($A259,3)="icp",SUMIFS('BASE-ICP'!$K:$K,'BASE-ICP'!$A:$A,Capex!$A259,'BASE-ICP'!$B:$B,"julho")/1000,"")),"")</f>
        <v>0</v>
      </c>
      <c r="CQ259" s="427">
        <v>0</v>
      </c>
      <c r="CR259" s="372"/>
      <c r="CS259" s="419"/>
      <c r="CT259" s="423">
        <f>IFERROR(IF(LEFT($A259,3)="Lcp",SUMIFS('BASE-LCP'!$K:$K,'BASE-LCP'!$A:$A,Capex!$A259,'BASE-LCP'!$B:$B,"agosto")/1000,IF(LEFT($A259,3)="icp",SUMIFS('BASE-ICP'!$K:$K,'BASE-ICP'!$A:$A,Capex!$A259,'BASE-ICP'!$B:$B,"agosto")/1000,"")),"")</f>
        <v>0</v>
      </c>
      <c r="CU259" s="427">
        <v>0</v>
      </c>
      <c r="CV259" s="372"/>
      <c r="CW259" s="419"/>
      <c r="CX259" s="423">
        <f>IFERROR(IF(LEFT($A259,3)="Lcp",SUMIFS('BASE-LCP'!$K:$K,'BASE-LCP'!$A:$A,Capex!$A259,'BASE-LCP'!$B:$B,"setembro")/1000,IF(LEFT($A259,3)="icp",SUMIFS('BASE-ICP'!$K:$K,'BASE-ICP'!$A:$A,Capex!$A259,'BASE-ICP'!$B:$B,"setembro")/1000,"")),"")</f>
        <v>0</v>
      </c>
      <c r="CY259" s="427">
        <v>0</v>
      </c>
      <c r="CZ259" s="372"/>
      <c r="DA259" s="419"/>
      <c r="DB259" s="423">
        <f>IFERROR(IF(LEFT($A259,3)="Lcp",SUMIFS('BASE-LCP'!$K:$K,'BASE-LCP'!$A:$A,Capex!$A259,'BASE-LCP'!$B:$B,"outubro")/1000,IF(LEFT($A259,3)="icp",SUMIFS('BASE-ICP'!$K:$K,'BASE-ICP'!$A:$A,Capex!$A259,'BASE-ICP'!$B:$B,"outubro")/1000,"")),"")</f>
        <v>0</v>
      </c>
      <c r="DC259" s="427">
        <v>0</v>
      </c>
      <c r="DD259" s="372"/>
      <c r="DE259" s="419"/>
      <c r="DF259" s="423">
        <f>IFERROR(IF(LEFT($A259,3)="Lcp",SUMIFS('BASE-LCP'!$K:$K,'BASE-LCP'!$A:$A,Capex!$A259,'BASE-LCP'!$B:$B,"novembro")/1000,IF(LEFT($A259,3)="icp",SUMIFS('BASE-ICP'!$K:$K,'BASE-ICP'!$A:$A,Capex!$A259,'BASE-ICP'!$B:$B,"novembro")/1000,"")),"")</f>
        <v>0</v>
      </c>
      <c r="DG259" s="427">
        <v>0</v>
      </c>
      <c r="DH259" s="372"/>
      <c r="DI259" s="419"/>
      <c r="DJ259" s="423">
        <f>IFERROR(IF(LEFT($A259,3)="Lcp",SUMIFS('BASE-LCP'!$K:$K,'BASE-LCP'!$A:$A,Capex!$A259,'BASE-LCP'!$B:$B,"dezembro")/1000,IF(LEFT($A259,3)="icp",SUMIFS('BASE-ICP'!$K:$K,'BASE-ICP'!$A:$A,Capex!$A259,'BASE-ICP'!$B:$B,"dezembro")/1000,"")),"")</f>
        <v>0</v>
      </c>
      <c r="DK259" s="427">
        <v>0</v>
      </c>
      <c r="DL259" s="452">
        <f t="shared" si="120"/>
        <v>0</v>
      </c>
      <c r="DM259" s="374"/>
      <c r="DN259" s="374">
        <v>0</v>
      </c>
      <c r="DO259" s="374"/>
      <c r="DP259" s="374"/>
      <c r="DQ259" s="374"/>
      <c r="DR259" s="374"/>
      <c r="DS259" s="374"/>
      <c r="DT259" s="374"/>
      <c r="DU259" s="374"/>
      <c r="DV259" s="374"/>
      <c r="DW259" s="374"/>
      <c r="DX259" s="374"/>
      <c r="DY259" s="450"/>
      <c r="DZ259" s="374">
        <f t="shared" si="121"/>
        <v>0</v>
      </c>
      <c r="EA259" s="216">
        <f t="shared" si="122"/>
        <v>0</v>
      </c>
      <c r="EB259" s="320">
        <f t="shared" si="123"/>
        <v>0</v>
      </c>
      <c r="EC259" s="241">
        <f t="shared" si="124"/>
        <v>0</v>
      </c>
      <c r="ED259" s="241">
        <f t="shared" si="125"/>
        <v>0</v>
      </c>
      <c r="EE259" s="241">
        <f t="shared" si="126"/>
        <v>0</v>
      </c>
      <c r="EF259" s="241">
        <f t="shared" si="127"/>
        <v>0</v>
      </c>
      <c r="EG259" s="346">
        <f t="shared" si="128"/>
        <v>0</v>
      </c>
      <c r="EH259" s="445">
        <f t="shared" si="129"/>
        <v>0</v>
      </c>
      <c r="EI259" s="447">
        <f t="shared" si="130"/>
        <v>0</v>
      </c>
      <c r="EJ259" s="364">
        <f t="shared" si="131"/>
        <v>0</v>
      </c>
      <c r="EK259" s="365">
        <f t="shared" si="132"/>
        <v>0</v>
      </c>
      <c r="EL259" s="529">
        <f t="shared" si="133"/>
        <v>0</v>
      </c>
      <c r="EM259" s="530">
        <v>0</v>
      </c>
      <c r="EN259" s="530">
        <v>0</v>
      </c>
      <c r="EO259" s="530">
        <v>0</v>
      </c>
      <c r="EP259" s="530">
        <v>0</v>
      </c>
      <c r="EQ259" s="530">
        <v>0</v>
      </c>
      <c r="ER259" s="530">
        <v>0</v>
      </c>
      <c r="ES259" s="530">
        <v>0</v>
      </c>
      <c r="ET259" s="530">
        <v>0</v>
      </c>
      <c r="EU259" s="530">
        <v>0</v>
      </c>
      <c r="EV259" s="530">
        <v>0</v>
      </c>
      <c r="EW259" s="530">
        <v>0</v>
      </c>
      <c r="EX259" s="530">
        <v>0</v>
      </c>
      <c r="EY259" s="530">
        <f t="shared" si="134"/>
        <v>0</v>
      </c>
      <c r="EZ259" s="530">
        <f t="shared" si="135"/>
        <v>0</v>
      </c>
      <c r="FA259" s="530">
        <f t="shared" si="136"/>
        <v>0</v>
      </c>
      <c r="FB259" s="530">
        <f t="shared" si="137"/>
        <v>0</v>
      </c>
      <c r="FC259" s="384">
        <f>IFERROR(VLOOKUP(Capex!A259,BASE_558!D:R,8,FALSE)/1000,"")</f>
        <v>74</v>
      </c>
      <c r="FD259" s="328">
        <f>IFERROR(VLOOKUP(Capex!A259,BASE_558!D:R,9,)/1000,"")</f>
        <v>51.653779999999998</v>
      </c>
      <c r="FE259" s="328">
        <f>IFERROR(IF(LEFT(A259,3)="LCP",(VLOOKUP(Capex!A259,BASE_558!D:R,10,)/1000),SUMIFS('BASE ICP_PO_SC'!F:F,'BASE ICP_PO_SC'!A:A,Capex!A259,'BASE ICP_PO_SC'!E:E,"&lt;&gt;")/1000),"")</f>
        <v>0</v>
      </c>
      <c r="FF259" s="328">
        <f>IFERROR(IF(LEFT(A259,3)="LCP",(VLOOKUP(Capex!A259,BASE_558!D:R,11,)/1000),SUMIFS('BASE ICP_PO_SC'!F:F,'BASE ICP_PO_SC'!A:A,Capex!A259,'BASE ICP_PO_SC'!E:E,"")/1000),"")</f>
        <v>0</v>
      </c>
      <c r="FG259" s="328">
        <f>IFERROR(VLOOKUP(A259,BASE_558!D:R,13,FALSE)/1000,"")</f>
        <v>51.653779999999998</v>
      </c>
      <c r="FH259" s="328">
        <f>IFERROR(VLOOKUP(A259,BASE_558!D:R,15,FALSE)/1000,"")</f>
        <v>22.346220000000002</v>
      </c>
      <c r="FI259" s="547">
        <f t="shared" si="138"/>
        <v>0</v>
      </c>
      <c r="FJ259" s="547">
        <f t="shared" si="139"/>
        <v>0</v>
      </c>
      <c r="FK259" s="540">
        <f t="shared" si="140"/>
        <v>0</v>
      </c>
    </row>
    <row r="260" spans="1:167" s="23" customFormat="1" ht="24" customHeight="1">
      <c r="A260" s="84" t="s">
        <v>1356</v>
      </c>
      <c r="B260" s="404"/>
      <c r="C260" s="404">
        <v>18315</v>
      </c>
      <c r="D260" s="338" t="s">
        <v>2287</v>
      </c>
      <c r="E260" s="378">
        <v>4879190</v>
      </c>
      <c r="F260" s="5"/>
      <c r="G260" s="310" t="s">
        <v>9</v>
      </c>
      <c r="H260" s="356"/>
      <c r="I260" s="356"/>
      <c r="J260" s="356">
        <v>2021</v>
      </c>
      <c r="K260" s="321">
        <v>44522</v>
      </c>
      <c r="L260" s="317">
        <v>44983</v>
      </c>
      <c r="M260" s="409"/>
      <c r="N260" s="317">
        <f t="shared" si="143"/>
        <v>45434</v>
      </c>
      <c r="O260" s="317">
        <f t="shared" si="144"/>
        <v>45799</v>
      </c>
      <c r="P260" s="418" t="str">
        <f t="shared" si="150"/>
        <v>NÃO</v>
      </c>
      <c r="Q260" s="418" t="str">
        <f t="shared" si="150"/>
        <v>NÃO</v>
      </c>
      <c r="R260" s="418" t="str">
        <f t="shared" si="150"/>
        <v>NÃO</v>
      </c>
      <c r="S260" s="418" t="str">
        <f t="shared" si="150"/>
        <v>NÃO</v>
      </c>
      <c r="T260" s="418" t="str">
        <f t="shared" si="150"/>
        <v>CRTD</v>
      </c>
      <c r="U260" s="418" t="str">
        <f t="shared" si="150"/>
        <v>CRTD</v>
      </c>
      <c r="V260" s="418" t="str">
        <f t="shared" si="150"/>
        <v>CRTD</v>
      </c>
      <c r="W260" s="418" t="str">
        <f t="shared" si="150"/>
        <v>CRTD</v>
      </c>
      <c r="X260" s="418" t="str">
        <f t="shared" si="150"/>
        <v>CRTD</v>
      </c>
      <c r="Y260" s="418" t="str">
        <f t="shared" si="150"/>
        <v>CRTD</v>
      </c>
      <c r="Z260" s="418" t="str">
        <f t="shared" si="150"/>
        <v>CRTD</v>
      </c>
      <c r="AA260" s="418" t="str">
        <f t="shared" si="150"/>
        <v>CRTD</v>
      </c>
      <c r="AB260" s="350"/>
      <c r="AC260" s="309" t="s">
        <v>3932</v>
      </c>
      <c r="AD260" s="311" t="s">
        <v>5</v>
      </c>
      <c r="AE260" s="361" t="s">
        <v>952</v>
      </c>
      <c r="AF260" s="310" t="s">
        <v>6985</v>
      </c>
      <c r="AG260" s="310" t="s">
        <v>9083</v>
      </c>
      <c r="AH260" s="310" t="s">
        <v>1450</v>
      </c>
      <c r="AI260" s="381" t="s">
        <v>2255</v>
      </c>
      <c r="AJ260" s="6" t="s">
        <v>218</v>
      </c>
      <c r="AK260" s="6" t="str">
        <f t="shared" si="118"/>
        <v>IGUAL</v>
      </c>
      <c r="AL260" s="151" t="str">
        <f>IFERROR(IF(LEFT(A260,3)="LCP",VLOOKUP(A260,STATUS_SAP_LCP!B:C,2,FALSE),VLOOKUP(A260,STATUS_SAP_ICP!B:C,2,FALSE)),"NO BUDGET")</f>
        <v>CLSD BUDG AUC  AVAC  //  APPR BREL EXPL</v>
      </c>
      <c r="AM260" s="6" t="str">
        <f t="shared" si="151"/>
        <v>CLSD</v>
      </c>
      <c r="AN260" s="282" t="s">
        <v>9093</v>
      </c>
      <c r="AO260" s="493">
        <v>1</v>
      </c>
      <c r="AP260" s="499" t="s">
        <v>9607</v>
      </c>
      <c r="AQ260" s="465">
        <v>44983</v>
      </c>
      <c r="AR260" s="460"/>
      <c r="AS260" s="57"/>
      <c r="AT260" s="185"/>
      <c r="AU260" s="318">
        <v>38.713419999999999</v>
      </c>
      <c r="AV260" s="223">
        <v>7.1161300000000001</v>
      </c>
      <c r="AW260" s="318">
        <v>0</v>
      </c>
      <c r="AX260" s="223">
        <v>0</v>
      </c>
      <c r="AY260" s="318">
        <f t="shared" si="145"/>
        <v>0</v>
      </c>
      <c r="AZ260" s="223"/>
      <c r="BA260" s="318"/>
      <c r="BB260" s="519">
        <f t="shared" si="146"/>
        <v>0</v>
      </c>
      <c r="BC260" s="518"/>
      <c r="BD260" s="518"/>
      <c r="BE260" s="518"/>
      <c r="BF260" s="518"/>
      <c r="BG260" s="518"/>
      <c r="BH260" s="518"/>
      <c r="BI260" s="518"/>
      <c r="BJ260" s="518"/>
      <c r="BK260" s="518"/>
      <c r="BL260" s="518"/>
      <c r="BM260" s="518"/>
      <c r="BN260" s="518"/>
      <c r="BO260" s="367">
        <f t="shared" si="119"/>
        <v>0</v>
      </c>
      <c r="BP260" s="421"/>
      <c r="BQ260" s="422"/>
      <c r="BR260" s="423">
        <f>IFERROR(IF(LEFT($A260,3)="Lcp",SUMIFS('BASE-LCP'!$K:$K,'BASE-LCP'!$A:$A,Capex!$A260,'BASE-LCP'!$B:$B,"janeiro")/1000,IF(LEFT($A260,3)="icp",SUMIFS('BASE-ICP'!$K:$K,'BASE-ICP'!$A:$A,Capex!$A260,'BASE-ICP'!$B:$B,"janeiro")/1000,"")),"")</f>
        <v>0</v>
      </c>
      <c r="BS260" s="427">
        <v>0</v>
      </c>
      <c r="BT260" s="372">
        <v>0</v>
      </c>
      <c r="BU260" s="422"/>
      <c r="BV260" s="423">
        <f>IFERROR(IF(LEFT($A260,3)="Lcp",SUMIFS('BASE-LCP'!$K:$K,'BASE-LCP'!$A:$A,Capex!$A260,'BASE-LCP'!$B:$B,"fevereiro")/1000,IF(LEFT($A260,3)="icp",SUMIFS('BASE-ICP'!$K:$K,'BASE-ICP'!$A:$A,Capex!$A260,'BASE-ICP'!$B:$B,"fevereiro")/1000,"")),"")</f>
        <v>0</v>
      </c>
      <c r="BW260" s="427">
        <v>0</v>
      </c>
      <c r="BX260" s="372">
        <v>0</v>
      </c>
      <c r="BY260" s="419"/>
      <c r="BZ260" s="423">
        <f>IFERROR(IF(LEFT($A260,3)="Lcp",SUMIFS('BASE-LCP'!$K:$K,'BASE-LCP'!$A:$A,Capex!$A260,'BASE-LCP'!$B:$B,"março")/1000,IF(LEFT($A260,3)="icp",SUMIFS('BASE-ICP'!$K:$K,'BASE-ICP'!$A:$A,Capex!$A260,'BASE-ICP'!$B:$B,"março")/1000,"")),"")</f>
        <v>0</v>
      </c>
      <c r="CA260" s="427">
        <v>0</v>
      </c>
      <c r="CB260" s="372">
        <v>0</v>
      </c>
      <c r="CC260" s="422"/>
      <c r="CD260" s="423">
        <f>IFERROR(IF(LEFT($A260,3)="Lcp",SUMIFS('BASE-LCP'!$K:$K,'BASE-LCP'!$A:$A,Capex!$A260,'BASE-LCP'!$B:$B,"abril")/1000,IF(LEFT($A260,3)="icp",SUMIFS('BASE-ICP'!$K:$K,'BASE-ICP'!$A:$A,Capex!$A260,'BASE-ICP'!$B:$B,"abril")/1000,"")),"")</f>
        <v>0</v>
      </c>
      <c r="CE260" s="427">
        <v>0</v>
      </c>
      <c r="CF260" s="372">
        <v>0</v>
      </c>
      <c r="CG260" s="419"/>
      <c r="CH260" s="423">
        <v>0</v>
      </c>
      <c r="CI260" s="427">
        <v>0</v>
      </c>
      <c r="CJ260" s="372">
        <v>0</v>
      </c>
      <c r="CK260" s="419"/>
      <c r="CL260" s="423">
        <f>IFERROR(IF(LEFT($A260,3)="Lcp",SUMIFS('BASE-LCP'!$K:$K,'BASE-LCP'!$A:$A,Capex!$A260,'BASE-LCP'!$B:$B,"junho")/1000,IF(LEFT($A260,3)="icp",SUMIFS('BASE-ICP'!$K:$K,'BASE-ICP'!$A:$A,Capex!$A260,'BASE-ICP'!$B:$B,"junho")/1000,"")),"")</f>
        <v>0</v>
      </c>
      <c r="CM260" s="427">
        <v>0</v>
      </c>
      <c r="CN260" s="372"/>
      <c r="CO260" s="419"/>
      <c r="CP260" s="423">
        <f>IFERROR(IF(LEFT($A260,3)="Lcp",SUMIFS('BASE-LCP'!$K:$K,'BASE-LCP'!$A:$A,Capex!$A260,'BASE-LCP'!$B:$B,"julho")/1000,IF(LEFT($A260,3)="icp",SUMIFS('BASE-ICP'!$K:$K,'BASE-ICP'!$A:$A,Capex!$A260,'BASE-ICP'!$B:$B,"julho")/1000,"")),"")</f>
        <v>0</v>
      </c>
      <c r="CQ260" s="427">
        <v>0</v>
      </c>
      <c r="CR260" s="372"/>
      <c r="CS260" s="419"/>
      <c r="CT260" s="423">
        <f>IFERROR(IF(LEFT($A260,3)="Lcp",SUMIFS('BASE-LCP'!$K:$K,'BASE-LCP'!$A:$A,Capex!$A260,'BASE-LCP'!$B:$B,"agosto")/1000,IF(LEFT($A260,3)="icp",SUMIFS('BASE-ICP'!$K:$K,'BASE-ICP'!$A:$A,Capex!$A260,'BASE-ICP'!$B:$B,"agosto")/1000,"")),"")</f>
        <v>0</v>
      </c>
      <c r="CU260" s="427">
        <v>0</v>
      </c>
      <c r="CV260" s="372"/>
      <c r="CW260" s="419"/>
      <c r="CX260" s="423">
        <f>IFERROR(IF(LEFT($A260,3)="Lcp",SUMIFS('BASE-LCP'!$K:$K,'BASE-LCP'!$A:$A,Capex!$A260,'BASE-LCP'!$B:$B,"setembro")/1000,IF(LEFT($A260,3)="icp",SUMIFS('BASE-ICP'!$K:$K,'BASE-ICP'!$A:$A,Capex!$A260,'BASE-ICP'!$B:$B,"setembro")/1000,"")),"")</f>
        <v>0</v>
      </c>
      <c r="CY260" s="427">
        <v>0</v>
      </c>
      <c r="CZ260" s="372"/>
      <c r="DA260" s="419"/>
      <c r="DB260" s="423">
        <f>IFERROR(IF(LEFT($A260,3)="Lcp",SUMIFS('BASE-LCP'!$K:$K,'BASE-LCP'!$A:$A,Capex!$A260,'BASE-LCP'!$B:$B,"outubro")/1000,IF(LEFT($A260,3)="icp",SUMIFS('BASE-ICP'!$K:$K,'BASE-ICP'!$A:$A,Capex!$A260,'BASE-ICP'!$B:$B,"outubro")/1000,"")),"")</f>
        <v>0</v>
      </c>
      <c r="DC260" s="427">
        <v>0</v>
      </c>
      <c r="DD260" s="372"/>
      <c r="DE260" s="419"/>
      <c r="DF260" s="423">
        <f>IFERROR(IF(LEFT($A260,3)="Lcp",SUMIFS('BASE-LCP'!$K:$K,'BASE-LCP'!$A:$A,Capex!$A260,'BASE-LCP'!$B:$B,"novembro")/1000,IF(LEFT($A260,3)="icp",SUMIFS('BASE-ICP'!$K:$K,'BASE-ICP'!$A:$A,Capex!$A260,'BASE-ICP'!$B:$B,"novembro")/1000,"")),"")</f>
        <v>0</v>
      </c>
      <c r="DG260" s="427">
        <v>0</v>
      </c>
      <c r="DH260" s="372"/>
      <c r="DI260" s="419"/>
      <c r="DJ260" s="423">
        <f>IFERROR(IF(LEFT($A260,3)="Lcp",SUMIFS('BASE-LCP'!$K:$K,'BASE-LCP'!$A:$A,Capex!$A260,'BASE-LCP'!$B:$B,"dezembro")/1000,IF(LEFT($A260,3)="icp",SUMIFS('BASE-ICP'!$K:$K,'BASE-ICP'!$A:$A,Capex!$A260,'BASE-ICP'!$B:$B,"dezembro")/1000,"")),"")</f>
        <v>0</v>
      </c>
      <c r="DK260" s="427">
        <v>0</v>
      </c>
      <c r="DL260" s="452">
        <f t="shared" si="120"/>
        <v>0</v>
      </c>
      <c r="DM260" s="374"/>
      <c r="DN260" s="374"/>
      <c r="DO260" s="374"/>
      <c r="DP260" s="374"/>
      <c r="DQ260" s="374"/>
      <c r="DR260" s="374"/>
      <c r="DS260" s="374"/>
      <c r="DT260" s="374"/>
      <c r="DU260" s="374"/>
      <c r="DV260" s="374"/>
      <c r="DW260" s="374"/>
      <c r="DX260" s="374"/>
      <c r="DY260" s="450"/>
      <c r="DZ260" s="374">
        <f t="shared" si="121"/>
        <v>0</v>
      </c>
      <c r="EA260" s="216">
        <f t="shared" si="122"/>
        <v>0</v>
      </c>
      <c r="EB260" s="320">
        <f t="shared" si="123"/>
        <v>0</v>
      </c>
      <c r="EC260" s="241">
        <f t="shared" si="124"/>
        <v>0</v>
      </c>
      <c r="ED260" s="241">
        <f t="shared" si="125"/>
        <v>0</v>
      </c>
      <c r="EE260" s="241">
        <f t="shared" si="126"/>
        <v>0</v>
      </c>
      <c r="EF260" s="241">
        <f t="shared" si="127"/>
        <v>0</v>
      </c>
      <c r="EG260" s="346">
        <f t="shared" si="128"/>
        <v>0</v>
      </c>
      <c r="EH260" s="445">
        <f t="shared" si="129"/>
        <v>0</v>
      </c>
      <c r="EI260" s="447">
        <f t="shared" si="130"/>
        <v>0</v>
      </c>
      <c r="EJ260" s="364">
        <f t="shared" si="131"/>
        <v>0</v>
      </c>
      <c r="EK260" s="365">
        <f t="shared" si="132"/>
        <v>0</v>
      </c>
      <c r="EL260" s="529">
        <f t="shared" si="133"/>
        <v>0</v>
      </c>
      <c r="EM260" s="530">
        <v>0</v>
      </c>
      <c r="EN260" s="530">
        <v>0</v>
      </c>
      <c r="EO260" s="530">
        <v>0</v>
      </c>
      <c r="EP260" s="530">
        <v>0</v>
      </c>
      <c r="EQ260" s="530">
        <v>0</v>
      </c>
      <c r="ER260" s="530">
        <v>0</v>
      </c>
      <c r="ES260" s="530">
        <v>0</v>
      </c>
      <c r="ET260" s="530">
        <v>0</v>
      </c>
      <c r="EU260" s="530">
        <v>0</v>
      </c>
      <c r="EV260" s="530">
        <v>0</v>
      </c>
      <c r="EW260" s="530">
        <v>0</v>
      </c>
      <c r="EX260" s="530">
        <v>0</v>
      </c>
      <c r="EY260" s="530">
        <f t="shared" si="134"/>
        <v>0</v>
      </c>
      <c r="EZ260" s="530">
        <f t="shared" si="135"/>
        <v>0</v>
      </c>
      <c r="FA260" s="530">
        <f t="shared" si="136"/>
        <v>0</v>
      </c>
      <c r="FB260" s="530">
        <f t="shared" si="137"/>
        <v>0</v>
      </c>
      <c r="FC260" s="384">
        <f>IFERROR(VLOOKUP(Capex!A260,BASE_558!D:R,8,FALSE)/1000,"")</f>
        <v>56.241900000000001</v>
      </c>
      <c r="FD260" s="328">
        <f>IFERROR(VLOOKUP(Capex!A260,BASE_558!D:R,9,)/1000,"")</f>
        <v>45.819360000000003</v>
      </c>
      <c r="FE260" s="328">
        <f>IFERROR(IF(LEFT(A260,3)="LCP",(VLOOKUP(Capex!A260,BASE_558!D:R,10,)/1000),SUMIFS('BASE ICP_PO_SC'!F:F,'BASE ICP_PO_SC'!A:A,Capex!A260,'BASE ICP_PO_SC'!E:E,"&lt;&gt;")/1000),"")</f>
        <v>0</v>
      </c>
      <c r="FF260" s="328">
        <f>IFERROR(IF(LEFT(A260,3)="LCP",(VLOOKUP(Capex!A260,BASE_558!D:R,11,)/1000),SUMIFS('BASE ICP_PO_SC'!F:F,'BASE ICP_PO_SC'!A:A,Capex!A260,'BASE ICP_PO_SC'!E:E,"")/1000),"")</f>
        <v>0</v>
      </c>
      <c r="FG260" s="328">
        <f>IFERROR(VLOOKUP(A260,BASE_558!D:R,13,FALSE)/1000,"")</f>
        <v>45.819360000000003</v>
      </c>
      <c r="FH260" s="328">
        <f>IFERROR(VLOOKUP(A260,BASE_558!D:R,15,FALSE)/1000,"")</f>
        <v>10.422540000000001</v>
      </c>
      <c r="FI260" s="547">
        <f t="shared" si="138"/>
        <v>0</v>
      </c>
      <c r="FJ260" s="547">
        <f t="shared" si="139"/>
        <v>0</v>
      </c>
      <c r="FK260" s="540">
        <f t="shared" si="140"/>
        <v>0</v>
      </c>
    </row>
    <row r="261" spans="1:167" s="23" customFormat="1" ht="24" customHeight="1">
      <c r="A261" s="84" t="s">
        <v>1359</v>
      </c>
      <c r="B261" s="404"/>
      <c r="C261" s="404" t="s">
        <v>602</v>
      </c>
      <c r="D261" s="338" t="s">
        <v>2288</v>
      </c>
      <c r="E261" s="378">
        <v>4878535</v>
      </c>
      <c r="F261" s="310" t="s">
        <v>609</v>
      </c>
      <c r="G261" s="310" t="s">
        <v>9</v>
      </c>
      <c r="H261" s="338" t="s">
        <v>6</v>
      </c>
      <c r="I261" s="356"/>
      <c r="J261" s="356">
        <v>2021</v>
      </c>
      <c r="K261" s="352">
        <v>44522</v>
      </c>
      <c r="L261" s="317"/>
      <c r="M261" s="409"/>
      <c r="N261" s="317">
        <f t="shared" si="143"/>
        <v>45434</v>
      </c>
      <c r="O261" s="317">
        <f t="shared" si="144"/>
        <v>45799</v>
      </c>
      <c r="P261" s="418" t="str">
        <f t="shared" si="150"/>
        <v>SIM</v>
      </c>
      <c r="Q261" s="418" t="str">
        <f t="shared" si="150"/>
        <v>SIM</v>
      </c>
      <c r="R261" s="418" t="str">
        <f t="shared" si="150"/>
        <v>SIM</v>
      </c>
      <c r="S261" s="418" t="str">
        <f t="shared" si="150"/>
        <v>SIM</v>
      </c>
      <c r="T261" s="418" t="str">
        <f t="shared" si="150"/>
        <v>SIM</v>
      </c>
      <c r="U261" s="418" t="str">
        <f t="shared" si="150"/>
        <v>SIM</v>
      </c>
      <c r="V261" s="418" t="str">
        <f t="shared" si="150"/>
        <v>SIM</v>
      </c>
      <c r="W261" s="551" t="str">
        <f t="shared" si="150"/>
        <v>SIM</v>
      </c>
      <c r="X261" s="418" t="str">
        <f t="shared" si="150"/>
        <v>SIM</v>
      </c>
      <c r="Y261" s="418" t="str">
        <f t="shared" si="150"/>
        <v>SIM</v>
      </c>
      <c r="Z261" s="418" t="str">
        <f t="shared" si="150"/>
        <v>SIM</v>
      </c>
      <c r="AA261" s="567" t="str">
        <f t="shared" si="150"/>
        <v>SIM</v>
      </c>
      <c r="AB261" s="350"/>
      <c r="AC261" s="309" t="s">
        <v>3932</v>
      </c>
      <c r="AD261" s="311" t="s">
        <v>5</v>
      </c>
      <c r="AE261" s="361" t="s">
        <v>951</v>
      </c>
      <c r="AF261" s="310" t="s">
        <v>6985</v>
      </c>
      <c r="AG261" s="310" t="s">
        <v>2186</v>
      </c>
      <c r="AH261" s="310" t="s">
        <v>1451</v>
      </c>
      <c r="AI261" s="381" t="s">
        <v>2255</v>
      </c>
      <c r="AJ261" s="6" t="s">
        <v>6786</v>
      </c>
      <c r="AK261" s="6" t="str">
        <f t="shared" ref="AK261:AK324" si="152">IF(AJ261&lt;&gt;AM261,"DIFERENTE","IGUAL")</f>
        <v>IGUAL</v>
      </c>
      <c r="AL261" s="151" t="str">
        <f>IFERROR(IF(LEFT(A261,3)="LCP",VLOOKUP(A261,STATUS_SAP_LCP!B:C,2,FALSE),VLOOKUP(A261,STATUS_SAP_ICP!B:C,2,FALSE)),"NO BUDGET")</f>
        <v>REL  BUDG AUC   //  APPR BREL INPL</v>
      </c>
      <c r="AM261" s="6" t="str">
        <f t="shared" si="151"/>
        <v xml:space="preserve">REL </v>
      </c>
      <c r="AN261" s="414" t="s">
        <v>19516</v>
      </c>
      <c r="AO261" s="414"/>
      <c r="AP261" s="499" t="s">
        <v>5299</v>
      </c>
      <c r="AQ261" s="465">
        <v>45899</v>
      </c>
      <c r="AR261" s="460"/>
      <c r="AS261" s="57"/>
      <c r="AT261" s="185"/>
      <c r="AU261" s="318">
        <v>0</v>
      </c>
      <c r="AV261" s="223">
        <v>69.444860000000006</v>
      </c>
      <c r="AW261" s="318">
        <v>28.132449999999999</v>
      </c>
      <c r="AX261" s="223">
        <v>0</v>
      </c>
      <c r="AY261" s="318">
        <f t="shared" si="145"/>
        <v>66.055779999999999</v>
      </c>
      <c r="AZ261" s="223"/>
      <c r="BA261" s="318"/>
      <c r="BB261" s="519">
        <f t="shared" si="146"/>
        <v>79</v>
      </c>
      <c r="BC261" s="518">
        <v>0</v>
      </c>
      <c r="BD261" s="518">
        <v>0</v>
      </c>
      <c r="BE261" s="518">
        <v>39</v>
      </c>
      <c r="BF261" s="518">
        <v>40</v>
      </c>
      <c r="BG261" s="518">
        <v>0</v>
      </c>
      <c r="BH261" s="518">
        <v>0</v>
      </c>
      <c r="BI261" s="518">
        <v>0</v>
      </c>
      <c r="BJ261" s="518">
        <v>0</v>
      </c>
      <c r="BK261" s="518">
        <v>0</v>
      </c>
      <c r="BL261" s="518">
        <v>0</v>
      </c>
      <c r="BM261" s="518">
        <v>0</v>
      </c>
      <c r="BN261" s="518">
        <v>0</v>
      </c>
      <c r="BO261" s="367">
        <f t="shared" ref="BO261:BO324" si="153">SUM(BS261,BW261,CA261,CE261,CI261,CM261,CQ261,CU261,CY261,DC261,DG261,DK261)</f>
        <v>66.055779999999999</v>
      </c>
      <c r="BP261" s="421">
        <v>0</v>
      </c>
      <c r="BQ261" s="422"/>
      <c r="BR261" s="423">
        <f>IFERROR(IF(LEFT($A261,3)="Lcp",SUMIFS('BASE-LCP'!$K:$K,'BASE-LCP'!$A:$A,Capex!$A261,'BASE-LCP'!$B:$B,"janeiro")/1000,IF(LEFT($A261,3)="icp",SUMIFS('BASE-ICP'!$K:$K,'BASE-ICP'!$A:$A,Capex!$A261,'BASE-ICP'!$B:$B,"janeiro")/1000,"")),"")</f>
        <v>0</v>
      </c>
      <c r="BS261" s="427">
        <v>0</v>
      </c>
      <c r="BT261" s="372">
        <v>0</v>
      </c>
      <c r="BU261" s="422"/>
      <c r="BV261" s="423">
        <f>IFERROR(IF(LEFT($A261,3)="Lcp",SUMIFS('BASE-LCP'!$K:$K,'BASE-LCP'!$A:$A,Capex!$A261,'BASE-LCP'!$B:$B,"fevereiro")/1000,IF(LEFT($A261,3)="icp",SUMIFS('BASE-ICP'!$K:$K,'BASE-ICP'!$A:$A,Capex!$A261,'BASE-ICP'!$B:$B,"fevereiro")/1000,"")),"")</f>
        <v>0</v>
      </c>
      <c r="BW261" s="427">
        <v>0</v>
      </c>
      <c r="BX261" s="372">
        <v>0</v>
      </c>
      <c r="BY261" s="419"/>
      <c r="BZ261" s="423">
        <f>IFERROR(IF(LEFT($A261,3)="Lcp",SUMIFS('BASE-LCP'!$K:$K,'BASE-LCP'!$A:$A,Capex!$A261,'BASE-LCP'!$B:$B,"março")/1000,IF(LEFT($A261,3)="icp",SUMIFS('BASE-ICP'!$K:$K,'BASE-ICP'!$A:$A,Capex!$A261,'BASE-ICP'!$B:$B,"março")/1000,"")),"")</f>
        <v>0</v>
      </c>
      <c r="CA261" s="427">
        <v>0</v>
      </c>
      <c r="CB261" s="372">
        <v>0</v>
      </c>
      <c r="CC261" s="422"/>
      <c r="CD261" s="423">
        <f>IFERROR(IF(LEFT($A261,3)="Lcp",SUMIFS('BASE-LCP'!$K:$K,'BASE-LCP'!$A:$A,Capex!$A261,'BASE-LCP'!$B:$B,"abril")/1000,IF(LEFT($A261,3)="icp",SUMIFS('BASE-ICP'!$K:$K,'BASE-ICP'!$A:$A,Capex!$A261,'BASE-ICP'!$B:$B,"abril")/1000,"")),"")</f>
        <v>0</v>
      </c>
      <c r="CE261" s="427">
        <v>0</v>
      </c>
      <c r="CF261" s="372">
        <v>32</v>
      </c>
      <c r="CG261" s="419">
        <v>29.188459999999999</v>
      </c>
      <c r="CH261" s="423">
        <v>29.188459999999999</v>
      </c>
      <c r="CI261" s="427">
        <v>29.188459999999999</v>
      </c>
      <c r="CJ261" s="372">
        <v>18</v>
      </c>
      <c r="CK261" s="419">
        <v>18.867319999999999</v>
      </c>
      <c r="CL261" s="423">
        <f>IFERROR(IF(LEFT($A261,3)="Lcp",SUMIFS('BASE-LCP'!$K:$K,'BASE-LCP'!$A:$A,Capex!$A261,'BASE-LCP'!$B:$B,"junho")/1000,IF(LEFT($A261,3)="icp",SUMIFS('BASE-ICP'!$K:$K,'BASE-ICP'!$A:$A,Capex!$A261,'BASE-ICP'!$B:$B,"junho")/1000,"")),"")</f>
        <v>18.867319999999999</v>
      </c>
      <c r="CM261" s="427">
        <v>18.867319999999999</v>
      </c>
      <c r="CN261" s="372"/>
      <c r="CO261" s="419"/>
      <c r="CP261" s="423">
        <f>IFERROR(IF(LEFT($A261,3)="Lcp",SUMIFS('BASE-LCP'!$K:$K,'BASE-LCP'!$A:$A,Capex!$A261,'BASE-LCP'!$B:$B,"julho")/1000,IF(LEFT($A261,3)="icp",SUMIFS('BASE-ICP'!$K:$K,'BASE-ICP'!$A:$A,Capex!$A261,'BASE-ICP'!$B:$B,"julho")/1000,"")),"")</f>
        <v>0</v>
      </c>
      <c r="CQ261" s="427">
        <f>20*0.9</f>
        <v>18</v>
      </c>
      <c r="CR261" s="372"/>
      <c r="CS261" s="419"/>
      <c r="CT261" s="423">
        <f>IFERROR(IF(LEFT($A261,3)="Lcp",SUMIFS('BASE-LCP'!$K:$K,'BASE-LCP'!$A:$A,Capex!$A261,'BASE-LCP'!$B:$B,"agosto")/1000,IF(LEFT($A261,3)="icp",SUMIFS('BASE-ICP'!$K:$K,'BASE-ICP'!$A:$A,Capex!$A261,'BASE-ICP'!$B:$B,"agosto")/1000,"")),"")</f>
        <v>0</v>
      </c>
      <c r="CU261" s="427">
        <v>0</v>
      </c>
      <c r="CV261" s="372"/>
      <c r="CW261" s="419"/>
      <c r="CX261" s="423">
        <f>IFERROR(IF(LEFT($A261,3)="Lcp",SUMIFS('BASE-LCP'!$K:$K,'BASE-LCP'!$A:$A,Capex!$A261,'BASE-LCP'!$B:$B,"setembro")/1000,IF(LEFT($A261,3)="icp",SUMIFS('BASE-ICP'!$K:$K,'BASE-ICP'!$A:$A,Capex!$A261,'BASE-ICP'!$B:$B,"setembro")/1000,"")),"")</f>
        <v>0</v>
      </c>
      <c r="CY261" s="427">
        <v>0</v>
      </c>
      <c r="CZ261" s="372"/>
      <c r="DA261" s="419"/>
      <c r="DB261" s="423">
        <f>IFERROR(IF(LEFT($A261,3)="Lcp",SUMIFS('BASE-LCP'!$K:$K,'BASE-LCP'!$A:$A,Capex!$A261,'BASE-LCP'!$B:$B,"outubro")/1000,IF(LEFT($A261,3)="icp",SUMIFS('BASE-ICP'!$K:$K,'BASE-ICP'!$A:$A,Capex!$A261,'BASE-ICP'!$B:$B,"outubro")/1000,"")),"")</f>
        <v>0</v>
      </c>
      <c r="DC261" s="427">
        <v>0</v>
      </c>
      <c r="DD261" s="372"/>
      <c r="DE261" s="419"/>
      <c r="DF261" s="423">
        <f>IFERROR(IF(LEFT($A261,3)="Lcp",SUMIFS('BASE-LCP'!$K:$K,'BASE-LCP'!$A:$A,Capex!$A261,'BASE-LCP'!$B:$B,"novembro")/1000,IF(LEFT($A261,3)="icp",SUMIFS('BASE-ICP'!$K:$K,'BASE-ICP'!$A:$A,Capex!$A261,'BASE-ICP'!$B:$B,"novembro")/1000,"")),"")</f>
        <v>0</v>
      </c>
      <c r="DG261" s="427">
        <v>0</v>
      </c>
      <c r="DH261" s="372"/>
      <c r="DI261" s="419"/>
      <c r="DJ261" s="423">
        <f>IFERROR(IF(LEFT($A261,3)="Lcp",SUMIFS('BASE-LCP'!$K:$K,'BASE-LCP'!$A:$A,Capex!$A261,'BASE-LCP'!$B:$B,"dezembro")/1000,IF(LEFT($A261,3)="icp",SUMIFS('BASE-ICP'!$K:$K,'BASE-ICP'!$A:$A,Capex!$A261,'BASE-ICP'!$B:$B,"dezembro")/1000,"")),"")</f>
        <v>0</v>
      </c>
      <c r="DK261" s="427">
        <v>0</v>
      </c>
      <c r="DL261" s="452">
        <f t="shared" ref="DL261:DL324" si="154">SUM(DM261:DX261)</f>
        <v>0</v>
      </c>
      <c r="DM261" s="374"/>
      <c r="DN261" s="374">
        <v>0</v>
      </c>
      <c r="DO261" s="374"/>
      <c r="DP261" s="374"/>
      <c r="DQ261" s="374"/>
      <c r="DR261" s="374"/>
      <c r="DS261" s="374"/>
      <c r="DT261" s="374"/>
      <c r="DU261" s="374"/>
      <c r="DV261" s="374"/>
      <c r="DW261" s="374"/>
      <c r="DX261" s="374"/>
      <c r="DY261" s="450"/>
      <c r="DZ261" s="374">
        <f t="shared" ref="DZ261:DZ324" si="155">SUM(DL261,DY261)</f>
        <v>0</v>
      </c>
      <c r="EA261" s="216">
        <f t="shared" ref="EA261:EA324" si="156">CM261-CJ261</f>
        <v>0.86731999999999942</v>
      </c>
      <c r="EB261" s="320">
        <f t="shared" ref="EB261:EB324" si="157">CL261-CM261</f>
        <v>0</v>
      </c>
      <c r="EC261" s="241">
        <f t="shared" ref="EC261:EC324" si="158">SUM(BS261,BW261,CA261)</f>
        <v>0</v>
      </c>
      <c r="ED261" s="241">
        <f t="shared" ref="ED261:ED324" si="159">SUM(CE261,CI261,CM261)</f>
        <v>48.055779999999999</v>
      </c>
      <c r="EE261" s="241">
        <f t="shared" ref="EE261:EE324" si="160">SUM(CQ261,CU261,CY261)</f>
        <v>18</v>
      </c>
      <c r="EF261" s="241">
        <f t="shared" ref="EF261:EF324" si="161">SUM(DC261,DG261,DK261)</f>
        <v>0</v>
      </c>
      <c r="EG261" s="346">
        <f t="shared" ref="EG261:EG324" si="162">BO261-BB261</f>
        <v>-12.944220000000001</v>
      </c>
      <c r="EH261" s="445">
        <f t="shared" ref="EH261:EH324" si="163">CF261</f>
        <v>32</v>
      </c>
      <c r="EI261" s="447">
        <f t="shared" ref="EI261:EI324" si="164">CH261</f>
        <v>29.188459999999999</v>
      </c>
      <c r="EJ261" s="364">
        <f t="shared" ref="EJ261:EJ324" si="165">SUM(BS261,BW261,CA261,CE261,CI261,CL261)</f>
        <v>48.055779999999999</v>
      </c>
      <c r="EK261" s="365">
        <f t="shared" ref="EK261:EK324" si="166">BO261-EJ261</f>
        <v>18</v>
      </c>
      <c r="EL261" s="529">
        <f t="shared" ref="EL261:EL324" si="167">SUM(EM261:EX261)</f>
        <v>65.188459999999992</v>
      </c>
      <c r="EM261" s="530">
        <v>0</v>
      </c>
      <c r="EN261" s="530">
        <v>0</v>
      </c>
      <c r="EO261" s="530">
        <v>0</v>
      </c>
      <c r="EP261" s="530">
        <v>0</v>
      </c>
      <c r="EQ261" s="530">
        <v>29.188459999999999</v>
      </c>
      <c r="ER261" s="530">
        <v>18</v>
      </c>
      <c r="ES261" s="530">
        <v>18</v>
      </c>
      <c r="ET261" s="530">
        <v>0</v>
      </c>
      <c r="EU261" s="530">
        <v>0</v>
      </c>
      <c r="EV261" s="530">
        <v>0</v>
      </c>
      <c r="EW261" s="530">
        <v>0</v>
      </c>
      <c r="EX261" s="530">
        <v>0</v>
      </c>
      <c r="EY261" s="530">
        <f t="shared" ref="EY261:EY324" si="168">SUM(EM261:EO261)</f>
        <v>0</v>
      </c>
      <c r="EZ261" s="530">
        <f t="shared" ref="EZ261:EZ324" si="169">SUM(EP261:ER261)</f>
        <v>47.188459999999999</v>
      </c>
      <c r="FA261" s="530">
        <f t="shared" ref="FA261:FA324" si="170">SUM(ES261:EU261)</f>
        <v>18</v>
      </c>
      <c r="FB261" s="530">
        <f t="shared" ref="FB261:FB324" si="171">SUM(EV261:EX261)</f>
        <v>0</v>
      </c>
      <c r="FC261" s="384">
        <f>IFERROR(VLOOKUP(Capex!A261,BASE_558!D:R,8,FALSE)/1000,"")</f>
        <v>183.44759999999999</v>
      </c>
      <c r="FD261" s="328">
        <f>IFERROR(VLOOKUP(Capex!A261,BASE_558!D:R,9,)/1000,"")</f>
        <v>145.66719000000001</v>
      </c>
      <c r="FE261" s="328">
        <f>IFERROR(IF(LEFT(A261,3)="LCP",(VLOOKUP(Capex!A261,BASE_558!D:R,10,)/1000),SUMIFS('BASE ICP_PO_SC'!F:F,'BASE ICP_PO_SC'!A:A,Capex!A261,'BASE ICP_PO_SC'!E:E,"&lt;&gt;")/1000),"")</f>
        <v>20.87171</v>
      </c>
      <c r="FF261" s="328">
        <f>IFERROR(IF(LEFT(A261,3)="LCP",(VLOOKUP(Capex!A261,BASE_558!D:R,11,)/1000),SUMIFS('BASE ICP_PO_SC'!F:F,'BASE ICP_PO_SC'!A:A,Capex!A261,'BASE ICP_PO_SC'!E:E,"")/1000),"")</f>
        <v>0</v>
      </c>
      <c r="FG261" s="328">
        <f>IFERROR(VLOOKUP(A261,BASE_558!D:R,13,FALSE)/1000,"")</f>
        <v>166.53889999999998</v>
      </c>
      <c r="FH261" s="328">
        <f>IFERROR(VLOOKUP(A261,BASE_558!D:R,15,FALSE)/1000,"")</f>
        <v>16.9087</v>
      </c>
      <c r="FI261" s="547">
        <f t="shared" ref="FI261:FI324" si="172">EZ261-ED261</f>
        <v>-0.86731999999999942</v>
      </c>
      <c r="FJ261" s="547">
        <f t="shared" ref="FJ261:FJ324" si="173">FA261-EE261</f>
        <v>0</v>
      </c>
      <c r="FK261" s="540">
        <f t="shared" ref="FK261:FK324" si="174">FB261-EF261</f>
        <v>0</v>
      </c>
    </row>
    <row r="262" spans="1:167" s="23" customFormat="1" ht="24" customHeight="1">
      <c r="A262" s="84" t="s">
        <v>1569</v>
      </c>
      <c r="B262" s="404"/>
      <c r="C262" s="404"/>
      <c r="D262" s="338" t="s">
        <v>1894</v>
      </c>
      <c r="E262" s="378">
        <v>5268183</v>
      </c>
      <c r="F262" s="310"/>
      <c r="G262" s="310" t="s">
        <v>9</v>
      </c>
      <c r="H262" s="338"/>
      <c r="I262" s="356" t="s">
        <v>6</v>
      </c>
      <c r="J262" s="356">
        <v>2022</v>
      </c>
      <c r="K262" s="321">
        <v>44599</v>
      </c>
      <c r="L262" s="317">
        <v>45289</v>
      </c>
      <c r="M262" s="409"/>
      <c r="N262" s="317">
        <f t="shared" si="143"/>
        <v>45511</v>
      </c>
      <c r="O262" s="317">
        <f t="shared" si="144"/>
        <v>45876</v>
      </c>
      <c r="P262" s="418" t="str">
        <f t="shared" si="150"/>
        <v>NÃO</v>
      </c>
      <c r="Q262" s="418" t="str">
        <f t="shared" si="150"/>
        <v>NÃO</v>
      </c>
      <c r="R262" s="418" t="str">
        <f t="shared" si="150"/>
        <v>NÃO</v>
      </c>
      <c r="S262" s="418" t="str">
        <f t="shared" si="150"/>
        <v>NÃO</v>
      </c>
      <c r="T262" s="418" t="str">
        <f t="shared" si="150"/>
        <v>NÃO</v>
      </c>
      <c r="U262" s="418" t="str">
        <f t="shared" si="150"/>
        <v>NÃO</v>
      </c>
      <c r="V262" s="418" t="str">
        <f t="shared" si="150"/>
        <v>NÃO</v>
      </c>
      <c r="W262" s="418" t="str">
        <f t="shared" si="150"/>
        <v>CRTD</v>
      </c>
      <c r="X262" s="418" t="str">
        <f t="shared" si="150"/>
        <v>CRTD</v>
      </c>
      <c r="Y262" s="418" t="str">
        <f t="shared" si="150"/>
        <v>CRTD</v>
      </c>
      <c r="Z262" s="418" t="str">
        <f t="shared" si="150"/>
        <v>CRTD</v>
      </c>
      <c r="AA262" s="418" t="str">
        <f t="shared" si="150"/>
        <v>CRTD</v>
      </c>
      <c r="AB262" s="350"/>
      <c r="AC262" s="309" t="s">
        <v>3932</v>
      </c>
      <c r="AD262" s="311" t="s">
        <v>222</v>
      </c>
      <c r="AE262" s="361" t="s">
        <v>979</v>
      </c>
      <c r="AF262" s="310" t="s">
        <v>6985</v>
      </c>
      <c r="AG262" s="310" t="s">
        <v>2251</v>
      </c>
      <c r="AH262" s="310" t="s">
        <v>1553</v>
      </c>
      <c r="AI262" s="381" t="s">
        <v>2255</v>
      </c>
      <c r="AJ262" s="6" t="s">
        <v>218</v>
      </c>
      <c r="AK262" s="6" t="str">
        <f t="shared" si="152"/>
        <v>IGUAL</v>
      </c>
      <c r="AL262" s="151" t="str">
        <f>IFERROR(IF(LEFT(A262,3)="LCP",VLOOKUP(A262,STATUS_SAP_LCP!B:C,2,FALSE),VLOOKUP(A262,STATUS_SAP_ICP!B:C,2,FALSE)),"NO BUDGET")</f>
        <v>CLSD BUDG AUC  AVAC  //  APPR BREL EXPL</v>
      </c>
      <c r="AM262" s="6" t="str">
        <f t="shared" si="151"/>
        <v>CLSD</v>
      </c>
      <c r="AN262" s="414" t="s">
        <v>2651</v>
      </c>
      <c r="AO262" s="558">
        <v>1</v>
      </c>
      <c r="AP262" s="499" t="s">
        <v>9607</v>
      </c>
      <c r="AQ262" s="465">
        <v>45289</v>
      </c>
      <c r="AR262" s="460"/>
      <c r="AS262" s="57"/>
      <c r="AT262" s="185"/>
      <c r="AU262" s="318">
        <v>0</v>
      </c>
      <c r="AV262" s="223">
        <v>126.04713999999998</v>
      </c>
      <c r="AW262" s="318">
        <v>5.3423599999999993</v>
      </c>
      <c r="AX262" s="223">
        <v>0</v>
      </c>
      <c r="AY262" s="318">
        <f t="shared" si="145"/>
        <v>0</v>
      </c>
      <c r="AZ262" s="223"/>
      <c r="BA262" s="318"/>
      <c r="BB262" s="519">
        <f t="shared" si="146"/>
        <v>0</v>
      </c>
      <c r="BC262" s="518"/>
      <c r="BD262" s="518"/>
      <c r="BE262" s="518"/>
      <c r="BF262" s="518"/>
      <c r="BG262" s="518"/>
      <c r="BH262" s="518"/>
      <c r="BI262" s="518"/>
      <c r="BJ262" s="518"/>
      <c r="BK262" s="518"/>
      <c r="BL262" s="518"/>
      <c r="BM262" s="518"/>
      <c r="BN262" s="518"/>
      <c r="BO262" s="367">
        <f t="shared" si="153"/>
        <v>0</v>
      </c>
      <c r="BP262" s="421"/>
      <c r="BQ262" s="422"/>
      <c r="BR262" s="423">
        <f>IFERROR(IF(LEFT($A262,3)="Lcp",SUMIFS('BASE-LCP'!$K:$K,'BASE-LCP'!$A:$A,Capex!$A264,'BASE-LCP'!$B:$B,"janeiro")/1000,IF(LEFT($A262,3)="icp",SUMIFS('BASE-ICP'!$K:$K,'BASE-ICP'!$A:$A,Capex!$A264,'BASE-ICP'!$B:$B,"janeiro")/1000,"")),"")</f>
        <v>0</v>
      </c>
      <c r="BS262" s="427">
        <v>0</v>
      </c>
      <c r="BT262" s="372">
        <v>0</v>
      </c>
      <c r="BU262" s="422"/>
      <c r="BV262" s="423">
        <f>IFERROR(IF(LEFT($A262,3)="Lcp",SUMIFS('BASE-LCP'!$K:$K,'BASE-LCP'!$A:$A,Capex!$A264,'BASE-LCP'!$B:$B,"fevereiro")/1000,IF(LEFT($A262,3)="icp",SUMIFS('BASE-ICP'!$K:$K,'BASE-ICP'!$A:$A,Capex!$A264,'BASE-ICP'!$B:$B,"fevereiro")/1000,"")),"")</f>
        <v>0</v>
      </c>
      <c r="BW262" s="427">
        <v>0</v>
      </c>
      <c r="BX262" s="372">
        <v>0</v>
      </c>
      <c r="BY262" s="419"/>
      <c r="BZ262" s="423">
        <f>IFERROR(IF(LEFT($A262,3)="Lcp",SUMIFS('BASE-LCP'!$K:$K,'BASE-LCP'!$A:$A,Capex!$A264,'BASE-LCP'!$B:$B,"março")/1000,IF(LEFT($A262,3)="icp",SUMIFS('BASE-ICP'!$K:$K,'BASE-ICP'!$A:$A,Capex!$A264,'BASE-ICP'!$B:$B,"março")/1000,"")),"")</f>
        <v>0</v>
      </c>
      <c r="CA262" s="427">
        <v>0</v>
      </c>
      <c r="CB262" s="372">
        <v>0</v>
      </c>
      <c r="CC262" s="422"/>
      <c r="CD262" s="423">
        <f>IFERROR(IF(LEFT($A262,3)="Lcp",SUMIFS('BASE-LCP'!$K:$K,'BASE-LCP'!$A:$A,Capex!$A264,'BASE-LCP'!$B:$B,"abril")/1000,IF(LEFT($A262,3)="icp",SUMIFS('BASE-ICP'!$K:$K,'BASE-ICP'!$A:$A,Capex!$A264,'BASE-ICP'!$B:$B,"abril")/1000,"")),"")</f>
        <v>0</v>
      </c>
      <c r="CE262" s="427">
        <v>0</v>
      </c>
      <c r="CF262" s="372">
        <v>0</v>
      </c>
      <c r="CG262" s="419"/>
      <c r="CH262" s="423">
        <v>0</v>
      </c>
      <c r="CI262" s="427">
        <v>0</v>
      </c>
      <c r="CJ262" s="372">
        <v>0</v>
      </c>
      <c r="CK262" s="419"/>
      <c r="CL262" s="423">
        <f>IFERROR(IF(LEFT($A262,3)="Lcp",SUMIFS('BASE-LCP'!$K:$K,'BASE-LCP'!$A:$A,Capex!$A264,'BASE-LCP'!$B:$B,"junho")/1000,IF(LEFT($A262,3)="icp",SUMIFS('BASE-ICP'!$K:$K,'BASE-ICP'!$A:$A,Capex!$A264,'BASE-ICP'!$B:$B,"junho")/1000,"")),"")</f>
        <v>0</v>
      </c>
      <c r="CM262" s="427">
        <v>0</v>
      </c>
      <c r="CN262" s="372"/>
      <c r="CO262" s="419"/>
      <c r="CP262" s="423">
        <f>IFERROR(IF(LEFT($A262,3)="Lcp",SUMIFS('BASE-LCP'!$K:$K,'BASE-LCP'!$A:$A,Capex!$A264,'BASE-LCP'!$B:$B,"julho")/1000,IF(LEFT($A262,3)="icp",SUMIFS('BASE-ICP'!$K:$K,'BASE-ICP'!$A:$A,Capex!$A264,'BASE-ICP'!$B:$B,"julho")/1000,"")),"")</f>
        <v>0</v>
      </c>
      <c r="CQ262" s="427">
        <v>0</v>
      </c>
      <c r="CR262" s="372"/>
      <c r="CS262" s="419"/>
      <c r="CT262" s="423">
        <f>IFERROR(IF(LEFT($A262,3)="Lcp",SUMIFS('BASE-LCP'!$K:$K,'BASE-LCP'!$A:$A,Capex!$A264,'BASE-LCP'!$B:$B,"agosto")/1000,IF(LEFT($A262,3)="icp",SUMIFS('BASE-ICP'!$K:$K,'BASE-ICP'!$A:$A,Capex!$A264,'BASE-ICP'!$B:$B,"agosto")/1000,"")),"")</f>
        <v>0</v>
      </c>
      <c r="CU262" s="427">
        <v>0</v>
      </c>
      <c r="CV262" s="372"/>
      <c r="CW262" s="419"/>
      <c r="CX262" s="423">
        <f>IFERROR(IF(LEFT($A262,3)="Lcp",SUMIFS('BASE-LCP'!$K:$K,'BASE-LCP'!$A:$A,Capex!$A264,'BASE-LCP'!$B:$B,"setembro")/1000,IF(LEFT($A262,3)="icp",SUMIFS('BASE-ICP'!$K:$K,'BASE-ICP'!$A:$A,Capex!$A264,'BASE-ICP'!$B:$B,"setembro")/1000,"")),"")</f>
        <v>0</v>
      </c>
      <c r="CY262" s="427">
        <v>0</v>
      </c>
      <c r="CZ262" s="372"/>
      <c r="DA262" s="419"/>
      <c r="DB262" s="423">
        <f>IFERROR(IF(LEFT($A262,3)="Lcp",SUMIFS('BASE-LCP'!$K:$K,'BASE-LCP'!$A:$A,Capex!$A264,'BASE-LCP'!$B:$B,"outubro")/1000,IF(LEFT($A262,3)="icp",SUMIFS('BASE-ICP'!$K:$K,'BASE-ICP'!$A:$A,Capex!$A264,'BASE-ICP'!$B:$B,"outubro")/1000,"")),"")</f>
        <v>0</v>
      </c>
      <c r="DC262" s="427">
        <v>0</v>
      </c>
      <c r="DD262" s="372"/>
      <c r="DE262" s="419"/>
      <c r="DF262" s="423">
        <f>IFERROR(IF(LEFT($A262,3)="Lcp",SUMIFS('BASE-LCP'!$K:$K,'BASE-LCP'!$A:$A,Capex!$A264,'BASE-LCP'!$B:$B,"novembro")/1000,IF(LEFT($A262,3)="icp",SUMIFS('BASE-ICP'!$K:$K,'BASE-ICP'!$A:$A,Capex!$A264,'BASE-ICP'!$B:$B,"novembro")/1000,"")),"")</f>
        <v>0</v>
      </c>
      <c r="DG262" s="427">
        <v>0</v>
      </c>
      <c r="DH262" s="372"/>
      <c r="DI262" s="419"/>
      <c r="DJ262" s="423">
        <f>IFERROR(IF(LEFT($A262,3)="Lcp",SUMIFS('BASE-LCP'!$K:$K,'BASE-LCP'!$A:$A,Capex!$A264,'BASE-LCP'!$B:$B,"dezembro")/1000,IF(LEFT($A262,3)="icp",SUMIFS('BASE-ICP'!$K:$K,'BASE-ICP'!$A:$A,Capex!$A264,'BASE-ICP'!$B:$B,"dezembro")/1000,"")),"")</f>
        <v>0</v>
      </c>
      <c r="DK262" s="427">
        <v>0</v>
      </c>
      <c r="DL262" s="452">
        <f t="shared" si="154"/>
        <v>0</v>
      </c>
      <c r="DM262" s="374"/>
      <c r="DN262" s="374"/>
      <c r="DO262" s="374"/>
      <c r="DP262" s="374"/>
      <c r="DQ262" s="374"/>
      <c r="DR262" s="374"/>
      <c r="DS262" s="374"/>
      <c r="DT262" s="374"/>
      <c r="DU262" s="374"/>
      <c r="DV262" s="374"/>
      <c r="DW262" s="374"/>
      <c r="DX262" s="374"/>
      <c r="DY262" s="450"/>
      <c r="DZ262" s="374">
        <f t="shared" si="155"/>
        <v>0</v>
      </c>
      <c r="EA262" s="216">
        <f t="shared" si="156"/>
        <v>0</v>
      </c>
      <c r="EB262" s="320">
        <f t="shared" si="157"/>
        <v>0</v>
      </c>
      <c r="EC262" s="241">
        <f t="shared" si="158"/>
        <v>0</v>
      </c>
      <c r="ED262" s="241">
        <f t="shared" si="159"/>
        <v>0</v>
      </c>
      <c r="EE262" s="241">
        <f t="shared" si="160"/>
        <v>0</v>
      </c>
      <c r="EF262" s="241">
        <f t="shared" si="161"/>
        <v>0</v>
      </c>
      <c r="EG262" s="346">
        <f t="shared" si="162"/>
        <v>0</v>
      </c>
      <c r="EH262" s="445">
        <f t="shared" si="163"/>
        <v>0</v>
      </c>
      <c r="EI262" s="447">
        <f t="shared" si="164"/>
        <v>0</v>
      </c>
      <c r="EJ262" s="364">
        <f t="shared" si="165"/>
        <v>0</v>
      </c>
      <c r="EK262" s="365">
        <f t="shared" si="166"/>
        <v>0</v>
      </c>
      <c r="EL262" s="529">
        <f t="shared" si="167"/>
        <v>0</v>
      </c>
      <c r="EM262" s="530">
        <v>0</v>
      </c>
      <c r="EN262" s="530">
        <v>0</v>
      </c>
      <c r="EO262" s="530">
        <v>0</v>
      </c>
      <c r="EP262" s="530">
        <v>0</v>
      </c>
      <c r="EQ262" s="530">
        <v>0</v>
      </c>
      <c r="ER262" s="530">
        <v>0</v>
      </c>
      <c r="ES262" s="530">
        <v>0</v>
      </c>
      <c r="ET262" s="530">
        <v>0</v>
      </c>
      <c r="EU262" s="530">
        <v>0</v>
      </c>
      <c r="EV262" s="530">
        <v>0</v>
      </c>
      <c r="EW262" s="530">
        <v>0</v>
      </c>
      <c r="EX262" s="530">
        <v>0</v>
      </c>
      <c r="EY262" s="530">
        <f t="shared" si="168"/>
        <v>0</v>
      </c>
      <c r="EZ262" s="530">
        <f t="shared" si="169"/>
        <v>0</v>
      </c>
      <c r="FA262" s="530">
        <f t="shared" si="170"/>
        <v>0</v>
      </c>
      <c r="FB262" s="530">
        <f t="shared" si="171"/>
        <v>0</v>
      </c>
      <c r="FC262" s="384">
        <f>IFERROR(VLOOKUP(Capex!A264,BASE_558!D:R,8,FALSE)/1000,"")</f>
        <v>357.14</v>
      </c>
      <c r="FD262" s="328">
        <f>IFERROR(VLOOKUP(Capex!A264,BASE_558!D:R,9,)/1000,"")</f>
        <v>316.66372999999999</v>
      </c>
      <c r="FE262" s="328">
        <f>IFERROR(IF(LEFT(A262,3)="LCP",(VLOOKUP(Capex!A264,BASE_558!D:R,10,)/1000),SUMIFS('BASE ICP_PO_SC'!F:F,'BASE ICP_PO_SC'!A:A,Capex!A264,'BASE ICP_PO_SC'!E:E,"&lt;&gt;")/1000),"")</f>
        <v>0</v>
      </c>
      <c r="FF262" s="328">
        <f>IFERROR(IF(LEFT(A262,3)="LCP",(VLOOKUP(Capex!A264,BASE_558!D:R,11,)/1000),SUMIFS('BASE ICP_PO_SC'!F:F,'BASE ICP_PO_SC'!A:A,Capex!A264,'BASE ICP_PO_SC'!E:E,"")/1000),"")</f>
        <v>0</v>
      </c>
      <c r="FG262" s="328">
        <f>IFERROR(VLOOKUP(A262,BASE_558!D:R,13,FALSE)/1000,"")</f>
        <v>131.3895</v>
      </c>
      <c r="FH262" s="328">
        <f>IFERROR(VLOOKUP(A262,BASE_558!D:R,15,FALSE)/1000,"")</f>
        <v>18.0745</v>
      </c>
      <c r="FI262" s="547">
        <f t="shared" si="172"/>
        <v>0</v>
      </c>
      <c r="FJ262" s="547">
        <f t="shared" si="173"/>
        <v>0</v>
      </c>
      <c r="FK262" s="540">
        <f t="shared" si="174"/>
        <v>0</v>
      </c>
    </row>
    <row r="263" spans="1:167" s="23" customFormat="1" ht="24" customHeight="1">
      <c r="A263" s="84" t="s">
        <v>1567</v>
      </c>
      <c r="B263" s="404"/>
      <c r="C263" s="404"/>
      <c r="D263" s="338" t="s">
        <v>2290</v>
      </c>
      <c r="E263" s="378">
        <v>5309673</v>
      </c>
      <c r="F263" s="5"/>
      <c r="G263" s="310" t="s">
        <v>9</v>
      </c>
      <c r="H263" s="494" t="s">
        <v>6</v>
      </c>
      <c r="I263" s="356"/>
      <c r="J263" s="356">
        <v>2022</v>
      </c>
      <c r="K263" s="352">
        <v>44607</v>
      </c>
      <c r="L263" s="317">
        <v>45670</v>
      </c>
      <c r="M263" s="409"/>
      <c r="N263" s="317">
        <f t="shared" si="143"/>
        <v>45519</v>
      </c>
      <c r="O263" s="317">
        <f t="shared" si="144"/>
        <v>45884</v>
      </c>
      <c r="P263" s="418" t="str">
        <f t="shared" si="150"/>
        <v>NÃO</v>
      </c>
      <c r="Q263" s="418" t="str">
        <f t="shared" si="150"/>
        <v>NÃO</v>
      </c>
      <c r="R263" s="418" t="str">
        <f t="shared" si="150"/>
        <v>NÃO</v>
      </c>
      <c r="S263" s="418" t="str">
        <f t="shared" si="150"/>
        <v>NÃO</v>
      </c>
      <c r="T263" s="418" t="str">
        <f t="shared" si="150"/>
        <v>NÃO</v>
      </c>
      <c r="U263" s="418" t="str">
        <f t="shared" si="150"/>
        <v>NÃO</v>
      </c>
      <c r="V263" s="418" t="str">
        <f t="shared" si="150"/>
        <v>NÃO</v>
      </c>
      <c r="W263" s="418" t="str">
        <f t="shared" si="150"/>
        <v>CRTD</v>
      </c>
      <c r="X263" s="418" t="str">
        <f t="shared" si="150"/>
        <v>CRTD</v>
      </c>
      <c r="Y263" s="418" t="str">
        <f t="shared" si="150"/>
        <v>CRTD</v>
      </c>
      <c r="Z263" s="418" t="str">
        <f t="shared" si="150"/>
        <v>CRTD</v>
      </c>
      <c r="AA263" s="418" t="str">
        <f t="shared" si="150"/>
        <v>CRTD</v>
      </c>
      <c r="AB263" s="350"/>
      <c r="AC263" s="309" t="s">
        <v>2508</v>
      </c>
      <c r="AD263" s="311"/>
      <c r="AE263" s="361"/>
      <c r="AF263" s="310" t="s">
        <v>6985</v>
      </c>
      <c r="AG263" s="310" t="s">
        <v>6882</v>
      </c>
      <c r="AH263" s="310" t="s">
        <v>1563</v>
      </c>
      <c r="AI263" s="381" t="s">
        <v>2255</v>
      </c>
      <c r="AJ263" s="6" t="s">
        <v>218</v>
      </c>
      <c r="AK263" s="6" t="str">
        <f t="shared" si="152"/>
        <v>IGUAL</v>
      </c>
      <c r="AL263" s="151" t="str">
        <f>IFERROR(IF(LEFT(A263,3)="LCP",VLOOKUP(A263,STATUS_SAP_LCP!B:C,2,FALSE),VLOOKUP(A263,STATUS_SAP_ICP!B:C,2,FALSE)),"NO BUDGET")</f>
        <v>CLSD BUDG AUC  AVAC  //  APPR BREL EXPL</v>
      </c>
      <c r="AM263" s="6" t="str">
        <f t="shared" si="151"/>
        <v>CLSD</v>
      </c>
      <c r="AN263" s="414" t="s">
        <v>2651</v>
      </c>
      <c r="AO263" s="558">
        <v>1</v>
      </c>
      <c r="AP263" s="499" t="s">
        <v>9607</v>
      </c>
      <c r="AQ263" s="465">
        <v>45670</v>
      </c>
      <c r="AR263" s="460"/>
      <c r="AS263" s="57"/>
      <c r="AT263" s="185"/>
      <c r="AU263" s="318">
        <v>0</v>
      </c>
      <c r="AV263" s="223">
        <v>70.850219999999993</v>
      </c>
      <c r="AW263" s="318">
        <v>73.254250000000013</v>
      </c>
      <c r="AX263" s="223">
        <v>16.60445</v>
      </c>
      <c r="AY263" s="318">
        <f t="shared" si="145"/>
        <v>0</v>
      </c>
      <c r="AZ263" s="223"/>
      <c r="BA263" s="318"/>
      <c r="BB263" s="519">
        <f t="shared" si="146"/>
        <v>0</v>
      </c>
      <c r="BC263" s="518">
        <v>0</v>
      </c>
      <c r="BD263" s="518">
        <v>0</v>
      </c>
      <c r="BE263" s="518">
        <v>0</v>
      </c>
      <c r="BF263" s="518">
        <v>0</v>
      </c>
      <c r="BG263" s="518">
        <v>0</v>
      </c>
      <c r="BH263" s="518">
        <v>0</v>
      </c>
      <c r="BI263" s="518">
        <v>0</v>
      </c>
      <c r="BJ263" s="518">
        <v>0</v>
      </c>
      <c r="BK263" s="518">
        <v>0</v>
      </c>
      <c r="BL263" s="518">
        <v>0</v>
      </c>
      <c r="BM263" s="518">
        <v>0</v>
      </c>
      <c r="BN263" s="518">
        <v>0</v>
      </c>
      <c r="BO263" s="367">
        <f t="shared" si="153"/>
        <v>0</v>
      </c>
      <c r="BP263" s="421">
        <v>0</v>
      </c>
      <c r="BQ263" s="422"/>
      <c r="BR263" s="423">
        <f>IFERROR(IF(LEFT($A263,3)="Lcp",SUMIFS('BASE-LCP'!$K:$K,'BASE-LCP'!$A:$A,Capex!$A265,'BASE-LCP'!$B:$B,"janeiro")/1000,IF(LEFT($A263,3)="icp",SUMIFS('BASE-ICP'!$K:$K,'BASE-ICP'!$A:$A,Capex!$A265,'BASE-ICP'!$B:$B,"janeiro")/1000,"")),"")</f>
        <v>0</v>
      </c>
      <c r="BS263" s="427">
        <v>0</v>
      </c>
      <c r="BT263" s="372">
        <v>0</v>
      </c>
      <c r="BU263" s="422"/>
      <c r="BV263" s="423">
        <f>IFERROR(IF(LEFT($A263,3)="Lcp",SUMIFS('BASE-LCP'!$K:$K,'BASE-LCP'!$A:$A,Capex!$A265,'BASE-LCP'!$B:$B,"fevereiro")/1000,IF(LEFT($A263,3)="icp",SUMIFS('BASE-ICP'!$K:$K,'BASE-ICP'!$A:$A,Capex!$A265,'BASE-ICP'!$B:$B,"fevereiro")/1000,"")),"")</f>
        <v>0</v>
      </c>
      <c r="BW263" s="427">
        <v>0</v>
      </c>
      <c r="BX263" s="372">
        <v>0</v>
      </c>
      <c r="BY263" s="419"/>
      <c r="BZ263" s="423">
        <f>IFERROR(IF(LEFT($A263,3)="Lcp",SUMIFS('BASE-LCP'!$K:$K,'BASE-LCP'!$A:$A,Capex!$A265,'BASE-LCP'!$B:$B,"março")/1000,IF(LEFT($A263,3)="icp",SUMIFS('BASE-ICP'!$K:$K,'BASE-ICP'!$A:$A,Capex!$A265,'BASE-ICP'!$B:$B,"março")/1000,"")),"")</f>
        <v>0</v>
      </c>
      <c r="CA263" s="427">
        <v>0</v>
      </c>
      <c r="CB263" s="372">
        <v>0</v>
      </c>
      <c r="CC263" s="422"/>
      <c r="CD263" s="423">
        <f>IFERROR(IF(LEFT($A263,3)="Lcp",SUMIFS('BASE-LCP'!$K:$K,'BASE-LCP'!$A:$A,Capex!$A265,'BASE-LCP'!$B:$B,"abril")/1000,IF(LEFT($A263,3)="icp",SUMIFS('BASE-ICP'!$K:$K,'BASE-ICP'!$A:$A,Capex!$A265,'BASE-ICP'!$B:$B,"abril")/1000,"")),"")</f>
        <v>0</v>
      </c>
      <c r="CE263" s="427">
        <v>0</v>
      </c>
      <c r="CF263" s="372">
        <v>0</v>
      </c>
      <c r="CG263" s="419"/>
      <c r="CH263" s="423">
        <v>0</v>
      </c>
      <c r="CI263" s="427">
        <v>0</v>
      </c>
      <c r="CJ263" s="372">
        <v>0</v>
      </c>
      <c r="CK263" s="419"/>
      <c r="CL263" s="423">
        <f>IFERROR(IF(LEFT($A263,3)="Lcp",SUMIFS('BASE-LCP'!$K:$K,'BASE-LCP'!$A:$A,Capex!$A265,'BASE-LCP'!$B:$B,"junho")/1000,IF(LEFT($A263,3)="icp",SUMIFS('BASE-ICP'!$K:$K,'BASE-ICP'!$A:$A,Capex!$A265,'BASE-ICP'!$B:$B,"junho")/1000,"")),"")</f>
        <v>0</v>
      </c>
      <c r="CM263" s="427">
        <v>0</v>
      </c>
      <c r="CN263" s="372"/>
      <c r="CO263" s="419"/>
      <c r="CP263" s="423">
        <f>IFERROR(IF(LEFT($A263,3)="Lcp",SUMIFS('BASE-LCP'!$K:$K,'BASE-LCP'!$A:$A,Capex!$A265,'BASE-LCP'!$B:$B,"julho")/1000,IF(LEFT($A263,3)="icp",SUMIFS('BASE-ICP'!$K:$K,'BASE-ICP'!$A:$A,Capex!$A265,'BASE-ICP'!$B:$B,"julho")/1000,"")),"")</f>
        <v>0</v>
      </c>
      <c r="CQ263" s="427">
        <v>0</v>
      </c>
      <c r="CR263" s="372"/>
      <c r="CS263" s="419"/>
      <c r="CT263" s="423">
        <f>IFERROR(IF(LEFT($A263,3)="Lcp",SUMIFS('BASE-LCP'!$K:$K,'BASE-LCP'!$A:$A,Capex!$A265,'BASE-LCP'!$B:$B,"agosto")/1000,IF(LEFT($A263,3)="icp",SUMIFS('BASE-ICP'!$K:$K,'BASE-ICP'!$A:$A,Capex!$A265,'BASE-ICP'!$B:$B,"agosto")/1000,"")),"")</f>
        <v>0</v>
      </c>
      <c r="CU263" s="427">
        <v>0</v>
      </c>
      <c r="CV263" s="372"/>
      <c r="CW263" s="419"/>
      <c r="CX263" s="423">
        <f>IFERROR(IF(LEFT($A263,3)="Lcp",SUMIFS('BASE-LCP'!$K:$K,'BASE-LCP'!$A:$A,Capex!$A265,'BASE-LCP'!$B:$B,"setembro")/1000,IF(LEFT($A263,3)="icp",SUMIFS('BASE-ICP'!$K:$K,'BASE-ICP'!$A:$A,Capex!$A265,'BASE-ICP'!$B:$B,"setembro")/1000,"")),"")</f>
        <v>0</v>
      </c>
      <c r="CY263" s="427">
        <v>0</v>
      </c>
      <c r="CZ263" s="372"/>
      <c r="DA263" s="419"/>
      <c r="DB263" s="423">
        <f>IFERROR(IF(LEFT($A263,3)="Lcp",SUMIFS('BASE-LCP'!$K:$K,'BASE-LCP'!$A:$A,Capex!$A265,'BASE-LCP'!$B:$B,"outubro")/1000,IF(LEFT($A263,3)="icp",SUMIFS('BASE-ICP'!$K:$K,'BASE-ICP'!$A:$A,Capex!$A265,'BASE-ICP'!$B:$B,"outubro")/1000,"")),"")</f>
        <v>0</v>
      </c>
      <c r="DC263" s="427">
        <v>0</v>
      </c>
      <c r="DD263" s="372"/>
      <c r="DE263" s="419"/>
      <c r="DF263" s="423">
        <f>IFERROR(IF(LEFT($A263,3)="Lcp",SUMIFS('BASE-LCP'!$K:$K,'BASE-LCP'!$A:$A,Capex!$A265,'BASE-LCP'!$B:$B,"novembro")/1000,IF(LEFT($A263,3)="icp",SUMIFS('BASE-ICP'!$K:$K,'BASE-ICP'!$A:$A,Capex!$A265,'BASE-ICP'!$B:$B,"novembro")/1000,"")),"")</f>
        <v>0</v>
      </c>
      <c r="DG263" s="427">
        <v>0</v>
      </c>
      <c r="DH263" s="372"/>
      <c r="DI263" s="419"/>
      <c r="DJ263" s="423">
        <f>IFERROR(IF(LEFT($A263,3)="Lcp",SUMIFS('BASE-LCP'!$K:$K,'BASE-LCP'!$A:$A,Capex!$A265,'BASE-LCP'!$B:$B,"dezembro")/1000,IF(LEFT($A263,3)="icp",SUMIFS('BASE-ICP'!$K:$K,'BASE-ICP'!$A:$A,Capex!$A265,'BASE-ICP'!$B:$B,"dezembro")/1000,"")),"")</f>
        <v>0</v>
      </c>
      <c r="DK263" s="427">
        <v>0</v>
      </c>
      <c r="DL263" s="452">
        <f t="shared" si="154"/>
        <v>0</v>
      </c>
      <c r="DM263" s="374"/>
      <c r="DN263" s="374">
        <v>0</v>
      </c>
      <c r="DO263" s="374"/>
      <c r="DP263" s="374"/>
      <c r="DQ263" s="374"/>
      <c r="DR263" s="374"/>
      <c r="DS263" s="374"/>
      <c r="DT263" s="374"/>
      <c r="DU263" s="374"/>
      <c r="DV263" s="374"/>
      <c r="DW263" s="374"/>
      <c r="DX263" s="374"/>
      <c r="DY263" s="450"/>
      <c r="DZ263" s="374">
        <f t="shared" si="155"/>
        <v>0</v>
      </c>
      <c r="EA263" s="216">
        <f t="shared" si="156"/>
        <v>0</v>
      </c>
      <c r="EB263" s="320">
        <f t="shared" si="157"/>
        <v>0</v>
      </c>
      <c r="EC263" s="241">
        <f t="shared" si="158"/>
        <v>0</v>
      </c>
      <c r="ED263" s="241">
        <f t="shared" si="159"/>
        <v>0</v>
      </c>
      <c r="EE263" s="241">
        <f t="shared" si="160"/>
        <v>0</v>
      </c>
      <c r="EF263" s="241">
        <f t="shared" si="161"/>
        <v>0</v>
      </c>
      <c r="EG263" s="346">
        <f t="shared" si="162"/>
        <v>0</v>
      </c>
      <c r="EH263" s="445">
        <f t="shared" si="163"/>
        <v>0</v>
      </c>
      <c r="EI263" s="447">
        <f t="shared" si="164"/>
        <v>0</v>
      </c>
      <c r="EJ263" s="364">
        <f t="shared" si="165"/>
        <v>0</v>
      </c>
      <c r="EK263" s="365">
        <f t="shared" si="166"/>
        <v>0</v>
      </c>
      <c r="EL263" s="529">
        <f t="shared" si="167"/>
        <v>0</v>
      </c>
      <c r="EM263" s="530">
        <v>0</v>
      </c>
      <c r="EN263" s="530">
        <v>0</v>
      </c>
      <c r="EO263" s="530">
        <v>0</v>
      </c>
      <c r="EP263" s="530">
        <v>0</v>
      </c>
      <c r="EQ263" s="530">
        <v>0</v>
      </c>
      <c r="ER263" s="530">
        <v>0</v>
      </c>
      <c r="ES263" s="530">
        <v>0</v>
      </c>
      <c r="ET263" s="530">
        <v>0</v>
      </c>
      <c r="EU263" s="530">
        <v>0</v>
      </c>
      <c r="EV263" s="530">
        <v>0</v>
      </c>
      <c r="EW263" s="530">
        <v>0</v>
      </c>
      <c r="EX263" s="530">
        <v>0</v>
      </c>
      <c r="EY263" s="530">
        <f t="shared" si="168"/>
        <v>0</v>
      </c>
      <c r="EZ263" s="530">
        <f t="shared" si="169"/>
        <v>0</v>
      </c>
      <c r="FA263" s="530">
        <f t="shared" si="170"/>
        <v>0</v>
      </c>
      <c r="FB263" s="530">
        <f t="shared" si="171"/>
        <v>0</v>
      </c>
      <c r="FC263" s="384">
        <f>IFERROR(VLOOKUP(Capex!A265,BASE_558!D:R,8,FALSE)/1000,"")</f>
        <v>900</v>
      </c>
      <c r="FD263" s="328">
        <f>IFERROR(VLOOKUP(Capex!A265,BASE_558!D:R,9,)/1000,"")</f>
        <v>285.87265000000002</v>
      </c>
      <c r="FE263" s="328">
        <f>IFERROR(IF(LEFT(A263,3)="LCP",(VLOOKUP(Capex!A265,BASE_558!D:R,10,)/1000),SUMIFS('BASE ICP_PO_SC'!F:F,'BASE ICP_PO_SC'!A:A,Capex!A265,'BASE ICP_PO_SC'!E:E,"&lt;&gt;")/1000),"")</f>
        <v>0</v>
      </c>
      <c r="FF263" s="328">
        <f>IFERROR(IF(LEFT(A263,3)="LCP",(VLOOKUP(Capex!A265,BASE_558!D:R,11,)/1000),SUMIFS('BASE ICP_PO_SC'!F:F,'BASE ICP_PO_SC'!A:A,Capex!A265,'BASE ICP_PO_SC'!E:E,"")/1000),"")</f>
        <v>0</v>
      </c>
      <c r="FG263" s="328">
        <f>IFERROR(VLOOKUP(A263,BASE_558!D:R,13,FALSE)/1000,"")</f>
        <v>160.70892000000001</v>
      </c>
      <c r="FH263" s="328">
        <f>IFERROR(VLOOKUP(A263,BASE_558!D:R,15,FALSE)/1000,"")</f>
        <v>6.0600800000000001</v>
      </c>
      <c r="FI263" s="547">
        <f t="shared" si="172"/>
        <v>0</v>
      </c>
      <c r="FJ263" s="547">
        <f t="shared" si="173"/>
        <v>0</v>
      </c>
      <c r="FK263" s="540">
        <f t="shared" si="174"/>
        <v>0</v>
      </c>
    </row>
    <row r="264" spans="1:167" s="23" customFormat="1" ht="24" customHeight="1">
      <c r="A264" s="84" t="s">
        <v>1510</v>
      </c>
      <c r="B264" s="404"/>
      <c r="C264" s="404"/>
      <c r="D264" s="338" t="s">
        <v>2291</v>
      </c>
      <c r="E264" s="378">
        <v>5209783</v>
      </c>
      <c r="F264" s="310"/>
      <c r="G264" s="310" t="s">
        <v>9</v>
      </c>
      <c r="H264" s="356"/>
      <c r="I264" s="356" t="s">
        <v>6</v>
      </c>
      <c r="J264" s="356">
        <v>2022</v>
      </c>
      <c r="K264" s="321">
        <v>44592</v>
      </c>
      <c r="L264" s="317">
        <v>45296</v>
      </c>
      <c r="M264" s="409"/>
      <c r="N264" s="317">
        <f t="shared" si="143"/>
        <v>45504</v>
      </c>
      <c r="O264" s="317">
        <f t="shared" si="144"/>
        <v>45869</v>
      </c>
      <c r="P264" s="418" t="str">
        <f t="shared" si="150"/>
        <v>NÃO</v>
      </c>
      <c r="Q264" s="418" t="str">
        <f t="shared" si="150"/>
        <v>NÃO</v>
      </c>
      <c r="R264" s="418" t="str">
        <f t="shared" si="150"/>
        <v>NÃO</v>
      </c>
      <c r="S264" s="418" t="str">
        <f t="shared" si="150"/>
        <v>NÃO</v>
      </c>
      <c r="T264" s="418" t="str">
        <f t="shared" si="150"/>
        <v>NÃO</v>
      </c>
      <c r="U264" s="418" t="str">
        <f t="shared" si="150"/>
        <v>NÃO</v>
      </c>
      <c r="V264" s="418" t="str">
        <f t="shared" si="150"/>
        <v>CRTD</v>
      </c>
      <c r="W264" s="418" t="str">
        <f t="shared" si="150"/>
        <v>CRTD</v>
      </c>
      <c r="X264" s="418" t="str">
        <f t="shared" si="150"/>
        <v>CRTD</v>
      </c>
      <c r="Y264" s="418" t="str">
        <f t="shared" si="150"/>
        <v>CRTD</v>
      </c>
      <c r="Z264" s="418" t="str">
        <f t="shared" si="150"/>
        <v>CRTD</v>
      </c>
      <c r="AA264" s="418" t="str">
        <f t="shared" si="150"/>
        <v>CRTD</v>
      </c>
      <c r="AB264" s="350"/>
      <c r="AC264" s="309" t="s">
        <v>3932</v>
      </c>
      <c r="AD264" s="311" t="s">
        <v>5</v>
      </c>
      <c r="AE264" s="361" t="s">
        <v>952</v>
      </c>
      <c r="AF264" s="310" t="s">
        <v>6985</v>
      </c>
      <c r="AG264" s="310" t="s">
        <v>704</v>
      </c>
      <c r="AH264" s="310" t="s">
        <v>2827</v>
      </c>
      <c r="AI264" s="381" t="s">
        <v>316</v>
      </c>
      <c r="AJ264" s="6" t="s">
        <v>218</v>
      </c>
      <c r="AK264" s="6" t="str">
        <f t="shared" si="152"/>
        <v>IGUAL</v>
      </c>
      <c r="AL264" s="151" t="str">
        <f>IFERROR(IF(LEFT(A264,3)="LCP",VLOOKUP(A264,STATUS_SAP_LCP!B:C,2,FALSE),VLOOKUP(A264,STATUS_SAP_ICP!B:C,2,FALSE)),"NO BUDGET")</f>
        <v>CLSD BUDG AUC  AVAC  //  APPR BREL EXPL</v>
      </c>
      <c r="AM264" s="6" t="str">
        <f t="shared" si="151"/>
        <v>CLSD</v>
      </c>
      <c r="AN264" s="282" t="s">
        <v>2651</v>
      </c>
      <c r="AO264" s="493">
        <v>1</v>
      </c>
      <c r="AP264" s="499" t="s">
        <v>9607</v>
      </c>
      <c r="AQ264" s="465">
        <v>45296</v>
      </c>
      <c r="AR264" s="460"/>
      <c r="AS264" s="57"/>
      <c r="AT264" s="185"/>
      <c r="AU264" s="318">
        <v>0</v>
      </c>
      <c r="AV264" s="223">
        <v>17.872310000000002</v>
      </c>
      <c r="AW264" s="318">
        <v>297.52781999999996</v>
      </c>
      <c r="AX264" s="223">
        <v>1.2635999999999998</v>
      </c>
      <c r="AY264" s="318">
        <f t="shared" si="145"/>
        <v>0</v>
      </c>
      <c r="AZ264" s="223"/>
      <c r="BA264" s="318"/>
      <c r="BB264" s="519">
        <f t="shared" si="146"/>
        <v>0</v>
      </c>
      <c r="BC264" s="518">
        <v>0</v>
      </c>
      <c r="BD264" s="518">
        <v>0</v>
      </c>
      <c r="BE264" s="518">
        <v>0</v>
      </c>
      <c r="BF264" s="518">
        <v>0</v>
      </c>
      <c r="BG264" s="518">
        <v>0</v>
      </c>
      <c r="BH264" s="518">
        <v>0</v>
      </c>
      <c r="BI264" s="518">
        <v>0</v>
      </c>
      <c r="BJ264" s="518">
        <v>0</v>
      </c>
      <c r="BK264" s="518">
        <v>0</v>
      </c>
      <c r="BL264" s="518">
        <v>0</v>
      </c>
      <c r="BM264" s="518">
        <v>0</v>
      </c>
      <c r="BN264" s="518">
        <v>0</v>
      </c>
      <c r="BO264" s="367">
        <f t="shared" si="153"/>
        <v>0</v>
      </c>
      <c r="BP264" s="421">
        <v>0</v>
      </c>
      <c r="BQ264" s="422"/>
      <c r="BR264" s="423">
        <f>IFERROR(IF(LEFT($A264,3)="Lcp",SUMIFS('BASE-LCP'!$K:$K,'BASE-LCP'!$A:$A,Capex!$A266,'BASE-LCP'!$B:$B,"janeiro")/1000,IF(LEFT($A264,3)="icp",SUMIFS('BASE-ICP'!$K:$K,'BASE-ICP'!$A:$A,Capex!$A266,'BASE-ICP'!$B:$B,"janeiro")/1000,"")),"")</f>
        <v>0</v>
      </c>
      <c r="BS264" s="427">
        <v>0</v>
      </c>
      <c r="BT264" s="372">
        <v>0</v>
      </c>
      <c r="BU264" s="422"/>
      <c r="BV264" s="423">
        <f>IFERROR(IF(LEFT($A264,3)="Lcp",SUMIFS('BASE-LCP'!$K:$K,'BASE-LCP'!$A:$A,Capex!$A266,'BASE-LCP'!$B:$B,"fevereiro")/1000,IF(LEFT($A264,3)="icp",SUMIFS('BASE-ICP'!$K:$K,'BASE-ICP'!$A:$A,Capex!$A266,'BASE-ICP'!$B:$B,"fevereiro")/1000,"")),"")</f>
        <v>0</v>
      </c>
      <c r="BW264" s="427">
        <v>0</v>
      </c>
      <c r="BX264" s="372">
        <v>0</v>
      </c>
      <c r="BY264" s="419"/>
      <c r="BZ264" s="423">
        <f>IFERROR(IF(LEFT($A264,3)="Lcp",SUMIFS('BASE-LCP'!$K:$K,'BASE-LCP'!$A:$A,Capex!$A266,'BASE-LCP'!$B:$B,"março")/1000,IF(LEFT($A264,3)="icp",SUMIFS('BASE-ICP'!$K:$K,'BASE-ICP'!$A:$A,Capex!$A266,'BASE-ICP'!$B:$B,"março")/1000,"")),"")</f>
        <v>0</v>
      </c>
      <c r="CA264" s="427">
        <v>0</v>
      </c>
      <c r="CB264" s="372">
        <v>0</v>
      </c>
      <c r="CC264" s="422"/>
      <c r="CD264" s="423">
        <f>IFERROR(IF(LEFT($A264,3)="Lcp",SUMIFS('BASE-LCP'!$K:$K,'BASE-LCP'!$A:$A,Capex!$A266,'BASE-LCP'!$B:$B,"abril")/1000,IF(LEFT($A264,3)="icp",SUMIFS('BASE-ICP'!$K:$K,'BASE-ICP'!$A:$A,Capex!$A266,'BASE-ICP'!$B:$B,"abril")/1000,"")),"")</f>
        <v>0</v>
      </c>
      <c r="CE264" s="427">
        <v>0</v>
      </c>
      <c r="CF264" s="372">
        <v>0</v>
      </c>
      <c r="CG264" s="419"/>
      <c r="CH264" s="423">
        <v>0</v>
      </c>
      <c r="CI264" s="427">
        <v>0</v>
      </c>
      <c r="CJ264" s="372">
        <v>0</v>
      </c>
      <c r="CK264" s="419"/>
      <c r="CL264" s="423">
        <f>IFERROR(IF(LEFT($A264,3)="Lcp",SUMIFS('BASE-LCP'!$K:$K,'BASE-LCP'!$A:$A,Capex!$A266,'BASE-LCP'!$B:$B,"junho")/1000,IF(LEFT($A264,3)="icp",SUMIFS('BASE-ICP'!$K:$K,'BASE-ICP'!$A:$A,Capex!$A266,'BASE-ICP'!$B:$B,"junho")/1000,"")),"")</f>
        <v>-0.75326000000000048</v>
      </c>
      <c r="CM264" s="427">
        <v>0</v>
      </c>
      <c r="CN264" s="372"/>
      <c r="CO264" s="419"/>
      <c r="CP264" s="423">
        <f>IFERROR(IF(LEFT($A264,3)="Lcp",SUMIFS('BASE-LCP'!$K:$K,'BASE-LCP'!$A:$A,Capex!$A266,'BASE-LCP'!$B:$B,"julho")/1000,IF(LEFT($A264,3)="icp",SUMIFS('BASE-ICP'!$K:$K,'BASE-ICP'!$A:$A,Capex!$A266,'BASE-ICP'!$B:$B,"julho")/1000,"")),"")</f>
        <v>0</v>
      </c>
      <c r="CQ264" s="427">
        <v>0</v>
      </c>
      <c r="CR264" s="372"/>
      <c r="CS264" s="419"/>
      <c r="CT264" s="423">
        <f>IFERROR(IF(LEFT($A264,3)="Lcp",SUMIFS('BASE-LCP'!$K:$K,'BASE-LCP'!$A:$A,Capex!$A266,'BASE-LCP'!$B:$B,"agosto")/1000,IF(LEFT($A264,3)="icp",SUMIFS('BASE-ICP'!$K:$K,'BASE-ICP'!$A:$A,Capex!$A266,'BASE-ICP'!$B:$B,"agosto")/1000,"")),"")</f>
        <v>0</v>
      </c>
      <c r="CU264" s="427">
        <v>0</v>
      </c>
      <c r="CV264" s="372"/>
      <c r="CW264" s="419"/>
      <c r="CX264" s="423">
        <f>IFERROR(IF(LEFT($A264,3)="Lcp",SUMIFS('BASE-LCP'!$K:$K,'BASE-LCP'!$A:$A,Capex!$A266,'BASE-LCP'!$B:$B,"setembro")/1000,IF(LEFT($A264,3)="icp",SUMIFS('BASE-ICP'!$K:$K,'BASE-ICP'!$A:$A,Capex!$A266,'BASE-ICP'!$B:$B,"setembro")/1000,"")),"")</f>
        <v>0</v>
      </c>
      <c r="CY264" s="427">
        <v>0</v>
      </c>
      <c r="CZ264" s="372"/>
      <c r="DA264" s="419"/>
      <c r="DB264" s="423">
        <f>IFERROR(IF(LEFT($A264,3)="Lcp",SUMIFS('BASE-LCP'!$K:$K,'BASE-LCP'!$A:$A,Capex!$A266,'BASE-LCP'!$B:$B,"outubro")/1000,IF(LEFT($A264,3)="icp",SUMIFS('BASE-ICP'!$K:$K,'BASE-ICP'!$A:$A,Capex!$A266,'BASE-ICP'!$B:$B,"outubro")/1000,"")),"")</f>
        <v>0</v>
      </c>
      <c r="DC264" s="427">
        <v>0</v>
      </c>
      <c r="DD264" s="372"/>
      <c r="DE264" s="419"/>
      <c r="DF264" s="423">
        <f>IFERROR(IF(LEFT($A264,3)="Lcp",SUMIFS('BASE-LCP'!$K:$K,'BASE-LCP'!$A:$A,Capex!$A266,'BASE-LCP'!$B:$B,"novembro")/1000,IF(LEFT($A264,3)="icp",SUMIFS('BASE-ICP'!$K:$K,'BASE-ICP'!$A:$A,Capex!$A266,'BASE-ICP'!$B:$B,"novembro")/1000,"")),"")</f>
        <v>0</v>
      </c>
      <c r="DG264" s="427">
        <v>0</v>
      </c>
      <c r="DH264" s="372"/>
      <c r="DI264" s="419"/>
      <c r="DJ264" s="423">
        <f>IFERROR(IF(LEFT($A264,3)="Lcp",SUMIFS('BASE-LCP'!$K:$K,'BASE-LCP'!$A:$A,Capex!$A266,'BASE-LCP'!$B:$B,"dezembro")/1000,IF(LEFT($A264,3)="icp",SUMIFS('BASE-ICP'!$K:$K,'BASE-ICP'!$A:$A,Capex!$A266,'BASE-ICP'!$B:$B,"dezembro")/1000,"")),"")</f>
        <v>0</v>
      </c>
      <c r="DK264" s="427">
        <v>0</v>
      </c>
      <c r="DL264" s="452">
        <f t="shared" si="154"/>
        <v>0</v>
      </c>
      <c r="DM264" s="374"/>
      <c r="DN264" s="374">
        <v>0</v>
      </c>
      <c r="DO264" s="374"/>
      <c r="DP264" s="374"/>
      <c r="DQ264" s="374"/>
      <c r="DR264" s="374"/>
      <c r="DS264" s="374"/>
      <c r="DT264" s="374"/>
      <c r="DU264" s="374"/>
      <c r="DV264" s="374"/>
      <c r="DW264" s="374"/>
      <c r="DX264" s="374"/>
      <c r="DY264" s="450"/>
      <c r="DZ264" s="374">
        <f t="shared" si="155"/>
        <v>0</v>
      </c>
      <c r="EA264" s="216">
        <f t="shared" si="156"/>
        <v>0</v>
      </c>
      <c r="EB264" s="320">
        <f t="shared" si="157"/>
        <v>-0.75326000000000048</v>
      </c>
      <c r="EC264" s="241">
        <f t="shared" si="158"/>
        <v>0</v>
      </c>
      <c r="ED264" s="241">
        <f t="shared" si="159"/>
        <v>0</v>
      </c>
      <c r="EE264" s="241">
        <f t="shared" si="160"/>
        <v>0</v>
      </c>
      <c r="EF264" s="241">
        <f t="shared" si="161"/>
        <v>0</v>
      </c>
      <c r="EG264" s="346">
        <f t="shared" si="162"/>
        <v>0</v>
      </c>
      <c r="EH264" s="445">
        <f t="shared" si="163"/>
        <v>0</v>
      </c>
      <c r="EI264" s="447">
        <f t="shared" si="164"/>
        <v>0</v>
      </c>
      <c r="EJ264" s="364">
        <f t="shared" si="165"/>
        <v>-0.75326000000000048</v>
      </c>
      <c r="EK264" s="365">
        <f t="shared" si="166"/>
        <v>0.75326000000000048</v>
      </c>
      <c r="EL264" s="529">
        <f t="shared" si="167"/>
        <v>0</v>
      </c>
      <c r="EM264" s="530">
        <v>0</v>
      </c>
      <c r="EN264" s="530">
        <v>0</v>
      </c>
      <c r="EO264" s="530">
        <v>0</v>
      </c>
      <c r="EP264" s="530">
        <v>0</v>
      </c>
      <c r="EQ264" s="530">
        <v>0</v>
      </c>
      <c r="ER264" s="530">
        <v>0</v>
      </c>
      <c r="ES264" s="530">
        <v>0</v>
      </c>
      <c r="ET264" s="530">
        <v>0</v>
      </c>
      <c r="EU264" s="530">
        <v>0</v>
      </c>
      <c r="EV264" s="530">
        <v>0</v>
      </c>
      <c r="EW264" s="530">
        <v>0</v>
      </c>
      <c r="EX264" s="530">
        <v>0</v>
      </c>
      <c r="EY264" s="530">
        <f t="shared" si="168"/>
        <v>0</v>
      </c>
      <c r="EZ264" s="530">
        <f t="shared" si="169"/>
        <v>0</v>
      </c>
      <c r="FA264" s="530">
        <f t="shared" si="170"/>
        <v>0</v>
      </c>
      <c r="FB264" s="530">
        <f t="shared" si="171"/>
        <v>0</v>
      </c>
      <c r="FC264" s="384">
        <f>IFERROR(VLOOKUP(Capex!A266,BASE_558!D:R,8,FALSE)/1000,"")</f>
        <v>450.45</v>
      </c>
      <c r="FD264" s="328">
        <f>IFERROR(VLOOKUP(Capex!A266,BASE_558!D:R,9,)/1000,"")</f>
        <v>12.830249999999999</v>
      </c>
      <c r="FE264" s="328">
        <f>IFERROR(IF(LEFT(A264,3)="LCP",(VLOOKUP(Capex!A266,BASE_558!D:R,10,)/1000),SUMIFS('BASE ICP_PO_SC'!F:F,'BASE ICP_PO_SC'!A:A,Capex!A266,'BASE ICP_PO_SC'!E:E,"&lt;&gt;")/1000),"")</f>
        <v>9.4909999999999994E-2</v>
      </c>
      <c r="FF264" s="328">
        <f>IFERROR(IF(LEFT(A264,3)="LCP",(VLOOKUP(Capex!A266,BASE_558!D:R,11,)/1000),SUMIFS('BASE ICP_PO_SC'!F:F,'BASE ICP_PO_SC'!A:A,Capex!A266,'BASE ICP_PO_SC'!E:E,"")/1000),"")</f>
        <v>0</v>
      </c>
      <c r="FG264" s="328">
        <f>IFERROR(VLOOKUP(A264,BASE_558!D:R,13,FALSE)/1000,"")</f>
        <v>316.66372999999999</v>
      </c>
      <c r="FH264" s="328">
        <f>IFERROR(VLOOKUP(A264,BASE_558!D:R,15,FALSE)/1000,"")</f>
        <v>40.47627</v>
      </c>
      <c r="FI264" s="547">
        <f t="shared" si="172"/>
        <v>0</v>
      </c>
      <c r="FJ264" s="547">
        <f t="shared" si="173"/>
        <v>0</v>
      </c>
      <c r="FK264" s="540">
        <f t="shared" si="174"/>
        <v>0</v>
      </c>
    </row>
    <row r="265" spans="1:167" s="23" customFormat="1" ht="24" customHeight="1">
      <c r="A265" s="84" t="s">
        <v>1539</v>
      </c>
      <c r="B265" s="404"/>
      <c r="C265" s="404"/>
      <c r="D265" s="338"/>
      <c r="E265" s="378">
        <v>5239337</v>
      </c>
      <c r="F265" s="5"/>
      <c r="G265" s="310" t="s">
        <v>9</v>
      </c>
      <c r="H265" s="456"/>
      <c r="I265" s="356"/>
      <c r="J265" s="356">
        <v>2022</v>
      </c>
      <c r="K265" s="352">
        <v>44586</v>
      </c>
      <c r="L265" s="317">
        <v>45103</v>
      </c>
      <c r="M265" s="409"/>
      <c r="N265" s="317">
        <f t="shared" si="143"/>
        <v>45498</v>
      </c>
      <c r="O265" s="317">
        <f t="shared" si="144"/>
        <v>45863</v>
      </c>
      <c r="P265" s="418" t="str">
        <f t="shared" ref="P265:AA274" si="175">IF($N265="","N/A",IF($O265="","N/A",IF(P$2&lt;=$N265,"NÃO",IF($AJ265="REL ","SIM",IF(P$2&lt;$O265,"NÃO",IF($AJ265&lt;&gt;"CLSD","SIM","CRTD"))))))</f>
        <v>NÃO</v>
      </c>
      <c r="Q265" s="418" t="str">
        <f t="shared" si="175"/>
        <v>NÃO</v>
      </c>
      <c r="R265" s="418" t="str">
        <f t="shared" si="175"/>
        <v>NÃO</v>
      </c>
      <c r="S265" s="418" t="str">
        <f t="shared" si="175"/>
        <v>NÃO</v>
      </c>
      <c r="T265" s="418" t="str">
        <f t="shared" si="175"/>
        <v>NÃO</v>
      </c>
      <c r="U265" s="418" t="str">
        <f t="shared" si="175"/>
        <v>NÃO</v>
      </c>
      <c r="V265" s="418" t="str">
        <f t="shared" si="175"/>
        <v>CRTD</v>
      </c>
      <c r="W265" s="418" t="str">
        <f t="shared" si="175"/>
        <v>CRTD</v>
      </c>
      <c r="X265" s="418" t="str">
        <f t="shared" si="175"/>
        <v>CRTD</v>
      </c>
      <c r="Y265" s="418" t="str">
        <f t="shared" si="175"/>
        <v>CRTD</v>
      </c>
      <c r="Z265" s="418" t="str">
        <f t="shared" si="175"/>
        <v>CRTD</v>
      </c>
      <c r="AA265" s="418" t="str">
        <f t="shared" si="175"/>
        <v>CRTD</v>
      </c>
      <c r="AB265" s="350"/>
      <c r="AC265" s="381" t="s">
        <v>3932</v>
      </c>
      <c r="AD265" s="311" t="s">
        <v>223</v>
      </c>
      <c r="AE265" s="381" t="s">
        <v>613</v>
      </c>
      <c r="AF265" s="310" t="s">
        <v>6985</v>
      </c>
      <c r="AG265" s="310" t="s">
        <v>9603</v>
      </c>
      <c r="AH265" s="310" t="s">
        <v>1454</v>
      </c>
      <c r="AI265" s="381" t="s">
        <v>2255</v>
      </c>
      <c r="AJ265" s="6" t="s">
        <v>218</v>
      </c>
      <c r="AK265" s="6" t="str">
        <f t="shared" si="152"/>
        <v>IGUAL</v>
      </c>
      <c r="AL265" s="151" t="str">
        <f>IFERROR(IF(LEFT(A265,3)="LCP",VLOOKUP(A265,STATUS_SAP_LCP!B:C,2,FALSE),VLOOKUP(A265,STATUS_SAP_ICP!B:C,2,FALSE)),"NO BUDGET")</f>
        <v>CLSD BUDG AUC  AVAC  //  APPR BREL EXPL</v>
      </c>
      <c r="AM265" s="6" t="str">
        <f t="shared" si="151"/>
        <v>CLSD</v>
      </c>
      <c r="AN265" s="282" t="s">
        <v>2651</v>
      </c>
      <c r="AO265" s="493">
        <v>1</v>
      </c>
      <c r="AP265" s="499" t="s">
        <v>9607</v>
      </c>
      <c r="AQ265" s="465">
        <v>45103</v>
      </c>
      <c r="AR265" s="460"/>
      <c r="AS265" s="57"/>
      <c r="AT265" s="185"/>
      <c r="AU265" s="318">
        <v>0</v>
      </c>
      <c r="AV265" s="223">
        <v>177.83960999999999</v>
      </c>
      <c r="AW265" s="318">
        <v>106.02350999999997</v>
      </c>
      <c r="AX265" s="223">
        <v>2.0095299999999998</v>
      </c>
      <c r="AY265" s="318">
        <f t="shared" si="145"/>
        <v>0</v>
      </c>
      <c r="AZ265" s="223"/>
      <c r="BA265" s="318"/>
      <c r="BB265" s="519">
        <f t="shared" si="146"/>
        <v>0</v>
      </c>
      <c r="BC265" s="518">
        <v>0</v>
      </c>
      <c r="BD265" s="518">
        <v>0</v>
      </c>
      <c r="BE265" s="518">
        <v>0</v>
      </c>
      <c r="BF265" s="518">
        <v>0</v>
      </c>
      <c r="BG265" s="518">
        <v>0</v>
      </c>
      <c r="BH265" s="518">
        <v>0</v>
      </c>
      <c r="BI265" s="518">
        <v>0</v>
      </c>
      <c r="BJ265" s="518">
        <v>0</v>
      </c>
      <c r="BK265" s="518">
        <v>0</v>
      </c>
      <c r="BL265" s="518">
        <v>0</v>
      </c>
      <c r="BM265" s="518">
        <v>0</v>
      </c>
      <c r="BN265" s="518">
        <v>0</v>
      </c>
      <c r="BO265" s="367">
        <f t="shared" si="153"/>
        <v>0</v>
      </c>
      <c r="BP265" s="421">
        <v>0</v>
      </c>
      <c r="BQ265" s="422"/>
      <c r="BR265" s="423">
        <f>IFERROR(IF(LEFT($A265,3)="Lcp",SUMIFS('BASE-LCP'!$K:$K,'BASE-LCP'!$A:$A,Capex!$A267,'BASE-LCP'!$B:$B,"janeiro")/1000,IF(LEFT($A265,3)="icp",SUMIFS('BASE-ICP'!$K:$K,'BASE-ICP'!$A:$A,Capex!$A267,'BASE-ICP'!$B:$B,"janeiro")/1000,"")),"")</f>
        <v>0</v>
      </c>
      <c r="BS265" s="427">
        <v>0</v>
      </c>
      <c r="BT265" s="372">
        <v>0</v>
      </c>
      <c r="BU265" s="422"/>
      <c r="BV265" s="423">
        <f>IFERROR(IF(LEFT($A265,3)="Lcp",SUMIFS('BASE-LCP'!$K:$K,'BASE-LCP'!$A:$A,Capex!$A267,'BASE-LCP'!$B:$B,"fevereiro")/1000,IF(LEFT($A265,3)="icp",SUMIFS('BASE-ICP'!$K:$K,'BASE-ICP'!$A:$A,Capex!$A267,'BASE-ICP'!$B:$B,"fevereiro")/1000,"")),"")</f>
        <v>0</v>
      </c>
      <c r="BW265" s="427">
        <v>0</v>
      </c>
      <c r="BX265" s="372">
        <v>0</v>
      </c>
      <c r="BY265" s="419"/>
      <c r="BZ265" s="423">
        <f>IFERROR(IF(LEFT($A265,3)="Lcp",SUMIFS('BASE-LCP'!$K:$K,'BASE-LCP'!$A:$A,Capex!$A267,'BASE-LCP'!$B:$B,"março")/1000,IF(LEFT($A265,3)="icp",SUMIFS('BASE-ICP'!$K:$K,'BASE-ICP'!$A:$A,Capex!$A267,'BASE-ICP'!$B:$B,"março")/1000,"")),"")</f>
        <v>0</v>
      </c>
      <c r="CA265" s="427">
        <v>0</v>
      </c>
      <c r="CB265" s="372">
        <v>0</v>
      </c>
      <c r="CC265" s="422"/>
      <c r="CD265" s="423">
        <f>IFERROR(IF(LEFT($A265,3)="Lcp",SUMIFS('BASE-LCP'!$K:$K,'BASE-LCP'!$A:$A,Capex!$A267,'BASE-LCP'!$B:$B,"abril")/1000,IF(LEFT($A265,3)="icp",SUMIFS('BASE-ICP'!$K:$K,'BASE-ICP'!$A:$A,Capex!$A267,'BASE-ICP'!$B:$B,"abril")/1000,"")),"")</f>
        <v>0</v>
      </c>
      <c r="CE265" s="427">
        <v>0</v>
      </c>
      <c r="CF265" s="372">
        <v>0</v>
      </c>
      <c r="CG265" s="419"/>
      <c r="CH265" s="423">
        <v>0</v>
      </c>
      <c r="CI265" s="427">
        <v>0</v>
      </c>
      <c r="CJ265" s="372">
        <v>0</v>
      </c>
      <c r="CK265" s="419"/>
      <c r="CL265" s="423">
        <f>IFERROR(IF(LEFT($A265,3)="Lcp",SUMIFS('BASE-LCP'!$K:$K,'BASE-LCP'!$A:$A,Capex!$A267,'BASE-LCP'!$B:$B,"junho")/1000,IF(LEFT($A265,3)="icp",SUMIFS('BASE-ICP'!$K:$K,'BASE-ICP'!$A:$A,Capex!$A267,'BASE-ICP'!$B:$B,"junho")/1000,"")),"")</f>
        <v>0</v>
      </c>
      <c r="CM265" s="427">
        <v>0</v>
      </c>
      <c r="CN265" s="372"/>
      <c r="CO265" s="419"/>
      <c r="CP265" s="423">
        <f>IFERROR(IF(LEFT($A265,3)="Lcp",SUMIFS('BASE-LCP'!$K:$K,'BASE-LCP'!$A:$A,Capex!$A267,'BASE-LCP'!$B:$B,"julho")/1000,IF(LEFT($A265,3)="icp",SUMIFS('BASE-ICP'!$K:$K,'BASE-ICP'!$A:$A,Capex!$A267,'BASE-ICP'!$B:$B,"julho")/1000,"")),"")</f>
        <v>0</v>
      </c>
      <c r="CQ265" s="427">
        <v>0</v>
      </c>
      <c r="CR265" s="372"/>
      <c r="CS265" s="419"/>
      <c r="CT265" s="423">
        <f>IFERROR(IF(LEFT($A265,3)="Lcp",SUMIFS('BASE-LCP'!$K:$K,'BASE-LCP'!$A:$A,Capex!$A267,'BASE-LCP'!$B:$B,"agosto")/1000,IF(LEFT($A265,3)="icp",SUMIFS('BASE-ICP'!$K:$K,'BASE-ICP'!$A:$A,Capex!$A267,'BASE-ICP'!$B:$B,"agosto")/1000,"")),"")</f>
        <v>0</v>
      </c>
      <c r="CU265" s="427">
        <v>0</v>
      </c>
      <c r="CV265" s="372"/>
      <c r="CW265" s="419"/>
      <c r="CX265" s="423">
        <f>IFERROR(IF(LEFT($A265,3)="Lcp",SUMIFS('BASE-LCP'!$K:$K,'BASE-LCP'!$A:$A,Capex!$A267,'BASE-LCP'!$B:$B,"setembro")/1000,IF(LEFT($A265,3)="icp",SUMIFS('BASE-ICP'!$K:$K,'BASE-ICP'!$A:$A,Capex!$A267,'BASE-ICP'!$B:$B,"setembro")/1000,"")),"")</f>
        <v>0</v>
      </c>
      <c r="CY265" s="427">
        <v>0</v>
      </c>
      <c r="CZ265" s="372"/>
      <c r="DA265" s="419"/>
      <c r="DB265" s="423">
        <f>IFERROR(IF(LEFT($A265,3)="Lcp",SUMIFS('BASE-LCP'!$K:$K,'BASE-LCP'!$A:$A,Capex!$A267,'BASE-LCP'!$B:$B,"outubro")/1000,IF(LEFT($A265,3)="icp",SUMIFS('BASE-ICP'!$K:$K,'BASE-ICP'!$A:$A,Capex!$A267,'BASE-ICP'!$B:$B,"outubro")/1000,"")),"")</f>
        <v>0</v>
      </c>
      <c r="DC265" s="427">
        <v>0</v>
      </c>
      <c r="DD265" s="372"/>
      <c r="DE265" s="419"/>
      <c r="DF265" s="423">
        <f>IFERROR(IF(LEFT($A265,3)="Lcp",SUMIFS('BASE-LCP'!$K:$K,'BASE-LCP'!$A:$A,Capex!$A267,'BASE-LCP'!$B:$B,"novembro")/1000,IF(LEFT($A265,3)="icp",SUMIFS('BASE-ICP'!$K:$K,'BASE-ICP'!$A:$A,Capex!$A267,'BASE-ICP'!$B:$B,"novembro")/1000,"")),"")</f>
        <v>0</v>
      </c>
      <c r="DG265" s="427">
        <v>0</v>
      </c>
      <c r="DH265" s="372"/>
      <c r="DI265" s="419"/>
      <c r="DJ265" s="423">
        <f>IFERROR(IF(LEFT($A265,3)="Lcp",SUMIFS('BASE-LCP'!$K:$K,'BASE-LCP'!$A:$A,Capex!$A267,'BASE-LCP'!$B:$B,"dezembro")/1000,IF(LEFT($A265,3)="icp",SUMIFS('BASE-ICP'!$K:$K,'BASE-ICP'!$A:$A,Capex!$A267,'BASE-ICP'!$B:$B,"dezembro")/1000,"")),"")</f>
        <v>0</v>
      </c>
      <c r="DK265" s="427">
        <v>0</v>
      </c>
      <c r="DL265" s="452">
        <f t="shared" si="154"/>
        <v>0</v>
      </c>
      <c r="DM265" s="374"/>
      <c r="DN265" s="374">
        <v>0</v>
      </c>
      <c r="DO265" s="374"/>
      <c r="DP265" s="374"/>
      <c r="DQ265" s="374"/>
      <c r="DR265" s="374"/>
      <c r="DS265" s="374"/>
      <c r="DT265" s="374"/>
      <c r="DU265" s="374"/>
      <c r="DV265" s="374"/>
      <c r="DW265" s="374"/>
      <c r="DX265" s="374"/>
      <c r="DY265" s="450"/>
      <c r="DZ265" s="374">
        <f t="shared" si="155"/>
        <v>0</v>
      </c>
      <c r="EA265" s="216">
        <f t="shared" si="156"/>
        <v>0</v>
      </c>
      <c r="EB265" s="320">
        <f t="shared" si="157"/>
        <v>0</v>
      </c>
      <c r="EC265" s="241">
        <f t="shared" si="158"/>
        <v>0</v>
      </c>
      <c r="ED265" s="241">
        <f t="shared" si="159"/>
        <v>0</v>
      </c>
      <c r="EE265" s="241">
        <f t="shared" si="160"/>
        <v>0</v>
      </c>
      <c r="EF265" s="241">
        <f t="shared" si="161"/>
        <v>0</v>
      </c>
      <c r="EG265" s="346">
        <f t="shared" si="162"/>
        <v>0</v>
      </c>
      <c r="EH265" s="445">
        <f t="shared" si="163"/>
        <v>0</v>
      </c>
      <c r="EI265" s="447">
        <f t="shared" si="164"/>
        <v>0</v>
      </c>
      <c r="EJ265" s="364">
        <f t="shared" si="165"/>
        <v>0</v>
      </c>
      <c r="EK265" s="365">
        <f t="shared" si="166"/>
        <v>0</v>
      </c>
      <c r="EL265" s="529">
        <f t="shared" si="167"/>
        <v>0</v>
      </c>
      <c r="EM265" s="530">
        <v>0</v>
      </c>
      <c r="EN265" s="530">
        <v>0</v>
      </c>
      <c r="EO265" s="530">
        <v>0</v>
      </c>
      <c r="EP265" s="530">
        <v>0</v>
      </c>
      <c r="EQ265" s="530">
        <v>0</v>
      </c>
      <c r="ER265" s="530">
        <v>0</v>
      </c>
      <c r="ES265" s="530">
        <v>0</v>
      </c>
      <c r="ET265" s="530">
        <v>0</v>
      </c>
      <c r="EU265" s="530">
        <v>0</v>
      </c>
      <c r="EV265" s="530">
        <v>0</v>
      </c>
      <c r="EW265" s="530">
        <v>0</v>
      </c>
      <c r="EX265" s="530">
        <v>0</v>
      </c>
      <c r="EY265" s="530">
        <f t="shared" si="168"/>
        <v>0</v>
      </c>
      <c r="EZ265" s="530">
        <f t="shared" si="169"/>
        <v>0</v>
      </c>
      <c r="FA265" s="530">
        <f t="shared" si="170"/>
        <v>0</v>
      </c>
      <c r="FB265" s="530">
        <f t="shared" si="171"/>
        <v>0</v>
      </c>
      <c r="FC265" s="384">
        <f>IFERROR(VLOOKUP(Capex!A267,BASE_558!D:R,8,FALSE)/1000,"")</f>
        <v>660</v>
      </c>
      <c r="FD265" s="328">
        <f>IFERROR(VLOOKUP(Capex!A267,BASE_558!D:R,9,)/1000,"")</f>
        <v>547.39757999999995</v>
      </c>
      <c r="FE265" s="328">
        <f>IFERROR(IF(LEFT(A265,3)="LCP",(VLOOKUP(Capex!A267,BASE_558!D:R,10,)/1000),SUMIFS('BASE ICP_PO_SC'!F:F,'BASE ICP_PO_SC'!A:A,Capex!A267,'BASE ICP_PO_SC'!E:E,"&lt;&gt;")/1000),"")</f>
        <v>0</v>
      </c>
      <c r="FF265" s="328">
        <f>IFERROR(IF(LEFT(A265,3)="LCP",(VLOOKUP(Capex!A267,BASE_558!D:R,11,)/1000),SUMIFS('BASE ICP_PO_SC'!F:F,'BASE ICP_PO_SC'!A:A,Capex!A267,'BASE ICP_PO_SC'!E:E,"")/1000),"")</f>
        <v>0</v>
      </c>
      <c r="FG265" s="328">
        <f>IFERROR(VLOOKUP(A265,BASE_558!D:R,13,FALSE)/1000,"")</f>
        <v>285.87265000000002</v>
      </c>
      <c r="FH265" s="328">
        <f>IFERROR(VLOOKUP(A265,BASE_558!D:R,15,FALSE)/1000,"")</f>
        <v>614.12734999999998</v>
      </c>
      <c r="FI265" s="547">
        <f t="shared" si="172"/>
        <v>0</v>
      </c>
      <c r="FJ265" s="547">
        <f t="shared" si="173"/>
        <v>0</v>
      </c>
      <c r="FK265" s="540">
        <f t="shared" si="174"/>
        <v>0</v>
      </c>
    </row>
    <row r="266" spans="1:167" s="23" customFormat="1" ht="24" customHeight="1">
      <c r="A266" s="84" t="s">
        <v>1566</v>
      </c>
      <c r="B266" s="404"/>
      <c r="C266" s="404"/>
      <c r="D266" s="403" t="s">
        <v>3348</v>
      </c>
      <c r="E266" s="378">
        <v>5259452</v>
      </c>
      <c r="F266" s="5"/>
      <c r="G266" s="310" t="s">
        <v>9</v>
      </c>
      <c r="H266" s="356" t="s">
        <v>6</v>
      </c>
      <c r="I266" s="356"/>
      <c r="J266" s="356">
        <v>2022</v>
      </c>
      <c r="K266" s="352">
        <v>44607</v>
      </c>
      <c r="L266" s="317"/>
      <c r="M266" s="409"/>
      <c r="N266" s="317">
        <f t="shared" si="143"/>
        <v>45519</v>
      </c>
      <c r="O266" s="317">
        <f t="shared" si="144"/>
        <v>45884</v>
      </c>
      <c r="P266" s="418" t="str">
        <f t="shared" si="175"/>
        <v>SIM</v>
      </c>
      <c r="Q266" s="418" t="str">
        <f t="shared" si="175"/>
        <v>SIM</v>
      </c>
      <c r="R266" s="418" t="str">
        <f t="shared" si="175"/>
        <v>SIM</v>
      </c>
      <c r="S266" s="418" t="str">
        <f t="shared" si="175"/>
        <v>SIM</v>
      </c>
      <c r="T266" s="418" t="str">
        <f t="shared" si="175"/>
        <v>SIM</v>
      </c>
      <c r="U266" s="418" t="str">
        <f t="shared" si="175"/>
        <v>SIM</v>
      </c>
      <c r="V266" s="418" t="str">
        <f t="shared" si="175"/>
        <v>SIM</v>
      </c>
      <c r="W266" s="418" t="str">
        <f t="shared" si="175"/>
        <v>SIM</v>
      </c>
      <c r="X266" s="418" t="str">
        <f t="shared" si="175"/>
        <v>SIM</v>
      </c>
      <c r="Y266" s="418" t="str">
        <f t="shared" si="175"/>
        <v>SIM</v>
      </c>
      <c r="Z266" s="418" t="str">
        <f t="shared" si="175"/>
        <v>SIM</v>
      </c>
      <c r="AA266" s="418" t="str">
        <f t="shared" si="175"/>
        <v>SIM</v>
      </c>
      <c r="AB266" s="350"/>
      <c r="AC266" s="309" t="s">
        <v>3932</v>
      </c>
      <c r="AD266" s="311" t="s">
        <v>223</v>
      </c>
      <c r="AE266" s="361" t="s">
        <v>186</v>
      </c>
      <c r="AF266" s="310" t="s">
        <v>6985</v>
      </c>
      <c r="AG266" s="310" t="s">
        <v>2251</v>
      </c>
      <c r="AH266" s="310" t="s">
        <v>6962</v>
      </c>
      <c r="AI266" s="309" t="s">
        <v>186</v>
      </c>
      <c r="AJ266" s="6" t="s">
        <v>6786</v>
      </c>
      <c r="AK266" s="6" t="str">
        <f t="shared" si="152"/>
        <v>IGUAL</v>
      </c>
      <c r="AL266" s="151" t="str">
        <f>IFERROR(IF(LEFT(A266,3)="LCP",VLOOKUP(A266,STATUS_SAP_LCP!B:C,2,FALSE),VLOOKUP(A266,STATUS_SAP_ICP!B:C,2,FALSE)),"NO BUDGET")</f>
        <v>REL  BUDG AUC  AVAC  //  APPR BREL INPL</v>
      </c>
      <c r="AM266" s="6" t="str">
        <f t="shared" si="151"/>
        <v xml:space="preserve">REL </v>
      </c>
      <c r="AN266" s="282" t="s">
        <v>18974</v>
      </c>
      <c r="AO266" s="557"/>
      <c r="AP266" s="499" t="s">
        <v>9616</v>
      </c>
      <c r="AQ266" s="465">
        <v>46204</v>
      </c>
      <c r="AR266" s="460"/>
      <c r="AS266" s="57"/>
      <c r="AT266" s="185"/>
      <c r="AU266" s="318">
        <v>0</v>
      </c>
      <c r="AV266" s="223">
        <v>4.1497399999999995</v>
      </c>
      <c r="AW266" s="318">
        <v>5.1240000000000008E-2</v>
      </c>
      <c r="AX266" s="223">
        <v>1.9962200000000001</v>
      </c>
      <c r="AY266" s="318">
        <f t="shared" si="145"/>
        <v>76.441077923211182</v>
      </c>
      <c r="AZ266" s="223"/>
      <c r="BA266" s="318"/>
      <c r="BB266" s="519">
        <f t="shared" si="146"/>
        <v>191</v>
      </c>
      <c r="BC266" s="518">
        <v>0</v>
      </c>
      <c r="BD266" s="518">
        <v>0</v>
      </c>
      <c r="BE266" s="518">
        <v>0</v>
      </c>
      <c r="BF266" s="518">
        <v>0</v>
      </c>
      <c r="BG266" s="518">
        <v>0</v>
      </c>
      <c r="BH266" s="518">
        <v>0</v>
      </c>
      <c r="BI266" s="518">
        <v>10</v>
      </c>
      <c r="BJ266" s="518">
        <v>10</v>
      </c>
      <c r="BK266" s="518">
        <v>40</v>
      </c>
      <c r="BL266" s="518">
        <v>50</v>
      </c>
      <c r="BM266" s="518">
        <v>30</v>
      </c>
      <c r="BN266" s="518">
        <v>51</v>
      </c>
      <c r="BO266" s="367">
        <f t="shared" si="153"/>
        <v>76.441077923211182</v>
      </c>
      <c r="BP266" s="421">
        <v>0</v>
      </c>
      <c r="BQ266" s="422"/>
      <c r="BR266" s="423">
        <f>IFERROR(IF(LEFT($A266,3)="Lcp",SUMIFS('BASE-LCP'!$K:$K,'BASE-LCP'!$A:$A,Capex!$A268,'BASE-LCP'!$B:$B,"janeiro")/1000,IF(LEFT($A266,3)="icp",SUMIFS('BASE-ICP'!$K:$K,'BASE-ICP'!$A:$A,Capex!$A268,'BASE-ICP'!$B:$B,"janeiro")/1000,"")),"")</f>
        <v>0</v>
      </c>
      <c r="BS266" s="427">
        <v>0</v>
      </c>
      <c r="BT266" s="372">
        <v>0</v>
      </c>
      <c r="BU266" s="422"/>
      <c r="BV266" s="423">
        <f>IFERROR(IF(LEFT($A266,3)="Lcp",SUMIFS('BASE-LCP'!$K:$K,'BASE-LCP'!$A:$A,Capex!$A268,'BASE-LCP'!$B:$B,"fevereiro")/1000,IF(LEFT($A266,3)="icp",SUMIFS('BASE-ICP'!$K:$K,'BASE-ICP'!$A:$A,Capex!$A268,'BASE-ICP'!$B:$B,"fevereiro")/1000,"")),"")</f>
        <v>0</v>
      </c>
      <c r="BW266" s="427">
        <v>0</v>
      </c>
      <c r="BX266" s="372">
        <v>0</v>
      </c>
      <c r="BY266" s="419"/>
      <c r="BZ266" s="423">
        <f>IFERROR(IF(LEFT($A266,3)="Lcp",SUMIFS('BASE-LCP'!$K:$K,'BASE-LCP'!$A:$A,Capex!$A268,'BASE-LCP'!$B:$B,"março")/1000,IF(LEFT($A266,3)="icp",SUMIFS('BASE-ICP'!$K:$K,'BASE-ICP'!$A:$A,Capex!$A268,'BASE-ICP'!$B:$B,"março")/1000,"")),"")</f>
        <v>0</v>
      </c>
      <c r="CA266" s="427">
        <v>0</v>
      </c>
      <c r="CB266" s="372" t="s">
        <v>266</v>
      </c>
      <c r="CC266" s="422"/>
      <c r="CD266" s="423">
        <f>IFERROR(IF(LEFT($A266,3)="Lcp",SUMIFS('BASE-LCP'!$K:$K,'BASE-LCP'!$A:$A,Capex!$A268,'BASE-LCP'!$B:$B,"abril")/1000,IF(LEFT($A266,3)="icp",SUMIFS('BASE-ICP'!$K:$K,'BASE-ICP'!$A:$A,Capex!$A268,'BASE-ICP'!$B:$B,"abril")/1000,"")),"")</f>
        <v>0</v>
      </c>
      <c r="CE266" s="427" t="s">
        <v>266</v>
      </c>
      <c r="CF266" s="372">
        <v>8</v>
      </c>
      <c r="CG266" s="419">
        <v>7.3863100000000008</v>
      </c>
      <c r="CH266" s="423">
        <v>7.3863100000000008</v>
      </c>
      <c r="CI266" s="427">
        <v>7.3863100000000008</v>
      </c>
      <c r="CJ266" s="372"/>
      <c r="CK266" s="419">
        <v>-0.75326000000000004</v>
      </c>
      <c r="CL266" s="423">
        <f>IFERROR(IF(LEFT($A266,3)="Lcp",SUMIFS('BASE-LCP'!$K:$K,'BASE-LCP'!$A:$A,Capex!$A268,'BASE-LCP'!$B:$B,"junho")/1000,IF(LEFT($A266,3)="icp",SUMIFS('BASE-ICP'!$K:$K,'BASE-ICP'!$A:$A,Capex!$A268,'BASE-ICP'!$B:$B,"junho")/1000,"")),"")</f>
        <v>0</v>
      </c>
      <c r="CM266" s="427">
        <v>-0.75326000000000048</v>
      </c>
      <c r="CN266" s="372"/>
      <c r="CO266" s="419"/>
      <c r="CP266" s="423">
        <f>IFERROR(IF(LEFT($A266,3)="Lcp",SUMIFS('BASE-LCP'!$K:$K,'BASE-LCP'!$A:$A,Capex!$A268,'BASE-LCP'!$B:$B,"julho")/1000,IF(LEFT($A266,3)="icp",SUMIFS('BASE-ICP'!$K:$K,'BASE-ICP'!$A:$A,Capex!$A268,'BASE-ICP'!$B:$B,"julho")/1000,"")),"")</f>
        <v>0</v>
      </c>
      <c r="CQ266" s="427"/>
      <c r="CR266" s="372"/>
      <c r="CS266" s="419"/>
      <c r="CT266" s="423">
        <f>IFERROR(IF(LEFT($A266,3)="Lcp",SUMIFS('BASE-LCP'!$K:$K,'BASE-LCP'!$A:$A,Capex!$A268,'BASE-LCP'!$B:$B,"agosto")/1000,IF(LEFT($A266,3)="icp",SUMIFS('BASE-ICP'!$K:$K,'BASE-ICP'!$A:$A,Capex!$A268,'BASE-ICP'!$B:$B,"agosto")/1000,"")),"")</f>
        <v>0</v>
      </c>
      <c r="CU266" s="427"/>
      <c r="CV266" s="372"/>
      <c r="CW266" s="419"/>
      <c r="CX266" s="423">
        <f>IFERROR(IF(LEFT($A266,3)="Lcp",SUMIFS('BASE-LCP'!$K:$K,'BASE-LCP'!$A:$A,Capex!$A268,'BASE-LCP'!$B:$B,"setembro")/1000,IF(LEFT($A266,3)="icp",SUMIFS('BASE-ICP'!$K:$K,'BASE-ICP'!$A:$A,Capex!$A268,'BASE-ICP'!$B:$B,"setembro")/1000,"")),"")</f>
        <v>0</v>
      </c>
      <c r="CY266" s="427"/>
      <c r="CZ266" s="372"/>
      <c r="DA266" s="419"/>
      <c r="DB266" s="423">
        <f>IFERROR(IF(LEFT($A266,3)="Lcp",SUMIFS('BASE-LCP'!$K:$K,'BASE-LCP'!$A:$A,Capex!$A268,'BASE-LCP'!$B:$B,"outubro")/1000,IF(LEFT($A266,3)="icp",SUMIFS('BASE-ICP'!$K:$K,'BASE-ICP'!$A:$A,Capex!$A268,'BASE-ICP'!$B:$B,"outubro")/1000,"")),"")</f>
        <v>0</v>
      </c>
      <c r="DC266" s="427">
        <f>400/5.73/3</f>
        <v>23.269342641070391</v>
      </c>
      <c r="DD266" s="372"/>
      <c r="DE266" s="419"/>
      <c r="DF266" s="423">
        <f>IFERROR(IF(LEFT($A266,3)="Lcp",SUMIFS('BASE-LCP'!$K:$K,'BASE-LCP'!$A:$A,Capex!$A268,'BASE-LCP'!$B:$B,"novembro")/1000,IF(LEFT($A266,3)="icp",SUMIFS('BASE-ICP'!$K:$K,'BASE-ICP'!$A:$A,Capex!$A268,'BASE-ICP'!$B:$B,"novembro")/1000,"")),"")</f>
        <v>0</v>
      </c>
      <c r="DG266" s="427">
        <f>400/5.73/3</f>
        <v>23.269342641070391</v>
      </c>
      <c r="DH266" s="372"/>
      <c r="DI266" s="419"/>
      <c r="DJ266" s="423">
        <f>IFERROR(IF(LEFT($A266,3)="Lcp",SUMIFS('BASE-LCP'!$K:$K,'BASE-LCP'!$A:$A,Capex!$A268,'BASE-LCP'!$B:$B,"dezembro")/1000,IF(LEFT($A266,3)="icp",SUMIFS('BASE-ICP'!$K:$K,'BASE-ICP'!$A:$A,Capex!$A268,'BASE-ICP'!$B:$B,"dezembro")/1000,"")),"")</f>
        <v>0</v>
      </c>
      <c r="DK266" s="427">
        <f>400/5.73/3</f>
        <v>23.269342641070391</v>
      </c>
      <c r="DL266" s="452">
        <f t="shared" si="154"/>
        <v>312.2</v>
      </c>
      <c r="DM266" s="374"/>
      <c r="DN266" s="374">
        <f>191+121.2</f>
        <v>312.2</v>
      </c>
      <c r="DO266" s="374"/>
      <c r="DP266" s="374"/>
      <c r="DQ266" s="374"/>
      <c r="DR266" s="374"/>
      <c r="DS266" s="374"/>
      <c r="DT266" s="374"/>
      <c r="DU266" s="374"/>
      <c r="DV266" s="374"/>
      <c r="DW266" s="374"/>
      <c r="DX266" s="374"/>
      <c r="DY266" s="450"/>
      <c r="DZ266" s="374">
        <f t="shared" si="155"/>
        <v>312.2</v>
      </c>
      <c r="EA266" s="216">
        <f t="shared" si="156"/>
        <v>-0.75326000000000048</v>
      </c>
      <c r="EB266" s="320">
        <f t="shared" si="157"/>
        <v>0.75326000000000048</v>
      </c>
      <c r="EC266" s="241">
        <f t="shared" si="158"/>
        <v>0</v>
      </c>
      <c r="ED266" s="241">
        <f t="shared" si="159"/>
        <v>6.6330500000000008</v>
      </c>
      <c r="EE266" s="241">
        <f t="shared" si="160"/>
        <v>0</v>
      </c>
      <c r="EF266" s="241">
        <f t="shared" si="161"/>
        <v>69.808027923211171</v>
      </c>
      <c r="EG266" s="346">
        <f t="shared" si="162"/>
        <v>-114.55892207678882</v>
      </c>
      <c r="EH266" s="445">
        <f t="shared" si="163"/>
        <v>8</v>
      </c>
      <c r="EI266" s="447">
        <f t="shared" si="164"/>
        <v>7.3863100000000008</v>
      </c>
      <c r="EJ266" s="364">
        <f t="shared" si="165"/>
        <v>7.3863100000000008</v>
      </c>
      <c r="EK266" s="365">
        <f t="shared" si="166"/>
        <v>69.054767923211188</v>
      </c>
      <c r="EL266" s="529">
        <f t="shared" si="167"/>
        <v>77.194337923211179</v>
      </c>
      <c r="EM266" s="530">
        <v>0</v>
      </c>
      <c r="EN266" s="530">
        <v>0</v>
      </c>
      <c r="EO266" s="530">
        <v>0</v>
      </c>
      <c r="EP266" s="530" t="s">
        <v>266</v>
      </c>
      <c r="EQ266" s="530">
        <v>7.3863100000000008</v>
      </c>
      <c r="ER266" s="530">
        <v>0</v>
      </c>
      <c r="ES266" s="530">
        <v>0</v>
      </c>
      <c r="ET266" s="530">
        <v>0</v>
      </c>
      <c r="EU266" s="530">
        <v>0</v>
      </c>
      <c r="EV266" s="530">
        <v>23.269342641070391</v>
      </c>
      <c r="EW266" s="530">
        <v>23.269342641070391</v>
      </c>
      <c r="EX266" s="530">
        <v>23.269342641070391</v>
      </c>
      <c r="EY266" s="530">
        <f t="shared" si="168"/>
        <v>0</v>
      </c>
      <c r="EZ266" s="530">
        <f t="shared" si="169"/>
        <v>7.3863100000000008</v>
      </c>
      <c r="FA266" s="530">
        <f t="shared" si="170"/>
        <v>0</v>
      </c>
      <c r="FB266" s="530">
        <f t="shared" si="171"/>
        <v>69.808027923211171</v>
      </c>
      <c r="FC266" s="384">
        <f>IFERROR(VLOOKUP(Capex!A268,BASE_558!D:R,8,FALSE)/1000,"")</f>
        <v>220</v>
      </c>
      <c r="FD266" s="328">
        <f>IFERROR(VLOOKUP(Capex!A268,BASE_558!D:R,9,)/1000,"")</f>
        <v>0</v>
      </c>
      <c r="FE266" s="328">
        <f>IFERROR(IF(LEFT(A266,3)="LCP",(VLOOKUP(Capex!A268,BASE_558!D:R,10,)/1000),SUMIFS('BASE ICP_PO_SC'!F:F,'BASE ICP_PO_SC'!A:A,Capex!A268,'BASE ICP_PO_SC'!E:E,"&lt;&gt;")/1000),"")</f>
        <v>0</v>
      </c>
      <c r="FF266" s="328">
        <f>IFERROR(IF(LEFT(A266,3)="LCP",(VLOOKUP(Capex!A268,BASE_558!D:R,11,)/1000),SUMIFS('BASE ICP_PO_SC'!F:F,'BASE ICP_PO_SC'!A:A,Capex!A268,'BASE ICP_PO_SC'!E:E,"")/1000),"")</f>
        <v>0</v>
      </c>
      <c r="FG266" s="328">
        <f>IFERROR(VLOOKUP(A266,BASE_558!D:R,13,FALSE)/1000,"")</f>
        <v>12.92516</v>
      </c>
      <c r="FH266" s="328">
        <f>IFERROR(VLOOKUP(A266,BASE_558!D:R,15,FALSE)/1000,"")</f>
        <v>437.52484000000004</v>
      </c>
      <c r="FI266" s="547">
        <f t="shared" si="172"/>
        <v>0.75326000000000004</v>
      </c>
      <c r="FJ266" s="547">
        <f t="shared" si="173"/>
        <v>0</v>
      </c>
      <c r="FK266" s="540">
        <f t="shared" si="174"/>
        <v>0</v>
      </c>
    </row>
    <row r="267" spans="1:167" s="23" customFormat="1" ht="24" customHeight="1">
      <c r="A267" s="84" t="s">
        <v>1564</v>
      </c>
      <c r="B267" s="404"/>
      <c r="C267" s="404"/>
      <c r="D267" s="338" t="s">
        <v>2292</v>
      </c>
      <c r="E267" s="378">
        <v>5259940</v>
      </c>
      <c r="F267" s="5"/>
      <c r="G267" s="310" t="s">
        <v>9</v>
      </c>
      <c r="H267" s="356"/>
      <c r="I267" s="356" t="s">
        <v>6</v>
      </c>
      <c r="J267" s="356">
        <v>2022</v>
      </c>
      <c r="K267" s="352">
        <v>44607</v>
      </c>
      <c r="L267" s="317">
        <v>45392</v>
      </c>
      <c r="M267" s="409"/>
      <c r="N267" s="317">
        <f t="shared" si="143"/>
        <v>45519</v>
      </c>
      <c r="O267" s="317">
        <f t="shared" si="144"/>
        <v>45884</v>
      </c>
      <c r="P267" s="418" t="str">
        <f t="shared" si="175"/>
        <v>NÃO</v>
      </c>
      <c r="Q267" s="418" t="str">
        <f t="shared" si="175"/>
        <v>NÃO</v>
      </c>
      <c r="R267" s="418" t="str">
        <f t="shared" si="175"/>
        <v>NÃO</v>
      </c>
      <c r="S267" s="418" t="str">
        <f t="shared" si="175"/>
        <v>NÃO</v>
      </c>
      <c r="T267" s="418" t="str">
        <f t="shared" si="175"/>
        <v>NÃO</v>
      </c>
      <c r="U267" s="418" t="str">
        <f t="shared" si="175"/>
        <v>NÃO</v>
      </c>
      <c r="V267" s="418" t="str">
        <f t="shared" si="175"/>
        <v>NÃO</v>
      </c>
      <c r="W267" s="418" t="str">
        <f t="shared" si="175"/>
        <v>CRTD</v>
      </c>
      <c r="X267" s="418" t="str">
        <f t="shared" si="175"/>
        <v>CRTD</v>
      </c>
      <c r="Y267" s="418" t="str">
        <f t="shared" si="175"/>
        <v>CRTD</v>
      </c>
      <c r="Z267" s="418" t="str">
        <f t="shared" si="175"/>
        <v>CRTD</v>
      </c>
      <c r="AA267" s="418" t="str">
        <f t="shared" si="175"/>
        <v>CRTD</v>
      </c>
      <c r="AB267" s="350"/>
      <c r="AC267" s="309" t="s">
        <v>3931</v>
      </c>
      <c r="AD267" s="311"/>
      <c r="AE267" s="361"/>
      <c r="AF267" s="310" t="s">
        <v>6985</v>
      </c>
      <c r="AG267" s="310" t="s">
        <v>2079</v>
      </c>
      <c r="AH267" s="310" t="s">
        <v>2828</v>
      </c>
      <c r="AI267" s="381" t="s">
        <v>188</v>
      </c>
      <c r="AJ267" s="6" t="s">
        <v>218</v>
      </c>
      <c r="AK267" s="6" t="str">
        <f t="shared" si="152"/>
        <v>IGUAL</v>
      </c>
      <c r="AL267" s="151" t="str">
        <f>IFERROR(IF(LEFT(A267,3)="LCP",VLOOKUP(A267,STATUS_SAP_LCP!B:C,2,FALSE),VLOOKUP(A267,STATUS_SAP_ICP!B:C,2,FALSE)),"NO BUDGET")</f>
        <v>CLSD BUDG AUC  AVAC  //  APPR BREL EXPL</v>
      </c>
      <c r="AM267" s="6" t="str">
        <f t="shared" si="151"/>
        <v>CLSD</v>
      </c>
      <c r="AN267" s="282" t="s">
        <v>2651</v>
      </c>
      <c r="AO267" s="493">
        <v>1</v>
      </c>
      <c r="AP267" s="499" t="s">
        <v>9607</v>
      </c>
      <c r="AQ267" s="465">
        <v>45392</v>
      </c>
      <c r="AR267" s="460"/>
      <c r="AS267" s="57"/>
      <c r="AT267" s="185"/>
      <c r="AU267" s="318">
        <v>0</v>
      </c>
      <c r="AV267" s="223">
        <v>547.39758000000006</v>
      </c>
      <c r="AW267" s="318">
        <v>0</v>
      </c>
      <c r="AX267" s="223">
        <v>0</v>
      </c>
      <c r="AY267" s="318">
        <f t="shared" si="145"/>
        <v>0</v>
      </c>
      <c r="AZ267" s="223"/>
      <c r="BA267" s="318"/>
      <c r="BB267" s="519">
        <f t="shared" si="146"/>
        <v>0</v>
      </c>
      <c r="BC267" s="518"/>
      <c r="BD267" s="518"/>
      <c r="BE267" s="518"/>
      <c r="BF267" s="518"/>
      <c r="BG267" s="518"/>
      <c r="BH267" s="518"/>
      <c r="BI267" s="518"/>
      <c r="BJ267" s="518"/>
      <c r="BK267" s="518"/>
      <c r="BL267" s="518"/>
      <c r="BM267" s="518"/>
      <c r="BN267" s="518"/>
      <c r="BO267" s="367">
        <f t="shared" si="153"/>
        <v>0</v>
      </c>
      <c r="BP267" s="421"/>
      <c r="BQ267" s="422"/>
      <c r="BR267" s="423">
        <f>IFERROR(IF(LEFT($A267,3)="Lcp",SUMIFS('BASE-LCP'!$K:$K,'BASE-LCP'!$A:$A,Capex!$A269,'BASE-LCP'!$B:$B,"janeiro")/1000,IF(LEFT($A267,3)="icp",SUMIFS('BASE-ICP'!$K:$K,'BASE-ICP'!$A:$A,Capex!$A269,'BASE-ICP'!$B:$B,"janeiro")/1000,"")),"")</f>
        <v>0</v>
      </c>
      <c r="BS267" s="427">
        <v>0</v>
      </c>
      <c r="BT267" s="372">
        <v>0</v>
      </c>
      <c r="BU267" s="422"/>
      <c r="BV267" s="423">
        <f>IFERROR(IF(LEFT($A267,3)="Lcp",SUMIFS('BASE-LCP'!$K:$K,'BASE-LCP'!$A:$A,Capex!$A269,'BASE-LCP'!$B:$B,"fevereiro")/1000,IF(LEFT($A267,3)="icp",SUMIFS('BASE-ICP'!$K:$K,'BASE-ICP'!$A:$A,Capex!$A269,'BASE-ICP'!$B:$B,"fevereiro")/1000,"")),"")</f>
        <v>0</v>
      </c>
      <c r="BW267" s="427">
        <v>0</v>
      </c>
      <c r="BX267" s="372">
        <v>0</v>
      </c>
      <c r="BY267" s="419"/>
      <c r="BZ267" s="423">
        <f>IFERROR(IF(LEFT($A267,3)="Lcp",SUMIFS('BASE-LCP'!$K:$K,'BASE-LCP'!$A:$A,Capex!$A269,'BASE-LCP'!$B:$B,"março")/1000,IF(LEFT($A267,3)="icp",SUMIFS('BASE-ICP'!$K:$K,'BASE-ICP'!$A:$A,Capex!$A269,'BASE-ICP'!$B:$B,"março")/1000,"")),"")</f>
        <v>0</v>
      </c>
      <c r="CA267" s="427">
        <v>0</v>
      </c>
      <c r="CB267" s="372">
        <v>0</v>
      </c>
      <c r="CC267" s="422"/>
      <c r="CD267" s="423">
        <f>IFERROR(IF(LEFT($A267,3)="Lcp",SUMIFS('BASE-LCP'!$K:$K,'BASE-LCP'!$A:$A,Capex!$A269,'BASE-LCP'!$B:$B,"abril")/1000,IF(LEFT($A267,3)="icp",SUMIFS('BASE-ICP'!$K:$K,'BASE-ICP'!$A:$A,Capex!$A269,'BASE-ICP'!$B:$B,"abril")/1000,"")),"")</f>
        <v>0</v>
      </c>
      <c r="CE267" s="427">
        <v>0</v>
      </c>
      <c r="CF267" s="372">
        <v>0</v>
      </c>
      <c r="CG267" s="419"/>
      <c r="CH267" s="423">
        <v>0</v>
      </c>
      <c r="CI267" s="427">
        <v>0</v>
      </c>
      <c r="CJ267" s="372">
        <v>0</v>
      </c>
      <c r="CK267" s="419"/>
      <c r="CL267" s="423">
        <f>IFERROR(IF(LEFT($A267,3)="Lcp",SUMIFS('BASE-LCP'!$K:$K,'BASE-LCP'!$A:$A,Capex!$A269,'BASE-LCP'!$B:$B,"junho")/1000,IF(LEFT($A267,3)="icp",SUMIFS('BASE-ICP'!$K:$K,'BASE-ICP'!$A:$A,Capex!$A269,'BASE-ICP'!$B:$B,"junho")/1000,"")),"")</f>
        <v>0</v>
      </c>
      <c r="CM267" s="427">
        <v>0</v>
      </c>
      <c r="CN267" s="372"/>
      <c r="CO267" s="419"/>
      <c r="CP267" s="423">
        <f>IFERROR(IF(LEFT($A267,3)="Lcp",SUMIFS('BASE-LCP'!$K:$K,'BASE-LCP'!$A:$A,Capex!$A269,'BASE-LCP'!$B:$B,"julho")/1000,IF(LEFT($A267,3)="icp",SUMIFS('BASE-ICP'!$K:$K,'BASE-ICP'!$A:$A,Capex!$A269,'BASE-ICP'!$B:$B,"julho")/1000,"")),"")</f>
        <v>0</v>
      </c>
      <c r="CQ267" s="427">
        <v>0</v>
      </c>
      <c r="CR267" s="372"/>
      <c r="CS267" s="419"/>
      <c r="CT267" s="423">
        <f>IFERROR(IF(LEFT($A267,3)="Lcp",SUMIFS('BASE-LCP'!$K:$K,'BASE-LCP'!$A:$A,Capex!$A269,'BASE-LCP'!$B:$B,"agosto")/1000,IF(LEFT($A267,3)="icp",SUMIFS('BASE-ICP'!$K:$K,'BASE-ICP'!$A:$A,Capex!$A269,'BASE-ICP'!$B:$B,"agosto")/1000,"")),"")</f>
        <v>0</v>
      </c>
      <c r="CU267" s="427">
        <v>0</v>
      </c>
      <c r="CV267" s="372"/>
      <c r="CW267" s="419"/>
      <c r="CX267" s="423">
        <f>IFERROR(IF(LEFT($A267,3)="Lcp",SUMIFS('BASE-LCP'!$K:$K,'BASE-LCP'!$A:$A,Capex!$A269,'BASE-LCP'!$B:$B,"setembro")/1000,IF(LEFT($A267,3)="icp",SUMIFS('BASE-ICP'!$K:$K,'BASE-ICP'!$A:$A,Capex!$A269,'BASE-ICP'!$B:$B,"setembro")/1000,"")),"")</f>
        <v>0</v>
      </c>
      <c r="CY267" s="427">
        <v>0</v>
      </c>
      <c r="CZ267" s="372"/>
      <c r="DA267" s="419"/>
      <c r="DB267" s="423">
        <f>IFERROR(IF(LEFT($A267,3)="Lcp",SUMIFS('BASE-LCP'!$K:$K,'BASE-LCP'!$A:$A,Capex!$A269,'BASE-LCP'!$B:$B,"outubro")/1000,IF(LEFT($A267,3)="icp",SUMIFS('BASE-ICP'!$K:$K,'BASE-ICP'!$A:$A,Capex!$A269,'BASE-ICP'!$B:$B,"outubro")/1000,"")),"")</f>
        <v>0</v>
      </c>
      <c r="DC267" s="427">
        <v>0</v>
      </c>
      <c r="DD267" s="372"/>
      <c r="DE267" s="419"/>
      <c r="DF267" s="423">
        <f>IFERROR(IF(LEFT($A267,3)="Lcp",SUMIFS('BASE-LCP'!$K:$K,'BASE-LCP'!$A:$A,Capex!$A269,'BASE-LCP'!$B:$B,"novembro")/1000,IF(LEFT($A267,3)="icp",SUMIFS('BASE-ICP'!$K:$K,'BASE-ICP'!$A:$A,Capex!$A269,'BASE-ICP'!$B:$B,"novembro")/1000,"")),"")</f>
        <v>0</v>
      </c>
      <c r="DG267" s="427">
        <v>0</v>
      </c>
      <c r="DH267" s="372"/>
      <c r="DI267" s="419"/>
      <c r="DJ267" s="423">
        <f>IFERROR(IF(LEFT($A267,3)="Lcp",SUMIFS('BASE-LCP'!$K:$K,'BASE-LCP'!$A:$A,Capex!$A269,'BASE-LCP'!$B:$B,"dezembro")/1000,IF(LEFT($A267,3)="icp",SUMIFS('BASE-ICP'!$K:$K,'BASE-ICP'!$A:$A,Capex!$A269,'BASE-ICP'!$B:$B,"dezembro")/1000,"")),"")</f>
        <v>0</v>
      </c>
      <c r="DK267" s="427">
        <v>0</v>
      </c>
      <c r="DL267" s="452">
        <f t="shared" si="154"/>
        <v>0</v>
      </c>
      <c r="DM267" s="374"/>
      <c r="DN267" s="374"/>
      <c r="DO267" s="374"/>
      <c r="DP267" s="374"/>
      <c r="DQ267" s="374"/>
      <c r="DR267" s="374"/>
      <c r="DS267" s="374"/>
      <c r="DT267" s="374"/>
      <c r="DU267" s="374"/>
      <c r="DV267" s="374"/>
      <c r="DW267" s="374"/>
      <c r="DX267" s="374"/>
      <c r="DY267" s="450"/>
      <c r="DZ267" s="374">
        <f t="shared" si="155"/>
        <v>0</v>
      </c>
      <c r="EA267" s="216">
        <f t="shared" si="156"/>
        <v>0</v>
      </c>
      <c r="EB267" s="320">
        <f t="shared" si="157"/>
        <v>0</v>
      </c>
      <c r="EC267" s="241">
        <f t="shared" si="158"/>
        <v>0</v>
      </c>
      <c r="ED267" s="241">
        <f t="shared" si="159"/>
        <v>0</v>
      </c>
      <c r="EE267" s="241">
        <f t="shared" si="160"/>
        <v>0</v>
      </c>
      <c r="EF267" s="241">
        <f t="shared" si="161"/>
        <v>0</v>
      </c>
      <c r="EG267" s="346">
        <f t="shared" si="162"/>
        <v>0</v>
      </c>
      <c r="EH267" s="445">
        <f t="shared" si="163"/>
        <v>0</v>
      </c>
      <c r="EI267" s="447">
        <f t="shared" si="164"/>
        <v>0</v>
      </c>
      <c r="EJ267" s="364">
        <f t="shared" si="165"/>
        <v>0</v>
      </c>
      <c r="EK267" s="365">
        <f t="shared" si="166"/>
        <v>0</v>
      </c>
      <c r="EL267" s="529">
        <f t="shared" si="167"/>
        <v>0</v>
      </c>
      <c r="EM267" s="530">
        <v>0</v>
      </c>
      <c r="EN267" s="530">
        <v>0</v>
      </c>
      <c r="EO267" s="530">
        <v>0</v>
      </c>
      <c r="EP267" s="530">
        <v>0</v>
      </c>
      <c r="EQ267" s="530">
        <v>0</v>
      </c>
      <c r="ER267" s="530">
        <v>0</v>
      </c>
      <c r="ES267" s="530">
        <v>0</v>
      </c>
      <c r="ET267" s="530">
        <v>0</v>
      </c>
      <c r="EU267" s="530">
        <v>0</v>
      </c>
      <c r="EV267" s="530">
        <v>0</v>
      </c>
      <c r="EW267" s="530">
        <v>0</v>
      </c>
      <c r="EX267" s="530">
        <v>0</v>
      </c>
      <c r="EY267" s="530">
        <f t="shared" si="168"/>
        <v>0</v>
      </c>
      <c r="EZ267" s="530">
        <f t="shared" si="169"/>
        <v>0</v>
      </c>
      <c r="FA267" s="530">
        <f t="shared" si="170"/>
        <v>0</v>
      </c>
      <c r="FB267" s="530">
        <f t="shared" si="171"/>
        <v>0</v>
      </c>
      <c r="FC267" s="384">
        <f>IFERROR(VLOOKUP(Capex!A269,BASE_558!D:R,8,FALSE)/1000,"")</f>
        <v>148.21100000000001</v>
      </c>
      <c r="FD267" s="328">
        <f>IFERROR(VLOOKUP(Capex!A269,BASE_558!D:R,9,)/1000,"")</f>
        <v>81.78182000000001</v>
      </c>
      <c r="FE267" s="328">
        <f>IFERROR(IF(LEFT(A267,3)="LCP",(VLOOKUP(Capex!A269,BASE_558!D:R,10,)/1000),SUMIFS('BASE ICP_PO_SC'!F:F,'BASE ICP_PO_SC'!A:A,Capex!A269,'BASE ICP_PO_SC'!E:E,"&lt;&gt;")/1000),"")</f>
        <v>0</v>
      </c>
      <c r="FF267" s="328">
        <f>IFERROR(IF(LEFT(A267,3)="LCP",(VLOOKUP(Capex!A269,BASE_558!D:R,11,)/1000),SUMIFS('BASE ICP_PO_SC'!F:F,'BASE ICP_PO_SC'!A:A,Capex!A269,'BASE ICP_PO_SC'!E:E,"")/1000),"")</f>
        <v>0</v>
      </c>
      <c r="FG267" s="328">
        <f>IFERROR(VLOOKUP(A267,BASE_558!D:R,13,FALSE)/1000,"")</f>
        <v>547.39757999999995</v>
      </c>
      <c r="FH267" s="328">
        <f>IFERROR(VLOOKUP(A267,BASE_558!D:R,15,FALSE)/1000,"")</f>
        <v>112.60242</v>
      </c>
      <c r="FI267" s="547">
        <f t="shared" si="172"/>
        <v>0</v>
      </c>
      <c r="FJ267" s="547">
        <f t="shared" si="173"/>
        <v>0</v>
      </c>
      <c r="FK267" s="540">
        <f t="shared" si="174"/>
        <v>0</v>
      </c>
    </row>
    <row r="268" spans="1:167" s="23" customFormat="1" ht="24" customHeight="1">
      <c r="A268" s="84" t="s">
        <v>1552</v>
      </c>
      <c r="B268" s="404"/>
      <c r="C268" s="404"/>
      <c r="D268" s="403" t="s">
        <v>3348</v>
      </c>
      <c r="E268" s="378">
        <v>5295998</v>
      </c>
      <c r="F268" s="5"/>
      <c r="G268" s="310" t="s">
        <v>9</v>
      </c>
      <c r="H268" s="338"/>
      <c r="I268" s="356"/>
      <c r="J268" s="356">
        <v>2022</v>
      </c>
      <c r="K268" s="321">
        <v>44607</v>
      </c>
      <c r="L268" s="317">
        <v>44967</v>
      </c>
      <c r="M268" s="409"/>
      <c r="N268" s="317">
        <f t="shared" si="143"/>
        <v>45519</v>
      </c>
      <c r="O268" s="317">
        <f t="shared" si="144"/>
        <v>45884</v>
      </c>
      <c r="P268" s="418" t="str">
        <f t="shared" si="175"/>
        <v>NÃO</v>
      </c>
      <c r="Q268" s="418" t="str">
        <f t="shared" si="175"/>
        <v>NÃO</v>
      </c>
      <c r="R268" s="418" t="str">
        <f t="shared" si="175"/>
        <v>NÃO</v>
      </c>
      <c r="S268" s="418" t="str">
        <f t="shared" si="175"/>
        <v>NÃO</v>
      </c>
      <c r="T268" s="418" t="str">
        <f t="shared" si="175"/>
        <v>NÃO</v>
      </c>
      <c r="U268" s="418" t="str">
        <f t="shared" si="175"/>
        <v>NÃO</v>
      </c>
      <c r="V268" s="418" t="str">
        <f t="shared" si="175"/>
        <v>NÃO</v>
      </c>
      <c r="W268" s="418" t="str">
        <f t="shared" si="175"/>
        <v>CRTD</v>
      </c>
      <c r="X268" s="418" t="str">
        <f t="shared" si="175"/>
        <v>CRTD</v>
      </c>
      <c r="Y268" s="418" t="str">
        <f t="shared" si="175"/>
        <v>CRTD</v>
      </c>
      <c r="Z268" s="418" t="str">
        <f t="shared" si="175"/>
        <v>CRTD</v>
      </c>
      <c r="AA268" s="418" t="str">
        <f t="shared" si="175"/>
        <v>CRTD</v>
      </c>
      <c r="AB268" s="350"/>
      <c r="AC268" s="309" t="s">
        <v>3932</v>
      </c>
      <c r="AD268" s="311" t="s">
        <v>5</v>
      </c>
      <c r="AE268" s="361" t="s">
        <v>2261</v>
      </c>
      <c r="AF268" s="310" t="s">
        <v>6985</v>
      </c>
      <c r="AG268" s="310" t="s">
        <v>9083</v>
      </c>
      <c r="AH268" s="310" t="s">
        <v>1554</v>
      </c>
      <c r="AI268" s="309" t="s">
        <v>2255</v>
      </c>
      <c r="AJ268" s="6" t="s">
        <v>218</v>
      </c>
      <c r="AK268" s="6" t="str">
        <f t="shared" si="152"/>
        <v>IGUAL</v>
      </c>
      <c r="AL268" s="151" t="str">
        <f>IFERROR(IF(LEFT(A268,3)="LCP",VLOOKUP(A268,STATUS_SAP_LCP!B:C,2,FALSE),VLOOKUP(A268,STATUS_SAP_ICP!B:C,2,FALSE)),"NO BUDGET")</f>
        <v>CLSD BUDG AUC  AVAC  //  APPR BREL EXPL</v>
      </c>
      <c r="AM268" s="6" t="str">
        <f t="shared" si="151"/>
        <v>CLSD</v>
      </c>
      <c r="AN268" s="414" t="s">
        <v>9096</v>
      </c>
      <c r="AO268" s="558">
        <v>1</v>
      </c>
      <c r="AP268" s="499" t="s">
        <v>9607</v>
      </c>
      <c r="AQ268" s="465">
        <v>44967</v>
      </c>
      <c r="AR268" s="460"/>
      <c r="AS268" s="57"/>
      <c r="AT268" s="185"/>
      <c r="AU268" s="318">
        <v>0</v>
      </c>
      <c r="AV268" s="223">
        <v>0</v>
      </c>
      <c r="AW268" s="318">
        <v>0</v>
      </c>
      <c r="AX268" s="223">
        <v>0</v>
      </c>
      <c r="AY268" s="318">
        <f t="shared" si="145"/>
        <v>0</v>
      </c>
      <c r="AZ268" s="223"/>
      <c r="BA268" s="318"/>
      <c r="BB268" s="519">
        <f t="shared" si="146"/>
        <v>0</v>
      </c>
      <c r="BC268" s="518"/>
      <c r="BD268" s="518"/>
      <c r="BE268" s="518"/>
      <c r="BF268" s="518"/>
      <c r="BG268" s="518"/>
      <c r="BH268" s="518"/>
      <c r="BI268" s="518"/>
      <c r="BJ268" s="518"/>
      <c r="BK268" s="518"/>
      <c r="BL268" s="518"/>
      <c r="BM268" s="518"/>
      <c r="BN268" s="518"/>
      <c r="BO268" s="367">
        <f t="shared" si="153"/>
        <v>0</v>
      </c>
      <c r="BP268" s="421"/>
      <c r="BQ268" s="422"/>
      <c r="BR268" s="423">
        <f>IFERROR(IF(LEFT($A268,3)="Lcp",SUMIFS('BASE-LCP'!$K:$K,'BASE-LCP'!$A:$A,Capex!$A270,'BASE-LCP'!$B:$B,"janeiro")/1000,IF(LEFT($A268,3)="icp",SUMIFS('BASE-ICP'!$K:$K,'BASE-ICP'!$A:$A,Capex!$A270,'BASE-ICP'!$B:$B,"janeiro")/1000,"")),"")</f>
        <v>0</v>
      </c>
      <c r="BS268" s="427">
        <v>0</v>
      </c>
      <c r="BT268" s="372">
        <v>0</v>
      </c>
      <c r="BU268" s="422"/>
      <c r="BV268" s="423">
        <f>IFERROR(IF(LEFT($A268,3)="Lcp",SUMIFS('BASE-LCP'!$K:$K,'BASE-LCP'!$A:$A,Capex!$A270,'BASE-LCP'!$B:$B,"fevereiro")/1000,IF(LEFT($A268,3)="icp",SUMIFS('BASE-ICP'!$K:$K,'BASE-ICP'!$A:$A,Capex!$A270,'BASE-ICP'!$B:$B,"fevereiro")/1000,"")),"")</f>
        <v>0</v>
      </c>
      <c r="BW268" s="427">
        <v>0</v>
      </c>
      <c r="BX268" s="372">
        <v>0</v>
      </c>
      <c r="BY268" s="419"/>
      <c r="BZ268" s="423">
        <f>IFERROR(IF(LEFT($A268,3)="Lcp",SUMIFS('BASE-LCP'!$K:$K,'BASE-LCP'!$A:$A,Capex!$A270,'BASE-LCP'!$B:$B,"março")/1000,IF(LEFT($A268,3)="icp",SUMIFS('BASE-ICP'!$K:$K,'BASE-ICP'!$A:$A,Capex!$A270,'BASE-ICP'!$B:$B,"março")/1000,"")),"")</f>
        <v>0</v>
      </c>
      <c r="CA268" s="427">
        <v>0</v>
      </c>
      <c r="CB268" s="372">
        <v>0</v>
      </c>
      <c r="CC268" s="422"/>
      <c r="CD268" s="423">
        <f>IFERROR(IF(LEFT($A268,3)="Lcp",SUMIFS('BASE-LCP'!$K:$K,'BASE-LCP'!$A:$A,Capex!$A270,'BASE-LCP'!$B:$B,"abril")/1000,IF(LEFT($A268,3)="icp",SUMIFS('BASE-ICP'!$K:$K,'BASE-ICP'!$A:$A,Capex!$A270,'BASE-ICP'!$B:$B,"abril")/1000,"")),"")</f>
        <v>0</v>
      </c>
      <c r="CE268" s="427">
        <v>0</v>
      </c>
      <c r="CF268" s="372">
        <v>0</v>
      </c>
      <c r="CG268" s="419"/>
      <c r="CH268" s="423">
        <v>0</v>
      </c>
      <c r="CI268" s="427">
        <v>0</v>
      </c>
      <c r="CJ268" s="372">
        <v>0</v>
      </c>
      <c r="CK268" s="419"/>
      <c r="CL268" s="423">
        <f>IFERROR(IF(LEFT($A268,3)="Lcp",SUMIFS('BASE-LCP'!$K:$K,'BASE-LCP'!$A:$A,Capex!$A270,'BASE-LCP'!$B:$B,"junho")/1000,IF(LEFT($A268,3)="icp",SUMIFS('BASE-ICP'!$K:$K,'BASE-ICP'!$A:$A,Capex!$A270,'BASE-ICP'!$B:$B,"junho")/1000,"")),"")</f>
        <v>0</v>
      </c>
      <c r="CM268" s="427">
        <v>0</v>
      </c>
      <c r="CN268" s="372"/>
      <c r="CO268" s="419"/>
      <c r="CP268" s="423">
        <f>IFERROR(IF(LEFT($A268,3)="Lcp",SUMIFS('BASE-LCP'!$K:$K,'BASE-LCP'!$A:$A,Capex!$A270,'BASE-LCP'!$B:$B,"julho")/1000,IF(LEFT($A268,3)="icp",SUMIFS('BASE-ICP'!$K:$K,'BASE-ICP'!$A:$A,Capex!$A270,'BASE-ICP'!$B:$B,"julho")/1000,"")),"")</f>
        <v>0</v>
      </c>
      <c r="CQ268" s="427">
        <v>0</v>
      </c>
      <c r="CR268" s="372"/>
      <c r="CS268" s="419"/>
      <c r="CT268" s="423">
        <f>IFERROR(IF(LEFT($A268,3)="Lcp",SUMIFS('BASE-LCP'!$K:$K,'BASE-LCP'!$A:$A,Capex!$A270,'BASE-LCP'!$B:$B,"agosto")/1000,IF(LEFT($A268,3)="icp",SUMIFS('BASE-ICP'!$K:$K,'BASE-ICP'!$A:$A,Capex!$A270,'BASE-ICP'!$B:$B,"agosto")/1000,"")),"")</f>
        <v>0</v>
      </c>
      <c r="CU268" s="427">
        <v>0</v>
      </c>
      <c r="CV268" s="372"/>
      <c r="CW268" s="419"/>
      <c r="CX268" s="423">
        <f>IFERROR(IF(LEFT($A268,3)="Lcp",SUMIFS('BASE-LCP'!$K:$K,'BASE-LCP'!$A:$A,Capex!$A270,'BASE-LCP'!$B:$B,"setembro")/1000,IF(LEFT($A268,3)="icp",SUMIFS('BASE-ICP'!$K:$K,'BASE-ICP'!$A:$A,Capex!$A270,'BASE-ICP'!$B:$B,"setembro")/1000,"")),"")</f>
        <v>0</v>
      </c>
      <c r="CY268" s="427">
        <v>0</v>
      </c>
      <c r="CZ268" s="372"/>
      <c r="DA268" s="419"/>
      <c r="DB268" s="423">
        <f>IFERROR(IF(LEFT($A268,3)="Lcp",SUMIFS('BASE-LCP'!$K:$K,'BASE-LCP'!$A:$A,Capex!$A270,'BASE-LCP'!$B:$B,"outubro")/1000,IF(LEFT($A268,3)="icp",SUMIFS('BASE-ICP'!$K:$K,'BASE-ICP'!$A:$A,Capex!$A270,'BASE-ICP'!$B:$B,"outubro")/1000,"")),"")</f>
        <v>0</v>
      </c>
      <c r="DC268" s="427">
        <v>0</v>
      </c>
      <c r="DD268" s="372"/>
      <c r="DE268" s="419"/>
      <c r="DF268" s="423">
        <f>IFERROR(IF(LEFT($A268,3)="Lcp",SUMIFS('BASE-LCP'!$K:$K,'BASE-LCP'!$A:$A,Capex!$A270,'BASE-LCP'!$B:$B,"novembro")/1000,IF(LEFT($A268,3)="icp",SUMIFS('BASE-ICP'!$K:$K,'BASE-ICP'!$A:$A,Capex!$A270,'BASE-ICP'!$B:$B,"novembro")/1000,"")),"")</f>
        <v>0</v>
      </c>
      <c r="DG268" s="427">
        <v>0</v>
      </c>
      <c r="DH268" s="372"/>
      <c r="DI268" s="419"/>
      <c r="DJ268" s="423">
        <f>IFERROR(IF(LEFT($A268,3)="Lcp",SUMIFS('BASE-LCP'!$K:$K,'BASE-LCP'!$A:$A,Capex!$A270,'BASE-LCP'!$B:$B,"dezembro")/1000,IF(LEFT($A268,3)="icp",SUMIFS('BASE-ICP'!$K:$K,'BASE-ICP'!$A:$A,Capex!$A270,'BASE-ICP'!$B:$B,"dezembro")/1000,"")),"")</f>
        <v>0</v>
      </c>
      <c r="DK268" s="427">
        <v>0</v>
      </c>
      <c r="DL268" s="452">
        <f t="shared" si="154"/>
        <v>0</v>
      </c>
      <c r="DM268" s="374"/>
      <c r="DN268" s="374"/>
      <c r="DO268" s="374"/>
      <c r="DP268" s="374"/>
      <c r="DQ268" s="374"/>
      <c r="DR268" s="374"/>
      <c r="DS268" s="374"/>
      <c r="DT268" s="374"/>
      <c r="DU268" s="374"/>
      <c r="DV268" s="374"/>
      <c r="DW268" s="374"/>
      <c r="DX268" s="374"/>
      <c r="DY268" s="450"/>
      <c r="DZ268" s="374">
        <f t="shared" si="155"/>
        <v>0</v>
      </c>
      <c r="EA268" s="216">
        <f t="shared" si="156"/>
        <v>0</v>
      </c>
      <c r="EB268" s="320">
        <f t="shared" si="157"/>
        <v>0</v>
      </c>
      <c r="EC268" s="241">
        <f t="shared" si="158"/>
        <v>0</v>
      </c>
      <c r="ED268" s="241">
        <f t="shared" si="159"/>
        <v>0</v>
      </c>
      <c r="EE268" s="241">
        <f t="shared" si="160"/>
        <v>0</v>
      </c>
      <c r="EF268" s="241">
        <f t="shared" si="161"/>
        <v>0</v>
      </c>
      <c r="EG268" s="346">
        <f t="shared" si="162"/>
        <v>0</v>
      </c>
      <c r="EH268" s="445">
        <f t="shared" si="163"/>
        <v>0</v>
      </c>
      <c r="EI268" s="447">
        <f t="shared" si="164"/>
        <v>0</v>
      </c>
      <c r="EJ268" s="364">
        <f t="shared" si="165"/>
        <v>0</v>
      </c>
      <c r="EK268" s="365">
        <f t="shared" si="166"/>
        <v>0</v>
      </c>
      <c r="EL268" s="529">
        <f t="shared" si="167"/>
        <v>0</v>
      </c>
      <c r="EM268" s="530">
        <v>0</v>
      </c>
      <c r="EN268" s="530">
        <v>0</v>
      </c>
      <c r="EO268" s="530">
        <v>0</v>
      </c>
      <c r="EP268" s="530">
        <v>0</v>
      </c>
      <c r="EQ268" s="530">
        <v>0</v>
      </c>
      <c r="ER268" s="530">
        <v>0</v>
      </c>
      <c r="ES268" s="530">
        <v>0</v>
      </c>
      <c r="ET268" s="530">
        <v>0</v>
      </c>
      <c r="EU268" s="530">
        <v>0</v>
      </c>
      <c r="EV268" s="530">
        <v>0</v>
      </c>
      <c r="EW268" s="530">
        <v>0</v>
      </c>
      <c r="EX268" s="530">
        <v>0</v>
      </c>
      <c r="EY268" s="530">
        <f t="shared" si="168"/>
        <v>0</v>
      </c>
      <c r="EZ268" s="530">
        <f t="shared" si="169"/>
        <v>0</v>
      </c>
      <c r="FA268" s="530">
        <f t="shared" si="170"/>
        <v>0</v>
      </c>
      <c r="FB268" s="530">
        <f t="shared" si="171"/>
        <v>0</v>
      </c>
      <c r="FC268" s="384" t="str">
        <f>IFERROR(VLOOKUP(Capex!A270,BASE_558!D:R,8,FALSE)/1000,"")</f>
        <v/>
      </c>
      <c r="FD268" s="328" t="str">
        <f>IFERROR(VLOOKUP(Capex!A270,BASE_558!D:R,9,)/1000,"")</f>
        <v/>
      </c>
      <c r="FE268" s="328" t="str">
        <f>IFERROR(IF(LEFT(A268,3)="LCP",(VLOOKUP(Capex!A270,BASE_558!D:R,10,)/1000),SUMIFS('BASE ICP_PO_SC'!F:F,'BASE ICP_PO_SC'!A:A,Capex!A270,'BASE ICP_PO_SC'!E:E,"&lt;&gt;")/1000),"")</f>
        <v/>
      </c>
      <c r="FF268" s="328" t="str">
        <f>IFERROR(IF(LEFT(A268,3)="LCP",(VLOOKUP(Capex!A270,BASE_558!D:R,11,)/1000),SUMIFS('BASE ICP_PO_SC'!F:F,'BASE ICP_PO_SC'!A:A,Capex!A270,'BASE ICP_PO_SC'!E:E,"")/1000),"")</f>
        <v/>
      </c>
      <c r="FG268" s="328">
        <f>IFERROR(VLOOKUP(A268,BASE_558!D:R,13,FALSE)/1000,"")</f>
        <v>0</v>
      </c>
      <c r="FH268" s="328">
        <f>IFERROR(VLOOKUP(A268,BASE_558!D:R,15,FALSE)/1000,"")</f>
        <v>220</v>
      </c>
      <c r="FI268" s="547">
        <f t="shared" si="172"/>
        <v>0</v>
      </c>
      <c r="FJ268" s="547">
        <f t="shared" si="173"/>
        <v>0</v>
      </c>
      <c r="FK268" s="540">
        <f t="shared" si="174"/>
        <v>0</v>
      </c>
    </row>
    <row r="269" spans="1:167" s="23" customFormat="1" ht="23.25" customHeight="1">
      <c r="A269" s="84" t="s">
        <v>1568</v>
      </c>
      <c r="B269" s="404"/>
      <c r="C269" s="404"/>
      <c r="D269" s="338" t="s">
        <v>2293</v>
      </c>
      <c r="E269" s="378">
        <v>5343087</v>
      </c>
      <c r="F269" s="5"/>
      <c r="G269" s="310" t="s">
        <v>9</v>
      </c>
      <c r="H269" s="495" t="s">
        <v>6</v>
      </c>
      <c r="I269" s="356"/>
      <c r="J269" s="356">
        <v>2022</v>
      </c>
      <c r="K269" s="352">
        <v>44631</v>
      </c>
      <c r="L269" s="317">
        <v>45688</v>
      </c>
      <c r="M269" s="409"/>
      <c r="N269" s="317">
        <f t="shared" si="143"/>
        <v>45543</v>
      </c>
      <c r="O269" s="317">
        <f t="shared" si="144"/>
        <v>45908</v>
      </c>
      <c r="P269" s="418" t="str">
        <f t="shared" si="175"/>
        <v>NÃO</v>
      </c>
      <c r="Q269" s="418" t="str">
        <f t="shared" si="175"/>
        <v>NÃO</v>
      </c>
      <c r="R269" s="418" t="str">
        <f t="shared" si="175"/>
        <v>NÃO</v>
      </c>
      <c r="S269" s="418" t="str">
        <f t="shared" si="175"/>
        <v>NÃO</v>
      </c>
      <c r="T269" s="418" t="str">
        <f t="shared" si="175"/>
        <v>NÃO</v>
      </c>
      <c r="U269" s="418" t="str">
        <f t="shared" si="175"/>
        <v>NÃO</v>
      </c>
      <c r="V269" s="418" t="str">
        <f t="shared" si="175"/>
        <v>NÃO</v>
      </c>
      <c r="W269" s="418" t="str">
        <f t="shared" si="175"/>
        <v>NÃO</v>
      </c>
      <c r="X269" s="418" t="str">
        <f t="shared" si="175"/>
        <v>CRTD</v>
      </c>
      <c r="Y269" s="418" t="str">
        <f t="shared" si="175"/>
        <v>CRTD</v>
      </c>
      <c r="Z269" s="418" t="str">
        <f t="shared" si="175"/>
        <v>CRTD</v>
      </c>
      <c r="AA269" s="418" t="str">
        <f t="shared" si="175"/>
        <v>CRTD</v>
      </c>
      <c r="AB269" s="350"/>
      <c r="AC269" s="309" t="s">
        <v>2508</v>
      </c>
      <c r="AD269" s="311"/>
      <c r="AE269" s="361"/>
      <c r="AF269" s="310" t="s">
        <v>6985</v>
      </c>
      <c r="AG269" s="310" t="s">
        <v>6882</v>
      </c>
      <c r="AH269" s="310" t="s">
        <v>1555</v>
      </c>
      <c r="AI269" s="309" t="s">
        <v>2255</v>
      </c>
      <c r="AJ269" s="6" t="s">
        <v>218</v>
      </c>
      <c r="AK269" s="6" t="str">
        <f t="shared" si="152"/>
        <v>IGUAL</v>
      </c>
      <c r="AL269" s="151" t="str">
        <f>IFERROR(IF(LEFT(A269,3)="LCP",VLOOKUP(A269,STATUS_SAP_LCP!B:C,2,FALSE),VLOOKUP(A269,STATUS_SAP_ICP!B:C,2,FALSE)),"NO BUDGET")</f>
        <v>CLSD BUDG AUC  AVAC  //  APPR BREL EXPL</v>
      </c>
      <c r="AM269" s="6" t="str">
        <f t="shared" si="151"/>
        <v>CLSD</v>
      </c>
      <c r="AN269" s="282" t="s">
        <v>2651</v>
      </c>
      <c r="AO269" s="493">
        <v>1</v>
      </c>
      <c r="AP269" s="499" t="s">
        <v>9607</v>
      </c>
      <c r="AQ269" s="465">
        <v>45688</v>
      </c>
      <c r="AR269" s="460"/>
      <c r="AS269" s="57"/>
      <c r="AT269" s="185"/>
      <c r="AU269" s="318">
        <v>0</v>
      </c>
      <c r="AV269" s="223">
        <v>11.3527</v>
      </c>
      <c r="AW269" s="318">
        <v>58.158689999999993</v>
      </c>
      <c r="AX269" s="223">
        <v>12.23028</v>
      </c>
      <c r="AY269" s="318">
        <f t="shared" si="145"/>
        <v>0</v>
      </c>
      <c r="AZ269" s="223"/>
      <c r="BA269" s="318"/>
      <c r="BB269" s="519">
        <f t="shared" si="146"/>
        <v>3.7</v>
      </c>
      <c r="BC269" s="518">
        <v>0</v>
      </c>
      <c r="BD269" s="518">
        <v>0</v>
      </c>
      <c r="BE269" s="518">
        <v>3.7</v>
      </c>
      <c r="BF269" s="518">
        <v>0</v>
      </c>
      <c r="BG269" s="518">
        <v>0</v>
      </c>
      <c r="BH269" s="518">
        <v>0</v>
      </c>
      <c r="BI269" s="518">
        <v>0</v>
      </c>
      <c r="BJ269" s="518">
        <v>0</v>
      </c>
      <c r="BK269" s="518">
        <v>0</v>
      </c>
      <c r="BL269" s="518">
        <v>0</v>
      </c>
      <c r="BM269" s="518">
        <v>0</v>
      </c>
      <c r="BN269" s="518">
        <v>0</v>
      </c>
      <c r="BO269" s="367">
        <f t="shared" si="153"/>
        <v>0</v>
      </c>
      <c r="BP269" s="421">
        <v>0</v>
      </c>
      <c r="BQ269" s="422"/>
      <c r="BR269" s="423">
        <f>IFERROR(IF(LEFT($A269,3)="Lcp",SUMIFS('BASE-LCP'!$K:$K,'BASE-LCP'!$A:$A,Capex!$A271,'BASE-LCP'!$B:$B,"janeiro")/1000,IF(LEFT($A269,3)="icp",SUMIFS('BASE-ICP'!$K:$K,'BASE-ICP'!$A:$A,Capex!$A271,'BASE-ICP'!$B:$B,"janeiro")/1000,"")),"")</f>
        <v>0</v>
      </c>
      <c r="BS269" s="427">
        <v>0</v>
      </c>
      <c r="BT269" s="372">
        <v>0</v>
      </c>
      <c r="BU269" s="422"/>
      <c r="BV269" s="423">
        <f>IFERROR(IF(LEFT($A269,3)="Lcp",SUMIFS('BASE-LCP'!$K:$K,'BASE-LCP'!$A:$A,Capex!$A271,'BASE-LCP'!$B:$B,"fevereiro")/1000,IF(LEFT($A269,3)="icp",SUMIFS('BASE-ICP'!$K:$K,'BASE-ICP'!$A:$A,Capex!$A271,'BASE-ICP'!$B:$B,"fevereiro")/1000,"")),"")</f>
        <v>0</v>
      </c>
      <c r="BW269" s="427">
        <v>0</v>
      </c>
      <c r="BX269" s="372">
        <v>0</v>
      </c>
      <c r="BY269" s="419"/>
      <c r="BZ269" s="423">
        <f>IFERROR(IF(LEFT($A269,3)="Lcp",SUMIFS('BASE-LCP'!$K:$K,'BASE-LCP'!$A:$A,Capex!$A271,'BASE-LCP'!$B:$B,"março")/1000,IF(LEFT($A269,3)="icp",SUMIFS('BASE-ICP'!$K:$K,'BASE-ICP'!$A:$A,Capex!$A271,'BASE-ICP'!$B:$B,"março")/1000,"")),"")</f>
        <v>0</v>
      </c>
      <c r="CA269" s="427">
        <v>0</v>
      </c>
      <c r="CB269" s="372">
        <v>0</v>
      </c>
      <c r="CC269" s="422"/>
      <c r="CD269" s="423">
        <f>IFERROR(IF(LEFT($A269,3)="Lcp",SUMIFS('BASE-LCP'!$K:$K,'BASE-LCP'!$A:$A,Capex!$A271,'BASE-LCP'!$B:$B,"abril")/1000,IF(LEFT($A269,3)="icp",SUMIFS('BASE-ICP'!$K:$K,'BASE-ICP'!$A:$A,Capex!$A271,'BASE-ICP'!$B:$B,"abril")/1000,"")),"")</f>
        <v>0</v>
      </c>
      <c r="CE269" s="427">
        <v>0</v>
      </c>
      <c r="CF269" s="372">
        <v>0</v>
      </c>
      <c r="CG269" s="419"/>
      <c r="CH269" s="423">
        <v>0</v>
      </c>
      <c r="CI269" s="427">
        <v>0</v>
      </c>
      <c r="CJ269" s="372">
        <v>0</v>
      </c>
      <c r="CK269" s="419"/>
      <c r="CL269" s="423">
        <f>IFERROR(IF(LEFT($A269,3)="Lcp",SUMIFS('BASE-LCP'!$K:$K,'BASE-LCP'!$A:$A,Capex!$A271,'BASE-LCP'!$B:$B,"junho")/1000,IF(LEFT($A269,3)="icp",SUMIFS('BASE-ICP'!$K:$K,'BASE-ICP'!$A:$A,Capex!$A271,'BASE-ICP'!$B:$B,"junho")/1000,"")),"")</f>
        <v>0</v>
      </c>
      <c r="CM269" s="427">
        <v>0</v>
      </c>
      <c r="CN269" s="372"/>
      <c r="CO269" s="419"/>
      <c r="CP269" s="423">
        <f>IFERROR(IF(LEFT($A269,3)="Lcp",SUMIFS('BASE-LCP'!$K:$K,'BASE-LCP'!$A:$A,Capex!$A271,'BASE-LCP'!$B:$B,"julho")/1000,IF(LEFT($A269,3)="icp",SUMIFS('BASE-ICP'!$K:$K,'BASE-ICP'!$A:$A,Capex!$A271,'BASE-ICP'!$B:$B,"julho")/1000,"")),"")</f>
        <v>0</v>
      </c>
      <c r="CQ269" s="427">
        <v>0</v>
      </c>
      <c r="CR269" s="372"/>
      <c r="CS269" s="419"/>
      <c r="CT269" s="423">
        <f>IFERROR(IF(LEFT($A269,3)="Lcp",SUMIFS('BASE-LCP'!$K:$K,'BASE-LCP'!$A:$A,Capex!$A271,'BASE-LCP'!$B:$B,"agosto")/1000,IF(LEFT($A269,3)="icp",SUMIFS('BASE-ICP'!$K:$K,'BASE-ICP'!$A:$A,Capex!$A271,'BASE-ICP'!$B:$B,"agosto")/1000,"")),"")</f>
        <v>0</v>
      </c>
      <c r="CU269" s="427">
        <v>0</v>
      </c>
      <c r="CV269" s="372"/>
      <c r="CW269" s="419"/>
      <c r="CX269" s="423">
        <f>IFERROR(IF(LEFT($A269,3)="Lcp",SUMIFS('BASE-LCP'!$K:$K,'BASE-LCP'!$A:$A,Capex!$A271,'BASE-LCP'!$B:$B,"setembro")/1000,IF(LEFT($A269,3)="icp",SUMIFS('BASE-ICP'!$K:$K,'BASE-ICP'!$A:$A,Capex!$A271,'BASE-ICP'!$B:$B,"setembro")/1000,"")),"")</f>
        <v>0</v>
      </c>
      <c r="CY269" s="427">
        <v>0</v>
      </c>
      <c r="CZ269" s="372"/>
      <c r="DA269" s="419"/>
      <c r="DB269" s="423">
        <f>IFERROR(IF(LEFT($A269,3)="Lcp",SUMIFS('BASE-LCP'!$K:$K,'BASE-LCP'!$A:$A,Capex!$A271,'BASE-LCP'!$B:$B,"outubro")/1000,IF(LEFT($A269,3)="icp",SUMIFS('BASE-ICP'!$K:$K,'BASE-ICP'!$A:$A,Capex!$A271,'BASE-ICP'!$B:$B,"outubro")/1000,"")),"")</f>
        <v>0</v>
      </c>
      <c r="DC269" s="427">
        <v>0</v>
      </c>
      <c r="DD269" s="372"/>
      <c r="DE269" s="419"/>
      <c r="DF269" s="423">
        <f>IFERROR(IF(LEFT($A269,3)="Lcp",SUMIFS('BASE-LCP'!$K:$K,'BASE-LCP'!$A:$A,Capex!$A271,'BASE-LCP'!$B:$B,"novembro")/1000,IF(LEFT($A269,3)="icp",SUMIFS('BASE-ICP'!$K:$K,'BASE-ICP'!$A:$A,Capex!$A271,'BASE-ICP'!$B:$B,"novembro")/1000,"")),"")</f>
        <v>0</v>
      </c>
      <c r="DG269" s="427">
        <v>0</v>
      </c>
      <c r="DH269" s="372"/>
      <c r="DI269" s="419"/>
      <c r="DJ269" s="423">
        <f>IFERROR(IF(LEFT($A269,3)="Lcp",SUMIFS('BASE-LCP'!$K:$K,'BASE-LCP'!$A:$A,Capex!$A271,'BASE-LCP'!$B:$B,"dezembro")/1000,IF(LEFT($A269,3)="icp",SUMIFS('BASE-ICP'!$K:$K,'BASE-ICP'!$A:$A,Capex!$A271,'BASE-ICP'!$B:$B,"dezembro")/1000,"")),"")</f>
        <v>0</v>
      </c>
      <c r="DK269" s="427">
        <v>0</v>
      </c>
      <c r="DL269" s="452">
        <f t="shared" si="154"/>
        <v>0</v>
      </c>
      <c r="DM269" s="374"/>
      <c r="DN269" s="374">
        <v>0</v>
      </c>
      <c r="DO269" s="374"/>
      <c r="DP269" s="374"/>
      <c r="DQ269" s="374"/>
      <c r="DR269" s="374"/>
      <c r="DS269" s="374"/>
      <c r="DT269" s="374"/>
      <c r="DU269" s="374"/>
      <c r="DV269" s="374"/>
      <c r="DW269" s="374"/>
      <c r="DX269" s="374"/>
      <c r="DY269" s="450"/>
      <c r="DZ269" s="374">
        <f t="shared" si="155"/>
        <v>0</v>
      </c>
      <c r="EA269" s="216">
        <f t="shared" si="156"/>
        <v>0</v>
      </c>
      <c r="EB269" s="320">
        <f t="shared" si="157"/>
        <v>0</v>
      </c>
      <c r="EC269" s="241">
        <f t="shared" si="158"/>
        <v>0</v>
      </c>
      <c r="ED269" s="241">
        <f t="shared" si="159"/>
        <v>0</v>
      </c>
      <c r="EE269" s="241">
        <f t="shared" si="160"/>
        <v>0</v>
      </c>
      <c r="EF269" s="241">
        <f t="shared" si="161"/>
        <v>0</v>
      </c>
      <c r="EG269" s="346">
        <f t="shared" si="162"/>
        <v>-3.7</v>
      </c>
      <c r="EH269" s="445">
        <f t="shared" si="163"/>
        <v>0</v>
      </c>
      <c r="EI269" s="447">
        <f t="shared" si="164"/>
        <v>0</v>
      </c>
      <c r="EJ269" s="364">
        <f t="shared" si="165"/>
        <v>0</v>
      </c>
      <c r="EK269" s="365">
        <f t="shared" si="166"/>
        <v>0</v>
      </c>
      <c r="EL269" s="529">
        <f t="shared" si="167"/>
        <v>0</v>
      </c>
      <c r="EM269" s="530">
        <v>0</v>
      </c>
      <c r="EN269" s="530">
        <v>0</v>
      </c>
      <c r="EO269" s="530">
        <v>0</v>
      </c>
      <c r="EP269" s="530">
        <v>0</v>
      </c>
      <c r="EQ269" s="530">
        <v>0</v>
      </c>
      <c r="ER269" s="530">
        <v>0</v>
      </c>
      <c r="ES269" s="530">
        <v>0</v>
      </c>
      <c r="ET269" s="530">
        <v>0</v>
      </c>
      <c r="EU269" s="530">
        <v>0</v>
      </c>
      <c r="EV269" s="530">
        <v>0</v>
      </c>
      <c r="EW269" s="530">
        <v>0</v>
      </c>
      <c r="EX269" s="530">
        <v>0</v>
      </c>
      <c r="EY269" s="530">
        <f t="shared" si="168"/>
        <v>0</v>
      </c>
      <c r="EZ269" s="530">
        <f t="shared" si="169"/>
        <v>0</v>
      </c>
      <c r="FA269" s="530">
        <f t="shared" si="170"/>
        <v>0</v>
      </c>
      <c r="FB269" s="530">
        <f t="shared" si="171"/>
        <v>0</v>
      </c>
      <c r="FC269" s="384">
        <f>IFERROR(VLOOKUP(Capex!A271,BASE_558!D:R,8,FALSE)/1000,"")</f>
        <v>120</v>
      </c>
      <c r="FD269" s="328">
        <f>IFERROR(VLOOKUP(Capex!A271,BASE_558!D:R,9,)/1000,"")</f>
        <v>60.095730000000003</v>
      </c>
      <c r="FE269" s="328">
        <f>IFERROR(IF(LEFT(A269,3)="LCP",(VLOOKUP(Capex!A271,BASE_558!D:R,10,)/1000),SUMIFS('BASE ICP_PO_SC'!F:F,'BASE ICP_PO_SC'!A:A,Capex!A271,'BASE ICP_PO_SC'!E:E,"&lt;&gt;")/1000),"")</f>
        <v>0</v>
      </c>
      <c r="FF269" s="328">
        <f>IFERROR(IF(LEFT(A269,3)="LCP",(VLOOKUP(Capex!A271,BASE_558!D:R,11,)/1000),SUMIFS('BASE ICP_PO_SC'!F:F,'BASE ICP_PO_SC'!A:A,Capex!A271,'BASE ICP_PO_SC'!E:E,"")/1000),"")</f>
        <v>0</v>
      </c>
      <c r="FG269" s="328">
        <f>IFERROR(VLOOKUP(A269,BASE_558!D:R,13,FALSE)/1000,"")</f>
        <v>81.78182000000001</v>
      </c>
      <c r="FH269" s="328">
        <f>IFERROR(VLOOKUP(A269,BASE_558!D:R,15,FALSE)/1000,"")</f>
        <v>66.429179999999988</v>
      </c>
      <c r="FI269" s="547">
        <f t="shared" si="172"/>
        <v>0</v>
      </c>
      <c r="FJ269" s="547">
        <f t="shared" si="173"/>
        <v>0</v>
      </c>
      <c r="FK269" s="540">
        <f t="shared" si="174"/>
        <v>0</v>
      </c>
    </row>
    <row r="270" spans="1:167" s="23" customFormat="1" ht="24" customHeight="1">
      <c r="A270" s="84" t="s">
        <v>1595</v>
      </c>
      <c r="B270" s="404"/>
      <c r="C270" s="404">
        <v>18995</v>
      </c>
      <c r="D270" s="338" t="s">
        <v>1906</v>
      </c>
      <c r="E270" s="378" t="s">
        <v>602</v>
      </c>
      <c r="F270" s="5"/>
      <c r="G270" s="310" t="s">
        <v>9</v>
      </c>
      <c r="H270" s="356"/>
      <c r="I270" s="356"/>
      <c r="J270" s="356">
        <v>2022</v>
      </c>
      <c r="K270" s="321"/>
      <c r="L270" s="317">
        <v>45062</v>
      </c>
      <c r="M270" s="409"/>
      <c r="N270" s="317" t="str">
        <f t="shared" si="143"/>
        <v/>
      </c>
      <c r="O270" s="317" t="str">
        <f t="shared" si="144"/>
        <v/>
      </c>
      <c r="P270" s="418" t="str">
        <f t="shared" si="175"/>
        <v>N/A</v>
      </c>
      <c r="Q270" s="418" t="str">
        <f t="shared" si="175"/>
        <v>N/A</v>
      </c>
      <c r="R270" s="418" t="str">
        <f t="shared" si="175"/>
        <v>N/A</v>
      </c>
      <c r="S270" s="418" t="str">
        <f t="shared" si="175"/>
        <v>N/A</v>
      </c>
      <c r="T270" s="418" t="str">
        <f t="shared" si="175"/>
        <v>N/A</v>
      </c>
      <c r="U270" s="418" t="str">
        <f t="shared" si="175"/>
        <v>N/A</v>
      </c>
      <c r="V270" s="418" t="str">
        <f t="shared" si="175"/>
        <v>N/A</v>
      </c>
      <c r="W270" s="418" t="str">
        <f t="shared" si="175"/>
        <v>N/A</v>
      </c>
      <c r="X270" s="418" t="str">
        <f t="shared" si="175"/>
        <v>N/A</v>
      </c>
      <c r="Y270" s="418" t="str">
        <f t="shared" si="175"/>
        <v>N/A</v>
      </c>
      <c r="Z270" s="418" t="str">
        <f t="shared" si="175"/>
        <v>N/A</v>
      </c>
      <c r="AA270" s="418" t="str">
        <f t="shared" si="175"/>
        <v>N/A</v>
      </c>
      <c r="AB270" s="350"/>
      <c r="AC270" s="309" t="s">
        <v>3932</v>
      </c>
      <c r="AD270" s="311" t="s">
        <v>5</v>
      </c>
      <c r="AE270" s="361" t="s">
        <v>961</v>
      </c>
      <c r="AF270" s="310" t="s">
        <v>6985</v>
      </c>
      <c r="AG270" s="310" t="s">
        <v>704</v>
      </c>
      <c r="AH270" s="310" t="s">
        <v>1557</v>
      </c>
      <c r="AI270" s="381" t="s">
        <v>2255</v>
      </c>
      <c r="AJ270" s="6" t="s">
        <v>218</v>
      </c>
      <c r="AK270" s="6" t="str">
        <f t="shared" si="152"/>
        <v>IGUAL</v>
      </c>
      <c r="AL270" s="151" t="str">
        <f>IFERROR(IF(LEFT(A270,3)="LCP",VLOOKUP(A270,STATUS_SAP_LCP!B:C,2,FALSE),VLOOKUP(A270,STATUS_SAP_ICP!B:C,2,FALSE)),"NO BUDGET")</f>
        <v>CLSD AUC   //  INIT BNRL EXPL</v>
      </c>
      <c r="AM270" s="6" t="str">
        <f t="shared" si="151"/>
        <v>CLSD</v>
      </c>
      <c r="AN270" s="428" t="s">
        <v>557</v>
      </c>
      <c r="AO270" s="493">
        <v>1</v>
      </c>
      <c r="AP270" s="499" t="s">
        <v>9618</v>
      </c>
      <c r="AQ270" s="465">
        <v>45062</v>
      </c>
      <c r="AR270" s="460"/>
      <c r="AS270" s="57"/>
      <c r="AT270" s="185"/>
      <c r="AU270" s="318">
        <v>0</v>
      </c>
      <c r="AV270" s="223">
        <v>0</v>
      </c>
      <c r="AW270" s="318">
        <v>0</v>
      </c>
      <c r="AX270" s="223">
        <v>0</v>
      </c>
      <c r="AY270" s="318">
        <f t="shared" si="145"/>
        <v>0</v>
      </c>
      <c r="AZ270" s="223"/>
      <c r="BA270" s="318"/>
      <c r="BB270" s="519">
        <f t="shared" si="146"/>
        <v>0</v>
      </c>
      <c r="BC270" s="518"/>
      <c r="BD270" s="518"/>
      <c r="BE270" s="518"/>
      <c r="BF270" s="518"/>
      <c r="BG270" s="518"/>
      <c r="BH270" s="518"/>
      <c r="BI270" s="518"/>
      <c r="BJ270" s="518"/>
      <c r="BK270" s="518"/>
      <c r="BL270" s="518"/>
      <c r="BM270" s="518"/>
      <c r="BN270" s="518"/>
      <c r="BO270" s="367">
        <f t="shared" si="153"/>
        <v>0</v>
      </c>
      <c r="BP270" s="421"/>
      <c r="BQ270" s="422"/>
      <c r="BR270" s="423">
        <f>IFERROR(IF(LEFT($A270,3)="Lcp",SUMIFS('BASE-LCP'!$K:$K,'BASE-LCP'!$A:$A,Capex!$A272,'BASE-LCP'!$B:$B,"janeiro")/1000,IF(LEFT($A270,3)="icp",SUMIFS('BASE-ICP'!$K:$K,'BASE-ICP'!$A:$A,Capex!$A272,'BASE-ICP'!$B:$B,"janeiro")/1000,"")),"")</f>
        <v>0</v>
      </c>
      <c r="BS270" s="427">
        <v>0</v>
      </c>
      <c r="BT270" s="372">
        <v>0</v>
      </c>
      <c r="BU270" s="422"/>
      <c r="BV270" s="423">
        <f>IFERROR(IF(LEFT($A270,3)="Lcp",SUMIFS('BASE-LCP'!$K:$K,'BASE-LCP'!$A:$A,Capex!$A272,'BASE-LCP'!$B:$B,"fevereiro")/1000,IF(LEFT($A270,3)="icp",SUMIFS('BASE-ICP'!$K:$K,'BASE-ICP'!$A:$A,Capex!$A272,'BASE-ICP'!$B:$B,"fevereiro")/1000,"")),"")</f>
        <v>0</v>
      </c>
      <c r="BW270" s="427">
        <v>0</v>
      </c>
      <c r="BX270" s="372">
        <v>0</v>
      </c>
      <c r="BY270" s="419"/>
      <c r="BZ270" s="423">
        <f>IFERROR(IF(LEFT($A270,3)="Lcp",SUMIFS('BASE-LCP'!$K:$K,'BASE-LCP'!$A:$A,Capex!$A272,'BASE-LCP'!$B:$B,"março")/1000,IF(LEFT($A270,3)="icp",SUMIFS('BASE-ICP'!$K:$K,'BASE-ICP'!$A:$A,Capex!$A272,'BASE-ICP'!$B:$B,"março")/1000,"")),"")</f>
        <v>0</v>
      </c>
      <c r="CA270" s="427">
        <v>0</v>
      </c>
      <c r="CB270" s="372">
        <v>0</v>
      </c>
      <c r="CC270" s="422"/>
      <c r="CD270" s="423">
        <f>IFERROR(IF(LEFT($A270,3)="Lcp",SUMIFS('BASE-LCP'!$K:$K,'BASE-LCP'!$A:$A,Capex!$A272,'BASE-LCP'!$B:$B,"abril")/1000,IF(LEFT($A270,3)="icp",SUMIFS('BASE-ICP'!$K:$K,'BASE-ICP'!$A:$A,Capex!$A272,'BASE-ICP'!$B:$B,"abril")/1000,"")),"")</f>
        <v>0</v>
      </c>
      <c r="CE270" s="427">
        <v>0</v>
      </c>
      <c r="CF270" s="372">
        <v>0</v>
      </c>
      <c r="CG270" s="419"/>
      <c r="CH270" s="423">
        <v>0</v>
      </c>
      <c r="CI270" s="427">
        <v>0</v>
      </c>
      <c r="CJ270" s="372">
        <v>0</v>
      </c>
      <c r="CK270" s="419"/>
      <c r="CL270" s="423">
        <f>IFERROR(IF(LEFT($A270,3)="Lcp",SUMIFS('BASE-LCP'!$K:$K,'BASE-LCP'!$A:$A,Capex!$A272,'BASE-LCP'!$B:$B,"junho")/1000,IF(LEFT($A270,3)="icp",SUMIFS('BASE-ICP'!$K:$K,'BASE-ICP'!$A:$A,Capex!$A272,'BASE-ICP'!$B:$B,"junho")/1000,"")),"")</f>
        <v>0</v>
      </c>
      <c r="CM270" s="427">
        <v>0</v>
      </c>
      <c r="CN270" s="372"/>
      <c r="CO270" s="419"/>
      <c r="CP270" s="423">
        <f>IFERROR(IF(LEFT($A270,3)="Lcp",SUMIFS('BASE-LCP'!$K:$K,'BASE-LCP'!$A:$A,Capex!$A272,'BASE-LCP'!$B:$B,"julho")/1000,IF(LEFT($A270,3)="icp",SUMIFS('BASE-ICP'!$K:$K,'BASE-ICP'!$A:$A,Capex!$A272,'BASE-ICP'!$B:$B,"julho")/1000,"")),"")</f>
        <v>0</v>
      </c>
      <c r="CQ270" s="427">
        <v>0</v>
      </c>
      <c r="CR270" s="372"/>
      <c r="CS270" s="419"/>
      <c r="CT270" s="423">
        <f>IFERROR(IF(LEFT($A270,3)="Lcp",SUMIFS('BASE-LCP'!$K:$K,'BASE-LCP'!$A:$A,Capex!$A272,'BASE-LCP'!$B:$B,"agosto")/1000,IF(LEFT($A270,3)="icp",SUMIFS('BASE-ICP'!$K:$K,'BASE-ICP'!$A:$A,Capex!$A272,'BASE-ICP'!$B:$B,"agosto")/1000,"")),"")</f>
        <v>0</v>
      </c>
      <c r="CU270" s="427">
        <v>0</v>
      </c>
      <c r="CV270" s="372"/>
      <c r="CW270" s="419"/>
      <c r="CX270" s="423">
        <f>IFERROR(IF(LEFT($A270,3)="Lcp",SUMIFS('BASE-LCP'!$K:$K,'BASE-LCP'!$A:$A,Capex!$A272,'BASE-LCP'!$B:$B,"setembro")/1000,IF(LEFT($A270,3)="icp",SUMIFS('BASE-ICP'!$K:$K,'BASE-ICP'!$A:$A,Capex!$A272,'BASE-ICP'!$B:$B,"setembro")/1000,"")),"")</f>
        <v>0</v>
      </c>
      <c r="CY270" s="427">
        <v>0</v>
      </c>
      <c r="CZ270" s="372"/>
      <c r="DA270" s="419"/>
      <c r="DB270" s="423">
        <f>IFERROR(IF(LEFT($A270,3)="Lcp",SUMIFS('BASE-LCP'!$K:$K,'BASE-LCP'!$A:$A,Capex!$A272,'BASE-LCP'!$B:$B,"outubro")/1000,IF(LEFT($A270,3)="icp",SUMIFS('BASE-ICP'!$K:$K,'BASE-ICP'!$A:$A,Capex!$A272,'BASE-ICP'!$B:$B,"outubro")/1000,"")),"")</f>
        <v>0</v>
      </c>
      <c r="DC270" s="427">
        <v>0</v>
      </c>
      <c r="DD270" s="372"/>
      <c r="DE270" s="419"/>
      <c r="DF270" s="423">
        <f>IFERROR(IF(LEFT($A270,3)="Lcp",SUMIFS('BASE-LCP'!$K:$K,'BASE-LCP'!$A:$A,Capex!$A272,'BASE-LCP'!$B:$B,"novembro")/1000,IF(LEFT($A270,3)="icp",SUMIFS('BASE-ICP'!$K:$K,'BASE-ICP'!$A:$A,Capex!$A272,'BASE-ICP'!$B:$B,"novembro")/1000,"")),"")</f>
        <v>0</v>
      </c>
      <c r="DG270" s="427">
        <v>0</v>
      </c>
      <c r="DH270" s="372"/>
      <c r="DI270" s="419"/>
      <c r="DJ270" s="423">
        <f>IFERROR(IF(LEFT($A270,3)="Lcp",SUMIFS('BASE-LCP'!$K:$K,'BASE-LCP'!$A:$A,Capex!$A272,'BASE-LCP'!$B:$B,"dezembro")/1000,IF(LEFT($A270,3)="icp",SUMIFS('BASE-ICP'!$K:$K,'BASE-ICP'!$A:$A,Capex!$A272,'BASE-ICP'!$B:$B,"dezembro")/1000,"")),"")</f>
        <v>0</v>
      </c>
      <c r="DK270" s="427">
        <v>0</v>
      </c>
      <c r="DL270" s="452">
        <f t="shared" si="154"/>
        <v>0</v>
      </c>
      <c r="DM270" s="374"/>
      <c r="DN270" s="374"/>
      <c r="DO270" s="374"/>
      <c r="DP270" s="374"/>
      <c r="DQ270" s="374"/>
      <c r="DR270" s="374"/>
      <c r="DS270" s="374"/>
      <c r="DT270" s="374"/>
      <c r="DU270" s="374"/>
      <c r="DV270" s="374"/>
      <c r="DW270" s="374"/>
      <c r="DX270" s="374"/>
      <c r="DY270" s="450"/>
      <c r="DZ270" s="374">
        <f t="shared" si="155"/>
        <v>0</v>
      </c>
      <c r="EA270" s="216">
        <f t="shared" si="156"/>
        <v>0</v>
      </c>
      <c r="EB270" s="320">
        <f t="shared" si="157"/>
        <v>0</v>
      </c>
      <c r="EC270" s="241">
        <f t="shared" si="158"/>
        <v>0</v>
      </c>
      <c r="ED270" s="241">
        <f t="shared" si="159"/>
        <v>0</v>
      </c>
      <c r="EE270" s="241">
        <f t="shared" si="160"/>
        <v>0</v>
      </c>
      <c r="EF270" s="241">
        <f t="shared" si="161"/>
        <v>0</v>
      </c>
      <c r="EG270" s="346">
        <f t="shared" si="162"/>
        <v>0</v>
      </c>
      <c r="EH270" s="445">
        <f t="shared" si="163"/>
        <v>0</v>
      </c>
      <c r="EI270" s="447">
        <f t="shared" si="164"/>
        <v>0</v>
      </c>
      <c r="EJ270" s="364">
        <f t="shared" si="165"/>
        <v>0</v>
      </c>
      <c r="EK270" s="365">
        <f t="shared" si="166"/>
        <v>0</v>
      </c>
      <c r="EL270" s="529">
        <f t="shared" si="167"/>
        <v>0</v>
      </c>
      <c r="EM270" s="530">
        <v>0</v>
      </c>
      <c r="EN270" s="530">
        <v>0</v>
      </c>
      <c r="EO270" s="530">
        <v>0</v>
      </c>
      <c r="EP270" s="530">
        <v>0</v>
      </c>
      <c r="EQ270" s="530">
        <v>0</v>
      </c>
      <c r="ER270" s="530">
        <v>0</v>
      </c>
      <c r="ES270" s="530">
        <v>0</v>
      </c>
      <c r="ET270" s="530">
        <v>0</v>
      </c>
      <c r="EU270" s="530">
        <v>0</v>
      </c>
      <c r="EV270" s="530">
        <v>0</v>
      </c>
      <c r="EW270" s="530">
        <v>0</v>
      </c>
      <c r="EX270" s="530">
        <v>0</v>
      </c>
      <c r="EY270" s="530">
        <f t="shared" si="168"/>
        <v>0</v>
      </c>
      <c r="EZ270" s="530">
        <f t="shared" si="169"/>
        <v>0</v>
      </c>
      <c r="FA270" s="530">
        <f t="shared" si="170"/>
        <v>0</v>
      </c>
      <c r="FB270" s="530">
        <f t="shared" si="171"/>
        <v>0</v>
      </c>
      <c r="FC270" s="384">
        <f>IFERROR(VLOOKUP(Capex!A272,BASE_558!D:R,8,FALSE)/1000,"")</f>
        <v>100</v>
      </c>
      <c r="FD270" s="328">
        <f>IFERROR(VLOOKUP(Capex!A272,BASE_558!D:R,9,)/1000,"")</f>
        <v>20.372319999999998</v>
      </c>
      <c r="FE270" s="328">
        <f>IFERROR(IF(LEFT(A270,3)="LCP",(VLOOKUP(Capex!A272,BASE_558!D:R,10,)/1000),SUMIFS('BASE ICP_PO_SC'!F:F,'BASE ICP_PO_SC'!A:A,Capex!A272,'BASE ICP_PO_SC'!E:E,"&lt;&gt;")/1000),"")</f>
        <v>0</v>
      </c>
      <c r="FF270" s="328">
        <f>IFERROR(IF(LEFT(A270,3)="LCP",(VLOOKUP(Capex!A272,BASE_558!D:R,11,)/1000),SUMIFS('BASE ICP_PO_SC'!F:F,'BASE ICP_PO_SC'!A:A,Capex!A272,'BASE ICP_PO_SC'!E:E,"")/1000),"")</f>
        <v>0</v>
      </c>
      <c r="FG270" s="328" t="str">
        <f>IFERROR(VLOOKUP(A270,BASE_558!D:R,13,FALSE)/1000,"")</f>
        <v/>
      </c>
      <c r="FH270" s="328" t="str">
        <f>IFERROR(VLOOKUP(A270,BASE_558!D:R,15,FALSE)/1000,"")</f>
        <v/>
      </c>
      <c r="FI270" s="547">
        <f t="shared" si="172"/>
        <v>0</v>
      </c>
      <c r="FJ270" s="547">
        <f t="shared" si="173"/>
        <v>0</v>
      </c>
      <c r="FK270" s="540">
        <f t="shared" si="174"/>
        <v>0</v>
      </c>
    </row>
    <row r="271" spans="1:167" s="23" customFormat="1" ht="24" customHeight="1">
      <c r="A271" s="84" t="s">
        <v>1580</v>
      </c>
      <c r="B271" s="404"/>
      <c r="C271" s="404" t="s">
        <v>602</v>
      </c>
      <c r="D271" s="338"/>
      <c r="E271" s="378">
        <v>5368183</v>
      </c>
      <c r="F271" s="5"/>
      <c r="G271" s="310" t="s">
        <v>9</v>
      </c>
      <c r="H271" s="356"/>
      <c r="I271" s="356"/>
      <c r="J271" s="356">
        <v>2022</v>
      </c>
      <c r="K271" s="321">
        <v>44631</v>
      </c>
      <c r="L271" s="317">
        <v>45288</v>
      </c>
      <c r="M271" s="409"/>
      <c r="N271" s="317">
        <f t="shared" si="143"/>
        <v>45543</v>
      </c>
      <c r="O271" s="317">
        <f t="shared" si="144"/>
        <v>45908</v>
      </c>
      <c r="P271" s="418" t="str">
        <f t="shared" si="175"/>
        <v>NÃO</v>
      </c>
      <c r="Q271" s="418" t="str">
        <f t="shared" si="175"/>
        <v>NÃO</v>
      </c>
      <c r="R271" s="418" t="str">
        <f t="shared" si="175"/>
        <v>NÃO</v>
      </c>
      <c r="S271" s="418" t="str">
        <f t="shared" si="175"/>
        <v>NÃO</v>
      </c>
      <c r="T271" s="418" t="str">
        <f t="shared" si="175"/>
        <v>NÃO</v>
      </c>
      <c r="U271" s="418" t="str">
        <f t="shared" si="175"/>
        <v>NÃO</v>
      </c>
      <c r="V271" s="418" t="str">
        <f t="shared" si="175"/>
        <v>NÃO</v>
      </c>
      <c r="W271" s="418" t="str">
        <f t="shared" si="175"/>
        <v>NÃO</v>
      </c>
      <c r="X271" s="418" t="str">
        <f t="shared" si="175"/>
        <v>CRTD</v>
      </c>
      <c r="Y271" s="418" t="str">
        <f t="shared" si="175"/>
        <v>CRTD</v>
      </c>
      <c r="Z271" s="418" t="str">
        <f t="shared" si="175"/>
        <v>CRTD</v>
      </c>
      <c r="AA271" s="418" t="str">
        <f t="shared" si="175"/>
        <v>CRTD</v>
      </c>
      <c r="AB271" s="350"/>
      <c r="AC271" s="381" t="s">
        <v>2508</v>
      </c>
      <c r="AD271" s="311"/>
      <c r="AE271" s="361"/>
      <c r="AF271" s="310" t="s">
        <v>6985</v>
      </c>
      <c r="AG271" s="310" t="s">
        <v>9083</v>
      </c>
      <c r="AH271" s="310" t="s">
        <v>1558</v>
      </c>
      <c r="AI271" s="381" t="s">
        <v>2255</v>
      </c>
      <c r="AJ271" s="6" t="s">
        <v>218</v>
      </c>
      <c r="AK271" s="6" t="str">
        <f t="shared" si="152"/>
        <v>IGUAL</v>
      </c>
      <c r="AL271" s="151" t="str">
        <f>IFERROR(IF(LEFT(A271,3)="LCP",VLOOKUP(A271,STATUS_SAP_LCP!B:C,2,FALSE),VLOOKUP(A271,STATUS_SAP_ICP!B:C,2,FALSE)),"NO BUDGET")</f>
        <v>CLSD BUDG AUC  AVAC  //  APPR BREL EXPL</v>
      </c>
      <c r="AM271" s="6" t="str">
        <f t="shared" si="151"/>
        <v>CLSD</v>
      </c>
      <c r="AN271" s="282" t="s">
        <v>9087</v>
      </c>
      <c r="AO271" s="493">
        <v>1</v>
      </c>
      <c r="AP271" s="499" t="s">
        <v>9607</v>
      </c>
      <c r="AQ271" s="465">
        <v>45288</v>
      </c>
      <c r="AR271" s="460"/>
      <c r="AS271" s="57"/>
      <c r="AT271" s="185"/>
      <c r="AU271" s="318">
        <v>0</v>
      </c>
      <c r="AV271" s="223">
        <v>62.245839999999994</v>
      </c>
      <c r="AW271" s="318">
        <v>-2.1501100000000002</v>
      </c>
      <c r="AX271" s="223">
        <v>0</v>
      </c>
      <c r="AY271" s="318">
        <f t="shared" si="145"/>
        <v>0</v>
      </c>
      <c r="AZ271" s="223"/>
      <c r="BA271" s="318"/>
      <c r="BB271" s="519">
        <f t="shared" si="146"/>
        <v>0</v>
      </c>
      <c r="BC271" s="518"/>
      <c r="BD271" s="518"/>
      <c r="BE271" s="518"/>
      <c r="BF271" s="518"/>
      <c r="BG271" s="518"/>
      <c r="BH271" s="518"/>
      <c r="BI271" s="518"/>
      <c r="BJ271" s="518"/>
      <c r="BK271" s="518"/>
      <c r="BL271" s="518"/>
      <c r="BM271" s="518"/>
      <c r="BN271" s="518"/>
      <c r="BO271" s="367">
        <f t="shared" si="153"/>
        <v>0</v>
      </c>
      <c r="BP271" s="421"/>
      <c r="BQ271" s="422"/>
      <c r="BR271" s="423">
        <f>IFERROR(IF(LEFT($A271,3)="Lcp",SUMIFS('BASE-LCP'!$K:$K,'BASE-LCP'!$A:$A,Capex!$A273,'BASE-LCP'!$B:$B,"janeiro")/1000,IF(LEFT($A271,3)="icp",SUMIFS('BASE-ICP'!$K:$K,'BASE-ICP'!$A:$A,Capex!$A273,'BASE-ICP'!$B:$B,"janeiro")/1000,"")),"")</f>
        <v>0</v>
      </c>
      <c r="BS271" s="427">
        <v>0</v>
      </c>
      <c r="BT271" s="372">
        <v>0</v>
      </c>
      <c r="BU271" s="422"/>
      <c r="BV271" s="423">
        <f>IFERROR(IF(LEFT($A271,3)="Lcp",SUMIFS('BASE-LCP'!$K:$K,'BASE-LCP'!$A:$A,Capex!$A273,'BASE-LCP'!$B:$B,"fevereiro")/1000,IF(LEFT($A271,3)="icp",SUMIFS('BASE-ICP'!$K:$K,'BASE-ICP'!$A:$A,Capex!$A273,'BASE-ICP'!$B:$B,"fevereiro")/1000,"")),"")</f>
        <v>0</v>
      </c>
      <c r="BW271" s="427">
        <v>0</v>
      </c>
      <c r="BX271" s="372">
        <v>0</v>
      </c>
      <c r="BY271" s="419"/>
      <c r="BZ271" s="423">
        <f>IFERROR(IF(LEFT($A271,3)="Lcp",SUMIFS('BASE-LCP'!$K:$K,'BASE-LCP'!$A:$A,Capex!$A273,'BASE-LCP'!$B:$B,"março")/1000,IF(LEFT($A271,3)="icp",SUMIFS('BASE-ICP'!$K:$K,'BASE-ICP'!$A:$A,Capex!$A273,'BASE-ICP'!$B:$B,"março")/1000,"")),"")</f>
        <v>0</v>
      </c>
      <c r="CA271" s="427">
        <v>0</v>
      </c>
      <c r="CB271" s="372">
        <v>0</v>
      </c>
      <c r="CC271" s="422"/>
      <c r="CD271" s="423">
        <f>IFERROR(IF(LEFT($A271,3)="Lcp",SUMIFS('BASE-LCP'!$K:$K,'BASE-LCP'!$A:$A,Capex!$A273,'BASE-LCP'!$B:$B,"abril")/1000,IF(LEFT($A271,3)="icp",SUMIFS('BASE-ICP'!$K:$K,'BASE-ICP'!$A:$A,Capex!$A273,'BASE-ICP'!$B:$B,"abril")/1000,"")),"")</f>
        <v>0</v>
      </c>
      <c r="CE271" s="427">
        <v>0</v>
      </c>
      <c r="CF271" s="372">
        <v>0</v>
      </c>
      <c r="CG271" s="419"/>
      <c r="CH271" s="423">
        <v>0</v>
      </c>
      <c r="CI271" s="427">
        <v>0</v>
      </c>
      <c r="CJ271" s="372">
        <v>0</v>
      </c>
      <c r="CK271" s="419"/>
      <c r="CL271" s="423">
        <f>IFERROR(IF(LEFT($A271,3)="Lcp",SUMIFS('BASE-LCP'!$K:$K,'BASE-LCP'!$A:$A,Capex!$A273,'BASE-LCP'!$B:$B,"junho")/1000,IF(LEFT($A271,3)="icp",SUMIFS('BASE-ICP'!$K:$K,'BASE-ICP'!$A:$A,Capex!$A273,'BASE-ICP'!$B:$B,"junho")/1000,"")),"")</f>
        <v>0</v>
      </c>
      <c r="CM271" s="427">
        <v>0</v>
      </c>
      <c r="CN271" s="372"/>
      <c r="CO271" s="419"/>
      <c r="CP271" s="423">
        <f>IFERROR(IF(LEFT($A271,3)="Lcp",SUMIFS('BASE-LCP'!$K:$K,'BASE-LCP'!$A:$A,Capex!$A273,'BASE-LCP'!$B:$B,"julho")/1000,IF(LEFT($A271,3)="icp",SUMIFS('BASE-ICP'!$K:$K,'BASE-ICP'!$A:$A,Capex!$A273,'BASE-ICP'!$B:$B,"julho")/1000,"")),"")</f>
        <v>0</v>
      </c>
      <c r="CQ271" s="427">
        <v>0</v>
      </c>
      <c r="CR271" s="372"/>
      <c r="CS271" s="419"/>
      <c r="CT271" s="423">
        <f>IFERROR(IF(LEFT($A271,3)="Lcp",SUMIFS('BASE-LCP'!$K:$K,'BASE-LCP'!$A:$A,Capex!$A273,'BASE-LCP'!$B:$B,"agosto")/1000,IF(LEFT($A271,3)="icp",SUMIFS('BASE-ICP'!$K:$K,'BASE-ICP'!$A:$A,Capex!$A273,'BASE-ICP'!$B:$B,"agosto")/1000,"")),"")</f>
        <v>0</v>
      </c>
      <c r="CU271" s="427">
        <v>0</v>
      </c>
      <c r="CV271" s="372"/>
      <c r="CW271" s="419"/>
      <c r="CX271" s="423">
        <f>IFERROR(IF(LEFT($A271,3)="Lcp",SUMIFS('BASE-LCP'!$K:$K,'BASE-LCP'!$A:$A,Capex!$A273,'BASE-LCP'!$B:$B,"setembro")/1000,IF(LEFT($A271,3)="icp",SUMIFS('BASE-ICP'!$K:$K,'BASE-ICP'!$A:$A,Capex!$A273,'BASE-ICP'!$B:$B,"setembro")/1000,"")),"")</f>
        <v>0</v>
      </c>
      <c r="CY271" s="427">
        <v>0</v>
      </c>
      <c r="CZ271" s="372"/>
      <c r="DA271" s="419"/>
      <c r="DB271" s="423">
        <f>IFERROR(IF(LEFT($A271,3)="Lcp",SUMIFS('BASE-LCP'!$K:$K,'BASE-LCP'!$A:$A,Capex!$A273,'BASE-LCP'!$B:$B,"outubro")/1000,IF(LEFT($A271,3)="icp",SUMIFS('BASE-ICP'!$K:$K,'BASE-ICP'!$A:$A,Capex!$A273,'BASE-ICP'!$B:$B,"outubro")/1000,"")),"")</f>
        <v>0</v>
      </c>
      <c r="DC271" s="427">
        <v>0</v>
      </c>
      <c r="DD271" s="372"/>
      <c r="DE271" s="419"/>
      <c r="DF271" s="423">
        <f>IFERROR(IF(LEFT($A271,3)="Lcp",SUMIFS('BASE-LCP'!$K:$K,'BASE-LCP'!$A:$A,Capex!$A273,'BASE-LCP'!$B:$B,"novembro")/1000,IF(LEFT($A271,3)="icp",SUMIFS('BASE-ICP'!$K:$K,'BASE-ICP'!$A:$A,Capex!$A273,'BASE-ICP'!$B:$B,"novembro")/1000,"")),"")</f>
        <v>0</v>
      </c>
      <c r="DG271" s="427">
        <v>0</v>
      </c>
      <c r="DH271" s="372"/>
      <c r="DI271" s="419"/>
      <c r="DJ271" s="423">
        <f>IFERROR(IF(LEFT($A271,3)="Lcp",SUMIFS('BASE-LCP'!$K:$K,'BASE-LCP'!$A:$A,Capex!$A273,'BASE-LCP'!$B:$B,"dezembro")/1000,IF(LEFT($A271,3)="icp",SUMIFS('BASE-ICP'!$K:$K,'BASE-ICP'!$A:$A,Capex!$A273,'BASE-ICP'!$B:$B,"dezembro")/1000,"")),"")</f>
        <v>0</v>
      </c>
      <c r="DK271" s="427">
        <v>0</v>
      </c>
      <c r="DL271" s="452">
        <f t="shared" si="154"/>
        <v>0</v>
      </c>
      <c r="DM271" s="374"/>
      <c r="DN271" s="374"/>
      <c r="DO271" s="374"/>
      <c r="DP271" s="374"/>
      <c r="DQ271" s="374"/>
      <c r="DR271" s="374"/>
      <c r="DS271" s="374"/>
      <c r="DT271" s="374"/>
      <c r="DU271" s="374"/>
      <c r="DV271" s="374"/>
      <c r="DW271" s="374"/>
      <c r="DX271" s="374"/>
      <c r="DY271" s="450"/>
      <c r="DZ271" s="374">
        <f t="shared" si="155"/>
        <v>0</v>
      </c>
      <c r="EA271" s="216">
        <f t="shared" si="156"/>
        <v>0</v>
      </c>
      <c r="EB271" s="320">
        <f t="shared" si="157"/>
        <v>0</v>
      </c>
      <c r="EC271" s="241">
        <f t="shared" si="158"/>
        <v>0</v>
      </c>
      <c r="ED271" s="241">
        <f t="shared" si="159"/>
        <v>0</v>
      </c>
      <c r="EE271" s="241">
        <f t="shared" si="160"/>
        <v>0</v>
      </c>
      <c r="EF271" s="241">
        <f t="shared" si="161"/>
        <v>0</v>
      </c>
      <c r="EG271" s="346">
        <f t="shared" si="162"/>
        <v>0</v>
      </c>
      <c r="EH271" s="445">
        <f t="shared" si="163"/>
        <v>0</v>
      </c>
      <c r="EI271" s="447">
        <f t="shared" si="164"/>
        <v>0</v>
      </c>
      <c r="EJ271" s="364">
        <f t="shared" si="165"/>
        <v>0</v>
      </c>
      <c r="EK271" s="365">
        <f t="shared" si="166"/>
        <v>0</v>
      </c>
      <c r="EL271" s="529">
        <f t="shared" si="167"/>
        <v>0</v>
      </c>
      <c r="EM271" s="530">
        <v>0</v>
      </c>
      <c r="EN271" s="530">
        <v>0</v>
      </c>
      <c r="EO271" s="530">
        <v>0</v>
      </c>
      <c r="EP271" s="530">
        <v>0</v>
      </c>
      <c r="EQ271" s="530">
        <v>0</v>
      </c>
      <c r="ER271" s="530">
        <v>0</v>
      </c>
      <c r="ES271" s="530">
        <v>0</v>
      </c>
      <c r="ET271" s="530">
        <v>0</v>
      </c>
      <c r="EU271" s="530">
        <v>0</v>
      </c>
      <c r="EV271" s="530">
        <v>0</v>
      </c>
      <c r="EW271" s="530">
        <v>0</v>
      </c>
      <c r="EX271" s="530">
        <v>0</v>
      </c>
      <c r="EY271" s="530">
        <f t="shared" si="168"/>
        <v>0</v>
      </c>
      <c r="EZ271" s="530">
        <f t="shared" si="169"/>
        <v>0</v>
      </c>
      <c r="FA271" s="530">
        <f t="shared" si="170"/>
        <v>0</v>
      </c>
      <c r="FB271" s="530">
        <f t="shared" si="171"/>
        <v>0</v>
      </c>
      <c r="FC271" s="384">
        <f>IFERROR(VLOOKUP(Capex!A273,BASE_558!D:R,8,FALSE)/1000,"")</f>
        <v>113.18</v>
      </c>
      <c r="FD271" s="328">
        <f>IFERROR(VLOOKUP(Capex!A273,BASE_558!D:R,9,)/1000,"")</f>
        <v>100.30165</v>
      </c>
      <c r="FE271" s="328">
        <f>IFERROR(IF(LEFT(A271,3)="LCP",(VLOOKUP(Capex!A273,BASE_558!D:R,10,)/1000),SUMIFS('BASE ICP_PO_SC'!F:F,'BASE ICP_PO_SC'!A:A,Capex!A273,'BASE ICP_PO_SC'!E:E,"&lt;&gt;")/1000),"")</f>
        <v>0</v>
      </c>
      <c r="FF271" s="328">
        <f>IFERROR(IF(LEFT(A271,3)="LCP",(VLOOKUP(Capex!A273,BASE_558!D:R,11,)/1000),SUMIFS('BASE ICP_PO_SC'!F:F,'BASE ICP_PO_SC'!A:A,Capex!A273,'BASE ICP_PO_SC'!E:E,"")/1000),"")</f>
        <v>0</v>
      </c>
      <c r="FG271" s="328">
        <f>IFERROR(VLOOKUP(A271,BASE_558!D:R,13,FALSE)/1000,"")</f>
        <v>60.095730000000003</v>
      </c>
      <c r="FH271" s="328">
        <f>IFERROR(VLOOKUP(A271,BASE_558!D:R,15,FALSE)/1000,"")</f>
        <v>59.904269999999997</v>
      </c>
      <c r="FI271" s="547">
        <f t="shared" si="172"/>
        <v>0</v>
      </c>
      <c r="FJ271" s="547">
        <f t="shared" si="173"/>
        <v>0</v>
      </c>
      <c r="FK271" s="540">
        <f t="shared" si="174"/>
        <v>0</v>
      </c>
    </row>
    <row r="272" spans="1:167" s="23" customFormat="1" ht="24" customHeight="1">
      <c r="A272" s="84" t="s">
        <v>1579</v>
      </c>
      <c r="B272" s="404"/>
      <c r="C272" s="404" t="s">
        <v>602</v>
      </c>
      <c r="D272" s="338"/>
      <c r="E272" s="378">
        <v>5368739</v>
      </c>
      <c r="F272" s="5"/>
      <c r="G272" s="310" t="s">
        <v>9</v>
      </c>
      <c r="H272" s="356"/>
      <c r="I272" s="356"/>
      <c r="J272" s="356">
        <v>2022</v>
      </c>
      <c r="K272" s="321">
        <v>44631</v>
      </c>
      <c r="L272" s="317">
        <v>45028</v>
      </c>
      <c r="M272" s="409"/>
      <c r="N272" s="317">
        <f t="shared" si="143"/>
        <v>45543</v>
      </c>
      <c r="O272" s="317">
        <f t="shared" si="144"/>
        <v>45908</v>
      </c>
      <c r="P272" s="418" t="str">
        <f t="shared" si="175"/>
        <v>NÃO</v>
      </c>
      <c r="Q272" s="418" t="str">
        <f t="shared" si="175"/>
        <v>NÃO</v>
      </c>
      <c r="R272" s="418" t="str">
        <f t="shared" si="175"/>
        <v>NÃO</v>
      </c>
      <c r="S272" s="418" t="str">
        <f t="shared" si="175"/>
        <v>NÃO</v>
      </c>
      <c r="T272" s="418" t="str">
        <f t="shared" si="175"/>
        <v>NÃO</v>
      </c>
      <c r="U272" s="418" t="str">
        <f t="shared" si="175"/>
        <v>NÃO</v>
      </c>
      <c r="V272" s="418" t="str">
        <f t="shared" si="175"/>
        <v>NÃO</v>
      </c>
      <c r="W272" s="418" t="str">
        <f t="shared" si="175"/>
        <v>NÃO</v>
      </c>
      <c r="X272" s="418" t="str">
        <f t="shared" si="175"/>
        <v>CRTD</v>
      </c>
      <c r="Y272" s="418" t="str">
        <f t="shared" si="175"/>
        <v>CRTD</v>
      </c>
      <c r="Z272" s="418" t="str">
        <f t="shared" si="175"/>
        <v>CRTD</v>
      </c>
      <c r="AA272" s="418" t="str">
        <f t="shared" si="175"/>
        <v>CRTD</v>
      </c>
      <c r="AB272" s="350"/>
      <c r="AC272" s="309" t="s">
        <v>2508</v>
      </c>
      <c r="AD272" s="311"/>
      <c r="AE272" s="361"/>
      <c r="AF272" s="310" t="s">
        <v>6985</v>
      </c>
      <c r="AG272" s="310" t="s">
        <v>9083</v>
      </c>
      <c r="AH272" s="310" t="s">
        <v>1561</v>
      </c>
      <c r="AI272" s="381" t="s">
        <v>2255</v>
      </c>
      <c r="AJ272" s="6" t="s">
        <v>218</v>
      </c>
      <c r="AK272" s="6" t="str">
        <f t="shared" si="152"/>
        <v>IGUAL</v>
      </c>
      <c r="AL272" s="151" t="str">
        <f>IFERROR(IF(LEFT(A272,3)="LCP",VLOOKUP(A272,STATUS_SAP_LCP!B:C,2,FALSE),VLOOKUP(A272,STATUS_SAP_ICP!B:C,2,FALSE)),"NO BUDGET")</f>
        <v>CLSD BUDG AUC  AVAC  //  APPR BREL EXPL</v>
      </c>
      <c r="AM272" s="6" t="str">
        <f t="shared" si="151"/>
        <v>CLSD</v>
      </c>
      <c r="AN272" s="282" t="s">
        <v>9087</v>
      </c>
      <c r="AO272" s="493">
        <v>1</v>
      </c>
      <c r="AP272" s="499" t="s">
        <v>9607</v>
      </c>
      <c r="AQ272" s="465">
        <v>45028</v>
      </c>
      <c r="AR272" s="460"/>
      <c r="AS272" s="57"/>
      <c r="AT272" s="185"/>
      <c r="AU272" s="318">
        <v>0</v>
      </c>
      <c r="AV272" s="223">
        <v>40.648980000000002</v>
      </c>
      <c r="AW272" s="318">
        <v>-20.27666</v>
      </c>
      <c r="AX272" s="223">
        <v>0</v>
      </c>
      <c r="AY272" s="318">
        <f t="shared" si="145"/>
        <v>0</v>
      </c>
      <c r="AZ272" s="223"/>
      <c r="BA272" s="318"/>
      <c r="BB272" s="519">
        <f t="shared" si="146"/>
        <v>0</v>
      </c>
      <c r="BC272" s="518"/>
      <c r="BD272" s="518"/>
      <c r="BE272" s="518"/>
      <c r="BF272" s="518"/>
      <c r="BG272" s="518"/>
      <c r="BH272" s="518"/>
      <c r="BI272" s="518"/>
      <c r="BJ272" s="518"/>
      <c r="BK272" s="518"/>
      <c r="BL272" s="518"/>
      <c r="BM272" s="518"/>
      <c r="BN272" s="518"/>
      <c r="BO272" s="367">
        <f t="shared" si="153"/>
        <v>0</v>
      </c>
      <c r="BP272" s="421"/>
      <c r="BQ272" s="422"/>
      <c r="BR272" s="423">
        <f>IFERROR(IF(LEFT($A272,3)="Lcp",SUMIFS('BASE-LCP'!$K:$K,'BASE-LCP'!$A:$A,Capex!$A274,'BASE-LCP'!$B:$B,"janeiro")/1000,IF(LEFT($A272,3)="icp",SUMIFS('BASE-ICP'!$K:$K,'BASE-ICP'!$A:$A,Capex!$A274,'BASE-ICP'!$B:$B,"janeiro")/1000,"")),"")</f>
        <v>0</v>
      </c>
      <c r="BS272" s="427">
        <v>0</v>
      </c>
      <c r="BT272" s="372">
        <v>0</v>
      </c>
      <c r="BU272" s="422"/>
      <c r="BV272" s="423">
        <f>IFERROR(IF(LEFT($A272,3)="Lcp",SUMIFS('BASE-LCP'!$K:$K,'BASE-LCP'!$A:$A,Capex!$A274,'BASE-LCP'!$B:$B,"fevereiro")/1000,IF(LEFT($A272,3)="icp",SUMIFS('BASE-ICP'!$K:$K,'BASE-ICP'!$A:$A,Capex!$A274,'BASE-ICP'!$B:$B,"fevereiro")/1000,"")),"")</f>
        <v>0</v>
      </c>
      <c r="BW272" s="427">
        <v>0</v>
      </c>
      <c r="BX272" s="372">
        <v>0</v>
      </c>
      <c r="BY272" s="419"/>
      <c r="BZ272" s="423">
        <f>IFERROR(IF(LEFT($A272,3)="Lcp",SUMIFS('BASE-LCP'!$K:$K,'BASE-LCP'!$A:$A,Capex!$A274,'BASE-LCP'!$B:$B,"março")/1000,IF(LEFT($A272,3)="icp",SUMIFS('BASE-ICP'!$K:$K,'BASE-ICP'!$A:$A,Capex!$A274,'BASE-ICP'!$B:$B,"março")/1000,"")),"")</f>
        <v>0</v>
      </c>
      <c r="CA272" s="427">
        <v>0</v>
      </c>
      <c r="CB272" s="372">
        <v>0</v>
      </c>
      <c r="CC272" s="422"/>
      <c r="CD272" s="423">
        <f>IFERROR(IF(LEFT($A272,3)="Lcp",SUMIFS('BASE-LCP'!$K:$K,'BASE-LCP'!$A:$A,Capex!$A274,'BASE-LCP'!$B:$B,"abril")/1000,IF(LEFT($A272,3)="icp",SUMIFS('BASE-ICP'!$K:$K,'BASE-ICP'!$A:$A,Capex!$A274,'BASE-ICP'!$B:$B,"abril")/1000,"")),"")</f>
        <v>0</v>
      </c>
      <c r="CE272" s="427">
        <v>0</v>
      </c>
      <c r="CF272" s="372">
        <v>0</v>
      </c>
      <c r="CG272" s="419"/>
      <c r="CH272" s="423">
        <v>0</v>
      </c>
      <c r="CI272" s="427">
        <v>0</v>
      </c>
      <c r="CJ272" s="372">
        <v>0</v>
      </c>
      <c r="CK272" s="419"/>
      <c r="CL272" s="423">
        <f>IFERROR(IF(LEFT($A272,3)="Lcp",SUMIFS('BASE-LCP'!$K:$K,'BASE-LCP'!$A:$A,Capex!$A274,'BASE-LCP'!$B:$B,"junho")/1000,IF(LEFT($A272,3)="icp",SUMIFS('BASE-ICP'!$K:$K,'BASE-ICP'!$A:$A,Capex!$A274,'BASE-ICP'!$B:$B,"junho")/1000,"")),"")</f>
        <v>0</v>
      </c>
      <c r="CM272" s="427">
        <v>0</v>
      </c>
      <c r="CN272" s="372"/>
      <c r="CO272" s="419"/>
      <c r="CP272" s="423">
        <f>IFERROR(IF(LEFT($A272,3)="Lcp",SUMIFS('BASE-LCP'!$K:$K,'BASE-LCP'!$A:$A,Capex!$A274,'BASE-LCP'!$B:$B,"julho")/1000,IF(LEFT($A272,3)="icp",SUMIFS('BASE-ICP'!$K:$K,'BASE-ICP'!$A:$A,Capex!$A274,'BASE-ICP'!$B:$B,"julho")/1000,"")),"")</f>
        <v>0</v>
      </c>
      <c r="CQ272" s="427">
        <v>0</v>
      </c>
      <c r="CR272" s="372"/>
      <c r="CS272" s="419"/>
      <c r="CT272" s="423">
        <f>IFERROR(IF(LEFT($A272,3)="Lcp",SUMIFS('BASE-LCP'!$K:$K,'BASE-LCP'!$A:$A,Capex!$A274,'BASE-LCP'!$B:$B,"agosto")/1000,IF(LEFT($A272,3)="icp",SUMIFS('BASE-ICP'!$K:$K,'BASE-ICP'!$A:$A,Capex!$A274,'BASE-ICP'!$B:$B,"agosto")/1000,"")),"")</f>
        <v>0</v>
      </c>
      <c r="CU272" s="427">
        <v>0</v>
      </c>
      <c r="CV272" s="372"/>
      <c r="CW272" s="419"/>
      <c r="CX272" s="423">
        <f>IFERROR(IF(LEFT($A272,3)="Lcp",SUMIFS('BASE-LCP'!$K:$K,'BASE-LCP'!$A:$A,Capex!$A274,'BASE-LCP'!$B:$B,"setembro")/1000,IF(LEFT($A272,3)="icp",SUMIFS('BASE-ICP'!$K:$K,'BASE-ICP'!$A:$A,Capex!$A274,'BASE-ICP'!$B:$B,"setembro")/1000,"")),"")</f>
        <v>0</v>
      </c>
      <c r="CY272" s="427">
        <v>0</v>
      </c>
      <c r="CZ272" s="372"/>
      <c r="DA272" s="419"/>
      <c r="DB272" s="423">
        <f>IFERROR(IF(LEFT($A272,3)="Lcp",SUMIFS('BASE-LCP'!$K:$K,'BASE-LCP'!$A:$A,Capex!$A274,'BASE-LCP'!$B:$B,"outubro")/1000,IF(LEFT($A272,3)="icp",SUMIFS('BASE-ICP'!$K:$K,'BASE-ICP'!$A:$A,Capex!$A274,'BASE-ICP'!$B:$B,"outubro")/1000,"")),"")</f>
        <v>0</v>
      </c>
      <c r="DC272" s="427">
        <v>0</v>
      </c>
      <c r="DD272" s="372"/>
      <c r="DE272" s="419"/>
      <c r="DF272" s="423">
        <f>IFERROR(IF(LEFT($A272,3)="Lcp",SUMIFS('BASE-LCP'!$K:$K,'BASE-LCP'!$A:$A,Capex!$A274,'BASE-LCP'!$B:$B,"novembro")/1000,IF(LEFT($A272,3)="icp",SUMIFS('BASE-ICP'!$K:$K,'BASE-ICP'!$A:$A,Capex!$A274,'BASE-ICP'!$B:$B,"novembro")/1000,"")),"")</f>
        <v>0</v>
      </c>
      <c r="DG272" s="427">
        <v>0</v>
      </c>
      <c r="DH272" s="372"/>
      <c r="DI272" s="419"/>
      <c r="DJ272" s="423">
        <f>IFERROR(IF(LEFT($A272,3)="Lcp",SUMIFS('BASE-LCP'!$K:$K,'BASE-LCP'!$A:$A,Capex!$A274,'BASE-LCP'!$B:$B,"dezembro")/1000,IF(LEFT($A272,3)="icp",SUMIFS('BASE-ICP'!$K:$K,'BASE-ICP'!$A:$A,Capex!$A274,'BASE-ICP'!$B:$B,"dezembro")/1000,"")),"")</f>
        <v>0</v>
      </c>
      <c r="DK272" s="427">
        <v>0</v>
      </c>
      <c r="DL272" s="452">
        <f t="shared" si="154"/>
        <v>0</v>
      </c>
      <c r="DM272" s="374"/>
      <c r="DN272" s="374"/>
      <c r="DO272" s="374"/>
      <c r="DP272" s="374"/>
      <c r="DQ272" s="374"/>
      <c r="DR272" s="374"/>
      <c r="DS272" s="374"/>
      <c r="DT272" s="374"/>
      <c r="DU272" s="374"/>
      <c r="DV272" s="374"/>
      <c r="DW272" s="374"/>
      <c r="DX272" s="374"/>
      <c r="DY272" s="450"/>
      <c r="DZ272" s="374">
        <f t="shared" si="155"/>
        <v>0</v>
      </c>
      <c r="EA272" s="216">
        <f t="shared" si="156"/>
        <v>0</v>
      </c>
      <c r="EB272" s="320">
        <f t="shared" si="157"/>
        <v>0</v>
      </c>
      <c r="EC272" s="241">
        <f t="shared" si="158"/>
        <v>0</v>
      </c>
      <c r="ED272" s="241">
        <f t="shared" si="159"/>
        <v>0</v>
      </c>
      <c r="EE272" s="241">
        <f t="shared" si="160"/>
        <v>0</v>
      </c>
      <c r="EF272" s="241">
        <f t="shared" si="161"/>
        <v>0</v>
      </c>
      <c r="EG272" s="346">
        <f t="shared" si="162"/>
        <v>0</v>
      </c>
      <c r="EH272" s="445">
        <f t="shared" si="163"/>
        <v>0</v>
      </c>
      <c r="EI272" s="447">
        <f t="shared" si="164"/>
        <v>0</v>
      </c>
      <c r="EJ272" s="364">
        <f t="shared" si="165"/>
        <v>0</v>
      </c>
      <c r="EK272" s="365">
        <f t="shared" si="166"/>
        <v>0</v>
      </c>
      <c r="EL272" s="529">
        <f t="shared" si="167"/>
        <v>0</v>
      </c>
      <c r="EM272" s="530">
        <v>0</v>
      </c>
      <c r="EN272" s="530">
        <v>0</v>
      </c>
      <c r="EO272" s="530">
        <v>0</v>
      </c>
      <c r="EP272" s="530">
        <v>0</v>
      </c>
      <c r="EQ272" s="530">
        <v>0</v>
      </c>
      <c r="ER272" s="530">
        <v>0</v>
      </c>
      <c r="ES272" s="530">
        <v>0</v>
      </c>
      <c r="ET272" s="530">
        <v>0</v>
      </c>
      <c r="EU272" s="530">
        <v>0</v>
      </c>
      <c r="EV272" s="530">
        <v>0</v>
      </c>
      <c r="EW272" s="530">
        <v>0</v>
      </c>
      <c r="EX272" s="530">
        <v>0</v>
      </c>
      <c r="EY272" s="530">
        <f t="shared" si="168"/>
        <v>0</v>
      </c>
      <c r="EZ272" s="530">
        <f t="shared" si="169"/>
        <v>0</v>
      </c>
      <c r="FA272" s="530">
        <f t="shared" si="170"/>
        <v>0</v>
      </c>
      <c r="FB272" s="530">
        <f t="shared" si="171"/>
        <v>0</v>
      </c>
      <c r="FC272" s="384">
        <f>IFERROR(VLOOKUP(Capex!A274,BASE_558!D:R,8,FALSE)/1000,"")</f>
        <v>223</v>
      </c>
      <c r="FD272" s="328">
        <f>IFERROR(VLOOKUP(Capex!A274,BASE_558!D:R,9,)/1000,"")</f>
        <v>0</v>
      </c>
      <c r="FE272" s="328">
        <f>IFERROR(IF(LEFT(A272,3)="LCP",(VLOOKUP(Capex!A274,BASE_558!D:R,10,)/1000),SUMIFS('BASE ICP_PO_SC'!F:F,'BASE ICP_PO_SC'!A:A,Capex!A274,'BASE ICP_PO_SC'!E:E,"&lt;&gt;")/1000),"")</f>
        <v>0</v>
      </c>
      <c r="FF272" s="328">
        <f>IFERROR(IF(LEFT(A272,3)="LCP",(VLOOKUP(Capex!A274,BASE_558!D:R,11,)/1000),SUMIFS('BASE ICP_PO_SC'!F:F,'BASE ICP_PO_SC'!A:A,Capex!A274,'BASE ICP_PO_SC'!E:E,"")/1000),"")</f>
        <v>0</v>
      </c>
      <c r="FG272" s="328">
        <f>IFERROR(VLOOKUP(A272,BASE_558!D:R,13,FALSE)/1000,"")</f>
        <v>20.372319999999998</v>
      </c>
      <c r="FH272" s="328">
        <f>IFERROR(VLOOKUP(A272,BASE_558!D:R,15,FALSE)/1000,"")</f>
        <v>79.627679999999998</v>
      </c>
      <c r="FI272" s="547">
        <f t="shared" si="172"/>
        <v>0</v>
      </c>
      <c r="FJ272" s="547">
        <f t="shared" si="173"/>
        <v>0</v>
      </c>
      <c r="FK272" s="540">
        <f t="shared" si="174"/>
        <v>0</v>
      </c>
    </row>
    <row r="273" spans="1:167" s="23" customFormat="1" ht="24" customHeight="1">
      <c r="A273" s="84" t="s">
        <v>1578</v>
      </c>
      <c r="B273" s="404"/>
      <c r="C273" s="404" t="s">
        <v>602</v>
      </c>
      <c r="D273" s="338" t="s">
        <v>2294</v>
      </c>
      <c r="E273" s="378">
        <v>5488371</v>
      </c>
      <c r="F273" s="5"/>
      <c r="G273" s="310" t="s">
        <v>9</v>
      </c>
      <c r="H273" s="356"/>
      <c r="I273" s="356" t="s">
        <v>6</v>
      </c>
      <c r="J273" s="356">
        <v>2022</v>
      </c>
      <c r="K273" s="321">
        <v>44669</v>
      </c>
      <c r="L273" s="317">
        <v>45327</v>
      </c>
      <c r="M273" s="409"/>
      <c r="N273" s="317">
        <f t="shared" si="143"/>
        <v>45581</v>
      </c>
      <c r="O273" s="317">
        <f t="shared" si="144"/>
        <v>45946</v>
      </c>
      <c r="P273" s="418" t="str">
        <f t="shared" si="175"/>
        <v>NÃO</v>
      </c>
      <c r="Q273" s="418" t="str">
        <f t="shared" si="175"/>
        <v>NÃO</v>
      </c>
      <c r="R273" s="418" t="str">
        <f t="shared" si="175"/>
        <v>NÃO</v>
      </c>
      <c r="S273" s="418" t="str">
        <f t="shared" si="175"/>
        <v>NÃO</v>
      </c>
      <c r="T273" s="418" t="str">
        <f t="shared" si="175"/>
        <v>NÃO</v>
      </c>
      <c r="U273" s="418" t="str">
        <f t="shared" si="175"/>
        <v>NÃO</v>
      </c>
      <c r="V273" s="418" t="str">
        <f t="shared" si="175"/>
        <v>NÃO</v>
      </c>
      <c r="W273" s="418" t="str">
        <f t="shared" si="175"/>
        <v>NÃO</v>
      </c>
      <c r="X273" s="418" t="str">
        <f t="shared" si="175"/>
        <v>NÃO</v>
      </c>
      <c r="Y273" s="418" t="str">
        <f t="shared" si="175"/>
        <v>CRTD</v>
      </c>
      <c r="Z273" s="418" t="str">
        <f t="shared" si="175"/>
        <v>CRTD</v>
      </c>
      <c r="AA273" s="418" t="str">
        <f t="shared" si="175"/>
        <v>CRTD</v>
      </c>
      <c r="AB273" s="350"/>
      <c r="AC273" s="309" t="s">
        <v>2508</v>
      </c>
      <c r="AD273" s="311"/>
      <c r="AE273" s="361"/>
      <c r="AF273" s="310" t="s">
        <v>6985</v>
      </c>
      <c r="AG273" s="310" t="s">
        <v>9083</v>
      </c>
      <c r="AH273" s="310" t="s">
        <v>1577</v>
      </c>
      <c r="AI273" s="381" t="s">
        <v>186</v>
      </c>
      <c r="AJ273" s="6" t="s">
        <v>218</v>
      </c>
      <c r="AK273" s="6" t="str">
        <f t="shared" si="152"/>
        <v>IGUAL</v>
      </c>
      <c r="AL273" s="151" t="str">
        <f>IFERROR(IF(LEFT(A273,3)="LCP",VLOOKUP(A273,STATUS_SAP_LCP!B:C,2,FALSE),VLOOKUP(A273,STATUS_SAP_ICP!B:C,2,FALSE)),"NO BUDGET")</f>
        <v>CLSD BUDG AUC  AVAC  //  APPR BREL EXPL</v>
      </c>
      <c r="AM273" s="6" t="str">
        <f t="shared" si="151"/>
        <v>CLSD</v>
      </c>
      <c r="AN273" s="282" t="s">
        <v>9087</v>
      </c>
      <c r="AO273" s="493">
        <v>1</v>
      </c>
      <c r="AP273" s="499" t="s">
        <v>9607</v>
      </c>
      <c r="AQ273" s="465">
        <v>45327</v>
      </c>
      <c r="AR273" s="460"/>
      <c r="AS273" s="57"/>
      <c r="AT273" s="185"/>
      <c r="AU273" s="318">
        <v>0</v>
      </c>
      <c r="AV273" s="223">
        <v>100.30165</v>
      </c>
      <c r="AW273" s="318">
        <v>0</v>
      </c>
      <c r="AX273" s="223">
        <v>0</v>
      </c>
      <c r="AY273" s="318">
        <f t="shared" si="145"/>
        <v>0</v>
      </c>
      <c r="AZ273" s="223"/>
      <c r="BA273" s="318"/>
      <c r="BB273" s="519">
        <f t="shared" si="146"/>
        <v>0</v>
      </c>
      <c r="BC273" s="518">
        <v>0</v>
      </c>
      <c r="BD273" s="518">
        <v>0</v>
      </c>
      <c r="BE273" s="518">
        <v>0</v>
      </c>
      <c r="BF273" s="518">
        <v>0</v>
      </c>
      <c r="BG273" s="518">
        <v>0</v>
      </c>
      <c r="BH273" s="518">
        <v>0</v>
      </c>
      <c r="BI273" s="518">
        <v>0</v>
      </c>
      <c r="BJ273" s="518">
        <v>0</v>
      </c>
      <c r="BK273" s="518">
        <v>0</v>
      </c>
      <c r="BL273" s="518">
        <v>0</v>
      </c>
      <c r="BM273" s="518">
        <v>0</v>
      </c>
      <c r="BN273" s="518">
        <v>0</v>
      </c>
      <c r="BO273" s="367">
        <f t="shared" si="153"/>
        <v>0</v>
      </c>
      <c r="BP273" s="421">
        <v>0</v>
      </c>
      <c r="BQ273" s="422"/>
      <c r="BR273" s="423">
        <f>IFERROR(IF(LEFT($A273,3)="Lcp",SUMIFS('BASE-LCP'!$K:$K,'BASE-LCP'!$A:$A,Capex!$A275,'BASE-LCP'!$B:$B,"janeiro")/1000,IF(LEFT($A273,3)="icp",SUMIFS('BASE-ICP'!$K:$K,'BASE-ICP'!$A:$A,Capex!$A275,'BASE-ICP'!$B:$B,"janeiro")/1000,"")),"")</f>
        <v>-4.900000000000002E-4</v>
      </c>
      <c r="BS273" s="427">
        <v>0</v>
      </c>
      <c r="BT273" s="372">
        <v>0</v>
      </c>
      <c r="BU273" s="422"/>
      <c r="BV273" s="423">
        <f>IFERROR(IF(LEFT($A273,3)="Lcp",SUMIFS('BASE-LCP'!$K:$K,'BASE-LCP'!$A:$A,Capex!$A275,'BASE-LCP'!$B:$B,"fevereiro")/1000,IF(LEFT($A273,3)="icp",SUMIFS('BASE-ICP'!$K:$K,'BASE-ICP'!$A:$A,Capex!$A275,'BASE-ICP'!$B:$B,"fevereiro")/1000,"")),"")</f>
        <v>0</v>
      </c>
      <c r="BW273" s="427">
        <v>0</v>
      </c>
      <c r="BX273" s="372">
        <v>0</v>
      </c>
      <c r="BY273" s="419"/>
      <c r="BZ273" s="423">
        <f>IFERROR(IF(LEFT($A273,3)="Lcp",SUMIFS('BASE-LCP'!$K:$K,'BASE-LCP'!$A:$A,Capex!$A275,'BASE-LCP'!$B:$B,"março")/1000,IF(LEFT($A273,3)="icp",SUMIFS('BASE-ICP'!$K:$K,'BASE-ICP'!$A:$A,Capex!$A275,'BASE-ICP'!$B:$B,"março")/1000,"")),"")</f>
        <v>7.9500000000000005E-3</v>
      </c>
      <c r="CA273" s="427">
        <v>0</v>
      </c>
      <c r="CB273" s="372">
        <v>0</v>
      </c>
      <c r="CC273" s="422"/>
      <c r="CD273" s="423">
        <f>IFERROR(IF(LEFT($A273,3)="Lcp",SUMIFS('BASE-LCP'!$K:$K,'BASE-LCP'!$A:$A,Capex!$A275,'BASE-LCP'!$B:$B,"abril")/1000,IF(LEFT($A273,3)="icp",SUMIFS('BASE-ICP'!$K:$K,'BASE-ICP'!$A:$A,Capex!$A275,'BASE-ICP'!$B:$B,"abril")/1000,"")),"")</f>
        <v>0</v>
      </c>
      <c r="CE273" s="427">
        <v>0</v>
      </c>
      <c r="CF273" s="372">
        <v>0</v>
      </c>
      <c r="CG273" s="419"/>
      <c r="CH273" s="423">
        <v>0</v>
      </c>
      <c r="CI273" s="427">
        <v>0</v>
      </c>
      <c r="CJ273" s="372">
        <v>0</v>
      </c>
      <c r="CK273" s="419"/>
      <c r="CL273" s="423">
        <f>IFERROR(IF(LEFT($A273,3)="Lcp",SUMIFS('BASE-LCP'!$K:$K,'BASE-LCP'!$A:$A,Capex!$A275,'BASE-LCP'!$B:$B,"junho")/1000,IF(LEFT($A273,3)="icp",SUMIFS('BASE-ICP'!$K:$K,'BASE-ICP'!$A:$A,Capex!$A275,'BASE-ICP'!$B:$B,"junho")/1000,"")),"")</f>
        <v>0</v>
      </c>
      <c r="CM273" s="427">
        <v>0</v>
      </c>
      <c r="CN273" s="372"/>
      <c r="CO273" s="419"/>
      <c r="CP273" s="423">
        <f>IFERROR(IF(LEFT($A273,3)="Lcp",SUMIFS('BASE-LCP'!$K:$K,'BASE-LCP'!$A:$A,Capex!$A275,'BASE-LCP'!$B:$B,"julho")/1000,IF(LEFT($A273,3)="icp",SUMIFS('BASE-ICP'!$K:$K,'BASE-ICP'!$A:$A,Capex!$A275,'BASE-ICP'!$B:$B,"julho")/1000,"")),"")</f>
        <v>0</v>
      </c>
      <c r="CQ273" s="427">
        <v>0</v>
      </c>
      <c r="CR273" s="372"/>
      <c r="CS273" s="419"/>
      <c r="CT273" s="423">
        <f>IFERROR(IF(LEFT($A273,3)="Lcp",SUMIFS('BASE-LCP'!$K:$K,'BASE-LCP'!$A:$A,Capex!$A275,'BASE-LCP'!$B:$B,"agosto")/1000,IF(LEFT($A273,3)="icp",SUMIFS('BASE-ICP'!$K:$K,'BASE-ICP'!$A:$A,Capex!$A275,'BASE-ICP'!$B:$B,"agosto")/1000,"")),"")</f>
        <v>0</v>
      </c>
      <c r="CU273" s="427">
        <v>0</v>
      </c>
      <c r="CV273" s="372"/>
      <c r="CW273" s="419"/>
      <c r="CX273" s="423">
        <f>IFERROR(IF(LEFT($A273,3)="Lcp",SUMIFS('BASE-LCP'!$K:$K,'BASE-LCP'!$A:$A,Capex!$A275,'BASE-LCP'!$B:$B,"setembro")/1000,IF(LEFT($A273,3)="icp",SUMIFS('BASE-ICP'!$K:$K,'BASE-ICP'!$A:$A,Capex!$A275,'BASE-ICP'!$B:$B,"setembro")/1000,"")),"")</f>
        <v>0</v>
      </c>
      <c r="CY273" s="427">
        <v>0</v>
      </c>
      <c r="CZ273" s="372"/>
      <c r="DA273" s="419"/>
      <c r="DB273" s="423">
        <f>IFERROR(IF(LEFT($A273,3)="Lcp",SUMIFS('BASE-LCP'!$K:$K,'BASE-LCP'!$A:$A,Capex!$A275,'BASE-LCP'!$B:$B,"outubro")/1000,IF(LEFT($A273,3)="icp",SUMIFS('BASE-ICP'!$K:$K,'BASE-ICP'!$A:$A,Capex!$A275,'BASE-ICP'!$B:$B,"outubro")/1000,"")),"")</f>
        <v>0</v>
      </c>
      <c r="DC273" s="427">
        <v>0</v>
      </c>
      <c r="DD273" s="372"/>
      <c r="DE273" s="419"/>
      <c r="DF273" s="423">
        <f>IFERROR(IF(LEFT($A273,3)="Lcp",SUMIFS('BASE-LCP'!$K:$K,'BASE-LCP'!$A:$A,Capex!$A275,'BASE-LCP'!$B:$B,"novembro")/1000,IF(LEFT($A273,3)="icp",SUMIFS('BASE-ICP'!$K:$K,'BASE-ICP'!$A:$A,Capex!$A275,'BASE-ICP'!$B:$B,"novembro")/1000,"")),"")</f>
        <v>0</v>
      </c>
      <c r="DG273" s="427">
        <v>0</v>
      </c>
      <c r="DH273" s="372"/>
      <c r="DI273" s="419"/>
      <c r="DJ273" s="423">
        <f>IFERROR(IF(LEFT($A273,3)="Lcp",SUMIFS('BASE-LCP'!$K:$K,'BASE-LCP'!$A:$A,Capex!$A275,'BASE-LCP'!$B:$B,"dezembro")/1000,IF(LEFT($A273,3)="icp",SUMIFS('BASE-ICP'!$K:$K,'BASE-ICP'!$A:$A,Capex!$A275,'BASE-ICP'!$B:$B,"dezembro")/1000,"")),"")</f>
        <v>0</v>
      </c>
      <c r="DK273" s="427">
        <v>0</v>
      </c>
      <c r="DL273" s="452">
        <f t="shared" si="154"/>
        <v>0</v>
      </c>
      <c r="DM273" s="374"/>
      <c r="DN273" s="374">
        <v>0</v>
      </c>
      <c r="DO273" s="374"/>
      <c r="DP273" s="374"/>
      <c r="DQ273" s="374"/>
      <c r="DR273" s="374"/>
      <c r="DS273" s="374"/>
      <c r="DT273" s="374"/>
      <c r="DU273" s="374"/>
      <c r="DV273" s="374"/>
      <c r="DW273" s="374"/>
      <c r="DX273" s="374"/>
      <c r="DY273" s="450"/>
      <c r="DZ273" s="374">
        <f t="shared" si="155"/>
        <v>0</v>
      </c>
      <c r="EA273" s="216">
        <f t="shared" si="156"/>
        <v>0</v>
      </c>
      <c r="EB273" s="320">
        <f t="shared" si="157"/>
        <v>0</v>
      </c>
      <c r="EC273" s="241">
        <f t="shared" si="158"/>
        <v>0</v>
      </c>
      <c r="ED273" s="241">
        <f t="shared" si="159"/>
        <v>0</v>
      </c>
      <c r="EE273" s="241">
        <f t="shared" si="160"/>
        <v>0</v>
      </c>
      <c r="EF273" s="241">
        <f t="shared" si="161"/>
        <v>0</v>
      </c>
      <c r="EG273" s="346">
        <f t="shared" si="162"/>
        <v>0</v>
      </c>
      <c r="EH273" s="445">
        <f t="shared" si="163"/>
        <v>0</v>
      </c>
      <c r="EI273" s="447">
        <f t="shared" si="164"/>
        <v>0</v>
      </c>
      <c r="EJ273" s="364">
        <f t="shared" si="165"/>
        <v>0</v>
      </c>
      <c r="EK273" s="365">
        <f t="shared" si="166"/>
        <v>0</v>
      </c>
      <c r="EL273" s="529">
        <f t="shared" si="167"/>
        <v>0</v>
      </c>
      <c r="EM273" s="530">
        <v>0</v>
      </c>
      <c r="EN273" s="530">
        <v>0</v>
      </c>
      <c r="EO273" s="530">
        <v>0</v>
      </c>
      <c r="EP273" s="530">
        <v>0</v>
      </c>
      <c r="EQ273" s="530">
        <v>0</v>
      </c>
      <c r="ER273" s="530">
        <v>0</v>
      </c>
      <c r="ES273" s="530">
        <v>0</v>
      </c>
      <c r="ET273" s="530">
        <v>0</v>
      </c>
      <c r="EU273" s="530">
        <v>0</v>
      </c>
      <c r="EV273" s="530">
        <v>0</v>
      </c>
      <c r="EW273" s="530">
        <v>0</v>
      </c>
      <c r="EX273" s="530">
        <v>0</v>
      </c>
      <c r="EY273" s="530">
        <f t="shared" si="168"/>
        <v>0</v>
      </c>
      <c r="EZ273" s="530">
        <f t="shared" si="169"/>
        <v>0</v>
      </c>
      <c r="FA273" s="530">
        <f t="shared" si="170"/>
        <v>0</v>
      </c>
      <c r="FB273" s="530">
        <f t="shared" si="171"/>
        <v>0</v>
      </c>
      <c r="FC273" s="384">
        <f>IFERROR(VLOOKUP(Capex!A275,BASE_558!D:R,8,FALSE)/1000,"")</f>
        <v>916.04039</v>
      </c>
      <c r="FD273" s="328">
        <f>IFERROR(VLOOKUP(Capex!A275,BASE_558!D:R,9,)/1000,"")</f>
        <v>586.02530000000002</v>
      </c>
      <c r="FE273" s="328">
        <f>IFERROR(IF(LEFT(A273,3)="LCP",(VLOOKUP(Capex!A275,BASE_558!D:R,10,)/1000),SUMIFS('BASE ICP_PO_SC'!F:F,'BASE ICP_PO_SC'!A:A,Capex!A275,'BASE ICP_PO_SC'!E:E,"&lt;&gt;")/1000),"")</f>
        <v>6.7095600000000006</v>
      </c>
      <c r="FF273" s="328">
        <f>IFERROR(IF(LEFT(A273,3)="LCP",(VLOOKUP(Capex!A275,BASE_558!D:R,11,)/1000),SUMIFS('BASE ICP_PO_SC'!F:F,'BASE ICP_PO_SC'!A:A,Capex!A275,'BASE ICP_PO_SC'!E:E,"")/1000),"")</f>
        <v>15.213149999999999</v>
      </c>
      <c r="FG273" s="328">
        <f>IFERROR(VLOOKUP(A273,BASE_558!D:R,13,FALSE)/1000,"")</f>
        <v>100.30165</v>
      </c>
      <c r="FH273" s="328">
        <f>IFERROR(VLOOKUP(A273,BASE_558!D:R,15,FALSE)/1000,"")</f>
        <v>12.878350000000001</v>
      </c>
      <c r="FI273" s="547">
        <f t="shared" si="172"/>
        <v>0</v>
      </c>
      <c r="FJ273" s="547">
        <f t="shared" si="173"/>
        <v>0</v>
      </c>
      <c r="FK273" s="540">
        <f t="shared" si="174"/>
        <v>0</v>
      </c>
    </row>
    <row r="274" spans="1:167" s="23" customFormat="1" ht="24" customHeight="1">
      <c r="A274" s="84" t="s">
        <v>1596</v>
      </c>
      <c r="B274" s="404"/>
      <c r="C274" s="404">
        <v>22035</v>
      </c>
      <c r="D274" s="338" t="s">
        <v>1706</v>
      </c>
      <c r="E274" s="378">
        <v>5408710</v>
      </c>
      <c r="F274" s="5"/>
      <c r="G274" s="310" t="s">
        <v>9</v>
      </c>
      <c r="H274" s="356" t="s">
        <v>6</v>
      </c>
      <c r="I274" s="356" t="s">
        <v>602</v>
      </c>
      <c r="J274" s="356">
        <v>2022</v>
      </c>
      <c r="K274" s="352">
        <v>44637</v>
      </c>
      <c r="L274" s="317">
        <v>45561</v>
      </c>
      <c r="M274" s="409"/>
      <c r="N274" s="317">
        <f t="shared" si="143"/>
        <v>45549</v>
      </c>
      <c r="O274" s="317">
        <f t="shared" si="144"/>
        <v>45914</v>
      </c>
      <c r="P274" s="418" t="str">
        <f t="shared" si="175"/>
        <v>NÃO</v>
      </c>
      <c r="Q274" s="418" t="str">
        <f t="shared" si="175"/>
        <v>NÃO</v>
      </c>
      <c r="R274" s="418" t="str">
        <f t="shared" si="175"/>
        <v>NÃO</v>
      </c>
      <c r="S274" s="418" t="str">
        <f t="shared" si="175"/>
        <v>NÃO</v>
      </c>
      <c r="T274" s="418" t="str">
        <f t="shared" si="175"/>
        <v>NÃO</v>
      </c>
      <c r="U274" s="418" t="str">
        <f t="shared" si="175"/>
        <v>NÃO</v>
      </c>
      <c r="V274" s="418" t="str">
        <f t="shared" si="175"/>
        <v>NÃO</v>
      </c>
      <c r="W274" s="418" t="str">
        <f t="shared" si="175"/>
        <v>NÃO</v>
      </c>
      <c r="X274" s="418" t="str">
        <f t="shared" si="175"/>
        <v>CRTD</v>
      </c>
      <c r="Y274" s="418" t="str">
        <f t="shared" si="175"/>
        <v>CRTD</v>
      </c>
      <c r="Z274" s="418" t="str">
        <f t="shared" si="175"/>
        <v>CRTD</v>
      </c>
      <c r="AA274" s="418" t="str">
        <f t="shared" si="175"/>
        <v>CRTD</v>
      </c>
      <c r="AB274" s="350"/>
      <c r="AC274" s="309" t="s">
        <v>3932</v>
      </c>
      <c r="AD274" s="311" t="s">
        <v>224</v>
      </c>
      <c r="AE274" s="361" t="s">
        <v>981</v>
      </c>
      <c r="AF274" s="310" t="s">
        <v>6985</v>
      </c>
      <c r="AG274" s="310" t="s">
        <v>1125</v>
      </c>
      <c r="AH274" s="310" t="s">
        <v>2829</v>
      </c>
      <c r="AI274" s="381" t="s">
        <v>186</v>
      </c>
      <c r="AJ274" s="6" t="s">
        <v>218</v>
      </c>
      <c r="AK274" s="6" t="str">
        <f t="shared" si="152"/>
        <v>IGUAL</v>
      </c>
      <c r="AL274" s="151" t="str">
        <f>IFERROR(IF(LEFT(A274,3)="LCP",VLOOKUP(A274,STATUS_SAP_LCP!B:C,2,FALSE),VLOOKUP(A274,STATUS_SAP_ICP!B:C,2,FALSE)),"NO BUDGET")</f>
        <v>CLSD BUDG AUC  AVAC  //  APPR BREL EXPL</v>
      </c>
      <c r="AM274" s="6" t="str">
        <f t="shared" si="151"/>
        <v>CLSD</v>
      </c>
      <c r="AN274" s="428" t="s">
        <v>557</v>
      </c>
      <c r="AO274" s="493">
        <v>1</v>
      </c>
      <c r="AP274" s="499" t="s">
        <v>9618</v>
      </c>
      <c r="AQ274" s="465">
        <v>45561</v>
      </c>
      <c r="AR274" s="460"/>
      <c r="AS274" s="57"/>
      <c r="AT274" s="185"/>
      <c r="AU274" s="318">
        <v>0</v>
      </c>
      <c r="AV274" s="223">
        <v>3.4649200000000002</v>
      </c>
      <c r="AW274" s="318">
        <v>2.80525</v>
      </c>
      <c r="AX274" s="223">
        <v>-6.2701700000000002</v>
      </c>
      <c r="AY274" s="318">
        <f t="shared" si="145"/>
        <v>0</v>
      </c>
      <c r="AZ274" s="223"/>
      <c r="BA274" s="318"/>
      <c r="BB274" s="519">
        <f t="shared" si="146"/>
        <v>0</v>
      </c>
      <c r="BC274" s="518">
        <v>0</v>
      </c>
      <c r="BD274" s="518">
        <v>0</v>
      </c>
      <c r="BE274" s="518">
        <v>0</v>
      </c>
      <c r="BF274" s="518">
        <v>0</v>
      </c>
      <c r="BG274" s="518">
        <v>0</v>
      </c>
      <c r="BH274" s="518">
        <v>0</v>
      </c>
      <c r="BI274" s="518">
        <v>0</v>
      </c>
      <c r="BJ274" s="518">
        <v>0</v>
      </c>
      <c r="BK274" s="518">
        <v>0</v>
      </c>
      <c r="BL274" s="518">
        <v>0</v>
      </c>
      <c r="BM274" s="518">
        <v>0</v>
      </c>
      <c r="BN274" s="518">
        <v>0</v>
      </c>
      <c r="BO274" s="367">
        <f t="shared" si="153"/>
        <v>0</v>
      </c>
      <c r="BP274" s="421">
        <v>0</v>
      </c>
      <c r="BQ274" s="422"/>
      <c r="BR274" s="423">
        <f>IFERROR(IF(LEFT($A274,3)="Lcp",SUMIFS('BASE-LCP'!$K:$K,'BASE-LCP'!$A:$A,Capex!$A277,'BASE-LCP'!$B:$B,"janeiro")/1000,IF(LEFT($A274,3)="icp",SUMIFS('BASE-ICP'!$K:$K,'BASE-ICP'!$A:$A,Capex!$A277,'BASE-ICP'!$B:$B,"janeiro")/1000,"")),"")</f>
        <v>0</v>
      </c>
      <c r="BS274" s="427">
        <v>0</v>
      </c>
      <c r="BT274" s="372">
        <v>0</v>
      </c>
      <c r="BU274" s="422"/>
      <c r="BV274" s="423">
        <f>IFERROR(IF(LEFT($A274,3)="Lcp",SUMIFS('BASE-LCP'!$K:$K,'BASE-LCP'!$A:$A,Capex!$A277,'BASE-LCP'!$B:$B,"fevereiro")/1000,IF(LEFT($A274,3)="icp",SUMIFS('BASE-ICP'!$K:$K,'BASE-ICP'!$A:$A,Capex!$A277,'BASE-ICP'!$B:$B,"fevereiro")/1000,"")),"")</f>
        <v>0</v>
      </c>
      <c r="BW274" s="427">
        <v>0</v>
      </c>
      <c r="BX274" s="372">
        <v>0</v>
      </c>
      <c r="BY274" s="419"/>
      <c r="BZ274" s="423">
        <f>IFERROR(IF(LEFT($A274,3)="Lcp",SUMIFS('BASE-LCP'!$K:$K,'BASE-LCP'!$A:$A,Capex!$A277,'BASE-LCP'!$B:$B,"março")/1000,IF(LEFT($A274,3)="icp",SUMIFS('BASE-ICP'!$K:$K,'BASE-ICP'!$A:$A,Capex!$A277,'BASE-ICP'!$B:$B,"março")/1000,"")),"")</f>
        <v>0</v>
      </c>
      <c r="CA274" s="427">
        <v>0</v>
      </c>
      <c r="CB274" s="372">
        <v>0</v>
      </c>
      <c r="CC274" s="422"/>
      <c r="CD274" s="423">
        <f>IFERROR(IF(LEFT($A274,3)="Lcp",SUMIFS('BASE-LCP'!$K:$K,'BASE-LCP'!$A:$A,Capex!$A277,'BASE-LCP'!$B:$B,"abril")/1000,IF(LEFT($A274,3)="icp",SUMIFS('BASE-ICP'!$K:$K,'BASE-ICP'!$A:$A,Capex!$A277,'BASE-ICP'!$B:$B,"abril")/1000,"")),"")</f>
        <v>0</v>
      </c>
      <c r="CE274" s="427">
        <v>0</v>
      </c>
      <c r="CF274" s="372">
        <v>0</v>
      </c>
      <c r="CG274" s="419"/>
      <c r="CH274" s="423">
        <v>0</v>
      </c>
      <c r="CI274" s="427">
        <v>0</v>
      </c>
      <c r="CJ274" s="372">
        <v>0</v>
      </c>
      <c r="CK274" s="419"/>
      <c r="CL274" s="423">
        <f>IFERROR(IF(LEFT($A274,3)="Lcp",SUMIFS('BASE-LCP'!$K:$K,'BASE-LCP'!$A:$A,Capex!$A277,'BASE-LCP'!$B:$B,"junho")/1000,IF(LEFT($A274,3)="icp",SUMIFS('BASE-ICP'!$K:$K,'BASE-ICP'!$A:$A,Capex!$A277,'BASE-ICP'!$B:$B,"junho")/1000,"")),"")</f>
        <v>0</v>
      </c>
      <c r="CM274" s="427">
        <v>0</v>
      </c>
      <c r="CN274" s="372"/>
      <c r="CO274" s="419"/>
      <c r="CP274" s="423">
        <f>IFERROR(IF(LEFT($A274,3)="Lcp",SUMIFS('BASE-LCP'!$K:$K,'BASE-LCP'!$A:$A,Capex!$A277,'BASE-LCP'!$B:$B,"julho")/1000,IF(LEFT($A274,3)="icp",SUMIFS('BASE-ICP'!$K:$K,'BASE-ICP'!$A:$A,Capex!$A277,'BASE-ICP'!$B:$B,"julho")/1000,"")),"")</f>
        <v>0</v>
      </c>
      <c r="CQ274" s="427">
        <v>0</v>
      </c>
      <c r="CR274" s="372"/>
      <c r="CS274" s="419"/>
      <c r="CT274" s="423">
        <f>IFERROR(IF(LEFT($A274,3)="Lcp",SUMIFS('BASE-LCP'!$K:$K,'BASE-LCP'!$A:$A,Capex!$A277,'BASE-LCP'!$B:$B,"agosto")/1000,IF(LEFT($A274,3)="icp",SUMIFS('BASE-ICP'!$K:$K,'BASE-ICP'!$A:$A,Capex!$A277,'BASE-ICP'!$B:$B,"agosto")/1000,"")),"")</f>
        <v>0</v>
      </c>
      <c r="CU274" s="427">
        <v>0</v>
      </c>
      <c r="CV274" s="372"/>
      <c r="CW274" s="419"/>
      <c r="CX274" s="423">
        <f>IFERROR(IF(LEFT($A274,3)="Lcp",SUMIFS('BASE-LCP'!$K:$K,'BASE-LCP'!$A:$A,Capex!$A277,'BASE-LCP'!$B:$B,"setembro")/1000,IF(LEFT($A274,3)="icp",SUMIFS('BASE-ICP'!$K:$K,'BASE-ICP'!$A:$A,Capex!$A277,'BASE-ICP'!$B:$B,"setembro")/1000,"")),"")</f>
        <v>0</v>
      </c>
      <c r="CY274" s="427">
        <v>0</v>
      </c>
      <c r="CZ274" s="372"/>
      <c r="DA274" s="419"/>
      <c r="DB274" s="423">
        <f>IFERROR(IF(LEFT($A274,3)="Lcp",SUMIFS('BASE-LCP'!$K:$K,'BASE-LCP'!$A:$A,Capex!$A277,'BASE-LCP'!$B:$B,"outubro")/1000,IF(LEFT($A274,3)="icp",SUMIFS('BASE-ICP'!$K:$K,'BASE-ICP'!$A:$A,Capex!$A277,'BASE-ICP'!$B:$B,"outubro")/1000,"")),"")</f>
        <v>0</v>
      </c>
      <c r="DC274" s="427">
        <v>0</v>
      </c>
      <c r="DD274" s="372"/>
      <c r="DE274" s="419"/>
      <c r="DF274" s="423">
        <f>IFERROR(IF(LEFT($A274,3)="Lcp",SUMIFS('BASE-LCP'!$K:$K,'BASE-LCP'!$A:$A,Capex!$A277,'BASE-LCP'!$B:$B,"novembro")/1000,IF(LEFT($A274,3)="icp",SUMIFS('BASE-ICP'!$K:$K,'BASE-ICP'!$A:$A,Capex!$A277,'BASE-ICP'!$B:$B,"novembro")/1000,"")),"")</f>
        <v>0</v>
      </c>
      <c r="DG274" s="427">
        <v>0</v>
      </c>
      <c r="DH274" s="372"/>
      <c r="DI274" s="419"/>
      <c r="DJ274" s="423">
        <f>IFERROR(IF(LEFT($A274,3)="Lcp",SUMIFS('BASE-LCP'!$K:$K,'BASE-LCP'!$A:$A,Capex!$A277,'BASE-LCP'!$B:$B,"dezembro")/1000,IF(LEFT($A274,3)="icp",SUMIFS('BASE-ICP'!$K:$K,'BASE-ICP'!$A:$A,Capex!$A277,'BASE-ICP'!$B:$B,"dezembro")/1000,"")),"")</f>
        <v>0</v>
      </c>
      <c r="DK274" s="427">
        <v>0</v>
      </c>
      <c r="DL274" s="452">
        <f t="shared" si="154"/>
        <v>0</v>
      </c>
      <c r="DM274" s="374">
        <v>0</v>
      </c>
      <c r="DN274" s="374">
        <v>0</v>
      </c>
      <c r="DO274" s="374"/>
      <c r="DP274" s="374"/>
      <c r="DQ274" s="374"/>
      <c r="DR274" s="374"/>
      <c r="DS274" s="374"/>
      <c r="DT274" s="374"/>
      <c r="DU274" s="374"/>
      <c r="DV274" s="374"/>
      <c r="DW274" s="374"/>
      <c r="DX274" s="374"/>
      <c r="DY274" s="450"/>
      <c r="DZ274" s="374">
        <f t="shared" si="155"/>
        <v>0</v>
      </c>
      <c r="EA274" s="216">
        <f t="shared" si="156"/>
        <v>0</v>
      </c>
      <c r="EB274" s="320">
        <f t="shared" si="157"/>
        <v>0</v>
      </c>
      <c r="EC274" s="241">
        <f t="shared" si="158"/>
        <v>0</v>
      </c>
      <c r="ED274" s="241">
        <f t="shared" si="159"/>
        <v>0</v>
      </c>
      <c r="EE274" s="241">
        <f t="shared" si="160"/>
        <v>0</v>
      </c>
      <c r="EF274" s="241">
        <f t="shared" si="161"/>
        <v>0</v>
      </c>
      <c r="EG274" s="346">
        <f t="shared" si="162"/>
        <v>0</v>
      </c>
      <c r="EH274" s="445">
        <f t="shared" si="163"/>
        <v>0</v>
      </c>
      <c r="EI274" s="447">
        <f t="shared" si="164"/>
        <v>0</v>
      </c>
      <c r="EJ274" s="364">
        <f t="shared" si="165"/>
        <v>0</v>
      </c>
      <c r="EK274" s="365">
        <f t="shared" si="166"/>
        <v>0</v>
      </c>
      <c r="EL274" s="529">
        <f t="shared" si="167"/>
        <v>0</v>
      </c>
      <c r="EM274" s="530">
        <v>0</v>
      </c>
      <c r="EN274" s="530">
        <v>0</v>
      </c>
      <c r="EO274" s="530">
        <v>0</v>
      </c>
      <c r="EP274" s="530">
        <v>0</v>
      </c>
      <c r="EQ274" s="530">
        <v>0</v>
      </c>
      <c r="ER274" s="530">
        <v>0</v>
      </c>
      <c r="ES274" s="530">
        <v>0</v>
      </c>
      <c r="ET274" s="530">
        <v>0</v>
      </c>
      <c r="EU274" s="530">
        <v>0</v>
      </c>
      <c r="EV274" s="530">
        <v>0</v>
      </c>
      <c r="EW274" s="530">
        <v>0</v>
      </c>
      <c r="EX274" s="530">
        <v>0</v>
      </c>
      <c r="EY274" s="530">
        <f t="shared" si="168"/>
        <v>0</v>
      </c>
      <c r="EZ274" s="530">
        <f t="shared" si="169"/>
        <v>0</v>
      </c>
      <c r="FA274" s="530">
        <f t="shared" si="170"/>
        <v>0</v>
      </c>
      <c r="FB274" s="530">
        <f t="shared" si="171"/>
        <v>0</v>
      </c>
      <c r="FC274" s="384">
        <f>IFERROR(VLOOKUP(Capex!A277,BASE_558!D:R,8,FALSE)/1000,"")</f>
        <v>385.04700000000003</v>
      </c>
      <c r="FD274" s="328">
        <f>IFERROR(VLOOKUP(Capex!A277,BASE_558!D:R,9,)/1000,"")</f>
        <v>354.61968999999999</v>
      </c>
      <c r="FE274" s="328">
        <f>IFERROR(IF(LEFT(A274,3)="LCP",(VLOOKUP(Capex!A277,BASE_558!D:R,10,)/1000),SUMIFS('BASE ICP_PO_SC'!F:F,'BASE ICP_PO_SC'!A:A,Capex!A277,'BASE ICP_PO_SC'!E:E,"&lt;&gt;")/1000),"")</f>
        <v>0</v>
      </c>
      <c r="FF274" s="328">
        <f>IFERROR(IF(LEFT(A274,3)="LCP",(VLOOKUP(Capex!A277,BASE_558!D:R,11,)/1000),SUMIFS('BASE ICP_PO_SC'!F:F,'BASE ICP_PO_SC'!A:A,Capex!A277,'BASE ICP_PO_SC'!E:E,"")/1000),"")</f>
        <v>0</v>
      </c>
      <c r="FG274" s="328">
        <f>IFERROR(VLOOKUP(A274,BASE_558!D:R,13,FALSE)/1000,"")</f>
        <v>0</v>
      </c>
      <c r="FH274" s="328">
        <f>IFERROR(VLOOKUP(A274,BASE_558!D:R,15,FALSE)/1000,"")</f>
        <v>223</v>
      </c>
      <c r="FI274" s="547">
        <f t="shared" si="172"/>
        <v>0</v>
      </c>
      <c r="FJ274" s="547">
        <f t="shared" si="173"/>
        <v>0</v>
      </c>
      <c r="FK274" s="540">
        <f t="shared" si="174"/>
        <v>0</v>
      </c>
    </row>
    <row r="275" spans="1:167" s="23" customFormat="1" ht="24" customHeight="1">
      <c r="A275" s="84" t="s">
        <v>1608</v>
      </c>
      <c r="B275" s="309" t="s">
        <v>2416</v>
      </c>
      <c r="C275" s="404" t="s">
        <v>602</v>
      </c>
      <c r="D275" s="338" t="s">
        <v>1901</v>
      </c>
      <c r="E275" s="378">
        <v>5511802</v>
      </c>
      <c r="F275" s="310" t="s">
        <v>609</v>
      </c>
      <c r="G275" s="310" t="s">
        <v>9</v>
      </c>
      <c r="H275" s="356" t="s">
        <v>6</v>
      </c>
      <c r="I275" s="356"/>
      <c r="J275" s="356">
        <v>2022</v>
      </c>
      <c r="K275" s="352">
        <v>44669</v>
      </c>
      <c r="L275" s="317"/>
      <c r="M275" s="409" t="s">
        <v>6808</v>
      </c>
      <c r="N275" s="317">
        <f t="shared" si="143"/>
        <v>45581</v>
      </c>
      <c r="O275" s="317">
        <f t="shared" si="144"/>
        <v>45946</v>
      </c>
      <c r="P275" s="418" t="str">
        <f t="shared" ref="P275:AA284" si="176">IF($N275="","N/A",IF($O275="","N/A",IF(P$2&lt;=$N275,"NÃO",IF($AJ275="REL ","SIM",IF(P$2&lt;$O275,"NÃO",IF($AJ275&lt;&gt;"CLSD","SIM","CRTD"))))))</f>
        <v>SIM</v>
      </c>
      <c r="Q275" s="418" t="str">
        <f t="shared" si="176"/>
        <v>SIM</v>
      </c>
      <c r="R275" s="418" t="str">
        <f t="shared" si="176"/>
        <v>SIM</v>
      </c>
      <c r="S275" s="418" t="str">
        <f t="shared" si="176"/>
        <v>SIM</v>
      </c>
      <c r="T275" s="418" t="str">
        <f t="shared" si="176"/>
        <v>SIM</v>
      </c>
      <c r="U275" s="418" t="str">
        <f t="shared" si="176"/>
        <v>SIM</v>
      </c>
      <c r="V275" s="418" t="str">
        <f t="shared" si="176"/>
        <v>SIM</v>
      </c>
      <c r="W275" s="418" t="str">
        <f t="shared" si="176"/>
        <v>SIM</v>
      </c>
      <c r="X275" s="418" t="str">
        <f t="shared" si="176"/>
        <v>SIM</v>
      </c>
      <c r="Y275" s="551" t="str">
        <f t="shared" si="176"/>
        <v>SIM</v>
      </c>
      <c r="Z275" s="418" t="str">
        <f t="shared" si="176"/>
        <v>SIM</v>
      </c>
      <c r="AA275" s="567" t="str">
        <f t="shared" si="176"/>
        <v>SIM</v>
      </c>
      <c r="AB275" s="350"/>
      <c r="AC275" s="309" t="s">
        <v>3932</v>
      </c>
      <c r="AD275" s="311" t="s">
        <v>222</v>
      </c>
      <c r="AE275" s="361" t="s">
        <v>979</v>
      </c>
      <c r="AF275" s="310" t="s">
        <v>6985</v>
      </c>
      <c r="AG275" s="310" t="s">
        <v>2251</v>
      </c>
      <c r="AH275" s="310" t="s">
        <v>2596</v>
      </c>
      <c r="AI275" s="381" t="s">
        <v>2255</v>
      </c>
      <c r="AJ275" s="6" t="s">
        <v>6786</v>
      </c>
      <c r="AK275" s="6" t="str">
        <f t="shared" si="152"/>
        <v>IGUAL</v>
      </c>
      <c r="AL275" s="151" t="str">
        <f>IFERROR(IF(LEFT(A275,3)="LCP",VLOOKUP(A275,STATUS_SAP_LCP!B:C,2,FALSE),VLOOKUP(A275,STATUS_SAP_ICP!B:C,2,FALSE)),"NO BUDGET")</f>
        <v>REL  BUDG AUC  AVAC  //  APPR BREL INPL</v>
      </c>
      <c r="AM275" s="6" t="str">
        <f t="shared" si="151"/>
        <v xml:space="preserve">REL </v>
      </c>
      <c r="AN275" s="282" t="s">
        <v>18975</v>
      </c>
      <c r="AO275" s="557"/>
      <c r="AP275" s="499" t="s">
        <v>9617</v>
      </c>
      <c r="AQ275" s="465">
        <v>45899</v>
      </c>
      <c r="AR275" s="460"/>
      <c r="AS275" s="57"/>
      <c r="AT275" s="185"/>
      <c r="AU275" s="318"/>
      <c r="AV275" s="223">
        <v>217.74218000000002</v>
      </c>
      <c r="AW275" s="318">
        <v>341.60547000000003</v>
      </c>
      <c r="AX275" s="223">
        <v>26.670190000000002</v>
      </c>
      <c r="AY275" s="318">
        <f t="shared" si="145"/>
        <v>12.00746</v>
      </c>
      <c r="AZ275" s="223"/>
      <c r="BA275" s="318"/>
      <c r="BB275" s="519">
        <f t="shared" si="146"/>
        <v>30</v>
      </c>
      <c r="BC275" s="518">
        <v>0</v>
      </c>
      <c r="BD275" s="518">
        <v>0</v>
      </c>
      <c r="BE275" s="518">
        <v>30</v>
      </c>
      <c r="BF275" s="518">
        <v>0</v>
      </c>
      <c r="BG275" s="518">
        <v>0</v>
      </c>
      <c r="BH275" s="518">
        <v>0</v>
      </c>
      <c r="BI275" s="518">
        <v>0</v>
      </c>
      <c r="BJ275" s="518">
        <v>0</v>
      </c>
      <c r="BK275" s="518">
        <v>0</v>
      </c>
      <c r="BL275" s="518">
        <v>0</v>
      </c>
      <c r="BM275" s="518">
        <v>0</v>
      </c>
      <c r="BN275" s="518">
        <v>0</v>
      </c>
      <c r="BO275" s="367">
        <f t="shared" si="153"/>
        <v>12.00746</v>
      </c>
      <c r="BP275" s="421">
        <v>0</v>
      </c>
      <c r="BQ275" s="422">
        <v>-4.8999999999999998E-4</v>
      </c>
      <c r="BR275" s="423">
        <f>IFERROR(IF(LEFT($A275,3)="Lcp",SUMIFS('BASE-LCP'!$K:$K,'BASE-LCP'!$A:$A,Capex!$A278,'BASE-LCP'!$B:$B,"janeiro")/1000,IF(LEFT($A275,3)="icp",SUMIFS('BASE-ICP'!$K:$K,'BASE-ICP'!$A:$A,Capex!$A278,'BASE-ICP'!$B:$B,"janeiro")/1000,"")),"")</f>
        <v>0</v>
      </c>
      <c r="BS275" s="427">
        <v>-4.900000000000002E-4</v>
      </c>
      <c r="BT275" s="372">
        <v>0</v>
      </c>
      <c r="BU275" s="422"/>
      <c r="BV275" s="423">
        <f>IFERROR(IF(LEFT($A275,3)="Lcp",SUMIFS('BASE-LCP'!$K:$K,'BASE-LCP'!$A:$A,Capex!$A278,'BASE-LCP'!$B:$B,"fevereiro")/1000,IF(LEFT($A275,3)="icp",SUMIFS('BASE-ICP'!$K:$K,'BASE-ICP'!$A:$A,Capex!$A278,'BASE-ICP'!$B:$B,"fevereiro")/1000,"")),"")</f>
        <v>0</v>
      </c>
      <c r="BW275" s="427">
        <v>0</v>
      </c>
      <c r="BX275" s="372">
        <v>0</v>
      </c>
      <c r="BY275" s="419">
        <v>7.9500000000000005E-3</v>
      </c>
      <c r="BZ275" s="423">
        <f>IFERROR(IF(LEFT($A275,3)="Lcp",SUMIFS('BASE-LCP'!$K:$K,'BASE-LCP'!$A:$A,Capex!$A278,'BASE-LCP'!$B:$B,"março")/1000,IF(LEFT($A275,3)="icp",SUMIFS('BASE-ICP'!$K:$K,'BASE-ICP'!$A:$A,Capex!$A278,'BASE-ICP'!$B:$B,"março")/1000,"")),"")</f>
        <v>0.70030000000000003</v>
      </c>
      <c r="CA275" s="427">
        <v>7.9500000000000005E-3</v>
      </c>
      <c r="CB275" s="372">
        <v>30</v>
      </c>
      <c r="CC275" s="422"/>
      <c r="CD275" s="423">
        <f>IFERROR(IF(LEFT($A275,3)="Lcp",SUMIFS('BASE-LCP'!$K:$K,'BASE-LCP'!$A:$A,Capex!$A278,'BASE-LCP'!$B:$B,"abril")/1000,IF(LEFT($A275,3)="icp",SUMIFS('BASE-ICP'!$K:$K,'BASE-ICP'!$A:$A,Capex!$A278,'BASE-ICP'!$B:$B,"abril")/1000,"")),"")</f>
        <v>43.23451</v>
      </c>
      <c r="CE275" s="427">
        <v>0</v>
      </c>
      <c r="CF275" s="372">
        <v>0</v>
      </c>
      <c r="CG275" s="419"/>
      <c r="CH275" s="423">
        <v>0</v>
      </c>
      <c r="CI275" s="427">
        <v>0</v>
      </c>
      <c r="CJ275" s="372">
        <v>0</v>
      </c>
      <c r="CK275" s="419"/>
      <c r="CL275" s="423">
        <f>IFERROR(IF(LEFT($A275,3)="Lcp",SUMIFS('BASE-LCP'!$K:$K,'BASE-LCP'!$A:$A,Capex!$A278,'BASE-LCP'!$B:$B,"junho")/1000,IF(LEFT($A275,3)="icp",SUMIFS('BASE-ICP'!$K:$K,'BASE-ICP'!$A:$A,Capex!$A278,'BASE-ICP'!$B:$B,"junho")/1000,"")),"")</f>
        <v>0</v>
      </c>
      <c r="CM275" s="427">
        <v>0</v>
      </c>
      <c r="CN275" s="372"/>
      <c r="CO275" s="419"/>
      <c r="CP275" s="423">
        <f>IFERROR(IF(LEFT($A275,3)="Lcp",SUMIFS('BASE-LCP'!$K:$K,'BASE-LCP'!$A:$A,Capex!$A278,'BASE-LCP'!$B:$B,"julho")/1000,IF(LEFT($A275,3)="icp",SUMIFS('BASE-ICP'!$K:$K,'BASE-ICP'!$A:$A,Capex!$A278,'BASE-ICP'!$B:$B,"julho")/1000,"")),"")</f>
        <v>0</v>
      </c>
      <c r="CQ275" s="427">
        <v>0</v>
      </c>
      <c r="CR275" s="372"/>
      <c r="CS275" s="419"/>
      <c r="CT275" s="423">
        <f>IFERROR(IF(LEFT($A275,3)="Lcp",SUMIFS('BASE-LCP'!$K:$K,'BASE-LCP'!$A:$A,Capex!$A278,'BASE-LCP'!$B:$B,"agosto")/1000,IF(LEFT($A275,3)="icp",SUMIFS('BASE-ICP'!$K:$K,'BASE-ICP'!$A:$A,Capex!$A278,'BASE-ICP'!$B:$B,"agosto")/1000,"")),"")</f>
        <v>0</v>
      </c>
      <c r="CU275" s="427">
        <v>6</v>
      </c>
      <c r="CV275" s="372"/>
      <c r="CW275" s="419"/>
      <c r="CX275" s="423">
        <f>IFERROR(IF(LEFT($A275,3)="Lcp",SUMIFS('BASE-LCP'!$K:$K,'BASE-LCP'!$A:$A,Capex!$A278,'BASE-LCP'!$B:$B,"setembro")/1000,IF(LEFT($A275,3)="icp",SUMIFS('BASE-ICP'!$K:$K,'BASE-ICP'!$A:$A,Capex!$A278,'BASE-ICP'!$B:$B,"setembro")/1000,"")),"")</f>
        <v>0</v>
      </c>
      <c r="CY275" s="427">
        <v>6</v>
      </c>
      <c r="CZ275" s="372"/>
      <c r="DA275" s="419"/>
      <c r="DB275" s="423">
        <f>IFERROR(IF(LEFT($A275,3)="Lcp",SUMIFS('BASE-LCP'!$K:$K,'BASE-LCP'!$A:$A,Capex!$A278,'BASE-LCP'!$B:$B,"outubro")/1000,IF(LEFT($A275,3)="icp",SUMIFS('BASE-ICP'!$K:$K,'BASE-ICP'!$A:$A,Capex!$A278,'BASE-ICP'!$B:$B,"outubro")/1000,"")),"")</f>
        <v>0</v>
      </c>
      <c r="DC275" s="427">
        <v>0</v>
      </c>
      <c r="DD275" s="372"/>
      <c r="DE275" s="419"/>
      <c r="DF275" s="423">
        <f>IFERROR(IF(LEFT($A275,3)="Lcp",SUMIFS('BASE-LCP'!$K:$K,'BASE-LCP'!$A:$A,Capex!$A278,'BASE-LCP'!$B:$B,"novembro")/1000,IF(LEFT($A275,3)="icp",SUMIFS('BASE-ICP'!$K:$K,'BASE-ICP'!$A:$A,Capex!$A278,'BASE-ICP'!$B:$B,"novembro")/1000,"")),"")</f>
        <v>0</v>
      </c>
      <c r="DG275" s="427">
        <v>0</v>
      </c>
      <c r="DH275" s="372"/>
      <c r="DI275" s="419"/>
      <c r="DJ275" s="423">
        <f>IFERROR(IF(LEFT($A275,3)="Lcp",SUMIFS('BASE-LCP'!$K:$K,'BASE-LCP'!$A:$A,Capex!$A278,'BASE-LCP'!$B:$B,"dezembro")/1000,IF(LEFT($A275,3)="icp",SUMIFS('BASE-ICP'!$K:$K,'BASE-ICP'!$A:$A,Capex!$A278,'BASE-ICP'!$B:$B,"dezembro")/1000,"")),"")</f>
        <v>0</v>
      </c>
      <c r="DK275" s="427">
        <v>0</v>
      </c>
      <c r="DL275" s="452">
        <f t="shared" si="154"/>
        <v>0</v>
      </c>
      <c r="DM275" s="374"/>
      <c r="DN275" s="374">
        <v>0</v>
      </c>
      <c r="DO275" s="374"/>
      <c r="DP275" s="374"/>
      <c r="DQ275" s="374"/>
      <c r="DR275" s="374"/>
      <c r="DS275" s="374"/>
      <c r="DT275" s="374"/>
      <c r="DU275" s="374"/>
      <c r="DV275" s="374"/>
      <c r="DW275" s="374"/>
      <c r="DX275" s="374"/>
      <c r="DY275" s="450"/>
      <c r="DZ275" s="374">
        <f t="shared" si="155"/>
        <v>0</v>
      </c>
      <c r="EA275" s="216">
        <f t="shared" si="156"/>
        <v>0</v>
      </c>
      <c r="EB275" s="320">
        <f t="shared" si="157"/>
        <v>0</v>
      </c>
      <c r="EC275" s="241">
        <f t="shared" si="158"/>
        <v>7.4600000000000005E-3</v>
      </c>
      <c r="ED275" s="241">
        <f t="shared" si="159"/>
        <v>0</v>
      </c>
      <c r="EE275" s="241">
        <f t="shared" si="160"/>
        <v>12</v>
      </c>
      <c r="EF275" s="241">
        <f t="shared" si="161"/>
        <v>0</v>
      </c>
      <c r="EG275" s="346">
        <f t="shared" si="162"/>
        <v>-17.992539999999998</v>
      </c>
      <c r="EH275" s="445">
        <f t="shared" si="163"/>
        <v>0</v>
      </c>
      <c r="EI275" s="447">
        <f t="shared" si="164"/>
        <v>0</v>
      </c>
      <c r="EJ275" s="364">
        <f t="shared" si="165"/>
        <v>7.4600000000000005E-3</v>
      </c>
      <c r="EK275" s="365">
        <f t="shared" si="166"/>
        <v>12</v>
      </c>
      <c r="EL275" s="529">
        <f t="shared" si="167"/>
        <v>12.00746</v>
      </c>
      <c r="EM275" s="530">
        <v>-4.900000000000002E-4</v>
      </c>
      <c r="EN275" s="530">
        <v>0</v>
      </c>
      <c r="EO275" s="530">
        <v>7.9500000000000005E-3</v>
      </c>
      <c r="EP275" s="530">
        <v>0</v>
      </c>
      <c r="EQ275" s="530">
        <v>0</v>
      </c>
      <c r="ER275" s="530">
        <v>0</v>
      </c>
      <c r="ES275" s="530">
        <v>6</v>
      </c>
      <c r="ET275" s="530">
        <v>6</v>
      </c>
      <c r="EU275" s="530">
        <v>0</v>
      </c>
      <c r="EV275" s="530">
        <v>0</v>
      </c>
      <c r="EW275" s="530">
        <v>0</v>
      </c>
      <c r="EX275" s="530">
        <v>0</v>
      </c>
      <c r="EY275" s="530">
        <f t="shared" si="168"/>
        <v>7.4600000000000005E-3</v>
      </c>
      <c r="EZ275" s="530">
        <f t="shared" si="169"/>
        <v>0</v>
      </c>
      <c r="FA275" s="530">
        <f t="shared" si="170"/>
        <v>12</v>
      </c>
      <c r="FB275" s="530">
        <f t="shared" si="171"/>
        <v>0</v>
      </c>
      <c r="FC275" s="384">
        <f>IFERROR(VLOOKUP(Capex!A278,BASE_558!D:R,8,FALSE)/1000,"")</f>
        <v>179.3</v>
      </c>
      <c r="FD275" s="328">
        <f>IFERROR(VLOOKUP(Capex!A278,BASE_558!D:R,9,)/1000,"")</f>
        <v>95.697749999999999</v>
      </c>
      <c r="FE275" s="328">
        <f>IFERROR(IF(LEFT(A275,3)="LCP",(VLOOKUP(Capex!A278,BASE_558!D:R,10,)/1000),SUMIFS('BASE ICP_PO_SC'!F:F,'BASE ICP_PO_SC'!A:A,Capex!A278,'BASE ICP_PO_SC'!E:E,"&lt;&gt;")/1000),"")</f>
        <v>0</v>
      </c>
      <c r="FF275" s="328">
        <f>IFERROR(IF(LEFT(A275,3)="LCP",(VLOOKUP(Capex!A278,BASE_558!D:R,11,)/1000),SUMIFS('BASE ICP_PO_SC'!F:F,'BASE ICP_PO_SC'!A:A,Capex!A278,'BASE ICP_PO_SC'!E:E,"")/1000),"")</f>
        <v>8.7182700000000004</v>
      </c>
      <c r="FG275" s="328">
        <f>IFERROR(VLOOKUP(A275,BASE_558!D:R,13,FALSE)/1000,"")</f>
        <v>607.94800999999995</v>
      </c>
      <c r="FH275" s="328">
        <f>IFERROR(VLOOKUP(A275,BASE_558!D:R,15,FALSE)/1000,"")</f>
        <v>308.09237999999999</v>
      </c>
      <c r="FI275" s="547">
        <f t="shared" si="172"/>
        <v>0</v>
      </c>
      <c r="FJ275" s="547">
        <f t="shared" si="173"/>
        <v>0</v>
      </c>
      <c r="FK275" s="540">
        <f t="shared" si="174"/>
        <v>0</v>
      </c>
    </row>
    <row r="276" spans="1:167" s="23" customFormat="1" ht="24" customHeight="1">
      <c r="A276" s="84" t="s">
        <v>1597</v>
      </c>
      <c r="B276" s="404"/>
      <c r="C276" s="404" t="s">
        <v>602</v>
      </c>
      <c r="D276" s="338" t="s">
        <v>2295</v>
      </c>
      <c r="E276" s="378">
        <v>5598456</v>
      </c>
      <c r="F276" s="5"/>
      <c r="G276" s="310" t="s">
        <v>9</v>
      </c>
      <c r="H276" s="338"/>
      <c r="I276" s="356"/>
      <c r="J276" s="356">
        <v>2022</v>
      </c>
      <c r="K276" s="321">
        <v>44694</v>
      </c>
      <c r="L276" s="317">
        <v>45227</v>
      </c>
      <c r="M276" s="409"/>
      <c r="N276" s="317">
        <f t="shared" si="143"/>
        <v>45606</v>
      </c>
      <c r="O276" s="317">
        <f t="shared" si="144"/>
        <v>45971</v>
      </c>
      <c r="P276" s="418" t="str">
        <f t="shared" si="176"/>
        <v>NÃO</v>
      </c>
      <c r="Q276" s="418" t="str">
        <f t="shared" si="176"/>
        <v>NÃO</v>
      </c>
      <c r="R276" s="418" t="str">
        <f t="shared" si="176"/>
        <v>NÃO</v>
      </c>
      <c r="S276" s="418" t="str">
        <f t="shared" si="176"/>
        <v>NÃO</v>
      </c>
      <c r="T276" s="418" t="str">
        <f t="shared" si="176"/>
        <v>NÃO</v>
      </c>
      <c r="U276" s="418" t="str">
        <f t="shared" si="176"/>
        <v>NÃO</v>
      </c>
      <c r="V276" s="418" t="str">
        <f t="shared" si="176"/>
        <v>NÃO</v>
      </c>
      <c r="W276" s="418" t="str">
        <f t="shared" si="176"/>
        <v>NÃO</v>
      </c>
      <c r="X276" s="418" t="str">
        <f t="shared" si="176"/>
        <v>NÃO</v>
      </c>
      <c r="Y276" s="418" t="str">
        <f t="shared" si="176"/>
        <v>NÃO</v>
      </c>
      <c r="Z276" s="418" t="str">
        <f t="shared" si="176"/>
        <v>CRTD</v>
      </c>
      <c r="AA276" s="418" t="str">
        <f t="shared" si="176"/>
        <v>CRTD</v>
      </c>
      <c r="AB276" s="350"/>
      <c r="AC276" s="309" t="s">
        <v>3930</v>
      </c>
      <c r="AD276" s="311"/>
      <c r="AE276" s="361"/>
      <c r="AF276" s="310" t="s">
        <v>6985</v>
      </c>
      <c r="AG276" s="310" t="s">
        <v>2485</v>
      </c>
      <c r="AH276" s="310" t="s">
        <v>1559</v>
      </c>
      <c r="AI276" s="381" t="s">
        <v>188</v>
      </c>
      <c r="AJ276" s="6" t="s">
        <v>218</v>
      </c>
      <c r="AK276" s="6" t="str">
        <f t="shared" si="152"/>
        <v>IGUAL</v>
      </c>
      <c r="AL276" s="151" t="str">
        <f>IFERROR(IF(LEFT(A276,3)="LCP",VLOOKUP(A276,STATUS_SAP_LCP!B:C,2,FALSE),VLOOKUP(A276,STATUS_SAP_ICP!B:C,2,FALSE)),"NO BUDGET")</f>
        <v>CLSD BUDG AUC  AVAC  //  APPR BREL EXPL</v>
      </c>
      <c r="AM276" s="6" t="str">
        <f t="shared" si="151"/>
        <v>CLSD</v>
      </c>
      <c r="AN276" s="414" t="s">
        <v>2651</v>
      </c>
      <c r="AO276" s="558">
        <v>1</v>
      </c>
      <c r="AP276" s="499" t="s">
        <v>9607</v>
      </c>
      <c r="AQ276" s="465">
        <v>45227</v>
      </c>
      <c r="AR276" s="460"/>
      <c r="AS276" s="57"/>
      <c r="AT276" s="185"/>
      <c r="AU276" s="318">
        <v>0</v>
      </c>
      <c r="AV276" s="223">
        <v>50.187160000000006</v>
      </c>
      <c r="AW276" s="318">
        <v>30.147259999999999</v>
      </c>
      <c r="AX276" s="223">
        <v>0</v>
      </c>
      <c r="AY276" s="318">
        <f t="shared" si="145"/>
        <v>0</v>
      </c>
      <c r="AZ276" s="223"/>
      <c r="BA276" s="318"/>
      <c r="BB276" s="519">
        <f t="shared" si="146"/>
        <v>0</v>
      </c>
      <c r="BC276" s="518"/>
      <c r="BD276" s="518"/>
      <c r="BE276" s="518"/>
      <c r="BF276" s="518"/>
      <c r="BG276" s="518"/>
      <c r="BH276" s="518"/>
      <c r="BI276" s="518"/>
      <c r="BJ276" s="518"/>
      <c r="BK276" s="518"/>
      <c r="BL276" s="518"/>
      <c r="BM276" s="518"/>
      <c r="BN276" s="518"/>
      <c r="BO276" s="367">
        <f t="shared" si="153"/>
        <v>0</v>
      </c>
      <c r="BP276" s="421"/>
      <c r="BQ276" s="422"/>
      <c r="BR276" s="423">
        <f>IFERROR(IF(LEFT($A276,3)="Lcp",SUMIFS('BASE-LCP'!$K:$K,'BASE-LCP'!$A:$A,Capex!$A279,'BASE-LCP'!$B:$B,"janeiro")/1000,IF(LEFT($A276,3)="icp",SUMIFS('BASE-ICP'!$K:$K,'BASE-ICP'!$A:$A,Capex!$A279,'BASE-ICP'!$B:$B,"janeiro")/1000,"")),"")</f>
        <v>0</v>
      </c>
      <c r="BS276" s="427">
        <v>0</v>
      </c>
      <c r="BT276" s="372">
        <v>0</v>
      </c>
      <c r="BU276" s="422"/>
      <c r="BV276" s="423">
        <f>IFERROR(IF(LEFT($A276,3)="Lcp",SUMIFS('BASE-LCP'!$K:$K,'BASE-LCP'!$A:$A,Capex!$A279,'BASE-LCP'!$B:$B,"fevereiro")/1000,IF(LEFT($A276,3)="icp",SUMIFS('BASE-ICP'!$K:$K,'BASE-ICP'!$A:$A,Capex!$A279,'BASE-ICP'!$B:$B,"fevereiro")/1000,"")),"")</f>
        <v>0</v>
      </c>
      <c r="BW276" s="427">
        <v>0</v>
      </c>
      <c r="BX276" s="372">
        <v>0</v>
      </c>
      <c r="BY276" s="419"/>
      <c r="BZ276" s="423">
        <f>IFERROR(IF(LEFT($A276,3)="Lcp",SUMIFS('BASE-LCP'!$K:$K,'BASE-LCP'!$A:$A,Capex!$A279,'BASE-LCP'!$B:$B,"março")/1000,IF(LEFT($A276,3)="icp",SUMIFS('BASE-ICP'!$K:$K,'BASE-ICP'!$A:$A,Capex!$A279,'BASE-ICP'!$B:$B,"março")/1000,"")),"")</f>
        <v>0</v>
      </c>
      <c r="CA276" s="427">
        <v>0</v>
      </c>
      <c r="CB276" s="372">
        <v>0</v>
      </c>
      <c r="CC276" s="422"/>
      <c r="CD276" s="423">
        <f>IFERROR(IF(LEFT($A276,3)="Lcp",SUMIFS('BASE-LCP'!$K:$K,'BASE-LCP'!$A:$A,Capex!$A279,'BASE-LCP'!$B:$B,"abril")/1000,IF(LEFT($A276,3)="icp",SUMIFS('BASE-ICP'!$K:$K,'BASE-ICP'!$A:$A,Capex!$A279,'BASE-ICP'!$B:$B,"abril")/1000,"")),"")</f>
        <v>0</v>
      </c>
      <c r="CE276" s="427">
        <v>0</v>
      </c>
      <c r="CF276" s="372">
        <v>0</v>
      </c>
      <c r="CG276" s="419"/>
      <c r="CH276" s="423">
        <v>0</v>
      </c>
      <c r="CI276" s="427">
        <v>0</v>
      </c>
      <c r="CJ276" s="372">
        <v>0</v>
      </c>
      <c r="CK276" s="419"/>
      <c r="CL276" s="423">
        <f>IFERROR(IF(LEFT($A276,3)="Lcp",SUMIFS('BASE-LCP'!$K:$K,'BASE-LCP'!$A:$A,Capex!$A279,'BASE-LCP'!$B:$B,"junho")/1000,IF(LEFT($A276,3)="icp",SUMIFS('BASE-ICP'!$K:$K,'BASE-ICP'!$A:$A,Capex!$A279,'BASE-ICP'!$B:$B,"junho")/1000,"")),"")</f>
        <v>0</v>
      </c>
      <c r="CM276" s="427">
        <v>0</v>
      </c>
      <c r="CN276" s="372"/>
      <c r="CO276" s="419"/>
      <c r="CP276" s="423">
        <f>IFERROR(IF(LEFT($A276,3)="Lcp",SUMIFS('BASE-LCP'!$K:$K,'BASE-LCP'!$A:$A,Capex!$A279,'BASE-LCP'!$B:$B,"julho")/1000,IF(LEFT($A276,3)="icp",SUMIFS('BASE-ICP'!$K:$K,'BASE-ICP'!$A:$A,Capex!$A279,'BASE-ICP'!$B:$B,"julho")/1000,"")),"")</f>
        <v>0</v>
      </c>
      <c r="CQ276" s="427">
        <v>0</v>
      </c>
      <c r="CR276" s="372"/>
      <c r="CS276" s="419"/>
      <c r="CT276" s="423">
        <f>IFERROR(IF(LEFT($A276,3)="Lcp",SUMIFS('BASE-LCP'!$K:$K,'BASE-LCP'!$A:$A,Capex!$A279,'BASE-LCP'!$B:$B,"agosto")/1000,IF(LEFT($A276,3)="icp",SUMIFS('BASE-ICP'!$K:$K,'BASE-ICP'!$A:$A,Capex!$A279,'BASE-ICP'!$B:$B,"agosto")/1000,"")),"")</f>
        <v>0</v>
      </c>
      <c r="CU276" s="427">
        <v>0</v>
      </c>
      <c r="CV276" s="372"/>
      <c r="CW276" s="419"/>
      <c r="CX276" s="423">
        <f>IFERROR(IF(LEFT($A276,3)="Lcp",SUMIFS('BASE-LCP'!$K:$K,'BASE-LCP'!$A:$A,Capex!$A279,'BASE-LCP'!$B:$B,"setembro")/1000,IF(LEFT($A276,3)="icp",SUMIFS('BASE-ICP'!$K:$K,'BASE-ICP'!$A:$A,Capex!$A279,'BASE-ICP'!$B:$B,"setembro")/1000,"")),"")</f>
        <v>0</v>
      </c>
      <c r="CY276" s="427">
        <v>0</v>
      </c>
      <c r="CZ276" s="372"/>
      <c r="DA276" s="419"/>
      <c r="DB276" s="423">
        <f>IFERROR(IF(LEFT($A276,3)="Lcp",SUMIFS('BASE-LCP'!$K:$K,'BASE-LCP'!$A:$A,Capex!$A279,'BASE-LCP'!$B:$B,"outubro")/1000,IF(LEFT($A276,3)="icp",SUMIFS('BASE-ICP'!$K:$K,'BASE-ICP'!$A:$A,Capex!$A279,'BASE-ICP'!$B:$B,"outubro")/1000,"")),"")</f>
        <v>0</v>
      </c>
      <c r="DC276" s="427">
        <v>0</v>
      </c>
      <c r="DD276" s="372"/>
      <c r="DE276" s="419"/>
      <c r="DF276" s="423">
        <f>IFERROR(IF(LEFT($A276,3)="Lcp",SUMIFS('BASE-LCP'!$K:$K,'BASE-LCP'!$A:$A,Capex!$A279,'BASE-LCP'!$B:$B,"novembro")/1000,IF(LEFT($A276,3)="icp",SUMIFS('BASE-ICP'!$K:$K,'BASE-ICP'!$A:$A,Capex!$A279,'BASE-ICP'!$B:$B,"novembro")/1000,"")),"")</f>
        <v>0</v>
      </c>
      <c r="DG276" s="427">
        <v>0</v>
      </c>
      <c r="DH276" s="372"/>
      <c r="DI276" s="419"/>
      <c r="DJ276" s="423">
        <f>IFERROR(IF(LEFT($A276,3)="Lcp",SUMIFS('BASE-LCP'!$K:$K,'BASE-LCP'!$A:$A,Capex!$A279,'BASE-LCP'!$B:$B,"dezembro")/1000,IF(LEFT($A276,3)="icp",SUMIFS('BASE-ICP'!$K:$K,'BASE-ICP'!$A:$A,Capex!$A279,'BASE-ICP'!$B:$B,"dezembro")/1000,"")),"")</f>
        <v>0</v>
      </c>
      <c r="DK276" s="427">
        <v>0</v>
      </c>
      <c r="DL276" s="452">
        <f t="shared" si="154"/>
        <v>0</v>
      </c>
      <c r="DM276" s="374"/>
      <c r="DN276" s="374"/>
      <c r="DO276" s="374"/>
      <c r="DP276" s="374"/>
      <c r="DQ276" s="374"/>
      <c r="DR276" s="374"/>
      <c r="DS276" s="374"/>
      <c r="DT276" s="374"/>
      <c r="DU276" s="374"/>
      <c r="DV276" s="374"/>
      <c r="DW276" s="374"/>
      <c r="DX276" s="374"/>
      <c r="DY276" s="450"/>
      <c r="DZ276" s="374">
        <f t="shared" si="155"/>
        <v>0</v>
      </c>
      <c r="EA276" s="216">
        <f t="shared" si="156"/>
        <v>0</v>
      </c>
      <c r="EB276" s="320">
        <f t="shared" si="157"/>
        <v>0</v>
      </c>
      <c r="EC276" s="241">
        <f t="shared" si="158"/>
        <v>0</v>
      </c>
      <c r="ED276" s="241">
        <f t="shared" si="159"/>
        <v>0</v>
      </c>
      <c r="EE276" s="241">
        <f t="shared" si="160"/>
        <v>0</v>
      </c>
      <c r="EF276" s="241">
        <f t="shared" si="161"/>
        <v>0</v>
      </c>
      <c r="EG276" s="346">
        <f t="shared" si="162"/>
        <v>0</v>
      </c>
      <c r="EH276" s="445">
        <f t="shared" si="163"/>
        <v>0</v>
      </c>
      <c r="EI276" s="447">
        <f t="shared" si="164"/>
        <v>0</v>
      </c>
      <c r="EJ276" s="364">
        <f t="shared" si="165"/>
        <v>0</v>
      </c>
      <c r="EK276" s="365">
        <f t="shared" si="166"/>
        <v>0</v>
      </c>
      <c r="EL276" s="529">
        <f t="shared" si="167"/>
        <v>0</v>
      </c>
      <c r="EM276" s="530">
        <v>0</v>
      </c>
      <c r="EN276" s="530">
        <v>0</v>
      </c>
      <c r="EO276" s="530">
        <v>0</v>
      </c>
      <c r="EP276" s="530">
        <v>0</v>
      </c>
      <c r="EQ276" s="530">
        <v>0</v>
      </c>
      <c r="ER276" s="530">
        <v>0</v>
      </c>
      <c r="ES276" s="530">
        <v>0</v>
      </c>
      <c r="ET276" s="530">
        <v>0</v>
      </c>
      <c r="EU276" s="530">
        <v>0</v>
      </c>
      <c r="EV276" s="530">
        <v>0</v>
      </c>
      <c r="EW276" s="530">
        <v>0</v>
      </c>
      <c r="EX276" s="530">
        <v>0</v>
      </c>
      <c r="EY276" s="530">
        <f t="shared" si="168"/>
        <v>0</v>
      </c>
      <c r="EZ276" s="530">
        <f t="shared" si="169"/>
        <v>0</v>
      </c>
      <c r="FA276" s="530">
        <f t="shared" si="170"/>
        <v>0</v>
      </c>
      <c r="FB276" s="530">
        <f t="shared" si="171"/>
        <v>0</v>
      </c>
      <c r="FC276" s="384">
        <f>IFERROR(VLOOKUP(Capex!A279,BASE_558!D:R,8,FALSE)/1000,"")</f>
        <v>609.9</v>
      </c>
      <c r="FD276" s="328">
        <f>IFERROR(VLOOKUP(Capex!A279,BASE_558!D:R,9,)/1000,"")</f>
        <v>501.51277000000005</v>
      </c>
      <c r="FE276" s="328">
        <f>IFERROR(IF(LEFT(A276,3)="LCP",(VLOOKUP(Capex!A279,BASE_558!D:R,10,)/1000),SUMIFS('BASE ICP_PO_SC'!F:F,'BASE ICP_PO_SC'!A:A,Capex!A279,'BASE ICP_PO_SC'!E:E,"&lt;&gt;")/1000),"")</f>
        <v>0</v>
      </c>
      <c r="FF276" s="328">
        <f>IFERROR(IF(LEFT(A276,3)="LCP",(VLOOKUP(Capex!A279,BASE_558!D:R,11,)/1000),SUMIFS('BASE ICP_PO_SC'!F:F,'BASE ICP_PO_SC'!A:A,Capex!A279,'BASE ICP_PO_SC'!E:E,"")/1000),"")</f>
        <v>0</v>
      </c>
      <c r="FG276" s="328">
        <f>IFERROR(VLOOKUP(A276,BASE_558!D:R,13,FALSE)/1000,"")</f>
        <v>80.334419999999994</v>
      </c>
      <c r="FH276" s="328">
        <f>IFERROR(VLOOKUP(A276,BASE_558!D:R,15,FALSE)/1000,"")</f>
        <v>34.365580000000001</v>
      </c>
      <c r="FI276" s="547">
        <f t="shared" si="172"/>
        <v>0</v>
      </c>
      <c r="FJ276" s="547">
        <f t="shared" si="173"/>
        <v>0</v>
      </c>
      <c r="FK276" s="540">
        <f t="shared" si="174"/>
        <v>0</v>
      </c>
    </row>
    <row r="277" spans="1:167" s="23" customFormat="1" ht="24" customHeight="1">
      <c r="A277" s="84" t="s">
        <v>1610</v>
      </c>
      <c r="B277" s="404"/>
      <c r="C277" s="404" t="s">
        <v>602</v>
      </c>
      <c r="D277" s="338" t="s">
        <v>2296</v>
      </c>
      <c r="E277" s="378">
        <v>5504871</v>
      </c>
      <c r="F277" s="5"/>
      <c r="G277" s="310" t="s">
        <v>9</v>
      </c>
      <c r="H277" s="338"/>
      <c r="I277" s="356" t="s">
        <v>6</v>
      </c>
      <c r="J277" s="356">
        <v>2022</v>
      </c>
      <c r="K277" s="352">
        <v>44679</v>
      </c>
      <c r="L277" s="317">
        <v>45384</v>
      </c>
      <c r="M277" s="409"/>
      <c r="N277" s="317">
        <f t="shared" si="143"/>
        <v>45591</v>
      </c>
      <c r="O277" s="317">
        <f t="shared" si="144"/>
        <v>45956</v>
      </c>
      <c r="P277" s="418" t="str">
        <f t="shared" si="176"/>
        <v>NÃO</v>
      </c>
      <c r="Q277" s="418" t="str">
        <f t="shared" si="176"/>
        <v>NÃO</v>
      </c>
      <c r="R277" s="418" t="str">
        <f t="shared" si="176"/>
        <v>NÃO</v>
      </c>
      <c r="S277" s="418" t="str">
        <f t="shared" si="176"/>
        <v>NÃO</v>
      </c>
      <c r="T277" s="418" t="str">
        <f t="shared" si="176"/>
        <v>NÃO</v>
      </c>
      <c r="U277" s="418" t="str">
        <f t="shared" si="176"/>
        <v>NÃO</v>
      </c>
      <c r="V277" s="418" t="str">
        <f t="shared" si="176"/>
        <v>NÃO</v>
      </c>
      <c r="W277" s="418" t="str">
        <f t="shared" si="176"/>
        <v>NÃO</v>
      </c>
      <c r="X277" s="418" t="str">
        <f t="shared" si="176"/>
        <v>NÃO</v>
      </c>
      <c r="Y277" s="418" t="str">
        <f t="shared" si="176"/>
        <v>CRTD</v>
      </c>
      <c r="Z277" s="418" t="str">
        <f t="shared" si="176"/>
        <v>CRTD</v>
      </c>
      <c r="AA277" s="418" t="str">
        <f t="shared" si="176"/>
        <v>CRTD</v>
      </c>
      <c r="AB277" s="350"/>
      <c r="AC277" s="309" t="s">
        <v>3932</v>
      </c>
      <c r="AD277" s="311" t="s">
        <v>5</v>
      </c>
      <c r="AE277" s="361" t="s">
        <v>961</v>
      </c>
      <c r="AF277" s="310" t="s">
        <v>6985</v>
      </c>
      <c r="AG277" s="310" t="s">
        <v>9083</v>
      </c>
      <c r="AH277" s="310" t="s">
        <v>1611</v>
      </c>
      <c r="AI277" s="381" t="s">
        <v>2255</v>
      </c>
      <c r="AJ277" s="6" t="s">
        <v>218</v>
      </c>
      <c r="AK277" s="6" t="str">
        <f t="shared" si="152"/>
        <v>IGUAL</v>
      </c>
      <c r="AL277" s="151" t="str">
        <f>IFERROR(IF(LEFT(A277,3)="LCP",VLOOKUP(A277,STATUS_SAP_LCP!B:C,2,FALSE),VLOOKUP(A277,STATUS_SAP_ICP!B:C,2,FALSE)),"NO BUDGET")</f>
        <v>CLSD BUDG AUC  AVAC  //  APPR BREL EXPL</v>
      </c>
      <c r="AM277" s="6" t="str">
        <f t="shared" si="151"/>
        <v>CLSD</v>
      </c>
      <c r="AN277" s="282" t="s">
        <v>9088</v>
      </c>
      <c r="AO277" s="493">
        <v>1</v>
      </c>
      <c r="AP277" s="499" t="s">
        <v>9607</v>
      </c>
      <c r="AQ277" s="465">
        <v>45384</v>
      </c>
      <c r="AR277" s="460"/>
      <c r="AS277" s="57"/>
      <c r="AT277" s="185"/>
      <c r="AU277" s="318"/>
      <c r="AV277" s="223">
        <v>352.68411999999995</v>
      </c>
      <c r="AW277" s="318">
        <v>1.9355699999999998</v>
      </c>
      <c r="AX277" s="223">
        <v>0</v>
      </c>
      <c r="AY277" s="318">
        <f t="shared" si="145"/>
        <v>0</v>
      </c>
      <c r="AZ277" s="223"/>
      <c r="BA277" s="318"/>
      <c r="BB277" s="519">
        <f t="shared" si="146"/>
        <v>0</v>
      </c>
      <c r="BC277" s="518">
        <v>0</v>
      </c>
      <c r="BD277" s="518">
        <v>0</v>
      </c>
      <c r="BE277" s="518">
        <v>0</v>
      </c>
      <c r="BF277" s="518">
        <v>0</v>
      </c>
      <c r="BG277" s="518">
        <v>0</v>
      </c>
      <c r="BH277" s="518">
        <v>0</v>
      </c>
      <c r="BI277" s="518">
        <v>0</v>
      </c>
      <c r="BJ277" s="518">
        <v>0</v>
      </c>
      <c r="BK277" s="518">
        <v>0</v>
      </c>
      <c r="BL277" s="518">
        <v>0</v>
      </c>
      <c r="BM277" s="518">
        <v>0</v>
      </c>
      <c r="BN277" s="518">
        <v>0</v>
      </c>
      <c r="BO277" s="367">
        <f t="shared" si="153"/>
        <v>0</v>
      </c>
      <c r="BP277" s="421">
        <v>0</v>
      </c>
      <c r="BQ277" s="422"/>
      <c r="BR277" s="423">
        <f>IFERROR(IF(LEFT($A277,3)="Lcp",SUMIFS('BASE-LCP'!$K:$K,'BASE-LCP'!$A:$A,Capex!$A280,'BASE-LCP'!$B:$B,"janeiro")/1000,IF(LEFT($A277,3)="icp",SUMIFS('BASE-ICP'!$K:$K,'BASE-ICP'!$A:$A,Capex!$A280,'BASE-ICP'!$B:$B,"janeiro")/1000,"")),"")</f>
        <v>-7.7399999999999997E-2</v>
      </c>
      <c r="BS277" s="427">
        <v>0</v>
      </c>
      <c r="BT277" s="372">
        <v>0</v>
      </c>
      <c r="BU277" s="422"/>
      <c r="BV277" s="423">
        <f>IFERROR(IF(LEFT($A277,3)="Lcp",SUMIFS('BASE-LCP'!$K:$K,'BASE-LCP'!$A:$A,Capex!$A280,'BASE-LCP'!$B:$B,"fevereiro")/1000,IF(LEFT($A277,3)="icp",SUMIFS('BASE-ICP'!$K:$K,'BASE-ICP'!$A:$A,Capex!$A280,'BASE-ICP'!$B:$B,"fevereiro")/1000,"")),"")</f>
        <v>0</v>
      </c>
      <c r="BW277" s="427">
        <v>0</v>
      </c>
      <c r="BX277" s="372">
        <v>0</v>
      </c>
      <c r="BY277" s="419"/>
      <c r="BZ277" s="423">
        <f>IFERROR(IF(LEFT($A277,3)="Lcp",SUMIFS('BASE-LCP'!$K:$K,'BASE-LCP'!$A:$A,Capex!$A280,'BASE-LCP'!$B:$B,"março")/1000,IF(LEFT($A277,3)="icp",SUMIFS('BASE-ICP'!$K:$K,'BASE-ICP'!$A:$A,Capex!$A280,'BASE-ICP'!$B:$B,"março")/1000,"")),"")</f>
        <v>0</v>
      </c>
      <c r="CA277" s="427">
        <v>0</v>
      </c>
      <c r="CB277" s="372">
        <v>0</v>
      </c>
      <c r="CC277" s="422"/>
      <c r="CD277" s="423">
        <f>IFERROR(IF(LEFT($A277,3)="Lcp",SUMIFS('BASE-LCP'!$K:$K,'BASE-LCP'!$A:$A,Capex!$A280,'BASE-LCP'!$B:$B,"abril")/1000,IF(LEFT($A277,3)="icp",SUMIFS('BASE-ICP'!$K:$K,'BASE-ICP'!$A:$A,Capex!$A280,'BASE-ICP'!$B:$B,"abril")/1000,"")),"")</f>
        <v>0</v>
      </c>
      <c r="CE277" s="427">
        <v>0</v>
      </c>
      <c r="CF277" s="372">
        <v>0</v>
      </c>
      <c r="CG277" s="419"/>
      <c r="CH277" s="423">
        <v>0</v>
      </c>
      <c r="CI277" s="427">
        <v>0</v>
      </c>
      <c r="CJ277" s="372">
        <v>0</v>
      </c>
      <c r="CK277" s="419"/>
      <c r="CL277" s="423">
        <f>IFERROR(IF(LEFT($A277,3)="Lcp",SUMIFS('BASE-LCP'!$K:$K,'BASE-LCP'!$A:$A,Capex!$A280,'BASE-LCP'!$B:$B,"junho")/1000,IF(LEFT($A277,3)="icp",SUMIFS('BASE-ICP'!$K:$K,'BASE-ICP'!$A:$A,Capex!$A280,'BASE-ICP'!$B:$B,"junho")/1000,"")),"")</f>
        <v>0</v>
      </c>
      <c r="CM277" s="427">
        <v>0</v>
      </c>
      <c r="CN277" s="372"/>
      <c r="CO277" s="419"/>
      <c r="CP277" s="423">
        <f>IFERROR(IF(LEFT($A277,3)="Lcp",SUMIFS('BASE-LCP'!$K:$K,'BASE-LCP'!$A:$A,Capex!$A280,'BASE-LCP'!$B:$B,"julho")/1000,IF(LEFT($A277,3)="icp",SUMIFS('BASE-ICP'!$K:$K,'BASE-ICP'!$A:$A,Capex!$A280,'BASE-ICP'!$B:$B,"julho")/1000,"")),"")</f>
        <v>0</v>
      </c>
      <c r="CQ277" s="427">
        <v>0</v>
      </c>
      <c r="CR277" s="372"/>
      <c r="CS277" s="419"/>
      <c r="CT277" s="423">
        <f>IFERROR(IF(LEFT($A277,3)="Lcp",SUMIFS('BASE-LCP'!$K:$K,'BASE-LCP'!$A:$A,Capex!$A280,'BASE-LCP'!$B:$B,"agosto")/1000,IF(LEFT($A277,3)="icp",SUMIFS('BASE-ICP'!$K:$K,'BASE-ICP'!$A:$A,Capex!$A280,'BASE-ICP'!$B:$B,"agosto")/1000,"")),"")</f>
        <v>0</v>
      </c>
      <c r="CU277" s="427">
        <v>0</v>
      </c>
      <c r="CV277" s="372"/>
      <c r="CW277" s="419"/>
      <c r="CX277" s="423">
        <f>IFERROR(IF(LEFT($A277,3)="Lcp",SUMIFS('BASE-LCP'!$K:$K,'BASE-LCP'!$A:$A,Capex!$A280,'BASE-LCP'!$B:$B,"setembro")/1000,IF(LEFT($A277,3)="icp",SUMIFS('BASE-ICP'!$K:$K,'BASE-ICP'!$A:$A,Capex!$A280,'BASE-ICP'!$B:$B,"setembro")/1000,"")),"")</f>
        <v>0</v>
      </c>
      <c r="CY277" s="427">
        <v>0</v>
      </c>
      <c r="CZ277" s="372"/>
      <c r="DA277" s="419"/>
      <c r="DB277" s="423">
        <f>IFERROR(IF(LEFT($A277,3)="Lcp",SUMIFS('BASE-LCP'!$K:$K,'BASE-LCP'!$A:$A,Capex!$A280,'BASE-LCP'!$B:$B,"outubro")/1000,IF(LEFT($A277,3)="icp",SUMIFS('BASE-ICP'!$K:$K,'BASE-ICP'!$A:$A,Capex!$A280,'BASE-ICP'!$B:$B,"outubro")/1000,"")),"")</f>
        <v>0</v>
      </c>
      <c r="DC277" s="427">
        <v>0</v>
      </c>
      <c r="DD277" s="372"/>
      <c r="DE277" s="419"/>
      <c r="DF277" s="423">
        <f>IFERROR(IF(LEFT($A277,3)="Lcp",SUMIFS('BASE-LCP'!$K:$K,'BASE-LCP'!$A:$A,Capex!$A280,'BASE-LCP'!$B:$B,"novembro")/1000,IF(LEFT($A277,3)="icp",SUMIFS('BASE-ICP'!$K:$K,'BASE-ICP'!$A:$A,Capex!$A280,'BASE-ICP'!$B:$B,"novembro")/1000,"")),"")</f>
        <v>0</v>
      </c>
      <c r="DG277" s="427">
        <v>0</v>
      </c>
      <c r="DH277" s="372"/>
      <c r="DI277" s="419"/>
      <c r="DJ277" s="423">
        <f>IFERROR(IF(LEFT($A277,3)="Lcp",SUMIFS('BASE-LCP'!$K:$K,'BASE-LCP'!$A:$A,Capex!$A280,'BASE-LCP'!$B:$B,"dezembro")/1000,IF(LEFT($A277,3)="icp",SUMIFS('BASE-ICP'!$K:$K,'BASE-ICP'!$A:$A,Capex!$A280,'BASE-ICP'!$B:$B,"dezembro")/1000,"")),"")</f>
        <v>0</v>
      </c>
      <c r="DK277" s="427">
        <v>0</v>
      </c>
      <c r="DL277" s="452">
        <f t="shared" si="154"/>
        <v>0</v>
      </c>
      <c r="DM277" s="374"/>
      <c r="DN277" s="374">
        <v>0</v>
      </c>
      <c r="DO277" s="374"/>
      <c r="DP277" s="374"/>
      <c r="DQ277" s="374"/>
      <c r="DR277" s="374"/>
      <c r="DS277" s="374"/>
      <c r="DT277" s="374"/>
      <c r="DU277" s="374"/>
      <c r="DV277" s="374"/>
      <c r="DW277" s="374"/>
      <c r="DX277" s="374"/>
      <c r="DY277" s="450"/>
      <c r="DZ277" s="374">
        <f t="shared" si="155"/>
        <v>0</v>
      </c>
      <c r="EA277" s="216">
        <f t="shared" si="156"/>
        <v>0</v>
      </c>
      <c r="EB277" s="320">
        <f t="shared" si="157"/>
        <v>0</v>
      </c>
      <c r="EC277" s="241">
        <f t="shared" si="158"/>
        <v>0</v>
      </c>
      <c r="ED277" s="241">
        <f t="shared" si="159"/>
        <v>0</v>
      </c>
      <c r="EE277" s="241">
        <f t="shared" si="160"/>
        <v>0</v>
      </c>
      <c r="EF277" s="241">
        <f t="shared" si="161"/>
        <v>0</v>
      </c>
      <c r="EG277" s="346">
        <f t="shared" si="162"/>
        <v>0</v>
      </c>
      <c r="EH277" s="445">
        <f t="shared" si="163"/>
        <v>0</v>
      </c>
      <c r="EI277" s="447">
        <f t="shared" si="164"/>
        <v>0</v>
      </c>
      <c r="EJ277" s="364">
        <f t="shared" si="165"/>
        <v>0</v>
      </c>
      <c r="EK277" s="365">
        <f t="shared" si="166"/>
        <v>0</v>
      </c>
      <c r="EL277" s="529">
        <f t="shared" si="167"/>
        <v>0</v>
      </c>
      <c r="EM277" s="530">
        <v>0</v>
      </c>
      <c r="EN277" s="530">
        <v>0</v>
      </c>
      <c r="EO277" s="530">
        <v>0</v>
      </c>
      <c r="EP277" s="530">
        <v>0</v>
      </c>
      <c r="EQ277" s="530">
        <v>0</v>
      </c>
      <c r="ER277" s="530">
        <v>0</v>
      </c>
      <c r="ES277" s="530">
        <v>0</v>
      </c>
      <c r="ET277" s="530">
        <v>0</v>
      </c>
      <c r="EU277" s="530">
        <v>0</v>
      </c>
      <c r="EV277" s="530">
        <v>0</v>
      </c>
      <c r="EW277" s="530">
        <v>0</v>
      </c>
      <c r="EX277" s="530">
        <v>0</v>
      </c>
      <c r="EY277" s="530">
        <f t="shared" si="168"/>
        <v>0</v>
      </c>
      <c r="EZ277" s="530">
        <f t="shared" si="169"/>
        <v>0</v>
      </c>
      <c r="FA277" s="530">
        <f t="shared" si="170"/>
        <v>0</v>
      </c>
      <c r="FB277" s="530">
        <f t="shared" si="171"/>
        <v>0</v>
      </c>
      <c r="FC277" s="384">
        <f>IFERROR(VLOOKUP(Capex!A280,BASE_558!D:R,8,FALSE)/1000,"")</f>
        <v>766.47337000000005</v>
      </c>
      <c r="FD277" s="328">
        <f>IFERROR(VLOOKUP(Capex!A280,BASE_558!D:R,9,)/1000,"")</f>
        <v>542.51045999999997</v>
      </c>
      <c r="FE277" s="328">
        <f>IFERROR(IF(LEFT(A277,3)="LCP",(VLOOKUP(Capex!A280,BASE_558!D:R,10,)/1000),SUMIFS('BASE ICP_PO_SC'!F:F,'BASE ICP_PO_SC'!A:A,Capex!A280,'BASE ICP_PO_SC'!E:E,"&lt;&gt;")/1000),"")</f>
        <v>3.0953499999999998</v>
      </c>
      <c r="FF277" s="328">
        <f>IFERROR(IF(LEFT(A277,3)="LCP",(VLOOKUP(Capex!A280,BASE_558!D:R,11,)/1000),SUMIFS('BASE ICP_PO_SC'!F:F,'BASE ICP_PO_SC'!A:A,Capex!A280,'BASE ICP_PO_SC'!E:E,"")/1000),"")</f>
        <v>0</v>
      </c>
      <c r="FG277" s="328">
        <f>IFERROR(VLOOKUP(A277,BASE_558!D:R,13,FALSE)/1000,"")</f>
        <v>354.61968999999999</v>
      </c>
      <c r="FH277" s="328">
        <f>IFERROR(VLOOKUP(A277,BASE_558!D:R,15,FALSE)/1000,"")</f>
        <v>30.427310000000002</v>
      </c>
      <c r="FI277" s="547">
        <f t="shared" si="172"/>
        <v>0</v>
      </c>
      <c r="FJ277" s="547">
        <f t="shared" si="173"/>
        <v>0</v>
      </c>
      <c r="FK277" s="540">
        <f t="shared" si="174"/>
        <v>0</v>
      </c>
    </row>
    <row r="278" spans="1:167" s="23" customFormat="1" ht="24" customHeight="1">
      <c r="A278" s="310" t="s">
        <v>2298</v>
      </c>
      <c r="B278" s="404"/>
      <c r="C278" s="404" t="s">
        <v>602</v>
      </c>
      <c r="D278" s="338" t="s">
        <v>1897</v>
      </c>
      <c r="E278" s="378">
        <v>6241180</v>
      </c>
      <c r="F278" s="5"/>
      <c r="G278" s="310" t="s">
        <v>9</v>
      </c>
      <c r="H278" s="338" t="s">
        <v>6</v>
      </c>
      <c r="I278" s="356"/>
      <c r="J278" s="356">
        <v>2022</v>
      </c>
      <c r="K278" s="352">
        <v>44860</v>
      </c>
      <c r="L278" s="317"/>
      <c r="M278" s="409"/>
      <c r="N278" s="317">
        <f t="shared" si="143"/>
        <v>45772</v>
      </c>
      <c r="O278" s="317">
        <f t="shared" si="144"/>
        <v>46137</v>
      </c>
      <c r="P278" s="418" t="str">
        <f t="shared" si="176"/>
        <v>NÃO</v>
      </c>
      <c r="Q278" s="418" t="str">
        <f t="shared" si="176"/>
        <v>NÃO</v>
      </c>
      <c r="R278" s="418" t="str">
        <f t="shared" si="176"/>
        <v>NÃO</v>
      </c>
      <c r="S278" s="418" t="str">
        <f t="shared" si="176"/>
        <v>SIM</v>
      </c>
      <c r="T278" s="418" t="str">
        <f t="shared" si="176"/>
        <v>SIM</v>
      </c>
      <c r="U278" s="418" t="str">
        <f t="shared" si="176"/>
        <v>SIM</v>
      </c>
      <c r="V278" s="551" t="str">
        <f t="shared" si="176"/>
        <v>SIM</v>
      </c>
      <c r="W278" s="418" t="str">
        <f t="shared" si="176"/>
        <v>SIM</v>
      </c>
      <c r="X278" s="418" t="str">
        <f t="shared" si="176"/>
        <v>SIM</v>
      </c>
      <c r="Y278" s="418" t="str">
        <f t="shared" si="176"/>
        <v>SIM</v>
      </c>
      <c r="Z278" s="418" t="str">
        <f t="shared" si="176"/>
        <v>SIM</v>
      </c>
      <c r="AA278" s="567" t="str">
        <f t="shared" si="176"/>
        <v>SIM</v>
      </c>
      <c r="AB278" s="350"/>
      <c r="AC278" s="309" t="s">
        <v>3931</v>
      </c>
      <c r="AD278" s="311" t="s">
        <v>223</v>
      </c>
      <c r="AE278" s="361" t="s">
        <v>2299</v>
      </c>
      <c r="AF278" s="310" t="s">
        <v>6985</v>
      </c>
      <c r="AG278" s="310" t="s">
        <v>2485</v>
      </c>
      <c r="AH278" s="310" t="s">
        <v>1741</v>
      </c>
      <c r="AI278" s="381" t="s">
        <v>188</v>
      </c>
      <c r="AJ278" s="6" t="s">
        <v>6786</v>
      </c>
      <c r="AK278" s="6" t="str">
        <f t="shared" si="152"/>
        <v>IGUAL</v>
      </c>
      <c r="AL278" s="151" t="str">
        <f>IFERROR(IF(LEFT(A278,3)="LCP",VLOOKUP(A278,STATUS_SAP_LCP!B:C,2,FALSE),VLOOKUP(A278,STATUS_SAP_ICP!B:C,2,FALSE)),"NO BUDGET")</f>
        <v>REL  BUDG AUC  AVAC  //  APPR BREL INPL</v>
      </c>
      <c r="AM278" s="6" t="str">
        <f t="shared" si="151"/>
        <v xml:space="preserve">REL </v>
      </c>
      <c r="AN278" s="491" t="s">
        <v>20129</v>
      </c>
      <c r="AO278" s="414"/>
      <c r="AP278" s="499" t="s">
        <v>9617</v>
      </c>
      <c r="AQ278" s="465">
        <v>45808</v>
      </c>
      <c r="AR278" s="460"/>
      <c r="AS278" s="57"/>
      <c r="AT278" s="185"/>
      <c r="AU278" s="318"/>
      <c r="AV278" s="223">
        <v>0</v>
      </c>
      <c r="AW278" s="318">
        <v>46.852580000000003</v>
      </c>
      <c r="AX278" s="223">
        <v>0</v>
      </c>
      <c r="AY278" s="318">
        <f t="shared" si="145"/>
        <v>48.845169999999996</v>
      </c>
      <c r="AZ278" s="223"/>
      <c r="BA278" s="318"/>
      <c r="BB278" s="519">
        <f t="shared" si="146"/>
        <v>0</v>
      </c>
      <c r="BC278" s="518"/>
      <c r="BD278" s="518"/>
      <c r="BE278" s="518"/>
      <c r="BF278" s="518"/>
      <c r="BG278" s="518"/>
      <c r="BH278" s="518"/>
      <c r="BI278" s="518"/>
      <c r="BJ278" s="518"/>
      <c r="BK278" s="518"/>
      <c r="BL278" s="518"/>
      <c r="BM278" s="518"/>
      <c r="BN278" s="518"/>
      <c r="BO278" s="367">
        <f t="shared" si="153"/>
        <v>48.845169999999996</v>
      </c>
      <c r="BP278" s="421"/>
      <c r="BQ278" s="422"/>
      <c r="BR278" s="423">
        <f>IFERROR(IF(LEFT($A278,3)="Lcp",SUMIFS('BASE-LCP'!$K:$K,'BASE-LCP'!$A:$A,Capex!$A281,'BASE-LCP'!$B:$B,"janeiro")/1000,IF(LEFT($A278,3)="icp",SUMIFS('BASE-ICP'!$K:$K,'BASE-ICP'!$A:$A,Capex!$A281,'BASE-ICP'!$B:$B,"janeiro")/1000,"")),"")</f>
        <v>0</v>
      </c>
      <c r="BS278" s="427">
        <v>0</v>
      </c>
      <c r="BT278" s="372">
        <v>51</v>
      </c>
      <c r="BU278" s="422"/>
      <c r="BV278" s="423">
        <f>IFERROR(IF(LEFT($A278,3)="Lcp",SUMIFS('BASE-LCP'!$K:$K,'BASE-LCP'!$A:$A,Capex!$A281,'BASE-LCP'!$B:$B,"fevereiro")/1000,IF(LEFT($A278,3)="icp",SUMIFS('BASE-ICP'!$K:$K,'BASE-ICP'!$A:$A,Capex!$A281,'BASE-ICP'!$B:$B,"fevereiro")/1000,"")),"")</f>
        <v>0</v>
      </c>
      <c r="BW278" s="427">
        <v>0</v>
      </c>
      <c r="BX278" s="372">
        <v>48</v>
      </c>
      <c r="BY278" s="419">
        <v>0.70029999999999992</v>
      </c>
      <c r="BZ278" s="423">
        <f>IFERROR(IF(LEFT($A278,3)="Lcp",SUMIFS('BASE-LCP'!$K:$K,'BASE-LCP'!$A:$A,Capex!$A281,'BASE-LCP'!$B:$B,"março")/1000,IF(LEFT($A278,3)="icp",SUMIFS('BASE-ICP'!$K:$K,'BASE-ICP'!$A:$A,Capex!$A281,'BASE-ICP'!$B:$B,"março")/1000,"")),"")</f>
        <v>0</v>
      </c>
      <c r="CA278" s="427">
        <v>0.70030000000000003</v>
      </c>
      <c r="CB278" s="372">
        <v>47.3</v>
      </c>
      <c r="CC278" s="422">
        <v>43.23451</v>
      </c>
      <c r="CD278" s="423">
        <f>IFERROR(IF(LEFT($A278,3)="Lcp",SUMIFS('BASE-LCP'!$K:$K,'BASE-LCP'!$A:$A,Capex!$A281,'BASE-LCP'!$B:$B,"abril")/1000,IF(LEFT($A278,3)="icp",SUMIFS('BASE-ICP'!$K:$K,'BASE-ICP'!$A:$A,Capex!$A281,'BASE-ICP'!$B:$B,"abril")/1000,"")),"")</f>
        <v>0</v>
      </c>
      <c r="CE278" s="427">
        <v>43.23451</v>
      </c>
      <c r="CF278" s="372">
        <v>4</v>
      </c>
      <c r="CG278" s="419">
        <v>4.9103599999999998</v>
      </c>
      <c r="CH278" s="423">
        <v>4.9103600000000007</v>
      </c>
      <c r="CI278" s="427">
        <v>4.9103600000000007</v>
      </c>
      <c r="CJ278" s="372">
        <v>0</v>
      </c>
      <c r="CK278" s="419"/>
      <c r="CL278" s="423">
        <f>IFERROR(IF(LEFT($A278,3)="Lcp",SUMIFS('BASE-LCP'!$K:$K,'BASE-LCP'!$A:$A,Capex!$A281,'BASE-LCP'!$B:$B,"junho")/1000,IF(LEFT($A278,3)="icp",SUMIFS('BASE-ICP'!$K:$K,'BASE-ICP'!$A:$A,Capex!$A281,'BASE-ICP'!$B:$B,"junho")/1000,"")),"")</f>
        <v>0</v>
      </c>
      <c r="CM278" s="427">
        <v>0</v>
      </c>
      <c r="CN278" s="372"/>
      <c r="CO278" s="419"/>
      <c r="CP278" s="423">
        <f>IFERROR(IF(LEFT($A278,3)="Lcp",SUMIFS('BASE-LCP'!$K:$K,'BASE-LCP'!$A:$A,Capex!$A281,'BASE-LCP'!$B:$B,"julho")/1000,IF(LEFT($A278,3)="icp",SUMIFS('BASE-ICP'!$K:$K,'BASE-ICP'!$A:$A,Capex!$A281,'BASE-ICP'!$B:$B,"julho")/1000,"")),"")</f>
        <v>0</v>
      </c>
      <c r="CQ278" s="427">
        <v>0</v>
      </c>
      <c r="CR278" s="372"/>
      <c r="CS278" s="419"/>
      <c r="CT278" s="423">
        <f>IFERROR(IF(LEFT($A278,3)="Lcp",SUMIFS('BASE-LCP'!$K:$K,'BASE-LCP'!$A:$A,Capex!$A281,'BASE-LCP'!$B:$B,"agosto")/1000,IF(LEFT($A278,3)="icp",SUMIFS('BASE-ICP'!$K:$K,'BASE-ICP'!$A:$A,Capex!$A281,'BASE-ICP'!$B:$B,"agosto")/1000,"")),"")</f>
        <v>0</v>
      </c>
      <c r="CU278" s="427">
        <v>0</v>
      </c>
      <c r="CV278" s="372"/>
      <c r="CW278" s="419"/>
      <c r="CX278" s="423">
        <f>IFERROR(IF(LEFT($A278,3)="Lcp",SUMIFS('BASE-LCP'!$K:$K,'BASE-LCP'!$A:$A,Capex!$A281,'BASE-LCP'!$B:$B,"setembro")/1000,IF(LEFT($A278,3)="icp",SUMIFS('BASE-ICP'!$K:$K,'BASE-ICP'!$A:$A,Capex!$A281,'BASE-ICP'!$B:$B,"setembro")/1000,"")),"")</f>
        <v>0</v>
      </c>
      <c r="CY278" s="427">
        <v>0</v>
      </c>
      <c r="CZ278" s="372"/>
      <c r="DA278" s="419"/>
      <c r="DB278" s="423">
        <f>IFERROR(IF(LEFT($A278,3)="Lcp",SUMIFS('BASE-LCP'!$K:$K,'BASE-LCP'!$A:$A,Capex!$A281,'BASE-LCP'!$B:$B,"outubro")/1000,IF(LEFT($A278,3)="icp",SUMIFS('BASE-ICP'!$K:$K,'BASE-ICP'!$A:$A,Capex!$A281,'BASE-ICP'!$B:$B,"outubro")/1000,"")),"")</f>
        <v>0</v>
      </c>
      <c r="DC278" s="427">
        <v>0</v>
      </c>
      <c r="DD278" s="372"/>
      <c r="DE278" s="419"/>
      <c r="DF278" s="423">
        <f>IFERROR(IF(LEFT($A278,3)="Lcp",SUMIFS('BASE-LCP'!$K:$K,'BASE-LCP'!$A:$A,Capex!$A281,'BASE-LCP'!$B:$B,"novembro")/1000,IF(LEFT($A278,3)="icp",SUMIFS('BASE-ICP'!$K:$K,'BASE-ICP'!$A:$A,Capex!$A281,'BASE-ICP'!$B:$B,"novembro")/1000,"")),"")</f>
        <v>0</v>
      </c>
      <c r="DG278" s="427">
        <v>0</v>
      </c>
      <c r="DH278" s="372"/>
      <c r="DI278" s="419"/>
      <c r="DJ278" s="423">
        <f>IFERROR(IF(LEFT($A278,3)="Lcp",SUMIFS('BASE-LCP'!$K:$K,'BASE-LCP'!$A:$A,Capex!$A281,'BASE-LCP'!$B:$B,"dezembro")/1000,IF(LEFT($A278,3)="icp",SUMIFS('BASE-ICP'!$K:$K,'BASE-ICP'!$A:$A,Capex!$A281,'BASE-ICP'!$B:$B,"dezembro")/1000,"")),"")</f>
        <v>0</v>
      </c>
      <c r="DK278" s="427">
        <v>0</v>
      </c>
      <c r="DL278" s="452">
        <f t="shared" si="154"/>
        <v>0</v>
      </c>
      <c r="DM278" s="374"/>
      <c r="DN278" s="374">
        <v>0</v>
      </c>
      <c r="DO278" s="374"/>
      <c r="DP278" s="374"/>
      <c r="DQ278" s="374"/>
      <c r="DR278" s="374"/>
      <c r="DS278" s="374"/>
      <c r="DT278" s="374"/>
      <c r="DU278" s="374"/>
      <c r="DV278" s="374"/>
      <c r="DW278" s="374"/>
      <c r="DX278" s="374"/>
      <c r="DY278" s="450"/>
      <c r="DZ278" s="374">
        <f t="shared" si="155"/>
        <v>0</v>
      </c>
      <c r="EA278" s="216">
        <f t="shared" si="156"/>
        <v>0</v>
      </c>
      <c r="EB278" s="320">
        <f t="shared" si="157"/>
        <v>0</v>
      </c>
      <c r="EC278" s="241">
        <f t="shared" si="158"/>
        <v>0.70030000000000003</v>
      </c>
      <c r="ED278" s="241">
        <f t="shared" si="159"/>
        <v>48.144869999999997</v>
      </c>
      <c r="EE278" s="241">
        <f t="shared" si="160"/>
        <v>0</v>
      </c>
      <c r="EF278" s="241">
        <f t="shared" si="161"/>
        <v>0</v>
      </c>
      <c r="EG278" s="346">
        <f t="shared" si="162"/>
        <v>48.845169999999996</v>
      </c>
      <c r="EH278" s="445">
        <f t="shared" si="163"/>
        <v>4</v>
      </c>
      <c r="EI278" s="447">
        <f t="shared" si="164"/>
        <v>4.9103600000000007</v>
      </c>
      <c r="EJ278" s="364">
        <f t="shared" si="165"/>
        <v>48.845169999999996</v>
      </c>
      <c r="EK278" s="365">
        <f t="shared" si="166"/>
        <v>0</v>
      </c>
      <c r="EL278" s="529">
        <f t="shared" si="167"/>
        <v>48.845169999999996</v>
      </c>
      <c r="EM278" s="530">
        <v>0</v>
      </c>
      <c r="EN278" s="530">
        <v>0</v>
      </c>
      <c r="EO278" s="530">
        <v>0.70030000000000003</v>
      </c>
      <c r="EP278" s="530">
        <v>43.23451</v>
      </c>
      <c r="EQ278" s="530">
        <v>4.9103600000000007</v>
      </c>
      <c r="ER278" s="530">
        <v>0</v>
      </c>
      <c r="ES278" s="530">
        <v>0</v>
      </c>
      <c r="ET278" s="530">
        <v>0</v>
      </c>
      <c r="EU278" s="530">
        <v>0</v>
      </c>
      <c r="EV278" s="530">
        <v>0</v>
      </c>
      <c r="EW278" s="530">
        <v>0</v>
      </c>
      <c r="EX278" s="530">
        <v>0</v>
      </c>
      <c r="EY278" s="530">
        <f t="shared" si="168"/>
        <v>0.70030000000000003</v>
      </c>
      <c r="EZ278" s="530">
        <f t="shared" si="169"/>
        <v>48.144869999999997</v>
      </c>
      <c r="FA278" s="530">
        <f t="shared" si="170"/>
        <v>0</v>
      </c>
      <c r="FB278" s="530">
        <f t="shared" si="171"/>
        <v>0</v>
      </c>
      <c r="FC278" s="384">
        <f>IFERROR(VLOOKUP(Capex!A281,BASE_558!D:R,8,FALSE)/1000,"")</f>
        <v>78.335999999999999</v>
      </c>
      <c r="FD278" s="328">
        <f>IFERROR(VLOOKUP(Capex!A281,BASE_558!D:R,9,)/1000,"")</f>
        <v>30.130089999999999</v>
      </c>
      <c r="FE278" s="328">
        <f>IFERROR(IF(LEFT(A278,3)="LCP",(VLOOKUP(Capex!A281,BASE_558!D:R,10,)/1000),SUMIFS('BASE ICP_PO_SC'!F:F,'BASE ICP_PO_SC'!A:A,Capex!A281,'BASE ICP_PO_SC'!E:E,"&lt;&gt;")/1000),"")</f>
        <v>0</v>
      </c>
      <c r="FF278" s="328">
        <f>IFERROR(IF(LEFT(A278,3)="LCP",(VLOOKUP(Capex!A281,BASE_558!D:R,11,)/1000),SUMIFS('BASE ICP_PO_SC'!F:F,'BASE ICP_PO_SC'!A:A,Capex!A281,'BASE ICP_PO_SC'!E:E,"")/1000),"")</f>
        <v>0</v>
      </c>
      <c r="FG278" s="328">
        <f>IFERROR(VLOOKUP(A278,BASE_558!D:R,13,FALSE)/1000,"")</f>
        <v>104.41602</v>
      </c>
      <c r="FH278" s="328">
        <f>IFERROR(VLOOKUP(A278,BASE_558!D:R,15,FALSE)/1000,"")</f>
        <v>74.883979999999994</v>
      </c>
      <c r="FI278" s="547">
        <f t="shared" si="172"/>
        <v>0</v>
      </c>
      <c r="FJ278" s="547">
        <f t="shared" si="173"/>
        <v>0</v>
      </c>
      <c r="FK278" s="540">
        <f t="shared" si="174"/>
        <v>0</v>
      </c>
    </row>
    <row r="279" spans="1:167" s="23" customFormat="1" ht="24" customHeight="1">
      <c r="A279" s="84" t="s">
        <v>1625</v>
      </c>
      <c r="B279" s="404"/>
      <c r="C279" s="404" t="s">
        <v>602</v>
      </c>
      <c r="D279" s="338" t="s">
        <v>2300</v>
      </c>
      <c r="E279" s="378">
        <v>5704401</v>
      </c>
      <c r="F279" s="5"/>
      <c r="G279" s="310" t="s">
        <v>9</v>
      </c>
      <c r="H279" s="356"/>
      <c r="I279" s="356" t="s">
        <v>6</v>
      </c>
      <c r="J279" s="356">
        <v>2022</v>
      </c>
      <c r="K279" s="352">
        <v>44713</v>
      </c>
      <c r="L279" s="317">
        <v>45478</v>
      </c>
      <c r="M279" s="409" t="s">
        <v>6808</v>
      </c>
      <c r="N279" s="317">
        <f t="shared" si="143"/>
        <v>45625</v>
      </c>
      <c r="O279" s="317">
        <f t="shared" si="144"/>
        <v>45990</v>
      </c>
      <c r="P279" s="418" t="str">
        <f t="shared" si="176"/>
        <v>NÃO</v>
      </c>
      <c r="Q279" s="418" t="str">
        <f t="shared" si="176"/>
        <v>NÃO</v>
      </c>
      <c r="R279" s="418" t="str">
        <f t="shared" si="176"/>
        <v>NÃO</v>
      </c>
      <c r="S279" s="418" t="str">
        <f t="shared" si="176"/>
        <v>NÃO</v>
      </c>
      <c r="T279" s="418" t="str">
        <f t="shared" si="176"/>
        <v>NÃO</v>
      </c>
      <c r="U279" s="418" t="str">
        <f t="shared" si="176"/>
        <v>NÃO</v>
      </c>
      <c r="V279" s="418" t="str">
        <f t="shared" si="176"/>
        <v>NÃO</v>
      </c>
      <c r="W279" s="418" t="str">
        <f t="shared" si="176"/>
        <v>NÃO</v>
      </c>
      <c r="X279" s="418" t="str">
        <f t="shared" si="176"/>
        <v>NÃO</v>
      </c>
      <c r="Y279" s="418" t="str">
        <f t="shared" si="176"/>
        <v>NÃO</v>
      </c>
      <c r="Z279" s="418" t="str">
        <f t="shared" si="176"/>
        <v>CRTD</v>
      </c>
      <c r="AA279" s="418" t="str">
        <f t="shared" si="176"/>
        <v>CRTD</v>
      </c>
      <c r="AB279" s="350"/>
      <c r="AC279" s="309" t="s">
        <v>3930</v>
      </c>
      <c r="AD279" s="311" t="s">
        <v>223</v>
      </c>
      <c r="AE279" s="361"/>
      <c r="AF279" s="310" t="s">
        <v>6985</v>
      </c>
      <c r="AG279" s="310" t="s">
        <v>2485</v>
      </c>
      <c r="AH279" s="310" t="s">
        <v>1616</v>
      </c>
      <c r="AI279" s="309" t="s">
        <v>188</v>
      </c>
      <c r="AJ279" s="6" t="s">
        <v>218</v>
      </c>
      <c r="AK279" s="6" t="str">
        <f t="shared" si="152"/>
        <v>IGUAL</v>
      </c>
      <c r="AL279" s="151" t="str">
        <f>IFERROR(IF(LEFT(A279,3)="LCP",VLOOKUP(A279,STATUS_SAP_LCP!B:C,2,FALSE),VLOOKUP(A279,STATUS_SAP_ICP!B:C,2,FALSE)),"NO BUDGET")</f>
        <v>CLSD BUDG AUC  AVAC  //  APPR BREL EXPL</v>
      </c>
      <c r="AM279" s="6" t="str">
        <f t="shared" si="151"/>
        <v>CLSD</v>
      </c>
      <c r="AN279" s="282" t="s">
        <v>2651</v>
      </c>
      <c r="AO279" s="493">
        <v>1</v>
      </c>
      <c r="AP279" s="499" t="s">
        <v>9607</v>
      </c>
      <c r="AQ279" s="465">
        <v>45478</v>
      </c>
      <c r="AR279" s="460"/>
      <c r="AS279" s="57"/>
      <c r="AT279" s="185"/>
      <c r="AU279" s="318"/>
      <c r="AV279" s="223">
        <v>276.37484999999998</v>
      </c>
      <c r="AW279" s="318">
        <v>142.05003999999997</v>
      </c>
      <c r="AX279" s="223">
        <v>83.087879999999998</v>
      </c>
      <c r="AY279" s="318">
        <f t="shared" si="145"/>
        <v>0</v>
      </c>
      <c r="AZ279" s="223"/>
      <c r="BA279" s="318"/>
      <c r="BB279" s="519">
        <f t="shared" si="146"/>
        <v>0</v>
      </c>
      <c r="BC279" s="518"/>
      <c r="BD279" s="518"/>
      <c r="BE279" s="518"/>
      <c r="BF279" s="518"/>
      <c r="BG279" s="518"/>
      <c r="BH279" s="518"/>
      <c r="BI279" s="518"/>
      <c r="BJ279" s="518"/>
      <c r="BK279" s="518"/>
      <c r="BL279" s="518"/>
      <c r="BM279" s="518"/>
      <c r="BN279" s="518"/>
      <c r="BO279" s="367">
        <f t="shared" si="153"/>
        <v>0</v>
      </c>
      <c r="BP279" s="421"/>
      <c r="BQ279" s="422"/>
      <c r="BR279" s="423">
        <f>IFERROR(IF(LEFT($A279,3)="Lcp",SUMIFS('BASE-LCP'!$K:$K,'BASE-LCP'!$A:$A,Capex!$A282,'BASE-LCP'!$B:$B,"janeiro")/1000,IF(LEFT($A279,3)="icp",SUMIFS('BASE-ICP'!$K:$K,'BASE-ICP'!$A:$A,Capex!$A282,'BASE-ICP'!$B:$B,"janeiro")/1000,"")),"")</f>
        <v>0</v>
      </c>
      <c r="BS279" s="427">
        <v>0</v>
      </c>
      <c r="BT279" s="372">
        <v>0</v>
      </c>
      <c r="BU279" s="422"/>
      <c r="BV279" s="423">
        <f>IFERROR(IF(LEFT($A279,3)="Lcp",SUMIFS('BASE-LCP'!$K:$K,'BASE-LCP'!$A:$A,Capex!$A282,'BASE-LCP'!$B:$B,"fevereiro")/1000,IF(LEFT($A279,3)="icp",SUMIFS('BASE-ICP'!$K:$K,'BASE-ICP'!$A:$A,Capex!$A282,'BASE-ICP'!$B:$B,"fevereiro")/1000,"")),"")</f>
        <v>0</v>
      </c>
      <c r="BW279" s="427">
        <v>0</v>
      </c>
      <c r="BX279" s="372">
        <v>0</v>
      </c>
      <c r="BY279" s="419"/>
      <c r="BZ279" s="423">
        <f>IFERROR(IF(LEFT($A279,3)="Lcp",SUMIFS('BASE-LCP'!$K:$K,'BASE-LCP'!$A:$A,Capex!$A282,'BASE-LCP'!$B:$B,"março")/1000,IF(LEFT($A279,3)="icp",SUMIFS('BASE-ICP'!$K:$K,'BASE-ICP'!$A:$A,Capex!$A282,'BASE-ICP'!$B:$B,"março")/1000,"")),"")</f>
        <v>0</v>
      </c>
      <c r="CA279" s="427">
        <v>0</v>
      </c>
      <c r="CB279" s="372">
        <v>0</v>
      </c>
      <c r="CC279" s="422"/>
      <c r="CD279" s="423">
        <f>IFERROR(IF(LEFT($A279,3)="Lcp",SUMIFS('BASE-LCP'!$K:$K,'BASE-LCP'!$A:$A,Capex!$A282,'BASE-LCP'!$B:$B,"abril")/1000,IF(LEFT($A279,3)="icp",SUMIFS('BASE-ICP'!$K:$K,'BASE-ICP'!$A:$A,Capex!$A282,'BASE-ICP'!$B:$B,"abril")/1000,"")),"")</f>
        <v>0</v>
      </c>
      <c r="CE279" s="427">
        <v>0</v>
      </c>
      <c r="CF279" s="372">
        <v>0</v>
      </c>
      <c r="CG279" s="419"/>
      <c r="CH279" s="423">
        <v>0</v>
      </c>
      <c r="CI279" s="427">
        <v>0</v>
      </c>
      <c r="CJ279" s="372">
        <v>0</v>
      </c>
      <c r="CK279" s="419"/>
      <c r="CL279" s="423">
        <f>IFERROR(IF(LEFT($A279,3)="Lcp",SUMIFS('BASE-LCP'!$K:$K,'BASE-LCP'!$A:$A,Capex!$A282,'BASE-LCP'!$B:$B,"junho")/1000,IF(LEFT($A279,3)="icp",SUMIFS('BASE-ICP'!$K:$K,'BASE-ICP'!$A:$A,Capex!$A282,'BASE-ICP'!$B:$B,"junho")/1000,"")),"")</f>
        <v>0</v>
      </c>
      <c r="CM279" s="427">
        <v>0</v>
      </c>
      <c r="CN279" s="372"/>
      <c r="CO279" s="419"/>
      <c r="CP279" s="423">
        <f>IFERROR(IF(LEFT($A279,3)="Lcp",SUMIFS('BASE-LCP'!$K:$K,'BASE-LCP'!$A:$A,Capex!$A282,'BASE-LCP'!$B:$B,"julho")/1000,IF(LEFT($A279,3)="icp",SUMIFS('BASE-ICP'!$K:$K,'BASE-ICP'!$A:$A,Capex!$A282,'BASE-ICP'!$B:$B,"julho")/1000,"")),"")</f>
        <v>0</v>
      </c>
      <c r="CQ279" s="427">
        <v>0</v>
      </c>
      <c r="CR279" s="372"/>
      <c r="CS279" s="419"/>
      <c r="CT279" s="423">
        <f>IFERROR(IF(LEFT($A279,3)="Lcp",SUMIFS('BASE-LCP'!$K:$K,'BASE-LCP'!$A:$A,Capex!$A282,'BASE-LCP'!$B:$B,"agosto")/1000,IF(LEFT($A279,3)="icp",SUMIFS('BASE-ICP'!$K:$K,'BASE-ICP'!$A:$A,Capex!$A282,'BASE-ICP'!$B:$B,"agosto")/1000,"")),"")</f>
        <v>0</v>
      </c>
      <c r="CU279" s="427">
        <v>0</v>
      </c>
      <c r="CV279" s="372"/>
      <c r="CW279" s="419"/>
      <c r="CX279" s="423">
        <f>IFERROR(IF(LEFT($A279,3)="Lcp",SUMIFS('BASE-LCP'!$K:$K,'BASE-LCP'!$A:$A,Capex!$A282,'BASE-LCP'!$B:$B,"setembro")/1000,IF(LEFT($A279,3)="icp",SUMIFS('BASE-ICP'!$K:$K,'BASE-ICP'!$A:$A,Capex!$A282,'BASE-ICP'!$B:$B,"setembro")/1000,"")),"")</f>
        <v>0</v>
      </c>
      <c r="CY279" s="427">
        <v>0</v>
      </c>
      <c r="CZ279" s="372"/>
      <c r="DA279" s="419"/>
      <c r="DB279" s="423">
        <f>IFERROR(IF(LEFT($A279,3)="Lcp",SUMIFS('BASE-LCP'!$K:$K,'BASE-LCP'!$A:$A,Capex!$A282,'BASE-LCP'!$B:$B,"outubro")/1000,IF(LEFT($A279,3)="icp",SUMIFS('BASE-ICP'!$K:$K,'BASE-ICP'!$A:$A,Capex!$A282,'BASE-ICP'!$B:$B,"outubro")/1000,"")),"")</f>
        <v>0</v>
      </c>
      <c r="DC279" s="427">
        <v>0</v>
      </c>
      <c r="DD279" s="372"/>
      <c r="DE279" s="419"/>
      <c r="DF279" s="423">
        <f>IFERROR(IF(LEFT($A279,3)="Lcp",SUMIFS('BASE-LCP'!$K:$K,'BASE-LCP'!$A:$A,Capex!$A282,'BASE-LCP'!$B:$B,"novembro")/1000,IF(LEFT($A279,3)="icp",SUMIFS('BASE-ICP'!$K:$K,'BASE-ICP'!$A:$A,Capex!$A282,'BASE-ICP'!$B:$B,"novembro")/1000,"")),"")</f>
        <v>0</v>
      </c>
      <c r="DG279" s="427">
        <v>0</v>
      </c>
      <c r="DH279" s="372"/>
      <c r="DI279" s="419"/>
      <c r="DJ279" s="423">
        <f>IFERROR(IF(LEFT($A279,3)="Lcp",SUMIFS('BASE-LCP'!$K:$K,'BASE-LCP'!$A:$A,Capex!$A282,'BASE-LCP'!$B:$B,"dezembro")/1000,IF(LEFT($A279,3)="icp",SUMIFS('BASE-ICP'!$K:$K,'BASE-ICP'!$A:$A,Capex!$A282,'BASE-ICP'!$B:$B,"dezembro")/1000,"")),"")</f>
        <v>0</v>
      </c>
      <c r="DK279" s="427">
        <v>0</v>
      </c>
      <c r="DL279" s="452">
        <f t="shared" si="154"/>
        <v>0</v>
      </c>
      <c r="DM279" s="374"/>
      <c r="DN279" s="374">
        <v>0</v>
      </c>
      <c r="DO279" s="374"/>
      <c r="DP279" s="374"/>
      <c r="DQ279" s="374"/>
      <c r="DR279" s="374"/>
      <c r="DS279" s="374"/>
      <c r="DT279" s="374"/>
      <c r="DU279" s="374"/>
      <c r="DV279" s="374"/>
      <c r="DW279" s="374"/>
      <c r="DX279" s="374"/>
      <c r="DY279" s="450"/>
      <c r="DZ279" s="374">
        <f t="shared" si="155"/>
        <v>0</v>
      </c>
      <c r="EA279" s="216">
        <f t="shared" si="156"/>
        <v>0</v>
      </c>
      <c r="EB279" s="320">
        <f t="shared" si="157"/>
        <v>0</v>
      </c>
      <c r="EC279" s="241">
        <f t="shared" si="158"/>
        <v>0</v>
      </c>
      <c r="ED279" s="241">
        <f t="shared" si="159"/>
        <v>0</v>
      </c>
      <c r="EE279" s="241">
        <f t="shared" si="160"/>
        <v>0</v>
      </c>
      <c r="EF279" s="241">
        <f t="shared" si="161"/>
        <v>0</v>
      </c>
      <c r="EG279" s="346">
        <f t="shared" si="162"/>
        <v>0</v>
      </c>
      <c r="EH279" s="445">
        <f t="shared" si="163"/>
        <v>0</v>
      </c>
      <c r="EI279" s="447">
        <f t="shared" si="164"/>
        <v>0</v>
      </c>
      <c r="EJ279" s="364">
        <f t="shared" si="165"/>
        <v>0</v>
      </c>
      <c r="EK279" s="365">
        <f t="shared" si="166"/>
        <v>0</v>
      </c>
      <c r="EL279" s="529">
        <f t="shared" si="167"/>
        <v>0</v>
      </c>
      <c r="EM279" s="530">
        <v>0</v>
      </c>
      <c r="EN279" s="530">
        <v>0</v>
      </c>
      <c r="EO279" s="530">
        <v>0</v>
      </c>
      <c r="EP279" s="530">
        <v>0</v>
      </c>
      <c r="EQ279" s="530">
        <v>0</v>
      </c>
      <c r="ER279" s="530">
        <v>0</v>
      </c>
      <c r="ES279" s="530">
        <v>0</v>
      </c>
      <c r="ET279" s="530">
        <v>0</v>
      </c>
      <c r="EU279" s="530">
        <v>0</v>
      </c>
      <c r="EV279" s="530">
        <v>0</v>
      </c>
      <c r="EW279" s="530">
        <v>0</v>
      </c>
      <c r="EX279" s="530">
        <v>0</v>
      </c>
      <c r="EY279" s="530">
        <f t="shared" si="168"/>
        <v>0</v>
      </c>
      <c r="EZ279" s="530">
        <f t="shared" si="169"/>
        <v>0</v>
      </c>
      <c r="FA279" s="530">
        <f t="shared" si="170"/>
        <v>0</v>
      </c>
      <c r="FB279" s="530">
        <f t="shared" si="171"/>
        <v>0</v>
      </c>
      <c r="FC279" s="384">
        <f>IFERROR(VLOOKUP(Capex!A282,BASE_558!D:R,8,FALSE)/1000,"")</f>
        <v>105</v>
      </c>
      <c r="FD279" s="328">
        <f>IFERROR(VLOOKUP(Capex!A282,BASE_558!D:R,9,)/1000,"")</f>
        <v>73.249880000000005</v>
      </c>
      <c r="FE279" s="328">
        <f>IFERROR(IF(LEFT(A279,3)="LCP",(VLOOKUP(Capex!A282,BASE_558!D:R,10,)/1000),SUMIFS('BASE ICP_PO_SC'!F:F,'BASE ICP_PO_SC'!A:A,Capex!A282,'BASE ICP_PO_SC'!E:E,"&lt;&gt;")/1000),"")</f>
        <v>0</v>
      </c>
      <c r="FF279" s="328">
        <f>IFERROR(IF(LEFT(A279,3)="LCP",(VLOOKUP(Capex!A282,BASE_558!D:R,11,)/1000),SUMIFS('BASE ICP_PO_SC'!F:F,'BASE ICP_PO_SC'!A:A,Capex!A282,'BASE ICP_PO_SC'!E:E,"")/1000),"")</f>
        <v>0</v>
      </c>
      <c r="FG279" s="328">
        <f>IFERROR(VLOOKUP(A279,BASE_558!D:R,13,FALSE)/1000,"")</f>
        <v>501.51277000000005</v>
      </c>
      <c r="FH279" s="328">
        <f>IFERROR(VLOOKUP(A279,BASE_558!D:R,15,FALSE)/1000,"")</f>
        <v>108.38723</v>
      </c>
      <c r="FI279" s="547">
        <f t="shared" si="172"/>
        <v>0</v>
      </c>
      <c r="FJ279" s="547">
        <f t="shared" si="173"/>
        <v>0</v>
      </c>
      <c r="FK279" s="540">
        <f t="shared" si="174"/>
        <v>0</v>
      </c>
    </row>
    <row r="280" spans="1:167" s="23" customFormat="1" ht="24" customHeight="1">
      <c r="A280" s="84" t="s">
        <v>1626</v>
      </c>
      <c r="B280" s="404" t="s">
        <v>2254</v>
      </c>
      <c r="C280" s="404"/>
      <c r="D280" s="338" t="s">
        <v>2301</v>
      </c>
      <c r="E280" s="378">
        <v>5694963</v>
      </c>
      <c r="F280" s="5"/>
      <c r="G280" s="310" t="s">
        <v>9</v>
      </c>
      <c r="H280" s="356" t="s">
        <v>6</v>
      </c>
      <c r="I280" s="356" t="s">
        <v>6</v>
      </c>
      <c r="J280" s="356">
        <v>2022</v>
      </c>
      <c r="K280" s="352">
        <v>44753</v>
      </c>
      <c r="L280" s="317"/>
      <c r="M280" s="409"/>
      <c r="N280" s="317">
        <f t="shared" si="143"/>
        <v>45665</v>
      </c>
      <c r="O280" s="317">
        <f t="shared" si="144"/>
        <v>46030</v>
      </c>
      <c r="P280" s="418" t="str">
        <f t="shared" si="176"/>
        <v>SIM</v>
      </c>
      <c r="Q280" s="418" t="str">
        <f t="shared" si="176"/>
        <v>SIM</v>
      </c>
      <c r="R280" s="418" t="str">
        <f t="shared" si="176"/>
        <v>SIM</v>
      </c>
      <c r="S280" s="418" t="str">
        <f t="shared" si="176"/>
        <v>SIM</v>
      </c>
      <c r="T280" s="418" t="str">
        <f t="shared" si="176"/>
        <v>SIM</v>
      </c>
      <c r="U280" s="418" t="str">
        <f t="shared" si="176"/>
        <v>SIM</v>
      </c>
      <c r="V280" s="418" t="str">
        <f t="shared" si="176"/>
        <v>SIM</v>
      </c>
      <c r="W280" s="418" t="str">
        <f t="shared" si="176"/>
        <v>SIM</v>
      </c>
      <c r="X280" s="418" t="str">
        <f t="shared" si="176"/>
        <v>SIM</v>
      </c>
      <c r="Y280" s="418" t="str">
        <f t="shared" si="176"/>
        <v>SIM</v>
      </c>
      <c r="Z280" s="551" t="str">
        <f t="shared" si="176"/>
        <v>SIM</v>
      </c>
      <c r="AA280" s="567" t="str">
        <f t="shared" si="176"/>
        <v>SIM</v>
      </c>
      <c r="AB280" s="350"/>
      <c r="AC280" s="309" t="s">
        <v>3932</v>
      </c>
      <c r="AD280" s="311" t="s">
        <v>224</v>
      </c>
      <c r="AE280" s="381" t="s">
        <v>965</v>
      </c>
      <c r="AF280" s="310" t="s">
        <v>6985</v>
      </c>
      <c r="AG280" s="310" t="s">
        <v>1125</v>
      </c>
      <c r="AH280" s="310" t="s">
        <v>2814</v>
      </c>
      <c r="AI280" s="381" t="s">
        <v>2255</v>
      </c>
      <c r="AJ280" s="6" t="s">
        <v>6786</v>
      </c>
      <c r="AK280" s="6" t="str">
        <f t="shared" si="152"/>
        <v>IGUAL</v>
      </c>
      <c r="AL280" s="151" t="str">
        <f>IFERROR(IF(LEFT(A280,3)="LCP",VLOOKUP(A280,STATUS_SAP_LCP!B:C,2,FALSE),VLOOKUP(A280,STATUS_SAP_ICP!B:C,2,FALSE)),"NO BUDGET")</f>
        <v>REL  BUDG AUC  AVAC  //  APPR BREL INPL</v>
      </c>
      <c r="AM280" s="6" t="str">
        <f t="shared" si="151"/>
        <v xml:space="preserve">REL </v>
      </c>
      <c r="AN280" s="429" t="s">
        <v>7011</v>
      </c>
      <c r="AO280" s="559"/>
      <c r="AP280" s="499" t="s">
        <v>9617</v>
      </c>
      <c r="AQ280" s="465">
        <v>45868</v>
      </c>
      <c r="AR280" s="460"/>
      <c r="AS280" s="57"/>
      <c r="AT280" s="185"/>
      <c r="AU280" s="318"/>
      <c r="AV280" s="223">
        <v>0</v>
      </c>
      <c r="AW280" s="318">
        <v>457.79899</v>
      </c>
      <c r="AX280" s="223">
        <v>84.788870000000003</v>
      </c>
      <c r="AY280" s="318">
        <f t="shared" si="145"/>
        <v>-7.7399999999999997E-2</v>
      </c>
      <c r="AZ280" s="223"/>
      <c r="BA280" s="318"/>
      <c r="BB280" s="519">
        <f t="shared" si="146"/>
        <v>0</v>
      </c>
      <c r="BC280" s="518">
        <v>0</v>
      </c>
      <c r="BD280" s="518">
        <v>0</v>
      </c>
      <c r="BE280" s="518">
        <v>0</v>
      </c>
      <c r="BF280" s="518">
        <v>0</v>
      </c>
      <c r="BG280" s="518">
        <v>0</v>
      </c>
      <c r="BH280" s="518">
        <v>0</v>
      </c>
      <c r="BI280" s="518">
        <v>0</v>
      </c>
      <c r="BJ280" s="518">
        <v>0</v>
      </c>
      <c r="BK280" s="518">
        <v>0</v>
      </c>
      <c r="BL280" s="518">
        <v>0</v>
      </c>
      <c r="BM280" s="518">
        <v>0</v>
      </c>
      <c r="BN280" s="518">
        <v>0</v>
      </c>
      <c r="BO280" s="367">
        <f t="shared" si="153"/>
        <v>-7.7399999999999997E-2</v>
      </c>
      <c r="BP280" s="421">
        <v>0</v>
      </c>
      <c r="BQ280" s="422">
        <v>-7.7399999999999997E-2</v>
      </c>
      <c r="BR280" s="423">
        <f>IFERROR(IF(LEFT($A280,3)="Lcp",SUMIFS('BASE-LCP'!$K:$K,'BASE-LCP'!$A:$A,Capex!$A283,'BASE-LCP'!$B:$B,"janeiro")/1000,IF(LEFT($A280,3)="icp",SUMIFS('BASE-ICP'!$K:$K,'BASE-ICP'!$A:$A,Capex!$A283,'BASE-ICP'!$B:$B,"janeiro")/1000,"")),"")</f>
        <v>0</v>
      </c>
      <c r="BS280" s="427">
        <v>-7.7399999999999997E-2</v>
      </c>
      <c r="BT280" s="372">
        <v>0</v>
      </c>
      <c r="BU280" s="422"/>
      <c r="BV280" s="423">
        <f>IFERROR(IF(LEFT($A280,3)="Lcp",SUMIFS('BASE-LCP'!$K:$K,'BASE-LCP'!$A:$A,Capex!$A283,'BASE-LCP'!$B:$B,"fevereiro")/1000,IF(LEFT($A280,3)="icp",SUMIFS('BASE-ICP'!$K:$K,'BASE-ICP'!$A:$A,Capex!$A283,'BASE-ICP'!$B:$B,"fevereiro")/1000,"")),"")</f>
        <v>0</v>
      </c>
      <c r="BW280" s="427">
        <v>0</v>
      </c>
      <c r="BX280" s="372">
        <v>0</v>
      </c>
      <c r="BY280" s="419"/>
      <c r="BZ280" s="423">
        <f>IFERROR(IF(LEFT($A280,3)="Lcp",SUMIFS('BASE-LCP'!$K:$K,'BASE-LCP'!$A:$A,Capex!$A283,'BASE-LCP'!$B:$B,"março")/1000,IF(LEFT($A280,3)="icp",SUMIFS('BASE-ICP'!$K:$K,'BASE-ICP'!$A:$A,Capex!$A283,'BASE-ICP'!$B:$B,"março")/1000,"")),"")</f>
        <v>0</v>
      </c>
      <c r="CA280" s="427">
        <v>0</v>
      </c>
      <c r="CB280" s="372">
        <v>0</v>
      </c>
      <c r="CC280" s="422"/>
      <c r="CD280" s="423">
        <f>IFERROR(IF(LEFT($A280,3)="Lcp",SUMIFS('BASE-LCP'!$K:$K,'BASE-LCP'!$A:$A,Capex!$A283,'BASE-LCP'!$B:$B,"abril")/1000,IF(LEFT($A280,3)="icp",SUMIFS('BASE-ICP'!$K:$K,'BASE-ICP'!$A:$A,Capex!$A283,'BASE-ICP'!$B:$B,"abril")/1000,"")),"")</f>
        <v>0</v>
      </c>
      <c r="CE280" s="427">
        <v>0</v>
      </c>
      <c r="CF280" s="372">
        <v>0</v>
      </c>
      <c r="CG280" s="419"/>
      <c r="CH280" s="423">
        <v>0</v>
      </c>
      <c r="CI280" s="427">
        <v>0</v>
      </c>
      <c r="CJ280" s="372">
        <v>0</v>
      </c>
      <c r="CK280" s="419"/>
      <c r="CL280" s="423">
        <f>IFERROR(IF(LEFT($A280,3)="Lcp",SUMIFS('BASE-LCP'!$K:$K,'BASE-LCP'!$A:$A,Capex!$A283,'BASE-LCP'!$B:$B,"junho")/1000,IF(LEFT($A280,3)="icp",SUMIFS('BASE-ICP'!$K:$K,'BASE-ICP'!$A:$A,Capex!$A283,'BASE-ICP'!$B:$B,"junho")/1000,"")),"")</f>
        <v>0</v>
      </c>
      <c r="CM280" s="427">
        <v>0</v>
      </c>
      <c r="CN280" s="372"/>
      <c r="CO280" s="419"/>
      <c r="CP280" s="423">
        <f>IFERROR(IF(LEFT($A280,3)="Lcp",SUMIFS('BASE-LCP'!$K:$K,'BASE-LCP'!$A:$A,Capex!$A283,'BASE-LCP'!$B:$B,"julho")/1000,IF(LEFT($A280,3)="icp",SUMIFS('BASE-ICP'!$K:$K,'BASE-ICP'!$A:$A,Capex!$A283,'BASE-ICP'!$B:$B,"julho")/1000,"")),"")</f>
        <v>0</v>
      </c>
      <c r="CQ280" s="427">
        <v>0</v>
      </c>
      <c r="CR280" s="372"/>
      <c r="CS280" s="419"/>
      <c r="CT280" s="423">
        <f>IFERROR(IF(LEFT($A280,3)="Lcp",SUMIFS('BASE-LCP'!$K:$K,'BASE-LCP'!$A:$A,Capex!$A283,'BASE-LCP'!$B:$B,"agosto")/1000,IF(LEFT($A280,3)="icp",SUMIFS('BASE-ICP'!$K:$K,'BASE-ICP'!$A:$A,Capex!$A283,'BASE-ICP'!$B:$B,"agosto")/1000,"")),"")</f>
        <v>0</v>
      </c>
      <c r="CU280" s="427">
        <v>0</v>
      </c>
      <c r="CV280" s="372"/>
      <c r="CW280" s="419"/>
      <c r="CX280" s="423">
        <f>IFERROR(IF(LEFT($A280,3)="Lcp",SUMIFS('BASE-LCP'!$K:$K,'BASE-LCP'!$A:$A,Capex!$A283,'BASE-LCP'!$B:$B,"setembro")/1000,IF(LEFT($A280,3)="icp",SUMIFS('BASE-ICP'!$K:$K,'BASE-ICP'!$A:$A,Capex!$A283,'BASE-ICP'!$B:$B,"setembro")/1000,"")),"")</f>
        <v>0</v>
      </c>
      <c r="CY280" s="427">
        <v>0</v>
      </c>
      <c r="CZ280" s="372"/>
      <c r="DA280" s="419"/>
      <c r="DB280" s="423">
        <f>IFERROR(IF(LEFT($A280,3)="Lcp",SUMIFS('BASE-LCP'!$K:$K,'BASE-LCP'!$A:$A,Capex!$A283,'BASE-LCP'!$B:$B,"outubro")/1000,IF(LEFT($A280,3)="icp",SUMIFS('BASE-ICP'!$K:$K,'BASE-ICP'!$A:$A,Capex!$A283,'BASE-ICP'!$B:$B,"outubro")/1000,"")),"")</f>
        <v>0</v>
      </c>
      <c r="DC280" s="427">
        <v>0</v>
      </c>
      <c r="DD280" s="372"/>
      <c r="DE280" s="419"/>
      <c r="DF280" s="423">
        <f>IFERROR(IF(LEFT($A280,3)="Lcp",SUMIFS('BASE-LCP'!$K:$K,'BASE-LCP'!$A:$A,Capex!$A283,'BASE-LCP'!$B:$B,"novembro")/1000,IF(LEFT($A280,3)="icp",SUMIFS('BASE-ICP'!$K:$K,'BASE-ICP'!$A:$A,Capex!$A283,'BASE-ICP'!$B:$B,"novembro")/1000,"")),"")</f>
        <v>0</v>
      </c>
      <c r="DG280" s="427">
        <v>0</v>
      </c>
      <c r="DH280" s="372"/>
      <c r="DI280" s="419"/>
      <c r="DJ280" s="423">
        <f>IFERROR(IF(LEFT($A280,3)="Lcp",SUMIFS('BASE-LCP'!$K:$K,'BASE-LCP'!$A:$A,Capex!$A283,'BASE-LCP'!$B:$B,"dezembro")/1000,IF(LEFT($A280,3)="icp",SUMIFS('BASE-ICP'!$K:$K,'BASE-ICP'!$A:$A,Capex!$A283,'BASE-ICP'!$B:$B,"dezembro")/1000,"")),"")</f>
        <v>0</v>
      </c>
      <c r="DK280" s="427">
        <v>0</v>
      </c>
      <c r="DL280" s="452">
        <f t="shared" si="154"/>
        <v>0</v>
      </c>
      <c r="DM280" s="374"/>
      <c r="DN280" s="374">
        <v>0</v>
      </c>
      <c r="DO280" s="374"/>
      <c r="DP280" s="374"/>
      <c r="DQ280" s="374"/>
      <c r="DR280" s="374"/>
      <c r="DS280" s="374"/>
      <c r="DT280" s="374"/>
      <c r="DU280" s="374"/>
      <c r="DV280" s="374"/>
      <c r="DW280" s="374"/>
      <c r="DX280" s="374"/>
      <c r="DY280" s="450"/>
      <c r="DZ280" s="374">
        <f t="shared" si="155"/>
        <v>0</v>
      </c>
      <c r="EA280" s="216">
        <f t="shared" si="156"/>
        <v>0</v>
      </c>
      <c r="EB280" s="320">
        <f t="shared" si="157"/>
        <v>0</v>
      </c>
      <c r="EC280" s="241">
        <f t="shared" si="158"/>
        <v>-7.7399999999999997E-2</v>
      </c>
      <c r="ED280" s="241">
        <f t="shared" si="159"/>
        <v>0</v>
      </c>
      <c r="EE280" s="241">
        <f t="shared" si="160"/>
        <v>0</v>
      </c>
      <c r="EF280" s="241">
        <f t="shared" si="161"/>
        <v>0</v>
      </c>
      <c r="EG280" s="346">
        <f t="shared" si="162"/>
        <v>-7.7399999999999997E-2</v>
      </c>
      <c r="EH280" s="445">
        <f t="shared" si="163"/>
        <v>0</v>
      </c>
      <c r="EI280" s="447">
        <f t="shared" si="164"/>
        <v>0</v>
      </c>
      <c r="EJ280" s="364">
        <f t="shared" si="165"/>
        <v>-7.7399999999999997E-2</v>
      </c>
      <c r="EK280" s="365">
        <f t="shared" si="166"/>
        <v>0</v>
      </c>
      <c r="EL280" s="529">
        <f t="shared" si="167"/>
        <v>-7.7399999999999997E-2</v>
      </c>
      <c r="EM280" s="530">
        <v>-7.7399999999999997E-2</v>
      </c>
      <c r="EN280" s="530">
        <v>0</v>
      </c>
      <c r="EO280" s="530">
        <v>0</v>
      </c>
      <c r="EP280" s="530">
        <v>0</v>
      </c>
      <c r="EQ280" s="530">
        <v>0</v>
      </c>
      <c r="ER280" s="530">
        <v>0</v>
      </c>
      <c r="ES280" s="530">
        <v>0</v>
      </c>
      <c r="ET280" s="530">
        <v>0</v>
      </c>
      <c r="EU280" s="530">
        <v>0</v>
      </c>
      <c r="EV280" s="530">
        <v>0</v>
      </c>
      <c r="EW280" s="530">
        <v>0</v>
      </c>
      <c r="EX280" s="530">
        <v>0</v>
      </c>
      <c r="EY280" s="530">
        <f t="shared" si="168"/>
        <v>-7.7399999999999997E-2</v>
      </c>
      <c r="EZ280" s="530">
        <f t="shared" si="169"/>
        <v>0</v>
      </c>
      <c r="FA280" s="530">
        <f t="shared" si="170"/>
        <v>0</v>
      </c>
      <c r="FB280" s="530">
        <f t="shared" si="171"/>
        <v>0</v>
      </c>
      <c r="FC280" s="384">
        <f>IFERROR(VLOOKUP(Capex!A283,BASE_558!D:R,8,FALSE)/1000,"")</f>
        <v>89.5</v>
      </c>
      <c r="FD280" s="328">
        <f>IFERROR(VLOOKUP(Capex!A283,BASE_558!D:R,9,)/1000,"")</f>
        <v>87.097390000000004</v>
      </c>
      <c r="FE280" s="328">
        <f>IFERROR(IF(LEFT(A280,3)="LCP",(VLOOKUP(Capex!A283,BASE_558!D:R,10,)/1000),SUMIFS('BASE ICP_PO_SC'!F:F,'BASE ICP_PO_SC'!A:A,Capex!A283,'BASE ICP_PO_SC'!E:E,"&lt;&gt;")/1000),"")</f>
        <v>0</v>
      </c>
      <c r="FF280" s="328">
        <f>IFERROR(IF(LEFT(A280,3)="LCP",(VLOOKUP(Capex!A283,BASE_558!D:R,11,)/1000),SUMIFS('BASE ICP_PO_SC'!F:F,'BASE ICP_PO_SC'!A:A,Capex!A283,'BASE ICP_PO_SC'!E:E,"")/1000),"")</f>
        <v>0</v>
      </c>
      <c r="FG280" s="328">
        <f>IFERROR(VLOOKUP(A280,BASE_558!D:R,13,FALSE)/1000,"")</f>
        <v>545.60581000000002</v>
      </c>
      <c r="FH280" s="328">
        <f>IFERROR(VLOOKUP(A280,BASE_558!D:R,15,FALSE)/1000,"")</f>
        <v>220.86756</v>
      </c>
      <c r="FI280" s="547">
        <f t="shared" si="172"/>
        <v>0</v>
      </c>
      <c r="FJ280" s="547">
        <f t="shared" si="173"/>
        <v>0</v>
      </c>
      <c r="FK280" s="540">
        <f t="shared" si="174"/>
        <v>0</v>
      </c>
    </row>
    <row r="281" spans="1:167" s="23" customFormat="1" ht="24" customHeight="1">
      <c r="A281" s="84" t="s">
        <v>1633</v>
      </c>
      <c r="B281" s="404"/>
      <c r="C281" s="404" t="s">
        <v>602</v>
      </c>
      <c r="D281" s="338" t="s">
        <v>2302</v>
      </c>
      <c r="E281" s="378">
        <v>5749346</v>
      </c>
      <c r="F281" s="5"/>
      <c r="G281" s="310" t="s">
        <v>9</v>
      </c>
      <c r="H281" s="338"/>
      <c r="I281" s="356" t="s">
        <v>6</v>
      </c>
      <c r="J281" s="356">
        <v>2022</v>
      </c>
      <c r="K281" s="321">
        <v>44761</v>
      </c>
      <c r="L281" s="317">
        <v>45327</v>
      </c>
      <c r="M281" s="409"/>
      <c r="N281" s="317">
        <f t="shared" si="143"/>
        <v>45673</v>
      </c>
      <c r="O281" s="317">
        <f t="shared" si="144"/>
        <v>46038</v>
      </c>
      <c r="P281" s="418" t="str">
        <f t="shared" si="176"/>
        <v>NÃO</v>
      </c>
      <c r="Q281" s="418" t="str">
        <f t="shared" si="176"/>
        <v>NÃO</v>
      </c>
      <c r="R281" s="418" t="str">
        <f t="shared" si="176"/>
        <v>NÃO</v>
      </c>
      <c r="S281" s="418" t="str">
        <f t="shared" si="176"/>
        <v>NÃO</v>
      </c>
      <c r="T281" s="418" t="str">
        <f t="shared" si="176"/>
        <v>NÃO</v>
      </c>
      <c r="U281" s="418" t="str">
        <f t="shared" si="176"/>
        <v>NÃO</v>
      </c>
      <c r="V281" s="418" t="str">
        <f t="shared" si="176"/>
        <v>NÃO</v>
      </c>
      <c r="W281" s="418" t="str">
        <f t="shared" si="176"/>
        <v>NÃO</v>
      </c>
      <c r="X281" s="418" t="str">
        <f t="shared" si="176"/>
        <v>NÃO</v>
      </c>
      <c r="Y281" s="418" t="str">
        <f t="shared" si="176"/>
        <v>NÃO</v>
      </c>
      <c r="Z281" s="418" t="str">
        <f t="shared" si="176"/>
        <v>NÃO</v>
      </c>
      <c r="AA281" s="418" t="str">
        <f t="shared" si="176"/>
        <v>NÃO</v>
      </c>
      <c r="AB281" s="350"/>
      <c r="AC281" s="309" t="s">
        <v>2508</v>
      </c>
      <c r="AD281" s="311"/>
      <c r="AE281" s="361"/>
      <c r="AF281" s="310" t="s">
        <v>6985</v>
      </c>
      <c r="AG281" s="310" t="s">
        <v>9083</v>
      </c>
      <c r="AH281" s="310" t="s">
        <v>1562</v>
      </c>
      <c r="AI281" s="309" t="s">
        <v>186</v>
      </c>
      <c r="AJ281" s="6" t="s">
        <v>218</v>
      </c>
      <c r="AK281" s="6" t="str">
        <f t="shared" si="152"/>
        <v>IGUAL</v>
      </c>
      <c r="AL281" s="151" t="str">
        <f>IFERROR(IF(LEFT(A281,3)="LCP",VLOOKUP(A281,STATUS_SAP_LCP!B:C,2,FALSE),VLOOKUP(A281,STATUS_SAP_ICP!B:C,2,FALSE)),"NO BUDGET")</f>
        <v>CLSD BUDG AUC  AVAC  //  APPR BREL EXPL</v>
      </c>
      <c r="AM281" s="6" t="str">
        <f t="shared" si="151"/>
        <v>CLSD</v>
      </c>
      <c r="AN281" s="414" t="s">
        <v>9087</v>
      </c>
      <c r="AO281" s="558">
        <v>1</v>
      </c>
      <c r="AP281" s="499" t="s">
        <v>9607</v>
      </c>
      <c r="AQ281" s="465">
        <v>45327</v>
      </c>
      <c r="AR281" s="460"/>
      <c r="AS281" s="57"/>
      <c r="AT281" s="185"/>
      <c r="AU281" s="318">
        <v>0</v>
      </c>
      <c r="AV281" s="223">
        <v>0</v>
      </c>
      <c r="AW281" s="318">
        <v>30.130089999999999</v>
      </c>
      <c r="AX281" s="223">
        <v>0</v>
      </c>
      <c r="AY281" s="318">
        <f t="shared" si="145"/>
        <v>0</v>
      </c>
      <c r="AZ281" s="223"/>
      <c r="BA281" s="318"/>
      <c r="BB281" s="519">
        <f t="shared" si="146"/>
        <v>0</v>
      </c>
      <c r="BC281" s="518">
        <v>0</v>
      </c>
      <c r="BD281" s="518">
        <v>0</v>
      </c>
      <c r="BE281" s="518">
        <v>0</v>
      </c>
      <c r="BF281" s="518">
        <v>0</v>
      </c>
      <c r="BG281" s="518">
        <v>0</v>
      </c>
      <c r="BH281" s="518">
        <v>0</v>
      </c>
      <c r="BI281" s="518">
        <v>0</v>
      </c>
      <c r="BJ281" s="518">
        <v>0</v>
      </c>
      <c r="BK281" s="518">
        <v>0</v>
      </c>
      <c r="BL281" s="518">
        <v>0</v>
      </c>
      <c r="BM281" s="518">
        <v>0</v>
      </c>
      <c r="BN281" s="518">
        <v>0</v>
      </c>
      <c r="BO281" s="367">
        <f t="shared" si="153"/>
        <v>0</v>
      </c>
      <c r="BP281" s="421">
        <v>0</v>
      </c>
      <c r="BQ281" s="422"/>
      <c r="BR281" s="423">
        <f>IFERROR(IF(LEFT($A281,3)="Lcp",SUMIFS('BASE-LCP'!$K:$K,'BASE-LCP'!$A:$A,Capex!$A284,'BASE-LCP'!$B:$B,"janeiro")/1000,IF(LEFT($A281,3)="icp",SUMIFS('BASE-ICP'!$K:$K,'BASE-ICP'!$A:$A,Capex!$A284,'BASE-ICP'!$B:$B,"janeiro")/1000,"")),"")</f>
        <v>0</v>
      </c>
      <c r="BS281" s="427">
        <v>0</v>
      </c>
      <c r="BT281" s="372">
        <v>0</v>
      </c>
      <c r="BU281" s="422"/>
      <c r="BV281" s="423">
        <f>IFERROR(IF(LEFT($A281,3)="Lcp",SUMIFS('BASE-LCP'!$K:$K,'BASE-LCP'!$A:$A,Capex!$A284,'BASE-LCP'!$B:$B,"fevereiro")/1000,IF(LEFT($A281,3)="icp",SUMIFS('BASE-ICP'!$K:$K,'BASE-ICP'!$A:$A,Capex!$A284,'BASE-ICP'!$B:$B,"fevereiro")/1000,"")),"")</f>
        <v>0</v>
      </c>
      <c r="BW281" s="427">
        <v>0</v>
      </c>
      <c r="BX281" s="372">
        <v>0</v>
      </c>
      <c r="BY281" s="419"/>
      <c r="BZ281" s="423">
        <f>IFERROR(IF(LEFT($A281,3)="Lcp",SUMIFS('BASE-LCP'!$K:$K,'BASE-LCP'!$A:$A,Capex!$A284,'BASE-LCP'!$B:$B,"março")/1000,IF(LEFT($A281,3)="icp",SUMIFS('BASE-ICP'!$K:$K,'BASE-ICP'!$A:$A,Capex!$A284,'BASE-ICP'!$B:$B,"março")/1000,"")),"")</f>
        <v>0</v>
      </c>
      <c r="CA281" s="427">
        <v>0</v>
      </c>
      <c r="CB281" s="372">
        <v>0</v>
      </c>
      <c r="CC281" s="422"/>
      <c r="CD281" s="423">
        <f>IFERROR(IF(LEFT($A281,3)="Lcp",SUMIFS('BASE-LCP'!$K:$K,'BASE-LCP'!$A:$A,Capex!$A284,'BASE-LCP'!$B:$B,"abril")/1000,IF(LEFT($A281,3)="icp",SUMIFS('BASE-ICP'!$K:$K,'BASE-ICP'!$A:$A,Capex!$A284,'BASE-ICP'!$B:$B,"abril")/1000,"")),"")</f>
        <v>0</v>
      </c>
      <c r="CE281" s="427">
        <v>0</v>
      </c>
      <c r="CF281" s="372">
        <v>0</v>
      </c>
      <c r="CG281" s="419"/>
      <c r="CH281" s="423">
        <v>0</v>
      </c>
      <c r="CI281" s="427">
        <v>0</v>
      </c>
      <c r="CJ281" s="372">
        <v>0</v>
      </c>
      <c r="CK281" s="419"/>
      <c r="CL281" s="423">
        <f>IFERROR(IF(LEFT($A281,3)="Lcp",SUMIFS('BASE-LCP'!$K:$K,'BASE-LCP'!$A:$A,Capex!$A284,'BASE-LCP'!$B:$B,"junho")/1000,IF(LEFT($A281,3)="icp",SUMIFS('BASE-ICP'!$K:$K,'BASE-ICP'!$A:$A,Capex!$A284,'BASE-ICP'!$B:$B,"junho")/1000,"")),"")</f>
        <v>0</v>
      </c>
      <c r="CM281" s="427">
        <v>0</v>
      </c>
      <c r="CN281" s="372"/>
      <c r="CO281" s="419"/>
      <c r="CP281" s="423">
        <f>IFERROR(IF(LEFT($A281,3)="Lcp",SUMIFS('BASE-LCP'!$K:$K,'BASE-LCP'!$A:$A,Capex!$A284,'BASE-LCP'!$B:$B,"julho")/1000,IF(LEFT($A281,3)="icp",SUMIFS('BASE-ICP'!$K:$K,'BASE-ICP'!$A:$A,Capex!$A284,'BASE-ICP'!$B:$B,"julho")/1000,"")),"")</f>
        <v>0</v>
      </c>
      <c r="CQ281" s="427">
        <v>0</v>
      </c>
      <c r="CR281" s="372"/>
      <c r="CS281" s="419"/>
      <c r="CT281" s="423">
        <f>IFERROR(IF(LEFT($A281,3)="Lcp",SUMIFS('BASE-LCP'!$K:$K,'BASE-LCP'!$A:$A,Capex!$A284,'BASE-LCP'!$B:$B,"agosto")/1000,IF(LEFT($A281,3)="icp",SUMIFS('BASE-ICP'!$K:$K,'BASE-ICP'!$A:$A,Capex!$A284,'BASE-ICP'!$B:$B,"agosto")/1000,"")),"")</f>
        <v>0</v>
      </c>
      <c r="CU281" s="427">
        <v>0</v>
      </c>
      <c r="CV281" s="372"/>
      <c r="CW281" s="419"/>
      <c r="CX281" s="423">
        <f>IFERROR(IF(LEFT($A281,3)="Lcp",SUMIFS('BASE-LCP'!$K:$K,'BASE-LCP'!$A:$A,Capex!$A284,'BASE-LCP'!$B:$B,"setembro")/1000,IF(LEFT($A281,3)="icp",SUMIFS('BASE-ICP'!$K:$K,'BASE-ICP'!$A:$A,Capex!$A284,'BASE-ICP'!$B:$B,"setembro")/1000,"")),"")</f>
        <v>0</v>
      </c>
      <c r="CY281" s="427">
        <v>0</v>
      </c>
      <c r="CZ281" s="372"/>
      <c r="DA281" s="419"/>
      <c r="DB281" s="423">
        <f>IFERROR(IF(LEFT($A281,3)="Lcp",SUMIFS('BASE-LCP'!$K:$K,'BASE-LCP'!$A:$A,Capex!$A284,'BASE-LCP'!$B:$B,"outubro")/1000,IF(LEFT($A281,3)="icp",SUMIFS('BASE-ICP'!$K:$K,'BASE-ICP'!$A:$A,Capex!$A284,'BASE-ICP'!$B:$B,"outubro")/1000,"")),"")</f>
        <v>0</v>
      </c>
      <c r="DC281" s="427">
        <v>0</v>
      </c>
      <c r="DD281" s="372"/>
      <c r="DE281" s="419"/>
      <c r="DF281" s="423">
        <f>IFERROR(IF(LEFT($A281,3)="Lcp",SUMIFS('BASE-LCP'!$K:$K,'BASE-LCP'!$A:$A,Capex!$A284,'BASE-LCP'!$B:$B,"novembro")/1000,IF(LEFT($A281,3)="icp",SUMIFS('BASE-ICP'!$K:$K,'BASE-ICP'!$A:$A,Capex!$A284,'BASE-ICP'!$B:$B,"novembro")/1000,"")),"")</f>
        <v>0</v>
      </c>
      <c r="DG281" s="427">
        <v>0</v>
      </c>
      <c r="DH281" s="372"/>
      <c r="DI281" s="419"/>
      <c r="DJ281" s="423">
        <f>IFERROR(IF(LEFT($A281,3)="Lcp",SUMIFS('BASE-LCP'!$K:$K,'BASE-LCP'!$A:$A,Capex!$A284,'BASE-LCP'!$B:$B,"dezembro")/1000,IF(LEFT($A281,3)="icp",SUMIFS('BASE-ICP'!$K:$K,'BASE-ICP'!$A:$A,Capex!$A284,'BASE-ICP'!$B:$B,"dezembro")/1000,"")),"")</f>
        <v>0</v>
      </c>
      <c r="DK281" s="427">
        <v>0</v>
      </c>
      <c r="DL281" s="452">
        <f t="shared" si="154"/>
        <v>0</v>
      </c>
      <c r="DM281" s="374"/>
      <c r="DN281" s="374">
        <v>0</v>
      </c>
      <c r="DO281" s="374"/>
      <c r="DP281" s="374"/>
      <c r="DQ281" s="374"/>
      <c r="DR281" s="374"/>
      <c r="DS281" s="374"/>
      <c r="DT281" s="374"/>
      <c r="DU281" s="374"/>
      <c r="DV281" s="374"/>
      <c r="DW281" s="374"/>
      <c r="DX281" s="374"/>
      <c r="DY281" s="450"/>
      <c r="DZ281" s="374">
        <f t="shared" si="155"/>
        <v>0</v>
      </c>
      <c r="EA281" s="216">
        <f t="shared" si="156"/>
        <v>0</v>
      </c>
      <c r="EB281" s="320">
        <f t="shared" si="157"/>
        <v>0</v>
      </c>
      <c r="EC281" s="241">
        <f t="shared" si="158"/>
        <v>0</v>
      </c>
      <c r="ED281" s="241">
        <f t="shared" si="159"/>
        <v>0</v>
      </c>
      <c r="EE281" s="241">
        <f t="shared" si="160"/>
        <v>0</v>
      </c>
      <c r="EF281" s="241">
        <f t="shared" si="161"/>
        <v>0</v>
      </c>
      <c r="EG281" s="346">
        <f t="shared" si="162"/>
        <v>0</v>
      </c>
      <c r="EH281" s="445">
        <f t="shared" si="163"/>
        <v>0</v>
      </c>
      <c r="EI281" s="447">
        <f t="shared" si="164"/>
        <v>0</v>
      </c>
      <c r="EJ281" s="364">
        <f t="shared" si="165"/>
        <v>0</v>
      </c>
      <c r="EK281" s="365">
        <f t="shared" si="166"/>
        <v>0</v>
      </c>
      <c r="EL281" s="529">
        <f t="shared" si="167"/>
        <v>0</v>
      </c>
      <c r="EM281" s="530">
        <v>0</v>
      </c>
      <c r="EN281" s="530">
        <v>0</v>
      </c>
      <c r="EO281" s="530">
        <v>0</v>
      </c>
      <c r="EP281" s="530">
        <v>0</v>
      </c>
      <c r="EQ281" s="530">
        <v>0</v>
      </c>
      <c r="ER281" s="530">
        <v>0</v>
      </c>
      <c r="ES281" s="530">
        <v>0</v>
      </c>
      <c r="ET281" s="530">
        <v>0</v>
      </c>
      <c r="EU281" s="530">
        <v>0</v>
      </c>
      <c r="EV281" s="530">
        <v>0</v>
      </c>
      <c r="EW281" s="530">
        <v>0</v>
      </c>
      <c r="EX281" s="530">
        <v>0</v>
      </c>
      <c r="EY281" s="530">
        <f t="shared" si="168"/>
        <v>0</v>
      </c>
      <c r="EZ281" s="530">
        <f t="shared" si="169"/>
        <v>0</v>
      </c>
      <c r="FA281" s="530">
        <f t="shared" si="170"/>
        <v>0</v>
      </c>
      <c r="FB281" s="530">
        <f t="shared" si="171"/>
        <v>0</v>
      </c>
      <c r="FC281" s="384">
        <f>IFERROR(VLOOKUP(Capex!A284,BASE_558!D:R,8,FALSE)/1000,"")</f>
        <v>65.94</v>
      </c>
      <c r="FD281" s="328">
        <f>IFERROR(VLOOKUP(Capex!A284,BASE_558!D:R,9,)/1000,"")</f>
        <v>55.634980000000006</v>
      </c>
      <c r="FE281" s="328">
        <f>IFERROR(IF(LEFT(A281,3)="LCP",(VLOOKUP(Capex!A284,BASE_558!D:R,10,)/1000),SUMIFS('BASE ICP_PO_SC'!F:F,'BASE ICP_PO_SC'!A:A,Capex!A284,'BASE ICP_PO_SC'!E:E,"&lt;&gt;")/1000),"")</f>
        <v>0</v>
      </c>
      <c r="FF281" s="328">
        <f>IFERROR(IF(LEFT(A281,3)="LCP",(VLOOKUP(Capex!A284,BASE_558!D:R,11,)/1000),SUMIFS('BASE ICP_PO_SC'!F:F,'BASE ICP_PO_SC'!A:A,Capex!A284,'BASE ICP_PO_SC'!E:E,"")/1000),"")</f>
        <v>0</v>
      </c>
      <c r="FG281" s="328">
        <f>IFERROR(VLOOKUP(A281,BASE_558!D:R,13,FALSE)/1000,"")</f>
        <v>30.130089999999999</v>
      </c>
      <c r="FH281" s="328">
        <f>IFERROR(VLOOKUP(A281,BASE_558!D:R,15,FALSE)/1000,"")</f>
        <v>48.205910000000003</v>
      </c>
      <c r="FI281" s="547">
        <f t="shared" si="172"/>
        <v>0</v>
      </c>
      <c r="FJ281" s="547">
        <f t="shared" si="173"/>
        <v>0</v>
      </c>
      <c r="FK281" s="540">
        <f t="shared" si="174"/>
        <v>0</v>
      </c>
    </row>
    <row r="282" spans="1:167" s="23" customFormat="1" ht="24" customHeight="1">
      <c r="A282" s="84" t="s">
        <v>1631</v>
      </c>
      <c r="B282" s="404"/>
      <c r="C282" s="404">
        <v>3320</v>
      </c>
      <c r="D282" s="338" t="s">
        <v>2303</v>
      </c>
      <c r="E282" s="378">
        <v>5749723</v>
      </c>
      <c r="F282" s="5"/>
      <c r="G282" s="310" t="s">
        <v>9</v>
      </c>
      <c r="H282" s="356"/>
      <c r="I282" s="356"/>
      <c r="J282" s="356">
        <v>2022</v>
      </c>
      <c r="K282" s="321">
        <v>44713</v>
      </c>
      <c r="L282" s="317">
        <v>45345</v>
      </c>
      <c r="M282" s="409"/>
      <c r="N282" s="317">
        <f t="shared" si="143"/>
        <v>45625</v>
      </c>
      <c r="O282" s="317">
        <f t="shared" si="144"/>
        <v>45990</v>
      </c>
      <c r="P282" s="418" t="str">
        <f t="shared" si="176"/>
        <v>NÃO</v>
      </c>
      <c r="Q282" s="418" t="str">
        <f t="shared" si="176"/>
        <v>NÃO</v>
      </c>
      <c r="R282" s="418" t="str">
        <f t="shared" si="176"/>
        <v>NÃO</v>
      </c>
      <c r="S282" s="418" t="str">
        <f t="shared" si="176"/>
        <v>NÃO</v>
      </c>
      <c r="T282" s="418" t="str">
        <f t="shared" si="176"/>
        <v>NÃO</v>
      </c>
      <c r="U282" s="418" t="str">
        <f t="shared" si="176"/>
        <v>NÃO</v>
      </c>
      <c r="V282" s="418" t="str">
        <f t="shared" si="176"/>
        <v>NÃO</v>
      </c>
      <c r="W282" s="418" t="str">
        <f t="shared" si="176"/>
        <v>NÃO</v>
      </c>
      <c r="X282" s="418" t="str">
        <f t="shared" si="176"/>
        <v>NÃO</v>
      </c>
      <c r="Y282" s="418" t="str">
        <f t="shared" si="176"/>
        <v>NÃO</v>
      </c>
      <c r="Z282" s="418" t="str">
        <f t="shared" si="176"/>
        <v>CRTD</v>
      </c>
      <c r="AA282" s="418" t="str">
        <f t="shared" si="176"/>
        <v>CRTD</v>
      </c>
      <c r="AB282" s="350"/>
      <c r="AC282" s="309" t="s">
        <v>3931</v>
      </c>
      <c r="AD282" s="311"/>
      <c r="AE282" s="361"/>
      <c r="AF282" s="310" t="s">
        <v>6985</v>
      </c>
      <c r="AG282" s="310" t="s">
        <v>9083</v>
      </c>
      <c r="AH282" s="310" t="s">
        <v>2583</v>
      </c>
      <c r="AI282" s="309" t="s">
        <v>188</v>
      </c>
      <c r="AJ282" s="6" t="s">
        <v>218</v>
      </c>
      <c r="AK282" s="6" t="str">
        <f t="shared" si="152"/>
        <v>IGUAL</v>
      </c>
      <c r="AL282" s="151" t="str">
        <f>IFERROR(IF(LEFT(A282,3)="LCP",VLOOKUP(A282,STATUS_SAP_LCP!B:C,2,FALSE),VLOOKUP(A282,STATUS_SAP_ICP!B:C,2,FALSE)),"NO BUDGET")</f>
        <v>CLSD BUDG AUC  AVAC  //  APPR BREL EXPL</v>
      </c>
      <c r="AM282" s="6" t="str">
        <f t="shared" si="151"/>
        <v>CLSD</v>
      </c>
      <c r="AN282" s="282" t="s">
        <v>9096</v>
      </c>
      <c r="AO282" s="493">
        <v>1</v>
      </c>
      <c r="AP282" s="499" t="s">
        <v>9607</v>
      </c>
      <c r="AQ282" s="465">
        <v>45345</v>
      </c>
      <c r="AR282" s="460"/>
      <c r="AS282" s="57"/>
      <c r="AT282" s="185"/>
      <c r="AU282" s="318">
        <v>0</v>
      </c>
      <c r="AV282" s="223">
        <v>31.25853</v>
      </c>
      <c r="AW282" s="318">
        <v>41.991349999999997</v>
      </c>
      <c r="AX282" s="223">
        <v>0</v>
      </c>
      <c r="AY282" s="318">
        <f t="shared" si="145"/>
        <v>0</v>
      </c>
      <c r="AZ282" s="223"/>
      <c r="BA282" s="318"/>
      <c r="BB282" s="519">
        <f t="shared" si="146"/>
        <v>0</v>
      </c>
      <c r="BC282" s="518"/>
      <c r="BD282" s="518"/>
      <c r="BE282" s="518"/>
      <c r="BF282" s="518"/>
      <c r="BG282" s="518"/>
      <c r="BH282" s="518"/>
      <c r="BI282" s="518"/>
      <c r="BJ282" s="518"/>
      <c r="BK282" s="518"/>
      <c r="BL282" s="518"/>
      <c r="BM282" s="518"/>
      <c r="BN282" s="518"/>
      <c r="BO282" s="367">
        <f t="shared" si="153"/>
        <v>0</v>
      </c>
      <c r="BP282" s="421"/>
      <c r="BQ282" s="422"/>
      <c r="BR282" s="423">
        <f>IFERROR(IF(LEFT($A282,3)="Lcp",SUMIFS('BASE-LCP'!$K:$K,'BASE-LCP'!$A:$A,Capex!$A285,'BASE-LCP'!$B:$B,"janeiro")/1000,IF(LEFT($A282,3)="icp",SUMIFS('BASE-ICP'!$K:$K,'BASE-ICP'!$A:$A,Capex!$A285,'BASE-ICP'!$B:$B,"janeiro")/1000,"")),"")</f>
        <v>0</v>
      </c>
      <c r="BS282" s="427">
        <v>0</v>
      </c>
      <c r="BT282" s="372">
        <v>0</v>
      </c>
      <c r="BU282" s="422"/>
      <c r="BV282" s="423">
        <f>IFERROR(IF(LEFT($A282,3)="Lcp",SUMIFS('BASE-LCP'!$K:$K,'BASE-LCP'!$A:$A,Capex!$A285,'BASE-LCP'!$B:$B,"fevereiro")/1000,IF(LEFT($A282,3)="icp",SUMIFS('BASE-ICP'!$K:$K,'BASE-ICP'!$A:$A,Capex!$A285,'BASE-ICP'!$B:$B,"fevereiro")/1000,"")),"")</f>
        <v>0</v>
      </c>
      <c r="BW282" s="427">
        <v>0</v>
      </c>
      <c r="BX282" s="372">
        <v>0</v>
      </c>
      <c r="BY282" s="419"/>
      <c r="BZ282" s="423">
        <f>IFERROR(IF(LEFT($A282,3)="Lcp",SUMIFS('BASE-LCP'!$K:$K,'BASE-LCP'!$A:$A,Capex!$A285,'BASE-LCP'!$B:$B,"março")/1000,IF(LEFT($A282,3)="icp",SUMIFS('BASE-ICP'!$K:$K,'BASE-ICP'!$A:$A,Capex!$A285,'BASE-ICP'!$B:$B,"março")/1000,"")),"")</f>
        <v>0</v>
      </c>
      <c r="CA282" s="427">
        <v>0</v>
      </c>
      <c r="CB282" s="372">
        <v>0</v>
      </c>
      <c r="CC282" s="422"/>
      <c r="CD282" s="423">
        <f>IFERROR(IF(LEFT($A282,3)="Lcp",SUMIFS('BASE-LCP'!$K:$K,'BASE-LCP'!$A:$A,Capex!$A285,'BASE-LCP'!$B:$B,"abril")/1000,IF(LEFT($A282,3)="icp",SUMIFS('BASE-ICP'!$K:$K,'BASE-ICP'!$A:$A,Capex!$A285,'BASE-ICP'!$B:$B,"abril")/1000,"")),"")</f>
        <v>0</v>
      </c>
      <c r="CE282" s="427">
        <v>0</v>
      </c>
      <c r="CF282" s="372">
        <v>0</v>
      </c>
      <c r="CG282" s="419"/>
      <c r="CH282" s="423">
        <v>0</v>
      </c>
      <c r="CI282" s="427">
        <v>0</v>
      </c>
      <c r="CJ282" s="372">
        <v>0</v>
      </c>
      <c r="CK282" s="419"/>
      <c r="CL282" s="423">
        <f>IFERROR(IF(LEFT($A282,3)="Lcp",SUMIFS('BASE-LCP'!$K:$K,'BASE-LCP'!$A:$A,Capex!$A285,'BASE-LCP'!$B:$B,"junho")/1000,IF(LEFT($A282,3)="icp",SUMIFS('BASE-ICP'!$K:$K,'BASE-ICP'!$A:$A,Capex!$A285,'BASE-ICP'!$B:$B,"junho")/1000,"")),"")</f>
        <v>0</v>
      </c>
      <c r="CM282" s="427">
        <v>0</v>
      </c>
      <c r="CN282" s="372"/>
      <c r="CO282" s="419"/>
      <c r="CP282" s="423">
        <f>IFERROR(IF(LEFT($A282,3)="Lcp",SUMIFS('BASE-LCP'!$K:$K,'BASE-LCP'!$A:$A,Capex!$A285,'BASE-LCP'!$B:$B,"julho")/1000,IF(LEFT($A282,3)="icp",SUMIFS('BASE-ICP'!$K:$K,'BASE-ICP'!$A:$A,Capex!$A285,'BASE-ICP'!$B:$B,"julho")/1000,"")),"")</f>
        <v>0</v>
      </c>
      <c r="CQ282" s="427">
        <v>0</v>
      </c>
      <c r="CR282" s="372"/>
      <c r="CS282" s="419"/>
      <c r="CT282" s="423">
        <f>IFERROR(IF(LEFT($A282,3)="Lcp",SUMIFS('BASE-LCP'!$K:$K,'BASE-LCP'!$A:$A,Capex!$A285,'BASE-LCP'!$B:$B,"agosto")/1000,IF(LEFT($A282,3)="icp",SUMIFS('BASE-ICP'!$K:$K,'BASE-ICP'!$A:$A,Capex!$A285,'BASE-ICP'!$B:$B,"agosto")/1000,"")),"")</f>
        <v>0</v>
      </c>
      <c r="CU282" s="427">
        <v>0</v>
      </c>
      <c r="CV282" s="372"/>
      <c r="CW282" s="419"/>
      <c r="CX282" s="423">
        <f>IFERROR(IF(LEFT($A282,3)="Lcp",SUMIFS('BASE-LCP'!$K:$K,'BASE-LCP'!$A:$A,Capex!$A285,'BASE-LCP'!$B:$B,"setembro")/1000,IF(LEFT($A282,3)="icp",SUMIFS('BASE-ICP'!$K:$K,'BASE-ICP'!$A:$A,Capex!$A285,'BASE-ICP'!$B:$B,"setembro")/1000,"")),"")</f>
        <v>0</v>
      </c>
      <c r="CY282" s="427">
        <v>0</v>
      </c>
      <c r="CZ282" s="372"/>
      <c r="DA282" s="419"/>
      <c r="DB282" s="423">
        <f>IFERROR(IF(LEFT($A282,3)="Lcp",SUMIFS('BASE-LCP'!$K:$K,'BASE-LCP'!$A:$A,Capex!$A285,'BASE-LCP'!$B:$B,"outubro")/1000,IF(LEFT($A282,3)="icp",SUMIFS('BASE-ICP'!$K:$K,'BASE-ICP'!$A:$A,Capex!$A285,'BASE-ICP'!$B:$B,"outubro")/1000,"")),"")</f>
        <v>0</v>
      </c>
      <c r="DC282" s="427">
        <v>0</v>
      </c>
      <c r="DD282" s="372"/>
      <c r="DE282" s="419"/>
      <c r="DF282" s="423">
        <f>IFERROR(IF(LEFT($A282,3)="Lcp",SUMIFS('BASE-LCP'!$K:$K,'BASE-LCP'!$A:$A,Capex!$A285,'BASE-LCP'!$B:$B,"novembro")/1000,IF(LEFT($A282,3)="icp",SUMIFS('BASE-ICP'!$K:$K,'BASE-ICP'!$A:$A,Capex!$A285,'BASE-ICP'!$B:$B,"novembro")/1000,"")),"")</f>
        <v>0</v>
      </c>
      <c r="DG282" s="427">
        <v>0</v>
      </c>
      <c r="DH282" s="372"/>
      <c r="DI282" s="419"/>
      <c r="DJ282" s="423">
        <f>IFERROR(IF(LEFT($A282,3)="Lcp",SUMIFS('BASE-LCP'!$K:$K,'BASE-LCP'!$A:$A,Capex!$A285,'BASE-LCP'!$B:$B,"dezembro")/1000,IF(LEFT($A282,3)="icp",SUMIFS('BASE-ICP'!$K:$K,'BASE-ICP'!$A:$A,Capex!$A285,'BASE-ICP'!$B:$B,"dezembro")/1000,"")),"")</f>
        <v>0</v>
      </c>
      <c r="DK282" s="427">
        <v>0</v>
      </c>
      <c r="DL282" s="452">
        <f t="shared" si="154"/>
        <v>0</v>
      </c>
      <c r="DM282" s="374"/>
      <c r="DN282" s="374">
        <v>0</v>
      </c>
      <c r="DO282" s="374"/>
      <c r="DP282" s="374"/>
      <c r="DQ282" s="374"/>
      <c r="DR282" s="374"/>
      <c r="DS282" s="374"/>
      <c r="DT282" s="374"/>
      <c r="DU282" s="374"/>
      <c r="DV282" s="374"/>
      <c r="DW282" s="374"/>
      <c r="DX282" s="374"/>
      <c r="DY282" s="450"/>
      <c r="DZ282" s="374">
        <f t="shared" si="155"/>
        <v>0</v>
      </c>
      <c r="EA282" s="216">
        <f t="shared" si="156"/>
        <v>0</v>
      </c>
      <c r="EB282" s="320">
        <f t="shared" si="157"/>
        <v>0</v>
      </c>
      <c r="EC282" s="241">
        <f t="shared" si="158"/>
        <v>0</v>
      </c>
      <c r="ED282" s="241">
        <f t="shared" si="159"/>
        <v>0</v>
      </c>
      <c r="EE282" s="241">
        <f t="shared" si="160"/>
        <v>0</v>
      </c>
      <c r="EF282" s="241">
        <f t="shared" si="161"/>
        <v>0</v>
      </c>
      <c r="EG282" s="346">
        <f t="shared" si="162"/>
        <v>0</v>
      </c>
      <c r="EH282" s="445">
        <f t="shared" si="163"/>
        <v>0</v>
      </c>
      <c r="EI282" s="447">
        <f t="shared" si="164"/>
        <v>0</v>
      </c>
      <c r="EJ282" s="364">
        <f t="shared" si="165"/>
        <v>0</v>
      </c>
      <c r="EK282" s="365">
        <f t="shared" si="166"/>
        <v>0</v>
      </c>
      <c r="EL282" s="529">
        <f t="shared" si="167"/>
        <v>0</v>
      </c>
      <c r="EM282" s="530">
        <v>0</v>
      </c>
      <c r="EN282" s="530">
        <v>0</v>
      </c>
      <c r="EO282" s="530">
        <v>0</v>
      </c>
      <c r="EP282" s="530">
        <v>0</v>
      </c>
      <c r="EQ282" s="530">
        <v>0</v>
      </c>
      <c r="ER282" s="530">
        <v>0</v>
      </c>
      <c r="ES282" s="530">
        <v>0</v>
      </c>
      <c r="ET282" s="530">
        <v>0</v>
      </c>
      <c r="EU282" s="530">
        <v>0</v>
      </c>
      <c r="EV282" s="530">
        <v>0</v>
      </c>
      <c r="EW282" s="530">
        <v>0</v>
      </c>
      <c r="EX282" s="530">
        <v>0</v>
      </c>
      <c r="EY282" s="530">
        <f t="shared" si="168"/>
        <v>0</v>
      </c>
      <c r="EZ282" s="530">
        <f t="shared" si="169"/>
        <v>0</v>
      </c>
      <c r="FA282" s="530">
        <f t="shared" si="170"/>
        <v>0</v>
      </c>
      <c r="FB282" s="530">
        <f t="shared" si="171"/>
        <v>0</v>
      </c>
      <c r="FC282" s="384">
        <f>IFERROR(VLOOKUP(Capex!A285,BASE_558!D:R,8,FALSE)/1000,"")</f>
        <v>78.028999999999996</v>
      </c>
      <c r="FD282" s="328">
        <f>IFERROR(VLOOKUP(Capex!A285,BASE_558!D:R,9,)/1000,"")</f>
        <v>72.935050000000004</v>
      </c>
      <c r="FE282" s="328">
        <f>IFERROR(IF(LEFT(A282,3)="LCP",(VLOOKUP(Capex!A285,BASE_558!D:R,10,)/1000),SUMIFS('BASE ICP_PO_SC'!F:F,'BASE ICP_PO_SC'!A:A,Capex!A285,'BASE ICP_PO_SC'!E:E,"&lt;&gt;")/1000),"")</f>
        <v>0</v>
      </c>
      <c r="FF282" s="328">
        <f>IFERROR(IF(LEFT(A282,3)="LCP",(VLOOKUP(Capex!A285,BASE_558!D:R,11,)/1000),SUMIFS('BASE ICP_PO_SC'!F:F,'BASE ICP_PO_SC'!A:A,Capex!A285,'BASE ICP_PO_SC'!E:E,"")/1000),"")</f>
        <v>0</v>
      </c>
      <c r="FG282" s="328">
        <f>IFERROR(VLOOKUP(A282,BASE_558!D:R,13,FALSE)/1000,"")</f>
        <v>73.249880000000005</v>
      </c>
      <c r="FH282" s="328">
        <f>IFERROR(VLOOKUP(A282,BASE_558!D:R,15,FALSE)/1000,"")</f>
        <v>31.750119999999999</v>
      </c>
      <c r="FI282" s="547">
        <f t="shared" si="172"/>
        <v>0</v>
      </c>
      <c r="FJ282" s="547">
        <f t="shared" si="173"/>
        <v>0</v>
      </c>
      <c r="FK282" s="540">
        <f t="shared" si="174"/>
        <v>0</v>
      </c>
    </row>
    <row r="283" spans="1:167" s="23" customFormat="1" ht="24" customHeight="1">
      <c r="A283" s="310" t="s">
        <v>1632</v>
      </c>
      <c r="B283" s="404"/>
      <c r="C283" s="404" t="s">
        <v>602</v>
      </c>
      <c r="D283" s="338" t="s">
        <v>2304</v>
      </c>
      <c r="E283" s="378">
        <v>5793587</v>
      </c>
      <c r="F283" s="5"/>
      <c r="G283" s="310" t="s">
        <v>9</v>
      </c>
      <c r="H283" s="338"/>
      <c r="I283" s="356" t="s">
        <v>6</v>
      </c>
      <c r="J283" s="356">
        <v>2022</v>
      </c>
      <c r="K283" s="352">
        <v>44761</v>
      </c>
      <c r="L283" s="317">
        <v>45473</v>
      </c>
      <c r="M283" s="409" t="s">
        <v>6808</v>
      </c>
      <c r="N283" s="317">
        <f t="shared" si="143"/>
        <v>45673</v>
      </c>
      <c r="O283" s="317">
        <f t="shared" si="144"/>
        <v>46038</v>
      </c>
      <c r="P283" s="418" t="str">
        <f t="shared" si="176"/>
        <v>NÃO</v>
      </c>
      <c r="Q283" s="418" t="str">
        <f t="shared" si="176"/>
        <v>NÃO</v>
      </c>
      <c r="R283" s="418" t="str">
        <f t="shared" si="176"/>
        <v>NÃO</v>
      </c>
      <c r="S283" s="418" t="str">
        <f t="shared" si="176"/>
        <v>NÃO</v>
      </c>
      <c r="T283" s="418" t="str">
        <f t="shared" si="176"/>
        <v>NÃO</v>
      </c>
      <c r="U283" s="418" t="str">
        <f t="shared" si="176"/>
        <v>NÃO</v>
      </c>
      <c r="V283" s="418" t="str">
        <f t="shared" si="176"/>
        <v>NÃO</v>
      </c>
      <c r="W283" s="418" t="str">
        <f t="shared" si="176"/>
        <v>NÃO</v>
      </c>
      <c r="X283" s="418" t="str">
        <f t="shared" si="176"/>
        <v>NÃO</v>
      </c>
      <c r="Y283" s="418" t="str">
        <f t="shared" si="176"/>
        <v>NÃO</v>
      </c>
      <c r="Z283" s="418" t="str">
        <f t="shared" si="176"/>
        <v>NÃO</v>
      </c>
      <c r="AA283" s="418" t="str">
        <f t="shared" si="176"/>
        <v>NÃO</v>
      </c>
      <c r="AB283" s="350"/>
      <c r="AC283" s="309" t="s">
        <v>3931</v>
      </c>
      <c r="AD283" s="311" t="s">
        <v>223</v>
      </c>
      <c r="AE283" s="361" t="s">
        <v>2299</v>
      </c>
      <c r="AF283" s="310" t="s">
        <v>6985</v>
      </c>
      <c r="AG283" s="310" t="s">
        <v>2485</v>
      </c>
      <c r="AH283" s="310" t="s">
        <v>1630</v>
      </c>
      <c r="AI283" s="381" t="s">
        <v>188</v>
      </c>
      <c r="AJ283" s="6" t="s">
        <v>218</v>
      </c>
      <c r="AK283" s="6" t="str">
        <f t="shared" si="152"/>
        <v>IGUAL</v>
      </c>
      <c r="AL283" s="151" t="str">
        <f>IFERROR(IF(LEFT(A283,3)="LCP",VLOOKUP(A283,STATUS_SAP_LCP!B:C,2,FALSE),VLOOKUP(A283,STATUS_SAP_ICP!B:C,2,FALSE)),"NO BUDGET")</f>
        <v>CLSD BUDG AUC  AVAC  //  APPR BREL EXPL</v>
      </c>
      <c r="AM283" s="6" t="str">
        <f t="shared" si="151"/>
        <v>CLSD</v>
      </c>
      <c r="AN283" s="414" t="s">
        <v>2651</v>
      </c>
      <c r="AO283" s="558">
        <v>1</v>
      </c>
      <c r="AP283" s="499" t="s">
        <v>9607</v>
      </c>
      <c r="AQ283" s="465">
        <v>45473</v>
      </c>
      <c r="AR283" s="460"/>
      <c r="AS283" s="57"/>
      <c r="AT283" s="185"/>
      <c r="AU283" s="318"/>
      <c r="AV283" s="223">
        <v>8.7148400000000006</v>
      </c>
      <c r="AW283" s="318">
        <v>42.501569999999994</v>
      </c>
      <c r="AX283" s="223">
        <v>35.880980000000001</v>
      </c>
      <c r="AY283" s="318">
        <f t="shared" si="145"/>
        <v>0</v>
      </c>
      <c r="AZ283" s="223"/>
      <c r="BA283" s="318"/>
      <c r="BB283" s="519">
        <f t="shared" si="146"/>
        <v>0</v>
      </c>
      <c r="BC283" s="518"/>
      <c r="BD283" s="518"/>
      <c r="BE283" s="518"/>
      <c r="BF283" s="518"/>
      <c r="BG283" s="518"/>
      <c r="BH283" s="518"/>
      <c r="BI283" s="518"/>
      <c r="BJ283" s="518"/>
      <c r="BK283" s="518"/>
      <c r="BL283" s="518"/>
      <c r="BM283" s="518"/>
      <c r="BN283" s="518"/>
      <c r="BO283" s="367">
        <f t="shared" si="153"/>
        <v>0</v>
      </c>
      <c r="BP283" s="421"/>
      <c r="BQ283" s="422"/>
      <c r="BR283" s="423">
        <f>IFERROR(IF(LEFT($A283,3)="Lcp",SUMIFS('BASE-LCP'!$K:$K,'BASE-LCP'!$A:$A,Capex!$A286,'BASE-LCP'!$B:$B,"janeiro")/1000,IF(LEFT($A283,3)="icp",SUMIFS('BASE-ICP'!$K:$K,'BASE-ICP'!$A:$A,Capex!$A286,'BASE-ICP'!$B:$B,"janeiro")/1000,"")),"")</f>
        <v>0</v>
      </c>
      <c r="BS283" s="427">
        <v>0</v>
      </c>
      <c r="BT283" s="372">
        <v>0</v>
      </c>
      <c r="BU283" s="422"/>
      <c r="BV283" s="423">
        <f>IFERROR(IF(LEFT($A283,3)="Lcp",SUMIFS('BASE-LCP'!$K:$K,'BASE-LCP'!$A:$A,Capex!$A286,'BASE-LCP'!$B:$B,"fevereiro")/1000,IF(LEFT($A283,3)="icp",SUMIFS('BASE-ICP'!$K:$K,'BASE-ICP'!$A:$A,Capex!$A286,'BASE-ICP'!$B:$B,"fevereiro")/1000,"")),"")</f>
        <v>0</v>
      </c>
      <c r="BW283" s="427">
        <v>0</v>
      </c>
      <c r="BX283" s="372">
        <v>0</v>
      </c>
      <c r="BY283" s="419"/>
      <c r="BZ283" s="423">
        <f>IFERROR(IF(LEFT($A283,3)="Lcp",SUMIFS('BASE-LCP'!$K:$K,'BASE-LCP'!$A:$A,Capex!$A286,'BASE-LCP'!$B:$B,"março")/1000,IF(LEFT($A283,3)="icp",SUMIFS('BASE-ICP'!$K:$K,'BASE-ICP'!$A:$A,Capex!$A286,'BASE-ICP'!$B:$B,"março")/1000,"")),"")</f>
        <v>0</v>
      </c>
      <c r="CA283" s="427">
        <v>0</v>
      </c>
      <c r="CB283" s="372">
        <v>0</v>
      </c>
      <c r="CC283" s="422"/>
      <c r="CD283" s="423">
        <f>IFERROR(IF(LEFT($A283,3)="Lcp",SUMIFS('BASE-LCP'!$K:$K,'BASE-LCP'!$A:$A,Capex!$A286,'BASE-LCP'!$B:$B,"abril")/1000,IF(LEFT($A283,3)="icp",SUMIFS('BASE-ICP'!$K:$K,'BASE-ICP'!$A:$A,Capex!$A286,'BASE-ICP'!$B:$B,"abril")/1000,"")),"")</f>
        <v>0</v>
      </c>
      <c r="CE283" s="427">
        <v>0</v>
      </c>
      <c r="CF283" s="372">
        <v>0</v>
      </c>
      <c r="CG283" s="419"/>
      <c r="CH283" s="423">
        <v>0</v>
      </c>
      <c r="CI283" s="427">
        <v>0</v>
      </c>
      <c r="CJ283" s="372">
        <v>0</v>
      </c>
      <c r="CK283" s="419"/>
      <c r="CL283" s="423">
        <f>IFERROR(IF(LEFT($A283,3)="Lcp",SUMIFS('BASE-LCP'!$K:$K,'BASE-LCP'!$A:$A,Capex!$A286,'BASE-LCP'!$B:$B,"junho")/1000,IF(LEFT($A283,3)="icp",SUMIFS('BASE-ICP'!$K:$K,'BASE-ICP'!$A:$A,Capex!$A286,'BASE-ICP'!$B:$B,"junho")/1000,"")),"")</f>
        <v>0</v>
      </c>
      <c r="CM283" s="427">
        <v>0</v>
      </c>
      <c r="CN283" s="372"/>
      <c r="CO283" s="419"/>
      <c r="CP283" s="423">
        <f>IFERROR(IF(LEFT($A283,3)="Lcp",SUMIFS('BASE-LCP'!$K:$K,'BASE-LCP'!$A:$A,Capex!$A286,'BASE-LCP'!$B:$B,"julho")/1000,IF(LEFT($A283,3)="icp",SUMIFS('BASE-ICP'!$K:$K,'BASE-ICP'!$A:$A,Capex!$A286,'BASE-ICP'!$B:$B,"julho")/1000,"")),"")</f>
        <v>0</v>
      </c>
      <c r="CQ283" s="427">
        <v>0</v>
      </c>
      <c r="CR283" s="372"/>
      <c r="CS283" s="419"/>
      <c r="CT283" s="423">
        <f>IFERROR(IF(LEFT($A283,3)="Lcp",SUMIFS('BASE-LCP'!$K:$K,'BASE-LCP'!$A:$A,Capex!$A286,'BASE-LCP'!$B:$B,"agosto")/1000,IF(LEFT($A283,3)="icp",SUMIFS('BASE-ICP'!$K:$K,'BASE-ICP'!$A:$A,Capex!$A286,'BASE-ICP'!$B:$B,"agosto")/1000,"")),"")</f>
        <v>0</v>
      </c>
      <c r="CU283" s="427">
        <v>0</v>
      </c>
      <c r="CV283" s="372"/>
      <c r="CW283" s="419"/>
      <c r="CX283" s="423">
        <f>IFERROR(IF(LEFT($A283,3)="Lcp",SUMIFS('BASE-LCP'!$K:$K,'BASE-LCP'!$A:$A,Capex!$A286,'BASE-LCP'!$B:$B,"setembro")/1000,IF(LEFT($A283,3)="icp",SUMIFS('BASE-ICP'!$K:$K,'BASE-ICP'!$A:$A,Capex!$A286,'BASE-ICP'!$B:$B,"setembro")/1000,"")),"")</f>
        <v>0</v>
      </c>
      <c r="CY283" s="427">
        <v>0</v>
      </c>
      <c r="CZ283" s="372"/>
      <c r="DA283" s="419"/>
      <c r="DB283" s="423">
        <f>IFERROR(IF(LEFT($A283,3)="Lcp",SUMIFS('BASE-LCP'!$K:$K,'BASE-LCP'!$A:$A,Capex!$A286,'BASE-LCP'!$B:$B,"outubro")/1000,IF(LEFT($A283,3)="icp",SUMIFS('BASE-ICP'!$K:$K,'BASE-ICP'!$A:$A,Capex!$A286,'BASE-ICP'!$B:$B,"outubro")/1000,"")),"")</f>
        <v>0</v>
      </c>
      <c r="DC283" s="427">
        <v>0</v>
      </c>
      <c r="DD283" s="372"/>
      <c r="DE283" s="419"/>
      <c r="DF283" s="423">
        <f>IFERROR(IF(LEFT($A283,3)="Lcp",SUMIFS('BASE-LCP'!$K:$K,'BASE-LCP'!$A:$A,Capex!$A286,'BASE-LCP'!$B:$B,"novembro")/1000,IF(LEFT($A283,3)="icp",SUMIFS('BASE-ICP'!$K:$K,'BASE-ICP'!$A:$A,Capex!$A286,'BASE-ICP'!$B:$B,"novembro")/1000,"")),"")</f>
        <v>0</v>
      </c>
      <c r="DG283" s="427">
        <v>0</v>
      </c>
      <c r="DH283" s="372"/>
      <c r="DI283" s="419"/>
      <c r="DJ283" s="423">
        <f>IFERROR(IF(LEFT($A283,3)="Lcp",SUMIFS('BASE-LCP'!$K:$K,'BASE-LCP'!$A:$A,Capex!$A286,'BASE-LCP'!$B:$B,"dezembro")/1000,IF(LEFT($A283,3)="icp",SUMIFS('BASE-ICP'!$K:$K,'BASE-ICP'!$A:$A,Capex!$A286,'BASE-ICP'!$B:$B,"dezembro")/1000,"")),"")</f>
        <v>0</v>
      </c>
      <c r="DK283" s="427">
        <v>0</v>
      </c>
      <c r="DL283" s="452">
        <f t="shared" si="154"/>
        <v>0</v>
      </c>
      <c r="DM283" s="374"/>
      <c r="DN283" s="374">
        <v>0</v>
      </c>
      <c r="DO283" s="374"/>
      <c r="DP283" s="374"/>
      <c r="DQ283" s="374"/>
      <c r="DR283" s="374"/>
      <c r="DS283" s="374"/>
      <c r="DT283" s="374"/>
      <c r="DU283" s="374"/>
      <c r="DV283" s="374"/>
      <c r="DW283" s="374"/>
      <c r="DX283" s="374"/>
      <c r="DY283" s="450"/>
      <c r="DZ283" s="374">
        <f t="shared" si="155"/>
        <v>0</v>
      </c>
      <c r="EA283" s="216">
        <f t="shared" si="156"/>
        <v>0</v>
      </c>
      <c r="EB283" s="320">
        <f t="shared" si="157"/>
        <v>0</v>
      </c>
      <c r="EC283" s="241">
        <f t="shared" si="158"/>
        <v>0</v>
      </c>
      <c r="ED283" s="241">
        <f t="shared" si="159"/>
        <v>0</v>
      </c>
      <c r="EE283" s="241">
        <f t="shared" si="160"/>
        <v>0</v>
      </c>
      <c r="EF283" s="241">
        <f t="shared" si="161"/>
        <v>0</v>
      </c>
      <c r="EG283" s="346">
        <f t="shared" si="162"/>
        <v>0</v>
      </c>
      <c r="EH283" s="445">
        <f t="shared" si="163"/>
        <v>0</v>
      </c>
      <c r="EI283" s="447">
        <f t="shared" si="164"/>
        <v>0</v>
      </c>
      <c r="EJ283" s="364">
        <f t="shared" si="165"/>
        <v>0</v>
      </c>
      <c r="EK283" s="365">
        <f t="shared" si="166"/>
        <v>0</v>
      </c>
      <c r="EL283" s="529">
        <f t="shared" si="167"/>
        <v>0</v>
      </c>
      <c r="EM283" s="530">
        <v>0</v>
      </c>
      <c r="EN283" s="530">
        <v>0</v>
      </c>
      <c r="EO283" s="530">
        <v>0</v>
      </c>
      <c r="EP283" s="530">
        <v>0</v>
      </c>
      <c r="EQ283" s="530">
        <v>0</v>
      </c>
      <c r="ER283" s="530">
        <v>0</v>
      </c>
      <c r="ES283" s="530">
        <v>0</v>
      </c>
      <c r="ET283" s="530">
        <v>0</v>
      </c>
      <c r="EU283" s="530">
        <v>0</v>
      </c>
      <c r="EV283" s="530">
        <v>0</v>
      </c>
      <c r="EW283" s="530">
        <v>0</v>
      </c>
      <c r="EX283" s="530">
        <v>0</v>
      </c>
      <c r="EY283" s="530">
        <f t="shared" si="168"/>
        <v>0</v>
      </c>
      <c r="EZ283" s="530">
        <f t="shared" si="169"/>
        <v>0</v>
      </c>
      <c r="FA283" s="530">
        <f t="shared" si="170"/>
        <v>0</v>
      </c>
      <c r="FB283" s="530">
        <f t="shared" si="171"/>
        <v>0</v>
      </c>
      <c r="FC283" s="384">
        <f>IFERROR(VLOOKUP(Capex!A286,BASE_558!D:R,8,FALSE)/1000,"")</f>
        <v>154.33007999999998</v>
      </c>
      <c r="FD283" s="328">
        <f>IFERROR(VLOOKUP(Capex!A286,BASE_558!D:R,9,)/1000,"")</f>
        <v>126.5673</v>
      </c>
      <c r="FE283" s="328">
        <f>IFERROR(IF(LEFT(A283,3)="LCP",(VLOOKUP(Capex!A286,BASE_558!D:R,10,)/1000),SUMIFS('BASE ICP_PO_SC'!F:F,'BASE ICP_PO_SC'!A:A,Capex!A286,'BASE ICP_PO_SC'!E:E,"&lt;&gt;")/1000),"")</f>
        <v>0</v>
      </c>
      <c r="FF283" s="328">
        <f>IFERROR(IF(LEFT(A283,3)="LCP",(VLOOKUP(Capex!A286,BASE_558!D:R,11,)/1000),SUMIFS('BASE ICP_PO_SC'!F:F,'BASE ICP_PO_SC'!A:A,Capex!A286,'BASE ICP_PO_SC'!E:E,"")/1000),"")</f>
        <v>0</v>
      </c>
      <c r="FG283" s="328">
        <f>IFERROR(VLOOKUP(A283,BASE_558!D:R,13,FALSE)/1000,"")</f>
        <v>87.097390000000004</v>
      </c>
      <c r="FH283" s="328">
        <f>IFERROR(VLOOKUP(A283,BASE_558!D:R,15,FALSE)/1000,"")</f>
        <v>2.4026100000000001</v>
      </c>
      <c r="FI283" s="547">
        <f t="shared" si="172"/>
        <v>0</v>
      </c>
      <c r="FJ283" s="547">
        <f t="shared" si="173"/>
        <v>0</v>
      </c>
      <c r="FK283" s="540">
        <f t="shared" si="174"/>
        <v>0</v>
      </c>
    </row>
    <row r="284" spans="1:167" s="23" customFormat="1" ht="24" customHeight="1">
      <c r="A284" s="84" t="s">
        <v>1644</v>
      </c>
      <c r="B284" s="404"/>
      <c r="C284" s="404">
        <v>111140</v>
      </c>
      <c r="D284" s="338" t="s">
        <v>2305</v>
      </c>
      <c r="E284" s="378">
        <v>5832346</v>
      </c>
      <c r="F284" s="310"/>
      <c r="G284" s="310" t="s">
        <v>9</v>
      </c>
      <c r="H284" s="356"/>
      <c r="I284" s="356" t="s">
        <v>6</v>
      </c>
      <c r="J284" s="356">
        <v>2022</v>
      </c>
      <c r="K284" s="321">
        <v>44797</v>
      </c>
      <c r="L284" s="317">
        <v>45296</v>
      </c>
      <c r="M284" s="409"/>
      <c r="N284" s="317">
        <f t="shared" ref="N284:N347" si="177">IF(K284+912=912,"",K284+912)</f>
        <v>45709</v>
      </c>
      <c r="O284" s="317">
        <f t="shared" ref="O284:O347" si="178">IF(K284+1277=1277,"",K284+1277)</f>
        <v>46074</v>
      </c>
      <c r="P284" s="418" t="str">
        <f t="shared" si="176"/>
        <v>NÃO</v>
      </c>
      <c r="Q284" s="418" t="str">
        <f t="shared" si="176"/>
        <v>NÃO</v>
      </c>
      <c r="R284" s="418" t="str">
        <f t="shared" si="176"/>
        <v>NÃO</v>
      </c>
      <c r="S284" s="418" t="str">
        <f t="shared" si="176"/>
        <v>NÃO</v>
      </c>
      <c r="T284" s="418" t="str">
        <f t="shared" si="176"/>
        <v>NÃO</v>
      </c>
      <c r="U284" s="418" t="str">
        <f t="shared" si="176"/>
        <v>NÃO</v>
      </c>
      <c r="V284" s="418" t="str">
        <f t="shared" si="176"/>
        <v>NÃO</v>
      </c>
      <c r="W284" s="418" t="str">
        <f t="shared" si="176"/>
        <v>NÃO</v>
      </c>
      <c r="X284" s="418" t="str">
        <f t="shared" si="176"/>
        <v>NÃO</v>
      </c>
      <c r="Y284" s="418" t="str">
        <f t="shared" si="176"/>
        <v>NÃO</v>
      </c>
      <c r="Z284" s="418" t="str">
        <f t="shared" si="176"/>
        <v>NÃO</v>
      </c>
      <c r="AA284" s="418" t="str">
        <f t="shared" si="176"/>
        <v>NÃO</v>
      </c>
      <c r="AB284" s="350"/>
      <c r="AC284" s="309" t="s">
        <v>3932</v>
      </c>
      <c r="AD284" s="311" t="s">
        <v>5</v>
      </c>
      <c r="AE284" s="361" t="s">
        <v>2306</v>
      </c>
      <c r="AF284" s="310" t="s">
        <v>6985</v>
      </c>
      <c r="AG284" s="310" t="s">
        <v>2259</v>
      </c>
      <c r="AH284" s="310" t="s">
        <v>1645</v>
      </c>
      <c r="AI284" s="381" t="s">
        <v>2255</v>
      </c>
      <c r="AJ284" s="6" t="s">
        <v>218</v>
      </c>
      <c r="AK284" s="6" t="str">
        <f t="shared" si="152"/>
        <v>IGUAL</v>
      </c>
      <c r="AL284" s="151" t="str">
        <f>IFERROR(IF(LEFT(A284,3)="LCP",VLOOKUP(A284,STATUS_SAP_LCP!B:C,2,FALSE),VLOOKUP(A284,STATUS_SAP_ICP!B:C,2,FALSE)),"NO BUDGET")</f>
        <v>CLSD BUDG AUC  AVAC  //  APPR BREL EXPL</v>
      </c>
      <c r="AM284" s="6" t="str">
        <f t="shared" si="151"/>
        <v>CLSD</v>
      </c>
      <c r="AN284" s="282" t="s">
        <v>2651</v>
      </c>
      <c r="AO284" s="493">
        <v>1</v>
      </c>
      <c r="AP284" s="499" t="s">
        <v>9607</v>
      </c>
      <c r="AQ284" s="465">
        <v>45296</v>
      </c>
      <c r="AR284" s="460"/>
      <c r="AS284" s="57"/>
      <c r="AT284" s="185"/>
      <c r="AU284" s="318"/>
      <c r="AV284" s="223">
        <v>0</v>
      </c>
      <c r="AW284" s="318">
        <v>55.634980000000006</v>
      </c>
      <c r="AX284" s="223">
        <v>0</v>
      </c>
      <c r="AY284" s="318">
        <f t="shared" ref="AY284:AY347" si="179">BO284</f>
        <v>0</v>
      </c>
      <c r="AZ284" s="223"/>
      <c r="BA284" s="318"/>
      <c r="BB284" s="519">
        <f t="shared" ref="BB284:BB347" si="180">SUM(BC284:BN284)</f>
        <v>0</v>
      </c>
      <c r="BC284" s="518"/>
      <c r="BD284" s="518"/>
      <c r="BE284" s="518"/>
      <c r="BF284" s="518"/>
      <c r="BG284" s="518"/>
      <c r="BH284" s="518"/>
      <c r="BI284" s="518"/>
      <c r="BJ284" s="518"/>
      <c r="BK284" s="518"/>
      <c r="BL284" s="518"/>
      <c r="BM284" s="518"/>
      <c r="BN284" s="518"/>
      <c r="BO284" s="367">
        <f t="shared" si="153"/>
        <v>0</v>
      </c>
      <c r="BP284" s="421"/>
      <c r="BQ284" s="422"/>
      <c r="BR284" s="423">
        <f>IFERROR(IF(LEFT($A284,3)="Lcp",SUMIFS('BASE-LCP'!$K:$K,'BASE-LCP'!$A:$A,Capex!$A287,'BASE-LCP'!$B:$B,"janeiro")/1000,IF(LEFT($A284,3)="icp",SUMIFS('BASE-ICP'!$K:$K,'BASE-ICP'!$A:$A,Capex!$A287,'BASE-ICP'!$B:$B,"janeiro")/1000,"")),"")</f>
        <v>0</v>
      </c>
      <c r="BS284" s="427">
        <v>0</v>
      </c>
      <c r="BT284" s="372">
        <v>0</v>
      </c>
      <c r="BU284" s="422"/>
      <c r="BV284" s="423">
        <f>IFERROR(IF(LEFT($A284,3)="Lcp",SUMIFS('BASE-LCP'!$K:$K,'BASE-LCP'!$A:$A,Capex!$A287,'BASE-LCP'!$B:$B,"fevereiro")/1000,IF(LEFT($A284,3)="icp",SUMIFS('BASE-ICP'!$K:$K,'BASE-ICP'!$A:$A,Capex!$A287,'BASE-ICP'!$B:$B,"fevereiro")/1000,"")),"")</f>
        <v>0</v>
      </c>
      <c r="BW284" s="427">
        <v>0</v>
      </c>
      <c r="BX284" s="372">
        <v>0</v>
      </c>
      <c r="BY284" s="419"/>
      <c r="BZ284" s="423">
        <f>IFERROR(IF(LEFT($A284,3)="Lcp",SUMIFS('BASE-LCP'!$K:$K,'BASE-LCP'!$A:$A,Capex!$A287,'BASE-LCP'!$B:$B,"março")/1000,IF(LEFT($A284,3)="icp",SUMIFS('BASE-ICP'!$K:$K,'BASE-ICP'!$A:$A,Capex!$A287,'BASE-ICP'!$B:$B,"março")/1000,"")),"")</f>
        <v>0</v>
      </c>
      <c r="CA284" s="427">
        <v>0</v>
      </c>
      <c r="CB284" s="372">
        <v>0</v>
      </c>
      <c r="CC284" s="422"/>
      <c r="CD284" s="423">
        <f>IFERROR(IF(LEFT($A284,3)="Lcp",SUMIFS('BASE-LCP'!$K:$K,'BASE-LCP'!$A:$A,Capex!$A287,'BASE-LCP'!$B:$B,"abril")/1000,IF(LEFT($A284,3)="icp",SUMIFS('BASE-ICP'!$K:$K,'BASE-ICP'!$A:$A,Capex!$A287,'BASE-ICP'!$B:$B,"abril")/1000,"")),"")</f>
        <v>0</v>
      </c>
      <c r="CE284" s="427">
        <v>0</v>
      </c>
      <c r="CF284" s="372">
        <v>0</v>
      </c>
      <c r="CG284" s="419"/>
      <c r="CH284" s="423">
        <v>0</v>
      </c>
      <c r="CI284" s="427">
        <v>0</v>
      </c>
      <c r="CJ284" s="372">
        <v>0</v>
      </c>
      <c r="CK284" s="419"/>
      <c r="CL284" s="423">
        <f>IFERROR(IF(LEFT($A284,3)="Lcp",SUMIFS('BASE-LCP'!$K:$K,'BASE-LCP'!$A:$A,Capex!$A287,'BASE-LCP'!$B:$B,"junho")/1000,IF(LEFT($A284,3)="icp",SUMIFS('BASE-ICP'!$K:$K,'BASE-ICP'!$A:$A,Capex!$A287,'BASE-ICP'!$B:$B,"junho")/1000,"")),"")</f>
        <v>0</v>
      </c>
      <c r="CM284" s="427">
        <v>0</v>
      </c>
      <c r="CN284" s="372"/>
      <c r="CO284" s="419"/>
      <c r="CP284" s="423">
        <f>IFERROR(IF(LEFT($A284,3)="Lcp",SUMIFS('BASE-LCP'!$K:$K,'BASE-LCP'!$A:$A,Capex!$A287,'BASE-LCP'!$B:$B,"julho")/1000,IF(LEFT($A284,3)="icp",SUMIFS('BASE-ICP'!$K:$K,'BASE-ICP'!$A:$A,Capex!$A287,'BASE-ICP'!$B:$B,"julho")/1000,"")),"")</f>
        <v>0</v>
      </c>
      <c r="CQ284" s="427">
        <v>0</v>
      </c>
      <c r="CR284" s="372"/>
      <c r="CS284" s="419"/>
      <c r="CT284" s="423">
        <f>IFERROR(IF(LEFT($A284,3)="Lcp",SUMIFS('BASE-LCP'!$K:$K,'BASE-LCP'!$A:$A,Capex!$A287,'BASE-LCP'!$B:$B,"agosto")/1000,IF(LEFT($A284,3)="icp",SUMIFS('BASE-ICP'!$K:$K,'BASE-ICP'!$A:$A,Capex!$A287,'BASE-ICP'!$B:$B,"agosto")/1000,"")),"")</f>
        <v>0</v>
      </c>
      <c r="CU284" s="427">
        <v>0</v>
      </c>
      <c r="CV284" s="372"/>
      <c r="CW284" s="419"/>
      <c r="CX284" s="423">
        <f>IFERROR(IF(LEFT($A284,3)="Lcp",SUMIFS('BASE-LCP'!$K:$K,'BASE-LCP'!$A:$A,Capex!$A287,'BASE-LCP'!$B:$B,"setembro")/1000,IF(LEFT($A284,3)="icp",SUMIFS('BASE-ICP'!$K:$K,'BASE-ICP'!$A:$A,Capex!$A287,'BASE-ICP'!$B:$B,"setembro")/1000,"")),"")</f>
        <v>0</v>
      </c>
      <c r="CY284" s="427">
        <v>0</v>
      </c>
      <c r="CZ284" s="372"/>
      <c r="DA284" s="419"/>
      <c r="DB284" s="423">
        <f>IFERROR(IF(LEFT($A284,3)="Lcp",SUMIFS('BASE-LCP'!$K:$K,'BASE-LCP'!$A:$A,Capex!$A287,'BASE-LCP'!$B:$B,"outubro")/1000,IF(LEFT($A284,3)="icp",SUMIFS('BASE-ICP'!$K:$K,'BASE-ICP'!$A:$A,Capex!$A287,'BASE-ICP'!$B:$B,"outubro")/1000,"")),"")</f>
        <v>0</v>
      </c>
      <c r="DC284" s="427">
        <v>0</v>
      </c>
      <c r="DD284" s="372"/>
      <c r="DE284" s="419"/>
      <c r="DF284" s="423">
        <f>IFERROR(IF(LEFT($A284,3)="Lcp",SUMIFS('BASE-LCP'!$K:$K,'BASE-LCP'!$A:$A,Capex!$A287,'BASE-LCP'!$B:$B,"novembro")/1000,IF(LEFT($A284,3)="icp",SUMIFS('BASE-ICP'!$K:$K,'BASE-ICP'!$A:$A,Capex!$A287,'BASE-ICP'!$B:$B,"novembro")/1000,"")),"")</f>
        <v>0</v>
      </c>
      <c r="DG284" s="427">
        <v>0</v>
      </c>
      <c r="DH284" s="372"/>
      <c r="DI284" s="419"/>
      <c r="DJ284" s="423">
        <f>IFERROR(IF(LEFT($A284,3)="Lcp",SUMIFS('BASE-LCP'!$K:$K,'BASE-LCP'!$A:$A,Capex!$A287,'BASE-LCP'!$B:$B,"dezembro")/1000,IF(LEFT($A284,3)="icp",SUMIFS('BASE-ICP'!$K:$K,'BASE-ICP'!$A:$A,Capex!$A287,'BASE-ICP'!$B:$B,"dezembro")/1000,"")),"")</f>
        <v>0</v>
      </c>
      <c r="DK284" s="427">
        <v>0</v>
      </c>
      <c r="DL284" s="452">
        <f t="shared" si="154"/>
        <v>0</v>
      </c>
      <c r="DM284" s="374"/>
      <c r="DN284" s="374"/>
      <c r="DO284" s="374"/>
      <c r="DP284" s="374"/>
      <c r="DQ284" s="374"/>
      <c r="DR284" s="374"/>
      <c r="DS284" s="374"/>
      <c r="DT284" s="374"/>
      <c r="DU284" s="374"/>
      <c r="DV284" s="374"/>
      <c r="DW284" s="374"/>
      <c r="DX284" s="374"/>
      <c r="DY284" s="450"/>
      <c r="DZ284" s="374">
        <f t="shared" si="155"/>
        <v>0</v>
      </c>
      <c r="EA284" s="216">
        <f t="shared" si="156"/>
        <v>0</v>
      </c>
      <c r="EB284" s="320">
        <f t="shared" si="157"/>
        <v>0</v>
      </c>
      <c r="EC284" s="241">
        <f t="shared" si="158"/>
        <v>0</v>
      </c>
      <c r="ED284" s="241">
        <f t="shared" si="159"/>
        <v>0</v>
      </c>
      <c r="EE284" s="241">
        <f t="shared" si="160"/>
        <v>0</v>
      </c>
      <c r="EF284" s="241">
        <f t="shared" si="161"/>
        <v>0</v>
      </c>
      <c r="EG284" s="346">
        <f t="shared" si="162"/>
        <v>0</v>
      </c>
      <c r="EH284" s="445">
        <f t="shared" si="163"/>
        <v>0</v>
      </c>
      <c r="EI284" s="447">
        <f t="shared" si="164"/>
        <v>0</v>
      </c>
      <c r="EJ284" s="364">
        <f t="shared" si="165"/>
        <v>0</v>
      </c>
      <c r="EK284" s="365">
        <f t="shared" si="166"/>
        <v>0</v>
      </c>
      <c r="EL284" s="529">
        <f t="shared" si="167"/>
        <v>0</v>
      </c>
      <c r="EM284" s="530">
        <v>0</v>
      </c>
      <c r="EN284" s="530">
        <v>0</v>
      </c>
      <c r="EO284" s="530">
        <v>0</v>
      </c>
      <c r="EP284" s="530">
        <v>0</v>
      </c>
      <c r="EQ284" s="530">
        <v>0</v>
      </c>
      <c r="ER284" s="530">
        <v>0</v>
      </c>
      <c r="ES284" s="530">
        <v>0</v>
      </c>
      <c r="ET284" s="530">
        <v>0</v>
      </c>
      <c r="EU284" s="530">
        <v>0</v>
      </c>
      <c r="EV284" s="530">
        <v>0</v>
      </c>
      <c r="EW284" s="530">
        <v>0</v>
      </c>
      <c r="EX284" s="530">
        <v>0</v>
      </c>
      <c r="EY284" s="530">
        <f t="shared" si="168"/>
        <v>0</v>
      </c>
      <c r="EZ284" s="530">
        <f t="shared" si="169"/>
        <v>0</v>
      </c>
      <c r="FA284" s="530">
        <f t="shared" si="170"/>
        <v>0</v>
      </c>
      <c r="FB284" s="530">
        <f t="shared" si="171"/>
        <v>0</v>
      </c>
      <c r="FC284" s="384">
        <f>IFERROR(VLOOKUP(Capex!A287,BASE_558!D:R,8,FALSE)/1000,"")</f>
        <v>98.357439999999997</v>
      </c>
      <c r="FD284" s="328">
        <f>IFERROR(VLOOKUP(Capex!A287,BASE_558!D:R,9,)/1000,"")</f>
        <v>92.033799999999999</v>
      </c>
      <c r="FE284" s="328">
        <f>IFERROR(IF(LEFT(A284,3)="LCP",(VLOOKUP(Capex!A287,BASE_558!D:R,10,)/1000),SUMIFS('BASE ICP_PO_SC'!F:F,'BASE ICP_PO_SC'!A:A,Capex!A287,'BASE ICP_PO_SC'!E:E,"&lt;&gt;")/1000),"")</f>
        <v>0</v>
      </c>
      <c r="FF284" s="328">
        <f>IFERROR(IF(LEFT(A284,3)="LCP",(VLOOKUP(Capex!A287,BASE_558!D:R,11,)/1000),SUMIFS('BASE ICP_PO_SC'!F:F,'BASE ICP_PO_SC'!A:A,Capex!A287,'BASE ICP_PO_SC'!E:E,"")/1000),"")</f>
        <v>0</v>
      </c>
      <c r="FG284" s="328">
        <f>IFERROR(VLOOKUP(A284,BASE_558!D:R,13,FALSE)/1000,"")</f>
        <v>55.634980000000006</v>
      </c>
      <c r="FH284" s="328">
        <f>IFERROR(VLOOKUP(A284,BASE_558!D:R,15,FALSE)/1000,"")</f>
        <v>10.305020000000001</v>
      </c>
      <c r="FI284" s="547">
        <f t="shared" si="172"/>
        <v>0</v>
      </c>
      <c r="FJ284" s="547">
        <f t="shared" si="173"/>
        <v>0</v>
      </c>
      <c r="FK284" s="540">
        <f t="shared" si="174"/>
        <v>0</v>
      </c>
    </row>
    <row r="285" spans="1:167" s="23" customFormat="1" ht="24" customHeight="1">
      <c r="A285" s="84" t="s">
        <v>1649</v>
      </c>
      <c r="B285" s="404"/>
      <c r="C285" s="404">
        <v>111848</v>
      </c>
      <c r="D285" s="338" t="s">
        <v>2307</v>
      </c>
      <c r="E285" s="378">
        <v>5985846</v>
      </c>
      <c r="F285" s="310"/>
      <c r="G285" s="310" t="s">
        <v>9</v>
      </c>
      <c r="H285" s="356" t="s">
        <v>6</v>
      </c>
      <c r="I285" s="356" t="s">
        <v>6</v>
      </c>
      <c r="J285" s="356">
        <v>2022</v>
      </c>
      <c r="K285" s="352">
        <v>44805</v>
      </c>
      <c r="L285" s="317">
        <v>45580</v>
      </c>
      <c r="M285" s="409"/>
      <c r="N285" s="317">
        <f t="shared" si="177"/>
        <v>45717</v>
      </c>
      <c r="O285" s="317">
        <f t="shared" si="178"/>
        <v>46082</v>
      </c>
      <c r="P285" s="418" t="str">
        <f t="shared" ref="P285:AA294" si="181">IF($N285="","N/A",IF($O285="","N/A",IF(P$2&lt;=$N285,"NÃO",IF($AJ285="REL ","SIM",IF(P$2&lt;$O285,"NÃO",IF($AJ285&lt;&gt;"CLSD","SIM","CRTD"))))))</f>
        <v>NÃO</v>
      </c>
      <c r="Q285" s="418" t="str">
        <f t="shared" si="181"/>
        <v>NÃO</v>
      </c>
      <c r="R285" s="418" t="str">
        <f t="shared" si="181"/>
        <v>NÃO</v>
      </c>
      <c r="S285" s="418" t="str">
        <f t="shared" si="181"/>
        <v>NÃO</v>
      </c>
      <c r="T285" s="418" t="str">
        <f t="shared" si="181"/>
        <v>NÃO</v>
      </c>
      <c r="U285" s="418" t="str">
        <f t="shared" si="181"/>
        <v>NÃO</v>
      </c>
      <c r="V285" s="418" t="str">
        <f t="shared" si="181"/>
        <v>NÃO</v>
      </c>
      <c r="W285" s="418" t="str">
        <f t="shared" si="181"/>
        <v>NÃO</v>
      </c>
      <c r="X285" s="418" t="str">
        <f t="shared" si="181"/>
        <v>NÃO</v>
      </c>
      <c r="Y285" s="418" t="str">
        <f t="shared" si="181"/>
        <v>NÃO</v>
      </c>
      <c r="Z285" s="418" t="str">
        <f t="shared" si="181"/>
        <v>NÃO</v>
      </c>
      <c r="AA285" s="418" t="str">
        <f t="shared" si="181"/>
        <v>NÃO</v>
      </c>
      <c r="AB285" s="350"/>
      <c r="AC285" s="309" t="s">
        <v>3932</v>
      </c>
      <c r="AD285" s="311" t="s">
        <v>223</v>
      </c>
      <c r="AE285" s="361" t="s">
        <v>186</v>
      </c>
      <c r="AF285" s="310" t="s">
        <v>6985</v>
      </c>
      <c r="AG285" s="310" t="s">
        <v>9083</v>
      </c>
      <c r="AH285" s="310" t="s">
        <v>1650</v>
      </c>
      <c r="AI285" s="309" t="s">
        <v>186</v>
      </c>
      <c r="AJ285" s="6" t="s">
        <v>218</v>
      </c>
      <c r="AK285" s="6" t="str">
        <f t="shared" si="152"/>
        <v>IGUAL</v>
      </c>
      <c r="AL285" s="151" t="str">
        <f>IFERROR(IF(LEFT(A285,3)="LCP",VLOOKUP(A285,STATUS_SAP_LCP!B:C,2,FALSE),VLOOKUP(A285,STATUS_SAP_ICP!B:C,2,FALSE)),"NO BUDGET")</f>
        <v>CLSD BUDG AUC  AVAC  //  APPR BREL EXPL</v>
      </c>
      <c r="AM285" s="6" t="str">
        <f t="shared" si="151"/>
        <v>CLSD</v>
      </c>
      <c r="AN285" s="428" t="s">
        <v>9089</v>
      </c>
      <c r="AO285" s="493">
        <v>1</v>
      </c>
      <c r="AP285" s="499" t="s">
        <v>9607</v>
      </c>
      <c r="AQ285" s="465">
        <v>45580</v>
      </c>
      <c r="AR285" s="460"/>
      <c r="AS285" s="57"/>
      <c r="AT285" s="185"/>
      <c r="AU285" s="318"/>
      <c r="AV285" s="223">
        <v>63.599440000000001</v>
      </c>
      <c r="AW285" s="318">
        <v>9.3356099999999991</v>
      </c>
      <c r="AX285" s="223">
        <v>0</v>
      </c>
      <c r="AY285" s="318">
        <f t="shared" si="179"/>
        <v>0</v>
      </c>
      <c r="AZ285" s="223"/>
      <c r="BA285" s="318"/>
      <c r="BB285" s="519">
        <f t="shared" si="180"/>
        <v>0</v>
      </c>
      <c r="BC285" s="518">
        <v>0</v>
      </c>
      <c r="BD285" s="518">
        <v>0</v>
      </c>
      <c r="BE285" s="518">
        <v>0</v>
      </c>
      <c r="BF285" s="518">
        <v>0</v>
      </c>
      <c r="BG285" s="518">
        <v>0</v>
      </c>
      <c r="BH285" s="518">
        <v>0</v>
      </c>
      <c r="BI285" s="518">
        <v>0</v>
      </c>
      <c r="BJ285" s="518">
        <v>0</v>
      </c>
      <c r="BK285" s="518">
        <v>0</v>
      </c>
      <c r="BL285" s="518">
        <v>0</v>
      </c>
      <c r="BM285" s="518">
        <v>0</v>
      </c>
      <c r="BN285" s="518">
        <v>0</v>
      </c>
      <c r="BO285" s="367">
        <f t="shared" si="153"/>
        <v>0</v>
      </c>
      <c r="BP285" s="421">
        <v>0</v>
      </c>
      <c r="BQ285" s="422"/>
      <c r="BR285" s="423">
        <f>IFERROR(IF(LEFT($A285,3)="Lcp",SUMIFS('BASE-LCP'!$K:$K,'BASE-LCP'!$A:$A,Capex!$A288,'BASE-LCP'!$B:$B,"janeiro")/1000,IF(LEFT($A285,3)="icp",SUMIFS('BASE-ICP'!$K:$K,'BASE-ICP'!$A:$A,Capex!$A288,'BASE-ICP'!$B:$B,"janeiro")/1000,"")),"")</f>
        <v>0</v>
      </c>
      <c r="BS285" s="427">
        <v>0</v>
      </c>
      <c r="BT285" s="372">
        <v>0</v>
      </c>
      <c r="BU285" s="422"/>
      <c r="BV285" s="423">
        <f>IFERROR(IF(LEFT($A285,3)="Lcp",SUMIFS('BASE-LCP'!$K:$K,'BASE-LCP'!$A:$A,Capex!$A288,'BASE-LCP'!$B:$B,"fevereiro")/1000,IF(LEFT($A285,3)="icp",SUMIFS('BASE-ICP'!$K:$K,'BASE-ICP'!$A:$A,Capex!$A288,'BASE-ICP'!$B:$B,"fevereiro")/1000,"")),"")</f>
        <v>0</v>
      </c>
      <c r="BW285" s="427">
        <v>0</v>
      </c>
      <c r="BX285" s="372">
        <v>0</v>
      </c>
      <c r="BY285" s="419"/>
      <c r="BZ285" s="423">
        <f>IFERROR(IF(LEFT($A285,3)="Lcp",SUMIFS('BASE-LCP'!$K:$K,'BASE-LCP'!$A:$A,Capex!$A288,'BASE-LCP'!$B:$B,"março")/1000,IF(LEFT($A285,3)="icp",SUMIFS('BASE-ICP'!$K:$K,'BASE-ICP'!$A:$A,Capex!$A288,'BASE-ICP'!$B:$B,"março")/1000,"")),"")</f>
        <v>0</v>
      </c>
      <c r="CA285" s="427">
        <v>0</v>
      </c>
      <c r="CB285" s="372">
        <v>0</v>
      </c>
      <c r="CC285" s="422"/>
      <c r="CD285" s="423">
        <f>IFERROR(IF(LEFT($A285,3)="Lcp",SUMIFS('BASE-LCP'!$K:$K,'BASE-LCP'!$A:$A,Capex!$A288,'BASE-LCP'!$B:$B,"abril")/1000,IF(LEFT($A285,3)="icp",SUMIFS('BASE-ICP'!$K:$K,'BASE-ICP'!$A:$A,Capex!$A288,'BASE-ICP'!$B:$B,"abril")/1000,"")),"")</f>
        <v>0</v>
      </c>
      <c r="CE285" s="427">
        <v>0</v>
      </c>
      <c r="CF285" s="372">
        <v>0</v>
      </c>
      <c r="CG285" s="419"/>
      <c r="CH285" s="423">
        <v>0</v>
      </c>
      <c r="CI285" s="427">
        <v>0</v>
      </c>
      <c r="CJ285" s="372">
        <v>0</v>
      </c>
      <c r="CK285" s="419"/>
      <c r="CL285" s="423">
        <f>IFERROR(IF(LEFT($A285,3)="Lcp",SUMIFS('BASE-LCP'!$K:$K,'BASE-LCP'!$A:$A,Capex!$A288,'BASE-LCP'!$B:$B,"junho")/1000,IF(LEFT($A285,3)="icp",SUMIFS('BASE-ICP'!$K:$K,'BASE-ICP'!$A:$A,Capex!$A288,'BASE-ICP'!$B:$B,"junho")/1000,"")),"")</f>
        <v>0</v>
      </c>
      <c r="CM285" s="427">
        <v>0</v>
      </c>
      <c r="CN285" s="372"/>
      <c r="CO285" s="419"/>
      <c r="CP285" s="423">
        <f>IFERROR(IF(LEFT($A285,3)="Lcp",SUMIFS('BASE-LCP'!$K:$K,'BASE-LCP'!$A:$A,Capex!$A288,'BASE-LCP'!$B:$B,"julho")/1000,IF(LEFT($A285,3)="icp",SUMIFS('BASE-ICP'!$K:$K,'BASE-ICP'!$A:$A,Capex!$A288,'BASE-ICP'!$B:$B,"julho")/1000,"")),"")</f>
        <v>0</v>
      </c>
      <c r="CQ285" s="427">
        <v>0</v>
      </c>
      <c r="CR285" s="372"/>
      <c r="CS285" s="419"/>
      <c r="CT285" s="423">
        <f>IFERROR(IF(LEFT($A285,3)="Lcp",SUMIFS('BASE-LCP'!$K:$K,'BASE-LCP'!$A:$A,Capex!$A288,'BASE-LCP'!$B:$B,"agosto")/1000,IF(LEFT($A285,3)="icp",SUMIFS('BASE-ICP'!$K:$K,'BASE-ICP'!$A:$A,Capex!$A288,'BASE-ICP'!$B:$B,"agosto")/1000,"")),"")</f>
        <v>0</v>
      </c>
      <c r="CU285" s="427">
        <v>0</v>
      </c>
      <c r="CV285" s="372"/>
      <c r="CW285" s="419"/>
      <c r="CX285" s="423">
        <f>IFERROR(IF(LEFT($A285,3)="Lcp",SUMIFS('BASE-LCP'!$K:$K,'BASE-LCP'!$A:$A,Capex!$A288,'BASE-LCP'!$B:$B,"setembro")/1000,IF(LEFT($A285,3)="icp",SUMIFS('BASE-ICP'!$K:$K,'BASE-ICP'!$A:$A,Capex!$A288,'BASE-ICP'!$B:$B,"setembro")/1000,"")),"")</f>
        <v>0</v>
      </c>
      <c r="CY285" s="427">
        <v>0</v>
      </c>
      <c r="CZ285" s="372"/>
      <c r="DA285" s="419"/>
      <c r="DB285" s="423">
        <f>IFERROR(IF(LEFT($A285,3)="Lcp",SUMIFS('BASE-LCP'!$K:$K,'BASE-LCP'!$A:$A,Capex!$A288,'BASE-LCP'!$B:$B,"outubro")/1000,IF(LEFT($A285,3)="icp",SUMIFS('BASE-ICP'!$K:$K,'BASE-ICP'!$A:$A,Capex!$A288,'BASE-ICP'!$B:$B,"outubro")/1000,"")),"")</f>
        <v>0</v>
      </c>
      <c r="DC285" s="427">
        <v>0</v>
      </c>
      <c r="DD285" s="372"/>
      <c r="DE285" s="419"/>
      <c r="DF285" s="423">
        <f>IFERROR(IF(LEFT($A285,3)="Lcp",SUMIFS('BASE-LCP'!$K:$K,'BASE-LCP'!$A:$A,Capex!$A288,'BASE-LCP'!$B:$B,"novembro")/1000,IF(LEFT($A285,3)="icp",SUMIFS('BASE-ICP'!$K:$K,'BASE-ICP'!$A:$A,Capex!$A288,'BASE-ICP'!$B:$B,"novembro")/1000,"")),"")</f>
        <v>0</v>
      </c>
      <c r="DG285" s="427">
        <v>0</v>
      </c>
      <c r="DH285" s="372"/>
      <c r="DI285" s="419"/>
      <c r="DJ285" s="423">
        <f>IFERROR(IF(LEFT($A285,3)="Lcp",SUMIFS('BASE-LCP'!$K:$K,'BASE-LCP'!$A:$A,Capex!$A288,'BASE-LCP'!$B:$B,"dezembro")/1000,IF(LEFT($A285,3)="icp",SUMIFS('BASE-ICP'!$K:$K,'BASE-ICP'!$A:$A,Capex!$A288,'BASE-ICP'!$B:$B,"dezembro")/1000,"")),"")</f>
        <v>0</v>
      </c>
      <c r="DK285" s="427">
        <v>0</v>
      </c>
      <c r="DL285" s="452">
        <f t="shared" si="154"/>
        <v>0</v>
      </c>
      <c r="DM285" s="374"/>
      <c r="DN285" s="374">
        <v>0</v>
      </c>
      <c r="DO285" s="374"/>
      <c r="DP285" s="374"/>
      <c r="DQ285" s="374"/>
      <c r="DR285" s="374"/>
      <c r="DS285" s="374"/>
      <c r="DT285" s="374"/>
      <c r="DU285" s="374"/>
      <c r="DV285" s="374"/>
      <c r="DW285" s="374"/>
      <c r="DX285" s="374"/>
      <c r="DY285" s="450"/>
      <c r="DZ285" s="374">
        <f t="shared" si="155"/>
        <v>0</v>
      </c>
      <c r="EA285" s="216">
        <f t="shared" si="156"/>
        <v>0</v>
      </c>
      <c r="EB285" s="320">
        <f t="shared" si="157"/>
        <v>0</v>
      </c>
      <c r="EC285" s="241">
        <f t="shared" si="158"/>
        <v>0</v>
      </c>
      <c r="ED285" s="241">
        <f t="shared" si="159"/>
        <v>0</v>
      </c>
      <c r="EE285" s="241">
        <f t="shared" si="160"/>
        <v>0</v>
      </c>
      <c r="EF285" s="241">
        <f t="shared" si="161"/>
        <v>0</v>
      </c>
      <c r="EG285" s="346">
        <f t="shared" si="162"/>
        <v>0</v>
      </c>
      <c r="EH285" s="445">
        <f t="shared" si="163"/>
        <v>0</v>
      </c>
      <c r="EI285" s="447">
        <f t="shared" si="164"/>
        <v>0</v>
      </c>
      <c r="EJ285" s="364">
        <f t="shared" si="165"/>
        <v>0</v>
      </c>
      <c r="EK285" s="365">
        <f t="shared" si="166"/>
        <v>0</v>
      </c>
      <c r="EL285" s="529">
        <f t="shared" si="167"/>
        <v>0</v>
      </c>
      <c r="EM285" s="530">
        <v>0</v>
      </c>
      <c r="EN285" s="530">
        <v>0</v>
      </c>
      <c r="EO285" s="530">
        <v>0</v>
      </c>
      <c r="EP285" s="530">
        <v>0</v>
      </c>
      <c r="EQ285" s="530">
        <v>0</v>
      </c>
      <c r="ER285" s="530">
        <v>0</v>
      </c>
      <c r="ES285" s="530">
        <v>0</v>
      </c>
      <c r="ET285" s="530">
        <v>0</v>
      </c>
      <c r="EU285" s="530">
        <v>0</v>
      </c>
      <c r="EV285" s="530">
        <v>0</v>
      </c>
      <c r="EW285" s="530">
        <v>0</v>
      </c>
      <c r="EX285" s="530">
        <v>0</v>
      </c>
      <c r="EY285" s="530">
        <f t="shared" si="168"/>
        <v>0</v>
      </c>
      <c r="EZ285" s="530">
        <f t="shared" si="169"/>
        <v>0</v>
      </c>
      <c r="FA285" s="530">
        <f t="shared" si="170"/>
        <v>0</v>
      </c>
      <c r="FB285" s="530">
        <f t="shared" si="171"/>
        <v>0</v>
      </c>
      <c r="FC285" s="384">
        <f>IFERROR(VLOOKUP(Capex!A288,BASE_558!D:R,8,FALSE)/1000,"")</f>
        <v>162.81085999999999</v>
      </c>
      <c r="FD285" s="328">
        <f>IFERROR(VLOOKUP(Capex!A288,BASE_558!D:R,9,)/1000,"")</f>
        <v>162.40698</v>
      </c>
      <c r="FE285" s="328">
        <f>IFERROR(IF(LEFT(A285,3)="LCP",(VLOOKUP(Capex!A288,BASE_558!D:R,10,)/1000),SUMIFS('BASE ICP_PO_SC'!F:F,'BASE ICP_PO_SC'!A:A,Capex!A288,'BASE ICP_PO_SC'!E:E,"&lt;&gt;")/1000),"")</f>
        <v>0</v>
      </c>
      <c r="FF285" s="328">
        <f>IFERROR(IF(LEFT(A285,3)="LCP",(VLOOKUP(Capex!A288,BASE_558!D:R,11,)/1000),SUMIFS('BASE ICP_PO_SC'!F:F,'BASE ICP_PO_SC'!A:A,Capex!A288,'BASE ICP_PO_SC'!E:E,"")/1000),"")</f>
        <v>0</v>
      </c>
      <c r="FG285" s="328">
        <f>IFERROR(VLOOKUP(A285,BASE_558!D:R,13,FALSE)/1000,"")</f>
        <v>72.935050000000004</v>
      </c>
      <c r="FH285" s="328">
        <f>IFERROR(VLOOKUP(A285,BASE_558!D:R,15,FALSE)/1000,"")</f>
        <v>5.0939499999999995</v>
      </c>
      <c r="FI285" s="547">
        <f t="shared" si="172"/>
        <v>0</v>
      </c>
      <c r="FJ285" s="547">
        <f t="shared" si="173"/>
        <v>0</v>
      </c>
      <c r="FK285" s="540">
        <f t="shared" si="174"/>
        <v>0</v>
      </c>
    </row>
    <row r="286" spans="1:167" s="23" customFormat="1" ht="24" customHeight="1">
      <c r="A286" s="84" t="s">
        <v>2308</v>
      </c>
      <c r="B286" s="404"/>
      <c r="C286" s="404">
        <v>18832</v>
      </c>
      <c r="D286" s="338" t="s">
        <v>2309</v>
      </c>
      <c r="E286" s="378">
        <v>5987051</v>
      </c>
      <c r="F286" s="5"/>
      <c r="G286" s="310" t="s">
        <v>9</v>
      </c>
      <c r="H286" s="356" t="s">
        <v>6</v>
      </c>
      <c r="I286" s="356" t="s">
        <v>6</v>
      </c>
      <c r="J286" s="356">
        <v>2022</v>
      </c>
      <c r="K286" s="352">
        <v>44805</v>
      </c>
      <c r="L286" s="317">
        <v>45593</v>
      </c>
      <c r="M286" s="409" t="s">
        <v>6808</v>
      </c>
      <c r="N286" s="317">
        <f t="shared" si="177"/>
        <v>45717</v>
      </c>
      <c r="O286" s="317">
        <f t="shared" si="178"/>
        <v>46082</v>
      </c>
      <c r="P286" s="418" t="str">
        <f t="shared" si="181"/>
        <v>NÃO</v>
      </c>
      <c r="Q286" s="418" t="str">
        <f t="shared" si="181"/>
        <v>NÃO</v>
      </c>
      <c r="R286" s="418" t="str">
        <f t="shared" si="181"/>
        <v>NÃO</v>
      </c>
      <c r="S286" s="418" t="str">
        <f t="shared" si="181"/>
        <v>NÃO</v>
      </c>
      <c r="T286" s="418" t="str">
        <f t="shared" si="181"/>
        <v>NÃO</v>
      </c>
      <c r="U286" s="418" t="str">
        <f t="shared" si="181"/>
        <v>NÃO</v>
      </c>
      <c r="V286" s="418" t="str">
        <f t="shared" si="181"/>
        <v>NÃO</v>
      </c>
      <c r="W286" s="418" t="str">
        <f t="shared" si="181"/>
        <v>NÃO</v>
      </c>
      <c r="X286" s="418" t="str">
        <f t="shared" si="181"/>
        <v>NÃO</v>
      </c>
      <c r="Y286" s="418" t="str">
        <f t="shared" si="181"/>
        <v>NÃO</v>
      </c>
      <c r="Z286" s="418" t="str">
        <f t="shared" si="181"/>
        <v>NÃO</v>
      </c>
      <c r="AA286" s="418" t="str">
        <f t="shared" si="181"/>
        <v>NÃO</v>
      </c>
      <c r="AB286" s="350"/>
      <c r="AC286" s="309" t="s">
        <v>3932</v>
      </c>
      <c r="AD286" s="311" t="s">
        <v>982</v>
      </c>
      <c r="AE286" s="361" t="s">
        <v>2261</v>
      </c>
      <c r="AF286" s="310" t="s">
        <v>6985</v>
      </c>
      <c r="AG286" s="310" t="s">
        <v>2186</v>
      </c>
      <c r="AH286" s="310" t="s">
        <v>2310</v>
      </c>
      <c r="AI286" s="309" t="s">
        <v>2255</v>
      </c>
      <c r="AJ286" s="6" t="s">
        <v>218</v>
      </c>
      <c r="AK286" s="6" t="str">
        <f t="shared" si="152"/>
        <v>IGUAL</v>
      </c>
      <c r="AL286" s="151" t="str">
        <f>IFERROR(IF(LEFT(A286,3)="LCP",VLOOKUP(A286,STATUS_SAP_LCP!B:C,2,FALSE),VLOOKUP(A286,STATUS_SAP_ICP!B:C,2,FALSE)),"NO BUDGET")</f>
        <v>CLSD BUDG AUC  AVAC  //  APPR BREL EXPL</v>
      </c>
      <c r="AM286" s="6" t="str">
        <f t="shared" si="151"/>
        <v>CLSD</v>
      </c>
      <c r="AN286" s="282" t="s">
        <v>2651</v>
      </c>
      <c r="AO286" s="493">
        <v>1</v>
      </c>
      <c r="AP286" s="499" t="s">
        <v>9607</v>
      </c>
      <c r="AQ286" s="465">
        <v>45593</v>
      </c>
      <c r="AR286" s="460"/>
      <c r="AS286" s="57"/>
      <c r="AT286" s="185"/>
      <c r="AU286" s="318"/>
      <c r="AV286" s="223">
        <v>0</v>
      </c>
      <c r="AW286" s="318">
        <v>85.217039999999997</v>
      </c>
      <c r="AX286" s="223">
        <v>41.350259999999999</v>
      </c>
      <c r="AY286" s="318">
        <f t="shared" si="179"/>
        <v>0</v>
      </c>
      <c r="AZ286" s="223"/>
      <c r="BA286" s="318"/>
      <c r="BB286" s="519">
        <f t="shared" si="180"/>
        <v>0</v>
      </c>
      <c r="BC286" s="518">
        <v>0</v>
      </c>
      <c r="BD286" s="518">
        <v>0</v>
      </c>
      <c r="BE286" s="518">
        <v>0</v>
      </c>
      <c r="BF286" s="518">
        <v>0</v>
      </c>
      <c r="BG286" s="518">
        <v>0</v>
      </c>
      <c r="BH286" s="518">
        <v>0</v>
      </c>
      <c r="BI286" s="518">
        <v>0</v>
      </c>
      <c r="BJ286" s="518">
        <v>0</v>
      </c>
      <c r="BK286" s="518">
        <v>0</v>
      </c>
      <c r="BL286" s="518">
        <v>0</v>
      </c>
      <c r="BM286" s="518">
        <v>0</v>
      </c>
      <c r="BN286" s="518">
        <v>0</v>
      </c>
      <c r="BO286" s="367">
        <f t="shared" si="153"/>
        <v>0</v>
      </c>
      <c r="BP286" s="421">
        <v>0</v>
      </c>
      <c r="BQ286" s="422"/>
      <c r="BR286" s="423">
        <f>IFERROR(IF(LEFT($A286,3)="Lcp",SUMIFS('BASE-LCP'!$K:$K,'BASE-LCP'!$A:$A,Capex!$A289,'BASE-LCP'!$B:$B,"janeiro")/1000,IF(LEFT($A286,3)="icp",SUMIFS('BASE-ICP'!$K:$K,'BASE-ICP'!$A:$A,Capex!$A289,'BASE-ICP'!$B:$B,"janeiro")/1000,"")),"")</f>
        <v>0</v>
      </c>
      <c r="BS286" s="427">
        <v>0</v>
      </c>
      <c r="BT286" s="372">
        <v>0</v>
      </c>
      <c r="BU286" s="422"/>
      <c r="BV286" s="423">
        <f>IFERROR(IF(LEFT($A286,3)="Lcp",SUMIFS('BASE-LCP'!$K:$K,'BASE-LCP'!$A:$A,Capex!$A289,'BASE-LCP'!$B:$B,"fevereiro")/1000,IF(LEFT($A286,3)="icp",SUMIFS('BASE-ICP'!$K:$K,'BASE-ICP'!$A:$A,Capex!$A289,'BASE-ICP'!$B:$B,"fevereiro")/1000,"")),"")</f>
        <v>0</v>
      </c>
      <c r="BW286" s="427">
        <v>0</v>
      </c>
      <c r="BX286" s="372">
        <v>0</v>
      </c>
      <c r="BY286" s="419"/>
      <c r="BZ286" s="423">
        <f>IFERROR(IF(LEFT($A286,3)="Lcp",SUMIFS('BASE-LCP'!$K:$K,'BASE-LCP'!$A:$A,Capex!$A289,'BASE-LCP'!$B:$B,"março")/1000,IF(LEFT($A286,3)="icp",SUMIFS('BASE-ICP'!$K:$K,'BASE-ICP'!$A:$A,Capex!$A289,'BASE-ICP'!$B:$B,"março")/1000,"")),"")</f>
        <v>0</v>
      </c>
      <c r="CA286" s="427">
        <v>0</v>
      </c>
      <c r="CB286" s="372">
        <v>0</v>
      </c>
      <c r="CC286" s="422"/>
      <c r="CD286" s="423">
        <f>IFERROR(IF(LEFT($A286,3)="Lcp",SUMIFS('BASE-LCP'!$K:$K,'BASE-LCP'!$A:$A,Capex!$A289,'BASE-LCP'!$B:$B,"abril")/1000,IF(LEFT($A286,3)="icp",SUMIFS('BASE-ICP'!$K:$K,'BASE-ICP'!$A:$A,Capex!$A289,'BASE-ICP'!$B:$B,"abril")/1000,"")),"")</f>
        <v>0</v>
      </c>
      <c r="CE286" s="427">
        <v>0</v>
      </c>
      <c r="CF286" s="372">
        <v>0</v>
      </c>
      <c r="CG286" s="419"/>
      <c r="CH286" s="423">
        <v>0</v>
      </c>
      <c r="CI286" s="427">
        <v>0</v>
      </c>
      <c r="CJ286" s="372">
        <v>0</v>
      </c>
      <c r="CK286" s="419"/>
      <c r="CL286" s="423">
        <f>IFERROR(IF(LEFT($A286,3)="Lcp",SUMIFS('BASE-LCP'!$K:$K,'BASE-LCP'!$A:$A,Capex!$A289,'BASE-LCP'!$B:$B,"junho")/1000,IF(LEFT($A286,3)="icp",SUMIFS('BASE-ICP'!$K:$K,'BASE-ICP'!$A:$A,Capex!$A289,'BASE-ICP'!$B:$B,"junho")/1000,"")),"")</f>
        <v>0</v>
      </c>
      <c r="CM286" s="427">
        <v>0</v>
      </c>
      <c r="CN286" s="372"/>
      <c r="CO286" s="419"/>
      <c r="CP286" s="423">
        <f>IFERROR(IF(LEFT($A286,3)="Lcp",SUMIFS('BASE-LCP'!$K:$K,'BASE-LCP'!$A:$A,Capex!$A289,'BASE-LCP'!$B:$B,"julho")/1000,IF(LEFT($A286,3)="icp",SUMIFS('BASE-ICP'!$K:$K,'BASE-ICP'!$A:$A,Capex!$A289,'BASE-ICP'!$B:$B,"julho")/1000,"")),"")</f>
        <v>0</v>
      </c>
      <c r="CQ286" s="427">
        <v>0</v>
      </c>
      <c r="CR286" s="372"/>
      <c r="CS286" s="419"/>
      <c r="CT286" s="423">
        <f>IFERROR(IF(LEFT($A286,3)="Lcp",SUMIFS('BASE-LCP'!$K:$K,'BASE-LCP'!$A:$A,Capex!$A289,'BASE-LCP'!$B:$B,"agosto")/1000,IF(LEFT($A286,3)="icp",SUMIFS('BASE-ICP'!$K:$K,'BASE-ICP'!$A:$A,Capex!$A289,'BASE-ICP'!$B:$B,"agosto")/1000,"")),"")</f>
        <v>0</v>
      </c>
      <c r="CU286" s="427">
        <v>0</v>
      </c>
      <c r="CV286" s="372"/>
      <c r="CW286" s="419"/>
      <c r="CX286" s="423">
        <f>IFERROR(IF(LEFT($A286,3)="Lcp",SUMIFS('BASE-LCP'!$K:$K,'BASE-LCP'!$A:$A,Capex!$A289,'BASE-LCP'!$B:$B,"setembro")/1000,IF(LEFT($A286,3)="icp",SUMIFS('BASE-ICP'!$K:$K,'BASE-ICP'!$A:$A,Capex!$A289,'BASE-ICP'!$B:$B,"setembro")/1000,"")),"")</f>
        <v>0</v>
      </c>
      <c r="CY286" s="427">
        <v>0</v>
      </c>
      <c r="CZ286" s="372"/>
      <c r="DA286" s="419"/>
      <c r="DB286" s="423">
        <f>IFERROR(IF(LEFT($A286,3)="Lcp",SUMIFS('BASE-LCP'!$K:$K,'BASE-LCP'!$A:$A,Capex!$A289,'BASE-LCP'!$B:$B,"outubro")/1000,IF(LEFT($A286,3)="icp",SUMIFS('BASE-ICP'!$K:$K,'BASE-ICP'!$A:$A,Capex!$A289,'BASE-ICP'!$B:$B,"outubro")/1000,"")),"")</f>
        <v>0</v>
      </c>
      <c r="DC286" s="427">
        <v>0</v>
      </c>
      <c r="DD286" s="372"/>
      <c r="DE286" s="419"/>
      <c r="DF286" s="423">
        <f>IFERROR(IF(LEFT($A286,3)="Lcp",SUMIFS('BASE-LCP'!$K:$K,'BASE-LCP'!$A:$A,Capex!$A289,'BASE-LCP'!$B:$B,"novembro")/1000,IF(LEFT($A286,3)="icp",SUMIFS('BASE-ICP'!$K:$K,'BASE-ICP'!$A:$A,Capex!$A289,'BASE-ICP'!$B:$B,"novembro")/1000,"")),"")</f>
        <v>0</v>
      </c>
      <c r="DG286" s="427">
        <v>0</v>
      </c>
      <c r="DH286" s="372"/>
      <c r="DI286" s="419"/>
      <c r="DJ286" s="423">
        <f>IFERROR(IF(LEFT($A286,3)="Lcp",SUMIFS('BASE-LCP'!$K:$K,'BASE-LCP'!$A:$A,Capex!$A289,'BASE-LCP'!$B:$B,"dezembro")/1000,IF(LEFT($A286,3)="icp",SUMIFS('BASE-ICP'!$K:$K,'BASE-ICP'!$A:$A,Capex!$A289,'BASE-ICP'!$B:$B,"dezembro")/1000,"")),"")</f>
        <v>0</v>
      </c>
      <c r="DK286" s="427">
        <v>0</v>
      </c>
      <c r="DL286" s="452">
        <f t="shared" si="154"/>
        <v>0</v>
      </c>
      <c r="DM286" s="374"/>
      <c r="DN286" s="374">
        <v>0</v>
      </c>
      <c r="DO286" s="374"/>
      <c r="DP286" s="374"/>
      <c r="DQ286" s="374"/>
      <c r="DR286" s="374"/>
      <c r="DS286" s="374"/>
      <c r="DT286" s="374"/>
      <c r="DU286" s="374"/>
      <c r="DV286" s="374"/>
      <c r="DW286" s="374"/>
      <c r="DX286" s="374"/>
      <c r="DY286" s="450"/>
      <c r="DZ286" s="374">
        <f t="shared" si="155"/>
        <v>0</v>
      </c>
      <c r="EA286" s="216">
        <f t="shared" si="156"/>
        <v>0</v>
      </c>
      <c r="EB286" s="320">
        <f t="shared" si="157"/>
        <v>0</v>
      </c>
      <c r="EC286" s="241">
        <f t="shared" si="158"/>
        <v>0</v>
      </c>
      <c r="ED286" s="241">
        <f t="shared" si="159"/>
        <v>0</v>
      </c>
      <c r="EE286" s="241">
        <f t="shared" si="160"/>
        <v>0</v>
      </c>
      <c r="EF286" s="241">
        <f t="shared" si="161"/>
        <v>0</v>
      </c>
      <c r="EG286" s="346">
        <f t="shared" si="162"/>
        <v>0</v>
      </c>
      <c r="EH286" s="445">
        <f t="shared" si="163"/>
        <v>0</v>
      </c>
      <c r="EI286" s="447">
        <f t="shared" si="164"/>
        <v>0</v>
      </c>
      <c r="EJ286" s="364">
        <f t="shared" si="165"/>
        <v>0</v>
      </c>
      <c r="EK286" s="365">
        <f t="shared" si="166"/>
        <v>0</v>
      </c>
      <c r="EL286" s="529">
        <f t="shared" si="167"/>
        <v>0</v>
      </c>
      <c r="EM286" s="530">
        <v>0</v>
      </c>
      <c r="EN286" s="530">
        <v>0</v>
      </c>
      <c r="EO286" s="530">
        <v>0</v>
      </c>
      <c r="EP286" s="530">
        <v>0</v>
      </c>
      <c r="EQ286" s="530">
        <v>0</v>
      </c>
      <c r="ER286" s="530">
        <v>0</v>
      </c>
      <c r="ES286" s="530">
        <v>0</v>
      </c>
      <c r="ET286" s="530">
        <v>0</v>
      </c>
      <c r="EU286" s="530">
        <v>0</v>
      </c>
      <c r="EV286" s="530">
        <v>0</v>
      </c>
      <c r="EW286" s="530">
        <v>0</v>
      </c>
      <c r="EX286" s="530">
        <v>0</v>
      </c>
      <c r="EY286" s="530">
        <f t="shared" si="168"/>
        <v>0</v>
      </c>
      <c r="EZ286" s="530">
        <f t="shared" si="169"/>
        <v>0</v>
      </c>
      <c r="FA286" s="530">
        <f t="shared" si="170"/>
        <v>0</v>
      </c>
      <c r="FB286" s="530">
        <f t="shared" si="171"/>
        <v>0</v>
      </c>
      <c r="FC286" s="384">
        <f>IFERROR(VLOOKUP(Capex!A289,BASE_558!D:R,8,FALSE)/1000,"")</f>
        <v>2701.502</v>
      </c>
      <c r="FD286" s="328">
        <f>IFERROR(VLOOKUP(Capex!A289,BASE_558!D:R,9,)/1000,"")</f>
        <v>2245.9082200000003</v>
      </c>
      <c r="FE286" s="328">
        <f>IFERROR(IF(LEFT(A286,3)="LCP",(VLOOKUP(Capex!A289,BASE_558!D:R,10,)/1000),SUMIFS('BASE ICP_PO_SC'!F:F,'BASE ICP_PO_SC'!A:A,Capex!A289,'BASE ICP_PO_SC'!E:E,"&lt;&gt;")/1000),"")</f>
        <v>0</v>
      </c>
      <c r="FF286" s="328">
        <f>IFERROR(IF(LEFT(A286,3)="LCP",(VLOOKUP(Capex!A289,BASE_558!D:R,11,)/1000),SUMIFS('BASE ICP_PO_SC'!F:F,'BASE ICP_PO_SC'!A:A,Capex!A289,'BASE ICP_PO_SC'!E:E,"")/1000),"")</f>
        <v>0</v>
      </c>
      <c r="FG286" s="328">
        <f>IFERROR(VLOOKUP(A286,BASE_558!D:R,13,FALSE)/1000,"")</f>
        <v>126.5673</v>
      </c>
      <c r="FH286" s="328">
        <f>IFERROR(VLOOKUP(A286,BASE_558!D:R,15,FALSE)/1000,"")</f>
        <v>27.762779999999999</v>
      </c>
      <c r="FI286" s="547">
        <f t="shared" si="172"/>
        <v>0</v>
      </c>
      <c r="FJ286" s="547">
        <f t="shared" si="173"/>
        <v>0</v>
      </c>
      <c r="FK286" s="540">
        <f t="shared" si="174"/>
        <v>0</v>
      </c>
    </row>
    <row r="287" spans="1:167" s="23" customFormat="1" ht="24" customHeight="1">
      <c r="A287" s="84" t="s">
        <v>2311</v>
      </c>
      <c r="B287" s="404"/>
      <c r="C287" s="404">
        <v>60567</v>
      </c>
      <c r="D287" s="338" t="s">
        <v>2312</v>
      </c>
      <c r="E287" s="378">
        <v>5987235</v>
      </c>
      <c r="F287" s="5"/>
      <c r="G287" s="310" t="s">
        <v>9</v>
      </c>
      <c r="H287" s="356"/>
      <c r="I287" s="356" t="s">
        <v>6</v>
      </c>
      <c r="J287" s="356">
        <v>2022</v>
      </c>
      <c r="K287" s="352">
        <v>44797</v>
      </c>
      <c r="L287" s="317">
        <v>45404</v>
      </c>
      <c r="M287" s="409"/>
      <c r="N287" s="317">
        <f t="shared" si="177"/>
        <v>45709</v>
      </c>
      <c r="O287" s="317">
        <f t="shared" si="178"/>
        <v>46074</v>
      </c>
      <c r="P287" s="418" t="str">
        <f t="shared" si="181"/>
        <v>NÃO</v>
      </c>
      <c r="Q287" s="418" t="str">
        <f t="shared" si="181"/>
        <v>NÃO</v>
      </c>
      <c r="R287" s="418" t="str">
        <f t="shared" si="181"/>
        <v>NÃO</v>
      </c>
      <c r="S287" s="418" t="str">
        <f t="shared" si="181"/>
        <v>NÃO</v>
      </c>
      <c r="T287" s="418" t="str">
        <f t="shared" si="181"/>
        <v>NÃO</v>
      </c>
      <c r="U287" s="418" t="str">
        <f t="shared" si="181"/>
        <v>NÃO</v>
      </c>
      <c r="V287" s="418" t="str">
        <f t="shared" si="181"/>
        <v>NÃO</v>
      </c>
      <c r="W287" s="418" t="str">
        <f t="shared" si="181"/>
        <v>NÃO</v>
      </c>
      <c r="X287" s="418" t="str">
        <f t="shared" si="181"/>
        <v>NÃO</v>
      </c>
      <c r="Y287" s="418" t="str">
        <f t="shared" si="181"/>
        <v>NÃO</v>
      </c>
      <c r="Z287" s="418" t="str">
        <f t="shared" si="181"/>
        <v>NÃO</v>
      </c>
      <c r="AA287" s="418" t="str">
        <f t="shared" si="181"/>
        <v>NÃO</v>
      </c>
      <c r="AB287" s="350"/>
      <c r="AC287" s="309" t="s">
        <v>3932</v>
      </c>
      <c r="AD287" s="311" t="s">
        <v>982</v>
      </c>
      <c r="AE287" s="361" t="s">
        <v>2261</v>
      </c>
      <c r="AF287" s="310" t="s">
        <v>6985</v>
      </c>
      <c r="AG287" s="310" t="s">
        <v>2186</v>
      </c>
      <c r="AH287" s="310" t="s">
        <v>2313</v>
      </c>
      <c r="AI287" s="381" t="s">
        <v>2255</v>
      </c>
      <c r="AJ287" s="6" t="s">
        <v>218</v>
      </c>
      <c r="AK287" s="6" t="str">
        <f t="shared" si="152"/>
        <v>IGUAL</v>
      </c>
      <c r="AL287" s="151" t="str">
        <f>IFERROR(IF(LEFT(A287,3)="LCP",VLOOKUP(A287,STATUS_SAP_LCP!B:C,2,FALSE),VLOOKUP(A287,STATUS_SAP_ICP!B:C,2,FALSE)),"NO BUDGET")</f>
        <v>CLSD BUDG AUC  AVAC  //  APPR BREL EXPL</v>
      </c>
      <c r="AM287" s="6" t="str">
        <f t="shared" si="151"/>
        <v>CLSD</v>
      </c>
      <c r="AN287" s="282" t="s">
        <v>2651</v>
      </c>
      <c r="AO287" s="493">
        <v>1</v>
      </c>
      <c r="AP287" s="499" t="s">
        <v>9607</v>
      </c>
      <c r="AQ287" s="465">
        <v>45404</v>
      </c>
      <c r="AR287" s="460"/>
      <c r="AS287" s="57"/>
      <c r="AT287" s="185"/>
      <c r="AU287" s="318"/>
      <c r="AV287" s="223">
        <v>0</v>
      </c>
      <c r="AW287" s="318">
        <v>92.033799999999999</v>
      </c>
      <c r="AX287" s="223">
        <v>0</v>
      </c>
      <c r="AY287" s="318">
        <f t="shared" si="179"/>
        <v>0</v>
      </c>
      <c r="AZ287" s="223"/>
      <c r="BA287" s="318"/>
      <c r="BB287" s="519">
        <f t="shared" si="180"/>
        <v>0</v>
      </c>
      <c r="BC287" s="518">
        <v>0</v>
      </c>
      <c r="BD287" s="518">
        <v>0</v>
      </c>
      <c r="BE287" s="518">
        <v>0</v>
      </c>
      <c r="BF287" s="518">
        <v>0</v>
      </c>
      <c r="BG287" s="518">
        <v>0</v>
      </c>
      <c r="BH287" s="518">
        <v>0</v>
      </c>
      <c r="BI287" s="518">
        <v>0</v>
      </c>
      <c r="BJ287" s="518">
        <v>0</v>
      </c>
      <c r="BK287" s="518">
        <v>0</v>
      </c>
      <c r="BL287" s="518">
        <v>0</v>
      </c>
      <c r="BM287" s="518">
        <v>0</v>
      </c>
      <c r="BN287" s="518">
        <v>0</v>
      </c>
      <c r="BO287" s="367">
        <f t="shared" si="153"/>
        <v>0</v>
      </c>
      <c r="BP287" s="421">
        <v>0</v>
      </c>
      <c r="BQ287" s="422"/>
      <c r="BR287" s="423">
        <f>IFERROR(IF(LEFT($A287,3)="Lcp",SUMIFS('BASE-LCP'!$K:$K,'BASE-LCP'!$A:$A,Capex!$A290,'BASE-LCP'!$B:$B,"janeiro")/1000,IF(LEFT($A287,3)="icp",SUMIFS('BASE-ICP'!$K:$K,'BASE-ICP'!$A:$A,Capex!$A290,'BASE-ICP'!$B:$B,"janeiro")/1000,"")),"")</f>
        <v>0</v>
      </c>
      <c r="BS287" s="427">
        <v>0</v>
      </c>
      <c r="BT287" s="372">
        <v>0</v>
      </c>
      <c r="BU287" s="422"/>
      <c r="BV287" s="423">
        <f>IFERROR(IF(LEFT($A287,3)="Lcp",SUMIFS('BASE-LCP'!$K:$K,'BASE-LCP'!$A:$A,Capex!$A290,'BASE-LCP'!$B:$B,"fevereiro")/1000,IF(LEFT($A287,3)="icp",SUMIFS('BASE-ICP'!$K:$K,'BASE-ICP'!$A:$A,Capex!$A290,'BASE-ICP'!$B:$B,"fevereiro")/1000,"")),"")</f>
        <v>0</v>
      </c>
      <c r="BW287" s="427">
        <v>0</v>
      </c>
      <c r="BX287" s="372">
        <v>0</v>
      </c>
      <c r="BY287" s="419"/>
      <c r="BZ287" s="423">
        <f>IFERROR(IF(LEFT($A287,3)="Lcp",SUMIFS('BASE-LCP'!$K:$K,'BASE-LCP'!$A:$A,Capex!$A290,'BASE-LCP'!$B:$B,"março")/1000,IF(LEFT($A287,3)="icp",SUMIFS('BASE-ICP'!$K:$K,'BASE-ICP'!$A:$A,Capex!$A290,'BASE-ICP'!$B:$B,"março")/1000,"")),"")</f>
        <v>0</v>
      </c>
      <c r="CA287" s="427">
        <v>0</v>
      </c>
      <c r="CB287" s="372">
        <v>0</v>
      </c>
      <c r="CC287" s="422"/>
      <c r="CD287" s="423">
        <f>IFERROR(IF(LEFT($A287,3)="Lcp",SUMIFS('BASE-LCP'!$K:$K,'BASE-LCP'!$A:$A,Capex!$A290,'BASE-LCP'!$B:$B,"abril")/1000,IF(LEFT($A287,3)="icp",SUMIFS('BASE-ICP'!$K:$K,'BASE-ICP'!$A:$A,Capex!$A290,'BASE-ICP'!$B:$B,"abril")/1000,"")),"")</f>
        <v>0</v>
      </c>
      <c r="CE287" s="427">
        <v>0</v>
      </c>
      <c r="CF287" s="372">
        <v>0</v>
      </c>
      <c r="CG287" s="419"/>
      <c r="CH287" s="423">
        <v>0</v>
      </c>
      <c r="CI287" s="427">
        <v>0</v>
      </c>
      <c r="CJ287" s="372">
        <v>0</v>
      </c>
      <c r="CK287" s="419"/>
      <c r="CL287" s="423">
        <f>IFERROR(IF(LEFT($A287,3)="Lcp",SUMIFS('BASE-LCP'!$K:$K,'BASE-LCP'!$A:$A,Capex!$A290,'BASE-LCP'!$B:$B,"junho")/1000,IF(LEFT($A287,3)="icp",SUMIFS('BASE-ICP'!$K:$K,'BASE-ICP'!$A:$A,Capex!$A290,'BASE-ICP'!$B:$B,"junho")/1000,"")),"")</f>
        <v>0</v>
      </c>
      <c r="CM287" s="427">
        <v>0</v>
      </c>
      <c r="CN287" s="372"/>
      <c r="CO287" s="419"/>
      <c r="CP287" s="423">
        <f>IFERROR(IF(LEFT($A287,3)="Lcp",SUMIFS('BASE-LCP'!$K:$K,'BASE-LCP'!$A:$A,Capex!$A290,'BASE-LCP'!$B:$B,"julho")/1000,IF(LEFT($A287,3)="icp",SUMIFS('BASE-ICP'!$K:$K,'BASE-ICP'!$A:$A,Capex!$A290,'BASE-ICP'!$B:$B,"julho")/1000,"")),"")</f>
        <v>0</v>
      </c>
      <c r="CQ287" s="427">
        <v>0</v>
      </c>
      <c r="CR287" s="372"/>
      <c r="CS287" s="419"/>
      <c r="CT287" s="423">
        <f>IFERROR(IF(LEFT($A287,3)="Lcp",SUMIFS('BASE-LCP'!$K:$K,'BASE-LCP'!$A:$A,Capex!$A290,'BASE-LCP'!$B:$B,"agosto")/1000,IF(LEFT($A287,3)="icp",SUMIFS('BASE-ICP'!$K:$K,'BASE-ICP'!$A:$A,Capex!$A290,'BASE-ICP'!$B:$B,"agosto")/1000,"")),"")</f>
        <v>0</v>
      </c>
      <c r="CU287" s="427">
        <v>0</v>
      </c>
      <c r="CV287" s="372"/>
      <c r="CW287" s="419"/>
      <c r="CX287" s="423">
        <f>IFERROR(IF(LEFT($A287,3)="Lcp",SUMIFS('BASE-LCP'!$K:$K,'BASE-LCP'!$A:$A,Capex!$A290,'BASE-LCP'!$B:$B,"setembro")/1000,IF(LEFT($A287,3)="icp",SUMIFS('BASE-ICP'!$K:$K,'BASE-ICP'!$A:$A,Capex!$A290,'BASE-ICP'!$B:$B,"setembro")/1000,"")),"")</f>
        <v>0</v>
      </c>
      <c r="CY287" s="427">
        <v>0</v>
      </c>
      <c r="CZ287" s="372"/>
      <c r="DA287" s="419"/>
      <c r="DB287" s="423">
        <f>IFERROR(IF(LEFT($A287,3)="Lcp",SUMIFS('BASE-LCP'!$K:$K,'BASE-LCP'!$A:$A,Capex!$A290,'BASE-LCP'!$B:$B,"outubro")/1000,IF(LEFT($A287,3)="icp",SUMIFS('BASE-ICP'!$K:$K,'BASE-ICP'!$A:$A,Capex!$A290,'BASE-ICP'!$B:$B,"outubro")/1000,"")),"")</f>
        <v>0</v>
      </c>
      <c r="DC287" s="427">
        <v>0</v>
      </c>
      <c r="DD287" s="372"/>
      <c r="DE287" s="419"/>
      <c r="DF287" s="423">
        <f>IFERROR(IF(LEFT($A287,3)="Lcp",SUMIFS('BASE-LCP'!$K:$K,'BASE-LCP'!$A:$A,Capex!$A290,'BASE-LCP'!$B:$B,"novembro")/1000,IF(LEFT($A287,3)="icp",SUMIFS('BASE-ICP'!$K:$K,'BASE-ICP'!$A:$A,Capex!$A290,'BASE-ICP'!$B:$B,"novembro")/1000,"")),"")</f>
        <v>0</v>
      </c>
      <c r="DG287" s="427">
        <v>0</v>
      </c>
      <c r="DH287" s="372"/>
      <c r="DI287" s="419"/>
      <c r="DJ287" s="423">
        <f>IFERROR(IF(LEFT($A287,3)="Lcp",SUMIFS('BASE-LCP'!$K:$K,'BASE-LCP'!$A:$A,Capex!$A290,'BASE-LCP'!$B:$B,"dezembro")/1000,IF(LEFT($A287,3)="icp",SUMIFS('BASE-ICP'!$K:$K,'BASE-ICP'!$A:$A,Capex!$A290,'BASE-ICP'!$B:$B,"dezembro")/1000,"")),"")</f>
        <v>0</v>
      </c>
      <c r="DK287" s="427">
        <v>0</v>
      </c>
      <c r="DL287" s="452">
        <f t="shared" si="154"/>
        <v>0</v>
      </c>
      <c r="DM287" s="374"/>
      <c r="DN287" s="374">
        <v>0</v>
      </c>
      <c r="DO287" s="374"/>
      <c r="DP287" s="374"/>
      <c r="DQ287" s="374"/>
      <c r="DR287" s="374"/>
      <c r="DS287" s="374"/>
      <c r="DT287" s="374"/>
      <c r="DU287" s="374"/>
      <c r="DV287" s="374"/>
      <c r="DW287" s="374"/>
      <c r="DX287" s="374"/>
      <c r="DY287" s="450"/>
      <c r="DZ287" s="374">
        <f t="shared" si="155"/>
        <v>0</v>
      </c>
      <c r="EA287" s="216">
        <f t="shared" si="156"/>
        <v>0</v>
      </c>
      <c r="EB287" s="320">
        <f t="shared" si="157"/>
        <v>0</v>
      </c>
      <c r="EC287" s="241">
        <f t="shared" si="158"/>
        <v>0</v>
      </c>
      <c r="ED287" s="241">
        <f t="shared" si="159"/>
        <v>0</v>
      </c>
      <c r="EE287" s="241">
        <f t="shared" si="160"/>
        <v>0</v>
      </c>
      <c r="EF287" s="241">
        <f t="shared" si="161"/>
        <v>0</v>
      </c>
      <c r="EG287" s="346">
        <f t="shared" si="162"/>
        <v>0</v>
      </c>
      <c r="EH287" s="445">
        <f t="shared" si="163"/>
        <v>0</v>
      </c>
      <c r="EI287" s="447">
        <f t="shared" si="164"/>
        <v>0</v>
      </c>
      <c r="EJ287" s="364">
        <f t="shared" si="165"/>
        <v>0</v>
      </c>
      <c r="EK287" s="365">
        <f t="shared" si="166"/>
        <v>0</v>
      </c>
      <c r="EL287" s="529">
        <f t="shared" si="167"/>
        <v>0</v>
      </c>
      <c r="EM287" s="530">
        <v>0</v>
      </c>
      <c r="EN287" s="530">
        <v>0</v>
      </c>
      <c r="EO287" s="530">
        <v>0</v>
      </c>
      <c r="EP287" s="530">
        <v>0</v>
      </c>
      <c r="EQ287" s="530">
        <v>0</v>
      </c>
      <c r="ER287" s="530">
        <v>0</v>
      </c>
      <c r="ES287" s="530">
        <v>0</v>
      </c>
      <c r="ET287" s="530">
        <v>0</v>
      </c>
      <c r="EU287" s="530">
        <v>0</v>
      </c>
      <c r="EV287" s="530">
        <v>0</v>
      </c>
      <c r="EW287" s="530">
        <v>0</v>
      </c>
      <c r="EX287" s="530">
        <v>0</v>
      </c>
      <c r="EY287" s="530">
        <f t="shared" si="168"/>
        <v>0</v>
      </c>
      <c r="EZ287" s="530">
        <f t="shared" si="169"/>
        <v>0</v>
      </c>
      <c r="FA287" s="530">
        <f t="shared" si="170"/>
        <v>0</v>
      </c>
      <c r="FB287" s="530">
        <f t="shared" si="171"/>
        <v>0</v>
      </c>
      <c r="FC287" s="384">
        <f>IFERROR(VLOOKUP(Capex!A290,BASE_558!D:R,8,FALSE)/1000,"")</f>
        <v>131.1</v>
      </c>
      <c r="FD287" s="328">
        <f>IFERROR(VLOOKUP(Capex!A290,BASE_558!D:R,9,)/1000,"")</f>
        <v>127.59744000000001</v>
      </c>
      <c r="FE287" s="328">
        <f>IFERROR(IF(LEFT(A287,3)="LCP",(VLOOKUP(Capex!A290,BASE_558!D:R,10,)/1000),SUMIFS('BASE ICP_PO_SC'!F:F,'BASE ICP_PO_SC'!A:A,Capex!A290,'BASE ICP_PO_SC'!E:E,"&lt;&gt;")/1000),"")</f>
        <v>0</v>
      </c>
      <c r="FF287" s="328">
        <f>IFERROR(IF(LEFT(A287,3)="LCP",(VLOOKUP(Capex!A290,BASE_558!D:R,11,)/1000),SUMIFS('BASE ICP_PO_SC'!F:F,'BASE ICP_PO_SC'!A:A,Capex!A290,'BASE ICP_PO_SC'!E:E,"")/1000),"")</f>
        <v>0</v>
      </c>
      <c r="FG287" s="328">
        <f>IFERROR(VLOOKUP(A287,BASE_558!D:R,13,FALSE)/1000,"")</f>
        <v>92.033799999999999</v>
      </c>
      <c r="FH287" s="328">
        <f>IFERROR(VLOOKUP(A287,BASE_558!D:R,15,FALSE)/1000,"")</f>
        <v>6.3236400000000001</v>
      </c>
      <c r="FI287" s="547">
        <f t="shared" si="172"/>
        <v>0</v>
      </c>
      <c r="FJ287" s="547">
        <f t="shared" si="173"/>
        <v>0</v>
      </c>
      <c r="FK287" s="540">
        <f t="shared" si="174"/>
        <v>0</v>
      </c>
    </row>
    <row r="288" spans="1:167" s="23" customFormat="1" ht="24" customHeight="1">
      <c r="A288" s="84" t="s">
        <v>2314</v>
      </c>
      <c r="B288" s="404" t="s">
        <v>2419</v>
      </c>
      <c r="C288" s="404">
        <v>32741</v>
      </c>
      <c r="D288" s="338" t="s">
        <v>2315</v>
      </c>
      <c r="E288" s="378">
        <v>5987449</v>
      </c>
      <c r="F288" s="5"/>
      <c r="G288" s="310" t="s">
        <v>9</v>
      </c>
      <c r="H288" s="338" t="s">
        <v>6</v>
      </c>
      <c r="I288" s="356" t="s">
        <v>6</v>
      </c>
      <c r="J288" s="356">
        <v>2022</v>
      </c>
      <c r="K288" s="352">
        <v>44805</v>
      </c>
      <c r="L288" s="317">
        <v>45650</v>
      </c>
      <c r="M288" s="409"/>
      <c r="N288" s="317">
        <f t="shared" si="177"/>
        <v>45717</v>
      </c>
      <c r="O288" s="317">
        <f t="shared" si="178"/>
        <v>46082</v>
      </c>
      <c r="P288" s="418" t="str">
        <f t="shared" si="181"/>
        <v>NÃO</v>
      </c>
      <c r="Q288" s="418" t="str">
        <f t="shared" si="181"/>
        <v>NÃO</v>
      </c>
      <c r="R288" s="418" t="str">
        <f t="shared" si="181"/>
        <v>NÃO</v>
      </c>
      <c r="S288" s="418" t="str">
        <f t="shared" si="181"/>
        <v>NÃO</v>
      </c>
      <c r="T288" s="418" t="str">
        <f t="shared" si="181"/>
        <v>NÃO</v>
      </c>
      <c r="U288" s="418" t="str">
        <f t="shared" si="181"/>
        <v>NÃO</v>
      </c>
      <c r="V288" s="418" t="str">
        <f t="shared" si="181"/>
        <v>NÃO</v>
      </c>
      <c r="W288" s="418" t="str">
        <f t="shared" si="181"/>
        <v>NÃO</v>
      </c>
      <c r="X288" s="418" t="str">
        <f t="shared" si="181"/>
        <v>NÃO</v>
      </c>
      <c r="Y288" s="418" t="str">
        <f t="shared" si="181"/>
        <v>NÃO</v>
      </c>
      <c r="Z288" s="418" t="str">
        <f t="shared" si="181"/>
        <v>NÃO</v>
      </c>
      <c r="AA288" s="418" t="str">
        <f t="shared" si="181"/>
        <v>NÃO</v>
      </c>
      <c r="AB288" s="350"/>
      <c r="AC288" s="309" t="s">
        <v>3932</v>
      </c>
      <c r="AD288" s="311" t="s">
        <v>5</v>
      </c>
      <c r="AE288" s="361" t="s">
        <v>965</v>
      </c>
      <c r="AF288" s="310" t="s">
        <v>6985</v>
      </c>
      <c r="AG288" s="310" t="s">
        <v>1125</v>
      </c>
      <c r="AH288" s="310" t="s">
        <v>2316</v>
      </c>
      <c r="AI288" s="381" t="s">
        <v>2255</v>
      </c>
      <c r="AJ288" s="6" t="s">
        <v>218</v>
      </c>
      <c r="AK288" s="6" t="str">
        <f t="shared" si="152"/>
        <v>IGUAL</v>
      </c>
      <c r="AL288" s="151" t="str">
        <f>IFERROR(IF(LEFT(A288,3)="LCP",VLOOKUP(A288,STATUS_SAP_LCP!B:C,2,FALSE),VLOOKUP(A288,STATUS_SAP_ICP!B:C,2,FALSE)),"NO BUDGET")</f>
        <v>CLSD BUDG AUC  AVAC  //  APPR BREL EXPL</v>
      </c>
      <c r="AM288" s="6" t="str">
        <f t="shared" si="151"/>
        <v>CLSD</v>
      </c>
      <c r="AN288" s="282" t="s">
        <v>2651</v>
      </c>
      <c r="AO288" s="493">
        <v>1</v>
      </c>
      <c r="AP288" s="499" t="s">
        <v>9607</v>
      </c>
      <c r="AQ288" s="465">
        <v>45650</v>
      </c>
      <c r="AR288" s="460"/>
      <c r="AS288" s="57"/>
      <c r="AT288" s="185"/>
      <c r="AU288" s="318"/>
      <c r="AV288" s="223">
        <v>0</v>
      </c>
      <c r="AW288" s="318">
        <v>127.94895</v>
      </c>
      <c r="AX288" s="223">
        <v>34.458030000000001</v>
      </c>
      <c r="AY288" s="318">
        <f t="shared" si="179"/>
        <v>0</v>
      </c>
      <c r="AZ288" s="223"/>
      <c r="BA288" s="318"/>
      <c r="BB288" s="519">
        <f t="shared" si="180"/>
        <v>0</v>
      </c>
      <c r="BC288" s="518">
        <v>0</v>
      </c>
      <c r="BD288" s="518">
        <v>0</v>
      </c>
      <c r="BE288" s="518">
        <v>0</v>
      </c>
      <c r="BF288" s="518">
        <v>0</v>
      </c>
      <c r="BG288" s="518">
        <v>0</v>
      </c>
      <c r="BH288" s="518">
        <v>0</v>
      </c>
      <c r="BI288" s="518">
        <v>0</v>
      </c>
      <c r="BJ288" s="518">
        <v>0</v>
      </c>
      <c r="BK288" s="518">
        <v>0</v>
      </c>
      <c r="BL288" s="518">
        <v>0</v>
      </c>
      <c r="BM288" s="518">
        <v>0</v>
      </c>
      <c r="BN288" s="518">
        <v>0</v>
      </c>
      <c r="BO288" s="367">
        <f t="shared" si="153"/>
        <v>0</v>
      </c>
      <c r="BP288" s="421">
        <v>0</v>
      </c>
      <c r="BQ288" s="422"/>
      <c r="BR288" s="423">
        <f>IFERROR(IF(LEFT($A288,3)="Lcp",SUMIFS('BASE-LCP'!$K:$K,'BASE-LCP'!$A:$A,Capex!$A291,'BASE-LCP'!$B:$B,"janeiro")/1000,IF(LEFT($A288,3)="icp",SUMIFS('BASE-ICP'!$K:$K,'BASE-ICP'!$A:$A,Capex!$A291,'BASE-ICP'!$B:$B,"janeiro")/1000,"")),"")</f>
        <v>0</v>
      </c>
      <c r="BS288" s="427">
        <v>0</v>
      </c>
      <c r="BT288" s="372">
        <v>0</v>
      </c>
      <c r="BU288" s="422"/>
      <c r="BV288" s="423">
        <f>IFERROR(IF(LEFT($A288,3)="Lcp",SUMIFS('BASE-LCP'!$K:$K,'BASE-LCP'!$A:$A,Capex!$A291,'BASE-LCP'!$B:$B,"fevereiro")/1000,IF(LEFT($A288,3)="icp",SUMIFS('BASE-ICP'!$K:$K,'BASE-ICP'!$A:$A,Capex!$A291,'BASE-ICP'!$B:$B,"fevereiro")/1000,"")),"")</f>
        <v>0</v>
      </c>
      <c r="BW288" s="427">
        <v>0</v>
      </c>
      <c r="BX288" s="372">
        <v>0</v>
      </c>
      <c r="BY288" s="419"/>
      <c r="BZ288" s="423">
        <f>IFERROR(IF(LEFT($A288,3)="Lcp",SUMIFS('BASE-LCP'!$K:$K,'BASE-LCP'!$A:$A,Capex!$A291,'BASE-LCP'!$B:$B,"março")/1000,IF(LEFT($A288,3)="icp",SUMIFS('BASE-ICP'!$K:$K,'BASE-ICP'!$A:$A,Capex!$A291,'BASE-ICP'!$B:$B,"março")/1000,"")),"")</f>
        <v>0</v>
      </c>
      <c r="CA288" s="427">
        <v>0</v>
      </c>
      <c r="CB288" s="372">
        <v>0</v>
      </c>
      <c r="CC288" s="422"/>
      <c r="CD288" s="423">
        <f>IFERROR(IF(LEFT($A288,3)="Lcp",SUMIFS('BASE-LCP'!$K:$K,'BASE-LCP'!$A:$A,Capex!$A291,'BASE-LCP'!$B:$B,"abril")/1000,IF(LEFT($A288,3)="icp",SUMIFS('BASE-ICP'!$K:$K,'BASE-ICP'!$A:$A,Capex!$A291,'BASE-ICP'!$B:$B,"abril")/1000,"")),"")</f>
        <v>0</v>
      </c>
      <c r="CE288" s="427">
        <v>0</v>
      </c>
      <c r="CF288" s="372">
        <v>0</v>
      </c>
      <c r="CG288" s="419"/>
      <c r="CH288" s="423">
        <v>0</v>
      </c>
      <c r="CI288" s="427">
        <v>0</v>
      </c>
      <c r="CJ288" s="372">
        <v>0</v>
      </c>
      <c r="CK288" s="419"/>
      <c r="CL288" s="423">
        <f>IFERROR(IF(LEFT($A288,3)="Lcp",SUMIFS('BASE-LCP'!$K:$K,'BASE-LCP'!$A:$A,Capex!$A291,'BASE-LCP'!$B:$B,"junho")/1000,IF(LEFT($A288,3)="icp",SUMIFS('BASE-ICP'!$K:$K,'BASE-ICP'!$A:$A,Capex!$A291,'BASE-ICP'!$B:$B,"junho")/1000,"")),"")</f>
        <v>0</v>
      </c>
      <c r="CM288" s="427">
        <v>0</v>
      </c>
      <c r="CN288" s="372"/>
      <c r="CO288" s="419"/>
      <c r="CP288" s="423">
        <f>IFERROR(IF(LEFT($A288,3)="Lcp",SUMIFS('BASE-LCP'!$K:$K,'BASE-LCP'!$A:$A,Capex!$A291,'BASE-LCP'!$B:$B,"julho")/1000,IF(LEFT($A288,3)="icp",SUMIFS('BASE-ICP'!$K:$K,'BASE-ICP'!$A:$A,Capex!$A291,'BASE-ICP'!$B:$B,"julho")/1000,"")),"")</f>
        <v>0</v>
      </c>
      <c r="CQ288" s="427">
        <v>0</v>
      </c>
      <c r="CR288" s="372"/>
      <c r="CS288" s="419"/>
      <c r="CT288" s="423">
        <f>IFERROR(IF(LEFT($A288,3)="Lcp",SUMIFS('BASE-LCP'!$K:$K,'BASE-LCP'!$A:$A,Capex!$A291,'BASE-LCP'!$B:$B,"agosto")/1000,IF(LEFT($A288,3)="icp",SUMIFS('BASE-ICP'!$K:$K,'BASE-ICP'!$A:$A,Capex!$A291,'BASE-ICP'!$B:$B,"agosto")/1000,"")),"")</f>
        <v>0</v>
      </c>
      <c r="CU288" s="427">
        <v>0</v>
      </c>
      <c r="CV288" s="372"/>
      <c r="CW288" s="419"/>
      <c r="CX288" s="423">
        <f>IFERROR(IF(LEFT($A288,3)="Lcp",SUMIFS('BASE-LCP'!$K:$K,'BASE-LCP'!$A:$A,Capex!$A291,'BASE-LCP'!$B:$B,"setembro")/1000,IF(LEFT($A288,3)="icp",SUMIFS('BASE-ICP'!$K:$K,'BASE-ICP'!$A:$A,Capex!$A291,'BASE-ICP'!$B:$B,"setembro")/1000,"")),"")</f>
        <v>0</v>
      </c>
      <c r="CY288" s="427">
        <v>0</v>
      </c>
      <c r="CZ288" s="372"/>
      <c r="DA288" s="419"/>
      <c r="DB288" s="423">
        <f>IFERROR(IF(LEFT($A288,3)="Lcp",SUMIFS('BASE-LCP'!$K:$K,'BASE-LCP'!$A:$A,Capex!$A291,'BASE-LCP'!$B:$B,"outubro")/1000,IF(LEFT($A288,3)="icp",SUMIFS('BASE-ICP'!$K:$K,'BASE-ICP'!$A:$A,Capex!$A291,'BASE-ICP'!$B:$B,"outubro")/1000,"")),"")</f>
        <v>0</v>
      </c>
      <c r="DC288" s="427">
        <v>0</v>
      </c>
      <c r="DD288" s="372"/>
      <c r="DE288" s="419"/>
      <c r="DF288" s="423">
        <f>IFERROR(IF(LEFT($A288,3)="Lcp",SUMIFS('BASE-LCP'!$K:$K,'BASE-LCP'!$A:$A,Capex!$A291,'BASE-LCP'!$B:$B,"novembro")/1000,IF(LEFT($A288,3)="icp",SUMIFS('BASE-ICP'!$K:$K,'BASE-ICP'!$A:$A,Capex!$A291,'BASE-ICP'!$B:$B,"novembro")/1000,"")),"")</f>
        <v>0</v>
      </c>
      <c r="DG288" s="427">
        <v>0</v>
      </c>
      <c r="DH288" s="372"/>
      <c r="DI288" s="419"/>
      <c r="DJ288" s="423">
        <f>IFERROR(IF(LEFT($A288,3)="Lcp",SUMIFS('BASE-LCP'!$K:$K,'BASE-LCP'!$A:$A,Capex!$A291,'BASE-LCP'!$B:$B,"dezembro")/1000,IF(LEFT($A288,3)="icp",SUMIFS('BASE-ICP'!$K:$K,'BASE-ICP'!$A:$A,Capex!$A291,'BASE-ICP'!$B:$B,"dezembro")/1000,"")),"")</f>
        <v>0</v>
      </c>
      <c r="DK288" s="427">
        <v>0</v>
      </c>
      <c r="DL288" s="452">
        <f t="shared" si="154"/>
        <v>0</v>
      </c>
      <c r="DM288" s="374"/>
      <c r="DN288" s="374">
        <v>0</v>
      </c>
      <c r="DO288" s="374"/>
      <c r="DP288" s="374"/>
      <c r="DQ288" s="374"/>
      <c r="DR288" s="374"/>
      <c r="DS288" s="374"/>
      <c r="DT288" s="374"/>
      <c r="DU288" s="374"/>
      <c r="DV288" s="374"/>
      <c r="DW288" s="374"/>
      <c r="DX288" s="374"/>
      <c r="DY288" s="450"/>
      <c r="DZ288" s="374">
        <f t="shared" si="155"/>
        <v>0</v>
      </c>
      <c r="EA288" s="216">
        <f t="shared" si="156"/>
        <v>0</v>
      </c>
      <c r="EB288" s="320">
        <f t="shared" si="157"/>
        <v>0</v>
      </c>
      <c r="EC288" s="241">
        <f t="shared" si="158"/>
        <v>0</v>
      </c>
      <c r="ED288" s="241">
        <f t="shared" si="159"/>
        <v>0</v>
      </c>
      <c r="EE288" s="241">
        <f t="shared" si="160"/>
        <v>0</v>
      </c>
      <c r="EF288" s="241">
        <f t="shared" si="161"/>
        <v>0</v>
      </c>
      <c r="EG288" s="346">
        <f t="shared" si="162"/>
        <v>0</v>
      </c>
      <c r="EH288" s="445">
        <f t="shared" si="163"/>
        <v>0</v>
      </c>
      <c r="EI288" s="447">
        <f t="shared" si="164"/>
        <v>0</v>
      </c>
      <c r="EJ288" s="364">
        <f t="shared" si="165"/>
        <v>0</v>
      </c>
      <c r="EK288" s="365">
        <f t="shared" si="166"/>
        <v>0</v>
      </c>
      <c r="EL288" s="529">
        <f t="shared" si="167"/>
        <v>0</v>
      </c>
      <c r="EM288" s="530">
        <v>0</v>
      </c>
      <c r="EN288" s="530">
        <v>0</v>
      </c>
      <c r="EO288" s="530">
        <v>0</v>
      </c>
      <c r="EP288" s="530">
        <v>0</v>
      </c>
      <c r="EQ288" s="530">
        <v>0</v>
      </c>
      <c r="ER288" s="530">
        <v>0</v>
      </c>
      <c r="ES288" s="530">
        <v>0</v>
      </c>
      <c r="ET288" s="530">
        <v>0</v>
      </c>
      <c r="EU288" s="530">
        <v>0</v>
      </c>
      <c r="EV288" s="530">
        <v>0</v>
      </c>
      <c r="EW288" s="530">
        <v>0</v>
      </c>
      <c r="EX288" s="530">
        <v>0</v>
      </c>
      <c r="EY288" s="530">
        <f t="shared" si="168"/>
        <v>0</v>
      </c>
      <c r="EZ288" s="530">
        <f t="shared" si="169"/>
        <v>0</v>
      </c>
      <c r="FA288" s="530">
        <f t="shared" si="170"/>
        <v>0</v>
      </c>
      <c r="FB288" s="530">
        <f t="shared" si="171"/>
        <v>0</v>
      </c>
      <c r="FC288" s="384">
        <f>IFERROR(VLOOKUP(Capex!A291,BASE_558!D:R,8,FALSE)/1000,"")</f>
        <v>314.125</v>
      </c>
      <c r="FD288" s="328">
        <f>IFERROR(VLOOKUP(Capex!A291,BASE_558!D:R,9,)/1000,"")</f>
        <v>234.42879000000002</v>
      </c>
      <c r="FE288" s="328">
        <f>IFERROR(IF(LEFT(A288,3)="LCP",(VLOOKUP(Capex!A291,BASE_558!D:R,10,)/1000),SUMIFS('BASE ICP_PO_SC'!F:F,'BASE ICP_PO_SC'!A:A,Capex!A291,'BASE ICP_PO_SC'!E:E,"&lt;&gt;")/1000),"")</f>
        <v>0</v>
      </c>
      <c r="FF288" s="328">
        <f>IFERROR(IF(LEFT(A288,3)="LCP",(VLOOKUP(Capex!A291,BASE_558!D:R,11,)/1000),SUMIFS('BASE ICP_PO_SC'!F:F,'BASE ICP_PO_SC'!A:A,Capex!A291,'BASE ICP_PO_SC'!E:E,"")/1000),"")</f>
        <v>0</v>
      </c>
      <c r="FG288" s="328">
        <f>IFERROR(VLOOKUP(A288,BASE_558!D:R,13,FALSE)/1000,"")</f>
        <v>162.40698</v>
      </c>
      <c r="FH288" s="328">
        <f>IFERROR(VLOOKUP(A288,BASE_558!D:R,15,FALSE)/1000,"")</f>
        <v>0.40388000000000002</v>
      </c>
      <c r="FI288" s="547">
        <f t="shared" si="172"/>
        <v>0</v>
      </c>
      <c r="FJ288" s="547">
        <f t="shared" si="173"/>
        <v>0</v>
      </c>
      <c r="FK288" s="540">
        <f t="shared" si="174"/>
        <v>0</v>
      </c>
    </row>
    <row r="289" spans="1:167" s="23" customFormat="1" ht="24" customHeight="1">
      <c r="A289" s="84" t="s">
        <v>2317</v>
      </c>
      <c r="B289" s="404" t="s">
        <v>2420</v>
      </c>
      <c r="C289" s="404" t="s">
        <v>602</v>
      </c>
      <c r="D289" s="338" t="s">
        <v>1895</v>
      </c>
      <c r="E289" s="378">
        <v>6047036</v>
      </c>
      <c r="F289" s="5"/>
      <c r="G289" s="310" t="s">
        <v>9</v>
      </c>
      <c r="H289" s="338"/>
      <c r="I289" s="356" t="s">
        <v>6</v>
      </c>
      <c r="J289" s="356">
        <v>2022</v>
      </c>
      <c r="K289" s="352">
        <v>44792</v>
      </c>
      <c r="L289" s="317">
        <v>45421</v>
      </c>
      <c r="M289" s="409"/>
      <c r="N289" s="317">
        <f t="shared" si="177"/>
        <v>45704</v>
      </c>
      <c r="O289" s="317">
        <f t="shared" si="178"/>
        <v>46069</v>
      </c>
      <c r="P289" s="418" t="str">
        <f t="shared" si="181"/>
        <v>NÃO</v>
      </c>
      <c r="Q289" s="418" t="str">
        <f t="shared" si="181"/>
        <v>NÃO</v>
      </c>
      <c r="R289" s="418" t="str">
        <f t="shared" si="181"/>
        <v>NÃO</v>
      </c>
      <c r="S289" s="418" t="str">
        <f t="shared" si="181"/>
        <v>NÃO</v>
      </c>
      <c r="T289" s="418" t="str">
        <f t="shared" si="181"/>
        <v>NÃO</v>
      </c>
      <c r="U289" s="418" t="str">
        <f t="shared" si="181"/>
        <v>NÃO</v>
      </c>
      <c r="V289" s="418" t="str">
        <f t="shared" si="181"/>
        <v>NÃO</v>
      </c>
      <c r="W289" s="418" t="str">
        <f t="shared" si="181"/>
        <v>NÃO</v>
      </c>
      <c r="X289" s="418" t="str">
        <f t="shared" si="181"/>
        <v>NÃO</v>
      </c>
      <c r="Y289" s="418" t="str">
        <f t="shared" si="181"/>
        <v>NÃO</v>
      </c>
      <c r="Z289" s="418" t="str">
        <f t="shared" si="181"/>
        <v>NÃO</v>
      </c>
      <c r="AA289" s="418" t="str">
        <f t="shared" si="181"/>
        <v>NÃO</v>
      </c>
      <c r="AB289" s="350"/>
      <c r="AC289" s="309" t="s">
        <v>2508</v>
      </c>
      <c r="AD289" s="311"/>
      <c r="AE289" s="361"/>
      <c r="AF289" s="310" t="s">
        <v>6985</v>
      </c>
      <c r="AG289" s="310" t="s">
        <v>9083</v>
      </c>
      <c r="AH289" s="310" t="s">
        <v>2566</v>
      </c>
      <c r="AI289" s="381" t="s">
        <v>2255</v>
      </c>
      <c r="AJ289" s="6" t="s">
        <v>218</v>
      </c>
      <c r="AK289" s="6" t="str">
        <f t="shared" si="152"/>
        <v>IGUAL</v>
      </c>
      <c r="AL289" s="151" t="str">
        <f>IFERROR(IF(LEFT(A289,3)="LCP",VLOOKUP(A289,STATUS_SAP_LCP!B:C,2,FALSE),VLOOKUP(A289,STATUS_SAP_ICP!B:C,2,FALSE)),"NO BUDGET")</f>
        <v>CLSD BUDG AUC  AVAC  //  APPR BREL EXPL</v>
      </c>
      <c r="AM289" s="6" t="str">
        <f t="shared" si="151"/>
        <v>CLSD</v>
      </c>
      <c r="AN289" s="282" t="s">
        <v>9087</v>
      </c>
      <c r="AO289" s="493">
        <v>1</v>
      </c>
      <c r="AP289" s="499" t="s">
        <v>9607</v>
      </c>
      <c r="AQ289" s="465">
        <v>45421</v>
      </c>
      <c r="AR289" s="460"/>
      <c r="AS289" s="57"/>
      <c r="AT289" s="185"/>
      <c r="AU289" s="318"/>
      <c r="AV289" s="223">
        <v>1138.28809</v>
      </c>
      <c r="AW289" s="318">
        <v>1074.7262599999999</v>
      </c>
      <c r="AX289" s="223">
        <v>32.89387</v>
      </c>
      <c r="AY289" s="318">
        <f t="shared" si="179"/>
        <v>0</v>
      </c>
      <c r="AZ289" s="223"/>
      <c r="BA289" s="318"/>
      <c r="BB289" s="519">
        <f t="shared" si="180"/>
        <v>0</v>
      </c>
      <c r="BC289" s="518">
        <v>0</v>
      </c>
      <c r="BD289" s="518">
        <v>0</v>
      </c>
      <c r="BE289" s="518">
        <v>0</v>
      </c>
      <c r="BF289" s="518">
        <v>0</v>
      </c>
      <c r="BG289" s="518">
        <v>0</v>
      </c>
      <c r="BH289" s="518">
        <v>0</v>
      </c>
      <c r="BI289" s="518">
        <v>0</v>
      </c>
      <c r="BJ289" s="518">
        <v>0</v>
      </c>
      <c r="BK289" s="518">
        <v>0</v>
      </c>
      <c r="BL289" s="518">
        <v>0</v>
      </c>
      <c r="BM289" s="518">
        <v>0</v>
      </c>
      <c r="BN289" s="518">
        <v>0</v>
      </c>
      <c r="BO289" s="367">
        <f t="shared" si="153"/>
        <v>0</v>
      </c>
      <c r="BP289" s="421">
        <v>0</v>
      </c>
      <c r="BQ289" s="422"/>
      <c r="BR289" s="423">
        <f>IFERROR(IF(LEFT($A289,3)="Lcp",SUMIFS('BASE-LCP'!$K:$K,'BASE-LCP'!$A:$A,Capex!$A292,'BASE-LCP'!$B:$B,"janeiro")/1000,IF(LEFT($A289,3)="icp",SUMIFS('BASE-ICP'!$K:$K,'BASE-ICP'!$A:$A,Capex!$A292,'BASE-ICP'!$B:$B,"janeiro")/1000,"")),"")</f>
        <v>0</v>
      </c>
      <c r="BS289" s="427">
        <v>0</v>
      </c>
      <c r="BT289" s="372">
        <v>0</v>
      </c>
      <c r="BU289" s="422"/>
      <c r="BV289" s="423">
        <f>IFERROR(IF(LEFT($A289,3)="Lcp",SUMIFS('BASE-LCP'!$K:$K,'BASE-LCP'!$A:$A,Capex!$A292,'BASE-LCP'!$B:$B,"fevereiro")/1000,IF(LEFT($A289,3)="icp",SUMIFS('BASE-ICP'!$K:$K,'BASE-ICP'!$A:$A,Capex!$A292,'BASE-ICP'!$B:$B,"fevereiro")/1000,"")),"")</f>
        <v>0</v>
      </c>
      <c r="BW289" s="427">
        <v>0</v>
      </c>
      <c r="BX289" s="372">
        <v>0</v>
      </c>
      <c r="BY289" s="419"/>
      <c r="BZ289" s="423">
        <f>IFERROR(IF(LEFT($A289,3)="Lcp",SUMIFS('BASE-LCP'!$K:$K,'BASE-LCP'!$A:$A,Capex!$A292,'BASE-LCP'!$B:$B,"março")/1000,IF(LEFT($A289,3)="icp",SUMIFS('BASE-ICP'!$K:$K,'BASE-ICP'!$A:$A,Capex!$A292,'BASE-ICP'!$B:$B,"março")/1000,"")),"")</f>
        <v>0</v>
      </c>
      <c r="CA289" s="427">
        <v>0</v>
      </c>
      <c r="CB289" s="372">
        <v>0</v>
      </c>
      <c r="CC289" s="422"/>
      <c r="CD289" s="423">
        <f>IFERROR(IF(LEFT($A289,3)="Lcp",SUMIFS('BASE-LCP'!$K:$K,'BASE-LCP'!$A:$A,Capex!$A292,'BASE-LCP'!$B:$B,"abril")/1000,IF(LEFT($A289,3)="icp",SUMIFS('BASE-ICP'!$K:$K,'BASE-ICP'!$A:$A,Capex!$A292,'BASE-ICP'!$B:$B,"abril")/1000,"")),"")</f>
        <v>0</v>
      </c>
      <c r="CE289" s="427">
        <v>0</v>
      </c>
      <c r="CF289" s="372">
        <v>0</v>
      </c>
      <c r="CG289" s="419"/>
      <c r="CH289" s="423">
        <v>0</v>
      </c>
      <c r="CI289" s="427">
        <v>0</v>
      </c>
      <c r="CJ289" s="372">
        <v>0</v>
      </c>
      <c r="CK289" s="419"/>
      <c r="CL289" s="423">
        <f>IFERROR(IF(LEFT($A289,3)="Lcp",SUMIFS('BASE-LCP'!$K:$K,'BASE-LCP'!$A:$A,Capex!$A292,'BASE-LCP'!$B:$B,"junho")/1000,IF(LEFT($A289,3)="icp",SUMIFS('BASE-ICP'!$K:$K,'BASE-ICP'!$A:$A,Capex!$A292,'BASE-ICP'!$B:$B,"junho")/1000,"")),"")</f>
        <v>0</v>
      </c>
      <c r="CM289" s="427">
        <v>0</v>
      </c>
      <c r="CN289" s="372"/>
      <c r="CO289" s="419"/>
      <c r="CP289" s="423">
        <f>IFERROR(IF(LEFT($A289,3)="Lcp",SUMIFS('BASE-LCP'!$K:$K,'BASE-LCP'!$A:$A,Capex!$A292,'BASE-LCP'!$B:$B,"julho")/1000,IF(LEFT($A289,3)="icp",SUMIFS('BASE-ICP'!$K:$K,'BASE-ICP'!$A:$A,Capex!$A292,'BASE-ICP'!$B:$B,"julho")/1000,"")),"")</f>
        <v>0</v>
      </c>
      <c r="CQ289" s="427">
        <v>0</v>
      </c>
      <c r="CR289" s="372"/>
      <c r="CS289" s="419"/>
      <c r="CT289" s="423">
        <f>IFERROR(IF(LEFT($A289,3)="Lcp",SUMIFS('BASE-LCP'!$K:$K,'BASE-LCP'!$A:$A,Capex!$A292,'BASE-LCP'!$B:$B,"agosto")/1000,IF(LEFT($A289,3)="icp",SUMIFS('BASE-ICP'!$K:$K,'BASE-ICP'!$A:$A,Capex!$A292,'BASE-ICP'!$B:$B,"agosto")/1000,"")),"")</f>
        <v>0</v>
      </c>
      <c r="CU289" s="427">
        <v>0</v>
      </c>
      <c r="CV289" s="372"/>
      <c r="CW289" s="419"/>
      <c r="CX289" s="423">
        <f>IFERROR(IF(LEFT($A289,3)="Lcp",SUMIFS('BASE-LCP'!$K:$K,'BASE-LCP'!$A:$A,Capex!$A292,'BASE-LCP'!$B:$B,"setembro")/1000,IF(LEFT($A289,3)="icp",SUMIFS('BASE-ICP'!$K:$K,'BASE-ICP'!$A:$A,Capex!$A292,'BASE-ICP'!$B:$B,"setembro")/1000,"")),"")</f>
        <v>0</v>
      </c>
      <c r="CY289" s="427">
        <v>0</v>
      </c>
      <c r="CZ289" s="372"/>
      <c r="DA289" s="419"/>
      <c r="DB289" s="423">
        <f>IFERROR(IF(LEFT($A289,3)="Lcp",SUMIFS('BASE-LCP'!$K:$K,'BASE-LCP'!$A:$A,Capex!$A292,'BASE-LCP'!$B:$B,"outubro")/1000,IF(LEFT($A289,3)="icp",SUMIFS('BASE-ICP'!$K:$K,'BASE-ICP'!$A:$A,Capex!$A292,'BASE-ICP'!$B:$B,"outubro")/1000,"")),"")</f>
        <v>0</v>
      </c>
      <c r="DC289" s="427">
        <v>0</v>
      </c>
      <c r="DD289" s="372"/>
      <c r="DE289" s="419"/>
      <c r="DF289" s="423">
        <f>IFERROR(IF(LEFT($A289,3)="Lcp",SUMIFS('BASE-LCP'!$K:$K,'BASE-LCP'!$A:$A,Capex!$A292,'BASE-LCP'!$B:$B,"novembro")/1000,IF(LEFT($A289,3)="icp",SUMIFS('BASE-ICP'!$K:$K,'BASE-ICP'!$A:$A,Capex!$A292,'BASE-ICP'!$B:$B,"novembro")/1000,"")),"")</f>
        <v>0</v>
      </c>
      <c r="DG289" s="427">
        <v>0</v>
      </c>
      <c r="DH289" s="372"/>
      <c r="DI289" s="419"/>
      <c r="DJ289" s="423">
        <f>IFERROR(IF(LEFT($A289,3)="Lcp",SUMIFS('BASE-LCP'!$K:$K,'BASE-LCP'!$A:$A,Capex!$A292,'BASE-LCP'!$B:$B,"dezembro")/1000,IF(LEFT($A289,3)="icp",SUMIFS('BASE-ICP'!$K:$K,'BASE-ICP'!$A:$A,Capex!$A292,'BASE-ICP'!$B:$B,"dezembro")/1000,"")),"")</f>
        <v>0</v>
      </c>
      <c r="DK289" s="427">
        <v>0</v>
      </c>
      <c r="DL289" s="452">
        <f t="shared" si="154"/>
        <v>0</v>
      </c>
      <c r="DM289" s="374"/>
      <c r="DN289" s="374">
        <v>0</v>
      </c>
      <c r="DO289" s="374"/>
      <c r="DP289" s="374"/>
      <c r="DQ289" s="374"/>
      <c r="DR289" s="374"/>
      <c r="DS289" s="374"/>
      <c r="DT289" s="374"/>
      <c r="DU289" s="374"/>
      <c r="DV289" s="374"/>
      <c r="DW289" s="374"/>
      <c r="DX289" s="374"/>
      <c r="DY289" s="450"/>
      <c r="DZ289" s="374">
        <f t="shared" si="155"/>
        <v>0</v>
      </c>
      <c r="EA289" s="216">
        <f t="shared" si="156"/>
        <v>0</v>
      </c>
      <c r="EB289" s="320">
        <f t="shared" si="157"/>
        <v>0</v>
      </c>
      <c r="EC289" s="241">
        <f t="shared" si="158"/>
        <v>0</v>
      </c>
      <c r="ED289" s="241">
        <f t="shared" si="159"/>
        <v>0</v>
      </c>
      <c r="EE289" s="241">
        <f t="shared" si="160"/>
        <v>0</v>
      </c>
      <c r="EF289" s="241">
        <f t="shared" si="161"/>
        <v>0</v>
      </c>
      <c r="EG289" s="346">
        <f t="shared" si="162"/>
        <v>0</v>
      </c>
      <c r="EH289" s="445">
        <f t="shared" si="163"/>
        <v>0</v>
      </c>
      <c r="EI289" s="447">
        <f t="shared" si="164"/>
        <v>0</v>
      </c>
      <c r="EJ289" s="364">
        <f t="shared" si="165"/>
        <v>0</v>
      </c>
      <c r="EK289" s="365">
        <f t="shared" si="166"/>
        <v>0</v>
      </c>
      <c r="EL289" s="529">
        <f t="shared" si="167"/>
        <v>0</v>
      </c>
      <c r="EM289" s="530">
        <v>0</v>
      </c>
      <c r="EN289" s="530">
        <v>0</v>
      </c>
      <c r="EO289" s="530">
        <v>0</v>
      </c>
      <c r="EP289" s="530">
        <v>0</v>
      </c>
      <c r="EQ289" s="530">
        <v>0</v>
      </c>
      <c r="ER289" s="530">
        <v>0</v>
      </c>
      <c r="ES289" s="530">
        <v>0</v>
      </c>
      <c r="ET289" s="530">
        <v>0</v>
      </c>
      <c r="EU289" s="530">
        <v>0</v>
      </c>
      <c r="EV289" s="530">
        <v>0</v>
      </c>
      <c r="EW289" s="530">
        <v>0</v>
      </c>
      <c r="EX289" s="530">
        <v>0</v>
      </c>
      <c r="EY289" s="530">
        <f t="shared" si="168"/>
        <v>0</v>
      </c>
      <c r="EZ289" s="530">
        <f t="shared" si="169"/>
        <v>0</v>
      </c>
      <c r="FA289" s="530">
        <f t="shared" si="170"/>
        <v>0</v>
      </c>
      <c r="FB289" s="530">
        <f t="shared" si="171"/>
        <v>0</v>
      </c>
      <c r="FC289" s="384">
        <f>IFERROR(VLOOKUP(Capex!A292,BASE_558!D:R,8,FALSE)/1000,"")</f>
        <v>239.51900000000001</v>
      </c>
      <c r="FD289" s="328">
        <f>IFERROR(VLOOKUP(Capex!A292,BASE_558!D:R,9,)/1000,"")</f>
        <v>177.05155999999999</v>
      </c>
      <c r="FE289" s="328">
        <f>IFERROR(IF(LEFT(A289,3)="LCP",(VLOOKUP(Capex!A292,BASE_558!D:R,10,)/1000),SUMIFS('BASE ICP_PO_SC'!F:F,'BASE ICP_PO_SC'!A:A,Capex!A292,'BASE ICP_PO_SC'!E:E,"&lt;&gt;")/1000),"")</f>
        <v>0</v>
      </c>
      <c r="FF289" s="328">
        <f>IFERROR(IF(LEFT(A289,3)="LCP",(VLOOKUP(Capex!A292,BASE_558!D:R,11,)/1000),SUMIFS('BASE ICP_PO_SC'!F:F,'BASE ICP_PO_SC'!A:A,Capex!A292,'BASE ICP_PO_SC'!E:E,"")/1000),"")</f>
        <v>0</v>
      </c>
      <c r="FG289" s="328">
        <f>IFERROR(VLOOKUP(A289,BASE_558!D:R,13,FALSE)/1000,"")</f>
        <v>2245.9082200000003</v>
      </c>
      <c r="FH289" s="328">
        <f>IFERROR(VLOOKUP(A289,BASE_558!D:R,15,FALSE)/1000,"")</f>
        <v>455.59378000000004</v>
      </c>
      <c r="FI289" s="547">
        <f t="shared" si="172"/>
        <v>0</v>
      </c>
      <c r="FJ289" s="547">
        <f t="shared" si="173"/>
        <v>0</v>
      </c>
      <c r="FK289" s="540">
        <f t="shared" si="174"/>
        <v>0</v>
      </c>
    </row>
    <row r="290" spans="1:167" s="23" customFormat="1" ht="24" customHeight="1">
      <c r="A290" s="84" t="s">
        <v>2318</v>
      </c>
      <c r="B290" s="404"/>
      <c r="C290" s="404" t="s">
        <v>602</v>
      </c>
      <c r="D290" s="338" t="s">
        <v>1912</v>
      </c>
      <c r="E290" s="378">
        <v>6129496</v>
      </c>
      <c r="F290" s="5"/>
      <c r="G290" s="310" t="s">
        <v>9</v>
      </c>
      <c r="H290" s="356" t="s">
        <v>6</v>
      </c>
      <c r="I290" s="356"/>
      <c r="J290" s="356">
        <v>2022</v>
      </c>
      <c r="K290" s="352">
        <v>44810</v>
      </c>
      <c r="L290" s="317">
        <v>45565</v>
      </c>
      <c r="M290" s="409"/>
      <c r="N290" s="317">
        <f t="shared" si="177"/>
        <v>45722</v>
      </c>
      <c r="O290" s="317">
        <f t="shared" si="178"/>
        <v>46087</v>
      </c>
      <c r="P290" s="418" t="str">
        <f t="shared" si="181"/>
        <v>NÃO</v>
      </c>
      <c r="Q290" s="418" t="str">
        <f t="shared" si="181"/>
        <v>NÃO</v>
      </c>
      <c r="R290" s="418" t="str">
        <f t="shared" si="181"/>
        <v>NÃO</v>
      </c>
      <c r="S290" s="418" t="str">
        <f t="shared" si="181"/>
        <v>NÃO</v>
      </c>
      <c r="T290" s="418" t="str">
        <f t="shared" si="181"/>
        <v>NÃO</v>
      </c>
      <c r="U290" s="418" t="str">
        <f t="shared" si="181"/>
        <v>NÃO</v>
      </c>
      <c r="V290" s="418" t="str">
        <f t="shared" si="181"/>
        <v>NÃO</v>
      </c>
      <c r="W290" s="418" t="str">
        <f t="shared" si="181"/>
        <v>NÃO</v>
      </c>
      <c r="X290" s="418" t="str">
        <f t="shared" si="181"/>
        <v>NÃO</v>
      </c>
      <c r="Y290" s="418" t="str">
        <f t="shared" si="181"/>
        <v>NÃO</v>
      </c>
      <c r="Z290" s="418" t="str">
        <f t="shared" si="181"/>
        <v>NÃO</v>
      </c>
      <c r="AA290" s="418" t="str">
        <f t="shared" si="181"/>
        <v>NÃO</v>
      </c>
      <c r="AB290" s="350"/>
      <c r="AC290" s="309" t="s">
        <v>3931</v>
      </c>
      <c r="AD290" s="311"/>
      <c r="AE290" s="361"/>
      <c r="AF290" s="310" t="s">
        <v>6985</v>
      </c>
      <c r="AG290" s="310" t="s">
        <v>2485</v>
      </c>
      <c r="AH290" s="310" t="s">
        <v>2830</v>
      </c>
      <c r="AI290" s="381" t="s">
        <v>188</v>
      </c>
      <c r="AJ290" s="6" t="s">
        <v>218</v>
      </c>
      <c r="AK290" s="6" t="str">
        <f t="shared" si="152"/>
        <v>IGUAL</v>
      </c>
      <c r="AL290" s="151" t="str">
        <f>IFERROR(IF(LEFT(A290,3)="LCP",VLOOKUP(A290,STATUS_SAP_LCP!B:C,2,FALSE),VLOOKUP(A290,STATUS_SAP_ICP!B:C,2,FALSE)),"NO BUDGET")</f>
        <v>CLSD BUDG AUC  AVAC  //  APPR BREL EXPL</v>
      </c>
      <c r="AM290" s="6" t="str">
        <f t="shared" si="151"/>
        <v>CLSD</v>
      </c>
      <c r="AN290" s="282" t="s">
        <v>2651</v>
      </c>
      <c r="AO290" s="493">
        <v>1</v>
      </c>
      <c r="AP290" s="499" t="s">
        <v>9607</v>
      </c>
      <c r="AQ290" s="465">
        <v>45565</v>
      </c>
      <c r="AR290" s="460"/>
      <c r="AS290" s="57"/>
      <c r="AT290" s="185"/>
      <c r="AU290" s="318"/>
      <c r="AV290" s="223">
        <v>0</v>
      </c>
      <c r="AW290" s="318">
        <v>127.59743</v>
      </c>
      <c r="AX290" s="223">
        <v>9.9999999999544897E-6</v>
      </c>
      <c r="AY290" s="318">
        <f t="shared" si="179"/>
        <v>0</v>
      </c>
      <c r="AZ290" s="223"/>
      <c r="BA290" s="318"/>
      <c r="BB290" s="519">
        <f t="shared" si="180"/>
        <v>0</v>
      </c>
      <c r="BC290" s="518"/>
      <c r="BD290" s="518"/>
      <c r="BE290" s="518"/>
      <c r="BF290" s="518"/>
      <c r="BG290" s="518"/>
      <c r="BH290" s="518"/>
      <c r="BI290" s="518"/>
      <c r="BJ290" s="518"/>
      <c r="BK290" s="518"/>
      <c r="BL290" s="518"/>
      <c r="BM290" s="518"/>
      <c r="BN290" s="518"/>
      <c r="BO290" s="367">
        <f t="shared" si="153"/>
        <v>0</v>
      </c>
      <c r="BP290" s="421"/>
      <c r="BQ290" s="422"/>
      <c r="BR290" s="423">
        <f>IFERROR(IF(LEFT($A290,3)="Lcp",SUMIFS('BASE-LCP'!$K:$K,'BASE-LCP'!$A:$A,Capex!$A293,'BASE-LCP'!$B:$B,"janeiro")/1000,IF(LEFT($A290,3)="icp",SUMIFS('BASE-ICP'!$K:$K,'BASE-ICP'!$A:$A,Capex!$A293,'BASE-ICP'!$B:$B,"janeiro")/1000,"")),"")</f>
        <v>0</v>
      </c>
      <c r="BS290" s="427">
        <v>0</v>
      </c>
      <c r="BT290" s="372">
        <v>0</v>
      </c>
      <c r="BU290" s="422"/>
      <c r="BV290" s="423">
        <f>IFERROR(IF(LEFT($A290,3)="Lcp",SUMIFS('BASE-LCP'!$K:$K,'BASE-LCP'!$A:$A,Capex!$A293,'BASE-LCP'!$B:$B,"fevereiro")/1000,IF(LEFT($A290,3)="icp",SUMIFS('BASE-ICP'!$K:$K,'BASE-ICP'!$A:$A,Capex!$A293,'BASE-ICP'!$B:$B,"fevereiro")/1000,"")),"")</f>
        <v>0</v>
      </c>
      <c r="BW290" s="427">
        <v>0</v>
      </c>
      <c r="BX290" s="372">
        <v>0</v>
      </c>
      <c r="BY290" s="419"/>
      <c r="BZ290" s="423">
        <f>IFERROR(IF(LEFT($A290,3)="Lcp",SUMIFS('BASE-LCP'!$K:$K,'BASE-LCP'!$A:$A,Capex!$A293,'BASE-LCP'!$B:$B,"março")/1000,IF(LEFT($A290,3)="icp",SUMIFS('BASE-ICP'!$K:$K,'BASE-ICP'!$A:$A,Capex!$A293,'BASE-ICP'!$B:$B,"março")/1000,"")),"")</f>
        <v>0</v>
      </c>
      <c r="CA290" s="427">
        <v>0</v>
      </c>
      <c r="CB290" s="372">
        <v>0</v>
      </c>
      <c r="CC290" s="422"/>
      <c r="CD290" s="423">
        <f>IFERROR(IF(LEFT($A290,3)="Lcp",SUMIFS('BASE-LCP'!$K:$K,'BASE-LCP'!$A:$A,Capex!$A293,'BASE-LCP'!$B:$B,"abril")/1000,IF(LEFT($A290,3)="icp",SUMIFS('BASE-ICP'!$K:$K,'BASE-ICP'!$A:$A,Capex!$A293,'BASE-ICP'!$B:$B,"abril")/1000,"")),"")</f>
        <v>0</v>
      </c>
      <c r="CE290" s="427">
        <v>0</v>
      </c>
      <c r="CF290" s="372">
        <v>0</v>
      </c>
      <c r="CG290" s="419"/>
      <c r="CH290" s="423">
        <v>0</v>
      </c>
      <c r="CI290" s="427">
        <v>0</v>
      </c>
      <c r="CJ290" s="372">
        <v>0</v>
      </c>
      <c r="CK290" s="419"/>
      <c r="CL290" s="423">
        <f>IFERROR(IF(LEFT($A290,3)="Lcp",SUMIFS('BASE-LCP'!$K:$K,'BASE-LCP'!$A:$A,Capex!$A293,'BASE-LCP'!$B:$B,"junho")/1000,IF(LEFT($A290,3)="icp",SUMIFS('BASE-ICP'!$K:$K,'BASE-ICP'!$A:$A,Capex!$A293,'BASE-ICP'!$B:$B,"junho")/1000,"")),"")</f>
        <v>0</v>
      </c>
      <c r="CM290" s="427">
        <v>0</v>
      </c>
      <c r="CN290" s="372"/>
      <c r="CO290" s="419"/>
      <c r="CP290" s="423">
        <f>IFERROR(IF(LEFT($A290,3)="Lcp",SUMIFS('BASE-LCP'!$K:$K,'BASE-LCP'!$A:$A,Capex!$A293,'BASE-LCP'!$B:$B,"julho")/1000,IF(LEFT($A290,3)="icp",SUMIFS('BASE-ICP'!$K:$K,'BASE-ICP'!$A:$A,Capex!$A293,'BASE-ICP'!$B:$B,"julho")/1000,"")),"")</f>
        <v>0</v>
      </c>
      <c r="CQ290" s="427">
        <v>0</v>
      </c>
      <c r="CR290" s="372"/>
      <c r="CS290" s="419"/>
      <c r="CT290" s="423">
        <f>IFERROR(IF(LEFT($A290,3)="Lcp",SUMIFS('BASE-LCP'!$K:$K,'BASE-LCP'!$A:$A,Capex!$A293,'BASE-LCP'!$B:$B,"agosto")/1000,IF(LEFT($A290,3)="icp",SUMIFS('BASE-ICP'!$K:$K,'BASE-ICP'!$A:$A,Capex!$A293,'BASE-ICP'!$B:$B,"agosto")/1000,"")),"")</f>
        <v>0</v>
      </c>
      <c r="CU290" s="427">
        <v>0</v>
      </c>
      <c r="CV290" s="372"/>
      <c r="CW290" s="419"/>
      <c r="CX290" s="423">
        <f>IFERROR(IF(LEFT($A290,3)="Lcp",SUMIFS('BASE-LCP'!$K:$K,'BASE-LCP'!$A:$A,Capex!$A293,'BASE-LCP'!$B:$B,"setembro")/1000,IF(LEFT($A290,3)="icp",SUMIFS('BASE-ICP'!$K:$K,'BASE-ICP'!$A:$A,Capex!$A293,'BASE-ICP'!$B:$B,"setembro")/1000,"")),"")</f>
        <v>0</v>
      </c>
      <c r="CY290" s="427">
        <v>0</v>
      </c>
      <c r="CZ290" s="372"/>
      <c r="DA290" s="419"/>
      <c r="DB290" s="423">
        <f>IFERROR(IF(LEFT($A290,3)="Lcp",SUMIFS('BASE-LCP'!$K:$K,'BASE-LCP'!$A:$A,Capex!$A293,'BASE-LCP'!$B:$B,"outubro")/1000,IF(LEFT($A290,3)="icp",SUMIFS('BASE-ICP'!$K:$K,'BASE-ICP'!$A:$A,Capex!$A293,'BASE-ICP'!$B:$B,"outubro")/1000,"")),"")</f>
        <v>0</v>
      </c>
      <c r="DC290" s="427">
        <v>0</v>
      </c>
      <c r="DD290" s="372"/>
      <c r="DE290" s="419"/>
      <c r="DF290" s="423">
        <f>IFERROR(IF(LEFT($A290,3)="Lcp",SUMIFS('BASE-LCP'!$K:$K,'BASE-LCP'!$A:$A,Capex!$A293,'BASE-LCP'!$B:$B,"novembro")/1000,IF(LEFT($A290,3)="icp",SUMIFS('BASE-ICP'!$K:$K,'BASE-ICP'!$A:$A,Capex!$A293,'BASE-ICP'!$B:$B,"novembro")/1000,"")),"")</f>
        <v>0</v>
      </c>
      <c r="DG290" s="427">
        <v>0</v>
      </c>
      <c r="DH290" s="372"/>
      <c r="DI290" s="419"/>
      <c r="DJ290" s="423">
        <f>IFERROR(IF(LEFT($A290,3)="Lcp",SUMIFS('BASE-LCP'!$K:$K,'BASE-LCP'!$A:$A,Capex!$A293,'BASE-LCP'!$B:$B,"dezembro")/1000,IF(LEFT($A290,3)="icp",SUMIFS('BASE-ICP'!$K:$K,'BASE-ICP'!$A:$A,Capex!$A293,'BASE-ICP'!$B:$B,"dezembro")/1000,"")),"")</f>
        <v>0</v>
      </c>
      <c r="DK290" s="427">
        <v>0</v>
      </c>
      <c r="DL290" s="452">
        <f t="shared" si="154"/>
        <v>0</v>
      </c>
      <c r="DM290" s="374"/>
      <c r="DN290" s="374">
        <v>0</v>
      </c>
      <c r="DO290" s="374"/>
      <c r="DP290" s="374"/>
      <c r="DQ290" s="374"/>
      <c r="DR290" s="374"/>
      <c r="DS290" s="374"/>
      <c r="DT290" s="374"/>
      <c r="DU290" s="374"/>
      <c r="DV290" s="374"/>
      <c r="DW290" s="374"/>
      <c r="DX290" s="374"/>
      <c r="DY290" s="450"/>
      <c r="DZ290" s="374">
        <f t="shared" si="155"/>
        <v>0</v>
      </c>
      <c r="EA290" s="216">
        <f t="shared" si="156"/>
        <v>0</v>
      </c>
      <c r="EB290" s="320">
        <f t="shared" si="157"/>
        <v>0</v>
      </c>
      <c r="EC290" s="241">
        <f t="shared" si="158"/>
        <v>0</v>
      </c>
      <c r="ED290" s="241">
        <f t="shared" si="159"/>
        <v>0</v>
      </c>
      <c r="EE290" s="241">
        <f t="shared" si="160"/>
        <v>0</v>
      </c>
      <c r="EF290" s="241">
        <f t="shared" si="161"/>
        <v>0</v>
      </c>
      <c r="EG290" s="346">
        <f t="shared" si="162"/>
        <v>0</v>
      </c>
      <c r="EH290" s="445">
        <f t="shared" si="163"/>
        <v>0</v>
      </c>
      <c r="EI290" s="447">
        <f t="shared" si="164"/>
        <v>0</v>
      </c>
      <c r="EJ290" s="364">
        <f t="shared" si="165"/>
        <v>0</v>
      </c>
      <c r="EK290" s="365">
        <f t="shared" si="166"/>
        <v>0</v>
      </c>
      <c r="EL290" s="529">
        <f t="shared" si="167"/>
        <v>0</v>
      </c>
      <c r="EM290" s="530">
        <v>0</v>
      </c>
      <c r="EN290" s="530">
        <v>0</v>
      </c>
      <c r="EO290" s="530">
        <v>0</v>
      </c>
      <c r="EP290" s="530">
        <v>0</v>
      </c>
      <c r="EQ290" s="530">
        <v>0</v>
      </c>
      <c r="ER290" s="530">
        <v>0</v>
      </c>
      <c r="ES290" s="530">
        <v>0</v>
      </c>
      <c r="ET290" s="530">
        <v>0</v>
      </c>
      <c r="EU290" s="530">
        <v>0</v>
      </c>
      <c r="EV290" s="530">
        <v>0</v>
      </c>
      <c r="EW290" s="530">
        <v>0</v>
      </c>
      <c r="EX290" s="530">
        <v>0</v>
      </c>
      <c r="EY290" s="530">
        <f t="shared" si="168"/>
        <v>0</v>
      </c>
      <c r="EZ290" s="530">
        <f t="shared" si="169"/>
        <v>0</v>
      </c>
      <c r="FA290" s="530">
        <f t="shared" si="170"/>
        <v>0</v>
      </c>
      <c r="FB290" s="530">
        <f t="shared" si="171"/>
        <v>0</v>
      </c>
      <c r="FC290" s="384">
        <f>IFERROR(VLOOKUP(Capex!A293,BASE_558!D:R,8,FALSE)/1000,"")</f>
        <v>277.02940999999998</v>
      </c>
      <c r="FD290" s="328">
        <f>IFERROR(VLOOKUP(Capex!A293,BASE_558!D:R,9,)/1000,"")</f>
        <v>190.19710999999998</v>
      </c>
      <c r="FE290" s="328">
        <f>IFERROR(IF(LEFT(A290,3)="LCP",(VLOOKUP(Capex!A293,BASE_558!D:R,10,)/1000),SUMIFS('BASE ICP_PO_SC'!F:F,'BASE ICP_PO_SC'!A:A,Capex!A293,'BASE ICP_PO_SC'!E:E,"&lt;&gt;")/1000),"")</f>
        <v>0</v>
      </c>
      <c r="FF290" s="328">
        <f>IFERROR(IF(LEFT(A290,3)="LCP",(VLOOKUP(Capex!A293,BASE_558!D:R,11,)/1000),SUMIFS('BASE ICP_PO_SC'!F:F,'BASE ICP_PO_SC'!A:A,Capex!A293,'BASE ICP_PO_SC'!E:E,"")/1000),"")</f>
        <v>0</v>
      </c>
      <c r="FG290" s="328">
        <f>IFERROR(VLOOKUP(A290,BASE_558!D:R,13,FALSE)/1000,"")</f>
        <v>127.59744000000001</v>
      </c>
      <c r="FH290" s="328">
        <f>IFERROR(VLOOKUP(A290,BASE_558!D:R,15,FALSE)/1000,"")</f>
        <v>3.5025599999999999</v>
      </c>
      <c r="FI290" s="547">
        <f t="shared" si="172"/>
        <v>0</v>
      </c>
      <c r="FJ290" s="547">
        <f t="shared" si="173"/>
        <v>0</v>
      </c>
      <c r="FK290" s="540">
        <f t="shared" si="174"/>
        <v>0</v>
      </c>
    </row>
    <row r="291" spans="1:167" s="23" customFormat="1" ht="24" customHeight="1">
      <c r="A291" s="84" t="s">
        <v>2319</v>
      </c>
      <c r="B291" s="404"/>
      <c r="C291" s="404">
        <v>127379</v>
      </c>
      <c r="D291" s="338" t="s">
        <v>2320</v>
      </c>
      <c r="E291" s="378">
        <v>6186385</v>
      </c>
      <c r="F291" s="5"/>
      <c r="G291" s="310" t="s">
        <v>9</v>
      </c>
      <c r="H291" s="338"/>
      <c r="I291" s="356" t="s">
        <v>6</v>
      </c>
      <c r="J291" s="356">
        <v>2022</v>
      </c>
      <c r="K291" s="321">
        <v>44692</v>
      </c>
      <c r="L291" s="317">
        <v>45296</v>
      </c>
      <c r="M291" s="409"/>
      <c r="N291" s="317">
        <f t="shared" si="177"/>
        <v>45604</v>
      </c>
      <c r="O291" s="317">
        <f t="shared" si="178"/>
        <v>45969</v>
      </c>
      <c r="P291" s="418" t="str">
        <f t="shared" si="181"/>
        <v>NÃO</v>
      </c>
      <c r="Q291" s="418" t="str">
        <f t="shared" si="181"/>
        <v>NÃO</v>
      </c>
      <c r="R291" s="418" t="str">
        <f t="shared" si="181"/>
        <v>NÃO</v>
      </c>
      <c r="S291" s="418" t="str">
        <f t="shared" si="181"/>
        <v>NÃO</v>
      </c>
      <c r="T291" s="418" t="str">
        <f t="shared" si="181"/>
        <v>NÃO</v>
      </c>
      <c r="U291" s="418" t="str">
        <f t="shared" si="181"/>
        <v>NÃO</v>
      </c>
      <c r="V291" s="418" t="str">
        <f t="shared" si="181"/>
        <v>NÃO</v>
      </c>
      <c r="W291" s="418" t="str">
        <f t="shared" si="181"/>
        <v>NÃO</v>
      </c>
      <c r="X291" s="418" t="str">
        <f t="shared" si="181"/>
        <v>NÃO</v>
      </c>
      <c r="Y291" s="418" t="str">
        <f t="shared" si="181"/>
        <v>NÃO</v>
      </c>
      <c r="Z291" s="418" t="str">
        <f t="shared" si="181"/>
        <v>CRTD</v>
      </c>
      <c r="AA291" s="418" t="str">
        <f t="shared" si="181"/>
        <v>CRTD</v>
      </c>
      <c r="AB291" s="350"/>
      <c r="AC291" s="309" t="s">
        <v>3932</v>
      </c>
      <c r="AD291" s="311" t="s">
        <v>5</v>
      </c>
      <c r="AE291" s="361" t="s">
        <v>2306</v>
      </c>
      <c r="AF291" s="310" t="s">
        <v>6985</v>
      </c>
      <c r="AG291" s="310" t="s">
        <v>2259</v>
      </c>
      <c r="AH291" s="310" t="s">
        <v>3256</v>
      </c>
      <c r="AI291" s="381" t="s">
        <v>2255</v>
      </c>
      <c r="AJ291" s="6" t="s">
        <v>218</v>
      </c>
      <c r="AK291" s="6" t="str">
        <f t="shared" si="152"/>
        <v>IGUAL</v>
      </c>
      <c r="AL291" s="151" t="str">
        <f>IFERROR(IF(LEFT(A291,3)="LCP",VLOOKUP(A291,STATUS_SAP_LCP!B:C,2,FALSE),VLOOKUP(A291,STATUS_SAP_ICP!B:C,2,FALSE)),"NO BUDGET")</f>
        <v>CLSD BUDG AUC  AVAC  //  APPR BREL EXPL</v>
      </c>
      <c r="AM291" s="6" t="str">
        <f t="shared" si="151"/>
        <v>CLSD</v>
      </c>
      <c r="AN291" s="282" t="s">
        <v>2651</v>
      </c>
      <c r="AO291" s="493">
        <v>1</v>
      </c>
      <c r="AP291" s="499" t="s">
        <v>9607</v>
      </c>
      <c r="AQ291" s="465">
        <v>45296</v>
      </c>
      <c r="AR291" s="460"/>
      <c r="AS291" s="57"/>
      <c r="AT291" s="185"/>
      <c r="AU291" s="318"/>
      <c r="AV291" s="223">
        <v>0</v>
      </c>
      <c r="AW291" s="318">
        <v>234.42879000000002</v>
      </c>
      <c r="AX291" s="223">
        <v>0</v>
      </c>
      <c r="AY291" s="318">
        <f t="shared" si="179"/>
        <v>0</v>
      </c>
      <c r="AZ291" s="223"/>
      <c r="BA291" s="318"/>
      <c r="BB291" s="519">
        <f t="shared" si="180"/>
        <v>0</v>
      </c>
      <c r="BC291" s="518"/>
      <c r="BD291" s="518"/>
      <c r="BE291" s="518"/>
      <c r="BF291" s="518"/>
      <c r="BG291" s="518"/>
      <c r="BH291" s="518"/>
      <c r="BI291" s="518"/>
      <c r="BJ291" s="518"/>
      <c r="BK291" s="518"/>
      <c r="BL291" s="518"/>
      <c r="BM291" s="518"/>
      <c r="BN291" s="518"/>
      <c r="BO291" s="367">
        <f t="shared" si="153"/>
        <v>0</v>
      </c>
      <c r="BP291" s="421"/>
      <c r="BQ291" s="422"/>
      <c r="BR291" s="423">
        <f>IFERROR(IF(LEFT($A291,3)="Lcp",SUMIFS('BASE-LCP'!$K:$K,'BASE-LCP'!$A:$A,Capex!$A294,'BASE-LCP'!$B:$B,"janeiro")/1000,IF(LEFT($A291,3)="icp",SUMIFS('BASE-ICP'!$K:$K,'BASE-ICP'!$A:$A,Capex!$A294,'BASE-ICP'!$B:$B,"janeiro")/1000,"")),"")</f>
        <v>0</v>
      </c>
      <c r="BS291" s="427">
        <v>0</v>
      </c>
      <c r="BT291" s="372">
        <v>0</v>
      </c>
      <c r="BU291" s="422"/>
      <c r="BV291" s="423">
        <f>IFERROR(IF(LEFT($A291,3)="Lcp",SUMIFS('BASE-LCP'!$K:$K,'BASE-LCP'!$A:$A,Capex!$A294,'BASE-LCP'!$B:$B,"fevereiro")/1000,IF(LEFT($A291,3)="icp",SUMIFS('BASE-ICP'!$K:$K,'BASE-ICP'!$A:$A,Capex!$A294,'BASE-ICP'!$B:$B,"fevereiro")/1000,"")),"")</f>
        <v>0</v>
      </c>
      <c r="BW291" s="427">
        <v>0</v>
      </c>
      <c r="BX291" s="372">
        <v>0</v>
      </c>
      <c r="BY291" s="419"/>
      <c r="BZ291" s="423">
        <f>IFERROR(IF(LEFT($A291,3)="Lcp",SUMIFS('BASE-LCP'!$K:$K,'BASE-LCP'!$A:$A,Capex!$A294,'BASE-LCP'!$B:$B,"março")/1000,IF(LEFT($A291,3)="icp",SUMIFS('BASE-ICP'!$K:$K,'BASE-ICP'!$A:$A,Capex!$A294,'BASE-ICP'!$B:$B,"março")/1000,"")),"")</f>
        <v>0</v>
      </c>
      <c r="CA291" s="427">
        <v>0</v>
      </c>
      <c r="CB291" s="372">
        <v>0</v>
      </c>
      <c r="CC291" s="422"/>
      <c r="CD291" s="423">
        <f>IFERROR(IF(LEFT($A291,3)="Lcp",SUMIFS('BASE-LCP'!$K:$K,'BASE-LCP'!$A:$A,Capex!$A294,'BASE-LCP'!$B:$B,"abril")/1000,IF(LEFT($A291,3)="icp",SUMIFS('BASE-ICP'!$K:$K,'BASE-ICP'!$A:$A,Capex!$A294,'BASE-ICP'!$B:$B,"abril")/1000,"")),"")</f>
        <v>0</v>
      </c>
      <c r="CE291" s="427">
        <v>0</v>
      </c>
      <c r="CF291" s="372">
        <v>0</v>
      </c>
      <c r="CG291" s="419"/>
      <c r="CH291" s="423">
        <v>0</v>
      </c>
      <c r="CI291" s="427">
        <v>0</v>
      </c>
      <c r="CJ291" s="372">
        <v>0</v>
      </c>
      <c r="CK291" s="419"/>
      <c r="CL291" s="423">
        <f>IFERROR(IF(LEFT($A291,3)="Lcp",SUMIFS('BASE-LCP'!$K:$K,'BASE-LCP'!$A:$A,Capex!$A294,'BASE-LCP'!$B:$B,"junho")/1000,IF(LEFT($A291,3)="icp",SUMIFS('BASE-ICP'!$K:$K,'BASE-ICP'!$A:$A,Capex!$A294,'BASE-ICP'!$B:$B,"junho")/1000,"")),"")</f>
        <v>0</v>
      </c>
      <c r="CM291" s="427">
        <v>0</v>
      </c>
      <c r="CN291" s="372"/>
      <c r="CO291" s="419"/>
      <c r="CP291" s="423">
        <f>IFERROR(IF(LEFT($A291,3)="Lcp",SUMIFS('BASE-LCP'!$K:$K,'BASE-LCP'!$A:$A,Capex!$A294,'BASE-LCP'!$B:$B,"julho")/1000,IF(LEFT($A291,3)="icp",SUMIFS('BASE-ICP'!$K:$K,'BASE-ICP'!$A:$A,Capex!$A294,'BASE-ICP'!$B:$B,"julho")/1000,"")),"")</f>
        <v>0</v>
      </c>
      <c r="CQ291" s="427">
        <v>0</v>
      </c>
      <c r="CR291" s="372"/>
      <c r="CS291" s="419"/>
      <c r="CT291" s="423">
        <f>IFERROR(IF(LEFT($A291,3)="Lcp",SUMIFS('BASE-LCP'!$K:$K,'BASE-LCP'!$A:$A,Capex!$A294,'BASE-LCP'!$B:$B,"agosto")/1000,IF(LEFT($A291,3)="icp",SUMIFS('BASE-ICP'!$K:$K,'BASE-ICP'!$A:$A,Capex!$A294,'BASE-ICP'!$B:$B,"agosto")/1000,"")),"")</f>
        <v>0</v>
      </c>
      <c r="CU291" s="427">
        <v>0</v>
      </c>
      <c r="CV291" s="372"/>
      <c r="CW291" s="419"/>
      <c r="CX291" s="423">
        <f>IFERROR(IF(LEFT($A291,3)="Lcp",SUMIFS('BASE-LCP'!$K:$K,'BASE-LCP'!$A:$A,Capex!$A294,'BASE-LCP'!$B:$B,"setembro")/1000,IF(LEFT($A291,3)="icp",SUMIFS('BASE-ICP'!$K:$K,'BASE-ICP'!$A:$A,Capex!$A294,'BASE-ICP'!$B:$B,"setembro")/1000,"")),"")</f>
        <v>0</v>
      </c>
      <c r="CY291" s="427">
        <v>0</v>
      </c>
      <c r="CZ291" s="372"/>
      <c r="DA291" s="419"/>
      <c r="DB291" s="423">
        <f>IFERROR(IF(LEFT($A291,3)="Lcp",SUMIFS('BASE-LCP'!$K:$K,'BASE-LCP'!$A:$A,Capex!$A294,'BASE-LCP'!$B:$B,"outubro")/1000,IF(LEFT($A291,3)="icp",SUMIFS('BASE-ICP'!$K:$K,'BASE-ICP'!$A:$A,Capex!$A294,'BASE-ICP'!$B:$B,"outubro")/1000,"")),"")</f>
        <v>0</v>
      </c>
      <c r="DC291" s="427">
        <v>0</v>
      </c>
      <c r="DD291" s="372"/>
      <c r="DE291" s="419"/>
      <c r="DF291" s="423">
        <f>IFERROR(IF(LEFT($A291,3)="Lcp",SUMIFS('BASE-LCP'!$K:$K,'BASE-LCP'!$A:$A,Capex!$A294,'BASE-LCP'!$B:$B,"novembro")/1000,IF(LEFT($A291,3)="icp",SUMIFS('BASE-ICP'!$K:$K,'BASE-ICP'!$A:$A,Capex!$A294,'BASE-ICP'!$B:$B,"novembro")/1000,"")),"")</f>
        <v>0</v>
      </c>
      <c r="DG291" s="427">
        <v>0</v>
      </c>
      <c r="DH291" s="372"/>
      <c r="DI291" s="419"/>
      <c r="DJ291" s="423">
        <f>IFERROR(IF(LEFT($A291,3)="Lcp",SUMIFS('BASE-LCP'!$K:$K,'BASE-LCP'!$A:$A,Capex!$A294,'BASE-LCP'!$B:$B,"dezembro")/1000,IF(LEFT($A291,3)="icp",SUMIFS('BASE-ICP'!$K:$K,'BASE-ICP'!$A:$A,Capex!$A294,'BASE-ICP'!$B:$B,"dezembro")/1000,"")),"")</f>
        <v>0</v>
      </c>
      <c r="DK291" s="427">
        <v>0</v>
      </c>
      <c r="DL291" s="452">
        <f t="shared" si="154"/>
        <v>0</v>
      </c>
      <c r="DM291" s="374"/>
      <c r="DN291" s="374"/>
      <c r="DO291" s="374"/>
      <c r="DP291" s="374"/>
      <c r="DQ291" s="374"/>
      <c r="DR291" s="374"/>
      <c r="DS291" s="374"/>
      <c r="DT291" s="374"/>
      <c r="DU291" s="374"/>
      <c r="DV291" s="374"/>
      <c r="DW291" s="374"/>
      <c r="DX291" s="374"/>
      <c r="DY291" s="450"/>
      <c r="DZ291" s="374">
        <f t="shared" si="155"/>
        <v>0</v>
      </c>
      <c r="EA291" s="216">
        <f t="shared" si="156"/>
        <v>0</v>
      </c>
      <c r="EB291" s="320">
        <f t="shared" si="157"/>
        <v>0</v>
      </c>
      <c r="EC291" s="241">
        <f t="shared" si="158"/>
        <v>0</v>
      </c>
      <c r="ED291" s="241">
        <f t="shared" si="159"/>
        <v>0</v>
      </c>
      <c r="EE291" s="241">
        <f t="shared" si="160"/>
        <v>0</v>
      </c>
      <c r="EF291" s="241">
        <f t="shared" si="161"/>
        <v>0</v>
      </c>
      <c r="EG291" s="346">
        <f t="shared" si="162"/>
        <v>0</v>
      </c>
      <c r="EH291" s="445">
        <f t="shared" si="163"/>
        <v>0</v>
      </c>
      <c r="EI291" s="447">
        <f t="shared" si="164"/>
        <v>0</v>
      </c>
      <c r="EJ291" s="364">
        <f t="shared" si="165"/>
        <v>0</v>
      </c>
      <c r="EK291" s="365">
        <f t="shared" si="166"/>
        <v>0</v>
      </c>
      <c r="EL291" s="529">
        <f t="shared" si="167"/>
        <v>0</v>
      </c>
      <c r="EM291" s="530">
        <v>0</v>
      </c>
      <c r="EN291" s="530">
        <v>0</v>
      </c>
      <c r="EO291" s="530">
        <v>0</v>
      </c>
      <c r="EP291" s="530">
        <v>0</v>
      </c>
      <c r="EQ291" s="530">
        <v>0</v>
      </c>
      <c r="ER291" s="530">
        <v>0</v>
      </c>
      <c r="ES291" s="530">
        <v>0</v>
      </c>
      <c r="ET291" s="530">
        <v>0</v>
      </c>
      <c r="EU291" s="530">
        <v>0</v>
      </c>
      <c r="EV291" s="530">
        <v>0</v>
      </c>
      <c r="EW291" s="530">
        <v>0</v>
      </c>
      <c r="EX291" s="530">
        <v>0</v>
      </c>
      <c r="EY291" s="530">
        <f t="shared" si="168"/>
        <v>0</v>
      </c>
      <c r="EZ291" s="530">
        <f t="shared" si="169"/>
        <v>0</v>
      </c>
      <c r="FA291" s="530">
        <f t="shared" si="170"/>
        <v>0</v>
      </c>
      <c r="FB291" s="530">
        <f t="shared" si="171"/>
        <v>0</v>
      </c>
      <c r="FC291" s="384">
        <f>IFERROR(VLOOKUP(Capex!A294,BASE_558!D:R,8,FALSE)/1000,"")</f>
        <v>120.4975</v>
      </c>
      <c r="FD291" s="328">
        <f>IFERROR(VLOOKUP(Capex!A294,BASE_558!D:R,9,)/1000,"")</f>
        <v>116.35334</v>
      </c>
      <c r="FE291" s="328">
        <f>IFERROR(IF(LEFT(A291,3)="LCP",(VLOOKUP(Capex!A294,BASE_558!D:R,10,)/1000),SUMIFS('BASE ICP_PO_SC'!F:F,'BASE ICP_PO_SC'!A:A,Capex!A294,'BASE ICP_PO_SC'!E:E,"&lt;&gt;")/1000),"")</f>
        <v>0</v>
      </c>
      <c r="FF291" s="328">
        <f>IFERROR(IF(LEFT(A291,3)="LCP",(VLOOKUP(Capex!A294,BASE_558!D:R,11,)/1000),SUMIFS('BASE ICP_PO_SC'!F:F,'BASE ICP_PO_SC'!A:A,Capex!A294,'BASE ICP_PO_SC'!E:E,"")/1000),"")</f>
        <v>0</v>
      </c>
      <c r="FG291" s="328">
        <f>IFERROR(VLOOKUP(A291,BASE_558!D:R,13,FALSE)/1000,"")</f>
        <v>234.42879000000002</v>
      </c>
      <c r="FH291" s="328">
        <f>IFERROR(VLOOKUP(A291,BASE_558!D:R,15,FALSE)/1000,"")</f>
        <v>79.696210000000008</v>
      </c>
      <c r="FI291" s="547">
        <f t="shared" si="172"/>
        <v>0</v>
      </c>
      <c r="FJ291" s="547">
        <f t="shared" si="173"/>
        <v>0</v>
      </c>
      <c r="FK291" s="540">
        <f t="shared" si="174"/>
        <v>0</v>
      </c>
    </row>
    <row r="292" spans="1:167" s="23" customFormat="1" ht="24" customHeight="1">
      <c r="A292" s="84" t="s">
        <v>2321</v>
      </c>
      <c r="B292" s="404"/>
      <c r="C292" s="404">
        <v>147996</v>
      </c>
      <c r="D292" s="338" t="s">
        <v>2322</v>
      </c>
      <c r="E292" s="378">
        <v>6186922</v>
      </c>
      <c r="F292" s="5"/>
      <c r="G292" s="310" t="s">
        <v>9</v>
      </c>
      <c r="H292" s="356"/>
      <c r="I292" s="356" t="s">
        <v>6</v>
      </c>
      <c r="J292" s="356">
        <v>2022</v>
      </c>
      <c r="K292" s="321">
        <v>44692</v>
      </c>
      <c r="L292" s="317">
        <v>45296</v>
      </c>
      <c r="M292" s="409"/>
      <c r="N292" s="317">
        <f t="shared" si="177"/>
        <v>45604</v>
      </c>
      <c r="O292" s="317">
        <f t="shared" si="178"/>
        <v>45969</v>
      </c>
      <c r="P292" s="418" t="str">
        <f t="shared" si="181"/>
        <v>NÃO</v>
      </c>
      <c r="Q292" s="418" t="str">
        <f t="shared" si="181"/>
        <v>NÃO</v>
      </c>
      <c r="R292" s="418" t="str">
        <f t="shared" si="181"/>
        <v>NÃO</v>
      </c>
      <c r="S292" s="418" t="str">
        <f t="shared" si="181"/>
        <v>NÃO</v>
      </c>
      <c r="T292" s="418" t="str">
        <f t="shared" si="181"/>
        <v>NÃO</v>
      </c>
      <c r="U292" s="418" t="str">
        <f t="shared" si="181"/>
        <v>NÃO</v>
      </c>
      <c r="V292" s="418" t="str">
        <f t="shared" si="181"/>
        <v>NÃO</v>
      </c>
      <c r="W292" s="418" t="str">
        <f t="shared" si="181"/>
        <v>NÃO</v>
      </c>
      <c r="X292" s="418" t="str">
        <f t="shared" si="181"/>
        <v>NÃO</v>
      </c>
      <c r="Y292" s="418" t="str">
        <f t="shared" si="181"/>
        <v>NÃO</v>
      </c>
      <c r="Z292" s="418" t="str">
        <f t="shared" si="181"/>
        <v>CRTD</v>
      </c>
      <c r="AA292" s="418" t="str">
        <f t="shared" si="181"/>
        <v>CRTD</v>
      </c>
      <c r="AB292" s="350"/>
      <c r="AC292" s="381" t="s">
        <v>3932</v>
      </c>
      <c r="AD292" s="311" t="s">
        <v>5</v>
      </c>
      <c r="AE292" s="361" t="s">
        <v>2306</v>
      </c>
      <c r="AF292" s="310" t="s">
        <v>6985</v>
      </c>
      <c r="AG292" s="310" t="s">
        <v>9083</v>
      </c>
      <c r="AH292" s="310" t="s">
        <v>2323</v>
      </c>
      <c r="AI292" s="381" t="s">
        <v>2255</v>
      </c>
      <c r="AJ292" s="6" t="s">
        <v>218</v>
      </c>
      <c r="AK292" s="6" t="str">
        <f t="shared" si="152"/>
        <v>IGUAL</v>
      </c>
      <c r="AL292" s="151" t="str">
        <f>IFERROR(IF(LEFT(A292,3)="LCP",VLOOKUP(A292,STATUS_SAP_LCP!B:C,2,FALSE),VLOOKUP(A292,STATUS_SAP_ICP!B:C,2,FALSE)),"NO BUDGET")</f>
        <v>CLSD BUDG AUC  AVAC  //  APPR BREL EXPL</v>
      </c>
      <c r="AM292" s="6" t="str">
        <f t="shared" si="151"/>
        <v>CLSD</v>
      </c>
      <c r="AN292" s="282" t="s">
        <v>9093</v>
      </c>
      <c r="AO292" s="493">
        <v>1</v>
      </c>
      <c r="AP292" s="499" t="s">
        <v>9607</v>
      </c>
      <c r="AQ292" s="465">
        <v>45296</v>
      </c>
      <c r="AR292" s="460"/>
      <c r="AS292" s="57"/>
      <c r="AT292" s="185"/>
      <c r="AU292" s="318"/>
      <c r="AV292" s="223">
        <v>0</v>
      </c>
      <c r="AW292" s="318">
        <v>177.05155999999997</v>
      </c>
      <c r="AX292" s="223">
        <v>0</v>
      </c>
      <c r="AY292" s="318">
        <f t="shared" si="179"/>
        <v>0</v>
      </c>
      <c r="AZ292" s="223"/>
      <c r="BA292" s="318"/>
      <c r="BB292" s="519">
        <f t="shared" si="180"/>
        <v>0</v>
      </c>
      <c r="BC292" s="518"/>
      <c r="BD292" s="518"/>
      <c r="BE292" s="518"/>
      <c r="BF292" s="518"/>
      <c r="BG292" s="518"/>
      <c r="BH292" s="518"/>
      <c r="BI292" s="518"/>
      <c r="BJ292" s="518"/>
      <c r="BK292" s="518"/>
      <c r="BL292" s="518"/>
      <c r="BM292" s="518"/>
      <c r="BN292" s="518"/>
      <c r="BO292" s="367">
        <f t="shared" si="153"/>
        <v>0</v>
      </c>
      <c r="BP292" s="421"/>
      <c r="BQ292" s="422"/>
      <c r="BR292" s="423">
        <f>IFERROR(IF(LEFT($A292,3)="Lcp",SUMIFS('BASE-LCP'!$K:$K,'BASE-LCP'!$A:$A,Capex!$A295,'BASE-LCP'!$B:$B,"janeiro")/1000,IF(LEFT($A292,3)="icp",SUMIFS('BASE-ICP'!$K:$K,'BASE-ICP'!$A:$A,Capex!$A295,'BASE-ICP'!$B:$B,"janeiro")/1000,"")),"")</f>
        <v>0</v>
      </c>
      <c r="BS292" s="427">
        <v>0</v>
      </c>
      <c r="BT292" s="372">
        <v>0</v>
      </c>
      <c r="BU292" s="422"/>
      <c r="BV292" s="423">
        <f>IFERROR(IF(LEFT($A292,3)="Lcp",SUMIFS('BASE-LCP'!$K:$K,'BASE-LCP'!$A:$A,Capex!$A295,'BASE-LCP'!$B:$B,"fevereiro")/1000,IF(LEFT($A292,3)="icp",SUMIFS('BASE-ICP'!$K:$K,'BASE-ICP'!$A:$A,Capex!$A295,'BASE-ICP'!$B:$B,"fevereiro")/1000,"")),"")</f>
        <v>0</v>
      </c>
      <c r="BW292" s="427">
        <v>0</v>
      </c>
      <c r="BX292" s="372">
        <v>0</v>
      </c>
      <c r="BY292" s="419"/>
      <c r="BZ292" s="423">
        <f>IFERROR(IF(LEFT($A292,3)="Lcp",SUMIFS('BASE-LCP'!$K:$K,'BASE-LCP'!$A:$A,Capex!$A295,'BASE-LCP'!$B:$B,"março")/1000,IF(LEFT($A292,3)="icp",SUMIFS('BASE-ICP'!$K:$K,'BASE-ICP'!$A:$A,Capex!$A295,'BASE-ICP'!$B:$B,"março")/1000,"")),"")</f>
        <v>0</v>
      </c>
      <c r="CA292" s="427">
        <v>0</v>
      </c>
      <c r="CB292" s="372">
        <v>0</v>
      </c>
      <c r="CC292" s="422"/>
      <c r="CD292" s="423">
        <f>IFERROR(IF(LEFT($A292,3)="Lcp",SUMIFS('BASE-LCP'!$K:$K,'BASE-LCP'!$A:$A,Capex!$A295,'BASE-LCP'!$B:$B,"abril")/1000,IF(LEFT($A292,3)="icp",SUMIFS('BASE-ICP'!$K:$K,'BASE-ICP'!$A:$A,Capex!$A295,'BASE-ICP'!$B:$B,"abril")/1000,"")),"")</f>
        <v>0</v>
      </c>
      <c r="CE292" s="427">
        <v>0</v>
      </c>
      <c r="CF292" s="372">
        <v>0</v>
      </c>
      <c r="CG292" s="419"/>
      <c r="CH292" s="423">
        <v>0</v>
      </c>
      <c r="CI292" s="427">
        <v>0</v>
      </c>
      <c r="CJ292" s="372">
        <v>0</v>
      </c>
      <c r="CK292" s="419"/>
      <c r="CL292" s="423">
        <f>IFERROR(IF(LEFT($A292,3)="Lcp",SUMIFS('BASE-LCP'!$K:$K,'BASE-LCP'!$A:$A,Capex!$A295,'BASE-LCP'!$B:$B,"junho")/1000,IF(LEFT($A292,3)="icp",SUMIFS('BASE-ICP'!$K:$K,'BASE-ICP'!$A:$A,Capex!$A295,'BASE-ICP'!$B:$B,"junho")/1000,"")),"")</f>
        <v>0</v>
      </c>
      <c r="CM292" s="427">
        <v>0</v>
      </c>
      <c r="CN292" s="372"/>
      <c r="CO292" s="419"/>
      <c r="CP292" s="423">
        <f>IFERROR(IF(LEFT($A292,3)="Lcp",SUMIFS('BASE-LCP'!$K:$K,'BASE-LCP'!$A:$A,Capex!$A295,'BASE-LCP'!$B:$B,"julho")/1000,IF(LEFT($A292,3)="icp",SUMIFS('BASE-ICP'!$K:$K,'BASE-ICP'!$A:$A,Capex!$A295,'BASE-ICP'!$B:$B,"julho")/1000,"")),"")</f>
        <v>0</v>
      </c>
      <c r="CQ292" s="427">
        <v>0</v>
      </c>
      <c r="CR292" s="372"/>
      <c r="CS292" s="419"/>
      <c r="CT292" s="423">
        <f>IFERROR(IF(LEFT($A292,3)="Lcp",SUMIFS('BASE-LCP'!$K:$K,'BASE-LCP'!$A:$A,Capex!$A295,'BASE-LCP'!$B:$B,"agosto")/1000,IF(LEFT($A292,3)="icp",SUMIFS('BASE-ICP'!$K:$K,'BASE-ICP'!$A:$A,Capex!$A295,'BASE-ICP'!$B:$B,"agosto")/1000,"")),"")</f>
        <v>0</v>
      </c>
      <c r="CU292" s="427">
        <v>0</v>
      </c>
      <c r="CV292" s="372"/>
      <c r="CW292" s="419"/>
      <c r="CX292" s="423">
        <f>IFERROR(IF(LEFT($A292,3)="Lcp",SUMIFS('BASE-LCP'!$K:$K,'BASE-LCP'!$A:$A,Capex!$A295,'BASE-LCP'!$B:$B,"setembro")/1000,IF(LEFT($A292,3)="icp",SUMIFS('BASE-ICP'!$K:$K,'BASE-ICP'!$A:$A,Capex!$A295,'BASE-ICP'!$B:$B,"setembro")/1000,"")),"")</f>
        <v>0</v>
      </c>
      <c r="CY292" s="427">
        <v>0</v>
      </c>
      <c r="CZ292" s="372"/>
      <c r="DA292" s="419"/>
      <c r="DB292" s="423">
        <f>IFERROR(IF(LEFT($A292,3)="Lcp",SUMIFS('BASE-LCP'!$K:$K,'BASE-LCP'!$A:$A,Capex!$A295,'BASE-LCP'!$B:$B,"outubro")/1000,IF(LEFT($A292,3)="icp",SUMIFS('BASE-ICP'!$K:$K,'BASE-ICP'!$A:$A,Capex!$A295,'BASE-ICP'!$B:$B,"outubro")/1000,"")),"")</f>
        <v>0</v>
      </c>
      <c r="DC292" s="427">
        <v>0</v>
      </c>
      <c r="DD292" s="372"/>
      <c r="DE292" s="419"/>
      <c r="DF292" s="423">
        <f>IFERROR(IF(LEFT($A292,3)="Lcp",SUMIFS('BASE-LCP'!$K:$K,'BASE-LCP'!$A:$A,Capex!$A295,'BASE-LCP'!$B:$B,"novembro")/1000,IF(LEFT($A292,3)="icp",SUMIFS('BASE-ICP'!$K:$K,'BASE-ICP'!$A:$A,Capex!$A295,'BASE-ICP'!$B:$B,"novembro")/1000,"")),"")</f>
        <v>0</v>
      </c>
      <c r="DG292" s="427">
        <v>0</v>
      </c>
      <c r="DH292" s="372"/>
      <c r="DI292" s="419"/>
      <c r="DJ292" s="423">
        <f>IFERROR(IF(LEFT($A292,3)="Lcp",SUMIFS('BASE-LCP'!$K:$K,'BASE-LCP'!$A:$A,Capex!$A295,'BASE-LCP'!$B:$B,"dezembro")/1000,IF(LEFT($A292,3)="icp",SUMIFS('BASE-ICP'!$K:$K,'BASE-ICP'!$A:$A,Capex!$A295,'BASE-ICP'!$B:$B,"dezembro")/1000,"")),"")</f>
        <v>0</v>
      </c>
      <c r="DK292" s="427">
        <v>0</v>
      </c>
      <c r="DL292" s="452">
        <f t="shared" si="154"/>
        <v>0</v>
      </c>
      <c r="DM292" s="374"/>
      <c r="DN292" s="374"/>
      <c r="DO292" s="374"/>
      <c r="DP292" s="374"/>
      <c r="DQ292" s="374"/>
      <c r="DR292" s="374"/>
      <c r="DS292" s="374"/>
      <c r="DT292" s="374"/>
      <c r="DU292" s="374"/>
      <c r="DV292" s="374"/>
      <c r="DW292" s="374"/>
      <c r="DX292" s="374"/>
      <c r="DY292" s="450"/>
      <c r="DZ292" s="374">
        <f t="shared" si="155"/>
        <v>0</v>
      </c>
      <c r="EA292" s="216">
        <f t="shared" si="156"/>
        <v>0</v>
      </c>
      <c r="EB292" s="320">
        <f t="shared" si="157"/>
        <v>0</v>
      </c>
      <c r="EC292" s="241">
        <f t="shared" si="158"/>
        <v>0</v>
      </c>
      <c r="ED292" s="241">
        <f t="shared" si="159"/>
        <v>0</v>
      </c>
      <c r="EE292" s="241">
        <f t="shared" si="160"/>
        <v>0</v>
      </c>
      <c r="EF292" s="241">
        <f t="shared" si="161"/>
        <v>0</v>
      </c>
      <c r="EG292" s="346">
        <f t="shared" si="162"/>
        <v>0</v>
      </c>
      <c r="EH292" s="445">
        <f t="shared" si="163"/>
        <v>0</v>
      </c>
      <c r="EI292" s="447">
        <f t="shared" si="164"/>
        <v>0</v>
      </c>
      <c r="EJ292" s="364">
        <f t="shared" si="165"/>
        <v>0</v>
      </c>
      <c r="EK292" s="365">
        <f t="shared" si="166"/>
        <v>0</v>
      </c>
      <c r="EL292" s="529">
        <f t="shared" si="167"/>
        <v>0</v>
      </c>
      <c r="EM292" s="530">
        <v>0</v>
      </c>
      <c r="EN292" s="530">
        <v>0</v>
      </c>
      <c r="EO292" s="530">
        <v>0</v>
      </c>
      <c r="EP292" s="530">
        <v>0</v>
      </c>
      <c r="EQ292" s="530">
        <v>0</v>
      </c>
      <c r="ER292" s="530">
        <v>0</v>
      </c>
      <c r="ES292" s="530">
        <v>0</v>
      </c>
      <c r="ET292" s="530">
        <v>0</v>
      </c>
      <c r="EU292" s="530">
        <v>0</v>
      </c>
      <c r="EV292" s="530">
        <v>0</v>
      </c>
      <c r="EW292" s="530">
        <v>0</v>
      </c>
      <c r="EX292" s="530">
        <v>0</v>
      </c>
      <c r="EY292" s="530">
        <f t="shared" si="168"/>
        <v>0</v>
      </c>
      <c r="EZ292" s="530">
        <f t="shared" si="169"/>
        <v>0</v>
      </c>
      <c r="FA292" s="530">
        <f t="shared" si="170"/>
        <v>0</v>
      </c>
      <c r="FB292" s="530">
        <f t="shared" si="171"/>
        <v>0</v>
      </c>
      <c r="FC292" s="384">
        <f>IFERROR(VLOOKUP(Capex!A295,BASE_558!D:R,8,FALSE)/1000,"")</f>
        <v>472.86</v>
      </c>
      <c r="FD292" s="328">
        <f>IFERROR(VLOOKUP(Capex!A295,BASE_558!D:R,9,)/1000,"")</f>
        <v>276.73716999999999</v>
      </c>
      <c r="FE292" s="328">
        <f>IFERROR(IF(LEFT(A292,3)="LCP",(VLOOKUP(Capex!A295,BASE_558!D:R,10,)/1000),SUMIFS('BASE ICP_PO_SC'!F:F,'BASE ICP_PO_SC'!A:A,Capex!A295,'BASE ICP_PO_SC'!E:E,"&lt;&gt;")/1000),"")</f>
        <v>17.244490000000003</v>
      </c>
      <c r="FF292" s="328">
        <f>IFERROR(IF(LEFT(A292,3)="LCP",(VLOOKUP(Capex!A295,BASE_558!D:R,11,)/1000),SUMIFS('BASE ICP_PO_SC'!F:F,'BASE ICP_PO_SC'!A:A,Capex!A295,'BASE ICP_PO_SC'!E:E,"")/1000),"")</f>
        <v>0</v>
      </c>
      <c r="FG292" s="328">
        <f>IFERROR(VLOOKUP(A292,BASE_558!D:R,13,FALSE)/1000,"")</f>
        <v>177.05155999999999</v>
      </c>
      <c r="FH292" s="328">
        <f>IFERROR(VLOOKUP(A292,BASE_558!D:R,15,FALSE)/1000,"")</f>
        <v>62.467440000000003</v>
      </c>
      <c r="FI292" s="547">
        <f t="shared" si="172"/>
        <v>0</v>
      </c>
      <c r="FJ292" s="547">
        <f t="shared" si="173"/>
        <v>0</v>
      </c>
      <c r="FK292" s="540">
        <f t="shared" si="174"/>
        <v>0</v>
      </c>
    </row>
    <row r="293" spans="1:167" s="23" customFormat="1" ht="24" customHeight="1">
      <c r="A293" s="309" t="s">
        <v>2324</v>
      </c>
      <c r="B293" s="404"/>
      <c r="C293" s="404"/>
      <c r="D293" s="338" t="s">
        <v>2325</v>
      </c>
      <c r="E293" s="378">
        <v>6216369</v>
      </c>
      <c r="F293" s="5"/>
      <c r="G293" s="310" t="s">
        <v>9</v>
      </c>
      <c r="H293" s="338"/>
      <c r="I293" s="356" t="s">
        <v>6</v>
      </c>
      <c r="J293" s="356">
        <v>2022</v>
      </c>
      <c r="K293" s="352">
        <v>44847</v>
      </c>
      <c r="L293" s="317">
        <v>45296</v>
      </c>
      <c r="M293" s="409"/>
      <c r="N293" s="317">
        <f t="shared" si="177"/>
        <v>45759</v>
      </c>
      <c r="O293" s="317">
        <f t="shared" si="178"/>
        <v>46124</v>
      </c>
      <c r="P293" s="418" t="str">
        <f t="shared" si="181"/>
        <v>NÃO</v>
      </c>
      <c r="Q293" s="418" t="str">
        <f t="shared" si="181"/>
        <v>NÃO</v>
      </c>
      <c r="R293" s="418" t="str">
        <f t="shared" si="181"/>
        <v>NÃO</v>
      </c>
      <c r="S293" s="418" t="str">
        <f t="shared" si="181"/>
        <v>NÃO</v>
      </c>
      <c r="T293" s="418" t="str">
        <f t="shared" si="181"/>
        <v>NÃO</v>
      </c>
      <c r="U293" s="418" t="str">
        <f t="shared" si="181"/>
        <v>NÃO</v>
      </c>
      <c r="V293" s="418" t="str">
        <f t="shared" si="181"/>
        <v>NÃO</v>
      </c>
      <c r="W293" s="418" t="str">
        <f t="shared" si="181"/>
        <v>NÃO</v>
      </c>
      <c r="X293" s="418" t="str">
        <f t="shared" si="181"/>
        <v>NÃO</v>
      </c>
      <c r="Y293" s="418" t="str">
        <f t="shared" si="181"/>
        <v>NÃO</v>
      </c>
      <c r="Z293" s="418" t="str">
        <f t="shared" si="181"/>
        <v>NÃO</v>
      </c>
      <c r="AA293" s="418" t="str">
        <f t="shared" si="181"/>
        <v>NÃO</v>
      </c>
      <c r="AB293" s="350"/>
      <c r="AC293" s="309" t="s">
        <v>3932</v>
      </c>
      <c r="AD293" s="311" t="s">
        <v>222</v>
      </c>
      <c r="AE293" s="361" t="s">
        <v>958</v>
      </c>
      <c r="AF293" s="310" t="s">
        <v>6985</v>
      </c>
      <c r="AG293" s="310" t="s">
        <v>2079</v>
      </c>
      <c r="AH293" s="310" t="s">
        <v>2326</v>
      </c>
      <c r="AI293" s="309" t="s">
        <v>316</v>
      </c>
      <c r="AJ293" s="6" t="s">
        <v>218</v>
      </c>
      <c r="AK293" s="6" t="str">
        <f t="shared" si="152"/>
        <v>IGUAL</v>
      </c>
      <c r="AL293" s="151" t="str">
        <f>IFERROR(IF(LEFT(A293,3)="LCP",VLOOKUP(A293,STATUS_SAP_LCP!B:C,2,FALSE),VLOOKUP(A293,STATUS_SAP_ICP!B:C,2,FALSE)),"NO BUDGET")</f>
        <v>CLSD BUDG AUC  AVAC  //  APPR BREL EXPL</v>
      </c>
      <c r="AM293" s="6" t="str">
        <f t="shared" si="151"/>
        <v>CLSD</v>
      </c>
      <c r="AN293" s="282" t="s">
        <v>2651</v>
      </c>
      <c r="AO293" s="493">
        <v>1</v>
      </c>
      <c r="AP293" s="499" t="s">
        <v>9607</v>
      </c>
      <c r="AQ293" s="465">
        <v>45296</v>
      </c>
      <c r="AR293" s="460"/>
      <c r="AS293" s="57"/>
      <c r="AT293" s="185"/>
      <c r="AU293" s="318"/>
      <c r="AV293" s="223">
        <v>62.703139999999998</v>
      </c>
      <c r="AW293" s="318">
        <v>140.02959999999999</v>
      </c>
      <c r="AX293" s="223">
        <v>-12.535630000000001</v>
      </c>
      <c r="AY293" s="318">
        <f t="shared" si="179"/>
        <v>0</v>
      </c>
      <c r="AZ293" s="223"/>
      <c r="BA293" s="318"/>
      <c r="BB293" s="519">
        <f t="shared" si="180"/>
        <v>0</v>
      </c>
      <c r="BC293" s="518">
        <v>0</v>
      </c>
      <c r="BD293" s="518">
        <v>0</v>
      </c>
      <c r="BE293" s="518">
        <v>0</v>
      </c>
      <c r="BF293" s="518">
        <v>0</v>
      </c>
      <c r="BG293" s="518">
        <v>0</v>
      </c>
      <c r="BH293" s="518">
        <v>0</v>
      </c>
      <c r="BI293" s="518">
        <v>0</v>
      </c>
      <c r="BJ293" s="518">
        <v>0</v>
      </c>
      <c r="BK293" s="518">
        <v>0</v>
      </c>
      <c r="BL293" s="518">
        <v>0</v>
      </c>
      <c r="BM293" s="518">
        <v>0</v>
      </c>
      <c r="BN293" s="518">
        <v>0</v>
      </c>
      <c r="BO293" s="367">
        <f t="shared" si="153"/>
        <v>0</v>
      </c>
      <c r="BP293" s="421">
        <v>0</v>
      </c>
      <c r="BQ293" s="422"/>
      <c r="BR293" s="423">
        <f>IFERROR(IF(LEFT($A293,3)="Lcp",SUMIFS('BASE-LCP'!$K:$K,'BASE-LCP'!$A:$A,Capex!$A296,'BASE-LCP'!$B:$B,"janeiro")/1000,IF(LEFT($A293,3)="icp",SUMIFS('BASE-ICP'!$K:$K,'BASE-ICP'!$A:$A,Capex!$A296,'BASE-ICP'!$B:$B,"janeiro")/1000,"")),"")</f>
        <v>0</v>
      </c>
      <c r="BS293" s="427">
        <v>0</v>
      </c>
      <c r="BT293" s="372">
        <v>0</v>
      </c>
      <c r="BU293" s="422"/>
      <c r="BV293" s="423">
        <f>IFERROR(IF(LEFT($A293,3)="Lcp",SUMIFS('BASE-LCP'!$K:$K,'BASE-LCP'!$A:$A,Capex!$A296,'BASE-LCP'!$B:$B,"fevereiro")/1000,IF(LEFT($A293,3)="icp",SUMIFS('BASE-ICP'!$K:$K,'BASE-ICP'!$A:$A,Capex!$A296,'BASE-ICP'!$B:$B,"fevereiro")/1000,"")),"")</f>
        <v>0</v>
      </c>
      <c r="BW293" s="427">
        <v>0</v>
      </c>
      <c r="BX293" s="372">
        <v>0</v>
      </c>
      <c r="BY293" s="419"/>
      <c r="BZ293" s="423">
        <f>IFERROR(IF(LEFT($A293,3)="Lcp",SUMIFS('BASE-LCP'!$K:$K,'BASE-LCP'!$A:$A,Capex!$A296,'BASE-LCP'!$B:$B,"março")/1000,IF(LEFT($A293,3)="icp",SUMIFS('BASE-ICP'!$K:$K,'BASE-ICP'!$A:$A,Capex!$A296,'BASE-ICP'!$B:$B,"março")/1000,"")),"")</f>
        <v>0</v>
      </c>
      <c r="CA293" s="427">
        <v>0</v>
      </c>
      <c r="CB293" s="372">
        <v>0</v>
      </c>
      <c r="CC293" s="422"/>
      <c r="CD293" s="423">
        <f>IFERROR(IF(LEFT($A293,3)="Lcp",SUMIFS('BASE-LCP'!$K:$K,'BASE-LCP'!$A:$A,Capex!$A296,'BASE-LCP'!$B:$B,"abril")/1000,IF(LEFT($A293,3)="icp",SUMIFS('BASE-ICP'!$K:$K,'BASE-ICP'!$A:$A,Capex!$A296,'BASE-ICP'!$B:$B,"abril")/1000,"")),"")</f>
        <v>0</v>
      </c>
      <c r="CE293" s="427">
        <v>0</v>
      </c>
      <c r="CF293" s="372">
        <v>0</v>
      </c>
      <c r="CG293" s="419"/>
      <c r="CH293" s="423">
        <v>0</v>
      </c>
      <c r="CI293" s="427">
        <v>0</v>
      </c>
      <c r="CJ293" s="372">
        <v>0</v>
      </c>
      <c r="CK293" s="419"/>
      <c r="CL293" s="423">
        <f>IFERROR(IF(LEFT($A293,3)="Lcp",SUMIFS('BASE-LCP'!$K:$K,'BASE-LCP'!$A:$A,Capex!$A296,'BASE-LCP'!$B:$B,"junho")/1000,IF(LEFT($A293,3)="icp",SUMIFS('BASE-ICP'!$K:$K,'BASE-ICP'!$A:$A,Capex!$A296,'BASE-ICP'!$B:$B,"junho")/1000,"")),"")</f>
        <v>0</v>
      </c>
      <c r="CM293" s="427">
        <v>0</v>
      </c>
      <c r="CN293" s="372"/>
      <c r="CO293" s="419"/>
      <c r="CP293" s="423">
        <f>IFERROR(IF(LEFT($A293,3)="Lcp",SUMIFS('BASE-LCP'!$K:$K,'BASE-LCP'!$A:$A,Capex!$A296,'BASE-LCP'!$B:$B,"julho")/1000,IF(LEFT($A293,3)="icp",SUMIFS('BASE-ICP'!$K:$K,'BASE-ICP'!$A:$A,Capex!$A296,'BASE-ICP'!$B:$B,"julho")/1000,"")),"")</f>
        <v>0</v>
      </c>
      <c r="CQ293" s="427">
        <v>0</v>
      </c>
      <c r="CR293" s="372"/>
      <c r="CS293" s="419"/>
      <c r="CT293" s="423">
        <f>IFERROR(IF(LEFT($A293,3)="Lcp",SUMIFS('BASE-LCP'!$K:$K,'BASE-LCP'!$A:$A,Capex!$A296,'BASE-LCP'!$B:$B,"agosto")/1000,IF(LEFT($A293,3)="icp",SUMIFS('BASE-ICP'!$K:$K,'BASE-ICP'!$A:$A,Capex!$A296,'BASE-ICP'!$B:$B,"agosto")/1000,"")),"")</f>
        <v>0</v>
      </c>
      <c r="CU293" s="427">
        <v>0</v>
      </c>
      <c r="CV293" s="372"/>
      <c r="CW293" s="419"/>
      <c r="CX293" s="423">
        <f>IFERROR(IF(LEFT($A293,3)="Lcp",SUMIFS('BASE-LCP'!$K:$K,'BASE-LCP'!$A:$A,Capex!$A296,'BASE-LCP'!$B:$B,"setembro")/1000,IF(LEFT($A293,3)="icp",SUMIFS('BASE-ICP'!$K:$K,'BASE-ICP'!$A:$A,Capex!$A296,'BASE-ICP'!$B:$B,"setembro")/1000,"")),"")</f>
        <v>0</v>
      </c>
      <c r="CY293" s="427">
        <v>0</v>
      </c>
      <c r="CZ293" s="372"/>
      <c r="DA293" s="419"/>
      <c r="DB293" s="423">
        <f>IFERROR(IF(LEFT($A293,3)="Lcp",SUMIFS('BASE-LCP'!$K:$K,'BASE-LCP'!$A:$A,Capex!$A296,'BASE-LCP'!$B:$B,"outubro")/1000,IF(LEFT($A293,3)="icp",SUMIFS('BASE-ICP'!$K:$K,'BASE-ICP'!$A:$A,Capex!$A296,'BASE-ICP'!$B:$B,"outubro")/1000,"")),"")</f>
        <v>0</v>
      </c>
      <c r="DC293" s="427">
        <v>0</v>
      </c>
      <c r="DD293" s="372"/>
      <c r="DE293" s="419"/>
      <c r="DF293" s="423">
        <f>IFERROR(IF(LEFT($A293,3)="Lcp",SUMIFS('BASE-LCP'!$K:$K,'BASE-LCP'!$A:$A,Capex!$A296,'BASE-LCP'!$B:$B,"novembro")/1000,IF(LEFT($A293,3)="icp",SUMIFS('BASE-ICP'!$K:$K,'BASE-ICP'!$A:$A,Capex!$A296,'BASE-ICP'!$B:$B,"novembro")/1000,"")),"")</f>
        <v>0</v>
      </c>
      <c r="DG293" s="427">
        <v>0</v>
      </c>
      <c r="DH293" s="372"/>
      <c r="DI293" s="419"/>
      <c r="DJ293" s="423">
        <f>IFERROR(IF(LEFT($A293,3)="Lcp",SUMIFS('BASE-LCP'!$K:$K,'BASE-LCP'!$A:$A,Capex!$A296,'BASE-LCP'!$B:$B,"dezembro")/1000,IF(LEFT($A293,3)="icp",SUMIFS('BASE-ICP'!$K:$K,'BASE-ICP'!$A:$A,Capex!$A296,'BASE-ICP'!$B:$B,"dezembro")/1000,"")),"")</f>
        <v>0</v>
      </c>
      <c r="DK293" s="427">
        <v>0</v>
      </c>
      <c r="DL293" s="452">
        <f t="shared" si="154"/>
        <v>0</v>
      </c>
      <c r="DM293" s="374"/>
      <c r="DN293" s="374">
        <v>0</v>
      </c>
      <c r="DO293" s="374"/>
      <c r="DP293" s="374"/>
      <c r="DQ293" s="374"/>
      <c r="DR293" s="374"/>
      <c r="DS293" s="374"/>
      <c r="DT293" s="374"/>
      <c r="DU293" s="374"/>
      <c r="DV293" s="374"/>
      <c r="DW293" s="374"/>
      <c r="DX293" s="374"/>
      <c r="DY293" s="450"/>
      <c r="DZ293" s="374">
        <f t="shared" si="155"/>
        <v>0</v>
      </c>
      <c r="EA293" s="216">
        <f t="shared" si="156"/>
        <v>0</v>
      </c>
      <c r="EB293" s="320">
        <f t="shared" si="157"/>
        <v>0</v>
      </c>
      <c r="EC293" s="241">
        <f t="shared" si="158"/>
        <v>0</v>
      </c>
      <c r="ED293" s="241">
        <f t="shared" si="159"/>
        <v>0</v>
      </c>
      <c r="EE293" s="241">
        <f t="shared" si="160"/>
        <v>0</v>
      </c>
      <c r="EF293" s="241">
        <f t="shared" si="161"/>
        <v>0</v>
      </c>
      <c r="EG293" s="346">
        <f t="shared" si="162"/>
        <v>0</v>
      </c>
      <c r="EH293" s="445">
        <f t="shared" si="163"/>
        <v>0</v>
      </c>
      <c r="EI293" s="447">
        <f t="shared" si="164"/>
        <v>0</v>
      </c>
      <c r="EJ293" s="364">
        <f t="shared" si="165"/>
        <v>0</v>
      </c>
      <c r="EK293" s="365">
        <f t="shared" si="166"/>
        <v>0</v>
      </c>
      <c r="EL293" s="529">
        <f t="shared" si="167"/>
        <v>0</v>
      </c>
      <c r="EM293" s="530">
        <v>0</v>
      </c>
      <c r="EN293" s="530">
        <v>0</v>
      </c>
      <c r="EO293" s="530">
        <v>0</v>
      </c>
      <c r="EP293" s="530">
        <v>0</v>
      </c>
      <c r="EQ293" s="530">
        <v>0</v>
      </c>
      <c r="ER293" s="530">
        <v>0</v>
      </c>
      <c r="ES293" s="530">
        <v>0</v>
      </c>
      <c r="ET293" s="530">
        <v>0</v>
      </c>
      <c r="EU293" s="530">
        <v>0</v>
      </c>
      <c r="EV293" s="530">
        <v>0</v>
      </c>
      <c r="EW293" s="530">
        <v>0</v>
      </c>
      <c r="EX293" s="530">
        <v>0</v>
      </c>
      <c r="EY293" s="530">
        <f t="shared" si="168"/>
        <v>0</v>
      </c>
      <c r="EZ293" s="530">
        <f t="shared" si="169"/>
        <v>0</v>
      </c>
      <c r="FA293" s="530">
        <f t="shared" si="170"/>
        <v>0</v>
      </c>
      <c r="FB293" s="530">
        <f t="shared" si="171"/>
        <v>0</v>
      </c>
      <c r="FC293" s="384">
        <f>IFERROR(VLOOKUP(Capex!A296,BASE_558!D:R,8,FALSE)/1000,"")</f>
        <v>90.782060000000001</v>
      </c>
      <c r="FD293" s="328">
        <f>IFERROR(VLOOKUP(Capex!A296,BASE_558!D:R,9,)/1000,"")</f>
        <v>60.685089999999995</v>
      </c>
      <c r="FE293" s="328">
        <f>IFERROR(IF(LEFT(A293,3)="LCP",(VLOOKUP(Capex!A296,BASE_558!D:R,10,)/1000),SUMIFS('BASE ICP_PO_SC'!F:F,'BASE ICP_PO_SC'!A:A,Capex!A296,'BASE ICP_PO_SC'!E:E,"&lt;&gt;")/1000),"")</f>
        <v>0</v>
      </c>
      <c r="FF293" s="328">
        <f>IFERROR(IF(LEFT(A293,3)="LCP",(VLOOKUP(Capex!A296,BASE_558!D:R,11,)/1000),SUMIFS('BASE ICP_PO_SC'!F:F,'BASE ICP_PO_SC'!A:A,Capex!A296,'BASE ICP_PO_SC'!E:E,"")/1000),"")</f>
        <v>0</v>
      </c>
      <c r="FG293" s="328">
        <f>IFERROR(VLOOKUP(A293,BASE_558!D:R,13,FALSE)/1000,"")</f>
        <v>190.19710999999998</v>
      </c>
      <c r="FH293" s="328">
        <f>IFERROR(VLOOKUP(A293,BASE_558!D:R,15,FALSE)/1000,"")</f>
        <v>86.832300000000004</v>
      </c>
      <c r="FI293" s="547">
        <f t="shared" si="172"/>
        <v>0</v>
      </c>
      <c r="FJ293" s="547">
        <f t="shared" si="173"/>
        <v>0</v>
      </c>
      <c r="FK293" s="540">
        <f t="shared" si="174"/>
        <v>0</v>
      </c>
    </row>
    <row r="294" spans="1:167" s="23" customFormat="1" ht="24" customHeight="1">
      <c r="A294" s="84" t="s">
        <v>2327</v>
      </c>
      <c r="B294" s="404"/>
      <c r="C294" s="404" t="s">
        <v>602</v>
      </c>
      <c r="D294" s="338" t="s">
        <v>2328</v>
      </c>
      <c r="E294" s="378">
        <v>6366811</v>
      </c>
      <c r="F294" s="310" t="s">
        <v>609</v>
      </c>
      <c r="G294" s="310" t="s">
        <v>9</v>
      </c>
      <c r="H294" s="356"/>
      <c r="I294" s="356" t="s">
        <v>6</v>
      </c>
      <c r="J294" s="356">
        <v>2022</v>
      </c>
      <c r="K294" s="352">
        <v>44870</v>
      </c>
      <c r="L294" s="317">
        <v>45421</v>
      </c>
      <c r="M294" s="409"/>
      <c r="N294" s="317">
        <f t="shared" si="177"/>
        <v>45782</v>
      </c>
      <c r="O294" s="317">
        <f t="shared" si="178"/>
        <v>46147</v>
      </c>
      <c r="P294" s="418" t="str">
        <f t="shared" si="181"/>
        <v>NÃO</v>
      </c>
      <c r="Q294" s="418" t="str">
        <f t="shared" si="181"/>
        <v>NÃO</v>
      </c>
      <c r="R294" s="418" t="str">
        <f t="shared" si="181"/>
        <v>NÃO</v>
      </c>
      <c r="S294" s="418" t="str">
        <f t="shared" si="181"/>
        <v>NÃO</v>
      </c>
      <c r="T294" s="418" t="str">
        <f t="shared" si="181"/>
        <v>NÃO</v>
      </c>
      <c r="U294" s="418" t="str">
        <f t="shared" si="181"/>
        <v>NÃO</v>
      </c>
      <c r="V294" s="418" t="str">
        <f t="shared" si="181"/>
        <v>NÃO</v>
      </c>
      <c r="W294" s="418" t="str">
        <f t="shared" si="181"/>
        <v>NÃO</v>
      </c>
      <c r="X294" s="418" t="str">
        <f t="shared" si="181"/>
        <v>NÃO</v>
      </c>
      <c r="Y294" s="418" t="str">
        <f t="shared" si="181"/>
        <v>NÃO</v>
      </c>
      <c r="Z294" s="418" t="str">
        <f t="shared" si="181"/>
        <v>NÃO</v>
      </c>
      <c r="AA294" s="418" t="str">
        <f t="shared" si="181"/>
        <v>NÃO</v>
      </c>
      <c r="AB294" s="350"/>
      <c r="AC294" s="309" t="s">
        <v>3931</v>
      </c>
      <c r="AD294" s="311" t="s">
        <v>223</v>
      </c>
      <c r="AE294" s="361" t="s">
        <v>2299</v>
      </c>
      <c r="AF294" s="310" t="s">
        <v>6985</v>
      </c>
      <c r="AG294" s="310" t="s">
        <v>2485</v>
      </c>
      <c r="AH294" s="310" t="s">
        <v>2329</v>
      </c>
      <c r="AI294" s="381" t="s">
        <v>188</v>
      </c>
      <c r="AJ294" s="6" t="s">
        <v>218</v>
      </c>
      <c r="AK294" s="6" t="str">
        <f t="shared" si="152"/>
        <v>IGUAL</v>
      </c>
      <c r="AL294" s="151" t="str">
        <f>IFERROR(IF(LEFT(A294,3)="LCP",VLOOKUP(A294,STATUS_SAP_LCP!B:C,2,FALSE),VLOOKUP(A294,STATUS_SAP_ICP!B:C,2,FALSE)),"NO BUDGET")</f>
        <v>CLSD BUDG AUC  AVAC  //  APPR BREL EXPL</v>
      </c>
      <c r="AM294" s="6" t="str">
        <f t="shared" si="151"/>
        <v>CLSD</v>
      </c>
      <c r="AN294" s="282" t="s">
        <v>2651</v>
      </c>
      <c r="AO294" s="493">
        <v>1</v>
      </c>
      <c r="AP294" s="499" t="s">
        <v>9607</v>
      </c>
      <c r="AQ294" s="465">
        <v>45421</v>
      </c>
      <c r="AR294" s="460"/>
      <c r="AS294" s="57"/>
      <c r="AT294" s="185"/>
      <c r="AU294" s="318"/>
      <c r="AV294" s="223">
        <v>0</v>
      </c>
      <c r="AW294" s="318">
        <v>100.39973999999999</v>
      </c>
      <c r="AX294" s="223">
        <v>15.9536</v>
      </c>
      <c r="AY294" s="318">
        <f t="shared" si="179"/>
        <v>0</v>
      </c>
      <c r="AZ294" s="223"/>
      <c r="BA294" s="318"/>
      <c r="BB294" s="519">
        <f t="shared" si="180"/>
        <v>0</v>
      </c>
      <c r="BC294" s="518"/>
      <c r="BD294" s="518"/>
      <c r="BE294" s="518"/>
      <c r="BF294" s="518"/>
      <c r="BG294" s="518"/>
      <c r="BH294" s="518"/>
      <c r="BI294" s="518"/>
      <c r="BJ294" s="518"/>
      <c r="BK294" s="518"/>
      <c r="BL294" s="518"/>
      <c r="BM294" s="518"/>
      <c r="BN294" s="518"/>
      <c r="BO294" s="367">
        <f t="shared" si="153"/>
        <v>0</v>
      </c>
      <c r="BP294" s="421"/>
      <c r="BQ294" s="422"/>
      <c r="BR294" s="423">
        <f>IFERROR(IF(LEFT($A294,3)="Lcp",SUMIFS('BASE-LCP'!$K:$K,'BASE-LCP'!$A:$A,Capex!$A297,'BASE-LCP'!$B:$B,"janeiro")/1000,IF(LEFT($A294,3)="icp",SUMIFS('BASE-ICP'!$K:$K,'BASE-ICP'!$A:$A,Capex!$A297,'BASE-ICP'!$B:$B,"janeiro")/1000,"")),"")</f>
        <v>0</v>
      </c>
      <c r="BS294" s="427">
        <v>0</v>
      </c>
      <c r="BT294" s="372">
        <v>0</v>
      </c>
      <c r="BU294" s="422"/>
      <c r="BV294" s="423">
        <f>IFERROR(IF(LEFT($A294,3)="Lcp",SUMIFS('BASE-LCP'!$K:$K,'BASE-LCP'!$A:$A,Capex!$A297,'BASE-LCP'!$B:$B,"fevereiro")/1000,IF(LEFT($A294,3)="icp",SUMIFS('BASE-ICP'!$K:$K,'BASE-ICP'!$A:$A,Capex!$A297,'BASE-ICP'!$B:$B,"fevereiro")/1000,"")),"")</f>
        <v>0</v>
      </c>
      <c r="BW294" s="427">
        <v>0</v>
      </c>
      <c r="BX294" s="372">
        <v>0</v>
      </c>
      <c r="BY294" s="419"/>
      <c r="BZ294" s="423">
        <f>IFERROR(IF(LEFT($A294,3)="Lcp",SUMIFS('BASE-LCP'!$K:$K,'BASE-LCP'!$A:$A,Capex!$A297,'BASE-LCP'!$B:$B,"março")/1000,IF(LEFT($A294,3)="icp",SUMIFS('BASE-ICP'!$K:$K,'BASE-ICP'!$A:$A,Capex!$A297,'BASE-ICP'!$B:$B,"março")/1000,"")),"")</f>
        <v>0</v>
      </c>
      <c r="CA294" s="427">
        <v>0</v>
      </c>
      <c r="CB294" s="372">
        <v>0</v>
      </c>
      <c r="CC294" s="422"/>
      <c r="CD294" s="423">
        <f>IFERROR(IF(LEFT($A294,3)="Lcp",SUMIFS('BASE-LCP'!$K:$K,'BASE-LCP'!$A:$A,Capex!$A297,'BASE-LCP'!$B:$B,"abril")/1000,IF(LEFT($A294,3)="icp",SUMIFS('BASE-ICP'!$K:$K,'BASE-ICP'!$A:$A,Capex!$A297,'BASE-ICP'!$B:$B,"abril")/1000,"")),"")</f>
        <v>0</v>
      </c>
      <c r="CE294" s="427">
        <v>0</v>
      </c>
      <c r="CF294" s="372">
        <v>0</v>
      </c>
      <c r="CG294" s="419"/>
      <c r="CH294" s="423">
        <v>0</v>
      </c>
      <c r="CI294" s="427">
        <v>0</v>
      </c>
      <c r="CJ294" s="372">
        <v>0</v>
      </c>
      <c r="CK294" s="419"/>
      <c r="CL294" s="423">
        <f>IFERROR(IF(LEFT($A294,3)="Lcp",SUMIFS('BASE-LCP'!$K:$K,'BASE-LCP'!$A:$A,Capex!$A297,'BASE-LCP'!$B:$B,"junho")/1000,IF(LEFT($A294,3)="icp",SUMIFS('BASE-ICP'!$K:$K,'BASE-ICP'!$A:$A,Capex!$A297,'BASE-ICP'!$B:$B,"junho")/1000,"")),"")</f>
        <v>0</v>
      </c>
      <c r="CM294" s="427">
        <v>0</v>
      </c>
      <c r="CN294" s="372"/>
      <c r="CO294" s="419"/>
      <c r="CP294" s="423">
        <f>IFERROR(IF(LEFT($A294,3)="Lcp",SUMIFS('BASE-LCP'!$K:$K,'BASE-LCP'!$A:$A,Capex!$A297,'BASE-LCP'!$B:$B,"julho")/1000,IF(LEFT($A294,3)="icp",SUMIFS('BASE-ICP'!$K:$K,'BASE-ICP'!$A:$A,Capex!$A297,'BASE-ICP'!$B:$B,"julho")/1000,"")),"")</f>
        <v>0</v>
      </c>
      <c r="CQ294" s="427">
        <v>0</v>
      </c>
      <c r="CR294" s="372"/>
      <c r="CS294" s="419"/>
      <c r="CT294" s="423">
        <f>IFERROR(IF(LEFT($A294,3)="Lcp",SUMIFS('BASE-LCP'!$K:$K,'BASE-LCP'!$A:$A,Capex!$A297,'BASE-LCP'!$B:$B,"agosto")/1000,IF(LEFT($A294,3)="icp",SUMIFS('BASE-ICP'!$K:$K,'BASE-ICP'!$A:$A,Capex!$A297,'BASE-ICP'!$B:$B,"agosto")/1000,"")),"")</f>
        <v>0</v>
      </c>
      <c r="CU294" s="427">
        <v>0</v>
      </c>
      <c r="CV294" s="372"/>
      <c r="CW294" s="419"/>
      <c r="CX294" s="423">
        <f>IFERROR(IF(LEFT($A294,3)="Lcp",SUMIFS('BASE-LCP'!$K:$K,'BASE-LCP'!$A:$A,Capex!$A297,'BASE-LCP'!$B:$B,"setembro")/1000,IF(LEFT($A294,3)="icp",SUMIFS('BASE-ICP'!$K:$K,'BASE-ICP'!$A:$A,Capex!$A297,'BASE-ICP'!$B:$B,"setembro")/1000,"")),"")</f>
        <v>0</v>
      </c>
      <c r="CY294" s="427">
        <v>0</v>
      </c>
      <c r="CZ294" s="372"/>
      <c r="DA294" s="419"/>
      <c r="DB294" s="423">
        <f>IFERROR(IF(LEFT($A294,3)="Lcp",SUMIFS('BASE-LCP'!$K:$K,'BASE-LCP'!$A:$A,Capex!$A297,'BASE-LCP'!$B:$B,"outubro")/1000,IF(LEFT($A294,3)="icp",SUMIFS('BASE-ICP'!$K:$K,'BASE-ICP'!$A:$A,Capex!$A297,'BASE-ICP'!$B:$B,"outubro")/1000,"")),"")</f>
        <v>0</v>
      </c>
      <c r="DC294" s="427">
        <v>0</v>
      </c>
      <c r="DD294" s="372"/>
      <c r="DE294" s="419"/>
      <c r="DF294" s="423">
        <f>IFERROR(IF(LEFT($A294,3)="Lcp",SUMIFS('BASE-LCP'!$K:$K,'BASE-LCP'!$A:$A,Capex!$A297,'BASE-LCP'!$B:$B,"novembro")/1000,IF(LEFT($A294,3)="icp",SUMIFS('BASE-ICP'!$K:$K,'BASE-ICP'!$A:$A,Capex!$A297,'BASE-ICP'!$B:$B,"novembro")/1000,"")),"")</f>
        <v>0</v>
      </c>
      <c r="DG294" s="427">
        <v>0</v>
      </c>
      <c r="DH294" s="372"/>
      <c r="DI294" s="419"/>
      <c r="DJ294" s="423">
        <f>IFERROR(IF(LEFT($A294,3)="Lcp",SUMIFS('BASE-LCP'!$K:$K,'BASE-LCP'!$A:$A,Capex!$A297,'BASE-LCP'!$B:$B,"dezembro")/1000,IF(LEFT($A294,3)="icp",SUMIFS('BASE-ICP'!$K:$K,'BASE-ICP'!$A:$A,Capex!$A297,'BASE-ICP'!$B:$B,"dezembro")/1000,"")),"")</f>
        <v>0</v>
      </c>
      <c r="DK294" s="427">
        <v>0</v>
      </c>
      <c r="DL294" s="452">
        <f t="shared" si="154"/>
        <v>0</v>
      </c>
      <c r="DM294" s="374"/>
      <c r="DN294" s="374">
        <v>0</v>
      </c>
      <c r="DO294" s="374"/>
      <c r="DP294" s="374"/>
      <c r="DQ294" s="374"/>
      <c r="DR294" s="374"/>
      <c r="DS294" s="374"/>
      <c r="DT294" s="374"/>
      <c r="DU294" s="374"/>
      <c r="DV294" s="374"/>
      <c r="DW294" s="374"/>
      <c r="DX294" s="374"/>
      <c r="DY294" s="450"/>
      <c r="DZ294" s="374">
        <f t="shared" si="155"/>
        <v>0</v>
      </c>
      <c r="EA294" s="216">
        <f t="shared" si="156"/>
        <v>0</v>
      </c>
      <c r="EB294" s="320">
        <f t="shared" si="157"/>
        <v>0</v>
      </c>
      <c r="EC294" s="241">
        <f t="shared" si="158"/>
        <v>0</v>
      </c>
      <c r="ED294" s="241">
        <f t="shared" si="159"/>
        <v>0</v>
      </c>
      <c r="EE294" s="241">
        <f t="shared" si="160"/>
        <v>0</v>
      </c>
      <c r="EF294" s="241">
        <f t="shared" si="161"/>
        <v>0</v>
      </c>
      <c r="EG294" s="346">
        <f t="shared" si="162"/>
        <v>0</v>
      </c>
      <c r="EH294" s="445">
        <f t="shared" si="163"/>
        <v>0</v>
      </c>
      <c r="EI294" s="447">
        <f t="shared" si="164"/>
        <v>0</v>
      </c>
      <c r="EJ294" s="364">
        <f t="shared" si="165"/>
        <v>0</v>
      </c>
      <c r="EK294" s="365">
        <f t="shared" si="166"/>
        <v>0</v>
      </c>
      <c r="EL294" s="529">
        <f t="shared" si="167"/>
        <v>0</v>
      </c>
      <c r="EM294" s="530">
        <v>0</v>
      </c>
      <c r="EN294" s="530">
        <v>0</v>
      </c>
      <c r="EO294" s="530">
        <v>0</v>
      </c>
      <c r="EP294" s="530">
        <v>0</v>
      </c>
      <c r="EQ294" s="530">
        <v>0</v>
      </c>
      <c r="ER294" s="530">
        <v>0</v>
      </c>
      <c r="ES294" s="530">
        <v>0</v>
      </c>
      <c r="ET294" s="530">
        <v>0</v>
      </c>
      <c r="EU294" s="530">
        <v>0</v>
      </c>
      <c r="EV294" s="530">
        <v>0</v>
      </c>
      <c r="EW294" s="530">
        <v>0</v>
      </c>
      <c r="EX294" s="530">
        <v>0</v>
      </c>
      <c r="EY294" s="530">
        <f t="shared" si="168"/>
        <v>0</v>
      </c>
      <c r="EZ294" s="530">
        <f t="shared" si="169"/>
        <v>0</v>
      </c>
      <c r="FA294" s="530">
        <f t="shared" si="170"/>
        <v>0</v>
      </c>
      <c r="FB294" s="530">
        <f t="shared" si="171"/>
        <v>0</v>
      </c>
      <c r="FC294" s="384">
        <f>IFERROR(VLOOKUP(Capex!A297,BASE_558!D:R,8,FALSE)/1000,"")</f>
        <v>508.9</v>
      </c>
      <c r="FD294" s="328">
        <f>IFERROR(VLOOKUP(Capex!A297,BASE_558!D:R,9,)/1000,"")</f>
        <v>383.77314000000001</v>
      </c>
      <c r="FE294" s="328">
        <f>IFERROR(IF(LEFT(A294,3)="LCP",(VLOOKUP(Capex!A297,BASE_558!D:R,10,)/1000),SUMIFS('BASE ICP_PO_SC'!F:F,'BASE ICP_PO_SC'!A:A,Capex!A297,'BASE ICP_PO_SC'!E:E,"&lt;&gt;")/1000),"")</f>
        <v>0</v>
      </c>
      <c r="FF294" s="328">
        <f>IFERROR(IF(LEFT(A294,3)="LCP",(VLOOKUP(Capex!A297,BASE_558!D:R,11,)/1000),SUMIFS('BASE ICP_PO_SC'!F:F,'BASE ICP_PO_SC'!A:A,Capex!A297,'BASE ICP_PO_SC'!E:E,"")/1000),"")</f>
        <v>0</v>
      </c>
      <c r="FG294" s="328">
        <f>IFERROR(VLOOKUP(A294,BASE_558!D:R,13,FALSE)/1000,"")</f>
        <v>116.35334</v>
      </c>
      <c r="FH294" s="328">
        <f>IFERROR(VLOOKUP(A294,BASE_558!D:R,15,FALSE)/1000,"")</f>
        <v>4.1441600000000003</v>
      </c>
      <c r="FI294" s="547">
        <f t="shared" si="172"/>
        <v>0</v>
      </c>
      <c r="FJ294" s="547">
        <f t="shared" si="173"/>
        <v>0</v>
      </c>
      <c r="FK294" s="540">
        <f t="shared" si="174"/>
        <v>0</v>
      </c>
    </row>
    <row r="295" spans="1:167" s="23" customFormat="1" ht="24" customHeight="1">
      <c r="A295" s="84" t="s">
        <v>2330</v>
      </c>
      <c r="B295" s="404"/>
      <c r="C295" s="404" t="s">
        <v>602</v>
      </c>
      <c r="D295" s="338" t="s">
        <v>1913</v>
      </c>
      <c r="E295" s="378">
        <v>6241379</v>
      </c>
      <c r="F295" s="5"/>
      <c r="G295" s="310" t="s">
        <v>9</v>
      </c>
      <c r="H295" s="356" t="s">
        <v>6</v>
      </c>
      <c r="I295" s="356"/>
      <c r="J295" s="356">
        <v>2022</v>
      </c>
      <c r="K295" s="352">
        <v>44870</v>
      </c>
      <c r="L295" s="317"/>
      <c r="M295" s="409"/>
      <c r="N295" s="317">
        <f t="shared" si="177"/>
        <v>45782</v>
      </c>
      <c r="O295" s="317">
        <f t="shared" si="178"/>
        <v>46147</v>
      </c>
      <c r="P295" s="418" t="str">
        <f t="shared" ref="P295:AA304" si="182">IF($N295="","N/A",IF($O295="","N/A",IF(P$2&lt;=$N295,"NÃO",IF($AJ295="REL ","SIM",IF(P$2&lt;$O295,"NÃO",IF($AJ295&lt;&gt;"CLSD","SIM","CRTD"))))))</f>
        <v>NÃO</v>
      </c>
      <c r="Q295" s="418" t="str">
        <f t="shared" si="182"/>
        <v>NÃO</v>
      </c>
      <c r="R295" s="418" t="str">
        <f t="shared" si="182"/>
        <v>NÃO</v>
      </c>
      <c r="S295" s="418" t="str">
        <f t="shared" si="182"/>
        <v>NÃO</v>
      </c>
      <c r="T295" s="418" t="str">
        <f t="shared" si="182"/>
        <v>SIM</v>
      </c>
      <c r="U295" s="418" t="str">
        <f t="shared" si="182"/>
        <v>SIM</v>
      </c>
      <c r="V295" s="418" t="str">
        <f t="shared" si="182"/>
        <v>SIM</v>
      </c>
      <c r="W295" s="418" t="str">
        <f t="shared" si="182"/>
        <v>SIM</v>
      </c>
      <c r="X295" s="418" t="str">
        <f t="shared" si="182"/>
        <v>SIM</v>
      </c>
      <c r="Y295" s="418" t="str">
        <f t="shared" si="182"/>
        <v>SIM</v>
      </c>
      <c r="Z295" s="418" t="str">
        <f t="shared" si="182"/>
        <v>SIM</v>
      </c>
      <c r="AA295" s="418" t="str">
        <f t="shared" si="182"/>
        <v>SIM</v>
      </c>
      <c r="AB295" s="350"/>
      <c r="AC295" s="309" t="s">
        <v>3932</v>
      </c>
      <c r="AD295" s="311" t="s">
        <v>223</v>
      </c>
      <c r="AE295" s="361" t="s">
        <v>2299</v>
      </c>
      <c r="AF295" s="310" t="s">
        <v>6985</v>
      </c>
      <c r="AG295" s="310" t="s">
        <v>2259</v>
      </c>
      <c r="AH295" s="310" t="s">
        <v>7028</v>
      </c>
      <c r="AI295" s="381" t="s">
        <v>183</v>
      </c>
      <c r="AJ295" s="6" t="s">
        <v>6786</v>
      </c>
      <c r="AK295" s="6" t="str">
        <f t="shared" si="152"/>
        <v>IGUAL</v>
      </c>
      <c r="AL295" s="151" t="str">
        <f>IFERROR(IF(LEFT(A295,3)="LCP",VLOOKUP(A295,STATUS_SAP_LCP!B:C,2,FALSE),VLOOKUP(A295,STATUS_SAP_ICP!B:C,2,FALSE)),"NO BUDGET")</f>
        <v>REL  BUDG AUC  AVAC  //  RJCD BREL INPL</v>
      </c>
      <c r="AM295" s="6" t="str">
        <f t="shared" si="151"/>
        <v xml:space="preserve">REL </v>
      </c>
      <c r="AN295" s="160" t="s">
        <v>17706</v>
      </c>
      <c r="AO295" s="563"/>
      <c r="AP295" s="499" t="s">
        <v>5299</v>
      </c>
      <c r="AQ295" s="465">
        <v>46203</v>
      </c>
      <c r="AR295" s="460"/>
      <c r="AS295" s="57"/>
      <c r="AT295" s="185"/>
      <c r="AU295" s="318"/>
      <c r="AV295" s="223">
        <v>0</v>
      </c>
      <c r="AW295" s="318">
        <v>86.492950000000008</v>
      </c>
      <c r="AX295" s="223">
        <v>190.24422000000001</v>
      </c>
      <c r="AY295" s="318">
        <f t="shared" si="179"/>
        <v>0</v>
      </c>
      <c r="AZ295" s="223"/>
      <c r="BA295" s="318"/>
      <c r="BB295" s="519">
        <f t="shared" si="180"/>
        <v>0</v>
      </c>
      <c r="BC295" s="518">
        <v>0</v>
      </c>
      <c r="BD295" s="518">
        <v>0</v>
      </c>
      <c r="BE295" s="518">
        <v>0</v>
      </c>
      <c r="BF295" s="518">
        <v>0</v>
      </c>
      <c r="BG295" s="518">
        <v>0</v>
      </c>
      <c r="BH295" s="518">
        <v>0</v>
      </c>
      <c r="BI295" s="518">
        <v>0</v>
      </c>
      <c r="BJ295" s="518">
        <v>0</v>
      </c>
      <c r="BK295" s="518">
        <v>0</v>
      </c>
      <c r="BL295" s="518">
        <v>0</v>
      </c>
      <c r="BM295" s="518">
        <v>0</v>
      </c>
      <c r="BN295" s="518">
        <v>0</v>
      </c>
      <c r="BO295" s="367">
        <f t="shared" si="153"/>
        <v>0</v>
      </c>
      <c r="BP295" s="421">
        <v>0</v>
      </c>
      <c r="BQ295" s="422"/>
      <c r="BR295" s="423">
        <f>IFERROR(IF(LEFT($A295,3)="Lcp",SUMIFS('BASE-LCP'!$K:$K,'BASE-LCP'!$A:$A,Capex!$A298,'BASE-LCP'!$B:$B,"janeiro")/1000,IF(LEFT($A295,3)="icp",SUMIFS('BASE-ICP'!$K:$K,'BASE-ICP'!$A:$A,Capex!$A298,'BASE-ICP'!$B:$B,"janeiro")/1000,"")),"")</f>
        <v>0</v>
      </c>
      <c r="BS295" s="427">
        <v>0</v>
      </c>
      <c r="BT295" s="372">
        <v>0</v>
      </c>
      <c r="BU295" s="422"/>
      <c r="BV295" s="423">
        <f>IFERROR(IF(LEFT($A295,3)="Lcp",SUMIFS('BASE-LCP'!$K:$K,'BASE-LCP'!$A:$A,Capex!$A298,'BASE-LCP'!$B:$B,"fevereiro")/1000,IF(LEFT($A295,3)="icp",SUMIFS('BASE-ICP'!$K:$K,'BASE-ICP'!$A:$A,Capex!$A298,'BASE-ICP'!$B:$B,"fevereiro")/1000,"")),"")</f>
        <v>0</v>
      </c>
      <c r="BW295" s="427">
        <v>0</v>
      </c>
      <c r="BX295" s="372">
        <v>0</v>
      </c>
      <c r="BY295" s="419"/>
      <c r="BZ295" s="423">
        <f>IFERROR(IF(LEFT($A295,3)="Lcp",SUMIFS('BASE-LCP'!$K:$K,'BASE-LCP'!$A:$A,Capex!$A298,'BASE-LCP'!$B:$B,"março")/1000,IF(LEFT($A295,3)="icp",SUMIFS('BASE-ICP'!$K:$K,'BASE-ICP'!$A:$A,Capex!$A298,'BASE-ICP'!$B:$B,"março")/1000,"")),"")</f>
        <v>0</v>
      </c>
      <c r="CA295" s="427">
        <v>0</v>
      </c>
      <c r="CB295" s="372">
        <v>0</v>
      </c>
      <c r="CC295" s="422"/>
      <c r="CD295" s="423">
        <f>IFERROR(IF(LEFT($A295,3)="Lcp",SUMIFS('BASE-LCP'!$K:$K,'BASE-LCP'!$A:$A,Capex!$A298,'BASE-LCP'!$B:$B,"abril")/1000,IF(LEFT($A295,3)="icp",SUMIFS('BASE-ICP'!$K:$K,'BASE-ICP'!$A:$A,Capex!$A298,'BASE-ICP'!$B:$B,"abril")/1000,"")),"")</f>
        <v>0</v>
      </c>
      <c r="CE295" s="427">
        <v>0</v>
      </c>
      <c r="CF295" s="372">
        <v>0</v>
      </c>
      <c r="CG295" s="419"/>
      <c r="CH295" s="423">
        <v>0</v>
      </c>
      <c r="CI295" s="427">
        <v>0</v>
      </c>
      <c r="CJ295" s="372">
        <v>0</v>
      </c>
      <c r="CK295" s="419"/>
      <c r="CL295" s="423">
        <f>IFERROR(IF(LEFT($A295,3)="Lcp",SUMIFS('BASE-LCP'!$K:$K,'BASE-LCP'!$A:$A,Capex!$A298,'BASE-LCP'!$B:$B,"junho")/1000,IF(LEFT($A295,3)="icp",SUMIFS('BASE-ICP'!$K:$K,'BASE-ICP'!$A:$A,Capex!$A298,'BASE-ICP'!$B:$B,"junho")/1000,"")),"")</f>
        <v>0</v>
      </c>
      <c r="CM295" s="427">
        <v>0</v>
      </c>
      <c r="CN295" s="372"/>
      <c r="CO295" s="419"/>
      <c r="CP295" s="423">
        <f>IFERROR(IF(LEFT($A295,3)="Lcp",SUMIFS('BASE-LCP'!$K:$K,'BASE-LCP'!$A:$A,Capex!$A298,'BASE-LCP'!$B:$B,"julho")/1000,IF(LEFT($A295,3)="icp",SUMIFS('BASE-ICP'!$K:$K,'BASE-ICP'!$A:$A,Capex!$A298,'BASE-ICP'!$B:$B,"julho")/1000,"")),"")</f>
        <v>0</v>
      </c>
      <c r="CQ295" s="427">
        <v>0</v>
      </c>
      <c r="CR295" s="372"/>
      <c r="CS295" s="419"/>
      <c r="CT295" s="423">
        <f>IFERROR(IF(LEFT($A295,3)="Lcp",SUMIFS('BASE-LCP'!$K:$K,'BASE-LCP'!$A:$A,Capex!$A298,'BASE-LCP'!$B:$B,"agosto")/1000,IF(LEFT($A295,3)="icp",SUMIFS('BASE-ICP'!$K:$K,'BASE-ICP'!$A:$A,Capex!$A298,'BASE-ICP'!$B:$B,"agosto")/1000,"")),"")</f>
        <v>0</v>
      </c>
      <c r="CU295" s="427">
        <v>0</v>
      </c>
      <c r="CV295" s="372"/>
      <c r="CW295" s="419"/>
      <c r="CX295" s="423">
        <f>IFERROR(IF(LEFT($A295,3)="Lcp",SUMIFS('BASE-LCP'!$K:$K,'BASE-LCP'!$A:$A,Capex!$A298,'BASE-LCP'!$B:$B,"setembro")/1000,IF(LEFT($A295,3)="icp",SUMIFS('BASE-ICP'!$K:$K,'BASE-ICP'!$A:$A,Capex!$A298,'BASE-ICP'!$B:$B,"setembro")/1000,"")),"")</f>
        <v>0</v>
      </c>
      <c r="CY295" s="427">
        <v>0</v>
      </c>
      <c r="CZ295" s="372"/>
      <c r="DA295" s="419"/>
      <c r="DB295" s="423">
        <f>IFERROR(IF(LEFT($A295,3)="Lcp",SUMIFS('BASE-LCP'!$K:$K,'BASE-LCP'!$A:$A,Capex!$A298,'BASE-LCP'!$B:$B,"outubro")/1000,IF(LEFT($A295,3)="icp",SUMIFS('BASE-ICP'!$K:$K,'BASE-ICP'!$A:$A,Capex!$A298,'BASE-ICP'!$B:$B,"outubro")/1000,"")),"")</f>
        <v>0</v>
      </c>
      <c r="DC295" s="427">
        <v>0</v>
      </c>
      <c r="DD295" s="372"/>
      <c r="DE295" s="419"/>
      <c r="DF295" s="423">
        <f>IFERROR(IF(LEFT($A295,3)="Lcp",SUMIFS('BASE-LCP'!$K:$K,'BASE-LCP'!$A:$A,Capex!$A298,'BASE-LCP'!$B:$B,"novembro")/1000,IF(LEFT($A295,3)="icp",SUMIFS('BASE-ICP'!$K:$K,'BASE-ICP'!$A:$A,Capex!$A298,'BASE-ICP'!$B:$B,"novembro")/1000,"")),"")</f>
        <v>0</v>
      </c>
      <c r="DG295" s="427">
        <v>0</v>
      </c>
      <c r="DH295" s="372"/>
      <c r="DI295" s="419"/>
      <c r="DJ295" s="423">
        <f>IFERROR(IF(LEFT($A295,3)="Lcp",SUMIFS('BASE-LCP'!$K:$K,'BASE-LCP'!$A:$A,Capex!$A298,'BASE-LCP'!$B:$B,"dezembro")/1000,IF(LEFT($A295,3)="icp",SUMIFS('BASE-ICP'!$K:$K,'BASE-ICP'!$A:$A,Capex!$A298,'BASE-ICP'!$B:$B,"dezembro")/1000,"")),"")</f>
        <v>0</v>
      </c>
      <c r="DK295" s="427">
        <v>0</v>
      </c>
      <c r="DL295" s="452">
        <f t="shared" si="154"/>
        <v>170</v>
      </c>
      <c r="DM295" s="374"/>
      <c r="DN295" s="374">
        <v>170</v>
      </c>
      <c r="DO295" s="374"/>
      <c r="DP295" s="374"/>
      <c r="DQ295" s="374"/>
      <c r="DR295" s="374"/>
      <c r="DS295" s="374"/>
      <c r="DT295" s="374"/>
      <c r="DU295" s="374"/>
      <c r="DV295" s="374"/>
      <c r="DW295" s="374"/>
      <c r="DX295" s="374"/>
      <c r="DY295" s="450"/>
      <c r="DZ295" s="374">
        <f t="shared" si="155"/>
        <v>170</v>
      </c>
      <c r="EA295" s="216">
        <f t="shared" si="156"/>
        <v>0</v>
      </c>
      <c r="EB295" s="320">
        <f t="shared" si="157"/>
        <v>0</v>
      </c>
      <c r="EC295" s="241">
        <f t="shared" si="158"/>
        <v>0</v>
      </c>
      <c r="ED295" s="241">
        <f t="shared" si="159"/>
        <v>0</v>
      </c>
      <c r="EE295" s="241">
        <f t="shared" si="160"/>
        <v>0</v>
      </c>
      <c r="EF295" s="241">
        <f t="shared" si="161"/>
        <v>0</v>
      </c>
      <c r="EG295" s="346">
        <f t="shared" si="162"/>
        <v>0</v>
      </c>
      <c r="EH295" s="445">
        <f t="shared" si="163"/>
        <v>0</v>
      </c>
      <c r="EI295" s="447">
        <f t="shared" si="164"/>
        <v>0</v>
      </c>
      <c r="EJ295" s="364">
        <f t="shared" si="165"/>
        <v>0</v>
      </c>
      <c r="EK295" s="365">
        <f t="shared" si="166"/>
        <v>0</v>
      </c>
      <c r="EL295" s="529">
        <f t="shared" si="167"/>
        <v>0</v>
      </c>
      <c r="EM295" s="530">
        <v>0</v>
      </c>
      <c r="EN295" s="530">
        <v>0</v>
      </c>
      <c r="EO295" s="530">
        <v>0</v>
      </c>
      <c r="EP295" s="530">
        <v>0</v>
      </c>
      <c r="EQ295" s="530">
        <v>0</v>
      </c>
      <c r="ER295" s="530">
        <v>0</v>
      </c>
      <c r="ES295" s="530">
        <v>0</v>
      </c>
      <c r="ET295" s="530">
        <v>0</v>
      </c>
      <c r="EU295" s="530">
        <v>0</v>
      </c>
      <c r="EV295" s="530">
        <v>0</v>
      </c>
      <c r="EW295" s="530">
        <v>0</v>
      </c>
      <c r="EX295" s="530">
        <v>0</v>
      </c>
      <c r="EY295" s="530">
        <f t="shared" si="168"/>
        <v>0</v>
      </c>
      <c r="EZ295" s="530">
        <f t="shared" si="169"/>
        <v>0</v>
      </c>
      <c r="FA295" s="530">
        <f t="shared" si="170"/>
        <v>0</v>
      </c>
      <c r="FB295" s="530">
        <f t="shared" si="171"/>
        <v>0</v>
      </c>
      <c r="FC295" s="384">
        <f>IFERROR(VLOOKUP(Capex!A298,BASE_558!D:R,8,FALSE)/1000,"")</f>
        <v>102.10371000000001</v>
      </c>
      <c r="FD295" s="328">
        <f>IFERROR(VLOOKUP(Capex!A298,BASE_558!D:R,9,)/1000,"")</f>
        <v>0</v>
      </c>
      <c r="FE295" s="328">
        <f>IFERROR(IF(LEFT(A295,3)="LCP",(VLOOKUP(Capex!A298,BASE_558!D:R,10,)/1000),SUMIFS('BASE ICP_PO_SC'!F:F,'BASE ICP_PO_SC'!A:A,Capex!A298,'BASE ICP_PO_SC'!E:E,"&lt;&gt;")/1000),"")</f>
        <v>0</v>
      </c>
      <c r="FF295" s="328">
        <f>IFERROR(IF(LEFT(A295,3)="LCP",(VLOOKUP(Capex!A298,BASE_558!D:R,11,)/1000),SUMIFS('BASE ICP_PO_SC'!F:F,'BASE ICP_PO_SC'!A:A,Capex!A298,'BASE ICP_PO_SC'!E:E,"")/1000),"")</f>
        <v>0</v>
      </c>
      <c r="FG295" s="328">
        <f>IFERROR(VLOOKUP(A295,BASE_558!D:R,13,FALSE)/1000,"")</f>
        <v>293.98165999999998</v>
      </c>
      <c r="FH295" s="328">
        <f>IFERROR(VLOOKUP(A295,BASE_558!D:R,15,FALSE)/1000,"")</f>
        <v>178.87834000000001</v>
      </c>
      <c r="FI295" s="547">
        <f t="shared" si="172"/>
        <v>0</v>
      </c>
      <c r="FJ295" s="547">
        <f t="shared" si="173"/>
        <v>0</v>
      </c>
      <c r="FK295" s="540">
        <f t="shared" si="174"/>
        <v>0</v>
      </c>
    </row>
    <row r="296" spans="1:167" s="23" customFormat="1" ht="24" customHeight="1">
      <c r="A296" s="84" t="s">
        <v>2331</v>
      </c>
      <c r="B296" s="404"/>
      <c r="C296" s="404" t="s">
        <v>602</v>
      </c>
      <c r="D296" s="338" t="s">
        <v>1896</v>
      </c>
      <c r="E296" s="378">
        <v>6346371</v>
      </c>
      <c r="F296" s="5"/>
      <c r="G296" s="310" t="s">
        <v>9</v>
      </c>
      <c r="H296" s="356" t="s">
        <v>6</v>
      </c>
      <c r="I296" s="356"/>
      <c r="J296" s="356">
        <v>2022</v>
      </c>
      <c r="K296" s="321">
        <v>44930</v>
      </c>
      <c r="L296" s="317">
        <v>45203</v>
      </c>
      <c r="M296" s="409"/>
      <c r="N296" s="317">
        <f t="shared" si="177"/>
        <v>45842</v>
      </c>
      <c r="O296" s="317">
        <f t="shared" si="178"/>
        <v>46207</v>
      </c>
      <c r="P296" s="418" t="str">
        <f t="shared" si="182"/>
        <v>NÃO</v>
      </c>
      <c r="Q296" s="418" t="str">
        <f t="shared" si="182"/>
        <v>NÃO</v>
      </c>
      <c r="R296" s="418" t="str">
        <f t="shared" si="182"/>
        <v>NÃO</v>
      </c>
      <c r="S296" s="418" t="str">
        <f t="shared" si="182"/>
        <v>NÃO</v>
      </c>
      <c r="T296" s="418" t="str">
        <f t="shared" si="182"/>
        <v>NÃO</v>
      </c>
      <c r="U296" s="418" t="str">
        <f t="shared" si="182"/>
        <v>NÃO</v>
      </c>
      <c r="V296" s="418" t="str">
        <f t="shared" si="182"/>
        <v>NÃO</v>
      </c>
      <c r="W296" s="418" t="str">
        <f t="shared" si="182"/>
        <v>NÃO</v>
      </c>
      <c r="X296" s="418" t="str">
        <f t="shared" si="182"/>
        <v>NÃO</v>
      </c>
      <c r="Y296" s="418" t="str">
        <f t="shared" si="182"/>
        <v>NÃO</v>
      </c>
      <c r="Z296" s="418" t="str">
        <f t="shared" si="182"/>
        <v>NÃO</v>
      </c>
      <c r="AA296" s="418" t="str">
        <f t="shared" si="182"/>
        <v>NÃO</v>
      </c>
      <c r="AB296" s="350"/>
      <c r="AC296" s="309" t="s">
        <v>3932</v>
      </c>
      <c r="AD296" s="311" t="s">
        <v>222</v>
      </c>
      <c r="AE296" s="361" t="s">
        <v>965</v>
      </c>
      <c r="AF296" s="310" t="s">
        <v>6985</v>
      </c>
      <c r="AG296" s="310" t="s">
        <v>1125</v>
      </c>
      <c r="AH296" s="310" t="s">
        <v>1743</v>
      </c>
      <c r="AI296" s="309" t="s">
        <v>2255</v>
      </c>
      <c r="AJ296" s="6" t="s">
        <v>218</v>
      </c>
      <c r="AK296" s="6" t="str">
        <f t="shared" si="152"/>
        <v>IGUAL</v>
      </c>
      <c r="AL296" s="151" t="str">
        <f>IFERROR(IF(LEFT(A296,3)="LCP",VLOOKUP(A296,STATUS_SAP_LCP!B:C,2,FALSE),VLOOKUP(A296,STATUS_SAP_ICP!B:C,2,FALSE)),"NO BUDGET")</f>
        <v>CLSD BUDG AUC  AVAC  //  APPR BREL EXPL</v>
      </c>
      <c r="AM296" s="6" t="str">
        <f t="shared" si="151"/>
        <v>CLSD</v>
      </c>
      <c r="AN296" s="282" t="s">
        <v>2651</v>
      </c>
      <c r="AO296" s="493">
        <v>1</v>
      </c>
      <c r="AP296" s="499" t="s">
        <v>9607</v>
      </c>
      <c r="AQ296" s="465">
        <v>45203</v>
      </c>
      <c r="AR296" s="460"/>
      <c r="AS296" s="57"/>
      <c r="AT296" s="185"/>
      <c r="AU296" s="318">
        <v>0</v>
      </c>
      <c r="AV296" s="223">
        <v>0</v>
      </c>
      <c r="AW296" s="318">
        <v>60.685090000000002</v>
      </c>
      <c r="AX296" s="223">
        <v>0</v>
      </c>
      <c r="AY296" s="318">
        <f t="shared" si="179"/>
        <v>0</v>
      </c>
      <c r="AZ296" s="223"/>
      <c r="BA296" s="318"/>
      <c r="BB296" s="519">
        <f t="shared" si="180"/>
        <v>0</v>
      </c>
      <c r="BC296" s="518"/>
      <c r="BD296" s="518"/>
      <c r="BE296" s="518"/>
      <c r="BF296" s="518"/>
      <c r="BG296" s="518"/>
      <c r="BH296" s="518"/>
      <c r="BI296" s="518"/>
      <c r="BJ296" s="518"/>
      <c r="BK296" s="518"/>
      <c r="BL296" s="518"/>
      <c r="BM296" s="518"/>
      <c r="BN296" s="518"/>
      <c r="BO296" s="367">
        <f t="shared" si="153"/>
        <v>0</v>
      </c>
      <c r="BP296" s="421"/>
      <c r="BQ296" s="422"/>
      <c r="BR296" s="423">
        <f>IFERROR(IF(LEFT($A296,3)="Lcp",SUMIFS('BASE-LCP'!$K:$K,'BASE-LCP'!$A:$A,Capex!$A299,'BASE-LCP'!$B:$B,"janeiro")/1000,IF(LEFT($A296,3)="icp",SUMIFS('BASE-ICP'!$K:$K,'BASE-ICP'!$A:$A,Capex!$A299,'BASE-ICP'!$B:$B,"janeiro")/1000,"")),"")</f>
        <v>0</v>
      </c>
      <c r="BS296" s="427">
        <v>0</v>
      </c>
      <c r="BT296" s="372">
        <v>0</v>
      </c>
      <c r="BU296" s="422"/>
      <c r="BV296" s="423">
        <f>IFERROR(IF(LEFT($A296,3)="Lcp",SUMIFS('BASE-LCP'!$K:$K,'BASE-LCP'!$A:$A,Capex!$A299,'BASE-LCP'!$B:$B,"fevereiro")/1000,IF(LEFT($A296,3)="icp",SUMIFS('BASE-ICP'!$K:$K,'BASE-ICP'!$A:$A,Capex!$A299,'BASE-ICP'!$B:$B,"fevereiro")/1000,"")),"")</f>
        <v>0</v>
      </c>
      <c r="BW296" s="427">
        <v>0</v>
      </c>
      <c r="BX296" s="372">
        <v>0</v>
      </c>
      <c r="BY296" s="419"/>
      <c r="BZ296" s="423">
        <f>IFERROR(IF(LEFT($A296,3)="Lcp",SUMIFS('BASE-LCP'!$K:$K,'BASE-LCP'!$A:$A,Capex!$A299,'BASE-LCP'!$B:$B,"março")/1000,IF(LEFT($A296,3)="icp",SUMIFS('BASE-ICP'!$K:$K,'BASE-ICP'!$A:$A,Capex!$A299,'BASE-ICP'!$B:$B,"março")/1000,"")),"")</f>
        <v>0</v>
      </c>
      <c r="CA296" s="427">
        <v>0</v>
      </c>
      <c r="CB296" s="372">
        <v>0</v>
      </c>
      <c r="CC296" s="422"/>
      <c r="CD296" s="423">
        <f>IFERROR(IF(LEFT($A296,3)="Lcp",SUMIFS('BASE-LCP'!$K:$K,'BASE-LCP'!$A:$A,Capex!$A299,'BASE-LCP'!$B:$B,"abril")/1000,IF(LEFT($A296,3)="icp",SUMIFS('BASE-ICP'!$K:$K,'BASE-ICP'!$A:$A,Capex!$A299,'BASE-ICP'!$B:$B,"abril")/1000,"")),"")</f>
        <v>0</v>
      </c>
      <c r="CE296" s="427">
        <v>0</v>
      </c>
      <c r="CF296" s="372">
        <v>0</v>
      </c>
      <c r="CG296" s="419"/>
      <c r="CH296" s="423">
        <v>0</v>
      </c>
      <c r="CI296" s="427">
        <v>0</v>
      </c>
      <c r="CJ296" s="372">
        <v>0</v>
      </c>
      <c r="CK296" s="419"/>
      <c r="CL296" s="423">
        <f>IFERROR(IF(LEFT($A296,3)="Lcp",SUMIFS('BASE-LCP'!$K:$K,'BASE-LCP'!$A:$A,Capex!$A299,'BASE-LCP'!$B:$B,"junho")/1000,IF(LEFT($A296,3)="icp",SUMIFS('BASE-ICP'!$K:$K,'BASE-ICP'!$A:$A,Capex!$A299,'BASE-ICP'!$B:$B,"junho")/1000,"")),"")</f>
        <v>0</v>
      </c>
      <c r="CM296" s="427">
        <v>0</v>
      </c>
      <c r="CN296" s="372"/>
      <c r="CO296" s="419"/>
      <c r="CP296" s="423">
        <f>IFERROR(IF(LEFT($A296,3)="Lcp",SUMIFS('BASE-LCP'!$K:$K,'BASE-LCP'!$A:$A,Capex!$A299,'BASE-LCP'!$B:$B,"julho")/1000,IF(LEFT($A296,3)="icp",SUMIFS('BASE-ICP'!$K:$K,'BASE-ICP'!$A:$A,Capex!$A299,'BASE-ICP'!$B:$B,"julho")/1000,"")),"")</f>
        <v>0</v>
      </c>
      <c r="CQ296" s="427">
        <v>0</v>
      </c>
      <c r="CR296" s="372"/>
      <c r="CS296" s="419"/>
      <c r="CT296" s="423">
        <f>IFERROR(IF(LEFT($A296,3)="Lcp",SUMIFS('BASE-LCP'!$K:$K,'BASE-LCP'!$A:$A,Capex!$A299,'BASE-LCP'!$B:$B,"agosto")/1000,IF(LEFT($A296,3)="icp",SUMIFS('BASE-ICP'!$K:$K,'BASE-ICP'!$A:$A,Capex!$A299,'BASE-ICP'!$B:$B,"agosto")/1000,"")),"")</f>
        <v>0</v>
      </c>
      <c r="CU296" s="427">
        <v>0</v>
      </c>
      <c r="CV296" s="372"/>
      <c r="CW296" s="419"/>
      <c r="CX296" s="423">
        <f>IFERROR(IF(LEFT($A296,3)="Lcp",SUMIFS('BASE-LCP'!$K:$K,'BASE-LCP'!$A:$A,Capex!$A299,'BASE-LCP'!$B:$B,"setembro")/1000,IF(LEFT($A296,3)="icp",SUMIFS('BASE-ICP'!$K:$K,'BASE-ICP'!$A:$A,Capex!$A299,'BASE-ICP'!$B:$B,"setembro")/1000,"")),"")</f>
        <v>0</v>
      </c>
      <c r="CY296" s="427">
        <v>0</v>
      </c>
      <c r="CZ296" s="372"/>
      <c r="DA296" s="419"/>
      <c r="DB296" s="423">
        <f>IFERROR(IF(LEFT($A296,3)="Lcp",SUMIFS('BASE-LCP'!$K:$K,'BASE-LCP'!$A:$A,Capex!$A299,'BASE-LCP'!$B:$B,"outubro")/1000,IF(LEFT($A296,3)="icp",SUMIFS('BASE-ICP'!$K:$K,'BASE-ICP'!$A:$A,Capex!$A299,'BASE-ICP'!$B:$B,"outubro")/1000,"")),"")</f>
        <v>0</v>
      </c>
      <c r="DC296" s="427">
        <v>0</v>
      </c>
      <c r="DD296" s="372"/>
      <c r="DE296" s="419"/>
      <c r="DF296" s="423">
        <f>IFERROR(IF(LEFT($A296,3)="Lcp",SUMIFS('BASE-LCP'!$K:$K,'BASE-LCP'!$A:$A,Capex!$A299,'BASE-LCP'!$B:$B,"novembro")/1000,IF(LEFT($A296,3)="icp",SUMIFS('BASE-ICP'!$K:$K,'BASE-ICP'!$A:$A,Capex!$A299,'BASE-ICP'!$B:$B,"novembro")/1000,"")),"")</f>
        <v>0</v>
      </c>
      <c r="DG296" s="427">
        <v>0</v>
      </c>
      <c r="DH296" s="372"/>
      <c r="DI296" s="419"/>
      <c r="DJ296" s="423">
        <f>IFERROR(IF(LEFT($A296,3)="Lcp",SUMIFS('BASE-LCP'!$K:$K,'BASE-LCP'!$A:$A,Capex!$A299,'BASE-LCP'!$B:$B,"dezembro")/1000,IF(LEFT($A296,3)="icp",SUMIFS('BASE-ICP'!$K:$K,'BASE-ICP'!$A:$A,Capex!$A299,'BASE-ICP'!$B:$B,"dezembro")/1000,"")),"")</f>
        <v>0</v>
      </c>
      <c r="DK296" s="427">
        <v>0</v>
      </c>
      <c r="DL296" s="452">
        <f t="shared" si="154"/>
        <v>0</v>
      </c>
      <c r="DM296" s="374"/>
      <c r="DN296" s="374"/>
      <c r="DO296" s="374"/>
      <c r="DP296" s="374"/>
      <c r="DQ296" s="374"/>
      <c r="DR296" s="374"/>
      <c r="DS296" s="374"/>
      <c r="DT296" s="374"/>
      <c r="DU296" s="374"/>
      <c r="DV296" s="374"/>
      <c r="DW296" s="374"/>
      <c r="DX296" s="374"/>
      <c r="DY296" s="450"/>
      <c r="DZ296" s="374">
        <f t="shared" si="155"/>
        <v>0</v>
      </c>
      <c r="EA296" s="216">
        <f t="shared" si="156"/>
        <v>0</v>
      </c>
      <c r="EB296" s="320">
        <f t="shared" si="157"/>
        <v>0</v>
      </c>
      <c r="EC296" s="241">
        <f t="shared" si="158"/>
        <v>0</v>
      </c>
      <c r="ED296" s="241">
        <f t="shared" si="159"/>
        <v>0</v>
      </c>
      <c r="EE296" s="241">
        <f t="shared" si="160"/>
        <v>0</v>
      </c>
      <c r="EF296" s="241">
        <f t="shared" si="161"/>
        <v>0</v>
      </c>
      <c r="EG296" s="346">
        <f t="shared" si="162"/>
        <v>0</v>
      </c>
      <c r="EH296" s="445">
        <f t="shared" si="163"/>
        <v>0</v>
      </c>
      <c r="EI296" s="447">
        <f t="shared" si="164"/>
        <v>0</v>
      </c>
      <c r="EJ296" s="364">
        <f t="shared" si="165"/>
        <v>0</v>
      </c>
      <c r="EK296" s="365">
        <f t="shared" si="166"/>
        <v>0</v>
      </c>
      <c r="EL296" s="529">
        <f t="shared" si="167"/>
        <v>0</v>
      </c>
      <c r="EM296" s="530">
        <v>0</v>
      </c>
      <c r="EN296" s="530">
        <v>0</v>
      </c>
      <c r="EO296" s="530">
        <v>0</v>
      </c>
      <c r="EP296" s="530">
        <v>0</v>
      </c>
      <c r="EQ296" s="530">
        <v>0</v>
      </c>
      <c r="ER296" s="530">
        <v>0</v>
      </c>
      <c r="ES296" s="530">
        <v>0</v>
      </c>
      <c r="ET296" s="530">
        <v>0</v>
      </c>
      <c r="EU296" s="530">
        <v>0</v>
      </c>
      <c r="EV296" s="530">
        <v>0</v>
      </c>
      <c r="EW296" s="530">
        <v>0</v>
      </c>
      <c r="EX296" s="530">
        <v>0</v>
      </c>
      <c r="EY296" s="530">
        <f t="shared" si="168"/>
        <v>0</v>
      </c>
      <c r="EZ296" s="530">
        <f t="shared" si="169"/>
        <v>0</v>
      </c>
      <c r="FA296" s="530">
        <f t="shared" si="170"/>
        <v>0</v>
      </c>
      <c r="FB296" s="530">
        <f t="shared" si="171"/>
        <v>0</v>
      </c>
      <c r="FC296" s="384">
        <f>IFERROR(VLOOKUP(Capex!A299,BASE_558!D:R,8,FALSE)/1000,"")</f>
        <v>251.42500000000001</v>
      </c>
      <c r="FD296" s="328">
        <f>IFERROR(VLOOKUP(Capex!A299,BASE_558!D:R,9,)/1000,"")</f>
        <v>0</v>
      </c>
      <c r="FE296" s="328">
        <f>IFERROR(IF(LEFT(A296,3)="LCP",(VLOOKUP(Capex!A299,BASE_558!D:R,10,)/1000),SUMIFS('BASE ICP_PO_SC'!F:F,'BASE ICP_PO_SC'!A:A,Capex!A299,'BASE ICP_PO_SC'!E:E,"&lt;&gt;")/1000),"")</f>
        <v>0</v>
      </c>
      <c r="FF296" s="328">
        <f>IFERROR(IF(LEFT(A296,3)="LCP",(VLOOKUP(Capex!A299,BASE_558!D:R,11,)/1000),SUMIFS('BASE ICP_PO_SC'!F:F,'BASE ICP_PO_SC'!A:A,Capex!A299,'BASE ICP_PO_SC'!E:E,"")/1000),"")</f>
        <v>0</v>
      </c>
      <c r="FG296" s="328">
        <f>IFERROR(VLOOKUP(A296,BASE_558!D:R,13,FALSE)/1000,"")</f>
        <v>60.685089999999995</v>
      </c>
      <c r="FH296" s="328">
        <f>IFERROR(VLOOKUP(A296,BASE_558!D:R,15,FALSE)/1000,"")</f>
        <v>30.096970000000002</v>
      </c>
      <c r="FI296" s="547">
        <f t="shared" si="172"/>
        <v>0</v>
      </c>
      <c r="FJ296" s="547">
        <f t="shared" si="173"/>
        <v>0</v>
      </c>
      <c r="FK296" s="540">
        <f t="shared" si="174"/>
        <v>0</v>
      </c>
    </row>
    <row r="297" spans="1:167" s="23" customFormat="1" ht="24" customHeight="1">
      <c r="A297" s="84" t="s">
        <v>2332</v>
      </c>
      <c r="B297" s="404"/>
      <c r="C297" s="404" t="s">
        <v>602</v>
      </c>
      <c r="D297" s="338" t="s">
        <v>2333</v>
      </c>
      <c r="E297" s="378">
        <v>6346958</v>
      </c>
      <c r="F297" s="5"/>
      <c r="G297" s="310" t="s">
        <v>9</v>
      </c>
      <c r="H297" s="356" t="s">
        <v>6</v>
      </c>
      <c r="I297" s="356" t="s">
        <v>6</v>
      </c>
      <c r="J297" s="356">
        <v>2022</v>
      </c>
      <c r="K297" s="352">
        <v>44894</v>
      </c>
      <c r="L297" s="317">
        <v>45593</v>
      </c>
      <c r="M297" s="409" t="s">
        <v>6808</v>
      </c>
      <c r="N297" s="317">
        <f t="shared" si="177"/>
        <v>45806</v>
      </c>
      <c r="O297" s="317">
        <f t="shared" si="178"/>
        <v>46171</v>
      </c>
      <c r="P297" s="418" t="str">
        <f t="shared" si="182"/>
        <v>NÃO</v>
      </c>
      <c r="Q297" s="418" t="str">
        <f t="shared" si="182"/>
        <v>NÃO</v>
      </c>
      <c r="R297" s="418" t="str">
        <f t="shared" si="182"/>
        <v>NÃO</v>
      </c>
      <c r="S297" s="418" t="str">
        <f t="shared" si="182"/>
        <v>NÃO</v>
      </c>
      <c r="T297" s="418" t="str">
        <f t="shared" si="182"/>
        <v>NÃO</v>
      </c>
      <c r="U297" s="418" t="str">
        <f t="shared" si="182"/>
        <v>NÃO</v>
      </c>
      <c r="V297" s="418" t="str">
        <f t="shared" si="182"/>
        <v>NÃO</v>
      </c>
      <c r="W297" s="418" t="str">
        <f t="shared" si="182"/>
        <v>NÃO</v>
      </c>
      <c r="X297" s="418" t="str">
        <f t="shared" si="182"/>
        <v>NÃO</v>
      </c>
      <c r="Y297" s="418" t="str">
        <f t="shared" si="182"/>
        <v>NÃO</v>
      </c>
      <c r="Z297" s="418" t="str">
        <f t="shared" si="182"/>
        <v>NÃO</v>
      </c>
      <c r="AA297" s="418" t="str">
        <f t="shared" si="182"/>
        <v>NÃO</v>
      </c>
      <c r="AB297" s="350"/>
      <c r="AC297" s="309" t="s">
        <v>3932</v>
      </c>
      <c r="AD297" s="311" t="s">
        <v>224</v>
      </c>
      <c r="AE297" s="361" t="s">
        <v>965</v>
      </c>
      <c r="AF297" s="310" t="s">
        <v>6985</v>
      </c>
      <c r="AG297" s="310" t="s">
        <v>2259</v>
      </c>
      <c r="AH297" s="310" t="s">
        <v>2831</v>
      </c>
      <c r="AI297" s="309" t="s">
        <v>316</v>
      </c>
      <c r="AJ297" s="6" t="s">
        <v>218</v>
      </c>
      <c r="AK297" s="6" t="str">
        <f t="shared" si="152"/>
        <v>IGUAL</v>
      </c>
      <c r="AL297" s="151" t="str">
        <f>IFERROR(IF(LEFT(A297,3)="LCP",VLOOKUP(A297,STATUS_SAP_LCP!B:C,2,FALSE),VLOOKUP(A297,STATUS_SAP_ICP!B:C,2,FALSE)),"NO BUDGET")</f>
        <v>CLSD BUDG AUC  AVAC  //  APPR BREL EXPL</v>
      </c>
      <c r="AM297" s="6" t="str">
        <f t="shared" si="151"/>
        <v>CLSD</v>
      </c>
      <c r="AN297" s="282" t="s">
        <v>2651</v>
      </c>
      <c r="AO297" s="493">
        <v>1</v>
      </c>
      <c r="AP297" s="499" t="s">
        <v>9607</v>
      </c>
      <c r="AQ297" s="465">
        <v>45593</v>
      </c>
      <c r="AR297" s="460"/>
      <c r="AS297" s="57"/>
      <c r="AT297" s="185"/>
      <c r="AU297" s="318"/>
      <c r="AV297" s="223">
        <v>0</v>
      </c>
      <c r="AW297" s="318">
        <v>374.43674999999996</v>
      </c>
      <c r="AX297" s="223">
        <v>9.3363899999999997</v>
      </c>
      <c r="AY297" s="318">
        <f t="shared" si="179"/>
        <v>0</v>
      </c>
      <c r="AZ297" s="223"/>
      <c r="BA297" s="318"/>
      <c r="BB297" s="519">
        <f t="shared" si="180"/>
        <v>0</v>
      </c>
      <c r="BC297" s="518">
        <v>0</v>
      </c>
      <c r="BD297" s="518">
        <v>0</v>
      </c>
      <c r="BE297" s="518">
        <v>0</v>
      </c>
      <c r="BF297" s="518">
        <v>0</v>
      </c>
      <c r="BG297" s="518">
        <v>0</v>
      </c>
      <c r="BH297" s="518">
        <v>0</v>
      </c>
      <c r="BI297" s="518">
        <v>0</v>
      </c>
      <c r="BJ297" s="518">
        <v>0</v>
      </c>
      <c r="BK297" s="518">
        <v>0</v>
      </c>
      <c r="BL297" s="518">
        <v>0</v>
      </c>
      <c r="BM297" s="518">
        <v>0</v>
      </c>
      <c r="BN297" s="518">
        <v>0</v>
      </c>
      <c r="BO297" s="367">
        <f t="shared" si="153"/>
        <v>0</v>
      </c>
      <c r="BP297" s="421">
        <v>0</v>
      </c>
      <c r="BQ297" s="422"/>
      <c r="BR297" s="423">
        <f>IFERROR(IF(LEFT($A297,3)="Lcp",SUMIFS('BASE-LCP'!$K:$K,'BASE-LCP'!$A:$A,Capex!$A300,'BASE-LCP'!$B:$B,"janeiro")/1000,IF(LEFT($A297,3)="icp",SUMIFS('BASE-ICP'!$K:$K,'BASE-ICP'!$A:$A,Capex!$A300,'BASE-ICP'!$B:$B,"janeiro")/1000,"")),"")</f>
        <v>0</v>
      </c>
      <c r="BS297" s="427">
        <v>0</v>
      </c>
      <c r="BT297" s="372">
        <v>0</v>
      </c>
      <c r="BU297" s="422"/>
      <c r="BV297" s="423">
        <f>IFERROR(IF(LEFT($A297,3)="Lcp",SUMIFS('BASE-LCP'!$K:$K,'BASE-LCP'!$A:$A,Capex!$A300,'BASE-LCP'!$B:$B,"fevereiro")/1000,IF(LEFT($A297,3)="icp",SUMIFS('BASE-ICP'!$K:$K,'BASE-ICP'!$A:$A,Capex!$A300,'BASE-ICP'!$B:$B,"fevereiro")/1000,"")),"")</f>
        <v>0.48558999999999997</v>
      </c>
      <c r="BW297" s="427">
        <v>0</v>
      </c>
      <c r="BX297" s="372">
        <v>0</v>
      </c>
      <c r="BY297" s="419"/>
      <c r="BZ297" s="423">
        <f>IFERROR(IF(LEFT($A297,3)="Lcp",SUMIFS('BASE-LCP'!$K:$K,'BASE-LCP'!$A:$A,Capex!$A300,'BASE-LCP'!$B:$B,"março")/1000,IF(LEFT($A297,3)="icp",SUMIFS('BASE-ICP'!$K:$K,'BASE-ICP'!$A:$A,Capex!$A300,'BASE-ICP'!$B:$B,"março")/1000,"")),"")</f>
        <v>0</v>
      </c>
      <c r="CA297" s="427">
        <v>0</v>
      </c>
      <c r="CB297" s="372">
        <v>0</v>
      </c>
      <c r="CC297" s="422"/>
      <c r="CD297" s="423">
        <f>IFERROR(IF(LEFT($A297,3)="Lcp",SUMIFS('BASE-LCP'!$K:$K,'BASE-LCP'!$A:$A,Capex!$A300,'BASE-LCP'!$B:$B,"abril")/1000,IF(LEFT($A297,3)="icp",SUMIFS('BASE-ICP'!$K:$K,'BASE-ICP'!$A:$A,Capex!$A300,'BASE-ICP'!$B:$B,"abril")/1000,"")),"")</f>
        <v>49.684739999999998</v>
      </c>
      <c r="CE297" s="427">
        <v>0</v>
      </c>
      <c r="CF297" s="372">
        <v>0</v>
      </c>
      <c r="CG297" s="419"/>
      <c r="CH297" s="423">
        <v>0</v>
      </c>
      <c r="CI297" s="427">
        <v>0</v>
      </c>
      <c r="CJ297" s="372">
        <v>0</v>
      </c>
      <c r="CK297" s="419"/>
      <c r="CL297" s="423">
        <f>IFERROR(IF(LEFT($A297,3)="Lcp",SUMIFS('BASE-LCP'!$K:$K,'BASE-LCP'!$A:$A,Capex!$A300,'BASE-LCP'!$B:$B,"junho")/1000,IF(LEFT($A297,3)="icp",SUMIFS('BASE-ICP'!$K:$K,'BASE-ICP'!$A:$A,Capex!$A300,'BASE-ICP'!$B:$B,"junho")/1000,"")),"")</f>
        <v>49.908470000000001</v>
      </c>
      <c r="CM297" s="427">
        <v>0</v>
      </c>
      <c r="CN297" s="372"/>
      <c r="CO297" s="419"/>
      <c r="CP297" s="423">
        <f>IFERROR(IF(LEFT($A297,3)="Lcp",SUMIFS('BASE-LCP'!$K:$K,'BASE-LCP'!$A:$A,Capex!$A300,'BASE-LCP'!$B:$B,"julho")/1000,IF(LEFT($A297,3)="icp",SUMIFS('BASE-ICP'!$K:$K,'BASE-ICP'!$A:$A,Capex!$A300,'BASE-ICP'!$B:$B,"julho")/1000,"")),"")</f>
        <v>0</v>
      </c>
      <c r="CQ297" s="427">
        <v>0</v>
      </c>
      <c r="CR297" s="372"/>
      <c r="CS297" s="419"/>
      <c r="CT297" s="423">
        <f>IFERROR(IF(LEFT($A297,3)="Lcp",SUMIFS('BASE-LCP'!$K:$K,'BASE-LCP'!$A:$A,Capex!$A300,'BASE-LCP'!$B:$B,"agosto")/1000,IF(LEFT($A297,3)="icp",SUMIFS('BASE-ICP'!$K:$K,'BASE-ICP'!$A:$A,Capex!$A300,'BASE-ICP'!$B:$B,"agosto")/1000,"")),"")</f>
        <v>0</v>
      </c>
      <c r="CU297" s="427">
        <v>0</v>
      </c>
      <c r="CV297" s="372"/>
      <c r="CW297" s="419"/>
      <c r="CX297" s="423">
        <f>IFERROR(IF(LEFT($A297,3)="Lcp",SUMIFS('BASE-LCP'!$K:$K,'BASE-LCP'!$A:$A,Capex!$A300,'BASE-LCP'!$B:$B,"setembro")/1000,IF(LEFT($A297,3)="icp",SUMIFS('BASE-ICP'!$K:$K,'BASE-ICP'!$A:$A,Capex!$A300,'BASE-ICP'!$B:$B,"setembro")/1000,"")),"")</f>
        <v>0</v>
      </c>
      <c r="CY297" s="427">
        <v>0</v>
      </c>
      <c r="CZ297" s="372"/>
      <c r="DA297" s="419"/>
      <c r="DB297" s="423">
        <f>IFERROR(IF(LEFT($A297,3)="Lcp",SUMIFS('BASE-LCP'!$K:$K,'BASE-LCP'!$A:$A,Capex!$A300,'BASE-LCP'!$B:$B,"outubro")/1000,IF(LEFT($A297,3)="icp",SUMIFS('BASE-ICP'!$K:$K,'BASE-ICP'!$A:$A,Capex!$A300,'BASE-ICP'!$B:$B,"outubro")/1000,"")),"")</f>
        <v>0</v>
      </c>
      <c r="DC297" s="427">
        <v>0</v>
      </c>
      <c r="DD297" s="372"/>
      <c r="DE297" s="419"/>
      <c r="DF297" s="423">
        <f>IFERROR(IF(LEFT($A297,3)="Lcp",SUMIFS('BASE-LCP'!$K:$K,'BASE-LCP'!$A:$A,Capex!$A300,'BASE-LCP'!$B:$B,"novembro")/1000,IF(LEFT($A297,3)="icp",SUMIFS('BASE-ICP'!$K:$K,'BASE-ICP'!$A:$A,Capex!$A300,'BASE-ICP'!$B:$B,"novembro")/1000,"")),"")</f>
        <v>0</v>
      </c>
      <c r="DG297" s="427">
        <v>0</v>
      </c>
      <c r="DH297" s="372"/>
      <c r="DI297" s="419"/>
      <c r="DJ297" s="423">
        <f>IFERROR(IF(LEFT($A297,3)="Lcp",SUMIFS('BASE-LCP'!$K:$K,'BASE-LCP'!$A:$A,Capex!$A300,'BASE-LCP'!$B:$B,"dezembro")/1000,IF(LEFT($A297,3)="icp",SUMIFS('BASE-ICP'!$K:$K,'BASE-ICP'!$A:$A,Capex!$A300,'BASE-ICP'!$B:$B,"dezembro")/1000,"")),"")</f>
        <v>0</v>
      </c>
      <c r="DK297" s="427">
        <v>0</v>
      </c>
      <c r="DL297" s="452">
        <f t="shared" si="154"/>
        <v>0</v>
      </c>
      <c r="DM297" s="374"/>
      <c r="DN297" s="374">
        <v>0</v>
      </c>
      <c r="DO297" s="374"/>
      <c r="DP297" s="374"/>
      <c r="DQ297" s="374"/>
      <c r="DR297" s="374"/>
      <c r="DS297" s="374"/>
      <c r="DT297" s="374"/>
      <c r="DU297" s="374"/>
      <c r="DV297" s="374"/>
      <c r="DW297" s="374"/>
      <c r="DX297" s="374"/>
      <c r="DY297" s="450"/>
      <c r="DZ297" s="374">
        <f t="shared" si="155"/>
        <v>0</v>
      </c>
      <c r="EA297" s="216">
        <f t="shared" si="156"/>
        <v>0</v>
      </c>
      <c r="EB297" s="320">
        <f t="shared" si="157"/>
        <v>49.908470000000001</v>
      </c>
      <c r="EC297" s="241">
        <f t="shared" si="158"/>
        <v>0</v>
      </c>
      <c r="ED297" s="241">
        <f t="shared" si="159"/>
        <v>0</v>
      </c>
      <c r="EE297" s="241">
        <f t="shared" si="160"/>
        <v>0</v>
      </c>
      <c r="EF297" s="241">
        <f t="shared" si="161"/>
        <v>0</v>
      </c>
      <c r="EG297" s="346">
        <f t="shared" si="162"/>
        <v>0</v>
      </c>
      <c r="EH297" s="445">
        <f t="shared" si="163"/>
        <v>0</v>
      </c>
      <c r="EI297" s="447">
        <f t="shared" si="164"/>
        <v>0</v>
      </c>
      <c r="EJ297" s="364">
        <f t="shared" si="165"/>
        <v>49.908470000000001</v>
      </c>
      <c r="EK297" s="365">
        <f t="shared" si="166"/>
        <v>-49.908470000000001</v>
      </c>
      <c r="EL297" s="529">
        <f t="shared" si="167"/>
        <v>0</v>
      </c>
      <c r="EM297" s="530">
        <v>0</v>
      </c>
      <c r="EN297" s="530">
        <v>0</v>
      </c>
      <c r="EO297" s="530">
        <v>0</v>
      </c>
      <c r="EP297" s="530">
        <v>0</v>
      </c>
      <c r="EQ297" s="530">
        <v>0</v>
      </c>
      <c r="ER297" s="530">
        <v>0</v>
      </c>
      <c r="ES297" s="530">
        <v>0</v>
      </c>
      <c r="ET297" s="530">
        <v>0</v>
      </c>
      <c r="EU297" s="530">
        <v>0</v>
      </c>
      <c r="EV297" s="530">
        <v>0</v>
      </c>
      <c r="EW297" s="530">
        <v>0</v>
      </c>
      <c r="EX297" s="530">
        <v>0</v>
      </c>
      <c r="EY297" s="530">
        <f t="shared" si="168"/>
        <v>0</v>
      </c>
      <c r="EZ297" s="530">
        <f t="shared" si="169"/>
        <v>0</v>
      </c>
      <c r="FA297" s="530">
        <f t="shared" si="170"/>
        <v>0</v>
      </c>
      <c r="FB297" s="530">
        <f t="shared" si="171"/>
        <v>0</v>
      </c>
      <c r="FC297" s="384">
        <f>IFERROR(VLOOKUP(Capex!A300,BASE_558!D:R,8,FALSE)/1000,"")</f>
        <v>346.5</v>
      </c>
      <c r="FD297" s="328">
        <f>IFERROR(VLOOKUP(Capex!A300,BASE_558!D:R,9,)/1000,"")</f>
        <v>171.21367000000001</v>
      </c>
      <c r="FE297" s="328">
        <f>IFERROR(IF(LEFT(A297,3)="LCP",(VLOOKUP(Capex!A300,BASE_558!D:R,10,)/1000),SUMIFS('BASE ICP_PO_SC'!F:F,'BASE ICP_PO_SC'!A:A,Capex!A300,'BASE ICP_PO_SC'!E:E,"&lt;&gt;")/1000),"")</f>
        <v>76.602620000000002</v>
      </c>
      <c r="FF297" s="328">
        <f>IFERROR(IF(LEFT(A297,3)="LCP",(VLOOKUP(Capex!A300,BASE_558!D:R,11,)/1000),SUMIFS('BASE ICP_PO_SC'!F:F,'BASE ICP_PO_SC'!A:A,Capex!A300,'BASE ICP_PO_SC'!E:E,"")/1000),"")</f>
        <v>0</v>
      </c>
      <c r="FG297" s="328">
        <f>IFERROR(VLOOKUP(A297,BASE_558!D:R,13,FALSE)/1000,"")</f>
        <v>383.77314000000001</v>
      </c>
      <c r="FH297" s="328">
        <f>IFERROR(VLOOKUP(A297,BASE_558!D:R,15,FALSE)/1000,"")</f>
        <v>125.12685999999999</v>
      </c>
      <c r="FI297" s="547">
        <f t="shared" si="172"/>
        <v>0</v>
      </c>
      <c r="FJ297" s="547">
        <f t="shared" si="173"/>
        <v>0</v>
      </c>
      <c r="FK297" s="540">
        <f t="shared" si="174"/>
        <v>0</v>
      </c>
    </row>
    <row r="298" spans="1:167" s="23" customFormat="1" ht="24" customHeight="1">
      <c r="A298" s="84" t="s">
        <v>2334</v>
      </c>
      <c r="B298" s="404"/>
      <c r="C298" s="404" t="s">
        <v>602</v>
      </c>
      <c r="D298" s="403" t="s">
        <v>3348</v>
      </c>
      <c r="E298" s="378">
        <v>6608803</v>
      </c>
      <c r="F298" s="5"/>
      <c r="G298" s="310" t="s">
        <v>9</v>
      </c>
      <c r="H298" s="338"/>
      <c r="I298" s="356"/>
      <c r="J298" s="356">
        <v>2022</v>
      </c>
      <c r="K298" s="352">
        <v>44956</v>
      </c>
      <c r="L298" s="317">
        <v>45607</v>
      </c>
      <c r="M298" s="409"/>
      <c r="N298" s="317">
        <f t="shared" si="177"/>
        <v>45868</v>
      </c>
      <c r="O298" s="317">
        <f t="shared" si="178"/>
        <v>46233</v>
      </c>
      <c r="P298" s="418" t="str">
        <f t="shared" si="182"/>
        <v>NÃO</v>
      </c>
      <c r="Q298" s="418" t="str">
        <f t="shared" si="182"/>
        <v>NÃO</v>
      </c>
      <c r="R298" s="418" t="str">
        <f t="shared" si="182"/>
        <v>NÃO</v>
      </c>
      <c r="S298" s="418" t="str">
        <f t="shared" si="182"/>
        <v>NÃO</v>
      </c>
      <c r="T298" s="418" t="str">
        <f t="shared" si="182"/>
        <v>NÃO</v>
      </c>
      <c r="U298" s="418" t="str">
        <f t="shared" si="182"/>
        <v>NÃO</v>
      </c>
      <c r="V298" s="418" t="str">
        <f t="shared" si="182"/>
        <v>NÃO</v>
      </c>
      <c r="W298" s="418" t="str">
        <f t="shared" si="182"/>
        <v>NÃO</v>
      </c>
      <c r="X298" s="418" t="str">
        <f t="shared" si="182"/>
        <v>NÃO</v>
      </c>
      <c r="Y298" s="418" t="str">
        <f t="shared" si="182"/>
        <v>NÃO</v>
      </c>
      <c r="Z298" s="418" t="str">
        <f t="shared" si="182"/>
        <v>NÃO</v>
      </c>
      <c r="AA298" s="418" t="str">
        <f t="shared" si="182"/>
        <v>NÃO</v>
      </c>
      <c r="AB298" s="350"/>
      <c r="AC298" s="309" t="s">
        <v>2508</v>
      </c>
      <c r="AD298" s="311"/>
      <c r="AE298" s="361"/>
      <c r="AF298" s="310" t="s">
        <v>6985</v>
      </c>
      <c r="AG298" s="310" t="s">
        <v>6882</v>
      </c>
      <c r="AH298" s="310" t="s">
        <v>2335</v>
      </c>
      <c r="AI298" s="381" t="s">
        <v>186</v>
      </c>
      <c r="AJ298" s="6" t="s">
        <v>218</v>
      </c>
      <c r="AK298" s="6" t="str">
        <f t="shared" si="152"/>
        <v>IGUAL</v>
      </c>
      <c r="AL298" s="151" t="str">
        <f>IFERROR(IF(LEFT(A298,3)="LCP",VLOOKUP(A298,STATUS_SAP_LCP!B:C,2,FALSE),VLOOKUP(A298,STATUS_SAP_ICP!B:C,2,FALSE)),"NO BUDGET")</f>
        <v>CLSD BUDG AUC  AVAC  //  APPR BREL EXPL</v>
      </c>
      <c r="AM298" s="6" t="str">
        <f t="shared" si="151"/>
        <v>CLSD</v>
      </c>
      <c r="AN298" s="429" t="s">
        <v>557</v>
      </c>
      <c r="AO298" s="558">
        <v>1</v>
      </c>
      <c r="AP298" s="499" t="s">
        <v>9618</v>
      </c>
      <c r="AQ298" s="465">
        <v>45607</v>
      </c>
      <c r="AR298" s="460"/>
      <c r="AS298" s="57"/>
      <c r="AT298" s="185"/>
      <c r="AU298" s="318">
        <v>0</v>
      </c>
      <c r="AV298" s="223">
        <v>0</v>
      </c>
      <c r="AW298" s="318">
        <v>0</v>
      </c>
      <c r="AX298" s="223">
        <v>0</v>
      </c>
      <c r="AY298" s="318">
        <f t="shared" si="179"/>
        <v>0</v>
      </c>
      <c r="AZ298" s="223"/>
      <c r="BA298" s="318"/>
      <c r="BB298" s="519">
        <f t="shared" si="180"/>
        <v>0</v>
      </c>
      <c r="BC298" s="518">
        <v>0</v>
      </c>
      <c r="BD298" s="518">
        <v>0</v>
      </c>
      <c r="BE298" s="518">
        <v>0</v>
      </c>
      <c r="BF298" s="518">
        <v>0</v>
      </c>
      <c r="BG298" s="518">
        <v>0</v>
      </c>
      <c r="BH298" s="518">
        <v>0</v>
      </c>
      <c r="BI298" s="518">
        <v>0</v>
      </c>
      <c r="BJ298" s="518">
        <v>0</v>
      </c>
      <c r="BK298" s="518">
        <v>0</v>
      </c>
      <c r="BL298" s="518">
        <v>0</v>
      </c>
      <c r="BM298" s="518">
        <v>0</v>
      </c>
      <c r="BN298" s="518">
        <v>0</v>
      </c>
      <c r="BO298" s="367">
        <f t="shared" si="153"/>
        <v>0</v>
      </c>
      <c r="BP298" s="421">
        <v>0</v>
      </c>
      <c r="BQ298" s="422"/>
      <c r="BR298" s="423">
        <f>IFERROR(IF(LEFT($A298,3)="Lcp",SUMIFS('BASE-LCP'!$K:$K,'BASE-LCP'!$A:$A,Capex!$A302,'BASE-LCP'!$B:$B,"janeiro")/1000,IF(LEFT($A298,3)="icp",SUMIFS('BASE-ICP'!$K:$K,'BASE-ICP'!$A:$A,Capex!$A302,'BASE-ICP'!$B:$B,"janeiro")/1000,"")),"")</f>
        <v>0</v>
      </c>
      <c r="BS298" s="427">
        <v>0</v>
      </c>
      <c r="BT298" s="372">
        <v>0</v>
      </c>
      <c r="BU298" s="422"/>
      <c r="BV298" s="423">
        <f>IFERROR(IF(LEFT($A298,3)="Lcp",SUMIFS('BASE-LCP'!$K:$K,'BASE-LCP'!$A:$A,Capex!$A302,'BASE-LCP'!$B:$B,"fevereiro")/1000,IF(LEFT($A298,3)="icp",SUMIFS('BASE-ICP'!$K:$K,'BASE-ICP'!$A:$A,Capex!$A302,'BASE-ICP'!$B:$B,"fevereiro")/1000,"")),"")</f>
        <v>0</v>
      </c>
      <c r="BW298" s="427">
        <v>0</v>
      </c>
      <c r="BX298" s="372">
        <v>0</v>
      </c>
      <c r="BY298" s="419"/>
      <c r="BZ298" s="423">
        <f>IFERROR(IF(LEFT($A298,3)="Lcp",SUMIFS('BASE-LCP'!$K:$K,'BASE-LCP'!$A:$A,Capex!$A302,'BASE-LCP'!$B:$B,"março")/1000,IF(LEFT($A298,3)="icp",SUMIFS('BASE-ICP'!$K:$K,'BASE-ICP'!$A:$A,Capex!$A302,'BASE-ICP'!$B:$B,"março")/1000,"")),"")</f>
        <v>0</v>
      </c>
      <c r="CA298" s="427">
        <v>0</v>
      </c>
      <c r="CB298" s="372">
        <v>0</v>
      </c>
      <c r="CC298" s="422"/>
      <c r="CD298" s="423">
        <f>IFERROR(IF(LEFT($A298,3)="Lcp",SUMIFS('BASE-LCP'!$K:$K,'BASE-LCP'!$A:$A,Capex!$A302,'BASE-LCP'!$B:$B,"abril")/1000,IF(LEFT($A298,3)="icp",SUMIFS('BASE-ICP'!$K:$K,'BASE-ICP'!$A:$A,Capex!$A302,'BASE-ICP'!$B:$B,"abril")/1000,"")),"")</f>
        <v>0</v>
      </c>
      <c r="CE298" s="427">
        <v>0</v>
      </c>
      <c r="CF298" s="372">
        <v>0</v>
      </c>
      <c r="CG298" s="419"/>
      <c r="CH298" s="423">
        <v>0</v>
      </c>
      <c r="CI298" s="427">
        <v>0</v>
      </c>
      <c r="CJ298" s="372">
        <v>0</v>
      </c>
      <c r="CK298" s="419"/>
      <c r="CL298" s="423">
        <f>IFERROR(IF(LEFT($A298,3)="Lcp",SUMIFS('BASE-LCP'!$K:$K,'BASE-LCP'!$A:$A,Capex!$A302,'BASE-LCP'!$B:$B,"junho")/1000,IF(LEFT($A298,3)="icp",SUMIFS('BASE-ICP'!$K:$K,'BASE-ICP'!$A:$A,Capex!$A302,'BASE-ICP'!$B:$B,"junho")/1000,"")),"")</f>
        <v>0</v>
      </c>
      <c r="CM298" s="427">
        <v>0</v>
      </c>
      <c r="CN298" s="372"/>
      <c r="CO298" s="419"/>
      <c r="CP298" s="423">
        <f>IFERROR(IF(LEFT($A298,3)="Lcp",SUMIFS('BASE-LCP'!$K:$K,'BASE-LCP'!$A:$A,Capex!$A302,'BASE-LCP'!$B:$B,"julho")/1000,IF(LEFT($A298,3)="icp",SUMIFS('BASE-ICP'!$K:$K,'BASE-ICP'!$A:$A,Capex!$A302,'BASE-ICP'!$B:$B,"julho")/1000,"")),"")</f>
        <v>0</v>
      </c>
      <c r="CQ298" s="427">
        <v>0</v>
      </c>
      <c r="CR298" s="372"/>
      <c r="CS298" s="419"/>
      <c r="CT298" s="423">
        <f>IFERROR(IF(LEFT($A298,3)="Lcp",SUMIFS('BASE-LCP'!$K:$K,'BASE-LCP'!$A:$A,Capex!$A302,'BASE-LCP'!$B:$B,"agosto")/1000,IF(LEFT($A298,3)="icp",SUMIFS('BASE-ICP'!$K:$K,'BASE-ICP'!$A:$A,Capex!$A302,'BASE-ICP'!$B:$B,"agosto")/1000,"")),"")</f>
        <v>0</v>
      </c>
      <c r="CU298" s="427">
        <v>0</v>
      </c>
      <c r="CV298" s="372"/>
      <c r="CW298" s="419"/>
      <c r="CX298" s="423">
        <f>IFERROR(IF(LEFT($A298,3)="Lcp",SUMIFS('BASE-LCP'!$K:$K,'BASE-LCP'!$A:$A,Capex!$A302,'BASE-LCP'!$B:$B,"setembro")/1000,IF(LEFT($A298,3)="icp",SUMIFS('BASE-ICP'!$K:$K,'BASE-ICP'!$A:$A,Capex!$A302,'BASE-ICP'!$B:$B,"setembro")/1000,"")),"")</f>
        <v>0</v>
      </c>
      <c r="CY298" s="427">
        <v>0</v>
      </c>
      <c r="CZ298" s="372"/>
      <c r="DA298" s="419"/>
      <c r="DB298" s="423">
        <f>IFERROR(IF(LEFT($A298,3)="Lcp",SUMIFS('BASE-LCP'!$K:$K,'BASE-LCP'!$A:$A,Capex!$A302,'BASE-LCP'!$B:$B,"outubro")/1000,IF(LEFT($A298,3)="icp",SUMIFS('BASE-ICP'!$K:$K,'BASE-ICP'!$A:$A,Capex!$A302,'BASE-ICP'!$B:$B,"outubro")/1000,"")),"")</f>
        <v>0</v>
      </c>
      <c r="DC298" s="427">
        <v>0</v>
      </c>
      <c r="DD298" s="372"/>
      <c r="DE298" s="419"/>
      <c r="DF298" s="423">
        <f>IFERROR(IF(LEFT($A298,3)="Lcp",SUMIFS('BASE-LCP'!$K:$K,'BASE-LCP'!$A:$A,Capex!$A302,'BASE-LCP'!$B:$B,"novembro")/1000,IF(LEFT($A298,3)="icp",SUMIFS('BASE-ICP'!$K:$K,'BASE-ICP'!$A:$A,Capex!$A302,'BASE-ICP'!$B:$B,"novembro")/1000,"")),"")</f>
        <v>0</v>
      </c>
      <c r="DG298" s="427">
        <v>0</v>
      </c>
      <c r="DH298" s="372"/>
      <c r="DI298" s="419"/>
      <c r="DJ298" s="423">
        <f>IFERROR(IF(LEFT($A298,3)="Lcp",SUMIFS('BASE-LCP'!$K:$K,'BASE-LCP'!$A:$A,Capex!$A302,'BASE-LCP'!$B:$B,"dezembro")/1000,IF(LEFT($A298,3)="icp",SUMIFS('BASE-ICP'!$K:$K,'BASE-ICP'!$A:$A,Capex!$A302,'BASE-ICP'!$B:$B,"dezembro")/1000,"")),"")</f>
        <v>0</v>
      </c>
      <c r="DK298" s="427">
        <v>0</v>
      </c>
      <c r="DL298" s="452">
        <f t="shared" si="154"/>
        <v>0</v>
      </c>
      <c r="DM298" s="374"/>
      <c r="DN298" s="374">
        <v>0</v>
      </c>
      <c r="DO298" s="374"/>
      <c r="DP298" s="374"/>
      <c r="DQ298" s="374"/>
      <c r="DR298" s="374"/>
      <c r="DS298" s="374"/>
      <c r="DT298" s="374"/>
      <c r="DU298" s="374"/>
      <c r="DV298" s="374"/>
      <c r="DW298" s="374"/>
      <c r="DX298" s="374"/>
      <c r="DY298" s="450"/>
      <c r="DZ298" s="374">
        <f t="shared" si="155"/>
        <v>0</v>
      </c>
      <c r="EA298" s="216">
        <f t="shared" si="156"/>
        <v>0</v>
      </c>
      <c r="EB298" s="320">
        <f t="shared" si="157"/>
        <v>0</v>
      </c>
      <c r="EC298" s="241">
        <f t="shared" si="158"/>
        <v>0</v>
      </c>
      <c r="ED298" s="241">
        <f t="shared" si="159"/>
        <v>0</v>
      </c>
      <c r="EE298" s="241">
        <f t="shared" si="160"/>
        <v>0</v>
      </c>
      <c r="EF298" s="241">
        <f t="shared" si="161"/>
        <v>0</v>
      </c>
      <c r="EG298" s="346">
        <f t="shared" si="162"/>
        <v>0</v>
      </c>
      <c r="EH298" s="445">
        <f t="shared" si="163"/>
        <v>0</v>
      </c>
      <c r="EI298" s="447">
        <f t="shared" si="164"/>
        <v>0</v>
      </c>
      <c r="EJ298" s="364">
        <f t="shared" si="165"/>
        <v>0</v>
      </c>
      <c r="EK298" s="365">
        <f t="shared" si="166"/>
        <v>0</v>
      </c>
      <c r="EL298" s="529">
        <f t="shared" si="167"/>
        <v>0</v>
      </c>
      <c r="EM298" s="530">
        <v>0</v>
      </c>
      <c r="EN298" s="530">
        <v>0</v>
      </c>
      <c r="EO298" s="530">
        <v>0</v>
      </c>
      <c r="EP298" s="530">
        <v>0</v>
      </c>
      <c r="EQ298" s="530">
        <v>0</v>
      </c>
      <c r="ER298" s="530">
        <v>0</v>
      </c>
      <c r="ES298" s="530">
        <v>0</v>
      </c>
      <c r="ET298" s="530">
        <v>0</v>
      </c>
      <c r="EU298" s="530">
        <v>0</v>
      </c>
      <c r="EV298" s="530">
        <v>0</v>
      </c>
      <c r="EW298" s="530">
        <v>0</v>
      </c>
      <c r="EX298" s="530">
        <v>0</v>
      </c>
      <c r="EY298" s="530">
        <f t="shared" si="168"/>
        <v>0</v>
      </c>
      <c r="EZ298" s="530">
        <f t="shared" si="169"/>
        <v>0</v>
      </c>
      <c r="FA298" s="530">
        <f t="shared" si="170"/>
        <v>0</v>
      </c>
      <c r="FB298" s="530">
        <f t="shared" si="171"/>
        <v>0</v>
      </c>
      <c r="FC298" s="384">
        <f>IFERROR(VLOOKUP(Capex!A302,BASE_558!D:R,8,FALSE)/1000,"")</f>
        <v>435.767</v>
      </c>
      <c r="FD298" s="328">
        <f>IFERROR(VLOOKUP(Capex!A302,BASE_558!D:R,9,)/1000,"")</f>
        <v>0</v>
      </c>
      <c r="FE298" s="328">
        <f>IFERROR(IF(LEFT(A298,3)="LCP",(VLOOKUP(Capex!A302,BASE_558!D:R,10,)/1000),SUMIFS('BASE ICP_PO_SC'!F:F,'BASE ICP_PO_SC'!A:A,Capex!A302,'BASE ICP_PO_SC'!E:E,"&lt;&gt;")/1000),"")</f>
        <v>0</v>
      </c>
      <c r="FF298" s="328">
        <f>IFERROR(IF(LEFT(A298,3)="LCP",(VLOOKUP(Capex!A302,BASE_558!D:R,11,)/1000),SUMIFS('BASE ICP_PO_SC'!F:F,'BASE ICP_PO_SC'!A:A,Capex!A302,'BASE ICP_PO_SC'!E:E,"")/1000),"")</f>
        <v>0</v>
      </c>
      <c r="FG298" s="328">
        <f>IFERROR(VLOOKUP(A298,BASE_558!D:R,13,FALSE)/1000,"")</f>
        <v>0</v>
      </c>
      <c r="FH298" s="328">
        <f>IFERROR(VLOOKUP(A298,BASE_558!D:R,15,FALSE)/1000,"")</f>
        <v>102.10371000000001</v>
      </c>
      <c r="FI298" s="547">
        <f t="shared" si="172"/>
        <v>0</v>
      </c>
      <c r="FJ298" s="547">
        <f t="shared" si="173"/>
        <v>0</v>
      </c>
      <c r="FK298" s="540">
        <f t="shared" si="174"/>
        <v>0</v>
      </c>
    </row>
    <row r="299" spans="1:167" s="23" customFormat="1" ht="22.5" customHeight="1">
      <c r="A299" s="84" t="s">
        <v>2338</v>
      </c>
      <c r="B299" s="404"/>
      <c r="C299" s="404" t="s">
        <v>602</v>
      </c>
      <c r="D299" s="403" t="s">
        <v>3348</v>
      </c>
      <c r="E299" s="378">
        <v>6638603</v>
      </c>
      <c r="F299" s="5"/>
      <c r="G299" s="310" t="s">
        <v>9</v>
      </c>
      <c r="H299" s="338" t="s">
        <v>6</v>
      </c>
      <c r="I299" s="356"/>
      <c r="J299" s="356">
        <v>2022</v>
      </c>
      <c r="K299" s="352">
        <v>44965</v>
      </c>
      <c r="L299" s="317"/>
      <c r="M299" s="409"/>
      <c r="N299" s="317">
        <f t="shared" si="177"/>
        <v>45877</v>
      </c>
      <c r="O299" s="317">
        <f t="shared" si="178"/>
        <v>46242</v>
      </c>
      <c r="P299" s="418" t="str">
        <f t="shared" si="182"/>
        <v>NÃO</v>
      </c>
      <c r="Q299" s="418" t="str">
        <f t="shared" si="182"/>
        <v>NÃO</v>
      </c>
      <c r="R299" s="418" t="str">
        <f t="shared" si="182"/>
        <v>NÃO</v>
      </c>
      <c r="S299" s="418" t="str">
        <f t="shared" si="182"/>
        <v>NÃO</v>
      </c>
      <c r="T299" s="418" t="str">
        <f t="shared" si="182"/>
        <v>NÃO</v>
      </c>
      <c r="U299" s="418" t="str">
        <f t="shared" si="182"/>
        <v>NÃO</v>
      </c>
      <c r="V299" s="418" t="str">
        <f t="shared" si="182"/>
        <v>NÃO</v>
      </c>
      <c r="W299" s="418" t="str">
        <f t="shared" si="182"/>
        <v>SIM</v>
      </c>
      <c r="X299" s="418" t="str">
        <f t="shared" si="182"/>
        <v>SIM</v>
      </c>
      <c r="Y299" s="418" t="str">
        <f t="shared" si="182"/>
        <v>SIM</v>
      </c>
      <c r="Z299" s="418" t="str">
        <f t="shared" si="182"/>
        <v>SIM</v>
      </c>
      <c r="AA299" s="418" t="str">
        <f t="shared" si="182"/>
        <v>SIM</v>
      </c>
      <c r="AB299" s="350"/>
      <c r="AC299" s="309" t="s">
        <v>3932</v>
      </c>
      <c r="AD299" s="311" t="s">
        <v>224</v>
      </c>
      <c r="AE299" s="361" t="s">
        <v>956</v>
      </c>
      <c r="AF299" s="310" t="s">
        <v>6985</v>
      </c>
      <c r="AG299" s="310" t="s">
        <v>2079</v>
      </c>
      <c r="AH299" s="310" t="s">
        <v>7027</v>
      </c>
      <c r="AI299" s="381" t="s">
        <v>2255</v>
      </c>
      <c r="AJ299" s="6" t="s">
        <v>6786</v>
      </c>
      <c r="AK299" s="6" t="str">
        <f t="shared" si="152"/>
        <v>DIFERENTE</v>
      </c>
      <c r="AL299" s="151" t="str">
        <f>IFERROR(IF(LEFT(A299,3)="LCP",VLOOKUP(A299,STATUS_SAP_LCP!B:C,2,FALSE),VLOOKUP(A299,STATUS_SAP_ICP!B:C,2,FALSE)),"NO BUDGET")</f>
        <v>TECO BUDG AUC  AVAC  //  APPR BREL EXPL</v>
      </c>
      <c r="AM299" s="6" t="str">
        <f t="shared" si="151"/>
        <v>TECO</v>
      </c>
      <c r="AN299" s="282" t="s">
        <v>8976</v>
      </c>
      <c r="AO299" s="557"/>
      <c r="AP299" s="499" t="s">
        <v>9616</v>
      </c>
      <c r="AQ299" s="465">
        <v>46203</v>
      </c>
      <c r="AR299" s="460"/>
      <c r="AS299" s="57"/>
      <c r="AT299" s="185"/>
      <c r="AU299" s="318"/>
      <c r="AV299" s="223"/>
      <c r="AW299" s="318">
        <v>0</v>
      </c>
      <c r="AX299" s="223">
        <v>0</v>
      </c>
      <c r="AY299" s="318">
        <f t="shared" si="179"/>
        <v>0</v>
      </c>
      <c r="AZ299" s="223"/>
      <c r="BA299" s="318"/>
      <c r="BB299" s="519">
        <f t="shared" si="180"/>
        <v>0</v>
      </c>
      <c r="BC299" s="518">
        <v>0</v>
      </c>
      <c r="BD299" s="518">
        <v>0</v>
      </c>
      <c r="BE299" s="518">
        <v>0</v>
      </c>
      <c r="BF299" s="518">
        <v>0</v>
      </c>
      <c r="BG299" s="518">
        <v>0</v>
      </c>
      <c r="BH299" s="518">
        <v>0</v>
      </c>
      <c r="BI299" s="518">
        <v>0</v>
      </c>
      <c r="BJ299" s="518">
        <v>0</v>
      </c>
      <c r="BK299" s="518">
        <v>0</v>
      </c>
      <c r="BL299" s="518">
        <v>0</v>
      </c>
      <c r="BM299" s="518">
        <v>0</v>
      </c>
      <c r="BN299" s="518">
        <v>0</v>
      </c>
      <c r="BO299" s="367">
        <f t="shared" si="153"/>
        <v>0</v>
      </c>
      <c r="BP299" s="421">
        <v>0</v>
      </c>
      <c r="BQ299" s="422"/>
      <c r="BR299" s="423">
        <f>IFERROR(IF(LEFT($A299,3)="Lcp",SUMIFS('BASE-LCP'!$K:$K,'BASE-LCP'!$A:$A,Capex!$A304,'BASE-LCP'!$B:$B,"janeiro")/1000,IF(LEFT($A299,3)="icp",SUMIFS('BASE-ICP'!$K:$K,'BASE-ICP'!$A:$A,Capex!$A304,'BASE-ICP'!$B:$B,"janeiro")/1000,"")),"")</f>
        <v>0</v>
      </c>
      <c r="BS299" s="427">
        <v>0</v>
      </c>
      <c r="BT299" s="372">
        <v>0</v>
      </c>
      <c r="BU299" s="422"/>
      <c r="BV299" s="423">
        <f>IFERROR(IF(LEFT($A299,3)="Lcp",SUMIFS('BASE-LCP'!$K:$K,'BASE-LCP'!$A:$A,Capex!$A304,'BASE-LCP'!$B:$B,"fevereiro")/1000,IF(LEFT($A299,3)="icp",SUMIFS('BASE-ICP'!$K:$K,'BASE-ICP'!$A:$A,Capex!$A304,'BASE-ICP'!$B:$B,"fevereiro")/1000,"")),"")</f>
        <v>0</v>
      </c>
      <c r="BW299" s="427">
        <v>0</v>
      </c>
      <c r="BX299" s="372">
        <v>0</v>
      </c>
      <c r="BY299" s="419"/>
      <c r="BZ299" s="423">
        <f>IFERROR(IF(LEFT($A299,3)="Lcp",SUMIFS('BASE-LCP'!$K:$K,'BASE-LCP'!$A:$A,Capex!$A304,'BASE-LCP'!$B:$B,"março")/1000,IF(LEFT($A299,3)="icp",SUMIFS('BASE-ICP'!$K:$K,'BASE-ICP'!$A:$A,Capex!$A304,'BASE-ICP'!$B:$B,"março")/1000,"")),"")</f>
        <v>0</v>
      </c>
      <c r="CA299" s="427">
        <v>0</v>
      </c>
      <c r="CB299" s="372">
        <v>0</v>
      </c>
      <c r="CC299" s="422"/>
      <c r="CD299" s="423">
        <f>IFERROR(IF(LEFT($A299,3)="Lcp",SUMIFS('BASE-LCP'!$K:$K,'BASE-LCP'!$A:$A,Capex!$A304,'BASE-LCP'!$B:$B,"abril")/1000,IF(LEFT($A299,3)="icp",SUMIFS('BASE-ICP'!$K:$K,'BASE-ICP'!$A:$A,Capex!$A304,'BASE-ICP'!$B:$B,"abril")/1000,"")),"")</f>
        <v>0</v>
      </c>
      <c r="CE299" s="427">
        <v>0</v>
      </c>
      <c r="CF299" s="372">
        <v>0</v>
      </c>
      <c r="CG299" s="419"/>
      <c r="CH299" s="423">
        <v>0</v>
      </c>
      <c r="CI299" s="427">
        <v>0</v>
      </c>
      <c r="CJ299" s="372">
        <v>0</v>
      </c>
      <c r="CK299" s="419"/>
      <c r="CL299" s="423">
        <f>IFERROR(IF(LEFT($A299,3)="Lcp",SUMIFS('BASE-LCP'!$K:$K,'BASE-LCP'!$A:$A,Capex!$A304,'BASE-LCP'!$B:$B,"junho")/1000,IF(LEFT($A299,3)="icp",SUMIFS('BASE-ICP'!$K:$K,'BASE-ICP'!$A:$A,Capex!$A304,'BASE-ICP'!$B:$B,"junho")/1000,"")),"")</f>
        <v>0</v>
      </c>
      <c r="CM299" s="427">
        <v>0</v>
      </c>
      <c r="CN299" s="372"/>
      <c r="CO299" s="419"/>
      <c r="CP299" s="423">
        <f>IFERROR(IF(LEFT($A299,3)="Lcp",SUMIFS('BASE-LCP'!$K:$K,'BASE-LCP'!$A:$A,Capex!$A304,'BASE-LCP'!$B:$B,"julho")/1000,IF(LEFT($A299,3)="icp",SUMIFS('BASE-ICP'!$K:$K,'BASE-ICP'!$A:$A,Capex!$A304,'BASE-ICP'!$B:$B,"julho")/1000,"")),"")</f>
        <v>0</v>
      </c>
      <c r="CQ299" s="427">
        <v>0</v>
      </c>
      <c r="CR299" s="372"/>
      <c r="CS299" s="419"/>
      <c r="CT299" s="423">
        <f>IFERROR(IF(LEFT($A299,3)="Lcp",SUMIFS('BASE-LCP'!$K:$K,'BASE-LCP'!$A:$A,Capex!$A304,'BASE-LCP'!$B:$B,"agosto")/1000,IF(LEFT($A299,3)="icp",SUMIFS('BASE-ICP'!$K:$K,'BASE-ICP'!$A:$A,Capex!$A304,'BASE-ICP'!$B:$B,"agosto")/1000,"")),"")</f>
        <v>0</v>
      </c>
      <c r="CU299" s="427">
        <v>0</v>
      </c>
      <c r="CV299" s="372"/>
      <c r="CW299" s="419"/>
      <c r="CX299" s="423">
        <f>IFERROR(IF(LEFT($A299,3)="Lcp",SUMIFS('BASE-LCP'!$K:$K,'BASE-LCP'!$A:$A,Capex!$A304,'BASE-LCP'!$B:$B,"setembro")/1000,IF(LEFT($A299,3)="icp",SUMIFS('BASE-ICP'!$K:$K,'BASE-ICP'!$A:$A,Capex!$A304,'BASE-ICP'!$B:$B,"setembro")/1000,"")),"")</f>
        <v>0</v>
      </c>
      <c r="CY299" s="427">
        <v>0</v>
      </c>
      <c r="CZ299" s="372"/>
      <c r="DA299" s="419"/>
      <c r="DB299" s="423">
        <f>IFERROR(IF(LEFT($A299,3)="Lcp",SUMIFS('BASE-LCP'!$K:$K,'BASE-LCP'!$A:$A,Capex!$A304,'BASE-LCP'!$B:$B,"outubro")/1000,IF(LEFT($A299,3)="icp",SUMIFS('BASE-ICP'!$K:$K,'BASE-ICP'!$A:$A,Capex!$A304,'BASE-ICP'!$B:$B,"outubro")/1000,"")),"")</f>
        <v>0</v>
      </c>
      <c r="DC299" s="427">
        <v>0</v>
      </c>
      <c r="DD299" s="372"/>
      <c r="DE299" s="419"/>
      <c r="DF299" s="423">
        <f>IFERROR(IF(LEFT($A299,3)="Lcp",SUMIFS('BASE-LCP'!$K:$K,'BASE-LCP'!$A:$A,Capex!$A304,'BASE-LCP'!$B:$B,"novembro")/1000,IF(LEFT($A299,3)="icp",SUMIFS('BASE-ICP'!$K:$K,'BASE-ICP'!$A:$A,Capex!$A304,'BASE-ICP'!$B:$B,"novembro")/1000,"")),"")</f>
        <v>0</v>
      </c>
      <c r="DG299" s="427">
        <v>0</v>
      </c>
      <c r="DH299" s="372"/>
      <c r="DI299" s="419"/>
      <c r="DJ299" s="423">
        <f>IFERROR(IF(LEFT($A299,3)="Lcp",SUMIFS('BASE-LCP'!$K:$K,'BASE-LCP'!$A:$A,Capex!$A304,'BASE-LCP'!$B:$B,"dezembro")/1000,IF(LEFT($A299,3)="icp",SUMIFS('BASE-ICP'!$K:$K,'BASE-ICP'!$A:$A,Capex!$A304,'BASE-ICP'!$B:$B,"dezembro")/1000,"")),"")</f>
        <v>0</v>
      </c>
      <c r="DK299" s="427">
        <v>0</v>
      </c>
      <c r="DL299" s="452">
        <f t="shared" si="154"/>
        <v>230</v>
      </c>
      <c r="DM299" s="374"/>
      <c r="DN299" s="374">
        <v>230</v>
      </c>
      <c r="DO299" s="374"/>
      <c r="DP299" s="374"/>
      <c r="DQ299" s="374"/>
      <c r="DR299" s="374"/>
      <c r="DS299" s="374"/>
      <c r="DT299" s="374"/>
      <c r="DU299" s="374"/>
      <c r="DV299" s="374"/>
      <c r="DW299" s="374"/>
      <c r="DX299" s="374"/>
      <c r="DY299" s="450"/>
      <c r="DZ299" s="374">
        <f t="shared" si="155"/>
        <v>230</v>
      </c>
      <c r="EA299" s="216">
        <f t="shared" si="156"/>
        <v>0</v>
      </c>
      <c r="EB299" s="320">
        <f t="shared" si="157"/>
        <v>0</v>
      </c>
      <c r="EC299" s="241">
        <f t="shared" si="158"/>
        <v>0</v>
      </c>
      <c r="ED299" s="241">
        <f t="shared" si="159"/>
        <v>0</v>
      </c>
      <c r="EE299" s="241">
        <f t="shared" si="160"/>
        <v>0</v>
      </c>
      <c r="EF299" s="241">
        <f t="shared" si="161"/>
        <v>0</v>
      </c>
      <c r="EG299" s="346">
        <f t="shared" si="162"/>
        <v>0</v>
      </c>
      <c r="EH299" s="445">
        <f t="shared" si="163"/>
        <v>0</v>
      </c>
      <c r="EI299" s="447">
        <f t="shared" si="164"/>
        <v>0</v>
      </c>
      <c r="EJ299" s="364">
        <f t="shared" si="165"/>
        <v>0</v>
      </c>
      <c r="EK299" s="365">
        <f t="shared" si="166"/>
        <v>0</v>
      </c>
      <c r="EL299" s="529">
        <f t="shared" si="167"/>
        <v>0</v>
      </c>
      <c r="EM299" s="530">
        <v>0</v>
      </c>
      <c r="EN299" s="530">
        <v>0</v>
      </c>
      <c r="EO299" s="530">
        <v>0</v>
      </c>
      <c r="EP299" s="530">
        <v>0</v>
      </c>
      <c r="EQ299" s="530">
        <v>0</v>
      </c>
      <c r="ER299" s="530">
        <v>0</v>
      </c>
      <c r="ES299" s="530">
        <v>0</v>
      </c>
      <c r="ET299" s="530">
        <v>0</v>
      </c>
      <c r="EU299" s="530">
        <v>0</v>
      </c>
      <c r="EV299" s="530">
        <v>0</v>
      </c>
      <c r="EW299" s="530">
        <v>0</v>
      </c>
      <c r="EX299" s="530">
        <v>0</v>
      </c>
      <c r="EY299" s="530">
        <f t="shared" si="168"/>
        <v>0</v>
      </c>
      <c r="EZ299" s="530">
        <f t="shared" si="169"/>
        <v>0</v>
      </c>
      <c r="FA299" s="530">
        <f t="shared" si="170"/>
        <v>0</v>
      </c>
      <c r="FB299" s="530">
        <f t="shared" si="171"/>
        <v>0</v>
      </c>
      <c r="FC299" s="384">
        <f>IFERROR(VLOOKUP(Capex!A304,BASE_558!D:R,8,FALSE)/1000,"")</f>
        <v>861.1</v>
      </c>
      <c r="FD299" s="328">
        <f>IFERROR(VLOOKUP(Capex!A304,BASE_558!D:R,9,)/1000,"")</f>
        <v>119.3386</v>
      </c>
      <c r="FE299" s="328">
        <f>IFERROR(IF(LEFT(A299,3)="LCP",(VLOOKUP(Capex!A304,BASE_558!D:R,10,)/1000),SUMIFS('BASE ICP_PO_SC'!F:F,'BASE ICP_PO_SC'!A:A,Capex!A304,'BASE ICP_PO_SC'!E:E,"&lt;&gt;")/1000),"")</f>
        <v>475.26436000000001</v>
      </c>
      <c r="FF299" s="328">
        <f>IFERROR(IF(LEFT(A299,3)="LCP",(VLOOKUP(Capex!A304,BASE_558!D:R,11,)/1000),SUMIFS('BASE ICP_PO_SC'!F:F,'BASE ICP_PO_SC'!A:A,Capex!A304,'BASE ICP_PO_SC'!E:E,"")/1000),"")</f>
        <v>253.27367000000001</v>
      </c>
      <c r="FG299" s="328">
        <f>IFERROR(VLOOKUP(A299,BASE_558!D:R,13,FALSE)/1000,"")</f>
        <v>0</v>
      </c>
      <c r="FH299" s="328">
        <f>IFERROR(VLOOKUP(A299,BASE_558!D:R,15,FALSE)/1000,"")</f>
        <v>251.42500000000001</v>
      </c>
      <c r="FI299" s="547">
        <f t="shared" si="172"/>
        <v>0</v>
      </c>
      <c r="FJ299" s="547">
        <f t="shared" si="173"/>
        <v>0</v>
      </c>
      <c r="FK299" s="540">
        <f t="shared" si="174"/>
        <v>0</v>
      </c>
    </row>
    <row r="300" spans="1:167" s="23" customFormat="1" ht="24" customHeight="1">
      <c r="A300" s="84" t="s">
        <v>2341</v>
      </c>
      <c r="B300" s="404"/>
      <c r="C300" s="404">
        <v>19935</v>
      </c>
      <c r="D300" s="403" t="s">
        <v>3348</v>
      </c>
      <c r="E300" s="378">
        <v>6347141</v>
      </c>
      <c r="F300" s="5"/>
      <c r="G300" s="310" t="s">
        <v>9</v>
      </c>
      <c r="H300" s="338" t="s">
        <v>6</v>
      </c>
      <c r="I300" s="356"/>
      <c r="J300" s="356">
        <v>2023</v>
      </c>
      <c r="K300" s="352">
        <v>44984</v>
      </c>
      <c r="L300" s="317"/>
      <c r="M300" s="409"/>
      <c r="N300" s="317">
        <f t="shared" si="177"/>
        <v>45896</v>
      </c>
      <c r="O300" s="317">
        <f t="shared" si="178"/>
        <v>46261</v>
      </c>
      <c r="P300" s="418" t="str">
        <f t="shared" si="182"/>
        <v>NÃO</v>
      </c>
      <c r="Q300" s="418" t="str">
        <f t="shared" si="182"/>
        <v>NÃO</v>
      </c>
      <c r="R300" s="418" t="str">
        <f t="shared" si="182"/>
        <v>NÃO</v>
      </c>
      <c r="S300" s="418" t="str">
        <f t="shared" si="182"/>
        <v>NÃO</v>
      </c>
      <c r="T300" s="418" t="str">
        <f t="shared" si="182"/>
        <v>NÃO</v>
      </c>
      <c r="U300" s="418" t="str">
        <f t="shared" si="182"/>
        <v>NÃO</v>
      </c>
      <c r="V300" s="418" t="str">
        <f t="shared" si="182"/>
        <v>NÃO</v>
      </c>
      <c r="W300" s="418" t="str">
        <f t="shared" si="182"/>
        <v>SIM</v>
      </c>
      <c r="X300" s="551" t="str">
        <f t="shared" si="182"/>
        <v>SIM</v>
      </c>
      <c r="Y300" s="418" t="str">
        <f t="shared" si="182"/>
        <v>SIM</v>
      </c>
      <c r="Z300" s="418" t="str">
        <f t="shared" si="182"/>
        <v>SIM</v>
      </c>
      <c r="AA300" s="567" t="str">
        <f t="shared" si="182"/>
        <v>SIM</v>
      </c>
      <c r="AB300" s="350"/>
      <c r="AC300" s="309" t="s">
        <v>3932</v>
      </c>
      <c r="AD300" s="311" t="s">
        <v>224</v>
      </c>
      <c r="AE300" s="361" t="s">
        <v>979</v>
      </c>
      <c r="AF300" s="310" t="s">
        <v>6985</v>
      </c>
      <c r="AG300" s="310" t="s">
        <v>2079</v>
      </c>
      <c r="AH300" s="310" t="s">
        <v>2833</v>
      </c>
      <c r="AI300" s="309" t="s">
        <v>2255</v>
      </c>
      <c r="AJ300" s="6" t="s">
        <v>6786</v>
      </c>
      <c r="AK300" s="6" t="str">
        <f t="shared" si="152"/>
        <v>IGUAL</v>
      </c>
      <c r="AL300" s="151" t="str">
        <f>IFERROR(IF(LEFT(A300,3)="LCP",VLOOKUP(A300,STATUS_SAP_LCP!B:C,2,FALSE),VLOOKUP(A300,STATUS_SAP_ICP!B:C,2,FALSE)),"NO BUDGET")</f>
        <v>REL  BUDG AUC  AVAC  //  APPR BREL EXPL</v>
      </c>
      <c r="AM300" s="6" t="str">
        <f t="shared" si="151"/>
        <v xml:space="preserve">REL </v>
      </c>
      <c r="AN300" s="556" t="s">
        <v>19513</v>
      </c>
      <c r="AO300" s="560"/>
      <c r="AP300" s="499" t="s">
        <v>5299</v>
      </c>
      <c r="AQ300" s="465">
        <v>45717</v>
      </c>
      <c r="AR300" s="460"/>
      <c r="AS300" s="57"/>
      <c r="AT300" s="185"/>
      <c r="AU300" s="318"/>
      <c r="AV300" s="223">
        <v>0</v>
      </c>
      <c r="AW300" s="318">
        <v>0</v>
      </c>
      <c r="AX300" s="223">
        <v>71.109479999999991</v>
      </c>
      <c r="AY300" s="318">
        <f t="shared" si="179"/>
        <v>149.60419000000002</v>
      </c>
      <c r="AZ300" s="223"/>
      <c r="BA300" s="318"/>
      <c r="BB300" s="519">
        <f t="shared" si="180"/>
        <v>181</v>
      </c>
      <c r="BC300" s="518">
        <v>69</v>
      </c>
      <c r="BD300" s="518">
        <v>112</v>
      </c>
      <c r="BE300" s="518">
        <v>0</v>
      </c>
      <c r="BF300" s="518">
        <v>0</v>
      </c>
      <c r="BG300" s="518">
        <v>0</v>
      </c>
      <c r="BH300" s="518">
        <v>0</v>
      </c>
      <c r="BI300" s="518">
        <v>0</v>
      </c>
      <c r="BJ300" s="518">
        <v>0</v>
      </c>
      <c r="BK300" s="518">
        <v>0</v>
      </c>
      <c r="BL300" s="518">
        <v>0</v>
      </c>
      <c r="BM300" s="518">
        <v>0</v>
      </c>
      <c r="BN300" s="518">
        <v>0</v>
      </c>
      <c r="BO300" s="367">
        <f t="shared" si="153"/>
        <v>149.60419000000002</v>
      </c>
      <c r="BP300" s="421">
        <v>69</v>
      </c>
      <c r="BQ300" s="422"/>
      <c r="BR300" s="423">
        <f>IFERROR(IF(LEFT($A300,3)="Lcp",SUMIFS('BASE-LCP'!$K:$K,'BASE-LCP'!$A:$A,Capex!$A306,'BASE-LCP'!$B:$B,"janeiro")/1000,IF(LEFT($A300,3)="icp",SUMIFS('BASE-ICP'!$K:$K,'BASE-ICP'!$A:$A,Capex!$A306,'BASE-ICP'!$B:$B,"janeiro")/1000,"")),"")</f>
        <v>0</v>
      </c>
      <c r="BS300" s="427">
        <v>0</v>
      </c>
      <c r="BT300" s="372">
        <v>69</v>
      </c>
      <c r="BU300" s="422">
        <v>0.48558999999999997</v>
      </c>
      <c r="BV300" s="423">
        <f>IFERROR(IF(LEFT($A300,3)="Lcp",SUMIFS('BASE-LCP'!$K:$K,'BASE-LCP'!$A:$A,Capex!$A306,'BASE-LCP'!$B:$B,"fevereiro")/1000,IF(LEFT($A300,3)="icp",SUMIFS('BASE-ICP'!$K:$K,'BASE-ICP'!$A:$A,Capex!$A306,'BASE-ICP'!$B:$B,"fevereiro")/1000,"")),"")</f>
        <v>0</v>
      </c>
      <c r="BW300" s="427">
        <v>0.48558999999999997</v>
      </c>
      <c r="BX300" s="372">
        <v>0</v>
      </c>
      <c r="BY300" s="419"/>
      <c r="BZ300" s="423">
        <f>IFERROR(IF(LEFT($A300,3)="Lcp",SUMIFS('BASE-LCP'!$K:$K,'BASE-LCP'!$A:$A,Capex!$A306,'BASE-LCP'!$B:$B,"março")/1000,IF(LEFT($A300,3)="icp",SUMIFS('BASE-ICP'!$K:$K,'BASE-ICP'!$A:$A,Capex!$A306,'BASE-ICP'!$B:$B,"março")/1000,"")),"")</f>
        <v>3.5991900000000001</v>
      </c>
      <c r="CA300" s="427">
        <v>0</v>
      </c>
      <c r="CB300" s="372">
        <v>69</v>
      </c>
      <c r="CC300" s="422">
        <v>49.684740000000005</v>
      </c>
      <c r="CD300" s="423">
        <f>IFERROR(IF(LEFT($A300,3)="Lcp",SUMIFS('BASE-LCP'!$K:$K,'BASE-LCP'!$A:$A,Capex!$A306,'BASE-LCP'!$B:$B,"abril")/1000,IF(LEFT($A300,3)="icp",SUMIFS('BASE-ICP'!$K:$K,'BASE-ICP'!$A:$A,Capex!$A306,'BASE-ICP'!$B:$B,"abril")/1000,"")),"")</f>
        <v>18.768439999999998</v>
      </c>
      <c r="CE300" s="427">
        <v>49.684739999999998</v>
      </c>
      <c r="CF300" s="372">
        <v>0</v>
      </c>
      <c r="CG300" s="419">
        <v>2.5389999999999999E-2</v>
      </c>
      <c r="CH300" s="423">
        <v>2.5389999999999999E-2</v>
      </c>
      <c r="CI300" s="427">
        <v>2.5389999999999999E-2</v>
      </c>
      <c r="CJ300" s="372">
        <v>49.5</v>
      </c>
      <c r="CK300" s="419">
        <v>49.908470000000001</v>
      </c>
      <c r="CL300" s="423">
        <f>IFERROR(IF(LEFT($A300,3)="Lcp",SUMIFS('BASE-LCP'!$K:$K,'BASE-LCP'!$A:$A,Capex!$A306,'BASE-LCP'!$B:$B,"junho")/1000,IF(LEFT($A300,3)="icp",SUMIFS('BASE-ICP'!$K:$K,'BASE-ICP'!$A:$A,Capex!$A306,'BASE-ICP'!$B:$B,"junho")/1000,"")),"")</f>
        <v>0</v>
      </c>
      <c r="CM300" s="427">
        <v>49.908470000000001</v>
      </c>
      <c r="CN300" s="372"/>
      <c r="CO300" s="419"/>
      <c r="CP300" s="423">
        <f>IFERROR(IF(LEFT($A300,3)="Lcp",SUMIFS('BASE-LCP'!$K:$K,'BASE-LCP'!$A:$A,Capex!$A306,'BASE-LCP'!$B:$B,"julho")/1000,IF(LEFT($A300,3)="icp",SUMIFS('BASE-ICP'!$K:$K,'BASE-ICP'!$A:$A,Capex!$A306,'BASE-ICP'!$B:$B,"julho")/1000,"")),"")</f>
        <v>0</v>
      </c>
      <c r="CQ300" s="427">
        <f>49.5</f>
        <v>49.5</v>
      </c>
      <c r="CR300" s="372"/>
      <c r="CS300" s="419"/>
      <c r="CT300" s="423">
        <f>IFERROR(IF(LEFT($A300,3)="Lcp",SUMIFS('BASE-LCP'!$K:$K,'BASE-LCP'!$A:$A,Capex!$A306,'BASE-LCP'!$B:$B,"agosto")/1000,IF(LEFT($A300,3)="icp",SUMIFS('BASE-ICP'!$K:$K,'BASE-ICP'!$A:$A,Capex!$A306,'BASE-ICP'!$B:$B,"agosto")/1000,"")),"")</f>
        <v>0</v>
      </c>
      <c r="CU300" s="427">
        <v>0</v>
      </c>
      <c r="CV300" s="372"/>
      <c r="CW300" s="419"/>
      <c r="CX300" s="423">
        <f>IFERROR(IF(LEFT($A300,3)="Lcp",SUMIFS('BASE-LCP'!$K:$K,'BASE-LCP'!$A:$A,Capex!$A306,'BASE-LCP'!$B:$B,"setembro")/1000,IF(LEFT($A300,3)="icp",SUMIFS('BASE-ICP'!$K:$K,'BASE-ICP'!$A:$A,Capex!$A306,'BASE-ICP'!$B:$B,"setembro")/1000,"")),"")</f>
        <v>0</v>
      </c>
      <c r="CY300" s="427">
        <v>0</v>
      </c>
      <c r="CZ300" s="372"/>
      <c r="DA300" s="419"/>
      <c r="DB300" s="423">
        <f>IFERROR(IF(LEFT($A300,3)="Lcp",SUMIFS('BASE-LCP'!$K:$K,'BASE-LCP'!$A:$A,Capex!$A306,'BASE-LCP'!$B:$B,"outubro")/1000,IF(LEFT($A300,3)="icp",SUMIFS('BASE-ICP'!$K:$K,'BASE-ICP'!$A:$A,Capex!$A306,'BASE-ICP'!$B:$B,"outubro")/1000,"")),"")</f>
        <v>0</v>
      </c>
      <c r="DC300" s="427">
        <v>0</v>
      </c>
      <c r="DD300" s="372"/>
      <c r="DE300" s="419"/>
      <c r="DF300" s="423">
        <f>IFERROR(IF(LEFT($A300,3)="Lcp",SUMIFS('BASE-LCP'!$K:$K,'BASE-LCP'!$A:$A,Capex!$A306,'BASE-LCP'!$B:$B,"novembro")/1000,IF(LEFT($A300,3)="icp",SUMIFS('BASE-ICP'!$K:$K,'BASE-ICP'!$A:$A,Capex!$A306,'BASE-ICP'!$B:$B,"novembro")/1000,"")),"")</f>
        <v>0</v>
      </c>
      <c r="DG300" s="427">
        <v>0</v>
      </c>
      <c r="DH300" s="372"/>
      <c r="DI300" s="419"/>
      <c r="DJ300" s="423">
        <f>IFERROR(IF(LEFT($A300,3)="Lcp",SUMIFS('BASE-LCP'!$K:$K,'BASE-LCP'!$A:$A,Capex!$A306,'BASE-LCP'!$B:$B,"dezembro")/1000,IF(LEFT($A300,3)="icp",SUMIFS('BASE-ICP'!$K:$K,'BASE-ICP'!$A:$A,Capex!$A306,'BASE-ICP'!$B:$B,"dezembro")/1000,"")),"")</f>
        <v>0</v>
      </c>
      <c r="DK300" s="427">
        <v>0</v>
      </c>
      <c r="DL300" s="452">
        <f t="shared" si="154"/>
        <v>0</v>
      </c>
      <c r="DM300" s="374"/>
      <c r="DN300" s="374">
        <v>0</v>
      </c>
      <c r="DO300" s="374"/>
      <c r="DP300" s="374"/>
      <c r="DQ300" s="374"/>
      <c r="DR300" s="374"/>
      <c r="DS300" s="374"/>
      <c r="DT300" s="374"/>
      <c r="DU300" s="374"/>
      <c r="DV300" s="374"/>
      <c r="DW300" s="374"/>
      <c r="DX300" s="374"/>
      <c r="DY300" s="450"/>
      <c r="DZ300" s="374">
        <f t="shared" si="155"/>
        <v>0</v>
      </c>
      <c r="EA300" s="216">
        <f t="shared" si="156"/>
        <v>0.40847000000000122</v>
      </c>
      <c r="EB300" s="320">
        <f t="shared" si="157"/>
        <v>-49.908470000000001</v>
      </c>
      <c r="EC300" s="241">
        <f t="shared" si="158"/>
        <v>0.48558999999999997</v>
      </c>
      <c r="ED300" s="241">
        <f t="shared" si="159"/>
        <v>99.618600000000001</v>
      </c>
      <c r="EE300" s="241">
        <f t="shared" si="160"/>
        <v>49.5</v>
      </c>
      <c r="EF300" s="241">
        <f t="shared" si="161"/>
        <v>0</v>
      </c>
      <c r="EG300" s="346">
        <f t="shared" si="162"/>
        <v>-31.395809999999983</v>
      </c>
      <c r="EH300" s="445">
        <f t="shared" si="163"/>
        <v>0</v>
      </c>
      <c r="EI300" s="447">
        <f t="shared" si="164"/>
        <v>2.5389999999999999E-2</v>
      </c>
      <c r="EJ300" s="364">
        <f t="shared" si="165"/>
        <v>50.195720000000001</v>
      </c>
      <c r="EK300" s="365">
        <f t="shared" si="166"/>
        <v>99.408470000000023</v>
      </c>
      <c r="EL300" s="529">
        <f t="shared" si="167"/>
        <v>149.19571999999999</v>
      </c>
      <c r="EM300" s="530">
        <v>0</v>
      </c>
      <c r="EN300" s="530">
        <v>0.48558999999999997</v>
      </c>
      <c r="EO300" s="530">
        <v>0</v>
      </c>
      <c r="EP300" s="530">
        <v>49.684739999999998</v>
      </c>
      <c r="EQ300" s="530">
        <v>2.5389999999999999E-2</v>
      </c>
      <c r="ER300" s="530">
        <v>49.5</v>
      </c>
      <c r="ES300" s="530">
        <v>49.5</v>
      </c>
      <c r="ET300" s="530">
        <v>0</v>
      </c>
      <c r="EU300" s="530">
        <v>0</v>
      </c>
      <c r="EV300" s="530">
        <v>0</v>
      </c>
      <c r="EW300" s="530">
        <v>0</v>
      </c>
      <c r="EX300" s="530">
        <v>0</v>
      </c>
      <c r="EY300" s="530">
        <f t="shared" si="168"/>
        <v>0.48558999999999997</v>
      </c>
      <c r="EZ300" s="530">
        <f t="shared" si="169"/>
        <v>99.210129999999992</v>
      </c>
      <c r="FA300" s="530">
        <f t="shared" si="170"/>
        <v>49.5</v>
      </c>
      <c r="FB300" s="530">
        <f t="shared" si="171"/>
        <v>0</v>
      </c>
      <c r="FC300" s="384">
        <f>IFERROR(VLOOKUP(Capex!A306,BASE_558!D:R,8,FALSE)/1000,"")</f>
        <v>730.255</v>
      </c>
      <c r="FD300" s="328">
        <f>IFERROR(VLOOKUP(Capex!A306,BASE_558!D:R,9,)/1000,"")</f>
        <v>587.20034999999996</v>
      </c>
      <c r="FE300" s="328">
        <f>IFERROR(IF(LEFT(A300,3)="LCP",(VLOOKUP(Capex!A306,BASE_558!D:R,10,)/1000),SUMIFS('BASE ICP_PO_SC'!F:F,'BASE ICP_PO_SC'!A:A,Capex!A306,'BASE ICP_PO_SC'!E:E,"&lt;&gt;")/1000),"")</f>
        <v>9.0962999999999994</v>
      </c>
      <c r="FF300" s="328">
        <f>IFERROR(IF(LEFT(A300,3)="LCP",(VLOOKUP(Capex!A306,BASE_558!D:R,11,)/1000),SUMIFS('BASE ICP_PO_SC'!F:F,'BASE ICP_PO_SC'!A:A,Capex!A306,'BASE ICP_PO_SC'!E:E,"")/1000),"")</f>
        <v>0</v>
      </c>
      <c r="FG300" s="328">
        <f>IFERROR(VLOOKUP(A300,BASE_558!D:R,13,FALSE)/1000,"")</f>
        <v>247.81629000000001</v>
      </c>
      <c r="FH300" s="328">
        <f>IFERROR(VLOOKUP(A300,BASE_558!D:R,15,FALSE)/1000,"")</f>
        <v>98.683710000000005</v>
      </c>
      <c r="FI300" s="547">
        <f t="shared" si="172"/>
        <v>-0.40847000000000833</v>
      </c>
      <c r="FJ300" s="547">
        <f t="shared" si="173"/>
        <v>0</v>
      </c>
      <c r="FK300" s="540">
        <f t="shared" si="174"/>
        <v>0</v>
      </c>
    </row>
    <row r="301" spans="1:167" s="23" customFormat="1" ht="24" customHeight="1">
      <c r="A301" s="84" t="s">
        <v>2342</v>
      </c>
      <c r="B301" s="404"/>
      <c r="C301" s="404">
        <v>127397</v>
      </c>
      <c r="D301" s="403" t="s">
        <v>3348</v>
      </c>
      <c r="E301" s="378">
        <v>6790345</v>
      </c>
      <c r="F301" s="5"/>
      <c r="G301" s="310" t="s">
        <v>9</v>
      </c>
      <c r="H301" s="338" t="s">
        <v>6</v>
      </c>
      <c r="I301" s="356"/>
      <c r="J301" s="356">
        <v>2023</v>
      </c>
      <c r="K301" s="352">
        <v>45042</v>
      </c>
      <c r="L301" s="317"/>
      <c r="M301" s="409"/>
      <c r="N301" s="317">
        <f t="shared" si="177"/>
        <v>45954</v>
      </c>
      <c r="O301" s="317">
        <f t="shared" si="178"/>
        <v>46319</v>
      </c>
      <c r="P301" s="418" t="str">
        <f t="shared" si="182"/>
        <v>NÃO</v>
      </c>
      <c r="Q301" s="418" t="str">
        <f t="shared" si="182"/>
        <v>NÃO</v>
      </c>
      <c r="R301" s="418" t="str">
        <f t="shared" si="182"/>
        <v>NÃO</v>
      </c>
      <c r="S301" s="418" t="str">
        <f t="shared" si="182"/>
        <v>NÃO</v>
      </c>
      <c r="T301" s="418" t="str">
        <f t="shared" si="182"/>
        <v>NÃO</v>
      </c>
      <c r="U301" s="418" t="str">
        <f t="shared" si="182"/>
        <v>NÃO</v>
      </c>
      <c r="V301" s="418" t="str">
        <f t="shared" si="182"/>
        <v>NÃO</v>
      </c>
      <c r="W301" s="418" t="str">
        <f t="shared" si="182"/>
        <v>NÃO</v>
      </c>
      <c r="X301" s="418" t="str">
        <f t="shared" si="182"/>
        <v>NÃO</v>
      </c>
      <c r="Y301" s="418" t="str">
        <f t="shared" si="182"/>
        <v>SIM</v>
      </c>
      <c r="Z301" s="418" t="str">
        <f t="shared" si="182"/>
        <v>SIM</v>
      </c>
      <c r="AA301" s="418" t="str">
        <f t="shared" si="182"/>
        <v>SIM</v>
      </c>
      <c r="AB301" s="350"/>
      <c r="AC301" s="309" t="s">
        <v>3932</v>
      </c>
      <c r="AD301" s="311" t="s">
        <v>5</v>
      </c>
      <c r="AE301" s="361" t="s">
        <v>961</v>
      </c>
      <c r="AF301" s="310" t="s">
        <v>6985</v>
      </c>
      <c r="AG301" s="310" t="s">
        <v>17007</v>
      </c>
      <c r="AH301" s="310" t="s">
        <v>2834</v>
      </c>
      <c r="AI301" s="381" t="s">
        <v>2255</v>
      </c>
      <c r="AJ301" s="6" t="s">
        <v>6786</v>
      </c>
      <c r="AK301" s="6" t="str">
        <f t="shared" si="152"/>
        <v>IGUAL</v>
      </c>
      <c r="AL301" s="151" t="str">
        <f>IFERROR(IF(LEFT(A301,3)="LCP",VLOOKUP(A301,STATUS_SAP_LCP!B:C,2,FALSE),VLOOKUP(A301,STATUS_SAP_ICP!B:C,2,FALSE)),"NO BUDGET")</f>
        <v>REL  BUDG AUC  AVAC  //  APPR BREL INPL</v>
      </c>
      <c r="AM301" s="6" t="str">
        <f t="shared" si="151"/>
        <v xml:space="preserve">REL </v>
      </c>
      <c r="AN301" s="414" t="s">
        <v>18964</v>
      </c>
      <c r="AO301" s="414"/>
      <c r="AP301" s="499" t="s">
        <v>5299</v>
      </c>
      <c r="AQ301" s="465">
        <v>45809</v>
      </c>
      <c r="AR301" s="460"/>
      <c r="AS301" s="57"/>
      <c r="AT301" s="185"/>
      <c r="AU301" s="318"/>
      <c r="AV301" s="223"/>
      <c r="AW301" s="318">
        <v>0</v>
      </c>
      <c r="AX301" s="223">
        <v>261.94049999999999</v>
      </c>
      <c r="AY301" s="318">
        <f t="shared" si="179"/>
        <v>20</v>
      </c>
      <c r="AZ301" s="223"/>
      <c r="BA301" s="318"/>
      <c r="BB301" s="519">
        <f t="shared" si="180"/>
        <v>20</v>
      </c>
      <c r="BC301" s="518">
        <v>0</v>
      </c>
      <c r="BD301" s="518">
        <v>0</v>
      </c>
      <c r="BE301" s="518">
        <v>0</v>
      </c>
      <c r="BF301" s="518">
        <v>0</v>
      </c>
      <c r="BG301" s="518">
        <v>20</v>
      </c>
      <c r="BH301" s="518">
        <v>0</v>
      </c>
      <c r="BI301" s="518">
        <v>0</v>
      </c>
      <c r="BJ301" s="518">
        <v>0</v>
      </c>
      <c r="BK301" s="518">
        <v>0</v>
      </c>
      <c r="BL301" s="518">
        <v>0</v>
      </c>
      <c r="BM301" s="518">
        <v>0</v>
      </c>
      <c r="BN301" s="518">
        <v>0</v>
      </c>
      <c r="BO301" s="367">
        <f t="shared" si="153"/>
        <v>20</v>
      </c>
      <c r="BP301" s="421">
        <v>0</v>
      </c>
      <c r="BQ301" s="422"/>
      <c r="BR301" s="423">
        <f>IFERROR(IF(LEFT($A301,3)="Lcp",SUMIFS('BASE-LCP'!$K:$K,'BASE-LCP'!$A:$A,Capex!$A307,'BASE-LCP'!$B:$B,"janeiro")/1000,IF(LEFT($A301,3)="icp",SUMIFS('BASE-ICP'!$K:$K,'BASE-ICP'!$A:$A,Capex!$A307,'BASE-ICP'!$B:$B,"janeiro")/1000,"")),"")</f>
        <v>0</v>
      </c>
      <c r="BS301" s="427">
        <v>0</v>
      </c>
      <c r="BT301" s="372">
        <v>0</v>
      </c>
      <c r="BU301" s="422"/>
      <c r="BV301" s="423">
        <f>IFERROR(IF(LEFT($A301,3)="Lcp",SUMIFS('BASE-LCP'!$K:$K,'BASE-LCP'!$A:$A,Capex!$A307,'BASE-LCP'!$B:$B,"fevereiro")/1000,IF(LEFT($A301,3)="icp",SUMIFS('BASE-ICP'!$K:$K,'BASE-ICP'!$A:$A,Capex!$A307,'BASE-ICP'!$B:$B,"fevereiro")/1000,"")),"")</f>
        <v>0</v>
      </c>
      <c r="BW301" s="427">
        <v>0</v>
      </c>
      <c r="BX301" s="372">
        <v>0</v>
      </c>
      <c r="BY301" s="419"/>
      <c r="BZ301" s="423">
        <f>IFERROR(IF(LEFT($A301,3)="Lcp",SUMIFS('BASE-LCP'!$K:$K,'BASE-LCP'!$A:$A,Capex!$A307,'BASE-LCP'!$B:$B,"março")/1000,IF(LEFT($A301,3)="icp",SUMIFS('BASE-ICP'!$K:$K,'BASE-ICP'!$A:$A,Capex!$A307,'BASE-ICP'!$B:$B,"março")/1000,"")),"")</f>
        <v>0</v>
      </c>
      <c r="CA301" s="427">
        <v>0</v>
      </c>
      <c r="CB301" s="372">
        <v>0</v>
      </c>
      <c r="CC301" s="422"/>
      <c r="CD301" s="423">
        <f>IFERROR(IF(LEFT($A301,3)="Lcp",SUMIFS('BASE-LCP'!$K:$K,'BASE-LCP'!$A:$A,Capex!$A307,'BASE-LCP'!$B:$B,"abril")/1000,IF(LEFT($A301,3)="icp",SUMIFS('BASE-ICP'!$K:$K,'BASE-ICP'!$A:$A,Capex!$A307,'BASE-ICP'!$B:$B,"abril")/1000,"")),"")</f>
        <v>0</v>
      </c>
      <c r="CE301" s="427">
        <v>0</v>
      </c>
      <c r="CF301" s="372">
        <v>0</v>
      </c>
      <c r="CG301" s="419"/>
      <c r="CH301" s="423">
        <v>0</v>
      </c>
      <c r="CI301" s="427">
        <v>0</v>
      </c>
      <c r="CJ301" s="372">
        <v>0</v>
      </c>
      <c r="CK301" s="419"/>
      <c r="CL301" s="423">
        <f>IFERROR(IF(LEFT($A301,3)="Lcp",SUMIFS('BASE-LCP'!$K:$K,'BASE-LCP'!$A:$A,Capex!$A307,'BASE-LCP'!$B:$B,"junho")/1000,IF(LEFT($A301,3)="icp",SUMIFS('BASE-ICP'!$K:$K,'BASE-ICP'!$A:$A,Capex!$A307,'BASE-ICP'!$B:$B,"junho")/1000,"")),"")</f>
        <v>0</v>
      </c>
      <c r="CM301" s="427">
        <v>0</v>
      </c>
      <c r="CN301" s="372"/>
      <c r="CO301" s="419"/>
      <c r="CP301" s="423">
        <f>IFERROR(IF(LEFT($A301,3)="Lcp",SUMIFS('BASE-LCP'!$K:$K,'BASE-LCP'!$A:$A,Capex!$A307,'BASE-LCP'!$B:$B,"julho")/1000,IF(LEFT($A301,3)="icp",SUMIFS('BASE-ICP'!$K:$K,'BASE-ICP'!$A:$A,Capex!$A307,'BASE-ICP'!$B:$B,"julho")/1000,"")),"")</f>
        <v>0</v>
      </c>
      <c r="CQ301" s="427">
        <v>0</v>
      </c>
      <c r="CR301" s="372"/>
      <c r="CS301" s="419"/>
      <c r="CT301" s="423">
        <f>IFERROR(IF(LEFT($A301,3)="Lcp",SUMIFS('BASE-LCP'!$K:$K,'BASE-LCP'!$A:$A,Capex!$A307,'BASE-LCP'!$B:$B,"agosto")/1000,IF(LEFT($A301,3)="icp",SUMIFS('BASE-ICP'!$K:$K,'BASE-ICP'!$A:$A,Capex!$A307,'BASE-ICP'!$B:$B,"agosto")/1000,"")),"")</f>
        <v>0</v>
      </c>
      <c r="CU301" s="427">
        <v>0</v>
      </c>
      <c r="CV301" s="372"/>
      <c r="CW301" s="419"/>
      <c r="CX301" s="423">
        <f>IFERROR(IF(LEFT($A301,3)="Lcp",SUMIFS('BASE-LCP'!$K:$K,'BASE-LCP'!$A:$A,Capex!$A307,'BASE-LCP'!$B:$B,"setembro")/1000,IF(LEFT($A301,3)="icp",SUMIFS('BASE-ICP'!$K:$K,'BASE-ICP'!$A:$A,Capex!$A307,'BASE-ICP'!$B:$B,"setembro")/1000,"")),"")</f>
        <v>0</v>
      </c>
      <c r="CY301" s="427">
        <v>0</v>
      </c>
      <c r="CZ301" s="372"/>
      <c r="DA301" s="419"/>
      <c r="DB301" s="423">
        <f>IFERROR(IF(LEFT($A301,3)="Lcp",SUMIFS('BASE-LCP'!$K:$K,'BASE-LCP'!$A:$A,Capex!$A307,'BASE-LCP'!$B:$B,"outubro")/1000,IF(LEFT($A301,3)="icp",SUMIFS('BASE-ICP'!$K:$K,'BASE-ICP'!$A:$A,Capex!$A307,'BASE-ICP'!$B:$B,"outubro")/1000,"")),"")</f>
        <v>0</v>
      </c>
      <c r="DC301" s="427">
        <v>0</v>
      </c>
      <c r="DD301" s="372"/>
      <c r="DE301" s="419"/>
      <c r="DF301" s="423">
        <f>IFERROR(IF(LEFT($A301,3)="Lcp",SUMIFS('BASE-LCP'!$K:$K,'BASE-LCP'!$A:$A,Capex!$A307,'BASE-LCP'!$B:$B,"novembro")/1000,IF(LEFT($A301,3)="icp",SUMIFS('BASE-ICP'!$K:$K,'BASE-ICP'!$A:$A,Capex!$A307,'BASE-ICP'!$B:$B,"novembro")/1000,"")),"")</f>
        <v>0</v>
      </c>
      <c r="DG301" s="427">
        <v>0</v>
      </c>
      <c r="DH301" s="372"/>
      <c r="DI301" s="419"/>
      <c r="DJ301" s="423">
        <f>IFERROR(IF(LEFT($A301,3)="Lcp",SUMIFS('BASE-LCP'!$K:$K,'BASE-LCP'!$A:$A,Capex!$A307,'BASE-LCP'!$B:$B,"dezembro")/1000,IF(LEFT($A301,3)="icp",SUMIFS('BASE-ICP'!$K:$K,'BASE-ICP'!$A:$A,Capex!$A307,'BASE-ICP'!$B:$B,"dezembro")/1000,"")),"")</f>
        <v>0</v>
      </c>
      <c r="DK301" s="427">
        <v>20</v>
      </c>
      <c r="DL301" s="452">
        <f t="shared" si="154"/>
        <v>0</v>
      </c>
      <c r="DM301" s="374"/>
      <c r="DN301" s="374">
        <v>0</v>
      </c>
      <c r="DO301" s="374"/>
      <c r="DP301" s="374"/>
      <c r="DQ301" s="374"/>
      <c r="DR301" s="374"/>
      <c r="DS301" s="374"/>
      <c r="DT301" s="374"/>
      <c r="DU301" s="374"/>
      <c r="DV301" s="374"/>
      <c r="DW301" s="374"/>
      <c r="DX301" s="374"/>
      <c r="DY301" s="450"/>
      <c r="DZ301" s="374">
        <f t="shared" si="155"/>
        <v>0</v>
      </c>
      <c r="EA301" s="216">
        <f t="shared" si="156"/>
        <v>0</v>
      </c>
      <c r="EB301" s="320">
        <f t="shared" si="157"/>
        <v>0</v>
      </c>
      <c r="EC301" s="241">
        <f t="shared" si="158"/>
        <v>0</v>
      </c>
      <c r="ED301" s="241">
        <f t="shared" si="159"/>
        <v>0</v>
      </c>
      <c r="EE301" s="241">
        <f t="shared" si="160"/>
        <v>0</v>
      </c>
      <c r="EF301" s="241">
        <f t="shared" si="161"/>
        <v>20</v>
      </c>
      <c r="EG301" s="346">
        <f t="shared" si="162"/>
        <v>0</v>
      </c>
      <c r="EH301" s="445">
        <f t="shared" si="163"/>
        <v>0</v>
      </c>
      <c r="EI301" s="447">
        <f t="shared" si="164"/>
        <v>0</v>
      </c>
      <c r="EJ301" s="364">
        <f t="shared" si="165"/>
        <v>0</v>
      </c>
      <c r="EK301" s="365">
        <f t="shared" si="166"/>
        <v>20</v>
      </c>
      <c r="EL301" s="529">
        <f t="shared" si="167"/>
        <v>20</v>
      </c>
      <c r="EM301" s="530">
        <v>0</v>
      </c>
      <c r="EN301" s="530">
        <v>0</v>
      </c>
      <c r="EO301" s="530">
        <v>0</v>
      </c>
      <c r="EP301" s="530">
        <v>0</v>
      </c>
      <c r="EQ301" s="530">
        <v>0</v>
      </c>
      <c r="ER301" s="530">
        <v>0</v>
      </c>
      <c r="ES301" s="530">
        <v>0</v>
      </c>
      <c r="ET301" s="530">
        <v>0</v>
      </c>
      <c r="EU301" s="530">
        <v>0</v>
      </c>
      <c r="EV301" s="530">
        <v>0</v>
      </c>
      <c r="EW301" s="530">
        <v>0</v>
      </c>
      <c r="EX301" s="530">
        <v>20</v>
      </c>
      <c r="EY301" s="530">
        <f t="shared" si="168"/>
        <v>0</v>
      </c>
      <c r="EZ301" s="530">
        <f t="shared" si="169"/>
        <v>0</v>
      </c>
      <c r="FA301" s="530">
        <f t="shared" si="170"/>
        <v>0</v>
      </c>
      <c r="FB301" s="530">
        <f t="shared" si="171"/>
        <v>20</v>
      </c>
      <c r="FC301" s="384">
        <f>IFERROR(VLOOKUP(Capex!A307,BASE_558!D:R,8,FALSE)/1000,"")</f>
        <v>224.7</v>
      </c>
      <c r="FD301" s="328">
        <f>IFERROR(VLOOKUP(Capex!A307,BASE_558!D:R,9,)/1000,"")</f>
        <v>18.710990000000002</v>
      </c>
      <c r="FE301" s="328">
        <f>IFERROR(IF(LEFT(A301,3)="LCP",(VLOOKUP(Capex!A307,BASE_558!D:R,10,)/1000),SUMIFS('BASE ICP_PO_SC'!F:F,'BASE ICP_PO_SC'!A:A,Capex!A307,'BASE ICP_PO_SC'!E:E,"&lt;&gt;")/1000),"")</f>
        <v>0</v>
      </c>
      <c r="FF301" s="328">
        <f>IFERROR(IF(LEFT(A301,3)="LCP",(VLOOKUP(Capex!A307,BASE_558!D:R,11,)/1000),SUMIFS('BASE ICP_PO_SC'!F:F,'BASE ICP_PO_SC'!A:A,Capex!A307,'BASE ICP_PO_SC'!E:E,"")/1000),"")</f>
        <v>0</v>
      </c>
      <c r="FG301" s="328">
        <f>IFERROR(VLOOKUP(A301,BASE_558!D:R,13,FALSE)/1000,"")</f>
        <v>261.94049999999999</v>
      </c>
      <c r="FH301" s="328">
        <f>IFERROR(VLOOKUP(A301,BASE_558!D:R,15,FALSE)/1000,"")</f>
        <v>106.5595</v>
      </c>
      <c r="FI301" s="547">
        <f t="shared" si="172"/>
        <v>0</v>
      </c>
      <c r="FJ301" s="547">
        <f t="shared" si="173"/>
        <v>0</v>
      </c>
      <c r="FK301" s="540">
        <f t="shared" si="174"/>
        <v>0</v>
      </c>
    </row>
    <row r="302" spans="1:167" s="23" customFormat="1" ht="24" customHeight="1">
      <c r="A302" s="84" t="s">
        <v>2343</v>
      </c>
      <c r="B302" s="404"/>
      <c r="C302" s="404"/>
      <c r="D302" s="403" t="s">
        <v>3348</v>
      </c>
      <c r="E302" s="378">
        <v>6805431</v>
      </c>
      <c r="F302" s="5"/>
      <c r="G302" s="310" t="s">
        <v>9</v>
      </c>
      <c r="H302" s="356" t="s">
        <v>6</v>
      </c>
      <c r="I302" s="356"/>
      <c r="J302" s="356">
        <v>2023</v>
      </c>
      <c r="K302" s="352">
        <v>44991</v>
      </c>
      <c r="L302" s="317"/>
      <c r="M302" s="409"/>
      <c r="N302" s="317">
        <f t="shared" si="177"/>
        <v>45903</v>
      </c>
      <c r="O302" s="317">
        <f t="shared" si="178"/>
        <v>46268</v>
      </c>
      <c r="P302" s="418" t="str">
        <f t="shared" si="182"/>
        <v>NÃO</v>
      </c>
      <c r="Q302" s="418" t="str">
        <f t="shared" si="182"/>
        <v>NÃO</v>
      </c>
      <c r="R302" s="418" t="str">
        <f t="shared" si="182"/>
        <v>NÃO</v>
      </c>
      <c r="S302" s="418" t="str">
        <f t="shared" si="182"/>
        <v>NÃO</v>
      </c>
      <c r="T302" s="418" t="str">
        <f t="shared" si="182"/>
        <v>NÃO</v>
      </c>
      <c r="U302" s="418" t="str">
        <f t="shared" si="182"/>
        <v>NÃO</v>
      </c>
      <c r="V302" s="418" t="str">
        <f t="shared" si="182"/>
        <v>NÃO</v>
      </c>
      <c r="W302" s="418" t="str">
        <f t="shared" si="182"/>
        <v>NÃO</v>
      </c>
      <c r="X302" s="418" t="str">
        <f t="shared" si="182"/>
        <v>SIM</v>
      </c>
      <c r="Y302" s="418" t="str">
        <f t="shared" si="182"/>
        <v>SIM</v>
      </c>
      <c r="Z302" s="418" t="str">
        <f t="shared" si="182"/>
        <v>SIM</v>
      </c>
      <c r="AA302" s="418" t="str">
        <f t="shared" si="182"/>
        <v>SIM</v>
      </c>
      <c r="AB302" s="350"/>
      <c r="AC302" s="381" t="s">
        <v>3932</v>
      </c>
      <c r="AD302" s="311" t="s">
        <v>5</v>
      </c>
      <c r="AE302" s="361" t="s">
        <v>952</v>
      </c>
      <c r="AF302" s="310" t="s">
        <v>6985</v>
      </c>
      <c r="AG302" s="310" t="s">
        <v>17007</v>
      </c>
      <c r="AH302" s="310" t="s">
        <v>2835</v>
      </c>
      <c r="AI302" s="381" t="s">
        <v>316</v>
      </c>
      <c r="AJ302" s="6" t="s">
        <v>6786</v>
      </c>
      <c r="AK302" s="6" t="str">
        <f t="shared" si="152"/>
        <v>DIFERENTE</v>
      </c>
      <c r="AL302" s="151" t="str">
        <f>IFERROR(IF(LEFT(A302,3)="LCP",VLOOKUP(A302,STATUS_SAP_LCP!B:C,2,FALSE),VLOOKUP(A302,STATUS_SAP_ICP!B:C,2,FALSE)),"NO BUDGET")</f>
        <v>TECO BUDG AUC  AVAC  //  APPR BREL INPL</v>
      </c>
      <c r="AM302" s="6" t="str">
        <f t="shared" si="151"/>
        <v>TECO</v>
      </c>
      <c r="AN302" s="282" t="s">
        <v>18965</v>
      </c>
      <c r="AO302" s="557"/>
      <c r="AP302" s="499" t="s">
        <v>9616</v>
      </c>
      <c r="AQ302" s="465">
        <v>46357</v>
      </c>
      <c r="AR302" s="460"/>
      <c r="AS302" s="57"/>
      <c r="AT302" s="185"/>
      <c r="AU302" s="318"/>
      <c r="AV302" s="223">
        <v>0</v>
      </c>
      <c r="AW302" s="318">
        <v>0</v>
      </c>
      <c r="AX302" s="223">
        <v>0</v>
      </c>
      <c r="AY302" s="318">
        <f t="shared" si="179"/>
        <v>0</v>
      </c>
      <c r="AZ302" s="223"/>
      <c r="BA302" s="318"/>
      <c r="BB302" s="519">
        <f t="shared" si="180"/>
        <v>0</v>
      </c>
      <c r="BC302" s="518">
        <v>0</v>
      </c>
      <c r="BD302" s="518">
        <v>0</v>
      </c>
      <c r="BE302" s="518">
        <v>0</v>
      </c>
      <c r="BF302" s="518">
        <v>0</v>
      </c>
      <c r="BG302" s="518">
        <v>0</v>
      </c>
      <c r="BH302" s="518">
        <v>0</v>
      </c>
      <c r="BI302" s="518">
        <v>0</v>
      </c>
      <c r="BJ302" s="518">
        <v>0</v>
      </c>
      <c r="BK302" s="518">
        <v>0</v>
      </c>
      <c r="BL302" s="518">
        <v>0</v>
      </c>
      <c r="BM302" s="518">
        <v>0</v>
      </c>
      <c r="BN302" s="518">
        <v>0</v>
      </c>
      <c r="BO302" s="367">
        <f t="shared" si="153"/>
        <v>0</v>
      </c>
      <c r="BP302" s="421">
        <v>0</v>
      </c>
      <c r="BQ302" s="422"/>
      <c r="BR302" s="423">
        <f>IFERROR(IF(LEFT($A302,3)="Lcp",SUMIFS('BASE-LCP'!$K:$K,'BASE-LCP'!$A:$A,Capex!$A308,'BASE-LCP'!$B:$B,"janeiro")/1000,IF(LEFT($A302,3)="icp",SUMIFS('BASE-ICP'!$K:$K,'BASE-ICP'!$A:$A,Capex!$A308,'BASE-ICP'!$B:$B,"janeiro")/1000,"")),"")</f>
        <v>0</v>
      </c>
      <c r="BS302" s="427">
        <v>0</v>
      </c>
      <c r="BT302" s="372">
        <v>0</v>
      </c>
      <c r="BU302" s="422"/>
      <c r="BV302" s="423">
        <f>IFERROR(IF(LEFT($A302,3)="Lcp",SUMIFS('BASE-LCP'!$K:$K,'BASE-LCP'!$A:$A,Capex!$A308,'BASE-LCP'!$B:$B,"fevereiro")/1000,IF(LEFT($A302,3)="icp",SUMIFS('BASE-ICP'!$K:$K,'BASE-ICP'!$A:$A,Capex!$A308,'BASE-ICP'!$B:$B,"fevereiro")/1000,"")),"")</f>
        <v>0</v>
      </c>
      <c r="BW302" s="427">
        <v>0</v>
      </c>
      <c r="BX302" s="372">
        <v>0</v>
      </c>
      <c r="BY302" s="419"/>
      <c r="BZ302" s="423">
        <f>IFERROR(IF(LEFT($A302,3)="Lcp",SUMIFS('BASE-LCP'!$K:$K,'BASE-LCP'!$A:$A,Capex!$A308,'BASE-LCP'!$B:$B,"março")/1000,IF(LEFT($A302,3)="icp",SUMIFS('BASE-ICP'!$K:$K,'BASE-ICP'!$A:$A,Capex!$A308,'BASE-ICP'!$B:$B,"março")/1000,"")),"")</f>
        <v>0</v>
      </c>
      <c r="CA302" s="427">
        <v>0</v>
      </c>
      <c r="CB302" s="372">
        <v>0</v>
      </c>
      <c r="CC302" s="422"/>
      <c r="CD302" s="423">
        <f>IFERROR(IF(LEFT($A302,3)="Lcp",SUMIFS('BASE-LCP'!$K:$K,'BASE-LCP'!$A:$A,Capex!$A308,'BASE-LCP'!$B:$B,"abril")/1000,IF(LEFT($A302,3)="icp",SUMIFS('BASE-ICP'!$K:$K,'BASE-ICP'!$A:$A,Capex!$A308,'BASE-ICP'!$B:$B,"abril")/1000,"")),"")</f>
        <v>0</v>
      </c>
      <c r="CE302" s="427">
        <v>0</v>
      </c>
      <c r="CF302" s="372">
        <v>0</v>
      </c>
      <c r="CG302" s="419"/>
      <c r="CH302" s="423">
        <v>0</v>
      </c>
      <c r="CI302" s="427">
        <v>0</v>
      </c>
      <c r="CJ302" s="372">
        <v>0</v>
      </c>
      <c r="CK302" s="419"/>
      <c r="CL302" s="423">
        <f>IFERROR(IF(LEFT($A302,3)="Lcp",SUMIFS('BASE-LCP'!$K:$K,'BASE-LCP'!$A:$A,Capex!$A308,'BASE-LCP'!$B:$B,"junho")/1000,IF(LEFT($A302,3)="icp",SUMIFS('BASE-ICP'!$K:$K,'BASE-ICP'!$A:$A,Capex!$A308,'BASE-ICP'!$B:$B,"junho")/1000,"")),"")</f>
        <v>0</v>
      </c>
      <c r="CM302" s="427">
        <v>0</v>
      </c>
      <c r="CN302" s="372"/>
      <c r="CO302" s="419"/>
      <c r="CP302" s="423">
        <f>IFERROR(IF(LEFT($A302,3)="Lcp",SUMIFS('BASE-LCP'!$K:$K,'BASE-LCP'!$A:$A,Capex!$A308,'BASE-LCP'!$B:$B,"julho")/1000,IF(LEFT($A302,3)="icp",SUMIFS('BASE-ICP'!$K:$K,'BASE-ICP'!$A:$A,Capex!$A308,'BASE-ICP'!$B:$B,"julho")/1000,"")),"")</f>
        <v>0</v>
      </c>
      <c r="CQ302" s="427">
        <v>0</v>
      </c>
      <c r="CR302" s="372"/>
      <c r="CS302" s="419"/>
      <c r="CT302" s="423">
        <f>IFERROR(IF(LEFT($A302,3)="Lcp",SUMIFS('BASE-LCP'!$K:$K,'BASE-LCP'!$A:$A,Capex!$A308,'BASE-LCP'!$B:$B,"agosto")/1000,IF(LEFT($A302,3)="icp",SUMIFS('BASE-ICP'!$K:$K,'BASE-ICP'!$A:$A,Capex!$A308,'BASE-ICP'!$B:$B,"agosto")/1000,"")),"")</f>
        <v>0</v>
      </c>
      <c r="CU302" s="427">
        <v>0</v>
      </c>
      <c r="CV302" s="372"/>
      <c r="CW302" s="419"/>
      <c r="CX302" s="423">
        <f>IFERROR(IF(LEFT($A302,3)="Lcp",SUMIFS('BASE-LCP'!$K:$K,'BASE-LCP'!$A:$A,Capex!$A308,'BASE-LCP'!$B:$B,"setembro")/1000,IF(LEFT($A302,3)="icp",SUMIFS('BASE-ICP'!$K:$K,'BASE-ICP'!$A:$A,Capex!$A308,'BASE-ICP'!$B:$B,"setembro")/1000,"")),"")</f>
        <v>0</v>
      </c>
      <c r="CY302" s="427">
        <v>0</v>
      </c>
      <c r="CZ302" s="372"/>
      <c r="DA302" s="419"/>
      <c r="DB302" s="423">
        <f>IFERROR(IF(LEFT($A302,3)="Lcp",SUMIFS('BASE-LCP'!$K:$K,'BASE-LCP'!$A:$A,Capex!$A308,'BASE-LCP'!$B:$B,"outubro")/1000,IF(LEFT($A302,3)="icp",SUMIFS('BASE-ICP'!$K:$K,'BASE-ICP'!$A:$A,Capex!$A308,'BASE-ICP'!$B:$B,"outubro")/1000,"")),"")</f>
        <v>0</v>
      </c>
      <c r="DC302" s="427">
        <v>0</v>
      </c>
      <c r="DD302" s="372"/>
      <c r="DE302" s="419"/>
      <c r="DF302" s="423">
        <f>IFERROR(IF(LEFT($A302,3)="Lcp",SUMIFS('BASE-LCP'!$K:$K,'BASE-LCP'!$A:$A,Capex!$A308,'BASE-LCP'!$B:$B,"novembro")/1000,IF(LEFT($A302,3)="icp",SUMIFS('BASE-ICP'!$K:$K,'BASE-ICP'!$A:$A,Capex!$A308,'BASE-ICP'!$B:$B,"novembro")/1000,"")),"")</f>
        <v>0</v>
      </c>
      <c r="DG302" s="427">
        <v>0</v>
      </c>
      <c r="DH302" s="372"/>
      <c r="DI302" s="419"/>
      <c r="DJ302" s="423">
        <f>IFERROR(IF(LEFT($A302,3)="Lcp",SUMIFS('BASE-LCP'!$K:$K,'BASE-LCP'!$A:$A,Capex!$A308,'BASE-LCP'!$B:$B,"dezembro")/1000,IF(LEFT($A302,3)="icp",SUMIFS('BASE-ICP'!$K:$K,'BASE-ICP'!$A:$A,Capex!$A308,'BASE-ICP'!$B:$B,"dezembro")/1000,"")),"")</f>
        <v>0</v>
      </c>
      <c r="DK302" s="427">
        <v>0</v>
      </c>
      <c r="DL302" s="452">
        <f t="shared" si="154"/>
        <v>370</v>
      </c>
      <c r="DM302" s="374"/>
      <c r="DN302" s="374">
        <v>370</v>
      </c>
      <c r="DO302" s="374"/>
      <c r="DP302" s="374"/>
      <c r="DQ302" s="374"/>
      <c r="DR302" s="374"/>
      <c r="DS302" s="374"/>
      <c r="DT302" s="374"/>
      <c r="DU302" s="374"/>
      <c r="DV302" s="374"/>
      <c r="DW302" s="374"/>
      <c r="DX302" s="374"/>
      <c r="DY302" s="450"/>
      <c r="DZ302" s="374">
        <f t="shared" si="155"/>
        <v>370</v>
      </c>
      <c r="EA302" s="216">
        <f t="shared" si="156"/>
        <v>0</v>
      </c>
      <c r="EB302" s="320">
        <f t="shared" si="157"/>
        <v>0</v>
      </c>
      <c r="EC302" s="241">
        <f t="shared" si="158"/>
        <v>0</v>
      </c>
      <c r="ED302" s="241">
        <f t="shared" si="159"/>
        <v>0</v>
      </c>
      <c r="EE302" s="241">
        <f t="shared" si="160"/>
        <v>0</v>
      </c>
      <c r="EF302" s="241">
        <f t="shared" si="161"/>
        <v>0</v>
      </c>
      <c r="EG302" s="346">
        <f t="shared" si="162"/>
        <v>0</v>
      </c>
      <c r="EH302" s="445">
        <f t="shared" si="163"/>
        <v>0</v>
      </c>
      <c r="EI302" s="447">
        <f t="shared" si="164"/>
        <v>0</v>
      </c>
      <c r="EJ302" s="364">
        <f t="shared" si="165"/>
        <v>0</v>
      </c>
      <c r="EK302" s="365">
        <f t="shared" si="166"/>
        <v>0</v>
      </c>
      <c r="EL302" s="529">
        <f t="shared" si="167"/>
        <v>0</v>
      </c>
      <c r="EM302" s="530">
        <v>0</v>
      </c>
      <c r="EN302" s="530">
        <v>0</v>
      </c>
      <c r="EO302" s="530">
        <v>0</v>
      </c>
      <c r="EP302" s="530">
        <v>0</v>
      </c>
      <c r="EQ302" s="530">
        <v>0</v>
      </c>
      <c r="ER302" s="530">
        <v>0</v>
      </c>
      <c r="ES302" s="530">
        <v>0</v>
      </c>
      <c r="ET302" s="530">
        <v>0</v>
      </c>
      <c r="EU302" s="530">
        <v>0</v>
      </c>
      <c r="EV302" s="530">
        <v>0</v>
      </c>
      <c r="EW302" s="530">
        <v>0</v>
      </c>
      <c r="EX302" s="530">
        <v>0</v>
      </c>
      <c r="EY302" s="530">
        <f t="shared" si="168"/>
        <v>0</v>
      </c>
      <c r="EZ302" s="530">
        <f t="shared" si="169"/>
        <v>0</v>
      </c>
      <c r="FA302" s="530">
        <f t="shared" si="170"/>
        <v>0</v>
      </c>
      <c r="FB302" s="530">
        <f t="shared" si="171"/>
        <v>0</v>
      </c>
      <c r="FC302" s="384">
        <f>IFERROR(VLOOKUP(Capex!A308,BASE_558!D:R,8,FALSE)/1000,"")</f>
        <v>84</v>
      </c>
      <c r="FD302" s="328">
        <f>IFERROR(VLOOKUP(Capex!A308,BASE_558!D:R,9,)/1000,"")</f>
        <v>65.899760000000001</v>
      </c>
      <c r="FE302" s="328">
        <f>IFERROR(IF(LEFT(A302,3)="LCP",(VLOOKUP(Capex!A308,BASE_558!D:R,10,)/1000),SUMIFS('BASE ICP_PO_SC'!F:F,'BASE ICP_PO_SC'!A:A,Capex!A308,'BASE ICP_PO_SC'!E:E,"&lt;&gt;")/1000),"")</f>
        <v>0</v>
      </c>
      <c r="FF302" s="328">
        <f>IFERROR(IF(LEFT(A302,3)="LCP",(VLOOKUP(Capex!A308,BASE_558!D:R,11,)/1000),SUMIFS('BASE ICP_PO_SC'!F:F,'BASE ICP_PO_SC'!A:A,Capex!A308,'BASE ICP_PO_SC'!E:E,"")/1000),"")</f>
        <v>0</v>
      </c>
      <c r="FG302" s="328">
        <f>IFERROR(VLOOKUP(A302,BASE_558!D:R,13,FALSE)/1000,"")</f>
        <v>0</v>
      </c>
      <c r="FH302" s="328">
        <f>IFERROR(VLOOKUP(A302,BASE_558!D:R,15,FALSE)/1000,"")</f>
        <v>435.767</v>
      </c>
      <c r="FI302" s="547">
        <f t="shared" si="172"/>
        <v>0</v>
      </c>
      <c r="FJ302" s="547">
        <f t="shared" si="173"/>
        <v>0</v>
      </c>
      <c r="FK302" s="540">
        <f t="shared" si="174"/>
        <v>0</v>
      </c>
    </row>
    <row r="303" spans="1:167" s="23" customFormat="1" ht="24" customHeight="1">
      <c r="A303" s="84" t="s">
        <v>2344</v>
      </c>
      <c r="B303" s="404"/>
      <c r="C303" s="404">
        <v>60740</v>
      </c>
      <c r="D303" s="338" t="s">
        <v>2655</v>
      </c>
      <c r="E303" s="378">
        <v>6813814</v>
      </c>
      <c r="F303" s="310" t="s">
        <v>609</v>
      </c>
      <c r="G303" s="310" t="s">
        <v>9</v>
      </c>
      <c r="H303" s="338" t="s">
        <v>6</v>
      </c>
      <c r="I303" s="356"/>
      <c r="J303" s="356">
        <v>2023</v>
      </c>
      <c r="K303" s="352">
        <v>44991</v>
      </c>
      <c r="L303" s="317"/>
      <c r="M303" s="409" t="s">
        <v>6</v>
      </c>
      <c r="N303" s="317">
        <f t="shared" si="177"/>
        <v>45903</v>
      </c>
      <c r="O303" s="317">
        <f t="shared" si="178"/>
        <v>46268</v>
      </c>
      <c r="P303" s="418" t="str">
        <f t="shared" si="182"/>
        <v>NÃO</v>
      </c>
      <c r="Q303" s="418" t="str">
        <f t="shared" si="182"/>
        <v>NÃO</v>
      </c>
      <c r="R303" s="418" t="str">
        <f t="shared" si="182"/>
        <v>NÃO</v>
      </c>
      <c r="S303" s="418" t="str">
        <f t="shared" si="182"/>
        <v>NÃO</v>
      </c>
      <c r="T303" s="418" t="str">
        <f t="shared" si="182"/>
        <v>NÃO</v>
      </c>
      <c r="U303" s="418" t="str">
        <f t="shared" si="182"/>
        <v>NÃO</v>
      </c>
      <c r="V303" s="418" t="str">
        <f t="shared" si="182"/>
        <v>NÃO</v>
      </c>
      <c r="W303" s="418" t="str">
        <f t="shared" si="182"/>
        <v>NÃO</v>
      </c>
      <c r="X303" s="551" t="str">
        <f t="shared" si="182"/>
        <v>SIM</v>
      </c>
      <c r="Y303" s="418" t="str">
        <f t="shared" si="182"/>
        <v>SIM</v>
      </c>
      <c r="Z303" s="418" t="str">
        <f t="shared" si="182"/>
        <v>SIM</v>
      </c>
      <c r="AA303" s="567" t="str">
        <f t="shared" si="182"/>
        <v>SIM</v>
      </c>
      <c r="AB303" s="350"/>
      <c r="AC303" s="309" t="s">
        <v>3932</v>
      </c>
      <c r="AD303" s="311" t="s">
        <v>5</v>
      </c>
      <c r="AE303" s="361" t="s">
        <v>951</v>
      </c>
      <c r="AF303" s="310" t="s">
        <v>6985</v>
      </c>
      <c r="AG303" s="310" t="s">
        <v>2186</v>
      </c>
      <c r="AH303" s="310" t="s">
        <v>6761</v>
      </c>
      <c r="AI303" s="381" t="s">
        <v>2255</v>
      </c>
      <c r="AJ303" s="6" t="s">
        <v>6786</v>
      </c>
      <c r="AK303" s="6" t="str">
        <f t="shared" si="152"/>
        <v>IGUAL</v>
      </c>
      <c r="AL303" s="151" t="str">
        <f>IFERROR(IF(LEFT(A303,3)="LCP",VLOOKUP(A303,STATUS_SAP_LCP!B:C,2,FALSE),VLOOKUP(A303,STATUS_SAP_ICP!B:C,2,FALSE)),"NO BUDGET")</f>
        <v>REL  BUDG AUC  AVAC  //  APPR BREL INPL</v>
      </c>
      <c r="AM303" s="6" t="str">
        <f t="shared" si="151"/>
        <v xml:space="preserve">REL </v>
      </c>
      <c r="AN303" s="414" t="s">
        <v>17713</v>
      </c>
      <c r="AO303" s="414"/>
      <c r="AP303" s="499" t="s">
        <v>5299</v>
      </c>
      <c r="AQ303" s="465">
        <v>45838</v>
      </c>
      <c r="AR303" s="460"/>
      <c r="AS303" s="57"/>
      <c r="AT303" s="185"/>
      <c r="AU303" s="318"/>
      <c r="AV303" s="223"/>
      <c r="AW303" s="318">
        <v>909.01672999999994</v>
      </c>
      <c r="AX303" s="223">
        <v>142.89744999999999</v>
      </c>
      <c r="AY303" s="318">
        <f t="shared" si="179"/>
        <v>25.887439999999998</v>
      </c>
      <c r="AZ303" s="223"/>
      <c r="BA303" s="318"/>
      <c r="BB303" s="519">
        <f t="shared" si="180"/>
        <v>18</v>
      </c>
      <c r="BC303" s="518">
        <v>0</v>
      </c>
      <c r="BD303" s="518">
        <v>0</v>
      </c>
      <c r="BE303" s="518">
        <v>9</v>
      </c>
      <c r="BF303" s="518">
        <v>9</v>
      </c>
      <c r="BG303" s="518">
        <v>0</v>
      </c>
      <c r="BH303" s="518">
        <v>0</v>
      </c>
      <c r="BI303" s="518">
        <v>0</v>
      </c>
      <c r="BJ303" s="518">
        <v>0</v>
      </c>
      <c r="BK303" s="518">
        <v>0</v>
      </c>
      <c r="BL303" s="518">
        <v>0</v>
      </c>
      <c r="BM303" s="518">
        <v>0</v>
      </c>
      <c r="BN303" s="518">
        <v>0</v>
      </c>
      <c r="BO303" s="367">
        <f t="shared" si="153"/>
        <v>25.887439999999998</v>
      </c>
      <c r="BP303" s="421">
        <v>0</v>
      </c>
      <c r="BQ303" s="422"/>
      <c r="BR303" s="423">
        <f>IFERROR(IF(LEFT($A303,3)="Lcp",SUMIFS('BASE-LCP'!$K:$K,'BASE-LCP'!$A:$A,Capex!$A309,'BASE-LCP'!$B:$B,"janeiro")/1000,IF(LEFT($A303,3)="icp",SUMIFS('BASE-ICP'!$K:$K,'BASE-ICP'!$A:$A,Capex!$A309,'BASE-ICP'!$B:$B,"janeiro")/1000,"")),"")</f>
        <v>0</v>
      </c>
      <c r="BS303" s="427">
        <v>0</v>
      </c>
      <c r="BT303" s="372">
        <v>6</v>
      </c>
      <c r="BU303" s="422">
        <v>4.6574399999999994</v>
      </c>
      <c r="BV303" s="423">
        <f>IFERROR(IF(LEFT($A303,3)="Lcp",SUMIFS('BASE-LCP'!$K:$K,'BASE-LCP'!$A:$A,Capex!$A309,'BASE-LCP'!$B:$B,"fevereiro")/1000,IF(LEFT($A303,3)="icp",SUMIFS('BASE-ICP'!$K:$K,'BASE-ICP'!$A:$A,Capex!$A309,'BASE-ICP'!$B:$B,"fevereiro")/1000,"")),"")</f>
        <v>0</v>
      </c>
      <c r="BW303" s="427">
        <v>4.6574399999999994</v>
      </c>
      <c r="BX303" s="372">
        <v>0</v>
      </c>
      <c r="BY303" s="419"/>
      <c r="BZ303" s="423">
        <f>IFERROR(IF(LEFT($A303,3)="Lcp",SUMIFS('BASE-LCP'!$K:$K,'BASE-LCP'!$A:$A,Capex!$A309,'BASE-LCP'!$B:$B,"março")/1000,IF(LEFT($A303,3)="icp",SUMIFS('BASE-ICP'!$K:$K,'BASE-ICP'!$A:$A,Capex!$A309,'BASE-ICP'!$B:$B,"março")/1000,"")),"")</f>
        <v>0.93802000000000008</v>
      </c>
      <c r="CA303" s="427">
        <v>0</v>
      </c>
      <c r="CB303" s="372">
        <v>0</v>
      </c>
      <c r="CC303" s="422"/>
      <c r="CD303" s="423">
        <f>IFERROR(IF(LEFT($A303,3)="Lcp",SUMIFS('BASE-LCP'!$K:$K,'BASE-LCP'!$A:$A,Capex!$A309,'BASE-LCP'!$B:$B,"abril")/1000,IF(LEFT($A303,3)="icp",SUMIFS('BASE-ICP'!$K:$K,'BASE-ICP'!$A:$A,Capex!$A309,'BASE-ICP'!$B:$B,"abril")/1000,"")),"")</f>
        <v>0</v>
      </c>
      <c r="CE303" s="427">
        <v>0</v>
      </c>
      <c r="CF303" s="372">
        <v>0</v>
      </c>
      <c r="CG303" s="419"/>
      <c r="CH303" s="423">
        <v>0</v>
      </c>
      <c r="CI303" s="427">
        <v>0</v>
      </c>
      <c r="CJ303" s="372">
        <v>0</v>
      </c>
      <c r="CK303" s="419"/>
      <c r="CL303" s="423">
        <f>IFERROR(IF(LEFT($A303,3)="Lcp",SUMIFS('BASE-LCP'!$K:$K,'BASE-LCP'!$A:$A,Capex!$A309,'BASE-LCP'!$B:$B,"junho")/1000,IF(LEFT($A303,3)="icp",SUMIFS('BASE-ICP'!$K:$K,'BASE-ICP'!$A:$A,Capex!$A309,'BASE-ICP'!$B:$B,"junho")/1000,"")),"")</f>
        <v>0</v>
      </c>
      <c r="CM303" s="427">
        <v>0</v>
      </c>
      <c r="CN303" s="372"/>
      <c r="CO303" s="419"/>
      <c r="CP303" s="423">
        <f>IFERROR(IF(LEFT($A303,3)="Lcp",SUMIFS('BASE-LCP'!$K:$K,'BASE-LCP'!$A:$A,Capex!$A309,'BASE-LCP'!$B:$B,"julho")/1000,IF(LEFT($A303,3)="icp",SUMIFS('BASE-ICP'!$K:$K,'BASE-ICP'!$A:$A,Capex!$A309,'BASE-ICP'!$B:$B,"julho")/1000,"")),"")</f>
        <v>0</v>
      </c>
      <c r="CQ303" s="427">
        <v>13.23</v>
      </c>
      <c r="CR303" s="372"/>
      <c r="CS303" s="419"/>
      <c r="CT303" s="423">
        <f>IFERROR(IF(LEFT($A303,3)="Lcp",SUMIFS('BASE-LCP'!$K:$K,'BASE-LCP'!$A:$A,Capex!$A309,'BASE-LCP'!$B:$B,"agosto")/1000,IF(LEFT($A303,3)="icp",SUMIFS('BASE-ICP'!$K:$K,'BASE-ICP'!$A:$A,Capex!$A309,'BASE-ICP'!$B:$B,"agosto")/1000,"")),"")</f>
        <v>0</v>
      </c>
      <c r="CU303" s="427">
        <v>8</v>
      </c>
      <c r="CV303" s="372"/>
      <c r="CW303" s="419"/>
      <c r="CX303" s="423">
        <f>IFERROR(IF(LEFT($A303,3)="Lcp",SUMIFS('BASE-LCP'!$K:$K,'BASE-LCP'!$A:$A,Capex!$A309,'BASE-LCP'!$B:$B,"setembro")/1000,IF(LEFT($A303,3)="icp",SUMIFS('BASE-ICP'!$K:$K,'BASE-ICP'!$A:$A,Capex!$A309,'BASE-ICP'!$B:$B,"setembro")/1000,"")),"")</f>
        <v>0</v>
      </c>
      <c r="CY303" s="427">
        <v>0</v>
      </c>
      <c r="CZ303" s="372"/>
      <c r="DA303" s="419"/>
      <c r="DB303" s="423">
        <f>IFERROR(IF(LEFT($A303,3)="Lcp",SUMIFS('BASE-LCP'!$K:$K,'BASE-LCP'!$A:$A,Capex!$A309,'BASE-LCP'!$B:$B,"outubro")/1000,IF(LEFT($A303,3)="icp",SUMIFS('BASE-ICP'!$K:$K,'BASE-ICP'!$A:$A,Capex!$A309,'BASE-ICP'!$B:$B,"outubro")/1000,"")),"")</f>
        <v>0</v>
      </c>
      <c r="DC303" s="427">
        <v>0</v>
      </c>
      <c r="DD303" s="372"/>
      <c r="DE303" s="419"/>
      <c r="DF303" s="423">
        <f>IFERROR(IF(LEFT($A303,3)="Lcp",SUMIFS('BASE-LCP'!$K:$K,'BASE-LCP'!$A:$A,Capex!$A309,'BASE-LCP'!$B:$B,"novembro")/1000,IF(LEFT($A303,3)="icp",SUMIFS('BASE-ICP'!$K:$K,'BASE-ICP'!$A:$A,Capex!$A309,'BASE-ICP'!$B:$B,"novembro")/1000,"")),"")</f>
        <v>0</v>
      </c>
      <c r="DG303" s="427">
        <v>0</v>
      </c>
      <c r="DH303" s="372"/>
      <c r="DI303" s="419"/>
      <c r="DJ303" s="423">
        <f>IFERROR(IF(LEFT($A303,3)="Lcp",SUMIFS('BASE-LCP'!$K:$K,'BASE-LCP'!$A:$A,Capex!$A309,'BASE-LCP'!$B:$B,"dezembro")/1000,IF(LEFT($A303,3)="icp",SUMIFS('BASE-ICP'!$K:$K,'BASE-ICP'!$A:$A,Capex!$A309,'BASE-ICP'!$B:$B,"dezembro")/1000,"")),"")</f>
        <v>0</v>
      </c>
      <c r="DK303" s="427">
        <v>0</v>
      </c>
      <c r="DL303" s="452">
        <f t="shared" si="154"/>
        <v>0</v>
      </c>
      <c r="DM303" s="374"/>
      <c r="DN303" s="374">
        <v>0</v>
      </c>
      <c r="DO303" s="374"/>
      <c r="DP303" s="374"/>
      <c r="DQ303" s="374"/>
      <c r="DR303" s="374"/>
      <c r="DS303" s="374"/>
      <c r="DT303" s="374"/>
      <c r="DU303" s="374"/>
      <c r="DV303" s="374"/>
      <c r="DW303" s="374"/>
      <c r="DX303" s="374"/>
      <c r="DY303" s="450"/>
      <c r="DZ303" s="374">
        <f t="shared" si="155"/>
        <v>0</v>
      </c>
      <c r="EA303" s="216">
        <f t="shared" si="156"/>
        <v>0</v>
      </c>
      <c r="EB303" s="320">
        <f t="shared" si="157"/>
        <v>0</v>
      </c>
      <c r="EC303" s="241">
        <f t="shared" si="158"/>
        <v>4.6574399999999994</v>
      </c>
      <c r="ED303" s="241">
        <f t="shared" si="159"/>
        <v>0</v>
      </c>
      <c r="EE303" s="241">
        <f t="shared" si="160"/>
        <v>21.23</v>
      </c>
      <c r="EF303" s="241">
        <f t="shared" si="161"/>
        <v>0</v>
      </c>
      <c r="EG303" s="346">
        <f t="shared" si="162"/>
        <v>7.887439999999998</v>
      </c>
      <c r="EH303" s="445">
        <f t="shared" si="163"/>
        <v>0</v>
      </c>
      <c r="EI303" s="447">
        <f t="shared" si="164"/>
        <v>0</v>
      </c>
      <c r="EJ303" s="364">
        <f t="shared" si="165"/>
        <v>4.6574399999999994</v>
      </c>
      <c r="EK303" s="365">
        <f t="shared" si="166"/>
        <v>21.229999999999997</v>
      </c>
      <c r="EL303" s="529">
        <f t="shared" si="167"/>
        <v>25.887439999999998</v>
      </c>
      <c r="EM303" s="530">
        <v>0</v>
      </c>
      <c r="EN303" s="530">
        <v>4.6574399999999994</v>
      </c>
      <c r="EO303" s="530">
        <v>0</v>
      </c>
      <c r="EP303" s="530">
        <v>0</v>
      </c>
      <c r="EQ303" s="530">
        <v>0</v>
      </c>
      <c r="ER303" s="530">
        <v>0</v>
      </c>
      <c r="ES303" s="530">
        <v>13.23</v>
      </c>
      <c r="ET303" s="530">
        <v>8</v>
      </c>
      <c r="EU303" s="530">
        <v>0</v>
      </c>
      <c r="EV303" s="530">
        <v>0</v>
      </c>
      <c r="EW303" s="530">
        <v>0</v>
      </c>
      <c r="EX303" s="530">
        <v>0</v>
      </c>
      <c r="EY303" s="530">
        <f t="shared" si="168"/>
        <v>4.6574399999999994</v>
      </c>
      <c r="EZ303" s="530">
        <f t="shared" si="169"/>
        <v>0</v>
      </c>
      <c r="FA303" s="530">
        <f t="shared" si="170"/>
        <v>21.23</v>
      </c>
      <c r="FB303" s="530">
        <f t="shared" si="171"/>
        <v>0</v>
      </c>
      <c r="FC303" s="384">
        <f>IFERROR(VLOOKUP(Capex!A309,BASE_558!D:R,8,FALSE)/1000,"")</f>
        <v>221.7</v>
      </c>
      <c r="FD303" s="328">
        <f>IFERROR(VLOOKUP(Capex!A309,BASE_558!D:R,9,)/1000,"")</f>
        <v>12.07443</v>
      </c>
      <c r="FE303" s="328">
        <f>IFERROR(IF(LEFT(A303,3)="LCP",(VLOOKUP(Capex!A309,BASE_558!D:R,10,)/1000),SUMIFS('BASE ICP_PO_SC'!F:F,'BASE ICP_PO_SC'!A:A,Capex!A309,'BASE ICP_PO_SC'!E:E,"&lt;&gt;")/1000),"")</f>
        <v>132.08678</v>
      </c>
      <c r="FF303" s="328">
        <f>IFERROR(IF(LEFT(A303,3)="LCP",(VLOOKUP(Capex!A309,BASE_558!D:R,11,)/1000),SUMIFS('BASE ICP_PO_SC'!F:F,'BASE ICP_PO_SC'!A:A,Capex!A309,'BASE ICP_PO_SC'!E:E,"")/1000),"")</f>
        <v>0</v>
      </c>
      <c r="FG303" s="328">
        <f>IFERROR(VLOOKUP(A303,BASE_558!D:R,13,FALSE)/1000,"")</f>
        <v>1078.7216000000001</v>
      </c>
      <c r="FH303" s="328">
        <f>IFERROR(VLOOKUP(A303,BASE_558!D:R,15,FALSE)/1000,"")</f>
        <v>86.078399999999988</v>
      </c>
      <c r="FI303" s="547">
        <f t="shared" si="172"/>
        <v>0</v>
      </c>
      <c r="FJ303" s="547">
        <f t="shared" si="173"/>
        <v>0</v>
      </c>
      <c r="FK303" s="540">
        <f t="shared" si="174"/>
        <v>0</v>
      </c>
    </row>
    <row r="304" spans="1:167" s="23" customFormat="1" ht="24" customHeight="1">
      <c r="A304" s="84" t="s">
        <v>2345</v>
      </c>
      <c r="B304" s="404"/>
      <c r="C304" s="404">
        <v>111733</v>
      </c>
      <c r="D304" s="338" t="s">
        <v>3338</v>
      </c>
      <c r="E304" s="309">
        <v>6968794</v>
      </c>
      <c r="F304" s="5"/>
      <c r="G304" s="310" t="s">
        <v>9</v>
      </c>
      <c r="H304" s="338" t="s">
        <v>6</v>
      </c>
      <c r="I304" s="356"/>
      <c r="J304" s="356">
        <v>2023</v>
      </c>
      <c r="K304" s="352">
        <v>45071</v>
      </c>
      <c r="L304" s="317"/>
      <c r="M304" s="409"/>
      <c r="N304" s="317">
        <f t="shared" si="177"/>
        <v>45983</v>
      </c>
      <c r="O304" s="317">
        <f t="shared" si="178"/>
        <v>46348</v>
      </c>
      <c r="P304" s="418" t="str">
        <f t="shared" si="182"/>
        <v>NÃO</v>
      </c>
      <c r="Q304" s="418" t="str">
        <f t="shared" si="182"/>
        <v>NÃO</v>
      </c>
      <c r="R304" s="418" t="str">
        <f t="shared" si="182"/>
        <v>NÃO</v>
      </c>
      <c r="S304" s="418" t="str">
        <f t="shared" si="182"/>
        <v>NÃO</v>
      </c>
      <c r="T304" s="418" t="str">
        <f t="shared" si="182"/>
        <v>NÃO</v>
      </c>
      <c r="U304" s="418" t="str">
        <f t="shared" si="182"/>
        <v>NÃO</v>
      </c>
      <c r="V304" s="418" t="str">
        <f t="shared" si="182"/>
        <v>NÃO</v>
      </c>
      <c r="W304" s="418" t="str">
        <f t="shared" si="182"/>
        <v>NÃO</v>
      </c>
      <c r="X304" s="418" t="str">
        <f t="shared" si="182"/>
        <v>NÃO</v>
      </c>
      <c r="Y304" s="418" t="str">
        <f t="shared" si="182"/>
        <v>NÃO</v>
      </c>
      <c r="Z304" s="418" t="str">
        <f t="shared" si="182"/>
        <v>SIM</v>
      </c>
      <c r="AA304" s="418" t="str">
        <f t="shared" si="182"/>
        <v>SIM</v>
      </c>
      <c r="AB304" s="350"/>
      <c r="AC304" s="309" t="s">
        <v>3932</v>
      </c>
      <c r="AD304" s="311" t="s">
        <v>5</v>
      </c>
      <c r="AE304" s="381" t="s">
        <v>952</v>
      </c>
      <c r="AF304" s="310" t="s">
        <v>6985</v>
      </c>
      <c r="AG304" s="310" t="s">
        <v>17007</v>
      </c>
      <c r="AH304" s="309" t="s">
        <v>2484</v>
      </c>
      <c r="AI304" s="381" t="s">
        <v>316</v>
      </c>
      <c r="AJ304" s="6" t="s">
        <v>6786</v>
      </c>
      <c r="AK304" s="6" t="str">
        <f t="shared" si="152"/>
        <v>IGUAL</v>
      </c>
      <c r="AL304" s="151" t="str">
        <f>IFERROR(IF(LEFT(A304,3)="LCP",VLOOKUP(A304,STATUS_SAP_LCP!B:C,2,FALSE),VLOOKUP(A304,STATUS_SAP_ICP!B:C,2,FALSE)),"NO BUDGET")</f>
        <v>REL  BUDG AUC  AVAC  //  APPR BREL EXPL</v>
      </c>
      <c r="AM304" s="6" t="str">
        <f t="shared" si="151"/>
        <v xml:space="preserve">REL </v>
      </c>
      <c r="AN304" s="414" t="s">
        <v>18966</v>
      </c>
      <c r="AO304" s="414"/>
      <c r="AP304" s="499" t="s">
        <v>9616</v>
      </c>
      <c r="AQ304" s="465">
        <v>46174</v>
      </c>
      <c r="AR304" s="460"/>
      <c r="AS304" s="57"/>
      <c r="AT304" s="185"/>
      <c r="AU304" s="318"/>
      <c r="AV304" s="223">
        <v>0</v>
      </c>
      <c r="AW304" s="318">
        <v>119.00271000000001</v>
      </c>
      <c r="AX304" s="223">
        <v>0.33588999999999997</v>
      </c>
      <c r="AY304" s="318">
        <f t="shared" si="179"/>
        <v>356</v>
      </c>
      <c r="AZ304" s="223"/>
      <c r="BA304" s="318"/>
      <c r="BB304" s="519">
        <f t="shared" si="180"/>
        <v>356</v>
      </c>
      <c r="BC304" s="518">
        <v>0</v>
      </c>
      <c r="BD304" s="518">
        <v>0</v>
      </c>
      <c r="BE304" s="518">
        <v>0</v>
      </c>
      <c r="BF304" s="518">
        <v>0</v>
      </c>
      <c r="BG304" s="518">
        <v>0</v>
      </c>
      <c r="BH304" s="518">
        <v>0</v>
      </c>
      <c r="BI304" s="518">
        <v>356</v>
      </c>
      <c r="BJ304" s="518">
        <v>0</v>
      </c>
      <c r="BK304" s="518">
        <v>0</v>
      </c>
      <c r="BL304" s="518">
        <v>0</v>
      </c>
      <c r="BM304" s="518">
        <v>0</v>
      </c>
      <c r="BN304" s="518">
        <v>0</v>
      </c>
      <c r="BO304" s="367">
        <f t="shared" si="153"/>
        <v>356</v>
      </c>
      <c r="BP304" s="421">
        <v>0</v>
      </c>
      <c r="BQ304" s="422"/>
      <c r="BR304" s="423">
        <f>IFERROR(IF(LEFT($A304,3)="Lcp",SUMIFS('BASE-LCP'!$K:$K,'BASE-LCP'!$A:$A,Capex!$A310,'BASE-LCP'!$B:$B,"janeiro")/1000,IF(LEFT($A304,3)="icp",SUMIFS('BASE-ICP'!$K:$K,'BASE-ICP'!$A:$A,Capex!$A310,'BASE-ICP'!$B:$B,"janeiro")/1000,"")),"")</f>
        <v>0</v>
      </c>
      <c r="BS304" s="427">
        <v>0</v>
      </c>
      <c r="BT304" s="372">
        <v>0</v>
      </c>
      <c r="BU304" s="422"/>
      <c r="BV304" s="423">
        <f>IFERROR(IF(LEFT($A304,3)="Lcp",SUMIFS('BASE-LCP'!$K:$K,'BASE-LCP'!$A:$A,Capex!$A310,'BASE-LCP'!$B:$B,"fevereiro")/1000,IF(LEFT($A304,3)="icp",SUMIFS('BASE-ICP'!$K:$K,'BASE-ICP'!$A:$A,Capex!$A310,'BASE-ICP'!$B:$B,"fevereiro")/1000,"")),"")</f>
        <v>0</v>
      </c>
      <c r="BW304" s="427">
        <v>0</v>
      </c>
      <c r="BX304" s="372">
        <v>0</v>
      </c>
      <c r="BY304" s="419"/>
      <c r="BZ304" s="423">
        <f>IFERROR(IF(LEFT($A304,3)="Lcp",SUMIFS('BASE-LCP'!$K:$K,'BASE-LCP'!$A:$A,Capex!$A310,'BASE-LCP'!$B:$B,"março")/1000,IF(LEFT($A304,3)="icp",SUMIFS('BASE-ICP'!$K:$K,'BASE-ICP'!$A:$A,Capex!$A310,'BASE-ICP'!$B:$B,"março")/1000,"")),"")</f>
        <v>0</v>
      </c>
      <c r="CA304" s="427">
        <v>0</v>
      </c>
      <c r="CB304" s="372">
        <v>0</v>
      </c>
      <c r="CC304" s="422"/>
      <c r="CD304" s="423">
        <f>IFERROR(IF(LEFT($A304,3)="Lcp",SUMIFS('BASE-LCP'!$K:$K,'BASE-LCP'!$A:$A,Capex!$A310,'BASE-LCP'!$B:$B,"abril")/1000,IF(LEFT($A304,3)="icp",SUMIFS('BASE-ICP'!$K:$K,'BASE-ICP'!$A:$A,Capex!$A310,'BASE-ICP'!$B:$B,"abril")/1000,"")),"")</f>
        <v>0</v>
      </c>
      <c r="CE304" s="427">
        <v>0</v>
      </c>
      <c r="CF304" s="372">
        <v>0</v>
      </c>
      <c r="CG304" s="419"/>
      <c r="CH304" s="423">
        <v>0</v>
      </c>
      <c r="CI304" s="427">
        <v>0</v>
      </c>
      <c r="CJ304" s="372">
        <v>0</v>
      </c>
      <c r="CK304" s="419"/>
      <c r="CL304" s="423">
        <f>IFERROR(IF(LEFT($A304,3)="Lcp",SUMIFS('BASE-LCP'!$K:$K,'BASE-LCP'!$A:$A,Capex!$A310,'BASE-LCP'!$B:$B,"junho")/1000,IF(LEFT($A304,3)="icp",SUMIFS('BASE-ICP'!$K:$K,'BASE-ICP'!$A:$A,Capex!$A310,'BASE-ICP'!$B:$B,"junho")/1000,"")),"")</f>
        <v>0</v>
      </c>
      <c r="CM304" s="427">
        <v>0</v>
      </c>
      <c r="CN304" s="372"/>
      <c r="CO304" s="419"/>
      <c r="CP304" s="423">
        <f>IFERROR(IF(LEFT($A304,3)="Lcp",SUMIFS('BASE-LCP'!$K:$K,'BASE-LCP'!$A:$A,Capex!$A310,'BASE-LCP'!$B:$B,"julho")/1000,IF(LEFT($A304,3)="icp",SUMIFS('BASE-ICP'!$K:$K,'BASE-ICP'!$A:$A,Capex!$A310,'BASE-ICP'!$B:$B,"julho")/1000,"")),"")</f>
        <v>0</v>
      </c>
      <c r="CQ304" s="427">
        <v>0</v>
      </c>
      <c r="CR304" s="372"/>
      <c r="CS304" s="419"/>
      <c r="CT304" s="423">
        <f>IFERROR(IF(LEFT($A304,3)="Lcp",SUMIFS('BASE-LCP'!$K:$K,'BASE-LCP'!$A:$A,Capex!$A310,'BASE-LCP'!$B:$B,"agosto")/1000,IF(LEFT($A304,3)="icp",SUMIFS('BASE-ICP'!$K:$K,'BASE-ICP'!$A:$A,Capex!$A310,'BASE-ICP'!$B:$B,"agosto")/1000,"")),"")</f>
        <v>0</v>
      </c>
      <c r="CU304" s="427">
        <v>0</v>
      </c>
      <c r="CV304" s="372"/>
      <c r="CW304" s="419"/>
      <c r="CX304" s="423">
        <f>IFERROR(IF(LEFT($A304,3)="Lcp",SUMIFS('BASE-LCP'!$K:$K,'BASE-LCP'!$A:$A,Capex!$A310,'BASE-LCP'!$B:$B,"setembro")/1000,IF(LEFT($A304,3)="icp",SUMIFS('BASE-ICP'!$K:$K,'BASE-ICP'!$A:$A,Capex!$A310,'BASE-ICP'!$B:$B,"setembro")/1000,"")),"")</f>
        <v>0</v>
      </c>
      <c r="CY304" s="427">
        <v>0</v>
      </c>
      <c r="CZ304" s="372"/>
      <c r="DA304" s="419"/>
      <c r="DB304" s="423">
        <f>IFERROR(IF(LEFT($A304,3)="Lcp",SUMIFS('BASE-LCP'!$K:$K,'BASE-LCP'!$A:$A,Capex!$A310,'BASE-LCP'!$B:$B,"outubro")/1000,IF(LEFT($A304,3)="icp",SUMIFS('BASE-ICP'!$K:$K,'BASE-ICP'!$A:$A,Capex!$A310,'BASE-ICP'!$B:$B,"outubro")/1000,"")),"")</f>
        <v>0</v>
      </c>
      <c r="DC304" s="427">
        <v>0</v>
      </c>
      <c r="DD304" s="372"/>
      <c r="DE304" s="419"/>
      <c r="DF304" s="423">
        <f>IFERROR(IF(LEFT($A304,3)="Lcp",SUMIFS('BASE-LCP'!$K:$K,'BASE-LCP'!$A:$A,Capex!$A310,'BASE-LCP'!$B:$B,"novembro")/1000,IF(LEFT($A304,3)="icp",SUMIFS('BASE-ICP'!$K:$K,'BASE-ICP'!$A:$A,Capex!$A310,'BASE-ICP'!$B:$B,"novembro")/1000,"")),"")</f>
        <v>0</v>
      </c>
      <c r="DG304" s="427">
        <v>356</v>
      </c>
      <c r="DH304" s="372"/>
      <c r="DI304" s="419"/>
      <c r="DJ304" s="423">
        <f>IFERROR(IF(LEFT($A304,3)="Lcp",SUMIFS('BASE-LCP'!$K:$K,'BASE-LCP'!$A:$A,Capex!$A310,'BASE-LCP'!$B:$B,"dezembro")/1000,IF(LEFT($A304,3)="icp",SUMIFS('BASE-ICP'!$K:$K,'BASE-ICP'!$A:$A,Capex!$A310,'BASE-ICP'!$B:$B,"dezembro")/1000,"")),"")</f>
        <v>0</v>
      </c>
      <c r="DK304" s="427">
        <v>0</v>
      </c>
      <c r="DL304" s="452">
        <f t="shared" si="154"/>
        <v>385</v>
      </c>
      <c r="DM304" s="374"/>
      <c r="DN304" s="374">
        <v>385</v>
      </c>
      <c r="DO304" s="374"/>
      <c r="DP304" s="374"/>
      <c r="DQ304" s="374"/>
      <c r="DR304" s="374"/>
      <c r="DS304" s="374"/>
      <c r="DT304" s="374"/>
      <c r="DU304" s="374"/>
      <c r="DV304" s="374"/>
      <c r="DW304" s="374"/>
      <c r="DX304" s="374"/>
      <c r="DY304" s="450"/>
      <c r="DZ304" s="374">
        <f t="shared" si="155"/>
        <v>385</v>
      </c>
      <c r="EA304" s="216">
        <f t="shared" si="156"/>
        <v>0</v>
      </c>
      <c r="EB304" s="320">
        <f t="shared" si="157"/>
        <v>0</v>
      </c>
      <c r="EC304" s="241">
        <f t="shared" si="158"/>
        <v>0</v>
      </c>
      <c r="ED304" s="241">
        <f t="shared" si="159"/>
        <v>0</v>
      </c>
      <c r="EE304" s="241">
        <f t="shared" si="160"/>
        <v>0</v>
      </c>
      <c r="EF304" s="241">
        <f t="shared" si="161"/>
        <v>356</v>
      </c>
      <c r="EG304" s="346">
        <f t="shared" si="162"/>
        <v>0</v>
      </c>
      <c r="EH304" s="445">
        <f t="shared" si="163"/>
        <v>0</v>
      </c>
      <c r="EI304" s="447">
        <f t="shared" si="164"/>
        <v>0</v>
      </c>
      <c r="EJ304" s="364">
        <f t="shared" si="165"/>
        <v>0</v>
      </c>
      <c r="EK304" s="365">
        <f t="shared" si="166"/>
        <v>356</v>
      </c>
      <c r="EL304" s="529">
        <f t="shared" si="167"/>
        <v>356</v>
      </c>
      <c r="EM304" s="530">
        <v>0</v>
      </c>
      <c r="EN304" s="530">
        <v>0</v>
      </c>
      <c r="EO304" s="530">
        <v>0</v>
      </c>
      <c r="EP304" s="530">
        <v>0</v>
      </c>
      <c r="EQ304" s="530">
        <v>0</v>
      </c>
      <c r="ER304" s="530">
        <v>0</v>
      </c>
      <c r="ES304" s="530">
        <v>0</v>
      </c>
      <c r="ET304" s="530">
        <v>0</v>
      </c>
      <c r="EU304" s="530">
        <v>0</v>
      </c>
      <c r="EV304" s="530">
        <v>0</v>
      </c>
      <c r="EW304" s="530">
        <v>356</v>
      </c>
      <c r="EX304" s="530">
        <v>0</v>
      </c>
      <c r="EY304" s="530">
        <f t="shared" si="168"/>
        <v>0</v>
      </c>
      <c r="EZ304" s="530">
        <f t="shared" si="169"/>
        <v>0</v>
      </c>
      <c r="FA304" s="530">
        <f t="shared" si="170"/>
        <v>0</v>
      </c>
      <c r="FB304" s="530">
        <f t="shared" si="171"/>
        <v>356</v>
      </c>
      <c r="FC304" s="384">
        <f>IFERROR(VLOOKUP(Capex!A310,BASE_558!D:R,8,FALSE)/1000,"")</f>
        <v>382</v>
      </c>
      <c r="FD304" s="328">
        <f>IFERROR(VLOOKUP(Capex!A310,BASE_558!D:R,9,)/1000,"")</f>
        <v>95.66861999999999</v>
      </c>
      <c r="FE304" s="328">
        <f>IFERROR(IF(LEFT(A304,3)="LCP",(VLOOKUP(Capex!A310,BASE_558!D:R,10,)/1000),SUMIFS('BASE ICP_PO_SC'!F:F,'BASE ICP_PO_SC'!A:A,Capex!A310,'BASE ICP_PO_SC'!E:E,"&lt;&gt;")/1000),"")</f>
        <v>0</v>
      </c>
      <c r="FF304" s="328">
        <f>IFERROR(IF(LEFT(A304,3)="LCP",(VLOOKUP(Capex!A310,BASE_558!D:R,11,)/1000),SUMIFS('BASE ICP_PO_SC'!F:F,'BASE ICP_PO_SC'!A:A,Capex!A310,'BASE ICP_PO_SC'!E:E,"")/1000),"")</f>
        <v>0</v>
      </c>
      <c r="FG304" s="328">
        <f>IFERROR(VLOOKUP(A304,BASE_558!D:R,13,FALSE)/1000,"")</f>
        <v>847.87662999999998</v>
      </c>
      <c r="FH304" s="328">
        <f>IFERROR(VLOOKUP(A304,BASE_558!D:R,15,FALSE)/1000,"")</f>
        <v>13.223370000000001</v>
      </c>
      <c r="FI304" s="547">
        <f t="shared" si="172"/>
        <v>0</v>
      </c>
      <c r="FJ304" s="547">
        <f t="shared" si="173"/>
        <v>0</v>
      </c>
      <c r="FK304" s="540">
        <f t="shared" si="174"/>
        <v>0</v>
      </c>
    </row>
    <row r="305" spans="1:167" s="23" customFormat="1" ht="24" customHeight="1">
      <c r="A305" s="84" t="s">
        <v>2346</v>
      </c>
      <c r="B305" s="404"/>
      <c r="C305" s="404"/>
      <c r="D305" s="338" t="s">
        <v>2347</v>
      </c>
      <c r="E305" s="378">
        <v>6851263</v>
      </c>
      <c r="F305" s="5"/>
      <c r="G305" s="310" t="s">
        <v>9</v>
      </c>
      <c r="H305" s="356"/>
      <c r="I305" s="356" t="s">
        <v>6</v>
      </c>
      <c r="J305" s="356">
        <v>2023</v>
      </c>
      <c r="K305" s="352">
        <v>44995</v>
      </c>
      <c r="L305" s="317">
        <v>45386</v>
      </c>
      <c r="M305" s="409"/>
      <c r="N305" s="317">
        <f t="shared" si="177"/>
        <v>45907</v>
      </c>
      <c r="O305" s="317">
        <f t="shared" si="178"/>
        <v>46272</v>
      </c>
      <c r="P305" s="418" t="str">
        <f t="shared" ref="P305:AA314" si="183">IF($N305="","N/A",IF($O305="","N/A",IF(P$2&lt;=$N305,"NÃO",IF($AJ305="REL ","SIM",IF(P$2&lt;$O305,"NÃO",IF($AJ305&lt;&gt;"CLSD","SIM","CRTD"))))))</f>
        <v>NÃO</v>
      </c>
      <c r="Q305" s="418" t="str">
        <f t="shared" si="183"/>
        <v>NÃO</v>
      </c>
      <c r="R305" s="418" t="str">
        <f t="shared" si="183"/>
        <v>NÃO</v>
      </c>
      <c r="S305" s="418" t="str">
        <f t="shared" si="183"/>
        <v>NÃO</v>
      </c>
      <c r="T305" s="418" t="str">
        <f t="shared" si="183"/>
        <v>NÃO</v>
      </c>
      <c r="U305" s="418" t="str">
        <f t="shared" si="183"/>
        <v>NÃO</v>
      </c>
      <c r="V305" s="418" t="str">
        <f t="shared" si="183"/>
        <v>NÃO</v>
      </c>
      <c r="W305" s="418" t="str">
        <f t="shared" si="183"/>
        <v>NÃO</v>
      </c>
      <c r="X305" s="418" t="str">
        <f t="shared" si="183"/>
        <v>NÃO</v>
      </c>
      <c r="Y305" s="418" t="str">
        <f t="shared" si="183"/>
        <v>NÃO</v>
      </c>
      <c r="Z305" s="418" t="str">
        <f t="shared" si="183"/>
        <v>NÃO</v>
      </c>
      <c r="AA305" s="418" t="str">
        <f t="shared" si="183"/>
        <v>NÃO</v>
      </c>
      <c r="AB305" s="350"/>
      <c r="AC305" s="309" t="s">
        <v>3931</v>
      </c>
      <c r="AD305" s="311" t="s">
        <v>223</v>
      </c>
      <c r="AE305" s="361"/>
      <c r="AF305" s="310" t="s">
        <v>6985</v>
      </c>
      <c r="AG305" s="310" t="s">
        <v>2079</v>
      </c>
      <c r="AH305" s="310" t="s">
        <v>2836</v>
      </c>
      <c r="AI305" s="381" t="s">
        <v>188</v>
      </c>
      <c r="AJ305" s="6" t="s">
        <v>218</v>
      </c>
      <c r="AK305" s="6" t="str">
        <f t="shared" si="152"/>
        <v>IGUAL</v>
      </c>
      <c r="AL305" s="151" t="str">
        <f>IFERROR(IF(LEFT(A305,3)="LCP",VLOOKUP(A305,STATUS_SAP_LCP!B:C,2,FALSE),VLOOKUP(A305,STATUS_SAP_ICP!B:C,2,FALSE)),"NO BUDGET")</f>
        <v>CLSD BUDG AUC  AVAC  //  APPR BREL EXPL</v>
      </c>
      <c r="AM305" s="6" t="str">
        <f t="shared" si="151"/>
        <v>CLSD</v>
      </c>
      <c r="AN305" s="414" t="s">
        <v>2651</v>
      </c>
      <c r="AO305" s="558">
        <v>1</v>
      </c>
      <c r="AP305" s="499" t="s">
        <v>9607</v>
      </c>
      <c r="AQ305" s="465">
        <v>45386</v>
      </c>
      <c r="AR305" s="460"/>
      <c r="AS305" s="57"/>
      <c r="AT305" s="185"/>
      <c r="AU305" s="318"/>
      <c r="AV305" s="223">
        <v>0</v>
      </c>
      <c r="AW305" s="318">
        <v>522.41354000000001</v>
      </c>
      <c r="AX305" s="223">
        <v>27.784830000000003</v>
      </c>
      <c r="AY305" s="318">
        <f t="shared" si="179"/>
        <v>0</v>
      </c>
      <c r="AZ305" s="223"/>
      <c r="BA305" s="318"/>
      <c r="BB305" s="519">
        <f t="shared" si="180"/>
        <v>0</v>
      </c>
      <c r="BC305" s="518"/>
      <c r="BD305" s="518"/>
      <c r="BE305" s="518"/>
      <c r="BF305" s="518"/>
      <c r="BG305" s="518"/>
      <c r="BH305" s="518"/>
      <c r="BI305" s="518"/>
      <c r="BJ305" s="518"/>
      <c r="BK305" s="518"/>
      <c r="BL305" s="518"/>
      <c r="BM305" s="518"/>
      <c r="BN305" s="518"/>
      <c r="BO305" s="367">
        <f t="shared" si="153"/>
        <v>0</v>
      </c>
      <c r="BP305" s="421"/>
      <c r="BQ305" s="422"/>
      <c r="BR305" s="423">
        <f>IFERROR(IF(LEFT($A305,3)="Lcp",SUMIFS('BASE-LCP'!$K:$K,'BASE-LCP'!$A:$A,Capex!$A311,'BASE-LCP'!$B:$B,"janeiro")/1000,IF(LEFT($A305,3)="icp",SUMIFS('BASE-ICP'!$K:$K,'BASE-ICP'!$A:$A,Capex!$A311,'BASE-ICP'!$B:$B,"janeiro")/1000,"")),"")</f>
        <v>0</v>
      </c>
      <c r="BS305" s="427">
        <v>0</v>
      </c>
      <c r="BT305" s="372">
        <v>0</v>
      </c>
      <c r="BU305" s="422"/>
      <c r="BV305" s="423">
        <f>IFERROR(IF(LEFT($A305,3)="Lcp",SUMIFS('BASE-LCP'!$K:$K,'BASE-LCP'!$A:$A,Capex!$A311,'BASE-LCP'!$B:$B,"fevereiro")/1000,IF(LEFT($A305,3)="icp",SUMIFS('BASE-ICP'!$K:$K,'BASE-ICP'!$A:$A,Capex!$A311,'BASE-ICP'!$B:$B,"fevereiro")/1000,"")),"")</f>
        <v>0</v>
      </c>
      <c r="BW305" s="427">
        <v>0</v>
      </c>
      <c r="BX305" s="372">
        <v>0</v>
      </c>
      <c r="BY305" s="419"/>
      <c r="BZ305" s="423">
        <f>IFERROR(IF(LEFT($A305,3)="Lcp",SUMIFS('BASE-LCP'!$K:$K,'BASE-LCP'!$A:$A,Capex!$A311,'BASE-LCP'!$B:$B,"março")/1000,IF(LEFT($A305,3)="icp",SUMIFS('BASE-ICP'!$K:$K,'BASE-ICP'!$A:$A,Capex!$A311,'BASE-ICP'!$B:$B,"março")/1000,"")),"")</f>
        <v>0</v>
      </c>
      <c r="CA305" s="427">
        <v>0</v>
      </c>
      <c r="CB305" s="372">
        <v>0</v>
      </c>
      <c r="CC305" s="422"/>
      <c r="CD305" s="423">
        <f>IFERROR(IF(LEFT($A305,3)="Lcp",SUMIFS('BASE-LCP'!$K:$K,'BASE-LCP'!$A:$A,Capex!$A311,'BASE-LCP'!$B:$B,"abril")/1000,IF(LEFT($A305,3)="icp",SUMIFS('BASE-ICP'!$K:$K,'BASE-ICP'!$A:$A,Capex!$A311,'BASE-ICP'!$B:$B,"abril")/1000,"")),"")</f>
        <v>0</v>
      </c>
      <c r="CE305" s="427">
        <v>0</v>
      </c>
      <c r="CF305" s="372">
        <v>0</v>
      </c>
      <c r="CG305" s="419"/>
      <c r="CH305" s="423">
        <v>0</v>
      </c>
      <c r="CI305" s="427">
        <v>0</v>
      </c>
      <c r="CJ305" s="372">
        <v>0</v>
      </c>
      <c r="CK305" s="419"/>
      <c r="CL305" s="423">
        <f>IFERROR(IF(LEFT($A305,3)="Lcp",SUMIFS('BASE-LCP'!$K:$K,'BASE-LCP'!$A:$A,Capex!$A311,'BASE-LCP'!$B:$B,"junho")/1000,IF(LEFT($A305,3)="icp",SUMIFS('BASE-ICP'!$K:$K,'BASE-ICP'!$A:$A,Capex!$A311,'BASE-ICP'!$B:$B,"junho")/1000,"")),"")</f>
        <v>0</v>
      </c>
      <c r="CM305" s="427">
        <v>0</v>
      </c>
      <c r="CN305" s="372"/>
      <c r="CO305" s="419"/>
      <c r="CP305" s="423">
        <f>IFERROR(IF(LEFT($A305,3)="Lcp",SUMIFS('BASE-LCP'!$K:$K,'BASE-LCP'!$A:$A,Capex!$A311,'BASE-LCP'!$B:$B,"julho")/1000,IF(LEFT($A305,3)="icp",SUMIFS('BASE-ICP'!$K:$K,'BASE-ICP'!$A:$A,Capex!$A311,'BASE-ICP'!$B:$B,"julho")/1000,"")),"")</f>
        <v>0</v>
      </c>
      <c r="CQ305" s="427">
        <v>0</v>
      </c>
      <c r="CR305" s="372"/>
      <c r="CS305" s="419"/>
      <c r="CT305" s="423">
        <f>IFERROR(IF(LEFT($A305,3)="Lcp",SUMIFS('BASE-LCP'!$K:$K,'BASE-LCP'!$A:$A,Capex!$A311,'BASE-LCP'!$B:$B,"agosto")/1000,IF(LEFT($A305,3)="icp",SUMIFS('BASE-ICP'!$K:$K,'BASE-ICP'!$A:$A,Capex!$A311,'BASE-ICP'!$B:$B,"agosto")/1000,"")),"")</f>
        <v>0</v>
      </c>
      <c r="CU305" s="427">
        <v>0</v>
      </c>
      <c r="CV305" s="372"/>
      <c r="CW305" s="419"/>
      <c r="CX305" s="423">
        <f>IFERROR(IF(LEFT($A305,3)="Lcp",SUMIFS('BASE-LCP'!$K:$K,'BASE-LCP'!$A:$A,Capex!$A311,'BASE-LCP'!$B:$B,"setembro")/1000,IF(LEFT($A305,3)="icp",SUMIFS('BASE-ICP'!$K:$K,'BASE-ICP'!$A:$A,Capex!$A311,'BASE-ICP'!$B:$B,"setembro")/1000,"")),"")</f>
        <v>0</v>
      </c>
      <c r="CY305" s="427">
        <v>0</v>
      </c>
      <c r="CZ305" s="372"/>
      <c r="DA305" s="419"/>
      <c r="DB305" s="423">
        <f>IFERROR(IF(LEFT($A305,3)="Lcp",SUMIFS('BASE-LCP'!$K:$K,'BASE-LCP'!$A:$A,Capex!$A311,'BASE-LCP'!$B:$B,"outubro")/1000,IF(LEFT($A305,3)="icp",SUMIFS('BASE-ICP'!$K:$K,'BASE-ICP'!$A:$A,Capex!$A311,'BASE-ICP'!$B:$B,"outubro")/1000,"")),"")</f>
        <v>0</v>
      </c>
      <c r="DC305" s="427">
        <v>0</v>
      </c>
      <c r="DD305" s="372"/>
      <c r="DE305" s="419"/>
      <c r="DF305" s="423">
        <f>IFERROR(IF(LEFT($A305,3)="Lcp",SUMIFS('BASE-LCP'!$K:$K,'BASE-LCP'!$A:$A,Capex!$A311,'BASE-LCP'!$B:$B,"novembro")/1000,IF(LEFT($A305,3)="icp",SUMIFS('BASE-ICP'!$K:$K,'BASE-ICP'!$A:$A,Capex!$A311,'BASE-ICP'!$B:$B,"novembro")/1000,"")),"")</f>
        <v>0</v>
      </c>
      <c r="DG305" s="427">
        <v>0</v>
      </c>
      <c r="DH305" s="372"/>
      <c r="DI305" s="419"/>
      <c r="DJ305" s="423">
        <f>IFERROR(IF(LEFT($A305,3)="Lcp",SUMIFS('BASE-LCP'!$K:$K,'BASE-LCP'!$A:$A,Capex!$A311,'BASE-LCP'!$B:$B,"dezembro")/1000,IF(LEFT($A305,3)="icp",SUMIFS('BASE-ICP'!$K:$K,'BASE-ICP'!$A:$A,Capex!$A311,'BASE-ICP'!$B:$B,"dezembro")/1000,"")),"")</f>
        <v>0</v>
      </c>
      <c r="DK305" s="427">
        <v>0</v>
      </c>
      <c r="DL305" s="452">
        <f t="shared" si="154"/>
        <v>0</v>
      </c>
      <c r="DM305" s="374"/>
      <c r="DN305" s="374">
        <v>0</v>
      </c>
      <c r="DO305" s="374"/>
      <c r="DP305" s="374"/>
      <c r="DQ305" s="374"/>
      <c r="DR305" s="374"/>
      <c r="DS305" s="374"/>
      <c r="DT305" s="374"/>
      <c r="DU305" s="374"/>
      <c r="DV305" s="374"/>
      <c r="DW305" s="374"/>
      <c r="DX305" s="374"/>
      <c r="DY305" s="450"/>
      <c r="DZ305" s="374">
        <f t="shared" si="155"/>
        <v>0</v>
      </c>
      <c r="EA305" s="216">
        <f t="shared" si="156"/>
        <v>0</v>
      </c>
      <c r="EB305" s="320">
        <f t="shared" si="157"/>
        <v>0</v>
      </c>
      <c r="EC305" s="241">
        <f t="shared" si="158"/>
        <v>0</v>
      </c>
      <c r="ED305" s="241">
        <f t="shared" si="159"/>
        <v>0</v>
      </c>
      <c r="EE305" s="241">
        <f t="shared" si="160"/>
        <v>0</v>
      </c>
      <c r="EF305" s="241">
        <f t="shared" si="161"/>
        <v>0</v>
      </c>
      <c r="EG305" s="346">
        <f t="shared" si="162"/>
        <v>0</v>
      </c>
      <c r="EH305" s="445">
        <f t="shared" si="163"/>
        <v>0</v>
      </c>
      <c r="EI305" s="447">
        <f t="shared" si="164"/>
        <v>0</v>
      </c>
      <c r="EJ305" s="364">
        <f t="shared" si="165"/>
        <v>0</v>
      </c>
      <c r="EK305" s="365">
        <f t="shared" si="166"/>
        <v>0</v>
      </c>
      <c r="EL305" s="529">
        <f t="shared" si="167"/>
        <v>0</v>
      </c>
      <c r="EM305" s="530">
        <v>0</v>
      </c>
      <c r="EN305" s="530">
        <v>0</v>
      </c>
      <c r="EO305" s="530">
        <v>0</v>
      </c>
      <c r="EP305" s="530">
        <v>0</v>
      </c>
      <c r="EQ305" s="530">
        <v>0</v>
      </c>
      <c r="ER305" s="530">
        <v>0</v>
      </c>
      <c r="ES305" s="530">
        <v>0</v>
      </c>
      <c r="ET305" s="530">
        <v>0</v>
      </c>
      <c r="EU305" s="530">
        <v>0</v>
      </c>
      <c r="EV305" s="530">
        <v>0</v>
      </c>
      <c r="EW305" s="530">
        <v>0</v>
      </c>
      <c r="EX305" s="530">
        <v>0</v>
      </c>
      <c r="EY305" s="530">
        <f t="shared" si="168"/>
        <v>0</v>
      </c>
      <c r="EZ305" s="530">
        <f t="shared" si="169"/>
        <v>0</v>
      </c>
      <c r="FA305" s="530">
        <f t="shared" si="170"/>
        <v>0</v>
      </c>
      <c r="FB305" s="530">
        <f t="shared" si="171"/>
        <v>0</v>
      </c>
      <c r="FC305" s="384">
        <f>IFERROR(VLOOKUP(Capex!A311,BASE_558!D:R,8,FALSE)/1000,"")</f>
        <v>157.12100000000001</v>
      </c>
      <c r="FD305" s="328">
        <f>IFERROR(VLOOKUP(Capex!A311,BASE_558!D:R,9,)/1000,"")</f>
        <v>136.65192999999999</v>
      </c>
      <c r="FE305" s="328">
        <f>IFERROR(IF(LEFT(A305,3)="LCP",(VLOOKUP(Capex!A311,BASE_558!D:R,10,)/1000),SUMIFS('BASE ICP_PO_SC'!F:F,'BASE ICP_PO_SC'!A:A,Capex!A311,'BASE ICP_PO_SC'!E:E,"&lt;&gt;")/1000),"")</f>
        <v>0</v>
      </c>
      <c r="FF305" s="328">
        <f>IFERROR(IF(LEFT(A305,3)="LCP",(VLOOKUP(Capex!A311,BASE_558!D:R,11,)/1000),SUMIFS('BASE ICP_PO_SC'!F:F,'BASE ICP_PO_SC'!A:A,Capex!A311,'BASE ICP_PO_SC'!E:E,"")/1000),"")</f>
        <v>0</v>
      </c>
      <c r="FG305" s="328">
        <f>IFERROR(VLOOKUP(A305,BASE_558!D:R,13,FALSE)/1000,"")</f>
        <v>550.19836999999995</v>
      </c>
      <c r="FH305" s="328">
        <f>IFERROR(VLOOKUP(A305,BASE_558!D:R,15,FALSE)/1000,"")</f>
        <v>4.8016300000000003</v>
      </c>
      <c r="FI305" s="547">
        <f t="shared" si="172"/>
        <v>0</v>
      </c>
      <c r="FJ305" s="547">
        <f t="shared" si="173"/>
        <v>0</v>
      </c>
      <c r="FK305" s="540">
        <f t="shared" si="174"/>
        <v>0</v>
      </c>
    </row>
    <row r="306" spans="1:167" s="23" customFormat="1" ht="24" customHeight="1">
      <c r="A306" s="84" t="s">
        <v>2351</v>
      </c>
      <c r="B306" s="404"/>
      <c r="C306" s="404">
        <v>173216</v>
      </c>
      <c r="D306" s="403" t="s">
        <v>3348</v>
      </c>
      <c r="E306" s="309">
        <v>6959022</v>
      </c>
      <c r="F306" s="5"/>
      <c r="G306" s="310" t="s">
        <v>9</v>
      </c>
      <c r="H306" s="338" t="s">
        <v>6</v>
      </c>
      <c r="I306" s="356"/>
      <c r="J306" s="356">
        <v>2023</v>
      </c>
      <c r="K306" s="352">
        <v>45077</v>
      </c>
      <c r="L306" s="317"/>
      <c r="M306" s="409"/>
      <c r="N306" s="317">
        <f t="shared" si="177"/>
        <v>45989</v>
      </c>
      <c r="O306" s="317">
        <f t="shared" si="178"/>
        <v>46354</v>
      </c>
      <c r="P306" s="418" t="str">
        <f t="shared" si="183"/>
        <v>NÃO</v>
      </c>
      <c r="Q306" s="418" t="str">
        <f t="shared" si="183"/>
        <v>NÃO</v>
      </c>
      <c r="R306" s="418" t="str">
        <f t="shared" si="183"/>
        <v>NÃO</v>
      </c>
      <c r="S306" s="418" t="str">
        <f t="shared" si="183"/>
        <v>NÃO</v>
      </c>
      <c r="T306" s="418" t="str">
        <f t="shared" si="183"/>
        <v>NÃO</v>
      </c>
      <c r="U306" s="418" t="str">
        <f t="shared" si="183"/>
        <v>NÃO</v>
      </c>
      <c r="V306" s="418" t="str">
        <f t="shared" si="183"/>
        <v>NÃO</v>
      </c>
      <c r="W306" s="418" t="str">
        <f t="shared" si="183"/>
        <v>NÃO</v>
      </c>
      <c r="X306" s="418" t="str">
        <f t="shared" si="183"/>
        <v>NÃO</v>
      </c>
      <c r="Y306" s="418" t="str">
        <f t="shared" si="183"/>
        <v>NÃO</v>
      </c>
      <c r="Z306" s="418" t="str">
        <f t="shared" si="183"/>
        <v>SIM</v>
      </c>
      <c r="AA306" s="418" t="str">
        <f t="shared" si="183"/>
        <v>SIM</v>
      </c>
      <c r="AB306" s="350"/>
      <c r="AC306" s="309" t="s">
        <v>3932</v>
      </c>
      <c r="AD306" s="311" t="s">
        <v>5</v>
      </c>
      <c r="AE306" s="381" t="s">
        <v>951</v>
      </c>
      <c r="AF306" s="310" t="s">
        <v>6985</v>
      </c>
      <c r="AG306" s="310" t="s">
        <v>17007</v>
      </c>
      <c r="AH306" s="309" t="s">
        <v>2352</v>
      </c>
      <c r="AI306" s="381" t="s">
        <v>2255</v>
      </c>
      <c r="AJ306" s="6" t="s">
        <v>6786</v>
      </c>
      <c r="AK306" s="6" t="str">
        <f t="shared" si="152"/>
        <v>IGUAL</v>
      </c>
      <c r="AL306" s="151" t="str">
        <f>IFERROR(IF(LEFT(A306,3)="LCP",VLOOKUP(A306,STATUS_SAP_LCP!B:C,2,FALSE),VLOOKUP(A306,STATUS_SAP_ICP!B:C,2,FALSE)),"NO BUDGET")</f>
        <v>REL  BUDG AUC  AVAC  //  APPR BREL EXPL</v>
      </c>
      <c r="AM306" s="6" t="str">
        <f t="shared" si="151"/>
        <v xml:space="preserve">REL </v>
      </c>
      <c r="AN306" s="414" t="s">
        <v>19520</v>
      </c>
      <c r="AO306" s="414"/>
      <c r="AP306" s="499" t="s">
        <v>5299</v>
      </c>
      <c r="AQ306" s="465">
        <v>45809</v>
      </c>
      <c r="AR306" s="460"/>
      <c r="AS306" s="57"/>
      <c r="AT306" s="185"/>
      <c r="AU306" s="318"/>
      <c r="AV306" s="223"/>
      <c r="AW306" s="318">
        <v>357.14813000000004</v>
      </c>
      <c r="AX306" s="223">
        <v>207.68459000000001</v>
      </c>
      <c r="AY306" s="318">
        <f t="shared" si="179"/>
        <v>102.36762999999999</v>
      </c>
      <c r="AZ306" s="223"/>
      <c r="BA306" s="318"/>
      <c r="BB306" s="519">
        <f t="shared" si="180"/>
        <v>104.8</v>
      </c>
      <c r="BC306" s="518">
        <v>0</v>
      </c>
      <c r="BD306" s="518">
        <v>0</v>
      </c>
      <c r="BE306" s="518">
        <v>0</v>
      </c>
      <c r="BF306" s="518">
        <v>0</v>
      </c>
      <c r="BG306" s="518">
        <v>104.8</v>
      </c>
      <c r="BH306" s="518">
        <v>0</v>
      </c>
      <c r="BI306" s="518">
        <v>0</v>
      </c>
      <c r="BJ306" s="518">
        <v>0</v>
      </c>
      <c r="BK306" s="518">
        <v>0</v>
      </c>
      <c r="BL306" s="518">
        <v>0</v>
      </c>
      <c r="BM306" s="518">
        <v>0</v>
      </c>
      <c r="BN306" s="518">
        <v>0</v>
      </c>
      <c r="BO306" s="367">
        <f t="shared" si="153"/>
        <v>102.36762999999999</v>
      </c>
      <c r="BP306" s="421">
        <v>0</v>
      </c>
      <c r="BQ306" s="422"/>
      <c r="BR306" s="423">
        <f>IFERROR(IF(LEFT($A306,3)="Lcp",SUMIFS('BASE-LCP'!$K:$K,'BASE-LCP'!$A:$A,Capex!$A314,'BASE-LCP'!$B:$B,"janeiro")/1000,IF(LEFT($A306,3)="icp",SUMIFS('BASE-ICP'!$K:$K,'BASE-ICP'!$A:$A,Capex!$A314,'BASE-ICP'!$B:$B,"janeiro")/1000,"")),"")</f>
        <v>0</v>
      </c>
      <c r="BS306" s="427">
        <v>0</v>
      </c>
      <c r="BT306" s="372">
        <v>0</v>
      </c>
      <c r="BU306" s="422"/>
      <c r="BV306" s="423">
        <f>IFERROR(IF(LEFT($A306,3)="Lcp",SUMIFS('BASE-LCP'!$K:$K,'BASE-LCP'!$A:$A,Capex!$A314,'BASE-LCP'!$B:$B,"fevereiro")/1000,IF(LEFT($A306,3)="icp",SUMIFS('BASE-ICP'!$K:$K,'BASE-ICP'!$A:$A,Capex!$A314,'BASE-ICP'!$B:$B,"fevereiro")/1000,"")),"")</f>
        <v>0</v>
      </c>
      <c r="BW306" s="427">
        <v>0</v>
      </c>
      <c r="BX306" s="372">
        <v>0</v>
      </c>
      <c r="BY306" s="419">
        <v>3.5991900000000001</v>
      </c>
      <c r="BZ306" s="423">
        <f>IFERROR(IF(LEFT($A306,3)="Lcp",SUMIFS('BASE-LCP'!$K:$K,'BASE-LCP'!$A:$A,Capex!$A314,'BASE-LCP'!$B:$B,"março")/1000,IF(LEFT($A306,3)="icp",SUMIFS('BASE-ICP'!$K:$K,'BASE-ICP'!$A:$A,Capex!$A314,'BASE-ICP'!$B:$B,"março")/1000,"")),"")</f>
        <v>0</v>
      </c>
      <c r="CA306" s="427">
        <v>3.5991900000000001</v>
      </c>
      <c r="CB306" s="372">
        <v>0</v>
      </c>
      <c r="CC306" s="422">
        <v>18.768440000000002</v>
      </c>
      <c r="CD306" s="423">
        <f>IFERROR(IF(LEFT($A306,3)="Lcp",SUMIFS('BASE-LCP'!$K:$K,'BASE-LCP'!$A:$A,Capex!$A314,'BASE-LCP'!$B:$B,"abril")/1000,IF(LEFT($A306,3)="icp",SUMIFS('BASE-ICP'!$K:$K,'BASE-ICP'!$A:$A,Capex!$A314,'BASE-ICP'!$B:$B,"abril")/1000,"")),"")</f>
        <v>0</v>
      </c>
      <c r="CE306" s="427">
        <v>18.768439999999998</v>
      </c>
      <c r="CF306" s="372">
        <v>0</v>
      </c>
      <c r="CG306" s="419"/>
      <c r="CH306" s="423">
        <v>0</v>
      </c>
      <c r="CI306" s="427">
        <v>0</v>
      </c>
      <c r="CJ306" s="372">
        <v>0</v>
      </c>
      <c r="CK306" s="419"/>
      <c r="CL306" s="423">
        <f>IFERROR(IF(LEFT($A306,3)="Lcp",SUMIFS('BASE-LCP'!$K:$K,'BASE-LCP'!$A:$A,Capex!$A314,'BASE-LCP'!$B:$B,"junho")/1000,IF(LEFT($A306,3)="icp",SUMIFS('BASE-ICP'!$K:$K,'BASE-ICP'!$A:$A,Capex!$A314,'BASE-ICP'!$B:$B,"junho")/1000,"")),"")</f>
        <v>0</v>
      </c>
      <c r="CM306" s="427">
        <v>0</v>
      </c>
      <c r="CN306" s="372"/>
      <c r="CO306" s="419"/>
      <c r="CP306" s="423">
        <f>IFERROR(IF(LEFT($A306,3)="Lcp",SUMIFS('BASE-LCP'!$K:$K,'BASE-LCP'!$A:$A,Capex!$A314,'BASE-LCP'!$B:$B,"julho")/1000,IF(LEFT($A306,3)="icp",SUMIFS('BASE-ICP'!$K:$K,'BASE-ICP'!$A:$A,Capex!$A314,'BASE-ICP'!$B:$B,"julho")/1000,"")),"")</f>
        <v>0</v>
      </c>
      <c r="CQ306" s="427">
        <v>0</v>
      </c>
      <c r="CR306" s="372"/>
      <c r="CS306" s="419"/>
      <c r="CT306" s="423">
        <f>IFERROR(IF(LEFT($A306,3)="Lcp",SUMIFS('BASE-LCP'!$K:$K,'BASE-LCP'!$A:$A,Capex!$A314,'BASE-LCP'!$B:$B,"agosto")/1000,IF(LEFT($A306,3)="icp",SUMIFS('BASE-ICP'!$K:$K,'BASE-ICP'!$A:$A,Capex!$A314,'BASE-ICP'!$B:$B,"agosto")/1000,"")),"")</f>
        <v>0</v>
      </c>
      <c r="CU306" s="427">
        <v>0</v>
      </c>
      <c r="CV306" s="372"/>
      <c r="CW306" s="419"/>
      <c r="CX306" s="423">
        <f>IFERROR(IF(LEFT($A306,3)="Lcp",SUMIFS('BASE-LCP'!$K:$K,'BASE-LCP'!$A:$A,Capex!$A314,'BASE-LCP'!$B:$B,"setembro")/1000,IF(LEFT($A306,3)="icp",SUMIFS('BASE-ICP'!$K:$K,'BASE-ICP'!$A:$A,Capex!$A314,'BASE-ICP'!$B:$B,"setembro")/1000,"")),"")</f>
        <v>0</v>
      </c>
      <c r="CY306" s="427">
        <v>40</v>
      </c>
      <c r="CZ306" s="372"/>
      <c r="DA306" s="419"/>
      <c r="DB306" s="423">
        <f>IFERROR(IF(LEFT($A306,3)="Lcp",SUMIFS('BASE-LCP'!$K:$K,'BASE-LCP'!$A:$A,Capex!$A314,'BASE-LCP'!$B:$B,"outubro")/1000,IF(LEFT($A306,3)="icp",SUMIFS('BASE-ICP'!$K:$K,'BASE-ICP'!$A:$A,Capex!$A314,'BASE-ICP'!$B:$B,"outubro")/1000,"")),"")</f>
        <v>0</v>
      </c>
      <c r="DC306" s="427">
        <v>0</v>
      </c>
      <c r="DD306" s="372"/>
      <c r="DE306" s="419"/>
      <c r="DF306" s="423">
        <f>IFERROR(IF(LEFT($A306,3)="Lcp",SUMIFS('BASE-LCP'!$K:$K,'BASE-LCP'!$A:$A,Capex!$A314,'BASE-LCP'!$B:$B,"novembro")/1000,IF(LEFT($A306,3)="icp",SUMIFS('BASE-ICP'!$K:$K,'BASE-ICP'!$A:$A,Capex!$A314,'BASE-ICP'!$B:$B,"novembro")/1000,"")),"")</f>
        <v>0</v>
      </c>
      <c r="DG306" s="427">
        <v>0</v>
      </c>
      <c r="DH306" s="372"/>
      <c r="DI306" s="419"/>
      <c r="DJ306" s="423">
        <f>IFERROR(IF(LEFT($A306,3)="Lcp",SUMIFS('BASE-LCP'!$K:$K,'BASE-LCP'!$A:$A,Capex!$A314,'BASE-LCP'!$B:$B,"dezembro")/1000,IF(LEFT($A306,3)="icp",SUMIFS('BASE-ICP'!$K:$K,'BASE-ICP'!$A:$A,Capex!$A314,'BASE-ICP'!$B:$B,"dezembro")/1000,"")),"")</f>
        <v>0</v>
      </c>
      <c r="DK306" s="427">
        <v>40</v>
      </c>
      <c r="DL306" s="452">
        <f t="shared" si="154"/>
        <v>0</v>
      </c>
      <c r="DM306" s="374"/>
      <c r="DN306" s="374">
        <v>0</v>
      </c>
      <c r="DO306" s="374"/>
      <c r="DP306" s="374"/>
      <c r="DQ306" s="374"/>
      <c r="DR306" s="374"/>
      <c r="DS306" s="374"/>
      <c r="DT306" s="374"/>
      <c r="DU306" s="374"/>
      <c r="DV306" s="374"/>
      <c r="DW306" s="374"/>
      <c r="DX306" s="374"/>
      <c r="DY306" s="450"/>
      <c r="DZ306" s="374">
        <f t="shared" si="155"/>
        <v>0</v>
      </c>
      <c r="EA306" s="216">
        <f t="shared" si="156"/>
        <v>0</v>
      </c>
      <c r="EB306" s="320">
        <f t="shared" si="157"/>
        <v>0</v>
      </c>
      <c r="EC306" s="241">
        <f t="shared" si="158"/>
        <v>3.5991900000000001</v>
      </c>
      <c r="ED306" s="241">
        <f t="shared" si="159"/>
        <v>18.768439999999998</v>
      </c>
      <c r="EE306" s="241">
        <f t="shared" si="160"/>
        <v>40</v>
      </c>
      <c r="EF306" s="241">
        <f t="shared" si="161"/>
        <v>40</v>
      </c>
      <c r="EG306" s="346">
        <f t="shared" si="162"/>
        <v>-2.4323700000000059</v>
      </c>
      <c r="EH306" s="445">
        <f t="shared" si="163"/>
        <v>0</v>
      </c>
      <c r="EI306" s="447">
        <f t="shared" si="164"/>
        <v>0</v>
      </c>
      <c r="EJ306" s="364">
        <f t="shared" si="165"/>
        <v>22.367629999999998</v>
      </c>
      <c r="EK306" s="365">
        <f t="shared" si="166"/>
        <v>80</v>
      </c>
      <c r="EL306" s="529">
        <f t="shared" si="167"/>
        <v>102.36762999999999</v>
      </c>
      <c r="EM306" s="530">
        <v>0</v>
      </c>
      <c r="EN306" s="530">
        <v>0</v>
      </c>
      <c r="EO306" s="530">
        <v>3.5991900000000001</v>
      </c>
      <c r="EP306" s="530">
        <v>18.768439999999998</v>
      </c>
      <c r="EQ306" s="530">
        <v>0</v>
      </c>
      <c r="ER306" s="530">
        <v>0</v>
      </c>
      <c r="ES306" s="530">
        <v>0</v>
      </c>
      <c r="ET306" s="530">
        <v>0</v>
      </c>
      <c r="EU306" s="530">
        <v>40</v>
      </c>
      <c r="EV306" s="530">
        <v>0</v>
      </c>
      <c r="EW306" s="530">
        <v>0</v>
      </c>
      <c r="EX306" s="530">
        <v>40</v>
      </c>
      <c r="EY306" s="530">
        <f t="shared" si="168"/>
        <v>3.5991900000000001</v>
      </c>
      <c r="EZ306" s="530">
        <f t="shared" si="169"/>
        <v>18.768439999999998</v>
      </c>
      <c r="FA306" s="530">
        <f t="shared" si="170"/>
        <v>40</v>
      </c>
      <c r="FB306" s="530">
        <f t="shared" si="171"/>
        <v>40</v>
      </c>
      <c r="FC306" s="384">
        <f>IFERROR(VLOOKUP(Capex!A314,BASE_558!D:R,8,FALSE)/1000,"")</f>
        <v>0</v>
      </c>
      <c r="FD306" s="328">
        <f>IFERROR(VLOOKUP(Capex!A314,BASE_558!D:R,9,)/1000,"")</f>
        <v>0</v>
      </c>
      <c r="FE306" s="328">
        <f>IFERROR(IF(LEFT(A306,3)="LCP",(VLOOKUP(Capex!A314,BASE_558!D:R,10,)/1000),SUMIFS('BASE ICP_PO_SC'!F:F,'BASE ICP_PO_SC'!A:A,Capex!A314,'BASE ICP_PO_SC'!E:E,"&lt;&gt;")/1000),"")</f>
        <v>0</v>
      </c>
      <c r="FF306" s="328">
        <f>IFERROR(IF(LEFT(A306,3)="LCP",(VLOOKUP(Capex!A314,BASE_558!D:R,11,)/1000),SUMIFS('BASE ICP_PO_SC'!F:F,'BASE ICP_PO_SC'!A:A,Capex!A314,'BASE ICP_PO_SC'!E:E,"")/1000),"")</f>
        <v>0</v>
      </c>
      <c r="FG306" s="328">
        <f>IFERROR(VLOOKUP(A306,BASE_558!D:R,13,FALSE)/1000,"")</f>
        <v>596.29665</v>
      </c>
      <c r="FH306" s="328">
        <f>IFERROR(VLOOKUP(A306,BASE_558!D:R,15,FALSE)/1000,"")</f>
        <v>133.95835</v>
      </c>
      <c r="FI306" s="547">
        <f t="shared" si="172"/>
        <v>0</v>
      </c>
      <c r="FJ306" s="547">
        <f t="shared" si="173"/>
        <v>0</v>
      </c>
      <c r="FK306" s="540">
        <f t="shared" si="174"/>
        <v>0</v>
      </c>
    </row>
    <row r="307" spans="1:167" s="23" customFormat="1" ht="24" customHeight="1">
      <c r="A307" s="310" t="s">
        <v>2353</v>
      </c>
      <c r="B307" s="404"/>
      <c r="C307" s="404"/>
      <c r="D307" s="338" t="s">
        <v>2703</v>
      </c>
      <c r="E307" s="378">
        <v>6954200</v>
      </c>
      <c r="F307" s="5"/>
      <c r="G307" s="310" t="s">
        <v>9</v>
      </c>
      <c r="H307" s="408"/>
      <c r="I307" s="356" t="s">
        <v>6</v>
      </c>
      <c r="J307" s="356">
        <v>2023</v>
      </c>
      <c r="K307" s="352">
        <v>45208</v>
      </c>
      <c r="L307" s="317">
        <v>45621</v>
      </c>
      <c r="M307" s="409" t="s">
        <v>6808</v>
      </c>
      <c r="N307" s="317">
        <f t="shared" si="177"/>
        <v>46120</v>
      </c>
      <c r="O307" s="317">
        <f t="shared" si="178"/>
        <v>46485</v>
      </c>
      <c r="P307" s="418" t="str">
        <f t="shared" si="183"/>
        <v>NÃO</v>
      </c>
      <c r="Q307" s="418" t="str">
        <f t="shared" si="183"/>
        <v>NÃO</v>
      </c>
      <c r="R307" s="418" t="str">
        <f t="shared" si="183"/>
        <v>NÃO</v>
      </c>
      <c r="S307" s="418" t="str">
        <f t="shared" si="183"/>
        <v>NÃO</v>
      </c>
      <c r="T307" s="418" t="str">
        <f t="shared" si="183"/>
        <v>NÃO</v>
      </c>
      <c r="U307" s="418" t="str">
        <f t="shared" si="183"/>
        <v>NÃO</v>
      </c>
      <c r="V307" s="418" t="str">
        <f t="shared" si="183"/>
        <v>NÃO</v>
      </c>
      <c r="W307" s="418" t="str">
        <f t="shared" si="183"/>
        <v>NÃO</v>
      </c>
      <c r="X307" s="418" t="str">
        <f t="shared" si="183"/>
        <v>NÃO</v>
      </c>
      <c r="Y307" s="418" t="str">
        <f t="shared" si="183"/>
        <v>NÃO</v>
      </c>
      <c r="Z307" s="418" t="str">
        <f t="shared" si="183"/>
        <v>NÃO</v>
      </c>
      <c r="AA307" s="418" t="str">
        <f t="shared" si="183"/>
        <v>NÃO</v>
      </c>
      <c r="AB307" s="350"/>
      <c r="AC307" s="309" t="s">
        <v>3931</v>
      </c>
      <c r="AD307" s="311" t="s">
        <v>223</v>
      </c>
      <c r="AE307" s="361"/>
      <c r="AF307" s="310" t="s">
        <v>6985</v>
      </c>
      <c r="AG307" s="310" t="s">
        <v>2485</v>
      </c>
      <c r="AH307" s="310" t="s">
        <v>2354</v>
      </c>
      <c r="AI307" s="381" t="s">
        <v>188</v>
      </c>
      <c r="AJ307" s="6" t="s">
        <v>218</v>
      </c>
      <c r="AK307" s="6" t="str">
        <f t="shared" si="152"/>
        <v>IGUAL</v>
      </c>
      <c r="AL307" s="151" t="str">
        <f>IFERROR(IF(LEFT(A307,3)="LCP",VLOOKUP(A307,STATUS_SAP_LCP!B:C,2,FALSE),VLOOKUP(A307,STATUS_SAP_ICP!B:C,2,FALSE)),"NO BUDGET")</f>
        <v>CLSD BUDG AUC  AVAC  //  RJCD BREL EXPL</v>
      </c>
      <c r="AM307" s="6" t="str">
        <f t="shared" si="151"/>
        <v>CLSD</v>
      </c>
      <c r="AN307" s="414" t="s">
        <v>2651</v>
      </c>
      <c r="AO307" s="558">
        <v>1</v>
      </c>
      <c r="AP307" s="499" t="s">
        <v>9607</v>
      </c>
      <c r="AQ307" s="465">
        <v>45621</v>
      </c>
      <c r="AR307" s="460"/>
      <c r="AS307" s="57"/>
      <c r="AT307" s="185"/>
      <c r="AU307" s="318"/>
      <c r="AV307" s="223">
        <v>0</v>
      </c>
      <c r="AW307" s="318">
        <v>12.269290000000002</v>
      </c>
      <c r="AX307" s="223">
        <v>6.4417</v>
      </c>
      <c r="AY307" s="318">
        <f t="shared" si="179"/>
        <v>0</v>
      </c>
      <c r="AZ307" s="223"/>
      <c r="BA307" s="318"/>
      <c r="BB307" s="519">
        <f t="shared" si="180"/>
        <v>0</v>
      </c>
      <c r="BC307" s="518"/>
      <c r="BD307" s="518"/>
      <c r="BE307" s="518"/>
      <c r="BF307" s="518"/>
      <c r="BG307" s="518"/>
      <c r="BH307" s="518"/>
      <c r="BI307" s="518"/>
      <c r="BJ307" s="518"/>
      <c r="BK307" s="518"/>
      <c r="BL307" s="518"/>
      <c r="BM307" s="518"/>
      <c r="BN307" s="518"/>
      <c r="BO307" s="367">
        <f t="shared" si="153"/>
        <v>0</v>
      </c>
      <c r="BP307" s="421"/>
      <c r="BQ307" s="422"/>
      <c r="BR307" s="423">
        <f>IFERROR(IF(LEFT($A307,3)="Lcp",SUMIFS('BASE-LCP'!$K:$K,'BASE-LCP'!$A:$A,Capex!$A315,'BASE-LCP'!$B:$B,"janeiro")/1000,IF(LEFT($A307,3)="icp",SUMIFS('BASE-ICP'!$K:$K,'BASE-ICP'!$A:$A,Capex!$A315,'BASE-ICP'!$B:$B,"janeiro")/1000,"")),"")</f>
        <v>0</v>
      </c>
      <c r="BS307" s="427">
        <v>0</v>
      </c>
      <c r="BT307" s="372">
        <v>0</v>
      </c>
      <c r="BU307" s="422"/>
      <c r="BV307" s="423">
        <f>IFERROR(IF(LEFT($A307,3)="Lcp",SUMIFS('BASE-LCP'!$K:$K,'BASE-LCP'!$A:$A,Capex!$A315,'BASE-LCP'!$B:$B,"fevereiro")/1000,IF(LEFT($A307,3)="icp",SUMIFS('BASE-ICP'!$K:$K,'BASE-ICP'!$A:$A,Capex!$A315,'BASE-ICP'!$B:$B,"fevereiro")/1000,"")),"")</f>
        <v>0</v>
      </c>
      <c r="BW307" s="427">
        <v>0</v>
      </c>
      <c r="BX307" s="372">
        <v>0</v>
      </c>
      <c r="BY307" s="419"/>
      <c r="BZ307" s="423">
        <f>IFERROR(IF(LEFT($A307,3)="Lcp",SUMIFS('BASE-LCP'!$K:$K,'BASE-LCP'!$A:$A,Capex!$A315,'BASE-LCP'!$B:$B,"março")/1000,IF(LEFT($A307,3)="icp",SUMIFS('BASE-ICP'!$K:$K,'BASE-ICP'!$A:$A,Capex!$A315,'BASE-ICP'!$B:$B,"março")/1000,"")),"")</f>
        <v>0</v>
      </c>
      <c r="CA307" s="427">
        <v>0</v>
      </c>
      <c r="CB307" s="372">
        <v>0</v>
      </c>
      <c r="CC307" s="422"/>
      <c r="CD307" s="423">
        <f>IFERROR(IF(LEFT($A307,3)="Lcp",SUMIFS('BASE-LCP'!$K:$K,'BASE-LCP'!$A:$A,Capex!$A315,'BASE-LCP'!$B:$B,"abril")/1000,IF(LEFT($A307,3)="icp",SUMIFS('BASE-ICP'!$K:$K,'BASE-ICP'!$A:$A,Capex!$A315,'BASE-ICP'!$B:$B,"abril")/1000,"")),"")</f>
        <v>0</v>
      </c>
      <c r="CE307" s="427">
        <v>0</v>
      </c>
      <c r="CF307" s="372">
        <v>0</v>
      </c>
      <c r="CG307" s="419"/>
      <c r="CH307" s="423">
        <v>0</v>
      </c>
      <c r="CI307" s="427">
        <v>0</v>
      </c>
      <c r="CJ307" s="372">
        <v>0</v>
      </c>
      <c r="CK307" s="419"/>
      <c r="CL307" s="423">
        <f>IFERROR(IF(LEFT($A307,3)="Lcp",SUMIFS('BASE-LCP'!$K:$K,'BASE-LCP'!$A:$A,Capex!$A315,'BASE-LCP'!$B:$B,"junho")/1000,IF(LEFT($A307,3)="icp",SUMIFS('BASE-ICP'!$K:$K,'BASE-ICP'!$A:$A,Capex!$A315,'BASE-ICP'!$B:$B,"junho")/1000,"")),"")</f>
        <v>0</v>
      </c>
      <c r="CM307" s="427">
        <v>0</v>
      </c>
      <c r="CN307" s="372"/>
      <c r="CO307" s="419"/>
      <c r="CP307" s="423">
        <f>IFERROR(IF(LEFT($A307,3)="Lcp",SUMIFS('BASE-LCP'!$K:$K,'BASE-LCP'!$A:$A,Capex!$A315,'BASE-LCP'!$B:$B,"julho")/1000,IF(LEFT($A307,3)="icp",SUMIFS('BASE-ICP'!$K:$K,'BASE-ICP'!$A:$A,Capex!$A315,'BASE-ICP'!$B:$B,"julho")/1000,"")),"")</f>
        <v>0</v>
      </c>
      <c r="CQ307" s="427">
        <v>0</v>
      </c>
      <c r="CR307" s="372"/>
      <c r="CS307" s="419"/>
      <c r="CT307" s="423">
        <f>IFERROR(IF(LEFT($A307,3)="Lcp",SUMIFS('BASE-LCP'!$K:$K,'BASE-LCP'!$A:$A,Capex!$A315,'BASE-LCP'!$B:$B,"agosto")/1000,IF(LEFT($A307,3)="icp",SUMIFS('BASE-ICP'!$K:$K,'BASE-ICP'!$A:$A,Capex!$A315,'BASE-ICP'!$B:$B,"agosto")/1000,"")),"")</f>
        <v>0</v>
      </c>
      <c r="CU307" s="427">
        <v>0</v>
      </c>
      <c r="CV307" s="372"/>
      <c r="CW307" s="419"/>
      <c r="CX307" s="423">
        <f>IFERROR(IF(LEFT($A307,3)="Lcp",SUMIFS('BASE-LCP'!$K:$K,'BASE-LCP'!$A:$A,Capex!$A315,'BASE-LCP'!$B:$B,"setembro")/1000,IF(LEFT($A307,3)="icp",SUMIFS('BASE-ICP'!$K:$K,'BASE-ICP'!$A:$A,Capex!$A315,'BASE-ICP'!$B:$B,"setembro")/1000,"")),"")</f>
        <v>0</v>
      </c>
      <c r="CY307" s="427">
        <v>0</v>
      </c>
      <c r="CZ307" s="372"/>
      <c r="DA307" s="419"/>
      <c r="DB307" s="423">
        <f>IFERROR(IF(LEFT($A307,3)="Lcp",SUMIFS('BASE-LCP'!$K:$K,'BASE-LCP'!$A:$A,Capex!$A315,'BASE-LCP'!$B:$B,"outubro")/1000,IF(LEFT($A307,3)="icp",SUMIFS('BASE-ICP'!$K:$K,'BASE-ICP'!$A:$A,Capex!$A315,'BASE-ICP'!$B:$B,"outubro")/1000,"")),"")</f>
        <v>0</v>
      </c>
      <c r="DC307" s="427">
        <v>0</v>
      </c>
      <c r="DD307" s="372"/>
      <c r="DE307" s="419"/>
      <c r="DF307" s="423">
        <f>IFERROR(IF(LEFT($A307,3)="Lcp",SUMIFS('BASE-LCP'!$K:$K,'BASE-LCP'!$A:$A,Capex!$A315,'BASE-LCP'!$B:$B,"novembro")/1000,IF(LEFT($A307,3)="icp",SUMIFS('BASE-ICP'!$K:$K,'BASE-ICP'!$A:$A,Capex!$A315,'BASE-ICP'!$B:$B,"novembro")/1000,"")),"")</f>
        <v>0</v>
      </c>
      <c r="DG307" s="427">
        <v>0</v>
      </c>
      <c r="DH307" s="372"/>
      <c r="DI307" s="419"/>
      <c r="DJ307" s="423">
        <f>IFERROR(IF(LEFT($A307,3)="Lcp",SUMIFS('BASE-LCP'!$K:$K,'BASE-LCP'!$A:$A,Capex!$A315,'BASE-LCP'!$B:$B,"dezembro")/1000,IF(LEFT($A307,3)="icp",SUMIFS('BASE-ICP'!$K:$K,'BASE-ICP'!$A:$A,Capex!$A315,'BASE-ICP'!$B:$B,"dezembro")/1000,"")),"")</f>
        <v>0</v>
      </c>
      <c r="DK307" s="427">
        <v>0</v>
      </c>
      <c r="DL307" s="452">
        <f t="shared" si="154"/>
        <v>0</v>
      </c>
      <c r="DM307" s="374"/>
      <c r="DN307" s="374">
        <v>0</v>
      </c>
      <c r="DO307" s="374"/>
      <c r="DP307" s="374"/>
      <c r="DQ307" s="374"/>
      <c r="DR307" s="374"/>
      <c r="DS307" s="374"/>
      <c r="DT307" s="374"/>
      <c r="DU307" s="374"/>
      <c r="DV307" s="374"/>
      <c r="DW307" s="374"/>
      <c r="DX307" s="374"/>
      <c r="DY307" s="450"/>
      <c r="DZ307" s="374">
        <f t="shared" si="155"/>
        <v>0</v>
      </c>
      <c r="EA307" s="216">
        <f t="shared" si="156"/>
        <v>0</v>
      </c>
      <c r="EB307" s="320">
        <f t="shared" si="157"/>
        <v>0</v>
      </c>
      <c r="EC307" s="241">
        <f t="shared" si="158"/>
        <v>0</v>
      </c>
      <c r="ED307" s="241">
        <f t="shared" si="159"/>
        <v>0</v>
      </c>
      <c r="EE307" s="241">
        <f t="shared" si="160"/>
        <v>0</v>
      </c>
      <c r="EF307" s="241">
        <f t="shared" si="161"/>
        <v>0</v>
      </c>
      <c r="EG307" s="346">
        <f t="shared" si="162"/>
        <v>0</v>
      </c>
      <c r="EH307" s="445">
        <f t="shared" si="163"/>
        <v>0</v>
      </c>
      <c r="EI307" s="447">
        <f t="shared" si="164"/>
        <v>0</v>
      </c>
      <c r="EJ307" s="364">
        <f t="shared" si="165"/>
        <v>0</v>
      </c>
      <c r="EK307" s="365">
        <f t="shared" si="166"/>
        <v>0</v>
      </c>
      <c r="EL307" s="529">
        <f t="shared" si="167"/>
        <v>0</v>
      </c>
      <c r="EM307" s="530">
        <v>0</v>
      </c>
      <c r="EN307" s="530">
        <v>0</v>
      </c>
      <c r="EO307" s="530">
        <v>0</v>
      </c>
      <c r="EP307" s="530">
        <v>0</v>
      </c>
      <c r="EQ307" s="530">
        <v>0</v>
      </c>
      <c r="ER307" s="530">
        <v>0</v>
      </c>
      <c r="ES307" s="530">
        <v>0</v>
      </c>
      <c r="ET307" s="530">
        <v>0</v>
      </c>
      <c r="EU307" s="530">
        <v>0</v>
      </c>
      <c r="EV307" s="530">
        <v>0</v>
      </c>
      <c r="EW307" s="530">
        <v>0</v>
      </c>
      <c r="EX307" s="530">
        <v>0</v>
      </c>
      <c r="EY307" s="530">
        <f t="shared" si="168"/>
        <v>0</v>
      </c>
      <c r="EZ307" s="530">
        <f t="shared" si="169"/>
        <v>0</v>
      </c>
      <c r="FA307" s="530">
        <f t="shared" si="170"/>
        <v>0</v>
      </c>
      <c r="FB307" s="530">
        <f t="shared" si="171"/>
        <v>0</v>
      </c>
      <c r="FC307" s="384">
        <f>IFERROR(VLOOKUP(Capex!A315,BASE_558!D:R,8,FALSE)/1000,"")</f>
        <v>216.6</v>
      </c>
      <c r="FD307" s="328">
        <f>IFERROR(VLOOKUP(Capex!A315,BASE_558!D:R,9,)/1000,"")</f>
        <v>152.17340999999999</v>
      </c>
      <c r="FE307" s="328">
        <f>IFERROR(IF(LEFT(A307,3)="LCP",(VLOOKUP(Capex!A315,BASE_558!D:R,10,)/1000),SUMIFS('BASE ICP_PO_SC'!F:F,'BASE ICP_PO_SC'!A:A,Capex!A315,'BASE ICP_PO_SC'!E:E,"&lt;&gt;")/1000),"")</f>
        <v>0</v>
      </c>
      <c r="FF307" s="328">
        <f>IFERROR(IF(LEFT(A307,3)="LCP",(VLOOKUP(Capex!A315,BASE_558!D:R,11,)/1000),SUMIFS('BASE ICP_PO_SC'!F:F,'BASE ICP_PO_SC'!A:A,Capex!A315,'BASE ICP_PO_SC'!E:E,"")/1000),"")</f>
        <v>0</v>
      </c>
      <c r="FG307" s="328">
        <f>IFERROR(VLOOKUP(A307,BASE_558!D:R,13,FALSE)/1000,"")</f>
        <v>18.710990000000002</v>
      </c>
      <c r="FH307" s="328">
        <f>IFERROR(VLOOKUP(A307,BASE_558!D:R,15,FALSE)/1000,"")</f>
        <v>205.98901000000001</v>
      </c>
      <c r="FI307" s="547">
        <f t="shared" si="172"/>
        <v>0</v>
      </c>
      <c r="FJ307" s="547">
        <f t="shared" si="173"/>
        <v>0</v>
      </c>
      <c r="FK307" s="540">
        <f t="shared" si="174"/>
        <v>0</v>
      </c>
    </row>
    <row r="308" spans="1:167" s="23" customFormat="1" ht="24" customHeight="1">
      <c r="A308" s="84" t="s">
        <v>2355</v>
      </c>
      <c r="B308" s="404"/>
      <c r="C308" s="404" t="s">
        <v>602</v>
      </c>
      <c r="D308" s="338" t="s">
        <v>2707</v>
      </c>
      <c r="E308" s="378">
        <v>6954753</v>
      </c>
      <c r="F308" s="5"/>
      <c r="G308" s="310" t="s">
        <v>9</v>
      </c>
      <c r="H308" s="338"/>
      <c r="I308" s="356" t="s">
        <v>6</v>
      </c>
      <c r="J308" s="356">
        <v>2023</v>
      </c>
      <c r="K308" s="352">
        <v>45030</v>
      </c>
      <c r="L308" s="317">
        <v>45412</v>
      </c>
      <c r="M308" s="409"/>
      <c r="N308" s="317">
        <f t="shared" si="177"/>
        <v>45942</v>
      </c>
      <c r="O308" s="317">
        <f t="shared" si="178"/>
        <v>46307</v>
      </c>
      <c r="P308" s="418" t="str">
        <f t="shared" si="183"/>
        <v>NÃO</v>
      </c>
      <c r="Q308" s="418" t="str">
        <f t="shared" si="183"/>
        <v>NÃO</v>
      </c>
      <c r="R308" s="418" t="str">
        <f t="shared" si="183"/>
        <v>NÃO</v>
      </c>
      <c r="S308" s="418" t="str">
        <f t="shared" si="183"/>
        <v>NÃO</v>
      </c>
      <c r="T308" s="418" t="str">
        <f t="shared" si="183"/>
        <v>NÃO</v>
      </c>
      <c r="U308" s="418" t="str">
        <f t="shared" si="183"/>
        <v>NÃO</v>
      </c>
      <c r="V308" s="418" t="str">
        <f t="shared" si="183"/>
        <v>NÃO</v>
      </c>
      <c r="W308" s="418" t="str">
        <f t="shared" si="183"/>
        <v>NÃO</v>
      </c>
      <c r="X308" s="418" t="str">
        <f t="shared" si="183"/>
        <v>NÃO</v>
      </c>
      <c r="Y308" s="418" t="str">
        <f t="shared" si="183"/>
        <v>NÃO</v>
      </c>
      <c r="Z308" s="418" t="str">
        <f t="shared" si="183"/>
        <v>NÃO</v>
      </c>
      <c r="AA308" s="418" t="str">
        <f t="shared" si="183"/>
        <v>NÃO</v>
      </c>
      <c r="AB308" s="350"/>
      <c r="AC308" s="309" t="s">
        <v>2508</v>
      </c>
      <c r="AD308" s="311"/>
      <c r="AE308" s="361"/>
      <c r="AF308" s="310" t="s">
        <v>6985</v>
      </c>
      <c r="AG308" s="310" t="s">
        <v>9083</v>
      </c>
      <c r="AH308" s="310" t="s">
        <v>2567</v>
      </c>
      <c r="AI308" s="309" t="s">
        <v>2255</v>
      </c>
      <c r="AJ308" s="6" t="s">
        <v>218</v>
      </c>
      <c r="AK308" s="6" t="str">
        <f t="shared" si="152"/>
        <v>IGUAL</v>
      </c>
      <c r="AL308" s="151" t="str">
        <f>IFERROR(IF(LEFT(A308,3)="LCP",VLOOKUP(A308,STATUS_SAP_LCP!B:C,2,FALSE),VLOOKUP(A308,STATUS_SAP_ICP!B:C,2,FALSE)),"NO BUDGET")</f>
        <v>CLSD BUDG AUC  AVAC  //  APPR BREL EXPL</v>
      </c>
      <c r="AM308" s="6" t="str">
        <f t="shared" si="151"/>
        <v>CLSD</v>
      </c>
      <c r="AN308" s="414" t="s">
        <v>9087</v>
      </c>
      <c r="AO308" s="558">
        <v>1</v>
      </c>
      <c r="AP308" s="499" t="s">
        <v>9607</v>
      </c>
      <c r="AQ308" s="465">
        <v>45412</v>
      </c>
      <c r="AR308" s="460"/>
      <c r="AS308" s="57"/>
      <c r="AT308" s="185"/>
      <c r="AU308" s="318">
        <v>0</v>
      </c>
      <c r="AV308" s="223">
        <v>0</v>
      </c>
      <c r="AW308" s="318">
        <v>65.899760000000001</v>
      </c>
      <c r="AX308" s="223">
        <v>0</v>
      </c>
      <c r="AY308" s="318">
        <f t="shared" si="179"/>
        <v>0</v>
      </c>
      <c r="AZ308" s="223"/>
      <c r="BA308" s="318"/>
      <c r="BB308" s="519">
        <f t="shared" si="180"/>
        <v>0</v>
      </c>
      <c r="BC308" s="518">
        <v>0</v>
      </c>
      <c r="BD308" s="518">
        <v>0</v>
      </c>
      <c r="BE308" s="518">
        <v>0</v>
      </c>
      <c r="BF308" s="518">
        <v>0</v>
      </c>
      <c r="BG308" s="518">
        <v>0</v>
      </c>
      <c r="BH308" s="518">
        <v>0</v>
      </c>
      <c r="BI308" s="518">
        <v>0</v>
      </c>
      <c r="BJ308" s="518">
        <v>0</v>
      </c>
      <c r="BK308" s="518">
        <v>0</v>
      </c>
      <c r="BL308" s="518">
        <v>0</v>
      </c>
      <c r="BM308" s="518">
        <v>0</v>
      </c>
      <c r="BN308" s="518">
        <v>0</v>
      </c>
      <c r="BO308" s="367">
        <f t="shared" si="153"/>
        <v>0</v>
      </c>
      <c r="BP308" s="421">
        <v>0</v>
      </c>
      <c r="BQ308" s="422"/>
      <c r="BR308" s="423">
        <f>IFERROR(IF(LEFT($A308,3)="Lcp",SUMIFS('BASE-LCP'!$K:$K,'BASE-LCP'!$A:$A,Capex!$A316,'BASE-LCP'!$B:$B,"janeiro")/1000,IF(LEFT($A308,3)="icp",SUMIFS('BASE-ICP'!$K:$K,'BASE-ICP'!$A:$A,Capex!$A316,'BASE-ICP'!$B:$B,"janeiro")/1000,"")),"")</f>
        <v>0</v>
      </c>
      <c r="BS308" s="427">
        <v>0</v>
      </c>
      <c r="BT308" s="372">
        <v>0</v>
      </c>
      <c r="BU308" s="422"/>
      <c r="BV308" s="423">
        <f>IFERROR(IF(LEFT($A308,3)="Lcp",SUMIFS('BASE-LCP'!$K:$K,'BASE-LCP'!$A:$A,Capex!$A316,'BASE-LCP'!$B:$B,"fevereiro")/1000,IF(LEFT($A308,3)="icp",SUMIFS('BASE-ICP'!$K:$K,'BASE-ICP'!$A:$A,Capex!$A316,'BASE-ICP'!$B:$B,"fevereiro")/1000,"")),"")</f>
        <v>0</v>
      </c>
      <c r="BW308" s="427">
        <v>0</v>
      </c>
      <c r="BX308" s="372">
        <v>0</v>
      </c>
      <c r="BY308" s="419"/>
      <c r="BZ308" s="423">
        <f>IFERROR(IF(LEFT($A308,3)="Lcp",SUMIFS('BASE-LCP'!$K:$K,'BASE-LCP'!$A:$A,Capex!$A316,'BASE-LCP'!$B:$B,"março")/1000,IF(LEFT($A308,3)="icp",SUMIFS('BASE-ICP'!$K:$K,'BASE-ICP'!$A:$A,Capex!$A316,'BASE-ICP'!$B:$B,"março")/1000,"")),"")</f>
        <v>0</v>
      </c>
      <c r="CA308" s="427">
        <v>0</v>
      </c>
      <c r="CB308" s="372">
        <v>0</v>
      </c>
      <c r="CC308" s="422"/>
      <c r="CD308" s="423">
        <f>IFERROR(IF(LEFT($A308,3)="Lcp",SUMIFS('BASE-LCP'!$K:$K,'BASE-LCP'!$A:$A,Capex!$A316,'BASE-LCP'!$B:$B,"abril")/1000,IF(LEFT($A308,3)="icp",SUMIFS('BASE-ICP'!$K:$K,'BASE-ICP'!$A:$A,Capex!$A316,'BASE-ICP'!$B:$B,"abril")/1000,"")),"")</f>
        <v>0</v>
      </c>
      <c r="CE308" s="427">
        <v>0</v>
      </c>
      <c r="CF308" s="372">
        <v>0</v>
      </c>
      <c r="CG308" s="419"/>
      <c r="CH308" s="423">
        <v>0</v>
      </c>
      <c r="CI308" s="427">
        <v>0</v>
      </c>
      <c r="CJ308" s="372">
        <v>0</v>
      </c>
      <c r="CK308" s="419"/>
      <c r="CL308" s="423">
        <f>IFERROR(IF(LEFT($A308,3)="Lcp",SUMIFS('BASE-LCP'!$K:$K,'BASE-LCP'!$A:$A,Capex!$A316,'BASE-LCP'!$B:$B,"junho")/1000,IF(LEFT($A308,3)="icp",SUMIFS('BASE-ICP'!$K:$K,'BASE-ICP'!$A:$A,Capex!$A316,'BASE-ICP'!$B:$B,"junho")/1000,"")),"")</f>
        <v>0</v>
      </c>
      <c r="CM308" s="427">
        <v>0</v>
      </c>
      <c r="CN308" s="372"/>
      <c r="CO308" s="419"/>
      <c r="CP308" s="423">
        <f>IFERROR(IF(LEFT($A308,3)="Lcp",SUMIFS('BASE-LCP'!$K:$K,'BASE-LCP'!$A:$A,Capex!$A316,'BASE-LCP'!$B:$B,"julho")/1000,IF(LEFT($A308,3)="icp",SUMIFS('BASE-ICP'!$K:$K,'BASE-ICP'!$A:$A,Capex!$A316,'BASE-ICP'!$B:$B,"julho")/1000,"")),"")</f>
        <v>0</v>
      </c>
      <c r="CQ308" s="427">
        <v>0</v>
      </c>
      <c r="CR308" s="372"/>
      <c r="CS308" s="419"/>
      <c r="CT308" s="423">
        <f>IFERROR(IF(LEFT($A308,3)="Lcp",SUMIFS('BASE-LCP'!$K:$K,'BASE-LCP'!$A:$A,Capex!$A316,'BASE-LCP'!$B:$B,"agosto")/1000,IF(LEFT($A308,3)="icp",SUMIFS('BASE-ICP'!$K:$K,'BASE-ICP'!$A:$A,Capex!$A316,'BASE-ICP'!$B:$B,"agosto")/1000,"")),"")</f>
        <v>0</v>
      </c>
      <c r="CU308" s="427">
        <v>0</v>
      </c>
      <c r="CV308" s="372"/>
      <c r="CW308" s="419"/>
      <c r="CX308" s="423">
        <f>IFERROR(IF(LEFT($A308,3)="Lcp",SUMIFS('BASE-LCP'!$K:$K,'BASE-LCP'!$A:$A,Capex!$A316,'BASE-LCP'!$B:$B,"setembro")/1000,IF(LEFT($A308,3)="icp",SUMIFS('BASE-ICP'!$K:$K,'BASE-ICP'!$A:$A,Capex!$A316,'BASE-ICP'!$B:$B,"setembro")/1000,"")),"")</f>
        <v>0</v>
      </c>
      <c r="CY308" s="427">
        <v>0</v>
      </c>
      <c r="CZ308" s="372"/>
      <c r="DA308" s="419"/>
      <c r="DB308" s="423">
        <f>IFERROR(IF(LEFT($A308,3)="Lcp",SUMIFS('BASE-LCP'!$K:$K,'BASE-LCP'!$A:$A,Capex!$A316,'BASE-LCP'!$B:$B,"outubro")/1000,IF(LEFT($A308,3)="icp",SUMIFS('BASE-ICP'!$K:$K,'BASE-ICP'!$A:$A,Capex!$A316,'BASE-ICP'!$B:$B,"outubro")/1000,"")),"")</f>
        <v>0</v>
      </c>
      <c r="DC308" s="427">
        <v>0</v>
      </c>
      <c r="DD308" s="372"/>
      <c r="DE308" s="419"/>
      <c r="DF308" s="423">
        <f>IFERROR(IF(LEFT($A308,3)="Lcp",SUMIFS('BASE-LCP'!$K:$K,'BASE-LCP'!$A:$A,Capex!$A316,'BASE-LCP'!$B:$B,"novembro")/1000,IF(LEFT($A308,3)="icp",SUMIFS('BASE-ICP'!$K:$K,'BASE-ICP'!$A:$A,Capex!$A316,'BASE-ICP'!$B:$B,"novembro")/1000,"")),"")</f>
        <v>0</v>
      </c>
      <c r="DG308" s="427">
        <v>0</v>
      </c>
      <c r="DH308" s="372"/>
      <c r="DI308" s="419"/>
      <c r="DJ308" s="423">
        <f>IFERROR(IF(LEFT($A308,3)="Lcp",SUMIFS('BASE-LCP'!$K:$K,'BASE-LCP'!$A:$A,Capex!$A316,'BASE-LCP'!$B:$B,"dezembro")/1000,IF(LEFT($A308,3)="icp",SUMIFS('BASE-ICP'!$K:$K,'BASE-ICP'!$A:$A,Capex!$A316,'BASE-ICP'!$B:$B,"dezembro")/1000,"")),"")</f>
        <v>0</v>
      </c>
      <c r="DK308" s="427">
        <v>0</v>
      </c>
      <c r="DL308" s="452">
        <f t="shared" si="154"/>
        <v>0</v>
      </c>
      <c r="DM308" s="374"/>
      <c r="DN308" s="374">
        <v>0</v>
      </c>
      <c r="DO308" s="374"/>
      <c r="DP308" s="374"/>
      <c r="DQ308" s="374"/>
      <c r="DR308" s="374"/>
      <c r="DS308" s="374"/>
      <c r="DT308" s="374"/>
      <c r="DU308" s="374"/>
      <c r="DV308" s="374"/>
      <c r="DW308" s="374"/>
      <c r="DX308" s="374"/>
      <c r="DY308" s="450"/>
      <c r="DZ308" s="374">
        <f t="shared" si="155"/>
        <v>0</v>
      </c>
      <c r="EA308" s="216">
        <f t="shared" si="156"/>
        <v>0</v>
      </c>
      <c r="EB308" s="320">
        <f t="shared" si="157"/>
        <v>0</v>
      </c>
      <c r="EC308" s="241">
        <f t="shared" si="158"/>
        <v>0</v>
      </c>
      <c r="ED308" s="241">
        <f t="shared" si="159"/>
        <v>0</v>
      </c>
      <c r="EE308" s="241">
        <f t="shared" si="160"/>
        <v>0</v>
      </c>
      <c r="EF308" s="241">
        <f t="shared" si="161"/>
        <v>0</v>
      </c>
      <c r="EG308" s="346">
        <f t="shared" si="162"/>
        <v>0</v>
      </c>
      <c r="EH308" s="445">
        <f t="shared" si="163"/>
        <v>0</v>
      </c>
      <c r="EI308" s="447">
        <f t="shared" si="164"/>
        <v>0</v>
      </c>
      <c r="EJ308" s="364">
        <f t="shared" si="165"/>
        <v>0</v>
      </c>
      <c r="EK308" s="365">
        <f t="shared" si="166"/>
        <v>0</v>
      </c>
      <c r="EL308" s="529">
        <f t="shared" si="167"/>
        <v>0</v>
      </c>
      <c r="EM308" s="530">
        <v>0</v>
      </c>
      <c r="EN308" s="530">
        <v>0</v>
      </c>
      <c r="EO308" s="530">
        <v>0</v>
      </c>
      <c r="EP308" s="530">
        <v>0</v>
      </c>
      <c r="EQ308" s="530">
        <v>0</v>
      </c>
      <c r="ER308" s="530">
        <v>0</v>
      </c>
      <c r="ES308" s="530">
        <v>0</v>
      </c>
      <c r="ET308" s="530">
        <v>0</v>
      </c>
      <c r="EU308" s="530">
        <v>0</v>
      </c>
      <c r="EV308" s="530">
        <v>0</v>
      </c>
      <c r="EW308" s="530">
        <v>0</v>
      </c>
      <c r="EX308" s="530">
        <v>0</v>
      </c>
      <c r="EY308" s="530">
        <f t="shared" si="168"/>
        <v>0</v>
      </c>
      <c r="EZ308" s="530">
        <f t="shared" si="169"/>
        <v>0</v>
      </c>
      <c r="FA308" s="530">
        <f t="shared" si="170"/>
        <v>0</v>
      </c>
      <c r="FB308" s="530">
        <f t="shared" si="171"/>
        <v>0</v>
      </c>
      <c r="FC308" s="384">
        <f>IFERROR(VLOOKUP(Capex!A316,BASE_558!D:R,8,FALSE)/1000,"")</f>
        <v>0</v>
      </c>
      <c r="FD308" s="328">
        <f>IFERROR(VLOOKUP(Capex!A316,BASE_558!D:R,9,)/1000,"")</f>
        <v>0</v>
      </c>
      <c r="FE308" s="328">
        <f>IFERROR(IF(LEFT(A308,3)="LCP",(VLOOKUP(Capex!A316,BASE_558!D:R,10,)/1000),SUMIFS('BASE ICP_PO_SC'!F:F,'BASE ICP_PO_SC'!A:A,Capex!A316,'BASE ICP_PO_SC'!E:E,"&lt;&gt;")/1000),"")</f>
        <v>0</v>
      </c>
      <c r="FF308" s="328">
        <f>IFERROR(IF(LEFT(A308,3)="LCP",(VLOOKUP(Capex!A316,BASE_558!D:R,11,)/1000),SUMIFS('BASE ICP_PO_SC'!F:F,'BASE ICP_PO_SC'!A:A,Capex!A316,'BASE ICP_PO_SC'!E:E,"")/1000),"")</f>
        <v>0</v>
      </c>
      <c r="FG308" s="328">
        <f>IFERROR(VLOOKUP(A308,BASE_558!D:R,13,FALSE)/1000,"")</f>
        <v>65.899760000000001</v>
      </c>
      <c r="FH308" s="328">
        <f>IFERROR(VLOOKUP(A308,BASE_558!D:R,15,FALSE)/1000,"")</f>
        <v>18.100240000000003</v>
      </c>
      <c r="FI308" s="547">
        <f t="shared" si="172"/>
        <v>0</v>
      </c>
      <c r="FJ308" s="547">
        <f t="shared" si="173"/>
        <v>0</v>
      </c>
      <c r="FK308" s="540">
        <f t="shared" si="174"/>
        <v>0</v>
      </c>
    </row>
    <row r="309" spans="1:167" s="23" customFormat="1" ht="24" customHeight="1">
      <c r="A309" s="310" t="s">
        <v>2357</v>
      </c>
      <c r="B309" s="404"/>
      <c r="C309" s="404"/>
      <c r="D309" s="338" t="s">
        <v>2358</v>
      </c>
      <c r="E309" s="378">
        <v>6956999</v>
      </c>
      <c r="F309" s="5"/>
      <c r="G309" s="310" t="s">
        <v>9</v>
      </c>
      <c r="H309" s="338" t="s">
        <v>6</v>
      </c>
      <c r="I309" s="356"/>
      <c r="J309" s="356">
        <v>2023</v>
      </c>
      <c r="K309" s="352">
        <v>45040</v>
      </c>
      <c r="L309" s="317"/>
      <c r="M309" s="409"/>
      <c r="N309" s="317">
        <f t="shared" si="177"/>
        <v>45952</v>
      </c>
      <c r="O309" s="317">
        <f t="shared" si="178"/>
        <v>46317</v>
      </c>
      <c r="P309" s="418" t="str">
        <f t="shared" si="183"/>
        <v>NÃO</v>
      </c>
      <c r="Q309" s="418" t="str">
        <f t="shared" si="183"/>
        <v>NÃO</v>
      </c>
      <c r="R309" s="418" t="str">
        <f t="shared" si="183"/>
        <v>NÃO</v>
      </c>
      <c r="S309" s="418" t="str">
        <f t="shared" si="183"/>
        <v>NÃO</v>
      </c>
      <c r="T309" s="418" t="str">
        <f t="shared" si="183"/>
        <v>NÃO</v>
      </c>
      <c r="U309" s="418" t="str">
        <f t="shared" si="183"/>
        <v>NÃO</v>
      </c>
      <c r="V309" s="418" t="str">
        <f t="shared" si="183"/>
        <v>NÃO</v>
      </c>
      <c r="W309" s="418" t="str">
        <f t="shared" si="183"/>
        <v>NÃO</v>
      </c>
      <c r="X309" s="418" t="str">
        <f t="shared" si="183"/>
        <v>NÃO</v>
      </c>
      <c r="Y309" s="418" t="str">
        <f t="shared" si="183"/>
        <v>SIM</v>
      </c>
      <c r="Z309" s="551" t="str">
        <f t="shared" si="183"/>
        <v>SIM</v>
      </c>
      <c r="AA309" s="567" t="str">
        <f t="shared" si="183"/>
        <v>SIM</v>
      </c>
      <c r="AB309" s="350"/>
      <c r="AC309" s="309" t="s">
        <v>3931</v>
      </c>
      <c r="AD309" s="311" t="s">
        <v>223</v>
      </c>
      <c r="AE309" s="361"/>
      <c r="AF309" s="310" t="s">
        <v>6985</v>
      </c>
      <c r="AG309" s="310" t="s">
        <v>2485</v>
      </c>
      <c r="AH309" s="310" t="s">
        <v>2837</v>
      </c>
      <c r="AI309" s="381" t="s">
        <v>188</v>
      </c>
      <c r="AJ309" s="6" t="s">
        <v>6786</v>
      </c>
      <c r="AK309" s="6" t="str">
        <f t="shared" si="152"/>
        <v>IGUAL</v>
      </c>
      <c r="AL309" s="151" t="str">
        <f>IFERROR(IF(LEFT(A309,3)="LCP",VLOOKUP(A309,STATUS_SAP_LCP!B:C,2,FALSE),VLOOKUP(A309,STATUS_SAP_ICP!B:C,2,FALSE)),"NO BUDGET")</f>
        <v>REL  BUDG AUC  AVAC  //  APPR BREL EXPL</v>
      </c>
      <c r="AM309" s="6" t="str">
        <f t="shared" si="151"/>
        <v xml:space="preserve">REL </v>
      </c>
      <c r="AN309" s="414" t="s">
        <v>17628</v>
      </c>
      <c r="AO309" s="414"/>
      <c r="AP309" s="499" t="s">
        <v>9616</v>
      </c>
      <c r="AQ309" s="465">
        <v>45870</v>
      </c>
      <c r="AR309" s="460"/>
      <c r="AS309" s="57"/>
      <c r="AT309" s="185"/>
      <c r="AU309" s="318"/>
      <c r="AV309" s="223">
        <v>0</v>
      </c>
      <c r="AW309" s="318">
        <v>0</v>
      </c>
      <c r="AX309" s="223">
        <v>11.13641</v>
      </c>
      <c r="AY309" s="318">
        <f t="shared" si="179"/>
        <v>117.03801999999999</v>
      </c>
      <c r="AZ309" s="223"/>
      <c r="BA309" s="318"/>
      <c r="BB309" s="519">
        <f t="shared" si="180"/>
        <v>195</v>
      </c>
      <c r="BC309" s="518">
        <v>0</v>
      </c>
      <c r="BD309" s="518">
        <v>0</v>
      </c>
      <c r="BE309" s="518">
        <v>0</v>
      </c>
      <c r="BF309" s="518">
        <v>0</v>
      </c>
      <c r="BG309" s="518">
        <v>0</v>
      </c>
      <c r="BH309" s="518">
        <v>0</v>
      </c>
      <c r="BI309" s="518">
        <v>195</v>
      </c>
      <c r="BJ309" s="518">
        <v>0</v>
      </c>
      <c r="BK309" s="518">
        <v>0</v>
      </c>
      <c r="BL309" s="518">
        <v>0</v>
      </c>
      <c r="BM309" s="518">
        <v>0</v>
      </c>
      <c r="BN309" s="518">
        <v>0</v>
      </c>
      <c r="BO309" s="367">
        <f t="shared" si="153"/>
        <v>117.03801999999999</v>
      </c>
      <c r="BP309" s="421">
        <v>0</v>
      </c>
      <c r="BQ309" s="422"/>
      <c r="BR309" s="423">
        <f>IFERROR(IF(LEFT($A309,3)="Lcp",SUMIFS('BASE-LCP'!$K:$K,'BASE-LCP'!$A:$A,Capex!$A317,'BASE-LCP'!$B:$B,"janeiro")/1000,IF(LEFT($A309,3)="icp",SUMIFS('BASE-ICP'!$K:$K,'BASE-ICP'!$A:$A,Capex!$A317,'BASE-ICP'!$B:$B,"janeiro")/1000,"")),"")</f>
        <v>31.09056</v>
      </c>
      <c r="BS309" s="427">
        <v>0</v>
      </c>
      <c r="BT309" s="372">
        <v>0</v>
      </c>
      <c r="BU309" s="422"/>
      <c r="BV309" s="423">
        <f>IFERROR(IF(LEFT($A309,3)="Lcp",SUMIFS('BASE-LCP'!$K:$K,'BASE-LCP'!$A:$A,Capex!$A317,'BASE-LCP'!$B:$B,"fevereiro")/1000,IF(LEFT($A309,3)="icp",SUMIFS('BASE-ICP'!$K:$K,'BASE-ICP'!$A:$A,Capex!$A317,'BASE-ICP'!$B:$B,"fevereiro")/1000,"")),"")</f>
        <v>0</v>
      </c>
      <c r="BW309" s="427">
        <v>0</v>
      </c>
      <c r="BX309" s="372">
        <v>0</v>
      </c>
      <c r="BY309" s="419">
        <v>0.93801999999999996</v>
      </c>
      <c r="BZ309" s="423">
        <f>IFERROR(IF(LEFT($A309,3)="Lcp",SUMIFS('BASE-LCP'!$K:$K,'BASE-LCP'!$A:$A,Capex!$A317,'BASE-LCP'!$B:$B,"março")/1000,IF(LEFT($A309,3)="icp",SUMIFS('BASE-ICP'!$K:$K,'BASE-ICP'!$A:$A,Capex!$A317,'BASE-ICP'!$B:$B,"março")/1000,"")),"")</f>
        <v>0</v>
      </c>
      <c r="CA309" s="427">
        <v>0.93802000000000008</v>
      </c>
      <c r="CB309" s="372">
        <v>0</v>
      </c>
      <c r="CC309" s="422"/>
      <c r="CD309" s="423">
        <f>IFERROR(IF(LEFT($A309,3)="Lcp",SUMIFS('BASE-LCP'!$K:$K,'BASE-LCP'!$A:$A,Capex!$A317,'BASE-LCP'!$B:$B,"abril")/1000,IF(LEFT($A309,3)="icp",SUMIFS('BASE-ICP'!$K:$K,'BASE-ICP'!$A:$A,Capex!$A317,'BASE-ICP'!$B:$B,"abril")/1000,"")),"")</f>
        <v>0</v>
      </c>
      <c r="CE309" s="427">
        <v>0</v>
      </c>
      <c r="CF309" s="372">
        <v>0</v>
      </c>
      <c r="CG309" s="419"/>
      <c r="CH309" s="423">
        <v>0</v>
      </c>
      <c r="CI309" s="427">
        <v>0</v>
      </c>
      <c r="CJ309" s="372">
        <v>0</v>
      </c>
      <c r="CK309" s="419"/>
      <c r="CL309" s="423">
        <f>IFERROR(IF(LEFT($A309,3)="Lcp",SUMIFS('BASE-LCP'!$K:$K,'BASE-LCP'!$A:$A,Capex!$A317,'BASE-LCP'!$B:$B,"junho")/1000,IF(LEFT($A309,3)="icp",SUMIFS('BASE-ICP'!$K:$K,'BASE-ICP'!$A:$A,Capex!$A317,'BASE-ICP'!$B:$B,"junho")/1000,"")),"")</f>
        <v>-33.830400000000004</v>
      </c>
      <c r="CM309" s="427">
        <v>0</v>
      </c>
      <c r="CN309" s="372"/>
      <c r="CO309" s="419"/>
      <c r="CP309" s="423">
        <f>IFERROR(IF(LEFT($A309,3)="Lcp",SUMIFS('BASE-LCP'!$K:$K,'BASE-LCP'!$A:$A,Capex!$A317,'BASE-LCP'!$B:$B,"julho")/1000,IF(LEFT($A309,3)="icp",SUMIFS('BASE-ICP'!$K:$K,'BASE-ICP'!$A:$A,Capex!$A317,'BASE-ICP'!$B:$B,"julho")/1000,"")),"")</f>
        <v>0</v>
      </c>
      <c r="CQ309" s="427">
        <v>0</v>
      </c>
      <c r="CR309" s="372"/>
      <c r="CS309" s="419"/>
      <c r="CT309" s="423">
        <f>IFERROR(IF(LEFT($A309,3)="Lcp",SUMIFS('BASE-LCP'!$K:$K,'BASE-LCP'!$A:$A,Capex!$A317,'BASE-LCP'!$B:$B,"agosto")/1000,IF(LEFT($A309,3)="icp",SUMIFS('BASE-ICP'!$K:$K,'BASE-ICP'!$A:$A,Capex!$A317,'BASE-ICP'!$B:$B,"agosto")/1000,"")),"")</f>
        <v>0</v>
      </c>
      <c r="CU309" s="427">
        <v>0</v>
      </c>
      <c r="CV309" s="372"/>
      <c r="CW309" s="419"/>
      <c r="CX309" s="423">
        <f>IFERROR(IF(LEFT($A309,3)="Lcp",SUMIFS('BASE-LCP'!$K:$K,'BASE-LCP'!$A:$A,Capex!$A317,'BASE-LCP'!$B:$B,"setembro")/1000,IF(LEFT($A309,3)="icp",SUMIFS('BASE-ICP'!$K:$K,'BASE-ICP'!$A:$A,Capex!$A317,'BASE-ICP'!$B:$B,"setembro")/1000,"")),"")</f>
        <v>0</v>
      </c>
      <c r="CY309" s="427">
        <v>0</v>
      </c>
      <c r="CZ309" s="372"/>
      <c r="DA309" s="419"/>
      <c r="DB309" s="423">
        <f>IFERROR(IF(LEFT($A309,3)="Lcp",SUMIFS('BASE-LCP'!$K:$K,'BASE-LCP'!$A:$A,Capex!$A317,'BASE-LCP'!$B:$B,"outubro")/1000,IF(LEFT($A309,3)="icp",SUMIFS('BASE-ICP'!$K:$K,'BASE-ICP'!$A:$A,Capex!$A317,'BASE-ICP'!$B:$B,"outubro")/1000,"")),"")</f>
        <v>0</v>
      </c>
      <c r="DC309" s="427">
        <f>117-0.9</f>
        <v>116.1</v>
      </c>
      <c r="DD309" s="372"/>
      <c r="DE309" s="419"/>
      <c r="DF309" s="423">
        <f>IFERROR(IF(LEFT($A309,3)="Lcp",SUMIFS('BASE-LCP'!$K:$K,'BASE-LCP'!$A:$A,Capex!$A317,'BASE-LCP'!$B:$B,"novembro")/1000,IF(LEFT($A309,3)="icp",SUMIFS('BASE-ICP'!$K:$K,'BASE-ICP'!$A:$A,Capex!$A317,'BASE-ICP'!$B:$B,"novembro")/1000,"")),"")</f>
        <v>0</v>
      </c>
      <c r="DG309" s="427">
        <v>0</v>
      </c>
      <c r="DH309" s="372"/>
      <c r="DI309" s="419"/>
      <c r="DJ309" s="423">
        <f>IFERROR(IF(LEFT($A309,3)="Lcp",SUMIFS('BASE-LCP'!$K:$K,'BASE-LCP'!$A:$A,Capex!$A317,'BASE-LCP'!$B:$B,"dezembro")/1000,IF(LEFT($A309,3)="icp",SUMIFS('BASE-ICP'!$K:$K,'BASE-ICP'!$A:$A,Capex!$A317,'BASE-ICP'!$B:$B,"dezembro")/1000,"")),"")</f>
        <v>0</v>
      </c>
      <c r="DK309" s="427">
        <v>0</v>
      </c>
      <c r="DL309" s="452">
        <f t="shared" si="154"/>
        <v>0</v>
      </c>
      <c r="DM309" s="374"/>
      <c r="DN309" s="374">
        <v>0</v>
      </c>
      <c r="DO309" s="374"/>
      <c r="DP309" s="374"/>
      <c r="DQ309" s="374"/>
      <c r="DR309" s="374"/>
      <c r="DS309" s="374"/>
      <c r="DT309" s="374"/>
      <c r="DU309" s="374"/>
      <c r="DV309" s="374"/>
      <c r="DW309" s="374"/>
      <c r="DX309" s="374"/>
      <c r="DY309" s="450"/>
      <c r="DZ309" s="374">
        <f t="shared" si="155"/>
        <v>0</v>
      </c>
      <c r="EA309" s="216">
        <f t="shared" si="156"/>
        <v>0</v>
      </c>
      <c r="EB309" s="320">
        <f t="shared" si="157"/>
        <v>-33.830400000000004</v>
      </c>
      <c r="EC309" s="241">
        <f t="shared" si="158"/>
        <v>0.93802000000000008</v>
      </c>
      <c r="ED309" s="241">
        <f t="shared" si="159"/>
        <v>0</v>
      </c>
      <c r="EE309" s="241">
        <f t="shared" si="160"/>
        <v>0</v>
      </c>
      <c r="EF309" s="241">
        <f t="shared" si="161"/>
        <v>116.1</v>
      </c>
      <c r="EG309" s="346">
        <f t="shared" si="162"/>
        <v>-77.961980000000011</v>
      </c>
      <c r="EH309" s="445">
        <f t="shared" si="163"/>
        <v>0</v>
      </c>
      <c r="EI309" s="447">
        <f t="shared" si="164"/>
        <v>0</v>
      </c>
      <c r="EJ309" s="364">
        <f t="shared" si="165"/>
        <v>-32.892380000000003</v>
      </c>
      <c r="EK309" s="365">
        <f t="shared" si="166"/>
        <v>149.93039999999999</v>
      </c>
      <c r="EL309" s="529">
        <f t="shared" si="167"/>
        <v>117.03801999999999</v>
      </c>
      <c r="EM309" s="530">
        <v>0</v>
      </c>
      <c r="EN309" s="530">
        <v>0</v>
      </c>
      <c r="EO309" s="530">
        <v>0.93802000000000008</v>
      </c>
      <c r="EP309" s="530">
        <v>0</v>
      </c>
      <c r="EQ309" s="530">
        <v>0</v>
      </c>
      <c r="ER309" s="530">
        <v>0</v>
      </c>
      <c r="ES309" s="530">
        <v>0</v>
      </c>
      <c r="ET309" s="530">
        <v>0</v>
      </c>
      <c r="EU309" s="530">
        <v>0</v>
      </c>
      <c r="EV309" s="530">
        <v>116.1</v>
      </c>
      <c r="EW309" s="530">
        <v>0</v>
      </c>
      <c r="EX309" s="530">
        <v>0</v>
      </c>
      <c r="EY309" s="530">
        <f t="shared" si="168"/>
        <v>0.93802000000000008</v>
      </c>
      <c r="EZ309" s="530">
        <f t="shared" si="169"/>
        <v>0</v>
      </c>
      <c r="FA309" s="530">
        <f t="shared" si="170"/>
        <v>0</v>
      </c>
      <c r="FB309" s="530">
        <f t="shared" si="171"/>
        <v>116.1</v>
      </c>
      <c r="FC309" s="384">
        <f>IFERROR(VLOOKUP(Capex!A317,BASE_558!D:R,8,FALSE)/1000,"")</f>
        <v>336.6</v>
      </c>
      <c r="FD309" s="328">
        <f>IFERROR(VLOOKUP(Capex!A317,BASE_558!D:R,9,)/1000,"")</f>
        <v>91.280140000000003</v>
      </c>
      <c r="FE309" s="328">
        <f>IFERROR(IF(LEFT(A309,3)="LCP",(VLOOKUP(Capex!A317,BASE_558!D:R,10,)/1000),SUMIFS('BASE ICP_PO_SC'!F:F,'BASE ICP_PO_SC'!A:A,Capex!A317,'BASE ICP_PO_SC'!E:E,"&lt;&gt;")/1000),"")</f>
        <v>64.241820000000004</v>
      </c>
      <c r="FF309" s="328">
        <f>IFERROR(IF(LEFT(A309,3)="LCP",(VLOOKUP(Capex!A317,BASE_558!D:R,11,)/1000),SUMIFS('BASE ICP_PO_SC'!F:F,'BASE ICP_PO_SC'!A:A,Capex!A317,'BASE ICP_PO_SC'!E:E,"")/1000),"")</f>
        <v>0</v>
      </c>
      <c r="FG309" s="328">
        <f>IFERROR(VLOOKUP(A309,BASE_558!D:R,13,FALSE)/1000,"")</f>
        <v>144.16120999999998</v>
      </c>
      <c r="FH309" s="328">
        <f>IFERROR(VLOOKUP(A309,BASE_558!D:R,15,FALSE)/1000,"")</f>
        <v>77.538789999999992</v>
      </c>
      <c r="FI309" s="547">
        <f t="shared" si="172"/>
        <v>0</v>
      </c>
      <c r="FJ309" s="547">
        <f t="shared" si="173"/>
        <v>0</v>
      </c>
      <c r="FK309" s="540">
        <f t="shared" si="174"/>
        <v>0</v>
      </c>
    </row>
    <row r="310" spans="1:167" s="23" customFormat="1" ht="24" customHeight="1">
      <c r="A310" s="84" t="s">
        <v>2359</v>
      </c>
      <c r="B310" s="404"/>
      <c r="C310" s="404"/>
      <c r="D310" s="338" t="s">
        <v>2894</v>
      </c>
      <c r="E310" s="378">
        <v>6959705</v>
      </c>
      <c r="F310" s="5"/>
      <c r="G310" s="310" t="s">
        <v>9</v>
      </c>
      <c r="H310" s="494" t="s">
        <v>6</v>
      </c>
      <c r="I310" s="356" t="s">
        <v>6</v>
      </c>
      <c r="J310" s="356">
        <v>2023</v>
      </c>
      <c r="K310" s="352">
        <v>45032</v>
      </c>
      <c r="L310" s="317">
        <v>45529</v>
      </c>
      <c r="M310" s="409"/>
      <c r="N310" s="317">
        <f t="shared" si="177"/>
        <v>45944</v>
      </c>
      <c r="O310" s="317">
        <f t="shared" si="178"/>
        <v>46309</v>
      </c>
      <c r="P310" s="418" t="str">
        <f t="shared" si="183"/>
        <v>NÃO</v>
      </c>
      <c r="Q310" s="418" t="str">
        <f t="shared" si="183"/>
        <v>NÃO</v>
      </c>
      <c r="R310" s="418" t="str">
        <f t="shared" si="183"/>
        <v>NÃO</v>
      </c>
      <c r="S310" s="418" t="str">
        <f t="shared" si="183"/>
        <v>NÃO</v>
      </c>
      <c r="T310" s="418" t="str">
        <f t="shared" si="183"/>
        <v>NÃO</v>
      </c>
      <c r="U310" s="418" t="str">
        <f t="shared" si="183"/>
        <v>NÃO</v>
      </c>
      <c r="V310" s="418" t="str">
        <f t="shared" si="183"/>
        <v>NÃO</v>
      </c>
      <c r="W310" s="418" t="str">
        <f t="shared" si="183"/>
        <v>NÃO</v>
      </c>
      <c r="X310" s="418" t="str">
        <f t="shared" si="183"/>
        <v>NÃO</v>
      </c>
      <c r="Y310" s="418" t="str">
        <f t="shared" si="183"/>
        <v>NÃO</v>
      </c>
      <c r="Z310" s="418" t="str">
        <f t="shared" si="183"/>
        <v>NÃO</v>
      </c>
      <c r="AA310" s="418" t="str">
        <f t="shared" si="183"/>
        <v>NÃO</v>
      </c>
      <c r="AB310" s="350"/>
      <c r="AC310" s="309" t="s">
        <v>2508</v>
      </c>
      <c r="AD310" s="311" t="s">
        <v>223</v>
      </c>
      <c r="AE310" s="361"/>
      <c r="AF310" s="310" t="s">
        <v>6985</v>
      </c>
      <c r="AG310" s="310" t="s">
        <v>6882</v>
      </c>
      <c r="AH310" s="310" t="s">
        <v>2360</v>
      </c>
      <c r="AI310" s="309" t="s">
        <v>2255</v>
      </c>
      <c r="AJ310" s="6" t="s">
        <v>218</v>
      </c>
      <c r="AK310" s="6" t="str">
        <f t="shared" si="152"/>
        <v>IGUAL</v>
      </c>
      <c r="AL310" s="151" t="str">
        <f>IFERROR(IF(LEFT(A310,3)="LCP",VLOOKUP(A310,STATUS_SAP_LCP!B:C,2,FALSE),VLOOKUP(A310,STATUS_SAP_ICP!B:C,2,FALSE)),"NO BUDGET")</f>
        <v>CLSD BUDG AUC  AVAC  //  APPR BREL EXPL</v>
      </c>
      <c r="AM310" s="6" t="str">
        <f t="shared" si="151"/>
        <v>CLSD</v>
      </c>
      <c r="AN310" s="414" t="s">
        <v>2651</v>
      </c>
      <c r="AO310" s="558">
        <v>1</v>
      </c>
      <c r="AP310" s="499" t="s">
        <v>9607</v>
      </c>
      <c r="AQ310" s="465">
        <v>45529</v>
      </c>
      <c r="AR310" s="460"/>
      <c r="AS310" s="57"/>
      <c r="AT310" s="185"/>
      <c r="AU310" s="318"/>
      <c r="AV310" s="223">
        <v>0</v>
      </c>
      <c r="AW310" s="318">
        <v>80.493799999999993</v>
      </c>
      <c r="AX310" s="223">
        <v>15.17482</v>
      </c>
      <c r="AY310" s="318">
        <f t="shared" si="179"/>
        <v>0</v>
      </c>
      <c r="AZ310" s="223"/>
      <c r="BA310" s="318"/>
      <c r="BB310" s="519">
        <f t="shared" si="180"/>
        <v>0</v>
      </c>
      <c r="BC310" s="518">
        <v>0</v>
      </c>
      <c r="BD310" s="518">
        <v>0</v>
      </c>
      <c r="BE310" s="518">
        <v>0</v>
      </c>
      <c r="BF310" s="518">
        <v>0</v>
      </c>
      <c r="BG310" s="518">
        <v>0</v>
      </c>
      <c r="BH310" s="518">
        <v>0</v>
      </c>
      <c r="BI310" s="518">
        <v>0</v>
      </c>
      <c r="BJ310" s="518">
        <v>0</v>
      </c>
      <c r="BK310" s="518">
        <v>0</v>
      </c>
      <c r="BL310" s="518">
        <v>0</v>
      </c>
      <c r="BM310" s="518">
        <v>0</v>
      </c>
      <c r="BN310" s="518">
        <v>0</v>
      </c>
      <c r="BO310" s="367">
        <f t="shared" si="153"/>
        <v>0</v>
      </c>
      <c r="BP310" s="421">
        <v>0</v>
      </c>
      <c r="BQ310" s="422"/>
      <c r="BR310" s="423">
        <f>IFERROR(IF(LEFT($A310,3)="Lcp",SUMIFS('BASE-LCP'!$K:$K,'BASE-LCP'!$A:$A,Capex!$A318,'BASE-LCP'!$B:$B,"janeiro")/1000,IF(LEFT($A310,3)="icp",SUMIFS('BASE-ICP'!$K:$K,'BASE-ICP'!$A:$A,Capex!$A318,'BASE-ICP'!$B:$B,"janeiro")/1000,"")),"")</f>
        <v>0</v>
      </c>
      <c r="BS310" s="427">
        <v>0</v>
      </c>
      <c r="BT310" s="372">
        <v>0</v>
      </c>
      <c r="BU310" s="422"/>
      <c r="BV310" s="423">
        <f>IFERROR(IF(LEFT($A310,3)="Lcp",SUMIFS('BASE-LCP'!$K:$K,'BASE-LCP'!$A:$A,Capex!$A318,'BASE-LCP'!$B:$B,"fevereiro")/1000,IF(LEFT($A310,3)="icp",SUMIFS('BASE-ICP'!$K:$K,'BASE-ICP'!$A:$A,Capex!$A318,'BASE-ICP'!$B:$B,"fevereiro")/1000,"")),"")</f>
        <v>0</v>
      </c>
      <c r="BW310" s="427">
        <v>0</v>
      </c>
      <c r="BX310" s="372">
        <v>0</v>
      </c>
      <c r="BY310" s="419"/>
      <c r="BZ310" s="423">
        <f>IFERROR(IF(LEFT($A310,3)="Lcp",SUMIFS('BASE-LCP'!$K:$K,'BASE-LCP'!$A:$A,Capex!$A318,'BASE-LCP'!$B:$B,"março")/1000,IF(LEFT($A310,3)="icp",SUMIFS('BASE-ICP'!$K:$K,'BASE-ICP'!$A:$A,Capex!$A318,'BASE-ICP'!$B:$B,"março")/1000,"")),"")</f>
        <v>0</v>
      </c>
      <c r="CA310" s="427">
        <v>0</v>
      </c>
      <c r="CB310" s="372">
        <v>0</v>
      </c>
      <c r="CC310" s="422"/>
      <c r="CD310" s="423">
        <f>IFERROR(IF(LEFT($A310,3)="Lcp",SUMIFS('BASE-LCP'!$K:$K,'BASE-LCP'!$A:$A,Capex!$A318,'BASE-LCP'!$B:$B,"abril")/1000,IF(LEFT($A310,3)="icp",SUMIFS('BASE-ICP'!$K:$K,'BASE-ICP'!$A:$A,Capex!$A318,'BASE-ICP'!$B:$B,"abril")/1000,"")),"")</f>
        <v>0</v>
      </c>
      <c r="CE310" s="427">
        <v>0</v>
      </c>
      <c r="CF310" s="372">
        <v>0</v>
      </c>
      <c r="CG310" s="419"/>
      <c r="CH310" s="423">
        <v>0</v>
      </c>
      <c r="CI310" s="427">
        <v>0</v>
      </c>
      <c r="CJ310" s="372">
        <v>0</v>
      </c>
      <c r="CK310" s="419"/>
      <c r="CL310" s="423">
        <f>IFERROR(IF(LEFT($A310,3)="Lcp",SUMIFS('BASE-LCP'!$K:$K,'BASE-LCP'!$A:$A,Capex!$A318,'BASE-LCP'!$B:$B,"junho")/1000,IF(LEFT($A310,3)="icp",SUMIFS('BASE-ICP'!$K:$K,'BASE-ICP'!$A:$A,Capex!$A318,'BASE-ICP'!$B:$B,"junho")/1000,"")),"")</f>
        <v>0</v>
      </c>
      <c r="CM310" s="427">
        <v>0</v>
      </c>
      <c r="CN310" s="372"/>
      <c r="CO310" s="419"/>
      <c r="CP310" s="423">
        <f>IFERROR(IF(LEFT($A310,3)="Lcp",SUMIFS('BASE-LCP'!$K:$K,'BASE-LCP'!$A:$A,Capex!$A318,'BASE-LCP'!$B:$B,"julho")/1000,IF(LEFT($A310,3)="icp",SUMIFS('BASE-ICP'!$K:$K,'BASE-ICP'!$A:$A,Capex!$A318,'BASE-ICP'!$B:$B,"julho")/1000,"")),"")</f>
        <v>0</v>
      </c>
      <c r="CQ310" s="427">
        <v>0</v>
      </c>
      <c r="CR310" s="372"/>
      <c r="CS310" s="419"/>
      <c r="CT310" s="423">
        <f>IFERROR(IF(LEFT($A310,3)="Lcp",SUMIFS('BASE-LCP'!$K:$K,'BASE-LCP'!$A:$A,Capex!$A318,'BASE-LCP'!$B:$B,"agosto")/1000,IF(LEFT($A310,3)="icp",SUMIFS('BASE-ICP'!$K:$K,'BASE-ICP'!$A:$A,Capex!$A318,'BASE-ICP'!$B:$B,"agosto")/1000,"")),"")</f>
        <v>0</v>
      </c>
      <c r="CU310" s="427">
        <v>0</v>
      </c>
      <c r="CV310" s="372"/>
      <c r="CW310" s="419"/>
      <c r="CX310" s="423">
        <f>IFERROR(IF(LEFT($A310,3)="Lcp",SUMIFS('BASE-LCP'!$K:$K,'BASE-LCP'!$A:$A,Capex!$A318,'BASE-LCP'!$B:$B,"setembro")/1000,IF(LEFT($A310,3)="icp",SUMIFS('BASE-ICP'!$K:$K,'BASE-ICP'!$A:$A,Capex!$A318,'BASE-ICP'!$B:$B,"setembro")/1000,"")),"")</f>
        <v>0</v>
      </c>
      <c r="CY310" s="427">
        <v>0</v>
      </c>
      <c r="CZ310" s="372"/>
      <c r="DA310" s="419"/>
      <c r="DB310" s="423">
        <f>IFERROR(IF(LEFT($A310,3)="Lcp",SUMIFS('BASE-LCP'!$K:$K,'BASE-LCP'!$A:$A,Capex!$A318,'BASE-LCP'!$B:$B,"outubro")/1000,IF(LEFT($A310,3)="icp",SUMIFS('BASE-ICP'!$K:$K,'BASE-ICP'!$A:$A,Capex!$A318,'BASE-ICP'!$B:$B,"outubro")/1000,"")),"")</f>
        <v>0</v>
      </c>
      <c r="DC310" s="427">
        <v>0</v>
      </c>
      <c r="DD310" s="372"/>
      <c r="DE310" s="419"/>
      <c r="DF310" s="423">
        <f>IFERROR(IF(LEFT($A310,3)="Lcp",SUMIFS('BASE-LCP'!$K:$K,'BASE-LCP'!$A:$A,Capex!$A318,'BASE-LCP'!$B:$B,"novembro")/1000,IF(LEFT($A310,3)="icp",SUMIFS('BASE-ICP'!$K:$K,'BASE-ICP'!$A:$A,Capex!$A318,'BASE-ICP'!$B:$B,"novembro")/1000,"")),"")</f>
        <v>0</v>
      </c>
      <c r="DG310" s="427">
        <v>0</v>
      </c>
      <c r="DH310" s="372"/>
      <c r="DI310" s="419"/>
      <c r="DJ310" s="423">
        <f>IFERROR(IF(LEFT($A310,3)="Lcp",SUMIFS('BASE-LCP'!$K:$K,'BASE-LCP'!$A:$A,Capex!$A318,'BASE-LCP'!$B:$B,"dezembro")/1000,IF(LEFT($A310,3)="icp",SUMIFS('BASE-ICP'!$K:$K,'BASE-ICP'!$A:$A,Capex!$A318,'BASE-ICP'!$B:$B,"dezembro")/1000,"")),"")</f>
        <v>0</v>
      </c>
      <c r="DK310" s="427">
        <v>0</v>
      </c>
      <c r="DL310" s="452">
        <f t="shared" si="154"/>
        <v>0</v>
      </c>
      <c r="DM310" s="374"/>
      <c r="DN310" s="374">
        <v>0</v>
      </c>
      <c r="DO310" s="374"/>
      <c r="DP310" s="374"/>
      <c r="DQ310" s="374"/>
      <c r="DR310" s="374"/>
      <c r="DS310" s="374"/>
      <c r="DT310" s="374"/>
      <c r="DU310" s="374"/>
      <c r="DV310" s="374"/>
      <c r="DW310" s="374"/>
      <c r="DX310" s="374"/>
      <c r="DY310" s="450"/>
      <c r="DZ310" s="374">
        <f t="shared" si="155"/>
        <v>0</v>
      </c>
      <c r="EA310" s="216">
        <f t="shared" si="156"/>
        <v>0</v>
      </c>
      <c r="EB310" s="320">
        <f t="shared" si="157"/>
        <v>0</v>
      </c>
      <c r="EC310" s="241">
        <f t="shared" si="158"/>
        <v>0</v>
      </c>
      <c r="ED310" s="241">
        <f t="shared" si="159"/>
        <v>0</v>
      </c>
      <c r="EE310" s="241">
        <f t="shared" si="160"/>
        <v>0</v>
      </c>
      <c r="EF310" s="241">
        <f t="shared" si="161"/>
        <v>0</v>
      </c>
      <c r="EG310" s="346">
        <f t="shared" si="162"/>
        <v>0</v>
      </c>
      <c r="EH310" s="445">
        <f t="shared" si="163"/>
        <v>0</v>
      </c>
      <c r="EI310" s="447">
        <f t="shared" si="164"/>
        <v>0</v>
      </c>
      <c r="EJ310" s="364">
        <f t="shared" si="165"/>
        <v>0</v>
      </c>
      <c r="EK310" s="365">
        <f t="shared" si="166"/>
        <v>0</v>
      </c>
      <c r="EL310" s="529">
        <f t="shared" si="167"/>
        <v>0</v>
      </c>
      <c r="EM310" s="530">
        <v>0</v>
      </c>
      <c r="EN310" s="530">
        <v>0</v>
      </c>
      <c r="EO310" s="530">
        <v>0</v>
      </c>
      <c r="EP310" s="530">
        <v>0</v>
      </c>
      <c r="EQ310" s="530">
        <v>0</v>
      </c>
      <c r="ER310" s="530">
        <v>0</v>
      </c>
      <c r="ES310" s="530">
        <v>0</v>
      </c>
      <c r="ET310" s="530">
        <v>0</v>
      </c>
      <c r="EU310" s="530">
        <v>0</v>
      </c>
      <c r="EV310" s="530">
        <v>0</v>
      </c>
      <c r="EW310" s="530">
        <v>0</v>
      </c>
      <c r="EX310" s="530">
        <v>0</v>
      </c>
      <c r="EY310" s="530">
        <f t="shared" si="168"/>
        <v>0</v>
      </c>
      <c r="EZ310" s="530">
        <f t="shared" si="169"/>
        <v>0</v>
      </c>
      <c r="FA310" s="530">
        <f t="shared" si="170"/>
        <v>0</v>
      </c>
      <c r="FB310" s="530">
        <f t="shared" si="171"/>
        <v>0</v>
      </c>
      <c r="FC310" s="384">
        <f>IFERROR(VLOOKUP(Capex!A318,BASE_558!D:R,8,FALSE)/1000,"")</f>
        <v>421.03465</v>
      </c>
      <c r="FD310" s="328">
        <f>IFERROR(VLOOKUP(Capex!A318,BASE_558!D:R,9,)/1000,"")</f>
        <v>420.43652000000003</v>
      </c>
      <c r="FE310" s="328">
        <f>IFERROR(IF(LEFT(A310,3)="LCP",(VLOOKUP(Capex!A318,BASE_558!D:R,10,)/1000),SUMIFS('BASE ICP_PO_SC'!F:F,'BASE ICP_PO_SC'!A:A,Capex!A318,'BASE ICP_PO_SC'!E:E,"&lt;&gt;")/1000),"")</f>
        <v>0</v>
      </c>
      <c r="FF310" s="328">
        <f>IFERROR(IF(LEFT(A310,3)="LCP",(VLOOKUP(Capex!A318,BASE_558!D:R,11,)/1000),SUMIFS('BASE ICP_PO_SC'!F:F,'BASE ICP_PO_SC'!A:A,Capex!A318,'BASE ICP_PO_SC'!E:E,"")/1000),"")</f>
        <v>0</v>
      </c>
      <c r="FG310" s="328">
        <f>IFERROR(VLOOKUP(A310,BASE_558!D:R,13,FALSE)/1000,"")</f>
        <v>95.66861999999999</v>
      </c>
      <c r="FH310" s="328">
        <f>IFERROR(VLOOKUP(A310,BASE_558!D:R,15,FALSE)/1000,"")</f>
        <v>286.33138000000002</v>
      </c>
      <c r="FI310" s="547">
        <f t="shared" si="172"/>
        <v>0</v>
      </c>
      <c r="FJ310" s="547">
        <f t="shared" si="173"/>
        <v>0</v>
      </c>
      <c r="FK310" s="540">
        <f t="shared" si="174"/>
        <v>0</v>
      </c>
    </row>
    <row r="311" spans="1:167" s="23" customFormat="1" ht="24" customHeight="1">
      <c r="A311" s="310" t="s">
        <v>2361</v>
      </c>
      <c r="B311" s="404" t="s">
        <v>2417</v>
      </c>
      <c r="C311" s="404"/>
      <c r="D311" s="356" t="s">
        <v>2689</v>
      </c>
      <c r="E311" s="378">
        <v>6964951</v>
      </c>
      <c r="F311" s="5"/>
      <c r="G311" s="310" t="s">
        <v>9</v>
      </c>
      <c r="H311" s="495" t="s">
        <v>6</v>
      </c>
      <c r="I311" s="356" t="s">
        <v>6</v>
      </c>
      <c r="J311" s="356">
        <v>2023</v>
      </c>
      <c r="K311" s="352">
        <v>45035</v>
      </c>
      <c r="L311" s="317">
        <v>45473</v>
      </c>
      <c r="M311" s="409"/>
      <c r="N311" s="317">
        <f t="shared" si="177"/>
        <v>45947</v>
      </c>
      <c r="O311" s="317">
        <f t="shared" si="178"/>
        <v>46312</v>
      </c>
      <c r="P311" s="418" t="str">
        <f t="shared" si="183"/>
        <v>NÃO</v>
      </c>
      <c r="Q311" s="418" t="str">
        <f t="shared" si="183"/>
        <v>NÃO</v>
      </c>
      <c r="R311" s="418" t="str">
        <f t="shared" si="183"/>
        <v>NÃO</v>
      </c>
      <c r="S311" s="418" t="str">
        <f t="shared" si="183"/>
        <v>NÃO</v>
      </c>
      <c r="T311" s="418" t="str">
        <f t="shared" si="183"/>
        <v>NÃO</v>
      </c>
      <c r="U311" s="418" t="str">
        <f t="shared" si="183"/>
        <v>NÃO</v>
      </c>
      <c r="V311" s="418" t="str">
        <f t="shared" si="183"/>
        <v>NÃO</v>
      </c>
      <c r="W311" s="418" t="str">
        <f t="shared" si="183"/>
        <v>NÃO</v>
      </c>
      <c r="X311" s="418" t="str">
        <f t="shared" si="183"/>
        <v>NÃO</v>
      </c>
      <c r="Y311" s="418" t="str">
        <f t="shared" si="183"/>
        <v>NÃO</v>
      </c>
      <c r="Z311" s="418" t="str">
        <f t="shared" si="183"/>
        <v>NÃO</v>
      </c>
      <c r="AA311" s="418" t="str">
        <f t="shared" si="183"/>
        <v>NÃO</v>
      </c>
      <c r="AB311" s="350"/>
      <c r="AC311" s="309" t="s">
        <v>3932</v>
      </c>
      <c r="AD311" s="311" t="s">
        <v>224</v>
      </c>
      <c r="AE311" s="361" t="s">
        <v>956</v>
      </c>
      <c r="AF311" s="310" t="s">
        <v>6985</v>
      </c>
      <c r="AG311" s="310" t="s">
        <v>2079</v>
      </c>
      <c r="AH311" s="310" t="s">
        <v>2362</v>
      </c>
      <c r="AI311" s="309" t="s">
        <v>316</v>
      </c>
      <c r="AJ311" s="6" t="s">
        <v>218</v>
      </c>
      <c r="AK311" s="6" t="str">
        <f t="shared" si="152"/>
        <v>IGUAL</v>
      </c>
      <c r="AL311" s="151" t="str">
        <f>IFERROR(IF(LEFT(A311,3)="LCP",VLOOKUP(A311,STATUS_SAP_LCP!B:C,2,FALSE),VLOOKUP(A311,STATUS_SAP_ICP!B:C,2,FALSE)),"NO BUDGET")</f>
        <v>CLSD BUDG AUC  AVAC  //  APPR BREL EXPL</v>
      </c>
      <c r="AM311" s="6" t="str">
        <f t="shared" si="151"/>
        <v>CLSD</v>
      </c>
      <c r="AN311" s="282" t="s">
        <v>2651</v>
      </c>
      <c r="AO311" s="493">
        <v>1</v>
      </c>
      <c r="AP311" s="499" t="s">
        <v>9607</v>
      </c>
      <c r="AQ311" s="465">
        <v>45473</v>
      </c>
      <c r="AR311" s="460"/>
      <c r="AS311" s="57"/>
      <c r="AT311" s="185"/>
      <c r="AU311" s="318"/>
      <c r="AV311" s="223"/>
      <c r="AW311" s="318">
        <v>30.10679</v>
      </c>
      <c r="AX311" s="223">
        <v>106.54514</v>
      </c>
      <c r="AY311" s="318">
        <f t="shared" si="179"/>
        <v>0</v>
      </c>
      <c r="AZ311" s="223"/>
      <c r="BA311" s="318"/>
      <c r="BB311" s="519">
        <f t="shared" si="180"/>
        <v>0</v>
      </c>
      <c r="BC311" s="518">
        <v>0</v>
      </c>
      <c r="BD311" s="518">
        <v>0</v>
      </c>
      <c r="BE311" s="518">
        <v>0</v>
      </c>
      <c r="BF311" s="518">
        <v>0</v>
      </c>
      <c r="BG311" s="518">
        <v>0</v>
      </c>
      <c r="BH311" s="518">
        <v>0</v>
      </c>
      <c r="BI311" s="518">
        <v>0</v>
      </c>
      <c r="BJ311" s="518">
        <v>0</v>
      </c>
      <c r="BK311" s="518">
        <v>0</v>
      </c>
      <c r="BL311" s="518">
        <v>0</v>
      </c>
      <c r="BM311" s="518">
        <v>0</v>
      </c>
      <c r="BN311" s="518">
        <v>0</v>
      </c>
      <c r="BO311" s="367">
        <f t="shared" si="153"/>
        <v>0</v>
      </c>
      <c r="BP311" s="421">
        <v>0</v>
      </c>
      <c r="BQ311" s="422"/>
      <c r="BR311" s="423">
        <f>IFERROR(IF(LEFT($A311,3)="Lcp",SUMIFS('BASE-LCP'!$K:$K,'BASE-LCP'!$A:$A,Capex!$A319,'BASE-LCP'!$B:$B,"janeiro")/1000,IF(LEFT($A311,3)="icp",SUMIFS('BASE-ICP'!$K:$K,'BASE-ICP'!$A:$A,Capex!$A319,'BASE-ICP'!$B:$B,"janeiro")/1000,"")),"")</f>
        <v>0</v>
      </c>
      <c r="BS311" s="427">
        <v>0</v>
      </c>
      <c r="BT311" s="372">
        <v>0</v>
      </c>
      <c r="BU311" s="422"/>
      <c r="BV311" s="423">
        <f>IFERROR(IF(LEFT($A311,3)="Lcp",SUMIFS('BASE-LCP'!$K:$K,'BASE-LCP'!$A:$A,Capex!$A319,'BASE-LCP'!$B:$B,"fevereiro")/1000,IF(LEFT($A311,3)="icp",SUMIFS('BASE-ICP'!$K:$K,'BASE-ICP'!$A:$A,Capex!$A319,'BASE-ICP'!$B:$B,"fevereiro")/1000,"")),"")</f>
        <v>0</v>
      </c>
      <c r="BW311" s="427">
        <v>0</v>
      </c>
      <c r="BX311" s="372">
        <v>0</v>
      </c>
      <c r="BY311" s="419"/>
      <c r="BZ311" s="423">
        <f>IFERROR(IF(LEFT($A311,3)="Lcp",SUMIFS('BASE-LCP'!$K:$K,'BASE-LCP'!$A:$A,Capex!$A319,'BASE-LCP'!$B:$B,"março")/1000,IF(LEFT($A311,3)="icp",SUMIFS('BASE-ICP'!$K:$K,'BASE-ICP'!$A:$A,Capex!$A319,'BASE-ICP'!$B:$B,"março")/1000,"")),"")</f>
        <v>0</v>
      </c>
      <c r="CA311" s="427">
        <v>0</v>
      </c>
      <c r="CB311" s="372">
        <v>0</v>
      </c>
      <c r="CC311" s="422"/>
      <c r="CD311" s="423">
        <f>IFERROR(IF(LEFT($A311,3)="Lcp",SUMIFS('BASE-LCP'!$K:$K,'BASE-LCP'!$A:$A,Capex!$A319,'BASE-LCP'!$B:$B,"abril")/1000,IF(LEFT($A311,3)="icp",SUMIFS('BASE-ICP'!$K:$K,'BASE-ICP'!$A:$A,Capex!$A319,'BASE-ICP'!$B:$B,"abril")/1000,"")),"")</f>
        <v>0</v>
      </c>
      <c r="CE311" s="427">
        <v>0</v>
      </c>
      <c r="CF311" s="372">
        <v>0</v>
      </c>
      <c r="CG311" s="419"/>
      <c r="CH311" s="423">
        <v>0</v>
      </c>
      <c r="CI311" s="427">
        <v>0</v>
      </c>
      <c r="CJ311" s="372">
        <v>0</v>
      </c>
      <c r="CK311" s="419"/>
      <c r="CL311" s="423">
        <f>IFERROR(IF(LEFT($A311,3)="Lcp",SUMIFS('BASE-LCP'!$K:$K,'BASE-LCP'!$A:$A,Capex!$A319,'BASE-LCP'!$B:$B,"junho")/1000,IF(LEFT($A311,3)="icp",SUMIFS('BASE-ICP'!$K:$K,'BASE-ICP'!$A:$A,Capex!$A319,'BASE-ICP'!$B:$B,"junho")/1000,"")),"")</f>
        <v>0</v>
      </c>
      <c r="CM311" s="427">
        <v>0</v>
      </c>
      <c r="CN311" s="372"/>
      <c r="CO311" s="419"/>
      <c r="CP311" s="423">
        <f>IFERROR(IF(LEFT($A311,3)="Lcp",SUMIFS('BASE-LCP'!$K:$K,'BASE-LCP'!$A:$A,Capex!$A319,'BASE-LCP'!$B:$B,"julho")/1000,IF(LEFT($A311,3)="icp",SUMIFS('BASE-ICP'!$K:$K,'BASE-ICP'!$A:$A,Capex!$A319,'BASE-ICP'!$B:$B,"julho")/1000,"")),"")</f>
        <v>0</v>
      </c>
      <c r="CQ311" s="427">
        <v>0</v>
      </c>
      <c r="CR311" s="372"/>
      <c r="CS311" s="419"/>
      <c r="CT311" s="423">
        <f>IFERROR(IF(LEFT($A311,3)="Lcp",SUMIFS('BASE-LCP'!$K:$K,'BASE-LCP'!$A:$A,Capex!$A319,'BASE-LCP'!$B:$B,"agosto")/1000,IF(LEFT($A311,3)="icp",SUMIFS('BASE-ICP'!$K:$K,'BASE-ICP'!$A:$A,Capex!$A319,'BASE-ICP'!$B:$B,"agosto")/1000,"")),"")</f>
        <v>0</v>
      </c>
      <c r="CU311" s="427">
        <v>0</v>
      </c>
      <c r="CV311" s="372"/>
      <c r="CW311" s="419"/>
      <c r="CX311" s="423">
        <f>IFERROR(IF(LEFT($A311,3)="Lcp",SUMIFS('BASE-LCP'!$K:$K,'BASE-LCP'!$A:$A,Capex!$A319,'BASE-LCP'!$B:$B,"setembro")/1000,IF(LEFT($A311,3)="icp",SUMIFS('BASE-ICP'!$K:$K,'BASE-ICP'!$A:$A,Capex!$A319,'BASE-ICP'!$B:$B,"setembro")/1000,"")),"")</f>
        <v>0</v>
      </c>
      <c r="CY311" s="427">
        <v>0</v>
      </c>
      <c r="CZ311" s="372"/>
      <c r="DA311" s="419"/>
      <c r="DB311" s="423">
        <f>IFERROR(IF(LEFT($A311,3)="Lcp",SUMIFS('BASE-LCP'!$K:$K,'BASE-LCP'!$A:$A,Capex!$A319,'BASE-LCP'!$B:$B,"outubro")/1000,IF(LEFT($A311,3)="icp",SUMIFS('BASE-ICP'!$K:$K,'BASE-ICP'!$A:$A,Capex!$A319,'BASE-ICP'!$B:$B,"outubro")/1000,"")),"")</f>
        <v>0</v>
      </c>
      <c r="DC311" s="427">
        <v>0</v>
      </c>
      <c r="DD311" s="372"/>
      <c r="DE311" s="419"/>
      <c r="DF311" s="423">
        <f>IFERROR(IF(LEFT($A311,3)="Lcp",SUMIFS('BASE-LCP'!$K:$K,'BASE-LCP'!$A:$A,Capex!$A319,'BASE-LCP'!$B:$B,"novembro")/1000,IF(LEFT($A311,3)="icp",SUMIFS('BASE-ICP'!$K:$K,'BASE-ICP'!$A:$A,Capex!$A319,'BASE-ICP'!$B:$B,"novembro")/1000,"")),"")</f>
        <v>0</v>
      </c>
      <c r="DG311" s="427">
        <v>0</v>
      </c>
      <c r="DH311" s="372"/>
      <c r="DI311" s="419"/>
      <c r="DJ311" s="423">
        <f>IFERROR(IF(LEFT($A311,3)="Lcp",SUMIFS('BASE-LCP'!$K:$K,'BASE-LCP'!$A:$A,Capex!$A319,'BASE-LCP'!$B:$B,"dezembro")/1000,IF(LEFT($A311,3)="icp",SUMIFS('BASE-ICP'!$K:$K,'BASE-ICP'!$A:$A,Capex!$A319,'BASE-ICP'!$B:$B,"dezembro")/1000,"")),"")</f>
        <v>0</v>
      </c>
      <c r="DK311" s="427">
        <v>0</v>
      </c>
      <c r="DL311" s="452">
        <f t="shared" si="154"/>
        <v>0</v>
      </c>
      <c r="DM311" s="374"/>
      <c r="DN311" s="374">
        <v>0</v>
      </c>
      <c r="DO311" s="374"/>
      <c r="DP311" s="374"/>
      <c r="DQ311" s="374"/>
      <c r="DR311" s="374"/>
      <c r="DS311" s="374"/>
      <c r="DT311" s="374"/>
      <c r="DU311" s="374"/>
      <c r="DV311" s="374"/>
      <c r="DW311" s="374"/>
      <c r="DX311" s="374"/>
      <c r="DY311" s="450"/>
      <c r="DZ311" s="374">
        <f t="shared" si="155"/>
        <v>0</v>
      </c>
      <c r="EA311" s="216">
        <f t="shared" si="156"/>
        <v>0</v>
      </c>
      <c r="EB311" s="320">
        <f t="shared" si="157"/>
        <v>0</v>
      </c>
      <c r="EC311" s="241">
        <f t="shared" si="158"/>
        <v>0</v>
      </c>
      <c r="ED311" s="241">
        <f t="shared" si="159"/>
        <v>0</v>
      </c>
      <c r="EE311" s="241">
        <f t="shared" si="160"/>
        <v>0</v>
      </c>
      <c r="EF311" s="241">
        <f t="shared" si="161"/>
        <v>0</v>
      </c>
      <c r="EG311" s="346">
        <f t="shared" si="162"/>
        <v>0</v>
      </c>
      <c r="EH311" s="445">
        <f t="shared" si="163"/>
        <v>0</v>
      </c>
      <c r="EI311" s="447">
        <f t="shared" si="164"/>
        <v>0</v>
      </c>
      <c r="EJ311" s="364">
        <f t="shared" si="165"/>
        <v>0</v>
      </c>
      <c r="EK311" s="365">
        <f t="shared" si="166"/>
        <v>0</v>
      </c>
      <c r="EL311" s="529">
        <f t="shared" si="167"/>
        <v>0</v>
      </c>
      <c r="EM311" s="530">
        <v>0</v>
      </c>
      <c r="EN311" s="530">
        <v>0</v>
      </c>
      <c r="EO311" s="530">
        <v>0</v>
      </c>
      <c r="EP311" s="530">
        <v>0</v>
      </c>
      <c r="EQ311" s="530">
        <v>0</v>
      </c>
      <c r="ER311" s="530">
        <v>0</v>
      </c>
      <c r="ES311" s="530">
        <v>0</v>
      </c>
      <c r="ET311" s="530">
        <v>0</v>
      </c>
      <c r="EU311" s="530">
        <v>0</v>
      </c>
      <c r="EV311" s="530">
        <v>0</v>
      </c>
      <c r="EW311" s="530">
        <v>0</v>
      </c>
      <c r="EX311" s="530">
        <v>0</v>
      </c>
      <c r="EY311" s="530">
        <f t="shared" si="168"/>
        <v>0</v>
      </c>
      <c r="EZ311" s="530">
        <f t="shared" si="169"/>
        <v>0</v>
      </c>
      <c r="FA311" s="530">
        <f t="shared" si="170"/>
        <v>0</v>
      </c>
      <c r="FB311" s="530">
        <f t="shared" si="171"/>
        <v>0</v>
      </c>
      <c r="FC311" s="384">
        <f>IFERROR(VLOOKUP(Capex!A319,BASE_558!D:R,8,FALSE)/1000,"")</f>
        <v>160.77926000000002</v>
      </c>
      <c r="FD311" s="328">
        <f>IFERROR(VLOOKUP(Capex!A319,BASE_558!D:R,9,)/1000,"")</f>
        <v>146.21357999999998</v>
      </c>
      <c r="FE311" s="328">
        <f>IFERROR(IF(LEFT(A311,3)="LCP",(VLOOKUP(Capex!A319,BASE_558!D:R,10,)/1000),SUMIFS('BASE ICP_PO_SC'!F:F,'BASE ICP_PO_SC'!A:A,Capex!A319,'BASE ICP_PO_SC'!E:E,"&lt;&gt;")/1000),"")</f>
        <v>0</v>
      </c>
      <c r="FF311" s="328">
        <f>IFERROR(IF(LEFT(A311,3)="LCP",(VLOOKUP(Capex!A319,BASE_558!D:R,11,)/1000),SUMIFS('BASE ICP_PO_SC'!F:F,'BASE ICP_PO_SC'!A:A,Capex!A319,'BASE ICP_PO_SC'!E:E,"")/1000),"")</f>
        <v>0</v>
      </c>
      <c r="FG311" s="328">
        <f>IFERROR(VLOOKUP(A311,BASE_558!D:R,13,FALSE)/1000,"")</f>
        <v>136.65192999999999</v>
      </c>
      <c r="FH311" s="328">
        <f>IFERROR(VLOOKUP(A311,BASE_558!D:R,15,FALSE)/1000,"")</f>
        <v>20.469069999999999</v>
      </c>
      <c r="FI311" s="547">
        <f t="shared" si="172"/>
        <v>0</v>
      </c>
      <c r="FJ311" s="547">
        <f t="shared" si="173"/>
        <v>0</v>
      </c>
      <c r="FK311" s="540">
        <f t="shared" si="174"/>
        <v>0</v>
      </c>
    </row>
    <row r="312" spans="1:167" s="23" customFormat="1" ht="24" customHeight="1">
      <c r="A312" s="84" t="s">
        <v>2363</v>
      </c>
      <c r="B312" s="404"/>
      <c r="C312" s="404"/>
      <c r="D312" s="338" t="s">
        <v>2364</v>
      </c>
      <c r="E312" s="378">
        <v>7074709</v>
      </c>
      <c r="F312" s="5"/>
      <c r="G312" s="310" t="s">
        <v>9</v>
      </c>
      <c r="H312" s="338" t="s">
        <v>6</v>
      </c>
      <c r="I312" s="356"/>
      <c r="J312" s="356">
        <v>2023</v>
      </c>
      <c r="K312" s="352">
        <v>45190</v>
      </c>
      <c r="L312" s="317">
        <v>45497</v>
      </c>
      <c r="M312" s="409" t="s">
        <v>6808</v>
      </c>
      <c r="N312" s="317">
        <f t="shared" si="177"/>
        <v>46102</v>
      </c>
      <c r="O312" s="317">
        <f t="shared" si="178"/>
        <v>46467</v>
      </c>
      <c r="P312" s="418" t="str">
        <f t="shared" si="183"/>
        <v>NÃO</v>
      </c>
      <c r="Q312" s="418" t="str">
        <f t="shared" si="183"/>
        <v>NÃO</v>
      </c>
      <c r="R312" s="418" t="str">
        <f t="shared" si="183"/>
        <v>NÃO</v>
      </c>
      <c r="S312" s="418" t="str">
        <f t="shared" si="183"/>
        <v>NÃO</v>
      </c>
      <c r="T312" s="418" t="str">
        <f t="shared" si="183"/>
        <v>NÃO</v>
      </c>
      <c r="U312" s="418" t="str">
        <f t="shared" si="183"/>
        <v>NÃO</v>
      </c>
      <c r="V312" s="418" t="str">
        <f t="shared" si="183"/>
        <v>NÃO</v>
      </c>
      <c r="W312" s="418" t="str">
        <f t="shared" si="183"/>
        <v>NÃO</v>
      </c>
      <c r="X312" s="418" t="str">
        <f t="shared" si="183"/>
        <v>NÃO</v>
      </c>
      <c r="Y312" s="418" t="str">
        <f t="shared" si="183"/>
        <v>NÃO</v>
      </c>
      <c r="Z312" s="418" t="str">
        <f t="shared" si="183"/>
        <v>NÃO</v>
      </c>
      <c r="AA312" s="418" t="str">
        <f t="shared" si="183"/>
        <v>NÃO</v>
      </c>
      <c r="AB312" s="350"/>
      <c r="AC312" s="309" t="s">
        <v>3930</v>
      </c>
      <c r="AD312" s="311"/>
      <c r="AE312" s="361"/>
      <c r="AF312" s="310" t="s">
        <v>6985</v>
      </c>
      <c r="AG312" s="310" t="s">
        <v>2485</v>
      </c>
      <c r="AH312" s="310" t="s">
        <v>2365</v>
      </c>
      <c r="AI312" s="381" t="s">
        <v>188</v>
      </c>
      <c r="AJ312" s="6" t="s">
        <v>218</v>
      </c>
      <c r="AK312" s="6" t="str">
        <f t="shared" si="152"/>
        <v>IGUAL</v>
      </c>
      <c r="AL312" s="151" t="str">
        <f>IFERROR(IF(LEFT(A312,3)="LCP",VLOOKUP(A312,STATUS_SAP_LCP!B:C,2,FALSE),VLOOKUP(A312,STATUS_SAP_ICP!B:C,2,FALSE)),"NO BUDGET")</f>
        <v>CLSD BUDG AUC  AVAC  //  APPR BREL EXPL</v>
      </c>
      <c r="AM312" s="6" t="str">
        <f t="shared" si="151"/>
        <v>CLSD</v>
      </c>
      <c r="AN312" s="414" t="s">
        <v>2651</v>
      </c>
      <c r="AO312" s="558">
        <v>1</v>
      </c>
      <c r="AP312" s="499" t="s">
        <v>9607</v>
      </c>
      <c r="AQ312" s="465">
        <v>45497</v>
      </c>
      <c r="AR312" s="460"/>
      <c r="AS312" s="57"/>
      <c r="AT312" s="185"/>
      <c r="AU312" s="318">
        <v>0</v>
      </c>
      <c r="AV312" s="223">
        <v>0</v>
      </c>
      <c r="AW312" s="318">
        <v>0</v>
      </c>
      <c r="AX312" s="223">
        <v>78.554419999999993</v>
      </c>
      <c r="AY312" s="318">
        <f t="shared" si="179"/>
        <v>0</v>
      </c>
      <c r="AZ312" s="223"/>
      <c r="BA312" s="318"/>
      <c r="BB312" s="519">
        <f t="shared" si="180"/>
        <v>0</v>
      </c>
      <c r="BC312" s="518"/>
      <c r="BD312" s="518"/>
      <c r="BE312" s="518"/>
      <c r="BF312" s="518"/>
      <c r="BG312" s="518"/>
      <c r="BH312" s="518"/>
      <c r="BI312" s="518"/>
      <c r="BJ312" s="518"/>
      <c r="BK312" s="518"/>
      <c r="BL312" s="518"/>
      <c r="BM312" s="518"/>
      <c r="BN312" s="518"/>
      <c r="BO312" s="367">
        <f t="shared" si="153"/>
        <v>0</v>
      </c>
      <c r="BP312" s="421"/>
      <c r="BQ312" s="422"/>
      <c r="BR312" s="423">
        <f>IFERROR(IF(LEFT($A312,3)="Lcp",SUMIFS('BASE-LCP'!$K:$K,'BASE-LCP'!$A:$A,Capex!$A320,'BASE-LCP'!$B:$B,"janeiro")/1000,IF(LEFT($A312,3)="icp",SUMIFS('BASE-ICP'!$K:$K,'BASE-ICP'!$A:$A,Capex!$A320,'BASE-ICP'!$B:$B,"janeiro")/1000,"")),"")</f>
        <v>0</v>
      </c>
      <c r="BS312" s="427">
        <v>0</v>
      </c>
      <c r="BT312" s="372">
        <v>0</v>
      </c>
      <c r="BU312" s="422"/>
      <c r="BV312" s="423">
        <f>IFERROR(IF(LEFT($A312,3)="Lcp",SUMIFS('BASE-LCP'!$K:$K,'BASE-LCP'!$A:$A,Capex!$A320,'BASE-LCP'!$B:$B,"fevereiro")/1000,IF(LEFT($A312,3)="icp",SUMIFS('BASE-ICP'!$K:$K,'BASE-ICP'!$A:$A,Capex!$A320,'BASE-ICP'!$B:$B,"fevereiro")/1000,"")),"")</f>
        <v>0</v>
      </c>
      <c r="BW312" s="427">
        <v>0</v>
      </c>
      <c r="BX312" s="372">
        <v>0</v>
      </c>
      <c r="BY312" s="419"/>
      <c r="BZ312" s="423">
        <f>IFERROR(IF(LEFT($A312,3)="Lcp",SUMIFS('BASE-LCP'!$K:$K,'BASE-LCP'!$A:$A,Capex!$A320,'BASE-LCP'!$B:$B,"março")/1000,IF(LEFT($A312,3)="icp",SUMIFS('BASE-ICP'!$K:$K,'BASE-ICP'!$A:$A,Capex!$A320,'BASE-ICP'!$B:$B,"março")/1000,"")),"")</f>
        <v>0</v>
      </c>
      <c r="CA312" s="427">
        <v>0</v>
      </c>
      <c r="CB312" s="372">
        <v>0</v>
      </c>
      <c r="CC312" s="422"/>
      <c r="CD312" s="423">
        <f>IFERROR(IF(LEFT($A312,3)="Lcp",SUMIFS('BASE-LCP'!$K:$K,'BASE-LCP'!$A:$A,Capex!$A320,'BASE-LCP'!$B:$B,"abril")/1000,IF(LEFT($A312,3)="icp",SUMIFS('BASE-ICP'!$K:$K,'BASE-ICP'!$A:$A,Capex!$A320,'BASE-ICP'!$B:$B,"abril")/1000,"")),"")</f>
        <v>0</v>
      </c>
      <c r="CE312" s="427">
        <v>0</v>
      </c>
      <c r="CF312" s="372">
        <v>0</v>
      </c>
      <c r="CG312" s="419"/>
      <c r="CH312" s="423">
        <v>0</v>
      </c>
      <c r="CI312" s="427">
        <v>0</v>
      </c>
      <c r="CJ312" s="372">
        <v>0</v>
      </c>
      <c r="CK312" s="419"/>
      <c r="CL312" s="423">
        <f>IFERROR(IF(LEFT($A312,3)="Lcp",SUMIFS('BASE-LCP'!$K:$K,'BASE-LCP'!$A:$A,Capex!$A320,'BASE-LCP'!$B:$B,"junho")/1000,IF(LEFT($A312,3)="icp",SUMIFS('BASE-ICP'!$K:$K,'BASE-ICP'!$A:$A,Capex!$A320,'BASE-ICP'!$B:$B,"junho")/1000,"")),"")</f>
        <v>0</v>
      </c>
      <c r="CM312" s="427">
        <v>0</v>
      </c>
      <c r="CN312" s="372"/>
      <c r="CO312" s="419"/>
      <c r="CP312" s="423">
        <f>IFERROR(IF(LEFT($A312,3)="Lcp",SUMIFS('BASE-LCP'!$K:$K,'BASE-LCP'!$A:$A,Capex!$A320,'BASE-LCP'!$B:$B,"julho")/1000,IF(LEFT($A312,3)="icp",SUMIFS('BASE-ICP'!$K:$K,'BASE-ICP'!$A:$A,Capex!$A320,'BASE-ICP'!$B:$B,"julho")/1000,"")),"")</f>
        <v>0</v>
      </c>
      <c r="CQ312" s="427">
        <v>0</v>
      </c>
      <c r="CR312" s="372"/>
      <c r="CS312" s="419"/>
      <c r="CT312" s="423">
        <f>IFERROR(IF(LEFT($A312,3)="Lcp",SUMIFS('BASE-LCP'!$K:$K,'BASE-LCP'!$A:$A,Capex!$A320,'BASE-LCP'!$B:$B,"agosto")/1000,IF(LEFT($A312,3)="icp",SUMIFS('BASE-ICP'!$K:$K,'BASE-ICP'!$A:$A,Capex!$A320,'BASE-ICP'!$B:$B,"agosto")/1000,"")),"")</f>
        <v>0</v>
      </c>
      <c r="CU312" s="427">
        <v>0</v>
      </c>
      <c r="CV312" s="372"/>
      <c r="CW312" s="419"/>
      <c r="CX312" s="423">
        <f>IFERROR(IF(LEFT($A312,3)="Lcp",SUMIFS('BASE-LCP'!$K:$K,'BASE-LCP'!$A:$A,Capex!$A320,'BASE-LCP'!$B:$B,"setembro")/1000,IF(LEFT($A312,3)="icp",SUMIFS('BASE-ICP'!$K:$K,'BASE-ICP'!$A:$A,Capex!$A320,'BASE-ICP'!$B:$B,"setembro")/1000,"")),"")</f>
        <v>0</v>
      </c>
      <c r="CY312" s="427">
        <v>0</v>
      </c>
      <c r="CZ312" s="372"/>
      <c r="DA312" s="419"/>
      <c r="DB312" s="423">
        <f>IFERROR(IF(LEFT($A312,3)="Lcp",SUMIFS('BASE-LCP'!$K:$K,'BASE-LCP'!$A:$A,Capex!$A320,'BASE-LCP'!$B:$B,"outubro")/1000,IF(LEFT($A312,3)="icp",SUMIFS('BASE-ICP'!$K:$K,'BASE-ICP'!$A:$A,Capex!$A320,'BASE-ICP'!$B:$B,"outubro")/1000,"")),"")</f>
        <v>0</v>
      </c>
      <c r="DC312" s="427">
        <v>0</v>
      </c>
      <c r="DD312" s="372"/>
      <c r="DE312" s="419"/>
      <c r="DF312" s="423">
        <f>IFERROR(IF(LEFT($A312,3)="Lcp",SUMIFS('BASE-LCP'!$K:$K,'BASE-LCP'!$A:$A,Capex!$A320,'BASE-LCP'!$B:$B,"novembro")/1000,IF(LEFT($A312,3)="icp",SUMIFS('BASE-ICP'!$K:$K,'BASE-ICP'!$A:$A,Capex!$A320,'BASE-ICP'!$B:$B,"novembro")/1000,"")),"")</f>
        <v>0</v>
      </c>
      <c r="DG312" s="427">
        <v>0</v>
      </c>
      <c r="DH312" s="372"/>
      <c r="DI312" s="419"/>
      <c r="DJ312" s="423">
        <f>IFERROR(IF(LEFT($A312,3)="Lcp",SUMIFS('BASE-LCP'!$K:$K,'BASE-LCP'!$A:$A,Capex!$A320,'BASE-LCP'!$B:$B,"dezembro")/1000,IF(LEFT($A312,3)="icp",SUMIFS('BASE-ICP'!$K:$K,'BASE-ICP'!$A:$A,Capex!$A320,'BASE-ICP'!$B:$B,"dezembro")/1000,"")),"")</f>
        <v>0</v>
      </c>
      <c r="DK312" s="427">
        <v>0</v>
      </c>
      <c r="DL312" s="452">
        <f t="shared" si="154"/>
        <v>0</v>
      </c>
      <c r="DM312" s="374"/>
      <c r="DN312" s="374">
        <v>0</v>
      </c>
      <c r="DO312" s="374"/>
      <c r="DP312" s="374"/>
      <c r="DQ312" s="374"/>
      <c r="DR312" s="374"/>
      <c r="DS312" s="374"/>
      <c r="DT312" s="374"/>
      <c r="DU312" s="374"/>
      <c r="DV312" s="374"/>
      <c r="DW312" s="374"/>
      <c r="DX312" s="374"/>
      <c r="DY312" s="450"/>
      <c r="DZ312" s="374">
        <f t="shared" si="155"/>
        <v>0</v>
      </c>
      <c r="EA312" s="216">
        <f t="shared" si="156"/>
        <v>0</v>
      </c>
      <c r="EB312" s="320">
        <f t="shared" si="157"/>
        <v>0</v>
      </c>
      <c r="EC312" s="241">
        <f t="shared" si="158"/>
        <v>0</v>
      </c>
      <c r="ED312" s="241">
        <f t="shared" si="159"/>
        <v>0</v>
      </c>
      <c r="EE312" s="241">
        <f t="shared" si="160"/>
        <v>0</v>
      </c>
      <c r="EF312" s="241">
        <f t="shared" si="161"/>
        <v>0</v>
      </c>
      <c r="EG312" s="346">
        <f t="shared" si="162"/>
        <v>0</v>
      </c>
      <c r="EH312" s="445">
        <f t="shared" si="163"/>
        <v>0</v>
      </c>
      <c r="EI312" s="447">
        <f t="shared" si="164"/>
        <v>0</v>
      </c>
      <c r="EJ312" s="364">
        <f t="shared" si="165"/>
        <v>0</v>
      </c>
      <c r="EK312" s="365">
        <f t="shared" si="166"/>
        <v>0</v>
      </c>
      <c r="EL312" s="529">
        <f t="shared" si="167"/>
        <v>0</v>
      </c>
      <c r="EM312" s="530">
        <v>0</v>
      </c>
      <c r="EN312" s="530">
        <v>0</v>
      </c>
      <c r="EO312" s="530">
        <v>0</v>
      </c>
      <c r="EP312" s="530">
        <v>0</v>
      </c>
      <c r="EQ312" s="530">
        <v>0</v>
      </c>
      <c r="ER312" s="530">
        <v>0</v>
      </c>
      <c r="ES312" s="530">
        <v>0</v>
      </c>
      <c r="ET312" s="530">
        <v>0</v>
      </c>
      <c r="EU312" s="530">
        <v>0</v>
      </c>
      <c r="EV312" s="530">
        <v>0</v>
      </c>
      <c r="EW312" s="530">
        <v>0</v>
      </c>
      <c r="EX312" s="530">
        <v>0</v>
      </c>
      <c r="EY312" s="530">
        <f t="shared" si="168"/>
        <v>0</v>
      </c>
      <c r="EZ312" s="530">
        <f t="shared" si="169"/>
        <v>0</v>
      </c>
      <c r="FA312" s="530">
        <f t="shared" si="170"/>
        <v>0</v>
      </c>
      <c r="FB312" s="530">
        <f t="shared" si="171"/>
        <v>0</v>
      </c>
      <c r="FC312" s="384">
        <f>IFERROR(VLOOKUP(Capex!A320,BASE_558!D:R,8,FALSE)/1000,"")</f>
        <v>600</v>
      </c>
      <c r="FD312" s="328">
        <f>IFERROR(VLOOKUP(Capex!A320,BASE_558!D:R,9,)/1000,"")</f>
        <v>373.53482000000002</v>
      </c>
      <c r="FE312" s="328">
        <f>IFERROR(IF(LEFT(A312,3)="LCP",(VLOOKUP(Capex!A320,BASE_558!D:R,10,)/1000),SUMIFS('BASE ICP_PO_SC'!F:F,'BASE ICP_PO_SC'!A:A,Capex!A320,'BASE ICP_PO_SC'!E:E,"&lt;&gt;")/1000),"")</f>
        <v>0</v>
      </c>
      <c r="FF312" s="328">
        <f>IFERROR(IF(LEFT(A312,3)="LCP",(VLOOKUP(Capex!A320,BASE_558!D:R,11,)/1000),SUMIFS('BASE ICP_PO_SC'!F:F,'BASE ICP_PO_SC'!A:A,Capex!A320,'BASE ICP_PO_SC'!E:E,"")/1000),"")</f>
        <v>0</v>
      </c>
      <c r="FG312" s="328">
        <f>IFERROR(VLOOKUP(A312,BASE_558!D:R,13,FALSE)/1000,"")</f>
        <v>78.554419999999993</v>
      </c>
      <c r="FH312" s="328">
        <f>IFERROR(VLOOKUP(A312,BASE_558!D:R,15,FALSE)/1000,"")</f>
        <v>134.84557999999998</v>
      </c>
      <c r="FI312" s="547">
        <f t="shared" si="172"/>
        <v>0</v>
      </c>
      <c r="FJ312" s="547">
        <f t="shared" si="173"/>
        <v>0</v>
      </c>
      <c r="FK312" s="540">
        <f t="shared" si="174"/>
        <v>0</v>
      </c>
    </row>
    <row r="313" spans="1:167" s="23" customFormat="1" ht="24" customHeight="1">
      <c r="A313" s="309" t="s">
        <v>2366</v>
      </c>
      <c r="B313" s="404"/>
      <c r="C313" s="404" t="s">
        <v>602</v>
      </c>
      <c r="D313" s="403" t="s">
        <v>3348</v>
      </c>
      <c r="E313" s="378">
        <v>6973674</v>
      </c>
      <c r="F313" s="5"/>
      <c r="G313" s="310" t="s">
        <v>9</v>
      </c>
      <c r="H313" s="494" t="s">
        <v>6</v>
      </c>
      <c r="I313" s="356"/>
      <c r="J313" s="356">
        <v>2023</v>
      </c>
      <c r="K313" s="352">
        <v>45119</v>
      </c>
      <c r="L313" s="317"/>
      <c r="M313" s="409"/>
      <c r="N313" s="317">
        <f t="shared" si="177"/>
        <v>46031</v>
      </c>
      <c r="O313" s="317">
        <f t="shared" si="178"/>
        <v>46396</v>
      </c>
      <c r="P313" s="418" t="str">
        <f t="shared" si="183"/>
        <v>NÃO</v>
      </c>
      <c r="Q313" s="418" t="str">
        <f t="shared" si="183"/>
        <v>NÃO</v>
      </c>
      <c r="R313" s="418" t="str">
        <f t="shared" si="183"/>
        <v>NÃO</v>
      </c>
      <c r="S313" s="418" t="str">
        <f t="shared" si="183"/>
        <v>NÃO</v>
      </c>
      <c r="T313" s="418" t="str">
        <f t="shared" si="183"/>
        <v>NÃO</v>
      </c>
      <c r="U313" s="418" t="str">
        <f t="shared" si="183"/>
        <v>NÃO</v>
      </c>
      <c r="V313" s="418" t="str">
        <f t="shared" si="183"/>
        <v>NÃO</v>
      </c>
      <c r="W313" s="418" t="str">
        <f t="shared" si="183"/>
        <v>NÃO</v>
      </c>
      <c r="X313" s="418" t="str">
        <f t="shared" si="183"/>
        <v>NÃO</v>
      </c>
      <c r="Y313" s="418" t="str">
        <f t="shared" si="183"/>
        <v>NÃO</v>
      </c>
      <c r="Z313" s="418" t="str">
        <f t="shared" si="183"/>
        <v>NÃO</v>
      </c>
      <c r="AA313" s="418" t="str">
        <f t="shared" si="183"/>
        <v>NÃO</v>
      </c>
      <c r="AB313" s="350"/>
      <c r="AC313" s="309" t="s">
        <v>2508</v>
      </c>
      <c r="AD313" s="311"/>
      <c r="AE313" s="361"/>
      <c r="AF313" s="310" t="s">
        <v>6985</v>
      </c>
      <c r="AG313" s="310" t="s">
        <v>6882</v>
      </c>
      <c r="AH313" s="310" t="s">
        <v>1560</v>
      </c>
      <c r="AI313" s="309" t="s">
        <v>316</v>
      </c>
      <c r="AJ313" s="6" t="s">
        <v>6786</v>
      </c>
      <c r="AK313" s="6" t="str">
        <f t="shared" si="152"/>
        <v>IGUAL</v>
      </c>
      <c r="AL313" s="151" t="str">
        <f>IFERROR(IF(LEFT(A313,3)="LCP",VLOOKUP(A313,STATUS_SAP_LCP!B:C,2,FALSE),VLOOKUP(A313,STATUS_SAP_ICP!B:C,2,FALSE)),"NO BUDGET")</f>
        <v>REL  BUDG AUC  AVAC  //  APPR BREL EXPL</v>
      </c>
      <c r="AM313" s="6" t="str">
        <f t="shared" si="151"/>
        <v xml:space="preserve">REL </v>
      </c>
      <c r="AN313" s="282" t="s">
        <v>17705</v>
      </c>
      <c r="AO313" s="414"/>
      <c r="AP313" s="499" t="s">
        <v>9616</v>
      </c>
      <c r="AQ313" s="465">
        <v>46022</v>
      </c>
      <c r="AR313" s="460"/>
      <c r="AS313" s="57"/>
      <c r="AT313" s="185"/>
      <c r="AU313" s="318">
        <v>0</v>
      </c>
      <c r="AV313" s="223">
        <v>0</v>
      </c>
      <c r="AW313" s="318">
        <v>0</v>
      </c>
      <c r="AX313" s="223">
        <v>0.89331000000000005</v>
      </c>
      <c r="AY313" s="318">
        <f t="shared" si="179"/>
        <v>452</v>
      </c>
      <c r="AZ313" s="223"/>
      <c r="BA313" s="318"/>
      <c r="BB313" s="519">
        <f t="shared" si="180"/>
        <v>0</v>
      </c>
      <c r="BC313" s="518">
        <v>0</v>
      </c>
      <c r="BD313" s="518">
        <v>0</v>
      </c>
      <c r="BE313" s="518">
        <v>0</v>
      </c>
      <c r="BF313" s="518">
        <v>0</v>
      </c>
      <c r="BG313" s="518">
        <v>0</v>
      </c>
      <c r="BH313" s="518">
        <v>0</v>
      </c>
      <c r="BI313" s="518">
        <v>0</v>
      </c>
      <c r="BJ313" s="518">
        <v>0</v>
      </c>
      <c r="BK313" s="518">
        <v>0</v>
      </c>
      <c r="BL313" s="518">
        <v>0</v>
      </c>
      <c r="BM313" s="518">
        <v>0</v>
      </c>
      <c r="BN313" s="518">
        <v>0</v>
      </c>
      <c r="BO313" s="367">
        <f t="shared" si="153"/>
        <v>452</v>
      </c>
      <c r="BP313" s="421">
        <v>0</v>
      </c>
      <c r="BQ313" s="422"/>
      <c r="BR313" s="423">
        <f>IFERROR(IF(LEFT($A313,3)="Lcp",SUMIFS('BASE-LCP'!$K:$K,'BASE-LCP'!$A:$A,Capex!$A321,'BASE-LCP'!$B:$B,"janeiro")/1000,IF(LEFT($A313,3)="icp",SUMIFS('BASE-ICP'!$K:$K,'BASE-ICP'!$A:$A,Capex!$A321,'BASE-ICP'!$B:$B,"janeiro")/1000,"")),"")</f>
        <v>0</v>
      </c>
      <c r="BS313" s="427">
        <v>0</v>
      </c>
      <c r="BT313" s="372">
        <v>0</v>
      </c>
      <c r="BU313" s="422"/>
      <c r="BV313" s="423">
        <f>IFERROR(IF(LEFT($A313,3)="Lcp",SUMIFS('BASE-LCP'!$K:$K,'BASE-LCP'!$A:$A,Capex!$A321,'BASE-LCP'!$B:$B,"fevereiro")/1000,IF(LEFT($A313,3)="icp",SUMIFS('BASE-ICP'!$K:$K,'BASE-ICP'!$A:$A,Capex!$A321,'BASE-ICP'!$B:$B,"fevereiro")/1000,"")),"")</f>
        <v>0</v>
      </c>
      <c r="BW313" s="427">
        <v>0</v>
      </c>
      <c r="BX313" s="372">
        <v>0</v>
      </c>
      <c r="BY313" s="419"/>
      <c r="BZ313" s="423">
        <f>IFERROR(IF(LEFT($A313,3)="Lcp",SUMIFS('BASE-LCP'!$K:$K,'BASE-LCP'!$A:$A,Capex!$A321,'BASE-LCP'!$B:$B,"março")/1000,IF(LEFT($A313,3)="icp",SUMIFS('BASE-ICP'!$K:$K,'BASE-ICP'!$A:$A,Capex!$A321,'BASE-ICP'!$B:$B,"março")/1000,"")),"")</f>
        <v>-7.6136800000000004</v>
      </c>
      <c r="CA313" s="427">
        <v>0</v>
      </c>
      <c r="CB313" s="372">
        <v>0</v>
      </c>
      <c r="CC313" s="422"/>
      <c r="CD313" s="423">
        <f>IFERROR(IF(LEFT($A313,3)="Lcp",SUMIFS('BASE-LCP'!$K:$K,'BASE-LCP'!$A:$A,Capex!$A321,'BASE-LCP'!$B:$B,"abril")/1000,IF(LEFT($A313,3)="icp",SUMIFS('BASE-ICP'!$K:$K,'BASE-ICP'!$A:$A,Capex!$A321,'BASE-ICP'!$B:$B,"abril")/1000,"")),"")</f>
        <v>0</v>
      </c>
      <c r="CE313" s="427">
        <v>0</v>
      </c>
      <c r="CF313" s="372">
        <v>0</v>
      </c>
      <c r="CG313" s="419"/>
      <c r="CH313" s="423">
        <v>0</v>
      </c>
      <c r="CI313" s="427">
        <v>0</v>
      </c>
      <c r="CJ313" s="372">
        <v>0</v>
      </c>
      <c r="CK313" s="419"/>
      <c r="CL313" s="423">
        <f>IFERROR(IF(LEFT($A313,3)="Lcp",SUMIFS('BASE-LCP'!$K:$K,'BASE-LCP'!$A:$A,Capex!$A321,'BASE-LCP'!$B:$B,"junho")/1000,IF(LEFT($A313,3)="icp",SUMIFS('BASE-ICP'!$K:$K,'BASE-ICP'!$A:$A,Capex!$A321,'BASE-ICP'!$B:$B,"junho")/1000,"")),"")</f>
        <v>0</v>
      </c>
      <c r="CM313" s="427">
        <v>0</v>
      </c>
      <c r="CN313" s="372"/>
      <c r="CO313" s="419"/>
      <c r="CP313" s="423">
        <f>IFERROR(IF(LEFT($A313,3)="Lcp",SUMIFS('BASE-LCP'!$K:$K,'BASE-LCP'!$A:$A,Capex!$A321,'BASE-LCP'!$B:$B,"julho")/1000,IF(LEFT($A313,3)="icp",SUMIFS('BASE-ICP'!$K:$K,'BASE-ICP'!$A:$A,Capex!$A321,'BASE-ICP'!$B:$B,"julho")/1000,"")),"")</f>
        <v>0</v>
      </c>
      <c r="CQ313" s="427">
        <v>0</v>
      </c>
      <c r="CR313" s="372"/>
      <c r="CS313" s="419"/>
      <c r="CT313" s="423">
        <f>IFERROR(IF(LEFT($A313,3)="Lcp",SUMIFS('BASE-LCP'!$K:$K,'BASE-LCP'!$A:$A,Capex!$A321,'BASE-LCP'!$B:$B,"agosto")/1000,IF(LEFT($A313,3)="icp",SUMIFS('BASE-ICP'!$K:$K,'BASE-ICP'!$A:$A,Capex!$A321,'BASE-ICP'!$B:$B,"agosto")/1000,"")),"")</f>
        <v>0</v>
      </c>
      <c r="CU313" s="427">
        <v>0</v>
      </c>
      <c r="CV313" s="372"/>
      <c r="CW313" s="419"/>
      <c r="CX313" s="423">
        <f>IFERROR(IF(LEFT($A313,3)="Lcp",SUMIFS('BASE-LCP'!$K:$K,'BASE-LCP'!$A:$A,Capex!$A321,'BASE-LCP'!$B:$B,"setembro")/1000,IF(LEFT($A313,3)="icp",SUMIFS('BASE-ICP'!$K:$K,'BASE-ICP'!$A:$A,Capex!$A321,'BASE-ICP'!$B:$B,"setembro")/1000,"")),"")</f>
        <v>0</v>
      </c>
      <c r="CY313" s="427">
        <v>0</v>
      </c>
      <c r="CZ313" s="372"/>
      <c r="DA313" s="419"/>
      <c r="DB313" s="423">
        <f>IFERROR(IF(LEFT($A313,3)="Lcp",SUMIFS('BASE-LCP'!$K:$K,'BASE-LCP'!$A:$A,Capex!$A321,'BASE-LCP'!$B:$B,"outubro")/1000,IF(LEFT($A313,3)="icp",SUMIFS('BASE-ICP'!$K:$K,'BASE-ICP'!$A:$A,Capex!$A321,'BASE-ICP'!$B:$B,"outubro")/1000,"")),"")</f>
        <v>0</v>
      </c>
      <c r="DC313" s="427">
        <v>17</v>
      </c>
      <c r="DD313" s="372"/>
      <c r="DE313" s="419"/>
      <c r="DF313" s="423">
        <f>IFERROR(IF(LEFT($A313,3)="Lcp",SUMIFS('BASE-LCP'!$K:$K,'BASE-LCP'!$A:$A,Capex!$A321,'BASE-LCP'!$B:$B,"novembro")/1000,IF(LEFT($A313,3)="icp",SUMIFS('BASE-ICP'!$K:$K,'BASE-ICP'!$A:$A,Capex!$A321,'BASE-ICP'!$B:$B,"novembro")/1000,"")),"")</f>
        <v>0</v>
      </c>
      <c r="DG313" s="427">
        <v>435</v>
      </c>
      <c r="DH313" s="372"/>
      <c r="DI313" s="419"/>
      <c r="DJ313" s="423">
        <f>IFERROR(IF(LEFT($A313,3)="Lcp",SUMIFS('BASE-LCP'!$K:$K,'BASE-LCP'!$A:$A,Capex!$A321,'BASE-LCP'!$B:$B,"dezembro")/1000,IF(LEFT($A313,3)="icp",SUMIFS('BASE-ICP'!$K:$K,'BASE-ICP'!$A:$A,Capex!$A321,'BASE-ICP'!$B:$B,"dezembro")/1000,"")),"")</f>
        <v>0</v>
      </c>
      <c r="DK313" s="427">
        <v>0</v>
      </c>
      <c r="DL313" s="452">
        <f t="shared" si="154"/>
        <v>67</v>
      </c>
      <c r="DM313" s="374"/>
      <c r="DN313" s="374">
        <v>67</v>
      </c>
      <c r="DO313" s="374"/>
      <c r="DP313" s="374"/>
      <c r="DQ313" s="374"/>
      <c r="DR313" s="374"/>
      <c r="DS313" s="374"/>
      <c r="DT313" s="374"/>
      <c r="DU313" s="374"/>
      <c r="DV313" s="374"/>
      <c r="DW313" s="374"/>
      <c r="DX313" s="374"/>
      <c r="DY313" s="450"/>
      <c r="DZ313" s="374">
        <f t="shared" si="155"/>
        <v>67</v>
      </c>
      <c r="EA313" s="216">
        <f t="shared" si="156"/>
        <v>0</v>
      </c>
      <c r="EB313" s="320">
        <f t="shared" si="157"/>
        <v>0</v>
      </c>
      <c r="EC313" s="241">
        <f t="shared" si="158"/>
        <v>0</v>
      </c>
      <c r="ED313" s="241">
        <f t="shared" si="159"/>
        <v>0</v>
      </c>
      <c r="EE313" s="241">
        <f t="shared" si="160"/>
        <v>0</v>
      </c>
      <c r="EF313" s="241">
        <f t="shared" si="161"/>
        <v>452</v>
      </c>
      <c r="EG313" s="346">
        <f t="shared" si="162"/>
        <v>452</v>
      </c>
      <c r="EH313" s="445">
        <f t="shared" si="163"/>
        <v>0</v>
      </c>
      <c r="EI313" s="447">
        <f t="shared" si="164"/>
        <v>0</v>
      </c>
      <c r="EJ313" s="364">
        <f t="shared" si="165"/>
        <v>0</v>
      </c>
      <c r="EK313" s="365">
        <f t="shared" si="166"/>
        <v>452</v>
      </c>
      <c r="EL313" s="529">
        <f t="shared" si="167"/>
        <v>452</v>
      </c>
      <c r="EM313" s="530">
        <v>0</v>
      </c>
      <c r="EN313" s="530">
        <v>0</v>
      </c>
      <c r="EO313" s="530">
        <v>0</v>
      </c>
      <c r="EP313" s="530">
        <v>0</v>
      </c>
      <c r="EQ313" s="530">
        <v>0</v>
      </c>
      <c r="ER313" s="530">
        <v>0</v>
      </c>
      <c r="ES313" s="530">
        <v>0</v>
      </c>
      <c r="ET313" s="530">
        <v>0</v>
      </c>
      <c r="EU313" s="530">
        <v>0</v>
      </c>
      <c r="EV313" s="530">
        <v>17</v>
      </c>
      <c r="EW313" s="530">
        <v>435</v>
      </c>
      <c r="EX313" s="530">
        <v>0</v>
      </c>
      <c r="EY313" s="530">
        <f t="shared" si="168"/>
        <v>0</v>
      </c>
      <c r="EZ313" s="530">
        <f t="shared" si="169"/>
        <v>0</v>
      </c>
      <c r="FA313" s="530">
        <f t="shared" si="170"/>
        <v>0</v>
      </c>
      <c r="FB313" s="530">
        <f t="shared" si="171"/>
        <v>452</v>
      </c>
      <c r="FC313" s="384">
        <f>IFERROR(VLOOKUP(Capex!A321,BASE_558!D:R,8,FALSE)/1000,"")</f>
        <v>215.5</v>
      </c>
      <c r="FD313" s="328">
        <f>IFERROR(VLOOKUP(Capex!A321,BASE_558!D:R,9,)/1000,"")</f>
        <v>0</v>
      </c>
      <c r="FE313" s="328">
        <f>IFERROR(IF(LEFT(A313,3)="LCP",(VLOOKUP(Capex!A321,BASE_558!D:R,10,)/1000),SUMIFS('BASE ICP_PO_SC'!F:F,'BASE ICP_PO_SC'!A:A,Capex!A321,'BASE ICP_PO_SC'!E:E,"&lt;&gt;")/1000),"")</f>
        <v>0</v>
      </c>
      <c r="FF313" s="328">
        <f>IFERROR(IF(LEFT(A313,3)="LCP",(VLOOKUP(Capex!A321,BASE_558!D:R,11,)/1000),SUMIFS('BASE ICP_PO_SC'!F:F,'BASE ICP_PO_SC'!A:A,Capex!A321,'BASE ICP_PO_SC'!E:E,"")/1000),"")</f>
        <v>0</v>
      </c>
      <c r="FG313" s="328">
        <f>IFERROR(VLOOKUP(A313,BASE_558!D:R,13,FALSE)/1000,"")</f>
        <v>453.79207000000002</v>
      </c>
      <c r="FH313" s="328">
        <f>IFERROR(VLOOKUP(A313,BASE_558!D:R,15,FALSE)/1000,"")</f>
        <v>67.611929999999987</v>
      </c>
      <c r="FI313" s="547">
        <f t="shared" si="172"/>
        <v>0</v>
      </c>
      <c r="FJ313" s="547">
        <f t="shared" si="173"/>
        <v>0</v>
      </c>
      <c r="FK313" s="540">
        <f t="shared" si="174"/>
        <v>0</v>
      </c>
    </row>
    <row r="314" spans="1:167" s="23" customFormat="1" ht="24" customHeight="1">
      <c r="A314" s="84" t="s">
        <v>2367</v>
      </c>
      <c r="B314" s="404"/>
      <c r="C314" s="404"/>
      <c r="D314" s="338" t="s">
        <v>1906</v>
      </c>
      <c r="E314" s="378">
        <v>6977927</v>
      </c>
      <c r="F314" s="5"/>
      <c r="G314" s="310" t="s">
        <v>9</v>
      </c>
      <c r="H314" s="338"/>
      <c r="I314" s="356"/>
      <c r="J314" s="356">
        <v>2023</v>
      </c>
      <c r="K314" s="321"/>
      <c r="L314" s="317">
        <v>45280</v>
      </c>
      <c r="M314" s="409"/>
      <c r="N314" s="317" t="str">
        <f t="shared" si="177"/>
        <v/>
      </c>
      <c r="O314" s="317" t="str">
        <f t="shared" si="178"/>
        <v/>
      </c>
      <c r="P314" s="418" t="str">
        <f t="shared" si="183"/>
        <v>N/A</v>
      </c>
      <c r="Q314" s="418" t="str">
        <f t="shared" si="183"/>
        <v>N/A</v>
      </c>
      <c r="R314" s="418" t="str">
        <f t="shared" si="183"/>
        <v>N/A</v>
      </c>
      <c r="S314" s="418" t="str">
        <f t="shared" si="183"/>
        <v>N/A</v>
      </c>
      <c r="T314" s="418" t="str">
        <f t="shared" si="183"/>
        <v>N/A</v>
      </c>
      <c r="U314" s="418" t="str">
        <f t="shared" si="183"/>
        <v>N/A</v>
      </c>
      <c r="V314" s="418" t="str">
        <f t="shared" si="183"/>
        <v>N/A</v>
      </c>
      <c r="W314" s="418" t="str">
        <f t="shared" si="183"/>
        <v>N/A</v>
      </c>
      <c r="X314" s="418" t="str">
        <f t="shared" si="183"/>
        <v>N/A</v>
      </c>
      <c r="Y314" s="418" t="str">
        <f t="shared" si="183"/>
        <v>N/A</v>
      </c>
      <c r="Z314" s="418" t="str">
        <f t="shared" si="183"/>
        <v>N/A</v>
      </c>
      <c r="AA314" s="418" t="str">
        <f t="shared" si="183"/>
        <v>N/A</v>
      </c>
      <c r="AB314" s="350"/>
      <c r="AC314" s="309" t="s">
        <v>3931</v>
      </c>
      <c r="AD314" s="311" t="s">
        <v>223</v>
      </c>
      <c r="AE314" s="361"/>
      <c r="AF314" s="310" t="s">
        <v>6985</v>
      </c>
      <c r="AG314" s="310" t="s">
        <v>9083</v>
      </c>
      <c r="AH314" s="310" t="s">
        <v>3258</v>
      </c>
      <c r="AI314" s="381" t="s">
        <v>188</v>
      </c>
      <c r="AJ314" s="6" t="s">
        <v>218</v>
      </c>
      <c r="AK314" s="6" t="str">
        <f t="shared" si="152"/>
        <v>IGUAL</v>
      </c>
      <c r="AL314" s="151" t="str">
        <f>IFERROR(IF(LEFT(A314,3)="LCP",VLOOKUP(A314,STATUS_SAP_LCP!B:C,2,FALSE),VLOOKUP(A314,STATUS_SAP_ICP!B:C,2,FALSE)),"NO BUDGET")</f>
        <v>CLSD AUC   //  RJCD BNRL EXPL</v>
      </c>
      <c r="AM314" s="6" t="str">
        <f t="shared" si="151"/>
        <v>CLSD</v>
      </c>
      <c r="AN314" s="414" t="s">
        <v>9097</v>
      </c>
      <c r="AO314" s="558">
        <v>1</v>
      </c>
      <c r="AP314" s="499" t="s">
        <v>9618</v>
      </c>
      <c r="AQ314" s="465">
        <v>45280</v>
      </c>
      <c r="AR314" s="460"/>
      <c r="AS314" s="57"/>
      <c r="AT314" s="185"/>
      <c r="AU314" s="318"/>
      <c r="AV314" s="223">
        <v>0</v>
      </c>
      <c r="AW314" s="318">
        <v>0</v>
      </c>
      <c r="AX314" s="223">
        <v>0</v>
      </c>
      <c r="AY314" s="318">
        <f t="shared" si="179"/>
        <v>0</v>
      </c>
      <c r="AZ314" s="223"/>
      <c r="BA314" s="318"/>
      <c r="BB314" s="519">
        <f t="shared" si="180"/>
        <v>0</v>
      </c>
      <c r="BC314" s="518"/>
      <c r="BD314" s="518"/>
      <c r="BE314" s="518"/>
      <c r="BF314" s="518"/>
      <c r="BG314" s="518"/>
      <c r="BH314" s="518"/>
      <c r="BI314" s="518"/>
      <c r="BJ314" s="518"/>
      <c r="BK314" s="518"/>
      <c r="BL314" s="518"/>
      <c r="BM314" s="518"/>
      <c r="BN314" s="518"/>
      <c r="BO314" s="367">
        <f t="shared" si="153"/>
        <v>0</v>
      </c>
      <c r="BP314" s="421"/>
      <c r="BQ314" s="422"/>
      <c r="BR314" s="423">
        <f>IFERROR(IF(LEFT($A314,3)="Lcp",SUMIFS('BASE-LCP'!$K:$K,'BASE-LCP'!$A:$A,Capex!$A322,'BASE-LCP'!$B:$B,"janeiro")/1000,IF(LEFT($A314,3)="icp",SUMIFS('BASE-ICP'!$K:$K,'BASE-ICP'!$A:$A,Capex!$A322,'BASE-ICP'!$B:$B,"janeiro")/1000,"")),"")</f>
        <v>21.105790000000002</v>
      </c>
      <c r="BS314" s="427">
        <v>0</v>
      </c>
      <c r="BT314" s="372">
        <v>0</v>
      </c>
      <c r="BU314" s="422"/>
      <c r="BV314" s="423">
        <f>IFERROR(IF(LEFT($A314,3)="Lcp",SUMIFS('BASE-LCP'!$K:$K,'BASE-LCP'!$A:$A,Capex!$A322,'BASE-LCP'!$B:$B,"fevereiro")/1000,IF(LEFT($A314,3)="icp",SUMIFS('BASE-ICP'!$K:$K,'BASE-ICP'!$A:$A,Capex!$A322,'BASE-ICP'!$B:$B,"fevereiro")/1000,"")),"")</f>
        <v>1.7238</v>
      </c>
      <c r="BW314" s="427">
        <v>0</v>
      </c>
      <c r="BX314" s="372">
        <v>0</v>
      </c>
      <c r="BY314" s="419"/>
      <c r="BZ314" s="423">
        <f>IFERROR(IF(LEFT($A314,3)="Lcp",SUMIFS('BASE-LCP'!$K:$K,'BASE-LCP'!$A:$A,Capex!$A322,'BASE-LCP'!$B:$B,"março")/1000,IF(LEFT($A314,3)="icp",SUMIFS('BASE-ICP'!$K:$K,'BASE-ICP'!$A:$A,Capex!$A322,'BASE-ICP'!$B:$B,"março")/1000,"")),"")</f>
        <v>1.0357099999999999</v>
      </c>
      <c r="CA314" s="427">
        <v>0</v>
      </c>
      <c r="CB314" s="372">
        <v>0</v>
      </c>
      <c r="CC314" s="422"/>
      <c r="CD314" s="423">
        <f>IFERROR(IF(LEFT($A314,3)="Lcp",SUMIFS('BASE-LCP'!$K:$K,'BASE-LCP'!$A:$A,Capex!$A322,'BASE-LCP'!$B:$B,"abril")/1000,IF(LEFT($A314,3)="icp",SUMIFS('BASE-ICP'!$K:$K,'BASE-ICP'!$A:$A,Capex!$A322,'BASE-ICP'!$B:$B,"abril")/1000,"")),"")</f>
        <v>107.34591999999999</v>
      </c>
      <c r="CE314" s="427">
        <v>0</v>
      </c>
      <c r="CF314" s="372">
        <v>0</v>
      </c>
      <c r="CG314" s="419"/>
      <c r="CH314" s="423">
        <v>0</v>
      </c>
      <c r="CI314" s="427">
        <v>0</v>
      </c>
      <c r="CJ314" s="372">
        <v>0</v>
      </c>
      <c r="CK314" s="419"/>
      <c r="CL314" s="423">
        <f>IFERROR(IF(LEFT($A314,3)="Lcp",SUMIFS('BASE-LCP'!$K:$K,'BASE-LCP'!$A:$A,Capex!$A322,'BASE-LCP'!$B:$B,"junho")/1000,IF(LEFT($A314,3)="icp",SUMIFS('BASE-ICP'!$K:$K,'BASE-ICP'!$A:$A,Capex!$A322,'BASE-ICP'!$B:$B,"junho")/1000,"")),"")</f>
        <v>0.74885000000000002</v>
      </c>
      <c r="CM314" s="427">
        <v>0</v>
      </c>
      <c r="CN314" s="372"/>
      <c r="CO314" s="419"/>
      <c r="CP314" s="423">
        <f>IFERROR(IF(LEFT($A314,3)="Lcp",SUMIFS('BASE-LCP'!$K:$K,'BASE-LCP'!$A:$A,Capex!$A322,'BASE-LCP'!$B:$B,"julho")/1000,IF(LEFT($A314,3)="icp",SUMIFS('BASE-ICP'!$K:$K,'BASE-ICP'!$A:$A,Capex!$A322,'BASE-ICP'!$B:$B,"julho")/1000,"")),"")</f>
        <v>1.2141500000000001</v>
      </c>
      <c r="CQ314" s="427">
        <v>0</v>
      </c>
      <c r="CR314" s="372"/>
      <c r="CS314" s="419"/>
      <c r="CT314" s="423">
        <f>IFERROR(IF(LEFT($A314,3)="Lcp",SUMIFS('BASE-LCP'!$K:$K,'BASE-LCP'!$A:$A,Capex!$A322,'BASE-LCP'!$B:$B,"agosto")/1000,IF(LEFT($A314,3)="icp",SUMIFS('BASE-ICP'!$K:$K,'BASE-ICP'!$A:$A,Capex!$A322,'BASE-ICP'!$B:$B,"agosto")/1000,"")),"")</f>
        <v>0</v>
      </c>
      <c r="CU314" s="427">
        <v>0</v>
      </c>
      <c r="CV314" s="372"/>
      <c r="CW314" s="419"/>
      <c r="CX314" s="423">
        <f>IFERROR(IF(LEFT($A314,3)="Lcp",SUMIFS('BASE-LCP'!$K:$K,'BASE-LCP'!$A:$A,Capex!$A322,'BASE-LCP'!$B:$B,"setembro")/1000,IF(LEFT($A314,3)="icp",SUMIFS('BASE-ICP'!$K:$K,'BASE-ICP'!$A:$A,Capex!$A322,'BASE-ICP'!$B:$B,"setembro")/1000,"")),"")</f>
        <v>0</v>
      </c>
      <c r="CY314" s="427">
        <v>0</v>
      </c>
      <c r="CZ314" s="372"/>
      <c r="DA314" s="419"/>
      <c r="DB314" s="423">
        <f>IFERROR(IF(LEFT($A314,3)="Lcp",SUMIFS('BASE-LCP'!$K:$K,'BASE-LCP'!$A:$A,Capex!$A322,'BASE-LCP'!$B:$B,"outubro")/1000,IF(LEFT($A314,3)="icp",SUMIFS('BASE-ICP'!$K:$K,'BASE-ICP'!$A:$A,Capex!$A322,'BASE-ICP'!$B:$B,"outubro")/1000,"")),"")</f>
        <v>0</v>
      </c>
      <c r="DC314" s="427">
        <v>0</v>
      </c>
      <c r="DD314" s="372"/>
      <c r="DE314" s="419"/>
      <c r="DF314" s="423">
        <f>IFERROR(IF(LEFT($A314,3)="Lcp",SUMIFS('BASE-LCP'!$K:$K,'BASE-LCP'!$A:$A,Capex!$A322,'BASE-LCP'!$B:$B,"novembro")/1000,IF(LEFT($A314,3)="icp",SUMIFS('BASE-ICP'!$K:$K,'BASE-ICP'!$A:$A,Capex!$A322,'BASE-ICP'!$B:$B,"novembro")/1000,"")),"")</f>
        <v>0</v>
      </c>
      <c r="DG314" s="427">
        <v>0</v>
      </c>
      <c r="DH314" s="372"/>
      <c r="DI314" s="419"/>
      <c r="DJ314" s="423">
        <f>IFERROR(IF(LEFT($A314,3)="Lcp",SUMIFS('BASE-LCP'!$K:$K,'BASE-LCP'!$A:$A,Capex!$A322,'BASE-LCP'!$B:$B,"dezembro")/1000,IF(LEFT($A314,3)="icp",SUMIFS('BASE-ICP'!$K:$K,'BASE-ICP'!$A:$A,Capex!$A322,'BASE-ICP'!$B:$B,"dezembro")/1000,"")),"")</f>
        <v>0</v>
      </c>
      <c r="DK314" s="427">
        <v>0</v>
      </c>
      <c r="DL314" s="452">
        <f t="shared" si="154"/>
        <v>0</v>
      </c>
      <c r="DM314" s="374"/>
      <c r="DN314" s="374"/>
      <c r="DO314" s="374"/>
      <c r="DP314" s="374"/>
      <c r="DQ314" s="374"/>
      <c r="DR314" s="374"/>
      <c r="DS314" s="374"/>
      <c r="DT314" s="374"/>
      <c r="DU314" s="374"/>
      <c r="DV314" s="374"/>
      <c r="DW314" s="374"/>
      <c r="DX314" s="374"/>
      <c r="DY314" s="450"/>
      <c r="DZ314" s="374">
        <f t="shared" si="155"/>
        <v>0</v>
      </c>
      <c r="EA314" s="216">
        <f t="shared" si="156"/>
        <v>0</v>
      </c>
      <c r="EB314" s="320">
        <f t="shared" si="157"/>
        <v>0.74885000000000002</v>
      </c>
      <c r="EC314" s="241">
        <f t="shared" si="158"/>
        <v>0</v>
      </c>
      <c r="ED314" s="241">
        <f t="shared" si="159"/>
        <v>0</v>
      </c>
      <c r="EE314" s="241">
        <f t="shared" si="160"/>
        <v>0</v>
      </c>
      <c r="EF314" s="241">
        <f t="shared" si="161"/>
        <v>0</v>
      </c>
      <c r="EG314" s="346">
        <f t="shared" si="162"/>
        <v>0</v>
      </c>
      <c r="EH314" s="445">
        <f t="shared" si="163"/>
        <v>0</v>
      </c>
      <c r="EI314" s="447">
        <f t="shared" si="164"/>
        <v>0</v>
      </c>
      <c r="EJ314" s="364">
        <f t="shared" si="165"/>
        <v>0.74885000000000002</v>
      </c>
      <c r="EK314" s="365">
        <f t="shared" si="166"/>
        <v>-0.74885000000000002</v>
      </c>
      <c r="EL314" s="529">
        <f t="shared" si="167"/>
        <v>0</v>
      </c>
      <c r="EM314" s="530">
        <v>0</v>
      </c>
      <c r="EN314" s="530">
        <v>0</v>
      </c>
      <c r="EO314" s="530">
        <v>0</v>
      </c>
      <c r="EP314" s="530">
        <v>0</v>
      </c>
      <c r="EQ314" s="530">
        <v>0</v>
      </c>
      <c r="ER314" s="530">
        <v>0</v>
      </c>
      <c r="ES314" s="530">
        <v>0</v>
      </c>
      <c r="ET314" s="530">
        <v>0</v>
      </c>
      <c r="EU314" s="530">
        <v>0</v>
      </c>
      <c r="EV314" s="530">
        <v>0</v>
      </c>
      <c r="EW314" s="530">
        <v>0</v>
      </c>
      <c r="EX314" s="530">
        <v>0</v>
      </c>
      <c r="EY314" s="530">
        <f t="shared" si="168"/>
        <v>0</v>
      </c>
      <c r="EZ314" s="530">
        <f t="shared" si="169"/>
        <v>0</v>
      </c>
      <c r="FA314" s="530">
        <f t="shared" si="170"/>
        <v>0</v>
      </c>
      <c r="FB314" s="530">
        <f t="shared" si="171"/>
        <v>0</v>
      </c>
      <c r="FC314" s="384">
        <f>IFERROR(VLOOKUP(Capex!A322,BASE_558!D:R,8,FALSE)/1000,"")</f>
        <v>510.20100000000002</v>
      </c>
      <c r="FD314" s="328">
        <f>IFERROR(VLOOKUP(Capex!A322,BASE_558!D:R,9,)/1000,"")</f>
        <v>179.49125000000001</v>
      </c>
      <c r="FE314" s="328">
        <f>IFERROR(IF(LEFT(A314,3)="LCP",(VLOOKUP(Capex!A322,BASE_558!D:R,10,)/1000),SUMIFS('BASE ICP_PO_SC'!F:F,'BASE ICP_PO_SC'!A:A,Capex!A322,'BASE ICP_PO_SC'!E:E,"&lt;&gt;")/1000),"")</f>
        <v>118.80851</v>
      </c>
      <c r="FF314" s="328">
        <f>IFERROR(IF(LEFT(A314,3)="LCP",(VLOOKUP(Capex!A322,BASE_558!D:R,11,)/1000),SUMIFS('BASE ICP_PO_SC'!F:F,'BASE ICP_PO_SC'!A:A,Capex!A322,'BASE ICP_PO_SC'!E:E,"")/1000),"")</f>
        <v>0</v>
      </c>
      <c r="FG314" s="328">
        <f>IFERROR(VLOOKUP(A314,BASE_558!D:R,13,FALSE)/1000,"")</f>
        <v>0</v>
      </c>
      <c r="FH314" s="328">
        <f>IFERROR(VLOOKUP(A314,BASE_558!D:R,15,FALSE)/1000,"")</f>
        <v>0</v>
      </c>
      <c r="FI314" s="547">
        <f t="shared" si="172"/>
        <v>0</v>
      </c>
      <c r="FJ314" s="547">
        <f t="shared" si="173"/>
        <v>0</v>
      </c>
      <c r="FK314" s="540">
        <f t="shared" si="174"/>
        <v>0</v>
      </c>
    </row>
    <row r="315" spans="1:167" s="23" customFormat="1" ht="24" customHeight="1">
      <c r="A315" s="84" t="s">
        <v>2368</v>
      </c>
      <c r="B315" s="404"/>
      <c r="C315" s="404"/>
      <c r="D315" s="338" t="s">
        <v>3339</v>
      </c>
      <c r="E315" s="378">
        <v>6978503</v>
      </c>
      <c r="F315" s="5"/>
      <c r="G315" s="310" t="s">
        <v>9</v>
      </c>
      <c r="H315" s="356" t="s">
        <v>6</v>
      </c>
      <c r="I315" s="356" t="s">
        <v>6810</v>
      </c>
      <c r="J315" s="356">
        <v>2023</v>
      </c>
      <c r="K315" s="352">
        <v>45054</v>
      </c>
      <c r="L315" s="317">
        <v>45473</v>
      </c>
      <c r="M315" s="409" t="s">
        <v>6808</v>
      </c>
      <c r="N315" s="317">
        <f t="shared" si="177"/>
        <v>45966</v>
      </c>
      <c r="O315" s="317">
        <f t="shared" si="178"/>
        <v>46331</v>
      </c>
      <c r="P315" s="418" t="str">
        <f t="shared" ref="P315:AA324" si="184">IF($N315="","N/A",IF($O315="","N/A",IF(P$2&lt;=$N315,"NÃO",IF($AJ315="REL ","SIM",IF(P$2&lt;$O315,"NÃO",IF($AJ315&lt;&gt;"CLSD","SIM","CRTD"))))))</f>
        <v>NÃO</v>
      </c>
      <c r="Q315" s="418" t="str">
        <f t="shared" si="184"/>
        <v>NÃO</v>
      </c>
      <c r="R315" s="418" t="str">
        <f t="shared" si="184"/>
        <v>NÃO</v>
      </c>
      <c r="S315" s="418" t="str">
        <f t="shared" si="184"/>
        <v>NÃO</v>
      </c>
      <c r="T315" s="418" t="str">
        <f t="shared" si="184"/>
        <v>NÃO</v>
      </c>
      <c r="U315" s="418" t="str">
        <f t="shared" si="184"/>
        <v>NÃO</v>
      </c>
      <c r="V315" s="418" t="str">
        <f t="shared" si="184"/>
        <v>NÃO</v>
      </c>
      <c r="W315" s="418" t="str">
        <f t="shared" si="184"/>
        <v>NÃO</v>
      </c>
      <c r="X315" s="418" t="str">
        <f t="shared" si="184"/>
        <v>NÃO</v>
      </c>
      <c r="Y315" s="418" t="str">
        <f t="shared" si="184"/>
        <v>NÃO</v>
      </c>
      <c r="Z315" s="418" t="str">
        <f t="shared" si="184"/>
        <v>NÃO</v>
      </c>
      <c r="AA315" s="418" t="str">
        <f t="shared" si="184"/>
        <v>NÃO</v>
      </c>
      <c r="AB315" s="350"/>
      <c r="AC315" s="309" t="s">
        <v>3930</v>
      </c>
      <c r="AD315" s="311" t="s">
        <v>223</v>
      </c>
      <c r="AE315" s="361"/>
      <c r="AF315" s="310" t="s">
        <v>6985</v>
      </c>
      <c r="AG315" s="310" t="s">
        <v>2485</v>
      </c>
      <c r="AH315" s="310" t="s">
        <v>2369</v>
      </c>
      <c r="AI315" s="309" t="s">
        <v>188</v>
      </c>
      <c r="AJ315" s="6" t="s">
        <v>218</v>
      </c>
      <c r="AK315" s="6" t="str">
        <f t="shared" si="152"/>
        <v>IGUAL</v>
      </c>
      <c r="AL315" s="151" t="str">
        <f>IFERROR(IF(LEFT(A315,3)="LCP",VLOOKUP(A315,STATUS_SAP_LCP!B:C,2,FALSE),VLOOKUP(A315,STATUS_SAP_ICP!B:C,2,FALSE)),"NO BUDGET")</f>
        <v>CLSD BUDG AUC  AVAC  //  APPR BREL EXPL</v>
      </c>
      <c r="AM315" s="6" t="str">
        <f t="shared" si="151"/>
        <v>CLSD</v>
      </c>
      <c r="AN315" s="282" t="s">
        <v>2651</v>
      </c>
      <c r="AO315" s="493">
        <v>1</v>
      </c>
      <c r="AP315" s="499" t="s">
        <v>9607</v>
      </c>
      <c r="AQ315" s="465">
        <v>45473</v>
      </c>
      <c r="AR315" s="460"/>
      <c r="AS315" s="57"/>
      <c r="AT315" s="185"/>
      <c r="AU315" s="318"/>
      <c r="AV315" s="223">
        <v>0</v>
      </c>
      <c r="AW315" s="318">
        <v>0</v>
      </c>
      <c r="AX315" s="223">
        <v>152.17340999999999</v>
      </c>
      <c r="AY315" s="318">
        <f t="shared" si="179"/>
        <v>0</v>
      </c>
      <c r="AZ315" s="223"/>
      <c r="BA315" s="318"/>
      <c r="BB315" s="519">
        <f t="shared" si="180"/>
        <v>0</v>
      </c>
      <c r="BC315" s="518"/>
      <c r="BD315" s="518"/>
      <c r="BE315" s="518"/>
      <c r="BF315" s="518"/>
      <c r="BG315" s="518"/>
      <c r="BH315" s="518"/>
      <c r="BI315" s="518"/>
      <c r="BJ315" s="518"/>
      <c r="BK315" s="518"/>
      <c r="BL315" s="518"/>
      <c r="BM315" s="518"/>
      <c r="BN315" s="518"/>
      <c r="BO315" s="367">
        <f t="shared" si="153"/>
        <v>0</v>
      </c>
      <c r="BP315" s="421"/>
      <c r="BQ315" s="422"/>
      <c r="BR315" s="423">
        <f>IFERROR(IF(LEFT($A315,3)="Lcp",SUMIFS('BASE-LCP'!$K:$K,'BASE-LCP'!$A:$A,Capex!$A323,'BASE-LCP'!$B:$B,"janeiro")/1000,IF(LEFT($A315,3)="icp",SUMIFS('BASE-ICP'!$K:$K,'BASE-ICP'!$A:$A,Capex!$A323,'BASE-ICP'!$B:$B,"janeiro")/1000,"")),"")</f>
        <v>0</v>
      </c>
      <c r="BS315" s="427">
        <v>0</v>
      </c>
      <c r="BT315" s="372">
        <v>0</v>
      </c>
      <c r="BU315" s="422"/>
      <c r="BV315" s="423">
        <f>IFERROR(IF(LEFT($A315,3)="Lcp",SUMIFS('BASE-LCP'!$K:$K,'BASE-LCP'!$A:$A,Capex!$A323,'BASE-LCP'!$B:$B,"fevereiro")/1000,IF(LEFT($A315,3)="icp",SUMIFS('BASE-ICP'!$K:$K,'BASE-ICP'!$A:$A,Capex!$A323,'BASE-ICP'!$B:$B,"fevereiro")/1000,"")),"")</f>
        <v>0</v>
      </c>
      <c r="BW315" s="427">
        <v>0</v>
      </c>
      <c r="BX315" s="372">
        <v>0</v>
      </c>
      <c r="BY315" s="419"/>
      <c r="BZ315" s="423">
        <f>IFERROR(IF(LEFT($A315,3)="Lcp",SUMIFS('BASE-LCP'!$K:$K,'BASE-LCP'!$A:$A,Capex!$A323,'BASE-LCP'!$B:$B,"março")/1000,IF(LEFT($A315,3)="icp",SUMIFS('BASE-ICP'!$K:$K,'BASE-ICP'!$A:$A,Capex!$A323,'BASE-ICP'!$B:$B,"março")/1000,"")),"")</f>
        <v>0</v>
      </c>
      <c r="CA315" s="427">
        <v>0</v>
      </c>
      <c r="CB315" s="372">
        <v>0</v>
      </c>
      <c r="CC315" s="422"/>
      <c r="CD315" s="423">
        <f>IFERROR(IF(LEFT($A315,3)="Lcp",SUMIFS('BASE-LCP'!$K:$K,'BASE-LCP'!$A:$A,Capex!$A323,'BASE-LCP'!$B:$B,"abril")/1000,IF(LEFT($A315,3)="icp",SUMIFS('BASE-ICP'!$K:$K,'BASE-ICP'!$A:$A,Capex!$A323,'BASE-ICP'!$B:$B,"abril")/1000,"")),"")</f>
        <v>0</v>
      </c>
      <c r="CE315" s="427">
        <v>0</v>
      </c>
      <c r="CF315" s="372">
        <v>0</v>
      </c>
      <c r="CG315" s="419"/>
      <c r="CH315" s="423">
        <v>0</v>
      </c>
      <c r="CI315" s="427">
        <v>0</v>
      </c>
      <c r="CJ315" s="372">
        <v>0</v>
      </c>
      <c r="CK315" s="419"/>
      <c r="CL315" s="423">
        <f>IFERROR(IF(LEFT($A315,3)="Lcp",SUMIFS('BASE-LCP'!$K:$K,'BASE-LCP'!$A:$A,Capex!$A323,'BASE-LCP'!$B:$B,"junho")/1000,IF(LEFT($A315,3)="icp",SUMIFS('BASE-ICP'!$K:$K,'BASE-ICP'!$A:$A,Capex!$A323,'BASE-ICP'!$B:$B,"junho")/1000,"")),"")</f>
        <v>0</v>
      </c>
      <c r="CM315" s="427">
        <v>0</v>
      </c>
      <c r="CN315" s="372"/>
      <c r="CO315" s="419"/>
      <c r="CP315" s="423">
        <f>IFERROR(IF(LEFT($A315,3)="Lcp",SUMIFS('BASE-LCP'!$K:$K,'BASE-LCP'!$A:$A,Capex!$A323,'BASE-LCP'!$B:$B,"julho")/1000,IF(LEFT($A315,3)="icp",SUMIFS('BASE-ICP'!$K:$K,'BASE-ICP'!$A:$A,Capex!$A323,'BASE-ICP'!$B:$B,"julho")/1000,"")),"")</f>
        <v>0</v>
      </c>
      <c r="CQ315" s="427">
        <v>0</v>
      </c>
      <c r="CR315" s="372"/>
      <c r="CS315" s="419"/>
      <c r="CT315" s="423">
        <f>IFERROR(IF(LEFT($A315,3)="Lcp",SUMIFS('BASE-LCP'!$K:$K,'BASE-LCP'!$A:$A,Capex!$A323,'BASE-LCP'!$B:$B,"agosto")/1000,IF(LEFT($A315,3)="icp",SUMIFS('BASE-ICP'!$K:$K,'BASE-ICP'!$A:$A,Capex!$A323,'BASE-ICP'!$B:$B,"agosto")/1000,"")),"")</f>
        <v>0</v>
      </c>
      <c r="CU315" s="427">
        <v>0</v>
      </c>
      <c r="CV315" s="372"/>
      <c r="CW315" s="419"/>
      <c r="CX315" s="423">
        <f>IFERROR(IF(LEFT($A315,3)="Lcp",SUMIFS('BASE-LCP'!$K:$K,'BASE-LCP'!$A:$A,Capex!$A323,'BASE-LCP'!$B:$B,"setembro")/1000,IF(LEFT($A315,3)="icp",SUMIFS('BASE-ICP'!$K:$K,'BASE-ICP'!$A:$A,Capex!$A323,'BASE-ICP'!$B:$B,"setembro")/1000,"")),"")</f>
        <v>0</v>
      </c>
      <c r="CY315" s="427">
        <v>0</v>
      </c>
      <c r="CZ315" s="372"/>
      <c r="DA315" s="419"/>
      <c r="DB315" s="423">
        <f>IFERROR(IF(LEFT($A315,3)="Lcp",SUMIFS('BASE-LCP'!$K:$K,'BASE-LCP'!$A:$A,Capex!$A323,'BASE-LCP'!$B:$B,"outubro")/1000,IF(LEFT($A315,3)="icp",SUMIFS('BASE-ICP'!$K:$K,'BASE-ICP'!$A:$A,Capex!$A323,'BASE-ICP'!$B:$B,"outubro")/1000,"")),"")</f>
        <v>0</v>
      </c>
      <c r="DC315" s="427">
        <v>0</v>
      </c>
      <c r="DD315" s="372"/>
      <c r="DE315" s="419"/>
      <c r="DF315" s="423">
        <f>IFERROR(IF(LEFT($A315,3)="Lcp",SUMIFS('BASE-LCP'!$K:$K,'BASE-LCP'!$A:$A,Capex!$A323,'BASE-LCP'!$B:$B,"novembro")/1000,IF(LEFT($A315,3)="icp",SUMIFS('BASE-ICP'!$K:$K,'BASE-ICP'!$A:$A,Capex!$A323,'BASE-ICP'!$B:$B,"novembro")/1000,"")),"")</f>
        <v>0</v>
      </c>
      <c r="DG315" s="427">
        <v>0</v>
      </c>
      <c r="DH315" s="372"/>
      <c r="DI315" s="419"/>
      <c r="DJ315" s="423">
        <f>IFERROR(IF(LEFT($A315,3)="Lcp",SUMIFS('BASE-LCP'!$K:$K,'BASE-LCP'!$A:$A,Capex!$A323,'BASE-LCP'!$B:$B,"dezembro")/1000,IF(LEFT($A315,3)="icp",SUMIFS('BASE-ICP'!$K:$K,'BASE-ICP'!$A:$A,Capex!$A323,'BASE-ICP'!$B:$B,"dezembro")/1000,"")),"")</f>
        <v>0</v>
      </c>
      <c r="DK315" s="427">
        <v>0</v>
      </c>
      <c r="DL315" s="452">
        <f t="shared" si="154"/>
        <v>0</v>
      </c>
      <c r="DM315" s="374"/>
      <c r="DN315" s="374">
        <v>0</v>
      </c>
      <c r="DO315" s="374"/>
      <c r="DP315" s="374"/>
      <c r="DQ315" s="374"/>
      <c r="DR315" s="374"/>
      <c r="DS315" s="374"/>
      <c r="DT315" s="374"/>
      <c r="DU315" s="374"/>
      <c r="DV315" s="374"/>
      <c r="DW315" s="374"/>
      <c r="DX315" s="374"/>
      <c r="DY315" s="450"/>
      <c r="DZ315" s="374">
        <f t="shared" si="155"/>
        <v>0</v>
      </c>
      <c r="EA315" s="216">
        <f t="shared" si="156"/>
        <v>0</v>
      </c>
      <c r="EB315" s="320">
        <f t="shared" si="157"/>
        <v>0</v>
      </c>
      <c r="EC315" s="241">
        <f t="shared" si="158"/>
        <v>0</v>
      </c>
      <c r="ED315" s="241">
        <f t="shared" si="159"/>
        <v>0</v>
      </c>
      <c r="EE315" s="241">
        <f t="shared" si="160"/>
        <v>0</v>
      </c>
      <c r="EF315" s="241">
        <f t="shared" si="161"/>
        <v>0</v>
      </c>
      <c r="EG315" s="346">
        <f t="shared" si="162"/>
        <v>0</v>
      </c>
      <c r="EH315" s="445">
        <f t="shared" si="163"/>
        <v>0</v>
      </c>
      <c r="EI315" s="447">
        <f t="shared" si="164"/>
        <v>0</v>
      </c>
      <c r="EJ315" s="364">
        <f t="shared" si="165"/>
        <v>0</v>
      </c>
      <c r="EK315" s="365">
        <f t="shared" si="166"/>
        <v>0</v>
      </c>
      <c r="EL315" s="529">
        <f t="shared" si="167"/>
        <v>0</v>
      </c>
      <c r="EM315" s="530">
        <v>0</v>
      </c>
      <c r="EN315" s="530">
        <v>0</v>
      </c>
      <c r="EO315" s="530">
        <v>0</v>
      </c>
      <c r="EP315" s="530">
        <v>0</v>
      </c>
      <c r="EQ315" s="530">
        <v>0</v>
      </c>
      <c r="ER315" s="530">
        <v>0</v>
      </c>
      <c r="ES315" s="530">
        <v>0</v>
      </c>
      <c r="ET315" s="530">
        <v>0</v>
      </c>
      <c r="EU315" s="530">
        <v>0</v>
      </c>
      <c r="EV315" s="530">
        <v>0</v>
      </c>
      <c r="EW315" s="530">
        <v>0</v>
      </c>
      <c r="EX315" s="530">
        <v>0</v>
      </c>
      <c r="EY315" s="530">
        <f t="shared" si="168"/>
        <v>0</v>
      </c>
      <c r="EZ315" s="530">
        <f t="shared" si="169"/>
        <v>0</v>
      </c>
      <c r="FA315" s="530">
        <f t="shared" si="170"/>
        <v>0</v>
      </c>
      <c r="FB315" s="530">
        <f t="shared" si="171"/>
        <v>0</v>
      </c>
      <c r="FC315" s="384">
        <f>IFERROR(VLOOKUP(Capex!A323,BASE_558!D:R,8,FALSE)/1000,"")</f>
        <v>785.94100000000003</v>
      </c>
      <c r="FD315" s="328">
        <f>IFERROR(VLOOKUP(Capex!A323,BASE_558!D:R,9,)/1000,"")</f>
        <v>2.6176999999999997</v>
      </c>
      <c r="FE315" s="328">
        <f>IFERROR(IF(LEFT(A315,3)="LCP",(VLOOKUP(Capex!A323,BASE_558!D:R,10,)/1000),SUMIFS('BASE ICP_PO_SC'!F:F,'BASE ICP_PO_SC'!A:A,Capex!A323,'BASE ICP_PO_SC'!E:E,"&lt;&gt;")/1000),"")</f>
        <v>0</v>
      </c>
      <c r="FF315" s="328">
        <f>IFERROR(IF(LEFT(A315,3)="LCP",(VLOOKUP(Capex!A323,BASE_558!D:R,11,)/1000),SUMIFS('BASE ICP_PO_SC'!F:F,'BASE ICP_PO_SC'!A:A,Capex!A323,'BASE ICP_PO_SC'!E:E,"")/1000),"")</f>
        <v>0</v>
      </c>
      <c r="FG315" s="328">
        <f>IFERROR(VLOOKUP(A315,BASE_558!D:R,13,FALSE)/1000,"")</f>
        <v>152.17340999999999</v>
      </c>
      <c r="FH315" s="328">
        <f>IFERROR(VLOOKUP(A315,BASE_558!D:R,15,FALSE)/1000,"")</f>
        <v>64.42658999999999</v>
      </c>
      <c r="FI315" s="547">
        <f t="shared" si="172"/>
        <v>0</v>
      </c>
      <c r="FJ315" s="547">
        <f t="shared" si="173"/>
        <v>0</v>
      </c>
      <c r="FK315" s="540">
        <f t="shared" si="174"/>
        <v>0</v>
      </c>
    </row>
    <row r="316" spans="1:167" s="23" customFormat="1" ht="24" customHeight="1">
      <c r="A316" s="84" t="s">
        <v>2370</v>
      </c>
      <c r="B316" s="404"/>
      <c r="C316" s="404" t="s">
        <v>602</v>
      </c>
      <c r="D316" s="338" t="s">
        <v>1906</v>
      </c>
      <c r="E316" s="378">
        <v>6978752</v>
      </c>
      <c r="F316" s="5"/>
      <c r="G316" s="310" t="s">
        <v>9</v>
      </c>
      <c r="H316" s="356"/>
      <c r="I316" s="356"/>
      <c r="J316" s="356">
        <v>2023</v>
      </c>
      <c r="K316" s="321"/>
      <c r="L316" s="317">
        <v>45280</v>
      </c>
      <c r="M316" s="409"/>
      <c r="N316" s="317" t="str">
        <f t="shared" si="177"/>
        <v/>
      </c>
      <c r="O316" s="317" t="str">
        <f t="shared" si="178"/>
        <v/>
      </c>
      <c r="P316" s="418" t="str">
        <f t="shared" si="184"/>
        <v>N/A</v>
      </c>
      <c r="Q316" s="418" t="str">
        <f t="shared" si="184"/>
        <v>N/A</v>
      </c>
      <c r="R316" s="418" t="str">
        <f t="shared" si="184"/>
        <v>N/A</v>
      </c>
      <c r="S316" s="418" t="str">
        <f t="shared" si="184"/>
        <v>N/A</v>
      </c>
      <c r="T316" s="418" t="str">
        <f t="shared" si="184"/>
        <v>N/A</v>
      </c>
      <c r="U316" s="418" t="str">
        <f t="shared" si="184"/>
        <v>N/A</v>
      </c>
      <c r="V316" s="418" t="str">
        <f t="shared" si="184"/>
        <v>N/A</v>
      </c>
      <c r="W316" s="418" t="str">
        <f t="shared" si="184"/>
        <v>N/A</v>
      </c>
      <c r="X316" s="418" t="str">
        <f t="shared" si="184"/>
        <v>N/A</v>
      </c>
      <c r="Y316" s="418" t="str">
        <f t="shared" si="184"/>
        <v>N/A</v>
      </c>
      <c r="Z316" s="418" t="str">
        <f t="shared" si="184"/>
        <v>N/A</v>
      </c>
      <c r="AA316" s="418" t="str">
        <f t="shared" si="184"/>
        <v>N/A</v>
      </c>
      <c r="AB316" s="350"/>
      <c r="AC316" s="381" t="s">
        <v>3930</v>
      </c>
      <c r="AD316" s="311"/>
      <c r="AE316" s="382"/>
      <c r="AF316" s="310" t="s">
        <v>6985</v>
      </c>
      <c r="AG316" s="310" t="s">
        <v>2485</v>
      </c>
      <c r="AH316" s="310" t="s">
        <v>3259</v>
      </c>
      <c r="AI316" s="381" t="s">
        <v>188</v>
      </c>
      <c r="AJ316" s="6" t="s">
        <v>218</v>
      </c>
      <c r="AK316" s="6" t="str">
        <f t="shared" si="152"/>
        <v>IGUAL</v>
      </c>
      <c r="AL316" s="151" t="str">
        <f>IFERROR(IF(LEFT(A316,3)="LCP",VLOOKUP(A316,STATUS_SAP_LCP!B:C,2,FALSE),VLOOKUP(A316,STATUS_SAP_ICP!B:C,2,FALSE)),"NO BUDGET")</f>
        <v>CLSD AUC   //  INIT BNRL EXPL</v>
      </c>
      <c r="AM316" s="6" t="str">
        <f t="shared" si="151"/>
        <v>CLSD</v>
      </c>
      <c r="AN316" s="428" t="s">
        <v>557</v>
      </c>
      <c r="AO316" s="493">
        <v>1</v>
      </c>
      <c r="AP316" s="499" t="s">
        <v>9618</v>
      </c>
      <c r="AQ316" s="465">
        <v>45280</v>
      </c>
      <c r="AR316" s="460"/>
      <c r="AS316" s="57"/>
      <c r="AT316" s="185"/>
      <c r="AU316" s="318">
        <v>0</v>
      </c>
      <c r="AV316" s="223">
        <v>0</v>
      </c>
      <c r="AW316" s="318">
        <v>0</v>
      </c>
      <c r="AX316" s="223">
        <v>0</v>
      </c>
      <c r="AY316" s="318">
        <f t="shared" si="179"/>
        <v>0</v>
      </c>
      <c r="AZ316" s="223"/>
      <c r="BA316" s="318"/>
      <c r="BB316" s="519">
        <f t="shared" si="180"/>
        <v>0</v>
      </c>
      <c r="BC316" s="518"/>
      <c r="BD316" s="518"/>
      <c r="BE316" s="518"/>
      <c r="BF316" s="518"/>
      <c r="BG316" s="518"/>
      <c r="BH316" s="518"/>
      <c r="BI316" s="518"/>
      <c r="BJ316" s="518"/>
      <c r="BK316" s="518"/>
      <c r="BL316" s="518"/>
      <c r="BM316" s="518"/>
      <c r="BN316" s="518"/>
      <c r="BO316" s="367">
        <f t="shared" si="153"/>
        <v>0</v>
      </c>
      <c r="BP316" s="421"/>
      <c r="BQ316" s="422"/>
      <c r="BR316" s="423">
        <f>IFERROR(IF(LEFT($A316,3)="Lcp",SUMIFS('BASE-LCP'!$K:$K,'BASE-LCP'!$A:$A,Capex!$A324,'BASE-LCP'!$B:$B,"janeiro")/1000,IF(LEFT($A316,3)="icp",SUMIFS('BASE-ICP'!$K:$K,'BASE-ICP'!$A:$A,Capex!$A324,'BASE-ICP'!$B:$B,"janeiro")/1000,"")),"")</f>
        <v>0</v>
      </c>
      <c r="BS316" s="427">
        <v>0</v>
      </c>
      <c r="BT316" s="372">
        <v>0</v>
      </c>
      <c r="BU316" s="422"/>
      <c r="BV316" s="423">
        <f>IFERROR(IF(LEFT($A316,3)="Lcp",SUMIFS('BASE-LCP'!$K:$K,'BASE-LCP'!$A:$A,Capex!$A324,'BASE-LCP'!$B:$B,"fevereiro")/1000,IF(LEFT($A316,3)="icp",SUMIFS('BASE-ICP'!$K:$K,'BASE-ICP'!$A:$A,Capex!$A324,'BASE-ICP'!$B:$B,"fevereiro")/1000,"")),"")</f>
        <v>0</v>
      </c>
      <c r="BW316" s="427">
        <v>0</v>
      </c>
      <c r="BX316" s="372">
        <v>0</v>
      </c>
      <c r="BY316" s="419"/>
      <c r="BZ316" s="423">
        <f>IFERROR(IF(LEFT($A316,3)="Lcp",SUMIFS('BASE-LCP'!$K:$K,'BASE-LCP'!$A:$A,Capex!$A324,'BASE-LCP'!$B:$B,"março")/1000,IF(LEFT($A316,3)="icp",SUMIFS('BASE-ICP'!$K:$K,'BASE-ICP'!$A:$A,Capex!$A324,'BASE-ICP'!$B:$B,"março")/1000,"")),"")</f>
        <v>0</v>
      </c>
      <c r="CA316" s="427">
        <v>0</v>
      </c>
      <c r="CB316" s="372">
        <v>0</v>
      </c>
      <c r="CC316" s="422"/>
      <c r="CD316" s="423">
        <f>IFERROR(IF(LEFT($A316,3)="Lcp",SUMIFS('BASE-LCP'!$K:$K,'BASE-LCP'!$A:$A,Capex!$A324,'BASE-LCP'!$B:$B,"abril")/1000,IF(LEFT($A316,3)="icp",SUMIFS('BASE-ICP'!$K:$K,'BASE-ICP'!$A:$A,Capex!$A324,'BASE-ICP'!$B:$B,"abril")/1000,"")),"")</f>
        <v>0</v>
      </c>
      <c r="CE316" s="427">
        <v>0</v>
      </c>
      <c r="CF316" s="372">
        <v>0</v>
      </c>
      <c r="CG316" s="419"/>
      <c r="CH316" s="423">
        <v>0</v>
      </c>
      <c r="CI316" s="427">
        <v>0</v>
      </c>
      <c r="CJ316" s="372">
        <v>0</v>
      </c>
      <c r="CK316" s="419"/>
      <c r="CL316" s="423">
        <f>IFERROR(IF(LEFT($A316,3)="Lcp",SUMIFS('BASE-LCP'!$K:$K,'BASE-LCP'!$A:$A,Capex!$A324,'BASE-LCP'!$B:$B,"junho")/1000,IF(LEFT($A316,3)="icp",SUMIFS('BASE-ICP'!$K:$K,'BASE-ICP'!$A:$A,Capex!$A324,'BASE-ICP'!$B:$B,"junho")/1000,"")),"")</f>
        <v>0</v>
      </c>
      <c r="CM316" s="427">
        <v>0</v>
      </c>
      <c r="CN316" s="372"/>
      <c r="CO316" s="419"/>
      <c r="CP316" s="423">
        <f>IFERROR(IF(LEFT($A316,3)="Lcp",SUMIFS('BASE-LCP'!$K:$K,'BASE-LCP'!$A:$A,Capex!$A324,'BASE-LCP'!$B:$B,"julho")/1000,IF(LEFT($A316,3)="icp",SUMIFS('BASE-ICP'!$K:$K,'BASE-ICP'!$A:$A,Capex!$A324,'BASE-ICP'!$B:$B,"julho")/1000,"")),"")</f>
        <v>0</v>
      </c>
      <c r="CQ316" s="427">
        <v>0</v>
      </c>
      <c r="CR316" s="372"/>
      <c r="CS316" s="419"/>
      <c r="CT316" s="423">
        <f>IFERROR(IF(LEFT($A316,3)="Lcp",SUMIFS('BASE-LCP'!$K:$K,'BASE-LCP'!$A:$A,Capex!$A324,'BASE-LCP'!$B:$B,"agosto")/1000,IF(LEFT($A316,3)="icp",SUMIFS('BASE-ICP'!$K:$K,'BASE-ICP'!$A:$A,Capex!$A324,'BASE-ICP'!$B:$B,"agosto")/1000,"")),"")</f>
        <v>0</v>
      </c>
      <c r="CU316" s="427">
        <v>0</v>
      </c>
      <c r="CV316" s="372"/>
      <c r="CW316" s="419"/>
      <c r="CX316" s="423">
        <f>IFERROR(IF(LEFT($A316,3)="Lcp",SUMIFS('BASE-LCP'!$K:$K,'BASE-LCP'!$A:$A,Capex!$A324,'BASE-LCP'!$B:$B,"setembro")/1000,IF(LEFT($A316,3)="icp",SUMIFS('BASE-ICP'!$K:$K,'BASE-ICP'!$A:$A,Capex!$A324,'BASE-ICP'!$B:$B,"setembro")/1000,"")),"")</f>
        <v>0</v>
      </c>
      <c r="CY316" s="427">
        <v>0</v>
      </c>
      <c r="CZ316" s="372"/>
      <c r="DA316" s="419"/>
      <c r="DB316" s="423">
        <f>IFERROR(IF(LEFT($A316,3)="Lcp",SUMIFS('BASE-LCP'!$K:$K,'BASE-LCP'!$A:$A,Capex!$A324,'BASE-LCP'!$B:$B,"outubro")/1000,IF(LEFT($A316,3)="icp",SUMIFS('BASE-ICP'!$K:$K,'BASE-ICP'!$A:$A,Capex!$A324,'BASE-ICP'!$B:$B,"outubro")/1000,"")),"")</f>
        <v>0</v>
      </c>
      <c r="DC316" s="427">
        <v>0</v>
      </c>
      <c r="DD316" s="372"/>
      <c r="DE316" s="419"/>
      <c r="DF316" s="423">
        <f>IFERROR(IF(LEFT($A316,3)="Lcp",SUMIFS('BASE-LCP'!$K:$K,'BASE-LCP'!$A:$A,Capex!$A324,'BASE-LCP'!$B:$B,"novembro")/1000,IF(LEFT($A316,3)="icp",SUMIFS('BASE-ICP'!$K:$K,'BASE-ICP'!$A:$A,Capex!$A324,'BASE-ICP'!$B:$B,"novembro")/1000,"")),"")</f>
        <v>0</v>
      </c>
      <c r="DG316" s="427">
        <v>0</v>
      </c>
      <c r="DH316" s="372"/>
      <c r="DI316" s="419"/>
      <c r="DJ316" s="423">
        <f>IFERROR(IF(LEFT($A316,3)="Lcp",SUMIFS('BASE-LCP'!$K:$K,'BASE-LCP'!$A:$A,Capex!$A324,'BASE-LCP'!$B:$B,"dezembro")/1000,IF(LEFT($A316,3)="icp",SUMIFS('BASE-ICP'!$K:$K,'BASE-ICP'!$A:$A,Capex!$A324,'BASE-ICP'!$B:$B,"dezembro")/1000,"")),"")</f>
        <v>0</v>
      </c>
      <c r="DK316" s="427">
        <v>0</v>
      </c>
      <c r="DL316" s="452">
        <f t="shared" si="154"/>
        <v>0</v>
      </c>
      <c r="DM316" s="374"/>
      <c r="DN316" s="374"/>
      <c r="DO316" s="374"/>
      <c r="DP316" s="374"/>
      <c r="DQ316" s="374"/>
      <c r="DR316" s="374"/>
      <c r="DS316" s="374"/>
      <c r="DT316" s="374"/>
      <c r="DU316" s="374"/>
      <c r="DV316" s="374"/>
      <c r="DW316" s="374"/>
      <c r="DX316" s="374"/>
      <c r="DY316" s="450"/>
      <c r="DZ316" s="374">
        <f t="shared" si="155"/>
        <v>0</v>
      </c>
      <c r="EA316" s="216">
        <f t="shared" si="156"/>
        <v>0</v>
      </c>
      <c r="EB316" s="320">
        <f t="shared" si="157"/>
        <v>0</v>
      </c>
      <c r="EC316" s="241">
        <f t="shared" si="158"/>
        <v>0</v>
      </c>
      <c r="ED316" s="241">
        <f t="shared" si="159"/>
        <v>0</v>
      </c>
      <c r="EE316" s="241">
        <f t="shared" si="160"/>
        <v>0</v>
      </c>
      <c r="EF316" s="241">
        <f t="shared" si="161"/>
        <v>0</v>
      </c>
      <c r="EG316" s="346">
        <f t="shared" si="162"/>
        <v>0</v>
      </c>
      <c r="EH316" s="445">
        <f t="shared" si="163"/>
        <v>0</v>
      </c>
      <c r="EI316" s="447">
        <f t="shared" si="164"/>
        <v>0</v>
      </c>
      <c r="EJ316" s="364">
        <f t="shared" si="165"/>
        <v>0</v>
      </c>
      <c r="EK316" s="365">
        <f t="shared" si="166"/>
        <v>0</v>
      </c>
      <c r="EL316" s="529">
        <f t="shared" si="167"/>
        <v>0</v>
      </c>
      <c r="EM316" s="530">
        <v>0</v>
      </c>
      <c r="EN316" s="530">
        <v>0</v>
      </c>
      <c r="EO316" s="530">
        <v>0</v>
      </c>
      <c r="EP316" s="530">
        <v>0</v>
      </c>
      <c r="EQ316" s="530">
        <v>0</v>
      </c>
      <c r="ER316" s="530">
        <v>0</v>
      </c>
      <c r="ES316" s="530">
        <v>0</v>
      </c>
      <c r="ET316" s="530">
        <v>0</v>
      </c>
      <c r="EU316" s="530">
        <v>0</v>
      </c>
      <c r="EV316" s="530">
        <v>0</v>
      </c>
      <c r="EW316" s="530">
        <v>0</v>
      </c>
      <c r="EX316" s="530">
        <v>0</v>
      </c>
      <c r="EY316" s="530">
        <f t="shared" si="168"/>
        <v>0</v>
      </c>
      <c r="EZ316" s="530">
        <f t="shared" si="169"/>
        <v>0</v>
      </c>
      <c r="FA316" s="530">
        <f t="shared" si="170"/>
        <v>0</v>
      </c>
      <c r="FB316" s="530">
        <f t="shared" si="171"/>
        <v>0</v>
      </c>
      <c r="FC316" s="384">
        <f>IFERROR(VLOOKUP(Capex!A324,BASE_558!D:R,8,FALSE)/1000,"")</f>
        <v>673.34199999999998</v>
      </c>
      <c r="FD316" s="328">
        <f>IFERROR(VLOOKUP(Capex!A324,BASE_558!D:R,9,)/1000,"")</f>
        <v>0</v>
      </c>
      <c r="FE316" s="328">
        <f>IFERROR(IF(LEFT(A316,3)="LCP",(VLOOKUP(Capex!A324,BASE_558!D:R,10,)/1000),SUMIFS('BASE ICP_PO_SC'!F:F,'BASE ICP_PO_SC'!A:A,Capex!A324,'BASE ICP_PO_SC'!E:E,"&lt;&gt;")/1000),"")</f>
        <v>0</v>
      </c>
      <c r="FF316" s="328">
        <f>IFERROR(IF(LEFT(A316,3)="LCP",(VLOOKUP(Capex!A324,BASE_558!D:R,11,)/1000),SUMIFS('BASE ICP_PO_SC'!F:F,'BASE ICP_PO_SC'!A:A,Capex!A324,'BASE ICP_PO_SC'!E:E,"")/1000),"")</f>
        <v>0</v>
      </c>
      <c r="FG316" s="328">
        <f>IFERROR(VLOOKUP(A316,BASE_558!D:R,13,FALSE)/1000,"")</f>
        <v>0</v>
      </c>
      <c r="FH316" s="328">
        <f>IFERROR(VLOOKUP(A316,BASE_558!D:R,15,FALSE)/1000,"")</f>
        <v>0</v>
      </c>
      <c r="FI316" s="547">
        <f t="shared" si="172"/>
        <v>0</v>
      </c>
      <c r="FJ316" s="547">
        <f t="shared" si="173"/>
        <v>0</v>
      </c>
      <c r="FK316" s="540">
        <f t="shared" si="174"/>
        <v>0</v>
      </c>
    </row>
    <row r="317" spans="1:167" s="23" customFormat="1" ht="24" customHeight="1">
      <c r="A317" s="84" t="s">
        <v>2371</v>
      </c>
      <c r="B317" s="404"/>
      <c r="C317" s="404">
        <v>3344</v>
      </c>
      <c r="D317" s="403" t="s">
        <v>3348</v>
      </c>
      <c r="E317" s="378">
        <v>7519007</v>
      </c>
      <c r="F317" s="5"/>
      <c r="G317" s="310" t="s">
        <v>9</v>
      </c>
      <c r="H317" s="338" t="s">
        <v>6</v>
      </c>
      <c r="I317" s="356"/>
      <c r="J317" s="356">
        <v>2023</v>
      </c>
      <c r="K317" s="352">
        <v>45278</v>
      </c>
      <c r="L317" s="317"/>
      <c r="M317" s="409"/>
      <c r="N317" s="317">
        <f t="shared" si="177"/>
        <v>46190</v>
      </c>
      <c r="O317" s="317">
        <f t="shared" si="178"/>
        <v>46555</v>
      </c>
      <c r="P317" s="418" t="str">
        <f t="shared" si="184"/>
        <v>NÃO</v>
      </c>
      <c r="Q317" s="418" t="str">
        <f t="shared" si="184"/>
        <v>NÃO</v>
      </c>
      <c r="R317" s="418" t="str">
        <f t="shared" si="184"/>
        <v>NÃO</v>
      </c>
      <c r="S317" s="418" t="str">
        <f t="shared" si="184"/>
        <v>NÃO</v>
      </c>
      <c r="T317" s="418" t="str">
        <f t="shared" si="184"/>
        <v>NÃO</v>
      </c>
      <c r="U317" s="418" t="str">
        <f t="shared" si="184"/>
        <v>NÃO</v>
      </c>
      <c r="V317" s="418" t="str">
        <f t="shared" si="184"/>
        <v>NÃO</v>
      </c>
      <c r="W317" s="418" t="str">
        <f t="shared" si="184"/>
        <v>NÃO</v>
      </c>
      <c r="X317" s="418" t="str">
        <f t="shared" si="184"/>
        <v>NÃO</v>
      </c>
      <c r="Y317" s="418" t="str">
        <f t="shared" si="184"/>
        <v>NÃO</v>
      </c>
      <c r="Z317" s="418" t="str">
        <f t="shared" si="184"/>
        <v>NÃO</v>
      </c>
      <c r="AA317" s="418" t="str">
        <f t="shared" si="184"/>
        <v>NÃO</v>
      </c>
      <c r="AB317" s="350"/>
      <c r="AC317" s="309" t="s">
        <v>3930</v>
      </c>
      <c r="AD317" s="311"/>
      <c r="AE317" s="361"/>
      <c r="AF317" s="310" t="s">
        <v>6985</v>
      </c>
      <c r="AG317" s="310" t="s">
        <v>2485</v>
      </c>
      <c r="AH317" s="310" t="s">
        <v>6973</v>
      </c>
      <c r="AI317" s="309" t="s">
        <v>188</v>
      </c>
      <c r="AJ317" s="6" t="s">
        <v>6786</v>
      </c>
      <c r="AK317" s="6" t="str">
        <f t="shared" si="152"/>
        <v>IGUAL</v>
      </c>
      <c r="AL317" s="151" t="str">
        <f>IFERROR(IF(LEFT(A317,3)="LCP",VLOOKUP(A317,STATUS_SAP_LCP!B:C,2,FALSE),VLOOKUP(A317,STATUS_SAP_ICP!B:C,2,FALSE)),"NO BUDGET")</f>
        <v>REL  BUDG AUC  AVAC  //  APPR BREL EXPL</v>
      </c>
      <c r="AM317" s="6" t="str">
        <f t="shared" si="151"/>
        <v xml:space="preserve">REL </v>
      </c>
      <c r="AN317" s="414" t="s">
        <v>17629</v>
      </c>
      <c r="AO317" s="414"/>
      <c r="AP317" s="499" t="s">
        <v>5299</v>
      </c>
      <c r="AQ317" s="465">
        <v>45808</v>
      </c>
      <c r="AR317" s="460"/>
      <c r="AS317" s="57"/>
      <c r="AT317" s="185"/>
      <c r="AU317" s="318">
        <v>0</v>
      </c>
      <c r="AV317" s="223">
        <v>0</v>
      </c>
      <c r="AW317" s="318">
        <v>0</v>
      </c>
      <c r="AX317" s="223">
        <v>0</v>
      </c>
      <c r="AY317" s="318">
        <f t="shared" si="179"/>
        <v>149.06013999999999</v>
      </c>
      <c r="AZ317" s="223"/>
      <c r="BA317" s="318"/>
      <c r="BB317" s="519">
        <f t="shared" si="180"/>
        <v>136.80000000000001</v>
      </c>
      <c r="BC317" s="518">
        <v>0</v>
      </c>
      <c r="BD317" s="518">
        <v>0</v>
      </c>
      <c r="BE317" s="518">
        <v>136.80000000000001</v>
      </c>
      <c r="BF317" s="518">
        <v>0</v>
      </c>
      <c r="BG317" s="518">
        <v>0</v>
      </c>
      <c r="BH317" s="518">
        <v>0</v>
      </c>
      <c r="BI317" s="518">
        <v>0</v>
      </c>
      <c r="BJ317" s="518">
        <v>0</v>
      </c>
      <c r="BK317" s="518">
        <v>0</v>
      </c>
      <c r="BL317" s="518">
        <v>0</v>
      </c>
      <c r="BM317" s="518">
        <v>0</v>
      </c>
      <c r="BN317" s="518">
        <v>0</v>
      </c>
      <c r="BO317" s="367">
        <f t="shared" si="153"/>
        <v>149.06013999999999</v>
      </c>
      <c r="BP317" s="421">
        <v>0</v>
      </c>
      <c r="BQ317" s="422">
        <v>31.09056</v>
      </c>
      <c r="BR317" s="423">
        <f>IFERROR(IF(LEFT($A317,3)="Lcp",SUMIFS('BASE-LCP'!$K:$K,'BASE-LCP'!$A:$A,Capex!$A325,'BASE-LCP'!$B:$B,"janeiro")/1000,IF(LEFT($A317,3)="icp",SUMIFS('BASE-ICP'!$K:$K,'BASE-ICP'!$A:$A,Capex!$A325,'BASE-ICP'!$B:$B,"janeiro")/1000,"")),"")</f>
        <v>0</v>
      </c>
      <c r="BS317" s="427">
        <v>31.09056</v>
      </c>
      <c r="BT317" s="372">
        <v>0</v>
      </c>
      <c r="BU317" s="422"/>
      <c r="BV317" s="423">
        <f>IFERROR(IF(LEFT($A317,3)="Lcp",SUMIFS('BASE-LCP'!$K:$K,'BASE-LCP'!$A:$A,Capex!$A325,'BASE-LCP'!$B:$B,"fevereiro")/1000,IF(LEFT($A317,3)="icp",SUMIFS('BASE-ICP'!$K:$K,'BASE-ICP'!$A:$A,Capex!$A325,'BASE-ICP'!$B:$B,"fevereiro")/1000,"")),"")</f>
        <v>0</v>
      </c>
      <c r="BW317" s="427">
        <v>0</v>
      </c>
      <c r="BX317" s="372">
        <v>0</v>
      </c>
      <c r="BY317" s="419"/>
      <c r="BZ317" s="423">
        <f>IFERROR(IF(LEFT($A317,3)="Lcp",SUMIFS('BASE-LCP'!$K:$K,'BASE-LCP'!$A:$A,Capex!$A325,'BASE-LCP'!$B:$B,"março")/1000,IF(LEFT($A317,3)="icp",SUMIFS('BASE-ICP'!$K:$K,'BASE-ICP'!$A:$A,Capex!$A325,'BASE-ICP'!$B:$B,"março")/1000,"")),"")</f>
        <v>0</v>
      </c>
      <c r="CA317" s="427">
        <v>0</v>
      </c>
      <c r="CB317" s="372">
        <v>0</v>
      </c>
      <c r="CC317" s="422"/>
      <c r="CD317" s="423">
        <f>IFERROR(IF(LEFT($A317,3)="Lcp",SUMIFS('BASE-LCP'!$K:$K,'BASE-LCP'!$A:$A,Capex!$A325,'BASE-LCP'!$B:$B,"abril")/1000,IF(LEFT($A317,3)="icp",SUMIFS('BASE-ICP'!$K:$K,'BASE-ICP'!$A:$A,Capex!$A325,'BASE-ICP'!$B:$B,"abril")/1000,"")),"")</f>
        <v>0</v>
      </c>
      <c r="CE317" s="427">
        <v>0</v>
      </c>
      <c r="CF317" s="372">
        <v>93.78</v>
      </c>
      <c r="CG317" s="419">
        <v>94.01997999999999</v>
      </c>
      <c r="CH317" s="423">
        <v>94.01997999999999</v>
      </c>
      <c r="CI317" s="427">
        <v>94.01997999999999</v>
      </c>
      <c r="CJ317" s="372">
        <v>0</v>
      </c>
      <c r="CK317" s="419">
        <v>-33.830400000000004</v>
      </c>
      <c r="CL317" s="423">
        <f>IFERROR(IF(LEFT($A317,3)="Lcp",SUMIFS('BASE-LCP'!$K:$K,'BASE-LCP'!$A:$A,Capex!$A325,'BASE-LCP'!$B:$B,"junho")/1000,IF(LEFT($A317,3)="icp",SUMIFS('BASE-ICP'!$K:$K,'BASE-ICP'!$A:$A,Capex!$A325,'BASE-ICP'!$B:$B,"junho")/1000,"")),"")</f>
        <v>0</v>
      </c>
      <c r="CM317" s="427">
        <v>-33.830400000000004</v>
      </c>
      <c r="CN317" s="372"/>
      <c r="CO317" s="419"/>
      <c r="CP317" s="423">
        <f>IFERROR(IF(LEFT($A317,3)="Lcp",SUMIFS('BASE-LCP'!$K:$K,'BASE-LCP'!$A:$A,Capex!$A325,'BASE-LCP'!$B:$B,"julho")/1000,IF(LEFT($A317,3)="icp",SUMIFS('BASE-ICP'!$K:$K,'BASE-ICP'!$A:$A,Capex!$A325,'BASE-ICP'!$B:$B,"julho")/1000,"")),"")</f>
        <v>0</v>
      </c>
      <c r="CQ317" s="427">
        <f>64.2*0.9</f>
        <v>57.78</v>
      </c>
      <c r="CR317" s="372"/>
      <c r="CS317" s="419"/>
      <c r="CT317" s="423">
        <f>IFERROR(IF(LEFT($A317,3)="Lcp",SUMIFS('BASE-LCP'!$K:$K,'BASE-LCP'!$A:$A,Capex!$A325,'BASE-LCP'!$B:$B,"agosto")/1000,IF(LEFT($A317,3)="icp",SUMIFS('BASE-ICP'!$K:$K,'BASE-ICP'!$A:$A,Capex!$A325,'BASE-ICP'!$B:$B,"agosto")/1000,"")),"")</f>
        <v>0</v>
      </c>
      <c r="CU317" s="427">
        <v>0</v>
      </c>
      <c r="CV317" s="372"/>
      <c r="CW317" s="419"/>
      <c r="CX317" s="423">
        <f>IFERROR(IF(LEFT($A317,3)="Lcp",SUMIFS('BASE-LCP'!$K:$K,'BASE-LCP'!$A:$A,Capex!$A325,'BASE-LCP'!$B:$B,"setembro")/1000,IF(LEFT($A317,3)="icp",SUMIFS('BASE-ICP'!$K:$K,'BASE-ICP'!$A:$A,Capex!$A325,'BASE-ICP'!$B:$B,"setembro")/1000,"")),"")</f>
        <v>0</v>
      </c>
      <c r="CY317" s="427">
        <v>0</v>
      </c>
      <c r="CZ317" s="372"/>
      <c r="DA317" s="419"/>
      <c r="DB317" s="423">
        <f>IFERROR(IF(LEFT($A317,3)="Lcp",SUMIFS('BASE-LCP'!$K:$K,'BASE-LCP'!$A:$A,Capex!$A325,'BASE-LCP'!$B:$B,"outubro")/1000,IF(LEFT($A317,3)="icp",SUMIFS('BASE-ICP'!$K:$K,'BASE-ICP'!$A:$A,Capex!$A325,'BASE-ICP'!$B:$B,"outubro")/1000,"")),"")</f>
        <v>0</v>
      </c>
      <c r="DC317" s="427">
        <v>0</v>
      </c>
      <c r="DD317" s="372"/>
      <c r="DE317" s="419"/>
      <c r="DF317" s="423">
        <f>IFERROR(IF(LEFT($A317,3)="Lcp",SUMIFS('BASE-LCP'!$K:$K,'BASE-LCP'!$A:$A,Capex!$A325,'BASE-LCP'!$B:$B,"novembro")/1000,IF(LEFT($A317,3)="icp",SUMIFS('BASE-ICP'!$K:$K,'BASE-ICP'!$A:$A,Capex!$A325,'BASE-ICP'!$B:$B,"novembro")/1000,"")),"")</f>
        <v>0</v>
      </c>
      <c r="DG317" s="427">
        <v>0</v>
      </c>
      <c r="DH317" s="372"/>
      <c r="DI317" s="419"/>
      <c r="DJ317" s="423">
        <f>IFERROR(IF(LEFT($A317,3)="Lcp",SUMIFS('BASE-LCP'!$K:$K,'BASE-LCP'!$A:$A,Capex!$A325,'BASE-LCP'!$B:$B,"dezembro")/1000,IF(LEFT($A317,3)="icp",SUMIFS('BASE-ICP'!$K:$K,'BASE-ICP'!$A:$A,Capex!$A325,'BASE-ICP'!$B:$B,"dezembro")/1000,"")),"")</f>
        <v>0</v>
      </c>
      <c r="DK317" s="427">
        <v>0</v>
      </c>
      <c r="DL317" s="452">
        <f t="shared" si="154"/>
        <v>0</v>
      </c>
      <c r="DM317" s="374"/>
      <c r="DN317" s="374">
        <v>0</v>
      </c>
      <c r="DO317" s="374"/>
      <c r="DP317" s="374"/>
      <c r="DQ317" s="374"/>
      <c r="DR317" s="374"/>
      <c r="DS317" s="374"/>
      <c r="DT317" s="374"/>
      <c r="DU317" s="374"/>
      <c r="DV317" s="374"/>
      <c r="DW317" s="374"/>
      <c r="DX317" s="374"/>
      <c r="DY317" s="450"/>
      <c r="DZ317" s="374">
        <f t="shared" si="155"/>
        <v>0</v>
      </c>
      <c r="EA317" s="216">
        <f t="shared" si="156"/>
        <v>-33.830400000000004</v>
      </c>
      <c r="EB317" s="320">
        <f t="shared" si="157"/>
        <v>33.830400000000004</v>
      </c>
      <c r="EC317" s="241">
        <f t="shared" si="158"/>
        <v>31.09056</v>
      </c>
      <c r="ED317" s="241">
        <f t="shared" si="159"/>
        <v>60.189579999999985</v>
      </c>
      <c r="EE317" s="241">
        <f t="shared" si="160"/>
        <v>57.78</v>
      </c>
      <c r="EF317" s="241">
        <f t="shared" si="161"/>
        <v>0</v>
      </c>
      <c r="EG317" s="346">
        <f t="shared" si="162"/>
        <v>12.260139999999978</v>
      </c>
      <c r="EH317" s="445">
        <f t="shared" si="163"/>
        <v>93.78</v>
      </c>
      <c r="EI317" s="447">
        <f t="shared" si="164"/>
        <v>94.01997999999999</v>
      </c>
      <c r="EJ317" s="364">
        <f t="shared" si="165"/>
        <v>125.11053999999999</v>
      </c>
      <c r="EK317" s="365">
        <f t="shared" si="166"/>
        <v>23.949600000000004</v>
      </c>
      <c r="EL317" s="529">
        <f t="shared" si="167"/>
        <v>182.89053999999999</v>
      </c>
      <c r="EM317" s="530">
        <v>31.09056</v>
      </c>
      <c r="EN317" s="530">
        <v>0</v>
      </c>
      <c r="EO317" s="530">
        <v>0</v>
      </c>
      <c r="EP317" s="530">
        <v>0</v>
      </c>
      <c r="EQ317" s="530">
        <v>94.01997999999999</v>
      </c>
      <c r="ER317" s="530">
        <v>0</v>
      </c>
      <c r="ES317" s="530">
        <v>57.78</v>
      </c>
      <c r="ET317" s="530">
        <v>0</v>
      </c>
      <c r="EU317" s="530">
        <v>0</v>
      </c>
      <c r="EV317" s="530">
        <v>0</v>
      </c>
      <c r="EW317" s="530">
        <v>0</v>
      </c>
      <c r="EX317" s="530">
        <v>0</v>
      </c>
      <c r="EY317" s="530">
        <f t="shared" si="168"/>
        <v>31.09056</v>
      </c>
      <c r="EZ317" s="530">
        <f t="shared" si="169"/>
        <v>94.01997999999999</v>
      </c>
      <c r="FA317" s="530">
        <f t="shared" si="170"/>
        <v>57.78</v>
      </c>
      <c r="FB317" s="530">
        <f t="shared" si="171"/>
        <v>0</v>
      </c>
      <c r="FC317" s="384">
        <f>IFERROR(VLOOKUP(Capex!A325,BASE_558!D:R,8,FALSE)/1000,"")</f>
        <v>158.68857999999997</v>
      </c>
      <c r="FD317" s="328">
        <f>IFERROR(VLOOKUP(Capex!A325,BASE_558!D:R,9,)/1000,"")</f>
        <v>54.925150000000002</v>
      </c>
      <c r="FE317" s="328">
        <f>IFERROR(IF(LEFT(A317,3)="LCP",(VLOOKUP(Capex!A325,BASE_558!D:R,10,)/1000),SUMIFS('BASE ICP_PO_SC'!F:F,'BASE ICP_PO_SC'!A:A,Capex!A325,'BASE ICP_PO_SC'!E:E,"&lt;&gt;")/1000),"")</f>
        <v>0</v>
      </c>
      <c r="FF317" s="328">
        <f>IFERROR(IF(LEFT(A317,3)="LCP",(VLOOKUP(Capex!A325,BASE_558!D:R,11,)/1000),SUMIFS('BASE ICP_PO_SC'!F:F,'BASE ICP_PO_SC'!A:A,Capex!A325,'BASE ICP_PO_SC'!E:E,"")/1000),"")</f>
        <v>0</v>
      </c>
      <c r="FG317" s="328">
        <f>IFERROR(VLOOKUP(A317,BASE_558!D:R,13,FALSE)/1000,"")</f>
        <v>155.52195999999998</v>
      </c>
      <c r="FH317" s="328">
        <f>IFERROR(VLOOKUP(A317,BASE_558!D:R,15,FALSE)/1000,"")</f>
        <v>181.07804000000002</v>
      </c>
      <c r="FI317" s="547">
        <f t="shared" si="172"/>
        <v>33.830400000000004</v>
      </c>
      <c r="FJ317" s="547">
        <f t="shared" si="173"/>
        <v>0</v>
      </c>
      <c r="FK317" s="540">
        <f t="shared" si="174"/>
        <v>0</v>
      </c>
    </row>
    <row r="318" spans="1:167" s="23" customFormat="1" ht="24" customHeight="1">
      <c r="A318" s="84" t="s">
        <v>2373</v>
      </c>
      <c r="B318" s="404"/>
      <c r="C318" s="404"/>
      <c r="D318" s="338" t="s">
        <v>2643</v>
      </c>
      <c r="E318" s="378">
        <v>7094006</v>
      </c>
      <c r="F318" s="310" t="s">
        <v>609</v>
      </c>
      <c r="G318" s="310" t="s">
        <v>9</v>
      </c>
      <c r="H318" s="356" t="s">
        <v>6</v>
      </c>
      <c r="I318" s="356" t="s">
        <v>6</v>
      </c>
      <c r="J318" s="356">
        <v>2023</v>
      </c>
      <c r="K318" s="352">
        <v>45072</v>
      </c>
      <c r="L318" s="317">
        <v>45590</v>
      </c>
      <c r="M318" s="409" t="s">
        <v>6</v>
      </c>
      <c r="N318" s="317">
        <f t="shared" si="177"/>
        <v>45984</v>
      </c>
      <c r="O318" s="317">
        <f t="shared" si="178"/>
        <v>46349</v>
      </c>
      <c r="P318" s="418" t="str">
        <f t="shared" si="184"/>
        <v>NÃO</v>
      </c>
      <c r="Q318" s="418" t="str">
        <f t="shared" si="184"/>
        <v>NÃO</v>
      </c>
      <c r="R318" s="418" t="str">
        <f t="shared" si="184"/>
        <v>NÃO</v>
      </c>
      <c r="S318" s="418" t="str">
        <f t="shared" si="184"/>
        <v>NÃO</v>
      </c>
      <c r="T318" s="418" t="str">
        <f t="shared" si="184"/>
        <v>NÃO</v>
      </c>
      <c r="U318" s="418" t="str">
        <f t="shared" si="184"/>
        <v>NÃO</v>
      </c>
      <c r="V318" s="418" t="str">
        <f t="shared" si="184"/>
        <v>NÃO</v>
      </c>
      <c r="W318" s="418" t="str">
        <f t="shared" si="184"/>
        <v>NÃO</v>
      </c>
      <c r="X318" s="418" t="str">
        <f t="shared" si="184"/>
        <v>NÃO</v>
      </c>
      <c r="Y318" s="418" t="str">
        <f t="shared" si="184"/>
        <v>NÃO</v>
      </c>
      <c r="Z318" s="418" t="str">
        <f t="shared" si="184"/>
        <v>NÃO</v>
      </c>
      <c r="AA318" s="418" t="str">
        <f t="shared" si="184"/>
        <v>NÃO</v>
      </c>
      <c r="AB318" s="350"/>
      <c r="AC318" s="381" t="s">
        <v>3932</v>
      </c>
      <c r="AD318" s="311" t="s">
        <v>224</v>
      </c>
      <c r="AE318" s="361" t="s">
        <v>979</v>
      </c>
      <c r="AF318" s="310" t="s">
        <v>6985</v>
      </c>
      <c r="AG318" s="310" t="s">
        <v>2259</v>
      </c>
      <c r="AH318" s="310" t="s">
        <v>3260</v>
      </c>
      <c r="AI318" s="381" t="s">
        <v>2255</v>
      </c>
      <c r="AJ318" s="6" t="s">
        <v>218</v>
      </c>
      <c r="AK318" s="6" t="str">
        <f t="shared" si="152"/>
        <v>IGUAL</v>
      </c>
      <c r="AL318" s="151" t="str">
        <f>IFERROR(IF(LEFT(A318,3)="LCP",VLOOKUP(A318,STATUS_SAP_LCP!B:C,2,FALSE),VLOOKUP(A318,STATUS_SAP_ICP!B:C,2,FALSE)),"NO BUDGET")</f>
        <v>CLSD BUDG AUC  AVAC  //  APPR BREL EXPL</v>
      </c>
      <c r="AM318" s="6" t="str">
        <f t="shared" si="151"/>
        <v>CLSD</v>
      </c>
      <c r="AN318" s="282" t="s">
        <v>2651</v>
      </c>
      <c r="AO318" s="493">
        <v>1</v>
      </c>
      <c r="AP318" s="499" t="s">
        <v>9607</v>
      </c>
      <c r="AQ318" s="465">
        <v>45590</v>
      </c>
      <c r="AR318" s="460"/>
      <c r="AS318" s="57"/>
      <c r="AT318" s="185"/>
      <c r="AU318" s="318"/>
      <c r="AV318" s="223"/>
      <c r="AW318" s="318">
        <v>365.28453000000002</v>
      </c>
      <c r="AX318" s="223">
        <v>55.151989999999998</v>
      </c>
      <c r="AY318" s="318">
        <f t="shared" si="179"/>
        <v>0</v>
      </c>
      <c r="AZ318" s="223"/>
      <c r="BA318" s="318"/>
      <c r="BB318" s="519">
        <f t="shared" si="180"/>
        <v>0</v>
      </c>
      <c r="BC318" s="518">
        <v>0</v>
      </c>
      <c r="BD318" s="518">
        <v>0</v>
      </c>
      <c r="BE318" s="518">
        <v>0</v>
      </c>
      <c r="BF318" s="518">
        <v>0</v>
      </c>
      <c r="BG318" s="518">
        <v>0</v>
      </c>
      <c r="BH318" s="518">
        <v>0</v>
      </c>
      <c r="BI318" s="518">
        <v>0</v>
      </c>
      <c r="BJ318" s="518">
        <v>0</v>
      </c>
      <c r="BK318" s="518">
        <v>0</v>
      </c>
      <c r="BL318" s="518">
        <v>0</v>
      </c>
      <c r="BM318" s="518">
        <v>0</v>
      </c>
      <c r="BN318" s="518">
        <v>0</v>
      </c>
      <c r="BO318" s="367">
        <f t="shared" si="153"/>
        <v>0</v>
      </c>
      <c r="BP318" s="421">
        <v>0</v>
      </c>
      <c r="BQ318" s="422"/>
      <c r="BR318" s="423">
        <f>IFERROR(IF(LEFT($A318,3)="Lcp",SUMIFS('BASE-LCP'!$K:$K,'BASE-LCP'!$A:$A,Capex!$A326,'BASE-LCP'!$B:$B,"janeiro")/1000,IF(LEFT($A318,3)="icp",SUMIFS('BASE-ICP'!$K:$K,'BASE-ICP'!$A:$A,Capex!$A326,'BASE-ICP'!$B:$B,"janeiro")/1000,"")),"")</f>
        <v>0</v>
      </c>
      <c r="BS318" s="427">
        <v>0</v>
      </c>
      <c r="BT318" s="372">
        <v>0</v>
      </c>
      <c r="BU318" s="422"/>
      <c r="BV318" s="423">
        <f>IFERROR(IF(LEFT($A318,3)="Lcp",SUMIFS('BASE-LCP'!$K:$K,'BASE-LCP'!$A:$A,Capex!$A326,'BASE-LCP'!$B:$B,"fevereiro")/1000,IF(LEFT($A318,3)="icp",SUMIFS('BASE-ICP'!$K:$K,'BASE-ICP'!$A:$A,Capex!$A326,'BASE-ICP'!$B:$B,"fevereiro")/1000,"")),"")</f>
        <v>0</v>
      </c>
      <c r="BW318" s="427">
        <v>0</v>
      </c>
      <c r="BX318" s="372">
        <v>0</v>
      </c>
      <c r="BY318" s="419"/>
      <c r="BZ318" s="423">
        <f>IFERROR(IF(LEFT($A318,3)="Lcp",SUMIFS('BASE-LCP'!$K:$K,'BASE-LCP'!$A:$A,Capex!$A326,'BASE-LCP'!$B:$B,"março")/1000,IF(LEFT($A318,3)="icp",SUMIFS('BASE-ICP'!$K:$K,'BASE-ICP'!$A:$A,Capex!$A326,'BASE-ICP'!$B:$B,"março")/1000,"")),"")</f>
        <v>0</v>
      </c>
      <c r="CA318" s="427">
        <v>0</v>
      </c>
      <c r="CB318" s="372">
        <v>0</v>
      </c>
      <c r="CC318" s="422"/>
      <c r="CD318" s="423">
        <f>IFERROR(IF(LEFT($A318,3)="Lcp",SUMIFS('BASE-LCP'!$K:$K,'BASE-LCP'!$A:$A,Capex!$A326,'BASE-LCP'!$B:$B,"abril")/1000,IF(LEFT($A318,3)="icp",SUMIFS('BASE-ICP'!$K:$K,'BASE-ICP'!$A:$A,Capex!$A326,'BASE-ICP'!$B:$B,"abril")/1000,"")),"")</f>
        <v>0</v>
      </c>
      <c r="CE318" s="427">
        <v>0</v>
      </c>
      <c r="CF318" s="372">
        <v>0</v>
      </c>
      <c r="CG318" s="419"/>
      <c r="CH318" s="423">
        <v>0</v>
      </c>
      <c r="CI318" s="427">
        <v>0</v>
      </c>
      <c r="CJ318" s="372">
        <v>0</v>
      </c>
      <c r="CK318" s="419"/>
      <c r="CL318" s="423">
        <f>IFERROR(IF(LEFT($A318,3)="Lcp",SUMIFS('BASE-LCP'!$K:$K,'BASE-LCP'!$A:$A,Capex!$A326,'BASE-LCP'!$B:$B,"junho")/1000,IF(LEFT($A318,3)="icp",SUMIFS('BASE-ICP'!$K:$K,'BASE-ICP'!$A:$A,Capex!$A326,'BASE-ICP'!$B:$B,"junho")/1000,"")),"")</f>
        <v>0</v>
      </c>
      <c r="CM318" s="427">
        <v>0</v>
      </c>
      <c r="CN318" s="372"/>
      <c r="CO318" s="419"/>
      <c r="CP318" s="423">
        <f>IFERROR(IF(LEFT($A318,3)="Lcp",SUMIFS('BASE-LCP'!$K:$K,'BASE-LCP'!$A:$A,Capex!$A326,'BASE-LCP'!$B:$B,"julho")/1000,IF(LEFT($A318,3)="icp",SUMIFS('BASE-ICP'!$K:$K,'BASE-ICP'!$A:$A,Capex!$A326,'BASE-ICP'!$B:$B,"julho")/1000,"")),"")</f>
        <v>0</v>
      </c>
      <c r="CQ318" s="427">
        <v>0</v>
      </c>
      <c r="CR318" s="372"/>
      <c r="CS318" s="419"/>
      <c r="CT318" s="423">
        <f>IFERROR(IF(LEFT($A318,3)="Lcp",SUMIFS('BASE-LCP'!$K:$K,'BASE-LCP'!$A:$A,Capex!$A326,'BASE-LCP'!$B:$B,"agosto")/1000,IF(LEFT($A318,3)="icp",SUMIFS('BASE-ICP'!$K:$K,'BASE-ICP'!$A:$A,Capex!$A326,'BASE-ICP'!$B:$B,"agosto")/1000,"")),"")</f>
        <v>0</v>
      </c>
      <c r="CU318" s="427">
        <v>0</v>
      </c>
      <c r="CV318" s="372"/>
      <c r="CW318" s="419"/>
      <c r="CX318" s="423">
        <f>IFERROR(IF(LEFT($A318,3)="Lcp",SUMIFS('BASE-LCP'!$K:$K,'BASE-LCP'!$A:$A,Capex!$A326,'BASE-LCP'!$B:$B,"setembro")/1000,IF(LEFT($A318,3)="icp",SUMIFS('BASE-ICP'!$K:$K,'BASE-ICP'!$A:$A,Capex!$A326,'BASE-ICP'!$B:$B,"setembro")/1000,"")),"")</f>
        <v>0</v>
      </c>
      <c r="CY318" s="427">
        <v>0</v>
      </c>
      <c r="CZ318" s="372"/>
      <c r="DA318" s="419"/>
      <c r="DB318" s="423">
        <f>IFERROR(IF(LEFT($A318,3)="Lcp",SUMIFS('BASE-LCP'!$K:$K,'BASE-LCP'!$A:$A,Capex!$A326,'BASE-LCP'!$B:$B,"outubro")/1000,IF(LEFT($A318,3)="icp",SUMIFS('BASE-ICP'!$K:$K,'BASE-ICP'!$A:$A,Capex!$A326,'BASE-ICP'!$B:$B,"outubro")/1000,"")),"")</f>
        <v>0</v>
      </c>
      <c r="DC318" s="427">
        <v>0</v>
      </c>
      <c r="DD318" s="372"/>
      <c r="DE318" s="419"/>
      <c r="DF318" s="423">
        <f>IFERROR(IF(LEFT($A318,3)="Lcp",SUMIFS('BASE-LCP'!$K:$K,'BASE-LCP'!$A:$A,Capex!$A326,'BASE-LCP'!$B:$B,"novembro")/1000,IF(LEFT($A318,3)="icp",SUMIFS('BASE-ICP'!$K:$K,'BASE-ICP'!$A:$A,Capex!$A326,'BASE-ICP'!$B:$B,"novembro")/1000,"")),"")</f>
        <v>0</v>
      </c>
      <c r="DG318" s="427">
        <v>0</v>
      </c>
      <c r="DH318" s="372"/>
      <c r="DI318" s="419"/>
      <c r="DJ318" s="423">
        <f>IFERROR(IF(LEFT($A318,3)="Lcp",SUMIFS('BASE-LCP'!$K:$K,'BASE-LCP'!$A:$A,Capex!$A326,'BASE-LCP'!$B:$B,"dezembro")/1000,IF(LEFT($A318,3)="icp",SUMIFS('BASE-ICP'!$K:$K,'BASE-ICP'!$A:$A,Capex!$A326,'BASE-ICP'!$B:$B,"dezembro")/1000,"")),"")</f>
        <v>0</v>
      </c>
      <c r="DK318" s="427">
        <v>0</v>
      </c>
      <c r="DL318" s="452">
        <f t="shared" si="154"/>
        <v>0</v>
      </c>
      <c r="DM318" s="374"/>
      <c r="DN318" s="374">
        <v>0</v>
      </c>
      <c r="DO318" s="374"/>
      <c r="DP318" s="374"/>
      <c r="DQ318" s="374"/>
      <c r="DR318" s="374"/>
      <c r="DS318" s="374"/>
      <c r="DT318" s="374"/>
      <c r="DU318" s="374"/>
      <c r="DV318" s="374"/>
      <c r="DW318" s="374"/>
      <c r="DX318" s="374"/>
      <c r="DY318" s="450"/>
      <c r="DZ318" s="374">
        <f t="shared" si="155"/>
        <v>0</v>
      </c>
      <c r="EA318" s="216">
        <f t="shared" si="156"/>
        <v>0</v>
      </c>
      <c r="EB318" s="320">
        <f t="shared" si="157"/>
        <v>0</v>
      </c>
      <c r="EC318" s="241">
        <f t="shared" si="158"/>
        <v>0</v>
      </c>
      <c r="ED318" s="241">
        <f t="shared" si="159"/>
        <v>0</v>
      </c>
      <c r="EE318" s="241">
        <f t="shared" si="160"/>
        <v>0</v>
      </c>
      <c r="EF318" s="241">
        <f t="shared" si="161"/>
        <v>0</v>
      </c>
      <c r="EG318" s="346">
        <f t="shared" si="162"/>
        <v>0</v>
      </c>
      <c r="EH318" s="445">
        <f t="shared" si="163"/>
        <v>0</v>
      </c>
      <c r="EI318" s="447">
        <f t="shared" si="164"/>
        <v>0</v>
      </c>
      <c r="EJ318" s="364">
        <f t="shared" si="165"/>
        <v>0</v>
      </c>
      <c r="EK318" s="365">
        <f t="shared" si="166"/>
        <v>0</v>
      </c>
      <c r="EL318" s="529">
        <f t="shared" si="167"/>
        <v>0</v>
      </c>
      <c r="EM318" s="530">
        <v>0</v>
      </c>
      <c r="EN318" s="530">
        <v>0</v>
      </c>
      <c r="EO318" s="530">
        <v>0</v>
      </c>
      <c r="EP318" s="530">
        <v>0</v>
      </c>
      <c r="EQ318" s="530">
        <v>0</v>
      </c>
      <c r="ER318" s="530">
        <v>0</v>
      </c>
      <c r="ES318" s="530">
        <v>0</v>
      </c>
      <c r="ET318" s="530">
        <v>0</v>
      </c>
      <c r="EU318" s="530">
        <v>0</v>
      </c>
      <c r="EV318" s="530">
        <v>0</v>
      </c>
      <c r="EW318" s="530">
        <v>0</v>
      </c>
      <c r="EX318" s="530">
        <v>0</v>
      </c>
      <c r="EY318" s="530">
        <f t="shared" si="168"/>
        <v>0</v>
      </c>
      <c r="EZ318" s="530">
        <f t="shared" si="169"/>
        <v>0</v>
      </c>
      <c r="FA318" s="530">
        <f t="shared" si="170"/>
        <v>0</v>
      </c>
      <c r="FB318" s="530">
        <f t="shared" si="171"/>
        <v>0</v>
      </c>
      <c r="FC318" s="384">
        <f>IFERROR(VLOOKUP(Capex!A326,BASE_558!D:R,8,FALSE)/1000,"")</f>
        <v>314.29899999999998</v>
      </c>
      <c r="FD318" s="328">
        <f>IFERROR(VLOOKUP(Capex!A326,BASE_558!D:R,9,)/1000,"")</f>
        <v>252.02437</v>
      </c>
      <c r="FE318" s="328">
        <f>IFERROR(IF(LEFT(A318,3)="LCP",(VLOOKUP(Capex!A326,BASE_558!D:R,10,)/1000),SUMIFS('BASE ICP_PO_SC'!F:F,'BASE ICP_PO_SC'!A:A,Capex!A326,'BASE ICP_PO_SC'!E:E,"&lt;&gt;")/1000),"")</f>
        <v>0</v>
      </c>
      <c r="FF318" s="328">
        <f>IFERROR(IF(LEFT(A318,3)="LCP",(VLOOKUP(Capex!A326,BASE_558!D:R,11,)/1000),SUMIFS('BASE ICP_PO_SC'!F:F,'BASE ICP_PO_SC'!A:A,Capex!A326,'BASE ICP_PO_SC'!E:E,"")/1000),"")</f>
        <v>0</v>
      </c>
      <c r="FG318" s="328">
        <f>IFERROR(VLOOKUP(A318,BASE_558!D:R,13,FALSE)/1000,"")</f>
        <v>420.43652000000003</v>
      </c>
      <c r="FH318" s="328">
        <f>IFERROR(VLOOKUP(A318,BASE_558!D:R,15,FALSE)/1000,"")</f>
        <v>0.59813000000000005</v>
      </c>
      <c r="FI318" s="547">
        <f t="shared" si="172"/>
        <v>0</v>
      </c>
      <c r="FJ318" s="547">
        <f t="shared" si="173"/>
        <v>0</v>
      </c>
      <c r="FK318" s="540">
        <f t="shared" si="174"/>
        <v>0</v>
      </c>
    </row>
    <row r="319" spans="1:167" s="23" customFormat="1" ht="24" customHeight="1">
      <c r="A319" s="84" t="s">
        <v>2374</v>
      </c>
      <c r="B319" s="404"/>
      <c r="C319" s="404"/>
      <c r="D319" s="338" t="s">
        <v>2697</v>
      </c>
      <c r="E319" s="378">
        <v>7102825</v>
      </c>
      <c r="F319" s="310"/>
      <c r="G319" s="310" t="s">
        <v>9</v>
      </c>
      <c r="H319" s="532"/>
      <c r="I319" s="356" t="s">
        <v>6</v>
      </c>
      <c r="J319" s="356">
        <v>2023</v>
      </c>
      <c r="K319" s="352">
        <v>45068</v>
      </c>
      <c r="L319" s="317">
        <v>45412</v>
      </c>
      <c r="M319" s="409"/>
      <c r="N319" s="317">
        <f t="shared" si="177"/>
        <v>45980</v>
      </c>
      <c r="O319" s="317">
        <f t="shared" si="178"/>
        <v>46345</v>
      </c>
      <c r="P319" s="418" t="str">
        <f t="shared" si="184"/>
        <v>NÃO</v>
      </c>
      <c r="Q319" s="418" t="str">
        <f t="shared" si="184"/>
        <v>NÃO</v>
      </c>
      <c r="R319" s="418" t="str">
        <f t="shared" si="184"/>
        <v>NÃO</v>
      </c>
      <c r="S319" s="418" t="str">
        <f t="shared" si="184"/>
        <v>NÃO</v>
      </c>
      <c r="T319" s="418" t="str">
        <f t="shared" si="184"/>
        <v>NÃO</v>
      </c>
      <c r="U319" s="418" t="str">
        <f t="shared" si="184"/>
        <v>NÃO</v>
      </c>
      <c r="V319" s="418" t="str">
        <f t="shared" si="184"/>
        <v>NÃO</v>
      </c>
      <c r="W319" s="418" t="str">
        <f t="shared" si="184"/>
        <v>NÃO</v>
      </c>
      <c r="X319" s="418" t="str">
        <f t="shared" si="184"/>
        <v>NÃO</v>
      </c>
      <c r="Y319" s="418" t="str">
        <f t="shared" si="184"/>
        <v>NÃO</v>
      </c>
      <c r="Z319" s="418" t="str">
        <f t="shared" si="184"/>
        <v>NÃO</v>
      </c>
      <c r="AA319" s="418" t="str">
        <f t="shared" si="184"/>
        <v>NÃO</v>
      </c>
      <c r="AB319" s="350"/>
      <c r="AC319" s="309" t="s">
        <v>3932</v>
      </c>
      <c r="AD319" s="311" t="s">
        <v>5</v>
      </c>
      <c r="AE319" s="361" t="s">
        <v>951</v>
      </c>
      <c r="AF319" s="310" t="s">
        <v>6985</v>
      </c>
      <c r="AG319" s="310" t="s">
        <v>704</v>
      </c>
      <c r="AH319" s="310" t="s">
        <v>2375</v>
      </c>
      <c r="AI319" s="309" t="s">
        <v>2255</v>
      </c>
      <c r="AJ319" s="6" t="s">
        <v>218</v>
      </c>
      <c r="AK319" s="6" t="str">
        <f t="shared" si="152"/>
        <v>IGUAL</v>
      </c>
      <c r="AL319" s="151" t="str">
        <f>IFERROR(IF(LEFT(A319,3)="LCP",VLOOKUP(A319,STATUS_SAP_LCP!B:C,2,FALSE),VLOOKUP(A319,STATUS_SAP_ICP!B:C,2,FALSE)),"NO BUDGET")</f>
        <v>CLSD BUDG AUC  AVAC  //  APPR BREL EXPL</v>
      </c>
      <c r="AM319" s="6" t="str">
        <f t="shared" si="151"/>
        <v>CLSD</v>
      </c>
      <c r="AN319" s="282" t="s">
        <v>2651</v>
      </c>
      <c r="AO319" s="493">
        <v>1</v>
      </c>
      <c r="AP319" s="499" t="s">
        <v>9607</v>
      </c>
      <c r="AQ319" s="465">
        <v>45412</v>
      </c>
      <c r="AR319" s="460"/>
      <c r="AS319" s="57"/>
      <c r="AT319" s="185"/>
      <c r="AU319" s="318"/>
      <c r="AV319" s="223"/>
      <c r="AW319" s="318">
        <v>146.21357999999998</v>
      </c>
      <c r="AX319" s="223">
        <v>0</v>
      </c>
      <c r="AY319" s="318">
        <f t="shared" si="179"/>
        <v>0</v>
      </c>
      <c r="AZ319" s="223"/>
      <c r="BA319" s="318"/>
      <c r="BB319" s="519">
        <f t="shared" si="180"/>
        <v>0</v>
      </c>
      <c r="BC319" s="518">
        <v>0</v>
      </c>
      <c r="BD319" s="518">
        <v>0</v>
      </c>
      <c r="BE319" s="518">
        <v>0</v>
      </c>
      <c r="BF319" s="518">
        <v>0</v>
      </c>
      <c r="BG319" s="518">
        <v>0</v>
      </c>
      <c r="BH319" s="518">
        <v>0</v>
      </c>
      <c r="BI319" s="518">
        <v>0</v>
      </c>
      <c r="BJ319" s="518">
        <v>0</v>
      </c>
      <c r="BK319" s="518">
        <v>0</v>
      </c>
      <c r="BL319" s="518">
        <v>0</v>
      </c>
      <c r="BM319" s="518">
        <v>0</v>
      </c>
      <c r="BN319" s="518">
        <v>0</v>
      </c>
      <c r="BO319" s="367">
        <f t="shared" si="153"/>
        <v>0</v>
      </c>
      <c r="BP319" s="421">
        <v>0</v>
      </c>
      <c r="BQ319" s="422"/>
      <c r="BR319" s="423">
        <f>IFERROR(IF(LEFT($A319,3)="Lcp",SUMIFS('BASE-LCP'!$K:$K,'BASE-LCP'!$A:$A,Capex!$A327,'BASE-LCP'!$B:$B,"janeiro")/1000,IF(LEFT($A319,3)="icp",SUMIFS('BASE-ICP'!$K:$K,'BASE-ICP'!$A:$A,Capex!$A327,'BASE-ICP'!$B:$B,"janeiro")/1000,"")),"")</f>
        <v>0</v>
      </c>
      <c r="BS319" s="427">
        <v>0</v>
      </c>
      <c r="BT319" s="372">
        <v>0</v>
      </c>
      <c r="BU319" s="422"/>
      <c r="BV319" s="423">
        <f>IFERROR(IF(LEFT($A319,3)="Lcp",SUMIFS('BASE-LCP'!$K:$K,'BASE-LCP'!$A:$A,Capex!$A327,'BASE-LCP'!$B:$B,"fevereiro")/1000,IF(LEFT($A319,3)="icp",SUMIFS('BASE-ICP'!$K:$K,'BASE-ICP'!$A:$A,Capex!$A327,'BASE-ICP'!$B:$B,"fevereiro")/1000,"")),"")</f>
        <v>0</v>
      </c>
      <c r="BW319" s="427">
        <v>0</v>
      </c>
      <c r="BX319" s="372">
        <v>0</v>
      </c>
      <c r="BY319" s="419"/>
      <c r="BZ319" s="423">
        <f>IFERROR(IF(LEFT($A319,3)="Lcp",SUMIFS('BASE-LCP'!$K:$K,'BASE-LCP'!$A:$A,Capex!$A327,'BASE-LCP'!$B:$B,"março")/1000,IF(LEFT($A319,3)="icp",SUMIFS('BASE-ICP'!$K:$K,'BASE-ICP'!$A:$A,Capex!$A327,'BASE-ICP'!$B:$B,"março")/1000,"")),"")</f>
        <v>0</v>
      </c>
      <c r="CA319" s="427">
        <v>0</v>
      </c>
      <c r="CB319" s="372">
        <v>0</v>
      </c>
      <c r="CC319" s="422"/>
      <c r="CD319" s="423">
        <f>IFERROR(IF(LEFT($A319,3)="Lcp",SUMIFS('BASE-LCP'!$K:$K,'BASE-LCP'!$A:$A,Capex!$A327,'BASE-LCP'!$B:$B,"abril")/1000,IF(LEFT($A319,3)="icp",SUMIFS('BASE-ICP'!$K:$K,'BASE-ICP'!$A:$A,Capex!$A327,'BASE-ICP'!$B:$B,"abril")/1000,"")),"")</f>
        <v>0</v>
      </c>
      <c r="CE319" s="427">
        <v>0</v>
      </c>
      <c r="CF319" s="372">
        <v>0</v>
      </c>
      <c r="CG319" s="419"/>
      <c r="CH319" s="423">
        <v>0</v>
      </c>
      <c r="CI319" s="427">
        <v>0</v>
      </c>
      <c r="CJ319" s="372">
        <v>0</v>
      </c>
      <c r="CK319" s="419"/>
      <c r="CL319" s="423">
        <f>IFERROR(IF(LEFT($A319,3)="Lcp",SUMIFS('BASE-LCP'!$K:$K,'BASE-LCP'!$A:$A,Capex!$A327,'BASE-LCP'!$B:$B,"junho")/1000,IF(LEFT($A319,3)="icp",SUMIFS('BASE-ICP'!$K:$K,'BASE-ICP'!$A:$A,Capex!$A327,'BASE-ICP'!$B:$B,"junho")/1000,"")),"")</f>
        <v>0</v>
      </c>
      <c r="CM319" s="427">
        <v>0</v>
      </c>
      <c r="CN319" s="372"/>
      <c r="CO319" s="419"/>
      <c r="CP319" s="423">
        <f>IFERROR(IF(LEFT($A319,3)="Lcp",SUMIFS('BASE-LCP'!$K:$K,'BASE-LCP'!$A:$A,Capex!$A327,'BASE-LCP'!$B:$B,"julho")/1000,IF(LEFT($A319,3)="icp",SUMIFS('BASE-ICP'!$K:$K,'BASE-ICP'!$A:$A,Capex!$A327,'BASE-ICP'!$B:$B,"julho")/1000,"")),"")</f>
        <v>0</v>
      </c>
      <c r="CQ319" s="427">
        <v>0</v>
      </c>
      <c r="CR319" s="372"/>
      <c r="CS319" s="419"/>
      <c r="CT319" s="423">
        <f>IFERROR(IF(LEFT($A319,3)="Lcp",SUMIFS('BASE-LCP'!$K:$K,'BASE-LCP'!$A:$A,Capex!$A327,'BASE-LCP'!$B:$B,"agosto")/1000,IF(LEFT($A319,3)="icp",SUMIFS('BASE-ICP'!$K:$K,'BASE-ICP'!$A:$A,Capex!$A327,'BASE-ICP'!$B:$B,"agosto")/1000,"")),"")</f>
        <v>0</v>
      </c>
      <c r="CU319" s="427">
        <v>0</v>
      </c>
      <c r="CV319" s="372"/>
      <c r="CW319" s="419"/>
      <c r="CX319" s="423">
        <f>IFERROR(IF(LEFT($A319,3)="Lcp",SUMIFS('BASE-LCP'!$K:$K,'BASE-LCP'!$A:$A,Capex!$A327,'BASE-LCP'!$B:$B,"setembro")/1000,IF(LEFT($A319,3)="icp",SUMIFS('BASE-ICP'!$K:$K,'BASE-ICP'!$A:$A,Capex!$A327,'BASE-ICP'!$B:$B,"setembro")/1000,"")),"")</f>
        <v>0</v>
      </c>
      <c r="CY319" s="427">
        <v>0</v>
      </c>
      <c r="CZ319" s="372"/>
      <c r="DA319" s="419"/>
      <c r="DB319" s="423">
        <f>IFERROR(IF(LEFT($A319,3)="Lcp",SUMIFS('BASE-LCP'!$K:$K,'BASE-LCP'!$A:$A,Capex!$A327,'BASE-LCP'!$B:$B,"outubro")/1000,IF(LEFT($A319,3)="icp",SUMIFS('BASE-ICP'!$K:$K,'BASE-ICP'!$A:$A,Capex!$A327,'BASE-ICP'!$B:$B,"outubro")/1000,"")),"")</f>
        <v>0</v>
      </c>
      <c r="DC319" s="427">
        <v>0</v>
      </c>
      <c r="DD319" s="372"/>
      <c r="DE319" s="419"/>
      <c r="DF319" s="423">
        <f>IFERROR(IF(LEFT($A319,3)="Lcp",SUMIFS('BASE-LCP'!$K:$K,'BASE-LCP'!$A:$A,Capex!$A327,'BASE-LCP'!$B:$B,"novembro")/1000,IF(LEFT($A319,3)="icp",SUMIFS('BASE-ICP'!$K:$K,'BASE-ICP'!$A:$A,Capex!$A327,'BASE-ICP'!$B:$B,"novembro")/1000,"")),"")</f>
        <v>0</v>
      </c>
      <c r="DG319" s="427">
        <v>0</v>
      </c>
      <c r="DH319" s="372"/>
      <c r="DI319" s="419"/>
      <c r="DJ319" s="423">
        <f>IFERROR(IF(LEFT($A319,3)="Lcp",SUMIFS('BASE-LCP'!$K:$K,'BASE-LCP'!$A:$A,Capex!$A327,'BASE-LCP'!$B:$B,"dezembro")/1000,IF(LEFT($A319,3)="icp",SUMIFS('BASE-ICP'!$K:$K,'BASE-ICP'!$A:$A,Capex!$A327,'BASE-ICP'!$B:$B,"dezembro")/1000,"")),"")</f>
        <v>0</v>
      </c>
      <c r="DK319" s="427">
        <v>0</v>
      </c>
      <c r="DL319" s="452">
        <f t="shared" si="154"/>
        <v>0</v>
      </c>
      <c r="DM319" s="374"/>
      <c r="DN319" s="374">
        <v>0</v>
      </c>
      <c r="DO319" s="374"/>
      <c r="DP319" s="374"/>
      <c r="DQ319" s="374"/>
      <c r="DR319" s="374"/>
      <c r="DS319" s="374"/>
      <c r="DT319" s="374"/>
      <c r="DU319" s="374"/>
      <c r="DV319" s="374"/>
      <c r="DW319" s="374"/>
      <c r="DX319" s="374"/>
      <c r="DY319" s="450"/>
      <c r="DZ319" s="374">
        <f t="shared" si="155"/>
        <v>0</v>
      </c>
      <c r="EA319" s="216">
        <f t="shared" si="156"/>
        <v>0</v>
      </c>
      <c r="EB319" s="320">
        <f t="shared" si="157"/>
        <v>0</v>
      </c>
      <c r="EC319" s="241">
        <f t="shared" si="158"/>
        <v>0</v>
      </c>
      <c r="ED319" s="241">
        <f t="shared" si="159"/>
        <v>0</v>
      </c>
      <c r="EE319" s="241">
        <f t="shared" si="160"/>
        <v>0</v>
      </c>
      <c r="EF319" s="241">
        <f t="shared" si="161"/>
        <v>0</v>
      </c>
      <c r="EG319" s="346">
        <f t="shared" si="162"/>
        <v>0</v>
      </c>
      <c r="EH319" s="445">
        <f t="shared" si="163"/>
        <v>0</v>
      </c>
      <c r="EI319" s="447">
        <f t="shared" si="164"/>
        <v>0</v>
      </c>
      <c r="EJ319" s="364">
        <f t="shared" si="165"/>
        <v>0</v>
      </c>
      <c r="EK319" s="365">
        <f t="shared" si="166"/>
        <v>0</v>
      </c>
      <c r="EL319" s="529">
        <f t="shared" si="167"/>
        <v>0</v>
      </c>
      <c r="EM319" s="530">
        <v>0</v>
      </c>
      <c r="EN319" s="530">
        <v>0</v>
      </c>
      <c r="EO319" s="530">
        <v>0</v>
      </c>
      <c r="EP319" s="530">
        <v>0</v>
      </c>
      <c r="EQ319" s="530">
        <v>0</v>
      </c>
      <c r="ER319" s="530">
        <v>0</v>
      </c>
      <c r="ES319" s="530">
        <v>0</v>
      </c>
      <c r="ET319" s="530">
        <v>0</v>
      </c>
      <c r="EU319" s="530">
        <v>0</v>
      </c>
      <c r="EV319" s="530">
        <v>0</v>
      </c>
      <c r="EW319" s="530">
        <v>0</v>
      </c>
      <c r="EX319" s="530">
        <v>0</v>
      </c>
      <c r="EY319" s="530">
        <f t="shared" si="168"/>
        <v>0</v>
      </c>
      <c r="EZ319" s="530">
        <f t="shared" si="169"/>
        <v>0</v>
      </c>
      <c r="FA319" s="530">
        <f t="shared" si="170"/>
        <v>0</v>
      </c>
      <c r="FB319" s="530">
        <f t="shared" si="171"/>
        <v>0</v>
      </c>
      <c r="FC319" s="384">
        <f>IFERROR(VLOOKUP(Capex!A327,BASE_558!D:R,8,FALSE)/1000,"")</f>
        <v>456.8</v>
      </c>
      <c r="FD319" s="328">
        <f>IFERROR(VLOOKUP(Capex!A327,BASE_558!D:R,9,)/1000,"")</f>
        <v>315.68283000000002</v>
      </c>
      <c r="FE319" s="328">
        <f>IFERROR(IF(LEFT(A319,3)="LCP",(VLOOKUP(Capex!A327,BASE_558!D:R,10,)/1000),SUMIFS('BASE ICP_PO_SC'!F:F,'BASE ICP_PO_SC'!A:A,Capex!A327,'BASE ICP_PO_SC'!E:E,"&lt;&gt;")/1000),"")</f>
        <v>0</v>
      </c>
      <c r="FF319" s="328">
        <f>IFERROR(IF(LEFT(A319,3)="LCP",(VLOOKUP(Capex!A327,BASE_558!D:R,11,)/1000),SUMIFS('BASE ICP_PO_SC'!F:F,'BASE ICP_PO_SC'!A:A,Capex!A327,'BASE ICP_PO_SC'!E:E,"")/1000),"")</f>
        <v>0</v>
      </c>
      <c r="FG319" s="328">
        <f>IFERROR(VLOOKUP(A319,BASE_558!D:R,13,FALSE)/1000,"")</f>
        <v>146.21357999999998</v>
      </c>
      <c r="FH319" s="328">
        <f>IFERROR(VLOOKUP(A319,BASE_558!D:R,15,FALSE)/1000,"")</f>
        <v>14.56568</v>
      </c>
      <c r="FI319" s="547">
        <f t="shared" si="172"/>
        <v>0</v>
      </c>
      <c r="FJ319" s="547">
        <f t="shared" si="173"/>
        <v>0</v>
      </c>
      <c r="FK319" s="540">
        <f t="shared" si="174"/>
        <v>0</v>
      </c>
    </row>
    <row r="320" spans="1:167" s="23" customFormat="1" ht="24" customHeight="1">
      <c r="A320" s="84" t="s">
        <v>2378</v>
      </c>
      <c r="B320" s="404"/>
      <c r="C320" s="404"/>
      <c r="D320" s="338"/>
      <c r="E320" s="378">
        <v>7114846</v>
      </c>
      <c r="F320" s="5"/>
      <c r="G320" s="310" t="s">
        <v>9</v>
      </c>
      <c r="H320" s="408"/>
      <c r="I320" s="356"/>
      <c r="J320" s="356">
        <v>2023</v>
      </c>
      <c r="K320" s="352">
        <v>45119</v>
      </c>
      <c r="L320" s="317">
        <v>45529</v>
      </c>
      <c r="M320" s="409"/>
      <c r="N320" s="317">
        <f t="shared" si="177"/>
        <v>46031</v>
      </c>
      <c r="O320" s="317">
        <f t="shared" si="178"/>
        <v>46396</v>
      </c>
      <c r="P320" s="418" t="str">
        <f t="shared" si="184"/>
        <v>NÃO</v>
      </c>
      <c r="Q320" s="418" t="str">
        <f t="shared" si="184"/>
        <v>NÃO</v>
      </c>
      <c r="R320" s="418" t="str">
        <f t="shared" si="184"/>
        <v>NÃO</v>
      </c>
      <c r="S320" s="418" t="str">
        <f t="shared" si="184"/>
        <v>NÃO</v>
      </c>
      <c r="T320" s="418" t="str">
        <f t="shared" si="184"/>
        <v>NÃO</v>
      </c>
      <c r="U320" s="418" t="str">
        <f t="shared" si="184"/>
        <v>NÃO</v>
      </c>
      <c r="V320" s="418" t="str">
        <f t="shared" si="184"/>
        <v>NÃO</v>
      </c>
      <c r="W320" s="418" t="str">
        <f t="shared" si="184"/>
        <v>NÃO</v>
      </c>
      <c r="X320" s="418" t="str">
        <f t="shared" si="184"/>
        <v>NÃO</v>
      </c>
      <c r="Y320" s="418" t="str">
        <f t="shared" si="184"/>
        <v>NÃO</v>
      </c>
      <c r="Z320" s="418" t="str">
        <f t="shared" si="184"/>
        <v>NÃO</v>
      </c>
      <c r="AA320" s="418" t="str">
        <f t="shared" si="184"/>
        <v>NÃO</v>
      </c>
      <c r="AB320" s="350"/>
      <c r="AC320" s="309" t="s">
        <v>3932</v>
      </c>
      <c r="AD320" s="311" t="s">
        <v>223</v>
      </c>
      <c r="AE320" s="361" t="s">
        <v>613</v>
      </c>
      <c r="AF320" s="310" t="s">
        <v>6985</v>
      </c>
      <c r="AG320" s="310" t="s">
        <v>9603</v>
      </c>
      <c r="AH320" s="310" t="s">
        <v>2379</v>
      </c>
      <c r="AI320" s="309" t="s">
        <v>2255</v>
      </c>
      <c r="AJ320" s="6" t="s">
        <v>218</v>
      </c>
      <c r="AK320" s="6" t="str">
        <f t="shared" si="152"/>
        <v>IGUAL</v>
      </c>
      <c r="AL320" s="151" t="str">
        <f>IFERROR(IF(LEFT(A320,3)="LCP",VLOOKUP(A320,STATUS_SAP_LCP!B:C,2,FALSE),VLOOKUP(A320,STATUS_SAP_ICP!B:C,2,FALSE)),"NO BUDGET")</f>
        <v>CLSD BUDG AUC  AVAC  //  APPR BREL EXPL</v>
      </c>
      <c r="AM320" s="6" t="str">
        <f t="shared" si="151"/>
        <v>CLSD</v>
      </c>
      <c r="AN320" s="282" t="s">
        <v>2651</v>
      </c>
      <c r="AO320" s="493">
        <v>1</v>
      </c>
      <c r="AP320" s="499" t="s">
        <v>9607</v>
      </c>
      <c r="AQ320" s="465">
        <v>45529</v>
      </c>
      <c r="AR320" s="460"/>
      <c r="AS320" s="57"/>
      <c r="AT320" s="185"/>
      <c r="AU320" s="318"/>
      <c r="AV320" s="223"/>
      <c r="AW320" s="318">
        <v>200.03492</v>
      </c>
      <c r="AX320" s="223">
        <v>173.49989999999997</v>
      </c>
      <c r="AY320" s="318">
        <f t="shared" si="179"/>
        <v>0</v>
      </c>
      <c r="AZ320" s="223"/>
      <c r="BA320" s="318"/>
      <c r="BB320" s="519">
        <f t="shared" si="180"/>
        <v>0</v>
      </c>
      <c r="BC320" s="518">
        <v>0</v>
      </c>
      <c r="BD320" s="518">
        <v>0</v>
      </c>
      <c r="BE320" s="518">
        <v>0</v>
      </c>
      <c r="BF320" s="518">
        <v>0</v>
      </c>
      <c r="BG320" s="518">
        <v>0</v>
      </c>
      <c r="BH320" s="518">
        <v>0</v>
      </c>
      <c r="BI320" s="518">
        <v>0</v>
      </c>
      <c r="BJ320" s="518">
        <v>0</v>
      </c>
      <c r="BK320" s="518">
        <v>0</v>
      </c>
      <c r="BL320" s="518">
        <v>0</v>
      </c>
      <c r="BM320" s="518">
        <v>0</v>
      </c>
      <c r="BN320" s="518">
        <v>0</v>
      </c>
      <c r="BO320" s="367">
        <f t="shared" si="153"/>
        <v>0</v>
      </c>
      <c r="BP320" s="421">
        <v>0</v>
      </c>
      <c r="BQ320" s="422"/>
      <c r="BR320" s="423">
        <f>IFERROR(IF(LEFT($A320,3)="Lcp",SUMIFS('BASE-LCP'!$K:$K,'BASE-LCP'!$A:$A,Capex!$A329,'BASE-LCP'!$B:$B,"janeiro")/1000,IF(LEFT($A320,3)="icp",SUMIFS('BASE-ICP'!$K:$K,'BASE-ICP'!$A:$A,Capex!$A329,'BASE-ICP'!$B:$B,"janeiro")/1000,"")),"")</f>
        <v>0</v>
      </c>
      <c r="BS320" s="427">
        <v>0</v>
      </c>
      <c r="BT320" s="372">
        <v>0</v>
      </c>
      <c r="BU320" s="422"/>
      <c r="BV320" s="423">
        <f>IFERROR(IF(LEFT($A320,3)="Lcp",SUMIFS('BASE-LCP'!$K:$K,'BASE-LCP'!$A:$A,Capex!$A329,'BASE-LCP'!$B:$B,"fevereiro")/1000,IF(LEFT($A320,3)="icp",SUMIFS('BASE-ICP'!$K:$K,'BASE-ICP'!$A:$A,Capex!$A329,'BASE-ICP'!$B:$B,"fevereiro")/1000,"")),"")</f>
        <v>0</v>
      </c>
      <c r="BW320" s="427">
        <v>0</v>
      </c>
      <c r="BX320" s="372">
        <v>0</v>
      </c>
      <c r="BY320" s="419"/>
      <c r="BZ320" s="423">
        <f>IFERROR(IF(LEFT($A320,3)="Lcp",SUMIFS('BASE-LCP'!$K:$K,'BASE-LCP'!$A:$A,Capex!$A329,'BASE-LCP'!$B:$B,"março")/1000,IF(LEFT($A320,3)="icp",SUMIFS('BASE-ICP'!$K:$K,'BASE-ICP'!$A:$A,Capex!$A329,'BASE-ICP'!$B:$B,"março")/1000,"")),"")</f>
        <v>0</v>
      </c>
      <c r="CA320" s="427">
        <v>0</v>
      </c>
      <c r="CB320" s="372">
        <v>0</v>
      </c>
      <c r="CC320" s="422"/>
      <c r="CD320" s="423">
        <f>IFERROR(IF(LEFT($A320,3)="Lcp",SUMIFS('BASE-LCP'!$K:$K,'BASE-LCP'!$A:$A,Capex!$A329,'BASE-LCP'!$B:$B,"abril")/1000,IF(LEFT($A320,3)="icp",SUMIFS('BASE-ICP'!$K:$K,'BASE-ICP'!$A:$A,Capex!$A329,'BASE-ICP'!$B:$B,"abril")/1000,"")),"")</f>
        <v>0</v>
      </c>
      <c r="CE320" s="427">
        <v>0</v>
      </c>
      <c r="CF320" s="372">
        <v>0</v>
      </c>
      <c r="CG320" s="419"/>
      <c r="CH320" s="423">
        <v>0</v>
      </c>
      <c r="CI320" s="427">
        <v>0</v>
      </c>
      <c r="CJ320" s="372">
        <v>0</v>
      </c>
      <c r="CK320" s="419"/>
      <c r="CL320" s="423">
        <f>IFERROR(IF(LEFT($A320,3)="Lcp",SUMIFS('BASE-LCP'!$K:$K,'BASE-LCP'!$A:$A,Capex!$A329,'BASE-LCP'!$B:$B,"junho")/1000,IF(LEFT($A320,3)="icp",SUMIFS('BASE-ICP'!$K:$K,'BASE-ICP'!$A:$A,Capex!$A329,'BASE-ICP'!$B:$B,"junho")/1000,"")),"")</f>
        <v>0</v>
      </c>
      <c r="CM320" s="427">
        <v>0</v>
      </c>
      <c r="CN320" s="372"/>
      <c r="CO320" s="419"/>
      <c r="CP320" s="423">
        <f>IFERROR(IF(LEFT($A320,3)="Lcp",SUMIFS('BASE-LCP'!$K:$K,'BASE-LCP'!$A:$A,Capex!$A329,'BASE-LCP'!$B:$B,"julho")/1000,IF(LEFT($A320,3)="icp",SUMIFS('BASE-ICP'!$K:$K,'BASE-ICP'!$A:$A,Capex!$A329,'BASE-ICP'!$B:$B,"julho")/1000,"")),"")</f>
        <v>0</v>
      </c>
      <c r="CQ320" s="427">
        <v>0</v>
      </c>
      <c r="CR320" s="372"/>
      <c r="CS320" s="419"/>
      <c r="CT320" s="423">
        <f>IFERROR(IF(LEFT($A320,3)="Lcp",SUMIFS('BASE-LCP'!$K:$K,'BASE-LCP'!$A:$A,Capex!$A329,'BASE-LCP'!$B:$B,"agosto")/1000,IF(LEFT($A320,3)="icp",SUMIFS('BASE-ICP'!$K:$K,'BASE-ICP'!$A:$A,Capex!$A329,'BASE-ICP'!$B:$B,"agosto")/1000,"")),"")</f>
        <v>0</v>
      </c>
      <c r="CU320" s="427">
        <v>0</v>
      </c>
      <c r="CV320" s="372"/>
      <c r="CW320" s="419"/>
      <c r="CX320" s="423">
        <f>IFERROR(IF(LEFT($A320,3)="Lcp",SUMIFS('BASE-LCP'!$K:$K,'BASE-LCP'!$A:$A,Capex!$A329,'BASE-LCP'!$B:$B,"setembro")/1000,IF(LEFT($A320,3)="icp",SUMIFS('BASE-ICP'!$K:$K,'BASE-ICP'!$A:$A,Capex!$A329,'BASE-ICP'!$B:$B,"setembro")/1000,"")),"")</f>
        <v>0</v>
      </c>
      <c r="CY320" s="427">
        <v>0</v>
      </c>
      <c r="CZ320" s="372"/>
      <c r="DA320" s="419"/>
      <c r="DB320" s="423">
        <f>IFERROR(IF(LEFT($A320,3)="Lcp",SUMIFS('BASE-LCP'!$K:$K,'BASE-LCP'!$A:$A,Capex!$A329,'BASE-LCP'!$B:$B,"outubro")/1000,IF(LEFT($A320,3)="icp",SUMIFS('BASE-ICP'!$K:$K,'BASE-ICP'!$A:$A,Capex!$A329,'BASE-ICP'!$B:$B,"outubro")/1000,"")),"")</f>
        <v>0</v>
      </c>
      <c r="DC320" s="427">
        <v>0</v>
      </c>
      <c r="DD320" s="372"/>
      <c r="DE320" s="419"/>
      <c r="DF320" s="423">
        <f>IFERROR(IF(LEFT($A320,3)="Lcp",SUMIFS('BASE-LCP'!$K:$K,'BASE-LCP'!$A:$A,Capex!$A329,'BASE-LCP'!$B:$B,"novembro")/1000,IF(LEFT($A320,3)="icp",SUMIFS('BASE-ICP'!$K:$K,'BASE-ICP'!$A:$A,Capex!$A329,'BASE-ICP'!$B:$B,"novembro")/1000,"")),"")</f>
        <v>0</v>
      </c>
      <c r="DG320" s="427">
        <v>0</v>
      </c>
      <c r="DH320" s="372"/>
      <c r="DI320" s="419"/>
      <c r="DJ320" s="423">
        <f>IFERROR(IF(LEFT($A320,3)="Lcp",SUMIFS('BASE-LCP'!$K:$K,'BASE-LCP'!$A:$A,Capex!$A329,'BASE-LCP'!$B:$B,"dezembro")/1000,IF(LEFT($A320,3)="icp",SUMIFS('BASE-ICP'!$K:$K,'BASE-ICP'!$A:$A,Capex!$A329,'BASE-ICP'!$B:$B,"dezembro")/1000,"")),"")</f>
        <v>0</v>
      </c>
      <c r="DK320" s="427">
        <v>0</v>
      </c>
      <c r="DL320" s="452">
        <f t="shared" si="154"/>
        <v>0</v>
      </c>
      <c r="DM320" s="374"/>
      <c r="DN320" s="374">
        <v>0</v>
      </c>
      <c r="DO320" s="374"/>
      <c r="DP320" s="374"/>
      <c r="DQ320" s="374"/>
      <c r="DR320" s="374"/>
      <c r="DS320" s="374"/>
      <c r="DT320" s="374"/>
      <c r="DU320" s="374"/>
      <c r="DV320" s="374"/>
      <c r="DW320" s="374"/>
      <c r="DX320" s="374"/>
      <c r="DY320" s="450"/>
      <c r="DZ320" s="374">
        <f t="shared" si="155"/>
        <v>0</v>
      </c>
      <c r="EA320" s="216">
        <f t="shared" si="156"/>
        <v>0</v>
      </c>
      <c r="EB320" s="320">
        <f t="shared" si="157"/>
        <v>0</v>
      </c>
      <c r="EC320" s="241">
        <f t="shared" si="158"/>
        <v>0</v>
      </c>
      <c r="ED320" s="241">
        <f t="shared" si="159"/>
        <v>0</v>
      </c>
      <c r="EE320" s="241">
        <f t="shared" si="160"/>
        <v>0</v>
      </c>
      <c r="EF320" s="241">
        <f t="shared" si="161"/>
        <v>0</v>
      </c>
      <c r="EG320" s="346">
        <f t="shared" si="162"/>
        <v>0</v>
      </c>
      <c r="EH320" s="445">
        <f t="shared" si="163"/>
        <v>0</v>
      </c>
      <c r="EI320" s="447">
        <f t="shared" si="164"/>
        <v>0</v>
      </c>
      <c r="EJ320" s="364">
        <f t="shared" si="165"/>
        <v>0</v>
      </c>
      <c r="EK320" s="365">
        <f t="shared" si="166"/>
        <v>0</v>
      </c>
      <c r="EL320" s="529">
        <f t="shared" si="167"/>
        <v>0</v>
      </c>
      <c r="EM320" s="530">
        <v>0</v>
      </c>
      <c r="EN320" s="530">
        <v>0</v>
      </c>
      <c r="EO320" s="530">
        <v>0</v>
      </c>
      <c r="EP320" s="530">
        <v>0</v>
      </c>
      <c r="EQ320" s="530">
        <v>0</v>
      </c>
      <c r="ER320" s="530">
        <v>0</v>
      </c>
      <c r="ES320" s="530">
        <v>0</v>
      </c>
      <c r="ET320" s="530">
        <v>0</v>
      </c>
      <c r="EU320" s="530">
        <v>0</v>
      </c>
      <c r="EV320" s="530">
        <v>0</v>
      </c>
      <c r="EW320" s="530">
        <v>0</v>
      </c>
      <c r="EX320" s="530">
        <v>0</v>
      </c>
      <c r="EY320" s="530">
        <f t="shared" si="168"/>
        <v>0</v>
      </c>
      <c r="EZ320" s="530">
        <f t="shared" si="169"/>
        <v>0</v>
      </c>
      <c r="FA320" s="530">
        <f t="shared" si="170"/>
        <v>0</v>
      </c>
      <c r="FB320" s="530">
        <f t="shared" si="171"/>
        <v>0</v>
      </c>
      <c r="FC320" s="384">
        <f>IFERROR(VLOOKUP(Capex!A329,BASE_558!D:R,8,FALSE)/1000,"")</f>
        <v>1529</v>
      </c>
      <c r="FD320" s="328">
        <f>IFERROR(VLOOKUP(Capex!A329,BASE_558!D:R,9,)/1000,"")</f>
        <v>1.7902899999999999</v>
      </c>
      <c r="FE320" s="328">
        <f>IFERROR(IF(LEFT(A320,3)="LCP",(VLOOKUP(Capex!A329,BASE_558!D:R,10,)/1000),SUMIFS('BASE ICP_PO_SC'!F:F,'BASE ICP_PO_SC'!A:A,Capex!A329,'BASE ICP_PO_SC'!E:E,"&lt;&gt;")/1000),"")</f>
        <v>0</v>
      </c>
      <c r="FF320" s="328">
        <f>IFERROR(IF(LEFT(A320,3)="LCP",(VLOOKUP(Capex!A329,BASE_558!D:R,11,)/1000),SUMIFS('BASE ICP_PO_SC'!F:F,'BASE ICP_PO_SC'!A:A,Capex!A329,'BASE ICP_PO_SC'!E:E,"")/1000),"")</f>
        <v>0</v>
      </c>
      <c r="FG320" s="328">
        <f>IFERROR(VLOOKUP(A320,BASE_558!D:R,13,FALSE)/1000,"")</f>
        <v>373.53482000000002</v>
      </c>
      <c r="FH320" s="328">
        <f>IFERROR(VLOOKUP(A320,BASE_558!D:R,15,FALSE)/1000,"")</f>
        <v>226.46518</v>
      </c>
      <c r="FI320" s="547">
        <f t="shared" si="172"/>
        <v>0</v>
      </c>
      <c r="FJ320" s="547">
        <f t="shared" si="173"/>
        <v>0</v>
      </c>
      <c r="FK320" s="540">
        <f t="shared" si="174"/>
        <v>0</v>
      </c>
    </row>
    <row r="321" spans="1:167" s="23" customFormat="1" ht="24" customHeight="1">
      <c r="A321" s="310" t="s">
        <v>2380</v>
      </c>
      <c r="B321" s="404"/>
      <c r="C321" s="404"/>
      <c r="D321" s="338" t="s">
        <v>1906</v>
      </c>
      <c r="E321" s="378">
        <v>7126178</v>
      </c>
      <c r="F321" s="5"/>
      <c r="G321" s="310" t="s">
        <v>9</v>
      </c>
      <c r="H321" s="356" t="s">
        <v>6</v>
      </c>
      <c r="I321" s="356"/>
      <c r="J321" s="356">
        <v>2023</v>
      </c>
      <c r="K321" s="352">
        <v>45124</v>
      </c>
      <c r="L321" s="317">
        <v>45747</v>
      </c>
      <c r="M321" s="409"/>
      <c r="N321" s="317">
        <f t="shared" si="177"/>
        <v>46036</v>
      </c>
      <c r="O321" s="317">
        <f t="shared" si="178"/>
        <v>46401</v>
      </c>
      <c r="P321" s="418" t="str">
        <f t="shared" si="184"/>
        <v>NÃO</v>
      </c>
      <c r="Q321" s="418" t="str">
        <f t="shared" si="184"/>
        <v>NÃO</v>
      </c>
      <c r="R321" s="418" t="str">
        <f t="shared" si="184"/>
        <v>NÃO</v>
      </c>
      <c r="S321" s="418" t="str">
        <f t="shared" si="184"/>
        <v>NÃO</v>
      </c>
      <c r="T321" s="418" t="str">
        <f t="shared" si="184"/>
        <v>NÃO</v>
      </c>
      <c r="U321" s="418" t="str">
        <f t="shared" si="184"/>
        <v>NÃO</v>
      </c>
      <c r="V321" s="418" t="str">
        <f t="shared" si="184"/>
        <v>NÃO</v>
      </c>
      <c r="W321" s="418" t="str">
        <f t="shared" si="184"/>
        <v>NÃO</v>
      </c>
      <c r="X321" s="418" t="str">
        <f t="shared" si="184"/>
        <v>NÃO</v>
      </c>
      <c r="Y321" s="418" t="str">
        <f t="shared" si="184"/>
        <v>NÃO</v>
      </c>
      <c r="Z321" s="418" t="str">
        <f t="shared" si="184"/>
        <v>NÃO</v>
      </c>
      <c r="AA321" s="418" t="str">
        <f t="shared" si="184"/>
        <v>NÃO</v>
      </c>
      <c r="AB321" s="350"/>
      <c r="AC321" s="381" t="s">
        <v>3931</v>
      </c>
      <c r="AD321" s="311" t="s">
        <v>223</v>
      </c>
      <c r="AE321" s="361" t="s">
        <v>980</v>
      </c>
      <c r="AF321" s="310" t="s">
        <v>6985</v>
      </c>
      <c r="AG321" s="310" t="s">
        <v>2485</v>
      </c>
      <c r="AH321" s="310" t="s">
        <v>2381</v>
      </c>
      <c r="AI321" s="309" t="s">
        <v>188</v>
      </c>
      <c r="AJ321" s="6" t="s">
        <v>218</v>
      </c>
      <c r="AK321" s="6" t="str">
        <f t="shared" si="152"/>
        <v>IGUAL</v>
      </c>
      <c r="AL321" s="151" t="str">
        <f>IFERROR(IF(LEFT(A321,3)="LCP",VLOOKUP(A321,STATUS_SAP_LCP!B:C,2,FALSE),VLOOKUP(A321,STATUS_SAP_ICP!B:C,2,FALSE)),"NO BUDGET")</f>
        <v>CLSD BUDG AUC  AVAC  //  APPR BREL EXPL</v>
      </c>
      <c r="AM321" s="6" t="str">
        <f t="shared" si="151"/>
        <v>CLSD</v>
      </c>
      <c r="AN321" s="429" t="s">
        <v>557</v>
      </c>
      <c r="AO321" s="414"/>
      <c r="AP321" s="499" t="s">
        <v>9618</v>
      </c>
      <c r="AQ321" s="465">
        <v>45762</v>
      </c>
      <c r="AR321" s="460"/>
      <c r="AS321" s="57"/>
      <c r="AT321" s="185"/>
      <c r="AU321" s="318"/>
      <c r="AV321" s="223"/>
      <c r="AW321" s="318">
        <v>0</v>
      </c>
      <c r="AX321" s="223">
        <v>7.6136800000000004</v>
      </c>
      <c r="AY321" s="318">
        <f t="shared" si="179"/>
        <v>-7.6136800000000004</v>
      </c>
      <c r="AZ321" s="223"/>
      <c r="BA321" s="318"/>
      <c r="BB321" s="519">
        <f t="shared" si="180"/>
        <v>207</v>
      </c>
      <c r="BC321" s="518">
        <v>0</v>
      </c>
      <c r="BD321" s="518">
        <v>0</v>
      </c>
      <c r="BE321" s="518">
        <v>0</v>
      </c>
      <c r="BF321" s="518">
        <v>0</v>
      </c>
      <c r="BG321" s="518">
        <v>0</v>
      </c>
      <c r="BH321" s="518">
        <v>0</v>
      </c>
      <c r="BI321" s="518">
        <v>0</v>
      </c>
      <c r="BJ321" s="518">
        <v>207</v>
      </c>
      <c r="BK321" s="518">
        <v>0</v>
      </c>
      <c r="BL321" s="518">
        <v>0</v>
      </c>
      <c r="BM321" s="518">
        <v>0</v>
      </c>
      <c r="BN321" s="518">
        <v>0</v>
      </c>
      <c r="BO321" s="367">
        <f t="shared" si="153"/>
        <v>-7.6136800000000004</v>
      </c>
      <c r="BP321" s="421">
        <v>0</v>
      </c>
      <c r="BQ321" s="422"/>
      <c r="BR321" s="423">
        <f>IFERROR(IF(LEFT($A321,3)="Lcp",SUMIFS('BASE-LCP'!$K:$K,'BASE-LCP'!$A:$A,Capex!$A330,'BASE-LCP'!$B:$B,"janeiro")/1000,IF(LEFT($A321,3)="icp",SUMIFS('BASE-ICP'!$K:$K,'BASE-ICP'!$A:$A,Capex!$A330,'BASE-ICP'!$B:$B,"janeiro")/1000,"")),"")</f>
        <v>-1.7444500000000001</v>
      </c>
      <c r="BS321" s="427">
        <v>0</v>
      </c>
      <c r="BT321" s="372">
        <v>0</v>
      </c>
      <c r="BU321" s="422"/>
      <c r="BV321" s="423">
        <f>IFERROR(IF(LEFT($A321,3)="Lcp",SUMIFS('BASE-LCP'!$K:$K,'BASE-LCP'!$A:$A,Capex!$A330,'BASE-LCP'!$B:$B,"fevereiro")/1000,IF(LEFT($A321,3)="icp",SUMIFS('BASE-ICP'!$K:$K,'BASE-ICP'!$A:$A,Capex!$A330,'BASE-ICP'!$B:$B,"fevereiro")/1000,"")),"")</f>
        <v>0</v>
      </c>
      <c r="BW321" s="427">
        <v>0</v>
      </c>
      <c r="BX321" s="372">
        <v>0</v>
      </c>
      <c r="BY321" s="419">
        <v>-7.6136800000000004</v>
      </c>
      <c r="BZ321" s="423">
        <f>IFERROR(IF(LEFT($A321,3)="Lcp",SUMIFS('BASE-LCP'!$K:$K,'BASE-LCP'!$A:$A,Capex!$A330,'BASE-LCP'!$B:$B,"março")/1000,IF(LEFT($A321,3)="icp",SUMIFS('BASE-ICP'!$K:$K,'BASE-ICP'!$A:$A,Capex!$A330,'BASE-ICP'!$B:$B,"março")/1000,"")),"")</f>
        <v>0</v>
      </c>
      <c r="CA321" s="427">
        <v>-7.6136800000000004</v>
      </c>
      <c r="CB321" s="372">
        <v>0</v>
      </c>
      <c r="CC321" s="422"/>
      <c r="CD321" s="423">
        <f>IFERROR(IF(LEFT($A321,3)="Lcp",SUMIFS('BASE-LCP'!$K:$K,'BASE-LCP'!$A:$A,Capex!$A330,'BASE-LCP'!$B:$B,"abril")/1000,IF(LEFT($A321,3)="icp",SUMIFS('BASE-ICP'!$K:$K,'BASE-ICP'!$A:$A,Capex!$A330,'BASE-ICP'!$B:$B,"abril")/1000,"")),"")</f>
        <v>0</v>
      </c>
      <c r="CE321" s="427">
        <v>0</v>
      </c>
      <c r="CF321" s="372">
        <v>0</v>
      </c>
      <c r="CG321" s="419"/>
      <c r="CH321" s="423">
        <v>0</v>
      </c>
      <c r="CI321" s="427">
        <v>0</v>
      </c>
      <c r="CJ321" s="372">
        <v>0</v>
      </c>
      <c r="CK321" s="419"/>
      <c r="CL321" s="423">
        <f>IFERROR(IF(LEFT($A321,3)="Lcp",SUMIFS('BASE-LCP'!$K:$K,'BASE-LCP'!$A:$A,Capex!$A330,'BASE-LCP'!$B:$B,"junho")/1000,IF(LEFT($A321,3)="icp",SUMIFS('BASE-ICP'!$K:$K,'BASE-ICP'!$A:$A,Capex!$A330,'BASE-ICP'!$B:$B,"junho")/1000,"")),"")</f>
        <v>0</v>
      </c>
      <c r="CM321" s="427">
        <v>0</v>
      </c>
      <c r="CN321" s="372"/>
      <c r="CO321" s="419"/>
      <c r="CP321" s="423">
        <f>IFERROR(IF(LEFT($A321,3)="Lcp",SUMIFS('BASE-LCP'!$K:$K,'BASE-LCP'!$A:$A,Capex!$A330,'BASE-LCP'!$B:$B,"julho")/1000,IF(LEFT($A321,3)="icp",SUMIFS('BASE-ICP'!$K:$K,'BASE-ICP'!$A:$A,Capex!$A330,'BASE-ICP'!$B:$B,"julho")/1000,"")),"")</f>
        <v>0</v>
      </c>
      <c r="CQ321" s="427">
        <v>0</v>
      </c>
      <c r="CR321" s="372"/>
      <c r="CS321" s="419"/>
      <c r="CT321" s="423">
        <f>IFERROR(IF(LEFT($A321,3)="Lcp",SUMIFS('BASE-LCP'!$K:$K,'BASE-LCP'!$A:$A,Capex!$A330,'BASE-LCP'!$B:$B,"agosto")/1000,IF(LEFT($A321,3)="icp",SUMIFS('BASE-ICP'!$K:$K,'BASE-ICP'!$A:$A,Capex!$A330,'BASE-ICP'!$B:$B,"agosto")/1000,"")),"")</f>
        <v>0</v>
      </c>
      <c r="CU321" s="427">
        <v>0</v>
      </c>
      <c r="CV321" s="372"/>
      <c r="CW321" s="419"/>
      <c r="CX321" s="423">
        <f>IFERROR(IF(LEFT($A321,3)="Lcp",SUMIFS('BASE-LCP'!$K:$K,'BASE-LCP'!$A:$A,Capex!$A330,'BASE-LCP'!$B:$B,"setembro")/1000,IF(LEFT($A321,3)="icp",SUMIFS('BASE-ICP'!$K:$K,'BASE-ICP'!$A:$A,Capex!$A330,'BASE-ICP'!$B:$B,"setembro")/1000,"")),"")</f>
        <v>0</v>
      </c>
      <c r="CY321" s="427">
        <v>0</v>
      </c>
      <c r="CZ321" s="372"/>
      <c r="DA321" s="419"/>
      <c r="DB321" s="423">
        <f>IFERROR(IF(LEFT($A321,3)="Lcp",SUMIFS('BASE-LCP'!$K:$K,'BASE-LCP'!$A:$A,Capex!$A330,'BASE-LCP'!$B:$B,"outubro")/1000,IF(LEFT($A321,3)="icp",SUMIFS('BASE-ICP'!$K:$K,'BASE-ICP'!$A:$A,Capex!$A330,'BASE-ICP'!$B:$B,"outubro")/1000,"")),"")</f>
        <v>0</v>
      </c>
      <c r="DC321" s="427">
        <v>0</v>
      </c>
      <c r="DD321" s="372"/>
      <c r="DE321" s="419"/>
      <c r="DF321" s="423">
        <f>IFERROR(IF(LEFT($A321,3)="Lcp",SUMIFS('BASE-LCP'!$K:$K,'BASE-LCP'!$A:$A,Capex!$A330,'BASE-LCP'!$B:$B,"novembro")/1000,IF(LEFT($A321,3)="icp",SUMIFS('BASE-ICP'!$K:$K,'BASE-ICP'!$A:$A,Capex!$A330,'BASE-ICP'!$B:$B,"novembro")/1000,"")),"")</f>
        <v>0</v>
      </c>
      <c r="DG321" s="427">
        <v>0</v>
      </c>
      <c r="DH321" s="372"/>
      <c r="DI321" s="419"/>
      <c r="DJ321" s="423">
        <f>IFERROR(IF(LEFT($A321,3)="Lcp",SUMIFS('BASE-LCP'!$K:$K,'BASE-LCP'!$A:$A,Capex!$A330,'BASE-LCP'!$B:$B,"dezembro")/1000,IF(LEFT($A321,3)="icp",SUMIFS('BASE-ICP'!$K:$K,'BASE-ICP'!$A:$A,Capex!$A330,'BASE-ICP'!$B:$B,"dezembro")/1000,"")),"")</f>
        <v>0</v>
      </c>
      <c r="DK321" s="427">
        <v>0</v>
      </c>
      <c r="DL321" s="452">
        <f t="shared" si="154"/>
        <v>0</v>
      </c>
      <c r="DM321" s="374"/>
      <c r="DN321" s="374">
        <v>0</v>
      </c>
      <c r="DO321" s="374"/>
      <c r="DP321" s="374"/>
      <c r="DQ321" s="374"/>
      <c r="DR321" s="374"/>
      <c r="DS321" s="374"/>
      <c r="DT321" s="374"/>
      <c r="DU321" s="374"/>
      <c r="DV321" s="374"/>
      <c r="DW321" s="374"/>
      <c r="DX321" s="374"/>
      <c r="DY321" s="450"/>
      <c r="DZ321" s="374">
        <f t="shared" si="155"/>
        <v>0</v>
      </c>
      <c r="EA321" s="216">
        <f t="shared" si="156"/>
        <v>0</v>
      </c>
      <c r="EB321" s="320">
        <f t="shared" si="157"/>
        <v>0</v>
      </c>
      <c r="EC321" s="241">
        <f t="shared" si="158"/>
        <v>-7.6136800000000004</v>
      </c>
      <c r="ED321" s="241">
        <f t="shared" si="159"/>
        <v>0</v>
      </c>
      <c r="EE321" s="241">
        <f t="shared" si="160"/>
        <v>0</v>
      </c>
      <c r="EF321" s="241">
        <f t="shared" si="161"/>
        <v>0</v>
      </c>
      <c r="EG321" s="346">
        <f t="shared" si="162"/>
        <v>-214.61367999999999</v>
      </c>
      <c r="EH321" s="445">
        <f t="shared" si="163"/>
        <v>0</v>
      </c>
      <c r="EI321" s="447">
        <f t="shared" si="164"/>
        <v>0</v>
      </c>
      <c r="EJ321" s="364">
        <f t="shared" si="165"/>
        <v>-7.6136800000000004</v>
      </c>
      <c r="EK321" s="365">
        <f t="shared" si="166"/>
        <v>0</v>
      </c>
      <c r="EL321" s="529">
        <f t="shared" si="167"/>
        <v>-7.6136800000000004</v>
      </c>
      <c r="EM321" s="530">
        <v>0</v>
      </c>
      <c r="EN321" s="530">
        <v>0</v>
      </c>
      <c r="EO321" s="530">
        <v>-7.6136800000000004</v>
      </c>
      <c r="EP321" s="530">
        <v>0</v>
      </c>
      <c r="EQ321" s="530">
        <v>0</v>
      </c>
      <c r="ER321" s="530">
        <v>0</v>
      </c>
      <c r="ES321" s="530">
        <v>0</v>
      </c>
      <c r="ET321" s="530">
        <v>0</v>
      </c>
      <c r="EU321" s="530">
        <v>0</v>
      </c>
      <c r="EV321" s="530">
        <v>0</v>
      </c>
      <c r="EW321" s="530">
        <v>0</v>
      </c>
      <c r="EX321" s="530">
        <v>0</v>
      </c>
      <c r="EY321" s="530">
        <f t="shared" si="168"/>
        <v>-7.6136800000000004</v>
      </c>
      <c r="EZ321" s="530">
        <f t="shared" si="169"/>
        <v>0</v>
      </c>
      <c r="FA321" s="530">
        <f t="shared" si="170"/>
        <v>0</v>
      </c>
      <c r="FB321" s="530">
        <f t="shared" si="171"/>
        <v>0</v>
      </c>
      <c r="FC321" s="384">
        <f>IFERROR(VLOOKUP(Capex!A330,BASE_558!D:R,8,FALSE)/1000,"")</f>
        <v>526.33900000000006</v>
      </c>
      <c r="FD321" s="328">
        <f>IFERROR(VLOOKUP(Capex!A330,BASE_558!D:R,9,)/1000,"")</f>
        <v>0</v>
      </c>
      <c r="FE321" s="328">
        <f>IFERROR(IF(LEFT(A321,3)="LCP",(VLOOKUP(Capex!A330,BASE_558!D:R,10,)/1000),SUMIFS('BASE ICP_PO_SC'!F:F,'BASE ICP_PO_SC'!A:A,Capex!A330,'BASE ICP_PO_SC'!E:E,"&lt;&gt;")/1000),"")</f>
        <v>0</v>
      </c>
      <c r="FF321" s="328">
        <f>IFERROR(IF(LEFT(A321,3)="LCP",(VLOOKUP(Capex!A330,BASE_558!D:R,11,)/1000),SUMIFS('BASE ICP_PO_SC'!F:F,'BASE ICP_PO_SC'!A:A,Capex!A330,'BASE ICP_PO_SC'!E:E,"")/1000),"")</f>
        <v>0</v>
      </c>
      <c r="FG321" s="328">
        <f>IFERROR(VLOOKUP(A321,BASE_558!D:R,13,FALSE)/1000,"")</f>
        <v>0</v>
      </c>
      <c r="FH321" s="328">
        <f>IFERROR(VLOOKUP(A321,BASE_558!D:R,15,FALSE)/1000,"")</f>
        <v>215.5</v>
      </c>
      <c r="FI321" s="547">
        <f t="shared" si="172"/>
        <v>0</v>
      </c>
      <c r="FJ321" s="547">
        <f t="shared" si="173"/>
        <v>0</v>
      </c>
      <c r="FK321" s="540">
        <f t="shared" si="174"/>
        <v>0</v>
      </c>
    </row>
    <row r="322" spans="1:167" s="23" customFormat="1" ht="24" customHeight="1">
      <c r="A322" s="310" t="s">
        <v>2388</v>
      </c>
      <c r="B322" s="404"/>
      <c r="C322" s="404"/>
      <c r="D322" s="338" t="s">
        <v>2646</v>
      </c>
      <c r="E322" s="378">
        <v>7204318</v>
      </c>
      <c r="F322" s="5" t="s">
        <v>609</v>
      </c>
      <c r="G322" s="310" t="s">
        <v>9</v>
      </c>
      <c r="H322" s="356" t="s">
        <v>6</v>
      </c>
      <c r="I322" s="356"/>
      <c r="J322" s="356">
        <v>2023</v>
      </c>
      <c r="K322" s="352">
        <v>45124</v>
      </c>
      <c r="L322" s="317"/>
      <c r="M322" s="409"/>
      <c r="N322" s="317">
        <f t="shared" si="177"/>
        <v>46036</v>
      </c>
      <c r="O322" s="317">
        <f t="shared" si="178"/>
        <v>46401</v>
      </c>
      <c r="P322" s="418" t="str">
        <f t="shared" si="184"/>
        <v>NÃO</v>
      </c>
      <c r="Q322" s="418" t="str">
        <f t="shared" si="184"/>
        <v>NÃO</v>
      </c>
      <c r="R322" s="418" t="str">
        <f t="shared" si="184"/>
        <v>NÃO</v>
      </c>
      <c r="S322" s="418" t="str">
        <f t="shared" si="184"/>
        <v>NÃO</v>
      </c>
      <c r="T322" s="418" t="str">
        <f t="shared" si="184"/>
        <v>NÃO</v>
      </c>
      <c r="U322" s="418" t="str">
        <f t="shared" si="184"/>
        <v>NÃO</v>
      </c>
      <c r="V322" s="418" t="str">
        <f t="shared" si="184"/>
        <v>NÃO</v>
      </c>
      <c r="W322" s="418" t="str">
        <f t="shared" si="184"/>
        <v>NÃO</v>
      </c>
      <c r="X322" s="418" t="str">
        <f t="shared" si="184"/>
        <v>NÃO</v>
      </c>
      <c r="Y322" s="418" t="str">
        <f t="shared" si="184"/>
        <v>NÃO</v>
      </c>
      <c r="Z322" s="418" t="str">
        <f t="shared" si="184"/>
        <v>NÃO</v>
      </c>
      <c r="AA322" s="418" t="str">
        <f t="shared" si="184"/>
        <v>NÃO</v>
      </c>
      <c r="AB322" s="350"/>
      <c r="AC322" s="309" t="s">
        <v>3932</v>
      </c>
      <c r="AD322" s="311" t="s">
        <v>5</v>
      </c>
      <c r="AE322" s="361" t="s">
        <v>961</v>
      </c>
      <c r="AF322" s="310" t="s">
        <v>6985</v>
      </c>
      <c r="AG322" s="310" t="s">
        <v>2259</v>
      </c>
      <c r="AH322" s="310" t="s">
        <v>16150</v>
      </c>
      <c r="AI322" s="309" t="s">
        <v>186</v>
      </c>
      <c r="AJ322" s="6" t="s">
        <v>6786</v>
      </c>
      <c r="AK322" s="6" t="str">
        <f t="shared" si="152"/>
        <v>IGUAL</v>
      </c>
      <c r="AL322" s="151" t="str">
        <f>IFERROR(IF(LEFT(A322,3)="LCP",VLOOKUP(A322,STATUS_SAP_LCP!B:C,2,FALSE),VLOOKUP(A322,STATUS_SAP_ICP!B:C,2,FALSE)),"NO BUDGET")</f>
        <v>REL  BUDG AUC  AVAC  //  APPR BREL EXPL</v>
      </c>
      <c r="AM322" s="6" t="str">
        <f t="shared" ref="AM322:AM385" si="185">IF(LEFT(AL322,4)="PREL","REL ",IF(LEFT(AL322,9)="NO BUDGET","NO BUDGET",LEFT(AL322,4)))</f>
        <v xml:space="preserve">REL </v>
      </c>
      <c r="AN322" s="282" t="s">
        <v>17708</v>
      </c>
      <c r="AO322" s="559"/>
      <c r="AP322" s="499" t="s">
        <v>5299</v>
      </c>
      <c r="AQ322" s="465">
        <v>45992</v>
      </c>
      <c r="AR322" s="460"/>
      <c r="AS322" s="57"/>
      <c r="AT322" s="185"/>
      <c r="AU322" s="318"/>
      <c r="AV322" s="223"/>
      <c r="AW322" s="318">
        <v>3.13192</v>
      </c>
      <c r="AX322" s="223">
        <v>52.05283</v>
      </c>
      <c r="AY322" s="318">
        <f t="shared" si="179"/>
        <v>158.91235</v>
      </c>
      <c r="AZ322" s="223"/>
      <c r="BA322" s="318"/>
      <c r="BB322" s="519">
        <f t="shared" si="180"/>
        <v>211.6</v>
      </c>
      <c r="BC322" s="518">
        <v>90.6</v>
      </c>
      <c r="BD322" s="518">
        <v>0</v>
      </c>
      <c r="BE322" s="518">
        <v>0</v>
      </c>
      <c r="BF322" s="518">
        <v>0</v>
      </c>
      <c r="BG322" s="518">
        <v>0</v>
      </c>
      <c r="BH322" s="518">
        <v>0</v>
      </c>
      <c r="BI322" s="518">
        <v>0</v>
      </c>
      <c r="BJ322" s="518">
        <v>0</v>
      </c>
      <c r="BK322" s="518">
        <v>31</v>
      </c>
      <c r="BL322" s="518">
        <v>53</v>
      </c>
      <c r="BM322" s="518">
        <v>37</v>
      </c>
      <c r="BN322" s="518">
        <v>0</v>
      </c>
      <c r="BO322" s="367">
        <f t="shared" si="153"/>
        <v>158.91235</v>
      </c>
      <c r="BP322" s="421">
        <v>90.6</v>
      </c>
      <c r="BQ322" s="422">
        <v>21.105790000000002</v>
      </c>
      <c r="BR322" s="423">
        <f>IFERROR(IF(LEFT($A322,3)="Lcp",SUMIFS('BASE-LCP'!$K:$K,'BASE-LCP'!$A:$A,Capex!$A334,'BASE-LCP'!$B:$B,"janeiro")/1000,IF(LEFT($A322,3)="icp",SUMIFS('BASE-ICP'!$K:$K,'BASE-ICP'!$A:$A,Capex!$A334,'BASE-ICP'!$B:$B,"janeiro")/1000,"")),"")</f>
        <v>0</v>
      </c>
      <c r="BS322" s="427">
        <v>21.105790000000002</v>
      </c>
      <c r="BT322" s="372">
        <v>67.3</v>
      </c>
      <c r="BU322" s="422">
        <v>1.7238</v>
      </c>
      <c r="BV322" s="423">
        <f>IFERROR(IF(LEFT($A322,3)="Lcp",SUMIFS('BASE-LCP'!$K:$K,'BASE-LCP'!$A:$A,Capex!$A334,'BASE-LCP'!$B:$B,"fevereiro")/1000,IF(LEFT($A322,3)="icp",SUMIFS('BASE-ICP'!$K:$K,'BASE-ICP'!$A:$A,Capex!$A334,'BASE-ICP'!$B:$B,"fevereiro")/1000,"")),"")</f>
        <v>0</v>
      </c>
      <c r="BW322" s="427">
        <v>1.7238</v>
      </c>
      <c r="BX322" s="372">
        <v>0</v>
      </c>
      <c r="BY322" s="419">
        <v>1.0357100000000001</v>
      </c>
      <c r="BZ322" s="423">
        <f>IFERROR(IF(LEFT($A322,3)="Lcp",SUMIFS('BASE-LCP'!$K:$K,'BASE-LCP'!$A:$A,Capex!$A334,'BASE-LCP'!$B:$B,"março")/1000,IF(LEFT($A322,3)="icp",SUMIFS('BASE-ICP'!$K:$K,'BASE-ICP'!$A:$A,Capex!$A334,'BASE-ICP'!$B:$B,"março")/1000,"")),"")</f>
        <v>0</v>
      </c>
      <c r="CA322" s="427">
        <v>1.0357099999999999</v>
      </c>
      <c r="CB322" s="372">
        <v>53.850710000000007</v>
      </c>
      <c r="CC322" s="422">
        <v>107.34591999999999</v>
      </c>
      <c r="CD322" s="423">
        <f>IFERROR(IF(LEFT($A322,3)="Lcp",SUMIFS('BASE-LCP'!$K:$K,'BASE-LCP'!$A:$A,Capex!$A334,'BASE-LCP'!$B:$B,"abril")/1000,IF(LEFT($A322,3)="icp",SUMIFS('BASE-ICP'!$K:$K,'BASE-ICP'!$A:$A,Capex!$A334,'BASE-ICP'!$B:$B,"abril")/1000,"")),"")</f>
        <v>0</v>
      </c>
      <c r="CE322" s="427">
        <v>107.34591999999999</v>
      </c>
      <c r="CF322" s="372">
        <v>9</v>
      </c>
      <c r="CG322" s="419">
        <v>-8.8677200000000003</v>
      </c>
      <c r="CH322" s="423">
        <v>-8.8677199999999985</v>
      </c>
      <c r="CI322" s="427">
        <v>-8.8677199999999985</v>
      </c>
      <c r="CJ322" s="372">
        <v>1</v>
      </c>
      <c r="CK322" s="419">
        <v>0.74885000000000002</v>
      </c>
      <c r="CL322" s="423">
        <f>IFERROR(IF(LEFT($A322,3)="Lcp",SUMIFS('BASE-LCP'!$K:$K,'BASE-LCP'!$A:$A,Capex!$A334,'BASE-LCP'!$B:$B,"junho")/1000,IF(LEFT($A322,3)="icp",SUMIFS('BASE-ICP'!$K:$K,'BASE-ICP'!$A:$A,Capex!$A334,'BASE-ICP'!$B:$B,"junho")/1000,"")),"")</f>
        <v>0</v>
      </c>
      <c r="CM322" s="427">
        <v>0.74885000000000002</v>
      </c>
      <c r="CN322" s="565"/>
      <c r="CO322" s="427"/>
      <c r="CP322" s="423">
        <f>IFERROR(IF(LEFT($A322,3)="Lcp",SUMIFS('BASE-LCP'!$K:$K,'BASE-LCP'!$A:$A,Capex!$A334,'BASE-LCP'!$B:$B,"julho")/1000,IF(LEFT($A322,3)="icp",SUMIFS('BASE-ICP'!$K:$K,'BASE-ICP'!$A:$A,Capex!$A334,'BASE-ICP'!$B:$B,"julho")/1000,"")),"")</f>
        <v>0</v>
      </c>
      <c r="CQ322" s="427">
        <f>16.8*0.9</f>
        <v>15.120000000000001</v>
      </c>
      <c r="CR322" s="372"/>
      <c r="CS322" s="419"/>
      <c r="CT322" s="423">
        <f>IFERROR(IF(LEFT($A322,3)="Lcp",SUMIFS('BASE-LCP'!$K:$K,'BASE-LCP'!$A:$A,Capex!$A334,'BASE-LCP'!$B:$B,"agosto")/1000,IF(LEFT($A322,3)="icp",SUMIFS('BASE-ICP'!$K:$K,'BASE-ICP'!$A:$A,Capex!$A334,'BASE-ICP'!$B:$B,"agosto")/1000,"")),"")</f>
        <v>0</v>
      </c>
      <c r="CU322" s="427">
        <f>23*0.9</f>
        <v>20.7</v>
      </c>
      <c r="CV322" s="372"/>
      <c r="CW322" s="419"/>
      <c r="CX322" s="423">
        <f>IFERROR(IF(LEFT($A322,3)="Lcp",SUMIFS('BASE-LCP'!$K:$K,'BASE-LCP'!$A:$A,Capex!$A334,'BASE-LCP'!$B:$B,"setembro")/1000,IF(LEFT($A322,3)="icp",SUMIFS('BASE-ICP'!$K:$K,'BASE-ICP'!$A:$A,Capex!$A334,'BASE-ICP'!$B:$B,"setembro")/1000,"")),"")</f>
        <v>0</v>
      </c>
      <c r="CY322" s="427"/>
      <c r="CZ322" s="372"/>
      <c r="DA322" s="419"/>
      <c r="DB322" s="423">
        <f>IFERROR(IF(LEFT($A322,3)="Lcp",SUMIFS('BASE-LCP'!$K:$K,'BASE-LCP'!$A:$A,Capex!$A334,'BASE-LCP'!$B:$B,"outubro")/1000,IF(LEFT($A322,3)="icp",SUMIFS('BASE-ICP'!$K:$K,'BASE-ICP'!$A:$A,Capex!$A334,'BASE-ICP'!$B:$B,"outubro")/1000,"")),"")</f>
        <v>0</v>
      </c>
      <c r="DC322" s="427"/>
      <c r="DD322" s="372"/>
      <c r="DE322" s="419"/>
      <c r="DF322" s="423">
        <f>IFERROR(IF(LEFT($A322,3)="Lcp",SUMIFS('BASE-LCP'!$K:$K,'BASE-LCP'!$A:$A,Capex!$A334,'BASE-LCP'!$B:$B,"novembro")/1000,IF(LEFT($A322,3)="icp",SUMIFS('BASE-ICP'!$K:$K,'BASE-ICP'!$A:$A,Capex!$A334,'BASE-ICP'!$B:$B,"novembro")/1000,"")),"")</f>
        <v>0</v>
      </c>
      <c r="DG322" s="427"/>
      <c r="DH322" s="372"/>
      <c r="DI322" s="419"/>
      <c r="DJ322" s="423">
        <f>IFERROR(IF(LEFT($A322,3)="Lcp",SUMIFS('BASE-LCP'!$K:$K,'BASE-LCP'!$A:$A,Capex!$A334,'BASE-LCP'!$B:$B,"dezembro")/1000,IF(LEFT($A322,3)="icp",SUMIFS('BASE-ICP'!$K:$K,'BASE-ICP'!$A:$A,Capex!$A334,'BASE-ICP'!$B:$B,"dezembro")/1000,"")),"")</f>
        <v>0</v>
      </c>
      <c r="DK322" s="427"/>
      <c r="DL322" s="452">
        <f t="shared" si="154"/>
        <v>220</v>
      </c>
      <c r="DM322" s="374"/>
      <c r="DN322" s="374">
        <v>220</v>
      </c>
      <c r="DO322" s="374"/>
      <c r="DP322" s="374"/>
      <c r="DQ322" s="374"/>
      <c r="DR322" s="374"/>
      <c r="DS322" s="374"/>
      <c r="DT322" s="374"/>
      <c r="DU322" s="374"/>
      <c r="DV322" s="374"/>
      <c r="DW322" s="374"/>
      <c r="DX322" s="374"/>
      <c r="DY322" s="450"/>
      <c r="DZ322" s="374">
        <f t="shared" si="155"/>
        <v>220</v>
      </c>
      <c r="EA322" s="216">
        <f t="shared" si="156"/>
        <v>-0.25114999999999998</v>
      </c>
      <c r="EB322" s="320">
        <f t="shared" si="157"/>
        <v>-0.74885000000000002</v>
      </c>
      <c r="EC322" s="241">
        <f t="shared" si="158"/>
        <v>23.865300000000005</v>
      </c>
      <c r="ED322" s="241">
        <f t="shared" si="159"/>
        <v>99.227049999999991</v>
      </c>
      <c r="EE322" s="241">
        <f t="shared" si="160"/>
        <v>35.82</v>
      </c>
      <c r="EF322" s="241">
        <f t="shared" si="161"/>
        <v>0</v>
      </c>
      <c r="EG322" s="346">
        <f t="shared" si="162"/>
        <v>-52.687649999999991</v>
      </c>
      <c r="EH322" s="445">
        <f t="shared" si="163"/>
        <v>9</v>
      </c>
      <c r="EI322" s="447">
        <f t="shared" si="164"/>
        <v>-8.8677199999999985</v>
      </c>
      <c r="EJ322" s="364">
        <f t="shared" si="165"/>
        <v>122.34350000000001</v>
      </c>
      <c r="EK322" s="365">
        <f t="shared" si="166"/>
        <v>36.568849999999998</v>
      </c>
      <c r="EL322" s="529">
        <f t="shared" si="167"/>
        <v>159.1635</v>
      </c>
      <c r="EM322" s="530">
        <v>21.105790000000002</v>
      </c>
      <c r="EN322" s="530">
        <v>1.7238</v>
      </c>
      <c r="EO322" s="530">
        <v>1.0357099999999999</v>
      </c>
      <c r="EP322" s="530">
        <v>107.34591999999999</v>
      </c>
      <c r="EQ322" s="530">
        <v>-8.8677199999999985</v>
      </c>
      <c r="ER322" s="530">
        <v>1</v>
      </c>
      <c r="ES322" s="530">
        <v>15.120000000000001</v>
      </c>
      <c r="ET322" s="530">
        <v>20.7</v>
      </c>
      <c r="EU322" s="530">
        <v>0</v>
      </c>
      <c r="EV322" s="530">
        <v>0</v>
      </c>
      <c r="EW322" s="530">
        <v>0</v>
      </c>
      <c r="EX322" s="530">
        <v>0</v>
      </c>
      <c r="EY322" s="530">
        <f t="shared" si="168"/>
        <v>23.865300000000005</v>
      </c>
      <c r="EZ322" s="530">
        <f t="shared" si="169"/>
        <v>99.478199999999987</v>
      </c>
      <c r="FA322" s="530">
        <f t="shared" si="170"/>
        <v>35.82</v>
      </c>
      <c r="FB322" s="530">
        <f t="shared" si="171"/>
        <v>0</v>
      </c>
      <c r="FC322" s="384">
        <f>IFERROR(VLOOKUP(Capex!A334,BASE_558!D:R,8,FALSE)/1000,"")</f>
        <v>213.392</v>
      </c>
      <c r="FD322" s="328">
        <f>IFERROR(VLOOKUP(Capex!A334,BASE_558!D:R,9,)/1000,"")</f>
        <v>131.75355999999999</v>
      </c>
      <c r="FE322" s="328">
        <f>IFERROR(IF(LEFT(A322,3)="LCP",(VLOOKUP(Capex!A334,BASE_558!D:R,10,)/1000),SUMIFS('BASE ICP_PO_SC'!F:F,'BASE ICP_PO_SC'!A:A,Capex!A334,'BASE ICP_PO_SC'!E:E,"&lt;&gt;")/1000),"")</f>
        <v>0</v>
      </c>
      <c r="FF322" s="328">
        <f>IFERROR(IF(LEFT(A322,3)="LCP",(VLOOKUP(Capex!A334,BASE_558!D:R,11,)/1000),SUMIFS('BASE ICP_PO_SC'!F:F,'BASE ICP_PO_SC'!A:A,Capex!A334,'BASE ICP_PO_SC'!E:E,"")/1000),"")</f>
        <v>8.2295999999999996</v>
      </c>
      <c r="FG322" s="328">
        <f>IFERROR(VLOOKUP(A322,BASE_558!D:R,13,FALSE)/1000,"")</f>
        <v>298.29975999999999</v>
      </c>
      <c r="FH322" s="328">
        <f>IFERROR(VLOOKUP(A322,BASE_558!D:R,15,FALSE)/1000,"")</f>
        <v>211.90124</v>
      </c>
      <c r="FI322" s="547">
        <f t="shared" si="172"/>
        <v>0.25114999999999554</v>
      </c>
      <c r="FJ322" s="547">
        <f t="shared" si="173"/>
        <v>0</v>
      </c>
      <c r="FK322" s="540">
        <f t="shared" si="174"/>
        <v>0</v>
      </c>
    </row>
    <row r="323" spans="1:167" s="23" customFormat="1" ht="24" customHeight="1">
      <c r="A323" s="309" t="s">
        <v>2392</v>
      </c>
      <c r="B323" s="404"/>
      <c r="C323" s="404">
        <v>21018</v>
      </c>
      <c r="D323" s="338" t="s">
        <v>3343</v>
      </c>
      <c r="E323" s="378">
        <v>7244095</v>
      </c>
      <c r="F323" s="5"/>
      <c r="G323" s="310" t="s">
        <v>9</v>
      </c>
      <c r="H323" s="338" t="s">
        <v>6</v>
      </c>
      <c r="I323" s="356"/>
      <c r="J323" s="356">
        <v>2023</v>
      </c>
      <c r="K323" s="352">
        <v>45124</v>
      </c>
      <c r="L323" s="317"/>
      <c r="M323" s="409"/>
      <c r="N323" s="317">
        <f t="shared" si="177"/>
        <v>46036</v>
      </c>
      <c r="O323" s="317">
        <f t="shared" si="178"/>
        <v>46401</v>
      </c>
      <c r="P323" s="418" t="str">
        <f t="shared" si="184"/>
        <v>NÃO</v>
      </c>
      <c r="Q323" s="418" t="str">
        <f t="shared" si="184"/>
        <v>NÃO</v>
      </c>
      <c r="R323" s="418" t="str">
        <f t="shared" si="184"/>
        <v>NÃO</v>
      </c>
      <c r="S323" s="418" t="str">
        <f t="shared" si="184"/>
        <v>NÃO</v>
      </c>
      <c r="T323" s="418" t="str">
        <f t="shared" si="184"/>
        <v>NÃO</v>
      </c>
      <c r="U323" s="418" t="str">
        <f t="shared" si="184"/>
        <v>NÃO</v>
      </c>
      <c r="V323" s="418" t="str">
        <f t="shared" si="184"/>
        <v>NÃO</v>
      </c>
      <c r="W323" s="418" t="str">
        <f t="shared" si="184"/>
        <v>NÃO</v>
      </c>
      <c r="X323" s="418" t="str">
        <f t="shared" si="184"/>
        <v>NÃO</v>
      </c>
      <c r="Y323" s="418" t="str">
        <f t="shared" si="184"/>
        <v>NÃO</v>
      </c>
      <c r="Z323" s="418" t="str">
        <f t="shared" si="184"/>
        <v>NÃO</v>
      </c>
      <c r="AA323" s="418" t="str">
        <f t="shared" si="184"/>
        <v>NÃO</v>
      </c>
      <c r="AB323" s="350"/>
      <c r="AC323" s="309" t="s">
        <v>3932</v>
      </c>
      <c r="AD323" s="311" t="s">
        <v>5</v>
      </c>
      <c r="AE323" s="361" t="s">
        <v>952</v>
      </c>
      <c r="AF323" s="310" t="s">
        <v>6985</v>
      </c>
      <c r="AG323" s="310" t="s">
        <v>17007</v>
      </c>
      <c r="AH323" s="310" t="s">
        <v>2393</v>
      </c>
      <c r="AI323" s="309" t="s">
        <v>316</v>
      </c>
      <c r="AJ323" s="6" t="s">
        <v>6786</v>
      </c>
      <c r="AK323" s="6" t="str">
        <f t="shared" si="152"/>
        <v>DIFERENTE</v>
      </c>
      <c r="AL323" s="151" t="str">
        <f>IFERROR(IF(LEFT(A323,3)="LCP",VLOOKUP(A323,STATUS_SAP_LCP!B:C,2,FALSE),VLOOKUP(A323,STATUS_SAP_ICP!B:C,2,FALSE)),"NO BUDGET")</f>
        <v>TECO BUDG AUC  AVAC  //  APPR BREL EXPL</v>
      </c>
      <c r="AM323" s="6" t="str">
        <f t="shared" si="185"/>
        <v>TECO</v>
      </c>
      <c r="AN323" s="282" t="s">
        <v>19519</v>
      </c>
      <c r="AO323" s="557"/>
      <c r="AP323" s="499" t="s">
        <v>9616</v>
      </c>
      <c r="AQ323" s="465">
        <v>46387</v>
      </c>
      <c r="AR323" s="460"/>
      <c r="AS323" s="57"/>
      <c r="AT323" s="185"/>
      <c r="AU323" s="318">
        <v>0</v>
      </c>
      <c r="AV323" s="223">
        <v>0</v>
      </c>
      <c r="AW323" s="318">
        <v>0</v>
      </c>
      <c r="AX323" s="223">
        <v>2.6177000000000001</v>
      </c>
      <c r="AY323" s="318">
        <f t="shared" si="179"/>
        <v>0</v>
      </c>
      <c r="AZ323" s="223"/>
      <c r="BA323" s="318"/>
      <c r="BB323" s="519">
        <f t="shared" si="180"/>
        <v>0</v>
      </c>
      <c r="BC323" s="518">
        <v>0</v>
      </c>
      <c r="BD323" s="518">
        <v>0</v>
      </c>
      <c r="BE323" s="518">
        <v>0</v>
      </c>
      <c r="BF323" s="518">
        <v>0</v>
      </c>
      <c r="BG323" s="518">
        <v>0</v>
      </c>
      <c r="BH323" s="518">
        <v>0</v>
      </c>
      <c r="BI323" s="518">
        <v>0</v>
      </c>
      <c r="BJ323" s="518">
        <v>0</v>
      </c>
      <c r="BK323" s="518">
        <v>0</v>
      </c>
      <c r="BL323" s="518">
        <v>0</v>
      </c>
      <c r="BM323" s="518">
        <v>0</v>
      </c>
      <c r="BN323" s="518">
        <v>0</v>
      </c>
      <c r="BO323" s="367">
        <f t="shared" si="153"/>
        <v>0</v>
      </c>
      <c r="BP323" s="421">
        <v>0</v>
      </c>
      <c r="BQ323" s="422"/>
      <c r="BR323" s="423">
        <f>IFERROR(IF(LEFT($A323,3)="Lcp",SUMIFS('BASE-LCP'!$K:$K,'BASE-LCP'!$A:$A,Capex!$A336,'BASE-LCP'!$B:$B,"janeiro")/1000,IF(LEFT($A323,3)="icp",SUMIFS('BASE-ICP'!$K:$K,'BASE-ICP'!$A:$A,Capex!$A336,'BASE-ICP'!$B:$B,"janeiro")/1000,"")),"")</f>
        <v>0</v>
      </c>
      <c r="BS323" s="427">
        <v>0</v>
      </c>
      <c r="BT323" s="372">
        <v>0</v>
      </c>
      <c r="BU323" s="422"/>
      <c r="BV323" s="423">
        <f>IFERROR(IF(LEFT($A323,3)="Lcp",SUMIFS('BASE-LCP'!$K:$K,'BASE-LCP'!$A:$A,Capex!$A336,'BASE-LCP'!$B:$B,"fevereiro")/1000,IF(LEFT($A323,3)="icp",SUMIFS('BASE-ICP'!$K:$K,'BASE-ICP'!$A:$A,Capex!$A336,'BASE-ICP'!$B:$B,"fevereiro")/1000,"")),"")</f>
        <v>0</v>
      </c>
      <c r="BW323" s="427">
        <v>0</v>
      </c>
      <c r="BX323" s="372">
        <v>0</v>
      </c>
      <c r="BY323" s="419"/>
      <c r="BZ323" s="423">
        <f>IFERROR(IF(LEFT($A323,3)="Lcp",SUMIFS('BASE-LCP'!$K:$K,'BASE-LCP'!$A:$A,Capex!$A336,'BASE-LCP'!$B:$B,"março")/1000,IF(LEFT($A323,3)="icp",SUMIFS('BASE-ICP'!$K:$K,'BASE-ICP'!$A:$A,Capex!$A336,'BASE-ICP'!$B:$B,"março")/1000,"")),"")</f>
        <v>0</v>
      </c>
      <c r="CA323" s="427">
        <v>0</v>
      </c>
      <c r="CB323" s="372">
        <v>0</v>
      </c>
      <c r="CC323" s="422"/>
      <c r="CD323" s="423">
        <f>IFERROR(IF(LEFT($A323,3)="Lcp",SUMIFS('BASE-LCP'!$K:$K,'BASE-LCP'!$A:$A,Capex!$A336,'BASE-LCP'!$B:$B,"abril")/1000,IF(LEFT($A323,3)="icp",SUMIFS('BASE-ICP'!$K:$K,'BASE-ICP'!$A:$A,Capex!$A336,'BASE-ICP'!$B:$B,"abril")/1000,"")),"")</f>
        <v>174.85757000000001</v>
      </c>
      <c r="CE323" s="427">
        <v>0</v>
      </c>
      <c r="CF323" s="372">
        <v>0</v>
      </c>
      <c r="CG323" s="419"/>
      <c r="CH323" s="423">
        <v>0</v>
      </c>
      <c r="CI323" s="427">
        <v>0</v>
      </c>
      <c r="CJ323" s="372">
        <v>0</v>
      </c>
      <c r="CK323" s="419"/>
      <c r="CL323" s="423">
        <f>IFERROR(IF(LEFT($A323,3)="Lcp",SUMIFS('BASE-LCP'!$K:$K,'BASE-LCP'!$A:$A,Capex!$A336,'BASE-LCP'!$B:$B,"junho")/1000,IF(LEFT($A323,3)="icp",SUMIFS('BASE-ICP'!$K:$K,'BASE-ICP'!$A:$A,Capex!$A336,'BASE-ICP'!$B:$B,"junho")/1000,"")),"")</f>
        <v>0</v>
      </c>
      <c r="CM323" s="427">
        <v>0</v>
      </c>
      <c r="CN323" s="372"/>
      <c r="CO323" s="419"/>
      <c r="CP323" s="423">
        <f>IFERROR(IF(LEFT($A323,3)="Lcp",SUMIFS('BASE-LCP'!$K:$K,'BASE-LCP'!$A:$A,Capex!$A336,'BASE-LCP'!$B:$B,"julho")/1000,IF(LEFT($A323,3)="icp",SUMIFS('BASE-ICP'!$K:$K,'BASE-ICP'!$A:$A,Capex!$A336,'BASE-ICP'!$B:$B,"julho")/1000,"")),"")</f>
        <v>0</v>
      </c>
      <c r="CQ323" s="427">
        <v>0</v>
      </c>
      <c r="CR323" s="372"/>
      <c r="CS323" s="419"/>
      <c r="CT323" s="423">
        <f>IFERROR(IF(LEFT($A323,3)="Lcp",SUMIFS('BASE-LCP'!$K:$K,'BASE-LCP'!$A:$A,Capex!$A336,'BASE-LCP'!$B:$B,"agosto")/1000,IF(LEFT($A323,3)="icp",SUMIFS('BASE-ICP'!$K:$K,'BASE-ICP'!$A:$A,Capex!$A336,'BASE-ICP'!$B:$B,"agosto")/1000,"")),"")</f>
        <v>0</v>
      </c>
      <c r="CU323" s="427">
        <v>0</v>
      </c>
      <c r="CV323" s="372"/>
      <c r="CW323" s="419"/>
      <c r="CX323" s="423">
        <f>IFERROR(IF(LEFT($A323,3)="Lcp",SUMIFS('BASE-LCP'!$K:$K,'BASE-LCP'!$A:$A,Capex!$A336,'BASE-LCP'!$B:$B,"setembro")/1000,IF(LEFT($A323,3)="icp",SUMIFS('BASE-ICP'!$K:$K,'BASE-ICP'!$A:$A,Capex!$A336,'BASE-ICP'!$B:$B,"setembro")/1000,"")),"")</f>
        <v>0</v>
      </c>
      <c r="CY323" s="427">
        <v>0</v>
      </c>
      <c r="CZ323" s="372"/>
      <c r="DA323" s="419"/>
      <c r="DB323" s="423">
        <f>IFERROR(IF(LEFT($A323,3)="Lcp",SUMIFS('BASE-LCP'!$K:$K,'BASE-LCP'!$A:$A,Capex!$A336,'BASE-LCP'!$B:$B,"outubro")/1000,IF(LEFT($A323,3)="icp",SUMIFS('BASE-ICP'!$K:$K,'BASE-ICP'!$A:$A,Capex!$A336,'BASE-ICP'!$B:$B,"outubro")/1000,"")),"")</f>
        <v>0</v>
      </c>
      <c r="DC323" s="427">
        <v>0</v>
      </c>
      <c r="DD323" s="372"/>
      <c r="DE323" s="419"/>
      <c r="DF323" s="423">
        <f>IFERROR(IF(LEFT($A323,3)="Lcp",SUMIFS('BASE-LCP'!$K:$K,'BASE-LCP'!$A:$A,Capex!$A336,'BASE-LCP'!$B:$B,"novembro")/1000,IF(LEFT($A323,3)="icp",SUMIFS('BASE-ICP'!$K:$K,'BASE-ICP'!$A:$A,Capex!$A336,'BASE-ICP'!$B:$B,"novembro")/1000,"")),"")</f>
        <v>0</v>
      </c>
      <c r="DG323" s="427">
        <v>0</v>
      </c>
      <c r="DH323" s="372"/>
      <c r="DI323" s="419"/>
      <c r="DJ323" s="423">
        <f>IFERROR(IF(LEFT($A323,3)="Lcp",SUMIFS('BASE-LCP'!$K:$K,'BASE-LCP'!$A:$A,Capex!$A336,'BASE-LCP'!$B:$B,"dezembro")/1000,IF(LEFT($A323,3)="icp",SUMIFS('BASE-ICP'!$K:$K,'BASE-ICP'!$A:$A,Capex!$A336,'BASE-ICP'!$B:$B,"dezembro")/1000,"")),"")</f>
        <v>0</v>
      </c>
      <c r="DK323" s="427">
        <v>0</v>
      </c>
      <c r="DL323" s="452">
        <f t="shared" si="154"/>
        <v>685</v>
      </c>
      <c r="DM323" s="374"/>
      <c r="DN323" s="374">
        <v>685</v>
      </c>
      <c r="DO323" s="374"/>
      <c r="DP323" s="374"/>
      <c r="DQ323" s="374"/>
      <c r="DR323" s="374"/>
      <c r="DS323" s="374"/>
      <c r="DT323" s="374"/>
      <c r="DU323" s="374"/>
      <c r="DV323" s="374"/>
      <c r="DW323" s="374"/>
      <c r="DX323" s="374"/>
      <c r="DY323" s="450"/>
      <c r="DZ323" s="374">
        <f t="shared" si="155"/>
        <v>685</v>
      </c>
      <c r="EA323" s="216">
        <f t="shared" si="156"/>
        <v>0</v>
      </c>
      <c r="EB323" s="320">
        <f t="shared" si="157"/>
        <v>0</v>
      </c>
      <c r="EC323" s="241">
        <f t="shared" si="158"/>
        <v>0</v>
      </c>
      <c r="ED323" s="241">
        <f t="shared" si="159"/>
        <v>0</v>
      </c>
      <c r="EE323" s="241">
        <f t="shared" si="160"/>
        <v>0</v>
      </c>
      <c r="EF323" s="241">
        <f t="shared" si="161"/>
        <v>0</v>
      </c>
      <c r="EG323" s="346">
        <f t="shared" si="162"/>
        <v>0</v>
      </c>
      <c r="EH323" s="445">
        <f t="shared" si="163"/>
        <v>0</v>
      </c>
      <c r="EI323" s="447">
        <f t="shared" si="164"/>
        <v>0</v>
      </c>
      <c r="EJ323" s="364">
        <f t="shared" si="165"/>
        <v>0</v>
      </c>
      <c r="EK323" s="365">
        <f t="shared" si="166"/>
        <v>0</v>
      </c>
      <c r="EL323" s="529">
        <f t="shared" si="167"/>
        <v>0</v>
      </c>
      <c r="EM323" s="530">
        <v>0</v>
      </c>
      <c r="EN323" s="530">
        <v>0</v>
      </c>
      <c r="EO323" s="530">
        <v>0</v>
      </c>
      <c r="EP323" s="530">
        <v>0</v>
      </c>
      <c r="EQ323" s="530">
        <v>0</v>
      </c>
      <c r="ER323" s="530">
        <v>0</v>
      </c>
      <c r="ES323" s="530">
        <v>0</v>
      </c>
      <c r="ET323" s="530">
        <v>0</v>
      </c>
      <c r="EU323" s="530">
        <v>0</v>
      </c>
      <c r="EV323" s="530">
        <v>0</v>
      </c>
      <c r="EW323" s="530">
        <v>0</v>
      </c>
      <c r="EX323" s="530">
        <v>0</v>
      </c>
      <c r="EY323" s="530">
        <f t="shared" si="168"/>
        <v>0</v>
      </c>
      <c r="EZ323" s="530">
        <f t="shared" si="169"/>
        <v>0</v>
      </c>
      <c r="FA323" s="530">
        <f t="shared" si="170"/>
        <v>0</v>
      </c>
      <c r="FB323" s="530">
        <f t="shared" si="171"/>
        <v>0</v>
      </c>
      <c r="FC323" s="384">
        <f>IFERROR(VLOOKUP(Capex!A336,BASE_558!D:R,8,FALSE)/1000,"")</f>
        <v>204.97200000000001</v>
      </c>
      <c r="FD323" s="328">
        <f>IFERROR(VLOOKUP(Capex!A336,BASE_558!D:R,9,)/1000,"")</f>
        <v>174.94884999999999</v>
      </c>
      <c r="FE323" s="328">
        <f>IFERROR(IF(LEFT(A323,3)="LCP",(VLOOKUP(Capex!A336,BASE_558!D:R,10,)/1000),SUMIFS('BASE ICP_PO_SC'!F:F,'BASE ICP_PO_SC'!A:A,Capex!A336,'BASE ICP_PO_SC'!E:E,"&lt;&gt;")/1000),"")</f>
        <v>1.7165599999999999</v>
      </c>
      <c r="FF323" s="328">
        <f>IFERROR(IF(LEFT(A323,3)="LCP",(VLOOKUP(Capex!A336,BASE_558!D:R,11,)/1000),SUMIFS('BASE ICP_PO_SC'!F:F,'BASE ICP_PO_SC'!A:A,Capex!A336,'BASE ICP_PO_SC'!E:E,"")/1000),"")</f>
        <v>0</v>
      </c>
      <c r="FG323" s="328">
        <f>IFERROR(VLOOKUP(A323,BASE_558!D:R,13,FALSE)/1000,"")</f>
        <v>2.6176999999999997</v>
      </c>
      <c r="FH323" s="328">
        <f>IFERROR(VLOOKUP(A323,BASE_558!D:R,15,FALSE)/1000,"")</f>
        <v>783.32330000000002</v>
      </c>
      <c r="FI323" s="547">
        <f t="shared" si="172"/>
        <v>0</v>
      </c>
      <c r="FJ323" s="547">
        <f t="shared" si="173"/>
        <v>0</v>
      </c>
      <c r="FK323" s="540">
        <f t="shared" si="174"/>
        <v>0</v>
      </c>
    </row>
    <row r="324" spans="1:167" s="23" customFormat="1" ht="24" customHeight="1">
      <c r="A324" s="84" t="s">
        <v>2394</v>
      </c>
      <c r="B324" s="404"/>
      <c r="C324" s="404"/>
      <c r="D324" s="338" t="s">
        <v>3344</v>
      </c>
      <c r="E324" s="378">
        <v>7244301</v>
      </c>
      <c r="F324" s="5"/>
      <c r="G324" s="310" t="s">
        <v>9</v>
      </c>
      <c r="H324" s="356" t="s">
        <v>6</v>
      </c>
      <c r="I324" s="356"/>
      <c r="J324" s="356">
        <v>2023</v>
      </c>
      <c r="K324" s="352">
        <v>45124</v>
      </c>
      <c r="L324" s="317"/>
      <c r="M324" s="409"/>
      <c r="N324" s="317">
        <f t="shared" si="177"/>
        <v>46036</v>
      </c>
      <c r="O324" s="317">
        <f t="shared" si="178"/>
        <v>46401</v>
      </c>
      <c r="P324" s="418" t="str">
        <f t="shared" si="184"/>
        <v>NÃO</v>
      </c>
      <c r="Q324" s="418" t="str">
        <f t="shared" si="184"/>
        <v>NÃO</v>
      </c>
      <c r="R324" s="418" t="str">
        <f t="shared" si="184"/>
        <v>NÃO</v>
      </c>
      <c r="S324" s="418" t="str">
        <f t="shared" si="184"/>
        <v>NÃO</v>
      </c>
      <c r="T324" s="418" t="str">
        <f t="shared" si="184"/>
        <v>NÃO</v>
      </c>
      <c r="U324" s="418" t="str">
        <f t="shared" si="184"/>
        <v>NÃO</v>
      </c>
      <c r="V324" s="418" t="str">
        <f t="shared" si="184"/>
        <v>NÃO</v>
      </c>
      <c r="W324" s="418" t="str">
        <f t="shared" si="184"/>
        <v>NÃO</v>
      </c>
      <c r="X324" s="418" t="str">
        <f t="shared" si="184"/>
        <v>NÃO</v>
      </c>
      <c r="Y324" s="418" t="str">
        <f t="shared" si="184"/>
        <v>NÃO</v>
      </c>
      <c r="Z324" s="418" t="str">
        <f t="shared" si="184"/>
        <v>NÃO</v>
      </c>
      <c r="AA324" s="418" t="str">
        <f t="shared" si="184"/>
        <v>NÃO</v>
      </c>
      <c r="AB324" s="350"/>
      <c r="AC324" s="309" t="s">
        <v>3932</v>
      </c>
      <c r="AD324" s="311" t="s">
        <v>5</v>
      </c>
      <c r="AE324" s="361" t="s">
        <v>952</v>
      </c>
      <c r="AF324" s="310" t="s">
        <v>6985</v>
      </c>
      <c r="AG324" s="310" t="s">
        <v>17007</v>
      </c>
      <c r="AH324" s="310" t="s">
        <v>2395</v>
      </c>
      <c r="AI324" s="309" t="s">
        <v>316</v>
      </c>
      <c r="AJ324" s="6" t="s">
        <v>6786</v>
      </c>
      <c r="AK324" s="6" t="str">
        <f t="shared" si="152"/>
        <v>DIFERENTE</v>
      </c>
      <c r="AL324" s="151" t="str">
        <f>IFERROR(IF(LEFT(A324,3)="LCP",VLOOKUP(A324,STATUS_SAP_LCP!B:C,2,FALSE),VLOOKUP(A324,STATUS_SAP_ICP!B:C,2,FALSE)),"NO BUDGET")</f>
        <v>TECO BUDG AUC  AVAC  //  APPR BREL EXPL</v>
      </c>
      <c r="AM324" s="6" t="str">
        <f t="shared" si="185"/>
        <v>TECO</v>
      </c>
      <c r="AN324" s="282" t="s">
        <v>6767</v>
      </c>
      <c r="AO324" s="557"/>
      <c r="AP324" s="499" t="s">
        <v>9616</v>
      </c>
      <c r="AQ324" s="465">
        <v>46387</v>
      </c>
      <c r="AR324" s="460"/>
      <c r="AS324" s="57"/>
      <c r="AT324" s="185"/>
      <c r="AU324" s="318"/>
      <c r="AV324" s="223"/>
      <c r="AW324" s="318">
        <v>0</v>
      </c>
      <c r="AX324" s="223">
        <v>0</v>
      </c>
      <c r="AY324" s="318">
        <f t="shared" si="179"/>
        <v>0</v>
      </c>
      <c r="AZ324" s="223"/>
      <c r="BA324" s="318"/>
      <c r="BB324" s="519">
        <f t="shared" si="180"/>
        <v>0</v>
      </c>
      <c r="BC324" s="518">
        <v>0</v>
      </c>
      <c r="BD324" s="518">
        <v>0</v>
      </c>
      <c r="BE324" s="518">
        <v>0</v>
      </c>
      <c r="BF324" s="518">
        <v>0</v>
      </c>
      <c r="BG324" s="518">
        <v>0</v>
      </c>
      <c r="BH324" s="518">
        <v>0</v>
      </c>
      <c r="BI324" s="518">
        <v>0</v>
      </c>
      <c r="BJ324" s="518">
        <v>0</v>
      </c>
      <c r="BK324" s="518">
        <v>0</v>
      </c>
      <c r="BL324" s="518">
        <v>0</v>
      </c>
      <c r="BM324" s="518">
        <v>0</v>
      </c>
      <c r="BN324" s="518">
        <v>0</v>
      </c>
      <c r="BO324" s="367">
        <f t="shared" si="153"/>
        <v>0</v>
      </c>
      <c r="BP324" s="421">
        <v>0</v>
      </c>
      <c r="BQ324" s="422"/>
      <c r="BR324" s="423">
        <f>IFERROR(IF(LEFT($A324,3)="Lcp",SUMIFS('BASE-LCP'!$K:$K,'BASE-LCP'!$A:$A,Capex!$A337,'BASE-LCP'!$B:$B,"janeiro")/1000,IF(LEFT($A324,3)="icp",SUMIFS('BASE-ICP'!$K:$K,'BASE-ICP'!$A:$A,Capex!$A337,'BASE-ICP'!$B:$B,"janeiro")/1000,"")),"")</f>
        <v>0</v>
      </c>
      <c r="BS324" s="427">
        <v>0</v>
      </c>
      <c r="BT324" s="372">
        <v>0</v>
      </c>
      <c r="BU324" s="422"/>
      <c r="BV324" s="423">
        <f>IFERROR(IF(LEFT($A324,3)="Lcp",SUMIFS('BASE-LCP'!$K:$K,'BASE-LCP'!$A:$A,Capex!$A337,'BASE-LCP'!$B:$B,"fevereiro")/1000,IF(LEFT($A324,3)="icp",SUMIFS('BASE-ICP'!$K:$K,'BASE-ICP'!$A:$A,Capex!$A337,'BASE-ICP'!$B:$B,"fevereiro")/1000,"")),"")</f>
        <v>0</v>
      </c>
      <c r="BW324" s="427">
        <v>0</v>
      </c>
      <c r="BX324" s="372">
        <v>0</v>
      </c>
      <c r="BY324" s="419"/>
      <c r="BZ324" s="423">
        <f>IFERROR(IF(LEFT($A324,3)="Lcp",SUMIFS('BASE-LCP'!$K:$K,'BASE-LCP'!$A:$A,Capex!$A337,'BASE-LCP'!$B:$B,"março")/1000,IF(LEFT($A324,3)="icp",SUMIFS('BASE-ICP'!$K:$K,'BASE-ICP'!$A:$A,Capex!$A337,'BASE-ICP'!$B:$B,"março")/1000,"")),"")</f>
        <v>0</v>
      </c>
      <c r="CA324" s="427">
        <v>0</v>
      </c>
      <c r="CB324" s="372">
        <v>0</v>
      </c>
      <c r="CC324" s="422"/>
      <c r="CD324" s="423">
        <f>IFERROR(IF(LEFT($A324,3)="Lcp",SUMIFS('BASE-LCP'!$K:$K,'BASE-LCP'!$A:$A,Capex!$A337,'BASE-LCP'!$B:$B,"abril")/1000,IF(LEFT($A324,3)="icp",SUMIFS('BASE-ICP'!$K:$K,'BASE-ICP'!$A:$A,Capex!$A337,'BASE-ICP'!$B:$B,"abril")/1000,"")),"")</f>
        <v>103.00240999999998</v>
      </c>
      <c r="CE324" s="427">
        <v>0</v>
      </c>
      <c r="CF324" s="372">
        <v>0</v>
      </c>
      <c r="CG324" s="419"/>
      <c r="CH324" s="423">
        <v>0</v>
      </c>
      <c r="CI324" s="427">
        <v>0</v>
      </c>
      <c r="CJ324" s="372">
        <v>0</v>
      </c>
      <c r="CK324" s="419"/>
      <c r="CL324" s="423">
        <f>IFERROR(IF(LEFT($A324,3)="Lcp",SUMIFS('BASE-LCP'!$K:$K,'BASE-LCP'!$A:$A,Capex!$A337,'BASE-LCP'!$B:$B,"junho")/1000,IF(LEFT($A324,3)="icp",SUMIFS('BASE-ICP'!$K:$K,'BASE-ICP'!$A:$A,Capex!$A337,'BASE-ICP'!$B:$B,"junho")/1000,"")),"")</f>
        <v>0</v>
      </c>
      <c r="CM324" s="427">
        <v>0</v>
      </c>
      <c r="CN324" s="372"/>
      <c r="CO324" s="419"/>
      <c r="CP324" s="423">
        <f>IFERROR(IF(LEFT($A324,3)="Lcp",SUMIFS('BASE-LCP'!$K:$K,'BASE-LCP'!$A:$A,Capex!$A337,'BASE-LCP'!$B:$B,"julho")/1000,IF(LEFT($A324,3)="icp",SUMIFS('BASE-ICP'!$K:$K,'BASE-ICP'!$A:$A,Capex!$A337,'BASE-ICP'!$B:$B,"julho")/1000,"")),"")</f>
        <v>0</v>
      </c>
      <c r="CQ324" s="427">
        <v>0</v>
      </c>
      <c r="CR324" s="372"/>
      <c r="CS324" s="419"/>
      <c r="CT324" s="423">
        <f>IFERROR(IF(LEFT($A324,3)="Lcp",SUMIFS('BASE-LCP'!$K:$K,'BASE-LCP'!$A:$A,Capex!$A337,'BASE-LCP'!$B:$B,"agosto")/1000,IF(LEFT($A324,3)="icp",SUMIFS('BASE-ICP'!$K:$K,'BASE-ICP'!$A:$A,Capex!$A337,'BASE-ICP'!$B:$B,"agosto")/1000,"")),"")</f>
        <v>0</v>
      </c>
      <c r="CU324" s="427">
        <v>0</v>
      </c>
      <c r="CV324" s="372"/>
      <c r="CW324" s="419"/>
      <c r="CX324" s="423">
        <f>IFERROR(IF(LEFT($A324,3)="Lcp",SUMIFS('BASE-LCP'!$K:$K,'BASE-LCP'!$A:$A,Capex!$A337,'BASE-LCP'!$B:$B,"setembro")/1000,IF(LEFT($A324,3)="icp",SUMIFS('BASE-ICP'!$K:$K,'BASE-ICP'!$A:$A,Capex!$A337,'BASE-ICP'!$B:$B,"setembro")/1000,"")),"")</f>
        <v>0</v>
      </c>
      <c r="CY324" s="427">
        <v>0</v>
      </c>
      <c r="CZ324" s="372"/>
      <c r="DA324" s="419"/>
      <c r="DB324" s="423">
        <f>IFERROR(IF(LEFT($A324,3)="Lcp",SUMIFS('BASE-LCP'!$K:$K,'BASE-LCP'!$A:$A,Capex!$A337,'BASE-LCP'!$B:$B,"outubro")/1000,IF(LEFT($A324,3)="icp",SUMIFS('BASE-ICP'!$K:$K,'BASE-ICP'!$A:$A,Capex!$A337,'BASE-ICP'!$B:$B,"outubro")/1000,"")),"")</f>
        <v>0</v>
      </c>
      <c r="DC324" s="427">
        <v>0</v>
      </c>
      <c r="DD324" s="372"/>
      <c r="DE324" s="419"/>
      <c r="DF324" s="423">
        <f>IFERROR(IF(LEFT($A324,3)="Lcp",SUMIFS('BASE-LCP'!$K:$K,'BASE-LCP'!$A:$A,Capex!$A337,'BASE-LCP'!$B:$B,"novembro")/1000,IF(LEFT($A324,3)="icp",SUMIFS('BASE-ICP'!$K:$K,'BASE-ICP'!$A:$A,Capex!$A337,'BASE-ICP'!$B:$B,"novembro")/1000,"")),"")</f>
        <v>0</v>
      </c>
      <c r="DG324" s="427">
        <v>0</v>
      </c>
      <c r="DH324" s="372"/>
      <c r="DI324" s="419"/>
      <c r="DJ324" s="423">
        <f>IFERROR(IF(LEFT($A324,3)="Lcp",SUMIFS('BASE-LCP'!$K:$K,'BASE-LCP'!$A:$A,Capex!$A337,'BASE-LCP'!$B:$B,"dezembro")/1000,IF(LEFT($A324,3)="icp",SUMIFS('BASE-ICP'!$K:$K,'BASE-ICP'!$A:$A,Capex!$A337,'BASE-ICP'!$B:$B,"dezembro")/1000,"")),"")</f>
        <v>0</v>
      </c>
      <c r="DK324" s="427">
        <v>0</v>
      </c>
      <c r="DL324" s="452">
        <f t="shared" si="154"/>
        <v>573</v>
      </c>
      <c r="DM324" s="374"/>
      <c r="DN324" s="374">
        <v>573</v>
      </c>
      <c r="DO324" s="374"/>
      <c r="DP324" s="374"/>
      <c r="DQ324" s="374"/>
      <c r="DR324" s="374"/>
      <c r="DS324" s="374"/>
      <c r="DT324" s="374"/>
      <c r="DU324" s="374"/>
      <c r="DV324" s="374"/>
      <c r="DW324" s="374"/>
      <c r="DX324" s="374"/>
      <c r="DY324" s="450"/>
      <c r="DZ324" s="374">
        <f t="shared" si="155"/>
        <v>573</v>
      </c>
      <c r="EA324" s="216">
        <f t="shared" si="156"/>
        <v>0</v>
      </c>
      <c r="EB324" s="320">
        <f t="shared" si="157"/>
        <v>0</v>
      </c>
      <c r="EC324" s="241">
        <f t="shared" si="158"/>
        <v>0</v>
      </c>
      <c r="ED324" s="241">
        <f t="shared" si="159"/>
        <v>0</v>
      </c>
      <c r="EE324" s="241">
        <f t="shared" si="160"/>
        <v>0</v>
      </c>
      <c r="EF324" s="241">
        <f t="shared" si="161"/>
        <v>0</v>
      </c>
      <c r="EG324" s="346">
        <f t="shared" si="162"/>
        <v>0</v>
      </c>
      <c r="EH324" s="445">
        <f t="shared" si="163"/>
        <v>0</v>
      </c>
      <c r="EI324" s="447">
        <f t="shared" si="164"/>
        <v>0</v>
      </c>
      <c r="EJ324" s="364">
        <f t="shared" si="165"/>
        <v>0</v>
      </c>
      <c r="EK324" s="365">
        <f t="shared" si="166"/>
        <v>0</v>
      </c>
      <c r="EL324" s="529">
        <f t="shared" si="167"/>
        <v>0</v>
      </c>
      <c r="EM324" s="530">
        <v>0</v>
      </c>
      <c r="EN324" s="530">
        <v>0</v>
      </c>
      <c r="EO324" s="530">
        <v>0</v>
      </c>
      <c r="EP324" s="530">
        <v>0</v>
      </c>
      <c r="EQ324" s="530">
        <v>0</v>
      </c>
      <c r="ER324" s="530">
        <v>0</v>
      </c>
      <c r="ES324" s="530">
        <v>0</v>
      </c>
      <c r="ET324" s="530">
        <v>0</v>
      </c>
      <c r="EU324" s="530">
        <v>0</v>
      </c>
      <c r="EV324" s="530">
        <v>0</v>
      </c>
      <c r="EW324" s="530">
        <v>0</v>
      </c>
      <c r="EX324" s="530">
        <v>0</v>
      </c>
      <c r="EY324" s="530">
        <f t="shared" si="168"/>
        <v>0</v>
      </c>
      <c r="EZ324" s="530">
        <f t="shared" si="169"/>
        <v>0</v>
      </c>
      <c r="FA324" s="530">
        <f t="shared" si="170"/>
        <v>0</v>
      </c>
      <c r="FB324" s="530">
        <f t="shared" si="171"/>
        <v>0</v>
      </c>
      <c r="FC324" s="384">
        <f>IFERROR(VLOOKUP(Capex!A337,BASE_558!D:R,8,FALSE)/1000,"")</f>
        <v>287.97800000000001</v>
      </c>
      <c r="FD324" s="328">
        <f>IFERROR(VLOOKUP(Capex!A337,BASE_558!D:R,9,)/1000,"")</f>
        <v>149.38930999999999</v>
      </c>
      <c r="FE324" s="328">
        <f>IFERROR(IF(LEFT(A324,3)="LCP",(VLOOKUP(Capex!A337,BASE_558!D:R,10,)/1000),SUMIFS('BASE ICP_PO_SC'!F:F,'BASE ICP_PO_SC'!A:A,Capex!A337,'BASE ICP_PO_SC'!E:E,"&lt;&gt;")/1000),"")</f>
        <v>8.8696099999999998</v>
      </c>
      <c r="FF324" s="328">
        <f>IFERROR(IF(LEFT(A324,3)="LCP",(VLOOKUP(Capex!A337,BASE_558!D:R,11,)/1000),SUMIFS('BASE ICP_PO_SC'!F:F,'BASE ICP_PO_SC'!A:A,Capex!A337,'BASE ICP_PO_SC'!E:E,"")/1000),"")</f>
        <v>0</v>
      </c>
      <c r="FG324" s="328">
        <f>IFERROR(VLOOKUP(A324,BASE_558!D:R,13,FALSE)/1000,"")</f>
        <v>0</v>
      </c>
      <c r="FH324" s="328">
        <f>IFERROR(VLOOKUP(A324,BASE_558!D:R,15,FALSE)/1000,"")</f>
        <v>673.34199999999998</v>
      </c>
      <c r="FI324" s="547">
        <f t="shared" si="172"/>
        <v>0</v>
      </c>
      <c r="FJ324" s="547">
        <f t="shared" si="173"/>
        <v>0</v>
      </c>
      <c r="FK324" s="540">
        <f t="shared" si="174"/>
        <v>0</v>
      </c>
    </row>
    <row r="325" spans="1:167" s="23" customFormat="1" ht="24" customHeight="1">
      <c r="A325" s="84" t="s">
        <v>2396</v>
      </c>
      <c r="B325" s="404"/>
      <c r="C325" s="404">
        <v>15</v>
      </c>
      <c r="D325" s="338" t="s">
        <v>3345</v>
      </c>
      <c r="E325" s="378">
        <v>7265470</v>
      </c>
      <c r="F325" s="5"/>
      <c r="G325" s="310" t="s">
        <v>9</v>
      </c>
      <c r="H325" s="356"/>
      <c r="I325" s="356" t="s">
        <v>6</v>
      </c>
      <c r="J325" s="356">
        <v>2023</v>
      </c>
      <c r="K325" s="352">
        <v>45117</v>
      </c>
      <c r="L325" s="317">
        <v>45390</v>
      </c>
      <c r="M325" s="409"/>
      <c r="N325" s="317">
        <f t="shared" si="177"/>
        <v>46029</v>
      </c>
      <c r="O325" s="317">
        <f t="shared" si="178"/>
        <v>46394</v>
      </c>
      <c r="P325" s="418" t="str">
        <f t="shared" ref="P325:AA334" si="186">IF($N325="","N/A",IF($O325="","N/A",IF(P$2&lt;=$N325,"NÃO",IF($AJ325="REL ","SIM",IF(P$2&lt;$O325,"NÃO",IF($AJ325&lt;&gt;"CLSD","SIM","CRTD"))))))</f>
        <v>NÃO</v>
      </c>
      <c r="Q325" s="418" t="str">
        <f t="shared" si="186"/>
        <v>NÃO</v>
      </c>
      <c r="R325" s="418" t="str">
        <f t="shared" si="186"/>
        <v>NÃO</v>
      </c>
      <c r="S325" s="418" t="str">
        <f t="shared" si="186"/>
        <v>NÃO</v>
      </c>
      <c r="T325" s="418" t="str">
        <f t="shared" si="186"/>
        <v>NÃO</v>
      </c>
      <c r="U325" s="418" t="str">
        <f t="shared" si="186"/>
        <v>NÃO</v>
      </c>
      <c r="V325" s="418" t="str">
        <f t="shared" si="186"/>
        <v>NÃO</v>
      </c>
      <c r="W325" s="418" t="str">
        <f t="shared" si="186"/>
        <v>NÃO</v>
      </c>
      <c r="X325" s="418" t="str">
        <f t="shared" si="186"/>
        <v>NÃO</v>
      </c>
      <c r="Y325" s="418" t="str">
        <f t="shared" si="186"/>
        <v>NÃO</v>
      </c>
      <c r="Z325" s="418" t="str">
        <f t="shared" si="186"/>
        <v>NÃO</v>
      </c>
      <c r="AA325" s="418" t="str">
        <f t="shared" si="186"/>
        <v>NÃO</v>
      </c>
      <c r="AB325" s="350"/>
      <c r="AC325" s="309" t="s">
        <v>3932</v>
      </c>
      <c r="AD325" s="311" t="s">
        <v>5</v>
      </c>
      <c r="AE325" s="361" t="s">
        <v>951</v>
      </c>
      <c r="AF325" s="310" t="s">
        <v>6985</v>
      </c>
      <c r="AG325" s="310" t="s">
        <v>2186</v>
      </c>
      <c r="AH325" s="310" t="s">
        <v>2397</v>
      </c>
      <c r="AI325" s="309" t="s">
        <v>2255</v>
      </c>
      <c r="AJ325" s="6" t="s">
        <v>218</v>
      </c>
      <c r="AK325" s="6" t="str">
        <f t="shared" ref="AK325:AK388" si="187">IF(AJ325&lt;&gt;AM325,"DIFERENTE","IGUAL")</f>
        <v>IGUAL</v>
      </c>
      <c r="AL325" s="151" t="str">
        <f>IFERROR(IF(LEFT(A325,3)="LCP",VLOOKUP(A325,STATUS_SAP_LCP!B:C,2,FALSE),VLOOKUP(A325,STATUS_SAP_ICP!B:C,2,FALSE)),"NO BUDGET")</f>
        <v>CLSD BUDG AUC  AVAC  //  APPR BREL EXPL</v>
      </c>
      <c r="AM325" s="6" t="str">
        <f t="shared" si="185"/>
        <v>CLSD</v>
      </c>
      <c r="AN325" s="414" t="s">
        <v>2651</v>
      </c>
      <c r="AO325" s="558">
        <v>1</v>
      </c>
      <c r="AP325" s="499" t="s">
        <v>9607</v>
      </c>
      <c r="AQ325" s="465">
        <v>45390</v>
      </c>
      <c r="AR325" s="460"/>
      <c r="AS325" s="57"/>
      <c r="AT325" s="185"/>
      <c r="AU325" s="318"/>
      <c r="AV325" s="223"/>
      <c r="AW325" s="318">
        <v>54.925149999999995</v>
      </c>
      <c r="AX325" s="223">
        <v>0</v>
      </c>
      <c r="AY325" s="318">
        <f t="shared" si="179"/>
        <v>0</v>
      </c>
      <c r="AZ325" s="223"/>
      <c r="BA325" s="318"/>
      <c r="BB325" s="519">
        <f t="shared" si="180"/>
        <v>0</v>
      </c>
      <c r="BC325" s="518">
        <v>0</v>
      </c>
      <c r="BD325" s="518">
        <v>0</v>
      </c>
      <c r="BE325" s="518">
        <v>0</v>
      </c>
      <c r="BF325" s="518">
        <v>0</v>
      </c>
      <c r="BG325" s="518">
        <v>0</v>
      </c>
      <c r="BH325" s="518">
        <v>0</v>
      </c>
      <c r="BI325" s="518">
        <v>0</v>
      </c>
      <c r="BJ325" s="518">
        <v>0</v>
      </c>
      <c r="BK325" s="518">
        <v>0</v>
      </c>
      <c r="BL325" s="518">
        <v>0</v>
      </c>
      <c r="BM325" s="518">
        <v>0</v>
      </c>
      <c r="BN325" s="518">
        <v>0</v>
      </c>
      <c r="BO325" s="367">
        <f t="shared" ref="BO325:BO388" si="188">SUM(BS325,BW325,CA325,CE325,CI325,CM325,CQ325,CU325,CY325,DC325,DG325,DK325)</f>
        <v>0</v>
      </c>
      <c r="BP325" s="421">
        <v>0</v>
      </c>
      <c r="BQ325" s="422"/>
      <c r="BR325" s="423">
        <f>IFERROR(IF(LEFT($A325,3)="Lcp",SUMIFS('BASE-LCP'!$K:$K,'BASE-LCP'!$A:$A,Capex!$A338,'BASE-LCP'!$B:$B,"janeiro")/1000,IF(LEFT($A325,3)="icp",SUMIFS('BASE-ICP'!$K:$K,'BASE-ICP'!$A:$A,Capex!$A338,'BASE-ICP'!$B:$B,"janeiro")/1000,"")),"")</f>
        <v>7.1372199999999992</v>
      </c>
      <c r="BS325" s="427">
        <v>0</v>
      </c>
      <c r="BT325" s="372">
        <v>0</v>
      </c>
      <c r="BU325" s="422"/>
      <c r="BV325" s="423">
        <f>IFERROR(IF(LEFT($A325,3)="Lcp",SUMIFS('BASE-LCP'!$K:$K,'BASE-LCP'!$A:$A,Capex!$A338,'BASE-LCP'!$B:$B,"fevereiro")/1000,IF(LEFT($A325,3)="icp",SUMIFS('BASE-ICP'!$K:$K,'BASE-ICP'!$A:$A,Capex!$A338,'BASE-ICP'!$B:$B,"fevereiro")/1000,"")),"")</f>
        <v>10.881339999999998</v>
      </c>
      <c r="BW325" s="427">
        <v>0</v>
      </c>
      <c r="BX325" s="372">
        <v>0</v>
      </c>
      <c r="BY325" s="419"/>
      <c r="BZ325" s="423">
        <f>IFERROR(IF(LEFT($A325,3)="Lcp",SUMIFS('BASE-LCP'!$K:$K,'BASE-LCP'!$A:$A,Capex!$A338,'BASE-LCP'!$B:$B,"março")/1000,IF(LEFT($A325,3)="icp",SUMIFS('BASE-ICP'!$K:$K,'BASE-ICP'!$A:$A,Capex!$A338,'BASE-ICP'!$B:$B,"março")/1000,"")),"")</f>
        <v>15.204859999999998</v>
      </c>
      <c r="CA325" s="427">
        <v>0</v>
      </c>
      <c r="CB325" s="372">
        <v>0</v>
      </c>
      <c r="CC325" s="422"/>
      <c r="CD325" s="423">
        <f>IFERROR(IF(LEFT($A325,3)="Lcp",SUMIFS('BASE-LCP'!$K:$K,'BASE-LCP'!$A:$A,Capex!$A338,'BASE-LCP'!$B:$B,"abril")/1000,IF(LEFT($A325,3)="icp",SUMIFS('BASE-ICP'!$K:$K,'BASE-ICP'!$A:$A,Capex!$A338,'BASE-ICP'!$B:$B,"abril")/1000,"")),"")</f>
        <v>0</v>
      </c>
      <c r="CE325" s="427">
        <v>0</v>
      </c>
      <c r="CF325" s="372">
        <v>0</v>
      </c>
      <c r="CG325" s="419"/>
      <c r="CH325" s="423">
        <v>0</v>
      </c>
      <c r="CI325" s="427">
        <v>0</v>
      </c>
      <c r="CJ325" s="372">
        <v>0</v>
      </c>
      <c r="CK325" s="419"/>
      <c r="CL325" s="423">
        <f>IFERROR(IF(LEFT($A325,3)="Lcp",SUMIFS('BASE-LCP'!$K:$K,'BASE-LCP'!$A:$A,Capex!$A338,'BASE-LCP'!$B:$B,"junho")/1000,IF(LEFT($A325,3)="icp",SUMIFS('BASE-ICP'!$K:$K,'BASE-ICP'!$A:$A,Capex!$A338,'BASE-ICP'!$B:$B,"junho")/1000,"")),"")</f>
        <v>0</v>
      </c>
      <c r="CM325" s="427">
        <v>0</v>
      </c>
      <c r="CN325" s="372"/>
      <c r="CO325" s="419"/>
      <c r="CP325" s="423">
        <f>IFERROR(IF(LEFT($A325,3)="Lcp",SUMIFS('BASE-LCP'!$K:$K,'BASE-LCP'!$A:$A,Capex!$A338,'BASE-LCP'!$B:$B,"julho")/1000,IF(LEFT($A325,3)="icp",SUMIFS('BASE-ICP'!$K:$K,'BASE-ICP'!$A:$A,Capex!$A338,'BASE-ICP'!$B:$B,"julho")/1000,"")),"")</f>
        <v>0</v>
      </c>
      <c r="CQ325" s="427">
        <v>0</v>
      </c>
      <c r="CR325" s="372"/>
      <c r="CS325" s="419"/>
      <c r="CT325" s="423">
        <f>IFERROR(IF(LEFT($A325,3)="Lcp",SUMIFS('BASE-LCP'!$K:$K,'BASE-LCP'!$A:$A,Capex!$A338,'BASE-LCP'!$B:$B,"agosto")/1000,IF(LEFT($A325,3)="icp",SUMIFS('BASE-ICP'!$K:$K,'BASE-ICP'!$A:$A,Capex!$A338,'BASE-ICP'!$B:$B,"agosto")/1000,"")),"")</f>
        <v>0</v>
      </c>
      <c r="CU325" s="427">
        <v>0</v>
      </c>
      <c r="CV325" s="372"/>
      <c r="CW325" s="419"/>
      <c r="CX325" s="423">
        <f>IFERROR(IF(LEFT($A325,3)="Lcp",SUMIFS('BASE-LCP'!$K:$K,'BASE-LCP'!$A:$A,Capex!$A338,'BASE-LCP'!$B:$B,"setembro")/1000,IF(LEFT($A325,3)="icp",SUMIFS('BASE-ICP'!$K:$K,'BASE-ICP'!$A:$A,Capex!$A338,'BASE-ICP'!$B:$B,"setembro")/1000,"")),"")</f>
        <v>0</v>
      </c>
      <c r="CY325" s="427">
        <v>0</v>
      </c>
      <c r="CZ325" s="372"/>
      <c r="DA325" s="419"/>
      <c r="DB325" s="423">
        <f>IFERROR(IF(LEFT($A325,3)="Lcp",SUMIFS('BASE-LCP'!$K:$K,'BASE-LCP'!$A:$A,Capex!$A338,'BASE-LCP'!$B:$B,"outubro")/1000,IF(LEFT($A325,3)="icp",SUMIFS('BASE-ICP'!$K:$K,'BASE-ICP'!$A:$A,Capex!$A338,'BASE-ICP'!$B:$B,"outubro")/1000,"")),"")</f>
        <v>0</v>
      </c>
      <c r="DC325" s="427">
        <v>0</v>
      </c>
      <c r="DD325" s="372"/>
      <c r="DE325" s="419"/>
      <c r="DF325" s="423">
        <f>IFERROR(IF(LEFT($A325,3)="Lcp",SUMIFS('BASE-LCP'!$K:$K,'BASE-LCP'!$A:$A,Capex!$A338,'BASE-LCP'!$B:$B,"novembro")/1000,IF(LEFT($A325,3)="icp",SUMIFS('BASE-ICP'!$K:$K,'BASE-ICP'!$A:$A,Capex!$A338,'BASE-ICP'!$B:$B,"novembro")/1000,"")),"")</f>
        <v>0</v>
      </c>
      <c r="DG325" s="427">
        <v>0</v>
      </c>
      <c r="DH325" s="372"/>
      <c r="DI325" s="419"/>
      <c r="DJ325" s="423">
        <f>IFERROR(IF(LEFT($A325,3)="Lcp",SUMIFS('BASE-LCP'!$K:$K,'BASE-LCP'!$A:$A,Capex!$A338,'BASE-LCP'!$B:$B,"dezembro")/1000,IF(LEFT($A325,3)="icp",SUMIFS('BASE-ICP'!$K:$K,'BASE-ICP'!$A:$A,Capex!$A338,'BASE-ICP'!$B:$B,"dezembro")/1000,"")),"")</f>
        <v>0</v>
      </c>
      <c r="DK325" s="427">
        <v>0</v>
      </c>
      <c r="DL325" s="452">
        <f t="shared" ref="DL325:DL388" si="189">SUM(DM325:DX325)</f>
        <v>0</v>
      </c>
      <c r="DM325" s="374"/>
      <c r="DN325" s="374">
        <v>0</v>
      </c>
      <c r="DO325" s="374"/>
      <c r="DP325" s="374"/>
      <c r="DQ325" s="374"/>
      <c r="DR325" s="374"/>
      <c r="DS325" s="374"/>
      <c r="DT325" s="374"/>
      <c r="DU325" s="374"/>
      <c r="DV325" s="374"/>
      <c r="DW325" s="374"/>
      <c r="DX325" s="374"/>
      <c r="DY325" s="450"/>
      <c r="DZ325" s="374">
        <f t="shared" ref="DZ325:DZ388" si="190">SUM(DL325,DY325)</f>
        <v>0</v>
      </c>
      <c r="EA325" s="216">
        <f t="shared" ref="EA325:EA388" si="191">CM325-CJ325</f>
        <v>0</v>
      </c>
      <c r="EB325" s="320">
        <f t="shared" ref="EB325:EB388" si="192">CL325-CM325</f>
        <v>0</v>
      </c>
      <c r="EC325" s="241">
        <f t="shared" ref="EC325:EC388" si="193">SUM(BS325,BW325,CA325)</f>
        <v>0</v>
      </c>
      <c r="ED325" s="241">
        <f t="shared" ref="ED325:ED388" si="194">SUM(CE325,CI325,CM325)</f>
        <v>0</v>
      </c>
      <c r="EE325" s="241">
        <f t="shared" ref="EE325:EE388" si="195">SUM(CQ325,CU325,CY325)</f>
        <v>0</v>
      </c>
      <c r="EF325" s="241">
        <f t="shared" ref="EF325:EF388" si="196">SUM(DC325,DG325,DK325)</f>
        <v>0</v>
      </c>
      <c r="EG325" s="346">
        <f t="shared" ref="EG325:EG388" si="197">BO325-BB325</f>
        <v>0</v>
      </c>
      <c r="EH325" s="445">
        <f t="shared" ref="EH325:EH388" si="198">CF325</f>
        <v>0</v>
      </c>
      <c r="EI325" s="447">
        <f t="shared" ref="EI325:EI388" si="199">CH325</f>
        <v>0</v>
      </c>
      <c r="EJ325" s="364">
        <f t="shared" ref="EJ325:EJ388" si="200">SUM(BS325,BW325,CA325,CE325,CI325,CL325)</f>
        <v>0</v>
      </c>
      <c r="EK325" s="365">
        <f t="shared" ref="EK325:EK388" si="201">BO325-EJ325</f>
        <v>0</v>
      </c>
      <c r="EL325" s="529">
        <f t="shared" ref="EL325:EL388" si="202">SUM(EM325:EX325)</f>
        <v>0</v>
      </c>
      <c r="EM325" s="530">
        <v>0</v>
      </c>
      <c r="EN325" s="530">
        <v>0</v>
      </c>
      <c r="EO325" s="530">
        <v>0</v>
      </c>
      <c r="EP325" s="530">
        <v>0</v>
      </c>
      <c r="EQ325" s="530">
        <v>0</v>
      </c>
      <c r="ER325" s="530">
        <v>0</v>
      </c>
      <c r="ES325" s="530">
        <v>0</v>
      </c>
      <c r="ET325" s="530">
        <v>0</v>
      </c>
      <c r="EU325" s="530">
        <v>0</v>
      </c>
      <c r="EV325" s="530">
        <v>0</v>
      </c>
      <c r="EW325" s="530">
        <v>0</v>
      </c>
      <c r="EX325" s="530">
        <v>0</v>
      </c>
      <c r="EY325" s="530">
        <f t="shared" ref="EY325:EY388" si="203">SUM(EM325:EO325)</f>
        <v>0</v>
      </c>
      <c r="EZ325" s="530">
        <f t="shared" ref="EZ325:EZ388" si="204">SUM(EP325:ER325)</f>
        <v>0</v>
      </c>
      <c r="FA325" s="530">
        <f t="shared" ref="FA325:FA388" si="205">SUM(ES325:EU325)</f>
        <v>0</v>
      </c>
      <c r="FB325" s="530">
        <f t="shared" ref="FB325:FB388" si="206">SUM(EV325:EX325)</f>
        <v>0</v>
      </c>
      <c r="FC325" s="384">
        <f>IFERROR(VLOOKUP(Capex!A338,BASE_558!D:R,8,FALSE)/1000,"")</f>
        <v>383</v>
      </c>
      <c r="FD325" s="328">
        <f>IFERROR(VLOOKUP(Capex!A338,BASE_558!D:R,9,)/1000,"")</f>
        <v>121.85301</v>
      </c>
      <c r="FE325" s="328">
        <f>IFERROR(IF(LEFT(A325,3)="LCP",(VLOOKUP(Capex!A338,BASE_558!D:R,10,)/1000),SUMIFS('BASE ICP_PO_SC'!F:F,'BASE ICP_PO_SC'!A:A,Capex!A338,'BASE ICP_PO_SC'!E:E,"&lt;&gt;")/1000),"")</f>
        <v>0</v>
      </c>
      <c r="FF325" s="328">
        <f>IFERROR(IF(LEFT(A325,3)="LCP",(VLOOKUP(Capex!A338,BASE_558!D:R,11,)/1000),SUMIFS('BASE ICP_PO_SC'!F:F,'BASE ICP_PO_SC'!A:A,Capex!A338,'BASE ICP_PO_SC'!E:E,"")/1000),"")</f>
        <v>0</v>
      </c>
      <c r="FG325" s="328">
        <f>IFERROR(VLOOKUP(A325,BASE_558!D:R,13,FALSE)/1000,"")</f>
        <v>54.925150000000002</v>
      </c>
      <c r="FH325" s="328">
        <f>IFERROR(VLOOKUP(A325,BASE_558!D:R,15,FALSE)/1000,"")</f>
        <v>103.76343</v>
      </c>
      <c r="FI325" s="547">
        <f t="shared" ref="FI325:FI388" si="207">EZ325-ED325</f>
        <v>0</v>
      </c>
      <c r="FJ325" s="547">
        <f t="shared" ref="FJ325:FJ388" si="208">FA325-EE325</f>
        <v>0</v>
      </c>
      <c r="FK325" s="540">
        <f t="shared" ref="FK325:FK388" si="209">FB325-EF325</f>
        <v>0</v>
      </c>
    </row>
    <row r="326" spans="1:167" s="23" customFormat="1" ht="24.75" customHeight="1">
      <c r="A326" s="84" t="s">
        <v>2398</v>
      </c>
      <c r="B326" s="404"/>
      <c r="C326" s="404">
        <v>14</v>
      </c>
      <c r="D326" s="338" t="s">
        <v>2680</v>
      </c>
      <c r="E326" s="378">
        <v>7269512</v>
      </c>
      <c r="F326" s="5"/>
      <c r="G326" s="310" t="s">
        <v>9</v>
      </c>
      <c r="H326" s="521"/>
      <c r="I326" s="356" t="s">
        <v>6</v>
      </c>
      <c r="J326" s="356">
        <v>2023</v>
      </c>
      <c r="K326" s="352">
        <v>45113</v>
      </c>
      <c r="L326" s="317">
        <v>45412</v>
      </c>
      <c r="M326" s="409"/>
      <c r="N326" s="317">
        <f t="shared" si="177"/>
        <v>46025</v>
      </c>
      <c r="O326" s="317">
        <f t="shared" si="178"/>
        <v>46390</v>
      </c>
      <c r="P326" s="418" t="str">
        <f t="shared" si="186"/>
        <v>NÃO</v>
      </c>
      <c r="Q326" s="418" t="str">
        <f t="shared" si="186"/>
        <v>NÃO</v>
      </c>
      <c r="R326" s="418" t="str">
        <f t="shared" si="186"/>
        <v>NÃO</v>
      </c>
      <c r="S326" s="418" t="str">
        <f t="shared" si="186"/>
        <v>NÃO</v>
      </c>
      <c r="T326" s="418" t="str">
        <f t="shared" si="186"/>
        <v>NÃO</v>
      </c>
      <c r="U326" s="418" t="str">
        <f t="shared" si="186"/>
        <v>NÃO</v>
      </c>
      <c r="V326" s="418" t="str">
        <f t="shared" si="186"/>
        <v>NÃO</v>
      </c>
      <c r="W326" s="418" t="str">
        <f t="shared" si="186"/>
        <v>NÃO</v>
      </c>
      <c r="X326" s="418" t="str">
        <f t="shared" si="186"/>
        <v>NÃO</v>
      </c>
      <c r="Y326" s="418" t="str">
        <f t="shared" si="186"/>
        <v>NÃO</v>
      </c>
      <c r="Z326" s="418" t="str">
        <f t="shared" si="186"/>
        <v>NÃO</v>
      </c>
      <c r="AA326" s="418" t="str">
        <f t="shared" si="186"/>
        <v>NÃO</v>
      </c>
      <c r="AB326" s="350"/>
      <c r="AC326" s="309" t="s">
        <v>3932</v>
      </c>
      <c r="AD326" s="311" t="s">
        <v>5</v>
      </c>
      <c r="AE326" s="361" t="s">
        <v>951</v>
      </c>
      <c r="AF326" s="310" t="s">
        <v>6985</v>
      </c>
      <c r="AG326" s="310" t="s">
        <v>704</v>
      </c>
      <c r="AH326" s="310" t="s">
        <v>2399</v>
      </c>
      <c r="AI326" s="381" t="s">
        <v>2255</v>
      </c>
      <c r="AJ326" s="6" t="s">
        <v>218</v>
      </c>
      <c r="AK326" s="6" t="str">
        <f t="shared" si="187"/>
        <v>IGUAL</v>
      </c>
      <c r="AL326" s="151" t="str">
        <f>IFERROR(IF(LEFT(A326,3)="LCP",VLOOKUP(A326,STATUS_SAP_LCP!B:C,2,FALSE),VLOOKUP(A326,STATUS_SAP_ICP!B:C,2,FALSE)),"NO BUDGET")</f>
        <v>CLSD BUDG AUC  AVAC  //  APPR BREL EXPL</v>
      </c>
      <c r="AM326" s="6" t="str">
        <f t="shared" si="185"/>
        <v>CLSD</v>
      </c>
      <c r="AN326" s="282" t="s">
        <v>2651</v>
      </c>
      <c r="AO326" s="493">
        <v>1</v>
      </c>
      <c r="AP326" s="499" t="s">
        <v>9607</v>
      </c>
      <c r="AQ326" s="465">
        <v>45412</v>
      </c>
      <c r="AR326" s="460"/>
      <c r="AS326" s="57"/>
      <c r="AT326" s="185"/>
      <c r="AU326" s="318"/>
      <c r="AV326" s="223"/>
      <c r="AW326" s="318">
        <v>252.02437</v>
      </c>
      <c r="AX326" s="223">
        <v>0</v>
      </c>
      <c r="AY326" s="318">
        <f t="shared" si="179"/>
        <v>0</v>
      </c>
      <c r="AZ326" s="223"/>
      <c r="BA326" s="318"/>
      <c r="BB326" s="519">
        <f t="shared" si="180"/>
        <v>0</v>
      </c>
      <c r="BC326" s="518">
        <v>0</v>
      </c>
      <c r="BD326" s="518">
        <v>0</v>
      </c>
      <c r="BE326" s="518">
        <v>0</v>
      </c>
      <c r="BF326" s="518">
        <v>0</v>
      </c>
      <c r="BG326" s="518">
        <v>0</v>
      </c>
      <c r="BH326" s="518">
        <v>0</v>
      </c>
      <c r="BI326" s="518">
        <v>0</v>
      </c>
      <c r="BJ326" s="518">
        <v>0</v>
      </c>
      <c r="BK326" s="518">
        <v>0</v>
      </c>
      <c r="BL326" s="518">
        <v>0</v>
      </c>
      <c r="BM326" s="518">
        <v>0</v>
      </c>
      <c r="BN326" s="518">
        <v>0</v>
      </c>
      <c r="BO326" s="367">
        <f t="shared" si="188"/>
        <v>0</v>
      </c>
      <c r="BP326" s="421">
        <v>0</v>
      </c>
      <c r="BQ326" s="422"/>
      <c r="BR326" s="423">
        <f>IFERROR(IF(LEFT($A326,3)="Lcp",SUMIFS('BASE-LCP'!$K:$K,'BASE-LCP'!$A:$A,Capex!$A339,'BASE-LCP'!$B:$B,"janeiro")/1000,IF(LEFT($A326,3)="icp",SUMIFS('BASE-ICP'!$K:$K,'BASE-ICP'!$A:$A,Capex!$A339,'BASE-ICP'!$B:$B,"janeiro")/1000,"")),"")</f>
        <v>0</v>
      </c>
      <c r="BS326" s="427">
        <v>0</v>
      </c>
      <c r="BT326" s="372">
        <v>0</v>
      </c>
      <c r="BU326" s="422"/>
      <c r="BV326" s="423">
        <f>IFERROR(IF(LEFT($A326,3)="Lcp",SUMIFS('BASE-LCP'!$K:$K,'BASE-LCP'!$A:$A,Capex!$A339,'BASE-LCP'!$B:$B,"fevereiro")/1000,IF(LEFT($A326,3)="icp",SUMIFS('BASE-ICP'!$K:$K,'BASE-ICP'!$A:$A,Capex!$A339,'BASE-ICP'!$B:$B,"fevereiro")/1000,"")),"")</f>
        <v>0</v>
      </c>
      <c r="BW326" s="427">
        <v>0</v>
      </c>
      <c r="BX326" s="372">
        <v>0</v>
      </c>
      <c r="BY326" s="419"/>
      <c r="BZ326" s="423">
        <f>IFERROR(IF(LEFT($A326,3)="Lcp",SUMIFS('BASE-LCP'!$K:$K,'BASE-LCP'!$A:$A,Capex!$A339,'BASE-LCP'!$B:$B,"março")/1000,IF(LEFT($A326,3)="icp",SUMIFS('BASE-ICP'!$K:$K,'BASE-ICP'!$A:$A,Capex!$A339,'BASE-ICP'!$B:$B,"março")/1000,"")),"")</f>
        <v>0</v>
      </c>
      <c r="CA326" s="427">
        <v>0</v>
      </c>
      <c r="CB326" s="372">
        <v>0</v>
      </c>
      <c r="CC326" s="422"/>
      <c r="CD326" s="423">
        <f>IFERROR(IF(LEFT($A326,3)="Lcp",SUMIFS('BASE-LCP'!$K:$K,'BASE-LCP'!$A:$A,Capex!$A339,'BASE-LCP'!$B:$B,"abril")/1000,IF(LEFT($A326,3)="icp",SUMIFS('BASE-ICP'!$K:$K,'BASE-ICP'!$A:$A,Capex!$A339,'BASE-ICP'!$B:$B,"abril")/1000,"")),"")</f>
        <v>0</v>
      </c>
      <c r="CE326" s="427">
        <v>0</v>
      </c>
      <c r="CF326" s="372">
        <v>0</v>
      </c>
      <c r="CG326" s="419"/>
      <c r="CH326" s="423">
        <v>0</v>
      </c>
      <c r="CI326" s="427">
        <v>0</v>
      </c>
      <c r="CJ326" s="372">
        <v>0</v>
      </c>
      <c r="CK326" s="419"/>
      <c r="CL326" s="423">
        <f>IFERROR(IF(LEFT($A326,3)="Lcp",SUMIFS('BASE-LCP'!$K:$K,'BASE-LCP'!$A:$A,Capex!$A339,'BASE-LCP'!$B:$B,"junho")/1000,IF(LEFT($A326,3)="icp",SUMIFS('BASE-ICP'!$K:$K,'BASE-ICP'!$A:$A,Capex!$A339,'BASE-ICP'!$B:$B,"junho")/1000,"")),"")</f>
        <v>0</v>
      </c>
      <c r="CM326" s="427">
        <v>0</v>
      </c>
      <c r="CN326" s="372"/>
      <c r="CO326" s="419"/>
      <c r="CP326" s="423">
        <f>IFERROR(IF(LEFT($A326,3)="Lcp",SUMIFS('BASE-LCP'!$K:$K,'BASE-LCP'!$A:$A,Capex!$A339,'BASE-LCP'!$B:$B,"julho")/1000,IF(LEFT($A326,3)="icp",SUMIFS('BASE-ICP'!$K:$K,'BASE-ICP'!$A:$A,Capex!$A339,'BASE-ICP'!$B:$B,"julho")/1000,"")),"")</f>
        <v>0</v>
      </c>
      <c r="CQ326" s="427">
        <v>0</v>
      </c>
      <c r="CR326" s="372"/>
      <c r="CS326" s="419"/>
      <c r="CT326" s="423">
        <f>IFERROR(IF(LEFT($A326,3)="Lcp",SUMIFS('BASE-LCP'!$K:$K,'BASE-LCP'!$A:$A,Capex!$A339,'BASE-LCP'!$B:$B,"agosto")/1000,IF(LEFT($A326,3)="icp",SUMIFS('BASE-ICP'!$K:$K,'BASE-ICP'!$A:$A,Capex!$A339,'BASE-ICP'!$B:$B,"agosto")/1000,"")),"")</f>
        <v>0</v>
      </c>
      <c r="CU326" s="427">
        <v>0</v>
      </c>
      <c r="CV326" s="372"/>
      <c r="CW326" s="419"/>
      <c r="CX326" s="423">
        <f>IFERROR(IF(LEFT($A326,3)="Lcp",SUMIFS('BASE-LCP'!$K:$K,'BASE-LCP'!$A:$A,Capex!$A339,'BASE-LCP'!$B:$B,"setembro")/1000,IF(LEFT($A326,3)="icp",SUMIFS('BASE-ICP'!$K:$K,'BASE-ICP'!$A:$A,Capex!$A339,'BASE-ICP'!$B:$B,"setembro")/1000,"")),"")</f>
        <v>0</v>
      </c>
      <c r="CY326" s="427">
        <v>0</v>
      </c>
      <c r="CZ326" s="372"/>
      <c r="DA326" s="419"/>
      <c r="DB326" s="423">
        <f>IFERROR(IF(LEFT($A326,3)="Lcp",SUMIFS('BASE-LCP'!$K:$K,'BASE-LCP'!$A:$A,Capex!$A339,'BASE-LCP'!$B:$B,"outubro")/1000,IF(LEFT($A326,3)="icp",SUMIFS('BASE-ICP'!$K:$K,'BASE-ICP'!$A:$A,Capex!$A339,'BASE-ICP'!$B:$B,"outubro")/1000,"")),"")</f>
        <v>0</v>
      </c>
      <c r="DC326" s="427">
        <v>0</v>
      </c>
      <c r="DD326" s="372"/>
      <c r="DE326" s="419"/>
      <c r="DF326" s="423">
        <f>IFERROR(IF(LEFT($A326,3)="Lcp",SUMIFS('BASE-LCP'!$K:$K,'BASE-LCP'!$A:$A,Capex!$A339,'BASE-LCP'!$B:$B,"novembro")/1000,IF(LEFT($A326,3)="icp",SUMIFS('BASE-ICP'!$K:$K,'BASE-ICP'!$A:$A,Capex!$A339,'BASE-ICP'!$B:$B,"novembro")/1000,"")),"")</f>
        <v>0</v>
      </c>
      <c r="DG326" s="427">
        <v>0</v>
      </c>
      <c r="DH326" s="372"/>
      <c r="DI326" s="419"/>
      <c r="DJ326" s="423">
        <f>IFERROR(IF(LEFT($A326,3)="Lcp",SUMIFS('BASE-LCP'!$K:$K,'BASE-LCP'!$A:$A,Capex!$A339,'BASE-LCP'!$B:$B,"dezembro")/1000,IF(LEFT($A326,3)="icp",SUMIFS('BASE-ICP'!$K:$K,'BASE-ICP'!$A:$A,Capex!$A339,'BASE-ICP'!$B:$B,"dezembro")/1000,"")),"")</f>
        <v>0</v>
      </c>
      <c r="DK326" s="427">
        <v>0</v>
      </c>
      <c r="DL326" s="452">
        <f t="shared" si="189"/>
        <v>0</v>
      </c>
      <c r="DM326" s="374"/>
      <c r="DN326" s="374">
        <v>0</v>
      </c>
      <c r="DO326" s="374"/>
      <c r="DP326" s="374"/>
      <c r="DQ326" s="374"/>
      <c r="DR326" s="374"/>
      <c r="DS326" s="374"/>
      <c r="DT326" s="374"/>
      <c r="DU326" s="374"/>
      <c r="DV326" s="374"/>
      <c r="DW326" s="374"/>
      <c r="DX326" s="374"/>
      <c r="DY326" s="450"/>
      <c r="DZ326" s="374">
        <f t="shared" si="190"/>
        <v>0</v>
      </c>
      <c r="EA326" s="216">
        <f t="shared" si="191"/>
        <v>0</v>
      </c>
      <c r="EB326" s="320">
        <f t="shared" si="192"/>
        <v>0</v>
      </c>
      <c r="EC326" s="241">
        <f t="shared" si="193"/>
        <v>0</v>
      </c>
      <c r="ED326" s="241">
        <f t="shared" si="194"/>
        <v>0</v>
      </c>
      <c r="EE326" s="241">
        <f t="shared" si="195"/>
        <v>0</v>
      </c>
      <c r="EF326" s="241">
        <f t="shared" si="196"/>
        <v>0</v>
      </c>
      <c r="EG326" s="346">
        <f t="shared" si="197"/>
        <v>0</v>
      </c>
      <c r="EH326" s="445">
        <f t="shared" si="198"/>
        <v>0</v>
      </c>
      <c r="EI326" s="447">
        <f t="shared" si="199"/>
        <v>0</v>
      </c>
      <c r="EJ326" s="364">
        <f t="shared" si="200"/>
        <v>0</v>
      </c>
      <c r="EK326" s="365">
        <f t="shared" si="201"/>
        <v>0</v>
      </c>
      <c r="EL326" s="529">
        <f t="shared" si="202"/>
        <v>0</v>
      </c>
      <c r="EM326" s="530">
        <v>0</v>
      </c>
      <c r="EN326" s="530">
        <v>0</v>
      </c>
      <c r="EO326" s="530">
        <v>0</v>
      </c>
      <c r="EP326" s="530">
        <v>0</v>
      </c>
      <c r="EQ326" s="530">
        <v>0</v>
      </c>
      <c r="ER326" s="530">
        <v>0</v>
      </c>
      <c r="ES326" s="530">
        <v>0</v>
      </c>
      <c r="ET326" s="530">
        <v>0</v>
      </c>
      <c r="EU326" s="530">
        <v>0</v>
      </c>
      <c r="EV326" s="530">
        <v>0</v>
      </c>
      <c r="EW326" s="530">
        <v>0</v>
      </c>
      <c r="EX326" s="530">
        <v>0</v>
      </c>
      <c r="EY326" s="530">
        <f t="shared" si="203"/>
        <v>0</v>
      </c>
      <c r="EZ326" s="530">
        <f t="shared" si="204"/>
        <v>0</v>
      </c>
      <c r="FA326" s="530">
        <f t="shared" si="205"/>
        <v>0</v>
      </c>
      <c r="FB326" s="530">
        <f t="shared" si="206"/>
        <v>0</v>
      </c>
      <c r="FC326" s="384">
        <f>IFERROR(VLOOKUP(Capex!A339,BASE_558!D:R,8,FALSE)/1000,"")</f>
        <v>239.107</v>
      </c>
      <c r="FD326" s="328">
        <f>IFERROR(VLOOKUP(Capex!A339,BASE_558!D:R,9,)/1000,"")</f>
        <v>0</v>
      </c>
      <c r="FE326" s="328">
        <f>IFERROR(IF(LEFT(A326,3)="LCP",(VLOOKUP(Capex!A339,BASE_558!D:R,10,)/1000),SUMIFS('BASE ICP_PO_SC'!F:F,'BASE ICP_PO_SC'!A:A,Capex!A339,'BASE ICP_PO_SC'!E:E,"&lt;&gt;")/1000),"")</f>
        <v>0</v>
      </c>
      <c r="FF326" s="328">
        <f>IFERROR(IF(LEFT(A326,3)="LCP",(VLOOKUP(Capex!A339,BASE_558!D:R,11,)/1000),SUMIFS('BASE ICP_PO_SC'!F:F,'BASE ICP_PO_SC'!A:A,Capex!A339,'BASE ICP_PO_SC'!E:E,"")/1000),"")</f>
        <v>130.16327999999999</v>
      </c>
      <c r="FG326" s="328">
        <f>IFERROR(VLOOKUP(A326,BASE_558!D:R,13,FALSE)/1000,"")</f>
        <v>252.02437</v>
      </c>
      <c r="FH326" s="328">
        <f>IFERROR(VLOOKUP(A326,BASE_558!D:R,15,FALSE)/1000,"")</f>
        <v>62.274629999999995</v>
      </c>
      <c r="FI326" s="547">
        <f t="shared" si="207"/>
        <v>0</v>
      </c>
      <c r="FJ326" s="547">
        <f t="shared" si="208"/>
        <v>0</v>
      </c>
      <c r="FK326" s="540">
        <f t="shared" si="209"/>
        <v>0</v>
      </c>
    </row>
    <row r="327" spans="1:167" s="23" customFormat="1" ht="24" customHeight="1">
      <c r="A327" s="84" t="s">
        <v>2400</v>
      </c>
      <c r="B327" s="404"/>
      <c r="C327" s="404"/>
      <c r="D327" s="338" t="s">
        <v>2715</v>
      </c>
      <c r="E327" s="378"/>
      <c r="F327" s="5"/>
      <c r="G327" s="310" t="s">
        <v>9</v>
      </c>
      <c r="H327" s="356" t="s">
        <v>6</v>
      </c>
      <c r="I327" s="356" t="s">
        <v>6</v>
      </c>
      <c r="J327" s="356">
        <v>2023</v>
      </c>
      <c r="K327" s="352">
        <v>45124</v>
      </c>
      <c r="L327" s="317">
        <v>45622</v>
      </c>
      <c r="M327" s="409"/>
      <c r="N327" s="317">
        <f t="shared" si="177"/>
        <v>46036</v>
      </c>
      <c r="O327" s="317">
        <f t="shared" si="178"/>
        <v>46401</v>
      </c>
      <c r="P327" s="418" t="str">
        <f t="shared" si="186"/>
        <v>NÃO</v>
      </c>
      <c r="Q327" s="418" t="str">
        <f t="shared" si="186"/>
        <v>NÃO</v>
      </c>
      <c r="R327" s="418" t="str">
        <f t="shared" si="186"/>
        <v>NÃO</v>
      </c>
      <c r="S327" s="418" t="str">
        <f t="shared" si="186"/>
        <v>NÃO</v>
      </c>
      <c r="T327" s="418" t="str">
        <f t="shared" si="186"/>
        <v>NÃO</v>
      </c>
      <c r="U327" s="418" t="str">
        <f t="shared" si="186"/>
        <v>NÃO</v>
      </c>
      <c r="V327" s="418" t="str">
        <f t="shared" si="186"/>
        <v>NÃO</v>
      </c>
      <c r="W327" s="418" t="str">
        <f t="shared" si="186"/>
        <v>NÃO</v>
      </c>
      <c r="X327" s="418" t="str">
        <f t="shared" si="186"/>
        <v>NÃO</v>
      </c>
      <c r="Y327" s="418" t="str">
        <f t="shared" si="186"/>
        <v>NÃO</v>
      </c>
      <c r="Z327" s="418" t="str">
        <f t="shared" si="186"/>
        <v>NÃO</v>
      </c>
      <c r="AA327" s="418" t="str">
        <f t="shared" si="186"/>
        <v>NÃO</v>
      </c>
      <c r="AB327" s="350"/>
      <c r="AC327" s="309" t="s">
        <v>3932</v>
      </c>
      <c r="AD327" s="311" t="s">
        <v>5</v>
      </c>
      <c r="AE327" s="361" t="s">
        <v>952</v>
      </c>
      <c r="AF327" s="310" t="s">
        <v>6985</v>
      </c>
      <c r="AG327" s="310" t="s">
        <v>1125</v>
      </c>
      <c r="AH327" s="310" t="s">
        <v>2401</v>
      </c>
      <c r="AI327" s="381" t="s">
        <v>2255</v>
      </c>
      <c r="AJ327" s="6" t="s">
        <v>218</v>
      </c>
      <c r="AK327" s="6" t="str">
        <f t="shared" si="187"/>
        <v>IGUAL</v>
      </c>
      <c r="AL327" s="151" t="str">
        <f>IFERROR(IF(LEFT(A327,3)="LCP",VLOOKUP(A327,STATUS_SAP_LCP!B:C,2,FALSE),VLOOKUP(A327,STATUS_SAP_ICP!B:C,2,FALSE)),"NO BUDGET")</f>
        <v>CLSD BUDG AUC  AVAC  //  APPR BREL EXPL</v>
      </c>
      <c r="AM327" s="6" t="str">
        <f t="shared" si="185"/>
        <v>CLSD</v>
      </c>
      <c r="AN327" s="282" t="s">
        <v>2651</v>
      </c>
      <c r="AO327" s="493">
        <v>1</v>
      </c>
      <c r="AP327" s="499" t="s">
        <v>9607</v>
      </c>
      <c r="AQ327" s="465">
        <v>45622</v>
      </c>
      <c r="AR327" s="460"/>
      <c r="AS327" s="57"/>
      <c r="AT327" s="185"/>
      <c r="AU327" s="318"/>
      <c r="AV327" s="223"/>
      <c r="AW327" s="318">
        <v>315.68283000000002</v>
      </c>
      <c r="AX327" s="223">
        <v>0</v>
      </c>
      <c r="AY327" s="318">
        <f t="shared" si="179"/>
        <v>0</v>
      </c>
      <c r="AZ327" s="223"/>
      <c r="BA327" s="318"/>
      <c r="BB327" s="519">
        <f t="shared" si="180"/>
        <v>0</v>
      </c>
      <c r="BC327" s="518">
        <v>0</v>
      </c>
      <c r="BD327" s="518">
        <v>0</v>
      </c>
      <c r="BE327" s="518">
        <v>0</v>
      </c>
      <c r="BF327" s="518">
        <v>0</v>
      </c>
      <c r="BG327" s="518">
        <v>0</v>
      </c>
      <c r="BH327" s="518">
        <v>0</v>
      </c>
      <c r="BI327" s="518">
        <v>0</v>
      </c>
      <c r="BJ327" s="518">
        <v>0</v>
      </c>
      <c r="BK327" s="518">
        <v>0</v>
      </c>
      <c r="BL327" s="518">
        <v>0</v>
      </c>
      <c r="BM327" s="518">
        <v>0</v>
      </c>
      <c r="BN327" s="518">
        <v>0</v>
      </c>
      <c r="BO327" s="367">
        <f t="shared" si="188"/>
        <v>0</v>
      </c>
      <c r="BP327" s="421">
        <v>0</v>
      </c>
      <c r="BQ327" s="422"/>
      <c r="BR327" s="423">
        <f>IFERROR(IF(LEFT($A327,3)="Lcp",SUMIFS('BASE-LCP'!$K:$K,'BASE-LCP'!$A:$A,Capex!$A340,'BASE-LCP'!$B:$B,"janeiro")/1000,IF(LEFT($A327,3)="icp",SUMIFS('BASE-ICP'!$K:$K,'BASE-ICP'!$A:$A,Capex!$A340,'BASE-ICP'!$B:$B,"janeiro")/1000,"")),"")</f>
        <v>0</v>
      </c>
      <c r="BS327" s="427">
        <v>0</v>
      </c>
      <c r="BT327" s="372">
        <v>0</v>
      </c>
      <c r="BU327" s="422"/>
      <c r="BV327" s="423">
        <f>IFERROR(IF(LEFT($A327,3)="Lcp",SUMIFS('BASE-LCP'!$K:$K,'BASE-LCP'!$A:$A,Capex!$A340,'BASE-LCP'!$B:$B,"fevereiro")/1000,IF(LEFT($A327,3)="icp",SUMIFS('BASE-ICP'!$K:$K,'BASE-ICP'!$A:$A,Capex!$A340,'BASE-ICP'!$B:$B,"fevereiro")/1000,"")),"")</f>
        <v>0</v>
      </c>
      <c r="BW327" s="427">
        <v>0</v>
      </c>
      <c r="BX327" s="372">
        <v>0</v>
      </c>
      <c r="BY327" s="419"/>
      <c r="BZ327" s="423">
        <f>IFERROR(IF(LEFT($A327,3)="Lcp",SUMIFS('BASE-LCP'!$K:$K,'BASE-LCP'!$A:$A,Capex!$A340,'BASE-LCP'!$B:$B,"março")/1000,IF(LEFT($A327,3)="icp",SUMIFS('BASE-ICP'!$K:$K,'BASE-ICP'!$A:$A,Capex!$A340,'BASE-ICP'!$B:$B,"março")/1000,"")),"")</f>
        <v>0</v>
      </c>
      <c r="CA327" s="427">
        <v>0</v>
      </c>
      <c r="CB327" s="372">
        <v>0</v>
      </c>
      <c r="CC327" s="422"/>
      <c r="CD327" s="423">
        <f>IFERROR(IF(LEFT($A327,3)="Lcp",SUMIFS('BASE-LCP'!$K:$K,'BASE-LCP'!$A:$A,Capex!$A340,'BASE-LCP'!$B:$B,"abril")/1000,IF(LEFT($A327,3)="icp",SUMIFS('BASE-ICP'!$K:$K,'BASE-ICP'!$A:$A,Capex!$A340,'BASE-ICP'!$B:$B,"abril")/1000,"")),"")</f>
        <v>0</v>
      </c>
      <c r="CE327" s="427">
        <v>0</v>
      </c>
      <c r="CF327" s="372">
        <v>0</v>
      </c>
      <c r="CG327" s="419"/>
      <c r="CH327" s="423">
        <v>0</v>
      </c>
      <c r="CI327" s="427">
        <v>0</v>
      </c>
      <c r="CJ327" s="372">
        <v>0</v>
      </c>
      <c r="CK327" s="419"/>
      <c r="CL327" s="423">
        <f>IFERROR(IF(LEFT($A327,3)="Lcp",SUMIFS('BASE-LCP'!$K:$K,'BASE-LCP'!$A:$A,Capex!$A340,'BASE-LCP'!$B:$B,"junho")/1000,IF(LEFT($A327,3)="icp",SUMIFS('BASE-ICP'!$K:$K,'BASE-ICP'!$A:$A,Capex!$A340,'BASE-ICP'!$B:$B,"junho")/1000,"")),"")</f>
        <v>0</v>
      </c>
      <c r="CM327" s="427">
        <v>0</v>
      </c>
      <c r="CN327" s="372"/>
      <c r="CO327" s="419"/>
      <c r="CP327" s="423">
        <f>IFERROR(IF(LEFT($A327,3)="Lcp",SUMIFS('BASE-LCP'!$K:$K,'BASE-LCP'!$A:$A,Capex!$A340,'BASE-LCP'!$B:$B,"julho")/1000,IF(LEFT($A327,3)="icp",SUMIFS('BASE-ICP'!$K:$K,'BASE-ICP'!$A:$A,Capex!$A340,'BASE-ICP'!$B:$B,"julho")/1000,"")),"")</f>
        <v>0</v>
      </c>
      <c r="CQ327" s="427">
        <v>0</v>
      </c>
      <c r="CR327" s="372"/>
      <c r="CS327" s="419"/>
      <c r="CT327" s="423">
        <f>IFERROR(IF(LEFT($A327,3)="Lcp",SUMIFS('BASE-LCP'!$K:$K,'BASE-LCP'!$A:$A,Capex!$A340,'BASE-LCP'!$B:$B,"agosto")/1000,IF(LEFT($A327,3)="icp",SUMIFS('BASE-ICP'!$K:$K,'BASE-ICP'!$A:$A,Capex!$A340,'BASE-ICP'!$B:$B,"agosto")/1000,"")),"")</f>
        <v>0</v>
      </c>
      <c r="CU327" s="427">
        <v>0</v>
      </c>
      <c r="CV327" s="372"/>
      <c r="CW327" s="419"/>
      <c r="CX327" s="423">
        <f>IFERROR(IF(LEFT($A327,3)="Lcp",SUMIFS('BASE-LCP'!$K:$K,'BASE-LCP'!$A:$A,Capex!$A340,'BASE-LCP'!$B:$B,"setembro")/1000,IF(LEFT($A327,3)="icp",SUMIFS('BASE-ICP'!$K:$K,'BASE-ICP'!$A:$A,Capex!$A340,'BASE-ICP'!$B:$B,"setembro")/1000,"")),"")</f>
        <v>0</v>
      </c>
      <c r="CY327" s="427">
        <v>0</v>
      </c>
      <c r="CZ327" s="372"/>
      <c r="DA327" s="419"/>
      <c r="DB327" s="423">
        <f>IFERROR(IF(LEFT($A327,3)="Lcp",SUMIFS('BASE-LCP'!$K:$K,'BASE-LCP'!$A:$A,Capex!$A340,'BASE-LCP'!$B:$B,"outubro")/1000,IF(LEFT($A327,3)="icp",SUMIFS('BASE-ICP'!$K:$K,'BASE-ICP'!$A:$A,Capex!$A340,'BASE-ICP'!$B:$B,"outubro")/1000,"")),"")</f>
        <v>0</v>
      </c>
      <c r="DC327" s="427">
        <v>0</v>
      </c>
      <c r="DD327" s="372"/>
      <c r="DE327" s="419"/>
      <c r="DF327" s="423">
        <f>IFERROR(IF(LEFT($A327,3)="Lcp",SUMIFS('BASE-LCP'!$K:$K,'BASE-LCP'!$A:$A,Capex!$A340,'BASE-LCP'!$B:$B,"novembro")/1000,IF(LEFT($A327,3)="icp",SUMIFS('BASE-ICP'!$K:$K,'BASE-ICP'!$A:$A,Capex!$A340,'BASE-ICP'!$B:$B,"novembro")/1000,"")),"")</f>
        <v>0</v>
      </c>
      <c r="DG327" s="427">
        <v>0</v>
      </c>
      <c r="DH327" s="372"/>
      <c r="DI327" s="419"/>
      <c r="DJ327" s="423">
        <f>IFERROR(IF(LEFT($A327,3)="Lcp",SUMIFS('BASE-LCP'!$K:$K,'BASE-LCP'!$A:$A,Capex!$A340,'BASE-LCP'!$B:$B,"dezembro")/1000,IF(LEFT($A327,3)="icp",SUMIFS('BASE-ICP'!$K:$K,'BASE-ICP'!$A:$A,Capex!$A340,'BASE-ICP'!$B:$B,"dezembro")/1000,"")),"")</f>
        <v>0</v>
      </c>
      <c r="DK327" s="427">
        <v>0</v>
      </c>
      <c r="DL327" s="452">
        <f t="shared" si="189"/>
        <v>0</v>
      </c>
      <c r="DM327" s="374"/>
      <c r="DN327" s="374">
        <v>0</v>
      </c>
      <c r="DO327" s="374"/>
      <c r="DP327" s="374"/>
      <c r="DQ327" s="374"/>
      <c r="DR327" s="374"/>
      <c r="DS327" s="374"/>
      <c r="DT327" s="374"/>
      <c r="DU327" s="374"/>
      <c r="DV327" s="374"/>
      <c r="DW327" s="374"/>
      <c r="DX327" s="374"/>
      <c r="DY327" s="450"/>
      <c r="DZ327" s="374">
        <f t="shared" si="190"/>
        <v>0</v>
      </c>
      <c r="EA327" s="216">
        <f t="shared" si="191"/>
        <v>0</v>
      </c>
      <c r="EB327" s="320">
        <f t="shared" si="192"/>
        <v>0</v>
      </c>
      <c r="EC327" s="241">
        <f t="shared" si="193"/>
        <v>0</v>
      </c>
      <c r="ED327" s="241">
        <f t="shared" si="194"/>
        <v>0</v>
      </c>
      <c r="EE327" s="241">
        <f t="shared" si="195"/>
        <v>0</v>
      </c>
      <c r="EF327" s="241">
        <f t="shared" si="196"/>
        <v>0</v>
      </c>
      <c r="EG327" s="346">
        <f t="shared" si="197"/>
        <v>0</v>
      </c>
      <c r="EH327" s="445">
        <f t="shared" si="198"/>
        <v>0</v>
      </c>
      <c r="EI327" s="447">
        <f t="shared" si="199"/>
        <v>0</v>
      </c>
      <c r="EJ327" s="364">
        <f t="shared" si="200"/>
        <v>0</v>
      </c>
      <c r="EK327" s="365">
        <f t="shared" si="201"/>
        <v>0</v>
      </c>
      <c r="EL327" s="529">
        <f t="shared" si="202"/>
        <v>0</v>
      </c>
      <c r="EM327" s="530">
        <v>0</v>
      </c>
      <c r="EN327" s="530">
        <v>0</v>
      </c>
      <c r="EO327" s="530">
        <v>0</v>
      </c>
      <c r="EP327" s="530">
        <v>0</v>
      </c>
      <c r="EQ327" s="530">
        <v>0</v>
      </c>
      <c r="ER327" s="530">
        <v>0</v>
      </c>
      <c r="ES327" s="530">
        <v>0</v>
      </c>
      <c r="ET327" s="530">
        <v>0</v>
      </c>
      <c r="EU327" s="530">
        <v>0</v>
      </c>
      <c r="EV327" s="530">
        <v>0</v>
      </c>
      <c r="EW327" s="530">
        <v>0</v>
      </c>
      <c r="EX327" s="530">
        <v>0</v>
      </c>
      <c r="EY327" s="530">
        <f t="shared" si="203"/>
        <v>0</v>
      </c>
      <c r="EZ327" s="530">
        <f t="shared" si="204"/>
        <v>0</v>
      </c>
      <c r="FA327" s="530">
        <f t="shared" si="205"/>
        <v>0</v>
      </c>
      <c r="FB327" s="530">
        <f t="shared" si="206"/>
        <v>0</v>
      </c>
      <c r="FC327" s="384">
        <f>IFERROR(VLOOKUP(Capex!A340,BASE_558!D:R,8,FALSE)/1000,"")</f>
        <v>1000</v>
      </c>
      <c r="FD327" s="328">
        <f>IFERROR(VLOOKUP(Capex!A340,BASE_558!D:R,9,)/1000,"")</f>
        <v>0</v>
      </c>
      <c r="FE327" s="328">
        <f>IFERROR(IF(LEFT(A327,3)="LCP",(VLOOKUP(Capex!A340,BASE_558!D:R,10,)/1000),SUMIFS('BASE ICP_PO_SC'!F:F,'BASE ICP_PO_SC'!A:A,Capex!A340,'BASE ICP_PO_SC'!E:E,"&lt;&gt;")/1000),"")</f>
        <v>0</v>
      </c>
      <c r="FF327" s="328">
        <f>IFERROR(IF(LEFT(A327,3)="LCP",(VLOOKUP(Capex!A340,BASE_558!D:R,11,)/1000),SUMIFS('BASE ICP_PO_SC'!F:F,'BASE ICP_PO_SC'!A:A,Capex!A340,'BASE ICP_PO_SC'!E:E,"")/1000),"")</f>
        <v>0</v>
      </c>
      <c r="FG327" s="328">
        <f>IFERROR(VLOOKUP(A327,BASE_558!D:R,13,FALSE)/1000,"")</f>
        <v>315.68283000000002</v>
      </c>
      <c r="FH327" s="328">
        <f>IFERROR(VLOOKUP(A327,BASE_558!D:R,15,FALSE)/1000,"")</f>
        <v>141.11717000000002</v>
      </c>
      <c r="FI327" s="547">
        <f t="shared" si="207"/>
        <v>0</v>
      </c>
      <c r="FJ327" s="547">
        <f t="shared" si="208"/>
        <v>0</v>
      </c>
      <c r="FK327" s="540">
        <f t="shared" si="209"/>
        <v>0</v>
      </c>
    </row>
    <row r="328" spans="1:167" s="23" customFormat="1" ht="24" customHeight="1">
      <c r="A328" s="309" t="s">
        <v>2402</v>
      </c>
      <c r="B328" s="404"/>
      <c r="C328" s="404">
        <v>1412</v>
      </c>
      <c r="D328" s="403" t="s">
        <v>3348</v>
      </c>
      <c r="E328" s="378">
        <v>10470001</v>
      </c>
      <c r="F328" s="310" t="s">
        <v>609</v>
      </c>
      <c r="G328" s="310" t="s">
        <v>9</v>
      </c>
      <c r="H328" s="338" t="s">
        <v>6</v>
      </c>
      <c r="I328" s="356"/>
      <c r="J328" s="356">
        <v>2023</v>
      </c>
      <c r="K328" s="352">
        <v>45188</v>
      </c>
      <c r="L328" s="324"/>
      <c r="M328" s="409"/>
      <c r="N328" s="317">
        <f t="shared" si="177"/>
        <v>46100</v>
      </c>
      <c r="O328" s="317">
        <f t="shared" si="178"/>
        <v>46465</v>
      </c>
      <c r="P328" s="418" t="str">
        <f t="shared" si="186"/>
        <v>NÃO</v>
      </c>
      <c r="Q328" s="418" t="str">
        <f t="shared" si="186"/>
        <v>NÃO</v>
      </c>
      <c r="R328" s="418" t="str">
        <f t="shared" si="186"/>
        <v>NÃO</v>
      </c>
      <c r="S328" s="418" t="str">
        <f t="shared" si="186"/>
        <v>NÃO</v>
      </c>
      <c r="T328" s="418" t="str">
        <f t="shared" si="186"/>
        <v>NÃO</v>
      </c>
      <c r="U328" s="418" t="str">
        <f t="shared" si="186"/>
        <v>NÃO</v>
      </c>
      <c r="V328" s="566" t="str">
        <f t="shared" si="186"/>
        <v>NÃO</v>
      </c>
      <c r="W328" s="418" t="str">
        <f t="shared" si="186"/>
        <v>NÃO</v>
      </c>
      <c r="X328" s="418" t="str">
        <f t="shared" si="186"/>
        <v>NÃO</v>
      </c>
      <c r="Y328" s="418" t="str">
        <f t="shared" si="186"/>
        <v>NÃO</v>
      </c>
      <c r="Z328" s="418" t="str">
        <f t="shared" si="186"/>
        <v>NÃO</v>
      </c>
      <c r="AA328" s="418" t="str">
        <f t="shared" si="186"/>
        <v>NÃO</v>
      </c>
      <c r="AB328" s="350"/>
      <c r="AC328" s="309" t="s">
        <v>3931</v>
      </c>
      <c r="AD328" s="311"/>
      <c r="AE328" s="361"/>
      <c r="AF328" s="310" t="s">
        <v>6985</v>
      </c>
      <c r="AG328" s="310" t="s">
        <v>2485</v>
      </c>
      <c r="AH328" s="310" t="s">
        <v>1985</v>
      </c>
      <c r="AI328" s="381" t="s">
        <v>188</v>
      </c>
      <c r="AJ328" s="6" t="s">
        <v>6786</v>
      </c>
      <c r="AK328" s="6" t="str">
        <f t="shared" si="187"/>
        <v>DIFERENTE</v>
      </c>
      <c r="AL328" s="151" t="str">
        <f>IFERROR(IF(LEFT(A328,3)="LCP",VLOOKUP(A328,STATUS_SAP_LCP!B:C,2,FALSE),VLOOKUP(A328,STATUS_SAP_ICP!B:C,2,FALSE)),"NO BUDGET")</f>
        <v>TECO BUDG AUC  AVAC  //  APPR BREL EXPL</v>
      </c>
      <c r="AM328" s="6" t="str">
        <f t="shared" si="185"/>
        <v>TECO</v>
      </c>
      <c r="AN328" s="491" t="s">
        <v>18862</v>
      </c>
      <c r="AO328" s="414"/>
      <c r="AP328" s="499" t="s">
        <v>9617</v>
      </c>
      <c r="AQ328" s="465">
        <v>45657</v>
      </c>
      <c r="AR328" s="460"/>
      <c r="AS328" s="57"/>
      <c r="AT328" s="185"/>
      <c r="AU328" s="318">
        <v>0</v>
      </c>
      <c r="AV328" s="223">
        <v>0</v>
      </c>
      <c r="AW328" s="318">
        <v>0</v>
      </c>
      <c r="AX328" s="223">
        <v>1167.1839400000001</v>
      </c>
      <c r="AY328" s="318">
        <f t="shared" si="179"/>
        <v>0</v>
      </c>
      <c r="AZ328" s="223"/>
      <c r="BA328" s="318"/>
      <c r="BB328" s="519">
        <f t="shared" si="180"/>
        <v>0</v>
      </c>
      <c r="BC328" s="518"/>
      <c r="BD328" s="518"/>
      <c r="BE328" s="518"/>
      <c r="BF328" s="518"/>
      <c r="BG328" s="518"/>
      <c r="BH328" s="518"/>
      <c r="BI328" s="518"/>
      <c r="BJ328" s="518"/>
      <c r="BK328" s="518"/>
      <c r="BL328" s="518"/>
      <c r="BM328" s="518"/>
      <c r="BN328" s="518"/>
      <c r="BO328" s="367">
        <f t="shared" si="188"/>
        <v>0</v>
      </c>
      <c r="BP328" s="421"/>
      <c r="BQ328" s="422"/>
      <c r="BR328" s="423">
        <f>IFERROR(IF(LEFT($A328,3)="Lcp",SUMIFS('BASE-LCP'!$K:$K,'BASE-LCP'!$A:$A,Capex!$A341,'BASE-LCP'!$B:$B,"janeiro")/1000,IF(LEFT($A328,3)="icp",SUMIFS('BASE-ICP'!$K:$K,'BASE-ICP'!$A:$A,Capex!$A341,'BASE-ICP'!$B:$B,"janeiro")/1000,"")),"")</f>
        <v>0</v>
      </c>
      <c r="BS328" s="427">
        <v>0</v>
      </c>
      <c r="BT328" s="372">
        <v>0</v>
      </c>
      <c r="BU328" s="422"/>
      <c r="BV328" s="423">
        <f>IFERROR(IF(LEFT($A328,3)="Lcp",SUMIFS('BASE-LCP'!$K:$K,'BASE-LCP'!$A:$A,Capex!$A341,'BASE-LCP'!$B:$B,"fevereiro")/1000,IF(LEFT($A328,3)="icp",SUMIFS('BASE-ICP'!$K:$K,'BASE-ICP'!$A:$A,Capex!$A341,'BASE-ICP'!$B:$B,"fevereiro")/1000,"")),"")</f>
        <v>0</v>
      </c>
      <c r="BW328" s="427">
        <v>0</v>
      </c>
      <c r="BX328" s="372">
        <v>0</v>
      </c>
      <c r="BY328" s="419"/>
      <c r="BZ328" s="423">
        <f>IFERROR(IF(LEFT($A328,3)="Lcp",SUMIFS('BASE-LCP'!$K:$K,'BASE-LCP'!$A:$A,Capex!$A341,'BASE-LCP'!$B:$B,"março")/1000,IF(LEFT($A328,3)="icp",SUMIFS('BASE-ICP'!$K:$K,'BASE-ICP'!$A:$A,Capex!$A341,'BASE-ICP'!$B:$B,"março")/1000,"")),"")</f>
        <v>0</v>
      </c>
      <c r="CA328" s="427">
        <v>0</v>
      </c>
      <c r="CB328" s="372">
        <v>0</v>
      </c>
      <c r="CC328" s="422"/>
      <c r="CD328" s="423">
        <f>IFERROR(IF(LEFT($A328,3)="Lcp",SUMIFS('BASE-LCP'!$K:$K,'BASE-LCP'!$A:$A,Capex!$A341,'BASE-LCP'!$B:$B,"abril")/1000,IF(LEFT($A328,3)="icp",SUMIFS('BASE-ICP'!$K:$K,'BASE-ICP'!$A:$A,Capex!$A341,'BASE-ICP'!$B:$B,"abril")/1000,"")),"")</f>
        <v>0</v>
      </c>
      <c r="CE328" s="427">
        <v>0</v>
      </c>
      <c r="CF328" s="372">
        <v>0</v>
      </c>
      <c r="CG328" s="419"/>
      <c r="CH328" s="423">
        <v>0</v>
      </c>
      <c r="CI328" s="427">
        <v>0</v>
      </c>
      <c r="CJ328" s="372">
        <v>0</v>
      </c>
      <c r="CK328" s="419"/>
      <c r="CL328" s="423">
        <f>IFERROR(IF(LEFT($A328,3)="Lcp",SUMIFS('BASE-LCP'!$K:$K,'BASE-LCP'!$A:$A,Capex!$A341,'BASE-LCP'!$B:$B,"junho")/1000,IF(LEFT($A328,3)="icp",SUMIFS('BASE-ICP'!$K:$K,'BASE-ICP'!$A:$A,Capex!$A341,'BASE-ICP'!$B:$B,"junho")/1000,"")),"")</f>
        <v>0</v>
      </c>
      <c r="CM328" s="427">
        <v>0</v>
      </c>
      <c r="CN328" s="372"/>
      <c r="CO328" s="419"/>
      <c r="CP328" s="423">
        <f>IFERROR(IF(LEFT($A328,3)="Lcp",SUMIFS('BASE-LCP'!$K:$K,'BASE-LCP'!$A:$A,Capex!$A341,'BASE-LCP'!$B:$B,"julho")/1000,IF(LEFT($A328,3)="icp",SUMIFS('BASE-ICP'!$K:$K,'BASE-ICP'!$A:$A,Capex!$A341,'BASE-ICP'!$B:$B,"julho")/1000,"")),"")</f>
        <v>0</v>
      </c>
      <c r="CQ328" s="427">
        <v>0</v>
      </c>
      <c r="CR328" s="372"/>
      <c r="CS328" s="419"/>
      <c r="CT328" s="423">
        <f>IFERROR(IF(LEFT($A328,3)="Lcp",SUMIFS('BASE-LCP'!$K:$K,'BASE-LCP'!$A:$A,Capex!$A341,'BASE-LCP'!$B:$B,"agosto")/1000,IF(LEFT($A328,3)="icp",SUMIFS('BASE-ICP'!$K:$K,'BASE-ICP'!$A:$A,Capex!$A341,'BASE-ICP'!$B:$B,"agosto")/1000,"")),"")</f>
        <v>0</v>
      </c>
      <c r="CU328" s="427">
        <v>0</v>
      </c>
      <c r="CV328" s="372"/>
      <c r="CW328" s="419"/>
      <c r="CX328" s="423">
        <f>IFERROR(IF(LEFT($A328,3)="Lcp",SUMIFS('BASE-LCP'!$K:$K,'BASE-LCP'!$A:$A,Capex!$A341,'BASE-LCP'!$B:$B,"setembro")/1000,IF(LEFT($A328,3)="icp",SUMIFS('BASE-ICP'!$K:$K,'BASE-ICP'!$A:$A,Capex!$A341,'BASE-ICP'!$B:$B,"setembro")/1000,"")),"")</f>
        <v>0</v>
      </c>
      <c r="CY328" s="427">
        <v>0</v>
      </c>
      <c r="CZ328" s="372"/>
      <c r="DA328" s="419"/>
      <c r="DB328" s="423">
        <f>IFERROR(IF(LEFT($A328,3)="Lcp",SUMIFS('BASE-LCP'!$K:$K,'BASE-LCP'!$A:$A,Capex!$A341,'BASE-LCP'!$B:$B,"outubro")/1000,IF(LEFT($A328,3)="icp",SUMIFS('BASE-ICP'!$K:$K,'BASE-ICP'!$A:$A,Capex!$A341,'BASE-ICP'!$B:$B,"outubro")/1000,"")),"")</f>
        <v>0</v>
      </c>
      <c r="DC328" s="427">
        <v>0</v>
      </c>
      <c r="DD328" s="372"/>
      <c r="DE328" s="419"/>
      <c r="DF328" s="423">
        <f>IFERROR(IF(LEFT($A328,3)="Lcp",SUMIFS('BASE-LCP'!$K:$K,'BASE-LCP'!$A:$A,Capex!$A341,'BASE-LCP'!$B:$B,"novembro")/1000,IF(LEFT($A328,3)="icp",SUMIFS('BASE-ICP'!$K:$K,'BASE-ICP'!$A:$A,Capex!$A341,'BASE-ICP'!$B:$B,"novembro")/1000,"")),"")</f>
        <v>0</v>
      </c>
      <c r="DG328" s="427">
        <v>0</v>
      </c>
      <c r="DH328" s="372"/>
      <c r="DI328" s="419"/>
      <c r="DJ328" s="423">
        <f>IFERROR(IF(LEFT($A328,3)="Lcp",SUMIFS('BASE-LCP'!$K:$K,'BASE-LCP'!$A:$A,Capex!$A341,'BASE-LCP'!$B:$B,"dezembro")/1000,IF(LEFT($A328,3)="icp",SUMIFS('BASE-ICP'!$K:$K,'BASE-ICP'!$A:$A,Capex!$A341,'BASE-ICP'!$B:$B,"dezembro")/1000,"")),"")</f>
        <v>0</v>
      </c>
      <c r="DK328" s="427">
        <v>0</v>
      </c>
      <c r="DL328" s="452">
        <f t="shared" si="189"/>
        <v>0</v>
      </c>
      <c r="DM328" s="374"/>
      <c r="DN328" s="374">
        <v>0</v>
      </c>
      <c r="DO328" s="374"/>
      <c r="DP328" s="374"/>
      <c r="DQ328" s="374"/>
      <c r="DR328" s="374"/>
      <c r="DS328" s="374"/>
      <c r="DT328" s="374"/>
      <c r="DU328" s="374"/>
      <c r="DV328" s="374"/>
      <c r="DW328" s="374"/>
      <c r="DX328" s="374"/>
      <c r="DY328" s="450"/>
      <c r="DZ328" s="374">
        <f t="shared" si="190"/>
        <v>0</v>
      </c>
      <c r="EA328" s="216">
        <f t="shared" si="191"/>
        <v>0</v>
      </c>
      <c r="EB328" s="320">
        <f t="shared" si="192"/>
        <v>0</v>
      </c>
      <c r="EC328" s="241">
        <f t="shared" si="193"/>
        <v>0</v>
      </c>
      <c r="ED328" s="241">
        <f t="shared" si="194"/>
        <v>0</v>
      </c>
      <c r="EE328" s="241">
        <f t="shared" si="195"/>
        <v>0</v>
      </c>
      <c r="EF328" s="241">
        <f t="shared" si="196"/>
        <v>0</v>
      </c>
      <c r="EG328" s="346">
        <f t="shared" si="197"/>
        <v>0</v>
      </c>
      <c r="EH328" s="445">
        <f t="shared" si="198"/>
        <v>0</v>
      </c>
      <c r="EI328" s="447">
        <f t="shared" si="199"/>
        <v>0</v>
      </c>
      <c r="EJ328" s="364">
        <f t="shared" si="200"/>
        <v>0</v>
      </c>
      <c r="EK328" s="365">
        <f t="shared" si="201"/>
        <v>0</v>
      </c>
      <c r="EL328" s="529">
        <f t="shared" si="202"/>
        <v>0</v>
      </c>
      <c r="EM328" s="530">
        <v>0</v>
      </c>
      <c r="EN328" s="530">
        <v>0</v>
      </c>
      <c r="EO328" s="530">
        <v>0</v>
      </c>
      <c r="EP328" s="530">
        <v>0</v>
      </c>
      <c r="EQ328" s="530">
        <v>0</v>
      </c>
      <c r="ER328" s="530">
        <v>0</v>
      </c>
      <c r="ES328" s="530">
        <v>0</v>
      </c>
      <c r="ET328" s="530">
        <v>0</v>
      </c>
      <c r="EU328" s="530">
        <v>0</v>
      </c>
      <c r="EV328" s="530">
        <v>0</v>
      </c>
      <c r="EW328" s="530">
        <v>0</v>
      </c>
      <c r="EX328" s="530">
        <v>0</v>
      </c>
      <c r="EY328" s="530">
        <f t="shared" si="203"/>
        <v>0</v>
      </c>
      <c r="EZ328" s="530">
        <f t="shared" si="204"/>
        <v>0</v>
      </c>
      <c r="FA328" s="530">
        <f t="shared" si="205"/>
        <v>0</v>
      </c>
      <c r="FB328" s="530">
        <f t="shared" si="206"/>
        <v>0</v>
      </c>
      <c r="FC328" s="384">
        <f>IFERROR(VLOOKUP(Capex!A341,BASE_558!D:R,8,FALSE)/1000,"")</f>
        <v>1851.0719999999999</v>
      </c>
      <c r="FD328" s="328">
        <f>IFERROR(VLOOKUP(Capex!A341,BASE_558!D:R,9,)/1000,"")</f>
        <v>0</v>
      </c>
      <c r="FE328" s="328">
        <f>IFERROR(IF(LEFT(A328,3)="LCP",(VLOOKUP(Capex!A341,BASE_558!D:R,10,)/1000),SUMIFS('BASE ICP_PO_SC'!F:F,'BASE ICP_PO_SC'!A:A,Capex!A341,'BASE ICP_PO_SC'!E:E,"&lt;&gt;")/1000),"")</f>
        <v>0</v>
      </c>
      <c r="FF328" s="328">
        <f>IFERROR(IF(LEFT(A328,3)="LCP",(VLOOKUP(Capex!A341,BASE_558!D:R,11,)/1000),SUMIFS('BASE ICP_PO_SC'!F:F,'BASE ICP_PO_SC'!A:A,Capex!A341,'BASE ICP_PO_SC'!E:E,"")/1000),"")</f>
        <v>466.10328999999996</v>
      </c>
      <c r="FG328" s="328">
        <f>IFERROR(VLOOKUP(A328,BASE_558!D:R,13,FALSE)/1000,"")</f>
        <v>1167.1839399999999</v>
      </c>
      <c r="FH328" s="328">
        <f>IFERROR(VLOOKUP(A328,BASE_558!D:R,15,FALSE)/1000,"")</f>
        <v>204.40606</v>
      </c>
      <c r="FI328" s="547">
        <f t="shared" si="207"/>
        <v>0</v>
      </c>
      <c r="FJ328" s="547">
        <f t="shared" si="208"/>
        <v>0</v>
      </c>
      <c r="FK328" s="540">
        <f t="shared" si="209"/>
        <v>0</v>
      </c>
    </row>
    <row r="329" spans="1:167" s="23" customFormat="1" ht="31.5" customHeight="1">
      <c r="A329" s="309" t="s">
        <v>2403</v>
      </c>
      <c r="B329" s="404"/>
      <c r="C329" s="404">
        <v>598</v>
      </c>
      <c r="D329" s="338" t="s">
        <v>2657</v>
      </c>
      <c r="E329" s="309"/>
      <c r="F329" s="5" t="s">
        <v>609</v>
      </c>
      <c r="G329" s="310" t="s">
        <v>9</v>
      </c>
      <c r="H329" s="356" t="s">
        <v>6</v>
      </c>
      <c r="I329" s="356"/>
      <c r="J329" s="356">
        <v>2023</v>
      </c>
      <c r="K329" s="352">
        <v>45273</v>
      </c>
      <c r="L329" s="324"/>
      <c r="M329" s="409"/>
      <c r="N329" s="317">
        <f t="shared" si="177"/>
        <v>46185</v>
      </c>
      <c r="O329" s="317">
        <f t="shared" si="178"/>
        <v>46550</v>
      </c>
      <c r="P329" s="418" t="str">
        <f t="shared" si="186"/>
        <v>NÃO</v>
      </c>
      <c r="Q329" s="418" t="str">
        <f t="shared" si="186"/>
        <v>NÃO</v>
      </c>
      <c r="R329" s="418" t="str">
        <f t="shared" si="186"/>
        <v>NÃO</v>
      </c>
      <c r="S329" s="418" t="str">
        <f t="shared" si="186"/>
        <v>NÃO</v>
      </c>
      <c r="T329" s="418" t="str">
        <f t="shared" si="186"/>
        <v>NÃO</v>
      </c>
      <c r="U329" s="418" t="str">
        <f t="shared" si="186"/>
        <v>NÃO</v>
      </c>
      <c r="V329" s="418" t="str">
        <f t="shared" si="186"/>
        <v>NÃO</v>
      </c>
      <c r="W329" s="418" t="str">
        <f t="shared" si="186"/>
        <v>NÃO</v>
      </c>
      <c r="X329" s="418" t="str">
        <f t="shared" si="186"/>
        <v>NÃO</v>
      </c>
      <c r="Y329" s="418" t="str">
        <f t="shared" si="186"/>
        <v>NÃO</v>
      </c>
      <c r="Z329" s="418" t="str">
        <f t="shared" si="186"/>
        <v>NÃO</v>
      </c>
      <c r="AA329" s="418" t="str">
        <f t="shared" si="186"/>
        <v>NÃO</v>
      </c>
      <c r="AB329" s="350"/>
      <c r="AC329" s="309" t="s">
        <v>3932</v>
      </c>
      <c r="AD329" s="311" t="s">
        <v>982</v>
      </c>
      <c r="AE329" s="381" t="s">
        <v>2261</v>
      </c>
      <c r="AF329" s="310" t="s">
        <v>6985</v>
      </c>
      <c r="AG329" s="310" t="s">
        <v>2186</v>
      </c>
      <c r="AH329" s="310" t="s">
        <v>6877</v>
      </c>
      <c r="AI329" s="381" t="s">
        <v>2255</v>
      </c>
      <c r="AJ329" s="6" t="s">
        <v>195</v>
      </c>
      <c r="AK329" s="6" t="str">
        <f t="shared" si="187"/>
        <v>IGUAL</v>
      </c>
      <c r="AL329" s="151" t="str">
        <f>IFERROR(IF(LEFT(A329,3)="LCP",VLOOKUP(A329,STATUS_SAP_LCP!B:C,2,FALSE),VLOOKUP(A329,STATUS_SAP_ICP!B:C,2,FALSE)),"NO BUDGET")</f>
        <v>TECO BUDG AUC  AVAC  //  APPR BREL EXPL</v>
      </c>
      <c r="AM329" s="6" t="str">
        <f t="shared" si="185"/>
        <v>TECO</v>
      </c>
      <c r="AN329" s="428" t="s">
        <v>8931</v>
      </c>
      <c r="AO329" s="559"/>
      <c r="AP329" s="499" t="s">
        <v>9616</v>
      </c>
      <c r="AQ329" s="465">
        <v>46203</v>
      </c>
      <c r="AR329" s="460"/>
      <c r="AS329" s="57"/>
      <c r="AT329" s="185"/>
      <c r="AU329" s="318"/>
      <c r="AV329" s="223"/>
      <c r="AW329" s="318">
        <v>0</v>
      </c>
      <c r="AX329" s="223">
        <v>1.7902899999999999</v>
      </c>
      <c r="AY329" s="318">
        <f t="shared" si="179"/>
        <v>0</v>
      </c>
      <c r="AZ329" s="223"/>
      <c r="BA329" s="318"/>
      <c r="BB329" s="519">
        <f t="shared" si="180"/>
        <v>0</v>
      </c>
      <c r="BC329" s="518">
        <v>0</v>
      </c>
      <c r="BD329" s="518">
        <v>0</v>
      </c>
      <c r="BE329" s="518">
        <v>0</v>
      </c>
      <c r="BF329" s="518">
        <v>0</v>
      </c>
      <c r="BG329" s="518">
        <v>0</v>
      </c>
      <c r="BH329" s="518">
        <v>0</v>
      </c>
      <c r="BI329" s="518">
        <v>0</v>
      </c>
      <c r="BJ329" s="518">
        <v>0</v>
      </c>
      <c r="BK329" s="518">
        <v>0</v>
      </c>
      <c r="BL329" s="518">
        <v>0</v>
      </c>
      <c r="BM329" s="518">
        <v>0</v>
      </c>
      <c r="BN329" s="518">
        <v>0</v>
      </c>
      <c r="BO329" s="367">
        <f t="shared" si="188"/>
        <v>0</v>
      </c>
      <c r="BP329" s="421">
        <v>0</v>
      </c>
      <c r="BQ329" s="422"/>
      <c r="BR329" s="423">
        <f>IFERROR(IF(LEFT($A329,3)="Lcp",SUMIFS('BASE-LCP'!$K:$K,'BASE-LCP'!$A:$A,Capex!$A342,'BASE-LCP'!$B:$B,"janeiro")/1000,IF(LEFT($A329,3)="icp",SUMIFS('BASE-ICP'!$K:$K,'BASE-ICP'!$A:$A,Capex!$A342,'BASE-ICP'!$B:$B,"janeiro")/1000,"")),"")</f>
        <v>7.33209</v>
      </c>
      <c r="BS329" s="427">
        <v>0</v>
      </c>
      <c r="BT329" s="372">
        <v>0</v>
      </c>
      <c r="BU329" s="422"/>
      <c r="BV329" s="423">
        <f>IFERROR(IF(LEFT($A329,3)="Lcp",SUMIFS('BASE-LCP'!$K:$K,'BASE-LCP'!$A:$A,Capex!$A342,'BASE-LCP'!$B:$B,"fevereiro")/1000,IF(LEFT($A329,3)="icp",SUMIFS('BASE-ICP'!$K:$K,'BASE-ICP'!$A:$A,Capex!$A342,'BASE-ICP'!$B:$B,"fevereiro")/1000,"")),"")</f>
        <v>7.4841699999999998</v>
      </c>
      <c r="BW329" s="427">
        <v>0</v>
      </c>
      <c r="BX329" s="372">
        <v>0</v>
      </c>
      <c r="BY329" s="419"/>
      <c r="BZ329" s="423">
        <f>IFERROR(IF(LEFT($A329,3)="Lcp",SUMIFS('BASE-LCP'!$K:$K,'BASE-LCP'!$A:$A,Capex!$A342,'BASE-LCP'!$B:$B,"março")/1000,IF(LEFT($A329,3)="icp",SUMIFS('BASE-ICP'!$K:$K,'BASE-ICP'!$A:$A,Capex!$A342,'BASE-ICP'!$B:$B,"março")/1000,"")),"")</f>
        <v>1.5480000000000001E-2</v>
      </c>
      <c r="CA329" s="427">
        <v>0</v>
      </c>
      <c r="CB329" s="372">
        <v>0</v>
      </c>
      <c r="CC329" s="422"/>
      <c r="CD329" s="423">
        <f>IFERROR(IF(LEFT($A329,3)="Lcp",SUMIFS('BASE-LCP'!$K:$K,'BASE-LCP'!$A:$A,Capex!$A342,'BASE-LCP'!$B:$B,"abril")/1000,IF(LEFT($A329,3)="icp",SUMIFS('BASE-ICP'!$K:$K,'BASE-ICP'!$A:$A,Capex!$A342,'BASE-ICP'!$B:$B,"abril")/1000,"")),"")</f>
        <v>0</v>
      </c>
      <c r="CE329" s="427">
        <v>0</v>
      </c>
      <c r="CF329" s="372">
        <v>0</v>
      </c>
      <c r="CG329" s="419"/>
      <c r="CH329" s="423">
        <v>0</v>
      </c>
      <c r="CI329" s="427">
        <v>0</v>
      </c>
      <c r="CJ329" s="372">
        <v>0</v>
      </c>
      <c r="CK329" s="419"/>
      <c r="CL329" s="423">
        <f>IFERROR(IF(LEFT($A329,3)="Lcp",SUMIFS('BASE-LCP'!$K:$K,'BASE-LCP'!$A:$A,Capex!$A342,'BASE-LCP'!$B:$B,"junho")/1000,IF(LEFT($A329,3)="icp",SUMIFS('BASE-ICP'!$K:$K,'BASE-ICP'!$A:$A,Capex!$A342,'BASE-ICP'!$B:$B,"junho")/1000,"")),"")</f>
        <v>0</v>
      </c>
      <c r="CM329" s="427">
        <v>0</v>
      </c>
      <c r="CN329" s="372"/>
      <c r="CO329" s="419"/>
      <c r="CP329" s="423">
        <f>IFERROR(IF(LEFT($A329,3)="Lcp",SUMIFS('BASE-LCP'!$K:$K,'BASE-LCP'!$A:$A,Capex!$A342,'BASE-LCP'!$B:$B,"julho")/1000,IF(LEFT($A329,3)="icp",SUMIFS('BASE-ICP'!$K:$K,'BASE-ICP'!$A:$A,Capex!$A342,'BASE-ICP'!$B:$B,"julho")/1000,"")),"")</f>
        <v>0</v>
      </c>
      <c r="CQ329" s="427">
        <v>0</v>
      </c>
      <c r="CR329" s="372"/>
      <c r="CS329" s="419"/>
      <c r="CT329" s="423">
        <f>IFERROR(IF(LEFT($A329,3)="Lcp",SUMIFS('BASE-LCP'!$K:$K,'BASE-LCP'!$A:$A,Capex!$A342,'BASE-LCP'!$B:$B,"agosto")/1000,IF(LEFT($A329,3)="icp",SUMIFS('BASE-ICP'!$K:$K,'BASE-ICP'!$A:$A,Capex!$A342,'BASE-ICP'!$B:$B,"agosto")/1000,"")),"")</f>
        <v>0</v>
      </c>
      <c r="CU329" s="427">
        <v>0</v>
      </c>
      <c r="CV329" s="372"/>
      <c r="CW329" s="419"/>
      <c r="CX329" s="423">
        <f>IFERROR(IF(LEFT($A329,3)="Lcp",SUMIFS('BASE-LCP'!$K:$K,'BASE-LCP'!$A:$A,Capex!$A342,'BASE-LCP'!$B:$B,"setembro")/1000,IF(LEFT($A329,3)="icp",SUMIFS('BASE-ICP'!$K:$K,'BASE-ICP'!$A:$A,Capex!$A342,'BASE-ICP'!$B:$B,"setembro")/1000,"")),"")</f>
        <v>0</v>
      </c>
      <c r="CY329" s="427">
        <v>0</v>
      </c>
      <c r="CZ329" s="372"/>
      <c r="DA329" s="419"/>
      <c r="DB329" s="423">
        <f>IFERROR(IF(LEFT($A329,3)="Lcp",SUMIFS('BASE-LCP'!$K:$K,'BASE-LCP'!$A:$A,Capex!$A342,'BASE-LCP'!$B:$B,"outubro")/1000,IF(LEFT($A329,3)="icp",SUMIFS('BASE-ICP'!$K:$K,'BASE-ICP'!$A:$A,Capex!$A342,'BASE-ICP'!$B:$B,"outubro")/1000,"")),"")</f>
        <v>0</v>
      </c>
      <c r="DC329" s="427">
        <v>0</v>
      </c>
      <c r="DD329" s="372"/>
      <c r="DE329" s="419"/>
      <c r="DF329" s="423">
        <f>IFERROR(IF(LEFT($A329,3)="Lcp",SUMIFS('BASE-LCP'!$K:$K,'BASE-LCP'!$A:$A,Capex!$A342,'BASE-LCP'!$B:$B,"novembro")/1000,IF(LEFT($A329,3)="icp",SUMIFS('BASE-ICP'!$K:$K,'BASE-ICP'!$A:$A,Capex!$A342,'BASE-ICP'!$B:$B,"novembro")/1000,"")),"")</f>
        <v>0</v>
      </c>
      <c r="DG329" s="427">
        <v>0</v>
      </c>
      <c r="DH329" s="372"/>
      <c r="DI329" s="419"/>
      <c r="DJ329" s="423">
        <f>IFERROR(IF(LEFT($A329,3)="Lcp",SUMIFS('BASE-LCP'!$K:$K,'BASE-LCP'!$A:$A,Capex!$A342,'BASE-LCP'!$B:$B,"dezembro")/1000,IF(LEFT($A329,3)="icp",SUMIFS('BASE-ICP'!$K:$K,'BASE-ICP'!$A:$A,Capex!$A342,'BASE-ICP'!$B:$B,"dezembro")/1000,"")),"")</f>
        <v>0</v>
      </c>
      <c r="DK329" s="427">
        <v>0</v>
      </c>
      <c r="DL329" s="452">
        <f t="shared" si="189"/>
        <v>1525</v>
      </c>
      <c r="DM329" s="374"/>
      <c r="DN329" s="374">
        <v>1525</v>
      </c>
      <c r="DO329" s="374"/>
      <c r="DP329" s="374"/>
      <c r="DQ329" s="374"/>
      <c r="DR329" s="374"/>
      <c r="DS329" s="374"/>
      <c r="DT329" s="374"/>
      <c r="DU329" s="374"/>
      <c r="DV329" s="374"/>
      <c r="DW329" s="374"/>
      <c r="DX329" s="374"/>
      <c r="DY329" s="450"/>
      <c r="DZ329" s="374">
        <f t="shared" si="190"/>
        <v>1525</v>
      </c>
      <c r="EA329" s="216">
        <f t="shared" si="191"/>
        <v>0</v>
      </c>
      <c r="EB329" s="320">
        <f t="shared" si="192"/>
        <v>0</v>
      </c>
      <c r="EC329" s="241">
        <f t="shared" si="193"/>
        <v>0</v>
      </c>
      <c r="ED329" s="241">
        <f t="shared" si="194"/>
        <v>0</v>
      </c>
      <c r="EE329" s="241">
        <f t="shared" si="195"/>
        <v>0</v>
      </c>
      <c r="EF329" s="241">
        <f t="shared" si="196"/>
        <v>0</v>
      </c>
      <c r="EG329" s="346">
        <f t="shared" si="197"/>
        <v>0</v>
      </c>
      <c r="EH329" s="445">
        <f t="shared" si="198"/>
        <v>0</v>
      </c>
      <c r="EI329" s="447">
        <f t="shared" si="199"/>
        <v>0</v>
      </c>
      <c r="EJ329" s="364">
        <f t="shared" si="200"/>
        <v>0</v>
      </c>
      <c r="EK329" s="365">
        <f t="shared" si="201"/>
        <v>0</v>
      </c>
      <c r="EL329" s="529">
        <f t="shared" si="202"/>
        <v>0</v>
      </c>
      <c r="EM329" s="530">
        <v>0</v>
      </c>
      <c r="EN329" s="530">
        <v>0</v>
      </c>
      <c r="EO329" s="530">
        <v>0</v>
      </c>
      <c r="EP329" s="530">
        <v>0</v>
      </c>
      <c r="EQ329" s="530">
        <v>0</v>
      </c>
      <c r="ER329" s="530">
        <v>0</v>
      </c>
      <c r="ES329" s="530">
        <v>0</v>
      </c>
      <c r="ET329" s="530">
        <v>0</v>
      </c>
      <c r="EU329" s="530">
        <v>0</v>
      </c>
      <c r="EV329" s="530">
        <v>0</v>
      </c>
      <c r="EW329" s="530">
        <v>0</v>
      </c>
      <c r="EX329" s="530">
        <v>0</v>
      </c>
      <c r="EY329" s="530">
        <f t="shared" si="203"/>
        <v>0</v>
      </c>
      <c r="EZ329" s="530">
        <f t="shared" si="204"/>
        <v>0</v>
      </c>
      <c r="FA329" s="530">
        <f t="shared" si="205"/>
        <v>0</v>
      </c>
      <c r="FB329" s="530">
        <f t="shared" si="206"/>
        <v>0</v>
      </c>
      <c r="FC329" s="384">
        <f>IFERROR(VLOOKUP(Capex!A342,BASE_558!D:R,8,FALSE)/1000,"")</f>
        <v>120</v>
      </c>
      <c r="FD329" s="328">
        <f>IFERROR(VLOOKUP(Capex!A342,BASE_558!D:R,9,)/1000,"")</f>
        <v>57.744900000000001</v>
      </c>
      <c r="FE329" s="328">
        <f>IFERROR(IF(LEFT(A329,3)="LCP",(VLOOKUP(Capex!A342,BASE_558!D:R,10,)/1000),SUMIFS('BASE ICP_PO_SC'!F:F,'BASE ICP_PO_SC'!A:A,Capex!A342,'BASE ICP_PO_SC'!E:E,"&lt;&gt;")/1000),"")</f>
        <v>0</v>
      </c>
      <c r="FF329" s="328">
        <f>IFERROR(IF(LEFT(A329,3)="LCP",(VLOOKUP(Capex!A342,BASE_558!D:R,11,)/1000),SUMIFS('BASE ICP_PO_SC'!F:F,'BASE ICP_PO_SC'!A:A,Capex!A342,'BASE ICP_PO_SC'!E:E,"")/1000),"")</f>
        <v>0</v>
      </c>
      <c r="FG329" s="328">
        <f>IFERROR(VLOOKUP(A329,BASE_558!D:R,13,FALSE)/1000,"")</f>
        <v>1.7902899999999999</v>
      </c>
      <c r="FH329" s="328">
        <f>IFERROR(VLOOKUP(A329,BASE_558!D:R,15,FALSE)/1000,"")</f>
        <v>1527.2097099999999</v>
      </c>
      <c r="FI329" s="547">
        <f t="shared" si="207"/>
        <v>0</v>
      </c>
      <c r="FJ329" s="547">
        <f t="shared" si="208"/>
        <v>0</v>
      </c>
      <c r="FK329" s="540">
        <f t="shared" si="209"/>
        <v>0</v>
      </c>
    </row>
    <row r="330" spans="1:167" s="23" customFormat="1" ht="26.25" customHeight="1">
      <c r="A330" s="309" t="s">
        <v>2410</v>
      </c>
      <c r="B330" s="404"/>
      <c r="C330" s="404"/>
      <c r="D330" s="338" t="s">
        <v>3346</v>
      </c>
      <c r="E330" s="378">
        <v>7494170</v>
      </c>
      <c r="F330" s="5"/>
      <c r="G330" s="310" t="s">
        <v>9</v>
      </c>
      <c r="H330" s="338" t="s">
        <v>6</v>
      </c>
      <c r="I330" s="356"/>
      <c r="J330" s="356">
        <v>2023</v>
      </c>
      <c r="K330" s="352">
        <v>45183</v>
      </c>
      <c r="L330" s="317">
        <v>45686</v>
      </c>
      <c r="M330" s="409"/>
      <c r="N330" s="317">
        <f t="shared" si="177"/>
        <v>46095</v>
      </c>
      <c r="O330" s="317">
        <f t="shared" si="178"/>
        <v>46460</v>
      </c>
      <c r="P330" s="418" t="str">
        <f t="shared" si="186"/>
        <v>NÃO</v>
      </c>
      <c r="Q330" s="418" t="str">
        <f t="shared" si="186"/>
        <v>NÃO</v>
      </c>
      <c r="R330" s="418" t="str">
        <f t="shared" si="186"/>
        <v>NÃO</v>
      </c>
      <c r="S330" s="418" t="str">
        <f t="shared" si="186"/>
        <v>NÃO</v>
      </c>
      <c r="T330" s="418" t="str">
        <f t="shared" si="186"/>
        <v>NÃO</v>
      </c>
      <c r="U330" s="418" t="str">
        <f t="shared" si="186"/>
        <v>NÃO</v>
      </c>
      <c r="V330" s="418" t="str">
        <f t="shared" si="186"/>
        <v>NÃO</v>
      </c>
      <c r="W330" s="418" t="str">
        <f t="shared" si="186"/>
        <v>NÃO</v>
      </c>
      <c r="X330" s="418" t="str">
        <f t="shared" si="186"/>
        <v>NÃO</v>
      </c>
      <c r="Y330" s="418" t="str">
        <f t="shared" si="186"/>
        <v>NÃO</v>
      </c>
      <c r="Z330" s="418" t="str">
        <f t="shared" si="186"/>
        <v>NÃO</v>
      </c>
      <c r="AA330" s="418" t="str">
        <f t="shared" si="186"/>
        <v>NÃO</v>
      </c>
      <c r="AB330" s="350"/>
      <c r="AC330" s="309" t="s">
        <v>3932</v>
      </c>
      <c r="AD330" s="311" t="s">
        <v>5</v>
      </c>
      <c r="AE330" s="361" t="s">
        <v>186</v>
      </c>
      <c r="AF330" s="310" t="s">
        <v>6985</v>
      </c>
      <c r="AG330" s="310" t="s">
        <v>2124</v>
      </c>
      <c r="AH330" s="310" t="s">
        <v>2507</v>
      </c>
      <c r="AI330" s="309" t="s">
        <v>186</v>
      </c>
      <c r="AJ330" s="6" t="s">
        <v>218</v>
      </c>
      <c r="AK330" s="6" t="str">
        <f t="shared" si="187"/>
        <v>IGUAL</v>
      </c>
      <c r="AL330" s="151" t="str">
        <f>IFERROR(IF(LEFT(A330,3)="LCP",VLOOKUP(A330,STATUS_SAP_LCP!B:C,2,FALSE),VLOOKUP(A330,STATUS_SAP_ICP!B:C,2,FALSE)),"NO BUDGET")</f>
        <v>CLSD BUDG AUC  AVAC  //  APPR BREL EXPL</v>
      </c>
      <c r="AM330" s="6" t="str">
        <f t="shared" si="185"/>
        <v>CLSD</v>
      </c>
      <c r="AN330" s="428" t="s">
        <v>557</v>
      </c>
      <c r="AO330" s="558">
        <v>1</v>
      </c>
      <c r="AP330" s="499" t="s">
        <v>9618</v>
      </c>
      <c r="AQ330" s="465">
        <v>45686</v>
      </c>
      <c r="AR330" s="460"/>
      <c r="AS330" s="57"/>
      <c r="AT330" s="185"/>
      <c r="AU330" s="318"/>
      <c r="AV330" s="223"/>
      <c r="AW330" s="318">
        <v>0</v>
      </c>
      <c r="AX330" s="223">
        <v>1.7444499999999994</v>
      </c>
      <c r="AY330" s="318">
        <f t="shared" si="179"/>
        <v>-1.7444500000000001</v>
      </c>
      <c r="AZ330" s="223"/>
      <c r="BA330" s="318"/>
      <c r="BB330" s="519">
        <f t="shared" si="180"/>
        <v>0</v>
      </c>
      <c r="BC330" s="518">
        <v>0</v>
      </c>
      <c r="BD330" s="518">
        <v>0</v>
      </c>
      <c r="BE330" s="518">
        <v>0</v>
      </c>
      <c r="BF330" s="518">
        <v>0</v>
      </c>
      <c r="BG330" s="518">
        <v>0</v>
      </c>
      <c r="BH330" s="518">
        <v>0</v>
      </c>
      <c r="BI330" s="518">
        <v>0</v>
      </c>
      <c r="BJ330" s="518">
        <v>0</v>
      </c>
      <c r="BK330" s="518">
        <v>0</v>
      </c>
      <c r="BL330" s="518">
        <v>0</v>
      </c>
      <c r="BM330" s="518">
        <v>0</v>
      </c>
      <c r="BN330" s="518">
        <v>0</v>
      </c>
      <c r="BO330" s="367">
        <f t="shared" si="188"/>
        <v>-1.7444500000000001</v>
      </c>
      <c r="BP330" s="421">
        <v>0</v>
      </c>
      <c r="BQ330" s="422">
        <v>-1.7444500000000001</v>
      </c>
      <c r="BR330" s="423">
        <f>IFERROR(IF(LEFT($A330,3)="Lcp",SUMIFS('BASE-LCP'!$K:$K,'BASE-LCP'!$A:$A,Capex!$A346,'BASE-LCP'!$B:$B,"janeiro")/1000,IF(LEFT($A330,3)="icp",SUMIFS('BASE-ICP'!$K:$K,'BASE-ICP'!$A:$A,Capex!$A346,'BASE-ICP'!$B:$B,"janeiro")/1000,"")),"")</f>
        <v>0</v>
      </c>
      <c r="BS330" s="427">
        <v>-1.7444500000000001</v>
      </c>
      <c r="BT330" s="372">
        <v>0</v>
      </c>
      <c r="BU330" s="422"/>
      <c r="BV330" s="423">
        <f>IFERROR(IF(LEFT($A330,3)="Lcp",SUMIFS('BASE-LCP'!$K:$K,'BASE-LCP'!$A:$A,Capex!$A346,'BASE-LCP'!$B:$B,"fevereiro")/1000,IF(LEFT($A330,3)="icp",SUMIFS('BASE-ICP'!$K:$K,'BASE-ICP'!$A:$A,Capex!$A346,'BASE-ICP'!$B:$B,"fevereiro")/1000,"")),"")</f>
        <v>0</v>
      </c>
      <c r="BW330" s="427">
        <v>0</v>
      </c>
      <c r="BX330" s="372">
        <v>0</v>
      </c>
      <c r="BY330" s="419"/>
      <c r="BZ330" s="423">
        <f>IFERROR(IF(LEFT($A330,3)="Lcp",SUMIFS('BASE-LCP'!$K:$K,'BASE-LCP'!$A:$A,Capex!$A346,'BASE-LCP'!$B:$B,"março")/1000,IF(LEFT($A330,3)="icp",SUMIFS('BASE-ICP'!$K:$K,'BASE-ICP'!$A:$A,Capex!$A346,'BASE-ICP'!$B:$B,"março")/1000,"")),"")</f>
        <v>0</v>
      </c>
      <c r="CA330" s="427">
        <v>0</v>
      </c>
      <c r="CB330" s="372">
        <v>0</v>
      </c>
      <c r="CC330" s="422"/>
      <c r="CD330" s="423">
        <f>IFERROR(IF(LEFT($A330,3)="Lcp",SUMIFS('BASE-LCP'!$K:$K,'BASE-LCP'!$A:$A,Capex!$A346,'BASE-LCP'!$B:$B,"abril")/1000,IF(LEFT($A330,3)="icp",SUMIFS('BASE-ICP'!$K:$K,'BASE-ICP'!$A:$A,Capex!$A346,'BASE-ICP'!$B:$B,"abril")/1000,"")),"")</f>
        <v>0</v>
      </c>
      <c r="CE330" s="427">
        <v>0</v>
      </c>
      <c r="CF330" s="372">
        <v>0</v>
      </c>
      <c r="CG330" s="419"/>
      <c r="CH330" s="423">
        <v>0</v>
      </c>
      <c r="CI330" s="427">
        <v>0</v>
      </c>
      <c r="CJ330" s="372">
        <v>0</v>
      </c>
      <c r="CK330" s="419"/>
      <c r="CL330" s="423">
        <f>IFERROR(IF(LEFT($A330,3)="Lcp",SUMIFS('BASE-LCP'!$K:$K,'BASE-LCP'!$A:$A,Capex!$A346,'BASE-LCP'!$B:$B,"junho")/1000,IF(LEFT($A330,3)="icp",SUMIFS('BASE-ICP'!$K:$K,'BASE-ICP'!$A:$A,Capex!$A346,'BASE-ICP'!$B:$B,"junho")/1000,"")),"")</f>
        <v>0</v>
      </c>
      <c r="CM330" s="427">
        <v>0</v>
      </c>
      <c r="CN330" s="372"/>
      <c r="CO330" s="419"/>
      <c r="CP330" s="423">
        <f>IFERROR(IF(LEFT($A330,3)="Lcp",SUMIFS('BASE-LCP'!$K:$K,'BASE-LCP'!$A:$A,Capex!$A346,'BASE-LCP'!$B:$B,"julho")/1000,IF(LEFT($A330,3)="icp",SUMIFS('BASE-ICP'!$K:$K,'BASE-ICP'!$A:$A,Capex!$A346,'BASE-ICP'!$B:$B,"julho")/1000,"")),"")</f>
        <v>0</v>
      </c>
      <c r="CQ330" s="427">
        <v>0</v>
      </c>
      <c r="CR330" s="372"/>
      <c r="CS330" s="419"/>
      <c r="CT330" s="423">
        <f>IFERROR(IF(LEFT($A330,3)="Lcp",SUMIFS('BASE-LCP'!$K:$K,'BASE-LCP'!$A:$A,Capex!$A346,'BASE-LCP'!$B:$B,"agosto")/1000,IF(LEFT($A330,3)="icp",SUMIFS('BASE-ICP'!$K:$K,'BASE-ICP'!$A:$A,Capex!$A346,'BASE-ICP'!$B:$B,"agosto")/1000,"")),"")</f>
        <v>0</v>
      </c>
      <c r="CU330" s="427">
        <v>0</v>
      </c>
      <c r="CV330" s="372"/>
      <c r="CW330" s="419"/>
      <c r="CX330" s="423">
        <f>IFERROR(IF(LEFT($A330,3)="Lcp",SUMIFS('BASE-LCP'!$K:$K,'BASE-LCP'!$A:$A,Capex!$A346,'BASE-LCP'!$B:$B,"setembro")/1000,IF(LEFT($A330,3)="icp",SUMIFS('BASE-ICP'!$K:$K,'BASE-ICP'!$A:$A,Capex!$A346,'BASE-ICP'!$B:$B,"setembro")/1000,"")),"")</f>
        <v>0</v>
      </c>
      <c r="CY330" s="427">
        <v>0</v>
      </c>
      <c r="CZ330" s="372"/>
      <c r="DA330" s="419"/>
      <c r="DB330" s="423">
        <f>IFERROR(IF(LEFT($A330,3)="Lcp",SUMIFS('BASE-LCP'!$K:$K,'BASE-LCP'!$A:$A,Capex!$A346,'BASE-LCP'!$B:$B,"outubro")/1000,IF(LEFT($A330,3)="icp",SUMIFS('BASE-ICP'!$K:$K,'BASE-ICP'!$A:$A,Capex!$A346,'BASE-ICP'!$B:$B,"outubro")/1000,"")),"")</f>
        <v>0</v>
      </c>
      <c r="DC330" s="427">
        <v>0</v>
      </c>
      <c r="DD330" s="372"/>
      <c r="DE330" s="419"/>
      <c r="DF330" s="423">
        <f>IFERROR(IF(LEFT($A330,3)="Lcp",SUMIFS('BASE-LCP'!$K:$K,'BASE-LCP'!$A:$A,Capex!$A346,'BASE-LCP'!$B:$B,"novembro")/1000,IF(LEFT($A330,3)="icp",SUMIFS('BASE-ICP'!$K:$K,'BASE-ICP'!$A:$A,Capex!$A346,'BASE-ICP'!$B:$B,"novembro")/1000,"")),"")</f>
        <v>0</v>
      </c>
      <c r="DG330" s="427">
        <v>0</v>
      </c>
      <c r="DH330" s="372"/>
      <c r="DI330" s="419"/>
      <c r="DJ330" s="423">
        <f>IFERROR(IF(LEFT($A330,3)="Lcp",SUMIFS('BASE-LCP'!$K:$K,'BASE-LCP'!$A:$A,Capex!$A346,'BASE-LCP'!$B:$B,"dezembro")/1000,IF(LEFT($A330,3)="icp",SUMIFS('BASE-ICP'!$K:$K,'BASE-ICP'!$A:$A,Capex!$A346,'BASE-ICP'!$B:$B,"dezembro")/1000,"")),"")</f>
        <v>0</v>
      </c>
      <c r="DK330" s="427">
        <v>0</v>
      </c>
      <c r="DL330" s="452">
        <f t="shared" si="189"/>
        <v>0</v>
      </c>
      <c r="DM330" s="374"/>
      <c r="DN330" s="374">
        <v>0</v>
      </c>
      <c r="DO330" s="374"/>
      <c r="DP330" s="374"/>
      <c r="DQ330" s="374"/>
      <c r="DR330" s="374"/>
      <c r="DS330" s="374"/>
      <c r="DT330" s="374"/>
      <c r="DU330" s="374"/>
      <c r="DV330" s="374"/>
      <c r="DW330" s="374"/>
      <c r="DX330" s="374"/>
      <c r="DY330" s="450"/>
      <c r="DZ330" s="374">
        <f t="shared" si="190"/>
        <v>0</v>
      </c>
      <c r="EA330" s="216">
        <f t="shared" si="191"/>
        <v>0</v>
      </c>
      <c r="EB330" s="320">
        <f t="shared" si="192"/>
        <v>0</v>
      </c>
      <c r="EC330" s="241">
        <f t="shared" si="193"/>
        <v>-1.7444500000000001</v>
      </c>
      <c r="ED330" s="241">
        <f t="shared" si="194"/>
        <v>0</v>
      </c>
      <c r="EE330" s="241">
        <f t="shared" si="195"/>
        <v>0</v>
      </c>
      <c r="EF330" s="241">
        <f t="shared" si="196"/>
        <v>0</v>
      </c>
      <c r="EG330" s="346">
        <f t="shared" si="197"/>
        <v>-1.7444500000000001</v>
      </c>
      <c r="EH330" s="445">
        <f t="shared" si="198"/>
        <v>0</v>
      </c>
      <c r="EI330" s="447">
        <f t="shared" si="199"/>
        <v>0</v>
      </c>
      <c r="EJ330" s="364">
        <f t="shared" si="200"/>
        <v>-1.7444500000000001</v>
      </c>
      <c r="EK330" s="365">
        <f t="shared" si="201"/>
        <v>0</v>
      </c>
      <c r="EL330" s="529">
        <f t="shared" si="202"/>
        <v>-1.7444500000000001</v>
      </c>
      <c r="EM330" s="530">
        <v>-1.7444500000000001</v>
      </c>
      <c r="EN330" s="530">
        <v>0</v>
      </c>
      <c r="EO330" s="530">
        <v>0</v>
      </c>
      <c r="EP330" s="530">
        <v>0</v>
      </c>
      <c r="EQ330" s="530">
        <v>0</v>
      </c>
      <c r="ER330" s="530">
        <v>0</v>
      </c>
      <c r="ES330" s="530">
        <v>0</v>
      </c>
      <c r="ET330" s="530">
        <v>0</v>
      </c>
      <c r="EU330" s="530">
        <v>0</v>
      </c>
      <c r="EV330" s="530">
        <v>0</v>
      </c>
      <c r="EW330" s="530">
        <v>0</v>
      </c>
      <c r="EX330" s="530">
        <v>0</v>
      </c>
      <c r="EY330" s="530">
        <f t="shared" si="203"/>
        <v>-1.7444500000000001</v>
      </c>
      <c r="EZ330" s="530">
        <f t="shared" si="204"/>
        <v>0</v>
      </c>
      <c r="FA330" s="530">
        <f t="shared" si="205"/>
        <v>0</v>
      </c>
      <c r="FB330" s="530">
        <f t="shared" si="206"/>
        <v>0</v>
      </c>
      <c r="FC330" s="384">
        <f>IFERROR(VLOOKUP(Capex!A346,BASE_558!D:R,8,FALSE)/1000,"")</f>
        <v>347.47</v>
      </c>
      <c r="FD330" s="328">
        <f>IFERROR(VLOOKUP(Capex!A346,BASE_558!D:R,9,)/1000,"")</f>
        <v>0</v>
      </c>
      <c r="FE330" s="328">
        <f>IFERROR(IF(LEFT(A330,3)="LCP",(VLOOKUP(Capex!A346,BASE_558!D:R,10,)/1000),SUMIFS('BASE ICP_PO_SC'!F:F,'BASE ICP_PO_SC'!A:A,Capex!A346,'BASE ICP_PO_SC'!E:E,"&lt;&gt;")/1000),"")</f>
        <v>0</v>
      </c>
      <c r="FF330" s="328">
        <f>IFERROR(IF(LEFT(A330,3)="LCP",(VLOOKUP(Capex!A346,BASE_558!D:R,11,)/1000),SUMIFS('BASE ICP_PO_SC'!F:F,'BASE ICP_PO_SC'!A:A,Capex!A346,'BASE ICP_PO_SC'!E:E,"")/1000),"")</f>
        <v>157.67099999999999</v>
      </c>
      <c r="FG330" s="328">
        <f>IFERROR(VLOOKUP(A330,BASE_558!D:R,13,FALSE)/1000,"")</f>
        <v>0</v>
      </c>
      <c r="FH330" s="328">
        <f>IFERROR(VLOOKUP(A330,BASE_558!D:R,15,FALSE)/1000,"")</f>
        <v>526.33900000000006</v>
      </c>
      <c r="FI330" s="547">
        <f t="shared" si="207"/>
        <v>0</v>
      </c>
      <c r="FJ330" s="547">
        <f t="shared" si="208"/>
        <v>0</v>
      </c>
      <c r="FK330" s="540">
        <f t="shared" si="209"/>
        <v>0</v>
      </c>
    </row>
    <row r="331" spans="1:167" s="23" customFormat="1" ht="24" customHeight="1">
      <c r="A331" s="309" t="s">
        <v>2414</v>
      </c>
      <c r="B331" s="404"/>
      <c r="C331" s="404">
        <v>25</v>
      </c>
      <c r="D331" s="403" t="s">
        <v>3348</v>
      </c>
      <c r="E331" s="309">
        <v>7743831</v>
      </c>
      <c r="F331" s="5"/>
      <c r="G331" s="310" t="s">
        <v>9</v>
      </c>
      <c r="H331" s="338" t="s">
        <v>6</v>
      </c>
      <c r="I331" s="356"/>
      <c r="J331" s="356">
        <v>2023</v>
      </c>
      <c r="K331" s="352">
        <v>45246</v>
      </c>
      <c r="L331" s="317"/>
      <c r="M331" s="409"/>
      <c r="N331" s="317">
        <f t="shared" si="177"/>
        <v>46158</v>
      </c>
      <c r="O331" s="317">
        <f t="shared" si="178"/>
        <v>46523</v>
      </c>
      <c r="P331" s="418" t="str">
        <f t="shared" si="186"/>
        <v>NÃO</v>
      </c>
      <c r="Q331" s="418" t="str">
        <f t="shared" si="186"/>
        <v>NÃO</v>
      </c>
      <c r="R331" s="418" t="str">
        <f t="shared" si="186"/>
        <v>NÃO</v>
      </c>
      <c r="S331" s="418" t="str">
        <f t="shared" si="186"/>
        <v>NÃO</v>
      </c>
      <c r="T331" s="418" t="str">
        <f t="shared" si="186"/>
        <v>NÃO</v>
      </c>
      <c r="U331" s="418" t="str">
        <f t="shared" si="186"/>
        <v>NÃO</v>
      </c>
      <c r="V331" s="418" t="str">
        <f t="shared" si="186"/>
        <v>NÃO</v>
      </c>
      <c r="W331" s="418" t="str">
        <f t="shared" si="186"/>
        <v>NÃO</v>
      </c>
      <c r="X331" s="418" t="str">
        <f t="shared" si="186"/>
        <v>NÃO</v>
      </c>
      <c r="Y331" s="418" t="str">
        <f t="shared" si="186"/>
        <v>NÃO</v>
      </c>
      <c r="Z331" s="418" t="str">
        <f t="shared" si="186"/>
        <v>NÃO</v>
      </c>
      <c r="AA331" s="418" t="str">
        <f t="shared" si="186"/>
        <v>NÃO</v>
      </c>
      <c r="AB331" s="350"/>
      <c r="AC331" s="309" t="s">
        <v>3932</v>
      </c>
      <c r="AD331" s="311" t="s">
        <v>5</v>
      </c>
      <c r="AE331" s="381" t="s">
        <v>980</v>
      </c>
      <c r="AF331" s="310" t="s">
        <v>6985</v>
      </c>
      <c r="AG331" s="310" t="s">
        <v>2079</v>
      </c>
      <c r="AH331" s="309" t="s">
        <v>2895</v>
      </c>
      <c r="AI331" s="381" t="s">
        <v>2255</v>
      </c>
      <c r="AJ331" s="6" t="s">
        <v>6786</v>
      </c>
      <c r="AK331" s="6" t="str">
        <f t="shared" si="187"/>
        <v>IGUAL</v>
      </c>
      <c r="AL331" s="151" t="str">
        <f>IFERROR(IF(LEFT(A331,3)="LCP",VLOOKUP(A331,STATUS_SAP_LCP!B:C,2,FALSE),VLOOKUP(A331,STATUS_SAP_ICP!B:C,2,FALSE)),"NO BUDGET")</f>
        <v>REL  BUDG AUC  AVAC  //  APPR BREL EXPL</v>
      </c>
      <c r="AM331" s="6" t="str">
        <f t="shared" si="185"/>
        <v xml:space="preserve">REL </v>
      </c>
      <c r="AN331" s="544" t="s">
        <v>17677</v>
      </c>
      <c r="AO331" s="414"/>
      <c r="AP331" s="499" t="s">
        <v>5299</v>
      </c>
      <c r="AQ331" s="465">
        <v>45807</v>
      </c>
      <c r="AR331" s="460"/>
      <c r="AS331" s="57"/>
      <c r="AT331" s="185"/>
      <c r="AU331" s="318"/>
      <c r="AV331" s="223"/>
      <c r="AW331" s="318">
        <v>0</v>
      </c>
      <c r="AX331" s="223">
        <v>466.42519999999996</v>
      </c>
      <c r="AY331" s="318">
        <f t="shared" si="179"/>
        <v>222.73951</v>
      </c>
      <c r="AZ331" s="223"/>
      <c r="BA331" s="318"/>
      <c r="BB331" s="519">
        <f t="shared" si="180"/>
        <v>18</v>
      </c>
      <c r="BC331" s="518">
        <v>9</v>
      </c>
      <c r="BD331" s="518">
        <v>9</v>
      </c>
      <c r="BE331" s="518">
        <v>0</v>
      </c>
      <c r="BF331" s="518">
        <v>0</v>
      </c>
      <c r="BG331" s="518">
        <v>0</v>
      </c>
      <c r="BH331" s="518">
        <v>0</v>
      </c>
      <c r="BI331" s="518">
        <v>0</v>
      </c>
      <c r="BJ331" s="518">
        <v>0</v>
      </c>
      <c r="BK331" s="518">
        <v>0</v>
      </c>
      <c r="BL331" s="518">
        <v>0</v>
      </c>
      <c r="BM331" s="518">
        <v>0</v>
      </c>
      <c r="BN331" s="518">
        <v>0</v>
      </c>
      <c r="BO331" s="367">
        <f t="shared" si="188"/>
        <v>222.73951</v>
      </c>
      <c r="BP331" s="421">
        <v>9</v>
      </c>
      <c r="BQ331" s="422"/>
      <c r="BR331" s="423">
        <f>IFERROR(IF(LEFT($A331,3)="Lcp",SUMIFS('BASE-LCP'!$K:$K,'BASE-LCP'!$A:$A,Capex!$A349,'BASE-LCP'!$B:$B,"janeiro")/1000,IF(LEFT($A331,3)="icp",SUMIFS('BASE-ICP'!$K:$K,'BASE-ICP'!$A:$A,Capex!$A349,'BASE-ICP'!$B:$B,"janeiro")/1000,"")),"")</f>
        <v>0</v>
      </c>
      <c r="BS331" s="427">
        <v>0</v>
      </c>
      <c r="BT331" s="372">
        <v>9</v>
      </c>
      <c r="BU331" s="422"/>
      <c r="BV331" s="423">
        <f>IFERROR(IF(LEFT($A331,3)="Lcp",SUMIFS('BASE-LCP'!$K:$K,'BASE-LCP'!$A:$A,Capex!$A349,'BASE-LCP'!$B:$B,"fevereiro")/1000,IF(LEFT($A331,3)="icp",SUMIFS('BASE-ICP'!$K:$K,'BASE-ICP'!$A:$A,Capex!$A349,'BASE-ICP'!$B:$B,"fevereiro")/1000,"")),"")</f>
        <v>0</v>
      </c>
      <c r="BW331" s="427">
        <v>0</v>
      </c>
      <c r="BX331" s="372">
        <v>9</v>
      </c>
      <c r="BY331" s="419">
        <v>22.739509999999999</v>
      </c>
      <c r="BZ331" s="423">
        <f>IFERROR(IF(LEFT($A331,3)="Lcp",SUMIFS('BASE-LCP'!$K:$K,'BASE-LCP'!$A:$A,Capex!$A349,'BASE-LCP'!$B:$B,"março")/1000,IF(LEFT($A331,3)="icp",SUMIFS('BASE-ICP'!$K:$K,'BASE-ICP'!$A:$A,Capex!$A349,'BASE-ICP'!$B:$B,"março")/1000,"")),"")</f>
        <v>0</v>
      </c>
      <c r="CA331" s="427">
        <v>22.739509999999999</v>
      </c>
      <c r="CB331" s="372">
        <v>4</v>
      </c>
      <c r="CC331" s="422"/>
      <c r="CD331" s="423">
        <f>IFERROR(IF(LEFT($A331,3)="Lcp",SUMIFS('BASE-LCP'!$K:$K,'BASE-LCP'!$A:$A,Capex!$A349,'BASE-LCP'!$B:$B,"abril")/1000,IF(LEFT($A331,3)="icp",SUMIFS('BASE-ICP'!$K:$K,'BASE-ICP'!$A:$A,Capex!$A349,'BASE-ICP'!$B:$B,"abril")/1000,"")),"")</f>
        <v>0</v>
      </c>
      <c r="CE331" s="427">
        <v>0</v>
      </c>
      <c r="CF331" s="372">
        <v>0</v>
      </c>
      <c r="CG331" s="419"/>
      <c r="CH331" s="423">
        <v>0</v>
      </c>
      <c r="CI331" s="427">
        <v>0</v>
      </c>
      <c r="CJ331" s="372">
        <v>0</v>
      </c>
      <c r="CK331" s="419"/>
      <c r="CL331" s="423">
        <f>IFERROR(IF(LEFT($A331,3)="Lcp",SUMIFS('BASE-LCP'!$K:$K,'BASE-LCP'!$A:$A,Capex!$A349,'BASE-LCP'!$B:$B,"junho")/1000,IF(LEFT($A331,3)="icp",SUMIFS('BASE-ICP'!$K:$K,'BASE-ICP'!$A:$A,Capex!$A349,'BASE-ICP'!$B:$B,"junho")/1000,"")),"")</f>
        <v>0</v>
      </c>
      <c r="CM331" s="427">
        <v>0</v>
      </c>
      <c r="CN331" s="372"/>
      <c r="CO331" s="419"/>
      <c r="CP331" s="423">
        <f>IFERROR(IF(LEFT($A331,3)="Lcp",SUMIFS('BASE-LCP'!$K:$K,'BASE-LCP'!$A:$A,Capex!$A349,'BASE-LCP'!$B:$B,"julho")/1000,IF(LEFT($A331,3)="icp",SUMIFS('BASE-ICP'!$K:$K,'BASE-ICP'!$A:$A,Capex!$A349,'BASE-ICP'!$B:$B,"julho")/1000,"")),"")</f>
        <v>0</v>
      </c>
      <c r="CQ331" s="427">
        <v>0</v>
      </c>
      <c r="CR331" s="372"/>
      <c r="CS331" s="419"/>
      <c r="CT331" s="423">
        <f>IFERROR(IF(LEFT($A331,3)="Lcp",SUMIFS('BASE-LCP'!$K:$K,'BASE-LCP'!$A:$A,Capex!$A349,'BASE-LCP'!$B:$B,"agosto")/1000,IF(LEFT($A331,3)="icp",SUMIFS('BASE-ICP'!$K:$K,'BASE-ICP'!$A:$A,Capex!$A349,'BASE-ICP'!$B:$B,"agosto")/1000,"")),"")</f>
        <v>0</v>
      </c>
      <c r="CU331" s="427">
        <v>0</v>
      </c>
      <c r="CV331" s="372"/>
      <c r="CW331" s="419"/>
      <c r="CX331" s="423">
        <f>IFERROR(IF(LEFT($A331,3)="Lcp",SUMIFS('BASE-LCP'!$K:$K,'BASE-LCP'!$A:$A,Capex!$A349,'BASE-LCP'!$B:$B,"setembro")/1000,IF(LEFT($A331,3)="icp",SUMIFS('BASE-ICP'!$K:$K,'BASE-ICP'!$A:$A,Capex!$A349,'BASE-ICP'!$B:$B,"setembro")/1000,"")),"")</f>
        <v>0</v>
      </c>
      <c r="CY331" s="427">
        <v>0</v>
      </c>
      <c r="CZ331" s="372"/>
      <c r="DA331" s="419"/>
      <c r="DB331" s="423">
        <f>IFERROR(IF(LEFT($A331,3)="Lcp",SUMIFS('BASE-LCP'!$K:$K,'BASE-LCP'!$A:$A,Capex!$A349,'BASE-LCP'!$B:$B,"outubro")/1000,IF(LEFT($A331,3)="icp",SUMIFS('BASE-ICP'!$K:$K,'BASE-ICP'!$A:$A,Capex!$A349,'BASE-ICP'!$B:$B,"outubro")/1000,"")),"")</f>
        <v>0</v>
      </c>
      <c r="DC331" s="427">
        <v>0</v>
      </c>
      <c r="DD331" s="372"/>
      <c r="DE331" s="419"/>
      <c r="DF331" s="423">
        <f>IFERROR(IF(LEFT($A331,3)="Lcp",SUMIFS('BASE-LCP'!$K:$K,'BASE-LCP'!$A:$A,Capex!$A349,'BASE-LCP'!$B:$B,"novembro")/1000,IF(LEFT($A331,3)="icp",SUMIFS('BASE-ICP'!$K:$K,'BASE-ICP'!$A:$A,Capex!$A349,'BASE-ICP'!$B:$B,"novembro")/1000,"")),"")</f>
        <v>0</v>
      </c>
      <c r="DG331" s="427">
        <v>200</v>
      </c>
      <c r="DH331" s="372"/>
      <c r="DI331" s="419"/>
      <c r="DJ331" s="423">
        <f>IFERROR(IF(LEFT($A331,3)="Lcp",SUMIFS('BASE-LCP'!$K:$K,'BASE-LCP'!$A:$A,Capex!$A349,'BASE-LCP'!$B:$B,"dezembro")/1000,IF(LEFT($A331,3)="icp",SUMIFS('BASE-ICP'!$K:$K,'BASE-ICP'!$A:$A,Capex!$A349,'BASE-ICP'!$B:$B,"dezembro")/1000,"")),"")</f>
        <v>0</v>
      </c>
      <c r="DK331" s="427">
        <v>0</v>
      </c>
      <c r="DL331" s="452">
        <f t="shared" si="189"/>
        <v>0</v>
      </c>
      <c r="DM331" s="374"/>
      <c r="DN331" s="374">
        <v>0</v>
      </c>
      <c r="DO331" s="374"/>
      <c r="DP331" s="374"/>
      <c r="DQ331" s="374"/>
      <c r="DR331" s="374"/>
      <c r="DS331" s="374"/>
      <c r="DT331" s="374"/>
      <c r="DU331" s="374"/>
      <c r="DV331" s="374"/>
      <c r="DW331" s="374"/>
      <c r="DX331" s="374"/>
      <c r="DY331" s="450"/>
      <c r="DZ331" s="374">
        <f t="shared" si="190"/>
        <v>0</v>
      </c>
      <c r="EA331" s="216">
        <f t="shared" si="191"/>
        <v>0</v>
      </c>
      <c r="EB331" s="320">
        <f t="shared" si="192"/>
        <v>0</v>
      </c>
      <c r="EC331" s="241">
        <f t="shared" si="193"/>
        <v>22.739509999999999</v>
      </c>
      <c r="ED331" s="241">
        <f t="shared" si="194"/>
        <v>0</v>
      </c>
      <c r="EE331" s="241">
        <f t="shared" si="195"/>
        <v>0</v>
      </c>
      <c r="EF331" s="241">
        <f t="shared" si="196"/>
        <v>200</v>
      </c>
      <c r="EG331" s="346">
        <f t="shared" si="197"/>
        <v>204.73951</v>
      </c>
      <c r="EH331" s="445">
        <f t="shared" si="198"/>
        <v>0</v>
      </c>
      <c r="EI331" s="447">
        <f t="shared" si="199"/>
        <v>0</v>
      </c>
      <c r="EJ331" s="364">
        <f t="shared" si="200"/>
        <v>22.739509999999999</v>
      </c>
      <c r="EK331" s="365">
        <f t="shared" si="201"/>
        <v>200</v>
      </c>
      <c r="EL331" s="529">
        <f t="shared" si="202"/>
        <v>222.73951</v>
      </c>
      <c r="EM331" s="530">
        <v>0</v>
      </c>
      <c r="EN331" s="530">
        <v>0</v>
      </c>
      <c r="EO331" s="530">
        <v>22.739509999999999</v>
      </c>
      <c r="EP331" s="530">
        <v>0</v>
      </c>
      <c r="EQ331" s="530">
        <v>0</v>
      </c>
      <c r="ER331" s="530">
        <v>0</v>
      </c>
      <c r="ES331" s="530">
        <v>0</v>
      </c>
      <c r="ET331" s="530">
        <v>0</v>
      </c>
      <c r="EU331" s="530">
        <v>0</v>
      </c>
      <c r="EV331" s="530">
        <v>0</v>
      </c>
      <c r="EW331" s="530">
        <v>200</v>
      </c>
      <c r="EX331" s="530">
        <v>0</v>
      </c>
      <c r="EY331" s="530">
        <f t="shared" si="203"/>
        <v>22.739509999999999</v>
      </c>
      <c r="EZ331" s="530">
        <f t="shared" si="204"/>
        <v>0</v>
      </c>
      <c r="FA331" s="530">
        <f t="shared" si="205"/>
        <v>0</v>
      </c>
      <c r="FB331" s="530">
        <f t="shared" si="206"/>
        <v>200</v>
      </c>
      <c r="FC331" s="384">
        <f>IFERROR(VLOOKUP(Capex!A349,BASE_558!D:R,8,FALSE)/1000,"")</f>
        <v>0</v>
      </c>
      <c r="FD331" s="328">
        <f>IFERROR(VLOOKUP(Capex!A349,BASE_558!D:R,9,)/1000,"")</f>
        <v>0</v>
      </c>
      <c r="FE331" s="328">
        <f>IFERROR(IF(LEFT(A331,3)="LCP",(VLOOKUP(Capex!A349,BASE_558!D:R,10,)/1000),SUMIFS('BASE ICP_PO_SC'!F:F,'BASE ICP_PO_SC'!A:A,Capex!A349,'BASE ICP_PO_SC'!E:E,"&lt;&gt;")/1000),"")</f>
        <v>0</v>
      </c>
      <c r="FF331" s="328">
        <f>IFERROR(IF(LEFT(A331,3)="LCP",(VLOOKUP(Capex!A349,BASE_558!D:R,11,)/1000),SUMIFS('BASE ICP_PO_SC'!F:F,'BASE ICP_PO_SC'!A:A,Capex!A349,'BASE ICP_PO_SC'!E:E,"")/1000),"")</f>
        <v>0</v>
      </c>
      <c r="FG331" s="328">
        <f>IFERROR(VLOOKUP(A331,BASE_558!D:R,13,FALSE)/1000,"")</f>
        <v>493.18071000000003</v>
      </c>
      <c r="FH331" s="328">
        <f>IFERROR(VLOOKUP(A331,BASE_558!D:R,15,FALSE)/1000,"")</f>
        <v>325.73538000000002</v>
      </c>
      <c r="FI331" s="547">
        <f t="shared" si="207"/>
        <v>0</v>
      </c>
      <c r="FJ331" s="547">
        <f t="shared" si="208"/>
        <v>0</v>
      </c>
      <c r="FK331" s="540">
        <f t="shared" si="209"/>
        <v>0</v>
      </c>
    </row>
    <row r="332" spans="1:167" s="23" customFormat="1" ht="23.5" customHeight="1">
      <c r="A332" s="84" t="s">
        <v>2435</v>
      </c>
      <c r="B332" s="404"/>
      <c r="C332" s="404"/>
      <c r="D332" s="338" t="s">
        <v>3794</v>
      </c>
      <c r="E332" s="378">
        <v>7973257</v>
      </c>
      <c r="F332" s="5"/>
      <c r="G332" s="310" t="s">
        <v>9</v>
      </c>
      <c r="H332" s="338" t="s">
        <v>6</v>
      </c>
      <c r="I332" s="356"/>
      <c r="J332" s="356">
        <v>2023</v>
      </c>
      <c r="K332" s="352">
        <v>45264</v>
      </c>
      <c r="L332" s="317"/>
      <c r="M332" s="409"/>
      <c r="N332" s="317">
        <f t="shared" si="177"/>
        <v>46176</v>
      </c>
      <c r="O332" s="317">
        <f t="shared" si="178"/>
        <v>46541</v>
      </c>
      <c r="P332" s="418" t="str">
        <f t="shared" si="186"/>
        <v>NÃO</v>
      </c>
      <c r="Q332" s="418" t="str">
        <f t="shared" si="186"/>
        <v>NÃO</v>
      </c>
      <c r="R332" s="418" t="str">
        <f t="shared" si="186"/>
        <v>NÃO</v>
      </c>
      <c r="S332" s="418" t="str">
        <f t="shared" si="186"/>
        <v>NÃO</v>
      </c>
      <c r="T332" s="418" t="str">
        <f t="shared" si="186"/>
        <v>NÃO</v>
      </c>
      <c r="U332" s="418" t="str">
        <f t="shared" si="186"/>
        <v>NÃO</v>
      </c>
      <c r="V332" s="566" t="str">
        <f t="shared" si="186"/>
        <v>NÃO</v>
      </c>
      <c r="W332" s="418" t="str">
        <f t="shared" si="186"/>
        <v>NÃO</v>
      </c>
      <c r="X332" s="418" t="str">
        <f t="shared" si="186"/>
        <v>NÃO</v>
      </c>
      <c r="Y332" s="418" t="str">
        <f t="shared" si="186"/>
        <v>NÃO</v>
      </c>
      <c r="Z332" s="418" t="str">
        <f t="shared" si="186"/>
        <v>NÃO</v>
      </c>
      <c r="AA332" s="418" t="str">
        <f t="shared" si="186"/>
        <v>NÃO</v>
      </c>
      <c r="AB332" s="350"/>
      <c r="AC332" s="309" t="s">
        <v>3930</v>
      </c>
      <c r="AD332" s="311"/>
      <c r="AE332" s="361"/>
      <c r="AF332" s="310" t="s">
        <v>6985</v>
      </c>
      <c r="AG332" s="310" t="s">
        <v>2485</v>
      </c>
      <c r="AH332" s="310" t="s">
        <v>2839</v>
      </c>
      <c r="AI332" s="381" t="s">
        <v>188</v>
      </c>
      <c r="AJ332" s="6" t="s">
        <v>6786</v>
      </c>
      <c r="AK332" s="6" t="str">
        <f t="shared" si="187"/>
        <v>IGUAL</v>
      </c>
      <c r="AL332" s="151" t="str">
        <f>IFERROR(IF(LEFT(A332,3)="LCP",VLOOKUP(A332,STATUS_SAP_LCP!B:C,2,FALSE),VLOOKUP(A332,STATUS_SAP_ICP!B:C,2,FALSE)),"NO BUDGET")</f>
        <v>REL  BUDG AUC  AVAC  //  APPR BREL EXPL</v>
      </c>
      <c r="AM332" s="6" t="str">
        <f t="shared" si="185"/>
        <v xml:space="preserve">REL </v>
      </c>
      <c r="AN332" s="491" t="s">
        <v>16348</v>
      </c>
      <c r="AO332" s="414"/>
      <c r="AP332" s="499" t="s">
        <v>5299</v>
      </c>
      <c r="AQ332" s="465">
        <v>45808</v>
      </c>
      <c r="AR332" s="460"/>
      <c r="AS332" s="57"/>
      <c r="AT332" s="185"/>
      <c r="AU332" s="318"/>
      <c r="AV332" s="223"/>
      <c r="AW332" s="318">
        <v>0</v>
      </c>
      <c r="AX332" s="223">
        <v>201.88776999999996</v>
      </c>
      <c r="AY332" s="318">
        <f t="shared" si="179"/>
        <v>26.021320000000003</v>
      </c>
      <c r="AZ332" s="223"/>
      <c r="BA332" s="318"/>
      <c r="BB332" s="519">
        <f t="shared" si="180"/>
        <v>50</v>
      </c>
      <c r="BC332" s="518">
        <v>0</v>
      </c>
      <c r="BD332" s="518">
        <v>0</v>
      </c>
      <c r="BE332" s="518">
        <v>25</v>
      </c>
      <c r="BF332" s="518">
        <v>25</v>
      </c>
      <c r="BG332" s="518">
        <v>0</v>
      </c>
      <c r="BH332" s="518">
        <v>0</v>
      </c>
      <c r="BI332" s="518">
        <v>0</v>
      </c>
      <c r="BJ332" s="518">
        <v>0</v>
      </c>
      <c r="BK332" s="518">
        <v>0</v>
      </c>
      <c r="BL332" s="518">
        <v>0</v>
      </c>
      <c r="BM332" s="518">
        <v>0</v>
      </c>
      <c r="BN332" s="518">
        <v>0</v>
      </c>
      <c r="BO332" s="367">
        <f t="shared" si="188"/>
        <v>26.021320000000003</v>
      </c>
      <c r="BP332" s="421">
        <v>0</v>
      </c>
      <c r="BQ332" s="422">
        <v>-0.55720000000000003</v>
      </c>
      <c r="BR332" s="423">
        <f>IFERROR(IF(LEFT($A332,3)="Lcp",SUMIFS('BASE-LCP'!$K:$K,'BASE-LCP'!$A:$A,Capex!$A350,'BASE-LCP'!$B:$B,"janeiro")/1000,IF(LEFT($A332,3)="icp",SUMIFS('BASE-ICP'!$K:$K,'BASE-ICP'!$A:$A,Capex!$A350,'BASE-ICP'!$B:$B,"janeiro")/1000,"")),"")</f>
        <v>1.39713</v>
      </c>
      <c r="BS332" s="427">
        <v>-0.55720000000000003</v>
      </c>
      <c r="BT332" s="372">
        <v>0</v>
      </c>
      <c r="BU332" s="422">
        <v>0.13683000000000001</v>
      </c>
      <c r="BV332" s="423">
        <f>IFERROR(IF(LEFT($A332,3)="Lcp",SUMIFS('BASE-LCP'!$K:$K,'BASE-LCP'!$A:$A,Capex!$A350,'BASE-LCP'!$B:$B,"fevereiro")/1000,IF(LEFT($A332,3)="icp",SUMIFS('BASE-ICP'!$K:$K,'BASE-ICP'!$A:$A,Capex!$A350,'BASE-ICP'!$B:$B,"fevereiro")/1000,"")),"")</f>
        <v>0.63931000000000004</v>
      </c>
      <c r="BW332" s="427">
        <v>0.13683000000000003</v>
      </c>
      <c r="BX332" s="372">
        <v>15.3</v>
      </c>
      <c r="BY332" s="419">
        <v>21.82292</v>
      </c>
      <c r="BZ332" s="423">
        <f>IFERROR(IF(LEFT($A332,3)="Lcp",SUMIFS('BASE-LCP'!$K:$K,'BASE-LCP'!$A:$A,Capex!$A350,'BASE-LCP'!$B:$B,"março")/1000,IF(LEFT($A332,3)="icp",SUMIFS('BASE-ICP'!$K:$K,'BASE-ICP'!$A:$A,Capex!$A350,'BASE-ICP'!$B:$B,"março")/1000,"")),"")</f>
        <v>6.4165000000000001</v>
      </c>
      <c r="CA332" s="427">
        <v>21.82292</v>
      </c>
      <c r="CB332" s="372">
        <v>5</v>
      </c>
      <c r="CC332" s="422">
        <v>4.9719499999999996</v>
      </c>
      <c r="CD332" s="423">
        <f>IFERROR(IF(LEFT($A332,3)="Lcp",SUMIFS('BASE-LCP'!$K:$K,'BASE-LCP'!$A:$A,Capex!$A350,'BASE-LCP'!$B:$B,"abril")/1000,IF(LEFT($A332,3)="icp",SUMIFS('BASE-ICP'!$K:$K,'BASE-ICP'!$A:$A,Capex!$A350,'BASE-ICP'!$B:$B,"abril")/1000,"")),"")</f>
        <v>6.7383100000000002</v>
      </c>
      <c r="CE332" s="427">
        <v>4.9719499999999996</v>
      </c>
      <c r="CF332" s="372">
        <v>0</v>
      </c>
      <c r="CG332" s="419">
        <v>-0.35317999999999999</v>
      </c>
      <c r="CH332" s="423">
        <v>-0.35317999999999999</v>
      </c>
      <c r="CI332" s="427">
        <v>-0.35317999999999999</v>
      </c>
      <c r="CJ332" s="372">
        <v>0</v>
      </c>
      <c r="CK332" s="419"/>
      <c r="CL332" s="423">
        <f>IFERROR(IF(LEFT($A332,3)="Lcp",SUMIFS('BASE-LCP'!$K:$K,'BASE-LCP'!$A:$A,Capex!$A350,'BASE-LCP'!$B:$B,"junho")/1000,IF(LEFT($A332,3)="icp",SUMIFS('BASE-ICP'!$K:$K,'BASE-ICP'!$A:$A,Capex!$A350,'BASE-ICP'!$B:$B,"junho")/1000,"")),"")</f>
        <v>0</v>
      </c>
      <c r="CM332" s="427">
        <v>0</v>
      </c>
      <c r="CN332" s="372"/>
      <c r="CO332" s="419"/>
      <c r="CP332" s="423">
        <f>IFERROR(IF(LEFT($A332,3)="Lcp",SUMIFS('BASE-LCP'!$K:$K,'BASE-LCP'!$A:$A,Capex!$A350,'BASE-LCP'!$B:$B,"julho")/1000,IF(LEFT($A332,3)="icp",SUMIFS('BASE-ICP'!$K:$K,'BASE-ICP'!$A:$A,Capex!$A350,'BASE-ICP'!$B:$B,"julho")/1000,"")),"")</f>
        <v>0</v>
      </c>
      <c r="CQ332" s="427">
        <v>0</v>
      </c>
      <c r="CR332" s="372"/>
      <c r="CS332" s="419"/>
      <c r="CT332" s="423">
        <f>IFERROR(IF(LEFT($A332,3)="Lcp",SUMIFS('BASE-LCP'!$K:$K,'BASE-LCP'!$A:$A,Capex!$A350,'BASE-LCP'!$B:$B,"agosto")/1000,IF(LEFT($A332,3)="icp",SUMIFS('BASE-ICP'!$K:$K,'BASE-ICP'!$A:$A,Capex!$A350,'BASE-ICP'!$B:$B,"agosto")/1000,"")),"")</f>
        <v>0</v>
      </c>
      <c r="CU332" s="427">
        <v>0</v>
      </c>
      <c r="CV332" s="372"/>
      <c r="CW332" s="419"/>
      <c r="CX332" s="423">
        <f>IFERROR(IF(LEFT($A332,3)="Lcp",SUMIFS('BASE-LCP'!$K:$K,'BASE-LCP'!$A:$A,Capex!$A350,'BASE-LCP'!$B:$B,"setembro")/1000,IF(LEFT($A332,3)="icp",SUMIFS('BASE-ICP'!$K:$K,'BASE-ICP'!$A:$A,Capex!$A350,'BASE-ICP'!$B:$B,"setembro")/1000,"")),"")</f>
        <v>0</v>
      </c>
      <c r="CY332" s="427">
        <v>0</v>
      </c>
      <c r="CZ332" s="372"/>
      <c r="DA332" s="419"/>
      <c r="DB332" s="423">
        <f>IFERROR(IF(LEFT($A332,3)="Lcp",SUMIFS('BASE-LCP'!$K:$K,'BASE-LCP'!$A:$A,Capex!$A350,'BASE-LCP'!$B:$B,"outubro")/1000,IF(LEFT($A332,3)="icp",SUMIFS('BASE-ICP'!$K:$K,'BASE-ICP'!$A:$A,Capex!$A350,'BASE-ICP'!$B:$B,"outubro")/1000,"")),"")</f>
        <v>0</v>
      </c>
      <c r="DC332" s="427">
        <v>0</v>
      </c>
      <c r="DD332" s="372"/>
      <c r="DE332" s="419"/>
      <c r="DF332" s="423">
        <f>IFERROR(IF(LEFT($A332,3)="Lcp",SUMIFS('BASE-LCP'!$K:$K,'BASE-LCP'!$A:$A,Capex!$A350,'BASE-LCP'!$B:$B,"novembro")/1000,IF(LEFT($A332,3)="icp",SUMIFS('BASE-ICP'!$K:$K,'BASE-ICP'!$A:$A,Capex!$A350,'BASE-ICP'!$B:$B,"novembro")/1000,"")),"")</f>
        <v>0</v>
      </c>
      <c r="DG332" s="427">
        <v>0</v>
      </c>
      <c r="DH332" s="372"/>
      <c r="DI332" s="419"/>
      <c r="DJ332" s="423">
        <f>IFERROR(IF(LEFT($A332,3)="Lcp",SUMIFS('BASE-LCP'!$K:$K,'BASE-LCP'!$A:$A,Capex!$A350,'BASE-LCP'!$B:$B,"dezembro")/1000,IF(LEFT($A332,3)="icp",SUMIFS('BASE-ICP'!$K:$K,'BASE-ICP'!$A:$A,Capex!$A350,'BASE-ICP'!$B:$B,"dezembro")/1000,"")),"")</f>
        <v>0</v>
      </c>
      <c r="DK332" s="427">
        <v>0</v>
      </c>
      <c r="DL332" s="452">
        <f t="shared" si="189"/>
        <v>0</v>
      </c>
      <c r="DM332" s="374"/>
      <c r="DN332" s="374">
        <v>0</v>
      </c>
      <c r="DO332" s="374"/>
      <c r="DP332" s="374"/>
      <c r="DQ332" s="374"/>
      <c r="DR332" s="374"/>
      <c r="DS332" s="374"/>
      <c r="DT332" s="374"/>
      <c r="DU332" s="374"/>
      <c r="DV332" s="374"/>
      <c r="DW332" s="374"/>
      <c r="DX332" s="374"/>
      <c r="DY332" s="450"/>
      <c r="DZ332" s="374">
        <f t="shared" si="190"/>
        <v>0</v>
      </c>
      <c r="EA332" s="216">
        <f t="shared" si="191"/>
        <v>0</v>
      </c>
      <c r="EB332" s="320">
        <f t="shared" si="192"/>
        <v>0</v>
      </c>
      <c r="EC332" s="241">
        <f t="shared" si="193"/>
        <v>21.402550000000002</v>
      </c>
      <c r="ED332" s="241">
        <f t="shared" si="194"/>
        <v>4.6187699999999996</v>
      </c>
      <c r="EE332" s="241">
        <f t="shared" si="195"/>
        <v>0</v>
      </c>
      <c r="EF332" s="241">
        <f t="shared" si="196"/>
        <v>0</v>
      </c>
      <c r="EG332" s="346">
        <f t="shared" si="197"/>
        <v>-23.978679999999997</v>
      </c>
      <c r="EH332" s="445">
        <f t="shared" si="198"/>
        <v>0</v>
      </c>
      <c r="EI332" s="447">
        <f t="shared" si="199"/>
        <v>-0.35317999999999999</v>
      </c>
      <c r="EJ332" s="364">
        <f t="shared" si="200"/>
        <v>26.021320000000003</v>
      </c>
      <c r="EK332" s="365">
        <f t="shared" si="201"/>
        <v>0</v>
      </c>
      <c r="EL332" s="529">
        <f t="shared" si="202"/>
        <v>26.021320000000003</v>
      </c>
      <c r="EM332" s="530">
        <v>-0.55720000000000003</v>
      </c>
      <c r="EN332" s="530">
        <v>0.13683000000000003</v>
      </c>
      <c r="EO332" s="530">
        <v>21.82292</v>
      </c>
      <c r="EP332" s="530">
        <v>4.9719499999999996</v>
      </c>
      <c r="EQ332" s="530">
        <v>-0.35317999999999999</v>
      </c>
      <c r="ER332" s="530">
        <v>0</v>
      </c>
      <c r="ES332" s="530">
        <v>0</v>
      </c>
      <c r="ET332" s="530">
        <v>0</v>
      </c>
      <c r="EU332" s="530">
        <v>0</v>
      </c>
      <c r="EV332" s="530">
        <v>0</v>
      </c>
      <c r="EW332" s="530">
        <v>0</v>
      </c>
      <c r="EX332" s="530">
        <v>0</v>
      </c>
      <c r="EY332" s="530">
        <f t="shared" si="203"/>
        <v>21.402550000000002</v>
      </c>
      <c r="EZ332" s="530">
        <f t="shared" si="204"/>
        <v>4.6187699999999996</v>
      </c>
      <c r="FA332" s="530">
        <f t="shared" si="205"/>
        <v>0</v>
      </c>
      <c r="FB332" s="530">
        <f t="shared" si="206"/>
        <v>0</v>
      </c>
      <c r="FC332" s="384">
        <f>IFERROR(VLOOKUP(Capex!A350,BASE_558!D:R,8,FALSE)/1000,"")</f>
        <v>33381.620999999999</v>
      </c>
      <c r="FD332" s="328">
        <f>IFERROR(VLOOKUP(Capex!A350,BASE_558!D:R,9,)/1000,"")</f>
        <v>63.921529999999997</v>
      </c>
      <c r="FE332" s="328">
        <f>IFERROR(IF(LEFT(A332,3)="LCP",(VLOOKUP(Capex!A350,BASE_558!D:R,10,)/1000),SUMIFS('BASE ICP_PO_SC'!F:F,'BASE ICP_PO_SC'!A:A,Capex!A350,'BASE ICP_PO_SC'!E:E,"&lt;&gt;")/1000),"")</f>
        <v>12505.840960000001</v>
      </c>
      <c r="FF332" s="328">
        <f>IFERROR(IF(LEFT(A332,3)="LCP",(VLOOKUP(Capex!A350,BASE_558!D:R,11,)/1000),SUMIFS('BASE ICP_PO_SC'!F:F,'BASE ICP_PO_SC'!A:A,Capex!A350,'BASE ICP_PO_SC'!E:E,"")/1000),"")</f>
        <v>2.11958</v>
      </c>
      <c r="FG332" s="328">
        <f>IFERROR(VLOOKUP(A332,BASE_558!D:R,13,FALSE)/1000,"")</f>
        <v>227.90908999999999</v>
      </c>
      <c r="FH332" s="328">
        <f>IFERROR(VLOOKUP(A332,BASE_558!D:R,15,FALSE)/1000,"")</f>
        <v>185.09091000000001</v>
      </c>
      <c r="FI332" s="547">
        <f t="shared" si="207"/>
        <v>0</v>
      </c>
      <c r="FJ332" s="547">
        <f t="shared" si="208"/>
        <v>0</v>
      </c>
      <c r="FK332" s="540">
        <f t="shared" si="209"/>
        <v>0</v>
      </c>
    </row>
    <row r="333" spans="1:167" s="23" customFormat="1" ht="24" customHeight="1">
      <c r="A333" s="310" t="s">
        <v>2487</v>
      </c>
      <c r="B333" s="404"/>
      <c r="C333" s="404"/>
      <c r="D333" s="338"/>
      <c r="E333" s="309">
        <v>7055149</v>
      </c>
      <c r="F333" s="5"/>
      <c r="G333" s="310" t="s">
        <v>9</v>
      </c>
      <c r="H333" s="338"/>
      <c r="I333" s="356"/>
      <c r="J333" s="356">
        <v>2024</v>
      </c>
      <c r="K333" s="321"/>
      <c r="L333" s="317">
        <v>45502</v>
      </c>
      <c r="M333" s="409"/>
      <c r="N333" s="317" t="str">
        <f t="shared" si="177"/>
        <v/>
      </c>
      <c r="O333" s="317" t="str">
        <f t="shared" si="178"/>
        <v/>
      </c>
      <c r="P333" s="418" t="str">
        <f t="shared" si="186"/>
        <v>N/A</v>
      </c>
      <c r="Q333" s="418" t="str">
        <f t="shared" si="186"/>
        <v>N/A</v>
      </c>
      <c r="R333" s="418" t="str">
        <f t="shared" si="186"/>
        <v>N/A</v>
      </c>
      <c r="S333" s="418" t="str">
        <f t="shared" si="186"/>
        <v>N/A</v>
      </c>
      <c r="T333" s="418" t="str">
        <f t="shared" si="186"/>
        <v>N/A</v>
      </c>
      <c r="U333" s="418" t="str">
        <f t="shared" si="186"/>
        <v>N/A</v>
      </c>
      <c r="V333" s="418" t="str">
        <f t="shared" si="186"/>
        <v>N/A</v>
      </c>
      <c r="W333" s="418" t="str">
        <f t="shared" si="186"/>
        <v>N/A</v>
      </c>
      <c r="X333" s="418" t="str">
        <f t="shared" si="186"/>
        <v>N/A</v>
      </c>
      <c r="Y333" s="418" t="str">
        <f t="shared" si="186"/>
        <v>N/A</v>
      </c>
      <c r="Z333" s="418" t="str">
        <f t="shared" si="186"/>
        <v>N/A</v>
      </c>
      <c r="AA333" s="418" t="str">
        <f t="shared" si="186"/>
        <v>N/A</v>
      </c>
      <c r="AB333" s="350"/>
      <c r="AC333" s="309" t="s">
        <v>3931</v>
      </c>
      <c r="AD333" s="311" t="s">
        <v>223</v>
      </c>
      <c r="AE333" s="381"/>
      <c r="AF333" s="310" t="s">
        <v>6985</v>
      </c>
      <c r="AG333" s="310" t="s">
        <v>2485</v>
      </c>
      <c r="AH333" s="309" t="s">
        <v>2372</v>
      </c>
      <c r="AI333" s="381" t="s">
        <v>188</v>
      </c>
      <c r="AJ333" s="6" t="s">
        <v>218</v>
      </c>
      <c r="AK333" s="6" t="str">
        <f t="shared" si="187"/>
        <v>IGUAL</v>
      </c>
      <c r="AL333" s="151" t="str">
        <f>IFERROR(IF(LEFT(A333,3)="LCP",VLOOKUP(A333,STATUS_SAP_LCP!B:C,2,FALSE),VLOOKUP(A333,STATUS_SAP_ICP!B:C,2,FALSE)),"NO BUDGET")</f>
        <v>CLSD AUC   //  RJCD BNRL EXPL</v>
      </c>
      <c r="AM333" s="6" t="str">
        <f t="shared" si="185"/>
        <v>CLSD</v>
      </c>
      <c r="AN333" s="429" t="s">
        <v>557</v>
      </c>
      <c r="AO333" s="558">
        <v>1</v>
      </c>
      <c r="AP333" s="499" t="s">
        <v>9618</v>
      </c>
      <c r="AQ333" s="465">
        <v>45502</v>
      </c>
      <c r="AR333" s="460"/>
      <c r="AS333" s="57"/>
      <c r="AT333" s="185"/>
      <c r="AU333" s="318"/>
      <c r="AV333" s="223">
        <v>0</v>
      </c>
      <c r="AW333" s="318">
        <v>0</v>
      </c>
      <c r="AX333" s="223">
        <v>0</v>
      </c>
      <c r="AY333" s="318">
        <f t="shared" si="179"/>
        <v>0</v>
      </c>
      <c r="AZ333" s="223"/>
      <c r="BA333" s="318"/>
      <c r="BB333" s="519">
        <f t="shared" si="180"/>
        <v>0</v>
      </c>
      <c r="BC333" s="518"/>
      <c r="BD333" s="518"/>
      <c r="BE333" s="518"/>
      <c r="BF333" s="518"/>
      <c r="BG333" s="518"/>
      <c r="BH333" s="518"/>
      <c r="BI333" s="518"/>
      <c r="BJ333" s="518"/>
      <c r="BK333" s="518"/>
      <c r="BL333" s="518"/>
      <c r="BM333" s="518"/>
      <c r="BN333" s="518"/>
      <c r="BO333" s="367">
        <f t="shared" si="188"/>
        <v>0</v>
      </c>
      <c r="BP333" s="421"/>
      <c r="BQ333" s="422"/>
      <c r="BR333" s="423">
        <f>IFERROR(IF(LEFT($A333,3)="Lcp",SUMIFS('BASE-LCP'!$K:$K,'BASE-LCP'!$A:$A,Capex!$A352,'BASE-LCP'!$B:$B,"janeiro")/1000,IF(LEFT($A333,3)="icp",SUMIFS('BASE-ICP'!$K:$K,'BASE-ICP'!$A:$A,Capex!$A352,'BASE-ICP'!$B:$B,"janeiro")/1000,"")),"")</f>
        <v>0</v>
      </c>
      <c r="BS333" s="427">
        <v>0</v>
      </c>
      <c r="BT333" s="372">
        <v>0</v>
      </c>
      <c r="BU333" s="422"/>
      <c r="BV333" s="423">
        <f>IFERROR(IF(LEFT($A333,3)="Lcp",SUMIFS('BASE-LCP'!$K:$K,'BASE-LCP'!$A:$A,Capex!$A352,'BASE-LCP'!$B:$B,"fevereiro")/1000,IF(LEFT($A333,3)="icp",SUMIFS('BASE-ICP'!$K:$K,'BASE-ICP'!$A:$A,Capex!$A352,'BASE-ICP'!$B:$B,"fevereiro")/1000,"")),"")</f>
        <v>0</v>
      </c>
      <c r="BW333" s="427">
        <v>0</v>
      </c>
      <c r="BX333" s="372">
        <v>0</v>
      </c>
      <c r="BY333" s="419"/>
      <c r="BZ333" s="423">
        <f>IFERROR(IF(LEFT($A333,3)="Lcp",SUMIFS('BASE-LCP'!$K:$K,'BASE-LCP'!$A:$A,Capex!$A352,'BASE-LCP'!$B:$B,"março")/1000,IF(LEFT($A333,3)="icp",SUMIFS('BASE-ICP'!$K:$K,'BASE-ICP'!$A:$A,Capex!$A352,'BASE-ICP'!$B:$B,"março")/1000,"")),"")</f>
        <v>0</v>
      </c>
      <c r="CA333" s="427">
        <v>0</v>
      </c>
      <c r="CB333" s="372">
        <v>0</v>
      </c>
      <c r="CC333" s="422"/>
      <c r="CD333" s="423">
        <f>IFERROR(IF(LEFT($A333,3)="Lcp",SUMIFS('BASE-LCP'!$K:$K,'BASE-LCP'!$A:$A,Capex!$A352,'BASE-LCP'!$B:$B,"abril")/1000,IF(LEFT($A333,3)="icp",SUMIFS('BASE-ICP'!$K:$K,'BASE-ICP'!$A:$A,Capex!$A352,'BASE-ICP'!$B:$B,"abril")/1000,"")),"")</f>
        <v>0</v>
      </c>
      <c r="CE333" s="427">
        <v>0</v>
      </c>
      <c r="CF333" s="372">
        <v>0</v>
      </c>
      <c r="CG333" s="419"/>
      <c r="CH333" s="423">
        <v>0</v>
      </c>
      <c r="CI333" s="427">
        <v>0</v>
      </c>
      <c r="CJ333" s="372">
        <v>0</v>
      </c>
      <c r="CK333" s="419"/>
      <c r="CL333" s="423">
        <f>IFERROR(IF(LEFT($A333,3)="Lcp",SUMIFS('BASE-LCP'!$K:$K,'BASE-LCP'!$A:$A,Capex!$A352,'BASE-LCP'!$B:$B,"junho")/1000,IF(LEFT($A333,3)="icp",SUMIFS('BASE-ICP'!$K:$K,'BASE-ICP'!$A:$A,Capex!$A352,'BASE-ICP'!$B:$B,"junho")/1000,"")),"")</f>
        <v>0</v>
      </c>
      <c r="CM333" s="427">
        <v>0</v>
      </c>
      <c r="CN333" s="319"/>
      <c r="CO333" s="419"/>
      <c r="CP333" s="423">
        <f>IFERROR(IF(LEFT($A333,3)="Lcp",SUMIFS('BASE-LCP'!$K:$K,'BASE-LCP'!$A:$A,Capex!$A352,'BASE-LCP'!$B:$B,"julho")/1000,IF(LEFT($A333,3)="icp",SUMIFS('BASE-ICP'!$K:$K,'BASE-ICP'!$A:$A,Capex!$A352,'BASE-ICP'!$B:$B,"julho")/1000,"")),"")</f>
        <v>0</v>
      </c>
      <c r="CQ333" s="427">
        <v>0</v>
      </c>
      <c r="CR333" s="319"/>
      <c r="CS333" s="419"/>
      <c r="CT333" s="423">
        <f>IFERROR(IF(LEFT($A333,3)="Lcp",SUMIFS('BASE-LCP'!$K:$K,'BASE-LCP'!$A:$A,Capex!$A352,'BASE-LCP'!$B:$B,"agosto")/1000,IF(LEFT($A333,3)="icp",SUMIFS('BASE-ICP'!$K:$K,'BASE-ICP'!$A:$A,Capex!$A352,'BASE-ICP'!$B:$B,"agosto")/1000,"")),"")</f>
        <v>0</v>
      </c>
      <c r="CU333" s="427">
        <v>0</v>
      </c>
      <c r="CV333" s="372"/>
      <c r="CW333" s="419"/>
      <c r="CX333" s="423">
        <f>IFERROR(IF(LEFT($A333,3)="Lcp",SUMIFS('BASE-LCP'!$K:$K,'BASE-LCP'!$A:$A,Capex!$A352,'BASE-LCP'!$B:$B,"setembro")/1000,IF(LEFT($A333,3)="icp",SUMIFS('BASE-ICP'!$K:$K,'BASE-ICP'!$A:$A,Capex!$A352,'BASE-ICP'!$B:$B,"setembro")/1000,"")),"")</f>
        <v>0</v>
      </c>
      <c r="CY333" s="427">
        <v>0</v>
      </c>
      <c r="CZ333" s="372"/>
      <c r="DA333" s="419"/>
      <c r="DB333" s="423">
        <f>IFERROR(IF(LEFT($A333,3)="Lcp",SUMIFS('BASE-LCP'!$K:$K,'BASE-LCP'!$A:$A,Capex!$A352,'BASE-LCP'!$B:$B,"outubro")/1000,IF(LEFT($A333,3)="icp",SUMIFS('BASE-ICP'!$K:$K,'BASE-ICP'!$A:$A,Capex!$A352,'BASE-ICP'!$B:$B,"outubro")/1000,"")),"")</f>
        <v>0</v>
      </c>
      <c r="DC333" s="427">
        <v>0</v>
      </c>
      <c r="DD333" s="372"/>
      <c r="DE333" s="419"/>
      <c r="DF333" s="423">
        <f>IFERROR(IF(LEFT($A333,3)="Lcp",SUMIFS('BASE-LCP'!$K:$K,'BASE-LCP'!$A:$A,Capex!$A352,'BASE-LCP'!$B:$B,"novembro")/1000,IF(LEFT($A333,3)="icp",SUMIFS('BASE-ICP'!$K:$K,'BASE-ICP'!$A:$A,Capex!$A352,'BASE-ICP'!$B:$B,"novembro")/1000,"")),"")</f>
        <v>0</v>
      </c>
      <c r="DG333" s="427">
        <v>0</v>
      </c>
      <c r="DH333" s="372"/>
      <c r="DI333" s="419"/>
      <c r="DJ333" s="423">
        <f>IFERROR(IF(LEFT($A333,3)="Lcp",SUMIFS('BASE-LCP'!$K:$K,'BASE-LCP'!$A:$A,Capex!$A352,'BASE-LCP'!$B:$B,"dezembro")/1000,IF(LEFT($A333,3)="icp",SUMIFS('BASE-ICP'!$K:$K,'BASE-ICP'!$A:$A,Capex!$A352,'BASE-ICP'!$B:$B,"dezembro")/1000,"")),"")</f>
        <v>0</v>
      </c>
      <c r="DK333" s="427">
        <v>0</v>
      </c>
      <c r="DL333" s="452">
        <f t="shared" si="189"/>
        <v>0</v>
      </c>
      <c r="DM333" s="374"/>
      <c r="DN333" s="374"/>
      <c r="DO333" s="374"/>
      <c r="DP333" s="374"/>
      <c r="DQ333" s="374"/>
      <c r="DR333" s="374"/>
      <c r="DS333" s="374"/>
      <c r="DT333" s="374"/>
      <c r="DU333" s="374"/>
      <c r="DV333" s="374"/>
      <c r="DW333" s="374"/>
      <c r="DX333" s="374"/>
      <c r="DY333" s="450"/>
      <c r="DZ333" s="374">
        <f t="shared" si="190"/>
        <v>0</v>
      </c>
      <c r="EA333" s="216">
        <f t="shared" si="191"/>
        <v>0</v>
      </c>
      <c r="EB333" s="320">
        <f t="shared" si="192"/>
        <v>0</v>
      </c>
      <c r="EC333" s="241">
        <f t="shared" si="193"/>
        <v>0</v>
      </c>
      <c r="ED333" s="241">
        <f t="shared" si="194"/>
        <v>0</v>
      </c>
      <c r="EE333" s="241">
        <f t="shared" si="195"/>
        <v>0</v>
      </c>
      <c r="EF333" s="241">
        <f t="shared" si="196"/>
        <v>0</v>
      </c>
      <c r="EG333" s="346">
        <f t="shared" si="197"/>
        <v>0</v>
      </c>
      <c r="EH333" s="445">
        <f t="shared" si="198"/>
        <v>0</v>
      </c>
      <c r="EI333" s="447">
        <f t="shared" si="199"/>
        <v>0</v>
      </c>
      <c r="EJ333" s="364">
        <f t="shared" si="200"/>
        <v>0</v>
      </c>
      <c r="EK333" s="365">
        <f t="shared" si="201"/>
        <v>0</v>
      </c>
      <c r="EL333" s="529">
        <f t="shared" si="202"/>
        <v>0</v>
      </c>
      <c r="EM333" s="530">
        <v>0</v>
      </c>
      <c r="EN333" s="530">
        <v>0</v>
      </c>
      <c r="EO333" s="530">
        <v>0</v>
      </c>
      <c r="EP333" s="530">
        <v>0</v>
      </c>
      <c r="EQ333" s="530">
        <v>0</v>
      </c>
      <c r="ER333" s="530">
        <v>0</v>
      </c>
      <c r="ES333" s="530">
        <v>0</v>
      </c>
      <c r="ET333" s="530">
        <v>0</v>
      </c>
      <c r="EU333" s="530">
        <v>0</v>
      </c>
      <c r="EV333" s="530">
        <v>0</v>
      </c>
      <c r="EW333" s="530">
        <v>0</v>
      </c>
      <c r="EX333" s="530">
        <v>0</v>
      </c>
      <c r="EY333" s="530">
        <f t="shared" si="203"/>
        <v>0</v>
      </c>
      <c r="EZ333" s="530">
        <f t="shared" si="204"/>
        <v>0</v>
      </c>
      <c r="FA333" s="530">
        <f t="shared" si="205"/>
        <v>0</v>
      </c>
      <c r="FB333" s="530">
        <f t="shared" si="206"/>
        <v>0</v>
      </c>
      <c r="FC333" s="384">
        <f>IFERROR(VLOOKUP(Capex!A352,BASE_558!D:R,8,FALSE)/1000,"")</f>
        <v>0</v>
      </c>
      <c r="FD333" s="328">
        <f>IFERROR(VLOOKUP(Capex!A352,BASE_558!D:R,9,)/1000,"")</f>
        <v>0</v>
      </c>
      <c r="FE333" s="328">
        <f>IFERROR(IF(LEFT(A333,3)="LCP",(VLOOKUP(Capex!A352,BASE_558!D:R,10,)/1000),SUMIFS('BASE ICP_PO_SC'!F:F,'BASE ICP_PO_SC'!A:A,Capex!A352,'BASE ICP_PO_SC'!E:E,"&lt;&gt;")/1000),"")</f>
        <v>0</v>
      </c>
      <c r="FF333" s="328">
        <f>IFERROR(IF(LEFT(A333,3)="LCP",(VLOOKUP(Capex!A352,BASE_558!D:R,11,)/1000),SUMIFS('BASE ICP_PO_SC'!F:F,'BASE ICP_PO_SC'!A:A,Capex!A352,'BASE ICP_PO_SC'!E:E,"")/1000),"")</f>
        <v>0</v>
      </c>
      <c r="FG333" s="328">
        <f>IFERROR(VLOOKUP(A333,BASE_558!D:R,13,FALSE)/1000,"")</f>
        <v>0</v>
      </c>
      <c r="FH333" s="328">
        <f>IFERROR(VLOOKUP(A333,BASE_558!D:R,15,FALSE)/1000,"")</f>
        <v>0</v>
      </c>
      <c r="FI333" s="547">
        <f t="shared" si="207"/>
        <v>0</v>
      </c>
      <c r="FJ333" s="547">
        <f t="shared" si="208"/>
        <v>0</v>
      </c>
      <c r="FK333" s="540">
        <f t="shared" si="209"/>
        <v>0</v>
      </c>
    </row>
    <row r="334" spans="1:167" s="23" customFormat="1" ht="24" customHeight="1">
      <c r="A334" s="84" t="s">
        <v>2570</v>
      </c>
      <c r="B334" s="404"/>
      <c r="C334" s="404"/>
      <c r="D334" s="338"/>
      <c r="E334" s="378">
        <v>8047148</v>
      </c>
      <c r="F334" s="5"/>
      <c r="G334" s="310" t="s">
        <v>9</v>
      </c>
      <c r="H334" s="338" t="s">
        <v>6</v>
      </c>
      <c r="I334" s="356"/>
      <c r="J334" s="356">
        <v>2024</v>
      </c>
      <c r="K334" s="352">
        <v>45351</v>
      </c>
      <c r="L334" s="317"/>
      <c r="M334" s="409"/>
      <c r="N334" s="317">
        <f t="shared" si="177"/>
        <v>46263</v>
      </c>
      <c r="O334" s="317">
        <f t="shared" si="178"/>
        <v>46628</v>
      </c>
      <c r="P334" s="418" t="str">
        <f t="shared" si="186"/>
        <v>NÃO</v>
      </c>
      <c r="Q334" s="418" t="str">
        <f t="shared" si="186"/>
        <v>NÃO</v>
      </c>
      <c r="R334" s="418" t="str">
        <f t="shared" si="186"/>
        <v>NÃO</v>
      </c>
      <c r="S334" s="418" t="str">
        <f t="shared" si="186"/>
        <v>NÃO</v>
      </c>
      <c r="T334" s="418" t="str">
        <f t="shared" si="186"/>
        <v>NÃO</v>
      </c>
      <c r="U334" s="418" t="str">
        <f t="shared" si="186"/>
        <v>NÃO</v>
      </c>
      <c r="V334" s="418" t="str">
        <f t="shared" si="186"/>
        <v>NÃO</v>
      </c>
      <c r="W334" s="418" t="str">
        <f t="shared" si="186"/>
        <v>NÃO</v>
      </c>
      <c r="X334" s="418" t="str">
        <f t="shared" si="186"/>
        <v>NÃO</v>
      </c>
      <c r="Y334" s="418" t="str">
        <f t="shared" si="186"/>
        <v>NÃO</v>
      </c>
      <c r="Z334" s="418" t="str">
        <f t="shared" si="186"/>
        <v>NÃO</v>
      </c>
      <c r="AA334" s="418" t="str">
        <f t="shared" si="186"/>
        <v>NÃO</v>
      </c>
      <c r="AB334" s="350"/>
      <c r="AC334" s="309" t="s">
        <v>3932</v>
      </c>
      <c r="AD334" s="311" t="s">
        <v>222</v>
      </c>
      <c r="AE334" s="361" t="s">
        <v>979</v>
      </c>
      <c r="AF334" s="310" t="s">
        <v>6985</v>
      </c>
      <c r="AG334" s="310" t="s">
        <v>2251</v>
      </c>
      <c r="AH334" s="310" t="s">
        <v>2480</v>
      </c>
      <c r="AI334" s="381" t="s">
        <v>2255</v>
      </c>
      <c r="AJ334" s="6" t="s">
        <v>6786</v>
      </c>
      <c r="AK334" s="6" t="str">
        <f t="shared" si="187"/>
        <v>IGUAL</v>
      </c>
      <c r="AL334" s="151" t="str">
        <f>IFERROR(IF(LEFT(A334,3)="LCP",VLOOKUP(A334,STATUS_SAP_LCP!B:C,2,FALSE),VLOOKUP(A334,STATUS_SAP_ICP!B:C,2,FALSE)),"NO BUDGET")</f>
        <v>REL  BUDG AUC  AVAC  //  APPR BREL EXPL</v>
      </c>
      <c r="AM334" s="6" t="str">
        <f t="shared" si="185"/>
        <v xml:space="preserve">REL </v>
      </c>
      <c r="AN334" s="414" t="s">
        <v>18976</v>
      </c>
      <c r="AO334" s="414"/>
      <c r="AP334" s="499" t="s">
        <v>9617</v>
      </c>
      <c r="AQ334" s="465">
        <v>45748</v>
      </c>
      <c r="AR334" s="460"/>
      <c r="AS334" s="57"/>
      <c r="AT334" s="185"/>
      <c r="AU334" s="318"/>
      <c r="AV334" s="223"/>
      <c r="AW334" s="318">
        <v>0</v>
      </c>
      <c r="AX334" s="223">
        <v>131.75356000000002</v>
      </c>
      <c r="AY334" s="318">
        <f t="shared" si="179"/>
        <v>13</v>
      </c>
      <c r="AZ334" s="223"/>
      <c r="BA334" s="318"/>
      <c r="BB334" s="519">
        <f t="shared" si="180"/>
        <v>13</v>
      </c>
      <c r="BC334" s="518">
        <v>0</v>
      </c>
      <c r="BD334" s="518">
        <v>0</v>
      </c>
      <c r="BE334" s="518">
        <v>13</v>
      </c>
      <c r="BF334" s="518">
        <v>0</v>
      </c>
      <c r="BG334" s="518">
        <v>0</v>
      </c>
      <c r="BH334" s="518">
        <v>0</v>
      </c>
      <c r="BI334" s="518">
        <v>0</v>
      </c>
      <c r="BJ334" s="518">
        <v>0</v>
      </c>
      <c r="BK334" s="518">
        <v>0</v>
      </c>
      <c r="BL334" s="518">
        <v>0</v>
      </c>
      <c r="BM334" s="518">
        <v>0</v>
      </c>
      <c r="BN334" s="518">
        <v>0</v>
      </c>
      <c r="BO334" s="367">
        <f t="shared" si="188"/>
        <v>13</v>
      </c>
      <c r="BP334" s="421">
        <v>0</v>
      </c>
      <c r="BQ334" s="422"/>
      <c r="BR334" s="423">
        <f>IFERROR(IF(LEFT($A334,3)="Lcp",SUMIFS('BASE-LCP'!$K:$K,'BASE-LCP'!$A:$A,Capex!$A354,'BASE-LCP'!$B:$B,"janeiro")/1000,IF(LEFT($A334,3)="icp",SUMIFS('BASE-ICP'!$K:$K,'BASE-ICP'!$A:$A,Capex!$A354,'BASE-ICP'!$B:$B,"janeiro")/1000,"")),"")</f>
        <v>0</v>
      </c>
      <c r="BS334" s="427">
        <v>0</v>
      </c>
      <c r="BT334" s="372">
        <v>0</v>
      </c>
      <c r="BU334" s="422"/>
      <c r="BV334" s="423">
        <f>IFERROR(IF(LEFT($A334,3)="Lcp",SUMIFS('BASE-LCP'!$K:$K,'BASE-LCP'!$A:$A,Capex!$A354,'BASE-LCP'!$B:$B,"fevereiro")/1000,IF(LEFT($A334,3)="icp",SUMIFS('BASE-ICP'!$K:$K,'BASE-ICP'!$A:$A,Capex!$A354,'BASE-ICP'!$B:$B,"fevereiro")/1000,"")),"")</f>
        <v>0</v>
      </c>
      <c r="BW334" s="427">
        <v>0</v>
      </c>
      <c r="BX334" s="372">
        <v>0</v>
      </c>
      <c r="BY334" s="419"/>
      <c r="BZ334" s="423">
        <f>IFERROR(IF(LEFT($A334,3)="Lcp",SUMIFS('BASE-LCP'!$K:$K,'BASE-LCP'!$A:$A,Capex!$A354,'BASE-LCP'!$B:$B,"março")/1000,IF(LEFT($A334,3)="icp",SUMIFS('BASE-ICP'!$K:$K,'BASE-ICP'!$A:$A,Capex!$A354,'BASE-ICP'!$B:$B,"março")/1000,"")),"")</f>
        <v>0</v>
      </c>
      <c r="CA334" s="427">
        <v>0</v>
      </c>
      <c r="CB334" s="372">
        <v>13</v>
      </c>
      <c r="CC334" s="422"/>
      <c r="CD334" s="423">
        <f>IFERROR(IF(LEFT($A334,3)="Lcp",SUMIFS('BASE-LCP'!$K:$K,'BASE-LCP'!$A:$A,Capex!$A354,'BASE-LCP'!$B:$B,"abril")/1000,IF(LEFT($A334,3)="icp",SUMIFS('BASE-ICP'!$K:$K,'BASE-ICP'!$A:$A,Capex!$A354,'BASE-ICP'!$B:$B,"abril")/1000,"")),"")</f>
        <v>0</v>
      </c>
      <c r="CE334" s="427">
        <v>0</v>
      </c>
      <c r="CF334" s="372">
        <v>0</v>
      </c>
      <c r="CG334" s="419"/>
      <c r="CH334" s="423">
        <v>0</v>
      </c>
      <c r="CI334" s="427">
        <v>0</v>
      </c>
      <c r="CJ334" s="372">
        <v>0</v>
      </c>
      <c r="CK334" s="419"/>
      <c r="CL334" s="423">
        <f>IFERROR(IF(LEFT($A334,3)="Lcp",SUMIFS('BASE-LCP'!$K:$K,'BASE-LCP'!$A:$A,Capex!$A354,'BASE-LCP'!$B:$B,"junho")/1000,IF(LEFT($A334,3)="icp",SUMIFS('BASE-ICP'!$K:$K,'BASE-ICP'!$A:$A,Capex!$A354,'BASE-ICP'!$B:$B,"junho")/1000,"")),"")</f>
        <v>0</v>
      </c>
      <c r="CM334" s="427">
        <v>0</v>
      </c>
      <c r="CN334" s="319"/>
      <c r="CO334" s="419"/>
      <c r="CP334" s="423">
        <f>IFERROR(IF(LEFT($A334,3)="Lcp",SUMIFS('BASE-LCP'!$K:$K,'BASE-LCP'!$A:$A,Capex!$A354,'BASE-LCP'!$B:$B,"julho")/1000,IF(LEFT($A334,3)="icp",SUMIFS('BASE-ICP'!$K:$K,'BASE-ICP'!$A:$A,Capex!$A354,'BASE-ICP'!$B:$B,"julho")/1000,"")),"")</f>
        <v>0</v>
      </c>
      <c r="CQ334" s="427">
        <v>0</v>
      </c>
      <c r="CR334" s="372"/>
      <c r="CS334" s="419"/>
      <c r="CT334" s="423">
        <f>IFERROR(IF(LEFT($A334,3)="Lcp",SUMIFS('BASE-LCP'!$K:$K,'BASE-LCP'!$A:$A,Capex!$A354,'BASE-LCP'!$B:$B,"agosto")/1000,IF(LEFT($A334,3)="icp",SUMIFS('BASE-ICP'!$K:$K,'BASE-ICP'!$A:$A,Capex!$A354,'BASE-ICP'!$B:$B,"agosto")/1000,"")),"")</f>
        <v>0</v>
      </c>
      <c r="CU334" s="427">
        <v>8</v>
      </c>
      <c r="CV334" s="372"/>
      <c r="CW334" s="419"/>
      <c r="CX334" s="423">
        <f>IFERROR(IF(LEFT($A334,3)="Lcp",SUMIFS('BASE-LCP'!$K:$K,'BASE-LCP'!$A:$A,Capex!$A354,'BASE-LCP'!$B:$B,"setembro")/1000,IF(LEFT($A334,3)="icp",SUMIFS('BASE-ICP'!$K:$K,'BASE-ICP'!$A:$A,Capex!$A354,'BASE-ICP'!$B:$B,"setembro")/1000,"")),"")</f>
        <v>0</v>
      </c>
      <c r="CY334" s="427">
        <v>5</v>
      </c>
      <c r="CZ334" s="372"/>
      <c r="DA334" s="419"/>
      <c r="DB334" s="423">
        <f>IFERROR(IF(LEFT($A334,3)="Lcp",SUMIFS('BASE-LCP'!$K:$K,'BASE-LCP'!$A:$A,Capex!$A354,'BASE-LCP'!$B:$B,"outubro")/1000,IF(LEFT($A334,3)="icp",SUMIFS('BASE-ICP'!$K:$K,'BASE-ICP'!$A:$A,Capex!$A354,'BASE-ICP'!$B:$B,"outubro")/1000,"")),"")</f>
        <v>0</v>
      </c>
      <c r="DC334" s="427">
        <v>0</v>
      </c>
      <c r="DD334" s="372"/>
      <c r="DE334" s="419"/>
      <c r="DF334" s="423">
        <f>IFERROR(IF(LEFT($A334,3)="Lcp",SUMIFS('BASE-LCP'!$K:$K,'BASE-LCP'!$A:$A,Capex!$A354,'BASE-LCP'!$B:$B,"novembro")/1000,IF(LEFT($A334,3)="icp",SUMIFS('BASE-ICP'!$K:$K,'BASE-ICP'!$A:$A,Capex!$A354,'BASE-ICP'!$B:$B,"novembro")/1000,"")),"")</f>
        <v>0</v>
      </c>
      <c r="DG334" s="427">
        <v>0</v>
      </c>
      <c r="DH334" s="372"/>
      <c r="DI334" s="419"/>
      <c r="DJ334" s="423">
        <f>IFERROR(IF(LEFT($A334,3)="Lcp",SUMIFS('BASE-LCP'!$K:$K,'BASE-LCP'!$A:$A,Capex!$A354,'BASE-LCP'!$B:$B,"dezembro")/1000,IF(LEFT($A334,3)="icp",SUMIFS('BASE-ICP'!$K:$K,'BASE-ICP'!$A:$A,Capex!$A354,'BASE-ICP'!$B:$B,"dezembro")/1000,"")),"")</f>
        <v>0</v>
      </c>
      <c r="DK334" s="427">
        <v>0</v>
      </c>
      <c r="DL334" s="452">
        <f t="shared" si="189"/>
        <v>0</v>
      </c>
      <c r="DM334" s="374"/>
      <c r="DN334" s="374">
        <v>0</v>
      </c>
      <c r="DO334" s="374"/>
      <c r="DP334" s="374"/>
      <c r="DQ334" s="374"/>
      <c r="DR334" s="374"/>
      <c r="DS334" s="374"/>
      <c r="DT334" s="374"/>
      <c r="DU334" s="374"/>
      <c r="DV334" s="374"/>
      <c r="DW334" s="374"/>
      <c r="DX334" s="374"/>
      <c r="DY334" s="450"/>
      <c r="DZ334" s="374">
        <f t="shared" si="190"/>
        <v>0</v>
      </c>
      <c r="EA334" s="216">
        <f t="shared" si="191"/>
        <v>0</v>
      </c>
      <c r="EB334" s="320">
        <f t="shared" si="192"/>
        <v>0</v>
      </c>
      <c r="EC334" s="241">
        <f t="shared" si="193"/>
        <v>0</v>
      </c>
      <c r="ED334" s="241">
        <f t="shared" si="194"/>
        <v>0</v>
      </c>
      <c r="EE334" s="241">
        <f t="shared" si="195"/>
        <v>13</v>
      </c>
      <c r="EF334" s="241">
        <f t="shared" si="196"/>
        <v>0</v>
      </c>
      <c r="EG334" s="346">
        <f t="shared" si="197"/>
        <v>0</v>
      </c>
      <c r="EH334" s="445">
        <f t="shared" si="198"/>
        <v>0</v>
      </c>
      <c r="EI334" s="447">
        <f t="shared" si="199"/>
        <v>0</v>
      </c>
      <c r="EJ334" s="364">
        <f t="shared" si="200"/>
        <v>0</v>
      </c>
      <c r="EK334" s="365">
        <f t="shared" si="201"/>
        <v>13</v>
      </c>
      <c r="EL334" s="529">
        <f t="shared" si="202"/>
        <v>13</v>
      </c>
      <c r="EM334" s="530">
        <v>0</v>
      </c>
      <c r="EN334" s="530">
        <v>0</v>
      </c>
      <c r="EO334" s="530">
        <v>0</v>
      </c>
      <c r="EP334" s="530">
        <v>0</v>
      </c>
      <c r="EQ334" s="530">
        <v>0</v>
      </c>
      <c r="ER334" s="530">
        <v>0</v>
      </c>
      <c r="ES334" s="530">
        <v>8</v>
      </c>
      <c r="ET334" s="530">
        <v>5</v>
      </c>
      <c r="EU334" s="530">
        <v>0</v>
      </c>
      <c r="EV334" s="530">
        <v>0</v>
      </c>
      <c r="EW334" s="530">
        <v>0</v>
      </c>
      <c r="EX334" s="530">
        <v>0</v>
      </c>
      <c r="EY334" s="530">
        <f t="shared" si="203"/>
        <v>0</v>
      </c>
      <c r="EZ334" s="530">
        <f t="shared" si="204"/>
        <v>0</v>
      </c>
      <c r="FA334" s="530">
        <f t="shared" si="205"/>
        <v>13</v>
      </c>
      <c r="FB334" s="530">
        <f t="shared" si="206"/>
        <v>0</v>
      </c>
      <c r="FC334" s="384">
        <f>IFERROR(VLOOKUP(Capex!A354,BASE_558!D:R,8,FALSE)/1000,"")</f>
        <v>595.471</v>
      </c>
      <c r="FD334" s="328">
        <f>IFERROR(VLOOKUP(Capex!A354,BASE_558!D:R,9,)/1000,"")</f>
        <v>0</v>
      </c>
      <c r="FE334" s="328">
        <f>IFERROR(IF(LEFT(A334,3)="LCP",(VLOOKUP(Capex!A354,BASE_558!D:R,10,)/1000),SUMIFS('BASE ICP_PO_SC'!F:F,'BASE ICP_PO_SC'!A:A,Capex!A354,'BASE ICP_PO_SC'!E:E,"&lt;&gt;")/1000),"")</f>
        <v>0</v>
      </c>
      <c r="FF334" s="328">
        <f>IFERROR(IF(LEFT(A334,3)="LCP",(VLOOKUP(Capex!A354,BASE_558!D:R,11,)/1000),SUMIFS('BASE ICP_PO_SC'!F:F,'BASE ICP_PO_SC'!A:A,Capex!A354,'BASE ICP_PO_SC'!E:E,"")/1000),"")</f>
        <v>0</v>
      </c>
      <c r="FG334" s="328">
        <f>IFERROR(VLOOKUP(A334,BASE_558!D:R,13,FALSE)/1000,"")</f>
        <v>139.98316</v>
      </c>
      <c r="FH334" s="328">
        <f>IFERROR(VLOOKUP(A334,BASE_558!D:R,15,FALSE)/1000,"")</f>
        <v>73.408839999999998</v>
      </c>
      <c r="FI334" s="547">
        <f t="shared" si="207"/>
        <v>0</v>
      </c>
      <c r="FJ334" s="547">
        <f t="shared" si="208"/>
        <v>0</v>
      </c>
      <c r="FK334" s="540">
        <f t="shared" si="209"/>
        <v>0</v>
      </c>
    </row>
    <row r="335" spans="1:167" s="23" customFormat="1" ht="24" customHeight="1">
      <c r="A335" s="84" t="s">
        <v>2604</v>
      </c>
      <c r="B335" s="404"/>
      <c r="C335" s="404"/>
      <c r="D335" s="338"/>
      <c r="E335" s="309">
        <v>8549972</v>
      </c>
      <c r="F335" s="5"/>
      <c r="G335" s="310" t="s">
        <v>9</v>
      </c>
      <c r="H335" s="338" t="s">
        <v>6</v>
      </c>
      <c r="I335" s="356"/>
      <c r="J335" s="356">
        <v>2024</v>
      </c>
      <c r="K335" s="352">
        <v>45412</v>
      </c>
      <c r="L335" s="317"/>
      <c r="M335" s="409"/>
      <c r="N335" s="317">
        <f t="shared" si="177"/>
        <v>46324</v>
      </c>
      <c r="O335" s="317">
        <f t="shared" si="178"/>
        <v>46689</v>
      </c>
      <c r="P335" s="418" t="str">
        <f t="shared" ref="P335:AA344" si="210">IF($N335="","N/A",IF($O335="","N/A",IF(P$2&lt;=$N335,"NÃO",IF($AJ335="REL ","SIM",IF(P$2&lt;$O335,"NÃO",IF($AJ335&lt;&gt;"CLSD","SIM","CRTD"))))))</f>
        <v>NÃO</v>
      </c>
      <c r="Q335" s="418" t="str">
        <f t="shared" si="210"/>
        <v>NÃO</v>
      </c>
      <c r="R335" s="418" t="str">
        <f t="shared" si="210"/>
        <v>NÃO</v>
      </c>
      <c r="S335" s="418" t="str">
        <f t="shared" si="210"/>
        <v>NÃO</v>
      </c>
      <c r="T335" s="418" t="str">
        <f t="shared" si="210"/>
        <v>NÃO</v>
      </c>
      <c r="U335" s="418" t="str">
        <f t="shared" si="210"/>
        <v>NÃO</v>
      </c>
      <c r="V335" s="418" t="str">
        <f t="shared" si="210"/>
        <v>NÃO</v>
      </c>
      <c r="W335" s="418" t="str">
        <f t="shared" si="210"/>
        <v>NÃO</v>
      </c>
      <c r="X335" s="418" t="str">
        <f t="shared" si="210"/>
        <v>NÃO</v>
      </c>
      <c r="Y335" s="418" t="str">
        <f t="shared" si="210"/>
        <v>NÃO</v>
      </c>
      <c r="Z335" s="418" t="str">
        <f t="shared" si="210"/>
        <v>NÃO</v>
      </c>
      <c r="AA335" s="418" t="str">
        <f t="shared" si="210"/>
        <v>NÃO</v>
      </c>
      <c r="AB335" s="350"/>
      <c r="AC335" s="309" t="s">
        <v>3932</v>
      </c>
      <c r="AD335" s="311" t="s">
        <v>223</v>
      </c>
      <c r="AE335" s="381" t="s">
        <v>980</v>
      </c>
      <c r="AF335" s="310" t="s">
        <v>6985</v>
      </c>
      <c r="AG335" s="310" t="s">
        <v>2186</v>
      </c>
      <c r="AH335" s="309" t="s">
        <v>2415</v>
      </c>
      <c r="AI335" s="381" t="s">
        <v>186</v>
      </c>
      <c r="AJ335" s="6" t="s">
        <v>6786</v>
      </c>
      <c r="AK335" s="6" t="str">
        <f t="shared" si="187"/>
        <v>IGUAL</v>
      </c>
      <c r="AL335" s="151" t="str">
        <f>IFERROR(IF(LEFT(A335,3)="LCP",VLOOKUP(A335,STATUS_SAP_LCP!B:C,2,FALSE),VLOOKUP(A335,STATUS_SAP_ICP!B:C,2,FALSE)),"NO BUDGET")</f>
        <v>REL  BUDG AUC  AVAC  //  APPR BREL EXPL</v>
      </c>
      <c r="AM335" s="6" t="str">
        <f t="shared" si="185"/>
        <v xml:space="preserve">REL </v>
      </c>
      <c r="AN335" s="414" t="s">
        <v>17715</v>
      </c>
      <c r="AO335" s="414"/>
      <c r="AP335" s="499" t="s">
        <v>9616</v>
      </c>
      <c r="AQ335" s="465">
        <v>46357</v>
      </c>
      <c r="AR335" s="460"/>
      <c r="AS335" s="57"/>
      <c r="AT335" s="185"/>
      <c r="AU335" s="318"/>
      <c r="AV335" s="223"/>
      <c r="AW335" s="318">
        <v>0</v>
      </c>
      <c r="AX335" s="223">
        <v>4.0107799999999996</v>
      </c>
      <c r="AY335" s="318">
        <f t="shared" si="179"/>
        <v>499.92366000000004</v>
      </c>
      <c r="AZ335" s="223"/>
      <c r="BA335" s="318"/>
      <c r="BB335" s="519">
        <f t="shared" si="180"/>
        <v>500</v>
      </c>
      <c r="BC335" s="518">
        <v>3</v>
      </c>
      <c r="BD335" s="518">
        <v>0</v>
      </c>
      <c r="BE335" s="518">
        <v>0</v>
      </c>
      <c r="BF335" s="518">
        <v>0</v>
      </c>
      <c r="BG335" s="518">
        <v>0</v>
      </c>
      <c r="BH335" s="518">
        <v>0</v>
      </c>
      <c r="BI335" s="518">
        <v>80</v>
      </c>
      <c r="BJ335" s="518">
        <v>82</v>
      </c>
      <c r="BK335" s="518">
        <v>83</v>
      </c>
      <c r="BL335" s="518">
        <v>84</v>
      </c>
      <c r="BM335" s="518">
        <v>84</v>
      </c>
      <c r="BN335" s="518">
        <v>84</v>
      </c>
      <c r="BO335" s="367">
        <f t="shared" si="188"/>
        <v>499.92366000000004</v>
      </c>
      <c r="BP335" s="421">
        <v>3</v>
      </c>
      <c r="BQ335" s="422"/>
      <c r="BR335" s="423">
        <f>IFERROR(IF(LEFT($A335,3)="Lcp",SUMIFS('BASE-LCP'!$K:$K,'BASE-LCP'!$A:$A,Capex!$A355,'BASE-LCP'!$B:$B,"janeiro")/1000,IF(LEFT($A335,3)="icp",SUMIFS('BASE-ICP'!$K:$K,'BASE-ICP'!$A:$A,Capex!$A355,'BASE-ICP'!$B:$B,"janeiro")/1000,"")),"")</f>
        <v>0</v>
      </c>
      <c r="BS335" s="427">
        <v>0</v>
      </c>
      <c r="BT335" s="372">
        <v>0</v>
      </c>
      <c r="BU335" s="422"/>
      <c r="BV335" s="423">
        <f>IFERROR(IF(LEFT($A335,3)="Lcp",SUMIFS('BASE-LCP'!$K:$K,'BASE-LCP'!$A:$A,Capex!$A355,'BASE-LCP'!$B:$B,"fevereiro")/1000,IF(LEFT($A335,3)="icp",SUMIFS('BASE-ICP'!$K:$K,'BASE-ICP'!$A:$A,Capex!$A355,'BASE-ICP'!$B:$B,"fevereiro")/1000,"")),"")</f>
        <v>7.3073700000000024</v>
      </c>
      <c r="BW335" s="427">
        <v>0</v>
      </c>
      <c r="BX335" s="372">
        <v>2.6</v>
      </c>
      <c r="BY335" s="419">
        <v>3.02366</v>
      </c>
      <c r="BZ335" s="423">
        <f>IFERROR(IF(LEFT($A335,3)="Lcp",SUMIFS('BASE-LCP'!$K:$K,'BASE-LCP'!$A:$A,Capex!$A355,'BASE-LCP'!$B:$B,"março")/1000,IF(LEFT($A335,3)="icp",SUMIFS('BASE-ICP'!$K:$K,'BASE-ICP'!$A:$A,Capex!$A355,'BASE-ICP'!$B:$B,"março")/1000,"")),"")</f>
        <v>0</v>
      </c>
      <c r="CA335" s="427">
        <v>3.02366</v>
      </c>
      <c r="CB335" s="372">
        <v>0</v>
      </c>
      <c r="CC335" s="422"/>
      <c r="CD335" s="423">
        <f>IFERROR(IF(LEFT($A335,3)="Lcp",SUMIFS('BASE-LCP'!$K:$K,'BASE-LCP'!$A:$A,Capex!$A355,'BASE-LCP'!$B:$B,"abril")/1000,IF(LEFT($A335,3)="icp",SUMIFS('BASE-ICP'!$K:$K,'BASE-ICP'!$A:$A,Capex!$A355,'BASE-ICP'!$B:$B,"abril")/1000,"")),"")</f>
        <v>0</v>
      </c>
      <c r="CE335" s="427">
        <v>0</v>
      </c>
      <c r="CF335" s="319">
        <v>0</v>
      </c>
      <c r="CG335" s="419"/>
      <c r="CH335" s="423">
        <v>0</v>
      </c>
      <c r="CI335" s="427">
        <v>0</v>
      </c>
      <c r="CJ335" s="372">
        <v>0</v>
      </c>
      <c r="CK335" s="419"/>
      <c r="CL335" s="423">
        <f>IFERROR(IF(LEFT($A335,3)="Lcp",SUMIFS('BASE-LCP'!$K:$K,'BASE-LCP'!$A:$A,Capex!$A355,'BASE-LCP'!$B:$B,"junho")/1000,IF(LEFT($A335,3)="icp",SUMIFS('BASE-ICP'!$K:$K,'BASE-ICP'!$A:$A,Capex!$A355,'BASE-ICP'!$B:$B,"junho")/1000,"")),"")</f>
        <v>0</v>
      </c>
      <c r="CM335" s="427">
        <v>0</v>
      </c>
      <c r="CN335" s="372"/>
      <c r="CO335" s="419"/>
      <c r="CP335" s="423">
        <f>IFERROR(IF(LEFT($A335,3)="Lcp",SUMIFS('BASE-LCP'!$K:$K,'BASE-LCP'!$A:$A,Capex!$A355,'BASE-LCP'!$B:$B,"julho")/1000,IF(LEFT($A335,3)="icp",SUMIFS('BASE-ICP'!$K:$K,'BASE-ICP'!$A:$A,Capex!$A355,'BASE-ICP'!$B:$B,"julho")/1000,"")),"")</f>
        <v>0</v>
      </c>
      <c r="CQ335" s="427"/>
      <c r="CR335" s="372"/>
      <c r="CS335" s="419"/>
      <c r="CT335" s="423">
        <f>IFERROR(IF(LEFT($A335,3)="Lcp",SUMIFS('BASE-LCP'!$K:$K,'BASE-LCP'!$A:$A,Capex!$A355,'BASE-LCP'!$B:$B,"agosto")/1000,IF(LEFT($A335,3)="icp",SUMIFS('BASE-ICP'!$K:$K,'BASE-ICP'!$A:$A,Capex!$A355,'BASE-ICP'!$B:$B,"agosto")/1000,"")),"")</f>
        <v>0</v>
      </c>
      <c r="CU335" s="427">
        <v>83.833333333333329</v>
      </c>
      <c r="CV335" s="372"/>
      <c r="CW335" s="419"/>
      <c r="CX335" s="423">
        <f>IFERROR(IF(LEFT($A335,3)="Lcp",SUMIFS('BASE-LCP'!$K:$K,'BASE-LCP'!$A:$A,Capex!$A355,'BASE-LCP'!$B:$B,"setembro")/1000,IF(LEFT($A335,3)="icp",SUMIFS('BASE-ICP'!$K:$K,'BASE-ICP'!$A:$A,Capex!$A355,'BASE-ICP'!$B:$B,"setembro")/1000,"")),"")</f>
        <v>0</v>
      </c>
      <c r="CY335" s="427">
        <v>83.833333333333329</v>
      </c>
      <c r="CZ335" s="372"/>
      <c r="DA335" s="419"/>
      <c r="DB335" s="423">
        <f>IFERROR(IF(LEFT($A335,3)="Lcp",SUMIFS('BASE-LCP'!$K:$K,'BASE-LCP'!$A:$A,Capex!$A355,'BASE-LCP'!$B:$B,"outubro")/1000,IF(LEFT($A335,3)="icp",SUMIFS('BASE-ICP'!$K:$K,'BASE-ICP'!$A:$A,Capex!$A355,'BASE-ICP'!$B:$B,"outubro")/1000,"")),"")</f>
        <v>0</v>
      </c>
      <c r="DC335" s="427">
        <v>83.833333333333329</v>
      </c>
      <c r="DD335" s="372"/>
      <c r="DE335" s="419"/>
      <c r="DF335" s="423">
        <f>IFERROR(IF(LEFT($A335,3)="Lcp",SUMIFS('BASE-LCP'!$K:$K,'BASE-LCP'!$A:$A,Capex!$A355,'BASE-LCP'!$B:$B,"novembro")/1000,IF(LEFT($A335,3)="icp",SUMIFS('BASE-ICP'!$K:$K,'BASE-ICP'!$A:$A,Capex!$A355,'BASE-ICP'!$B:$B,"novembro")/1000,"")),"")</f>
        <v>0</v>
      </c>
      <c r="DG335" s="427">
        <v>83.4</v>
      </c>
      <c r="DH335" s="372"/>
      <c r="DI335" s="419"/>
      <c r="DJ335" s="423">
        <f>IFERROR(IF(LEFT($A335,3)="Lcp",SUMIFS('BASE-LCP'!$K:$K,'BASE-LCP'!$A:$A,Capex!$A355,'BASE-LCP'!$B:$B,"dezembro")/1000,IF(LEFT($A335,3)="icp",SUMIFS('BASE-ICP'!$K:$K,'BASE-ICP'!$A:$A,Capex!$A355,'BASE-ICP'!$B:$B,"dezembro")/1000,"")),"")</f>
        <v>0</v>
      </c>
      <c r="DK335" s="427">
        <v>162</v>
      </c>
      <c r="DL335" s="452">
        <f t="shared" si="189"/>
        <v>600</v>
      </c>
      <c r="DM335" s="374"/>
      <c r="DN335" s="374">
        <v>600</v>
      </c>
      <c r="DO335" s="374"/>
      <c r="DP335" s="374"/>
      <c r="DQ335" s="374"/>
      <c r="DR335" s="374"/>
      <c r="DS335" s="374"/>
      <c r="DT335" s="374"/>
      <c r="DU335" s="374"/>
      <c r="DV335" s="374"/>
      <c r="DW335" s="374"/>
      <c r="DX335" s="374"/>
      <c r="DY335" s="450"/>
      <c r="DZ335" s="374">
        <f t="shared" si="190"/>
        <v>600</v>
      </c>
      <c r="EA335" s="216">
        <f t="shared" si="191"/>
        <v>0</v>
      </c>
      <c r="EB335" s="320">
        <f t="shared" si="192"/>
        <v>0</v>
      </c>
      <c r="EC335" s="241">
        <f t="shared" si="193"/>
        <v>3.02366</v>
      </c>
      <c r="ED335" s="241">
        <f t="shared" si="194"/>
        <v>0</v>
      </c>
      <c r="EE335" s="241">
        <f t="shared" si="195"/>
        <v>167.66666666666666</v>
      </c>
      <c r="EF335" s="241">
        <f t="shared" si="196"/>
        <v>329.23333333333335</v>
      </c>
      <c r="EG335" s="346">
        <f t="shared" si="197"/>
        <v>-7.6339999999959218E-2</v>
      </c>
      <c r="EH335" s="445">
        <f t="shared" si="198"/>
        <v>0</v>
      </c>
      <c r="EI335" s="447">
        <f t="shared" si="199"/>
        <v>0</v>
      </c>
      <c r="EJ335" s="364">
        <f t="shared" si="200"/>
        <v>3.02366</v>
      </c>
      <c r="EK335" s="365">
        <f t="shared" si="201"/>
        <v>496.90000000000003</v>
      </c>
      <c r="EL335" s="529">
        <f t="shared" si="202"/>
        <v>499.92366000000004</v>
      </c>
      <c r="EM335" s="530">
        <v>0</v>
      </c>
      <c r="EN335" s="530">
        <v>0</v>
      </c>
      <c r="EO335" s="530">
        <v>3.02366</v>
      </c>
      <c r="EP335" s="530">
        <v>0</v>
      </c>
      <c r="EQ335" s="530">
        <v>0</v>
      </c>
      <c r="ER335" s="530">
        <v>0</v>
      </c>
      <c r="ES335" s="530">
        <v>0</v>
      </c>
      <c r="ET335" s="530">
        <v>83.833333333333329</v>
      </c>
      <c r="EU335" s="530">
        <v>83.833333333333329</v>
      </c>
      <c r="EV335" s="530">
        <v>83.833333333333329</v>
      </c>
      <c r="EW335" s="530">
        <v>83.4</v>
      </c>
      <c r="EX335" s="530">
        <v>162</v>
      </c>
      <c r="EY335" s="530">
        <f t="shared" si="203"/>
        <v>3.02366</v>
      </c>
      <c r="EZ335" s="530">
        <f t="shared" si="204"/>
        <v>0</v>
      </c>
      <c r="FA335" s="530">
        <f t="shared" si="205"/>
        <v>167.66666666666666</v>
      </c>
      <c r="FB335" s="530">
        <f t="shared" si="206"/>
        <v>329.23333333333335</v>
      </c>
      <c r="FC335" s="384">
        <f>IFERROR(VLOOKUP(Capex!A355,BASE_558!D:R,8,FALSE)/1000,"")</f>
        <v>3452.3739999999998</v>
      </c>
      <c r="FD335" s="328">
        <f>IFERROR(VLOOKUP(Capex!A355,BASE_558!D:R,9,)/1000,"")</f>
        <v>7.3073699999999997</v>
      </c>
      <c r="FE335" s="328">
        <f>IFERROR(IF(LEFT(A335,3)="LCP",(VLOOKUP(Capex!A355,BASE_558!D:R,10,)/1000),SUMIFS('BASE ICP_PO_SC'!F:F,'BASE ICP_PO_SC'!A:A,Capex!A355,'BASE ICP_PO_SC'!E:E,"&lt;&gt;")/1000),"")</f>
        <v>0</v>
      </c>
      <c r="FF335" s="328">
        <f>IFERROR(IF(LEFT(A335,3)="LCP",(VLOOKUP(Capex!A355,BASE_558!D:R,11,)/1000),SUMIFS('BASE ICP_PO_SC'!F:F,'BASE ICP_PO_SC'!A:A,Capex!A355,'BASE ICP_PO_SC'!E:E,"")/1000),"")</f>
        <v>598.4008</v>
      </c>
      <c r="FG335" s="328">
        <f>IFERROR(VLOOKUP(A335,BASE_558!D:R,13,FALSE)/1000,"")</f>
        <v>40.3855</v>
      </c>
      <c r="FH335" s="328">
        <f>IFERROR(VLOOKUP(A335,BASE_558!D:R,15,FALSE)/1000,"")</f>
        <v>1184.8855000000001</v>
      </c>
      <c r="FI335" s="547">
        <f t="shared" si="207"/>
        <v>0</v>
      </c>
      <c r="FJ335" s="547">
        <f t="shared" si="208"/>
        <v>0</v>
      </c>
      <c r="FK335" s="540">
        <f t="shared" si="209"/>
        <v>0</v>
      </c>
    </row>
    <row r="336" spans="1:167" s="23" customFormat="1" ht="24" customHeight="1">
      <c r="A336" s="84" t="s">
        <v>2619</v>
      </c>
      <c r="B336" s="404" t="s">
        <v>2681</v>
      </c>
      <c r="C336" s="404">
        <v>182</v>
      </c>
      <c r="D336" s="338"/>
      <c r="E336" s="378">
        <v>8508880</v>
      </c>
      <c r="F336" s="5"/>
      <c r="G336" s="310" t="s">
        <v>9</v>
      </c>
      <c r="H336" s="338" t="s">
        <v>6</v>
      </c>
      <c r="I336" s="356"/>
      <c r="J336" s="356">
        <v>2024</v>
      </c>
      <c r="K336" s="352">
        <v>45391</v>
      </c>
      <c r="L336" s="317"/>
      <c r="M336" s="409"/>
      <c r="N336" s="317">
        <f t="shared" si="177"/>
        <v>46303</v>
      </c>
      <c r="O336" s="317">
        <f t="shared" si="178"/>
        <v>46668</v>
      </c>
      <c r="P336" s="418" t="str">
        <f t="shared" si="210"/>
        <v>NÃO</v>
      </c>
      <c r="Q336" s="418" t="str">
        <f t="shared" si="210"/>
        <v>NÃO</v>
      </c>
      <c r="R336" s="418" t="str">
        <f t="shared" si="210"/>
        <v>NÃO</v>
      </c>
      <c r="S336" s="418" t="str">
        <f t="shared" si="210"/>
        <v>NÃO</v>
      </c>
      <c r="T336" s="418" t="str">
        <f t="shared" si="210"/>
        <v>NÃO</v>
      </c>
      <c r="U336" s="418" t="str">
        <f t="shared" si="210"/>
        <v>NÃO</v>
      </c>
      <c r="V336" s="418" t="str">
        <f t="shared" si="210"/>
        <v>NÃO</v>
      </c>
      <c r="W336" s="418" t="str">
        <f t="shared" si="210"/>
        <v>NÃO</v>
      </c>
      <c r="X336" s="418" t="str">
        <f t="shared" si="210"/>
        <v>NÃO</v>
      </c>
      <c r="Y336" s="418" t="str">
        <f t="shared" si="210"/>
        <v>NÃO</v>
      </c>
      <c r="Z336" s="418" t="str">
        <f t="shared" si="210"/>
        <v>NÃO</v>
      </c>
      <c r="AA336" s="418" t="str">
        <f t="shared" si="210"/>
        <v>NÃO</v>
      </c>
      <c r="AB336" s="350"/>
      <c r="AC336" s="309" t="s">
        <v>3932</v>
      </c>
      <c r="AD336" s="311" t="s">
        <v>222</v>
      </c>
      <c r="AE336" s="361" t="s">
        <v>965</v>
      </c>
      <c r="AF336" s="310" t="s">
        <v>6985</v>
      </c>
      <c r="AG336" s="310" t="s">
        <v>3215</v>
      </c>
      <c r="AH336" s="310" t="s">
        <v>2620</v>
      </c>
      <c r="AI336" s="309" t="s">
        <v>316</v>
      </c>
      <c r="AJ336" s="6" t="s">
        <v>6786</v>
      </c>
      <c r="AK336" s="6" t="str">
        <f t="shared" si="187"/>
        <v>IGUAL</v>
      </c>
      <c r="AL336" s="151" t="str">
        <f>IFERROR(IF(LEFT(A336,3)="LCP",VLOOKUP(A336,STATUS_SAP_LCP!B:C,2,FALSE),VLOOKUP(A336,STATUS_SAP_ICP!B:C,2,FALSE)),"NO BUDGET")</f>
        <v>REL  BUDG AUC  AVAC  //  APPR BREL EXPL</v>
      </c>
      <c r="AM336" s="6" t="str">
        <f t="shared" si="185"/>
        <v xml:space="preserve">REL </v>
      </c>
      <c r="AN336" s="429" t="s">
        <v>16155</v>
      </c>
      <c r="AO336" s="429"/>
      <c r="AP336" s="499" t="s">
        <v>5299</v>
      </c>
      <c r="AQ336" s="465">
        <v>45809</v>
      </c>
      <c r="AR336" s="460"/>
      <c r="AS336" s="57"/>
      <c r="AT336" s="185"/>
      <c r="AU336" s="318"/>
      <c r="AV336" s="223"/>
      <c r="AW336" s="318"/>
      <c r="AX336" s="223">
        <v>0.10299999999999999</v>
      </c>
      <c r="AY336" s="318">
        <f t="shared" si="179"/>
        <v>199.84585000000001</v>
      </c>
      <c r="AZ336" s="223"/>
      <c r="BA336" s="318"/>
      <c r="BB336" s="519">
        <f t="shared" si="180"/>
        <v>201.85000000000002</v>
      </c>
      <c r="BC336" s="518">
        <v>0</v>
      </c>
      <c r="BD336" s="518">
        <v>0</v>
      </c>
      <c r="BE336" s="518">
        <v>0</v>
      </c>
      <c r="BF336" s="518">
        <v>176.85000000000002</v>
      </c>
      <c r="BG336" s="518">
        <v>25</v>
      </c>
      <c r="BH336" s="518">
        <v>0</v>
      </c>
      <c r="BI336" s="518">
        <v>0</v>
      </c>
      <c r="BJ336" s="518">
        <v>0</v>
      </c>
      <c r="BK336" s="518">
        <v>0</v>
      </c>
      <c r="BL336" s="518">
        <v>0</v>
      </c>
      <c r="BM336" s="518">
        <v>0</v>
      </c>
      <c r="BN336" s="518">
        <v>0</v>
      </c>
      <c r="BO336" s="367">
        <f t="shared" si="188"/>
        <v>199.84585000000001</v>
      </c>
      <c r="BP336" s="421">
        <v>0</v>
      </c>
      <c r="BQ336" s="422"/>
      <c r="BR336" s="423">
        <f>IFERROR(IF(LEFT($A336,3)="Lcp",SUMIFS('BASE-LCP'!$K:$K,'BASE-LCP'!$A:$A,Capex!$A356,'BASE-LCP'!$B:$B,"janeiro")/1000,IF(LEFT($A336,3)="icp",SUMIFS('BASE-ICP'!$K:$K,'BASE-ICP'!$A:$A,Capex!$A356,'BASE-ICP'!$B:$B,"janeiro")/1000,"")),"")</f>
        <v>0</v>
      </c>
      <c r="BS336" s="427">
        <v>0</v>
      </c>
      <c r="BT336" s="372">
        <v>0</v>
      </c>
      <c r="BU336" s="422"/>
      <c r="BV336" s="423">
        <f>IFERROR(IF(LEFT($A336,3)="Lcp",SUMIFS('BASE-LCP'!$K:$K,'BASE-LCP'!$A:$A,Capex!$A356,'BASE-LCP'!$B:$B,"fevereiro")/1000,IF(LEFT($A336,3)="icp",SUMIFS('BASE-ICP'!$K:$K,'BASE-ICP'!$A:$A,Capex!$A356,'BASE-ICP'!$B:$B,"fevereiro")/1000,"")),"")</f>
        <v>0</v>
      </c>
      <c r="BW336" s="427">
        <v>0</v>
      </c>
      <c r="BX336" s="372">
        <v>0</v>
      </c>
      <c r="BY336" s="419"/>
      <c r="BZ336" s="423">
        <f>IFERROR(IF(LEFT($A336,3)="Lcp",SUMIFS('BASE-LCP'!$K:$K,'BASE-LCP'!$A:$A,Capex!$A356,'BASE-LCP'!$B:$B,"março")/1000,IF(LEFT($A336,3)="icp",SUMIFS('BASE-ICP'!$K:$K,'BASE-ICP'!$A:$A,Capex!$A356,'BASE-ICP'!$B:$B,"março")/1000,"")),"")</f>
        <v>0</v>
      </c>
      <c r="CA336" s="427">
        <v>0</v>
      </c>
      <c r="CB336" s="372">
        <v>176.85000000000002</v>
      </c>
      <c r="CC336" s="422">
        <v>174.85757000000001</v>
      </c>
      <c r="CD336" s="423">
        <f>IFERROR(IF(LEFT($A336,3)="Lcp",SUMIFS('BASE-LCP'!$K:$K,'BASE-LCP'!$A:$A,Capex!$A356,'BASE-LCP'!$B:$B,"abril")/1000,IF(LEFT($A336,3)="icp",SUMIFS('BASE-ICP'!$K:$K,'BASE-ICP'!$A:$A,Capex!$A356,'BASE-ICP'!$B:$B,"abril")/1000,"")),"")</f>
        <v>0</v>
      </c>
      <c r="CE336" s="427">
        <v>174.85757000000001</v>
      </c>
      <c r="CF336" s="372">
        <v>0</v>
      </c>
      <c r="CG336" s="419">
        <v>-1.1720000000000008E-2</v>
      </c>
      <c r="CH336" s="423">
        <v>-1.1719999999999994E-2</v>
      </c>
      <c r="CI336" s="427">
        <v>-1.1719999999999994E-2</v>
      </c>
      <c r="CJ336" s="372">
        <v>0</v>
      </c>
      <c r="CK336" s="419"/>
      <c r="CL336" s="423">
        <f>IFERROR(IF(LEFT($A336,3)="Lcp",SUMIFS('BASE-LCP'!$K:$K,'BASE-LCP'!$A:$A,Capex!$A356,'BASE-LCP'!$B:$B,"junho")/1000,IF(LEFT($A336,3)="icp",SUMIFS('BASE-ICP'!$K:$K,'BASE-ICP'!$A:$A,Capex!$A356,'BASE-ICP'!$B:$B,"junho")/1000,"")),"")</f>
        <v>0</v>
      </c>
      <c r="CM336" s="427">
        <v>0</v>
      </c>
      <c r="CN336" s="372"/>
      <c r="CO336" s="419"/>
      <c r="CP336" s="423">
        <f>IFERROR(IF(LEFT($A336,3)="Lcp",SUMIFS('BASE-LCP'!$K:$K,'BASE-LCP'!$A:$A,Capex!$A356,'BASE-LCP'!$B:$B,"julho")/1000,IF(LEFT($A336,3)="icp",SUMIFS('BASE-ICP'!$K:$K,'BASE-ICP'!$A:$A,Capex!$A356,'BASE-ICP'!$B:$B,"julho")/1000,"")),"")</f>
        <v>0</v>
      </c>
      <c r="CQ336" s="427">
        <v>0</v>
      </c>
      <c r="CR336" s="372"/>
      <c r="CS336" s="419"/>
      <c r="CT336" s="423">
        <f>IFERROR(IF(LEFT($A336,3)="Lcp",SUMIFS('BASE-LCP'!$K:$K,'BASE-LCP'!$A:$A,Capex!$A356,'BASE-LCP'!$B:$B,"agosto")/1000,IF(LEFT($A336,3)="icp",SUMIFS('BASE-ICP'!$K:$K,'BASE-ICP'!$A:$A,Capex!$A356,'BASE-ICP'!$B:$B,"agosto")/1000,"")),"")</f>
        <v>0</v>
      </c>
      <c r="CU336" s="427">
        <v>0</v>
      </c>
      <c r="CV336" s="372"/>
      <c r="CW336" s="419"/>
      <c r="CX336" s="423">
        <f>IFERROR(IF(LEFT($A336,3)="Lcp",SUMIFS('BASE-LCP'!$K:$K,'BASE-LCP'!$A:$A,Capex!$A356,'BASE-LCP'!$B:$B,"setembro")/1000,IF(LEFT($A336,3)="icp",SUMIFS('BASE-ICP'!$K:$K,'BASE-ICP'!$A:$A,Capex!$A356,'BASE-ICP'!$B:$B,"setembro")/1000,"")),"")</f>
        <v>0</v>
      </c>
      <c r="CY336" s="427">
        <v>25</v>
      </c>
      <c r="CZ336" s="372"/>
      <c r="DA336" s="419"/>
      <c r="DB336" s="423">
        <f>IFERROR(IF(LEFT($A336,3)="Lcp",SUMIFS('BASE-LCP'!$K:$K,'BASE-LCP'!$A:$A,Capex!$A356,'BASE-LCP'!$B:$B,"outubro")/1000,IF(LEFT($A336,3)="icp",SUMIFS('BASE-ICP'!$K:$K,'BASE-ICP'!$A:$A,Capex!$A356,'BASE-ICP'!$B:$B,"outubro")/1000,"")),"")</f>
        <v>0</v>
      </c>
      <c r="DC336" s="427">
        <v>0</v>
      </c>
      <c r="DD336" s="372"/>
      <c r="DE336" s="419"/>
      <c r="DF336" s="423">
        <f>IFERROR(IF(LEFT($A336,3)="Lcp",SUMIFS('BASE-LCP'!$K:$K,'BASE-LCP'!$A:$A,Capex!$A356,'BASE-LCP'!$B:$B,"novembro")/1000,IF(LEFT($A336,3)="icp",SUMIFS('BASE-ICP'!$K:$K,'BASE-ICP'!$A:$A,Capex!$A356,'BASE-ICP'!$B:$B,"novembro")/1000,"")),"")</f>
        <v>0</v>
      </c>
      <c r="DG336" s="427">
        <v>0</v>
      </c>
      <c r="DH336" s="372"/>
      <c r="DI336" s="419"/>
      <c r="DJ336" s="423">
        <f>IFERROR(IF(LEFT($A336,3)="Lcp",SUMIFS('BASE-LCP'!$K:$K,'BASE-LCP'!$A:$A,Capex!$A356,'BASE-LCP'!$B:$B,"dezembro")/1000,IF(LEFT($A336,3)="icp",SUMIFS('BASE-ICP'!$K:$K,'BASE-ICP'!$A:$A,Capex!$A356,'BASE-ICP'!$B:$B,"dezembro")/1000,"")),"")</f>
        <v>0</v>
      </c>
      <c r="DK336" s="427">
        <v>0</v>
      </c>
      <c r="DL336" s="452">
        <f t="shared" si="189"/>
        <v>0</v>
      </c>
      <c r="DM336" s="374"/>
      <c r="DN336" s="374">
        <v>0</v>
      </c>
      <c r="DO336" s="374"/>
      <c r="DP336" s="374"/>
      <c r="DQ336" s="374"/>
      <c r="DR336" s="374"/>
      <c r="DS336" s="374"/>
      <c r="DT336" s="374"/>
      <c r="DU336" s="374"/>
      <c r="DV336" s="374"/>
      <c r="DW336" s="374"/>
      <c r="DX336" s="374"/>
      <c r="DY336" s="450"/>
      <c r="DZ336" s="374">
        <f t="shared" si="190"/>
        <v>0</v>
      </c>
      <c r="EA336" s="216">
        <f t="shared" si="191"/>
        <v>0</v>
      </c>
      <c r="EB336" s="320">
        <f t="shared" si="192"/>
        <v>0</v>
      </c>
      <c r="EC336" s="241">
        <f t="shared" si="193"/>
        <v>0</v>
      </c>
      <c r="ED336" s="241">
        <f t="shared" si="194"/>
        <v>174.84585000000001</v>
      </c>
      <c r="EE336" s="241">
        <f t="shared" si="195"/>
        <v>25</v>
      </c>
      <c r="EF336" s="241">
        <f t="shared" si="196"/>
        <v>0</v>
      </c>
      <c r="EG336" s="346">
        <f t="shared" si="197"/>
        <v>-2.0041500000000099</v>
      </c>
      <c r="EH336" s="445">
        <f t="shared" si="198"/>
        <v>0</v>
      </c>
      <c r="EI336" s="447">
        <f t="shared" si="199"/>
        <v>-1.1719999999999994E-2</v>
      </c>
      <c r="EJ336" s="364">
        <f t="shared" si="200"/>
        <v>174.84585000000001</v>
      </c>
      <c r="EK336" s="365">
        <f t="shared" si="201"/>
        <v>25</v>
      </c>
      <c r="EL336" s="529">
        <f t="shared" si="202"/>
        <v>199.84585000000001</v>
      </c>
      <c r="EM336" s="530">
        <v>0</v>
      </c>
      <c r="EN336" s="530">
        <v>0</v>
      </c>
      <c r="EO336" s="530">
        <v>0</v>
      </c>
      <c r="EP336" s="530">
        <v>174.85757000000001</v>
      </c>
      <c r="EQ336" s="530">
        <v>-1.1719999999999994E-2</v>
      </c>
      <c r="ER336" s="530">
        <v>0</v>
      </c>
      <c r="ES336" s="530">
        <v>0</v>
      </c>
      <c r="ET336" s="530">
        <v>25</v>
      </c>
      <c r="EU336" s="530">
        <v>0</v>
      </c>
      <c r="EV336" s="530">
        <v>0</v>
      </c>
      <c r="EW336" s="530">
        <v>0</v>
      </c>
      <c r="EX336" s="530">
        <v>0</v>
      </c>
      <c r="EY336" s="530">
        <f t="shared" si="203"/>
        <v>0</v>
      </c>
      <c r="EZ336" s="530">
        <f t="shared" si="204"/>
        <v>174.84585000000001</v>
      </c>
      <c r="FA336" s="530">
        <f t="shared" si="205"/>
        <v>25</v>
      </c>
      <c r="FB336" s="530">
        <f t="shared" si="206"/>
        <v>0</v>
      </c>
      <c r="FC336" s="384">
        <f>IFERROR(VLOOKUP(Capex!A356,BASE_558!D:R,8,FALSE)/1000,"")</f>
        <v>22</v>
      </c>
      <c r="FD336" s="328">
        <f>IFERROR(VLOOKUP(Capex!A356,BASE_558!D:R,9,)/1000,"")</f>
        <v>0</v>
      </c>
      <c r="FE336" s="328">
        <f>IFERROR(IF(LEFT(A336,3)="LCP",(VLOOKUP(Capex!A356,BASE_558!D:R,10,)/1000),SUMIFS('BASE ICP_PO_SC'!F:F,'BASE ICP_PO_SC'!A:A,Capex!A356,'BASE ICP_PO_SC'!E:E,"&lt;&gt;")/1000),"")</f>
        <v>0</v>
      </c>
      <c r="FF336" s="328">
        <f>IFERROR(IF(LEFT(A336,3)="LCP",(VLOOKUP(Capex!A356,BASE_558!D:R,11,)/1000),SUMIFS('BASE ICP_PO_SC'!F:F,'BASE ICP_PO_SC'!A:A,Capex!A356,'BASE ICP_PO_SC'!E:E,"")/1000),"")</f>
        <v>3.4000000000000002E-4</v>
      </c>
      <c r="FG336" s="328">
        <f>IFERROR(VLOOKUP(A336,BASE_558!D:R,13,FALSE)/1000,"")</f>
        <v>176.66541000000001</v>
      </c>
      <c r="FH336" s="328">
        <f>IFERROR(VLOOKUP(A336,BASE_558!D:R,15,FALSE)/1000,"")</f>
        <v>28.30659</v>
      </c>
      <c r="FI336" s="547">
        <f t="shared" si="207"/>
        <v>0</v>
      </c>
      <c r="FJ336" s="547">
        <f t="shared" si="208"/>
        <v>0</v>
      </c>
      <c r="FK336" s="540">
        <f t="shared" si="209"/>
        <v>0</v>
      </c>
    </row>
    <row r="337" spans="1:167" s="23" customFormat="1" ht="24" customHeight="1">
      <c r="A337" s="84" t="s">
        <v>2616</v>
      </c>
      <c r="B337" s="404"/>
      <c r="C337" s="404"/>
      <c r="D337" s="338"/>
      <c r="E337" s="378">
        <v>8513076</v>
      </c>
      <c r="F337" s="5"/>
      <c r="G337" s="310" t="s">
        <v>9</v>
      </c>
      <c r="H337" s="494" t="s">
        <v>6</v>
      </c>
      <c r="I337" s="356"/>
      <c r="J337" s="356">
        <v>2024</v>
      </c>
      <c r="K337" s="352">
        <v>45379</v>
      </c>
      <c r="L337" s="317"/>
      <c r="M337" s="409"/>
      <c r="N337" s="317">
        <f t="shared" si="177"/>
        <v>46291</v>
      </c>
      <c r="O337" s="317">
        <f t="shared" si="178"/>
        <v>46656</v>
      </c>
      <c r="P337" s="418" t="str">
        <f t="shared" si="210"/>
        <v>NÃO</v>
      </c>
      <c r="Q337" s="418" t="str">
        <f t="shared" si="210"/>
        <v>NÃO</v>
      </c>
      <c r="R337" s="418" t="str">
        <f t="shared" si="210"/>
        <v>NÃO</v>
      </c>
      <c r="S337" s="418" t="str">
        <f t="shared" si="210"/>
        <v>NÃO</v>
      </c>
      <c r="T337" s="418" t="str">
        <f t="shared" si="210"/>
        <v>NÃO</v>
      </c>
      <c r="U337" s="418" t="str">
        <f t="shared" si="210"/>
        <v>NÃO</v>
      </c>
      <c r="V337" s="418" t="str">
        <f t="shared" si="210"/>
        <v>NÃO</v>
      </c>
      <c r="W337" s="418" t="str">
        <f t="shared" si="210"/>
        <v>NÃO</v>
      </c>
      <c r="X337" s="418" t="str">
        <f t="shared" si="210"/>
        <v>NÃO</v>
      </c>
      <c r="Y337" s="418" t="str">
        <f t="shared" si="210"/>
        <v>NÃO</v>
      </c>
      <c r="Z337" s="418" t="str">
        <f t="shared" si="210"/>
        <v>NÃO</v>
      </c>
      <c r="AA337" s="418" t="str">
        <f t="shared" si="210"/>
        <v>NÃO</v>
      </c>
      <c r="AB337" s="350"/>
      <c r="AC337" s="309" t="s">
        <v>2508</v>
      </c>
      <c r="AD337" s="311"/>
      <c r="AE337" s="361"/>
      <c r="AF337" s="310" t="s">
        <v>6985</v>
      </c>
      <c r="AG337" s="310" t="s">
        <v>6882</v>
      </c>
      <c r="AH337" s="310" t="s">
        <v>2509</v>
      </c>
      <c r="AI337" s="309" t="s">
        <v>2255</v>
      </c>
      <c r="AJ337" s="6" t="s">
        <v>6786</v>
      </c>
      <c r="AK337" s="6" t="str">
        <f t="shared" si="187"/>
        <v>IGUAL</v>
      </c>
      <c r="AL337" s="151" t="str">
        <f>IFERROR(IF(LEFT(A337,3)="LCP",VLOOKUP(A337,STATUS_SAP_LCP!B:C,2,FALSE),VLOOKUP(A337,STATUS_SAP_ICP!B:C,2,FALSE)),"NO BUDGET")</f>
        <v>REL  BUDG AUC  AVAC  //  APPR BREL EXPL</v>
      </c>
      <c r="AM337" s="6" t="str">
        <f t="shared" si="185"/>
        <v xml:space="preserve">REL </v>
      </c>
      <c r="AN337" s="414" t="s">
        <v>17702</v>
      </c>
      <c r="AO337" s="414"/>
      <c r="AP337" s="499" t="s">
        <v>5299</v>
      </c>
      <c r="AQ337" s="465">
        <v>45808</v>
      </c>
      <c r="AR337" s="460"/>
      <c r="AS337" s="57"/>
      <c r="AT337" s="185"/>
      <c r="AU337" s="318"/>
      <c r="AV337" s="223"/>
      <c r="AW337" s="318"/>
      <c r="AX337" s="223">
        <v>2.6008400000000003</v>
      </c>
      <c r="AY337" s="318">
        <f t="shared" si="179"/>
        <v>158.78846999999999</v>
      </c>
      <c r="AZ337" s="223"/>
      <c r="BA337" s="318"/>
      <c r="BB337" s="519">
        <f t="shared" si="180"/>
        <v>237.6</v>
      </c>
      <c r="BC337" s="518">
        <v>0</v>
      </c>
      <c r="BD337" s="518">
        <v>94.5</v>
      </c>
      <c r="BE337" s="518">
        <v>45</v>
      </c>
      <c r="BF337" s="518">
        <v>45</v>
      </c>
      <c r="BG337" s="518">
        <v>53.1</v>
      </c>
      <c r="BH337" s="518">
        <v>0</v>
      </c>
      <c r="BI337" s="518">
        <v>0</v>
      </c>
      <c r="BJ337" s="518">
        <v>0</v>
      </c>
      <c r="BK337" s="518">
        <v>0</v>
      </c>
      <c r="BL337" s="518">
        <v>0</v>
      </c>
      <c r="BM337" s="518">
        <v>0</v>
      </c>
      <c r="BN337" s="518">
        <v>0</v>
      </c>
      <c r="BO337" s="367">
        <f t="shared" si="188"/>
        <v>158.78846999999999</v>
      </c>
      <c r="BP337" s="421">
        <v>0</v>
      </c>
      <c r="BQ337" s="422"/>
      <c r="BR337" s="423">
        <f>IFERROR(IF(LEFT($A337,3)="Lcp",SUMIFS('BASE-LCP'!$K:$K,'BASE-LCP'!$A:$A,Capex!$A357,'BASE-LCP'!$B:$B,"janeiro")/1000,IF(LEFT($A337,3)="icp",SUMIFS('BASE-ICP'!$K:$K,'BASE-ICP'!$A:$A,Capex!$A357,'BASE-ICP'!$B:$B,"janeiro")/1000,"")),"")</f>
        <v>0</v>
      </c>
      <c r="BS337" s="427">
        <v>0</v>
      </c>
      <c r="BT337" s="372">
        <v>48.5</v>
      </c>
      <c r="BU337" s="422"/>
      <c r="BV337" s="423">
        <f>IFERROR(IF(LEFT($A337,3)="Lcp",SUMIFS('BASE-LCP'!$K:$K,'BASE-LCP'!$A:$A,Capex!$A357,'BASE-LCP'!$B:$B,"fevereiro")/1000,IF(LEFT($A337,3)="icp",SUMIFS('BASE-ICP'!$K:$K,'BASE-ICP'!$A:$A,Capex!$A357,'BASE-ICP'!$B:$B,"fevereiro")/1000,"")),"")</f>
        <v>0</v>
      </c>
      <c r="BW337" s="427"/>
      <c r="BX337" s="372">
        <v>20</v>
      </c>
      <c r="BY337" s="419"/>
      <c r="BZ337" s="423">
        <f>IFERROR(IF(LEFT($A337,3)="Lcp",SUMIFS('BASE-LCP'!$K:$K,'BASE-LCP'!$A:$A,Capex!$A357,'BASE-LCP'!$B:$B,"março")/1000,IF(LEFT($A337,3)="icp",SUMIFS('BASE-ICP'!$K:$K,'BASE-ICP'!$A:$A,Capex!$A357,'BASE-ICP'!$B:$B,"março")/1000,"")),"")</f>
        <v>0</v>
      </c>
      <c r="CA337" s="427">
        <v>0</v>
      </c>
      <c r="CB337" s="372">
        <v>166.05</v>
      </c>
      <c r="CC337" s="422">
        <v>103.00241</v>
      </c>
      <c r="CD337" s="423">
        <f>IFERROR(IF(LEFT($A337,3)="Lcp",SUMIFS('BASE-LCP'!$K:$K,'BASE-LCP'!$A:$A,Capex!$A357,'BASE-LCP'!$B:$B,"abril")/1000,IF(LEFT($A337,3)="icp",SUMIFS('BASE-ICP'!$K:$K,'BASE-ICP'!$A:$A,Capex!$A357,'BASE-ICP'!$B:$B,"abril")/1000,"")),"")</f>
        <v>0</v>
      </c>
      <c r="CE337" s="427">
        <v>103.00240999999998</v>
      </c>
      <c r="CF337" s="372">
        <v>54.9</v>
      </c>
      <c r="CG337" s="419">
        <v>43.786059999999999</v>
      </c>
      <c r="CH337" s="423">
        <v>43.786060000000006</v>
      </c>
      <c r="CI337" s="427">
        <v>43.786060000000006</v>
      </c>
      <c r="CJ337" s="372">
        <v>0</v>
      </c>
      <c r="CK337" s="419"/>
      <c r="CL337" s="423">
        <f>IFERROR(IF(LEFT($A337,3)="Lcp",SUMIFS('BASE-LCP'!$K:$K,'BASE-LCP'!$A:$A,Capex!$A357,'BASE-LCP'!$B:$B,"junho")/1000,IF(LEFT($A337,3)="icp",SUMIFS('BASE-ICP'!$K:$K,'BASE-ICP'!$A:$A,Capex!$A357,'BASE-ICP'!$B:$B,"junho")/1000,"")),"")</f>
        <v>1.6842999999999999</v>
      </c>
      <c r="CM337" s="427">
        <v>0</v>
      </c>
      <c r="CN337" s="372"/>
      <c r="CO337" s="419"/>
      <c r="CP337" s="423">
        <f>IFERROR(IF(LEFT($A337,3)="Lcp",SUMIFS('BASE-LCP'!$K:$K,'BASE-LCP'!$A:$A,Capex!$A357,'BASE-LCP'!$B:$B,"julho")/1000,IF(LEFT($A337,3)="icp",SUMIFS('BASE-ICP'!$K:$K,'BASE-ICP'!$A:$A,Capex!$A357,'BASE-ICP'!$B:$B,"julho")/1000,"")),"")</f>
        <v>0</v>
      </c>
      <c r="CQ337" s="427">
        <v>12</v>
      </c>
      <c r="CR337" s="372"/>
      <c r="CS337" s="419"/>
      <c r="CT337" s="423">
        <f>IFERROR(IF(LEFT($A337,3)="Lcp",SUMIFS('BASE-LCP'!$K:$K,'BASE-LCP'!$A:$A,Capex!$A357,'BASE-LCP'!$B:$B,"agosto")/1000,IF(LEFT($A337,3)="icp",SUMIFS('BASE-ICP'!$K:$K,'BASE-ICP'!$A:$A,Capex!$A357,'BASE-ICP'!$B:$B,"agosto")/1000,"")),"")</f>
        <v>0</v>
      </c>
      <c r="CU337" s="427">
        <v>0</v>
      </c>
      <c r="CV337" s="372"/>
      <c r="CW337" s="419"/>
      <c r="CX337" s="423">
        <f>IFERROR(IF(LEFT($A337,3)="Lcp",SUMIFS('BASE-LCP'!$K:$K,'BASE-LCP'!$A:$A,Capex!$A357,'BASE-LCP'!$B:$B,"setembro")/1000,IF(LEFT($A337,3)="icp",SUMIFS('BASE-ICP'!$K:$K,'BASE-ICP'!$A:$A,Capex!$A357,'BASE-ICP'!$B:$B,"setembro")/1000,"")),"")</f>
        <v>0</v>
      </c>
      <c r="CY337" s="427">
        <v>0</v>
      </c>
      <c r="CZ337" s="372"/>
      <c r="DA337" s="419"/>
      <c r="DB337" s="423">
        <f>IFERROR(IF(LEFT($A337,3)="Lcp",SUMIFS('BASE-LCP'!$K:$K,'BASE-LCP'!$A:$A,Capex!$A357,'BASE-LCP'!$B:$B,"outubro")/1000,IF(LEFT($A337,3)="icp",SUMIFS('BASE-ICP'!$K:$K,'BASE-ICP'!$A:$A,Capex!$A357,'BASE-ICP'!$B:$B,"outubro")/1000,"")),"")</f>
        <v>0</v>
      </c>
      <c r="DC337" s="427">
        <v>0</v>
      </c>
      <c r="DD337" s="372"/>
      <c r="DE337" s="419"/>
      <c r="DF337" s="423">
        <f>IFERROR(IF(LEFT($A337,3)="Lcp",SUMIFS('BASE-LCP'!$K:$K,'BASE-LCP'!$A:$A,Capex!$A357,'BASE-LCP'!$B:$B,"novembro")/1000,IF(LEFT($A337,3)="icp",SUMIFS('BASE-ICP'!$K:$K,'BASE-ICP'!$A:$A,Capex!$A357,'BASE-ICP'!$B:$B,"novembro")/1000,"")),"")</f>
        <v>0</v>
      </c>
      <c r="DG337" s="427">
        <v>0</v>
      </c>
      <c r="DH337" s="372"/>
      <c r="DI337" s="419"/>
      <c r="DJ337" s="423">
        <f>IFERROR(IF(LEFT($A337,3)="Lcp",SUMIFS('BASE-LCP'!$K:$K,'BASE-LCP'!$A:$A,Capex!$A357,'BASE-LCP'!$B:$B,"dezembro")/1000,IF(LEFT($A337,3)="icp",SUMIFS('BASE-ICP'!$K:$K,'BASE-ICP'!$A:$A,Capex!$A357,'BASE-ICP'!$B:$B,"dezembro")/1000,"")),"")</f>
        <v>0</v>
      </c>
      <c r="DK337" s="427">
        <v>0</v>
      </c>
      <c r="DL337" s="452">
        <f t="shared" si="189"/>
        <v>0</v>
      </c>
      <c r="DM337" s="374"/>
      <c r="DN337" s="374">
        <v>0</v>
      </c>
      <c r="DO337" s="374"/>
      <c r="DP337" s="374"/>
      <c r="DQ337" s="374"/>
      <c r="DR337" s="374"/>
      <c r="DS337" s="374"/>
      <c r="DT337" s="374"/>
      <c r="DU337" s="374"/>
      <c r="DV337" s="374"/>
      <c r="DW337" s="374"/>
      <c r="DX337" s="374"/>
      <c r="DY337" s="450"/>
      <c r="DZ337" s="374">
        <f t="shared" si="190"/>
        <v>0</v>
      </c>
      <c r="EA337" s="216">
        <f t="shared" si="191"/>
        <v>0</v>
      </c>
      <c r="EB337" s="320">
        <f t="shared" si="192"/>
        <v>1.6842999999999999</v>
      </c>
      <c r="EC337" s="241">
        <f t="shared" si="193"/>
        <v>0</v>
      </c>
      <c r="ED337" s="241">
        <f t="shared" si="194"/>
        <v>146.78846999999999</v>
      </c>
      <c r="EE337" s="241">
        <f t="shared" si="195"/>
        <v>12</v>
      </c>
      <c r="EF337" s="241">
        <f t="shared" si="196"/>
        <v>0</v>
      </c>
      <c r="EG337" s="346">
        <f t="shared" si="197"/>
        <v>-78.811530000000005</v>
      </c>
      <c r="EH337" s="445">
        <f t="shared" si="198"/>
        <v>54.9</v>
      </c>
      <c r="EI337" s="447">
        <f t="shared" si="199"/>
        <v>43.786060000000006</v>
      </c>
      <c r="EJ337" s="364">
        <f t="shared" si="200"/>
        <v>148.47277</v>
      </c>
      <c r="EK337" s="365">
        <f t="shared" si="201"/>
        <v>10.315699999999993</v>
      </c>
      <c r="EL337" s="529">
        <f t="shared" si="202"/>
        <v>158.78846999999999</v>
      </c>
      <c r="EM337" s="530">
        <v>0</v>
      </c>
      <c r="EN337" s="530">
        <v>0</v>
      </c>
      <c r="EO337" s="530">
        <v>0</v>
      </c>
      <c r="EP337" s="530">
        <v>103.00240999999998</v>
      </c>
      <c r="EQ337" s="530">
        <v>43.786060000000006</v>
      </c>
      <c r="ER337" s="530">
        <v>0</v>
      </c>
      <c r="ES337" s="530">
        <v>12</v>
      </c>
      <c r="ET337" s="530">
        <v>0</v>
      </c>
      <c r="EU337" s="530">
        <v>0</v>
      </c>
      <c r="EV337" s="530">
        <v>0</v>
      </c>
      <c r="EW337" s="530">
        <v>0</v>
      </c>
      <c r="EX337" s="530">
        <v>0</v>
      </c>
      <c r="EY337" s="530">
        <f t="shared" si="203"/>
        <v>0</v>
      </c>
      <c r="EZ337" s="530">
        <f t="shared" si="204"/>
        <v>146.78846999999999</v>
      </c>
      <c r="FA337" s="530">
        <f t="shared" si="205"/>
        <v>12</v>
      </c>
      <c r="FB337" s="530">
        <f t="shared" si="206"/>
        <v>0</v>
      </c>
      <c r="FC337" s="384">
        <f>IFERROR(VLOOKUP(Capex!A357,BASE_558!D:R,8,FALSE)/1000,"")</f>
        <v>2716.3164500000003</v>
      </c>
      <c r="FD337" s="328">
        <f>IFERROR(VLOOKUP(Capex!A357,BASE_558!D:R,9,)/1000,"")</f>
        <v>1.6842999999999999</v>
      </c>
      <c r="FE337" s="328">
        <f>IFERROR(IF(LEFT(A337,3)="LCP",(VLOOKUP(Capex!A357,BASE_558!D:R,10,)/1000),SUMIFS('BASE ICP_PO_SC'!F:F,'BASE ICP_PO_SC'!A:A,Capex!A357,'BASE ICP_PO_SC'!E:E,"&lt;&gt;")/1000),"")</f>
        <v>175.7</v>
      </c>
      <c r="FF337" s="328">
        <f>IFERROR(IF(LEFT(A337,3)="LCP",(VLOOKUP(Capex!A357,BASE_558!D:R,11,)/1000),SUMIFS('BASE ICP_PO_SC'!F:F,'BASE ICP_PO_SC'!A:A,Capex!A357,'BASE ICP_PO_SC'!E:E,"")/1000),"")</f>
        <v>331.41359999999997</v>
      </c>
      <c r="FG337" s="328">
        <f>IFERROR(VLOOKUP(A337,BASE_558!D:R,13,FALSE)/1000,"")</f>
        <v>158.25892000000002</v>
      </c>
      <c r="FH337" s="328">
        <f>IFERROR(VLOOKUP(A337,BASE_558!D:R,15,FALSE)/1000,"")</f>
        <v>129.71907999999999</v>
      </c>
      <c r="FI337" s="547">
        <f t="shared" si="207"/>
        <v>0</v>
      </c>
      <c r="FJ337" s="547">
        <f t="shared" si="208"/>
        <v>0</v>
      </c>
      <c r="FK337" s="540">
        <f t="shared" si="209"/>
        <v>0</v>
      </c>
    </row>
    <row r="338" spans="1:167" s="23" customFormat="1" ht="24" customHeight="1">
      <c r="A338" s="84" t="s">
        <v>2617</v>
      </c>
      <c r="B338" s="404"/>
      <c r="C338" s="404"/>
      <c r="D338" s="338"/>
      <c r="E338" s="378">
        <v>8514075</v>
      </c>
      <c r="F338" s="5"/>
      <c r="G338" s="310" t="s">
        <v>9</v>
      </c>
      <c r="H338" s="495" t="s">
        <v>6</v>
      </c>
      <c r="I338" s="356"/>
      <c r="J338" s="356">
        <v>2024</v>
      </c>
      <c r="K338" s="352">
        <v>45371</v>
      </c>
      <c r="L338" s="317"/>
      <c r="M338" s="409"/>
      <c r="N338" s="317">
        <f t="shared" si="177"/>
        <v>46283</v>
      </c>
      <c r="O338" s="317">
        <f t="shared" si="178"/>
        <v>46648</v>
      </c>
      <c r="P338" s="418" t="str">
        <f t="shared" si="210"/>
        <v>NÃO</v>
      </c>
      <c r="Q338" s="418" t="str">
        <f t="shared" si="210"/>
        <v>NÃO</v>
      </c>
      <c r="R338" s="418" t="str">
        <f t="shared" si="210"/>
        <v>NÃO</v>
      </c>
      <c r="S338" s="418" t="str">
        <f t="shared" si="210"/>
        <v>NÃO</v>
      </c>
      <c r="T338" s="418" t="str">
        <f t="shared" si="210"/>
        <v>NÃO</v>
      </c>
      <c r="U338" s="418" t="str">
        <f t="shared" si="210"/>
        <v>NÃO</v>
      </c>
      <c r="V338" s="418" t="str">
        <f t="shared" si="210"/>
        <v>NÃO</v>
      </c>
      <c r="W338" s="418" t="str">
        <f t="shared" si="210"/>
        <v>NÃO</v>
      </c>
      <c r="X338" s="418" t="str">
        <f t="shared" si="210"/>
        <v>NÃO</v>
      </c>
      <c r="Y338" s="418" t="str">
        <f t="shared" si="210"/>
        <v>NÃO</v>
      </c>
      <c r="Z338" s="418" t="str">
        <f t="shared" si="210"/>
        <v>NÃO</v>
      </c>
      <c r="AA338" s="418" t="str">
        <f t="shared" si="210"/>
        <v>NÃO</v>
      </c>
      <c r="AB338" s="350"/>
      <c r="AC338" s="309" t="s">
        <v>2508</v>
      </c>
      <c r="AD338" s="311"/>
      <c r="AE338" s="361"/>
      <c r="AF338" s="310" t="s">
        <v>6985</v>
      </c>
      <c r="AG338" s="310" t="s">
        <v>6882</v>
      </c>
      <c r="AH338" s="310" t="s">
        <v>3780</v>
      </c>
      <c r="AI338" s="381" t="s">
        <v>2255</v>
      </c>
      <c r="AJ338" s="6" t="s">
        <v>6786</v>
      </c>
      <c r="AK338" s="6" t="str">
        <f t="shared" si="187"/>
        <v>DIFERENTE</v>
      </c>
      <c r="AL338" s="151" t="str">
        <f>IFERROR(IF(LEFT(A338,3)="LCP",VLOOKUP(A338,STATUS_SAP_LCP!B:C,2,FALSE),VLOOKUP(A338,STATUS_SAP_ICP!B:C,2,FALSE)),"NO BUDGET")</f>
        <v>TECO BUDG AUC  AVAC  //  APPR BNRL EXPL</v>
      </c>
      <c r="AM338" s="6" t="str">
        <f t="shared" si="185"/>
        <v>TECO</v>
      </c>
      <c r="AN338" s="282" t="s">
        <v>7041</v>
      </c>
      <c r="AO338" s="557"/>
      <c r="AP338" s="499" t="s">
        <v>5299</v>
      </c>
      <c r="AQ338" s="465">
        <v>45838</v>
      </c>
      <c r="AR338" s="460"/>
      <c r="AS338" s="57"/>
      <c r="AT338" s="185"/>
      <c r="AU338" s="318"/>
      <c r="AV338" s="223"/>
      <c r="AW338" s="318"/>
      <c r="AX338" s="223">
        <v>88.629590000000022</v>
      </c>
      <c r="AY338" s="318">
        <f t="shared" si="179"/>
        <v>33.223419999999997</v>
      </c>
      <c r="AZ338" s="223"/>
      <c r="BA338" s="318"/>
      <c r="BB338" s="519">
        <f t="shared" si="180"/>
        <v>100</v>
      </c>
      <c r="BC338" s="518">
        <v>0</v>
      </c>
      <c r="BD338" s="518">
        <v>0</v>
      </c>
      <c r="BE338" s="518">
        <v>30</v>
      </c>
      <c r="BF338" s="518">
        <v>30</v>
      </c>
      <c r="BG338" s="518">
        <v>30</v>
      </c>
      <c r="BH338" s="518">
        <v>10</v>
      </c>
      <c r="BI338" s="518">
        <v>0</v>
      </c>
      <c r="BJ338" s="518">
        <v>0</v>
      </c>
      <c r="BK338" s="518">
        <v>0</v>
      </c>
      <c r="BL338" s="518">
        <v>0</v>
      </c>
      <c r="BM338" s="518">
        <v>0</v>
      </c>
      <c r="BN338" s="518">
        <v>0</v>
      </c>
      <c r="BO338" s="367">
        <f t="shared" si="188"/>
        <v>33.223419999999997</v>
      </c>
      <c r="BP338" s="421">
        <v>0</v>
      </c>
      <c r="BQ338" s="422">
        <v>7.137220000000001</v>
      </c>
      <c r="BR338" s="423">
        <f>IFERROR(IF(LEFT($A338,3)="Lcp",SUMIFS('BASE-LCP'!$K:$K,'BASE-LCP'!$A:$A,Capex!$A358,'BASE-LCP'!$B:$B,"janeiro")/1000,IF(LEFT($A338,3)="icp",SUMIFS('BASE-ICP'!$K:$K,'BASE-ICP'!$A:$A,Capex!$A358,'BASE-ICP'!$B:$B,"janeiro")/1000,"")),"")</f>
        <v>0</v>
      </c>
      <c r="BS338" s="427">
        <v>7.1372199999999992</v>
      </c>
      <c r="BT338" s="372"/>
      <c r="BU338" s="422">
        <v>10.881340000000002</v>
      </c>
      <c r="BV338" s="423">
        <f>IFERROR(IF(LEFT($A338,3)="Lcp",SUMIFS('BASE-LCP'!$K:$K,'BASE-LCP'!$A:$A,Capex!$A358,'BASE-LCP'!$B:$B,"fevereiro")/1000,IF(LEFT($A338,3)="icp",SUMIFS('BASE-ICP'!$K:$K,'BASE-ICP'!$A:$A,Capex!$A358,'BASE-ICP'!$B:$B,"fevereiro")/1000,"")),"")</f>
        <v>0</v>
      </c>
      <c r="BW338" s="427">
        <v>10.881339999999998</v>
      </c>
      <c r="BX338" s="372">
        <v>0</v>
      </c>
      <c r="BY338" s="419">
        <v>15.20486</v>
      </c>
      <c r="BZ338" s="423">
        <f>IFERROR(IF(LEFT($A338,3)="Lcp",SUMIFS('BASE-LCP'!$K:$K,'BASE-LCP'!$A:$A,Capex!$A358,'BASE-LCP'!$B:$B,"março")/1000,IF(LEFT($A338,3)="icp",SUMIFS('BASE-ICP'!$K:$K,'BASE-ICP'!$A:$A,Capex!$A358,'BASE-ICP'!$B:$B,"março")/1000,"")),"")</f>
        <v>0</v>
      </c>
      <c r="CA338" s="427">
        <v>15.204859999999998</v>
      </c>
      <c r="CB338" s="372"/>
      <c r="CC338" s="422"/>
      <c r="CD338" s="423">
        <f>IFERROR(IF(LEFT($A338,3)="Lcp",SUMIFS('BASE-LCP'!$K:$K,'BASE-LCP'!$A:$A,Capex!$A358,'BASE-LCP'!$B:$B,"abril")/1000,IF(LEFT($A338,3)="icp",SUMIFS('BASE-ICP'!$K:$K,'BASE-ICP'!$A:$A,Capex!$A358,'BASE-ICP'!$B:$B,"abril")/1000,"")),"")</f>
        <v>0</v>
      </c>
      <c r="CE338" s="427"/>
      <c r="CF338" s="372">
        <v>0</v>
      </c>
      <c r="CG338" s="419"/>
      <c r="CH338" s="423">
        <v>0</v>
      </c>
      <c r="CI338" s="427">
        <v>0</v>
      </c>
      <c r="CJ338" s="372">
        <v>0</v>
      </c>
      <c r="CK338" s="419"/>
      <c r="CL338" s="423">
        <f>IFERROR(IF(LEFT($A338,3)="Lcp",SUMIFS('BASE-LCP'!$K:$K,'BASE-LCP'!$A:$A,Capex!$A358,'BASE-LCP'!$B:$B,"junho")/1000,IF(LEFT($A338,3)="icp",SUMIFS('BASE-ICP'!$K:$K,'BASE-ICP'!$A:$A,Capex!$A358,'BASE-ICP'!$B:$B,"junho")/1000,"")),"")</f>
        <v>0</v>
      </c>
      <c r="CM338" s="427">
        <v>0</v>
      </c>
      <c r="CN338" s="372"/>
      <c r="CO338" s="419"/>
      <c r="CP338" s="423">
        <f>IFERROR(IF(LEFT($A338,3)="Lcp",SUMIFS('BASE-LCP'!$K:$K,'BASE-LCP'!$A:$A,Capex!$A358,'BASE-LCP'!$B:$B,"julho")/1000,IF(LEFT($A338,3)="icp",SUMIFS('BASE-ICP'!$K:$K,'BASE-ICP'!$A:$A,Capex!$A358,'BASE-ICP'!$B:$B,"julho")/1000,"")),"")</f>
        <v>0</v>
      </c>
      <c r="CQ338" s="427">
        <v>0</v>
      </c>
      <c r="CR338" s="372"/>
      <c r="CS338" s="419"/>
      <c r="CT338" s="423">
        <f>IFERROR(IF(LEFT($A338,3)="Lcp",SUMIFS('BASE-LCP'!$K:$K,'BASE-LCP'!$A:$A,Capex!$A358,'BASE-LCP'!$B:$B,"agosto")/1000,IF(LEFT($A338,3)="icp",SUMIFS('BASE-ICP'!$K:$K,'BASE-ICP'!$A:$A,Capex!$A358,'BASE-ICP'!$B:$B,"agosto")/1000,"")),"")</f>
        <v>0</v>
      </c>
      <c r="CU338" s="427">
        <v>0</v>
      </c>
      <c r="CV338" s="372"/>
      <c r="CW338" s="419"/>
      <c r="CX338" s="423">
        <f>IFERROR(IF(LEFT($A338,3)="Lcp",SUMIFS('BASE-LCP'!$K:$K,'BASE-LCP'!$A:$A,Capex!$A358,'BASE-LCP'!$B:$B,"setembro")/1000,IF(LEFT($A338,3)="icp",SUMIFS('BASE-ICP'!$K:$K,'BASE-ICP'!$A:$A,Capex!$A358,'BASE-ICP'!$B:$B,"setembro")/1000,"")),"")</f>
        <v>0</v>
      </c>
      <c r="CY338" s="427">
        <v>0</v>
      </c>
      <c r="CZ338" s="372"/>
      <c r="DA338" s="419"/>
      <c r="DB338" s="423">
        <f>IFERROR(IF(LEFT($A338,3)="Lcp",SUMIFS('BASE-LCP'!$K:$K,'BASE-LCP'!$A:$A,Capex!$A358,'BASE-LCP'!$B:$B,"outubro")/1000,IF(LEFT($A338,3)="icp",SUMIFS('BASE-ICP'!$K:$K,'BASE-ICP'!$A:$A,Capex!$A358,'BASE-ICP'!$B:$B,"outubro")/1000,"")),"")</f>
        <v>0</v>
      </c>
      <c r="DC338" s="427">
        <v>0</v>
      </c>
      <c r="DD338" s="372"/>
      <c r="DE338" s="419"/>
      <c r="DF338" s="423">
        <f>IFERROR(IF(LEFT($A338,3)="Lcp",SUMIFS('BASE-LCP'!$K:$K,'BASE-LCP'!$A:$A,Capex!$A358,'BASE-LCP'!$B:$B,"novembro")/1000,IF(LEFT($A338,3)="icp",SUMIFS('BASE-ICP'!$K:$K,'BASE-ICP'!$A:$A,Capex!$A358,'BASE-ICP'!$B:$B,"novembro")/1000,"")),"")</f>
        <v>0</v>
      </c>
      <c r="DG338" s="427">
        <v>0</v>
      </c>
      <c r="DH338" s="372"/>
      <c r="DI338" s="419"/>
      <c r="DJ338" s="423">
        <f>IFERROR(IF(LEFT($A338,3)="Lcp",SUMIFS('BASE-LCP'!$K:$K,'BASE-LCP'!$A:$A,Capex!$A358,'BASE-LCP'!$B:$B,"dezembro")/1000,IF(LEFT($A338,3)="icp",SUMIFS('BASE-ICP'!$K:$K,'BASE-ICP'!$A:$A,Capex!$A358,'BASE-ICP'!$B:$B,"dezembro")/1000,"")),"")</f>
        <v>0</v>
      </c>
      <c r="DK338" s="427">
        <v>0</v>
      </c>
      <c r="DL338" s="452">
        <f t="shared" si="189"/>
        <v>0</v>
      </c>
      <c r="DM338" s="374"/>
      <c r="DN338" s="374">
        <v>0</v>
      </c>
      <c r="DO338" s="374"/>
      <c r="DP338" s="374"/>
      <c r="DQ338" s="374"/>
      <c r="DR338" s="374"/>
      <c r="DS338" s="374"/>
      <c r="DT338" s="374"/>
      <c r="DU338" s="374"/>
      <c r="DV338" s="374"/>
      <c r="DW338" s="374"/>
      <c r="DX338" s="374"/>
      <c r="DY338" s="450"/>
      <c r="DZ338" s="374">
        <f t="shared" si="190"/>
        <v>0</v>
      </c>
      <c r="EA338" s="216">
        <f t="shared" si="191"/>
        <v>0</v>
      </c>
      <c r="EB338" s="320">
        <f t="shared" si="192"/>
        <v>0</v>
      </c>
      <c r="EC338" s="241">
        <f t="shared" si="193"/>
        <v>33.223419999999997</v>
      </c>
      <c r="ED338" s="241">
        <f t="shared" si="194"/>
        <v>0</v>
      </c>
      <c r="EE338" s="241">
        <f t="shared" si="195"/>
        <v>0</v>
      </c>
      <c r="EF338" s="241">
        <f t="shared" si="196"/>
        <v>0</v>
      </c>
      <c r="EG338" s="346">
        <f t="shared" si="197"/>
        <v>-66.776579999999996</v>
      </c>
      <c r="EH338" s="445">
        <f t="shared" si="198"/>
        <v>0</v>
      </c>
      <c r="EI338" s="447">
        <f t="shared" si="199"/>
        <v>0</v>
      </c>
      <c r="EJ338" s="364">
        <f t="shared" si="200"/>
        <v>33.223419999999997</v>
      </c>
      <c r="EK338" s="365">
        <f t="shared" si="201"/>
        <v>0</v>
      </c>
      <c r="EL338" s="529">
        <f t="shared" si="202"/>
        <v>33.223419999999997</v>
      </c>
      <c r="EM338" s="530">
        <v>7.1372199999999992</v>
      </c>
      <c r="EN338" s="530">
        <v>10.881339999999998</v>
      </c>
      <c r="EO338" s="530">
        <v>15.204859999999998</v>
      </c>
      <c r="EP338" s="530">
        <v>0</v>
      </c>
      <c r="EQ338" s="530">
        <v>0</v>
      </c>
      <c r="ER338" s="530">
        <v>0</v>
      </c>
      <c r="ES338" s="530">
        <v>0</v>
      </c>
      <c r="ET338" s="530">
        <v>0</v>
      </c>
      <c r="EU338" s="530">
        <v>0</v>
      </c>
      <c r="EV338" s="530">
        <v>0</v>
      </c>
      <c r="EW338" s="530">
        <v>0</v>
      </c>
      <c r="EX338" s="530">
        <v>0</v>
      </c>
      <c r="EY338" s="530">
        <f t="shared" si="203"/>
        <v>33.223419999999997</v>
      </c>
      <c r="EZ338" s="530">
        <f t="shared" si="204"/>
        <v>0</v>
      </c>
      <c r="FA338" s="530">
        <f t="shared" si="205"/>
        <v>0</v>
      </c>
      <c r="FB338" s="530">
        <f t="shared" si="206"/>
        <v>0</v>
      </c>
      <c r="FC338" s="384">
        <f>IFERROR(VLOOKUP(Capex!A358,BASE_558!D:R,8,FALSE)/1000,"")</f>
        <v>21</v>
      </c>
      <c r="FD338" s="328">
        <f>IFERROR(VLOOKUP(Capex!A358,BASE_558!D:R,9,)/1000,"")</f>
        <v>0</v>
      </c>
      <c r="FE338" s="328">
        <f>IFERROR(IF(LEFT(A338,3)="LCP",(VLOOKUP(Capex!A358,BASE_558!D:R,10,)/1000),SUMIFS('BASE ICP_PO_SC'!F:F,'BASE ICP_PO_SC'!A:A,Capex!A358,'BASE ICP_PO_SC'!E:E,"&lt;&gt;")/1000),"")</f>
        <v>0</v>
      </c>
      <c r="FF338" s="328">
        <f>IFERROR(IF(LEFT(A338,3)="LCP",(VLOOKUP(Capex!A358,BASE_558!D:R,11,)/1000),SUMIFS('BASE ICP_PO_SC'!F:F,'BASE ICP_PO_SC'!A:A,Capex!A358,'BASE ICP_PO_SC'!E:E,"")/1000),"")</f>
        <v>20.181699999999999</v>
      </c>
      <c r="FG338" s="328">
        <f>IFERROR(VLOOKUP(A338,BASE_558!D:R,13,FALSE)/1000,"")</f>
        <v>121.85301</v>
      </c>
      <c r="FH338" s="328">
        <f>IFERROR(VLOOKUP(A338,BASE_558!D:R,15,FALSE)/1000,"")</f>
        <v>261.14699000000002</v>
      </c>
      <c r="FI338" s="547">
        <f t="shared" si="207"/>
        <v>0</v>
      </c>
      <c r="FJ338" s="547">
        <f t="shared" si="208"/>
        <v>0</v>
      </c>
      <c r="FK338" s="540">
        <f t="shared" si="209"/>
        <v>0</v>
      </c>
    </row>
    <row r="339" spans="1:167" s="23" customFormat="1" ht="24" customHeight="1">
      <c r="A339" s="84" t="s">
        <v>2626</v>
      </c>
      <c r="B339" s="404"/>
      <c r="C339" s="404"/>
      <c r="D339" s="338"/>
      <c r="E339" s="378">
        <v>8570779</v>
      </c>
      <c r="F339" s="5"/>
      <c r="G339" s="310" t="s">
        <v>9</v>
      </c>
      <c r="H339" s="495" t="s">
        <v>6</v>
      </c>
      <c r="I339" s="356"/>
      <c r="J339" s="356">
        <v>2024</v>
      </c>
      <c r="K339" s="352">
        <v>45398</v>
      </c>
      <c r="L339" s="317"/>
      <c r="M339" s="409"/>
      <c r="N339" s="317">
        <f t="shared" si="177"/>
        <v>46310</v>
      </c>
      <c r="O339" s="317">
        <f t="shared" si="178"/>
        <v>46675</v>
      </c>
      <c r="P339" s="418" t="str">
        <f t="shared" si="210"/>
        <v>NÃO</v>
      </c>
      <c r="Q339" s="418" t="str">
        <f t="shared" si="210"/>
        <v>NÃO</v>
      </c>
      <c r="R339" s="418" t="str">
        <f t="shared" si="210"/>
        <v>NÃO</v>
      </c>
      <c r="S339" s="418" t="str">
        <f t="shared" si="210"/>
        <v>NÃO</v>
      </c>
      <c r="T339" s="418" t="str">
        <f t="shared" si="210"/>
        <v>NÃO</v>
      </c>
      <c r="U339" s="418" t="str">
        <f t="shared" si="210"/>
        <v>NÃO</v>
      </c>
      <c r="V339" s="418" t="str">
        <f t="shared" si="210"/>
        <v>NÃO</v>
      </c>
      <c r="W339" s="418" t="str">
        <f t="shared" si="210"/>
        <v>NÃO</v>
      </c>
      <c r="X339" s="418" t="str">
        <f t="shared" si="210"/>
        <v>NÃO</v>
      </c>
      <c r="Y339" s="418" t="str">
        <f t="shared" si="210"/>
        <v>NÃO</v>
      </c>
      <c r="Z339" s="418" t="str">
        <f t="shared" si="210"/>
        <v>NÃO</v>
      </c>
      <c r="AA339" s="418" t="str">
        <f t="shared" si="210"/>
        <v>NÃO</v>
      </c>
      <c r="AB339" s="350"/>
      <c r="AC339" s="309" t="s">
        <v>2508</v>
      </c>
      <c r="AD339" s="311"/>
      <c r="AE339" s="361"/>
      <c r="AF339" s="310" t="s">
        <v>6985</v>
      </c>
      <c r="AG339" s="310" t="s">
        <v>6882</v>
      </c>
      <c r="AH339" s="310" t="s">
        <v>2599</v>
      </c>
      <c r="AI339" s="381" t="s">
        <v>2255</v>
      </c>
      <c r="AJ339" s="6" t="s">
        <v>6786</v>
      </c>
      <c r="AK339" s="6" t="str">
        <f t="shared" si="187"/>
        <v>IGUAL</v>
      </c>
      <c r="AL339" s="151" t="str">
        <f>IFERROR(IF(LEFT(A339,3)="LCP",VLOOKUP(A339,STATUS_SAP_LCP!B:C,2,FALSE),VLOOKUP(A339,STATUS_SAP_ICP!B:C,2,FALSE)),"NO BUDGET")</f>
        <v>REL  BUDG AUC  AVAC  //  APPR BREL EXPL</v>
      </c>
      <c r="AM339" s="6" t="str">
        <f t="shared" si="185"/>
        <v xml:space="preserve">REL </v>
      </c>
      <c r="AN339" s="282" t="s">
        <v>8953</v>
      </c>
      <c r="AO339" s="557"/>
      <c r="AP339" s="499" t="s">
        <v>9616</v>
      </c>
      <c r="AQ339" s="465">
        <v>46203</v>
      </c>
      <c r="AR339" s="460"/>
      <c r="AS339" s="57"/>
      <c r="AT339" s="185"/>
      <c r="AU339" s="318"/>
      <c r="AV339" s="223"/>
      <c r="AW339" s="318"/>
      <c r="AX339" s="223">
        <v>0</v>
      </c>
      <c r="AY339" s="318">
        <f t="shared" si="179"/>
        <v>9</v>
      </c>
      <c r="AZ339" s="223"/>
      <c r="BA339" s="318"/>
      <c r="BB339" s="519">
        <f t="shared" si="180"/>
        <v>239</v>
      </c>
      <c r="BC339" s="518">
        <v>0</v>
      </c>
      <c r="BD339" s="518">
        <v>0</v>
      </c>
      <c r="BE339" s="518">
        <v>9</v>
      </c>
      <c r="BF339" s="518">
        <v>0</v>
      </c>
      <c r="BG339" s="518">
        <v>0</v>
      </c>
      <c r="BH339" s="518">
        <v>50</v>
      </c>
      <c r="BI339" s="518">
        <v>50</v>
      </c>
      <c r="BJ339" s="518">
        <v>90</v>
      </c>
      <c r="BK339" s="518">
        <v>40</v>
      </c>
      <c r="BL339" s="518">
        <v>0</v>
      </c>
      <c r="BM339" s="518">
        <v>0</v>
      </c>
      <c r="BN339" s="518">
        <v>0</v>
      </c>
      <c r="BO339" s="367">
        <f t="shared" si="188"/>
        <v>9</v>
      </c>
      <c r="BP339" s="421">
        <v>0</v>
      </c>
      <c r="BQ339" s="422"/>
      <c r="BR339" s="423">
        <f>IFERROR(IF(LEFT($A339,3)="Lcp",SUMIFS('BASE-LCP'!$K:$K,'BASE-LCP'!$A:$A,Capex!$A359,'BASE-LCP'!$B:$B,"janeiro")/1000,IF(LEFT($A339,3)="icp",SUMIFS('BASE-ICP'!$K:$K,'BASE-ICP'!$A:$A,Capex!$A359,'BASE-ICP'!$B:$B,"janeiro")/1000,"")),"")</f>
        <v>0</v>
      </c>
      <c r="BS339" s="427">
        <v>0</v>
      </c>
      <c r="BT339" s="372">
        <v>0</v>
      </c>
      <c r="BU339" s="422"/>
      <c r="BV339" s="423">
        <f>IFERROR(IF(LEFT($A339,3)="Lcp",SUMIFS('BASE-LCP'!$K:$K,'BASE-LCP'!$A:$A,Capex!$A359,'BASE-LCP'!$B:$B,"fevereiro")/1000,IF(LEFT($A339,3)="icp",SUMIFS('BASE-ICP'!$K:$K,'BASE-ICP'!$A:$A,Capex!$A359,'BASE-ICP'!$B:$B,"fevereiro")/1000,"")),"")</f>
        <v>0</v>
      </c>
      <c r="BW339" s="427">
        <v>0</v>
      </c>
      <c r="BX339" s="372">
        <v>0</v>
      </c>
      <c r="BY339" s="419"/>
      <c r="BZ339" s="423">
        <f>IFERROR(IF(LEFT($A339,3)="Lcp",SUMIFS('BASE-LCP'!$K:$K,'BASE-LCP'!$A:$A,Capex!$A359,'BASE-LCP'!$B:$B,"março")/1000,IF(LEFT($A339,3)="icp",SUMIFS('BASE-ICP'!$K:$K,'BASE-ICP'!$A:$A,Capex!$A359,'BASE-ICP'!$B:$B,"março")/1000,"")),"")</f>
        <v>0</v>
      </c>
      <c r="CA339" s="427">
        <v>0</v>
      </c>
      <c r="CB339" s="372">
        <v>0</v>
      </c>
      <c r="CC339" s="422"/>
      <c r="CD339" s="423">
        <f>IFERROR(IF(LEFT($A339,3)="Lcp",SUMIFS('BASE-LCP'!$K:$K,'BASE-LCP'!$A:$A,Capex!$A359,'BASE-LCP'!$B:$B,"abril")/1000,IF(LEFT($A339,3)="icp",SUMIFS('BASE-ICP'!$K:$K,'BASE-ICP'!$A:$A,Capex!$A359,'BASE-ICP'!$B:$B,"abril")/1000,"")),"")</f>
        <v>0</v>
      </c>
      <c r="CE339" s="427">
        <v>0</v>
      </c>
      <c r="CF339" s="372">
        <v>0</v>
      </c>
      <c r="CG339" s="419"/>
      <c r="CH339" s="423">
        <v>0</v>
      </c>
      <c r="CI339" s="427">
        <v>0</v>
      </c>
      <c r="CJ339" s="372">
        <v>0</v>
      </c>
      <c r="CK339" s="419"/>
      <c r="CL339" s="423">
        <f>IFERROR(IF(LEFT($A339,3)="Lcp",SUMIFS('BASE-LCP'!$K:$K,'BASE-LCP'!$A:$A,Capex!$A359,'BASE-LCP'!$B:$B,"junho")/1000,IF(LEFT($A339,3)="icp",SUMIFS('BASE-ICP'!$K:$K,'BASE-ICP'!$A:$A,Capex!$A359,'BASE-ICP'!$B:$B,"junho")/1000,"")),"")</f>
        <v>0</v>
      </c>
      <c r="CM339" s="427">
        <v>0</v>
      </c>
      <c r="CN339" s="372"/>
      <c r="CO339" s="419"/>
      <c r="CP339" s="423">
        <f>IFERROR(IF(LEFT($A339,3)="Lcp",SUMIFS('BASE-LCP'!$K:$K,'BASE-LCP'!$A:$A,Capex!$A359,'BASE-LCP'!$B:$B,"julho")/1000,IF(LEFT($A339,3)="icp",SUMIFS('BASE-ICP'!$K:$K,'BASE-ICP'!$A:$A,Capex!$A359,'BASE-ICP'!$B:$B,"julho")/1000,"")),"")</f>
        <v>0</v>
      </c>
      <c r="CQ339" s="427"/>
      <c r="CR339" s="372"/>
      <c r="CS339" s="419"/>
      <c r="CT339" s="423">
        <f>IFERROR(IF(LEFT($A339,3)="Lcp",SUMIFS('BASE-LCP'!$K:$K,'BASE-LCP'!$A:$A,Capex!$A359,'BASE-LCP'!$B:$B,"agosto")/1000,IF(LEFT($A339,3)="icp",SUMIFS('BASE-ICP'!$K:$K,'BASE-ICP'!$A:$A,Capex!$A359,'BASE-ICP'!$B:$B,"agosto")/1000,"")),"")</f>
        <v>0</v>
      </c>
      <c r="CU339" s="427"/>
      <c r="CV339" s="372"/>
      <c r="CW339" s="419"/>
      <c r="CX339" s="423">
        <f>IFERROR(IF(LEFT($A339,3)="Lcp",SUMIFS('BASE-LCP'!$K:$K,'BASE-LCP'!$A:$A,Capex!$A359,'BASE-LCP'!$B:$B,"setembro")/1000,IF(LEFT($A339,3)="icp",SUMIFS('BASE-ICP'!$K:$K,'BASE-ICP'!$A:$A,Capex!$A359,'BASE-ICP'!$B:$B,"setembro")/1000,"")),"")</f>
        <v>0</v>
      </c>
      <c r="CY339" s="427"/>
      <c r="CZ339" s="372"/>
      <c r="DA339" s="419"/>
      <c r="DB339" s="423">
        <f>IFERROR(IF(LEFT($A339,3)="Lcp",SUMIFS('BASE-LCP'!$K:$K,'BASE-LCP'!$A:$A,Capex!$A359,'BASE-LCP'!$B:$B,"outubro")/1000,IF(LEFT($A339,3)="icp",SUMIFS('BASE-ICP'!$K:$K,'BASE-ICP'!$A:$A,Capex!$A359,'BASE-ICP'!$B:$B,"outubro")/1000,"")),"")</f>
        <v>0</v>
      </c>
      <c r="DC339" s="427">
        <v>9</v>
      </c>
      <c r="DD339" s="372"/>
      <c r="DE339" s="419"/>
      <c r="DF339" s="423">
        <f>IFERROR(IF(LEFT($A339,3)="Lcp",SUMIFS('BASE-LCP'!$K:$K,'BASE-LCP'!$A:$A,Capex!$A359,'BASE-LCP'!$B:$B,"novembro")/1000,IF(LEFT($A339,3)="icp",SUMIFS('BASE-ICP'!$K:$K,'BASE-ICP'!$A:$A,Capex!$A359,'BASE-ICP'!$B:$B,"novembro")/1000,"")),"")</f>
        <v>0</v>
      </c>
      <c r="DG339" s="427">
        <v>0</v>
      </c>
      <c r="DH339" s="372"/>
      <c r="DI339" s="419"/>
      <c r="DJ339" s="423">
        <f>IFERROR(IF(LEFT($A339,3)="Lcp",SUMIFS('BASE-LCP'!$K:$K,'BASE-LCP'!$A:$A,Capex!$A359,'BASE-LCP'!$B:$B,"dezembro")/1000,IF(LEFT($A339,3)="icp",SUMIFS('BASE-ICP'!$K:$K,'BASE-ICP'!$A:$A,Capex!$A359,'BASE-ICP'!$B:$B,"dezembro")/1000,"")),"")</f>
        <v>0</v>
      </c>
      <c r="DK339" s="427">
        <v>0</v>
      </c>
      <c r="DL339" s="452">
        <f t="shared" si="189"/>
        <v>232</v>
      </c>
      <c r="DM339" s="374"/>
      <c r="DN339" s="374">
        <v>232</v>
      </c>
      <c r="DO339" s="374"/>
      <c r="DP339" s="374"/>
      <c r="DQ339" s="374"/>
      <c r="DR339" s="374"/>
      <c r="DS339" s="374"/>
      <c r="DT339" s="374"/>
      <c r="DU339" s="374"/>
      <c r="DV339" s="374"/>
      <c r="DW339" s="374"/>
      <c r="DX339" s="374"/>
      <c r="DY339" s="450"/>
      <c r="DZ339" s="374">
        <f t="shared" si="190"/>
        <v>232</v>
      </c>
      <c r="EA339" s="216">
        <f t="shared" si="191"/>
        <v>0</v>
      </c>
      <c r="EB339" s="320">
        <f t="shared" si="192"/>
        <v>0</v>
      </c>
      <c r="EC339" s="241">
        <f t="shared" si="193"/>
        <v>0</v>
      </c>
      <c r="ED339" s="241">
        <f t="shared" si="194"/>
        <v>0</v>
      </c>
      <c r="EE339" s="241">
        <f t="shared" si="195"/>
        <v>0</v>
      </c>
      <c r="EF339" s="241">
        <f t="shared" si="196"/>
        <v>9</v>
      </c>
      <c r="EG339" s="346">
        <f t="shared" si="197"/>
        <v>-230</v>
      </c>
      <c r="EH339" s="445">
        <f t="shared" si="198"/>
        <v>0</v>
      </c>
      <c r="EI339" s="447">
        <f t="shared" si="199"/>
        <v>0</v>
      </c>
      <c r="EJ339" s="364">
        <f t="shared" si="200"/>
        <v>0</v>
      </c>
      <c r="EK339" s="365">
        <f t="shared" si="201"/>
        <v>9</v>
      </c>
      <c r="EL339" s="529">
        <f t="shared" si="202"/>
        <v>9</v>
      </c>
      <c r="EM339" s="530">
        <v>0</v>
      </c>
      <c r="EN339" s="530">
        <v>0</v>
      </c>
      <c r="EO339" s="530">
        <v>0</v>
      </c>
      <c r="EP339" s="530">
        <v>0</v>
      </c>
      <c r="EQ339" s="530">
        <v>0</v>
      </c>
      <c r="ER339" s="530">
        <v>0</v>
      </c>
      <c r="ES339" s="530">
        <v>0</v>
      </c>
      <c r="ET339" s="530">
        <v>0</v>
      </c>
      <c r="EU339" s="530">
        <v>0</v>
      </c>
      <c r="EV339" s="530">
        <v>9</v>
      </c>
      <c r="EW339" s="530">
        <v>0</v>
      </c>
      <c r="EX339" s="530">
        <v>0</v>
      </c>
      <c r="EY339" s="530">
        <f t="shared" si="203"/>
        <v>0</v>
      </c>
      <c r="EZ339" s="530">
        <f t="shared" si="204"/>
        <v>0</v>
      </c>
      <c r="FA339" s="530">
        <f t="shared" si="205"/>
        <v>0</v>
      </c>
      <c r="FB339" s="530">
        <f t="shared" si="206"/>
        <v>9</v>
      </c>
      <c r="FC339" s="384">
        <f>IFERROR(VLOOKUP(Capex!A359,BASE_558!D:R,8,FALSE)/1000,"")</f>
        <v>0</v>
      </c>
      <c r="FD339" s="328">
        <f>IFERROR(VLOOKUP(Capex!A359,BASE_558!D:R,9,)/1000,"")</f>
        <v>0</v>
      </c>
      <c r="FE339" s="328">
        <f>IFERROR(IF(LEFT(A339,3)="LCP",(VLOOKUP(Capex!A359,BASE_558!D:R,10,)/1000),SUMIFS('BASE ICP_PO_SC'!F:F,'BASE ICP_PO_SC'!A:A,Capex!A359,'BASE ICP_PO_SC'!E:E,"&lt;&gt;")/1000),"")</f>
        <v>0</v>
      </c>
      <c r="FF339" s="328">
        <f>IFERROR(IF(LEFT(A339,3)="LCP",(VLOOKUP(Capex!A359,BASE_558!D:R,11,)/1000),SUMIFS('BASE ICP_PO_SC'!F:F,'BASE ICP_PO_SC'!A:A,Capex!A359,'BASE ICP_PO_SC'!E:E,"")/1000),"")</f>
        <v>0</v>
      </c>
      <c r="FG339" s="328">
        <f>IFERROR(VLOOKUP(A339,BASE_558!D:R,13,FALSE)/1000,"")</f>
        <v>130.16327999999999</v>
      </c>
      <c r="FH339" s="328">
        <f>IFERROR(VLOOKUP(A339,BASE_558!D:R,15,FALSE)/1000,"")</f>
        <v>108.94372</v>
      </c>
      <c r="FI339" s="547">
        <f t="shared" si="207"/>
        <v>0</v>
      </c>
      <c r="FJ339" s="547">
        <f t="shared" si="208"/>
        <v>0</v>
      </c>
      <c r="FK339" s="540">
        <f t="shared" si="209"/>
        <v>0</v>
      </c>
    </row>
    <row r="340" spans="1:167" s="23" customFormat="1" ht="24" customHeight="1">
      <c r="A340" s="84" t="s">
        <v>2637</v>
      </c>
      <c r="B340" s="404"/>
      <c r="C340" s="404"/>
      <c r="D340" s="338"/>
      <c r="E340" s="309">
        <v>8663101</v>
      </c>
      <c r="F340" s="5"/>
      <c r="G340" s="310" t="s">
        <v>9</v>
      </c>
      <c r="H340" s="338" t="s">
        <v>6</v>
      </c>
      <c r="I340" s="356"/>
      <c r="J340" s="356">
        <v>2024</v>
      </c>
      <c r="K340" s="352">
        <v>45492</v>
      </c>
      <c r="L340" s="317"/>
      <c r="M340" s="409"/>
      <c r="N340" s="317">
        <f t="shared" si="177"/>
        <v>46404</v>
      </c>
      <c r="O340" s="317">
        <f t="shared" si="178"/>
        <v>46769</v>
      </c>
      <c r="P340" s="418" t="str">
        <f t="shared" si="210"/>
        <v>NÃO</v>
      </c>
      <c r="Q340" s="418" t="str">
        <f t="shared" si="210"/>
        <v>NÃO</v>
      </c>
      <c r="R340" s="418" t="str">
        <f t="shared" si="210"/>
        <v>NÃO</v>
      </c>
      <c r="S340" s="418" t="str">
        <f t="shared" si="210"/>
        <v>NÃO</v>
      </c>
      <c r="T340" s="418" t="str">
        <f t="shared" si="210"/>
        <v>NÃO</v>
      </c>
      <c r="U340" s="418" t="str">
        <f t="shared" si="210"/>
        <v>NÃO</v>
      </c>
      <c r="V340" s="418" t="str">
        <f t="shared" si="210"/>
        <v>NÃO</v>
      </c>
      <c r="W340" s="418" t="str">
        <f t="shared" si="210"/>
        <v>NÃO</v>
      </c>
      <c r="X340" s="418" t="str">
        <f t="shared" si="210"/>
        <v>NÃO</v>
      </c>
      <c r="Y340" s="418" t="str">
        <f t="shared" si="210"/>
        <v>NÃO</v>
      </c>
      <c r="Z340" s="418" t="str">
        <f t="shared" si="210"/>
        <v>NÃO</v>
      </c>
      <c r="AA340" s="418" t="str">
        <f t="shared" si="210"/>
        <v>NÃO</v>
      </c>
      <c r="AB340" s="350"/>
      <c r="AC340" s="309" t="s">
        <v>3931</v>
      </c>
      <c r="AD340" s="311"/>
      <c r="AE340" s="381"/>
      <c r="AF340" s="310" t="s">
        <v>6985</v>
      </c>
      <c r="AG340" s="310" t="s">
        <v>2485</v>
      </c>
      <c r="AH340" s="309" t="s">
        <v>2840</v>
      </c>
      <c r="AI340" s="381" t="s">
        <v>188</v>
      </c>
      <c r="AJ340" s="6" t="s">
        <v>6786</v>
      </c>
      <c r="AK340" s="6" t="str">
        <f t="shared" si="187"/>
        <v>DIFERENTE</v>
      </c>
      <c r="AL340" s="151" t="str">
        <f>IFERROR(IF(LEFT(A340,3)="LCP",VLOOKUP(A340,STATUS_SAP_LCP!B:C,2,FALSE),VLOOKUP(A340,STATUS_SAP_ICP!B:C,2,FALSE)),"NO BUDGET")</f>
        <v>TECO BUDG AUC  AVAC  //  APPR BREL EXPL</v>
      </c>
      <c r="AM340" s="6" t="str">
        <f t="shared" si="185"/>
        <v>TECO</v>
      </c>
      <c r="AN340" s="282" t="s">
        <v>8414</v>
      </c>
      <c r="AO340" s="557"/>
      <c r="AP340" s="499" t="s">
        <v>9616</v>
      </c>
      <c r="AQ340" s="465">
        <v>46387</v>
      </c>
      <c r="AR340" s="460"/>
      <c r="AS340" s="57"/>
      <c r="AT340" s="185"/>
      <c r="AU340" s="318"/>
      <c r="AV340" s="223"/>
      <c r="AW340" s="318">
        <v>0</v>
      </c>
      <c r="AX340" s="223">
        <v>0</v>
      </c>
      <c r="AY340" s="318">
        <f t="shared" si="179"/>
        <v>0</v>
      </c>
      <c r="AZ340" s="223"/>
      <c r="BA340" s="318"/>
      <c r="BB340" s="519">
        <f t="shared" si="180"/>
        <v>0</v>
      </c>
      <c r="BC340" s="518"/>
      <c r="BD340" s="518"/>
      <c r="BE340" s="518"/>
      <c r="BF340" s="518"/>
      <c r="BG340" s="518"/>
      <c r="BH340" s="518"/>
      <c r="BI340" s="518"/>
      <c r="BJ340" s="518"/>
      <c r="BK340" s="518"/>
      <c r="BL340" s="518"/>
      <c r="BM340" s="518"/>
      <c r="BN340" s="518"/>
      <c r="BO340" s="367">
        <f t="shared" si="188"/>
        <v>0</v>
      </c>
      <c r="BP340" s="421"/>
      <c r="BQ340" s="422"/>
      <c r="BR340" s="423">
        <f>IFERROR(IF(LEFT($A340,3)="Lcp",SUMIFS('BASE-LCP'!$K:$K,'BASE-LCP'!$A:$A,Capex!$A360,'BASE-LCP'!$B:$B,"janeiro")/1000,IF(LEFT($A340,3)="icp",SUMIFS('BASE-ICP'!$K:$K,'BASE-ICP'!$A:$A,Capex!$A360,'BASE-ICP'!$B:$B,"janeiro")/1000,"")),"")</f>
        <v>0</v>
      </c>
      <c r="BS340" s="427">
        <v>0</v>
      </c>
      <c r="BT340" s="372">
        <v>0</v>
      </c>
      <c r="BU340" s="422"/>
      <c r="BV340" s="423">
        <f>IFERROR(IF(LEFT($A340,3)="Lcp",SUMIFS('BASE-LCP'!$K:$K,'BASE-LCP'!$A:$A,Capex!$A360,'BASE-LCP'!$B:$B,"fevereiro")/1000,IF(LEFT($A340,3)="icp",SUMIFS('BASE-ICP'!$K:$K,'BASE-ICP'!$A:$A,Capex!$A360,'BASE-ICP'!$B:$B,"fevereiro")/1000,"")),"")</f>
        <v>0</v>
      </c>
      <c r="BW340" s="427">
        <v>0</v>
      </c>
      <c r="BX340" s="372">
        <v>0</v>
      </c>
      <c r="BY340" s="419"/>
      <c r="BZ340" s="423">
        <f>IFERROR(IF(LEFT($A340,3)="Lcp",SUMIFS('BASE-LCP'!$K:$K,'BASE-LCP'!$A:$A,Capex!$A360,'BASE-LCP'!$B:$B,"março")/1000,IF(LEFT($A340,3)="icp",SUMIFS('BASE-ICP'!$K:$K,'BASE-ICP'!$A:$A,Capex!$A360,'BASE-ICP'!$B:$B,"março")/1000,"")),"")</f>
        <v>0</v>
      </c>
      <c r="CA340" s="427">
        <v>0</v>
      </c>
      <c r="CB340" s="372">
        <v>0</v>
      </c>
      <c r="CC340" s="422"/>
      <c r="CD340" s="423">
        <f>IFERROR(IF(LEFT($A340,3)="Lcp",SUMIFS('BASE-LCP'!$K:$K,'BASE-LCP'!$A:$A,Capex!$A360,'BASE-LCP'!$B:$B,"abril")/1000,IF(LEFT($A340,3)="icp",SUMIFS('BASE-ICP'!$K:$K,'BASE-ICP'!$A:$A,Capex!$A360,'BASE-ICP'!$B:$B,"abril")/1000,"")),"")</f>
        <v>0</v>
      </c>
      <c r="CE340" s="427">
        <v>0</v>
      </c>
      <c r="CF340" s="372">
        <v>0</v>
      </c>
      <c r="CG340" s="419"/>
      <c r="CH340" s="423">
        <v>0</v>
      </c>
      <c r="CI340" s="427">
        <v>0</v>
      </c>
      <c r="CJ340" s="372">
        <v>0</v>
      </c>
      <c r="CK340" s="419"/>
      <c r="CL340" s="423">
        <f>IFERROR(IF(LEFT($A340,3)="Lcp",SUMIFS('BASE-LCP'!$K:$K,'BASE-LCP'!$A:$A,Capex!$A360,'BASE-LCP'!$B:$B,"junho")/1000,IF(LEFT($A340,3)="icp",SUMIFS('BASE-ICP'!$K:$K,'BASE-ICP'!$A:$A,Capex!$A360,'BASE-ICP'!$B:$B,"junho")/1000,"")),"")</f>
        <v>0</v>
      </c>
      <c r="CM340" s="427">
        <v>0</v>
      </c>
      <c r="CN340" s="372"/>
      <c r="CO340" s="419"/>
      <c r="CP340" s="423">
        <f>IFERROR(IF(LEFT($A340,3)="Lcp",SUMIFS('BASE-LCP'!$K:$K,'BASE-LCP'!$A:$A,Capex!$A360,'BASE-LCP'!$B:$B,"julho")/1000,IF(LEFT($A340,3)="icp",SUMIFS('BASE-ICP'!$K:$K,'BASE-ICP'!$A:$A,Capex!$A360,'BASE-ICP'!$B:$B,"julho")/1000,"")),"")</f>
        <v>0</v>
      </c>
      <c r="CQ340" s="427">
        <v>0</v>
      </c>
      <c r="CR340" s="372"/>
      <c r="CS340" s="419"/>
      <c r="CT340" s="423">
        <f>IFERROR(IF(LEFT($A340,3)="Lcp",SUMIFS('BASE-LCP'!$K:$K,'BASE-LCP'!$A:$A,Capex!$A360,'BASE-LCP'!$B:$B,"agosto")/1000,IF(LEFT($A340,3)="icp",SUMIFS('BASE-ICP'!$K:$K,'BASE-ICP'!$A:$A,Capex!$A360,'BASE-ICP'!$B:$B,"agosto")/1000,"")),"")</f>
        <v>0</v>
      </c>
      <c r="CU340" s="427">
        <v>0</v>
      </c>
      <c r="CV340" s="372"/>
      <c r="CW340" s="419"/>
      <c r="CX340" s="423">
        <f>IFERROR(IF(LEFT($A340,3)="Lcp",SUMIFS('BASE-LCP'!$K:$K,'BASE-LCP'!$A:$A,Capex!$A360,'BASE-LCP'!$B:$B,"setembro")/1000,IF(LEFT($A340,3)="icp",SUMIFS('BASE-ICP'!$K:$K,'BASE-ICP'!$A:$A,Capex!$A360,'BASE-ICP'!$B:$B,"setembro")/1000,"")),"")</f>
        <v>0</v>
      </c>
      <c r="CY340" s="427">
        <v>0</v>
      </c>
      <c r="CZ340" s="372"/>
      <c r="DA340" s="419"/>
      <c r="DB340" s="423">
        <f>IFERROR(IF(LEFT($A340,3)="Lcp",SUMIFS('BASE-LCP'!$K:$K,'BASE-LCP'!$A:$A,Capex!$A360,'BASE-LCP'!$B:$B,"outubro")/1000,IF(LEFT($A340,3)="icp",SUMIFS('BASE-ICP'!$K:$K,'BASE-ICP'!$A:$A,Capex!$A360,'BASE-ICP'!$B:$B,"outubro")/1000,"")),"")</f>
        <v>0</v>
      </c>
      <c r="DC340" s="427">
        <v>0</v>
      </c>
      <c r="DD340" s="372"/>
      <c r="DE340" s="419"/>
      <c r="DF340" s="423">
        <f>IFERROR(IF(LEFT($A340,3)="Lcp",SUMIFS('BASE-LCP'!$K:$K,'BASE-LCP'!$A:$A,Capex!$A360,'BASE-LCP'!$B:$B,"novembro")/1000,IF(LEFT($A340,3)="icp",SUMIFS('BASE-ICP'!$K:$K,'BASE-ICP'!$A:$A,Capex!$A360,'BASE-ICP'!$B:$B,"novembro")/1000,"")),"")</f>
        <v>0</v>
      </c>
      <c r="DG340" s="427">
        <v>0</v>
      </c>
      <c r="DH340" s="372"/>
      <c r="DI340" s="419"/>
      <c r="DJ340" s="423">
        <f>IFERROR(IF(LEFT($A340,3)="Lcp",SUMIFS('BASE-LCP'!$K:$K,'BASE-LCP'!$A:$A,Capex!$A360,'BASE-LCP'!$B:$B,"dezembro")/1000,IF(LEFT($A340,3)="icp",SUMIFS('BASE-ICP'!$K:$K,'BASE-ICP'!$A:$A,Capex!$A360,'BASE-ICP'!$B:$B,"dezembro")/1000,"")),"")</f>
        <v>0</v>
      </c>
      <c r="DK340" s="427">
        <v>0</v>
      </c>
      <c r="DL340" s="452">
        <f t="shared" si="189"/>
        <v>900</v>
      </c>
      <c r="DM340" s="374"/>
      <c r="DN340" s="374">
        <v>900</v>
      </c>
      <c r="DO340" s="374"/>
      <c r="DP340" s="374"/>
      <c r="DQ340" s="374"/>
      <c r="DR340" s="374"/>
      <c r="DS340" s="374"/>
      <c r="DT340" s="374"/>
      <c r="DU340" s="374"/>
      <c r="DV340" s="374"/>
      <c r="DW340" s="374"/>
      <c r="DX340" s="374"/>
      <c r="DY340" s="450"/>
      <c r="DZ340" s="374">
        <f t="shared" si="190"/>
        <v>900</v>
      </c>
      <c r="EA340" s="216">
        <f t="shared" si="191"/>
        <v>0</v>
      </c>
      <c r="EB340" s="320">
        <f t="shared" si="192"/>
        <v>0</v>
      </c>
      <c r="EC340" s="241">
        <f t="shared" si="193"/>
        <v>0</v>
      </c>
      <c r="ED340" s="241">
        <f t="shared" si="194"/>
        <v>0</v>
      </c>
      <c r="EE340" s="241">
        <f t="shared" si="195"/>
        <v>0</v>
      </c>
      <c r="EF340" s="241">
        <f t="shared" si="196"/>
        <v>0</v>
      </c>
      <c r="EG340" s="346">
        <f t="shared" si="197"/>
        <v>0</v>
      </c>
      <c r="EH340" s="445">
        <f t="shared" si="198"/>
        <v>0</v>
      </c>
      <c r="EI340" s="447">
        <f t="shared" si="199"/>
        <v>0</v>
      </c>
      <c r="EJ340" s="364">
        <f t="shared" si="200"/>
        <v>0</v>
      </c>
      <c r="EK340" s="365">
        <f t="shared" si="201"/>
        <v>0</v>
      </c>
      <c r="EL340" s="529">
        <f t="shared" si="202"/>
        <v>0</v>
      </c>
      <c r="EM340" s="530">
        <v>0</v>
      </c>
      <c r="EN340" s="530">
        <v>0</v>
      </c>
      <c r="EO340" s="530">
        <v>0</v>
      </c>
      <c r="EP340" s="530">
        <v>0</v>
      </c>
      <c r="EQ340" s="530">
        <v>0</v>
      </c>
      <c r="ER340" s="530">
        <v>0</v>
      </c>
      <c r="ES340" s="530">
        <v>0</v>
      </c>
      <c r="ET340" s="530">
        <v>0</v>
      </c>
      <c r="EU340" s="530">
        <v>0</v>
      </c>
      <c r="EV340" s="530">
        <v>0</v>
      </c>
      <c r="EW340" s="530">
        <v>0</v>
      </c>
      <c r="EX340" s="530">
        <v>0</v>
      </c>
      <c r="EY340" s="530">
        <f t="shared" si="203"/>
        <v>0</v>
      </c>
      <c r="EZ340" s="530">
        <f t="shared" si="204"/>
        <v>0</v>
      </c>
      <c r="FA340" s="530">
        <f t="shared" si="205"/>
        <v>0</v>
      </c>
      <c r="FB340" s="530">
        <f t="shared" si="206"/>
        <v>0</v>
      </c>
      <c r="FC340" s="384">
        <f>IFERROR(VLOOKUP(Capex!A360,BASE_558!D:R,8,FALSE)/1000,"")</f>
        <v>1399.933</v>
      </c>
      <c r="FD340" s="328">
        <f>IFERROR(VLOOKUP(Capex!A360,BASE_558!D:R,9,)/1000,"")</f>
        <v>0</v>
      </c>
      <c r="FE340" s="328">
        <f>IFERROR(IF(LEFT(A340,3)="LCP",(VLOOKUP(Capex!A360,BASE_558!D:R,10,)/1000),SUMIFS('BASE ICP_PO_SC'!F:F,'BASE ICP_PO_SC'!A:A,Capex!A360,'BASE ICP_PO_SC'!E:E,"&lt;&gt;")/1000),"")</f>
        <v>0</v>
      </c>
      <c r="FF340" s="328">
        <f>IFERROR(IF(LEFT(A340,3)="LCP",(VLOOKUP(Capex!A360,BASE_558!D:R,11,)/1000),SUMIFS('BASE ICP_PO_SC'!F:F,'BASE ICP_PO_SC'!A:A,Capex!A360,'BASE ICP_PO_SC'!E:E,"")/1000),"")</f>
        <v>808.96540000000005</v>
      </c>
      <c r="FG340" s="328">
        <f>IFERROR(VLOOKUP(A340,BASE_558!D:R,13,FALSE)/1000,"")</f>
        <v>0</v>
      </c>
      <c r="FH340" s="328">
        <f>IFERROR(VLOOKUP(A340,BASE_558!D:R,15,FALSE)/1000,"")</f>
        <v>1000</v>
      </c>
      <c r="FI340" s="547">
        <f t="shared" si="207"/>
        <v>0</v>
      </c>
      <c r="FJ340" s="547">
        <f t="shared" si="208"/>
        <v>0</v>
      </c>
      <c r="FK340" s="540">
        <f t="shared" si="209"/>
        <v>0</v>
      </c>
    </row>
    <row r="341" spans="1:167" s="23" customFormat="1" ht="24" customHeight="1">
      <c r="A341" s="84" t="s">
        <v>2653</v>
      </c>
      <c r="B341" s="404"/>
      <c r="C341" s="404"/>
      <c r="D341" s="338"/>
      <c r="E341" s="378">
        <v>8619500</v>
      </c>
      <c r="F341" s="5"/>
      <c r="G341" s="310" t="s">
        <v>9</v>
      </c>
      <c r="H341" s="356" t="s">
        <v>6</v>
      </c>
      <c r="I341" s="356"/>
      <c r="J341" s="356">
        <v>2024</v>
      </c>
      <c r="K341" s="352">
        <v>45419</v>
      </c>
      <c r="L341" s="317"/>
      <c r="M341" s="409"/>
      <c r="N341" s="317">
        <f t="shared" si="177"/>
        <v>46331</v>
      </c>
      <c r="O341" s="317">
        <f t="shared" si="178"/>
        <v>46696</v>
      </c>
      <c r="P341" s="418" t="str">
        <f t="shared" si="210"/>
        <v>NÃO</v>
      </c>
      <c r="Q341" s="418" t="str">
        <f t="shared" si="210"/>
        <v>NÃO</v>
      </c>
      <c r="R341" s="418" t="str">
        <f t="shared" si="210"/>
        <v>NÃO</v>
      </c>
      <c r="S341" s="418" t="str">
        <f t="shared" si="210"/>
        <v>NÃO</v>
      </c>
      <c r="T341" s="418" t="str">
        <f t="shared" si="210"/>
        <v>NÃO</v>
      </c>
      <c r="U341" s="418" t="str">
        <f t="shared" si="210"/>
        <v>NÃO</v>
      </c>
      <c r="V341" s="418" t="str">
        <f t="shared" si="210"/>
        <v>NÃO</v>
      </c>
      <c r="W341" s="418" t="str">
        <f t="shared" si="210"/>
        <v>NÃO</v>
      </c>
      <c r="X341" s="418" t="str">
        <f t="shared" si="210"/>
        <v>NÃO</v>
      </c>
      <c r="Y341" s="418" t="str">
        <f t="shared" si="210"/>
        <v>NÃO</v>
      </c>
      <c r="Z341" s="418" t="str">
        <f t="shared" si="210"/>
        <v>NÃO</v>
      </c>
      <c r="AA341" s="418" t="str">
        <f t="shared" si="210"/>
        <v>NÃO</v>
      </c>
      <c r="AB341" s="350"/>
      <c r="AC341" s="309" t="s">
        <v>3932</v>
      </c>
      <c r="AD341" s="311" t="s">
        <v>982</v>
      </c>
      <c r="AE341" s="361" t="s">
        <v>2261</v>
      </c>
      <c r="AF341" s="310" t="s">
        <v>6985</v>
      </c>
      <c r="AG341" s="310" t="s">
        <v>2186</v>
      </c>
      <c r="AH341" s="310" t="s">
        <v>6762</v>
      </c>
      <c r="AI341" s="309" t="s">
        <v>2255</v>
      </c>
      <c r="AJ341" s="6" t="s">
        <v>6786</v>
      </c>
      <c r="AK341" s="6" t="str">
        <f t="shared" si="187"/>
        <v>DIFERENTE</v>
      </c>
      <c r="AL341" s="151" t="str">
        <f>IFERROR(IF(LEFT(A341,3)="LCP",VLOOKUP(A341,STATUS_SAP_LCP!B:C,2,FALSE),VLOOKUP(A341,STATUS_SAP_ICP!B:C,2,FALSE)),"NO BUDGET")</f>
        <v>TECO BUDG AUC  AVAC  //  APPR BREL EXPL</v>
      </c>
      <c r="AM341" s="6" t="str">
        <f t="shared" si="185"/>
        <v>TECO</v>
      </c>
      <c r="AN341" s="414" t="s">
        <v>6763</v>
      </c>
      <c r="AO341" s="414"/>
      <c r="AP341" s="499" t="s">
        <v>9616</v>
      </c>
      <c r="AQ341" s="465">
        <v>46387</v>
      </c>
      <c r="AR341" s="460"/>
      <c r="AS341" s="57"/>
      <c r="AT341" s="185"/>
      <c r="AU341" s="318"/>
      <c r="AV341" s="223"/>
      <c r="AW341" s="318"/>
      <c r="AX341" s="223">
        <v>0</v>
      </c>
      <c r="AY341" s="318">
        <f t="shared" si="179"/>
        <v>0</v>
      </c>
      <c r="AZ341" s="223"/>
      <c r="BA341" s="318"/>
      <c r="BB341" s="519">
        <f t="shared" si="180"/>
        <v>0</v>
      </c>
      <c r="BC341" s="518">
        <v>0</v>
      </c>
      <c r="BD341" s="518">
        <v>0</v>
      </c>
      <c r="BE341" s="518">
        <v>0</v>
      </c>
      <c r="BF341" s="518">
        <v>0</v>
      </c>
      <c r="BG341" s="518">
        <v>0</v>
      </c>
      <c r="BH341" s="518">
        <v>0</v>
      </c>
      <c r="BI341" s="518">
        <v>0</v>
      </c>
      <c r="BJ341" s="518">
        <v>0</v>
      </c>
      <c r="BK341" s="518">
        <v>0</v>
      </c>
      <c r="BL341" s="518">
        <v>0</v>
      </c>
      <c r="BM341" s="518">
        <v>0</v>
      </c>
      <c r="BN341" s="518">
        <v>0</v>
      </c>
      <c r="BO341" s="367">
        <f t="shared" si="188"/>
        <v>0</v>
      </c>
      <c r="BP341" s="421">
        <v>0</v>
      </c>
      <c r="BQ341" s="422"/>
      <c r="BR341" s="423">
        <f>IFERROR(IF(LEFT($A341,3)="Lcp",SUMIFS('BASE-LCP'!$K:$K,'BASE-LCP'!$A:$A,Capex!$A361,'BASE-LCP'!$B:$B,"janeiro")/1000,IF(LEFT($A341,3)="icp",SUMIFS('BASE-ICP'!$K:$K,'BASE-ICP'!$A:$A,Capex!$A361,'BASE-ICP'!$B:$B,"janeiro")/1000,"")),"")</f>
        <v>0</v>
      </c>
      <c r="BS341" s="427">
        <v>0</v>
      </c>
      <c r="BT341" s="372">
        <v>0</v>
      </c>
      <c r="BU341" s="422"/>
      <c r="BV341" s="423">
        <f>IFERROR(IF(LEFT($A341,3)="Lcp",SUMIFS('BASE-LCP'!$K:$K,'BASE-LCP'!$A:$A,Capex!$A361,'BASE-LCP'!$B:$B,"fevereiro")/1000,IF(LEFT($A341,3)="icp",SUMIFS('BASE-ICP'!$K:$K,'BASE-ICP'!$A:$A,Capex!$A361,'BASE-ICP'!$B:$B,"fevereiro")/1000,"")),"")</f>
        <v>0</v>
      </c>
      <c r="BW341" s="427">
        <v>0</v>
      </c>
      <c r="BX341" s="372">
        <v>0</v>
      </c>
      <c r="BY341" s="419"/>
      <c r="BZ341" s="423">
        <f>IFERROR(IF(LEFT($A341,3)="Lcp",SUMIFS('BASE-LCP'!$K:$K,'BASE-LCP'!$A:$A,Capex!$A361,'BASE-LCP'!$B:$B,"março")/1000,IF(LEFT($A341,3)="icp",SUMIFS('BASE-ICP'!$K:$K,'BASE-ICP'!$A:$A,Capex!$A361,'BASE-ICP'!$B:$B,"março")/1000,"")),"")</f>
        <v>0</v>
      </c>
      <c r="CA341" s="427">
        <v>0</v>
      </c>
      <c r="CB341" s="372">
        <v>0</v>
      </c>
      <c r="CC341" s="422"/>
      <c r="CD341" s="423">
        <f>IFERROR(IF(LEFT($A341,3)="Lcp",SUMIFS('BASE-LCP'!$K:$K,'BASE-LCP'!$A:$A,Capex!$A361,'BASE-LCP'!$B:$B,"abril")/1000,IF(LEFT($A341,3)="icp",SUMIFS('BASE-ICP'!$K:$K,'BASE-ICP'!$A:$A,Capex!$A361,'BASE-ICP'!$B:$B,"abril")/1000,"")),"")</f>
        <v>0</v>
      </c>
      <c r="CE341" s="427">
        <v>0</v>
      </c>
      <c r="CF341" s="372">
        <v>0</v>
      </c>
      <c r="CG341" s="419"/>
      <c r="CH341" s="423">
        <v>0</v>
      </c>
      <c r="CI341" s="427">
        <v>0</v>
      </c>
      <c r="CJ341" s="372">
        <v>0</v>
      </c>
      <c r="CK341" s="419"/>
      <c r="CL341" s="423">
        <f>IFERROR(IF(LEFT($A341,3)="Lcp",SUMIFS('BASE-LCP'!$K:$K,'BASE-LCP'!$A:$A,Capex!$A361,'BASE-LCP'!$B:$B,"junho")/1000,IF(LEFT($A341,3)="icp",SUMIFS('BASE-ICP'!$K:$K,'BASE-ICP'!$A:$A,Capex!$A361,'BASE-ICP'!$B:$B,"junho")/1000,"")),"")</f>
        <v>0</v>
      </c>
      <c r="CM341" s="427">
        <v>0</v>
      </c>
      <c r="CN341" s="372"/>
      <c r="CO341" s="419"/>
      <c r="CP341" s="423">
        <f>IFERROR(IF(LEFT($A341,3)="Lcp",SUMIFS('BASE-LCP'!$K:$K,'BASE-LCP'!$A:$A,Capex!$A361,'BASE-LCP'!$B:$B,"julho")/1000,IF(LEFT($A341,3)="icp",SUMIFS('BASE-ICP'!$K:$K,'BASE-ICP'!$A:$A,Capex!$A361,'BASE-ICP'!$B:$B,"julho")/1000,"")),"")</f>
        <v>0</v>
      </c>
      <c r="CQ341" s="427">
        <v>0</v>
      </c>
      <c r="CR341" s="372"/>
      <c r="CS341" s="419"/>
      <c r="CT341" s="423">
        <f>IFERROR(IF(LEFT($A341,3)="Lcp",SUMIFS('BASE-LCP'!$K:$K,'BASE-LCP'!$A:$A,Capex!$A361,'BASE-LCP'!$B:$B,"agosto")/1000,IF(LEFT($A341,3)="icp",SUMIFS('BASE-ICP'!$K:$K,'BASE-ICP'!$A:$A,Capex!$A361,'BASE-ICP'!$B:$B,"agosto")/1000,"")),"")</f>
        <v>0</v>
      </c>
      <c r="CU341" s="427">
        <v>0</v>
      </c>
      <c r="CV341" s="372"/>
      <c r="CW341" s="419"/>
      <c r="CX341" s="423">
        <f>IFERROR(IF(LEFT($A341,3)="Lcp",SUMIFS('BASE-LCP'!$K:$K,'BASE-LCP'!$A:$A,Capex!$A361,'BASE-LCP'!$B:$B,"setembro")/1000,IF(LEFT($A341,3)="icp",SUMIFS('BASE-ICP'!$K:$K,'BASE-ICP'!$A:$A,Capex!$A361,'BASE-ICP'!$B:$B,"setembro")/1000,"")),"")</f>
        <v>0</v>
      </c>
      <c r="CY341" s="427">
        <v>0</v>
      </c>
      <c r="CZ341" s="372"/>
      <c r="DA341" s="419"/>
      <c r="DB341" s="423">
        <f>IFERROR(IF(LEFT($A341,3)="Lcp",SUMIFS('BASE-LCP'!$K:$K,'BASE-LCP'!$A:$A,Capex!$A361,'BASE-LCP'!$B:$B,"outubro")/1000,IF(LEFT($A341,3)="icp",SUMIFS('BASE-ICP'!$K:$K,'BASE-ICP'!$A:$A,Capex!$A361,'BASE-ICP'!$B:$B,"outubro")/1000,"")),"")</f>
        <v>0</v>
      </c>
      <c r="DC341" s="427">
        <v>0</v>
      </c>
      <c r="DD341" s="372"/>
      <c r="DE341" s="419"/>
      <c r="DF341" s="423">
        <f>IFERROR(IF(LEFT($A341,3)="Lcp",SUMIFS('BASE-LCP'!$K:$K,'BASE-LCP'!$A:$A,Capex!$A361,'BASE-LCP'!$B:$B,"novembro")/1000,IF(LEFT($A341,3)="icp",SUMIFS('BASE-ICP'!$K:$K,'BASE-ICP'!$A:$A,Capex!$A361,'BASE-ICP'!$B:$B,"novembro")/1000,"")),"")</f>
        <v>0</v>
      </c>
      <c r="DG341" s="427">
        <v>0</v>
      </c>
      <c r="DH341" s="372"/>
      <c r="DI341" s="419"/>
      <c r="DJ341" s="423">
        <f>IFERROR(IF(LEFT($A341,3)="Lcp",SUMIFS('BASE-LCP'!$K:$K,'BASE-LCP'!$A:$A,Capex!$A361,'BASE-LCP'!$B:$B,"dezembro")/1000,IF(LEFT($A341,3)="icp",SUMIFS('BASE-ICP'!$K:$K,'BASE-ICP'!$A:$A,Capex!$A361,'BASE-ICP'!$B:$B,"dezembro")/1000,"")),"")</f>
        <v>0</v>
      </c>
      <c r="DK341" s="427">
        <v>0</v>
      </c>
      <c r="DL341" s="452">
        <f t="shared" si="189"/>
        <v>1520</v>
      </c>
      <c r="DM341" s="374"/>
      <c r="DN341" s="374">
        <v>1520</v>
      </c>
      <c r="DO341" s="374"/>
      <c r="DP341" s="374"/>
      <c r="DQ341" s="374"/>
      <c r="DR341" s="374"/>
      <c r="DS341" s="374"/>
      <c r="DT341" s="374"/>
      <c r="DU341" s="374"/>
      <c r="DV341" s="374"/>
      <c r="DW341" s="374"/>
      <c r="DX341" s="374"/>
      <c r="DY341" s="450"/>
      <c r="DZ341" s="374">
        <f t="shared" si="190"/>
        <v>1520</v>
      </c>
      <c r="EA341" s="216">
        <f t="shared" si="191"/>
        <v>0</v>
      </c>
      <c r="EB341" s="320">
        <f t="shared" si="192"/>
        <v>0</v>
      </c>
      <c r="EC341" s="241">
        <f t="shared" si="193"/>
        <v>0</v>
      </c>
      <c r="ED341" s="241">
        <f t="shared" si="194"/>
        <v>0</v>
      </c>
      <c r="EE341" s="241">
        <f t="shared" si="195"/>
        <v>0</v>
      </c>
      <c r="EF341" s="241">
        <f t="shared" si="196"/>
        <v>0</v>
      </c>
      <c r="EG341" s="346">
        <f t="shared" si="197"/>
        <v>0</v>
      </c>
      <c r="EH341" s="445">
        <f t="shared" si="198"/>
        <v>0</v>
      </c>
      <c r="EI341" s="447">
        <f t="shared" si="199"/>
        <v>0</v>
      </c>
      <c r="EJ341" s="364">
        <f t="shared" si="200"/>
        <v>0</v>
      </c>
      <c r="EK341" s="365">
        <f t="shared" si="201"/>
        <v>0</v>
      </c>
      <c r="EL341" s="529">
        <f t="shared" si="202"/>
        <v>0</v>
      </c>
      <c r="EM341" s="530">
        <v>0</v>
      </c>
      <c r="EN341" s="530">
        <v>0</v>
      </c>
      <c r="EO341" s="530">
        <v>0</v>
      </c>
      <c r="EP341" s="530">
        <v>0</v>
      </c>
      <c r="EQ341" s="530">
        <v>0</v>
      </c>
      <c r="ER341" s="530">
        <v>0</v>
      </c>
      <c r="ES341" s="530">
        <v>0</v>
      </c>
      <c r="ET341" s="530">
        <v>0</v>
      </c>
      <c r="EU341" s="530">
        <v>0</v>
      </c>
      <c r="EV341" s="530">
        <v>0</v>
      </c>
      <c r="EW341" s="530">
        <v>0</v>
      </c>
      <c r="EX341" s="530">
        <v>0</v>
      </c>
      <c r="EY341" s="530">
        <f t="shared" si="203"/>
        <v>0</v>
      </c>
      <c r="EZ341" s="530">
        <f t="shared" si="204"/>
        <v>0</v>
      </c>
      <c r="FA341" s="530">
        <f t="shared" si="205"/>
        <v>0</v>
      </c>
      <c r="FB341" s="530">
        <f t="shared" si="206"/>
        <v>0</v>
      </c>
      <c r="FC341" s="384">
        <f>IFERROR(VLOOKUP(Capex!A361,BASE_558!D:R,8,FALSE)/1000,"")</f>
        <v>0</v>
      </c>
      <c r="FD341" s="328">
        <f>IFERROR(VLOOKUP(Capex!A361,BASE_558!D:R,9,)/1000,"")</f>
        <v>0</v>
      </c>
      <c r="FE341" s="328">
        <f>IFERROR(IF(LEFT(A341,3)="LCP",(VLOOKUP(Capex!A361,BASE_558!D:R,10,)/1000),SUMIFS('BASE ICP_PO_SC'!F:F,'BASE ICP_PO_SC'!A:A,Capex!A361,'BASE ICP_PO_SC'!E:E,"&lt;&gt;")/1000),"")</f>
        <v>0</v>
      </c>
      <c r="FF341" s="328">
        <f>IFERROR(IF(LEFT(A341,3)="LCP",(VLOOKUP(Capex!A361,BASE_558!D:R,11,)/1000),SUMIFS('BASE ICP_PO_SC'!F:F,'BASE ICP_PO_SC'!A:A,Capex!A361,'BASE ICP_PO_SC'!E:E,"")/1000),"")</f>
        <v>0</v>
      </c>
      <c r="FG341" s="328">
        <f>IFERROR(VLOOKUP(A341,BASE_558!D:R,13,FALSE)/1000,"")</f>
        <v>466.10328999999996</v>
      </c>
      <c r="FH341" s="328">
        <f>IFERROR(VLOOKUP(A341,BASE_558!D:R,15,FALSE)/1000,"")</f>
        <v>1384.9687099999999</v>
      </c>
      <c r="FI341" s="547">
        <f t="shared" si="207"/>
        <v>0</v>
      </c>
      <c r="FJ341" s="547">
        <f t="shared" si="208"/>
        <v>0</v>
      </c>
      <c r="FK341" s="540">
        <f t="shared" si="209"/>
        <v>0</v>
      </c>
    </row>
    <row r="342" spans="1:167" s="23" customFormat="1" ht="24" customHeight="1">
      <c r="A342" s="310" t="s">
        <v>2654</v>
      </c>
      <c r="B342" s="404"/>
      <c r="C342" s="404"/>
      <c r="D342" s="338"/>
      <c r="E342" s="378">
        <v>8633333</v>
      </c>
      <c r="F342" s="5"/>
      <c r="G342" s="310" t="s">
        <v>9</v>
      </c>
      <c r="H342" s="408"/>
      <c r="I342" s="356"/>
      <c r="J342" s="356">
        <v>2024</v>
      </c>
      <c r="K342" s="352">
        <v>45433</v>
      </c>
      <c r="L342" s="317">
        <v>45723</v>
      </c>
      <c r="M342" s="409"/>
      <c r="N342" s="317">
        <f t="shared" si="177"/>
        <v>46345</v>
      </c>
      <c r="O342" s="317">
        <f t="shared" si="178"/>
        <v>46710</v>
      </c>
      <c r="P342" s="418" t="str">
        <f t="shared" si="210"/>
        <v>NÃO</v>
      </c>
      <c r="Q342" s="418" t="str">
        <f t="shared" si="210"/>
        <v>NÃO</v>
      </c>
      <c r="R342" s="418" t="str">
        <f t="shared" si="210"/>
        <v>NÃO</v>
      </c>
      <c r="S342" s="418" t="str">
        <f t="shared" si="210"/>
        <v>NÃO</v>
      </c>
      <c r="T342" s="418" t="str">
        <f t="shared" si="210"/>
        <v>NÃO</v>
      </c>
      <c r="U342" s="418" t="str">
        <f t="shared" si="210"/>
        <v>NÃO</v>
      </c>
      <c r="V342" s="418" t="str">
        <f t="shared" si="210"/>
        <v>NÃO</v>
      </c>
      <c r="W342" s="418" t="str">
        <f t="shared" si="210"/>
        <v>NÃO</v>
      </c>
      <c r="X342" s="418" t="str">
        <f t="shared" si="210"/>
        <v>NÃO</v>
      </c>
      <c r="Y342" s="418" t="str">
        <f t="shared" si="210"/>
        <v>NÃO</v>
      </c>
      <c r="Z342" s="418" t="str">
        <f t="shared" si="210"/>
        <v>NÃO</v>
      </c>
      <c r="AA342" s="418" t="str">
        <f t="shared" si="210"/>
        <v>NÃO</v>
      </c>
      <c r="AB342" s="350"/>
      <c r="AC342" s="309" t="s">
        <v>3931</v>
      </c>
      <c r="AD342" s="311" t="s">
        <v>223</v>
      </c>
      <c r="AE342" s="361"/>
      <c r="AF342" s="310" t="s">
        <v>6985</v>
      </c>
      <c r="AG342" s="310" t="s">
        <v>2485</v>
      </c>
      <c r="AH342" s="310" t="s">
        <v>2556</v>
      </c>
      <c r="AI342" s="381" t="s">
        <v>188</v>
      </c>
      <c r="AJ342" s="6" t="s">
        <v>218</v>
      </c>
      <c r="AK342" s="6" t="str">
        <f t="shared" si="187"/>
        <v>IGUAL</v>
      </c>
      <c r="AL342" s="151" t="str">
        <f>IFERROR(IF(LEFT(A342,3)="LCP",VLOOKUP(A342,STATUS_SAP_LCP!B:C,2,FALSE),VLOOKUP(A342,STATUS_SAP_ICP!B:C,2,FALSE)),"NO BUDGET")</f>
        <v>CLSD BUDG AUC  AVAC  //  APPR BREL EXPL</v>
      </c>
      <c r="AM342" s="6" t="str">
        <f t="shared" si="185"/>
        <v>CLSD</v>
      </c>
      <c r="AN342" s="414" t="s">
        <v>2651</v>
      </c>
      <c r="AO342" s="414"/>
      <c r="AP342" s="499" t="s">
        <v>9607</v>
      </c>
      <c r="AQ342" s="465">
        <v>45723</v>
      </c>
      <c r="AR342" s="460"/>
      <c r="AS342" s="57"/>
      <c r="AT342" s="185"/>
      <c r="AU342" s="318"/>
      <c r="AV342" s="223">
        <v>0</v>
      </c>
      <c r="AW342" s="318">
        <v>0</v>
      </c>
      <c r="AX342" s="223">
        <v>42.913159999999998</v>
      </c>
      <c r="AY342" s="318">
        <f t="shared" si="179"/>
        <v>14.83174</v>
      </c>
      <c r="AZ342" s="223"/>
      <c r="BA342" s="318"/>
      <c r="BB342" s="519">
        <f t="shared" si="180"/>
        <v>78</v>
      </c>
      <c r="BC342" s="518">
        <v>0</v>
      </c>
      <c r="BD342" s="518">
        <v>0</v>
      </c>
      <c r="BE342" s="518">
        <v>78</v>
      </c>
      <c r="BF342" s="518">
        <v>0</v>
      </c>
      <c r="BG342" s="518">
        <v>0</v>
      </c>
      <c r="BH342" s="518">
        <v>0</v>
      </c>
      <c r="BI342" s="518">
        <v>0</v>
      </c>
      <c r="BJ342" s="518">
        <v>0</v>
      </c>
      <c r="BK342" s="518">
        <v>0</v>
      </c>
      <c r="BL342" s="518">
        <v>0</v>
      </c>
      <c r="BM342" s="518">
        <v>0</v>
      </c>
      <c r="BN342" s="518">
        <v>0</v>
      </c>
      <c r="BO342" s="367">
        <f t="shared" si="188"/>
        <v>14.83174</v>
      </c>
      <c r="BP342" s="421">
        <v>0</v>
      </c>
      <c r="BQ342" s="422">
        <v>7.33209</v>
      </c>
      <c r="BR342" s="423">
        <f>IFERROR(IF(LEFT($A342,3)="Lcp",SUMIFS('BASE-LCP'!$K:$K,'BASE-LCP'!$A:$A,Capex!$A363,'BASE-LCP'!$B:$B,"janeiro")/1000,IF(LEFT($A342,3)="icp",SUMIFS('BASE-ICP'!$K:$K,'BASE-ICP'!$A:$A,Capex!$A363,'BASE-ICP'!$B:$B,"janeiro")/1000,"")),"")</f>
        <v>0</v>
      </c>
      <c r="BS342" s="427">
        <v>7.33209</v>
      </c>
      <c r="BT342" s="372">
        <v>0</v>
      </c>
      <c r="BU342" s="422">
        <v>7.4841699999999998</v>
      </c>
      <c r="BV342" s="423">
        <f>IFERROR(IF(LEFT($A342,3)="Lcp",SUMIFS('BASE-LCP'!$K:$K,'BASE-LCP'!$A:$A,Capex!$A363,'BASE-LCP'!$B:$B,"fevereiro")/1000,IF(LEFT($A342,3)="icp",SUMIFS('BASE-ICP'!$K:$K,'BASE-ICP'!$A:$A,Capex!$A363,'BASE-ICP'!$B:$B,"fevereiro")/1000,"")),"")</f>
        <v>0</v>
      </c>
      <c r="BW342" s="427">
        <v>7.4841699999999998</v>
      </c>
      <c r="BX342" s="372">
        <v>0</v>
      </c>
      <c r="BY342" s="419">
        <v>1.5480000000000001E-2</v>
      </c>
      <c r="BZ342" s="423">
        <f>IFERROR(IF(LEFT($A342,3)="Lcp",SUMIFS('BASE-LCP'!$K:$K,'BASE-LCP'!$A:$A,Capex!$A363,'BASE-LCP'!$B:$B,"março")/1000,IF(LEFT($A342,3)="icp",SUMIFS('BASE-ICP'!$K:$K,'BASE-ICP'!$A:$A,Capex!$A363,'BASE-ICP'!$B:$B,"março")/1000,"")),"")</f>
        <v>0</v>
      </c>
      <c r="CA342" s="427">
        <v>1.5480000000000001E-2</v>
      </c>
      <c r="CB342" s="372">
        <v>0</v>
      </c>
      <c r="CC342" s="422"/>
      <c r="CD342" s="423">
        <f>IFERROR(IF(LEFT($A342,3)="Lcp",SUMIFS('BASE-LCP'!$K:$K,'BASE-LCP'!$A:$A,Capex!$A363,'BASE-LCP'!$B:$B,"abril")/1000,IF(LEFT($A342,3)="icp",SUMIFS('BASE-ICP'!$K:$K,'BASE-ICP'!$A:$A,Capex!$A363,'BASE-ICP'!$B:$B,"abril")/1000,"")),"")</f>
        <v>0</v>
      </c>
      <c r="CE342" s="427">
        <v>0</v>
      </c>
      <c r="CF342" s="372">
        <v>0</v>
      </c>
      <c r="CG342" s="419"/>
      <c r="CH342" s="423">
        <v>0</v>
      </c>
      <c r="CI342" s="427">
        <v>0</v>
      </c>
      <c r="CJ342" s="372">
        <v>0</v>
      </c>
      <c r="CK342" s="419"/>
      <c r="CL342" s="423">
        <f>IFERROR(IF(LEFT($A342,3)="Lcp",SUMIFS('BASE-LCP'!$K:$K,'BASE-LCP'!$A:$A,Capex!$A363,'BASE-LCP'!$B:$B,"junho")/1000,IF(LEFT($A342,3)="icp",SUMIFS('BASE-ICP'!$K:$K,'BASE-ICP'!$A:$A,Capex!$A363,'BASE-ICP'!$B:$B,"junho")/1000,"")),"")</f>
        <v>0</v>
      </c>
      <c r="CM342" s="427">
        <v>0</v>
      </c>
      <c r="CN342" s="372"/>
      <c r="CO342" s="419"/>
      <c r="CP342" s="423">
        <f>IFERROR(IF(LEFT($A342,3)="Lcp",SUMIFS('BASE-LCP'!$K:$K,'BASE-LCP'!$A:$A,Capex!$A363,'BASE-LCP'!$B:$B,"julho")/1000,IF(LEFT($A342,3)="icp",SUMIFS('BASE-ICP'!$K:$K,'BASE-ICP'!$A:$A,Capex!$A363,'BASE-ICP'!$B:$B,"julho")/1000,"")),"")</f>
        <v>0</v>
      </c>
      <c r="CQ342" s="427">
        <v>0</v>
      </c>
      <c r="CR342" s="372"/>
      <c r="CS342" s="419"/>
      <c r="CT342" s="423">
        <f>IFERROR(IF(LEFT($A342,3)="Lcp",SUMIFS('BASE-LCP'!$K:$K,'BASE-LCP'!$A:$A,Capex!$A363,'BASE-LCP'!$B:$B,"agosto")/1000,IF(LEFT($A342,3)="icp",SUMIFS('BASE-ICP'!$K:$K,'BASE-ICP'!$A:$A,Capex!$A363,'BASE-ICP'!$B:$B,"agosto")/1000,"")),"")</f>
        <v>0</v>
      </c>
      <c r="CU342" s="427">
        <v>0</v>
      </c>
      <c r="CV342" s="372"/>
      <c r="CW342" s="419"/>
      <c r="CX342" s="423">
        <f>IFERROR(IF(LEFT($A342,3)="Lcp",SUMIFS('BASE-LCP'!$K:$K,'BASE-LCP'!$A:$A,Capex!$A363,'BASE-LCP'!$B:$B,"setembro")/1000,IF(LEFT($A342,3)="icp",SUMIFS('BASE-ICP'!$K:$K,'BASE-ICP'!$A:$A,Capex!$A363,'BASE-ICP'!$B:$B,"setembro")/1000,"")),"")</f>
        <v>0</v>
      </c>
      <c r="CY342" s="427">
        <v>0</v>
      </c>
      <c r="CZ342" s="372"/>
      <c r="DA342" s="419"/>
      <c r="DB342" s="423">
        <f>IFERROR(IF(LEFT($A342,3)="Lcp",SUMIFS('BASE-LCP'!$K:$K,'BASE-LCP'!$A:$A,Capex!$A363,'BASE-LCP'!$B:$B,"outubro")/1000,IF(LEFT($A342,3)="icp",SUMIFS('BASE-ICP'!$K:$K,'BASE-ICP'!$A:$A,Capex!$A363,'BASE-ICP'!$B:$B,"outubro")/1000,"")),"")</f>
        <v>0</v>
      </c>
      <c r="DC342" s="427">
        <v>0</v>
      </c>
      <c r="DD342" s="372"/>
      <c r="DE342" s="419"/>
      <c r="DF342" s="423">
        <f>IFERROR(IF(LEFT($A342,3)="Lcp",SUMIFS('BASE-LCP'!$K:$K,'BASE-LCP'!$A:$A,Capex!$A363,'BASE-LCP'!$B:$B,"novembro")/1000,IF(LEFT($A342,3)="icp",SUMIFS('BASE-ICP'!$K:$K,'BASE-ICP'!$A:$A,Capex!$A363,'BASE-ICP'!$B:$B,"novembro")/1000,"")),"")</f>
        <v>0</v>
      </c>
      <c r="DG342" s="427">
        <v>0</v>
      </c>
      <c r="DH342" s="372"/>
      <c r="DI342" s="419"/>
      <c r="DJ342" s="423">
        <f>IFERROR(IF(LEFT($A342,3)="Lcp",SUMIFS('BASE-LCP'!$K:$K,'BASE-LCP'!$A:$A,Capex!$A363,'BASE-LCP'!$B:$B,"dezembro")/1000,IF(LEFT($A342,3)="icp",SUMIFS('BASE-ICP'!$K:$K,'BASE-ICP'!$A:$A,Capex!$A363,'BASE-ICP'!$B:$B,"dezembro")/1000,"")),"")</f>
        <v>0</v>
      </c>
      <c r="DK342" s="427">
        <v>0</v>
      </c>
      <c r="DL342" s="452">
        <f t="shared" si="189"/>
        <v>0</v>
      </c>
      <c r="DM342" s="374"/>
      <c r="DN342" s="374">
        <v>0</v>
      </c>
      <c r="DO342" s="374"/>
      <c r="DP342" s="374"/>
      <c r="DQ342" s="374"/>
      <c r="DR342" s="374"/>
      <c r="DS342" s="374"/>
      <c r="DT342" s="374"/>
      <c r="DU342" s="374"/>
      <c r="DV342" s="374"/>
      <c r="DW342" s="374"/>
      <c r="DX342" s="374"/>
      <c r="DY342" s="450"/>
      <c r="DZ342" s="374">
        <f t="shared" si="190"/>
        <v>0</v>
      </c>
      <c r="EA342" s="216">
        <f t="shared" si="191"/>
        <v>0</v>
      </c>
      <c r="EB342" s="320">
        <f t="shared" si="192"/>
        <v>0</v>
      </c>
      <c r="EC342" s="241">
        <f t="shared" si="193"/>
        <v>14.83174</v>
      </c>
      <c r="ED342" s="241">
        <f t="shared" si="194"/>
        <v>0</v>
      </c>
      <c r="EE342" s="241">
        <f t="shared" si="195"/>
        <v>0</v>
      </c>
      <c r="EF342" s="241">
        <f t="shared" si="196"/>
        <v>0</v>
      </c>
      <c r="EG342" s="346">
        <f t="shared" si="197"/>
        <v>-63.168260000000004</v>
      </c>
      <c r="EH342" s="445">
        <f t="shared" si="198"/>
        <v>0</v>
      </c>
      <c r="EI342" s="447">
        <f t="shared" si="199"/>
        <v>0</v>
      </c>
      <c r="EJ342" s="364">
        <f t="shared" si="200"/>
        <v>14.83174</v>
      </c>
      <c r="EK342" s="365">
        <f t="shared" si="201"/>
        <v>0</v>
      </c>
      <c r="EL342" s="529">
        <f t="shared" si="202"/>
        <v>14.83174</v>
      </c>
      <c r="EM342" s="530">
        <v>7.33209</v>
      </c>
      <c r="EN342" s="530">
        <v>7.4841699999999998</v>
      </c>
      <c r="EO342" s="530">
        <v>1.5480000000000001E-2</v>
      </c>
      <c r="EP342" s="530">
        <v>0</v>
      </c>
      <c r="EQ342" s="530">
        <v>0</v>
      </c>
      <c r="ER342" s="530">
        <v>0</v>
      </c>
      <c r="ES342" s="530">
        <v>0</v>
      </c>
      <c r="ET342" s="530">
        <v>0</v>
      </c>
      <c r="EU342" s="530">
        <v>0</v>
      </c>
      <c r="EV342" s="530">
        <v>0</v>
      </c>
      <c r="EW342" s="530">
        <v>0</v>
      </c>
      <c r="EX342" s="530">
        <v>0</v>
      </c>
      <c r="EY342" s="530">
        <f t="shared" si="203"/>
        <v>14.83174</v>
      </c>
      <c r="EZ342" s="530">
        <f t="shared" si="204"/>
        <v>0</v>
      </c>
      <c r="FA342" s="530">
        <f t="shared" si="205"/>
        <v>0</v>
      </c>
      <c r="FB342" s="530">
        <f t="shared" si="206"/>
        <v>0</v>
      </c>
      <c r="FC342" s="384">
        <f>IFERROR(VLOOKUP(Capex!A363,BASE_558!D:R,8,FALSE)/1000,"")</f>
        <v>0</v>
      </c>
      <c r="FD342" s="328">
        <f>IFERROR(VLOOKUP(Capex!A363,BASE_558!D:R,9,)/1000,"")</f>
        <v>0</v>
      </c>
      <c r="FE342" s="328">
        <f>IFERROR(IF(LEFT(A342,3)="LCP",(VLOOKUP(Capex!A363,BASE_558!D:R,10,)/1000),SUMIFS('BASE ICP_PO_SC'!F:F,'BASE ICP_PO_SC'!A:A,Capex!A363,'BASE ICP_PO_SC'!E:E,"&lt;&gt;")/1000),"")</f>
        <v>0</v>
      </c>
      <c r="FF342" s="328">
        <f>IFERROR(IF(LEFT(A342,3)="LCP",(VLOOKUP(Capex!A363,BASE_558!D:R,11,)/1000),SUMIFS('BASE ICP_PO_SC'!F:F,'BASE ICP_PO_SC'!A:A,Capex!A363,'BASE ICP_PO_SC'!E:E,"")/1000),"")</f>
        <v>0</v>
      </c>
      <c r="FG342" s="328">
        <f>IFERROR(VLOOKUP(A342,BASE_558!D:R,13,FALSE)/1000,"")</f>
        <v>57.744900000000001</v>
      </c>
      <c r="FH342" s="328">
        <f>IFERROR(VLOOKUP(A342,BASE_558!D:R,15,FALSE)/1000,"")</f>
        <v>62.255099999999999</v>
      </c>
      <c r="FI342" s="547">
        <f t="shared" si="207"/>
        <v>0</v>
      </c>
      <c r="FJ342" s="547">
        <f t="shared" si="208"/>
        <v>0</v>
      </c>
      <c r="FK342" s="540">
        <f t="shared" si="209"/>
        <v>0</v>
      </c>
    </row>
    <row r="343" spans="1:167" s="23" customFormat="1" ht="24" customHeight="1">
      <c r="A343" s="84" t="s">
        <v>2690</v>
      </c>
      <c r="B343" s="404"/>
      <c r="C343" s="404"/>
      <c r="D343" s="338"/>
      <c r="E343" s="309"/>
      <c r="F343" s="5"/>
      <c r="G343" s="310" t="s">
        <v>9</v>
      </c>
      <c r="H343" s="338"/>
      <c r="I343" s="356"/>
      <c r="J343" s="356">
        <v>2024</v>
      </c>
      <c r="K343" s="321"/>
      <c r="L343" s="317">
        <v>45502</v>
      </c>
      <c r="M343" s="409"/>
      <c r="N343" s="317" t="str">
        <f t="shared" si="177"/>
        <v/>
      </c>
      <c r="O343" s="317" t="str">
        <f t="shared" si="178"/>
        <v/>
      </c>
      <c r="P343" s="418" t="str">
        <f t="shared" si="210"/>
        <v>N/A</v>
      </c>
      <c r="Q343" s="418" t="str">
        <f t="shared" si="210"/>
        <v>N/A</v>
      </c>
      <c r="R343" s="418" t="str">
        <f t="shared" si="210"/>
        <v>N/A</v>
      </c>
      <c r="S343" s="418" t="str">
        <f t="shared" si="210"/>
        <v>N/A</v>
      </c>
      <c r="T343" s="418" t="str">
        <f t="shared" si="210"/>
        <v>N/A</v>
      </c>
      <c r="U343" s="418" t="str">
        <f t="shared" si="210"/>
        <v>N/A</v>
      </c>
      <c r="V343" s="418" t="str">
        <f t="shared" si="210"/>
        <v>N/A</v>
      </c>
      <c r="W343" s="418" t="str">
        <f t="shared" si="210"/>
        <v>N/A</v>
      </c>
      <c r="X343" s="418" t="str">
        <f t="shared" si="210"/>
        <v>N/A</v>
      </c>
      <c r="Y343" s="418" t="str">
        <f t="shared" si="210"/>
        <v>N/A</v>
      </c>
      <c r="Z343" s="418" t="str">
        <f t="shared" si="210"/>
        <v>N/A</v>
      </c>
      <c r="AA343" s="418" t="str">
        <f t="shared" si="210"/>
        <v>N/A</v>
      </c>
      <c r="AB343" s="350"/>
      <c r="AC343" s="309" t="s">
        <v>3930</v>
      </c>
      <c r="AD343" s="311"/>
      <c r="AE343" s="381"/>
      <c r="AF343" s="310" t="s">
        <v>6985</v>
      </c>
      <c r="AG343" s="310" t="s">
        <v>2485</v>
      </c>
      <c r="AH343" s="309" t="s">
        <v>2691</v>
      </c>
      <c r="AI343" s="381" t="s">
        <v>188</v>
      </c>
      <c r="AJ343" s="6" t="s">
        <v>218</v>
      </c>
      <c r="AK343" s="6" t="str">
        <f t="shared" si="187"/>
        <v>IGUAL</v>
      </c>
      <c r="AL343" s="151" t="str">
        <f>IFERROR(IF(LEFT(A343,3)="LCP",VLOOKUP(A343,STATUS_SAP_LCP!B:C,2,FALSE),VLOOKUP(A343,STATUS_SAP_ICP!B:C,2,FALSE)),"NO BUDGET")</f>
        <v>CLSD AUC   //  RJCD BNRL EXPL</v>
      </c>
      <c r="AM343" s="6" t="str">
        <f t="shared" si="185"/>
        <v>CLSD</v>
      </c>
      <c r="AN343" s="429" t="s">
        <v>557</v>
      </c>
      <c r="AO343" s="558">
        <v>1</v>
      </c>
      <c r="AP343" s="499" t="s">
        <v>9618</v>
      </c>
      <c r="AQ343" s="465">
        <v>45502</v>
      </c>
      <c r="AR343" s="460"/>
      <c r="AS343" s="57"/>
      <c r="AT343" s="185"/>
      <c r="AU343" s="318"/>
      <c r="AV343" s="223"/>
      <c r="AW343" s="318"/>
      <c r="AX343" s="223">
        <v>0</v>
      </c>
      <c r="AY343" s="318">
        <f t="shared" si="179"/>
        <v>0</v>
      </c>
      <c r="AZ343" s="223"/>
      <c r="BA343" s="318"/>
      <c r="BB343" s="519">
        <f t="shared" si="180"/>
        <v>0</v>
      </c>
      <c r="BC343" s="518"/>
      <c r="BD343" s="518"/>
      <c r="BE343" s="518"/>
      <c r="BF343" s="518"/>
      <c r="BG343" s="518"/>
      <c r="BH343" s="518"/>
      <c r="BI343" s="518"/>
      <c r="BJ343" s="518"/>
      <c r="BK343" s="518"/>
      <c r="BL343" s="518"/>
      <c r="BM343" s="518"/>
      <c r="BN343" s="518"/>
      <c r="BO343" s="367">
        <f t="shared" si="188"/>
        <v>0</v>
      </c>
      <c r="BP343" s="421"/>
      <c r="BQ343" s="422"/>
      <c r="BR343" s="423">
        <f>IFERROR(IF(LEFT($A343,3)="Lcp",SUMIFS('BASE-LCP'!$K:$K,'BASE-LCP'!$A:$A,Capex!$A364,'BASE-LCP'!$B:$B,"janeiro")/1000,IF(LEFT($A343,3)="icp",SUMIFS('BASE-ICP'!$K:$K,'BASE-ICP'!$A:$A,Capex!$A364,'BASE-ICP'!$B:$B,"janeiro")/1000,"")),"")</f>
        <v>0</v>
      </c>
      <c r="BS343" s="427">
        <v>0</v>
      </c>
      <c r="BT343" s="372">
        <v>0</v>
      </c>
      <c r="BU343" s="422"/>
      <c r="BV343" s="423">
        <f>IFERROR(IF(LEFT($A343,3)="Lcp",SUMIFS('BASE-LCP'!$K:$K,'BASE-LCP'!$A:$A,Capex!$A364,'BASE-LCP'!$B:$B,"fevereiro")/1000,IF(LEFT($A343,3)="icp",SUMIFS('BASE-ICP'!$K:$K,'BASE-ICP'!$A:$A,Capex!$A364,'BASE-ICP'!$B:$B,"fevereiro")/1000,"")),"")</f>
        <v>0</v>
      </c>
      <c r="BW343" s="427">
        <v>0</v>
      </c>
      <c r="BX343" s="372">
        <v>0</v>
      </c>
      <c r="BY343" s="419"/>
      <c r="BZ343" s="423">
        <f>IFERROR(IF(LEFT($A343,3)="Lcp",SUMIFS('BASE-LCP'!$K:$K,'BASE-LCP'!$A:$A,Capex!$A364,'BASE-LCP'!$B:$B,"março")/1000,IF(LEFT($A343,3)="icp",SUMIFS('BASE-ICP'!$K:$K,'BASE-ICP'!$A:$A,Capex!$A364,'BASE-ICP'!$B:$B,"março")/1000,"")),"")</f>
        <v>0</v>
      </c>
      <c r="CA343" s="427">
        <v>0</v>
      </c>
      <c r="CB343" s="372">
        <v>0</v>
      </c>
      <c r="CC343" s="422"/>
      <c r="CD343" s="423">
        <f>IFERROR(IF(LEFT($A343,3)="Lcp",SUMIFS('BASE-LCP'!$K:$K,'BASE-LCP'!$A:$A,Capex!$A364,'BASE-LCP'!$B:$B,"abril")/1000,IF(LEFT($A343,3)="icp",SUMIFS('BASE-ICP'!$K:$K,'BASE-ICP'!$A:$A,Capex!$A364,'BASE-ICP'!$B:$B,"abril")/1000,"")),"")</f>
        <v>0</v>
      </c>
      <c r="CE343" s="427">
        <v>0</v>
      </c>
      <c r="CF343" s="372">
        <v>0</v>
      </c>
      <c r="CG343" s="419"/>
      <c r="CH343" s="423">
        <v>0</v>
      </c>
      <c r="CI343" s="427">
        <v>0</v>
      </c>
      <c r="CJ343" s="372">
        <v>0</v>
      </c>
      <c r="CK343" s="419"/>
      <c r="CL343" s="423">
        <f>IFERROR(IF(LEFT($A343,3)="Lcp",SUMIFS('BASE-LCP'!$K:$K,'BASE-LCP'!$A:$A,Capex!$A364,'BASE-LCP'!$B:$B,"junho")/1000,IF(LEFT($A343,3)="icp",SUMIFS('BASE-ICP'!$K:$K,'BASE-ICP'!$A:$A,Capex!$A364,'BASE-ICP'!$B:$B,"junho")/1000,"")),"")</f>
        <v>0</v>
      </c>
      <c r="CM343" s="427">
        <v>0</v>
      </c>
      <c r="CN343" s="372"/>
      <c r="CO343" s="419"/>
      <c r="CP343" s="423">
        <f>IFERROR(IF(LEFT($A343,3)="Lcp",SUMIFS('BASE-LCP'!$K:$K,'BASE-LCP'!$A:$A,Capex!$A364,'BASE-LCP'!$B:$B,"julho")/1000,IF(LEFT($A343,3)="icp",SUMIFS('BASE-ICP'!$K:$K,'BASE-ICP'!$A:$A,Capex!$A364,'BASE-ICP'!$B:$B,"julho")/1000,"")),"")</f>
        <v>0</v>
      </c>
      <c r="CQ343" s="427">
        <v>0</v>
      </c>
      <c r="CR343" s="372"/>
      <c r="CS343" s="419"/>
      <c r="CT343" s="423">
        <f>IFERROR(IF(LEFT($A343,3)="Lcp",SUMIFS('BASE-LCP'!$K:$K,'BASE-LCP'!$A:$A,Capex!$A364,'BASE-LCP'!$B:$B,"agosto")/1000,IF(LEFT($A343,3)="icp",SUMIFS('BASE-ICP'!$K:$K,'BASE-ICP'!$A:$A,Capex!$A364,'BASE-ICP'!$B:$B,"agosto")/1000,"")),"")</f>
        <v>0</v>
      </c>
      <c r="CU343" s="427">
        <v>0</v>
      </c>
      <c r="CV343" s="372"/>
      <c r="CW343" s="419"/>
      <c r="CX343" s="423">
        <f>IFERROR(IF(LEFT($A343,3)="Lcp",SUMIFS('BASE-LCP'!$K:$K,'BASE-LCP'!$A:$A,Capex!$A364,'BASE-LCP'!$B:$B,"setembro")/1000,IF(LEFT($A343,3)="icp",SUMIFS('BASE-ICP'!$K:$K,'BASE-ICP'!$A:$A,Capex!$A364,'BASE-ICP'!$B:$B,"setembro")/1000,"")),"")</f>
        <v>0</v>
      </c>
      <c r="CY343" s="427">
        <v>0</v>
      </c>
      <c r="CZ343" s="372"/>
      <c r="DA343" s="419"/>
      <c r="DB343" s="423">
        <f>IFERROR(IF(LEFT($A343,3)="Lcp",SUMIFS('BASE-LCP'!$K:$K,'BASE-LCP'!$A:$A,Capex!$A364,'BASE-LCP'!$B:$B,"outubro")/1000,IF(LEFT($A343,3)="icp",SUMIFS('BASE-ICP'!$K:$K,'BASE-ICP'!$A:$A,Capex!$A364,'BASE-ICP'!$B:$B,"outubro")/1000,"")),"")</f>
        <v>0</v>
      </c>
      <c r="DC343" s="427">
        <v>0</v>
      </c>
      <c r="DD343" s="372"/>
      <c r="DE343" s="419"/>
      <c r="DF343" s="423">
        <f>IFERROR(IF(LEFT($A343,3)="Lcp",SUMIFS('BASE-LCP'!$K:$K,'BASE-LCP'!$A:$A,Capex!$A364,'BASE-LCP'!$B:$B,"novembro")/1000,IF(LEFT($A343,3)="icp",SUMIFS('BASE-ICP'!$K:$K,'BASE-ICP'!$A:$A,Capex!$A364,'BASE-ICP'!$B:$B,"novembro")/1000,"")),"")</f>
        <v>0</v>
      </c>
      <c r="DG343" s="427">
        <v>0</v>
      </c>
      <c r="DH343" s="372"/>
      <c r="DI343" s="419"/>
      <c r="DJ343" s="423">
        <f>IFERROR(IF(LEFT($A343,3)="Lcp",SUMIFS('BASE-LCP'!$K:$K,'BASE-LCP'!$A:$A,Capex!$A364,'BASE-LCP'!$B:$B,"dezembro")/1000,IF(LEFT($A343,3)="icp",SUMIFS('BASE-ICP'!$K:$K,'BASE-ICP'!$A:$A,Capex!$A364,'BASE-ICP'!$B:$B,"dezembro")/1000,"")),"")</f>
        <v>0</v>
      </c>
      <c r="DK343" s="427">
        <v>0</v>
      </c>
      <c r="DL343" s="452">
        <f t="shared" si="189"/>
        <v>0</v>
      </c>
      <c r="DM343" s="374"/>
      <c r="DN343" s="374"/>
      <c r="DO343" s="374"/>
      <c r="DP343" s="374"/>
      <c r="DQ343" s="374"/>
      <c r="DR343" s="374"/>
      <c r="DS343" s="374"/>
      <c r="DT343" s="374"/>
      <c r="DU343" s="374"/>
      <c r="DV343" s="374"/>
      <c r="DW343" s="374"/>
      <c r="DX343" s="374"/>
      <c r="DY343" s="450"/>
      <c r="DZ343" s="374">
        <f t="shared" si="190"/>
        <v>0</v>
      </c>
      <c r="EA343" s="216">
        <f t="shared" si="191"/>
        <v>0</v>
      </c>
      <c r="EB343" s="320">
        <f t="shared" si="192"/>
        <v>0</v>
      </c>
      <c r="EC343" s="241">
        <f t="shared" si="193"/>
        <v>0</v>
      </c>
      <c r="ED343" s="241">
        <f t="shared" si="194"/>
        <v>0</v>
      </c>
      <c r="EE343" s="241">
        <f t="shared" si="195"/>
        <v>0</v>
      </c>
      <c r="EF343" s="241">
        <f t="shared" si="196"/>
        <v>0</v>
      </c>
      <c r="EG343" s="346">
        <f t="shared" si="197"/>
        <v>0</v>
      </c>
      <c r="EH343" s="445">
        <f t="shared" si="198"/>
        <v>0</v>
      </c>
      <c r="EI343" s="447">
        <f t="shared" si="199"/>
        <v>0</v>
      </c>
      <c r="EJ343" s="364">
        <f t="shared" si="200"/>
        <v>0</v>
      </c>
      <c r="EK343" s="365">
        <f t="shared" si="201"/>
        <v>0</v>
      </c>
      <c r="EL343" s="529">
        <f t="shared" si="202"/>
        <v>0</v>
      </c>
      <c r="EM343" s="530">
        <v>0</v>
      </c>
      <c r="EN343" s="530">
        <v>0</v>
      </c>
      <c r="EO343" s="530">
        <v>0</v>
      </c>
      <c r="EP343" s="530">
        <v>0</v>
      </c>
      <c r="EQ343" s="530">
        <v>0</v>
      </c>
      <c r="ER343" s="530">
        <v>0</v>
      </c>
      <c r="ES343" s="530">
        <v>0</v>
      </c>
      <c r="ET343" s="530">
        <v>0</v>
      </c>
      <c r="EU343" s="530">
        <v>0</v>
      </c>
      <c r="EV343" s="530">
        <v>0</v>
      </c>
      <c r="EW343" s="530">
        <v>0</v>
      </c>
      <c r="EX343" s="530">
        <v>0</v>
      </c>
      <c r="EY343" s="530">
        <f t="shared" si="203"/>
        <v>0</v>
      </c>
      <c r="EZ343" s="530">
        <f t="shared" si="204"/>
        <v>0</v>
      </c>
      <c r="FA343" s="530">
        <f t="shared" si="205"/>
        <v>0</v>
      </c>
      <c r="FB343" s="530">
        <f t="shared" si="206"/>
        <v>0</v>
      </c>
      <c r="FC343" s="384">
        <f>IFERROR(VLOOKUP(Capex!A364,BASE_558!D:R,8,FALSE)/1000,"")</f>
        <v>0</v>
      </c>
      <c r="FD343" s="328">
        <f>IFERROR(VLOOKUP(Capex!A364,BASE_558!D:R,9,)/1000,"")</f>
        <v>0</v>
      </c>
      <c r="FE343" s="328">
        <f>IFERROR(IF(LEFT(A343,3)="LCP",(VLOOKUP(Capex!A364,BASE_558!D:R,10,)/1000),SUMIFS('BASE ICP_PO_SC'!F:F,'BASE ICP_PO_SC'!A:A,Capex!A364,'BASE ICP_PO_SC'!E:E,"&lt;&gt;")/1000),"")</f>
        <v>0</v>
      </c>
      <c r="FF343" s="328">
        <f>IFERROR(IF(LEFT(A343,3)="LCP",(VLOOKUP(Capex!A364,BASE_558!D:R,11,)/1000),SUMIFS('BASE ICP_PO_SC'!F:F,'BASE ICP_PO_SC'!A:A,Capex!A364,'BASE ICP_PO_SC'!E:E,"")/1000),"")</f>
        <v>0</v>
      </c>
      <c r="FG343" s="328">
        <f>IFERROR(VLOOKUP(A343,BASE_558!D:R,13,FALSE)/1000,"")</f>
        <v>0</v>
      </c>
      <c r="FH343" s="328">
        <f>IFERROR(VLOOKUP(A343,BASE_558!D:R,15,FALSE)/1000,"")</f>
        <v>0</v>
      </c>
      <c r="FI343" s="547">
        <f t="shared" si="207"/>
        <v>0</v>
      </c>
      <c r="FJ343" s="547">
        <f t="shared" si="208"/>
        <v>0</v>
      </c>
      <c r="FK343" s="540">
        <f t="shared" si="209"/>
        <v>0</v>
      </c>
    </row>
    <row r="344" spans="1:167" s="23" customFormat="1" ht="24" customHeight="1">
      <c r="A344" s="84" t="s">
        <v>2685</v>
      </c>
      <c r="B344" s="404"/>
      <c r="C344" s="404"/>
      <c r="D344" s="338"/>
      <c r="E344" s="309">
        <v>8669289</v>
      </c>
      <c r="F344" s="5"/>
      <c r="G344" s="310" t="s">
        <v>8</v>
      </c>
      <c r="H344" s="338" t="s">
        <v>6</v>
      </c>
      <c r="I344" s="356"/>
      <c r="J344" s="356">
        <v>2024</v>
      </c>
      <c r="K344" s="321"/>
      <c r="L344" s="317"/>
      <c r="M344" s="409"/>
      <c r="N344" s="317" t="str">
        <f t="shared" si="177"/>
        <v/>
      </c>
      <c r="O344" s="317" t="str">
        <f t="shared" si="178"/>
        <v/>
      </c>
      <c r="P344" s="418" t="str">
        <f t="shared" si="210"/>
        <v>N/A</v>
      </c>
      <c r="Q344" s="418" t="str">
        <f t="shared" si="210"/>
        <v>N/A</v>
      </c>
      <c r="R344" s="418" t="str">
        <f t="shared" si="210"/>
        <v>N/A</v>
      </c>
      <c r="S344" s="418" t="str">
        <f t="shared" si="210"/>
        <v>N/A</v>
      </c>
      <c r="T344" s="418" t="str">
        <f t="shared" si="210"/>
        <v>N/A</v>
      </c>
      <c r="U344" s="418" t="str">
        <f t="shared" si="210"/>
        <v>N/A</v>
      </c>
      <c r="V344" s="418" t="str">
        <f t="shared" si="210"/>
        <v>N/A</v>
      </c>
      <c r="W344" s="418" t="str">
        <f t="shared" si="210"/>
        <v>N/A</v>
      </c>
      <c r="X344" s="418" t="str">
        <f t="shared" si="210"/>
        <v>N/A</v>
      </c>
      <c r="Y344" s="418" t="str">
        <f t="shared" si="210"/>
        <v>N/A</v>
      </c>
      <c r="Z344" s="418" t="str">
        <f t="shared" si="210"/>
        <v>N/A</v>
      </c>
      <c r="AA344" s="418" t="str">
        <f t="shared" si="210"/>
        <v>N/A</v>
      </c>
      <c r="AB344" s="350"/>
      <c r="AC344" s="309" t="s">
        <v>3932</v>
      </c>
      <c r="AD344" s="311" t="s">
        <v>224</v>
      </c>
      <c r="AE344" s="381" t="s">
        <v>965</v>
      </c>
      <c r="AF344" s="310" t="s">
        <v>6985</v>
      </c>
      <c r="AG344" s="310" t="s">
        <v>2259</v>
      </c>
      <c r="AH344" s="309" t="s">
        <v>2688</v>
      </c>
      <c r="AI344" s="381" t="s">
        <v>2255</v>
      </c>
      <c r="AJ344" s="6" t="s">
        <v>218</v>
      </c>
      <c r="AK344" s="6" t="str">
        <f t="shared" si="187"/>
        <v>IGUAL</v>
      </c>
      <c r="AL344" s="151" t="str">
        <f>IFERROR(IF(LEFT(A344,3)="LCP",VLOOKUP(A344,STATUS_SAP_LCP!B:C,2,FALSE),VLOOKUP(A344,STATUS_SAP_ICP!B:C,2,FALSE)),"NO BUDGET")</f>
        <v>CLSD AUC   //  RJCD BNRL EXPL</v>
      </c>
      <c r="AM344" s="6" t="str">
        <f t="shared" si="185"/>
        <v>CLSD</v>
      </c>
      <c r="AN344" s="429" t="s">
        <v>557</v>
      </c>
      <c r="AO344" s="414"/>
      <c r="AP344" s="499" t="s">
        <v>9618</v>
      </c>
      <c r="AQ344" s="465">
        <v>46387</v>
      </c>
      <c r="AR344" s="460"/>
      <c r="AS344" s="57"/>
      <c r="AT344" s="185"/>
      <c r="AU344" s="318"/>
      <c r="AV344" s="223"/>
      <c r="AW344" s="318"/>
      <c r="AX344" s="223">
        <v>0</v>
      </c>
      <c r="AY344" s="318">
        <f t="shared" si="179"/>
        <v>0</v>
      </c>
      <c r="AZ344" s="223"/>
      <c r="BA344" s="318"/>
      <c r="BB344" s="519">
        <f t="shared" si="180"/>
        <v>0</v>
      </c>
      <c r="BC344" s="518">
        <v>0</v>
      </c>
      <c r="BD344" s="518">
        <v>0</v>
      </c>
      <c r="BE344" s="518">
        <v>0</v>
      </c>
      <c r="BF344" s="518">
        <v>0</v>
      </c>
      <c r="BG344" s="518">
        <v>0</v>
      </c>
      <c r="BH344" s="518">
        <v>0</v>
      </c>
      <c r="BI344" s="518">
        <v>0</v>
      </c>
      <c r="BJ344" s="518">
        <v>0</v>
      </c>
      <c r="BK344" s="518">
        <v>0</v>
      </c>
      <c r="BL344" s="518">
        <v>0</v>
      </c>
      <c r="BM344" s="518">
        <v>0</v>
      </c>
      <c r="BN344" s="518">
        <v>0</v>
      </c>
      <c r="BO344" s="367">
        <f t="shared" si="188"/>
        <v>0</v>
      </c>
      <c r="BP344" s="421">
        <v>0</v>
      </c>
      <c r="BQ344" s="422"/>
      <c r="BR344" s="423">
        <f>IFERROR(IF(LEFT($A344,3)="Lcp",SUMIFS('BASE-LCP'!$K:$K,'BASE-LCP'!$A:$A,Capex!$A365,'BASE-LCP'!$B:$B,"janeiro")/1000,IF(LEFT($A344,3)="icp",SUMIFS('BASE-ICP'!$K:$K,'BASE-ICP'!$A:$A,Capex!$A365,'BASE-ICP'!$B:$B,"janeiro")/1000,"")),"")</f>
        <v>0</v>
      </c>
      <c r="BS344" s="427">
        <v>0</v>
      </c>
      <c r="BT344" s="372">
        <v>0</v>
      </c>
      <c r="BU344" s="422"/>
      <c r="BV344" s="423">
        <f>IFERROR(IF(LEFT($A344,3)="Lcp",SUMIFS('BASE-LCP'!$K:$K,'BASE-LCP'!$A:$A,Capex!$A365,'BASE-LCP'!$B:$B,"fevereiro")/1000,IF(LEFT($A344,3)="icp",SUMIFS('BASE-ICP'!$K:$K,'BASE-ICP'!$A:$A,Capex!$A365,'BASE-ICP'!$B:$B,"fevereiro")/1000,"")),"")</f>
        <v>0</v>
      </c>
      <c r="BW344" s="427">
        <v>0</v>
      </c>
      <c r="BX344" s="372">
        <v>0</v>
      </c>
      <c r="BY344" s="419"/>
      <c r="BZ344" s="423">
        <f>IFERROR(IF(LEFT($A344,3)="Lcp",SUMIFS('BASE-LCP'!$K:$K,'BASE-LCP'!$A:$A,Capex!$A365,'BASE-LCP'!$B:$B,"março")/1000,IF(LEFT($A344,3)="icp",SUMIFS('BASE-ICP'!$K:$K,'BASE-ICP'!$A:$A,Capex!$A365,'BASE-ICP'!$B:$B,"março")/1000,"")),"")</f>
        <v>0</v>
      </c>
      <c r="CA344" s="427">
        <v>0</v>
      </c>
      <c r="CB344" s="372">
        <v>0</v>
      </c>
      <c r="CC344" s="422"/>
      <c r="CD344" s="423">
        <f>IFERROR(IF(LEFT($A344,3)="Lcp",SUMIFS('BASE-LCP'!$K:$K,'BASE-LCP'!$A:$A,Capex!$A365,'BASE-LCP'!$B:$B,"abril")/1000,IF(LEFT($A344,3)="icp",SUMIFS('BASE-ICP'!$K:$K,'BASE-ICP'!$A:$A,Capex!$A365,'BASE-ICP'!$B:$B,"abril")/1000,"")),"")</f>
        <v>0</v>
      </c>
      <c r="CE344" s="427">
        <v>0</v>
      </c>
      <c r="CF344" s="372">
        <v>0</v>
      </c>
      <c r="CG344" s="419"/>
      <c r="CH344" s="423">
        <v>0</v>
      </c>
      <c r="CI344" s="427">
        <v>0</v>
      </c>
      <c r="CJ344" s="372">
        <v>0</v>
      </c>
      <c r="CK344" s="419"/>
      <c r="CL344" s="423">
        <f>IFERROR(IF(LEFT($A344,3)="Lcp",SUMIFS('BASE-LCP'!$K:$K,'BASE-LCP'!$A:$A,Capex!$A365,'BASE-LCP'!$B:$B,"junho")/1000,IF(LEFT($A344,3)="icp",SUMIFS('BASE-ICP'!$K:$K,'BASE-ICP'!$A:$A,Capex!$A365,'BASE-ICP'!$B:$B,"junho")/1000,"")),"")</f>
        <v>0</v>
      </c>
      <c r="CM344" s="427">
        <v>0</v>
      </c>
      <c r="CN344" s="372"/>
      <c r="CO344" s="419"/>
      <c r="CP344" s="423">
        <f>IFERROR(IF(LEFT($A344,3)="Lcp",SUMIFS('BASE-LCP'!$K:$K,'BASE-LCP'!$A:$A,Capex!$A365,'BASE-LCP'!$B:$B,"julho")/1000,IF(LEFT($A344,3)="icp",SUMIFS('BASE-ICP'!$K:$K,'BASE-ICP'!$A:$A,Capex!$A365,'BASE-ICP'!$B:$B,"julho")/1000,"")),"")</f>
        <v>0</v>
      </c>
      <c r="CQ344" s="427">
        <v>0</v>
      </c>
      <c r="CR344" s="372"/>
      <c r="CS344" s="419"/>
      <c r="CT344" s="423">
        <f>IFERROR(IF(LEFT($A344,3)="Lcp",SUMIFS('BASE-LCP'!$K:$K,'BASE-LCP'!$A:$A,Capex!$A365,'BASE-LCP'!$B:$B,"agosto")/1000,IF(LEFT($A344,3)="icp",SUMIFS('BASE-ICP'!$K:$K,'BASE-ICP'!$A:$A,Capex!$A365,'BASE-ICP'!$B:$B,"agosto")/1000,"")),"")</f>
        <v>0</v>
      </c>
      <c r="CU344" s="427">
        <v>0</v>
      </c>
      <c r="CV344" s="372"/>
      <c r="CW344" s="419"/>
      <c r="CX344" s="423">
        <f>IFERROR(IF(LEFT($A344,3)="Lcp",SUMIFS('BASE-LCP'!$K:$K,'BASE-LCP'!$A:$A,Capex!$A365,'BASE-LCP'!$B:$B,"setembro")/1000,IF(LEFT($A344,3)="icp",SUMIFS('BASE-ICP'!$K:$K,'BASE-ICP'!$A:$A,Capex!$A365,'BASE-ICP'!$B:$B,"setembro")/1000,"")),"")</f>
        <v>0</v>
      </c>
      <c r="CY344" s="427">
        <v>0</v>
      </c>
      <c r="CZ344" s="372"/>
      <c r="DA344" s="419"/>
      <c r="DB344" s="423">
        <f>IFERROR(IF(LEFT($A344,3)="Lcp",SUMIFS('BASE-LCP'!$K:$K,'BASE-LCP'!$A:$A,Capex!$A365,'BASE-LCP'!$B:$B,"outubro")/1000,IF(LEFT($A344,3)="icp",SUMIFS('BASE-ICP'!$K:$K,'BASE-ICP'!$A:$A,Capex!$A365,'BASE-ICP'!$B:$B,"outubro")/1000,"")),"")</f>
        <v>0</v>
      </c>
      <c r="DC344" s="427">
        <v>0</v>
      </c>
      <c r="DD344" s="372"/>
      <c r="DE344" s="419"/>
      <c r="DF344" s="423">
        <f>IFERROR(IF(LEFT($A344,3)="Lcp",SUMIFS('BASE-LCP'!$K:$K,'BASE-LCP'!$A:$A,Capex!$A365,'BASE-LCP'!$B:$B,"novembro")/1000,IF(LEFT($A344,3)="icp",SUMIFS('BASE-ICP'!$K:$K,'BASE-ICP'!$A:$A,Capex!$A365,'BASE-ICP'!$B:$B,"novembro")/1000,"")),"")</f>
        <v>0</v>
      </c>
      <c r="DG344" s="427">
        <v>0</v>
      </c>
      <c r="DH344" s="372"/>
      <c r="DI344" s="419"/>
      <c r="DJ344" s="423">
        <f>IFERROR(IF(LEFT($A344,3)="Lcp",SUMIFS('BASE-LCP'!$K:$K,'BASE-LCP'!$A:$A,Capex!$A365,'BASE-LCP'!$B:$B,"dezembro")/1000,IF(LEFT($A344,3)="icp",SUMIFS('BASE-ICP'!$K:$K,'BASE-ICP'!$A:$A,Capex!$A365,'BASE-ICP'!$B:$B,"dezembro")/1000,"")),"")</f>
        <v>0</v>
      </c>
      <c r="DK344" s="427">
        <v>0</v>
      </c>
      <c r="DL344" s="452">
        <f t="shared" si="189"/>
        <v>140</v>
      </c>
      <c r="DM344" s="374"/>
      <c r="DN344" s="374">
        <v>140</v>
      </c>
      <c r="DO344" s="374"/>
      <c r="DP344" s="374"/>
      <c r="DQ344" s="374"/>
      <c r="DR344" s="374"/>
      <c r="DS344" s="374"/>
      <c r="DT344" s="374"/>
      <c r="DU344" s="374"/>
      <c r="DV344" s="374"/>
      <c r="DW344" s="374"/>
      <c r="DX344" s="374"/>
      <c r="DY344" s="450"/>
      <c r="DZ344" s="374">
        <f t="shared" si="190"/>
        <v>140</v>
      </c>
      <c r="EA344" s="216">
        <f t="shared" si="191"/>
        <v>0</v>
      </c>
      <c r="EB344" s="320">
        <f t="shared" si="192"/>
        <v>0</v>
      </c>
      <c r="EC344" s="241">
        <f t="shared" si="193"/>
        <v>0</v>
      </c>
      <c r="ED344" s="241">
        <f t="shared" si="194"/>
        <v>0</v>
      </c>
      <c r="EE344" s="241">
        <f t="shared" si="195"/>
        <v>0</v>
      </c>
      <c r="EF344" s="241">
        <f t="shared" si="196"/>
        <v>0</v>
      </c>
      <c r="EG344" s="346">
        <f t="shared" si="197"/>
        <v>0</v>
      </c>
      <c r="EH344" s="445">
        <f t="shared" si="198"/>
        <v>0</v>
      </c>
      <c r="EI344" s="447">
        <f t="shared" si="199"/>
        <v>0</v>
      </c>
      <c r="EJ344" s="364">
        <f t="shared" si="200"/>
        <v>0</v>
      </c>
      <c r="EK344" s="365">
        <f t="shared" si="201"/>
        <v>0</v>
      </c>
      <c r="EL344" s="529">
        <f t="shared" si="202"/>
        <v>0</v>
      </c>
      <c r="EM344" s="530">
        <v>0</v>
      </c>
      <c r="EN344" s="530">
        <v>0</v>
      </c>
      <c r="EO344" s="530">
        <v>0</v>
      </c>
      <c r="EP344" s="530">
        <v>0</v>
      </c>
      <c r="EQ344" s="530">
        <v>0</v>
      </c>
      <c r="ER344" s="530">
        <v>0</v>
      </c>
      <c r="ES344" s="530">
        <v>0</v>
      </c>
      <c r="ET344" s="530">
        <v>0</v>
      </c>
      <c r="EU344" s="530">
        <v>0</v>
      </c>
      <c r="EV344" s="530">
        <v>0</v>
      </c>
      <c r="EW344" s="530">
        <v>0</v>
      </c>
      <c r="EX344" s="530">
        <v>0</v>
      </c>
      <c r="EY344" s="530">
        <f t="shared" si="203"/>
        <v>0</v>
      </c>
      <c r="EZ344" s="530">
        <f t="shared" si="204"/>
        <v>0</v>
      </c>
      <c r="FA344" s="530">
        <f t="shared" si="205"/>
        <v>0</v>
      </c>
      <c r="FB344" s="530">
        <f t="shared" si="206"/>
        <v>0</v>
      </c>
      <c r="FC344" s="384">
        <f>IFERROR(VLOOKUP(Capex!A365,BASE_558!D:R,8,FALSE)/1000,"")</f>
        <v>231.57400000000001</v>
      </c>
      <c r="FD344" s="328">
        <f>IFERROR(VLOOKUP(Capex!A365,BASE_558!D:R,9,)/1000,"")</f>
        <v>0</v>
      </c>
      <c r="FE344" s="328">
        <f>IFERROR(IF(LEFT(A344,3)="LCP",(VLOOKUP(Capex!A365,BASE_558!D:R,10,)/1000),SUMIFS('BASE ICP_PO_SC'!F:F,'BASE ICP_PO_SC'!A:A,Capex!A365,'BASE ICP_PO_SC'!E:E,"&lt;&gt;")/1000),"")</f>
        <v>0</v>
      </c>
      <c r="FF344" s="328">
        <f>IFERROR(IF(LEFT(A344,3)="LCP",(VLOOKUP(Capex!A365,BASE_558!D:R,11,)/1000),SUMIFS('BASE ICP_PO_SC'!F:F,'BASE ICP_PO_SC'!A:A,Capex!A365,'BASE ICP_PO_SC'!E:E,"")/1000),"")</f>
        <v>15.3476</v>
      </c>
      <c r="FG344" s="328">
        <f>IFERROR(VLOOKUP(A344,BASE_558!D:R,13,FALSE)/1000,"")</f>
        <v>0</v>
      </c>
      <c r="FH344" s="328">
        <f>IFERROR(VLOOKUP(A344,BASE_558!D:R,15,FALSE)/1000,"")</f>
        <v>0</v>
      </c>
      <c r="FI344" s="547">
        <f t="shared" si="207"/>
        <v>0</v>
      </c>
      <c r="FJ344" s="547">
        <f t="shared" si="208"/>
        <v>0</v>
      </c>
      <c r="FK344" s="540">
        <f t="shared" si="209"/>
        <v>0</v>
      </c>
    </row>
    <row r="345" spans="1:167" s="23" customFormat="1" ht="24" customHeight="1">
      <c r="A345" s="84" t="s">
        <v>2686</v>
      </c>
      <c r="B345" s="404"/>
      <c r="C345" s="404"/>
      <c r="D345" s="338"/>
      <c r="E345" s="378">
        <v>8669906</v>
      </c>
      <c r="F345" s="5"/>
      <c r="G345" s="310" t="s">
        <v>9</v>
      </c>
      <c r="H345" s="338" t="s">
        <v>6</v>
      </c>
      <c r="I345" s="356"/>
      <c r="J345" s="356">
        <v>2024</v>
      </c>
      <c r="K345" s="352">
        <v>45412</v>
      </c>
      <c r="L345" s="317"/>
      <c r="M345" s="409"/>
      <c r="N345" s="317">
        <f t="shared" si="177"/>
        <v>46324</v>
      </c>
      <c r="O345" s="317">
        <f t="shared" si="178"/>
        <v>46689</v>
      </c>
      <c r="P345" s="418" t="str">
        <f t="shared" ref="P345:AA354" si="211">IF($N345="","N/A",IF($O345="","N/A",IF(P$2&lt;=$N345,"NÃO",IF($AJ345="REL ","SIM",IF(P$2&lt;$O345,"NÃO",IF($AJ345&lt;&gt;"CLSD","SIM","CRTD"))))))</f>
        <v>NÃO</v>
      </c>
      <c r="Q345" s="418" t="str">
        <f t="shared" si="211"/>
        <v>NÃO</v>
      </c>
      <c r="R345" s="418" t="str">
        <f t="shared" si="211"/>
        <v>NÃO</v>
      </c>
      <c r="S345" s="418" t="str">
        <f t="shared" si="211"/>
        <v>NÃO</v>
      </c>
      <c r="T345" s="418" t="str">
        <f t="shared" si="211"/>
        <v>NÃO</v>
      </c>
      <c r="U345" s="418" t="str">
        <f t="shared" si="211"/>
        <v>NÃO</v>
      </c>
      <c r="V345" s="418" t="str">
        <f t="shared" si="211"/>
        <v>NÃO</v>
      </c>
      <c r="W345" s="418" t="str">
        <f t="shared" si="211"/>
        <v>NÃO</v>
      </c>
      <c r="X345" s="418" t="str">
        <f t="shared" si="211"/>
        <v>NÃO</v>
      </c>
      <c r="Y345" s="418" t="str">
        <f t="shared" si="211"/>
        <v>NÃO</v>
      </c>
      <c r="Z345" s="418" t="str">
        <f t="shared" si="211"/>
        <v>NÃO</v>
      </c>
      <c r="AA345" s="418" t="str">
        <f t="shared" si="211"/>
        <v>NÃO</v>
      </c>
      <c r="AB345" s="350"/>
      <c r="AC345" s="309" t="s">
        <v>3932</v>
      </c>
      <c r="AD345" s="311" t="s">
        <v>224</v>
      </c>
      <c r="AE345" s="361" t="s">
        <v>958</v>
      </c>
      <c r="AF345" s="310" t="s">
        <v>6985</v>
      </c>
      <c r="AG345" s="310" t="s">
        <v>2251</v>
      </c>
      <c r="AH345" s="516" t="s">
        <v>2776</v>
      </c>
      <c r="AI345" s="309" t="s">
        <v>2255</v>
      </c>
      <c r="AJ345" s="6" t="s">
        <v>6786</v>
      </c>
      <c r="AK345" s="6" t="str">
        <f t="shared" si="187"/>
        <v>IGUAL</v>
      </c>
      <c r="AL345" s="151" t="str">
        <f>IFERROR(IF(LEFT(A345,3)="LCP",VLOOKUP(A345,STATUS_SAP_LCP!B:C,2,FALSE),VLOOKUP(A345,STATUS_SAP_ICP!B:C,2,FALSE)),"NO BUDGET")</f>
        <v>REL  BUDG AUC  AVAC  //  APPR BREL EXPL</v>
      </c>
      <c r="AM345" s="6" t="str">
        <f t="shared" si="185"/>
        <v xml:space="preserve">REL </v>
      </c>
      <c r="AN345" s="414" t="s">
        <v>18978</v>
      </c>
      <c r="AO345" s="414"/>
      <c r="AP345" s="499" t="s">
        <v>9616</v>
      </c>
      <c r="AQ345" s="465">
        <v>45992</v>
      </c>
      <c r="AR345" s="460"/>
      <c r="AS345" s="57"/>
      <c r="AT345" s="185"/>
      <c r="AU345" s="318"/>
      <c r="AV345" s="223"/>
      <c r="AW345" s="318"/>
      <c r="AX345" s="223">
        <v>0</v>
      </c>
      <c r="AY345" s="318">
        <f t="shared" si="179"/>
        <v>199.85111000000001</v>
      </c>
      <c r="AZ345" s="223"/>
      <c r="BA345" s="318"/>
      <c r="BB345" s="519">
        <f t="shared" si="180"/>
        <v>200.00000000000003</v>
      </c>
      <c r="BC345" s="518">
        <v>11</v>
      </c>
      <c r="BD345" s="518">
        <v>0</v>
      </c>
      <c r="BE345" s="518">
        <v>0</v>
      </c>
      <c r="BF345" s="518">
        <v>0</v>
      </c>
      <c r="BG345" s="518">
        <v>0</v>
      </c>
      <c r="BH345" s="518">
        <v>70</v>
      </c>
      <c r="BI345" s="518">
        <v>19.833333333333332</v>
      </c>
      <c r="BJ345" s="518">
        <v>19.833333333333332</v>
      </c>
      <c r="BK345" s="518">
        <v>19.833333333333332</v>
      </c>
      <c r="BL345" s="518">
        <v>19.833333333333332</v>
      </c>
      <c r="BM345" s="518">
        <v>19.833333333333332</v>
      </c>
      <c r="BN345" s="518">
        <v>19.833333333333332</v>
      </c>
      <c r="BO345" s="367">
        <f t="shared" si="188"/>
        <v>199.85111000000001</v>
      </c>
      <c r="BP345" s="421">
        <v>11</v>
      </c>
      <c r="BQ345" s="422"/>
      <c r="BR345" s="423">
        <f>IFERROR(IF(LEFT($A345,3)="Lcp",SUMIFS('BASE-LCP'!$K:$K,'BASE-LCP'!$A:$A,Capex!$A366,'BASE-LCP'!$B:$B,"janeiro")/1000,IF(LEFT($A345,3)="icp",SUMIFS('BASE-ICP'!$K:$K,'BASE-ICP'!$A:$A,Capex!$A366,'BASE-ICP'!$B:$B,"janeiro")/1000,"")),"")</f>
        <v>0</v>
      </c>
      <c r="BS345" s="427">
        <v>0</v>
      </c>
      <c r="BT345" s="372">
        <v>11</v>
      </c>
      <c r="BU345" s="422"/>
      <c r="BV345" s="423">
        <f>IFERROR(IF(LEFT($A345,3)="Lcp",SUMIFS('BASE-LCP'!$K:$K,'BASE-LCP'!$A:$A,Capex!$A366,'BASE-LCP'!$B:$B,"fevereiro")/1000,IF(LEFT($A345,3)="icp",SUMIFS('BASE-ICP'!$K:$K,'BASE-ICP'!$A:$A,Capex!$A366,'BASE-ICP'!$B:$B,"fevereiro")/1000,"")),"")</f>
        <v>0</v>
      </c>
      <c r="BW345" s="427">
        <v>0</v>
      </c>
      <c r="BX345" s="372">
        <v>11</v>
      </c>
      <c r="BY345" s="419"/>
      <c r="BZ345" s="423">
        <f>IFERROR(IF(LEFT($A345,3)="Lcp",SUMIFS('BASE-LCP'!$K:$K,'BASE-LCP'!$A:$A,Capex!$A366,'BASE-LCP'!$B:$B,"março")/1000,IF(LEFT($A345,3)="icp",SUMIFS('BASE-ICP'!$K:$K,'BASE-ICP'!$A:$A,Capex!$A366,'BASE-ICP'!$B:$B,"março")/1000,"")),"")</f>
        <v>0</v>
      </c>
      <c r="CA345" s="427">
        <v>0</v>
      </c>
      <c r="CB345" s="372">
        <v>0</v>
      </c>
      <c r="CC345" s="422"/>
      <c r="CD345" s="423">
        <f>IFERROR(IF(LEFT($A345,3)="Lcp",SUMIFS('BASE-LCP'!$K:$K,'BASE-LCP'!$A:$A,Capex!$A366,'BASE-LCP'!$B:$B,"abril")/1000,IF(LEFT($A345,3)="icp",SUMIFS('BASE-ICP'!$K:$K,'BASE-ICP'!$A:$A,Capex!$A366,'BASE-ICP'!$B:$B,"abril")/1000,"")),"")</f>
        <v>0</v>
      </c>
      <c r="CE345" s="427">
        <v>0</v>
      </c>
      <c r="CF345" s="372">
        <v>11</v>
      </c>
      <c r="CG345" s="419">
        <v>10.85111</v>
      </c>
      <c r="CH345" s="423">
        <v>10.85111</v>
      </c>
      <c r="CI345" s="427">
        <v>10.85111</v>
      </c>
      <c r="CJ345" s="372">
        <v>0</v>
      </c>
      <c r="CK345" s="419"/>
      <c r="CL345" s="423">
        <f>IFERROR(IF(LEFT($A345,3)="Lcp",SUMIFS('BASE-LCP'!$K:$K,'BASE-LCP'!$A:$A,Capex!$A366,'BASE-LCP'!$B:$B,"junho")/1000,IF(LEFT($A345,3)="icp",SUMIFS('BASE-ICP'!$K:$K,'BASE-ICP'!$A:$A,Capex!$A366,'BASE-ICP'!$B:$B,"junho")/1000,"")),"")</f>
        <v>0</v>
      </c>
      <c r="CM345" s="427">
        <v>0</v>
      </c>
      <c r="CN345" s="372"/>
      <c r="CO345" s="419"/>
      <c r="CP345" s="423">
        <f>IFERROR(IF(LEFT($A345,3)="Lcp",SUMIFS('BASE-LCP'!$K:$K,'BASE-LCP'!$A:$A,Capex!$A366,'BASE-LCP'!$B:$B,"julho")/1000,IF(LEFT($A345,3)="icp",SUMIFS('BASE-ICP'!$K:$K,'BASE-ICP'!$A:$A,Capex!$A366,'BASE-ICP'!$B:$B,"julho")/1000,"")),"")</f>
        <v>0</v>
      </c>
      <c r="CQ345" s="427">
        <v>0</v>
      </c>
      <c r="CR345" s="372"/>
      <c r="CS345" s="419"/>
      <c r="CT345" s="423">
        <f>IFERROR(IF(LEFT($A345,3)="Lcp",SUMIFS('BASE-LCP'!$K:$K,'BASE-LCP'!$A:$A,Capex!$A366,'BASE-LCP'!$B:$B,"agosto")/1000,IF(LEFT($A345,3)="icp",SUMIFS('BASE-ICP'!$K:$K,'BASE-ICP'!$A:$A,Capex!$A366,'BASE-ICP'!$B:$B,"agosto")/1000,"")),"")</f>
        <v>0</v>
      </c>
      <c r="CU345" s="427">
        <v>0</v>
      </c>
      <c r="CV345" s="372"/>
      <c r="CW345" s="419"/>
      <c r="CX345" s="423">
        <f>IFERROR(IF(LEFT($A345,3)="Lcp",SUMIFS('BASE-LCP'!$K:$K,'BASE-LCP'!$A:$A,Capex!$A366,'BASE-LCP'!$B:$B,"setembro")/1000,IF(LEFT($A345,3)="icp",SUMIFS('BASE-ICP'!$K:$K,'BASE-ICP'!$A:$A,Capex!$A366,'BASE-ICP'!$B:$B,"setembro")/1000,"")),"")</f>
        <v>0</v>
      </c>
      <c r="CY345" s="427">
        <v>0</v>
      </c>
      <c r="CZ345" s="372"/>
      <c r="DA345" s="419"/>
      <c r="DB345" s="423">
        <f>IFERROR(IF(LEFT($A345,3)="Lcp",SUMIFS('BASE-LCP'!$K:$K,'BASE-LCP'!$A:$A,Capex!$A366,'BASE-LCP'!$B:$B,"outubro")/1000,IF(LEFT($A345,3)="icp",SUMIFS('BASE-ICP'!$K:$K,'BASE-ICP'!$A:$A,Capex!$A366,'BASE-ICP'!$B:$B,"outubro")/1000,"")),"")</f>
        <v>0</v>
      </c>
      <c r="DC345" s="427">
        <v>0</v>
      </c>
      <c r="DD345" s="372"/>
      <c r="DE345" s="419"/>
      <c r="DF345" s="423">
        <f>IFERROR(IF(LEFT($A345,3)="Lcp",SUMIFS('BASE-LCP'!$K:$K,'BASE-LCP'!$A:$A,Capex!$A366,'BASE-LCP'!$B:$B,"novembro")/1000,IF(LEFT($A345,3)="icp",SUMIFS('BASE-ICP'!$K:$K,'BASE-ICP'!$A:$A,Capex!$A366,'BASE-ICP'!$B:$B,"novembro")/1000,"")),"")</f>
        <v>0</v>
      </c>
      <c r="DG345" s="517">
        <f>189/2</f>
        <v>94.5</v>
      </c>
      <c r="DH345" s="372"/>
      <c r="DI345" s="419"/>
      <c r="DJ345" s="423">
        <f>IFERROR(IF(LEFT($A345,3)="Lcp",SUMIFS('BASE-LCP'!$K:$K,'BASE-LCP'!$A:$A,Capex!$A366,'BASE-LCP'!$B:$B,"dezembro")/1000,IF(LEFT($A345,3)="icp",SUMIFS('BASE-ICP'!$K:$K,'BASE-ICP'!$A:$A,Capex!$A366,'BASE-ICP'!$B:$B,"dezembro")/1000,"")),"")</f>
        <v>0</v>
      </c>
      <c r="DK345" s="517">
        <f>189/2</f>
        <v>94.5</v>
      </c>
      <c r="DL345" s="452">
        <f t="shared" si="189"/>
        <v>0</v>
      </c>
      <c r="DM345" s="374"/>
      <c r="DN345" s="374">
        <v>0</v>
      </c>
      <c r="DO345" s="374"/>
      <c r="DP345" s="374"/>
      <c r="DQ345" s="374"/>
      <c r="DR345" s="374"/>
      <c r="DS345" s="374"/>
      <c r="DT345" s="374"/>
      <c r="DU345" s="374"/>
      <c r="DV345" s="374"/>
      <c r="DW345" s="374"/>
      <c r="DX345" s="374"/>
      <c r="DY345" s="450"/>
      <c r="DZ345" s="374">
        <f t="shared" si="190"/>
        <v>0</v>
      </c>
      <c r="EA345" s="216">
        <f t="shared" si="191"/>
        <v>0</v>
      </c>
      <c r="EB345" s="320">
        <f t="shared" si="192"/>
        <v>0</v>
      </c>
      <c r="EC345" s="241">
        <f t="shared" si="193"/>
        <v>0</v>
      </c>
      <c r="ED345" s="241">
        <f t="shared" si="194"/>
        <v>10.85111</v>
      </c>
      <c r="EE345" s="241">
        <f t="shared" si="195"/>
        <v>0</v>
      </c>
      <c r="EF345" s="241">
        <f t="shared" si="196"/>
        <v>189</v>
      </c>
      <c r="EG345" s="346">
        <f t="shared" si="197"/>
        <v>-0.14889000000002284</v>
      </c>
      <c r="EH345" s="445">
        <f t="shared" si="198"/>
        <v>11</v>
      </c>
      <c r="EI345" s="447">
        <f t="shared" si="199"/>
        <v>10.85111</v>
      </c>
      <c r="EJ345" s="364">
        <f t="shared" si="200"/>
        <v>10.85111</v>
      </c>
      <c r="EK345" s="365">
        <f t="shared" si="201"/>
        <v>189</v>
      </c>
      <c r="EL345" s="529">
        <f t="shared" si="202"/>
        <v>199.85111000000001</v>
      </c>
      <c r="EM345" s="530">
        <v>0</v>
      </c>
      <c r="EN345" s="530">
        <v>0</v>
      </c>
      <c r="EO345" s="530">
        <v>0</v>
      </c>
      <c r="EP345" s="530">
        <v>0</v>
      </c>
      <c r="EQ345" s="530">
        <v>10.85111</v>
      </c>
      <c r="ER345" s="530">
        <v>0</v>
      </c>
      <c r="ES345" s="530">
        <v>0</v>
      </c>
      <c r="ET345" s="530">
        <v>0</v>
      </c>
      <c r="EU345" s="530">
        <v>0</v>
      </c>
      <c r="EV345" s="530">
        <v>0</v>
      </c>
      <c r="EW345" s="530">
        <v>94.5</v>
      </c>
      <c r="EX345" s="530">
        <v>94.5</v>
      </c>
      <c r="EY345" s="530">
        <f t="shared" si="203"/>
        <v>0</v>
      </c>
      <c r="EZ345" s="530">
        <f t="shared" si="204"/>
        <v>10.85111</v>
      </c>
      <c r="FA345" s="530">
        <f t="shared" si="205"/>
        <v>0</v>
      </c>
      <c r="FB345" s="530">
        <f t="shared" si="206"/>
        <v>189</v>
      </c>
      <c r="FC345" s="384" t="str">
        <f>IFERROR(VLOOKUP(Capex!A366,BASE_558!D:R,8,FALSE)/1000,"")</f>
        <v/>
      </c>
      <c r="FD345" s="328" t="str">
        <f>IFERROR(VLOOKUP(Capex!A366,BASE_558!D:R,9,)/1000,"")</f>
        <v/>
      </c>
      <c r="FE345" s="328" t="str">
        <f>IFERROR(IF(LEFT(A345,3)="LCP",(VLOOKUP(Capex!A366,BASE_558!D:R,10,)/1000),SUMIFS('BASE ICP_PO_SC'!F:F,'BASE ICP_PO_SC'!A:A,Capex!A366,'BASE ICP_PO_SC'!E:E,"&lt;&gt;")/1000),"")</f>
        <v/>
      </c>
      <c r="FF345" s="328" t="str">
        <f>IFERROR(IF(LEFT(A345,3)="LCP",(VLOOKUP(Capex!A366,BASE_558!D:R,11,)/1000),SUMIFS('BASE ICP_PO_SC'!F:F,'BASE ICP_PO_SC'!A:A,Capex!A366,'BASE ICP_PO_SC'!E:E,"")/1000),"")</f>
        <v/>
      </c>
      <c r="FG345" s="328">
        <f>IFERROR(VLOOKUP(A345,BASE_558!D:R,13,FALSE)/1000,"")</f>
        <v>62.924750000000003</v>
      </c>
      <c r="FH345" s="328">
        <f>IFERROR(VLOOKUP(A345,BASE_558!D:R,15,FALSE)/1000,"")</f>
        <v>157.40657999999999</v>
      </c>
      <c r="FI345" s="547">
        <f t="shared" si="207"/>
        <v>0</v>
      </c>
      <c r="FJ345" s="547">
        <f t="shared" si="208"/>
        <v>0</v>
      </c>
      <c r="FK345" s="540">
        <f t="shared" si="209"/>
        <v>0</v>
      </c>
    </row>
    <row r="346" spans="1:167" s="23" customFormat="1" ht="24" customHeight="1">
      <c r="A346" s="84" t="s">
        <v>2687</v>
      </c>
      <c r="B346" s="404"/>
      <c r="C346" s="404"/>
      <c r="D346" s="338"/>
      <c r="E346" s="378">
        <v>8673063</v>
      </c>
      <c r="F346" s="5"/>
      <c r="G346" s="310" t="s">
        <v>9</v>
      </c>
      <c r="H346" s="338" t="s">
        <v>6</v>
      </c>
      <c r="I346" s="356"/>
      <c r="J346" s="356">
        <v>2024</v>
      </c>
      <c r="K346" s="352">
        <v>45414</v>
      </c>
      <c r="L346" s="317"/>
      <c r="M346" s="409"/>
      <c r="N346" s="317">
        <f t="shared" si="177"/>
        <v>46326</v>
      </c>
      <c r="O346" s="317">
        <f t="shared" si="178"/>
        <v>46691</v>
      </c>
      <c r="P346" s="418" t="str">
        <f t="shared" si="211"/>
        <v>NÃO</v>
      </c>
      <c r="Q346" s="418" t="str">
        <f t="shared" si="211"/>
        <v>NÃO</v>
      </c>
      <c r="R346" s="418" t="str">
        <f t="shared" si="211"/>
        <v>NÃO</v>
      </c>
      <c r="S346" s="418" t="str">
        <f t="shared" si="211"/>
        <v>NÃO</v>
      </c>
      <c r="T346" s="418" t="str">
        <f t="shared" si="211"/>
        <v>NÃO</v>
      </c>
      <c r="U346" s="418" t="str">
        <f t="shared" si="211"/>
        <v>NÃO</v>
      </c>
      <c r="V346" s="418" t="str">
        <f t="shared" si="211"/>
        <v>NÃO</v>
      </c>
      <c r="W346" s="418" t="str">
        <f t="shared" si="211"/>
        <v>NÃO</v>
      </c>
      <c r="X346" s="418" t="str">
        <f t="shared" si="211"/>
        <v>NÃO</v>
      </c>
      <c r="Y346" s="418" t="str">
        <f t="shared" si="211"/>
        <v>NÃO</v>
      </c>
      <c r="Z346" s="418" t="str">
        <f t="shared" si="211"/>
        <v>NÃO</v>
      </c>
      <c r="AA346" s="418" t="str">
        <f t="shared" si="211"/>
        <v>NÃO</v>
      </c>
      <c r="AB346" s="350"/>
      <c r="AC346" s="309" t="s">
        <v>3932</v>
      </c>
      <c r="AD346" s="311" t="s">
        <v>224</v>
      </c>
      <c r="AE346" s="382" t="s">
        <v>956</v>
      </c>
      <c r="AF346" s="310" t="s">
        <v>6985</v>
      </c>
      <c r="AG346" s="310" t="s">
        <v>2251</v>
      </c>
      <c r="AH346" s="310" t="s">
        <v>2775</v>
      </c>
      <c r="AI346" s="381" t="s">
        <v>2255</v>
      </c>
      <c r="AJ346" s="6" t="s">
        <v>6786</v>
      </c>
      <c r="AK346" s="6" t="str">
        <f t="shared" si="187"/>
        <v>IGUAL</v>
      </c>
      <c r="AL346" s="151" t="str">
        <f>IFERROR(IF(LEFT(A346,3)="LCP",VLOOKUP(A346,STATUS_SAP_LCP!B:C,2,FALSE),VLOOKUP(A346,STATUS_SAP_ICP!B:C,2,FALSE)),"NO BUDGET")</f>
        <v>REL  BUDG AUC  AVAC  //  APPR BREL EXPL</v>
      </c>
      <c r="AM346" s="6" t="str">
        <f t="shared" si="185"/>
        <v xml:space="preserve">REL </v>
      </c>
      <c r="AN346" s="282" t="s">
        <v>18979</v>
      </c>
      <c r="AO346" s="557"/>
      <c r="AP346" s="499" t="s">
        <v>9616</v>
      </c>
      <c r="AQ346" s="465">
        <v>46204</v>
      </c>
      <c r="AR346" s="460"/>
      <c r="AS346" s="57"/>
      <c r="AT346" s="185"/>
      <c r="AU346" s="318"/>
      <c r="AV346" s="223"/>
      <c r="AW346" s="318"/>
      <c r="AX346" s="223">
        <v>0</v>
      </c>
      <c r="AY346" s="318">
        <f t="shared" si="179"/>
        <v>100</v>
      </c>
      <c r="AZ346" s="223"/>
      <c r="BA346" s="318"/>
      <c r="BB346" s="519">
        <f t="shared" si="180"/>
        <v>100</v>
      </c>
      <c r="BC346" s="518">
        <v>0</v>
      </c>
      <c r="BD346" s="518">
        <v>0</v>
      </c>
      <c r="BE346" s="518">
        <v>0</v>
      </c>
      <c r="BF346" s="518">
        <v>0</v>
      </c>
      <c r="BG346" s="518">
        <v>0</v>
      </c>
      <c r="BH346" s="518">
        <v>0</v>
      </c>
      <c r="BI346" s="518">
        <v>0</v>
      </c>
      <c r="BJ346" s="518">
        <v>0</v>
      </c>
      <c r="BK346" s="518">
        <v>0</v>
      </c>
      <c r="BL346" s="518">
        <v>0</v>
      </c>
      <c r="BM346" s="518">
        <v>50</v>
      </c>
      <c r="BN346" s="518">
        <v>50</v>
      </c>
      <c r="BO346" s="367">
        <f t="shared" si="188"/>
        <v>100</v>
      </c>
      <c r="BP346" s="421">
        <v>0</v>
      </c>
      <c r="BQ346" s="422"/>
      <c r="BR346" s="423">
        <f>IFERROR(IF(LEFT($A346,3)="Lcp",SUMIFS('BASE-LCP'!$K:$K,'BASE-LCP'!$A:$A,Capex!$A367,'BASE-LCP'!$B:$B,"janeiro")/1000,IF(LEFT($A346,3)="icp",SUMIFS('BASE-ICP'!$K:$K,'BASE-ICP'!$A:$A,Capex!$A367,'BASE-ICP'!$B:$B,"janeiro")/1000,"")),"")</f>
        <v>0</v>
      </c>
      <c r="BS346" s="427">
        <v>0</v>
      </c>
      <c r="BT346" s="372">
        <v>0</v>
      </c>
      <c r="BU346" s="422"/>
      <c r="BV346" s="423">
        <f>IFERROR(IF(LEFT($A346,3)="Lcp",SUMIFS('BASE-LCP'!$K:$K,'BASE-LCP'!$A:$A,Capex!$A367,'BASE-LCP'!$B:$B,"fevereiro")/1000,IF(LEFT($A346,3)="icp",SUMIFS('BASE-ICP'!$K:$K,'BASE-ICP'!$A:$A,Capex!$A367,'BASE-ICP'!$B:$B,"fevereiro")/1000,"")),"")</f>
        <v>0</v>
      </c>
      <c r="BW346" s="427">
        <v>0</v>
      </c>
      <c r="BX346" s="372">
        <v>0</v>
      </c>
      <c r="BY346" s="419"/>
      <c r="BZ346" s="423">
        <f>IFERROR(IF(LEFT($A346,3)="Lcp",SUMIFS('BASE-LCP'!$K:$K,'BASE-LCP'!$A:$A,Capex!$A367,'BASE-LCP'!$B:$B,"março")/1000,IF(LEFT($A346,3)="icp",SUMIFS('BASE-ICP'!$K:$K,'BASE-ICP'!$A:$A,Capex!$A367,'BASE-ICP'!$B:$B,"março")/1000,"")),"")</f>
        <v>0</v>
      </c>
      <c r="CA346" s="427">
        <v>0</v>
      </c>
      <c r="CB346" s="372">
        <v>0</v>
      </c>
      <c r="CC346" s="422"/>
      <c r="CD346" s="423">
        <f>IFERROR(IF(LEFT($A346,3)="Lcp",SUMIFS('BASE-LCP'!$K:$K,'BASE-LCP'!$A:$A,Capex!$A367,'BASE-LCP'!$B:$B,"abril")/1000,IF(LEFT($A346,3)="icp",SUMIFS('BASE-ICP'!$K:$K,'BASE-ICP'!$A:$A,Capex!$A367,'BASE-ICP'!$B:$B,"abril")/1000,"")),"")</f>
        <v>0</v>
      </c>
      <c r="CE346" s="427">
        <v>0</v>
      </c>
      <c r="CF346" s="372">
        <v>0</v>
      </c>
      <c r="CG346" s="419"/>
      <c r="CH346" s="423">
        <v>0</v>
      </c>
      <c r="CI346" s="427">
        <v>0</v>
      </c>
      <c r="CJ346" s="372">
        <v>0</v>
      </c>
      <c r="CK346" s="419"/>
      <c r="CL346" s="423">
        <f>IFERROR(IF(LEFT($A346,3)="Lcp",SUMIFS('BASE-LCP'!$K:$K,'BASE-LCP'!$A:$A,Capex!$A367,'BASE-LCP'!$B:$B,"junho")/1000,IF(LEFT($A346,3)="icp",SUMIFS('BASE-ICP'!$K:$K,'BASE-ICP'!$A:$A,Capex!$A367,'BASE-ICP'!$B:$B,"junho")/1000,"")),"")</f>
        <v>0</v>
      </c>
      <c r="CM346" s="427">
        <v>0</v>
      </c>
      <c r="CN346" s="372"/>
      <c r="CO346" s="419"/>
      <c r="CP346" s="423">
        <f>IFERROR(IF(LEFT($A346,3)="Lcp",SUMIFS('BASE-LCP'!$K:$K,'BASE-LCP'!$A:$A,Capex!$A367,'BASE-LCP'!$B:$B,"julho")/1000,IF(LEFT($A346,3)="icp",SUMIFS('BASE-ICP'!$K:$K,'BASE-ICP'!$A:$A,Capex!$A367,'BASE-ICP'!$B:$B,"julho")/1000,"")),"")</f>
        <v>0</v>
      </c>
      <c r="CQ346" s="427">
        <v>0</v>
      </c>
      <c r="CR346" s="372"/>
      <c r="CS346" s="419"/>
      <c r="CT346" s="423">
        <f>IFERROR(IF(LEFT($A346,3)="Lcp",SUMIFS('BASE-LCP'!$K:$K,'BASE-LCP'!$A:$A,Capex!$A367,'BASE-LCP'!$B:$B,"agosto")/1000,IF(LEFT($A346,3)="icp",SUMIFS('BASE-ICP'!$K:$K,'BASE-ICP'!$A:$A,Capex!$A367,'BASE-ICP'!$B:$B,"agosto")/1000,"")),"")</f>
        <v>0</v>
      </c>
      <c r="CU346" s="427">
        <v>0</v>
      </c>
      <c r="CV346" s="372"/>
      <c r="CW346" s="419"/>
      <c r="CX346" s="423">
        <f>IFERROR(IF(LEFT($A346,3)="Lcp",SUMIFS('BASE-LCP'!$K:$K,'BASE-LCP'!$A:$A,Capex!$A367,'BASE-LCP'!$B:$B,"setembro")/1000,IF(LEFT($A346,3)="icp",SUMIFS('BASE-ICP'!$K:$K,'BASE-ICP'!$A:$A,Capex!$A367,'BASE-ICP'!$B:$B,"setembro")/1000,"")),"")</f>
        <v>0</v>
      </c>
      <c r="CY346" s="427">
        <v>0</v>
      </c>
      <c r="CZ346" s="372"/>
      <c r="DA346" s="419"/>
      <c r="DB346" s="423">
        <f>IFERROR(IF(LEFT($A346,3)="Lcp",SUMIFS('BASE-LCP'!$K:$K,'BASE-LCP'!$A:$A,Capex!$A367,'BASE-LCP'!$B:$B,"outubro")/1000,IF(LEFT($A346,3)="icp",SUMIFS('BASE-ICP'!$K:$K,'BASE-ICP'!$A:$A,Capex!$A367,'BASE-ICP'!$B:$B,"outubro")/1000,"")),"")</f>
        <v>0</v>
      </c>
      <c r="DC346" s="427">
        <v>0</v>
      </c>
      <c r="DD346" s="372"/>
      <c r="DE346" s="419"/>
      <c r="DF346" s="423">
        <f>IFERROR(IF(LEFT($A346,3)="Lcp",SUMIFS('BASE-LCP'!$K:$K,'BASE-LCP'!$A:$A,Capex!$A367,'BASE-LCP'!$B:$B,"novembro")/1000,IF(LEFT($A346,3)="icp",SUMIFS('BASE-ICP'!$K:$K,'BASE-ICP'!$A:$A,Capex!$A367,'BASE-ICP'!$B:$B,"novembro")/1000,"")),"")</f>
        <v>0</v>
      </c>
      <c r="DG346" s="427">
        <v>50</v>
      </c>
      <c r="DH346" s="372"/>
      <c r="DI346" s="419"/>
      <c r="DJ346" s="423">
        <f>IFERROR(IF(LEFT($A346,3)="Lcp",SUMIFS('BASE-LCP'!$K:$K,'BASE-LCP'!$A:$A,Capex!$A367,'BASE-LCP'!$B:$B,"dezembro")/1000,IF(LEFT($A346,3)="icp",SUMIFS('BASE-ICP'!$K:$K,'BASE-ICP'!$A:$A,Capex!$A367,'BASE-ICP'!$B:$B,"dezembro")/1000,"")),"")</f>
        <v>0</v>
      </c>
      <c r="DK346" s="427">
        <v>50</v>
      </c>
      <c r="DL346" s="452">
        <f t="shared" si="189"/>
        <v>247</v>
      </c>
      <c r="DM346" s="374"/>
      <c r="DN346" s="374">
        <v>247</v>
      </c>
      <c r="DO346" s="374"/>
      <c r="DP346" s="374"/>
      <c r="DQ346" s="374"/>
      <c r="DR346" s="374"/>
      <c r="DS346" s="374"/>
      <c r="DT346" s="374"/>
      <c r="DU346" s="374"/>
      <c r="DV346" s="374"/>
      <c r="DW346" s="374"/>
      <c r="DX346" s="374"/>
      <c r="DY346" s="450"/>
      <c r="DZ346" s="374">
        <f t="shared" si="190"/>
        <v>247</v>
      </c>
      <c r="EA346" s="216">
        <f t="shared" si="191"/>
        <v>0</v>
      </c>
      <c r="EB346" s="320">
        <f t="shared" si="192"/>
        <v>0</v>
      </c>
      <c r="EC346" s="241">
        <f t="shared" si="193"/>
        <v>0</v>
      </c>
      <c r="ED346" s="241">
        <f t="shared" si="194"/>
        <v>0</v>
      </c>
      <c r="EE346" s="241">
        <f t="shared" si="195"/>
        <v>0</v>
      </c>
      <c r="EF346" s="241">
        <f t="shared" si="196"/>
        <v>100</v>
      </c>
      <c r="EG346" s="346">
        <f t="shared" si="197"/>
        <v>0</v>
      </c>
      <c r="EH346" s="445">
        <f t="shared" si="198"/>
        <v>0</v>
      </c>
      <c r="EI346" s="447">
        <f t="shared" si="199"/>
        <v>0</v>
      </c>
      <c r="EJ346" s="364">
        <f t="shared" si="200"/>
        <v>0</v>
      </c>
      <c r="EK346" s="365">
        <f t="shared" si="201"/>
        <v>100</v>
      </c>
      <c r="EL346" s="529">
        <f t="shared" si="202"/>
        <v>100</v>
      </c>
      <c r="EM346" s="530">
        <v>0</v>
      </c>
      <c r="EN346" s="530">
        <v>0</v>
      </c>
      <c r="EO346" s="530">
        <v>0</v>
      </c>
      <c r="EP346" s="530">
        <v>0</v>
      </c>
      <c r="EQ346" s="530">
        <v>0</v>
      </c>
      <c r="ER346" s="530">
        <v>0</v>
      </c>
      <c r="ES346" s="530">
        <v>0</v>
      </c>
      <c r="ET346" s="530">
        <v>0</v>
      </c>
      <c r="EU346" s="530">
        <v>0</v>
      </c>
      <c r="EV346" s="530">
        <v>0</v>
      </c>
      <c r="EW346" s="530">
        <v>50</v>
      </c>
      <c r="EX346" s="530">
        <v>50</v>
      </c>
      <c r="EY346" s="530">
        <f t="shared" si="203"/>
        <v>0</v>
      </c>
      <c r="EZ346" s="530">
        <f t="shared" si="204"/>
        <v>0</v>
      </c>
      <c r="FA346" s="530">
        <f t="shared" si="205"/>
        <v>0</v>
      </c>
      <c r="FB346" s="530">
        <f t="shared" si="206"/>
        <v>100</v>
      </c>
      <c r="FC346" s="384" t="str">
        <f>IFERROR(VLOOKUP(Capex!A367,BASE_558!D:R,8,FALSE)/1000,"")</f>
        <v/>
      </c>
      <c r="FD346" s="328" t="str">
        <f>IFERROR(VLOOKUP(Capex!A367,BASE_558!D:R,9,)/1000,"")</f>
        <v/>
      </c>
      <c r="FE346" s="328" t="str">
        <f>IFERROR(IF(LEFT(A346,3)="LCP",(VLOOKUP(Capex!A367,BASE_558!D:R,10,)/1000),SUMIFS('BASE ICP_PO_SC'!F:F,'BASE ICP_PO_SC'!A:A,Capex!A367,'BASE ICP_PO_SC'!E:E,"&lt;&gt;")/1000),"")</f>
        <v/>
      </c>
      <c r="FF346" s="328" t="str">
        <f>IFERROR(IF(LEFT(A346,3)="LCP",(VLOOKUP(Capex!A367,BASE_558!D:R,11,)/1000),SUMIFS('BASE ICP_PO_SC'!F:F,'BASE ICP_PO_SC'!A:A,Capex!A367,'BASE ICP_PO_SC'!E:E,"")/1000),"")</f>
        <v/>
      </c>
      <c r="FG346" s="328">
        <f>IFERROR(VLOOKUP(A346,BASE_558!D:R,13,FALSE)/1000,"")</f>
        <v>157.67099999999999</v>
      </c>
      <c r="FH346" s="328">
        <f>IFERROR(VLOOKUP(A346,BASE_558!D:R,15,FALSE)/1000,"")</f>
        <v>189.79900000000001</v>
      </c>
      <c r="FI346" s="547">
        <f t="shared" si="207"/>
        <v>0</v>
      </c>
      <c r="FJ346" s="547">
        <f t="shared" si="208"/>
        <v>0</v>
      </c>
      <c r="FK346" s="540">
        <f t="shared" si="209"/>
        <v>0</v>
      </c>
    </row>
    <row r="347" spans="1:167" s="23" customFormat="1" ht="24" customHeight="1">
      <c r="A347" s="84" t="s">
        <v>2693</v>
      </c>
      <c r="B347" s="404" t="s">
        <v>2725</v>
      </c>
      <c r="C347" s="404"/>
      <c r="D347" s="338"/>
      <c r="E347" s="378">
        <v>8691284</v>
      </c>
      <c r="F347" s="5"/>
      <c r="G347" s="310" t="s">
        <v>9</v>
      </c>
      <c r="H347" s="338" t="s">
        <v>6</v>
      </c>
      <c r="I347" s="356"/>
      <c r="J347" s="356">
        <v>2024</v>
      </c>
      <c r="K347" s="352">
        <v>45412</v>
      </c>
      <c r="L347" s="317"/>
      <c r="M347" s="409"/>
      <c r="N347" s="317">
        <f t="shared" si="177"/>
        <v>46324</v>
      </c>
      <c r="O347" s="317">
        <f t="shared" si="178"/>
        <v>46689</v>
      </c>
      <c r="P347" s="418" t="str">
        <f t="shared" si="211"/>
        <v>NÃO</v>
      </c>
      <c r="Q347" s="418" t="str">
        <f t="shared" si="211"/>
        <v>NÃO</v>
      </c>
      <c r="R347" s="418" t="str">
        <f t="shared" si="211"/>
        <v>NÃO</v>
      </c>
      <c r="S347" s="418" t="str">
        <f t="shared" si="211"/>
        <v>NÃO</v>
      </c>
      <c r="T347" s="418" t="str">
        <f t="shared" si="211"/>
        <v>NÃO</v>
      </c>
      <c r="U347" s="418" t="str">
        <f t="shared" si="211"/>
        <v>NÃO</v>
      </c>
      <c r="V347" s="566" t="str">
        <f t="shared" si="211"/>
        <v>NÃO</v>
      </c>
      <c r="W347" s="418" t="str">
        <f t="shared" si="211"/>
        <v>NÃO</v>
      </c>
      <c r="X347" s="418" t="str">
        <f t="shared" si="211"/>
        <v>NÃO</v>
      </c>
      <c r="Y347" s="418" t="str">
        <f t="shared" si="211"/>
        <v>NÃO</v>
      </c>
      <c r="Z347" s="418" t="str">
        <f t="shared" si="211"/>
        <v>NÃO</v>
      </c>
      <c r="AA347" s="418" t="str">
        <f t="shared" si="211"/>
        <v>NÃO</v>
      </c>
      <c r="AB347" s="350"/>
      <c r="AC347" s="309" t="s">
        <v>3932</v>
      </c>
      <c r="AD347" s="311" t="s">
        <v>224</v>
      </c>
      <c r="AE347" s="382" t="s">
        <v>957</v>
      </c>
      <c r="AF347" s="310" t="s">
        <v>6985</v>
      </c>
      <c r="AG347" s="310" t="s">
        <v>2079</v>
      </c>
      <c r="AH347" s="310" t="s">
        <v>2778</v>
      </c>
      <c r="AI347" s="381" t="s">
        <v>183</v>
      </c>
      <c r="AJ347" s="6" t="s">
        <v>6786</v>
      </c>
      <c r="AK347" s="6" t="str">
        <f t="shared" si="187"/>
        <v>IGUAL</v>
      </c>
      <c r="AL347" s="151" t="str">
        <f>IFERROR(IF(LEFT(A347,3)="LCP",VLOOKUP(A347,STATUS_SAP_LCP!B:C,2,FALSE),VLOOKUP(A347,STATUS_SAP_ICP!B:C,2,FALSE)),"NO BUDGET")</f>
        <v>REL  BUDG AUC  AVAC  //  APPR BREL EXPL</v>
      </c>
      <c r="AM347" s="6" t="str">
        <f t="shared" si="185"/>
        <v xml:space="preserve">REL </v>
      </c>
      <c r="AN347" s="491" t="s">
        <v>20133</v>
      </c>
      <c r="AO347" s="414"/>
      <c r="AP347" s="499" t="s">
        <v>5299</v>
      </c>
      <c r="AQ347" s="465">
        <v>45717</v>
      </c>
      <c r="AR347" s="460"/>
      <c r="AS347" s="57"/>
      <c r="AT347" s="185"/>
      <c r="AU347" s="318"/>
      <c r="AV347" s="223"/>
      <c r="AW347" s="318"/>
      <c r="AX347" s="223">
        <v>0</v>
      </c>
      <c r="AY347" s="318">
        <f t="shared" si="179"/>
        <v>141.84020000000001</v>
      </c>
      <c r="AZ347" s="223"/>
      <c r="BA347" s="318"/>
      <c r="BB347" s="519">
        <f t="shared" si="180"/>
        <v>150.80000000000001</v>
      </c>
      <c r="BC347" s="518">
        <v>0</v>
      </c>
      <c r="BD347" s="518">
        <v>150.80000000000001</v>
      </c>
      <c r="BE347" s="518">
        <v>0</v>
      </c>
      <c r="BF347" s="518">
        <v>0</v>
      </c>
      <c r="BG347" s="518">
        <v>0</v>
      </c>
      <c r="BH347" s="518">
        <v>0</v>
      </c>
      <c r="BI347" s="518">
        <v>0</v>
      </c>
      <c r="BJ347" s="518">
        <v>0</v>
      </c>
      <c r="BK347" s="518">
        <v>0</v>
      </c>
      <c r="BL347" s="518">
        <v>0</v>
      </c>
      <c r="BM347" s="518">
        <v>0</v>
      </c>
      <c r="BN347" s="518">
        <v>0</v>
      </c>
      <c r="BO347" s="367">
        <f t="shared" si="188"/>
        <v>141.84020000000001</v>
      </c>
      <c r="BP347" s="421">
        <v>0</v>
      </c>
      <c r="BQ347" s="422"/>
      <c r="BR347" s="423">
        <f>IFERROR(IF(LEFT($A347,3)="Lcp",SUMIFS('BASE-LCP'!$K:$K,'BASE-LCP'!$A:$A,Capex!$A368,'BASE-LCP'!$B:$B,"janeiro")/1000,IF(LEFT($A347,3)="icp",SUMIFS('BASE-ICP'!$K:$K,'BASE-ICP'!$A:$A,Capex!$A368,'BASE-ICP'!$B:$B,"janeiro")/1000,"")),"")</f>
        <v>0</v>
      </c>
      <c r="BS347" s="427">
        <v>0</v>
      </c>
      <c r="BT347" s="372">
        <v>0</v>
      </c>
      <c r="BU347" s="422"/>
      <c r="BV347" s="423">
        <f>IFERROR(IF(LEFT($A347,3)="Lcp",SUMIFS('BASE-LCP'!$K:$K,'BASE-LCP'!$A:$A,Capex!$A368,'BASE-LCP'!$B:$B,"fevereiro")/1000,IF(LEFT($A347,3)="icp",SUMIFS('BASE-ICP'!$K:$K,'BASE-ICP'!$A:$A,Capex!$A368,'BASE-ICP'!$B:$B,"fevereiro")/1000,"")),"")</f>
        <v>0</v>
      </c>
      <c r="BW347" s="427">
        <v>0</v>
      </c>
      <c r="BX347" s="372">
        <v>150.80000000000001</v>
      </c>
      <c r="BY347" s="419">
        <v>142.2705</v>
      </c>
      <c r="BZ347" s="423">
        <f>IFERROR(IF(LEFT($A347,3)="Lcp",SUMIFS('BASE-LCP'!$K:$K,'BASE-LCP'!$A:$A,Capex!$A368,'BASE-LCP'!$B:$B,"março")/1000,IF(LEFT($A347,3)="icp",SUMIFS('BASE-ICP'!$K:$K,'BASE-ICP'!$A:$A,Capex!$A368,'BASE-ICP'!$B:$B,"março")/1000,"")),"")</f>
        <v>0</v>
      </c>
      <c r="CA347" s="427">
        <v>142.2705</v>
      </c>
      <c r="CB347" s="372">
        <v>0</v>
      </c>
      <c r="CC347" s="422">
        <v>-0.43030000000000002</v>
      </c>
      <c r="CD347" s="423">
        <f>IFERROR(IF(LEFT($A347,3)="Lcp",SUMIFS('BASE-LCP'!$K:$K,'BASE-LCP'!$A:$A,Capex!$A368,'BASE-LCP'!$B:$B,"abril")/1000,IF(LEFT($A347,3)="icp",SUMIFS('BASE-ICP'!$K:$K,'BASE-ICP'!$A:$A,Capex!$A368,'BASE-ICP'!$B:$B,"abril")/1000,"")),"")</f>
        <v>0</v>
      </c>
      <c r="CE347" s="427">
        <v>-0.43030000000000002</v>
      </c>
      <c r="CF347" s="372">
        <v>0</v>
      </c>
      <c r="CG347" s="419"/>
      <c r="CH347" s="423">
        <v>0</v>
      </c>
      <c r="CI347" s="427">
        <v>0</v>
      </c>
      <c r="CJ347" s="372">
        <v>0</v>
      </c>
      <c r="CK347" s="419"/>
      <c r="CL347" s="423">
        <f>IFERROR(IF(LEFT($A347,3)="Lcp",SUMIFS('BASE-LCP'!$K:$K,'BASE-LCP'!$A:$A,Capex!$A368,'BASE-LCP'!$B:$B,"junho")/1000,IF(LEFT($A347,3)="icp",SUMIFS('BASE-ICP'!$K:$K,'BASE-ICP'!$A:$A,Capex!$A368,'BASE-ICP'!$B:$B,"junho")/1000,"")),"")</f>
        <v>0</v>
      </c>
      <c r="CM347" s="427">
        <v>0</v>
      </c>
      <c r="CN347" s="372"/>
      <c r="CO347" s="419"/>
      <c r="CP347" s="423">
        <f>IFERROR(IF(LEFT($A347,3)="Lcp",SUMIFS('BASE-LCP'!$K:$K,'BASE-LCP'!$A:$A,Capex!$A368,'BASE-LCP'!$B:$B,"julho")/1000,IF(LEFT($A347,3)="icp",SUMIFS('BASE-ICP'!$K:$K,'BASE-ICP'!$A:$A,Capex!$A368,'BASE-ICP'!$B:$B,"julho")/1000,"")),"")</f>
        <v>0</v>
      </c>
      <c r="CQ347" s="427">
        <v>0</v>
      </c>
      <c r="CR347" s="372"/>
      <c r="CS347" s="419"/>
      <c r="CT347" s="423">
        <f>IFERROR(IF(LEFT($A347,3)="Lcp",SUMIFS('BASE-LCP'!$K:$K,'BASE-LCP'!$A:$A,Capex!$A368,'BASE-LCP'!$B:$B,"agosto")/1000,IF(LEFT($A347,3)="icp",SUMIFS('BASE-ICP'!$K:$K,'BASE-ICP'!$A:$A,Capex!$A368,'BASE-ICP'!$B:$B,"agosto")/1000,"")),"")</f>
        <v>0</v>
      </c>
      <c r="CU347" s="427">
        <v>0</v>
      </c>
      <c r="CV347" s="372"/>
      <c r="CW347" s="419"/>
      <c r="CX347" s="423">
        <f>IFERROR(IF(LEFT($A347,3)="Lcp",SUMIFS('BASE-LCP'!$K:$K,'BASE-LCP'!$A:$A,Capex!$A368,'BASE-LCP'!$B:$B,"setembro")/1000,IF(LEFT($A347,3)="icp",SUMIFS('BASE-ICP'!$K:$K,'BASE-ICP'!$A:$A,Capex!$A368,'BASE-ICP'!$B:$B,"setembro")/1000,"")),"")</f>
        <v>0</v>
      </c>
      <c r="CY347" s="427">
        <v>0</v>
      </c>
      <c r="CZ347" s="372"/>
      <c r="DA347" s="419"/>
      <c r="DB347" s="423">
        <f>IFERROR(IF(LEFT($A347,3)="Lcp",SUMIFS('BASE-LCP'!$K:$K,'BASE-LCP'!$A:$A,Capex!$A368,'BASE-LCP'!$B:$B,"outubro")/1000,IF(LEFT($A347,3)="icp",SUMIFS('BASE-ICP'!$K:$K,'BASE-ICP'!$A:$A,Capex!$A368,'BASE-ICP'!$B:$B,"outubro")/1000,"")),"")</f>
        <v>0</v>
      </c>
      <c r="DC347" s="427">
        <v>0</v>
      </c>
      <c r="DD347" s="372"/>
      <c r="DE347" s="419"/>
      <c r="DF347" s="423">
        <f>IFERROR(IF(LEFT($A347,3)="Lcp",SUMIFS('BASE-LCP'!$K:$K,'BASE-LCP'!$A:$A,Capex!$A368,'BASE-LCP'!$B:$B,"novembro")/1000,IF(LEFT($A347,3)="icp",SUMIFS('BASE-ICP'!$K:$K,'BASE-ICP'!$A:$A,Capex!$A368,'BASE-ICP'!$B:$B,"novembro")/1000,"")),"")</f>
        <v>0</v>
      </c>
      <c r="DG347" s="427">
        <v>0</v>
      </c>
      <c r="DH347" s="319"/>
      <c r="DI347" s="419"/>
      <c r="DJ347" s="423">
        <f>IFERROR(IF(LEFT($A347,3)="Lcp",SUMIFS('BASE-LCP'!$K:$K,'BASE-LCP'!$A:$A,Capex!$A368,'BASE-LCP'!$B:$B,"dezembro")/1000,IF(LEFT($A347,3)="icp",SUMIFS('BASE-ICP'!$K:$K,'BASE-ICP'!$A:$A,Capex!$A368,'BASE-ICP'!$B:$B,"dezembro")/1000,"")),"")</f>
        <v>0</v>
      </c>
      <c r="DK347" s="427">
        <v>0</v>
      </c>
      <c r="DL347" s="452">
        <f t="shared" si="189"/>
        <v>0</v>
      </c>
      <c r="DM347" s="374"/>
      <c r="DN347" s="374">
        <v>0</v>
      </c>
      <c r="DO347" s="374"/>
      <c r="DP347" s="374"/>
      <c r="DQ347" s="374"/>
      <c r="DR347" s="374"/>
      <c r="DS347" s="374"/>
      <c r="DT347" s="374"/>
      <c r="DU347" s="374"/>
      <c r="DV347" s="374"/>
      <c r="DW347" s="374"/>
      <c r="DX347" s="374"/>
      <c r="DY347" s="450"/>
      <c r="DZ347" s="374">
        <f t="shared" si="190"/>
        <v>0</v>
      </c>
      <c r="EA347" s="216">
        <f t="shared" si="191"/>
        <v>0</v>
      </c>
      <c r="EB347" s="320">
        <f t="shared" si="192"/>
        <v>0</v>
      </c>
      <c r="EC347" s="241">
        <f t="shared" si="193"/>
        <v>142.2705</v>
      </c>
      <c r="ED347" s="241">
        <f t="shared" si="194"/>
        <v>-0.43030000000000002</v>
      </c>
      <c r="EE347" s="241">
        <f t="shared" si="195"/>
        <v>0</v>
      </c>
      <c r="EF347" s="241">
        <f t="shared" si="196"/>
        <v>0</v>
      </c>
      <c r="EG347" s="346">
        <f t="shared" si="197"/>
        <v>-8.9598000000000013</v>
      </c>
      <c r="EH347" s="445">
        <f t="shared" si="198"/>
        <v>0</v>
      </c>
      <c r="EI347" s="447">
        <f t="shared" si="199"/>
        <v>0</v>
      </c>
      <c r="EJ347" s="364">
        <f t="shared" si="200"/>
        <v>141.84020000000001</v>
      </c>
      <c r="EK347" s="365">
        <f t="shared" si="201"/>
        <v>0</v>
      </c>
      <c r="EL347" s="529">
        <f t="shared" si="202"/>
        <v>141.84020000000001</v>
      </c>
      <c r="EM347" s="530">
        <v>0</v>
      </c>
      <c r="EN347" s="530">
        <v>0</v>
      </c>
      <c r="EO347" s="530">
        <v>142.2705</v>
      </c>
      <c r="EP347" s="530">
        <v>-0.43030000000000002</v>
      </c>
      <c r="EQ347" s="530">
        <v>0</v>
      </c>
      <c r="ER347" s="530">
        <v>0</v>
      </c>
      <c r="ES347" s="530">
        <v>0</v>
      </c>
      <c r="ET347" s="530">
        <v>0</v>
      </c>
      <c r="EU347" s="530">
        <v>0</v>
      </c>
      <c r="EV347" s="530">
        <v>0</v>
      </c>
      <c r="EW347" s="530">
        <v>0</v>
      </c>
      <c r="EX347" s="530">
        <v>0</v>
      </c>
      <c r="EY347" s="530">
        <f t="shared" si="203"/>
        <v>142.2705</v>
      </c>
      <c r="EZ347" s="530">
        <f t="shared" si="204"/>
        <v>-0.43030000000000002</v>
      </c>
      <c r="FA347" s="530">
        <f t="shared" si="205"/>
        <v>0</v>
      </c>
      <c r="FB347" s="530">
        <f t="shared" si="206"/>
        <v>0</v>
      </c>
      <c r="FC347" s="384" t="str">
        <f>IFERROR(VLOOKUP(Capex!A368,BASE_558!D:R,8,FALSE)/1000,"")</f>
        <v/>
      </c>
      <c r="FD347" s="328" t="str">
        <f>IFERROR(VLOOKUP(Capex!A368,BASE_558!D:R,9,)/1000,"")</f>
        <v/>
      </c>
      <c r="FE347" s="328" t="str">
        <f>IFERROR(IF(LEFT(A347,3)="LCP",(VLOOKUP(Capex!A368,BASE_558!D:R,10,)/1000),SUMIFS('BASE ICP_PO_SC'!F:F,'BASE ICP_PO_SC'!A:A,Capex!A368,'BASE ICP_PO_SC'!E:E,"&lt;&gt;")/1000),"")</f>
        <v/>
      </c>
      <c r="FF347" s="328" t="str">
        <f>IFERROR(IF(LEFT(A347,3)="LCP",(VLOOKUP(Capex!A368,BASE_558!D:R,11,)/1000),SUMIFS('BASE ICP_PO_SC'!F:F,'BASE ICP_PO_SC'!A:A,Capex!A368,'BASE ICP_PO_SC'!E:E,"")/1000),"")</f>
        <v/>
      </c>
      <c r="FG347" s="328">
        <f>IFERROR(VLOOKUP(A347,BASE_558!D:R,13,FALSE)/1000,"")</f>
        <v>141.84020000000001</v>
      </c>
      <c r="FH347" s="328">
        <f>IFERROR(VLOOKUP(A347,BASE_558!D:R,15,FALSE)/1000,"")</f>
        <v>33.744800000000005</v>
      </c>
      <c r="FI347" s="547">
        <f t="shared" si="207"/>
        <v>0</v>
      </c>
      <c r="FJ347" s="547">
        <f t="shared" si="208"/>
        <v>0</v>
      </c>
      <c r="FK347" s="540">
        <f t="shared" si="209"/>
        <v>0</v>
      </c>
    </row>
    <row r="348" spans="1:167" s="23" customFormat="1" ht="24" customHeight="1">
      <c r="A348" s="84" t="s">
        <v>2772</v>
      </c>
      <c r="B348" s="404"/>
      <c r="C348" s="404"/>
      <c r="D348" s="338"/>
      <c r="E348" s="378">
        <v>8776735</v>
      </c>
      <c r="F348" s="5" t="s">
        <v>609</v>
      </c>
      <c r="G348" s="310" t="s">
        <v>9</v>
      </c>
      <c r="H348" s="521"/>
      <c r="I348" s="356"/>
      <c r="J348" s="356">
        <v>2024</v>
      </c>
      <c r="K348" s="352">
        <v>45428</v>
      </c>
      <c r="L348" s="317"/>
      <c r="M348" s="409"/>
      <c r="N348" s="317">
        <f t="shared" ref="N348:N362" si="212">IF(K348+912=912,"",K348+912)</f>
        <v>46340</v>
      </c>
      <c r="O348" s="317">
        <f t="shared" ref="O348:O362" si="213">IF(K348+1277=1277,"",K348+1277)</f>
        <v>46705</v>
      </c>
      <c r="P348" s="418" t="str">
        <f t="shared" si="211"/>
        <v>NÃO</v>
      </c>
      <c r="Q348" s="418" t="str">
        <f t="shared" si="211"/>
        <v>NÃO</v>
      </c>
      <c r="R348" s="418" t="str">
        <f t="shared" si="211"/>
        <v>NÃO</v>
      </c>
      <c r="S348" s="418" t="str">
        <f t="shared" si="211"/>
        <v>NÃO</v>
      </c>
      <c r="T348" s="418" t="str">
        <f t="shared" si="211"/>
        <v>NÃO</v>
      </c>
      <c r="U348" s="418" t="str">
        <f t="shared" si="211"/>
        <v>NÃO</v>
      </c>
      <c r="V348" s="418" t="str">
        <f t="shared" si="211"/>
        <v>NÃO</v>
      </c>
      <c r="W348" s="418" t="str">
        <f t="shared" si="211"/>
        <v>NÃO</v>
      </c>
      <c r="X348" s="418" t="str">
        <f t="shared" si="211"/>
        <v>NÃO</v>
      </c>
      <c r="Y348" s="418" t="str">
        <f t="shared" si="211"/>
        <v>NÃO</v>
      </c>
      <c r="Z348" s="418" t="str">
        <f t="shared" si="211"/>
        <v>NÃO</v>
      </c>
      <c r="AA348" s="418" t="str">
        <f t="shared" si="211"/>
        <v>NÃO</v>
      </c>
      <c r="AB348" s="350"/>
      <c r="AC348" s="309" t="s">
        <v>3931</v>
      </c>
      <c r="AD348" s="311"/>
      <c r="AE348" s="382"/>
      <c r="AF348" s="310" t="s">
        <v>6985</v>
      </c>
      <c r="AG348" s="310" t="s">
        <v>2485</v>
      </c>
      <c r="AH348" s="310" t="s">
        <v>2773</v>
      </c>
      <c r="AI348" s="381" t="s">
        <v>188</v>
      </c>
      <c r="AJ348" s="6" t="s">
        <v>6786</v>
      </c>
      <c r="AK348" s="6" t="str">
        <f t="shared" si="187"/>
        <v>DIFERENTE</v>
      </c>
      <c r="AL348" s="151" t="str">
        <f>IFERROR(IF(LEFT(A348,3)="LCP",VLOOKUP(A348,STATUS_SAP_LCP!B:C,2,FALSE),VLOOKUP(A348,STATUS_SAP_ICP!B:C,2,FALSE)),"NO BUDGET")</f>
        <v>TECO BUDG AUC  AVAC  //  SUPP BREL EXPL</v>
      </c>
      <c r="AM348" s="6" t="str">
        <f t="shared" si="185"/>
        <v>TECO</v>
      </c>
      <c r="AN348" s="414" t="s">
        <v>2651</v>
      </c>
      <c r="AO348" s="524"/>
      <c r="AP348" s="499" t="s">
        <v>10767</v>
      </c>
      <c r="AQ348" s="465">
        <v>45777</v>
      </c>
      <c r="AR348" s="460"/>
      <c r="AS348" s="57"/>
      <c r="AT348" s="185"/>
      <c r="AU348" s="318"/>
      <c r="AV348" s="223"/>
      <c r="AW348" s="318"/>
      <c r="AX348" s="223">
        <v>53.535170000000001</v>
      </c>
      <c r="AY348" s="318">
        <f t="shared" ref="AY348:AY409" si="214">BO348</f>
        <v>0</v>
      </c>
      <c r="AZ348" s="223"/>
      <c r="BA348" s="318"/>
      <c r="BB348" s="519">
        <f t="shared" ref="BB348:BB411" si="215">SUM(BC348:BN348)</f>
        <v>0</v>
      </c>
      <c r="BC348" s="518"/>
      <c r="BD348" s="518"/>
      <c r="BE348" s="518"/>
      <c r="BF348" s="518"/>
      <c r="BG348" s="518"/>
      <c r="BH348" s="518"/>
      <c r="BI348" s="518"/>
      <c r="BJ348" s="518"/>
      <c r="BK348" s="518"/>
      <c r="BL348" s="518"/>
      <c r="BM348" s="518"/>
      <c r="BN348" s="518"/>
      <c r="BO348" s="367">
        <f t="shared" si="188"/>
        <v>0</v>
      </c>
      <c r="BP348" s="421"/>
      <c r="BQ348" s="422"/>
      <c r="BR348" s="423">
        <f>IFERROR(IF(LEFT($A348,3)="Lcp",SUMIFS('BASE-LCP'!$K:$K,'BASE-LCP'!$A:$A,Capex!$A369,'BASE-LCP'!$B:$B,"janeiro")/1000,IF(LEFT($A348,3)="icp",SUMIFS('BASE-ICP'!$K:$K,'BASE-ICP'!$A:$A,Capex!$A369,'BASE-ICP'!$B:$B,"janeiro")/1000,"")),"")</f>
        <v>0</v>
      </c>
      <c r="BS348" s="427">
        <v>0</v>
      </c>
      <c r="BT348" s="372">
        <v>0</v>
      </c>
      <c r="BU348" s="422"/>
      <c r="BV348" s="423">
        <f>IFERROR(IF(LEFT($A348,3)="Lcp",SUMIFS('BASE-LCP'!$K:$K,'BASE-LCP'!$A:$A,Capex!$A369,'BASE-LCP'!$B:$B,"fevereiro")/1000,IF(LEFT($A348,3)="icp",SUMIFS('BASE-ICP'!$K:$K,'BASE-ICP'!$A:$A,Capex!$A369,'BASE-ICP'!$B:$B,"fevereiro")/1000,"")),"")</f>
        <v>0</v>
      </c>
      <c r="BW348" s="427">
        <v>0</v>
      </c>
      <c r="BX348" s="372">
        <v>0</v>
      </c>
      <c r="BY348" s="419"/>
      <c r="BZ348" s="423">
        <f>IFERROR(IF(LEFT($A348,3)="Lcp",SUMIFS('BASE-LCP'!$K:$K,'BASE-LCP'!$A:$A,Capex!$A369,'BASE-LCP'!$B:$B,"março")/1000,IF(LEFT($A348,3)="icp",SUMIFS('BASE-ICP'!$K:$K,'BASE-ICP'!$A:$A,Capex!$A369,'BASE-ICP'!$B:$B,"março")/1000,"")),"")</f>
        <v>0</v>
      </c>
      <c r="CA348" s="427">
        <v>0</v>
      </c>
      <c r="CB348" s="372">
        <v>0</v>
      </c>
      <c r="CC348" s="422"/>
      <c r="CD348" s="423">
        <f>IFERROR(IF(LEFT($A348,3)="Lcp",SUMIFS('BASE-LCP'!$K:$K,'BASE-LCP'!$A:$A,Capex!$A369,'BASE-LCP'!$B:$B,"abril")/1000,IF(LEFT($A348,3)="icp",SUMIFS('BASE-ICP'!$K:$K,'BASE-ICP'!$A:$A,Capex!$A369,'BASE-ICP'!$B:$B,"abril")/1000,"")),"")</f>
        <v>0</v>
      </c>
      <c r="CE348" s="427">
        <v>0</v>
      </c>
      <c r="CF348" s="372">
        <v>0</v>
      </c>
      <c r="CG348" s="419"/>
      <c r="CH348" s="423">
        <v>0</v>
      </c>
      <c r="CI348" s="427">
        <v>0</v>
      </c>
      <c r="CJ348" s="372">
        <v>0</v>
      </c>
      <c r="CK348" s="419"/>
      <c r="CL348" s="423">
        <f>IFERROR(IF(LEFT($A348,3)="Lcp",SUMIFS('BASE-LCP'!$K:$K,'BASE-LCP'!$A:$A,Capex!$A369,'BASE-LCP'!$B:$B,"junho")/1000,IF(LEFT($A348,3)="icp",SUMIFS('BASE-ICP'!$K:$K,'BASE-ICP'!$A:$A,Capex!$A369,'BASE-ICP'!$B:$B,"junho")/1000,"")),"")</f>
        <v>0</v>
      </c>
      <c r="CM348" s="427">
        <v>0</v>
      </c>
      <c r="CN348" s="372"/>
      <c r="CO348" s="419"/>
      <c r="CP348" s="423">
        <f>IFERROR(IF(LEFT($A348,3)="Lcp",SUMIFS('BASE-LCP'!$K:$K,'BASE-LCP'!$A:$A,Capex!$A369,'BASE-LCP'!$B:$B,"julho")/1000,IF(LEFT($A348,3)="icp",SUMIFS('BASE-ICP'!$K:$K,'BASE-ICP'!$A:$A,Capex!$A369,'BASE-ICP'!$B:$B,"julho")/1000,"")),"")</f>
        <v>0</v>
      </c>
      <c r="CQ348" s="427">
        <v>0</v>
      </c>
      <c r="CR348" s="372"/>
      <c r="CS348" s="419"/>
      <c r="CT348" s="423">
        <f>IFERROR(IF(LEFT($A348,3)="Lcp",SUMIFS('BASE-LCP'!$K:$K,'BASE-LCP'!$A:$A,Capex!$A369,'BASE-LCP'!$B:$B,"agosto")/1000,IF(LEFT($A348,3)="icp",SUMIFS('BASE-ICP'!$K:$K,'BASE-ICP'!$A:$A,Capex!$A369,'BASE-ICP'!$B:$B,"agosto")/1000,"")),"")</f>
        <v>0</v>
      </c>
      <c r="CU348" s="427">
        <v>0</v>
      </c>
      <c r="CV348" s="372"/>
      <c r="CW348" s="419"/>
      <c r="CX348" s="423">
        <f>IFERROR(IF(LEFT($A348,3)="Lcp",SUMIFS('BASE-LCP'!$K:$K,'BASE-LCP'!$A:$A,Capex!$A369,'BASE-LCP'!$B:$B,"setembro")/1000,IF(LEFT($A348,3)="icp",SUMIFS('BASE-ICP'!$K:$K,'BASE-ICP'!$A:$A,Capex!$A369,'BASE-ICP'!$B:$B,"setembro")/1000,"")),"")</f>
        <v>0</v>
      </c>
      <c r="CY348" s="427">
        <v>0</v>
      </c>
      <c r="CZ348" s="372"/>
      <c r="DA348" s="419"/>
      <c r="DB348" s="423">
        <f>IFERROR(IF(LEFT($A348,3)="Lcp",SUMIFS('BASE-LCP'!$K:$K,'BASE-LCP'!$A:$A,Capex!$A369,'BASE-LCP'!$B:$B,"outubro")/1000,IF(LEFT($A348,3)="icp",SUMIFS('BASE-ICP'!$K:$K,'BASE-ICP'!$A:$A,Capex!$A369,'BASE-ICP'!$B:$B,"outubro")/1000,"")),"")</f>
        <v>0</v>
      </c>
      <c r="DC348" s="427">
        <v>0</v>
      </c>
      <c r="DD348" s="372"/>
      <c r="DE348" s="419"/>
      <c r="DF348" s="423">
        <f>IFERROR(IF(LEFT($A348,3)="Lcp",SUMIFS('BASE-LCP'!$K:$K,'BASE-LCP'!$A:$A,Capex!$A369,'BASE-LCP'!$B:$B,"novembro")/1000,IF(LEFT($A348,3)="icp",SUMIFS('BASE-ICP'!$K:$K,'BASE-ICP'!$A:$A,Capex!$A369,'BASE-ICP'!$B:$B,"novembro")/1000,"")),"")</f>
        <v>0</v>
      </c>
      <c r="DG348" s="427">
        <v>0</v>
      </c>
      <c r="DH348" s="372"/>
      <c r="DI348" s="419"/>
      <c r="DJ348" s="423">
        <f>IFERROR(IF(LEFT($A348,3)="Lcp",SUMIFS('BASE-LCP'!$K:$K,'BASE-LCP'!$A:$A,Capex!$A369,'BASE-LCP'!$B:$B,"dezembro")/1000,IF(LEFT($A348,3)="icp",SUMIFS('BASE-ICP'!$K:$K,'BASE-ICP'!$A:$A,Capex!$A369,'BASE-ICP'!$B:$B,"dezembro")/1000,"")),"")</f>
        <v>0</v>
      </c>
      <c r="DK348" s="427">
        <v>0</v>
      </c>
      <c r="DL348" s="452">
        <f t="shared" si="189"/>
        <v>0</v>
      </c>
      <c r="DM348" s="374"/>
      <c r="DN348" s="374">
        <v>0</v>
      </c>
      <c r="DO348" s="374"/>
      <c r="DP348" s="374"/>
      <c r="DQ348" s="374"/>
      <c r="DR348" s="374"/>
      <c r="DS348" s="374"/>
      <c r="DT348" s="374"/>
      <c r="DU348" s="374"/>
      <c r="DV348" s="374"/>
      <c r="DW348" s="374"/>
      <c r="DX348" s="374"/>
      <c r="DY348" s="450"/>
      <c r="DZ348" s="374">
        <f t="shared" si="190"/>
        <v>0</v>
      </c>
      <c r="EA348" s="216">
        <f t="shared" si="191"/>
        <v>0</v>
      </c>
      <c r="EB348" s="320">
        <f t="shared" si="192"/>
        <v>0</v>
      </c>
      <c r="EC348" s="241">
        <f t="shared" si="193"/>
        <v>0</v>
      </c>
      <c r="ED348" s="241">
        <f t="shared" si="194"/>
        <v>0</v>
      </c>
      <c r="EE348" s="241">
        <f t="shared" si="195"/>
        <v>0</v>
      </c>
      <c r="EF348" s="241">
        <f t="shared" si="196"/>
        <v>0</v>
      </c>
      <c r="EG348" s="346">
        <f t="shared" si="197"/>
        <v>0</v>
      </c>
      <c r="EH348" s="445">
        <f t="shared" si="198"/>
        <v>0</v>
      </c>
      <c r="EI348" s="447">
        <f t="shared" si="199"/>
        <v>0</v>
      </c>
      <c r="EJ348" s="364">
        <f t="shared" si="200"/>
        <v>0</v>
      </c>
      <c r="EK348" s="365">
        <f t="shared" si="201"/>
        <v>0</v>
      </c>
      <c r="EL348" s="529">
        <f t="shared" si="202"/>
        <v>0</v>
      </c>
      <c r="EM348" s="530">
        <v>0</v>
      </c>
      <c r="EN348" s="530">
        <v>0</v>
      </c>
      <c r="EO348" s="530">
        <v>0</v>
      </c>
      <c r="EP348" s="530">
        <v>0</v>
      </c>
      <c r="EQ348" s="530">
        <v>0</v>
      </c>
      <c r="ER348" s="530">
        <v>0</v>
      </c>
      <c r="ES348" s="530">
        <v>0</v>
      </c>
      <c r="ET348" s="530">
        <v>0</v>
      </c>
      <c r="EU348" s="530">
        <v>0</v>
      </c>
      <c r="EV348" s="530">
        <v>0</v>
      </c>
      <c r="EW348" s="530">
        <v>0</v>
      </c>
      <c r="EX348" s="530">
        <v>0</v>
      </c>
      <c r="EY348" s="530">
        <f t="shared" si="203"/>
        <v>0</v>
      </c>
      <c r="EZ348" s="530">
        <f t="shared" si="204"/>
        <v>0</v>
      </c>
      <c r="FA348" s="530">
        <f t="shared" si="205"/>
        <v>0</v>
      </c>
      <c r="FB348" s="530">
        <f t="shared" si="206"/>
        <v>0</v>
      </c>
      <c r="FC348" s="384" t="str">
        <f>IFERROR(VLOOKUP(Capex!A369,BASE_558!D:R,8,FALSE)/1000,"")</f>
        <v/>
      </c>
      <c r="FD348" s="328" t="str">
        <f>IFERROR(VLOOKUP(Capex!A369,BASE_558!D:R,9,)/1000,"")</f>
        <v/>
      </c>
      <c r="FE348" s="328" t="str">
        <f>IFERROR(IF(LEFT(A348,3)="LCP",(VLOOKUP(Capex!A369,BASE_558!D:R,10,)/1000),SUMIFS('BASE ICP_PO_SC'!F:F,'BASE ICP_PO_SC'!A:A,Capex!A369,'BASE ICP_PO_SC'!E:E,"&lt;&gt;")/1000),"")</f>
        <v/>
      </c>
      <c r="FF348" s="328" t="str">
        <f>IFERROR(IF(LEFT(A348,3)="LCP",(VLOOKUP(Capex!A369,BASE_558!D:R,11,)/1000),SUMIFS('BASE ICP_PO_SC'!F:F,'BASE ICP_PO_SC'!A:A,Capex!A369,'BASE ICP_PO_SC'!E:E,"")/1000),"")</f>
        <v/>
      </c>
      <c r="FG348" s="328">
        <f>IFERROR(VLOOKUP(A348,BASE_558!D:R,13,FALSE)/1000,"")</f>
        <v>53.535170000000001</v>
      </c>
      <c r="FH348" s="328">
        <f>IFERROR(VLOOKUP(A348,BASE_558!D:R,15,FALSE)/1000,"")</f>
        <v>1.11483</v>
      </c>
      <c r="FI348" s="547">
        <f t="shared" si="207"/>
        <v>0</v>
      </c>
      <c r="FJ348" s="547">
        <f t="shared" si="208"/>
        <v>0</v>
      </c>
      <c r="FK348" s="540">
        <f t="shared" si="209"/>
        <v>0</v>
      </c>
    </row>
    <row r="349" spans="1:167" s="23" customFormat="1" ht="24" customHeight="1">
      <c r="A349" s="310" t="s">
        <v>2774</v>
      </c>
      <c r="B349" s="404"/>
      <c r="C349" s="404"/>
      <c r="D349" s="338"/>
      <c r="E349" s="378"/>
      <c r="F349" s="5"/>
      <c r="G349" s="310" t="s">
        <v>9</v>
      </c>
      <c r="H349" s="338"/>
      <c r="I349" s="356"/>
      <c r="J349" s="356">
        <v>2024</v>
      </c>
      <c r="K349" s="321"/>
      <c r="L349" s="317">
        <v>45502</v>
      </c>
      <c r="M349" s="409"/>
      <c r="N349" s="317" t="str">
        <f t="shared" si="212"/>
        <v/>
      </c>
      <c r="O349" s="317" t="str">
        <f t="shared" si="213"/>
        <v/>
      </c>
      <c r="P349" s="418" t="str">
        <f t="shared" si="211"/>
        <v>N/A</v>
      </c>
      <c r="Q349" s="418" t="str">
        <f t="shared" si="211"/>
        <v>N/A</v>
      </c>
      <c r="R349" s="418" t="str">
        <f t="shared" si="211"/>
        <v>N/A</v>
      </c>
      <c r="S349" s="418" t="str">
        <f t="shared" si="211"/>
        <v>N/A</v>
      </c>
      <c r="T349" s="418" t="str">
        <f t="shared" si="211"/>
        <v>N/A</v>
      </c>
      <c r="U349" s="418" t="str">
        <f t="shared" si="211"/>
        <v>N/A</v>
      </c>
      <c r="V349" s="418" t="str">
        <f t="shared" si="211"/>
        <v>N/A</v>
      </c>
      <c r="W349" s="418" t="str">
        <f t="shared" si="211"/>
        <v>N/A</v>
      </c>
      <c r="X349" s="418" t="str">
        <f t="shared" si="211"/>
        <v>N/A</v>
      </c>
      <c r="Y349" s="418" t="str">
        <f t="shared" si="211"/>
        <v>N/A</v>
      </c>
      <c r="Z349" s="418" t="str">
        <f t="shared" si="211"/>
        <v>N/A</v>
      </c>
      <c r="AA349" s="418" t="str">
        <f t="shared" si="211"/>
        <v>N/A</v>
      </c>
      <c r="AB349" s="350"/>
      <c r="AC349" s="309" t="s">
        <v>3930</v>
      </c>
      <c r="AD349" s="311"/>
      <c r="AE349" s="382"/>
      <c r="AF349" s="310" t="s">
        <v>6985</v>
      </c>
      <c r="AG349" s="310" t="s">
        <v>2485</v>
      </c>
      <c r="AH349" s="310" t="s">
        <v>2510</v>
      </c>
      <c r="AI349" s="381" t="s">
        <v>188</v>
      </c>
      <c r="AJ349" s="6" t="s">
        <v>218</v>
      </c>
      <c r="AK349" s="6" t="str">
        <f t="shared" si="187"/>
        <v>IGUAL</v>
      </c>
      <c r="AL349" s="151" t="str">
        <f>IFERROR(IF(LEFT(A349,3)="LCP",VLOOKUP(A349,STATUS_SAP_LCP!B:C,2,FALSE),VLOOKUP(A349,STATUS_SAP_ICP!B:C,2,FALSE)),"NO BUDGET")</f>
        <v>CLSD AUC   //  INIT BNRL EXPL</v>
      </c>
      <c r="AM349" s="6" t="str">
        <f t="shared" si="185"/>
        <v>CLSD</v>
      </c>
      <c r="AN349" s="429" t="s">
        <v>557</v>
      </c>
      <c r="AO349" s="558">
        <v>1</v>
      </c>
      <c r="AP349" s="499" t="s">
        <v>9618</v>
      </c>
      <c r="AQ349" s="465">
        <v>45502</v>
      </c>
      <c r="AR349" s="460"/>
      <c r="AS349" s="57"/>
      <c r="AT349" s="185"/>
      <c r="AU349" s="318"/>
      <c r="AV349" s="223"/>
      <c r="AW349" s="318"/>
      <c r="AX349" s="223">
        <v>0</v>
      </c>
      <c r="AY349" s="318">
        <f t="shared" si="214"/>
        <v>0</v>
      </c>
      <c r="AZ349" s="223"/>
      <c r="BA349" s="318"/>
      <c r="BB349" s="519">
        <f t="shared" si="215"/>
        <v>0</v>
      </c>
      <c r="BC349" s="518"/>
      <c r="BD349" s="518"/>
      <c r="BE349" s="518"/>
      <c r="BF349" s="518"/>
      <c r="BG349" s="518"/>
      <c r="BH349" s="518"/>
      <c r="BI349" s="518"/>
      <c r="BJ349" s="518"/>
      <c r="BK349" s="518"/>
      <c r="BL349" s="518"/>
      <c r="BM349" s="518"/>
      <c r="BN349" s="518"/>
      <c r="BO349" s="367">
        <f t="shared" si="188"/>
        <v>0</v>
      </c>
      <c r="BP349" s="421"/>
      <c r="BQ349" s="422"/>
      <c r="BR349" s="423">
        <f>IFERROR(IF(LEFT($A349,3)="Lcp",SUMIFS('BASE-LCP'!$K:$K,'BASE-LCP'!$A:$A,Capex!$A370,'BASE-LCP'!$B:$B,"janeiro")/1000,IF(LEFT($A349,3)="icp",SUMIFS('BASE-ICP'!$K:$K,'BASE-ICP'!$A:$A,Capex!$A370,'BASE-ICP'!$B:$B,"janeiro")/1000,"")),"")</f>
        <v>0</v>
      </c>
      <c r="BS349" s="427">
        <v>0</v>
      </c>
      <c r="BT349" s="372">
        <v>0</v>
      </c>
      <c r="BU349" s="422"/>
      <c r="BV349" s="423">
        <f>IFERROR(IF(LEFT($A349,3)="Lcp",SUMIFS('BASE-LCP'!$K:$K,'BASE-LCP'!$A:$A,Capex!$A370,'BASE-LCP'!$B:$B,"fevereiro")/1000,IF(LEFT($A349,3)="icp",SUMIFS('BASE-ICP'!$K:$K,'BASE-ICP'!$A:$A,Capex!$A370,'BASE-ICP'!$B:$B,"fevereiro")/1000,"")),"")</f>
        <v>0</v>
      </c>
      <c r="BW349" s="427">
        <v>0</v>
      </c>
      <c r="BX349" s="372">
        <v>0</v>
      </c>
      <c r="BY349" s="419"/>
      <c r="BZ349" s="423">
        <f>IFERROR(IF(LEFT($A349,3)="Lcp",SUMIFS('BASE-LCP'!$K:$K,'BASE-LCP'!$A:$A,Capex!$A370,'BASE-LCP'!$B:$B,"março")/1000,IF(LEFT($A349,3)="icp",SUMIFS('BASE-ICP'!$K:$K,'BASE-ICP'!$A:$A,Capex!$A370,'BASE-ICP'!$B:$B,"março")/1000,"")),"")</f>
        <v>0</v>
      </c>
      <c r="CA349" s="427">
        <v>0</v>
      </c>
      <c r="CB349" s="372">
        <v>0</v>
      </c>
      <c r="CC349" s="422"/>
      <c r="CD349" s="423">
        <f>IFERROR(IF(LEFT($A349,3)="Lcp",SUMIFS('BASE-LCP'!$K:$K,'BASE-LCP'!$A:$A,Capex!$A370,'BASE-LCP'!$B:$B,"abril")/1000,IF(LEFT($A349,3)="icp",SUMIFS('BASE-ICP'!$K:$K,'BASE-ICP'!$A:$A,Capex!$A370,'BASE-ICP'!$B:$B,"abril")/1000,"")),"")</f>
        <v>0</v>
      </c>
      <c r="CE349" s="427">
        <v>0</v>
      </c>
      <c r="CF349" s="372">
        <v>0</v>
      </c>
      <c r="CG349" s="419"/>
      <c r="CH349" s="423">
        <v>0</v>
      </c>
      <c r="CI349" s="427">
        <v>0</v>
      </c>
      <c r="CJ349" s="372">
        <v>0</v>
      </c>
      <c r="CK349" s="419"/>
      <c r="CL349" s="423">
        <f>IFERROR(IF(LEFT($A349,3)="Lcp",SUMIFS('BASE-LCP'!$K:$K,'BASE-LCP'!$A:$A,Capex!$A370,'BASE-LCP'!$B:$B,"junho")/1000,IF(LEFT($A349,3)="icp",SUMIFS('BASE-ICP'!$K:$K,'BASE-ICP'!$A:$A,Capex!$A370,'BASE-ICP'!$B:$B,"junho")/1000,"")),"")</f>
        <v>0</v>
      </c>
      <c r="CM349" s="427">
        <v>0</v>
      </c>
      <c r="CN349" s="372"/>
      <c r="CO349" s="419"/>
      <c r="CP349" s="423">
        <f>IFERROR(IF(LEFT($A349,3)="Lcp",SUMIFS('BASE-LCP'!$K:$K,'BASE-LCP'!$A:$A,Capex!$A370,'BASE-LCP'!$B:$B,"julho")/1000,IF(LEFT($A349,3)="icp",SUMIFS('BASE-ICP'!$K:$K,'BASE-ICP'!$A:$A,Capex!$A370,'BASE-ICP'!$B:$B,"julho")/1000,"")),"")</f>
        <v>0</v>
      </c>
      <c r="CQ349" s="427">
        <v>0</v>
      </c>
      <c r="CR349" s="372"/>
      <c r="CS349" s="419"/>
      <c r="CT349" s="423">
        <f>IFERROR(IF(LEFT($A349,3)="Lcp",SUMIFS('BASE-LCP'!$K:$K,'BASE-LCP'!$A:$A,Capex!$A370,'BASE-LCP'!$B:$B,"agosto")/1000,IF(LEFT($A349,3)="icp",SUMIFS('BASE-ICP'!$K:$K,'BASE-ICP'!$A:$A,Capex!$A370,'BASE-ICP'!$B:$B,"agosto")/1000,"")),"")</f>
        <v>0</v>
      </c>
      <c r="CU349" s="427">
        <v>0</v>
      </c>
      <c r="CV349" s="372"/>
      <c r="CW349" s="419"/>
      <c r="CX349" s="423">
        <f>IFERROR(IF(LEFT($A349,3)="Lcp",SUMIFS('BASE-LCP'!$K:$K,'BASE-LCP'!$A:$A,Capex!$A370,'BASE-LCP'!$B:$B,"setembro")/1000,IF(LEFT($A349,3)="icp",SUMIFS('BASE-ICP'!$K:$K,'BASE-ICP'!$A:$A,Capex!$A370,'BASE-ICP'!$B:$B,"setembro")/1000,"")),"")</f>
        <v>0</v>
      </c>
      <c r="CY349" s="427">
        <v>0</v>
      </c>
      <c r="CZ349" s="372"/>
      <c r="DA349" s="419"/>
      <c r="DB349" s="423">
        <f>IFERROR(IF(LEFT($A349,3)="Lcp",SUMIFS('BASE-LCP'!$K:$K,'BASE-LCP'!$A:$A,Capex!$A370,'BASE-LCP'!$B:$B,"outubro")/1000,IF(LEFT($A349,3)="icp",SUMIFS('BASE-ICP'!$K:$K,'BASE-ICP'!$A:$A,Capex!$A370,'BASE-ICP'!$B:$B,"outubro")/1000,"")),"")</f>
        <v>0</v>
      </c>
      <c r="DC349" s="427">
        <v>0</v>
      </c>
      <c r="DD349" s="372"/>
      <c r="DE349" s="419"/>
      <c r="DF349" s="423">
        <f>IFERROR(IF(LEFT($A349,3)="Lcp",SUMIFS('BASE-LCP'!$K:$K,'BASE-LCP'!$A:$A,Capex!$A370,'BASE-LCP'!$B:$B,"novembro")/1000,IF(LEFT($A349,3)="icp",SUMIFS('BASE-ICP'!$K:$K,'BASE-ICP'!$A:$A,Capex!$A370,'BASE-ICP'!$B:$B,"novembro")/1000,"")),"")</f>
        <v>0</v>
      </c>
      <c r="DG349" s="427">
        <v>0</v>
      </c>
      <c r="DH349" s="372"/>
      <c r="DI349" s="419"/>
      <c r="DJ349" s="423">
        <f>IFERROR(IF(LEFT($A349,3)="Lcp",SUMIFS('BASE-LCP'!$K:$K,'BASE-LCP'!$A:$A,Capex!$A370,'BASE-LCP'!$B:$B,"dezembro")/1000,IF(LEFT($A349,3)="icp",SUMIFS('BASE-ICP'!$K:$K,'BASE-ICP'!$A:$A,Capex!$A370,'BASE-ICP'!$B:$B,"dezembro")/1000,"")),"")</f>
        <v>0</v>
      </c>
      <c r="DK349" s="427">
        <v>0</v>
      </c>
      <c r="DL349" s="452">
        <f t="shared" si="189"/>
        <v>0</v>
      </c>
      <c r="DM349" s="374"/>
      <c r="DN349" s="374">
        <v>0</v>
      </c>
      <c r="DO349" s="374"/>
      <c r="DP349" s="374"/>
      <c r="DQ349" s="374"/>
      <c r="DR349" s="374"/>
      <c r="DS349" s="374"/>
      <c r="DT349" s="374"/>
      <c r="DU349" s="374"/>
      <c r="DV349" s="374"/>
      <c r="DW349" s="374"/>
      <c r="DX349" s="374"/>
      <c r="DY349" s="450"/>
      <c r="DZ349" s="374">
        <f t="shared" si="190"/>
        <v>0</v>
      </c>
      <c r="EA349" s="216">
        <f t="shared" si="191"/>
        <v>0</v>
      </c>
      <c r="EB349" s="320">
        <f t="shared" si="192"/>
        <v>0</v>
      </c>
      <c r="EC349" s="241">
        <f t="shared" si="193"/>
        <v>0</v>
      </c>
      <c r="ED349" s="241">
        <f t="shared" si="194"/>
        <v>0</v>
      </c>
      <c r="EE349" s="241">
        <f t="shared" si="195"/>
        <v>0</v>
      </c>
      <c r="EF349" s="241">
        <f t="shared" si="196"/>
        <v>0</v>
      </c>
      <c r="EG349" s="346">
        <f t="shared" si="197"/>
        <v>0</v>
      </c>
      <c r="EH349" s="445">
        <f t="shared" si="198"/>
        <v>0</v>
      </c>
      <c r="EI349" s="447">
        <f t="shared" si="199"/>
        <v>0</v>
      </c>
      <c r="EJ349" s="364">
        <f t="shared" si="200"/>
        <v>0</v>
      </c>
      <c r="EK349" s="365">
        <f t="shared" si="201"/>
        <v>0</v>
      </c>
      <c r="EL349" s="529">
        <f t="shared" si="202"/>
        <v>0</v>
      </c>
      <c r="EM349" s="530">
        <v>0</v>
      </c>
      <c r="EN349" s="530">
        <v>0</v>
      </c>
      <c r="EO349" s="530">
        <v>0</v>
      </c>
      <c r="EP349" s="530">
        <v>0</v>
      </c>
      <c r="EQ349" s="530">
        <v>0</v>
      </c>
      <c r="ER349" s="530">
        <v>0</v>
      </c>
      <c r="ES349" s="530">
        <v>0</v>
      </c>
      <c r="ET349" s="530">
        <v>0</v>
      </c>
      <c r="EU349" s="530">
        <v>0</v>
      </c>
      <c r="EV349" s="530">
        <v>0</v>
      </c>
      <c r="EW349" s="530">
        <v>0</v>
      </c>
      <c r="EX349" s="530">
        <v>0</v>
      </c>
      <c r="EY349" s="530">
        <f t="shared" si="203"/>
        <v>0</v>
      </c>
      <c r="EZ349" s="530">
        <f t="shared" si="204"/>
        <v>0</v>
      </c>
      <c r="FA349" s="530">
        <f t="shared" si="205"/>
        <v>0</v>
      </c>
      <c r="FB349" s="530">
        <f t="shared" si="206"/>
        <v>0</v>
      </c>
      <c r="FC349" s="384" t="str">
        <f>IFERROR(VLOOKUP(Capex!A370,BASE_558!D:R,8,FALSE)/1000,"")</f>
        <v/>
      </c>
      <c r="FD349" s="328" t="str">
        <f>IFERROR(VLOOKUP(Capex!A370,BASE_558!D:R,9,)/1000,"")</f>
        <v/>
      </c>
      <c r="FE349" s="328" t="str">
        <f>IFERROR(IF(LEFT(A349,3)="LCP",(VLOOKUP(Capex!A370,BASE_558!D:R,10,)/1000),SUMIFS('BASE ICP_PO_SC'!F:F,'BASE ICP_PO_SC'!A:A,Capex!A370,'BASE ICP_PO_SC'!E:E,"&lt;&gt;")/1000),"")</f>
        <v/>
      </c>
      <c r="FF349" s="328" t="str">
        <f>IFERROR(IF(LEFT(A349,3)="LCP",(VLOOKUP(Capex!A370,BASE_558!D:R,11,)/1000),SUMIFS('BASE ICP_PO_SC'!F:F,'BASE ICP_PO_SC'!A:A,Capex!A370,'BASE ICP_PO_SC'!E:E,"")/1000),"")</f>
        <v/>
      </c>
      <c r="FG349" s="328">
        <f>IFERROR(VLOOKUP(A349,BASE_558!D:R,13,FALSE)/1000,"")</f>
        <v>0</v>
      </c>
      <c r="FH349" s="328">
        <f>IFERROR(VLOOKUP(A349,BASE_558!D:R,15,FALSE)/1000,"")</f>
        <v>0</v>
      </c>
      <c r="FI349" s="547">
        <f t="shared" si="207"/>
        <v>0</v>
      </c>
      <c r="FJ349" s="547">
        <f t="shared" si="208"/>
        <v>0</v>
      </c>
      <c r="FK349" s="540">
        <f t="shared" si="209"/>
        <v>0</v>
      </c>
    </row>
    <row r="350" spans="1:167" s="23" customFormat="1" ht="24" customHeight="1">
      <c r="A350" s="453" t="s">
        <v>2792</v>
      </c>
      <c r="B350" s="404" t="s">
        <v>7030</v>
      </c>
      <c r="C350" s="404" t="s">
        <v>602</v>
      </c>
      <c r="D350" s="338"/>
      <c r="E350" s="309">
        <v>9349404</v>
      </c>
      <c r="F350" s="5"/>
      <c r="G350" s="310" t="s">
        <v>9</v>
      </c>
      <c r="H350" s="356" t="s">
        <v>6</v>
      </c>
      <c r="I350" s="356"/>
      <c r="J350" s="356">
        <v>2024</v>
      </c>
      <c r="K350" s="352">
        <v>45588</v>
      </c>
      <c r="L350" s="324"/>
      <c r="M350" s="409"/>
      <c r="N350" s="317">
        <f t="shared" si="212"/>
        <v>46500</v>
      </c>
      <c r="O350" s="317">
        <f t="shared" si="213"/>
        <v>46865</v>
      </c>
      <c r="P350" s="418" t="str">
        <f t="shared" si="211"/>
        <v>NÃO</v>
      </c>
      <c r="Q350" s="418" t="str">
        <f t="shared" si="211"/>
        <v>NÃO</v>
      </c>
      <c r="R350" s="418" t="str">
        <f t="shared" si="211"/>
        <v>NÃO</v>
      </c>
      <c r="S350" s="418" t="str">
        <f t="shared" si="211"/>
        <v>NÃO</v>
      </c>
      <c r="T350" s="418" t="str">
        <f t="shared" si="211"/>
        <v>NÃO</v>
      </c>
      <c r="U350" s="418" t="str">
        <f t="shared" si="211"/>
        <v>NÃO</v>
      </c>
      <c r="V350" s="418" t="str">
        <f t="shared" si="211"/>
        <v>NÃO</v>
      </c>
      <c r="W350" s="418" t="str">
        <f t="shared" si="211"/>
        <v>NÃO</v>
      </c>
      <c r="X350" s="418" t="str">
        <f t="shared" si="211"/>
        <v>NÃO</v>
      </c>
      <c r="Y350" s="418" t="str">
        <f t="shared" si="211"/>
        <v>NÃO</v>
      </c>
      <c r="Z350" s="418" t="str">
        <f t="shared" si="211"/>
        <v>NÃO</v>
      </c>
      <c r="AA350" s="418" t="str">
        <f t="shared" si="211"/>
        <v>NÃO</v>
      </c>
      <c r="AB350" s="350"/>
      <c r="AC350" s="208" t="s">
        <v>3932</v>
      </c>
      <c r="AD350" s="311" t="s">
        <v>224</v>
      </c>
      <c r="AE350" s="392" t="s">
        <v>957</v>
      </c>
      <c r="AF350" s="310" t="s">
        <v>6985</v>
      </c>
      <c r="AG350" s="458" t="s">
        <v>2238</v>
      </c>
      <c r="AH350" s="514" t="s">
        <v>7020</v>
      </c>
      <c r="AI350" s="546" t="s">
        <v>853</v>
      </c>
      <c r="AJ350" s="6" t="s">
        <v>6786</v>
      </c>
      <c r="AK350" s="6" t="str">
        <f t="shared" si="187"/>
        <v>IGUAL</v>
      </c>
      <c r="AL350" s="151" t="str">
        <f>IFERROR(IF(LEFT(A350,3)="LCP",VLOOKUP(A350,STATUS_SAP_LCP!B:C,2,FALSE),VLOOKUP(A350,STATUS_SAP_ICP!B:C,2,FALSE)),"NO BUDGET")</f>
        <v>REL  BUDG AUC  AVAC  //  APPR BREL EXPL</v>
      </c>
      <c r="AM350" s="6" t="str">
        <f t="shared" si="185"/>
        <v xml:space="preserve">REL </v>
      </c>
      <c r="AN350" s="414" t="s">
        <v>19038</v>
      </c>
      <c r="AO350" s="414"/>
      <c r="AP350" s="499" t="s">
        <v>9616</v>
      </c>
      <c r="AQ350" s="465">
        <v>46357</v>
      </c>
      <c r="AR350" s="460"/>
      <c r="AS350" s="57"/>
      <c r="AT350" s="185"/>
      <c r="AU350" s="318">
        <v>0</v>
      </c>
      <c r="AV350" s="223">
        <v>0</v>
      </c>
      <c r="AW350" s="318">
        <v>0</v>
      </c>
      <c r="AX350" s="223">
        <v>1.75118</v>
      </c>
      <c r="AY350" s="318">
        <f t="shared" si="214"/>
        <v>5777.8633499999996</v>
      </c>
      <c r="AZ350" s="223"/>
      <c r="BA350" s="318"/>
      <c r="BB350" s="519">
        <f t="shared" si="215"/>
        <v>7818.2536972619055</v>
      </c>
      <c r="BC350" s="518">
        <v>0</v>
      </c>
      <c r="BD350" s="518">
        <v>0</v>
      </c>
      <c r="BE350" s="518">
        <v>0</v>
      </c>
      <c r="BF350" s="518">
        <v>2.3243209523809525</v>
      </c>
      <c r="BG350" s="518">
        <v>1986.4962723809524</v>
      </c>
      <c r="BH350" s="518">
        <v>528.99719642857144</v>
      </c>
      <c r="BI350" s="518">
        <v>528.99719642857144</v>
      </c>
      <c r="BJ350" s="518">
        <v>934.26813178571433</v>
      </c>
      <c r="BK350" s="518">
        <v>776.11248107142865</v>
      </c>
      <c r="BL350" s="518">
        <v>1508.8331360714287</v>
      </c>
      <c r="BM350" s="518">
        <v>776.11248107142865</v>
      </c>
      <c r="BN350" s="518">
        <v>776.11248107142865</v>
      </c>
      <c r="BO350" s="367">
        <f t="shared" si="188"/>
        <v>5777.8633499999996</v>
      </c>
      <c r="BP350" s="421">
        <v>0</v>
      </c>
      <c r="BQ350" s="422">
        <v>1.3971300000000002</v>
      </c>
      <c r="BR350" s="423">
        <f>IFERROR(IF(LEFT($A350,3)="Lcp",SUMIFS('BASE-LCP'!$K:$K,'BASE-LCP'!$A:$A,Capex!$A371,'BASE-LCP'!$B:$B,"janeiro")/1000,IF(LEFT($A350,3)="icp",SUMIFS('BASE-ICP'!$K:$K,'BASE-ICP'!$A:$A,Capex!$A371,'BASE-ICP'!$B:$B,"janeiro")/1000,"")),"")</f>
        <v>0</v>
      </c>
      <c r="BS350" s="427">
        <v>1.39713</v>
      </c>
      <c r="BT350" s="372">
        <v>0</v>
      </c>
      <c r="BU350" s="422">
        <v>0.63930999999999993</v>
      </c>
      <c r="BV350" s="423">
        <f>IFERROR(IF(LEFT($A350,3)="Lcp",SUMIFS('BASE-LCP'!$K:$K,'BASE-LCP'!$A:$A,Capex!$A371,'BASE-LCP'!$B:$B,"fevereiro")/1000,IF(LEFT($A350,3)="icp",SUMIFS('BASE-ICP'!$K:$K,'BASE-ICP'!$A:$A,Capex!$A371,'BASE-ICP'!$B:$B,"fevereiro")/1000,"")),"")</f>
        <v>0</v>
      </c>
      <c r="BW350" s="427">
        <v>0.63931000000000004</v>
      </c>
      <c r="BX350" s="372">
        <v>0</v>
      </c>
      <c r="BY350" s="419">
        <v>6.4165000000000001</v>
      </c>
      <c r="BZ350" s="423">
        <f>IFERROR(IF(LEFT($A350,3)="Lcp",SUMIFS('BASE-LCP'!$K:$K,'BASE-LCP'!$A:$A,Capex!$A371,'BASE-LCP'!$B:$B,"março")/1000,IF(LEFT($A350,3)="icp",SUMIFS('BASE-ICP'!$K:$K,'BASE-ICP'!$A:$A,Capex!$A371,'BASE-ICP'!$B:$B,"março")/1000,"")),"")</f>
        <v>0</v>
      </c>
      <c r="CA350" s="427">
        <v>6.4165000000000001</v>
      </c>
      <c r="CB350" s="372">
        <v>4.90052788142442</v>
      </c>
      <c r="CC350" s="422">
        <v>6.7383100000000002</v>
      </c>
      <c r="CD350" s="423">
        <f>IFERROR(IF(LEFT($A350,3)="Lcp",SUMIFS('BASE-LCP'!$K:$K,'BASE-LCP'!$A:$A,Capex!$A371,'BASE-LCP'!$B:$B,"abril")/1000,IF(LEFT($A350,3)="icp",SUMIFS('BASE-ICP'!$K:$K,'BASE-ICP'!$A:$A,Capex!$A371,'BASE-ICP'!$B:$B,"abril")/1000,"")),"")</f>
        <v>0</v>
      </c>
      <c r="CE350" s="427">
        <v>6.7383100000000002</v>
      </c>
      <c r="CF350" s="372"/>
      <c r="CG350" s="419">
        <v>46.979099999999995</v>
      </c>
      <c r="CH350" s="423">
        <v>46.979099999999995</v>
      </c>
      <c r="CI350" s="427">
        <v>46.979099999999995</v>
      </c>
      <c r="CJ350" s="372"/>
      <c r="CK350" s="419"/>
      <c r="CL350" s="423">
        <f>IFERROR(IF(LEFT($A350,3)="Lcp",SUMIFS('BASE-LCP'!$K:$K,'BASE-LCP'!$A:$A,Capex!$A371,'BASE-LCP'!$B:$B,"junho")/1000,IF(LEFT($A350,3)="icp",SUMIFS('BASE-ICP'!$K:$K,'BASE-ICP'!$A:$A,Capex!$A371,'BASE-ICP'!$B:$B,"junho")/1000,"")),"")</f>
        <v>0</v>
      </c>
      <c r="CM350" s="427"/>
      <c r="CN350" s="372"/>
      <c r="CO350" s="419"/>
      <c r="CP350" s="423">
        <f>IFERROR(IF(LEFT($A350,3)="Lcp",SUMIFS('BASE-LCP'!$K:$K,'BASE-LCP'!$A:$A,Capex!$A371,'BASE-LCP'!$B:$B,"julho")/1000,IF(LEFT($A350,3)="icp",SUMIFS('BASE-ICP'!$K:$K,'BASE-ICP'!$A:$A,Capex!$A371,'BASE-ICP'!$B:$B,"julho")/1000,"")),"")</f>
        <v>0</v>
      </c>
      <c r="CQ350" s="427"/>
      <c r="CR350" s="372"/>
      <c r="CS350" s="419"/>
      <c r="CT350" s="423">
        <f>IFERROR(IF(LEFT($A350,3)="Lcp",SUMIFS('BASE-LCP'!$K:$K,'BASE-LCP'!$A:$A,Capex!$A371,'BASE-LCP'!$B:$B,"agosto")/1000,IF(LEFT($A350,3)="icp",SUMIFS('BASE-ICP'!$K:$K,'BASE-ICP'!$A:$A,Capex!$A371,'BASE-ICP'!$B:$B,"agosto")/1000,"")),"")</f>
        <v>0</v>
      </c>
      <c r="CU350" s="427"/>
      <c r="CV350" s="372"/>
      <c r="CW350" s="419"/>
      <c r="CX350" s="423">
        <f>IFERROR(IF(LEFT($A350,3)="Lcp",SUMIFS('BASE-LCP'!$K:$K,'BASE-LCP'!$A:$A,Capex!$A371,'BASE-LCP'!$B:$B,"setembro")/1000,IF(LEFT($A350,3)="icp",SUMIFS('BASE-ICP'!$K:$K,'BASE-ICP'!$A:$A,Capex!$A371,'BASE-ICP'!$B:$B,"setembro")/1000,"")),"")</f>
        <v>0</v>
      </c>
      <c r="CY350" s="427">
        <f>(388.182/2)+(721.221/2)+596.906+(388.182/2)+(721.221/2)+573.026-47</f>
        <v>2232.335</v>
      </c>
      <c r="CZ350" s="372"/>
      <c r="DA350" s="419"/>
      <c r="DB350" s="423">
        <f>IFERROR(IF(LEFT($A350,3)="Lcp",SUMIFS('BASE-LCP'!$K:$K,'BASE-LCP'!$A:$A,Capex!$A371,'BASE-LCP'!$B:$B,"outubro")/1000,IF(LEFT($A350,3)="icp",SUMIFS('BASE-ICP'!$K:$K,'BASE-ICP'!$A:$A,Capex!$A371,'BASE-ICP'!$B:$B,"outubro")/1000,"")),"")</f>
        <v>0</v>
      </c>
      <c r="DC350" s="427">
        <v>1187.307</v>
      </c>
      <c r="DD350" s="372"/>
      <c r="DE350" s="419"/>
      <c r="DF350" s="423">
        <f>IFERROR(IF(LEFT($A350,3)="Lcp",SUMIFS('BASE-LCP'!$K:$K,'BASE-LCP'!$A:$A,Capex!$A371,'BASE-LCP'!$B:$B,"novembro")/1000,IF(LEFT($A350,3)="icp",SUMIFS('BASE-ICP'!$K:$K,'BASE-ICP'!$A:$A,Capex!$A371,'BASE-ICP'!$B:$B,"novembro")/1000,"")),"")</f>
        <v>0</v>
      </c>
      <c r="DG350" s="427">
        <v>778.88199999999995</v>
      </c>
      <c r="DH350" s="372"/>
      <c r="DI350" s="419"/>
      <c r="DJ350" s="423">
        <f>IFERROR(IF(LEFT($A350,3)="Lcp",SUMIFS('BASE-LCP'!$K:$K,'BASE-LCP'!$A:$A,Capex!$A371,'BASE-LCP'!$B:$B,"dezembro")/1000,IF(LEFT($A350,3)="icp",SUMIFS('BASE-ICP'!$K:$K,'BASE-ICP'!$A:$A,Capex!$A371,'BASE-ICP'!$B:$B,"dezembro")/1000,"")),"")</f>
        <v>0</v>
      </c>
      <c r="DK350" s="427">
        <v>1517.1690000000001</v>
      </c>
      <c r="DL350" s="452">
        <f t="shared" si="189"/>
        <v>10800</v>
      </c>
      <c r="DM350" s="374"/>
      <c r="DN350" s="374">
        <f>7500+1500+1800</f>
        <v>10800</v>
      </c>
      <c r="DO350" s="374"/>
      <c r="DP350" s="374"/>
      <c r="DQ350" s="374"/>
      <c r="DR350" s="374"/>
      <c r="DS350" s="374"/>
      <c r="DT350" s="374"/>
      <c r="DU350" s="374"/>
      <c r="DV350" s="374"/>
      <c r="DW350" s="374"/>
      <c r="DX350" s="374"/>
      <c r="DY350" s="450"/>
      <c r="DZ350" s="374">
        <f t="shared" si="190"/>
        <v>10800</v>
      </c>
      <c r="EA350" s="216">
        <f t="shared" si="191"/>
        <v>0</v>
      </c>
      <c r="EB350" s="320">
        <f t="shared" si="192"/>
        <v>0</v>
      </c>
      <c r="EC350" s="241">
        <f t="shared" si="193"/>
        <v>8.4529399999999999</v>
      </c>
      <c r="ED350" s="241">
        <f t="shared" si="194"/>
        <v>53.717409999999994</v>
      </c>
      <c r="EE350" s="241">
        <f t="shared" si="195"/>
        <v>2232.335</v>
      </c>
      <c r="EF350" s="241">
        <f t="shared" si="196"/>
        <v>3483.3580000000002</v>
      </c>
      <c r="EG350" s="346">
        <f t="shared" si="197"/>
        <v>-2040.3903472619058</v>
      </c>
      <c r="EH350" s="445">
        <f t="shared" si="198"/>
        <v>0</v>
      </c>
      <c r="EI350" s="447">
        <f t="shared" si="199"/>
        <v>46.979099999999995</v>
      </c>
      <c r="EJ350" s="364">
        <f t="shared" si="200"/>
        <v>62.170349999999999</v>
      </c>
      <c r="EK350" s="365">
        <f t="shared" si="201"/>
        <v>5715.6929999999993</v>
      </c>
      <c r="EL350" s="529">
        <f t="shared" si="202"/>
        <v>5777.8633499999996</v>
      </c>
      <c r="EM350" s="530">
        <v>1.39713</v>
      </c>
      <c r="EN350" s="530">
        <v>0.63931000000000004</v>
      </c>
      <c r="EO350" s="530">
        <v>6.4165000000000001</v>
      </c>
      <c r="EP350" s="530">
        <v>6.7383100000000002</v>
      </c>
      <c r="EQ350" s="530">
        <v>46.979099999999995</v>
      </c>
      <c r="ER350" s="530">
        <v>0</v>
      </c>
      <c r="ES350" s="530">
        <v>0</v>
      </c>
      <c r="ET350" s="530">
        <v>1080.7275</v>
      </c>
      <c r="EU350" s="530">
        <v>1151.6075000000001</v>
      </c>
      <c r="EV350" s="530">
        <v>1187.307</v>
      </c>
      <c r="EW350" s="530">
        <v>778.88199999999995</v>
      </c>
      <c r="EX350" s="530">
        <v>1517.1690000000001</v>
      </c>
      <c r="EY350" s="530">
        <f t="shared" si="203"/>
        <v>8.4529399999999999</v>
      </c>
      <c r="EZ350" s="530">
        <f t="shared" si="204"/>
        <v>53.717409999999994</v>
      </c>
      <c r="FA350" s="530">
        <f t="shared" si="205"/>
        <v>2232.335</v>
      </c>
      <c r="FB350" s="530">
        <f t="shared" si="206"/>
        <v>3483.3580000000002</v>
      </c>
      <c r="FC350" s="384" t="str">
        <f>IFERROR(VLOOKUP(Capex!A371,BASE_558!D:R,8,FALSE)/1000,"")</f>
        <v/>
      </c>
      <c r="FD350" s="328" t="str">
        <f>IFERROR(VLOOKUP(Capex!A371,BASE_558!D:R,9,)/1000,"")</f>
        <v/>
      </c>
      <c r="FE350" s="328" t="str">
        <f>IFERROR(IF(LEFT(A350,3)="LCP",(VLOOKUP(Capex!A371,BASE_558!D:R,10,)/1000),SUMIFS('BASE ICP_PO_SC'!F:F,'BASE ICP_PO_SC'!A:A,Capex!A371,'BASE ICP_PO_SC'!E:E,"&lt;&gt;")/1000),"")</f>
        <v/>
      </c>
      <c r="FF350" s="328" t="str">
        <f>IFERROR(IF(LEFT(A350,3)="LCP",(VLOOKUP(Capex!A371,BASE_558!D:R,11,)/1000),SUMIFS('BASE ICP_PO_SC'!F:F,'BASE ICP_PO_SC'!A:A,Capex!A371,'BASE ICP_PO_SC'!E:E,"")/1000),"")</f>
        <v/>
      </c>
      <c r="FG350" s="328">
        <f>IFERROR(VLOOKUP(A350,BASE_558!D:R,13,FALSE)/1000,"")</f>
        <v>12571.88207</v>
      </c>
      <c r="FH350" s="328">
        <f>IFERROR(VLOOKUP(A350,BASE_558!D:R,15,FALSE)/1000,"")</f>
        <v>20809.73893</v>
      </c>
      <c r="FI350" s="547">
        <f t="shared" si="207"/>
        <v>0</v>
      </c>
      <c r="FJ350" s="547">
        <f t="shared" si="208"/>
        <v>0</v>
      </c>
      <c r="FK350" s="540">
        <f t="shared" si="209"/>
        <v>0</v>
      </c>
    </row>
    <row r="351" spans="1:167" s="23" customFormat="1" ht="24" customHeight="1">
      <c r="A351" s="309" t="s">
        <v>3211</v>
      </c>
      <c r="B351" s="554" t="s">
        <v>6815</v>
      </c>
      <c r="C351" s="404">
        <v>130</v>
      </c>
      <c r="D351" s="338"/>
      <c r="E351" s="309">
        <v>8912427</v>
      </c>
      <c r="F351" s="5"/>
      <c r="G351" s="310" t="s">
        <v>9</v>
      </c>
      <c r="H351" s="338" t="s">
        <v>6</v>
      </c>
      <c r="I351" s="356"/>
      <c r="J351" s="356">
        <v>2024</v>
      </c>
      <c r="K351" s="352">
        <v>45532</v>
      </c>
      <c r="L351" s="324"/>
      <c r="M351" s="409"/>
      <c r="N351" s="317">
        <f t="shared" si="212"/>
        <v>46444</v>
      </c>
      <c r="O351" s="317">
        <f t="shared" si="213"/>
        <v>46809</v>
      </c>
      <c r="P351" s="418" t="str">
        <f t="shared" si="211"/>
        <v>NÃO</v>
      </c>
      <c r="Q351" s="418" t="str">
        <f t="shared" si="211"/>
        <v>NÃO</v>
      </c>
      <c r="R351" s="418" t="str">
        <f t="shared" si="211"/>
        <v>NÃO</v>
      </c>
      <c r="S351" s="418" t="str">
        <f t="shared" si="211"/>
        <v>NÃO</v>
      </c>
      <c r="T351" s="418" t="str">
        <f t="shared" si="211"/>
        <v>NÃO</v>
      </c>
      <c r="U351" s="418" t="str">
        <f t="shared" si="211"/>
        <v>NÃO</v>
      </c>
      <c r="V351" s="418" t="str">
        <f t="shared" si="211"/>
        <v>NÃO</v>
      </c>
      <c r="W351" s="418" t="str">
        <f t="shared" si="211"/>
        <v>NÃO</v>
      </c>
      <c r="X351" s="418" t="str">
        <f t="shared" si="211"/>
        <v>NÃO</v>
      </c>
      <c r="Y351" s="418" t="str">
        <f t="shared" si="211"/>
        <v>NÃO</v>
      </c>
      <c r="Z351" s="418" t="str">
        <f t="shared" si="211"/>
        <v>NÃO</v>
      </c>
      <c r="AA351" s="418" t="str">
        <f t="shared" si="211"/>
        <v>NÃO</v>
      </c>
      <c r="AB351" s="350"/>
      <c r="AC351" s="309" t="s">
        <v>3932</v>
      </c>
      <c r="AD351" s="311"/>
      <c r="AE351" s="392"/>
      <c r="AF351" s="310" t="s">
        <v>6985</v>
      </c>
      <c r="AG351" s="310" t="s">
        <v>2251</v>
      </c>
      <c r="AH351" s="309" t="s">
        <v>3213</v>
      </c>
      <c r="AI351" s="381" t="s">
        <v>2255</v>
      </c>
      <c r="AJ351" s="6" t="s">
        <v>6786</v>
      </c>
      <c r="AK351" s="6" t="str">
        <f t="shared" si="187"/>
        <v>IGUAL</v>
      </c>
      <c r="AL351" s="151" t="str">
        <f>IFERROR(IF(LEFT(A351,3)="LCP",VLOOKUP(A351,STATUS_SAP_LCP!B:C,2,FALSE),VLOOKUP(A351,STATUS_SAP_ICP!B:C,2,FALSE)),"NO BUDGET")</f>
        <v>REL  BUDG AUC  AVAC  //  APPR BREL EXPL</v>
      </c>
      <c r="AM351" s="6" t="str">
        <f t="shared" si="185"/>
        <v xml:space="preserve">REL </v>
      </c>
      <c r="AN351" s="414" t="s">
        <v>18980</v>
      </c>
      <c r="AO351" s="414"/>
      <c r="AP351" s="499" t="s">
        <v>9616</v>
      </c>
      <c r="AQ351" s="465">
        <v>45960</v>
      </c>
      <c r="AR351" s="460"/>
      <c r="AS351" s="57"/>
      <c r="AT351" s="185"/>
      <c r="AU351" s="318"/>
      <c r="AV351" s="223"/>
      <c r="AW351" s="318"/>
      <c r="AX351" s="223">
        <v>0</v>
      </c>
      <c r="AY351" s="318">
        <f t="shared" si="214"/>
        <v>116.86059999999999</v>
      </c>
      <c r="AZ351" s="223"/>
      <c r="BA351" s="318"/>
      <c r="BB351" s="519">
        <f t="shared" si="215"/>
        <v>130</v>
      </c>
      <c r="BC351" s="518">
        <v>0</v>
      </c>
      <c r="BD351" s="518">
        <v>130</v>
      </c>
      <c r="BE351" s="518">
        <v>0</v>
      </c>
      <c r="BF351" s="518">
        <v>0</v>
      </c>
      <c r="BG351" s="518">
        <v>0</v>
      </c>
      <c r="BH351" s="518">
        <v>0</v>
      </c>
      <c r="BI351" s="518">
        <v>0</v>
      </c>
      <c r="BJ351" s="518">
        <v>0</v>
      </c>
      <c r="BK351" s="518">
        <v>0</v>
      </c>
      <c r="BL351" s="518">
        <v>0</v>
      </c>
      <c r="BM351" s="518">
        <v>0</v>
      </c>
      <c r="BN351" s="518">
        <v>0</v>
      </c>
      <c r="BO351" s="367">
        <f t="shared" si="188"/>
        <v>116.86059999999999</v>
      </c>
      <c r="BP351" s="421">
        <v>0</v>
      </c>
      <c r="BQ351" s="422"/>
      <c r="BR351" s="423">
        <f>IFERROR(IF(LEFT($A351,3)="Lcp",SUMIFS('BASE-LCP'!$K:$K,'BASE-LCP'!$A:$A,Capex!$A372,'BASE-LCP'!$B:$B,"janeiro")/1000,IF(LEFT($A351,3)="icp",SUMIFS('BASE-ICP'!$K:$K,'BASE-ICP'!$A:$A,Capex!$A372,'BASE-ICP'!$B:$B,"janeiro")/1000,"")),"")</f>
        <v>0</v>
      </c>
      <c r="BS351" s="427">
        <v>0</v>
      </c>
      <c r="BT351" s="372">
        <v>0</v>
      </c>
      <c r="BU351" s="422"/>
      <c r="BV351" s="423">
        <f>IFERROR(IF(LEFT($A351,3)="Lcp",SUMIFS('BASE-LCP'!$K:$K,'BASE-LCP'!$A:$A,Capex!$A372,'BASE-LCP'!$B:$B,"fevereiro")/1000,IF(LEFT($A351,3)="icp",SUMIFS('BASE-ICP'!$K:$K,'BASE-ICP'!$A:$A,Capex!$A372,'BASE-ICP'!$B:$B,"fevereiro")/1000,"")),"")</f>
        <v>0</v>
      </c>
      <c r="BW351" s="427">
        <v>0</v>
      </c>
      <c r="BX351" s="372">
        <v>0</v>
      </c>
      <c r="BY351" s="419"/>
      <c r="BZ351" s="423">
        <f>IFERROR(IF(LEFT($A351,3)="Lcp",SUMIFS('BASE-LCP'!$K:$K,'BASE-LCP'!$A:$A,Capex!$A372,'BASE-LCP'!$B:$B,"março")/1000,IF(LEFT($A351,3)="icp",SUMIFS('BASE-ICP'!$K:$K,'BASE-ICP'!$A:$A,Capex!$A372,'BASE-ICP'!$B:$B,"março")/1000,"")),"")</f>
        <v>0</v>
      </c>
      <c r="CA351" s="427">
        <v>0</v>
      </c>
      <c r="CB351" s="372">
        <v>130</v>
      </c>
      <c r="CC351" s="422"/>
      <c r="CD351" s="423">
        <f>IFERROR(IF(LEFT($A351,3)="Lcp",SUMIFS('BASE-LCP'!$K:$K,'BASE-LCP'!$A:$A,Capex!$A372,'BASE-LCP'!$B:$B,"abril")/1000,IF(LEFT($A351,3)="icp",SUMIFS('BASE-ICP'!$K:$K,'BASE-ICP'!$A:$A,Capex!$A372,'BASE-ICP'!$B:$B,"abril")/1000,"")),"")</f>
        <v>0</v>
      </c>
      <c r="CE351" s="427">
        <v>0</v>
      </c>
      <c r="CF351" s="372">
        <v>118.3</v>
      </c>
      <c r="CG351" s="419"/>
      <c r="CH351" s="423">
        <v>0</v>
      </c>
      <c r="CI351" s="427">
        <v>0</v>
      </c>
      <c r="CJ351" s="372">
        <v>118.3</v>
      </c>
      <c r="CK351" s="419">
        <v>116.86060000000001</v>
      </c>
      <c r="CL351" s="423">
        <f>IFERROR(IF(LEFT($A351,3)="Lcp",SUMIFS('BASE-LCP'!$K:$K,'BASE-LCP'!$A:$A,Capex!$A372,'BASE-LCP'!$B:$B,"junho")/1000,IF(LEFT($A351,3)="icp",SUMIFS('BASE-ICP'!$K:$K,'BASE-ICP'!$A:$A,Capex!$A372,'BASE-ICP'!$B:$B,"junho")/1000,"")),"")</f>
        <v>0</v>
      </c>
      <c r="CM351" s="427">
        <v>116.86059999999999</v>
      </c>
      <c r="CN351" s="372"/>
      <c r="CO351" s="419"/>
      <c r="CP351" s="423">
        <f>IFERROR(IF(LEFT($A351,3)="Lcp",SUMIFS('BASE-LCP'!$K:$K,'BASE-LCP'!$A:$A,Capex!$A372,'BASE-LCP'!$B:$B,"julho")/1000,IF(LEFT($A351,3)="icp",SUMIFS('BASE-ICP'!$K:$K,'BASE-ICP'!$A:$A,Capex!$A372,'BASE-ICP'!$B:$B,"julho")/1000,"")),"")</f>
        <v>0</v>
      </c>
      <c r="CQ351" s="427">
        <v>0</v>
      </c>
      <c r="CR351" s="372"/>
      <c r="CS351" s="419"/>
      <c r="CT351" s="423">
        <f>IFERROR(IF(LEFT($A351,3)="Lcp",SUMIFS('BASE-LCP'!$K:$K,'BASE-LCP'!$A:$A,Capex!$A372,'BASE-LCP'!$B:$B,"agosto")/1000,IF(LEFT($A351,3)="icp",SUMIFS('BASE-ICP'!$K:$K,'BASE-ICP'!$A:$A,Capex!$A372,'BASE-ICP'!$B:$B,"agosto")/1000,"")),"")</f>
        <v>0</v>
      </c>
      <c r="CU351" s="427">
        <v>0</v>
      </c>
      <c r="CV351" s="372"/>
      <c r="CW351" s="419"/>
      <c r="CX351" s="423">
        <f>IFERROR(IF(LEFT($A351,3)="Lcp",SUMIFS('BASE-LCP'!$K:$K,'BASE-LCP'!$A:$A,Capex!$A372,'BASE-LCP'!$B:$B,"setembro")/1000,IF(LEFT($A351,3)="icp",SUMIFS('BASE-ICP'!$K:$K,'BASE-ICP'!$A:$A,Capex!$A372,'BASE-ICP'!$B:$B,"setembro")/1000,"")),"")</f>
        <v>0</v>
      </c>
      <c r="CY351" s="427">
        <v>0</v>
      </c>
      <c r="CZ351" s="372"/>
      <c r="DA351" s="419"/>
      <c r="DB351" s="423">
        <f>IFERROR(IF(LEFT($A351,3)="Lcp",SUMIFS('BASE-LCP'!$K:$K,'BASE-LCP'!$A:$A,Capex!$A372,'BASE-LCP'!$B:$B,"outubro")/1000,IF(LEFT($A351,3)="icp",SUMIFS('BASE-ICP'!$K:$K,'BASE-ICP'!$A:$A,Capex!$A372,'BASE-ICP'!$B:$B,"outubro")/1000,"")),"")</f>
        <v>0</v>
      </c>
      <c r="DC351" s="427">
        <v>0</v>
      </c>
      <c r="DD351" s="372"/>
      <c r="DE351" s="419"/>
      <c r="DF351" s="423">
        <f>IFERROR(IF(LEFT($A351,3)="Lcp",SUMIFS('BASE-LCP'!$K:$K,'BASE-LCP'!$A:$A,Capex!$A372,'BASE-LCP'!$B:$B,"novembro")/1000,IF(LEFT($A351,3)="icp",SUMIFS('BASE-ICP'!$K:$K,'BASE-ICP'!$A:$A,Capex!$A372,'BASE-ICP'!$B:$B,"novembro")/1000,"")),"")</f>
        <v>0</v>
      </c>
      <c r="DG351" s="427">
        <v>0</v>
      </c>
      <c r="DH351" s="372"/>
      <c r="DI351" s="419"/>
      <c r="DJ351" s="423">
        <f>IFERROR(IF(LEFT($A351,3)="Lcp",SUMIFS('BASE-LCP'!$K:$K,'BASE-LCP'!$A:$A,Capex!$A372,'BASE-LCP'!$B:$B,"dezembro")/1000,IF(LEFT($A351,3)="icp",SUMIFS('BASE-ICP'!$K:$K,'BASE-ICP'!$A:$A,Capex!$A372,'BASE-ICP'!$B:$B,"dezembro")/1000,"")),"")</f>
        <v>0</v>
      </c>
      <c r="DK351" s="427">
        <v>0</v>
      </c>
      <c r="DL351" s="452">
        <f t="shared" si="189"/>
        <v>0</v>
      </c>
      <c r="DM351" s="374"/>
      <c r="DN351" s="374">
        <v>0</v>
      </c>
      <c r="DO351" s="374"/>
      <c r="DP351" s="374"/>
      <c r="DQ351" s="374"/>
      <c r="DR351" s="374"/>
      <c r="DS351" s="374"/>
      <c r="DT351" s="374"/>
      <c r="DU351" s="374"/>
      <c r="DV351" s="374"/>
      <c r="DW351" s="374"/>
      <c r="DX351" s="374"/>
      <c r="DY351" s="450"/>
      <c r="DZ351" s="374">
        <f t="shared" si="190"/>
        <v>0</v>
      </c>
      <c r="EA351" s="216">
        <f t="shared" si="191"/>
        <v>-1.4394000000000062</v>
      </c>
      <c r="EB351" s="320">
        <f t="shared" si="192"/>
        <v>-116.86059999999999</v>
      </c>
      <c r="EC351" s="241">
        <f t="shared" si="193"/>
        <v>0</v>
      </c>
      <c r="ED351" s="241">
        <f t="shared" si="194"/>
        <v>116.86059999999999</v>
      </c>
      <c r="EE351" s="241">
        <f t="shared" si="195"/>
        <v>0</v>
      </c>
      <c r="EF351" s="241">
        <f t="shared" si="196"/>
        <v>0</v>
      </c>
      <c r="EG351" s="346">
        <f t="shared" si="197"/>
        <v>-13.139400000000009</v>
      </c>
      <c r="EH351" s="445">
        <f t="shared" si="198"/>
        <v>118.3</v>
      </c>
      <c r="EI351" s="447">
        <f t="shared" si="199"/>
        <v>0</v>
      </c>
      <c r="EJ351" s="364">
        <f t="shared" si="200"/>
        <v>0</v>
      </c>
      <c r="EK351" s="365">
        <f t="shared" si="201"/>
        <v>116.86059999999999</v>
      </c>
      <c r="EL351" s="529">
        <f t="shared" si="202"/>
        <v>118.3</v>
      </c>
      <c r="EM351" s="530">
        <v>0</v>
      </c>
      <c r="EN351" s="530">
        <v>0</v>
      </c>
      <c r="EO351" s="530">
        <v>0</v>
      </c>
      <c r="EP351" s="530">
        <v>0</v>
      </c>
      <c r="EQ351" s="530">
        <v>0</v>
      </c>
      <c r="ER351" s="530">
        <v>118.3</v>
      </c>
      <c r="ES351" s="530">
        <v>0</v>
      </c>
      <c r="ET351" s="530">
        <v>0</v>
      </c>
      <c r="EU351" s="530">
        <v>0</v>
      </c>
      <c r="EV351" s="530">
        <v>0</v>
      </c>
      <c r="EW351" s="530">
        <v>0</v>
      </c>
      <c r="EX351" s="530">
        <v>0</v>
      </c>
      <c r="EY351" s="530">
        <f t="shared" si="203"/>
        <v>0</v>
      </c>
      <c r="EZ351" s="530">
        <f t="shared" si="204"/>
        <v>118.3</v>
      </c>
      <c r="FA351" s="530">
        <f t="shared" si="205"/>
        <v>0</v>
      </c>
      <c r="FB351" s="530">
        <f t="shared" si="206"/>
        <v>0</v>
      </c>
      <c r="FC351" s="384" t="str">
        <f>IFERROR(VLOOKUP(Capex!A372,BASE_558!D:R,8,FALSE)/1000,"")</f>
        <v/>
      </c>
      <c r="FD351" s="328" t="str">
        <f>IFERROR(VLOOKUP(Capex!A372,BASE_558!D:R,9,)/1000,"")</f>
        <v/>
      </c>
      <c r="FE351" s="328" t="str">
        <f>IFERROR(IF(LEFT(A351,3)="LCP",(VLOOKUP(Capex!A372,BASE_558!D:R,10,)/1000),SUMIFS('BASE ICP_PO_SC'!F:F,'BASE ICP_PO_SC'!A:A,Capex!A372,'BASE ICP_PO_SC'!E:E,"&lt;&gt;")/1000),"")</f>
        <v/>
      </c>
      <c r="FF351" s="328" t="str">
        <f>IFERROR(IF(LEFT(A351,3)="LCP",(VLOOKUP(Capex!A372,BASE_558!D:R,11,)/1000),SUMIFS('BASE ICP_PO_SC'!F:F,'BASE ICP_PO_SC'!A:A,Capex!A372,'BASE ICP_PO_SC'!E:E,"")/1000),"")</f>
        <v/>
      </c>
      <c r="FG351" s="328">
        <f>IFERROR(VLOOKUP(A351,BASE_558!D:R,13,FALSE)/1000,"")</f>
        <v>116.86060000000001</v>
      </c>
      <c r="FH351" s="328">
        <f>IFERROR(VLOOKUP(A351,BASE_558!D:R,15,FALSE)/1000,"")</f>
        <v>30.0594</v>
      </c>
      <c r="FI351" s="547">
        <f t="shared" si="207"/>
        <v>1.4394000000000062</v>
      </c>
      <c r="FJ351" s="547">
        <f t="shared" si="208"/>
        <v>0</v>
      </c>
      <c r="FK351" s="540">
        <f t="shared" si="209"/>
        <v>0</v>
      </c>
    </row>
    <row r="352" spans="1:167" s="23" customFormat="1" ht="24" customHeight="1">
      <c r="A352" s="310" t="s">
        <v>3232</v>
      </c>
      <c r="B352" s="404"/>
      <c r="C352" s="404"/>
      <c r="D352" s="338"/>
      <c r="E352" s="309"/>
      <c r="F352" s="5"/>
      <c r="G352" s="310" t="s">
        <v>8</v>
      </c>
      <c r="H352" s="495" t="s">
        <v>6</v>
      </c>
      <c r="I352" s="356"/>
      <c r="J352" s="356">
        <v>2024</v>
      </c>
      <c r="K352" s="321"/>
      <c r="L352" s="316"/>
      <c r="M352" s="409"/>
      <c r="N352" s="317" t="str">
        <f t="shared" si="212"/>
        <v/>
      </c>
      <c r="O352" s="317" t="str">
        <f t="shared" si="213"/>
        <v/>
      </c>
      <c r="P352" s="418" t="str">
        <f t="shared" si="211"/>
        <v>N/A</v>
      </c>
      <c r="Q352" s="418" t="str">
        <f t="shared" si="211"/>
        <v>N/A</v>
      </c>
      <c r="R352" s="418" t="str">
        <f t="shared" si="211"/>
        <v>N/A</v>
      </c>
      <c r="S352" s="418" t="str">
        <f t="shared" si="211"/>
        <v>N/A</v>
      </c>
      <c r="T352" s="418" t="str">
        <f t="shared" si="211"/>
        <v>N/A</v>
      </c>
      <c r="U352" s="418" t="str">
        <f t="shared" si="211"/>
        <v>N/A</v>
      </c>
      <c r="V352" s="418" t="str">
        <f t="shared" si="211"/>
        <v>N/A</v>
      </c>
      <c r="W352" s="418" t="str">
        <f t="shared" si="211"/>
        <v>N/A</v>
      </c>
      <c r="X352" s="418" t="str">
        <f t="shared" si="211"/>
        <v>N/A</v>
      </c>
      <c r="Y352" s="418" t="str">
        <f t="shared" si="211"/>
        <v>N/A</v>
      </c>
      <c r="Z352" s="418" t="str">
        <f t="shared" si="211"/>
        <v>N/A</v>
      </c>
      <c r="AA352" s="418" t="str">
        <f t="shared" si="211"/>
        <v>N/A</v>
      </c>
      <c r="AB352" s="350"/>
      <c r="AC352" s="309" t="s">
        <v>2508</v>
      </c>
      <c r="AD352" s="311"/>
      <c r="AE352" s="392"/>
      <c r="AF352" s="310" t="s">
        <v>6985</v>
      </c>
      <c r="AG352" s="310" t="s">
        <v>6882</v>
      </c>
      <c r="AH352" s="310" t="s">
        <v>3234</v>
      </c>
      <c r="AI352" s="309" t="s">
        <v>316</v>
      </c>
      <c r="AJ352" s="6" t="s">
        <v>218</v>
      </c>
      <c r="AK352" s="6" t="str">
        <f t="shared" si="187"/>
        <v>IGUAL</v>
      </c>
      <c r="AL352" s="151" t="str">
        <f>IFERROR(IF(LEFT(A352,3)="LCP",VLOOKUP(A352,STATUS_SAP_LCP!B:C,2,FALSE),VLOOKUP(A352,STATUS_SAP_ICP!B:C,2,FALSE)),"NO BUDGET")</f>
        <v>CLSD AUC   //  RJCD BNRL EXPL</v>
      </c>
      <c r="AM352" s="6" t="str">
        <f t="shared" si="185"/>
        <v>CLSD</v>
      </c>
      <c r="AN352" s="282" t="s">
        <v>557</v>
      </c>
      <c r="AO352" s="557"/>
      <c r="AP352" s="499" t="s">
        <v>9616</v>
      </c>
      <c r="AQ352" s="465">
        <v>46569</v>
      </c>
      <c r="AR352" s="460"/>
      <c r="AS352" s="57"/>
      <c r="AT352" s="185"/>
      <c r="AU352" s="318"/>
      <c r="AV352" s="223"/>
      <c r="AW352" s="318"/>
      <c r="AX352" s="223">
        <v>0</v>
      </c>
      <c r="AY352" s="318">
        <f t="shared" si="214"/>
        <v>0</v>
      </c>
      <c r="AZ352" s="223"/>
      <c r="BA352" s="318"/>
      <c r="BB352" s="519">
        <f t="shared" si="215"/>
        <v>0</v>
      </c>
      <c r="BC352" s="518"/>
      <c r="BD352" s="518"/>
      <c r="BE352" s="518"/>
      <c r="BF352" s="518"/>
      <c r="BG352" s="518"/>
      <c r="BH352" s="518"/>
      <c r="BI352" s="518"/>
      <c r="BJ352" s="518"/>
      <c r="BK352" s="518"/>
      <c r="BL352" s="518"/>
      <c r="BM352" s="518"/>
      <c r="BN352" s="518"/>
      <c r="BO352" s="367">
        <f t="shared" si="188"/>
        <v>0</v>
      </c>
      <c r="BP352" s="421"/>
      <c r="BQ352" s="422"/>
      <c r="BR352" s="423">
        <f>IFERROR(IF(LEFT($A352,3)="Lcp",SUMIFS('BASE-LCP'!$K:$K,'BASE-LCP'!$A:$A,Capex!$A374,'BASE-LCP'!$B:$B,"janeiro")/1000,IF(LEFT($A352,3)="icp",SUMIFS('BASE-ICP'!$K:$K,'BASE-ICP'!$A:$A,Capex!$A374,'BASE-ICP'!$B:$B,"janeiro")/1000,"")),"")</f>
        <v>0</v>
      </c>
      <c r="BS352" s="427">
        <v>0</v>
      </c>
      <c r="BT352" s="372">
        <v>0</v>
      </c>
      <c r="BU352" s="422"/>
      <c r="BV352" s="423">
        <f>IFERROR(IF(LEFT($A352,3)="Lcp",SUMIFS('BASE-LCP'!$K:$K,'BASE-LCP'!$A:$A,Capex!$A374,'BASE-LCP'!$B:$B,"fevereiro")/1000,IF(LEFT($A352,3)="icp",SUMIFS('BASE-ICP'!$K:$K,'BASE-ICP'!$A:$A,Capex!$A374,'BASE-ICP'!$B:$B,"fevereiro")/1000,"")),"")</f>
        <v>0</v>
      </c>
      <c r="BW352" s="427">
        <v>0</v>
      </c>
      <c r="BX352" s="372">
        <v>0</v>
      </c>
      <c r="BY352" s="419"/>
      <c r="BZ352" s="423">
        <f>IFERROR(IF(LEFT($A352,3)="Lcp",SUMIFS('BASE-LCP'!$K:$K,'BASE-LCP'!$A:$A,Capex!$A374,'BASE-LCP'!$B:$B,"março")/1000,IF(LEFT($A352,3)="icp",SUMIFS('BASE-ICP'!$K:$K,'BASE-ICP'!$A:$A,Capex!$A374,'BASE-ICP'!$B:$B,"março")/1000,"")),"")</f>
        <v>0</v>
      </c>
      <c r="CA352" s="427">
        <v>0</v>
      </c>
      <c r="CB352" s="372">
        <v>0</v>
      </c>
      <c r="CC352" s="422"/>
      <c r="CD352" s="423">
        <f>IFERROR(IF(LEFT($A352,3)="Lcp",SUMIFS('BASE-LCP'!$K:$K,'BASE-LCP'!$A:$A,Capex!$A374,'BASE-LCP'!$B:$B,"abril")/1000,IF(LEFT($A352,3)="icp",SUMIFS('BASE-ICP'!$K:$K,'BASE-ICP'!$A:$A,Capex!$A374,'BASE-ICP'!$B:$B,"abril")/1000,"")),"")</f>
        <v>0</v>
      </c>
      <c r="CE352" s="427">
        <v>0</v>
      </c>
      <c r="CF352" s="372">
        <v>0</v>
      </c>
      <c r="CG352" s="419"/>
      <c r="CH352" s="423">
        <v>0</v>
      </c>
      <c r="CI352" s="427">
        <v>0</v>
      </c>
      <c r="CJ352" s="372">
        <v>0</v>
      </c>
      <c r="CK352" s="419"/>
      <c r="CL352" s="423">
        <f>IFERROR(IF(LEFT($A352,3)="Lcp",SUMIFS('BASE-LCP'!$K:$K,'BASE-LCP'!$A:$A,Capex!$A374,'BASE-LCP'!$B:$B,"junho")/1000,IF(LEFT($A352,3)="icp",SUMIFS('BASE-ICP'!$K:$K,'BASE-ICP'!$A:$A,Capex!$A374,'BASE-ICP'!$B:$B,"junho")/1000,"")),"")</f>
        <v>0</v>
      </c>
      <c r="CM352" s="427">
        <v>0</v>
      </c>
      <c r="CN352" s="372"/>
      <c r="CO352" s="419"/>
      <c r="CP352" s="423">
        <f>IFERROR(IF(LEFT($A352,3)="Lcp",SUMIFS('BASE-LCP'!$K:$K,'BASE-LCP'!$A:$A,Capex!$A374,'BASE-LCP'!$B:$B,"julho")/1000,IF(LEFT($A352,3)="icp",SUMIFS('BASE-ICP'!$K:$K,'BASE-ICP'!$A:$A,Capex!$A374,'BASE-ICP'!$B:$B,"julho")/1000,"")),"")</f>
        <v>0</v>
      </c>
      <c r="CQ352" s="427">
        <v>0</v>
      </c>
      <c r="CR352" s="372"/>
      <c r="CS352" s="419"/>
      <c r="CT352" s="423">
        <f>IFERROR(IF(LEFT($A352,3)="Lcp",SUMIFS('BASE-LCP'!$K:$K,'BASE-LCP'!$A:$A,Capex!$A374,'BASE-LCP'!$B:$B,"agosto")/1000,IF(LEFT($A352,3)="icp",SUMIFS('BASE-ICP'!$K:$K,'BASE-ICP'!$A:$A,Capex!$A374,'BASE-ICP'!$B:$B,"agosto")/1000,"")),"")</f>
        <v>0</v>
      </c>
      <c r="CU352" s="427">
        <v>0</v>
      </c>
      <c r="CV352" s="372"/>
      <c r="CW352" s="419"/>
      <c r="CX352" s="423">
        <f>IFERROR(IF(LEFT($A352,3)="Lcp",SUMIFS('BASE-LCP'!$K:$K,'BASE-LCP'!$A:$A,Capex!$A374,'BASE-LCP'!$B:$B,"setembro")/1000,IF(LEFT($A352,3)="icp",SUMIFS('BASE-ICP'!$K:$K,'BASE-ICP'!$A:$A,Capex!$A374,'BASE-ICP'!$B:$B,"setembro")/1000,"")),"")</f>
        <v>0</v>
      </c>
      <c r="CY352" s="427">
        <v>0</v>
      </c>
      <c r="CZ352" s="372"/>
      <c r="DA352" s="419"/>
      <c r="DB352" s="423">
        <f>IFERROR(IF(LEFT($A352,3)="Lcp",SUMIFS('BASE-LCP'!$K:$K,'BASE-LCP'!$A:$A,Capex!$A374,'BASE-LCP'!$B:$B,"outubro")/1000,IF(LEFT($A352,3)="icp",SUMIFS('BASE-ICP'!$K:$K,'BASE-ICP'!$A:$A,Capex!$A374,'BASE-ICP'!$B:$B,"outubro")/1000,"")),"")</f>
        <v>0</v>
      </c>
      <c r="DC352" s="427">
        <v>0</v>
      </c>
      <c r="DD352" s="372"/>
      <c r="DE352" s="419"/>
      <c r="DF352" s="423">
        <f>IFERROR(IF(LEFT($A352,3)="Lcp",SUMIFS('BASE-LCP'!$K:$K,'BASE-LCP'!$A:$A,Capex!$A374,'BASE-LCP'!$B:$B,"novembro")/1000,IF(LEFT($A352,3)="icp",SUMIFS('BASE-ICP'!$K:$K,'BASE-ICP'!$A:$A,Capex!$A374,'BASE-ICP'!$B:$B,"novembro")/1000,"")),"")</f>
        <v>0</v>
      </c>
      <c r="DG352" s="427">
        <v>0</v>
      </c>
      <c r="DH352" s="372"/>
      <c r="DI352" s="419"/>
      <c r="DJ352" s="423">
        <f>IFERROR(IF(LEFT($A352,3)="Lcp",SUMIFS('BASE-LCP'!$K:$K,'BASE-LCP'!$A:$A,Capex!$A374,'BASE-LCP'!$B:$B,"dezembro")/1000,IF(LEFT($A352,3)="icp",SUMIFS('BASE-ICP'!$K:$K,'BASE-ICP'!$A:$A,Capex!$A374,'BASE-ICP'!$B:$B,"dezembro")/1000,"")),"")</f>
        <v>0</v>
      </c>
      <c r="DK352" s="427">
        <v>0</v>
      </c>
      <c r="DL352" s="452">
        <f t="shared" si="189"/>
        <v>0</v>
      </c>
      <c r="DM352" s="374"/>
      <c r="DN352" s="374"/>
      <c r="DO352" s="374"/>
      <c r="DP352" s="374"/>
      <c r="DQ352" s="374"/>
      <c r="DR352" s="374"/>
      <c r="DS352" s="374"/>
      <c r="DT352" s="374"/>
      <c r="DU352" s="374"/>
      <c r="DV352" s="374"/>
      <c r="DW352" s="374"/>
      <c r="DX352" s="374"/>
      <c r="DY352" s="450"/>
      <c r="DZ352" s="374">
        <f t="shared" si="190"/>
        <v>0</v>
      </c>
      <c r="EA352" s="216">
        <f t="shared" si="191"/>
        <v>0</v>
      </c>
      <c r="EB352" s="320">
        <f t="shared" si="192"/>
        <v>0</v>
      </c>
      <c r="EC352" s="241">
        <f t="shared" si="193"/>
        <v>0</v>
      </c>
      <c r="ED352" s="241">
        <f t="shared" si="194"/>
        <v>0</v>
      </c>
      <c r="EE352" s="241">
        <f t="shared" si="195"/>
        <v>0</v>
      </c>
      <c r="EF352" s="241">
        <f t="shared" si="196"/>
        <v>0</v>
      </c>
      <c r="EG352" s="346">
        <f t="shared" si="197"/>
        <v>0</v>
      </c>
      <c r="EH352" s="445">
        <f t="shared" si="198"/>
        <v>0</v>
      </c>
      <c r="EI352" s="447">
        <f t="shared" si="199"/>
        <v>0</v>
      </c>
      <c r="EJ352" s="364">
        <f t="shared" si="200"/>
        <v>0</v>
      </c>
      <c r="EK352" s="365">
        <f t="shared" si="201"/>
        <v>0</v>
      </c>
      <c r="EL352" s="529">
        <f t="shared" si="202"/>
        <v>0</v>
      </c>
      <c r="EM352" s="530">
        <v>0</v>
      </c>
      <c r="EN352" s="530">
        <v>0</v>
      </c>
      <c r="EO352" s="530">
        <v>0</v>
      </c>
      <c r="EP352" s="530">
        <v>0</v>
      </c>
      <c r="EQ352" s="530">
        <v>0</v>
      </c>
      <c r="ER352" s="530">
        <v>0</v>
      </c>
      <c r="ES352" s="530">
        <v>0</v>
      </c>
      <c r="ET352" s="530">
        <v>0</v>
      </c>
      <c r="EU352" s="530">
        <v>0</v>
      </c>
      <c r="EV352" s="530">
        <v>0</v>
      </c>
      <c r="EW352" s="530">
        <v>0</v>
      </c>
      <c r="EX352" s="530">
        <v>0</v>
      </c>
      <c r="EY352" s="530">
        <f t="shared" si="203"/>
        <v>0</v>
      </c>
      <c r="EZ352" s="530">
        <f t="shared" si="204"/>
        <v>0</v>
      </c>
      <c r="FA352" s="530">
        <f t="shared" si="205"/>
        <v>0</v>
      </c>
      <c r="FB352" s="530">
        <f t="shared" si="206"/>
        <v>0</v>
      </c>
      <c r="FC352" s="384" t="str">
        <f>IFERROR(VLOOKUP(Capex!A374,BASE_558!D:R,8,FALSE)/1000,"")</f>
        <v/>
      </c>
      <c r="FD352" s="328" t="str">
        <f>IFERROR(VLOOKUP(Capex!A374,BASE_558!D:R,9,)/1000,"")</f>
        <v/>
      </c>
      <c r="FE352" s="328" t="str">
        <f>IFERROR(IF(LEFT(A352,3)="LCP",(VLOOKUP(Capex!A374,BASE_558!D:R,10,)/1000),SUMIFS('BASE ICP_PO_SC'!F:F,'BASE ICP_PO_SC'!A:A,Capex!A374,'BASE ICP_PO_SC'!E:E,"&lt;&gt;")/1000),"")</f>
        <v/>
      </c>
      <c r="FF352" s="328" t="str">
        <f>IFERROR(IF(LEFT(A352,3)="LCP",(VLOOKUP(Capex!A374,BASE_558!D:R,11,)/1000),SUMIFS('BASE ICP_PO_SC'!F:F,'BASE ICP_PO_SC'!A:A,Capex!A374,'BASE ICP_PO_SC'!E:E,"")/1000),"")</f>
        <v/>
      </c>
      <c r="FG352" s="328">
        <f>IFERROR(VLOOKUP(A352,BASE_558!D:R,13,FALSE)/1000,"")</f>
        <v>0</v>
      </c>
      <c r="FH352" s="328">
        <f>IFERROR(VLOOKUP(A352,BASE_558!D:R,15,FALSE)/1000,"")</f>
        <v>0</v>
      </c>
      <c r="FI352" s="547">
        <f t="shared" si="207"/>
        <v>0</v>
      </c>
      <c r="FJ352" s="547">
        <f t="shared" si="208"/>
        <v>0</v>
      </c>
      <c r="FK352" s="540">
        <f t="shared" si="209"/>
        <v>0</v>
      </c>
    </row>
    <row r="353" spans="1:167" s="23" customFormat="1" ht="24" customHeight="1">
      <c r="A353" s="310" t="s">
        <v>3233</v>
      </c>
      <c r="B353" s="404"/>
      <c r="C353" s="404"/>
      <c r="D353" s="338"/>
      <c r="E353" s="378"/>
      <c r="F353" s="5"/>
      <c r="G353" s="310" t="s">
        <v>8</v>
      </c>
      <c r="H353" s="495" t="s">
        <v>6</v>
      </c>
      <c r="I353" s="356"/>
      <c r="J353" s="356">
        <v>2024</v>
      </c>
      <c r="K353" s="321"/>
      <c r="L353" s="316"/>
      <c r="M353" s="409"/>
      <c r="N353" s="317" t="str">
        <f t="shared" si="212"/>
        <v/>
      </c>
      <c r="O353" s="317" t="str">
        <f t="shared" si="213"/>
        <v/>
      </c>
      <c r="P353" s="418" t="str">
        <f t="shared" si="211"/>
        <v>N/A</v>
      </c>
      <c r="Q353" s="418" t="str">
        <f t="shared" si="211"/>
        <v>N/A</v>
      </c>
      <c r="R353" s="418" t="str">
        <f t="shared" si="211"/>
        <v>N/A</v>
      </c>
      <c r="S353" s="418" t="str">
        <f t="shared" si="211"/>
        <v>N/A</v>
      </c>
      <c r="T353" s="418" t="str">
        <f t="shared" si="211"/>
        <v>N/A</v>
      </c>
      <c r="U353" s="418" t="str">
        <f t="shared" si="211"/>
        <v>N/A</v>
      </c>
      <c r="V353" s="418" t="str">
        <f t="shared" si="211"/>
        <v>N/A</v>
      </c>
      <c r="W353" s="418" t="str">
        <f t="shared" si="211"/>
        <v>N/A</v>
      </c>
      <c r="X353" s="418" t="str">
        <f t="shared" si="211"/>
        <v>N/A</v>
      </c>
      <c r="Y353" s="418" t="str">
        <f t="shared" si="211"/>
        <v>N/A</v>
      </c>
      <c r="Z353" s="418" t="str">
        <f t="shared" si="211"/>
        <v>N/A</v>
      </c>
      <c r="AA353" s="418" t="str">
        <f t="shared" si="211"/>
        <v>N/A</v>
      </c>
      <c r="AB353" s="350"/>
      <c r="AC353" s="309" t="s">
        <v>2508</v>
      </c>
      <c r="AD353" s="311"/>
      <c r="AE353" s="382"/>
      <c r="AF353" s="310" t="s">
        <v>6985</v>
      </c>
      <c r="AG353" s="310" t="s">
        <v>6882</v>
      </c>
      <c r="AH353" s="310" t="s">
        <v>3261</v>
      </c>
      <c r="AI353" s="381" t="s">
        <v>183</v>
      </c>
      <c r="AJ353" s="6" t="s">
        <v>218</v>
      </c>
      <c r="AK353" s="6" t="str">
        <f t="shared" si="187"/>
        <v>IGUAL</v>
      </c>
      <c r="AL353" s="151" t="str">
        <f>IFERROR(IF(LEFT(A353,3)="LCP",VLOOKUP(A353,STATUS_SAP_LCP!B:C,2,FALSE),VLOOKUP(A353,STATUS_SAP_ICP!B:C,2,FALSE)),"NO BUDGET")</f>
        <v>CLSD AUC   //  RJCD BNRL EXPL</v>
      </c>
      <c r="AM353" s="6" t="str">
        <f t="shared" si="185"/>
        <v>CLSD</v>
      </c>
      <c r="AN353" s="414" t="s">
        <v>557</v>
      </c>
      <c r="AO353" s="414"/>
      <c r="AP353" s="499" t="s">
        <v>9616</v>
      </c>
      <c r="AQ353" s="465">
        <v>46357</v>
      </c>
      <c r="AR353" s="460"/>
      <c r="AS353" s="57"/>
      <c r="AT353" s="185"/>
      <c r="AU353" s="318"/>
      <c r="AV353" s="223"/>
      <c r="AW353" s="318"/>
      <c r="AX353" s="223">
        <v>0</v>
      </c>
      <c r="AY353" s="318">
        <f t="shared" si="214"/>
        <v>0</v>
      </c>
      <c r="AZ353" s="223"/>
      <c r="BA353" s="318"/>
      <c r="BB353" s="519">
        <f t="shared" si="215"/>
        <v>0</v>
      </c>
      <c r="BC353" s="518"/>
      <c r="BD353" s="518"/>
      <c r="BE353" s="518"/>
      <c r="BF353" s="518"/>
      <c r="BG353" s="518"/>
      <c r="BH353" s="518"/>
      <c r="BI353" s="518"/>
      <c r="BJ353" s="518"/>
      <c r="BK353" s="518"/>
      <c r="BL353" s="518"/>
      <c r="BM353" s="518"/>
      <c r="BN353" s="518"/>
      <c r="BO353" s="367">
        <f t="shared" si="188"/>
        <v>0</v>
      </c>
      <c r="BP353" s="421"/>
      <c r="BQ353" s="422"/>
      <c r="BR353" s="423">
        <f>IFERROR(IF(LEFT($A353,3)="Lcp",SUMIFS('BASE-LCP'!$K:$K,'BASE-LCP'!$A:$A,Capex!$A375,'BASE-LCP'!$B:$B,"janeiro")/1000,IF(LEFT($A353,3)="icp",SUMIFS('BASE-ICP'!$K:$K,'BASE-ICP'!$A:$A,Capex!$A375,'BASE-ICP'!$B:$B,"janeiro")/1000,"")),"")</f>
        <v>0</v>
      </c>
      <c r="BS353" s="427">
        <v>0</v>
      </c>
      <c r="BT353" s="372">
        <v>0</v>
      </c>
      <c r="BU353" s="422"/>
      <c r="BV353" s="423">
        <f>IFERROR(IF(LEFT($A353,3)="Lcp",SUMIFS('BASE-LCP'!$K:$K,'BASE-LCP'!$A:$A,Capex!$A375,'BASE-LCP'!$B:$B,"fevereiro")/1000,IF(LEFT($A353,3)="icp",SUMIFS('BASE-ICP'!$K:$K,'BASE-ICP'!$A:$A,Capex!$A375,'BASE-ICP'!$B:$B,"fevereiro")/1000,"")),"")</f>
        <v>0</v>
      </c>
      <c r="BW353" s="427">
        <v>0</v>
      </c>
      <c r="BX353" s="372">
        <v>0</v>
      </c>
      <c r="BY353" s="419"/>
      <c r="BZ353" s="423">
        <f>IFERROR(IF(LEFT($A353,3)="Lcp",SUMIFS('BASE-LCP'!$K:$K,'BASE-LCP'!$A:$A,Capex!$A375,'BASE-LCP'!$B:$B,"março")/1000,IF(LEFT($A353,3)="icp",SUMIFS('BASE-ICP'!$K:$K,'BASE-ICP'!$A:$A,Capex!$A375,'BASE-ICP'!$B:$B,"março")/1000,"")),"")</f>
        <v>0</v>
      </c>
      <c r="CA353" s="427">
        <v>0</v>
      </c>
      <c r="CB353" s="372">
        <v>0</v>
      </c>
      <c r="CC353" s="422"/>
      <c r="CD353" s="423">
        <f>IFERROR(IF(LEFT($A353,3)="Lcp",SUMIFS('BASE-LCP'!$K:$K,'BASE-LCP'!$A:$A,Capex!$A375,'BASE-LCP'!$B:$B,"abril")/1000,IF(LEFT($A353,3)="icp",SUMIFS('BASE-ICP'!$K:$K,'BASE-ICP'!$A:$A,Capex!$A375,'BASE-ICP'!$B:$B,"abril")/1000,"")),"")</f>
        <v>0</v>
      </c>
      <c r="CE353" s="427">
        <v>0</v>
      </c>
      <c r="CF353" s="372">
        <v>0</v>
      </c>
      <c r="CG353" s="419"/>
      <c r="CH353" s="423">
        <v>0</v>
      </c>
      <c r="CI353" s="427">
        <v>0</v>
      </c>
      <c r="CJ353" s="372">
        <v>0</v>
      </c>
      <c r="CK353" s="419"/>
      <c r="CL353" s="423">
        <f>IFERROR(IF(LEFT($A353,3)="Lcp",SUMIFS('BASE-LCP'!$K:$K,'BASE-LCP'!$A:$A,Capex!$A375,'BASE-LCP'!$B:$B,"junho")/1000,IF(LEFT($A353,3)="icp",SUMIFS('BASE-ICP'!$K:$K,'BASE-ICP'!$A:$A,Capex!$A375,'BASE-ICP'!$B:$B,"junho")/1000,"")),"")</f>
        <v>0</v>
      </c>
      <c r="CM353" s="427">
        <v>0</v>
      </c>
      <c r="CN353" s="372"/>
      <c r="CO353" s="419"/>
      <c r="CP353" s="423">
        <f>IFERROR(IF(LEFT($A353,3)="Lcp",SUMIFS('BASE-LCP'!$K:$K,'BASE-LCP'!$A:$A,Capex!$A375,'BASE-LCP'!$B:$B,"julho")/1000,IF(LEFT($A353,3)="icp",SUMIFS('BASE-ICP'!$K:$K,'BASE-ICP'!$A:$A,Capex!$A375,'BASE-ICP'!$B:$B,"julho")/1000,"")),"")</f>
        <v>0</v>
      </c>
      <c r="CQ353" s="427">
        <v>0</v>
      </c>
      <c r="CR353" s="372"/>
      <c r="CS353" s="419"/>
      <c r="CT353" s="423">
        <f>IFERROR(IF(LEFT($A353,3)="Lcp",SUMIFS('BASE-LCP'!$K:$K,'BASE-LCP'!$A:$A,Capex!$A375,'BASE-LCP'!$B:$B,"agosto")/1000,IF(LEFT($A353,3)="icp",SUMIFS('BASE-ICP'!$K:$K,'BASE-ICP'!$A:$A,Capex!$A375,'BASE-ICP'!$B:$B,"agosto")/1000,"")),"")</f>
        <v>0</v>
      </c>
      <c r="CU353" s="427">
        <v>0</v>
      </c>
      <c r="CV353" s="372"/>
      <c r="CW353" s="419"/>
      <c r="CX353" s="423">
        <f>IFERROR(IF(LEFT($A353,3)="Lcp",SUMIFS('BASE-LCP'!$K:$K,'BASE-LCP'!$A:$A,Capex!$A375,'BASE-LCP'!$B:$B,"setembro")/1000,IF(LEFT($A353,3)="icp",SUMIFS('BASE-ICP'!$K:$K,'BASE-ICP'!$A:$A,Capex!$A375,'BASE-ICP'!$B:$B,"setembro")/1000,"")),"")</f>
        <v>0</v>
      </c>
      <c r="CY353" s="427">
        <v>0</v>
      </c>
      <c r="CZ353" s="372"/>
      <c r="DA353" s="419"/>
      <c r="DB353" s="423">
        <f>IFERROR(IF(LEFT($A353,3)="Lcp",SUMIFS('BASE-LCP'!$K:$K,'BASE-LCP'!$A:$A,Capex!$A375,'BASE-LCP'!$B:$B,"outubro")/1000,IF(LEFT($A353,3)="icp",SUMIFS('BASE-ICP'!$K:$K,'BASE-ICP'!$A:$A,Capex!$A375,'BASE-ICP'!$B:$B,"outubro")/1000,"")),"")</f>
        <v>0</v>
      </c>
      <c r="DC353" s="427">
        <v>0</v>
      </c>
      <c r="DD353" s="372"/>
      <c r="DE353" s="419"/>
      <c r="DF353" s="423">
        <f>IFERROR(IF(LEFT($A353,3)="Lcp",SUMIFS('BASE-LCP'!$K:$K,'BASE-LCP'!$A:$A,Capex!$A375,'BASE-LCP'!$B:$B,"novembro")/1000,IF(LEFT($A353,3)="icp",SUMIFS('BASE-ICP'!$K:$K,'BASE-ICP'!$A:$A,Capex!$A375,'BASE-ICP'!$B:$B,"novembro")/1000,"")),"")</f>
        <v>0</v>
      </c>
      <c r="DG353" s="427">
        <v>0</v>
      </c>
      <c r="DH353" s="372"/>
      <c r="DI353" s="419"/>
      <c r="DJ353" s="423">
        <f>IFERROR(IF(LEFT($A353,3)="Lcp",SUMIFS('BASE-LCP'!$K:$K,'BASE-LCP'!$A:$A,Capex!$A375,'BASE-LCP'!$B:$B,"dezembro")/1000,IF(LEFT($A353,3)="icp",SUMIFS('BASE-ICP'!$K:$K,'BASE-ICP'!$A:$A,Capex!$A375,'BASE-ICP'!$B:$B,"dezembro")/1000,"")),"")</f>
        <v>0</v>
      </c>
      <c r="DK353" s="427">
        <v>0</v>
      </c>
      <c r="DL353" s="452">
        <f t="shared" si="189"/>
        <v>0</v>
      </c>
      <c r="DM353" s="374"/>
      <c r="DN353" s="374"/>
      <c r="DO353" s="374"/>
      <c r="DP353" s="374"/>
      <c r="DQ353" s="374"/>
      <c r="DR353" s="374"/>
      <c r="DS353" s="374"/>
      <c r="DT353" s="374"/>
      <c r="DU353" s="374"/>
      <c r="DV353" s="374"/>
      <c r="DW353" s="374"/>
      <c r="DX353" s="374"/>
      <c r="DY353" s="450"/>
      <c r="DZ353" s="374">
        <f t="shared" si="190"/>
        <v>0</v>
      </c>
      <c r="EA353" s="216">
        <f t="shared" si="191"/>
        <v>0</v>
      </c>
      <c r="EB353" s="320">
        <f t="shared" si="192"/>
        <v>0</v>
      </c>
      <c r="EC353" s="241">
        <f t="shared" si="193"/>
        <v>0</v>
      </c>
      <c r="ED353" s="241">
        <f t="shared" si="194"/>
        <v>0</v>
      </c>
      <c r="EE353" s="241">
        <f t="shared" si="195"/>
        <v>0</v>
      </c>
      <c r="EF353" s="241">
        <f t="shared" si="196"/>
        <v>0</v>
      </c>
      <c r="EG353" s="346">
        <f t="shared" si="197"/>
        <v>0</v>
      </c>
      <c r="EH353" s="445">
        <f t="shared" si="198"/>
        <v>0</v>
      </c>
      <c r="EI353" s="447">
        <f t="shared" si="199"/>
        <v>0</v>
      </c>
      <c r="EJ353" s="364">
        <f t="shared" si="200"/>
        <v>0</v>
      </c>
      <c r="EK353" s="365">
        <f t="shared" si="201"/>
        <v>0</v>
      </c>
      <c r="EL353" s="529">
        <f t="shared" si="202"/>
        <v>0</v>
      </c>
      <c r="EM353" s="530">
        <v>0</v>
      </c>
      <c r="EN353" s="530">
        <v>0</v>
      </c>
      <c r="EO353" s="530">
        <v>0</v>
      </c>
      <c r="EP353" s="530">
        <v>0</v>
      </c>
      <c r="EQ353" s="530">
        <v>0</v>
      </c>
      <c r="ER353" s="530">
        <v>0</v>
      </c>
      <c r="ES353" s="530">
        <v>0</v>
      </c>
      <c r="ET353" s="530">
        <v>0</v>
      </c>
      <c r="EU353" s="530">
        <v>0</v>
      </c>
      <c r="EV353" s="530">
        <v>0</v>
      </c>
      <c r="EW353" s="530">
        <v>0</v>
      </c>
      <c r="EX353" s="530">
        <v>0</v>
      </c>
      <c r="EY353" s="530">
        <f t="shared" si="203"/>
        <v>0</v>
      </c>
      <c r="EZ353" s="530">
        <f t="shared" si="204"/>
        <v>0</v>
      </c>
      <c r="FA353" s="530">
        <f t="shared" si="205"/>
        <v>0</v>
      </c>
      <c r="FB353" s="530">
        <f t="shared" si="206"/>
        <v>0</v>
      </c>
      <c r="FC353" s="384" t="str">
        <f>IFERROR(VLOOKUP(Capex!A375,BASE_558!D:R,8,FALSE)/1000,"")</f>
        <v/>
      </c>
      <c r="FD353" s="328" t="str">
        <f>IFERROR(VLOOKUP(Capex!A375,BASE_558!D:R,9,)/1000,"")</f>
        <v/>
      </c>
      <c r="FE353" s="328" t="str">
        <f>IFERROR(IF(LEFT(A353,3)="LCP",(VLOOKUP(Capex!A375,BASE_558!D:R,10,)/1000),SUMIFS('BASE ICP_PO_SC'!F:F,'BASE ICP_PO_SC'!A:A,Capex!A375,'BASE ICP_PO_SC'!E:E,"&lt;&gt;")/1000),"")</f>
        <v/>
      </c>
      <c r="FF353" s="328" t="str">
        <f>IFERROR(IF(LEFT(A353,3)="LCP",(VLOOKUP(Capex!A375,BASE_558!D:R,11,)/1000),SUMIFS('BASE ICP_PO_SC'!F:F,'BASE ICP_PO_SC'!A:A,Capex!A375,'BASE ICP_PO_SC'!E:E,"")/1000),"")</f>
        <v/>
      </c>
      <c r="FG353" s="328">
        <f>IFERROR(VLOOKUP(A353,BASE_558!D:R,13,FALSE)/1000,"")</f>
        <v>0</v>
      </c>
      <c r="FH353" s="328">
        <f>IFERROR(VLOOKUP(A353,BASE_558!D:R,15,FALSE)/1000,"")</f>
        <v>0</v>
      </c>
      <c r="FI353" s="547">
        <f t="shared" si="207"/>
        <v>0</v>
      </c>
      <c r="FJ353" s="547">
        <f t="shared" si="208"/>
        <v>0</v>
      </c>
      <c r="FK353" s="540">
        <f t="shared" si="209"/>
        <v>0</v>
      </c>
    </row>
    <row r="354" spans="1:167" s="23" customFormat="1" ht="24" customHeight="1">
      <c r="A354" s="310" t="s">
        <v>8422</v>
      </c>
      <c r="B354" s="404"/>
      <c r="C354" s="404"/>
      <c r="D354" s="338"/>
      <c r="E354" s="378"/>
      <c r="F354" s="5"/>
      <c r="G354" s="310" t="s">
        <v>8</v>
      </c>
      <c r="H354" s="338"/>
      <c r="I354" s="356"/>
      <c r="J354" s="356">
        <v>2025</v>
      </c>
      <c r="K354" s="321">
        <v>45693</v>
      </c>
      <c r="L354" s="316"/>
      <c r="M354" s="409"/>
      <c r="N354" s="317">
        <f t="shared" si="212"/>
        <v>46605</v>
      </c>
      <c r="O354" s="317">
        <f t="shared" si="213"/>
        <v>46970</v>
      </c>
      <c r="P354" s="418" t="str">
        <f t="shared" si="211"/>
        <v>NÃO</v>
      </c>
      <c r="Q354" s="418" t="str">
        <f t="shared" si="211"/>
        <v>NÃO</v>
      </c>
      <c r="R354" s="418" t="str">
        <f t="shared" si="211"/>
        <v>NÃO</v>
      </c>
      <c r="S354" s="418" t="str">
        <f t="shared" si="211"/>
        <v>NÃO</v>
      </c>
      <c r="T354" s="418" t="str">
        <f t="shared" si="211"/>
        <v>NÃO</v>
      </c>
      <c r="U354" s="418" t="str">
        <f t="shared" si="211"/>
        <v>NÃO</v>
      </c>
      <c r="V354" s="418" t="str">
        <f t="shared" si="211"/>
        <v>NÃO</v>
      </c>
      <c r="W354" s="418" t="str">
        <f t="shared" si="211"/>
        <v>NÃO</v>
      </c>
      <c r="X354" s="418" t="str">
        <f t="shared" si="211"/>
        <v>NÃO</v>
      </c>
      <c r="Y354" s="418" t="str">
        <f t="shared" si="211"/>
        <v>NÃO</v>
      </c>
      <c r="Z354" s="418" t="str">
        <f t="shared" si="211"/>
        <v>NÃO</v>
      </c>
      <c r="AA354" s="418" t="str">
        <f t="shared" si="211"/>
        <v>NÃO</v>
      </c>
      <c r="AB354" s="350"/>
      <c r="AC354" s="309" t="s">
        <v>3932</v>
      </c>
      <c r="AD354" s="311"/>
      <c r="AE354" s="382"/>
      <c r="AF354" s="310" t="s">
        <v>6985</v>
      </c>
      <c r="AG354" s="310" t="s">
        <v>2186</v>
      </c>
      <c r="AH354" s="310" t="s">
        <v>8423</v>
      </c>
      <c r="AI354" s="381" t="s">
        <v>316</v>
      </c>
      <c r="AJ354" s="6" t="s">
        <v>6786</v>
      </c>
      <c r="AK354" s="6" t="str">
        <f t="shared" si="187"/>
        <v>IGUAL</v>
      </c>
      <c r="AL354" s="151" t="str">
        <f>IFERROR(IF(LEFT(A354,3)="LCP",VLOOKUP(A354,STATUS_SAP_LCP!B:C,2,FALSE),VLOOKUP(A354,STATUS_SAP_ICP!B:C,2,FALSE)),"NO BUDGET")</f>
        <v>REL  BUDG AUC  AVAC  //  APPR BREL EXPL</v>
      </c>
      <c r="AM354" s="6" t="str">
        <f t="shared" si="185"/>
        <v xml:space="preserve">REL </v>
      </c>
      <c r="AN354" s="414" t="s">
        <v>16156</v>
      </c>
      <c r="AO354" s="414"/>
      <c r="AP354" s="499" t="s">
        <v>9616</v>
      </c>
      <c r="AQ354" s="465">
        <v>46387</v>
      </c>
      <c r="AR354" s="460"/>
      <c r="AS354" s="57"/>
      <c r="AT354" s="185"/>
      <c r="AU354" s="318"/>
      <c r="AV354" s="223"/>
      <c r="AW354" s="318"/>
      <c r="AX354" s="223"/>
      <c r="AY354" s="318">
        <f t="shared" si="214"/>
        <v>0</v>
      </c>
      <c r="AZ354" s="223"/>
      <c r="BA354" s="318"/>
      <c r="BB354" s="519">
        <f t="shared" si="215"/>
        <v>0</v>
      </c>
      <c r="BC354" s="518"/>
      <c r="BD354" s="518"/>
      <c r="BE354" s="518"/>
      <c r="BF354" s="518"/>
      <c r="BG354" s="518"/>
      <c r="BH354" s="518"/>
      <c r="BI354" s="518"/>
      <c r="BJ354" s="518"/>
      <c r="BK354" s="518"/>
      <c r="BL354" s="518"/>
      <c r="BM354" s="518"/>
      <c r="BN354" s="518"/>
      <c r="BO354" s="367">
        <f t="shared" si="188"/>
        <v>0</v>
      </c>
      <c r="BP354" s="421"/>
      <c r="BQ354" s="422"/>
      <c r="BR354" s="423">
        <f>IFERROR(IF(LEFT($A354,3)="Lcp",SUMIFS('BASE-LCP'!$K:$K,'BASE-LCP'!$A:$A,Capex!$A380,'BASE-LCP'!$B:$B,"janeiro")/1000,IF(LEFT($A354,3)="icp",SUMIFS('BASE-ICP'!$K:$K,'BASE-ICP'!$A:$A,Capex!$A380,'BASE-ICP'!$B:$B,"janeiro")/1000,"")),"")</f>
        <v>95.121570000000006</v>
      </c>
      <c r="BS354" s="427"/>
      <c r="BT354" s="372"/>
      <c r="BU354" s="422"/>
      <c r="BV354" s="423">
        <f>IFERROR(IF(LEFT($A354,3)="Lcp",SUMIFS('BASE-LCP'!$K:$K,'BASE-LCP'!$A:$A,Capex!$A380,'BASE-LCP'!$B:$B,"fevereiro")/1000,IF(LEFT($A354,3)="icp",SUMIFS('BASE-ICP'!$K:$K,'BASE-ICP'!$A:$A,Capex!$A380,'BASE-ICP'!$B:$B,"fevereiro")/1000,"")),"")</f>
        <v>615.6171099999998</v>
      </c>
      <c r="BW354" s="427"/>
      <c r="BX354" s="372"/>
      <c r="BY354" s="419"/>
      <c r="BZ354" s="423">
        <f>IFERROR(IF(LEFT($A354,3)="Lcp",SUMIFS('BASE-LCP'!$K:$K,'BASE-LCP'!$A:$A,Capex!$A380,'BASE-LCP'!$B:$B,"março")/1000,IF(LEFT($A354,3)="icp",SUMIFS('BASE-ICP'!$K:$K,'BASE-ICP'!$A:$A,Capex!$A380,'BASE-ICP'!$B:$B,"março")/1000,"")),"")</f>
        <v>64.034400000000005</v>
      </c>
      <c r="CA354" s="427"/>
      <c r="CB354" s="372"/>
      <c r="CC354" s="422"/>
      <c r="CD354" s="423">
        <f>IFERROR(IF(LEFT($A354,3)="Lcp",SUMIFS('BASE-LCP'!$K:$K,'BASE-LCP'!$A:$A,Capex!$A380,'BASE-LCP'!$B:$B,"abril")/1000,IF(LEFT($A354,3)="icp",SUMIFS('BASE-ICP'!$K:$K,'BASE-ICP'!$A:$A,Capex!$A380,'BASE-ICP'!$B:$B,"abril")/1000,"")),"")</f>
        <v>18.55658</v>
      </c>
      <c r="CE354" s="427"/>
      <c r="CF354" s="372"/>
      <c r="CG354" s="419"/>
      <c r="CH354" s="423">
        <v>0</v>
      </c>
      <c r="CI354" s="427"/>
      <c r="CJ354" s="372"/>
      <c r="CK354" s="419"/>
      <c r="CL354" s="423">
        <f>IFERROR(IF(LEFT($A354,3)="Lcp",SUMIFS('BASE-LCP'!$K:$K,'BASE-LCP'!$A:$A,Capex!$A380,'BASE-LCP'!$B:$B,"junho")/1000,IF(LEFT($A354,3)="icp",SUMIFS('BASE-ICP'!$K:$K,'BASE-ICP'!$A:$A,Capex!$A380,'BASE-ICP'!$B:$B,"junho")/1000,"")),"")</f>
        <v>0</v>
      </c>
      <c r="CM354" s="427"/>
      <c r="CN354" s="372"/>
      <c r="CO354" s="419"/>
      <c r="CP354" s="423">
        <f>IFERROR(IF(LEFT($A354,3)="Lcp",SUMIFS('BASE-LCP'!$K:$K,'BASE-LCP'!$A:$A,Capex!$A380,'BASE-LCP'!$B:$B,"julho")/1000,IF(LEFT($A354,3)="icp",SUMIFS('BASE-ICP'!$K:$K,'BASE-ICP'!$A:$A,Capex!$A380,'BASE-ICP'!$B:$B,"julho")/1000,"")),"")</f>
        <v>0</v>
      </c>
      <c r="CQ354" s="427"/>
      <c r="CR354" s="372"/>
      <c r="CS354" s="419"/>
      <c r="CT354" s="423">
        <f>IFERROR(IF(LEFT($A354,3)="Lcp",SUMIFS('BASE-LCP'!$K:$K,'BASE-LCP'!$A:$A,Capex!$A380,'BASE-LCP'!$B:$B,"agosto")/1000,IF(LEFT($A354,3)="icp",SUMIFS('BASE-ICP'!$K:$K,'BASE-ICP'!$A:$A,Capex!$A380,'BASE-ICP'!$B:$B,"agosto")/1000,"")),"")</f>
        <v>0</v>
      </c>
      <c r="CU354" s="427"/>
      <c r="CV354" s="372"/>
      <c r="CW354" s="419"/>
      <c r="CX354" s="423">
        <f>IFERROR(IF(LEFT($A354,3)="Lcp",SUMIFS('BASE-LCP'!$K:$K,'BASE-LCP'!$A:$A,Capex!$A380,'BASE-LCP'!$B:$B,"setembro")/1000,IF(LEFT($A354,3)="icp",SUMIFS('BASE-ICP'!$K:$K,'BASE-ICP'!$A:$A,Capex!$A380,'BASE-ICP'!$B:$B,"setembro")/1000,"")),"")</f>
        <v>0</v>
      </c>
      <c r="CY354" s="427"/>
      <c r="CZ354" s="372"/>
      <c r="DA354" s="419"/>
      <c r="DB354" s="423">
        <f>IFERROR(IF(LEFT($A354,3)="Lcp",SUMIFS('BASE-LCP'!$K:$K,'BASE-LCP'!$A:$A,Capex!$A380,'BASE-LCP'!$B:$B,"outubro")/1000,IF(LEFT($A354,3)="icp",SUMIFS('BASE-ICP'!$K:$K,'BASE-ICP'!$A:$A,Capex!$A380,'BASE-ICP'!$B:$B,"outubro")/1000,"")),"")</f>
        <v>0</v>
      </c>
      <c r="DC354" s="427"/>
      <c r="DD354" s="372"/>
      <c r="DE354" s="419"/>
      <c r="DF354" s="423">
        <f>IFERROR(IF(LEFT($A354,3)="Lcp",SUMIFS('BASE-LCP'!$K:$K,'BASE-LCP'!$A:$A,Capex!$A380,'BASE-LCP'!$B:$B,"novembro")/1000,IF(LEFT($A354,3)="icp",SUMIFS('BASE-ICP'!$K:$K,'BASE-ICP'!$A:$A,Capex!$A380,'BASE-ICP'!$B:$B,"novembro")/1000,"")),"")</f>
        <v>0</v>
      </c>
      <c r="DG354" s="427"/>
      <c r="DH354" s="372"/>
      <c r="DI354" s="419"/>
      <c r="DJ354" s="423">
        <f>IFERROR(IF(LEFT($A354,3)="Lcp",SUMIFS('BASE-LCP'!$K:$K,'BASE-LCP'!$A:$A,Capex!$A380,'BASE-LCP'!$B:$B,"dezembro")/1000,IF(LEFT($A354,3)="icp",SUMIFS('BASE-ICP'!$K:$K,'BASE-ICP'!$A:$A,Capex!$A380,'BASE-ICP'!$B:$B,"dezembro")/1000,"")),"")</f>
        <v>0</v>
      </c>
      <c r="DK354" s="427"/>
      <c r="DL354" s="452">
        <f t="shared" si="189"/>
        <v>550</v>
      </c>
      <c r="DM354" s="374"/>
      <c r="DN354" s="374">
        <v>550</v>
      </c>
      <c r="DO354" s="374"/>
      <c r="DP354" s="374"/>
      <c r="DQ354" s="374"/>
      <c r="DR354" s="374"/>
      <c r="DS354" s="374"/>
      <c r="DT354" s="374"/>
      <c r="DU354" s="374"/>
      <c r="DV354" s="374"/>
      <c r="DW354" s="374"/>
      <c r="DX354" s="374"/>
      <c r="DY354" s="450"/>
      <c r="DZ354" s="374">
        <f t="shared" si="190"/>
        <v>550</v>
      </c>
      <c r="EA354" s="216">
        <f t="shared" si="191"/>
        <v>0</v>
      </c>
      <c r="EB354" s="320">
        <f t="shared" si="192"/>
        <v>0</v>
      </c>
      <c r="EC354" s="241">
        <f t="shared" si="193"/>
        <v>0</v>
      </c>
      <c r="ED354" s="241">
        <f t="shared" si="194"/>
        <v>0</v>
      </c>
      <c r="EE354" s="241">
        <f t="shared" si="195"/>
        <v>0</v>
      </c>
      <c r="EF354" s="241">
        <f t="shared" si="196"/>
        <v>0</v>
      </c>
      <c r="EG354" s="346">
        <f t="shared" si="197"/>
        <v>0</v>
      </c>
      <c r="EH354" s="445">
        <f t="shared" si="198"/>
        <v>0</v>
      </c>
      <c r="EI354" s="447">
        <f t="shared" si="199"/>
        <v>0</v>
      </c>
      <c r="EJ354" s="364">
        <f t="shared" si="200"/>
        <v>0</v>
      </c>
      <c r="EK354" s="365">
        <f t="shared" si="201"/>
        <v>0</v>
      </c>
      <c r="EL354" s="529">
        <f t="shared" si="202"/>
        <v>0</v>
      </c>
      <c r="EM354" s="530">
        <v>0</v>
      </c>
      <c r="EN354" s="530">
        <v>0</v>
      </c>
      <c r="EO354" s="530">
        <v>0</v>
      </c>
      <c r="EP354" s="530">
        <v>0</v>
      </c>
      <c r="EQ354" s="530">
        <v>0</v>
      </c>
      <c r="ER354" s="530">
        <v>0</v>
      </c>
      <c r="ES354" s="530">
        <v>0</v>
      </c>
      <c r="ET354" s="530">
        <v>0</v>
      </c>
      <c r="EU354" s="530">
        <v>0</v>
      </c>
      <c r="EV354" s="530">
        <v>0</v>
      </c>
      <c r="EW354" s="530">
        <v>0</v>
      </c>
      <c r="EX354" s="530">
        <v>0</v>
      </c>
      <c r="EY354" s="530">
        <f t="shared" si="203"/>
        <v>0</v>
      </c>
      <c r="EZ354" s="530">
        <f t="shared" si="204"/>
        <v>0</v>
      </c>
      <c r="FA354" s="530">
        <f t="shared" si="205"/>
        <v>0</v>
      </c>
      <c r="FB354" s="530">
        <f t="shared" si="206"/>
        <v>0</v>
      </c>
      <c r="FC354" s="384">
        <f>IFERROR(VLOOKUP(Capex!A380,BASE_558!D:R,8,FALSE)/1000,"")</f>
        <v>3178.424</v>
      </c>
      <c r="FD354" s="328">
        <f>IFERROR(VLOOKUP(Capex!A380,BASE_558!D:R,9,)/1000,"")</f>
        <v>2303.2143999999998</v>
      </c>
      <c r="FE354" s="328">
        <f>IFERROR(IF(LEFT(A354,3)="LCP",(VLOOKUP(Capex!A380,BASE_558!D:R,10,)/1000),SUMIFS('BASE ICP_PO_SC'!F:F,'BASE ICP_PO_SC'!A:A,Capex!A380,'BASE ICP_PO_SC'!E:E,"&lt;&gt;")/1000),"")</f>
        <v>262.14864</v>
      </c>
      <c r="FF354" s="328">
        <f>IFERROR(IF(LEFT(A354,3)="LCP",(VLOOKUP(Capex!A380,BASE_558!D:R,11,)/1000),SUMIFS('BASE ICP_PO_SC'!F:F,'BASE ICP_PO_SC'!A:A,Capex!A380,'BASE ICP_PO_SC'!E:E,"")/1000),"")</f>
        <v>657</v>
      </c>
      <c r="FG354" s="328">
        <f>IFERROR(VLOOKUP(A354,BASE_558!D:R,13,FALSE)/1000,"")</f>
        <v>0</v>
      </c>
      <c r="FH354" s="328">
        <f>IFERROR(VLOOKUP(A354,BASE_558!D:R,15,FALSE)/1000,"")</f>
        <v>595.471</v>
      </c>
      <c r="FI354" s="547">
        <f t="shared" si="207"/>
        <v>0</v>
      </c>
      <c r="FJ354" s="547">
        <f t="shared" si="208"/>
        <v>0</v>
      </c>
      <c r="FK354" s="540">
        <f t="shared" si="209"/>
        <v>0</v>
      </c>
    </row>
    <row r="355" spans="1:167" s="23" customFormat="1" ht="24" customHeight="1">
      <c r="A355" s="310" t="s">
        <v>6883</v>
      </c>
      <c r="B355" s="404" t="s">
        <v>2256</v>
      </c>
      <c r="C355" s="404"/>
      <c r="D355" s="338"/>
      <c r="E355" s="378">
        <v>9439191</v>
      </c>
      <c r="F355" s="5"/>
      <c r="G355" s="310" t="s">
        <v>8</v>
      </c>
      <c r="H355" s="338"/>
      <c r="I355" s="356"/>
      <c r="J355" s="356">
        <v>2024</v>
      </c>
      <c r="K355" s="321">
        <v>45691</v>
      </c>
      <c r="L355" s="316"/>
      <c r="M355" s="409"/>
      <c r="N355" s="317">
        <f t="shared" si="212"/>
        <v>46603</v>
      </c>
      <c r="O355" s="317">
        <f t="shared" si="213"/>
        <v>46968</v>
      </c>
      <c r="P355" s="418" t="str">
        <f t="shared" ref="P355:AA364" si="216">IF($N355="","N/A",IF($O355="","N/A",IF(P$2&lt;=$N355,"NÃO",IF($AJ355="REL ","SIM",IF(P$2&lt;$O355,"NÃO",IF($AJ355&lt;&gt;"CLSD","SIM","CRTD"))))))</f>
        <v>NÃO</v>
      </c>
      <c r="Q355" s="418" t="str">
        <f t="shared" si="216"/>
        <v>NÃO</v>
      </c>
      <c r="R355" s="418" t="str">
        <f t="shared" si="216"/>
        <v>NÃO</v>
      </c>
      <c r="S355" s="418" t="str">
        <f t="shared" si="216"/>
        <v>NÃO</v>
      </c>
      <c r="T355" s="418" t="str">
        <f t="shared" si="216"/>
        <v>NÃO</v>
      </c>
      <c r="U355" s="418" t="str">
        <f t="shared" si="216"/>
        <v>NÃO</v>
      </c>
      <c r="V355" s="418" t="str">
        <f t="shared" si="216"/>
        <v>NÃO</v>
      </c>
      <c r="W355" s="418" t="str">
        <f t="shared" si="216"/>
        <v>NÃO</v>
      </c>
      <c r="X355" s="418" t="str">
        <f t="shared" si="216"/>
        <v>NÃO</v>
      </c>
      <c r="Y355" s="418" t="str">
        <f t="shared" si="216"/>
        <v>NÃO</v>
      </c>
      <c r="Z355" s="418" t="str">
        <f t="shared" si="216"/>
        <v>NÃO</v>
      </c>
      <c r="AA355" s="418" t="str">
        <f t="shared" si="216"/>
        <v>NÃO</v>
      </c>
      <c r="AB355" s="350"/>
      <c r="AC355" s="309" t="s">
        <v>3932</v>
      </c>
      <c r="AD355" s="311"/>
      <c r="AE355" s="382"/>
      <c r="AF355" s="310" t="s">
        <v>6985</v>
      </c>
      <c r="AG355" s="310" t="s">
        <v>2124</v>
      </c>
      <c r="AH355" s="310" t="s">
        <v>6971</v>
      </c>
      <c r="AI355" s="381" t="s">
        <v>186</v>
      </c>
      <c r="AJ355" s="6" t="s">
        <v>6786</v>
      </c>
      <c r="AK355" s="6" t="str">
        <f t="shared" si="187"/>
        <v>IGUAL</v>
      </c>
      <c r="AL355" s="151" t="str">
        <f>IFERROR(IF(LEFT(A355,3)="LCP",VLOOKUP(A355,STATUS_SAP_LCP!B:C,2,FALSE),VLOOKUP(A355,STATUS_SAP_ICP!B:C,2,FALSE)),"NO BUDGET")</f>
        <v>REL  BUDG AUC  AVAC  //  APPR BREL EXPL</v>
      </c>
      <c r="AM355" s="6" t="str">
        <f t="shared" si="185"/>
        <v xml:space="preserve">REL </v>
      </c>
      <c r="AN355" s="414" t="s">
        <v>17699</v>
      </c>
      <c r="AO355" s="414"/>
      <c r="AP355" s="499" t="s">
        <v>9616</v>
      </c>
      <c r="AQ355" s="465">
        <v>45992</v>
      </c>
      <c r="AR355" s="460"/>
      <c r="AS355" s="57"/>
      <c r="AT355" s="185"/>
      <c r="AU355" s="318"/>
      <c r="AV355" s="223"/>
      <c r="AW355" s="318"/>
      <c r="AX355" s="223">
        <v>0</v>
      </c>
      <c r="AY355" s="318">
        <f t="shared" si="214"/>
        <v>217.30736999999999</v>
      </c>
      <c r="AZ355" s="223"/>
      <c r="BA355" s="318"/>
      <c r="BB355" s="519">
        <f t="shared" si="215"/>
        <v>500</v>
      </c>
      <c r="BC355" s="518">
        <v>0</v>
      </c>
      <c r="BD355" s="518">
        <v>0</v>
      </c>
      <c r="BE355" s="518">
        <v>0</v>
      </c>
      <c r="BF355" s="518">
        <v>30</v>
      </c>
      <c r="BG355" s="518">
        <v>30</v>
      </c>
      <c r="BH355" s="518">
        <v>60</v>
      </c>
      <c r="BI355" s="518">
        <v>50</v>
      </c>
      <c r="BJ355" s="518">
        <v>50</v>
      </c>
      <c r="BK355" s="518">
        <v>50</v>
      </c>
      <c r="BL355" s="518">
        <v>80</v>
      </c>
      <c r="BM355" s="518">
        <v>80</v>
      </c>
      <c r="BN355" s="518">
        <v>70</v>
      </c>
      <c r="BO355" s="367">
        <f t="shared" si="188"/>
        <v>217.30736999999999</v>
      </c>
      <c r="BP355" s="421">
        <v>0</v>
      </c>
      <c r="BQ355" s="422"/>
      <c r="BR355" s="423">
        <f>IFERROR(IF(LEFT($A355,3)="Lcp",SUMIFS('BASE-LCP'!$K:$K,'BASE-LCP'!$A:$A,Capex!$A383,'BASE-LCP'!$B:$B,"janeiro")/1000,IF(LEFT($A355,3)="icp",SUMIFS('BASE-ICP'!$K:$K,'BASE-ICP'!$A:$A,Capex!$A383,'BASE-ICP'!$B:$B,"janeiro")/1000,"")),"")</f>
        <v>0</v>
      </c>
      <c r="BS355" s="427">
        <v>0</v>
      </c>
      <c r="BT355" s="372">
        <v>0</v>
      </c>
      <c r="BU355" s="422">
        <v>7.3073700000000015</v>
      </c>
      <c r="BV355" s="423">
        <f>IFERROR(IF(LEFT($A355,3)="Lcp",SUMIFS('BASE-LCP'!$K:$K,'BASE-LCP'!$A:$A,Capex!$A383,'BASE-LCP'!$B:$B,"fevereiro")/1000,IF(LEFT($A355,3)="icp",SUMIFS('BASE-ICP'!$K:$K,'BASE-ICP'!$A:$A,Capex!$A383,'BASE-ICP'!$B:$B,"fevereiro")/1000,"")),"")</f>
        <v>0</v>
      </c>
      <c r="BW355" s="427">
        <v>7.3073700000000024</v>
      </c>
      <c r="BX355" s="372">
        <v>0</v>
      </c>
      <c r="BY355" s="419"/>
      <c r="BZ355" s="423">
        <f>IFERROR(IF(LEFT($A355,3)="Lcp",SUMIFS('BASE-LCP'!$K:$K,'BASE-LCP'!$A:$A,Capex!$A383,'BASE-LCP'!$B:$B,"março")/1000,IF(LEFT($A355,3)="icp",SUMIFS('BASE-ICP'!$K:$K,'BASE-ICP'!$A:$A,Capex!$A383,'BASE-ICP'!$B:$B,"março")/1000,"")),"")</f>
        <v>0</v>
      </c>
      <c r="CA355" s="427">
        <v>0</v>
      </c>
      <c r="CB355" s="372"/>
      <c r="CC355" s="422"/>
      <c r="CD355" s="423">
        <f>IFERROR(IF(LEFT($A355,3)="Lcp",SUMIFS('BASE-LCP'!$K:$K,'BASE-LCP'!$A:$A,Capex!$A383,'BASE-LCP'!$B:$B,"abril")/1000,IF(LEFT($A355,3)="icp",SUMIFS('BASE-ICP'!$K:$K,'BASE-ICP'!$A:$A,Capex!$A383,'BASE-ICP'!$B:$B,"abril")/1000,"")),"")</f>
        <v>264.75026000000003</v>
      </c>
      <c r="CE355" s="427"/>
      <c r="CF355" s="372"/>
      <c r="CG355" s="419"/>
      <c r="CH355" s="423">
        <v>0</v>
      </c>
      <c r="CI355" s="427"/>
      <c r="CJ355" s="372"/>
      <c r="CK355" s="419"/>
      <c r="CL355" s="423">
        <f>IFERROR(IF(LEFT($A355,3)="Lcp",SUMIFS('BASE-LCP'!$K:$K,'BASE-LCP'!$A:$A,Capex!$A383,'BASE-LCP'!$B:$B,"junho")/1000,IF(LEFT($A355,3)="icp",SUMIFS('BASE-ICP'!$K:$K,'BASE-ICP'!$A:$A,Capex!$A383,'BASE-ICP'!$B:$B,"junho")/1000,"")),"")</f>
        <v>8.5771899999999999</v>
      </c>
      <c r="CM355" s="427">
        <v>0</v>
      </c>
      <c r="CN355" s="372"/>
      <c r="CO355" s="419"/>
      <c r="CP355" s="423">
        <f>IFERROR(IF(LEFT($A355,3)="Lcp",SUMIFS('BASE-LCP'!$K:$K,'BASE-LCP'!$A:$A,Capex!$A383,'BASE-LCP'!$B:$B,"julho")/1000,IF(LEFT($A355,3)="icp",SUMIFS('BASE-ICP'!$K:$K,'BASE-ICP'!$A:$A,Capex!$A383,'BASE-ICP'!$B:$B,"julho")/1000,"")),"")</f>
        <v>0</v>
      </c>
      <c r="CQ355" s="427">
        <v>0</v>
      </c>
      <c r="CR355" s="372"/>
      <c r="CS355" s="419"/>
      <c r="CT355" s="423">
        <f>IFERROR(IF(LEFT($A355,3)="Lcp",SUMIFS('BASE-LCP'!$K:$K,'BASE-LCP'!$A:$A,Capex!$A383,'BASE-LCP'!$B:$B,"agosto")/1000,IF(LEFT($A355,3)="icp",SUMIFS('BASE-ICP'!$K:$K,'BASE-ICP'!$A:$A,Capex!$A383,'BASE-ICP'!$B:$B,"agosto")/1000,"")),"")</f>
        <v>0</v>
      </c>
      <c r="CU355" s="427">
        <v>0</v>
      </c>
      <c r="CV355" s="372"/>
      <c r="CW355" s="419"/>
      <c r="CX355" s="423">
        <f>IFERROR(IF(LEFT($A355,3)="Lcp",SUMIFS('BASE-LCP'!$K:$K,'BASE-LCP'!$A:$A,Capex!$A383,'BASE-LCP'!$B:$B,"setembro")/1000,IF(LEFT($A355,3)="icp",SUMIFS('BASE-ICP'!$K:$K,'BASE-ICP'!$A:$A,Capex!$A383,'BASE-ICP'!$B:$B,"setembro")/1000,"")),"")</f>
        <v>0</v>
      </c>
      <c r="CY355" s="427">
        <v>0</v>
      </c>
      <c r="CZ355" s="372"/>
      <c r="DA355" s="419"/>
      <c r="DB355" s="423">
        <f>IFERROR(IF(LEFT($A355,3)="Lcp",SUMIFS('BASE-LCP'!$K:$K,'BASE-LCP'!$A:$A,Capex!$A383,'BASE-LCP'!$B:$B,"outubro")/1000,IF(LEFT($A355,3)="icp",SUMIFS('BASE-ICP'!$K:$K,'BASE-ICP'!$A:$A,Capex!$A383,'BASE-ICP'!$B:$B,"outubro")/1000,"")),"")</f>
        <v>0</v>
      </c>
      <c r="DC355" s="427">
        <v>0</v>
      </c>
      <c r="DD355" s="372"/>
      <c r="DE355" s="419"/>
      <c r="DF355" s="423">
        <f>IFERROR(IF(LEFT($A355,3)="Lcp",SUMIFS('BASE-LCP'!$K:$K,'BASE-LCP'!$A:$A,Capex!$A383,'BASE-LCP'!$B:$B,"novembro")/1000,IF(LEFT($A355,3)="icp",SUMIFS('BASE-ICP'!$K:$K,'BASE-ICP'!$A:$A,Capex!$A383,'BASE-ICP'!$B:$B,"novembro")/1000,"")),"")</f>
        <v>0</v>
      </c>
      <c r="DG355" s="427">
        <v>110</v>
      </c>
      <c r="DH355" s="372"/>
      <c r="DI355" s="419"/>
      <c r="DJ355" s="423">
        <f>IFERROR(IF(LEFT($A355,3)="Lcp",SUMIFS('BASE-LCP'!$K:$K,'BASE-LCP'!$A:$A,Capex!$A383,'BASE-LCP'!$B:$B,"dezembro")/1000,IF(LEFT($A355,3)="icp",SUMIFS('BASE-ICP'!$K:$K,'BASE-ICP'!$A:$A,Capex!$A383,'BASE-ICP'!$B:$B,"dezembro")/1000,"")),"")</f>
        <v>0</v>
      </c>
      <c r="DK355" s="427">
        <v>100</v>
      </c>
      <c r="DL355" s="452">
        <f t="shared" si="189"/>
        <v>3140</v>
      </c>
      <c r="DM355" s="374"/>
      <c r="DN355" s="374">
        <f>2900+150+90</f>
        <v>3140</v>
      </c>
      <c r="DO355" s="374"/>
      <c r="DP355" s="374"/>
      <c r="DQ355" s="374"/>
      <c r="DR355" s="374"/>
      <c r="DS355" s="374"/>
      <c r="DT355" s="374"/>
      <c r="DU355" s="374"/>
      <c r="DV355" s="374"/>
      <c r="DW355" s="374"/>
      <c r="DX355" s="374"/>
      <c r="DY355" s="450"/>
      <c r="DZ355" s="374">
        <f t="shared" si="190"/>
        <v>3140</v>
      </c>
      <c r="EA355" s="216">
        <f t="shared" si="191"/>
        <v>0</v>
      </c>
      <c r="EB355" s="320">
        <f t="shared" si="192"/>
        <v>8.5771899999999999</v>
      </c>
      <c r="EC355" s="241">
        <f t="shared" si="193"/>
        <v>7.3073700000000024</v>
      </c>
      <c r="ED355" s="241">
        <f t="shared" si="194"/>
        <v>0</v>
      </c>
      <c r="EE355" s="241">
        <f t="shared" si="195"/>
        <v>0</v>
      </c>
      <c r="EF355" s="241">
        <f t="shared" si="196"/>
        <v>210</v>
      </c>
      <c r="EG355" s="346">
        <f t="shared" si="197"/>
        <v>-282.69263000000001</v>
      </c>
      <c r="EH355" s="445">
        <f t="shared" si="198"/>
        <v>0</v>
      </c>
      <c r="EI355" s="447">
        <f t="shared" si="199"/>
        <v>0</v>
      </c>
      <c r="EJ355" s="364">
        <f t="shared" si="200"/>
        <v>15.884560000000002</v>
      </c>
      <c r="EK355" s="365">
        <f t="shared" si="201"/>
        <v>201.42281</v>
      </c>
      <c r="EL355" s="529">
        <f t="shared" si="202"/>
        <v>217.30736999999999</v>
      </c>
      <c r="EM355" s="530">
        <v>0</v>
      </c>
      <c r="EN355" s="530">
        <v>7.3073700000000024</v>
      </c>
      <c r="EO355" s="530">
        <v>0</v>
      </c>
      <c r="EP355" s="530">
        <v>0</v>
      </c>
      <c r="EQ355" s="530">
        <v>0</v>
      </c>
      <c r="ER355" s="530">
        <v>0</v>
      </c>
      <c r="ES355" s="530">
        <v>0</v>
      </c>
      <c r="ET355" s="530">
        <v>0</v>
      </c>
      <c r="EU355" s="530">
        <v>0</v>
      </c>
      <c r="EV355" s="530">
        <v>10</v>
      </c>
      <c r="EW355" s="530">
        <v>100</v>
      </c>
      <c r="EX355" s="530">
        <v>100</v>
      </c>
      <c r="EY355" s="530">
        <f t="shared" si="203"/>
        <v>7.3073700000000024</v>
      </c>
      <c r="EZ355" s="530">
        <f t="shared" si="204"/>
        <v>0</v>
      </c>
      <c r="FA355" s="530">
        <f t="shared" si="205"/>
        <v>0</v>
      </c>
      <c r="FB355" s="530">
        <f t="shared" si="206"/>
        <v>210</v>
      </c>
      <c r="FC355" s="384">
        <f>IFERROR(VLOOKUP(Capex!A383,BASE_558!D:R,8,FALSE)/1000,"")</f>
        <v>385.08499999999998</v>
      </c>
      <c r="FD355" s="328">
        <f>IFERROR(VLOOKUP(Capex!A383,BASE_558!D:R,9,)/1000,"")</f>
        <v>274.74124</v>
      </c>
      <c r="FE355" s="328">
        <f>IFERROR(IF(LEFT(A355,3)="LCP",(VLOOKUP(Capex!A383,BASE_558!D:R,10,)/1000),SUMIFS('BASE ICP_PO_SC'!F:F,'BASE ICP_PO_SC'!A:A,Capex!A383,'BASE ICP_PO_SC'!E:E,"&lt;&gt;")/1000),"")</f>
        <v>2.34185</v>
      </c>
      <c r="FF355" s="328">
        <f>IFERROR(IF(LEFT(A355,3)="LCP",(VLOOKUP(Capex!A383,BASE_558!D:R,11,)/1000),SUMIFS('BASE ICP_PO_SC'!F:F,'BASE ICP_PO_SC'!A:A,Capex!A383,'BASE ICP_PO_SC'!E:E,"")/1000),"")</f>
        <v>0</v>
      </c>
      <c r="FG355" s="328">
        <f>IFERROR(VLOOKUP(A355,BASE_558!D:R,13,FALSE)/1000,"")</f>
        <v>605.70817</v>
      </c>
      <c r="FH355" s="328">
        <f>IFERROR(VLOOKUP(A355,BASE_558!D:R,15,FALSE)/1000,"")</f>
        <v>2846.6658299999999</v>
      </c>
      <c r="FI355" s="547">
        <f t="shared" si="207"/>
        <v>0</v>
      </c>
      <c r="FJ355" s="547">
        <f t="shared" si="208"/>
        <v>0</v>
      </c>
      <c r="FK355" s="540">
        <f t="shared" si="209"/>
        <v>0</v>
      </c>
    </row>
    <row r="356" spans="1:167" s="23" customFormat="1" ht="24" customHeight="1">
      <c r="A356" s="310" t="s">
        <v>7434</v>
      </c>
      <c r="B356" s="404"/>
      <c r="C356" s="404"/>
      <c r="D356" s="338"/>
      <c r="E356" s="378">
        <v>9590894</v>
      </c>
      <c r="F356" s="5"/>
      <c r="G356" s="310" t="s">
        <v>8</v>
      </c>
      <c r="H356" s="338" t="s">
        <v>6</v>
      </c>
      <c r="I356" s="356"/>
      <c r="J356" s="356">
        <v>2024</v>
      </c>
      <c r="K356" s="321">
        <v>45701</v>
      </c>
      <c r="L356" s="316"/>
      <c r="M356" s="409"/>
      <c r="N356" s="317">
        <f t="shared" si="212"/>
        <v>46613</v>
      </c>
      <c r="O356" s="317">
        <f t="shared" si="213"/>
        <v>46978</v>
      </c>
      <c r="P356" s="418" t="str">
        <f t="shared" si="216"/>
        <v>NÃO</v>
      </c>
      <c r="Q356" s="418" t="str">
        <f t="shared" si="216"/>
        <v>NÃO</v>
      </c>
      <c r="R356" s="418" t="str">
        <f t="shared" si="216"/>
        <v>NÃO</v>
      </c>
      <c r="S356" s="418" t="str">
        <f t="shared" si="216"/>
        <v>NÃO</v>
      </c>
      <c r="T356" s="418" t="str">
        <f t="shared" si="216"/>
        <v>NÃO</v>
      </c>
      <c r="U356" s="418" t="str">
        <f t="shared" si="216"/>
        <v>NÃO</v>
      </c>
      <c r="V356" s="418" t="str">
        <f t="shared" si="216"/>
        <v>NÃO</v>
      </c>
      <c r="W356" s="418" t="str">
        <f t="shared" si="216"/>
        <v>NÃO</v>
      </c>
      <c r="X356" s="418" t="str">
        <f t="shared" si="216"/>
        <v>NÃO</v>
      </c>
      <c r="Y356" s="418" t="str">
        <f t="shared" si="216"/>
        <v>NÃO</v>
      </c>
      <c r="Z356" s="418" t="str">
        <f t="shared" si="216"/>
        <v>NÃO</v>
      </c>
      <c r="AA356" s="418" t="str">
        <f t="shared" si="216"/>
        <v>NÃO</v>
      </c>
      <c r="AB356" s="350"/>
      <c r="AC356" s="309" t="s">
        <v>3930</v>
      </c>
      <c r="AD356" s="311"/>
      <c r="AE356" s="382"/>
      <c r="AF356" s="310" t="s">
        <v>6985</v>
      </c>
      <c r="AG356" s="310" t="s">
        <v>2485</v>
      </c>
      <c r="AH356" s="310" t="s">
        <v>7436</v>
      </c>
      <c r="AI356" s="381" t="s">
        <v>188</v>
      </c>
      <c r="AJ356" s="6" t="s">
        <v>6786</v>
      </c>
      <c r="AK356" s="6" t="str">
        <f t="shared" si="187"/>
        <v>IGUAL</v>
      </c>
      <c r="AL356" s="151" t="str">
        <f>IFERROR(IF(LEFT(A356,3)="LCP",VLOOKUP(A356,STATUS_SAP_LCP!B:C,2,FALSE),VLOOKUP(A356,STATUS_SAP_ICP!B:C,2,FALSE)),"NO BUDGET")</f>
        <v>REL  BUDG AUC  AVAC  //  APPR BREL EXPL</v>
      </c>
      <c r="AM356" s="6" t="str">
        <f t="shared" si="185"/>
        <v xml:space="preserve">REL </v>
      </c>
      <c r="AN356" s="414" t="s">
        <v>17632</v>
      </c>
      <c r="AO356" s="414"/>
      <c r="AP356" s="499" t="s">
        <v>9616</v>
      </c>
      <c r="AQ356" s="465">
        <v>45930</v>
      </c>
      <c r="AR356" s="460"/>
      <c r="AS356" s="57"/>
      <c r="AT356" s="185"/>
      <c r="AU356" s="318"/>
      <c r="AV356" s="223"/>
      <c r="AW356" s="318"/>
      <c r="AX356" s="223"/>
      <c r="AY356" s="318">
        <f t="shared" si="214"/>
        <v>20</v>
      </c>
      <c r="AZ356" s="223"/>
      <c r="BA356" s="318"/>
      <c r="BB356" s="519">
        <f t="shared" si="215"/>
        <v>24</v>
      </c>
      <c r="BC356" s="518">
        <v>0</v>
      </c>
      <c r="BD356" s="518">
        <v>0</v>
      </c>
      <c r="BE356" s="518">
        <v>0</v>
      </c>
      <c r="BF356" s="518">
        <v>0</v>
      </c>
      <c r="BG356" s="518">
        <v>0</v>
      </c>
      <c r="BH356" s="518">
        <v>0</v>
      </c>
      <c r="BI356" s="518">
        <v>0</v>
      </c>
      <c r="BJ356" s="518">
        <v>0</v>
      </c>
      <c r="BK356" s="518">
        <v>24</v>
      </c>
      <c r="BL356" s="518">
        <v>0</v>
      </c>
      <c r="BM356" s="518">
        <v>0</v>
      </c>
      <c r="BN356" s="518">
        <v>0</v>
      </c>
      <c r="BO356" s="367">
        <f t="shared" si="188"/>
        <v>20</v>
      </c>
      <c r="BP356" s="421">
        <v>0</v>
      </c>
      <c r="BQ356" s="422"/>
      <c r="BR356" s="423">
        <f>IFERROR(IF(LEFT($A356,3)="Lcp",SUMIFS('BASE-LCP'!$K:$K,'BASE-LCP'!$A:$A,Capex!$A384,'BASE-LCP'!$B:$B,"janeiro")/1000,IF(LEFT($A356,3)="icp",SUMIFS('BASE-ICP'!$K:$K,'BASE-ICP'!$A:$A,Capex!$A384,'BASE-ICP'!$B:$B,"janeiro")/1000,"")),"")</f>
        <v>0</v>
      </c>
      <c r="BS356" s="427"/>
      <c r="BT356" s="372"/>
      <c r="BU356" s="422"/>
      <c r="BV356" s="423">
        <f>IFERROR(IF(LEFT($A356,3)="Lcp",SUMIFS('BASE-LCP'!$K:$K,'BASE-LCP'!$A:$A,Capex!$A384,'BASE-LCP'!$B:$B,"fevereiro")/1000,IF(LEFT($A356,3)="icp",SUMIFS('BASE-ICP'!$K:$K,'BASE-ICP'!$A:$A,Capex!$A384,'BASE-ICP'!$B:$B,"fevereiro")/1000,"")),"")</f>
        <v>0</v>
      </c>
      <c r="BW356" s="427"/>
      <c r="BX356" s="372"/>
      <c r="BY356" s="419"/>
      <c r="BZ356" s="423">
        <f>IFERROR(IF(LEFT($A356,3)="Lcp",SUMIFS('BASE-LCP'!$K:$K,'BASE-LCP'!$A:$A,Capex!$A384,'BASE-LCP'!$B:$B,"março")/1000,IF(LEFT($A356,3)="icp",SUMIFS('BASE-ICP'!$K:$K,'BASE-ICP'!$A:$A,Capex!$A384,'BASE-ICP'!$B:$B,"março")/1000,"")),"")</f>
        <v>0</v>
      </c>
      <c r="CA356" s="427"/>
      <c r="CB356" s="372"/>
      <c r="CC356" s="422"/>
      <c r="CD356" s="423">
        <f>IFERROR(IF(LEFT($A356,3)="Lcp",SUMIFS('BASE-LCP'!$K:$K,'BASE-LCP'!$A:$A,Capex!$A384,'BASE-LCP'!$B:$B,"abril")/1000,IF(LEFT($A356,3)="icp",SUMIFS('BASE-ICP'!$K:$K,'BASE-ICP'!$A:$A,Capex!$A384,'BASE-ICP'!$B:$B,"abril")/1000,"")),"")</f>
        <v>0</v>
      </c>
      <c r="CE356" s="427"/>
      <c r="CF356" s="372"/>
      <c r="CG356" s="419"/>
      <c r="CH356" s="423">
        <v>0</v>
      </c>
      <c r="CI356" s="427"/>
      <c r="CJ356" s="372"/>
      <c r="CK356" s="419"/>
      <c r="CL356" s="423">
        <f>IFERROR(IF(LEFT($A356,3)="Lcp",SUMIFS('BASE-LCP'!$K:$K,'BASE-LCP'!$A:$A,Capex!$A384,'BASE-LCP'!$B:$B,"junho")/1000,IF(LEFT($A356,3)="icp",SUMIFS('BASE-ICP'!$K:$K,'BASE-ICP'!$A:$A,Capex!$A384,'BASE-ICP'!$B:$B,"junho")/1000,"")),"")</f>
        <v>0</v>
      </c>
      <c r="CM356" s="427"/>
      <c r="CN356" s="372"/>
      <c r="CO356" s="419"/>
      <c r="CP356" s="423">
        <f>IFERROR(IF(LEFT($A356,3)="Lcp",SUMIFS('BASE-LCP'!$K:$K,'BASE-LCP'!$A:$A,Capex!$A384,'BASE-LCP'!$B:$B,"julho")/1000,IF(LEFT($A356,3)="icp",SUMIFS('BASE-ICP'!$K:$K,'BASE-ICP'!$A:$A,Capex!$A384,'BASE-ICP'!$B:$B,"julho")/1000,"")),"")</f>
        <v>0</v>
      </c>
      <c r="CQ356" s="427"/>
      <c r="CR356" s="372"/>
      <c r="CS356" s="419"/>
      <c r="CT356" s="423">
        <f>IFERROR(IF(LEFT($A356,3)="Lcp",SUMIFS('BASE-LCP'!$K:$K,'BASE-LCP'!$A:$A,Capex!$A384,'BASE-LCP'!$B:$B,"agosto")/1000,IF(LEFT($A356,3)="icp",SUMIFS('BASE-ICP'!$K:$K,'BASE-ICP'!$A:$A,Capex!$A384,'BASE-ICP'!$B:$B,"agosto")/1000,"")),"")</f>
        <v>0</v>
      </c>
      <c r="CU356" s="427">
        <v>0</v>
      </c>
      <c r="CV356" s="372"/>
      <c r="CW356" s="419"/>
      <c r="CX356" s="423">
        <f>IFERROR(IF(LEFT($A356,3)="Lcp",SUMIFS('BASE-LCP'!$K:$K,'BASE-LCP'!$A:$A,Capex!$A384,'BASE-LCP'!$B:$B,"setembro")/1000,IF(LEFT($A356,3)="icp",SUMIFS('BASE-ICP'!$K:$K,'BASE-ICP'!$A:$A,Capex!$A384,'BASE-ICP'!$B:$B,"setembro")/1000,"")),"")</f>
        <v>0</v>
      </c>
      <c r="CY356" s="427">
        <v>0</v>
      </c>
      <c r="CZ356" s="372"/>
      <c r="DA356" s="419"/>
      <c r="DB356" s="423">
        <f>IFERROR(IF(LEFT($A356,3)="Lcp",SUMIFS('BASE-LCP'!$K:$K,'BASE-LCP'!$A:$A,Capex!$A384,'BASE-LCP'!$B:$B,"outubro")/1000,IF(LEFT($A356,3)="icp",SUMIFS('BASE-ICP'!$K:$K,'BASE-ICP'!$A:$A,Capex!$A384,'BASE-ICP'!$B:$B,"outubro")/1000,"")),"")</f>
        <v>0</v>
      </c>
      <c r="DC356" s="427">
        <v>0</v>
      </c>
      <c r="DD356" s="372"/>
      <c r="DE356" s="419"/>
      <c r="DF356" s="423">
        <f>IFERROR(IF(LEFT($A356,3)="Lcp",SUMIFS('BASE-LCP'!$K:$K,'BASE-LCP'!$A:$A,Capex!$A384,'BASE-LCP'!$B:$B,"novembro")/1000,IF(LEFT($A356,3)="icp",SUMIFS('BASE-ICP'!$K:$K,'BASE-ICP'!$A:$A,Capex!$A384,'BASE-ICP'!$B:$B,"novembro")/1000,"")),"")</f>
        <v>0</v>
      </c>
      <c r="DG356" s="427"/>
      <c r="DH356" s="372"/>
      <c r="DI356" s="419"/>
      <c r="DJ356" s="423">
        <f>IFERROR(IF(LEFT($A356,3)="Lcp",SUMIFS('BASE-LCP'!$K:$K,'BASE-LCP'!$A:$A,Capex!$A384,'BASE-LCP'!$B:$B,"dezembro")/1000,IF(LEFT($A356,3)="icp",SUMIFS('BASE-ICP'!$K:$K,'BASE-ICP'!$A:$A,Capex!$A384,'BASE-ICP'!$B:$B,"dezembro")/1000,"")),"")</f>
        <v>0</v>
      </c>
      <c r="DK356" s="427">
        <v>20</v>
      </c>
      <c r="DL356" s="452">
        <f t="shared" si="189"/>
        <v>10</v>
      </c>
      <c r="DM356" s="374"/>
      <c r="DN356" s="374">
        <v>10</v>
      </c>
      <c r="DO356" s="374"/>
      <c r="DP356" s="374"/>
      <c r="DQ356" s="374"/>
      <c r="DR356" s="374"/>
      <c r="DS356" s="374"/>
      <c r="DT356" s="374"/>
      <c r="DU356" s="374"/>
      <c r="DV356" s="374"/>
      <c r="DW356" s="374"/>
      <c r="DX356" s="374"/>
      <c r="DY356" s="450"/>
      <c r="DZ356" s="374">
        <f t="shared" si="190"/>
        <v>10</v>
      </c>
      <c r="EA356" s="216">
        <f t="shared" si="191"/>
        <v>0</v>
      </c>
      <c r="EB356" s="320">
        <f t="shared" si="192"/>
        <v>0</v>
      </c>
      <c r="EC356" s="241">
        <f t="shared" si="193"/>
        <v>0</v>
      </c>
      <c r="ED356" s="241">
        <f t="shared" si="194"/>
        <v>0</v>
      </c>
      <c r="EE356" s="241">
        <f t="shared" si="195"/>
        <v>0</v>
      </c>
      <c r="EF356" s="241">
        <f t="shared" si="196"/>
        <v>20</v>
      </c>
      <c r="EG356" s="346">
        <f t="shared" si="197"/>
        <v>-4</v>
      </c>
      <c r="EH356" s="445">
        <f t="shared" si="198"/>
        <v>0</v>
      </c>
      <c r="EI356" s="447">
        <f t="shared" si="199"/>
        <v>0</v>
      </c>
      <c r="EJ356" s="364">
        <f t="shared" si="200"/>
        <v>0</v>
      </c>
      <c r="EK356" s="365">
        <f t="shared" si="201"/>
        <v>20</v>
      </c>
      <c r="EL356" s="529">
        <f t="shared" si="202"/>
        <v>20</v>
      </c>
      <c r="EM356" s="530">
        <v>0</v>
      </c>
      <c r="EN356" s="530">
        <v>0</v>
      </c>
      <c r="EO356" s="530">
        <v>0</v>
      </c>
      <c r="EP356" s="530">
        <v>0</v>
      </c>
      <c r="EQ356" s="530">
        <v>0</v>
      </c>
      <c r="ER356" s="530">
        <v>0</v>
      </c>
      <c r="ES356" s="530">
        <v>0</v>
      </c>
      <c r="ET356" s="530">
        <v>0</v>
      </c>
      <c r="EU356" s="530">
        <v>0</v>
      </c>
      <c r="EV356" s="530">
        <v>20</v>
      </c>
      <c r="EW356" s="530">
        <v>0</v>
      </c>
      <c r="EX356" s="530">
        <v>0</v>
      </c>
      <c r="EY356" s="530">
        <f t="shared" si="203"/>
        <v>0</v>
      </c>
      <c r="EZ356" s="530">
        <f t="shared" si="204"/>
        <v>0</v>
      </c>
      <c r="FA356" s="530">
        <f t="shared" si="205"/>
        <v>0</v>
      </c>
      <c r="FB356" s="530">
        <f t="shared" si="206"/>
        <v>20</v>
      </c>
      <c r="FC356" s="384">
        <f>IFERROR(VLOOKUP(Capex!A384,BASE_558!D:R,8,FALSE)/1000,"")</f>
        <v>2870.5678700000003</v>
      </c>
      <c r="FD356" s="328">
        <f>IFERROR(VLOOKUP(Capex!A384,BASE_558!D:R,9,)/1000,"")</f>
        <v>2322.0247999999997</v>
      </c>
      <c r="FE356" s="328">
        <f>IFERROR(IF(LEFT(A356,3)="LCP",(VLOOKUP(Capex!A384,BASE_558!D:R,10,)/1000),SUMIFS('BASE ICP_PO_SC'!F:F,'BASE ICP_PO_SC'!A:A,Capex!A384,'BASE ICP_PO_SC'!E:E,"&lt;&gt;")/1000),"")</f>
        <v>6.50671</v>
      </c>
      <c r="FF356" s="328">
        <f>IFERROR(IF(LEFT(A356,3)="LCP",(VLOOKUP(Capex!A384,BASE_558!D:R,11,)/1000),SUMIFS('BASE ICP_PO_SC'!F:F,'BASE ICP_PO_SC'!A:A,Capex!A384,'BASE ICP_PO_SC'!E:E,"")/1000),"")</f>
        <v>0</v>
      </c>
      <c r="FG356" s="328">
        <f>IFERROR(VLOOKUP(A356,BASE_558!D:R,13,FALSE)/1000,"")</f>
        <v>3.4000000000000002E-4</v>
      </c>
      <c r="FH356" s="328">
        <f>IFERROR(VLOOKUP(A356,BASE_558!D:R,15,FALSE)/1000,"")</f>
        <v>21.999659999999999</v>
      </c>
      <c r="FI356" s="547">
        <f t="shared" si="207"/>
        <v>0</v>
      </c>
      <c r="FJ356" s="547">
        <f t="shared" si="208"/>
        <v>0</v>
      </c>
      <c r="FK356" s="540">
        <f t="shared" si="209"/>
        <v>0</v>
      </c>
    </row>
    <row r="357" spans="1:167" s="23" customFormat="1" ht="24" customHeight="1">
      <c r="A357" s="310" t="s">
        <v>7464</v>
      </c>
      <c r="B357" s="404"/>
      <c r="C357" s="404"/>
      <c r="D357" s="338"/>
      <c r="E357" s="378">
        <v>9962530</v>
      </c>
      <c r="F357" s="5"/>
      <c r="G357" s="310" t="s">
        <v>8</v>
      </c>
      <c r="H357" s="356"/>
      <c r="I357" s="356"/>
      <c r="J357" s="356">
        <v>2025</v>
      </c>
      <c r="K357" s="321">
        <v>45769</v>
      </c>
      <c r="L357" s="316"/>
      <c r="M357" s="409"/>
      <c r="N357" s="317">
        <f t="shared" si="212"/>
        <v>46681</v>
      </c>
      <c r="O357" s="317">
        <f t="shared" si="213"/>
        <v>47046</v>
      </c>
      <c r="P357" s="418" t="str">
        <f t="shared" si="216"/>
        <v>NÃO</v>
      </c>
      <c r="Q357" s="418" t="str">
        <f t="shared" si="216"/>
        <v>NÃO</v>
      </c>
      <c r="R357" s="418" t="str">
        <f t="shared" si="216"/>
        <v>NÃO</v>
      </c>
      <c r="S357" s="418" t="str">
        <f t="shared" si="216"/>
        <v>NÃO</v>
      </c>
      <c r="T357" s="418" t="str">
        <f t="shared" si="216"/>
        <v>NÃO</v>
      </c>
      <c r="U357" s="418" t="str">
        <f t="shared" si="216"/>
        <v>NÃO</v>
      </c>
      <c r="V357" s="418" t="str">
        <f t="shared" si="216"/>
        <v>NÃO</v>
      </c>
      <c r="W357" s="418" t="str">
        <f t="shared" si="216"/>
        <v>NÃO</v>
      </c>
      <c r="X357" s="418" t="str">
        <f t="shared" si="216"/>
        <v>NÃO</v>
      </c>
      <c r="Y357" s="418" t="str">
        <f t="shared" si="216"/>
        <v>NÃO</v>
      </c>
      <c r="Z357" s="418" t="str">
        <f t="shared" si="216"/>
        <v>NÃO</v>
      </c>
      <c r="AA357" s="418" t="str">
        <f t="shared" si="216"/>
        <v>NÃO</v>
      </c>
      <c r="AB357" s="350"/>
      <c r="AC357" s="309" t="s">
        <v>3932</v>
      </c>
      <c r="AD357" s="311"/>
      <c r="AE357" s="382"/>
      <c r="AF357" s="310" t="s">
        <v>6985</v>
      </c>
      <c r="AG357" s="310" t="s">
        <v>2186</v>
      </c>
      <c r="AH357" s="310" t="s">
        <v>7445</v>
      </c>
      <c r="AI357" s="381" t="s">
        <v>2255</v>
      </c>
      <c r="AJ357" s="6" t="s">
        <v>6786</v>
      </c>
      <c r="AK357" s="6" t="str">
        <f t="shared" si="187"/>
        <v>IGUAL</v>
      </c>
      <c r="AL357" s="151" t="str">
        <f>IFERROR(IF(LEFT(A357,3)="LCP",VLOOKUP(A357,STATUS_SAP_LCP!B:C,2,FALSE),VLOOKUP(A357,STATUS_SAP_ICP!B:C,2,FALSE)),"NO BUDGET")</f>
        <v>REL  BUDG AUC  AVAC  //  APPR BREL EXPL</v>
      </c>
      <c r="AM357" s="6" t="str">
        <f t="shared" si="185"/>
        <v xml:space="preserve">REL </v>
      </c>
      <c r="AN357" s="414" t="s">
        <v>17716</v>
      </c>
      <c r="AO357" s="414"/>
      <c r="AP357" s="499" t="s">
        <v>9616</v>
      </c>
      <c r="AQ357" s="465">
        <v>45838</v>
      </c>
      <c r="AR357" s="460"/>
      <c r="AS357" s="57"/>
      <c r="AT357" s="185"/>
      <c r="AU357" s="318"/>
      <c r="AV357" s="223"/>
      <c r="AW357" s="318"/>
      <c r="AX357" s="223"/>
      <c r="AY357" s="318">
        <f t="shared" si="214"/>
        <v>2501.6842999999999</v>
      </c>
      <c r="AZ357" s="223"/>
      <c r="BA357" s="318"/>
      <c r="BB357" s="519">
        <f t="shared" si="215"/>
        <v>0</v>
      </c>
      <c r="BC357" s="518"/>
      <c r="BD357" s="518"/>
      <c r="BE357" s="518"/>
      <c r="BF357" s="518"/>
      <c r="BG357" s="518"/>
      <c r="BH357" s="518"/>
      <c r="BI357" s="518"/>
      <c r="BJ357" s="518"/>
      <c r="BK357" s="518"/>
      <c r="BL357" s="518"/>
      <c r="BM357" s="518"/>
      <c r="BN357" s="518"/>
      <c r="BO357" s="367">
        <f t="shared" si="188"/>
        <v>2501.6842999999999</v>
      </c>
      <c r="BP357" s="421"/>
      <c r="BQ357" s="422"/>
      <c r="BR357" s="423">
        <f>IFERROR(IF(LEFT($A357,3)="Lcp",SUMIFS('BASE-LCP'!$K:$K,'BASE-LCP'!$A:$A,Capex!$A386,'BASE-LCP'!$B:$B,"janeiro")/1000,IF(LEFT($A357,3)="icp",SUMIFS('BASE-ICP'!$K:$K,'BASE-ICP'!$A:$A,Capex!$A386,'BASE-ICP'!$B:$B,"janeiro")/1000,"")),"")</f>
        <v>0</v>
      </c>
      <c r="BS357" s="427"/>
      <c r="BT357" s="372"/>
      <c r="BU357" s="422"/>
      <c r="BV357" s="423">
        <f>IFERROR(IF(LEFT($A357,3)="Lcp",SUMIFS('BASE-LCP'!$K:$K,'BASE-LCP'!$A:$A,Capex!$A386,'BASE-LCP'!$B:$B,"fevereiro")/1000,IF(LEFT($A357,3)="icp",SUMIFS('BASE-ICP'!$K:$K,'BASE-ICP'!$A:$A,Capex!$A386,'BASE-ICP'!$B:$B,"fevereiro")/1000,"")),"")</f>
        <v>0</v>
      </c>
      <c r="BW357" s="427"/>
      <c r="BX357" s="372"/>
      <c r="BY357" s="419"/>
      <c r="BZ357" s="423">
        <f>IFERROR(IF(LEFT($A357,3)="Lcp",SUMIFS('BASE-LCP'!$K:$K,'BASE-LCP'!$A:$A,Capex!$A386,'BASE-LCP'!$B:$B,"março")/1000,IF(LEFT($A357,3)="icp",SUMIFS('BASE-ICP'!$K:$K,'BASE-ICP'!$A:$A,Capex!$A386,'BASE-ICP'!$B:$B,"março")/1000,"")),"")</f>
        <v>0</v>
      </c>
      <c r="CA357" s="427"/>
      <c r="CB357" s="372">
        <v>100</v>
      </c>
      <c r="CC357" s="422"/>
      <c r="CD357" s="423">
        <f>IFERROR(IF(LEFT($A357,3)="Lcp",SUMIFS('BASE-LCP'!$K:$K,'BASE-LCP'!$A:$A,Capex!$A386,'BASE-LCP'!$B:$B,"abril")/1000,IF(LEFT($A357,3)="icp",SUMIFS('BASE-ICP'!$K:$K,'BASE-ICP'!$A:$A,Capex!$A386,'BASE-ICP'!$B:$B,"abril")/1000,"")),"")</f>
        <v>0</v>
      </c>
      <c r="CE357" s="427">
        <v>0</v>
      </c>
      <c r="CF357" s="372">
        <v>0</v>
      </c>
      <c r="CG357" s="419"/>
      <c r="CH357" s="423">
        <v>0</v>
      </c>
      <c r="CI357" s="427">
        <v>0</v>
      </c>
      <c r="CJ357" s="372">
        <v>0</v>
      </c>
      <c r="CK357" s="419">
        <v>1.6842999999999999</v>
      </c>
      <c r="CL357" s="423">
        <f>IFERROR(IF(LEFT($A357,3)="Lcp",SUMIFS('BASE-LCP'!$K:$K,'BASE-LCP'!$A:$A,Capex!$A386,'BASE-LCP'!$B:$B,"junho")/1000,IF(LEFT($A357,3)="icp",SUMIFS('BASE-ICP'!$K:$K,'BASE-ICP'!$A:$A,Capex!$A386,'BASE-ICP'!$B:$B,"junho")/1000,"")),"")</f>
        <v>0</v>
      </c>
      <c r="CM357" s="427">
        <v>1.6842999999999999</v>
      </c>
      <c r="CN357" s="372"/>
      <c r="CO357" s="419"/>
      <c r="CP357" s="423">
        <f>IFERROR(IF(LEFT($A357,3)="Lcp",SUMIFS('BASE-LCP'!$K:$K,'BASE-LCP'!$A:$A,Capex!$A386,'BASE-LCP'!$B:$B,"julho")/1000,IF(LEFT($A357,3)="icp",SUMIFS('BASE-ICP'!$K:$K,'BASE-ICP'!$A:$A,Capex!$A386,'BASE-ICP'!$B:$B,"julho")/1000,"")),"")</f>
        <v>0</v>
      </c>
      <c r="CQ357" s="427">
        <v>0</v>
      </c>
      <c r="CR357" s="372"/>
      <c r="CS357" s="419"/>
      <c r="CT357" s="423">
        <f>IFERROR(IF(LEFT($A357,3)="Lcp",SUMIFS('BASE-LCP'!$K:$K,'BASE-LCP'!$A:$A,Capex!$A386,'BASE-LCP'!$B:$B,"agosto")/1000,IF(LEFT($A357,3)="icp",SUMIFS('BASE-ICP'!$K:$K,'BASE-ICP'!$A:$A,Capex!$A386,'BASE-ICP'!$B:$B,"agosto")/1000,"")),"")</f>
        <v>0</v>
      </c>
      <c r="CU357" s="427">
        <v>200</v>
      </c>
      <c r="CV357" s="372"/>
      <c r="CW357" s="419"/>
      <c r="CX357" s="423">
        <f>IFERROR(IF(LEFT($A357,3)="Lcp",SUMIFS('BASE-LCP'!$K:$K,'BASE-LCP'!$A:$A,Capex!$A386,'BASE-LCP'!$B:$B,"setembro")/1000,IF(LEFT($A357,3)="icp",SUMIFS('BASE-ICP'!$K:$K,'BASE-ICP'!$A:$A,Capex!$A386,'BASE-ICP'!$B:$B,"setembro")/1000,"")),"")</f>
        <v>0</v>
      </c>
      <c r="CY357" s="427">
        <v>2000</v>
      </c>
      <c r="CZ357" s="372"/>
      <c r="DA357" s="419"/>
      <c r="DB357" s="423">
        <f>IFERROR(IF(LEFT($A357,3)="Lcp",SUMIFS('BASE-LCP'!$K:$K,'BASE-LCP'!$A:$A,Capex!$A386,'BASE-LCP'!$B:$B,"outubro")/1000,IF(LEFT($A357,3)="icp",SUMIFS('BASE-ICP'!$K:$K,'BASE-ICP'!$A:$A,Capex!$A386,'BASE-ICP'!$B:$B,"outubro")/1000,"")),"")</f>
        <v>0</v>
      </c>
      <c r="DC357" s="427">
        <v>300</v>
      </c>
      <c r="DD357" s="372"/>
      <c r="DE357" s="419"/>
      <c r="DF357" s="423">
        <f>IFERROR(IF(LEFT($A357,3)="Lcp",SUMIFS('BASE-LCP'!$K:$K,'BASE-LCP'!$A:$A,Capex!$A386,'BASE-LCP'!$B:$B,"novembro")/1000,IF(LEFT($A357,3)="icp",SUMIFS('BASE-ICP'!$K:$K,'BASE-ICP'!$A:$A,Capex!$A386,'BASE-ICP'!$B:$B,"novembro")/1000,"")),"")</f>
        <v>0</v>
      </c>
      <c r="DG357" s="427"/>
      <c r="DH357" s="372"/>
      <c r="DI357" s="419"/>
      <c r="DJ357" s="423">
        <f>IFERROR(IF(LEFT($A357,3)="Lcp",SUMIFS('BASE-LCP'!$K:$K,'BASE-LCP'!$A:$A,Capex!$A386,'BASE-LCP'!$B:$B,"dezembro")/1000,IF(LEFT($A357,3)="icp",SUMIFS('BASE-ICP'!$K:$K,'BASE-ICP'!$A:$A,Capex!$A386,'BASE-ICP'!$B:$B,"dezembro")/1000,"")),"")</f>
        <v>0</v>
      </c>
      <c r="DK357" s="427"/>
      <c r="DL357" s="452">
        <f t="shared" si="189"/>
        <v>0</v>
      </c>
      <c r="DM357" s="374"/>
      <c r="DN357" s="374"/>
      <c r="DO357" s="374"/>
      <c r="DP357" s="374"/>
      <c r="DQ357" s="374"/>
      <c r="DR357" s="374"/>
      <c r="DS357" s="374"/>
      <c r="DT357" s="374"/>
      <c r="DU357" s="374"/>
      <c r="DV357" s="374"/>
      <c r="DW357" s="374"/>
      <c r="DX357" s="374"/>
      <c r="DY357" s="450"/>
      <c r="DZ357" s="374">
        <f t="shared" si="190"/>
        <v>0</v>
      </c>
      <c r="EA357" s="216">
        <f t="shared" si="191"/>
        <v>1.6842999999999999</v>
      </c>
      <c r="EB357" s="320">
        <f t="shared" si="192"/>
        <v>-1.6842999999999999</v>
      </c>
      <c r="EC357" s="241">
        <f t="shared" si="193"/>
        <v>0</v>
      </c>
      <c r="ED357" s="241">
        <f t="shared" si="194"/>
        <v>1.6842999999999999</v>
      </c>
      <c r="EE357" s="241">
        <f t="shared" si="195"/>
        <v>2200</v>
      </c>
      <c r="EF357" s="241">
        <f t="shared" si="196"/>
        <v>300</v>
      </c>
      <c r="EG357" s="346">
        <f t="shared" si="197"/>
        <v>2501.6842999999999</v>
      </c>
      <c r="EH357" s="445">
        <f t="shared" si="198"/>
        <v>0</v>
      </c>
      <c r="EI357" s="447">
        <f t="shared" si="199"/>
        <v>0</v>
      </c>
      <c r="EJ357" s="364">
        <f t="shared" si="200"/>
        <v>0</v>
      </c>
      <c r="EK357" s="365">
        <f t="shared" si="201"/>
        <v>2501.6842999999999</v>
      </c>
      <c r="EL357" s="529">
        <f t="shared" si="202"/>
        <v>2500</v>
      </c>
      <c r="EM357" s="530">
        <v>0</v>
      </c>
      <c r="EN357" s="530">
        <v>0</v>
      </c>
      <c r="EO357" s="530">
        <v>0</v>
      </c>
      <c r="EP357" s="530">
        <v>0</v>
      </c>
      <c r="EQ357" s="530">
        <v>0</v>
      </c>
      <c r="ER357" s="530">
        <v>0</v>
      </c>
      <c r="ES357" s="530">
        <v>100</v>
      </c>
      <c r="ET357" s="530">
        <v>100</v>
      </c>
      <c r="EU357" s="530">
        <v>2000</v>
      </c>
      <c r="EV357" s="530">
        <v>300</v>
      </c>
      <c r="EW357" s="530">
        <v>0</v>
      </c>
      <c r="EX357" s="530">
        <v>0</v>
      </c>
      <c r="EY357" s="530">
        <f t="shared" si="203"/>
        <v>0</v>
      </c>
      <c r="EZ357" s="530">
        <f t="shared" si="204"/>
        <v>0</v>
      </c>
      <c r="FA357" s="530">
        <f t="shared" si="205"/>
        <v>2200</v>
      </c>
      <c r="FB357" s="530">
        <f t="shared" si="206"/>
        <v>300</v>
      </c>
      <c r="FC357" s="384">
        <f>IFERROR(VLOOKUP(Capex!A386,BASE_558!D:R,8,FALSE)/1000,"")</f>
        <v>289.73242999999997</v>
      </c>
      <c r="FD357" s="328">
        <f>IFERROR(VLOOKUP(Capex!A386,BASE_558!D:R,9,)/1000,"")</f>
        <v>275.21929</v>
      </c>
      <c r="FE357" s="328">
        <f>IFERROR(IF(LEFT(A357,3)="LCP",(VLOOKUP(Capex!A386,BASE_558!D:R,10,)/1000),SUMIFS('BASE ICP_PO_SC'!F:F,'BASE ICP_PO_SC'!A:A,Capex!A386,'BASE ICP_PO_SC'!E:E,"&lt;&gt;")/1000),"")</f>
        <v>6.65428</v>
      </c>
      <c r="FF357" s="328">
        <f>IFERROR(IF(LEFT(A357,3)="LCP",(VLOOKUP(Capex!A386,BASE_558!D:R,11,)/1000),SUMIFS('BASE ICP_PO_SC'!F:F,'BASE ICP_PO_SC'!A:A,Capex!A386,'BASE ICP_PO_SC'!E:E,"")/1000),"")</f>
        <v>9.0600000000000003E-3</v>
      </c>
      <c r="FG357" s="328">
        <f>IFERROR(VLOOKUP(A357,BASE_558!D:R,13,FALSE)/1000,"")</f>
        <v>508.79790000000003</v>
      </c>
      <c r="FH357" s="328">
        <f>IFERROR(VLOOKUP(A357,BASE_558!D:R,15,FALSE)/1000,"")</f>
        <v>2207.5185499999998</v>
      </c>
      <c r="FI357" s="547">
        <f t="shared" si="207"/>
        <v>-1.6842999999999999</v>
      </c>
      <c r="FJ357" s="547">
        <f t="shared" si="208"/>
        <v>0</v>
      </c>
      <c r="FK357" s="540">
        <f t="shared" si="209"/>
        <v>0</v>
      </c>
    </row>
    <row r="358" spans="1:167" s="23" customFormat="1" ht="24" customHeight="1">
      <c r="A358" s="310" t="s">
        <v>9602</v>
      </c>
      <c r="B358" s="404"/>
      <c r="C358" s="404"/>
      <c r="D358" s="338"/>
      <c r="E358" s="378">
        <v>10137504</v>
      </c>
      <c r="F358" s="5"/>
      <c r="G358" s="310" t="s">
        <v>8</v>
      </c>
      <c r="H358" s="356"/>
      <c r="I358" s="356"/>
      <c r="J358" s="356">
        <v>2025</v>
      </c>
      <c r="K358" s="321">
        <v>45831</v>
      </c>
      <c r="L358" s="316"/>
      <c r="M358" s="409"/>
      <c r="N358" s="317">
        <f t="shared" si="212"/>
        <v>46743</v>
      </c>
      <c r="O358" s="317">
        <f t="shared" si="213"/>
        <v>47108</v>
      </c>
      <c r="P358" s="418" t="str">
        <f t="shared" si="216"/>
        <v>NÃO</v>
      </c>
      <c r="Q358" s="418" t="str">
        <f t="shared" si="216"/>
        <v>NÃO</v>
      </c>
      <c r="R358" s="418" t="str">
        <f t="shared" si="216"/>
        <v>NÃO</v>
      </c>
      <c r="S358" s="418" t="str">
        <f t="shared" si="216"/>
        <v>NÃO</v>
      </c>
      <c r="T358" s="418" t="str">
        <f t="shared" si="216"/>
        <v>NÃO</v>
      </c>
      <c r="U358" s="418" t="str">
        <f t="shared" si="216"/>
        <v>NÃO</v>
      </c>
      <c r="V358" s="418" t="str">
        <f t="shared" si="216"/>
        <v>NÃO</v>
      </c>
      <c r="W358" s="418" t="str">
        <f t="shared" si="216"/>
        <v>NÃO</v>
      </c>
      <c r="X358" s="418" t="str">
        <f t="shared" si="216"/>
        <v>NÃO</v>
      </c>
      <c r="Y358" s="418" t="str">
        <f t="shared" si="216"/>
        <v>NÃO</v>
      </c>
      <c r="Z358" s="418" t="str">
        <f t="shared" si="216"/>
        <v>NÃO</v>
      </c>
      <c r="AA358" s="418" t="str">
        <f t="shared" si="216"/>
        <v>NÃO</v>
      </c>
      <c r="AB358" s="350"/>
      <c r="AC358" s="381" t="s">
        <v>3930</v>
      </c>
      <c r="AD358" s="311"/>
      <c r="AE358" s="382"/>
      <c r="AF358" s="310" t="s">
        <v>6985</v>
      </c>
      <c r="AG358" s="310" t="s">
        <v>2485</v>
      </c>
      <c r="AH358" s="310" t="s">
        <v>9078</v>
      </c>
      <c r="AI358" s="381" t="s">
        <v>188</v>
      </c>
      <c r="AJ358" s="6" t="s">
        <v>6786</v>
      </c>
      <c r="AK358" s="6" t="str">
        <f t="shared" si="187"/>
        <v>IGUAL</v>
      </c>
      <c r="AL358" s="151" t="str">
        <f>IFERROR(IF(LEFT(A358,3)="LCP",VLOOKUP(A358,STATUS_SAP_LCP!B:C,2,FALSE),VLOOKUP(A358,STATUS_SAP_ICP!B:C,2,FALSE)),"NO BUDGET")</f>
        <v>REL  BUDG AUC  AVAC  //  APPR BREL EXPL</v>
      </c>
      <c r="AM358" s="6" t="str">
        <f t="shared" si="185"/>
        <v xml:space="preserve">REL </v>
      </c>
      <c r="AN358" s="414" t="s">
        <v>18887</v>
      </c>
      <c r="AO358" s="414"/>
      <c r="AP358" s="499" t="s">
        <v>9615</v>
      </c>
      <c r="AQ358" s="465">
        <v>46022</v>
      </c>
      <c r="AR358" s="460"/>
      <c r="AS358" s="57"/>
      <c r="AT358" s="185"/>
      <c r="AU358" s="318"/>
      <c r="AV358" s="223"/>
      <c r="AW358" s="318"/>
      <c r="AX358" s="223"/>
      <c r="AY358" s="318">
        <f t="shared" si="214"/>
        <v>21</v>
      </c>
      <c r="AZ358" s="223"/>
      <c r="BA358" s="318"/>
      <c r="BB358" s="519">
        <f t="shared" si="215"/>
        <v>0</v>
      </c>
      <c r="BC358" s="518"/>
      <c r="BD358" s="518"/>
      <c r="BE358" s="518"/>
      <c r="BF358" s="518"/>
      <c r="BG358" s="518"/>
      <c r="BH358" s="518"/>
      <c r="BI358" s="518"/>
      <c r="BJ358" s="518"/>
      <c r="BK358" s="518"/>
      <c r="BL358" s="518"/>
      <c r="BM358" s="518"/>
      <c r="BN358" s="518"/>
      <c r="BO358" s="367">
        <f t="shared" si="188"/>
        <v>21</v>
      </c>
      <c r="BP358" s="421"/>
      <c r="BQ358" s="422"/>
      <c r="BR358" s="423">
        <f>IFERROR(IF(LEFT($A358,3)="Lcp",SUMIFS('BASE-LCP'!$K:$K,'BASE-LCP'!$A:$A,Capex!$A392,'BASE-LCP'!$B:$B,"janeiro")/1000,IF(LEFT($A358,3)="icp",SUMIFS('BASE-ICP'!$K:$K,'BASE-ICP'!$A:$A,Capex!$A392,'BASE-ICP'!$B:$B,"janeiro")/1000,"")),"")</f>
        <v>0</v>
      </c>
      <c r="BS358" s="427"/>
      <c r="BT358" s="372"/>
      <c r="BU358" s="422"/>
      <c r="BV358" s="423">
        <f>IFERROR(IF(LEFT($A358,3)="Lcp",SUMIFS('BASE-LCP'!$K:$K,'BASE-LCP'!$A:$A,Capex!$A392,'BASE-LCP'!$B:$B,"fevereiro")/1000,IF(LEFT($A358,3)="icp",SUMIFS('BASE-ICP'!$K:$K,'BASE-ICP'!$A:$A,Capex!$A392,'BASE-ICP'!$B:$B,"fevereiro")/1000,"")),"")</f>
        <v>0</v>
      </c>
      <c r="BW358" s="427"/>
      <c r="BX358" s="372"/>
      <c r="BY358" s="419"/>
      <c r="BZ358" s="423">
        <f>IFERROR(IF(LEFT($A358,3)="Lcp",SUMIFS('BASE-LCP'!$K:$K,'BASE-LCP'!$A:$A,Capex!$A392,'BASE-LCP'!$B:$B,"março")/1000,IF(LEFT($A358,3)="icp",SUMIFS('BASE-ICP'!$K:$K,'BASE-ICP'!$A:$A,Capex!$A392,'BASE-ICP'!$B:$B,"março")/1000,"")),"")</f>
        <v>0</v>
      </c>
      <c r="CA358" s="427"/>
      <c r="CB358" s="372"/>
      <c r="CC358" s="422"/>
      <c r="CD358" s="423">
        <f>IFERROR(IF(LEFT($A358,3)="Lcp",SUMIFS('BASE-LCP'!$K:$K,'BASE-LCP'!$A:$A,Capex!$A392,'BASE-LCP'!$B:$B,"abril")/1000,IF(LEFT($A358,3)="icp",SUMIFS('BASE-ICP'!$K:$K,'BASE-ICP'!$A:$A,Capex!$A392,'BASE-ICP'!$B:$B,"abril")/1000,"")),"")</f>
        <v>0</v>
      </c>
      <c r="CE358" s="427"/>
      <c r="CF358" s="372"/>
      <c r="CG358" s="419"/>
      <c r="CH358" s="423">
        <v>0</v>
      </c>
      <c r="CI358" s="427"/>
      <c r="CJ358" s="372"/>
      <c r="CK358" s="419"/>
      <c r="CL358" s="423">
        <f>IFERROR(IF(LEFT($A358,3)="Lcp",SUMIFS('BASE-LCP'!$K:$K,'BASE-LCP'!$A:$A,Capex!$A392,'BASE-LCP'!$B:$B,"junho")/1000,IF(LEFT($A358,3)="icp",SUMIFS('BASE-ICP'!$K:$K,'BASE-ICP'!$A:$A,Capex!$A392,'BASE-ICP'!$B:$B,"junho")/1000,"")),"")</f>
        <v>48.625029999999988</v>
      </c>
      <c r="CM358" s="427"/>
      <c r="CN358" s="372"/>
      <c r="CO358" s="419"/>
      <c r="CP358" s="423">
        <f>IFERROR(IF(LEFT($A358,3)="Lcp",SUMIFS('BASE-LCP'!$K:$K,'BASE-LCP'!$A:$A,Capex!$A392,'BASE-LCP'!$B:$B,"julho")/1000,IF(LEFT($A358,3)="icp",SUMIFS('BASE-ICP'!$K:$K,'BASE-ICP'!$A:$A,Capex!$A392,'BASE-ICP'!$B:$B,"julho")/1000,"")),"")</f>
        <v>0</v>
      </c>
      <c r="CQ358" s="427"/>
      <c r="CR358" s="372"/>
      <c r="CS358" s="419"/>
      <c r="CT358" s="423">
        <f>IFERROR(IF(LEFT($A358,3)="Lcp",SUMIFS('BASE-LCP'!$K:$K,'BASE-LCP'!$A:$A,Capex!$A392,'BASE-LCP'!$B:$B,"agosto")/1000,IF(LEFT($A358,3)="icp",SUMIFS('BASE-ICP'!$K:$K,'BASE-ICP'!$A:$A,Capex!$A392,'BASE-ICP'!$B:$B,"agosto")/1000,"")),"")</f>
        <v>0</v>
      </c>
      <c r="CU358" s="427">
        <v>0</v>
      </c>
      <c r="CV358" s="372"/>
      <c r="CW358" s="419"/>
      <c r="CX358" s="423">
        <f>IFERROR(IF(LEFT($A358,3)="Lcp",SUMIFS('BASE-LCP'!$K:$K,'BASE-LCP'!$A:$A,Capex!$A392,'BASE-LCP'!$B:$B,"setembro")/1000,IF(LEFT($A358,3)="icp",SUMIFS('BASE-ICP'!$K:$K,'BASE-ICP'!$A:$A,Capex!$A392,'BASE-ICP'!$B:$B,"setembro")/1000,"")),"")</f>
        <v>0</v>
      </c>
      <c r="CY358" s="427">
        <v>21</v>
      </c>
      <c r="CZ358" s="372"/>
      <c r="DA358" s="419"/>
      <c r="DB358" s="423">
        <f>IFERROR(IF(LEFT($A358,3)="Lcp",SUMIFS('BASE-LCP'!$K:$K,'BASE-LCP'!$A:$A,Capex!$A392,'BASE-LCP'!$B:$B,"outubro")/1000,IF(LEFT($A358,3)="icp",SUMIFS('BASE-ICP'!$K:$K,'BASE-ICP'!$A:$A,Capex!$A392,'BASE-ICP'!$B:$B,"outubro")/1000,"")),"")</f>
        <v>0</v>
      </c>
      <c r="DC358" s="427"/>
      <c r="DD358" s="372"/>
      <c r="DE358" s="419"/>
      <c r="DF358" s="423">
        <f>IFERROR(IF(LEFT($A358,3)="Lcp",SUMIFS('BASE-LCP'!$K:$K,'BASE-LCP'!$A:$A,Capex!$A392,'BASE-LCP'!$B:$B,"novembro")/1000,IF(LEFT($A358,3)="icp",SUMIFS('BASE-ICP'!$K:$K,'BASE-ICP'!$A:$A,Capex!$A392,'BASE-ICP'!$B:$B,"novembro")/1000,"")),"")</f>
        <v>0</v>
      </c>
      <c r="DG358" s="427"/>
      <c r="DH358" s="372"/>
      <c r="DI358" s="419"/>
      <c r="DJ358" s="423">
        <f>IFERROR(IF(LEFT($A358,3)="Lcp",SUMIFS('BASE-LCP'!$K:$K,'BASE-LCP'!$A:$A,Capex!$A392,'BASE-LCP'!$B:$B,"dezembro")/1000,IF(LEFT($A358,3)="icp",SUMIFS('BASE-ICP'!$K:$K,'BASE-ICP'!$A:$A,Capex!$A392,'BASE-ICP'!$B:$B,"dezembro")/1000,"")),"")</f>
        <v>0</v>
      </c>
      <c r="DK358" s="427"/>
      <c r="DL358" s="452">
        <f t="shared" si="189"/>
        <v>0</v>
      </c>
      <c r="DM358" s="374"/>
      <c r="DN358" s="374"/>
      <c r="DO358" s="374"/>
      <c r="DP358" s="374"/>
      <c r="DQ358" s="374"/>
      <c r="DR358" s="374"/>
      <c r="DS358" s="374"/>
      <c r="DT358" s="374"/>
      <c r="DU358" s="374"/>
      <c r="DV358" s="374"/>
      <c r="DW358" s="374"/>
      <c r="DX358" s="374"/>
      <c r="DY358" s="450"/>
      <c r="DZ358" s="374">
        <f t="shared" si="190"/>
        <v>0</v>
      </c>
      <c r="EA358" s="216">
        <f t="shared" si="191"/>
        <v>0</v>
      </c>
      <c r="EB358" s="320">
        <f t="shared" si="192"/>
        <v>48.625029999999988</v>
      </c>
      <c r="EC358" s="241">
        <f t="shared" si="193"/>
        <v>0</v>
      </c>
      <c r="ED358" s="241">
        <f t="shared" si="194"/>
        <v>0</v>
      </c>
      <c r="EE358" s="241">
        <f t="shared" si="195"/>
        <v>21</v>
      </c>
      <c r="EF358" s="241">
        <f t="shared" si="196"/>
        <v>0</v>
      </c>
      <c r="EG358" s="346">
        <f t="shared" si="197"/>
        <v>21</v>
      </c>
      <c r="EH358" s="445">
        <f t="shared" si="198"/>
        <v>0</v>
      </c>
      <c r="EI358" s="447">
        <f t="shared" si="199"/>
        <v>0</v>
      </c>
      <c r="EJ358" s="364">
        <f t="shared" si="200"/>
        <v>48.625029999999988</v>
      </c>
      <c r="EK358" s="365">
        <f t="shared" si="201"/>
        <v>-27.625029999999988</v>
      </c>
      <c r="EL358" s="529">
        <f t="shared" si="202"/>
        <v>21</v>
      </c>
      <c r="EM358" s="530">
        <v>0</v>
      </c>
      <c r="EN358" s="530">
        <v>0</v>
      </c>
      <c r="EO358" s="530">
        <v>0</v>
      </c>
      <c r="EP358" s="530">
        <v>0</v>
      </c>
      <c r="EQ358" s="530">
        <v>0</v>
      </c>
      <c r="ER358" s="530">
        <v>0</v>
      </c>
      <c r="ES358" s="530">
        <v>0</v>
      </c>
      <c r="ET358" s="530">
        <v>0</v>
      </c>
      <c r="EU358" s="530">
        <v>21</v>
      </c>
      <c r="EV358" s="530">
        <v>0</v>
      </c>
      <c r="EW358" s="530">
        <v>0</v>
      </c>
      <c r="EX358" s="530">
        <v>0</v>
      </c>
      <c r="EY358" s="530">
        <f t="shared" si="203"/>
        <v>0</v>
      </c>
      <c r="EZ358" s="530">
        <f t="shared" si="204"/>
        <v>0</v>
      </c>
      <c r="FA358" s="530">
        <f t="shared" si="205"/>
        <v>21</v>
      </c>
      <c r="FB358" s="530">
        <f t="shared" si="206"/>
        <v>0</v>
      </c>
      <c r="FC358" s="384">
        <f>IFERROR(VLOOKUP(Capex!A392,BASE_558!D:R,8,FALSE)/1000,"")</f>
        <v>263.63400000000001</v>
      </c>
      <c r="FD358" s="328">
        <f>IFERROR(VLOOKUP(Capex!A392,BASE_558!D:R,9,)/1000,"")</f>
        <v>151.65204</v>
      </c>
      <c r="FE358" s="328">
        <f>IFERROR(IF(LEFT(A358,3)="LCP",(VLOOKUP(Capex!A392,BASE_558!D:R,10,)/1000),SUMIFS('BASE ICP_PO_SC'!F:F,'BASE ICP_PO_SC'!A:A,Capex!A392,'BASE ICP_PO_SC'!E:E,"&lt;&gt;")/1000),"")</f>
        <v>48.43629</v>
      </c>
      <c r="FF358" s="328">
        <f>IFERROR(IF(LEFT(A358,3)="LCP",(VLOOKUP(Capex!A392,BASE_558!D:R,11,)/1000),SUMIFS('BASE ICP_PO_SC'!F:F,'BASE ICP_PO_SC'!A:A,Capex!A392,'BASE ICP_PO_SC'!E:E,"")/1000),"")</f>
        <v>0</v>
      </c>
      <c r="FG358" s="328">
        <f>IFERROR(VLOOKUP(A358,BASE_558!D:R,13,FALSE)/1000,"")</f>
        <v>20.181699999999999</v>
      </c>
      <c r="FH358" s="328">
        <f>IFERROR(VLOOKUP(A358,BASE_558!D:R,15,FALSE)/1000,"")</f>
        <v>0.81829999999999992</v>
      </c>
      <c r="FI358" s="547">
        <f t="shared" si="207"/>
        <v>0</v>
      </c>
      <c r="FJ358" s="547">
        <f t="shared" si="208"/>
        <v>0</v>
      </c>
      <c r="FK358" s="540">
        <f t="shared" si="209"/>
        <v>0</v>
      </c>
    </row>
    <row r="359" spans="1:167" s="23" customFormat="1" ht="24" customHeight="1">
      <c r="A359" s="310" t="s">
        <v>8955</v>
      </c>
      <c r="B359" s="404"/>
      <c r="C359" s="404"/>
      <c r="D359" s="338"/>
      <c r="E359" s="378"/>
      <c r="F359" s="5"/>
      <c r="G359" s="310" t="s">
        <v>8</v>
      </c>
      <c r="H359" s="356"/>
      <c r="I359" s="356"/>
      <c r="J359" s="356">
        <v>2025</v>
      </c>
      <c r="K359" s="321"/>
      <c r="L359" s="316"/>
      <c r="M359" s="409"/>
      <c r="N359" s="317" t="str">
        <f t="shared" si="212"/>
        <v/>
      </c>
      <c r="O359" s="317" t="str">
        <f t="shared" si="213"/>
        <v/>
      </c>
      <c r="P359" s="418" t="str">
        <f t="shared" si="216"/>
        <v>N/A</v>
      </c>
      <c r="Q359" s="418" t="str">
        <f t="shared" si="216"/>
        <v>N/A</v>
      </c>
      <c r="R359" s="418" t="str">
        <f t="shared" si="216"/>
        <v>N/A</v>
      </c>
      <c r="S359" s="418" t="str">
        <f t="shared" si="216"/>
        <v>N/A</v>
      </c>
      <c r="T359" s="418" t="str">
        <f t="shared" si="216"/>
        <v>N/A</v>
      </c>
      <c r="U359" s="418" t="str">
        <f t="shared" si="216"/>
        <v>N/A</v>
      </c>
      <c r="V359" s="418" t="str">
        <f t="shared" si="216"/>
        <v>N/A</v>
      </c>
      <c r="W359" s="418" t="str">
        <f t="shared" si="216"/>
        <v>N/A</v>
      </c>
      <c r="X359" s="418" t="str">
        <f t="shared" si="216"/>
        <v>N/A</v>
      </c>
      <c r="Y359" s="418" t="str">
        <f t="shared" si="216"/>
        <v>N/A</v>
      </c>
      <c r="Z359" s="418" t="str">
        <f t="shared" si="216"/>
        <v>N/A</v>
      </c>
      <c r="AA359" s="418" t="str">
        <f t="shared" si="216"/>
        <v>N/A</v>
      </c>
      <c r="AB359" s="350"/>
      <c r="AC359" s="381" t="s">
        <v>2508</v>
      </c>
      <c r="AD359" s="311"/>
      <c r="AE359" s="382"/>
      <c r="AF359" s="310" t="s">
        <v>6985</v>
      </c>
      <c r="AG359" s="310" t="s">
        <v>6882</v>
      </c>
      <c r="AH359" s="310" t="s">
        <v>7440</v>
      </c>
      <c r="AI359" s="381" t="s">
        <v>2255</v>
      </c>
      <c r="AJ359" s="6" t="s">
        <v>733</v>
      </c>
      <c r="AK359" s="6" t="str">
        <f t="shared" si="187"/>
        <v>IGUAL</v>
      </c>
      <c r="AL359" s="151" t="str">
        <f>IFERROR(IF(LEFT(A359,3)="LCP",VLOOKUP(A359,STATUS_SAP_LCP!B:C,2,FALSE),VLOOKUP(A359,STATUS_SAP_ICP!B:C,2,FALSE)),"NO BUDGET")</f>
        <v>CRTD  //  INIT BNRL EXPL</v>
      </c>
      <c r="AM359" s="6" t="str">
        <f t="shared" si="185"/>
        <v>CRTD</v>
      </c>
      <c r="AN359" s="429" t="s">
        <v>8478</v>
      </c>
      <c r="AO359" s="414"/>
      <c r="AP359" s="499" t="s">
        <v>9615</v>
      </c>
      <c r="AQ359" s="465">
        <v>45961</v>
      </c>
      <c r="AR359" s="460"/>
      <c r="AS359" s="57"/>
      <c r="AT359" s="185"/>
      <c r="AU359" s="318"/>
      <c r="AV359" s="223"/>
      <c r="AW359" s="318"/>
      <c r="AX359" s="223"/>
      <c r="AY359" s="318">
        <f t="shared" si="214"/>
        <v>50</v>
      </c>
      <c r="AZ359" s="223"/>
      <c r="BA359" s="318"/>
      <c r="BB359" s="519">
        <f t="shared" si="215"/>
        <v>0</v>
      </c>
      <c r="BC359" s="518"/>
      <c r="BD359" s="518"/>
      <c r="BE359" s="518"/>
      <c r="BF359" s="518"/>
      <c r="BG359" s="518"/>
      <c r="BH359" s="518"/>
      <c r="BI359" s="518"/>
      <c r="BJ359" s="518"/>
      <c r="BK359" s="518"/>
      <c r="BL359" s="518"/>
      <c r="BM359" s="518"/>
      <c r="BN359" s="518"/>
      <c r="BO359" s="367">
        <f t="shared" si="188"/>
        <v>50</v>
      </c>
      <c r="BP359" s="421"/>
      <c r="BQ359" s="422"/>
      <c r="BR359" s="423">
        <f>IFERROR(IF(LEFT($A359,3)="Lcp",SUMIFS('BASE-LCP'!$K:$K,'BASE-LCP'!$A:$A,Capex!$A393,'BASE-LCP'!$B:$B,"janeiro")/1000,IF(LEFT($A359,3)="icp",SUMIFS('BASE-ICP'!$K:$K,'BASE-ICP'!$A:$A,Capex!$A393,'BASE-ICP'!$B:$B,"janeiro")/1000,"")),"")</f>
        <v>0</v>
      </c>
      <c r="BS359" s="427"/>
      <c r="BT359" s="372"/>
      <c r="BU359" s="422"/>
      <c r="BV359" s="423">
        <f>IFERROR(IF(LEFT($A359,3)="Lcp",SUMIFS('BASE-LCP'!$K:$K,'BASE-LCP'!$A:$A,Capex!$A393,'BASE-LCP'!$B:$B,"fevereiro")/1000,IF(LEFT($A359,3)="icp",SUMIFS('BASE-ICP'!$K:$K,'BASE-ICP'!$A:$A,Capex!$A393,'BASE-ICP'!$B:$B,"fevereiro")/1000,"")),"")</f>
        <v>0</v>
      </c>
      <c r="BW359" s="427"/>
      <c r="BX359" s="372"/>
      <c r="BY359" s="419"/>
      <c r="BZ359" s="423">
        <f>IFERROR(IF(LEFT($A359,3)="Lcp",SUMIFS('BASE-LCP'!$K:$K,'BASE-LCP'!$A:$A,Capex!$A393,'BASE-LCP'!$B:$B,"março")/1000,IF(LEFT($A359,3)="icp",SUMIFS('BASE-ICP'!$K:$K,'BASE-ICP'!$A:$A,Capex!$A393,'BASE-ICP'!$B:$B,"março")/1000,"")),"")</f>
        <v>4.6071300000000006</v>
      </c>
      <c r="CA359" s="427"/>
      <c r="CB359" s="372"/>
      <c r="CC359" s="422"/>
      <c r="CD359" s="423">
        <f>IFERROR(IF(LEFT($A359,3)="Lcp",SUMIFS('BASE-LCP'!$K:$K,'BASE-LCP'!$A:$A,Capex!$A393,'BASE-LCP'!$B:$B,"abril")/1000,IF(LEFT($A359,3)="icp",SUMIFS('BASE-ICP'!$K:$K,'BASE-ICP'!$A:$A,Capex!$A393,'BASE-ICP'!$B:$B,"abril")/1000,"")),"")</f>
        <v>225.96536</v>
      </c>
      <c r="CE359" s="427"/>
      <c r="CF359" s="372"/>
      <c r="CG359" s="419"/>
      <c r="CH359" s="423">
        <v>0</v>
      </c>
      <c r="CI359" s="427"/>
      <c r="CJ359" s="372"/>
      <c r="CK359" s="419"/>
      <c r="CL359" s="423">
        <f>IFERROR(IF(LEFT($A359,3)="Lcp",SUMIFS('BASE-LCP'!$K:$K,'BASE-LCP'!$A:$A,Capex!$A393,'BASE-LCP'!$B:$B,"junho")/1000,IF(LEFT($A359,3)="icp",SUMIFS('BASE-ICP'!$K:$K,'BASE-ICP'!$A:$A,Capex!$A393,'BASE-ICP'!$B:$B,"junho")/1000,"")),"")</f>
        <v>0</v>
      </c>
      <c r="CM359" s="427"/>
      <c r="CN359" s="372"/>
      <c r="CO359" s="419"/>
      <c r="CP359" s="423">
        <f>IFERROR(IF(LEFT($A359,3)="Lcp",SUMIFS('BASE-LCP'!$K:$K,'BASE-LCP'!$A:$A,Capex!$A393,'BASE-LCP'!$B:$B,"julho")/1000,IF(LEFT($A359,3)="icp",SUMIFS('BASE-ICP'!$K:$K,'BASE-ICP'!$A:$A,Capex!$A393,'BASE-ICP'!$B:$B,"julho")/1000,"")),"")</f>
        <v>7.89358</v>
      </c>
      <c r="CQ359" s="427"/>
      <c r="CR359" s="372"/>
      <c r="CS359" s="419"/>
      <c r="CT359" s="423">
        <f>IFERROR(IF(LEFT($A359,3)="Lcp",SUMIFS('BASE-LCP'!$K:$K,'BASE-LCP'!$A:$A,Capex!$A393,'BASE-LCP'!$B:$B,"agosto")/1000,IF(LEFT($A359,3)="icp",SUMIFS('BASE-ICP'!$K:$K,'BASE-ICP'!$A:$A,Capex!$A393,'BASE-ICP'!$B:$B,"agosto")/1000,"")),"")</f>
        <v>0</v>
      </c>
      <c r="CU359" s="427"/>
      <c r="CV359" s="372"/>
      <c r="CW359" s="419"/>
      <c r="CX359" s="423">
        <f>IFERROR(IF(LEFT($A359,3)="Lcp",SUMIFS('BASE-LCP'!$K:$K,'BASE-LCP'!$A:$A,Capex!$A393,'BASE-LCP'!$B:$B,"setembro")/1000,IF(LEFT($A359,3)="icp",SUMIFS('BASE-ICP'!$K:$K,'BASE-ICP'!$A:$A,Capex!$A393,'BASE-ICP'!$B:$B,"setembro")/1000,"")),"")</f>
        <v>0</v>
      </c>
      <c r="CY359" s="427"/>
      <c r="CZ359" s="372"/>
      <c r="DA359" s="419"/>
      <c r="DB359" s="423">
        <f>IFERROR(IF(LEFT($A359,3)="Lcp",SUMIFS('BASE-LCP'!$K:$K,'BASE-LCP'!$A:$A,Capex!$A393,'BASE-LCP'!$B:$B,"outubro")/1000,IF(LEFT($A359,3)="icp",SUMIFS('BASE-ICP'!$K:$K,'BASE-ICP'!$A:$A,Capex!$A393,'BASE-ICP'!$B:$B,"outubro")/1000,"")),"")</f>
        <v>0</v>
      </c>
      <c r="DC359" s="427"/>
      <c r="DD359" s="372"/>
      <c r="DE359" s="419"/>
      <c r="DF359" s="423">
        <f>IFERROR(IF(LEFT($A359,3)="Lcp",SUMIFS('BASE-LCP'!$K:$K,'BASE-LCP'!$A:$A,Capex!$A393,'BASE-LCP'!$B:$B,"novembro")/1000,IF(LEFT($A359,3)="icp",SUMIFS('BASE-ICP'!$K:$K,'BASE-ICP'!$A:$A,Capex!$A393,'BASE-ICP'!$B:$B,"novembro")/1000,"")),"")</f>
        <v>0</v>
      </c>
      <c r="DG359" s="427">
        <v>25</v>
      </c>
      <c r="DH359" s="372"/>
      <c r="DI359" s="419"/>
      <c r="DJ359" s="423">
        <f>IFERROR(IF(LEFT($A359,3)="Lcp",SUMIFS('BASE-LCP'!$K:$K,'BASE-LCP'!$A:$A,Capex!$A393,'BASE-LCP'!$B:$B,"dezembro")/1000,IF(LEFT($A359,3)="icp",SUMIFS('BASE-ICP'!$K:$K,'BASE-ICP'!$A:$A,Capex!$A393,'BASE-ICP'!$B:$B,"dezembro")/1000,"")),"")</f>
        <v>0</v>
      </c>
      <c r="DK359" s="427">
        <v>25</v>
      </c>
      <c r="DL359" s="452">
        <f t="shared" si="189"/>
        <v>244</v>
      </c>
      <c r="DM359" s="374"/>
      <c r="DN359" s="374">
        <v>244</v>
      </c>
      <c r="DO359" s="374"/>
      <c r="DP359" s="374"/>
      <c r="DQ359" s="374"/>
      <c r="DR359" s="374"/>
      <c r="DS359" s="374"/>
      <c r="DT359" s="374"/>
      <c r="DU359" s="374"/>
      <c r="DV359" s="374"/>
      <c r="DW359" s="374"/>
      <c r="DX359" s="374"/>
      <c r="DY359" s="450"/>
      <c r="DZ359" s="374">
        <f t="shared" si="190"/>
        <v>244</v>
      </c>
      <c r="EA359" s="216">
        <f t="shared" si="191"/>
        <v>0</v>
      </c>
      <c r="EB359" s="320">
        <f t="shared" si="192"/>
        <v>0</v>
      </c>
      <c r="EC359" s="241">
        <f t="shared" si="193"/>
        <v>0</v>
      </c>
      <c r="ED359" s="241">
        <f t="shared" si="194"/>
        <v>0</v>
      </c>
      <c r="EE359" s="241">
        <f t="shared" si="195"/>
        <v>0</v>
      </c>
      <c r="EF359" s="241">
        <f t="shared" si="196"/>
        <v>50</v>
      </c>
      <c r="EG359" s="346">
        <f t="shared" si="197"/>
        <v>50</v>
      </c>
      <c r="EH359" s="445">
        <f t="shared" si="198"/>
        <v>0</v>
      </c>
      <c r="EI359" s="447">
        <f t="shared" si="199"/>
        <v>0</v>
      </c>
      <c r="EJ359" s="364">
        <f t="shared" si="200"/>
        <v>0</v>
      </c>
      <c r="EK359" s="365">
        <f t="shared" si="201"/>
        <v>50</v>
      </c>
      <c r="EL359" s="529">
        <f t="shared" si="202"/>
        <v>50</v>
      </c>
      <c r="EM359" s="530">
        <v>0</v>
      </c>
      <c r="EN359" s="530">
        <v>0</v>
      </c>
      <c r="EO359" s="530">
        <v>0</v>
      </c>
      <c r="EP359" s="530">
        <v>0</v>
      </c>
      <c r="EQ359" s="530">
        <v>0</v>
      </c>
      <c r="ER359" s="530">
        <v>0</v>
      </c>
      <c r="ES359" s="530">
        <v>0</v>
      </c>
      <c r="ET359" s="530">
        <v>0</v>
      </c>
      <c r="EU359" s="530">
        <v>0</v>
      </c>
      <c r="EV359" s="530">
        <v>0</v>
      </c>
      <c r="EW359" s="530">
        <v>25</v>
      </c>
      <c r="EX359" s="530">
        <v>25</v>
      </c>
      <c r="EY359" s="530">
        <f t="shared" si="203"/>
        <v>0</v>
      </c>
      <c r="EZ359" s="530">
        <f t="shared" si="204"/>
        <v>0</v>
      </c>
      <c r="FA359" s="530">
        <f t="shared" si="205"/>
        <v>0</v>
      </c>
      <c r="FB359" s="530">
        <f t="shared" si="206"/>
        <v>50</v>
      </c>
      <c r="FC359" s="384">
        <f>IFERROR(VLOOKUP(Capex!A393,BASE_558!D:R,8,FALSE)/1000,"")</f>
        <v>841.58299999999997</v>
      </c>
      <c r="FD359" s="328">
        <f>IFERROR(VLOOKUP(Capex!A393,BASE_558!D:R,9,)/1000,"")</f>
        <v>317.41084999999998</v>
      </c>
      <c r="FE359" s="328">
        <f>IFERROR(IF(LEFT(A359,3)="LCP",(VLOOKUP(Capex!A393,BASE_558!D:R,10,)/1000),SUMIFS('BASE ICP_PO_SC'!F:F,'BASE ICP_PO_SC'!A:A,Capex!A393,'BASE ICP_PO_SC'!E:E,"&lt;&gt;")/1000),"")</f>
        <v>244.34380999999999</v>
      </c>
      <c r="FF359" s="328">
        <f>IFERROR(IF(LEFT(A359,3)="LCP",(VLOOKUP(Capex!A393,BASE_558!D:R,11,)/1000),SUMIFS('BASE ICP_PO_SC'!F:F,'BASE ICP_PO_SC'!A:A,Capex!A393,'BASE ICP_PO_SC'!E:E,"")/1000),"")</f>
        <v>15.018879999999999</v>
      </c>
      <c r="FG359" s="328">
        <f>IFERROR(VLOOKUP(A359,BASE_558!D:R,13,FALSE)/1000,"")</f>
        <v>0</v>
      </c>
      <c r="FH359" s="328">
        <f>IFERROR(VLOOKUP(A359,BASE_558!D:R,15,FALSE)/1000,"")</f>
        <v>0</v>
      </c>
      <c r="FI359" s="547">
        <f t="shared" si="207"/>
        <v>0</v>
      </c>
      <c r="FJ359" s="547">
        <f t="shared" si="208"/>
        <v>0</v>
      </c>
      <c r="FK359" s="540">
        <f t="shared" si="209"/>
        <v>0</v>
      </c>
    </row>
    <row r="360" spans="1:167" s="23" customFormat="1" ht="24" customHeight="1">
      <c r="A360" s="310" t="s">
        <v>8933</v>
      </c>
      <c r="B360" s="404"/>
      <c r="C360" s="404"/>
      <c r="D360" s="338"/>
      <c r="E360" s="378">
        <v>9787816</v>
      </c>
      <c r="F360" s="5"/>
      <c r="G360" s="310" t="s">
        <v>8</v>
      </c>
      <c r="H360" s="356"/>
      <c r="I360" s="356"/>
      <c r="J360" s="356">
        <v>2025</v>
      </c>
      <c r="K360" s="321">
        <v>45797</v>
      </c>
      <c r="L360" s="316"/>
      <c r="M360" s="409"/>
      <c r="N360" s="317">
        <f t="shared" si="212"/>
        <v>46709</v>
      </c>
      <c r="O360" s="317">
        <f t="shared" si="213"/>
        <v>47074</v>
      </c>
      <c r="P360" s="418" t="str">
        <f t="shared" si="216"/>
        <v>NÃO</v>
      </c>
      <c r="Q360" s="418" t="str">
        <f t="shared" si="216"/>
        <v>NÃO</v>
      </c>
      <c r="R360" s="418" t="str">
        <f t="shared" si="216"/>
        <v>NÃO</v>
      </c>
      <c r="S360" s="418" t="str">
        <f t="shared" si="216"/>
        <v>NÃO</v>
      </c>
      <c r="T360" s="418" t="str">
        <f t="shared" si="216"/>
        <v>NÃO</v>
      </c>
      <c r="U360" s="418" t="str">
        <f t="shared" si="216"/>
        <v>NÃO</v>
      </c>
      <c r="V360" s="418" t="str">
        <f t="shared" si="216"/>
        <v>NÃO</v>
      </c>
      <c r="W360" s="418" t="str">
        <f t="shared" si="216"/>
        <v>NÃO</v>
      </c>
      <c r="X360" s="418" t="str">
        <f t="shared" si="216"/>
        <v>NÃO</v>
      </c>
      <c r="Y360" s="418" t="str">
        <f t="shared" si="216"/>
        <v>NÃO</v>
      </c>
      <c r="Z360" s="418" t="str">
        <f t="shared" si="216"/>
        <v>NÃO</v>
      </c>
      <c r="AA360" s="418" t="str">
        <f t="shared" si="216"/>
        <v>NÃO</v>
      </c>
      <c r="AB360" s="350"/>
      <c r="AC360" s="381" t="s">
        <v>3932</v>
      </c>
      <c r="AD360" s="311"/>
      <c r="AE360" s="382"/>
      <c r="AF360" s="310" t="s">
        <v>6985</v>
      </c>
      <c r="AG360" s="310" t="s">
        <v>704</v>
      </c>
      <c r="AH360" s="310" t="s">
        <v>7427</v>
      </c>
      <c r="AI360" s="309" t="s">
        <v>2255</v>
      </c>
      <c r="AJ360" s="6" t="s">
        <v>6786</v>
      </c>
      <c r="AK360" s="6" t="str">
        <f t="shared" si="187"/>
        <v>IGUAL</v>
      </c>
      <c r="AL360" s="151" t="str">
        <f>IFERROR(IF(LEFT(A360,3)="LCP",VLOOKUP(A360,STATUS_SAP_LCP!B:C,2,FALSE),VLOOKUP(A360,STATUS_SAP_ICP!B:C,2,FALSE)),"NO BUDGET")</f>
        <v>REL  BUDG AUC  AVAC  //  APPR BREL EXPL</v>
      </c>
      <c r="AM360" s="6" t="str">
        <f t="shared" si="185"/>
        <v xml:space="preserve">REL </v>
      </c>
      <c r="AN360" s="429" t="s">
        <v>18860</v>
      </c>
      <c r="AO360" s="414"/>
      <c r="AP360" s="499" t="s">
        <v>9615</v>
      </c>
      <c r="AQ360" s="465">
        <v>46053</v>
      </c>
      <c r="AR360" s="460"/>
      <c r="AS360" s="57"/>
      <c r="AT360" s="185"/>
      <c r="AU360" s="318"/>
      <c r="AV360" s="223"/>
      <c r="AW360" s="318"/>
      <c r="AX360" s="223"/>
      <c r="AY360" s="318">
        <f t="shared" si="214"/>
        <v>30</v>
      </c>
      <c r="AZ360" s="223"/>
      <c r="BA360" s="318"/>
      <c r="BB360" s="519">
        <f t="shared" si="215"/>
        <v>100</v>
      </c>
      <c r="BC360" s="518">
        <v>0</v>
      </c>
      <c r="BD360" s="518">
        <v>0</v>
      </c>
      <c r="BE360" s="518">
        <v>0</v>
      </c>
      <c r="BF360" s="518">
        <v>0</v>
      </c>
      <c r="BG360" s="518">
        <v>0</v>
      </c>
      <c r="BH360" s="518">
        <v>0</v>
      </c>
      <c r="BI360" s="518">
        <v>0</v>
      </c>
      <c r="BJ360" s="518">
        <v>0</v>
      </c>
      <c r="BK360" s="518">
        <v>0</v>
      </c>
      <c r="BL360" s="518">
        <v>0</v>
      </c>
      <c r="BM360" s="518">
        <v>0</v>
      </c>
      <c r="BN360" s="518">
        <v>100</v>
      </c>
      <c r="BO360" s="367">
        <f t="shared" si="188"/>
        <v>30</v>
      </c>
      <c r="BP360" s="421"/>
      <c r="BQ360" s="422"/>
      <c r="BR360" s="423">
        <f>IFERROR(IF(LEFT($A360,3)="Lcp",SUMIFS('BASE-LCP'!$K:$K,'BASE-LCP'!$A:$A,Capex!$A394,'BASE-LCP'!$B:$B,"janeiro")/1000,IF(LEFT($A360,3)="icp",SUMIFS('BASE-ICP'!$K:$K,'BASE-ICP'!$A:$A,Capex!$A394,'BASE-ICP'!$B:$B,"janeiro")/1000,"")),"")</f>
        <v>25.89163000000001</v>
      </c>
      <c r="BS360" s="427"/>
      <c r="BT360" s="372"/>
      <c r="BU360" s="422"/>
      <c r="BV360" s="423">
        <f>IFERROR(IF(LEFT($A360,3)="Lcp",SUMIFS('BASE-LCP'!$K:$K,'BASE-LCP'!$A:$A,Capex!$A394,'BASE-LCP'!$B:$B,"fevereiro")/1000,IF(LEFT($A360,3)="icp",SUMIFS('BASE-ICP'!$K:$K,'BASE-ICP'!$A:$A,Capex!$A394,'BASE-ICP'!$B:$B,"fevereiro")/1000,"")),"")</f>
        <v>99.548050000000018</v>
      </c>
      <c r="BW360" s="427"/>
      <c r="BX360" s="372"/>
      <c r="BY360" s="419"/>
      <c r="BZ360" s="423">
        <f>IFERROR(IF(LEFT($A360,3)="Lcp",SUMIFS('BASE-LCP'!$K:$K,'BASE-LCP'!$A:$A,Capex!$A394,'BASE-LCP'!$B:$B,"março")/1000,IF(LEFT($A360,3)="icp",SUMIFS('BASE-ICP'!$K:$K,'BASE-ICP'!$A:$A,Capex!$A394,'BASE-ICP'!$B:$B,"março")/1000,"")),"")</f>
        <v>31.076630000000005</v>
      </c>
      <c r="CA360" s="427"/>
      <c r="CB360" s="372"/>
      <c r="CC360" s="422"/>
      <c r="CD360" s="423">
        <f>IFERROR(IF(LEFT($A360,3)="Lcp",SUMIFS('BASE-LCP'!$K:$K,'BASE-LCP'!$A:$A,Capex!$A394,'BASE-LCP'!$B:$B,"abril")/1000,IF(LEFT($A360,3)="icp",SUMIFS('BASE-ICP'!$K:$K,'BASE-ICP'!$A:$A,Capex!$A394,'BASE-ICP'!$B:$B,"abril")/1000,"")),"")</f>
        <v>32.499459999999992</v>
      </c>
      <c r="CE360" s="427">
        <v>0</v>
      </c>
      <c r="CF360" s="372">
        <v>0</v>
      </c>
      <c r="CG360" s="419"/>
      <c r="CH360" s="423">
        <v>0</v>
      </c>
      <c r="CI360" s="427">
        <v>0</v>
      </c>
      <c r="CJ360" s="372">
        <v>0</v>
      </c>
      <c r="CK360" s="419"/>
      <c r="CL360" s="423">
        <f>IFERROR(IF(LEFT($A360,3)="Lcp",SUMIFS('BASE-LCP'!$K:$K,'BASE-LCP'!$A:$A,Capex!$A394,'BASE-LCP'!$B:$B,"junho")/1000,IF(LEFT($A360,3)="icp",SUMIFS('BASE-ICP'!$K:$K,'BASE-ICP'!$A:$A,Capex!$A394,'BASE-ICP'!$B:$B,"junho")/1000,"")),"")</f>
        <v>1.5859799999999999</v>
      </c>
      <c r="CM360" s="427">
        <v>0</v>
      </c>
      <c r="CN360" s="372"/>
      <c r="CO360" s="419"/>
      <c r="CP360" s="423">
        <f>IFERROR(IF(LEFT($A360,3)="Lcp",SUMIFS('BASE-LCP'!$K:$K,'BASE-LCP'!$A:$A,Capex!$A394,'BASE-LCP'!$B:$B,"julho")/1000,IF(LEFT($A360,3)="icp",SUMIFS('BASE-ICP'!$K:$K,'BASE-ICP'!$A:$A,Capex!$A394,'BASE-ICP'!$B:$B,"julho")/1000,"")),"")</f>
        <v>0</v>
      </c>
      <c r="CQ360" s="427">
        <v>0</v>
      </c>
      <c r="CR360" s="372"/>
      <c r="CS360" s="419"/>
      <c r="CT360" s="423">
        <f>IFERROR(IF(LEFT($A360,3)="Lcp",SUMIFS('BASE-LCP'!$K:$K,'BASE-LCP'!$A:$A,Capex!$A394,'BASE-LCP'!$B:$B,"agosto")/1000,IF(LEFT($A360,3)="icp",SUMIFS('BASE-ICP'!$K:$K,'BASE-ICP'!$A:$A,Capex!$A394,'BASE-ICP'!$B:$B,"agosto")/1000,"")),"")</f>
        <v>0</v>
      </c>
      <c r="CU360" s="427">
        <v>0</v>
      </c>
      <c r="CV360" s="372"/>
      <c r="CW360" s="419"/>
      <c r="CX360" s="423">
        <f>IFERROR(IF(LEFT($A360,3)="Lcp",SUMIFS('BASE-LCP'!$K:$K,'BASE-LCP'!$A:$A,Capex!$A394,'BASE-LCP'!$B:$B,"setembro")/1000,IF(LEFT($A360,3)="icp",SUMIFS('BASE-ICP'!$K:$K,'BASE-ICP'!$A:$A,Capex!$A394,'BASE-ICP'!$B:$B,"setembro")/1000,"")),"")</f>
        <v>0</v>
      </c>
      <c r="CY360" s="427">
        <v>15</v>
      </c>
      <c r="CZ360" s="372"/>
      <c r="DA360" s="419"/>
      <c r="DB360" s="423">
        <f>IFERROR(IF(LEFT($A360,3)="Lcp",SUMIFS('BASE-LCP'!$K:$K,'BASE-LCP'!$A:$A,Capex!$A394,'BASE-LCP'!$B:$B,"outubro")/1000,IF(LEFT($A360,3)="icp",SUMIFS('BASE-ICP'!$K:$K,'BASE-ICP'!$A:$A,Capex!$A394,'BASE-ICP'!$B:$B,"outubro")/1000,"")),"")</f>
        <v>0</v>
      </c>
      <c r="DC360" s="427">
        <v>15</v>
      </c>
      <c r="DD360" s="372"/>
      <c r="DE360" s="419"/>
      <c r="DF360" s="423">
        <f>IFERROR(IF(LEFT($A360,3)="Lcp",SUMIFS('BASE-LCP'!$K:$K,'BASE-LCP'!$A:$A,Capex!$A394,'BASE-LCP'!$B:$B,"novembro")/1000,IF(LEFT($A360,3)="icp",SUMIFS('BASE-ICP'!$K:$K,'BASE-ICP'!$A:$A,Capex!$A394,'BASE-ICP'!$B:$B,"novembro")/1000,"")),"")</f>
        <v>0</v>
      </c>
      <c r="DG360" s="427">
        <v>0</v>
      </c>
      <c r="DH360" s="372"/>
      <c r="DI360" s="419"/>
      <c r="DJ360" s="423">
        <f>IFERROR(IF(LEFT($A360,3)="Lcp",SUMIFS('BASE-LCP'!$K:$K,'BASE-LCP'!$A:$A,Capex!$A394,'BASE-LCP'!$B:$B,"dezembro")/1000,IF(LEFT($A360,3)="icp",SUMIFS('BASE-ICP'!$K:$K,'BASE-ICP'!$A:$A,Capex!$A394,'BASE-ICP'!$B:$B,"dezembro")/1000,"")),"")</f>
        <v>0</v>
      </c>
      <c r="DK360" s="427">
        <v>0</v>
      </c>
      <c r="DL360" s="452">
        <f t="shared" si="189"/>
        <v>1300</v>
      </c>
      <c r="DM360" s="374"/>
      <c r="DN360" s="374">
        <v>1300</v>
      </c>
      <c r="DO360" s="374"/>
      <c r="DP360" s="374"/>
      <c r="DQ360" s="374"/>
      <c r="DR360" s="374"/>
      <c r="DS360" s="374"/>
      <c r="DT360" s="374"/>
      <c r="DU360" s="374"/>
      <c r="DV360" s="374"/>
      <c r="DW360" s="374"/>
      <c r="DX360" s="374"/>
      <c r="DY360" s="450"/>
      <c r="DZ360" s="374">
        <f t="shared" si="190"/>
        <v>1300</v>
      </c>
      <c r="EA360" s="216">
        <f t="shared" si="191"/>
        <v>0</v>
      </c>
      <c r="EB360" s="320">
        <f t="shared" si="192"/>
        <v>1.5859799999999999</v>
      </c>
      <c r="EC360" s="241">
        <f t="shared" si="193"/>
        <v>0</v>
      </c>
      <c r="ED360" s="241">
        <f t="shared" si="194"/>
        <v>0</v>
      </c>
      <c r="EE360" s="241">
        <f t="shared" si="195"/>
        <v>15</v>
      </c>
      <c r="EF360" s="241">
        <f t="shared" si="196"/>
        <v>15</v>
      </c>
      <c r="EG360" s="346">
        <f t="shared" si="197"/>
        <v>-70</v>
      </c>
      <c r="EH360" s="445">
        <f t="shared" si="198"/>
        <v>0</v>
      </c>
      <c r="EI360" s="447">
        <f t="shared" si="199"/>
        <v>0</v>
      </c>
      <c r="EJ360" s="364">
        <f t="shared" si="200"/>
        <v>1.5859799999999999</v>
      </c>
      <c r="EK360" s="365">
        <f t="shared" si="201"/>
        <v>28.414020000000001</v>
      </c>
      <c r="EL360" s="529">
        <f t="shared" si="202"/>
        <v>30</v>
      </c>
      <c r="EM360" s="530">
        <v>0</v>
      </c>
      <c r="EN360" s="530">
        <v>0</v>
      </c>
      <c r="EO360" s="530">
        <v>0</v>
      </c>
      <c r="EP360" s="530">
        <v>0</v>
      </c>
      <c r="EQ360" s="530">
        <v>0</v>
      </c>
      <c r="ER360" s="530">
        <v>0</v>
      </c>
      <c r="ES360" s="530">
        <v>0</v>
      </c>
      <c r="ET360" s="530">
        <v>0</v>
      </c>
      <c r="EU360" s="530">
        <v>15</v>
      </c>
      <c r="EV360" s="530">
        <v>15</v>
      </c>
      <c r="EW360" s="530">
        <v>0</v>
      </c>
      <c r="EX360" s="530">
        <v>0</v>
      </c>
      <c r="EY360" s="530">
        <f t="shared" si="203"/>
        <v>0</v>
      </c>
      <c r="EZ360" s="530">
        <f t="shared" si="204"/>
        <v>0</v>
      </c>
      <c r="FA360" s="530">
        <f t="shared" si="205"/>
        <v>15</v>
      </c>
      <c r="FB360" s="530">
        <f t="shared" si="206"/>
        <v>15</v>
      </c>
      <c r="FC360" s="384">
        <f>IFERROR(VLOOKUP(Capex!A394,BASE_558!D:R,8,FALSE)/1000,"")</f>
        <v>26690</v>
      </c>
      <c r="FD360" s="328">
        <f>IFERROR(VLOOKUP(Capex!A394,BASE_558!D:R,9,)/1000,"")</f>
        <v>21653.134160000001</v>
      </c>
      <c r="FE360" s="328">
        <f>IFERROR(IF(LEFT(A360,3)="LCP",(VLOOKUP(Capex!A394,BASE_558!D:R,10,)/1000),SUMIFS('BASE ICP_PO_SC'!F:F,'BASE ICP_PO_SC'!A:A,Capex!A394,'BASE ICP_PO_SC'!E:E,"&lt;&gt;")/1000),"")</f>
        <v>111.72235000000001</v>
      </c>
      <c r="FF360" s="328">
        <f>IFERROR(IF(LEFT(A360,3)="LCP",(VLOOKUP(Capex!A394,BASE_558!D:R,11,)/1000),SUMIFS('BASE ICP_PO_SC'!F:F,'BASE ICP_PO_SC'!A:A,Capex!A394,'BASE ICP_PO_SC'!E:E,"")/1000),"")</f>
        <v>1502.521</v>
      </c>
      <c r="FG360" s="328">
        <f>IFERROR(VLOOKUP(A360,BASE_558!D:R,13,FALSE)/1000,"")</f>
        <v>808.96540000000005</v>
      </c>
      <c r="FH360" s="328">
        <f>IFERROR(VLOOKUP(A360,BASE_558!D:R,15,FALSE)/1000,"")</f>
        <v>590.96759999999995</v>
      </c>
      <c r="FI360" s="547">
        <f t="shared" si="207"/>
        <v>0</v>
      </c>
      <c r="FJ360" s="547">
        <f t="shared" si="208"/>
        <v>0</v>
      </c>
      <c r="FK360" s="540">
        <f t="shared" si="209"/>
        <v>0</v>
      </c>
    </row>
    <row r="361" spans="1:167" s="23" customFormat="1" ht="24" customHeight="1">
      <c r="A361" s="310" t="s">
        <v>8975</v>
      </c>
      <c r="B361" s="404"/>
      <c r="C361" s="404">
        <v>300</v>
      </c>
      <c r="D361" s="338"/>
      <c r="E361" s="378"/>
      <c r="F361" s="5"/>
      <c r="G361" s="310" t="s">
        <v>8</v>
      </c>
      <c r="H361" s="338"/>
      <c r="I361" s="356"/>
      <c r="J361" s="356">
        <v>2025</v>
      </c>
      <c r="K361" s="321"/>
      <c r="L361" s="316"/>
      <c r="M361" s="409"/>
      <c r="N361" s="317" t="str">
        <f t="shared" si="212"/>
        <v/>
      </c>
      <c r="O361" s="317" t="str">
        <f t="shared" si="213"/>
        <v/>
      </c>
      <c r="P361" s="418" t="str">
        <f t="shared" si="216"/>
        <v>N/A</v>
      </c>
      <c r="Q361" s="418" t="str">
        <f t="shared" si="216"/>
        <v>N/A</v>
      </c>
      <c r="R361" s="418" t="str">
        <f t="shared" si="216"/>
        <v>N/A</v>
      </c>
      <c r="S361" s="418" t="str">
        <f t="shared" si="216"/>
        <v>N/A</v>
      </c>
      <c r="T361" s="418" t="str">
        <f t="shared" si="216"/>
        <v>N/A</v>
      </c>
      <c r="U361" s="418" t="str">
        <f t="shared" si="216"/>
        <v>N/A</v>
      </c>
      <c r="V361" s="418" t="str">
        <f t="shared" si="216"/>
        <v>N/A</v>
      </c>
      <c r="W361" s="418" t="str">
        <f t="shared" si="216"/>
        <v>N/A</v>
      </c>
      <c r="X361" s="418" t="str">
        <f t="shared" si="216"/>
        <v>N/A</v>
      </c>
      <c r="Y361" s="418" t="str">
        <f t="shared" si="216"/>
        <v>N/A</v>
      </c>
      <c r="Z361" s="418" t="str">
        <f t="shared" si="216"/>
        <v>N/A</v>
      </c>
      <c r="AA361" s="418" t="str">
        <f t="shared" si="216"/>
        <v>N/A</v>
      </c>
      <c r="AB361" s="350"/>
      <c r="AC361" s="309" t="s">
        <v>3932</v>
      </c>
      <c r="AD361" s="311"/>
      <c r="AE361" s="382"/>
      <c r="AF361" s="310" t="s">
        <v>6985</v>
      </c>
      <c r="AG361" s="310" t="s">
        <v>2186</v>
      </c>
      <c r="AH361" s="310" t="s">
        <v>7428</v>
      </c>
      <c r="AI361" s="381" t="s">
        <v>2255</v>
      </c>
      <c r="AJ361" s="6" t="s">
        <v>733</v>
      </c>
      <c r="AK361" s="6" t="str">
        <f t="shared" si="187"/>
        <v>IGUAL</v>
      </c>
      <c r="AL361" s="151" t="str">
        <f>IFERROR(IF(LEFT(A361,3)="LCP",VLOOKUP(A361,STATUS_SAP_LCP!B:C,2,FALSE),VLOOKUP(A361,STATUS_SAP_ICP!B:C,2,FALSE)),"NO BUDGET")</f>
        <v>CRTD  //  SUBM BNRL EXPL</v>
      </c>
      <c r="AM361" s="6" t="str">
        <f t="shared" si="185"/>
        <v>CRTD</v>
      </c>
      <c r="AN361" s="429" t="s">
        <v>8479</v>
      </c>
      <c r="AO361" s="414"/>
      <c r="AP361" s="499" t="s">
        <v>9615</v>
      </c>
      <c r="AQ361" s="465">
        <v>46203</v>
      </c>
      <c r="AR361" s="460"/>
      <c r="AS361" s="57"/>
      <c r="AT361" s="185"/>
      <c r="AU361" s="318"/>
      <c r="AV361" s="223"/>
      <c r="AW361" s="318"/>
      <c r="AX361" s="223"/>
      <c r="AY361" s="318">
        <f t="shared" si="214"/>
        <v>100</v>
      </c>
      <c r="AZ361" s="223"/>
      <c r="BA361" s="318"/>
      <c r="BB361" s="519">
        <f t="shared" si="215"/>
        <v>100</v>
      </c>
      <c r="BC361" s="518">
        <v>0</v>
      </c>
      <c r="BD361" s="518">
        <v>0</v>
      </c>
      <c r="BE361" s="518">
        <v>0</v>
      </c>
      <c r="BF361" s="518">
        <v>0</v>
      </c>
      <c r="BG361" s="518">
        <v>0</v>
      </c>
      <c r="BH361" s="518">
        <v>0</v>
      </c>
      <c r="BI361" s="518">
        <v>0</v>
      </c>
      <c r="BJ361" s="518">
        <v>0</v>
      </c>
      <c r="BK361" s="518">
        <v>0</v>
      </c>
      <c r="BL361" s="518">
        <v>0</v>
      </c>
      <c r="BM361" s="518">
        <v>0</v>
      </c>
      <c r="BN361" s="518">
        <v>100</v>
      </c>
      <c r="BO361" s="367">
        <f t="shared" si="188"/>
        <v>100</v>
      </c>
      <c r="BP361" s="421"/>
      <c r="BQ361" s="422"/>
      <c r="BR361" s="423">
        <f>IFERROR(IF(LEFT($A361,3)="Lcp",SUMIFS('BASE-LCP'!$K:$K,'BASE-LCP'!$A:$A,Capex!$A395,'BASE-LCP'!$B:$B,"janeiro")/1000,IF(LEFT($A361,3)="icp",SUMIFS('BASE-ICP'!$K:$K,'BASE-ICP'!$A:$A,Capex!$A395,'BASE-ICP'!$B:$B,"janeiro")/1000,"")),"")</f>
        <v>0</v>
      </c>
      <c r="BS361" s="427"/>
      <c r="BT361" s="372"/>
      <c r="BU361" s="422"/>
      <c r="BV361" s="423">
        <f>IFERROR(IF(LEFT($A361,3)="Lcp",SUMIFS('BASE-LCP'!$K:$K,'BASE-LCP'!$A:$A,Capex!$A395,'BASE-LCP'!$B:$B,"fevereiro")/1000,IF(LEFT($A361,3)="icp",SUMIFS('BASE-ICP'!$K:$K,'BASE-ICP'!$A:$A,Capex!$A395,'BASE-ICP'!$B:$B,"fevereiro")/1000,"")),"")</f>
        <v>0</v>
      </c>
      <c r="BW361" s="427"/>
      <c r="BX361" s="372"/>
      <c r="BY361" s="419"/>
      <c r="BZ361" s="423">
        <f>IFERROR(IF(LEFT($A361,3)="Lcp",SUMIFS('BASE-LCP'!$K:$K,'BASE-LCP'!$A:$A,Capex!$A395,'BASE-LCP'!$B:$B,"março")/1000,IF(LEFT($A361,3)="icp",SUMIFS('BASE-ICP'!$K:$K,'BASE-ICP'!$A:$A,Capex!$A395,'BASE-ICP'!$B:$B,"março")/1000,"")),"")</f>
        <v>0</v>
      </c>
      <c r="CA361" s="427"/>
      <c r="CB361" s="372"/>
      <c r="CC361" s="422"/>
      <c r="CD361" s="423">
        <f>IFERROR(IF(LEFT($A361,3)="Lcp",SUMIFS('BASE-LCP'!$K:$K,'BASE-LCP'!$A:$A,Capex!$A395,'BASE-LCP'!$B:$B,"abril")/1000,IF(LEFT($A361,3)="icp",SUMIFS('BASE-ICP'!$K:$K,'BASE-ICP'!$A:$A,Capex!$A395,'BASE-ICP'!$B:$B,"abril")/1000,"")),"")</f>
        <v>0</v>
      </c>
      <c r="CE361" s="427"/>
      <c r="CF361" s="372"/>
      <c r="CG361" s="419"/>
      <c r="CH361" s="423">
        <v>0</v>
      </c>
      <c r="CI361" s="427"/>
      <c r="CJ361" s="372"/>
      <c r="CK361" s="419"/>
      <c r="CL361" s="423">
        <f>IFERROR(IF(LEFT($A361,3)="Lcp",SUMIFS('BASE-LCP'!$K:$K,'BASE-LCP'!$A:$A,Capex!$A395,'BASE-LCP'!$B:$B,"junho")/1000,IF(LEFT($A361,3)="icp",SUMIFS('BASE-ICP'!$K:$K,'BASE-ICP'!$A:$A,Capex!$A395,'BASE-ICP'!$B:$B,"junho")/1000,"")),"")</f>
        <v>0</v>
      </c>
      <c r="CM361" s="427"/>
      <c r="CN361" s="372"/>
      <c r="CO361" s="419"/>
      <c r="CP361" s="423">
        <f>IFERROR(IF(LEFT($A361,3)="Lcp",SUMIFS('BASE-LCP'!$K:$K,'BASE-LCP'!$A:$A,Capex!$A395,'BASE-LCP'!$B:$B,"julho")/1000,IF(LEFT($A361,3)="icp",SUMIFS('BASE-ICP'!$K:$K,'BASE-ICP'!$A:$A,Capex!$A395,'BASE-ICP'!$B:$B,"julho")/1000,"")),"")</f>
        <v>0</v>
      </c>
      <c r="CQ361" s="427"/>
      <c r="CR361" s="372"/>
      <c r="CS361" s="419"/>
      <c r="CT361" s="423">
        <f>IFERROR(IF(LEFT($A361,3)="Lcp",SUMIFS('BASE-LCP'!$K:$K,'BASE-LCP'!$A:$A,Capex!$A395,'BASE-LCP'!$B:$B,"agosto")/1000,IF(LEFT($A361,3)="icp",SUMIFS('BASE-ICP'!$K:$K,'BASE-ICP'!$A:$A,Capex!$A395,'BASE-ICP'!$B:$B,"agosto")/1000,"")),"")</f>
        <v>0</v>
      </c>
      <c r="CU361" s="427"/>
      <c r="CV361" s="372"/>
      <c r="CW361" s="419"/>
      <c r="CX361" s="423">
        <f>IFERROR(IF(LEFT($A361,3)="Lcp",SUMIFS('BASE-LCP'!$K:$K,'BASE-LCP'!$A:$A,Capex!$A395,'BASE-LCP'!$B:$B,"setembro")/1000,IF(LEFT($A361,3)="icp",SUMIFS('BASE-ICP'!$K:$K,'BASE-ICP'!$A:$A,Capex!$A395,'BASE-ICP'!$B:$B,"setembro")/1000,"")),"")</f>
        <v>0</v>
      </c>
      <c r="CY361" s="427"/>
      <c r="CZ361" s="372"/>
      <c r="DA361" s="419"/>
      <c r="DB361" s="423">
        <f>IFERROR(IF(LEFT($A361,3)="Lcp",SUMIFS('BASE-LCP'!$K:$K,'BASE-LCP'!$A:$A,Capex!$A395,'BASE-LCP'!$B:$B,"outubro")/1000,IF(LEFT($A361,3)="icp",SUMIFS('BASE-ICP'!$K:$K,'BASE-ICP'!$A:$A,Capex!$A395,'BASE-ICP'!$B:$B,"outubro")/1000,"")),"")</f>
        <v>0</v>
      </c>
      <c r="DC361" s="427"/>
      <c r="DD361" s="372"/>
      <c r="DE361" s="419"/>
      <c r="DF361" s="423">
        <f>IFERROR(IF(LEFT($A361,3)="Lcp",SUMIFS('BASE-LCP'!$K:$K,'BASE-LCP'!$A:$A,Capex!$A395,'BASE-LCP'!$B:$B,"novembro")/1000,IF(LEFT($A361,3)="icp",SUMIFS('BASE-ICP'!$K:$K,'BASE-ICP'!$A:$A,Capex!$A395,'BASE-ICP'!$B:$B,"novembro")/1000,"")),"")</f>
        <v>0</v>
      </c>
      <c r="DG361" s="427"/>
      <c r="DH361" s="372"/>
      <c r="DI361" s="419"/>
      <c r="DJ361" s="423">
        <f>IFERROR(IF(LEFT($A361,3)="Lcp",SUMIFS('BASE-LCP'!$K:$K,'BASE-LCP'!$A:$A,Capex!$A395,'BASE-LCP'!$B:$B,"dezembro")/1000,IF(LEFT($A361,3)="icp",SUMIFS('BASE-ICP'!$K:$K,'BASE-ICP'!$A:$A,Capex!$A395,'BASE-ICP'!$B:$B,"dezembro")/1000,"")),"")</f>
        <v>0</v>
      </c>
      <c r="DK361" s="427">
        <v>100</v>
      </c>
      <c r="DL361" s="452">
        <f t="shared" si="189"/>
        <v>243</v>
      </c>
      <c r="DM361" s="374"/>
      <c r="DN361" s="374">
        <v>243</v>
      </c>
      <c r="DO361" s="374"/>
      <c r="DP361" s="374"/>
      <c r="DQ361" s="374"/>
      <c r="DR361" s="374"/>
      <c r="DS361" s="374"/>
      <c r="DT361" s="374"/>
      <c r="DU361" s="374"/>
      <c r="DV361" s="374"/>
      <c r="DW361" s="374"/>
      <c r="DX361" s="374"/>
      <c r="DY361" s="450"/>
      <c r="DZ361" s="374">
        <f t="shared" si="190"/>
        <v>243</v>
      </c>
      <c r="EA361" s="216">
        <f t="shared" si="191"/>
        <v>0</v>
      </c>
      <c r="EB361" s="320">
        <f t="shared" si="192"/>
        <v>0</v>
      </c>
      <c r="EC361" s="241">
        <f t="shared" si="193"/>
        <v>0</v>
      </c>
      <c r="ED361" s="241">
        <f t="shared" si="194"/>
        <v>0</v>
      </c>
      <c r="EE361" s="241">
        <f t="shared" si="195"/>
        <v>0</v>
      </c>
      <c r="EF361" s="241">
        <f t="shared" si="196"/>
        <v>100</v>
      </c>
      <c r="EG361" s="346">
        <f t="shared" si="197"/>
        <v>0</v>
      </c>
      <c r="EH361" s="445">
        <f t="shared" si="198"/>
        <v>0</v>
      </c>
      <c r="EI361" s="447">
        <f t="shared" si="199"/>
        <v>0</v>
      </c>
      <c r="EJ361" s="364">
        <f t="shared" si="200"/>
        <v>0</v>
      </c>
      <c r="EK361" s="365">
        <f t="shared" si="201"/>
        <v>100</v>
      </c>
      <c r="EL361" s="529">
        <f t="shared" si="202"/>
        <v>100</v>
      </c>
      <c r="EM361" s="530">
        <v>0</v>
      </c>
      <c r="EN361" s="530">
        <v>0</v>
      </c>
      <c r="EO361" s="530">
        <v>0</v>
      </c>
      <c r="EP361" s="530">
        <v>0</v>
      </c>
      <c r="EQ361" s="530">
        <v>0</v>
      </c>
      <c r="ER361" s="530">
        <v>0</v>
      </c>
      <c r="ES361" s="530">
        <v>0</v>
      </c>
      <c r="ET361" s="530">
        <v>0</v>
      </c>
      <c r="EU361" s="530">
        <v>0</v>
      </c>
      <c r="EV361" s="530">
        <v>0</v>
      </c>
      <c r="EW361" s="530">
        <v>0</v>
      </c>
      <c r="EX361" s="530">
        <v>100</v>
      </c>
      <c r="EY361" s="530">
        <f t="shared" si="203"/>
        <v>0</v>
      </c>
      <c r="EZ361" s="530">
        <f t="shared" si="204"/>
        <v>0</v>
      </c>
      <c r="FA361" s="530">
        <f t="shared" si="205"/>
        <v>0</v>
      </c>
      <c r="FB361" s="530">
        <f t="shared" si="206"/>
        <v>100</v>
      </c>
      <c r="FC361" s="384" t="str">
        <f>IFERROR(VLOOKUP(Capex!A395,BASE_558!D:R,8,FALSE)/1000,"")</f>
        <v/>
      </c>
      <c r="FD361" s="328" t="str">
        <f>IFERROR(VLOOKUP(Capex!A395,BASE_558!D:R,9,)/1000,"")</f>
        <v/>
      </c>
      <c r="FE361" s="328" t="str">
        <f>IFERROR(IF(LEFT(A361,3)="LCP",(VLOOKUP(Capex!A395,BASE_558!D:R,10,)/1000),SUMIFS('BASE ICP_PO_SC'!F:F,'BASE ICP_PO_SC'!A:A,Capex!A395,'BASE ICP_PO_SC'!E:E,"&lt;&gt;")/1000),"")</f>
        <v/>
      </c>
      <c r="FF361" s="328" t="str">
        <f>IFERROR(IF(LEFT(A361,3)="LCP",(VLOOKUP(Capex!A395,BASE_558!D:R,11,)/1000),SUMIFS('BASE ICP_PO_SC'!F:F,'BASE ICP_PO_SC'!A:A,Capex!A395,'BASE ICP_PO_SC'!E:E,"")/1000),"")</f>
        <v/>
      </c>
      <c r="FG361" s="328">
        <f>IFERROR(VLOOKUP(A361,BASE_558!D:R,13,FALSE)/1000,"")</f>
        <v>0</v>
      </c>
      <c r="FH361" s="328">
        <f>IFERROR(VLOOKUP(A361,BASE_558!D:R,15,FALSE)/1000,"")</f>
        <v>0</v>
      </c>
      <c r="FI361" s="547">
        <f t="shared" si="207"/>
        <v>0</v>
      </c>
      <c r="FJ361" s="547">
        <f t="shared" si="208"/>
        <v>0</v>
      </c>
      <c r="FK361" s="540">
        <f t="shared" si="209"/>
        <v>0</v>
      </c>
    </row>
    <row r="362" spans="1:167" s="23" customFormat="1" ht="24" customHeight="1">
      <c r="A362" s="310" t="s">
        <v>10700</v>
      </c>
      <c r="B362" s="404"/>
      <c r="C362" s="404">
        <v>316</v>
      </c>
      <c r="D362" s="338"/>
      <c r="E362" s="378"/>
      <c r="F362" s="5"/>
      <c r="G362" s="310" t="s">
        <v>8</v>
      </c>
      <c r="H362" s="338"/>
      <c r="I362" s="356"/>
      <c r="J362" s="356">
        <v>2025</v>
      </c>
      <c r="K362" s="321"/>
      <c r="L362" s="316"/>
      <c r="M362" s="409"/>
      <c r="N362" s="317" t="str">
        <f t="shared" si="212"/>
        <v/>
      </c>
      <c r="O362" s="317" t="str">
        <f t="shared" si="213"/>
        <v/>
      </c>
      <c r="P362" s="418" t="str">
        <f t="shared" si="216"/>
        <v>N/A</v>
      </c>
      <c r="Q362" s="418" t="str">
        <f t="shared" si="216"/>
        <v>N/A</v>
      </c>
      <c r="R362" s="418" t="str">
        <f t="shared" si="216"/>
        <v>N/A</v>
      </c>
      <c r="S362" s="418" t="str">
        <f t="shared" si="216"/>
        <v>N/A</v>
      </c>
      <c r="T362" s="418" t="str">
        <f t="shared" si="216"/>
        <v>N/A</v>
      </c>
      <c r="U362" s="418" t="str">
        <f t="shared" si="216"/>
        <v>N/A</v>
      </c>
      <c r="V362" s="418" t="str">
        <f t="shared" si="216"/>
        <v>N/A</v>
      </c>
      <c r="W362" s="418" t="str">
        <f t="shared" si="216"/>
        <v>N/A</v>
      </c>
      <c r="X362" s="418" t="str">
        <f t="shared" si="216"/>
        <v>N/A</v>
      </c>
      <c r="Y362" s="418" t="str">
        <f t="shared" si="216"/>
        <v>N/A</v>
      </c>
      <c r="Z362" s="418" t="str">
        <f t="shared" si="216"/>
        <v>N/A</v>
      </c>
      <c r="AA362" s="418" t="str">
        <f t="shared" si="216"/>
        <v>N/A</v>
      </c>
      <c r="AB362" s="350"/>
      <c r="AC362" s="309" t="s">
        <v>3932</v>
      </c>
      <c r="AD362" s="311"/>
      <c r="AE362" s="382"/>
      <c r="AF362" s="310" t="s">
        <v>6985</v>
      </c>
      <c r="AG362" s="310" t="s">
        <v>2186</v>
      </c>
      <c r="AH362" s="310" t="s">
        <v>10701</v>
      </c>
      <c r="AI362" s="381" t="s">
        <v>2255</v>
      </c>
      <c r="AJ362" s="6" t="s">
        <v>733</v>
      </c>
      <c r="AK362" s="6" t="str">
        <f t="shared" si="187"/>
        <v>IGUAL</v>
      </c>
      <c r="AL362" s="151" t="str">
        <f>IFERROR(IF(LEFT(A362,3)="LCP",VLOOKUP(A362,STATUS_SAP_LCP!B:C,2,FALSE),VLOOKUP(A362,STATUS_SAP_ICP!B:C,2,FALSE)),"NO BUDGET")</f>
        <v>CRTD  //  SUBM BNRL EXPL</v>
      </c>
      <c r="AM362" s="6" t="str">
        <f t="shared" si="185"/>
        <v>CRTD</v>
      </c>
      <c r="AN362" s="429" t="s">
        <v>10702</v>
      </c>
      <c r="AO362" s="414"/>
      <c r="AP362" s="499" t="s">
        <v>9615</v>
      </c>
      <c r="AQ362" s="465">
        <v>46053</v>
      </c>
      <c r="AR362" s="460"/>
      <c r="AS362" s="57"/>
      <c r="AT362" s="185"/>
      <c r="AU362" s="318"/>
      <c r="AV362" s="223"/>
      <c r="AW362" s="318"/>
      <c r="AX362" s="223"/>
      <c r="AY362" s="318">
        <f t="shared" si="214"/>
        <v>178</v>
      </c>
      <c r="AZ362" s="223"/>
      <c r="BA362" s="318"/>
      <c r="BB362" s="519">
        <f t="shared" si="215"/>
        <v>100</v>
      </c>
      <c r="BC362" s="518">
        <v>0</v>
      </c>
      <c r="BD362" s="518">
        <v>0</v>
      </c>
      <c r="BE362" s="518">
        <v>0</v>
      </c>
      <c r="BF362" s="518">
        <v>0</v>
      </c>
      <c r="BG362" s="518">
        <v>0</v>
      </c>
      <c r="BH362" s="518">
        <v>0</v>
      </c>
      <c r="BI362" s="518">
        <v>0</v>
      </c>
      <c r="BJ362" s="518">
        <v>0</v>
      </c>
      <c r="BK362" s="518">
        <v>0</v>
      </c>
      <c r="BL362" s="518">
        <v>0</v>
      </c>
      <c r="BM362" s="518">
        <v>0</v>
      </c>
      <c r="BN362" s="518">
        <v>100</v>
      </c>
      <c r="BO362" s="367">
        <f t="shared" si="188"/>
        <v>178</v>
      </c>
      <c r="BP362" s="421"/>
      <c r="BQ362" s="422"/>
      <c r="BR362" s="423">
        <f>IFERROR(IF(LEFT($A362,3)="Lcp",SUMIFS('BASE-LCP'!$K:$K,'BASE-LCP'!$A:$A,Capex!$A396,'BASE-LCP'!$B:$B,"janeiro")/1000,IF(LEFT($A362,3)="icp",SUMIFS('BASE-ICP'!$K:$K,'BASE-ICP'!$A:$A,Capex!$A396,'BASE-ICP'!$B:$B,"janeiro")/1000,"")),"")</f>
        <v>0</v>
      </c>
      <c r="BS362" s="427"/>
      <c r="BT362" s="372"/>
      <c r="BU362" s="422"/>
      <c r="BV362" s="423">
        <f>IFERROR(IF(LEFT($A362,3)="Lcp",SUMIFS('BASE-LCP'!$K:$K,'BASE-LCP'!$A:$A,Capex!$A396,'BASE-LCP'!$B:$B,"fevereiro")/1000,IF(LEFT($A362,3)="icp",SUMIFS('BASE-ICP'!$K:$K,'BASE-ICP'!$A:$A,Capex!$A396,'BASE-ICP'!$B:$B,"fevereiro")/1000,"")),"")</f>
        <v>0</v>
      </c>
      <c r="BW362" s="427"/>
      <c r="BX362" s="372"/>
      <c r="BY362" s="419"/>
      <c r="BZ362" s="423">
        <f>IFERROR(IF(LEFT($A362,3)="Lcp",SUMIFS('BASE-LCP'!$K:$K,'BASE-LCP'!$A:$A,Capex!$A396,'BASE-LCP'!$B:$B,"março")/1000,IF(LEFT($A362,3)="icp",SUMIFS('BASE-ICP'!$K:$K,'BASE-ICP'!$A:$A,Capex!$A396,'BASE-ICP'!$B:$B,"março")/1000,"")),"")</f>
        <v>4.337880000000002</v>
      </c>
      <c r="CA362" s="427"/>
      <c r="CB362" s="372"/>
      <c r="CC362" s="422"/>
      <c r="CD362" s="423">
        <f>IFERROR(IF(LEFT($A362,3)="Lcp",SUMIFS('BASE-LCP'!$K:$K,'BASE-LCP'!$A:$A,Capex!$A396,'BASE-LCP'!$B:$B,"abril")/1000,IF(LEFT($A362,3)="icp",SUMIFS('BASE-ICP'!$K:$K,'BASE-ICP'!$A:$A,Capex!$A396,'BASE-ICP'!$B:$B,"abril")/1000,"")),"")</f>
        <v>225.96536</v>
      </c>
      <c r="CE362" s="427"/>
      <c r="CF362" s="372"/>
      <c r="CG362" s="419"/>
      <c r="CH362" s="423">
        <v>0</v>
      </c>
      <c r="CI362" s="427"/>
      <c r="CJ362" s="372"/>
      <c r="CK362" s="419"/>
      <c r="CL362" s="423">
        <f>IFERROR(IF(LEFT($A362,3)="Lcp",SUMIFS('BASE-LCP'!$K:$K,'BASE-LCP'!$A:$A,Capex!$A396,'BASE-LCP'!$B:$B,"junho")/1000,IF(LEFT($A362,3)="icp",SUMIFS('BASE-ICP'!$K:$K,'BASE-ICP'!$A:$A,Capex!$A396,'BASE-ICP'!$B:$B,"junho")/1000,"")),"")</f>
        <v>0</v>
      </c>
      <c r="CM362" s="427"/>
      <c r="CN362" s="372"/>
      <c r="CO362" s="419"/>
      <c r="CP362" s="423">
        <f>IFERROR(IF(LEFT($A362,3)="Lcp",SUMIFS('BASE-LCP'!$K:$K,'BASE-LCP'!$A:$A,Capex!$A396,'BASE-LCP'!$B:$B,"julho")/1000,IF(LEFT($A362,3)="icp",SUMIFS('BASE-ICP'!$K:$K,'BASE-ICP'!$A:$A,Capex!$A396,'BASE-ICP'!$B:$B,"julho")/1000,"")),"")</f>
        <v>3.1574300000000002</v>
      </c>
      <c r="CQ362" s="427"/>
      <c r="CR362" s="372"/>
      <c r="CS362" s="419"/>
      <c r="CT362" s="423">
        <f>IFERROR(IF(LEFT($A362,3)="Lcp",SUMIFS('BASE-LCP'!$K:$K,'BASE-LCP'!$A:$A,Capex!$A396,'BASE-LCP'!$B:$B,"agosto")/1000,IF(LEFT($A362,3)="icp",SUMIFS('BASE-ICP'!$K:$K,'BASE-ICP'!$A:$A,Capex!$A396,'BASE-ICP'!$B:$B,"agosto")/1000,"")),"")</f>
        <v>0</v>
      </c>
      <c r="CU362" s="427"/>
      <c r="CV362" s="372"/>
      <c r="CW362" s="419"/>
      <c r="CX362" s="423">
        <f>IFERROR(IF(LEFT($A362,3)="Lcp",SUMIFS('BASE-LCP'!$K:$K,'BASE-LCP'!$A:$A,Capex!$A396,'BASE-LCP'!$B:$B,"setembro")/1000,IF(LEFT($A362,3)="icp",SUMIFS('BASE-ICP'!$K:$K,'BASE-ICP'!$A:$A,Capex!$A396,'BASE-ICP'!$B:$B,"setembro")/1000,"")),"")</f>
        <v>0</v>
      </c>
      <c r="CY362" s="427"/>
      <c r="CZ362" s="372"/>
      <c r="DA362" s="419"/>
      <c r="DB362" s="423">
        <f>IFERROR(IF(LEFT($A362,3)="Lcp",SUMIFS('BASE-LCP'!$K:$K,'BASE-LCP'!$A:$A,Capex!$A396,'BASE-LCP'!$B:$B,"outubro")/1000,IF(LEFT($A362,3)="icp",SUMIFS('BASE-ICP'!$K:$K,'BASE-ICP'!$A:$A,Capex!$A396,'BASE-ICP'!$B:$B,"outubro")/1000,"")),"")</f>
        <v>0</v>
      </c>
      <c r="DC362" s="427"/>
      <c r="DD362" s="372"/>
      <c r="DE362" s="419"/>
      <c r="DF362" s="423">
        <f>IFERROR(IF(LEFT($A362,3)="Lcp",SUMIFS('BASE-LCP'!$K:$K,'BASE-LCP'!$A:$A,Capex!$A396,'BASE-LCP'!$B:$B,"novembro")/1000,IF(LEFT($A362,3)="icp",SUMIFS('BASE-ICP'!$K:$K,'BASE-ICP'!$A:$A,Capex!$A396,'BASE-ICP'!$B:$B,"novembro")/1000,"")),"")</f>
        <v>0</v>
      </c>
      <c r="DG362" s="427">
        <v>100</v>
      </c>
      <c r="DH362" s="372"/>
      <c r="DI362" s="419"/>
      <c r="DJ362" s="423">
        <f>IFERROR(IF(LEFT($A362,3)="Lcp",SUMIFS('BASE-LCP'!$K:$K,'BASE-LCP'!$A:$A,Capex!$A396,'BASE-LCP'!$B:$B,"dezembro")/1000,IF(LEFT($A362,3)="icp",SUMIFS('BASE-ICP'!$K:$K,'BASE-ICP'!$A:$A,Capex!$A396,'BASE-ICP'!$B:$B,"dezembro")/1000,"")),"")</f>
        <v>0</v>
      </c>
      <c r="DK362" s="427">
        <v>78</v>
      </c>
      <c r="DL362" s="452">
        <f t="shared" si="189"/>
        <v>1217</v>
      </c>
      <c r="DM362" s="374"/>
      <c r="DN362" s="374">
        <f>295+922</f>
        <v>1217</v>
      </c>
      <c r="DO362" s="374"/>
      <c r="DP362" s="374"/>
      <c r="DQ362" s="374"/>
      <c r="DR362" s="374"/>
      <c r="DS362" s="374"/>
      <c r="DT362" s="374"/>
      <c r="DU362" s="374"/>
      <c r="DV362" s="374"/>
      <c r="DW362" s="374"/>
      <c r="DX362" s="374"/>
      <c r="DY362" s="450"/>
      <c r="DZ362" s="374">
        <f t="shared" si="190"/>
        <v>1217</v>
      </c>
      <c r="EA362" s="216">
        <f t="shared" si="191"/>
        <v>0</v>
      </c>
      <c r="EB362" s="320">
        <f t="shared" si="192"/>
        <v>0</v>
      </c>
      <c r="EC362" s="241">
        <f t="shared" si="193"/>
        <v>0</v>
      </c>
      <c r="ED362" s="241">
        <f t="shared" si="194"/>
        <v>0</v>
      </c>
      <c r="EE362" s="241">
        <f t="shared" si="195"/>
        <v>0</v>
      </c>
      <c r="EF362" s="241">
        <f t="shared" si="196"/>
        <v>178</v>
      </c>
      <c r="EG362" s="346">
        <f t="shared" si="197"/>
        <v>78</v>
      </c>
      <c r="EH362" s="445">
        <f t="shared" si="198"/>
        <v>0</v>
      </c>
      <c r="EI362" s="447">
        <f t="shared" si="199"/>
        <v>0</v>
      </c>
      <c r="EJ362" s="364">
        <f t="shared" si="200"/>
        <v>0</v>
      </c>
      <c r="EK362" s="365">
        <f t="shared" si="201"/>
        <v>178</v>
      </c>
      <c r="EL362" s="529">
        <f t="shared" si="202"/>
        <v>178</v>
      </c>
      <c r="EM362" s="530">
        <v>0</v>
      </c>
      <c r="EN362" s="530">
        <v>0</v>
      </c>
      <c r="EO362" s="530">
        <v>0</v>
      </c>
      <c r="EP362" s="530">
        <v>0</v>
      </c>
      <c r="EQ362" s="530">
        <v>0</v>
      </c>
      <c r="ER362" s="530">
        <v>0</v>
      </c>
      <c r="ES362" s="530">
        <v>0</v>
      </c>
      <c r="ET362" s="530">
        <v>0</v>
      </c>
      <c r="EU362" s="530">
        <v>0</v>
      </c>
      <c r="EV362" s="530">
        <v>0</v>
      </c>
      <c r="EW362" s="530">
        <v>100</v>
      </c>
      <c r="EX362" s="530">
        <v>78</v>
      </c>
      <c r="EY362" s="530">
        <f t="shared" si="203"/>
        <v>0</v>
      </c>
      <c r="EZ362" s="530">
        <f t="shared" si="204"/>
        <v>0</v>
      </c>
      <c r="FA362" s="530">
        <f t="shared" si="205"/>
        <v>0</v>
      </c>
      <c r="FB362" s="530">
        <f t="shared" si="206"/>
        <v>178</v>
      </c>
      <c r="FC362" s="384">
        <f>IFERROR(VLOOKUP(Capex!A396,BASE_558!D:R,8,FALSE)/1000,"")</f>
        <v>841.07399999999996</v>
      </c>
      <c r="FD362" s="328">
        <f>IFERROR(VLOOKUP(Capex!A396,BASE_558!D:R,9,)/1000,"")</f>
        <v>309.71100000000001</v>
      </c>
      <c r="FE362" s="328">
        <f>IFERROR(IF(LEFT(A362,3)="LCP",(VLOOKUP(Capex!A396,BASE_558!D:R,10,)/1000),SUMIFS('BASE ICP_PO_SC'!F:F,'BASE ICP_PO_SC'!A:A,Capex!A396,'BASE ICP_PO_SC'!E:E,"&lt;&gt;")/1000),"")</f>
        <v>254.33985000000001</v>
      </c>
      <c r="FF362" s="328">
        <f>IFERROR(IF(LEFT(A362,3)="LCP",(VLOOKUP(Capex!A396,BASE_558!D:R,11,)/1000),SUMIFS('BASE ICP_PO_SC'!F:F,'BASE ICP_PO_SC'!A:A,Capex!A396,'BASE ICP_PO_SC'!E:E,"")/1000),"")</f>
        <v>7.1050500000000003</v>
      </c>
      <c r="FG362" s="328">
        <f>IFERROR(VLOOKUP(A362,BASE_558!D:R,13,FALSE)/1000,"")</f>
        <v>0</v>
      </c>
      <c r="FH362" s="328">
        <f>IFERROR(VLOOKUP(A362,BASE_558!D:R,15,FALSE)/1000,"")</f>
        <v>0</v>
      </c>
      <c r="FI362" s="547">
        <f t="shared" si="207"/>
        <v>0</v>
      </c>
      <c r="FJ362" s="547">
        <f t="shared" si="208"/>
        <v>0</v>
      </c>
      <c r="FK362" s="540">
        <f t="shared" si="209"/>
        <v>0</v>
      </c>
    </row>
    <row r="363" spans="1:167" s="23" customFormat="1" ht="24" customHeight="1">
      <c r="A363" s="310" t="s">
        <v>17720</v>
      </c>
      <c r="B363" s="404"/>
      <c r="C363" s="404"/>
      <c r="D363" s="338"/>
      <c r="E363" s="378"/>
      <c r="F363" s="5"/>
      <c r="G363" s="310" t="s">
        <v>8</v>
      </c>
      <c r="H363" s="338"/>
      <c r="I363" s="356"/>
      <c r="J363" s="356">
        <v>2025</v>
      </c>
      <c r="K363" s="321"/>
      <c r="L363" s="316"/>
      <c r="M363" s="409"/>
      <c r="N363" s="317"/>
      <c r="O363" s="317"/>
      <c r="P363" s="418" t="str">
        <f t="shared" si="216"/>
        <v>N/A</v>
      </c>
      <c r="Q363" s="418" t="str">
        <f t="shared" si="216"/>
        <v>N/A</v>
      </c>
      <c r="R363" s="418" t="str">
        <f t="shared" si="216"/>
        <v>N/A</v>
      </c>
      <c r="S363" s="418" t="str">
        <f t="shared" si="216"/>
        <v>N/A</v>
      </c>
      <c r="T363" s="418" t="str">
        <f t="shared" si="216"/>
        <v>N/A</v>
      </c>
      <c r="U363" s="418" t="str">
        <f t="shared" si="216"/>
        <v>N/A</v>
      </c>
      <c r="V363" s="418" t="str">
        <f t="shared" si="216"/>
        <v>N/A</v>
      </c>
      <c r="W363" s="418" t="str">
        <f t="shared" si="216"/>
        <v>N/A</v>
      </c>
      <c r="X363" s="418" t="str">
        <f t="shared" si="216"/>
        <v>N/A</v>
      </c>
      <c r="Y363" s="418" t="str">
        <f t="shared" si="216"/>
        <v>N/A</v>
      </c>
      <c r="Z363" s="418" t="str">
        <f t="shared" si="216"/>
        <v>N/A</v>
      </c>
      <c r="AA363" s="418" t="str">
        <f t="shared" si="216"/>
        <v>N/A</v>
      </c>
      <c r="AB363" s="350"/>
      <c r="AC363" s="309" t="s">
        <v>3932</v>
      </c>
      <c r="AD363" s="311"/>
      <c r="AE363" s="382"/>
      <c r="AF363" s="310" t="s">
        <v>6985</v>
      </c>
      <c r="AG363" s="310" t="s">
        <v>2186</v>
      </c>
      <c r="AH363" s="310" t="s">
        <v>17721</v>
      </c>
      <c r="AI363" s="309" t="s">
        <v>2255</v>
      </c>
      <c r="AJ363" s="6" t="s">
        <v>733</v>
      </c>
      <c r="AK363" s="6" t="str">
        <f t="shared" si="187"/>
        <v>IGUAL</v>
      </c>
      <c r="AL363" s="151" t="str">
        <f>IFERROR(IF(LEFT(A363,3)="LCP",VLOOKUP(A363,STATUS_SAP_LCP!B:C,2,FALSE),VLOOKUP(A363,STATUS_SAP_ICP!B:C,2,FALSE)),"NO BUDGET")</f>
        <v>CRTD  //  SUBM BNRL EXPL</v>
      </c>
      <c r="AM363" s="6" t="str">
        <f t="shared" si="185"/>
        <v>CRTD</v>
      </c>
      <c r="AN363" s="428" t="s">
        <v>17792</v>
      </c>
      <c r="AO363" s="414"/>
      <c r="AP363" s="499" t="s">
        <v>9615</v>
      </c>
      <c r="AQ363" s="465">
        <v>46387</v>
      </c>
      <c r="AR363" s="460"/>
      <c r="AS363" s="57"/>
      <c r="AT363" s="185"/>
      <c r="AU363" s="318"/>
      <c r="AV363" s="223"/>
      <c r="AW363" s="318"/>
      <c r="AX363" s="223"/>
      <c r="AY363" s="318">
        <f t="shared" si="214"/>
        <v>250</v>
      </c>
      <c r="AZ363" s="223"/>
      <c r="BA363" s="318"/>
      <c r="BB363" s="519"/>
      <c r="BC363" s="518"/>
      <c r="BD363" s="518"/>
      <c r="BE363" s="518"/>
      <c r="BF363" s="518"/>
      <c r="BG363" s="518"/>
      <c r="BH363" s="518"/>
      <c r="BI363" s="518"/>
      <c r="BJ363" s="518"/>
      <c r="BK363" s="518"/>
      <c r="BL363" s="518"/>
      <c r="BM363" s="518"/>
      <c r="BN363" s="518"/>
      <c r="BO363" s="367">
        <f t="shared" si="188"/>
        <v>250</v>
      </c>
      <c r="BP363" s="421"/>
      <c r="BQ363" s="422"/>
      <c r="BR363" s="423">
        <f>IFERROR(IF(LEFT($A363,3)="Lcp",SUMIFS('BASE-LCP'!$K:$K,'BASE-LCP'!$A:$A,Capex!$A397,'BASE-LCP'!$B:$B,"janeiro")/1000,IF(LEFT($A363,3)="icp",SUMIFS('BASE-ICP'!$K:$K,'BASE-ICP'!$A:$A,Capex!$A397,'BASE-ICP'!$B:$B,"janeiro")/1000,"")),"")</f>
        <v>0</v>
      </c>
      <c r="BS363" s="427"/>
      <c r="BT363" s="372"/>
      <c r="BU363" s="422"/>
      <c r="BV363" s="423">
        <f>IFERROR(IF(LEFT($A363,3)="Lcp",SUMIFS('BASE-LCP'!$K:$K,'BASE-LCP'!$A:$A,Capex!$A397,'BASE-LCP'!$B:$B,"fevereiro")/1000,IF(LEFT($A363,3)="icp",SUMIFS('BASE-ICP'!$K:$K,'BASE-ICP'!$A:$A,Capex!$A397,'BASE-ICP'!$B:$B,"fevereiro")/1000,"")),"")</f>
        <v>0</v>
      </c>
      <c r="BW363" s="427"/>
      <c r="BX363" s="372"/>
      <c r="BY363" s="419"/>
      <c r="BZ363" s="423">
        <f>IFERROR(IF(LEFT($A363,3)="Lcp",SUMIFS('BASE-LCP'!$K:$K,'BASE-LCP'!$A:$A,Capex!$A397,'BASE-LCP'!$B:$B,"março")/1000,IF(LEFT($A363,3)="icp",SUMIFS('BASE-ICP'!$K:$K,'BASE-ICP'!$A:$A,Capex!$A397,'BASE-ICP'!$B:$B,"março")/1000,"")),"")</f>
        <v>0</v>
      </c>
      <c r="CA363" s="427"/>
      <c r="CB363" s="372"/>
      <c r="CC363" s="422"/>
      <c r="CD363" s="423">
        <f>IFERROR(IF(LEFT($A363,3)="Lcp",SUMIFS('BASE-LCP'!$K:$K,'BASE-LCP'!$A:$A,Capex!$A397,'BASE-LCP'!$B:$B,"abril")/1000,IF(LEFT($A363,3)="icp",SUMIFS('BASE-ICP'!$K:$K,'BASE-ICP'!$A:$A,Capex!$A397,'BASE-ICP'!$B:$B,"abril")/1000,"")),"")</f>
        <v>0</v>
      </c>
      <c r="CE363" s="427"/>
      <c r="CF363" s="372"/>
      <c r="CG363" s="419"/>
      <c r="CH363" s="423">
        <v>0</v>
      </c>
      <c r="CI363" s="427"/>
      <c r="CJ363" s="372"/>
      <c r="CK363" s="419"/>
      <c r="CL363" s="423">
        <f>IFERROR(IF(LEFT($A363,3)="Lcp",SUMIFS('BASE-LCP'!$K:$K,'BASE-LCP'!$A:$A,Capex!$A397,'BASE-LCP'!$B:$B,"junho")/1000,IF(LEFT($A363,3)="icp",SUMIFS('BASE-ICP'!$K:$K,'BASE-ICP'!$A:$A,Capex!$A397,'BASE-ICP'!$B:$B,"junho")/1000,"")),"")</f>
        <v>0</v>
      </c>
      <c r="CM363" s="427"/>
      <c r="CN363" s="372"/>
      <c r="CO363" s="419"/>
      <c r="CP363" s="423">
        <f>IFERROR(IF(LEFT($A363,3)="Lcp",SUMIFS('BASE-LCP'!$K:$K,'BASE-LCP'!$A:$A,Capex!$A397,'BASE-LCP'!$B:$B,"julho")/1000,IF(LEFT($A363,3)="icp",SUMIFS('BASE-ICP'!$K:$K,'BASE-ICP'!$A:$A,Capex!$A397,'BASE-ICP'!$B:$B,"julho")/1000,"")),"")</f>
        <v>0</v>
      </c>
      <c r="CQ363" s="427"/>
      <c r="CR363" s="372"/>
      <c r="CS363" s="419"/>
      <c r="CT363" s="423">
        <f>IFERROR(IF(LEFT($A363,3)="Lcp",SUMIFS('BASE-LCP'!$K:$K,'BASE-LCP'!$A:$A,Capex!$A397,'BASE-LCP'!$B:$B,"agosto")/1000,IF(LEFT($A363,3)="icp",SUMIFS('BASE-ICP'!$K:$K,'BASE-ICP'!$A:$A,Capex!$A397,'BASE-ICP'!$B:$B,"agosto")/1000,"")),"")</f>
        <v>0</v>
      </c>
      <c r="CU363" s="427"/>
      <c r="CV363" s="372"/>
      <c r="CW363" s="419"/>
      <c r="CX363" s="423">
        <f>IFERROR(IF(LEFT($A363,3)="Lcp",SUMIFS('BASE-LCP'!$K:$K,'BASE-LCP'!$A:$A,Capex!$A397,'BASE-LCP'!$B:$B,"setembro")/1000,IF(LEFT($A363,3)="icp",SUMIFS('BASE-ICP'!$K:$K,'BASE-ICP'!$A:$A,Capex!$A397,'BASE-ICP'!$B:$B,"setembro")/1000,"")),"")</f>
        <v>0</v>
      </c>
      <c r="CY363" s="427">
        <v>50</v>
      </c>
      <c r="CZ363" s="372"/>
      <c r="DA363" s="419"/>
      <c r="DB363" s="423">
        <f>IFERROR(IF(LEFT($A363,3)="Lcp",SUMIFS('BASE-LCP'!$K:$K,'BASE-LCP'!$A:$A,Capex!$A397,'BASE-LCP'!$B:$B,"outubro")/1000,IF(LEFT($A363,3)="icp",SUMIFS('BASE-ICP'!$K:$K,'BASE-ICP'!$A:$A,Capex!$A397,'BASE-ICP'!$B:$B,"outubro")/1000,"")),"")</f>
        <v>0</v>
      </c>
      <c r="DC363" s="427"/>
      <c r="DD363" s="372"/>
      <c r="DE363" s="419"/>
      <c r="DF363" s="423">
        <f>IFERROR(IF(LEFT($A363,3)="Lcp",SUMIFS('BASE-LCP'!$K:$K,'BASE-LCP'!$A:$A,Capex!$A397,'BASE-LCP'!$B:$B,"novembro")/1000,IF(LEFT($A363,3)="icp",SUMIFS('BASE-ICP'!$K:$K,'BASE-ICP'!$A:$A,Capex!$A397,'BASE-ICP'!$B:$B,"novembro")/1000,"")),"")</f>
        <v>0</v>
      </c>
      <c r="DG363" s="427"/>
      <c r="DH363" s="372"/>
      <c r="DI363" s="419"/>
      <c r="DJ363" s="423">
        <f>IFERROR(IF(LEFT($A363,3)="Lcp",SUMIFS('BASE-LCP'!$K:$K,'BASE-LCP'!$A:$A,Capex!$A397,'BASE-LCP'!$B:$B,"dezembro")/1000,IF(LEFT($A363,3)="icp",SUMIFS('BASE-ICP'!$K:$K,'BASE-ICP'!$A:$A,Capex!$A397,'BASE-ICP'!$B:$B,"dezembro")/1000,"")),"")</f>
        <v>0</v>
      </c>
      <c r="DK363" s="427">
        <v>200</v>
      </c>
      <c r="DL363" s="452">
        <f t="shared" si="189"/>
        <v>31</v>
      </c>
      <c r="DM363" s="374"/>
      <c r="DN363" s="374">
        <v>31</v>
      </c>
      <c r="DO363" s="374"/>
      <c r="DP363" s="374"/>
      <c r="DQ363" s="374"/>
      <c r="DR363" s="374"/>
      <c r="DS363" s="374"/>
      <c r="DT363" s="374"/>
      <c r="DU363" s="374"/>
      <c r="DV363" s="374"/>
      <c r="DW363" s="374"/>
      <c r="DX363" s="374"/>
      <c r="DY363" s="450"/>
      <c r="DZ363" s="374">
        <f t="shared" si="190"/>
        <v>31</v>
      </c>
      <c r="EA363" s="216">
        <f t="shared" si="191"/>
        <v>0</v>
      </c>
      <c r="EB363" s="320">
        <f t="shared" si="192"/>
        <v>0</v>
      </c>
      <c r="EC363" s="241">
        <f t="shared" si="193"/>
        <v>0</v>
      </c>
      <c r="ED363" s="241">
        <f t="shared" si="194"/>
        <v>0</v>
      </c>
      <c r="EE363" s="241">
        <f t="shared" si="195"/>
        <v>50</v>
      </c>
      <c r="EF363" s="241">
        <f t="shared" si="196"/>
        <v>200</v>
      </c>
      <c r="EG363" s="346">
        <f t="shared" si="197"/>
        <v>250</v>
      </c>
      <c r="EH363" s="445">
        <f t="shared" si="198"/>
        <v>0</v>
      </c>
      <c r="EI363" s="447">
        <f t="shared" si="199"/>
        <v>0</v>
      </c>
      <c r="EJ363" s="364">
        <f t="shared" si="200"/>
        <v>0</v>
      </c>
      <c r="EK363" s="365">
        <f t="shared" si="201"/>
        <v>250</v>
      </c>
      <c r="EL363" s="529">
        <f t="shared" si="202"/>
        <v>250</v>
      </c>
      <c r="EM363" s="530">
        <v>0</v>
      </c>
      <c r="EN363" s="530">
        <v>0</v>
      </c>
      <c r="EO363" s="530">
        <v>0</v>
      </c>
      <c r="EP363" s="530">
        <v>0</v>
      </c>
      <c r="EQ363" s="530">
        <v>0</v>
      </c>
      <c r="ER363" s="530">
        <v>0</v>
      </c>
      <c r="ES363" s="530">
        <v>0</v>
      </c>
      <c r="ET363" s="530">
        <v>0</v>
      </c>
      <c r="EU363" s="530">
        <v>50</v>
      </c>
      <c r="EV363" s="530">
        <v>0</v>
      </c>
      <c r="EW363" s="530">
        <v>0</v>
      </c>
      <c r="EX363" s="530">
        <v>200</v>
      </c>
      <c r="EY363" s="530">
        <f t="shared" si="203"/>
        <v>0</v>
      </c>
      <c r="EZ363" s="530">
        <f t="shared" si="204"/>
        <v>0</v>
      </c>
      <c r="FA363" s="530">
        <f t="shared" si="205"/>
        <v>50</v>
      </c>
      <c r="FB363" s="530">
        <f t="shared" si="206"/>
        <v>200</v>
      </c>
      <c r="FC363" s="384">
        <f>IFERROR(VLOOKUP(Capex!A397,BASE_558!D:R,8,FALSE)/1000,"")</f>
        <v>20</v>
      </c>
      <c r="FD363" s="328">
        <f>IFERROR(VLOOKUP(Capex!A397,BASE_558!D:R,9,)/1000,"")</f>
        <v>0</v>
      </c>
      <c r="FE363" s="328">
        <f>IFERROR(IF(LEFT(A363,3)="LCP",(VLOOKUP(Capex!A397,BASE_558!D:R,10,)/1000),SUMIFS('BASE ICP_PO_SC'!F:F,'BASE ICP_PO_SC'!A:A,Capex!A397,'BASE ICP_PO_SC'!E:E,"&lt;&gt;")/1000),"")</f>
        <v>16.980910000000002</v>
      </c>
      <c r="FF363" s="328">
        <f>IFERROR(IF(LEFT(A363,3)="LCP",(VLOOKUP(Capex!A397,BASE_558!D:R,11,)/1000),SUMIFS('BASE ICP_PO_SC'!F:F,'BASE ICP_PO_SC'!A:A,Capex!A397,'BASE ICP_PO_SC'!E:E,"")/1000),"")</f>
        <v>0</v>
      </c>
      <c r="FG363" s="328">
        <f>IFERROR(VLOOKUP(A363,BASE_558!D:R,13,FALSE)/1000,"")</f>
        <v>0</v>
      </c>
      <c r="FH363" s="328">
        <f>IFERROR(VLOOKUP(A363,BASE_558!D:R,15,FALSE)/1000,"")</f>
        <v>0</v>
      </c>
      <c r="FI363" s="547">
        <f t="shared" si="207"/>
        <v>0</v>
      </c>
      <c r="FJ363" s="547">
        <f t="shared" si="208"/>
        <v>0</v>
      </c>
      <c r="FK363" s="540">
        <f t="shared" si="209"/>
        <v>0</v>
      </c>
    </row>
    <row r="364" spans="1:167" s="23" customFormat="1" ht="24" customHeight="1">
      <c r="A364" s="310" t="s">
        <v>12251</v>
      </c>
      <c r="B364" s="404"/>
      <c r="C364" s="404"/>
      <c r="D364" s="338"/>
      <c r="E364" s="378"/>
      <c r="F364" s="5"/>
      <c r="G364" s="310" t="s">
        <v>8</v>
      </c>
      <c r="H364" s="356"/>
      <c r="I364" s="356"/>
      <c r="J364" s="356">
        <v>2025</v>
      </c>
      <c r="K364" s="321"/>
      <c r="L364" s="316"/>
      <c r="M364" s="409"/>
      <c r="N364" s="317" t="str">
        <f t="shared" ref="N364:N409" si="217">IF(K364+912=912,"",K364+912)</f>
        <v/>
      </c>
      <c r="O364" s="317" t="str">
        <f t="shared" ref="O364:O409" si="218">IF(K364+1277=1277,"",K364+1277)</f>
        <v/>
      </c>
      <c r="P364" s="418" t="str">
        <f t="shared" si="216"/>
        <v>N/A</v>
      </c>
      <c r="Q364" s="418" t="str">
        <f t="shared" si="216"/>
        <v>N/A</v>
      </c>
      <c r="R364" s="418" t="str">
        <f t="shared" si="216"/>
        <v>N/A</v>
      </c>
      <c r="S364" s="418" t="str">
        <f t="shared" si="216"/>
        <v>N/A</v>
      </c>
      <c r="T364" s="418" t="str">
        <f t="shared" si="216"/>
        <v>N/A</v>
      </c>
      <c r="U364" s="418" t="str">
        <f t="shared" si="216"/>
        <v>N/A</v>
      </c>
      <c r="V364" s="418" t="str">
        <f t="shared" si="216"/>
        <v>N/A</v>
      </c>
      <c r="W364" s="418" t="str">
        <f t="shared" si="216"/>
        <v>N/A</v>
      </c>
      <c r="X364" s="418" t="str">
        <f t="shared" si="216"/>
        <v>N/A</v>
      </c>
      <c r="Y364" s="418" t="str">
        <f t="shared" si="216"/>
        <v>N/A</v>
      </c>
      <c r="Z364" s="418" t="str">
        <f t="shared" si="216"/>
        <v>N/A</v>
      </c>
      <c r="AA364" s="418" t="str">
        <f t="shared" si="216"/>
        <v>N/A</v>
      </c>
      <c r="AB364" s="350"/>
      <c r="AC364" s="309" t="s">
        <v>2508</v>
      </c>
      <c r="AD364" s="311"/>
      <c r="AE364" s="382"/>
      <c r="AF364" s="310" t="s">
        <v>6985</v>
      </c>
      <c r="AG364" s="310" t="s">
        <v>6882</v>
      </c>
      <c r="AH364" s="310" t="s">
        <v>7439</v>
      </c>
      <c r="AI364" s="309" t="s">
        <v>2255</v>
      </c>
      <c r="AJ364" s="6" t="s">
        <v>733</v>
      </c>
      <c r="AK364" s="6" t="str">
        <f t="shared" si="187"/>
        <v>IGUAL</v>
      </c>
      <c r="AL364" s="151" t="str">
        <f>IFERROR(IF(LEFT(A364,3)="LCP",VLOOKUP(A364,STATUS_SAP_LCP!B:C,2,FALSE),VLOOKUP(A364,STATUS_SAP_ICP!B:C,2,FALSE)),"NO BUDGET")</f>
        <v>CRTD  //  SUBM BNRL EXPL</v>
      </c>
      <c r="AM364" s="6" t="str">
        <f t="shared" si="185"/>
        <v>CRTD</v>
      </c>
      <c r="AN364" s="428" t="s">
        <v>8954</v>
      </c>
      <c r="AO364" s="557"/>
      <c r="AP364" s="499" t="s">
        <v>9615</v>
      </c>
      <c r="AQ364" s="465">
        <v>46022</v>
      </c>
      <c r="AR364" s="460"/>
      <c r="AS364" s="57"/>
      <c r="AT364" s="185"/>
      <c r="AU364" s="318"/>
      <c r="AV364" s="223"/>
      <c r="AW364" s="318"/>
      <c r="AX364" s="223"/>
      <c r="AY364" s="318">
        <f t="shared" si="214"/>
        <v>50</v>
      </c>
      <c r="AZ364" s="223"/>
      <c r="BA364" s="318"/>
      <c r="BB364" s="519">
        <f t="shared" ref="BB364:BB409" si="219">SUM(BC364:BN364)</f>
        <v>0</v>
      </c>
      <c r="BC364" s="518"/>
      <c r="BD364" s="518"/>
      <c r="BE364" s="518"/>
      <c r="BF364" s="518"/>
      <c r="BG364" s="518"/>
      <c r="BH364" s="518"/>
      <c r="BI364" s="518"/>
      <c r="BJ364" s="518"/>
      <c r="BK364" s="518"/>
      <c r="BL364" s="518"/>
      <c r="BM364" s="518"/>
      <c r="BN364" s="518"/>
      <c r="BO364" s="367">
        <f t="shared" si="188"/>
        <v>50</v>
      </c>
      <c r="BP364" s="421"/>
      <c r="BQ364" s="422"/>
      <c r="BR364" s="423">
        <f>IFERROR(IF(LEFT($A364,3)="Lcp",SUMIFS('BASE-LCP'!$K:$K,'BASE-LCP'!$A:$A,Capex!$A398,'BASE-LCP'!$B:$B,"janeiro")/1000,IF(LEFT($A364,3)="icp",SUMIFS('BASE-ICP'!$K:$K,'BASE-ICP'!$A:$A,Capex!$A398,'BASE-ICP'!$B:$B,"janeiro")/1000,"")),"")</f>
        <v>0</v>
      </c>
      <c r="BS364" s="427"/>
      <c r="BT364" s="372"/>
      <c r="BU364" s="422"/>
      <c r="BV364" s="423">
        <f>IFERROR(IF(LEFT($A364,3)="Lcp",SUMIFS('BASE-LCP'!$K:$K,'BASE-LCP'!$A:$A,Capex!$A398,'BASE-LCP'!$B:$B,"fevereiro")/1000,IF(LEFT($A364,3)="icp",SUMIFS('BASE-ICP'!$K:$K,'BASE-ICP'!$A:$A,Capex!$A398,'BASE-ICP'!$B:$B,"fevereiro")/1000,"")),"")</f>
        <v>0</v>
      </c>
      <c r="BW364" s="427"/>
      <c r="BX364" s="372"/>
      <c r="BY364" s="419"/>
      <c r="BZ364" s="423">
        <f>IFERROR(IF(LEFT($A364,3)="Lcp",SUMIFS('BASE-LCP'!$K:$K,'BASE-LCP'!$A:$A,Capex!$A398,'BASE-LCP'!$B:$B,"março")/1000,IF(LEFT($A364,3)="icp",SUMIFS('BASE-ICP'!$K:$K,'BASE-ICP'!$A:$A,Capex!$A398,'BASE-ICP'!$B:$B,"março")/1000,"")),"")</f>
        <v>0</v>
      </c>
      <c r="CA364" s="427"/>
      <c r="CB364" s="372"/>
      <c r="CC364" s="422"/>
      <c r="CD364" s="423">
        <f>IFERROR(IF(LEFT($A364,3)="Lcp",SUMIFS('BASE-LCP'!$K:$K,'BASE-LCP'!$A:$A,Capex!$A398,'BASE-LCP'!$B:$B,"abril")/1000,IF(LEFT($A364,3)="icp",SUMIFS('BASE-ICP'!$K:$K,'BASE-ICP'!$A:$A,Capex!$A398,'BASE-ICP'!$B:$B,"abril")/1000,"")),"")</f>
        <v>0</v>
      </c>
      <c r="CE364" s="427"/>
      <c r="CF364" s="372"/>
      <c r="CG364" s="419"/>
      <c r="CH364" s="423">
        <v>0</v>
      </c>
      <c r="CI364" s="427"/>
      <c r="CJ364" s="372"/>
      <c r="CK364" s="419"/>
      <c r="CL364" s="423">
        <f>IFERROR(IF(LEFT($A364,3)="Lcp",SUMIFS('BASE-LCP'!$K:$K,'BASE-LCP'!$A:$A,Capex!$A398,'BASE-LCP'!$B:$B,"junho")/1000,IF(LEFT($A364,3)="icp",SUMIFS('BASE-ICP'!$K:$K,'BASE-ICP'!$A:$A,Capex!$A398,'BASE-ICP'!$B:$B,"junho")/1000,"")),"")</f>
        <v>0</v>
      </c>
      <c r="CM364" s="427"/>
      <c r="CN364" s="372"/>
      <c r="CO364" s="419"/>
      <c r="CP364" s="423">
        <f>IFERROR(IF(LEFT($A364,3)="Lcp",SUMIFS('BASE-LCP'!$K:$K,'BASE-LCP'!$A:$A,Capex!$A398,'BASE-LCP'!$B:$B,"julho")/1000,IF(LEFT($A364,3)="icp",SUMIFS('BASE-ICP'!$K:$K,'BASE-ICP'!$A:$A,Capex!$A398,'BASE-ICP'!$B:$B,"julho")/1000,"")),"")</f>
        <v>0</v>
      </c>
      <c r="CQ364" s="427"/>
      <c r="CR364" s="372"/>
      <c r="CS364" s="419"/>
      <c r="CT364" s="423">
        <f>IFERROR(IF(LEFT($A364,3)="Lcp",SUMIFS('BASE-LCP'!$K:$K,'BASE-LCP'!$A:$A,Capex!$A398,'BASE-LCP'!$B:$B,"agosto")/1000,IF(LEFT($A364,3)="icp",SUMIFS('BASE-ICP'!$K:$K,'BASE-ICP'!$A:$A,Capex!$A398,'BASE-ICP'!$B:$B,"agosto")/1000,"")),"")</f>
        <v>0</v>
      </c>
      <c r="CU364" s="427"/>
      <c r="CV364" s="372"/>
      <c r="CW364" s="419"/>
      <c r="CX364" s="423">
        <f>IFERROR(IF(LEFT($A364,3)="Lcp",SUMIFS('BASE-LCP'!$K:$K,'BASE-LCP'!$A:$A,Capex!$A398,'BASE-LCP'!$B:$B,"setembro")/1000,IF(LEFT($A364,3)="icp",SUMIFS('BASE-ICP'!$K:$K,'BASE-ICP'!$A:$A,Capex!$A398,'BASE-ICP'!$B:$B,"setembro")/1000,"")),"")</f>
        <v>0</v>
      </c>
      <c r="CY364" s="427"/>
      <c r="CZ364" s="372"/>
      <c r="DA364" s="419"/>
      <c r="DB364" s="423">
        <f>IFERROR(IF(LEFT($A364,3)="Lcp",SUMIFS('BASE-LCP'!$K:$K,'BASE-LCP'!$A:$A,Capex!$A398,'BASE-LCP'!$B:$B,"outubro")/1000,IF(LEFT($A364,3)="icp",SUMIFS('BASE-ICP'!$K:$K,'BASE-ICP'!$A:$A,Capex!$A398,'BASE-ICP'!$B:$B,"outubro")/1000,"")),"")</f>
        <v>0</v>
      </c>
      <c r="DC364" s="427">
        <v>50</v>
      </c>
      <c r="DD364" s="372"/>
      <c r="DE364" s="419"/>
      <c r="DF364" s="423">
        <f>IFERROR(IF(LEFT($A364,3)="Lcp",SUMIFS('BASE-LCP'!$K:$K,'BASE-LCP'!$A:$A,Capex!$A398,'BASE-LCP'!$B:$B,"novembro")/1000,IF(LEFT($A364,3)="icp",SUMIFS('BASE-ICP'!$K:$K,'BASE-ICP'!$A:$A,Capex!$A398,'BASE-ICP'!$B:$B,"novembro")/1000,"")),"")</f>
        <v>0</v>
      </c>
      <c r="DG364" s="427"/>
      <c r="DH364" s="372"/>
      <c r="DI364" s="419"/>
      <c r="DJ364" s="423">
        <f>IFERROR(IF(LEFT($A364,3)="Lcp",SUMIFS('BASE-LCP'!$K:$K,'BASE-LCP'!$A:$A,Capex!$A398,'BASE-LCP'!$B:$B,"dezembro")/1000,IF(LEFT($A364,3)="icp",SUMIFS('BASE-ICP'!$K:$K,'BASE-ICP'!$A:$A,Capex!$A398,'BASE-ICP'!$B:$B,"dezembro")/1000,"")),"")</f>
        <v>0</v>
      </c>
      <c r="DK364" s="427"/>
      <c r="DL364" s="452">
        <f t="shared" si="189"/>
        <v>0</v>
      </c>
      <c r="DM364" s="374"/>
      <c r="DN364" s="374"/>
      <c r="DO364" s="374"/>
      <c r="DP364" s="374"/>
      <c r="DQ364" s="374"/>
      <c r="DR364" s="374"/>
      <c r="DS364" s="374"/>
      <c r="DT364" s="374"/>
      <c r="DU364" s="374"/>
      <c r="DV364" s="374"/>
      <c r="DW364" s="374"/>
      <c r="DX364" s="374"/>
      <c r="DY364" s="450"/>
      <c r="DZ364" s="374">
        <f t="shared" si="190"/>
        <v>0</v>
      </c>
      <c r="EA364" s="216">
        <f t="shared" si="191"/>
        <v>0</v>
      </c>
      <c r="EB364" s="320">
        <f t="shared" si="192"/>
        <v>0</v>
      </c>
      <c r="EC364" s="241">
        <f t="shared" si="193"/>
        <v>0</v>
      </c>
      <c r="ED364" s="241">
        <f t="shared" si="194"/>
        <v>0</v>
      </c>
      <c r="EE364" s="241">
        <f t="shared" si="195"/>
        <v>0</v>
      </c>
      <c r="EF364" s="241">
        <f t="shared" si="196"/>
        <v>50</v>
      </c>
      <c r="EG364" s="346">
        <f t="shared" si="197"/>
        <v>50</v>
      </c>
      <c r="EH364" s="445">
        <f t="shared" si="198"/>
        <v>0</v>
      </c>
      <c r="EI364" s="447">
        <f t="shared" si="199"/>
        <v>0</v>
      </c>
      <c r="EJ364" s="364">
        <f t="shared" si="200"/>
        <v>0</v>
      </c>
      <c r="EK364" s="365">
        <f t="shared" si="201"/>
        <v>50</v>
      </c>
      <c r="EL364" s="529">
        <f t="shared" si="202"/>
        <v>50</v>
      </c>
      <c r="EM364" s="530">
        <v>0</v>
      </c>
      <c r="EN364" s="530">
        <v>0</v>
      </c>
      <c r="EO364" s="530">
        <v>0</v>
      </c>
      <c r="EP364" s="530">
        <v>0</v>
      </c>
      <c r="EQ364" s="530">
        <v>0</v>
      </c>
      <c r="ER364" s="530">
        <v>0</v>
      </c>
      <c r="ES364" s="530">
        <v>0</v>
      </c>
      <c r="ET364" s="530">
        <v>0</v>
      </c>
      <c r="EU364" s="530">
        <v>0</v>
      </c>
      <c r="EV364" s="530">
        <v>50</v>
      </c>
      <c r="EW364" s="530">
        <v>0</v>
      </c>
      <c r="EX364" s="530">
        <v>0</v>
      </c>
      <c r="EY364" s="530">
        <f t="shared" si="203"/>
        <v>0</v>
      </c>
      <c r="EZ364" s="530">
        <f t="shared" si="204"/>
        <v>0</v>
      </c>
      <c r="FA364" s="530">
        <f t="shared" si="205"/>
        <v>0</v>
      </c>
      <c r="FB364" s="530">
        <f t="shared" si="206"/>
        <v>50</v>
      </c>
      <c r="FC364" s="384">
        <f>IFERROR(VLOOKUP(Capex!A398,BASE_558!D:R,8,FALSE)/1000,"")</f>
        <v>183.905</v>
      </c>
      <c r="FD364" s="328">
        <f>IFERROR(VLOOKUP(Capex!A398,BASE_558!D:R,9,)/1000,"")</f>
        <v>115.20192</v>
      </c>
      <c r="FE364" s="328">
        <f>IFERROR(IF(LEFT(A364,3)="LCP",(VLOOKUP(Capex!A398,BASE_558!D:R,10,)/1000),SUMIFS('BASE ICP_PO_SC'!F:F,'BASE ICP_PO_SC'!A:A,Capex!A398,'BASE ICP_PO_SC'!E:E,"&lt;&gt;")/1000),"")</f>
        <v>0</v>
      </c>
      <c r="FF364" s="328">
        <f>IFERROR(IF(LEFT(A364,3)="LCP",(VLOOKUP(Capex!A398,BASE_558!D:R,11,)/1000),SUMIFS('BASE ICP_PO_SC'!F:F,'BASE ICP_PO_SC'!A:A,Capex!A398,'BASE ICP_PO_SC'!E:E,"")/1000),"")</f>
        <v>14.299659999999999</v>
      </c>
      <c r="FG364" s="328">
        <f>IFERROR(VLOOKUP(A364,BASE_558!D:R,13,FALSE)/1000,"")</f>
        <v>0</v>
      </c>
      <c r="FH364" s="328">
        <f>IFERROR(VLOOKUP(A364,BASE_558!D:R,15,FALSE)/1000,"")</f>
        <v>0</v>
      </c>
      <c r="FI364" s="547">
        <f t="shared" si="207"/>
        <v>0</v>
      </c>
      <c r="FJ364" s="547">
        <f t="shared" si="208"/>
        <v>0</v>
      </c>
      <c r="FK364" s="540">
        <f t="shared" si="209"/>
        <v>0</v>
      </c>
    </row>
    <row r="365" spans="1:167" s="23" customFormat="1" ht="24" customHeight="1">
      <c r="A365" s="310" t="s">
        <v>16992</v>
      </c>
      <c r="B365" s="404"/>
      <c r="C365" s="404"/>
      <c r="D365" s="338"/>
      <c r="E365" s="378">
        <v>10567678</v>
      </c>
      <c r="F365" s="5"/>
      <c r="G365" s="310" t="s">
        <v>8</v>
      </c>
      <c r="H365" s="338"/>
      <c r="I365" s="356"/>
      <c r="J365" s="356">
        <v>2025</v>
      </c>
      <c r="K365" s="321">
        <v>45791</v>
      </c>
      <c r="L365" s="316"/>
      <c r="M365" s="409"/>
      <c r="N365" s="317">
        <f t="shared" si="217"/>
        <v>46703</v>
      </c>
      <c r="O365" s="317">
        <f t="shared" si="218"/>
        <v>47068</v>
      </c>
      <c r="P365" s="418" t="str">
        <f t="shared" ref="P365:AA374" si="220">IF($N365="","N/A",IF($O365="","N/A",IF(P$2&lt;=$N365,"NÃO",IF($AJ365="REL ","SIM",IF(P$2&lt;$O365,"NÃO",IF($AJ365&lt;&gt;"CLSD","SIM","CRTD"))))))</f>
        <v>NÃO</v>
      </c>
      <c r="Q365" s="418" t="str">
        <f t="shared" si="220"/>
        <v>NÃO</v>
      </c>
      <c r="R365" s="418" t="str">
        <f t="shared" si="220"/>
        <v>NÃO</v>
      </c>
      <c r="S365" s="418" t="str">
        <f t="shared" si="220"/>
        <v>NÃO</v>
      </c>
      <c r="T365" s="418" t="str">
        <f t="shared" si="220"/>
        <v>NÃO</v>
      </c>
      <c r="U365" s="418" t="str">
        <f t="shared" si="220"/>
        <v>NÃO</v>
      </c>
      <c r="V365" s="418" t="str">
        <f t="shared" si="220"/>
        <v>NÃO</v>
      </c>
      <c r="W365" s="418" t="str">
        <f t="shared" si="220"/>
        <v>NÃO</v>
      </c>
      <c r="X365" s="418" t="str">
        <f t="shared" si="220"/>
        <v>NÃO</v>
      </c>
      <c r="Y365" s="418" t="str">
        <f t="shared" si="220"/>
        <v>NÃO</v>
      </c>
      <c r="Z365" s="418" t="str">
        <f t="shared" si="220"/>
        <v>NÃO</v>
      </c>
      <c r="AA365" s="418" t="str">
        <f t="shared" si="220"/>
        <v>NÃO</v>
      </c>
      <c r="AB365" s="350"/>
      <c r="AC365" s="309" t="s">
        <v>2508</v>
      </c>
      <c r="AD365" s="311"/>
      <c r="AE365" s="382"/>
      <c r="AF365" s="310" t="s">
        <v>6985</v>
      </c>
      <c r="AG365" s="310" t="s">
        <v>6882</v>
      </c>
      <c r="AH365" s="310" t="s">
        <v>7441</v>
      </c>
      <c r="AI365" s="381" t="s">
        <v>2255</v>
      </c>
      <c r="AJ365" s="6" t="s">
        <v>6786</v>
      </c>
      <c r="AK365" s="6" t="str">
        <f t="shared" si="187"/>
        <v>IGUAL</v>
      </c>
      <c r="AL365" s="151" t="str">
        <f>IFERROR(IF(LEFT(A365,3)="LCP",VLOOKUP(A365,STATUS_SAP_LCP!B:C,2,FALSE),VLOOKUP(A365,STATUS_SAP_ICP!B:C,2,FALSE)),"NO BUDGET")</f>
        <v>REL  BUDG AUC  AVAC  //  APPR BREL EXPL</v>
      </c>
      <c r="AM365" s="6" t="str">
        <f t="shared" si="185"/>
        <v xml:space="preserve">REL </v>
      </c>
      <c r="AN365" s="428" t="s">
        <v>17703</v>
      </c>
      <c r="AO365" s="414"/>
      <c r="AP365" s="499" t="s">
        <v>10779</v>
      </c>
      <c r="AQ365" s="465">
        <v>45991</v>
      </c>
      <c r="AR365" s="460"/>
      <c r="AS365" s="57"/>
      <c r="AT365" s="185"/>
      <c r="AU365" s="318"/>
      <c r="AV365" s="223"/>
      <c r="AW365" s="318"/>
      <c r="AX365" s="223"/>
      <c r="AY365" s="318">
        <f t="shared" si="214"/>
        <v>50</v>
      </c>
      <c r="AZ365" s="223"/>
      <c r="BA365" s="318"/>
      <c r="BB365" s="519">
        <f t="shared" si="219"/>
        <v>0</v>
      </c>
      <c r="BC365" s="518"/>
      <c r="BD365" s="518"/>
      <c r="BE365" s="518"/>
      <c r="BF365" s="518"/>
      <c r="BG365" s="518"/>
      <c r="BH365" s="518"/>
      <c r="BI365" s="518"/>
      <c r="BJ365" s="518"/>
      <c r="BK365" s="518"/>
      <c r="BL365" s="518"/>
      <c r="BM365" s="518"/>
      <c r="BN365" s="518"/>
      <c r="BO365" s="367">
        <f t="shared" si="188"/>
        <v>50</v>
      </c>
      <c r="BP365" s="421"/>
      <c r="BQ365" s="422"/>
      <c r="BR365" s="423">
        <f>IFERROR(IF(LEFT($A365,3)="Lcp",SUMIFS('BASE-LCP'!$K:$K,'BASE-LCP'!$A:$A,Capex!$A399,'BASE-LCP'!$B:$B,"janeiro")/1000,IF(LEFT($A365,3)="icp",SUMIFS('BASE-ICP'!$K:$K,'BASE-ICP'!$A:$A,Capex!$A399,'BASE-ICP'!$B:$B,"janeiro")/1000,"")),"")</f>
        <v>76.362139999999954</v>
      </c>
      <c r="BS365" s="427"/>
      <c r="BT365" s="372"/>
      <c r="BU365" s="422"/>
      <c r="BV365" s="423">
        <f>IFERROR(IF(LEFT($A365,3)="Lcp",SUMIFS('BASE-LCP'!$K:$K,'BASE-LCP'!$A:$A,Capex!$A399,'BASE-LCP'!$B:$B,"fevereiro")/1000,IF(LEFT($A365,3)="icp",SUMIFS('BASE-ICP'!$K:$K,'BASE-ICP'!$A:$A,Capex!$A399,'BASE-ICP'!$B:$B,"fevereiro")/1000,"")),"")</f>
        <v>18.146569999999997</v>
      </c>
      <c r="BW365" s="427"/>
      <c r="BX365" s="372"/>
      <c r="BY365" s="419"/>
      <c r="BZ365" s="423">
        <f>IFERROR(IF(LEFT($A365,3)="Lcp",SUMIFS('BASE-LCP'!$K:$K,'BASE-LCP'!$A:$A,Capex!$A399,'BASE-LCP'!$B:$B,"março")/1000,IF(LEFT($A365,3)="icp",SUMIFS('BASE-ICP'!$K:$K,'BASE-ICP'!$A:$A,Capex!$A399,'BASE-ICP'!$B:$B,"março")/1000,"")),"")</f>
        <v>0.55838999999999983</v>
      </c>
      <c r="CA365" s="427"/>
      <c r="CB365" s="372"/>
      <c r="CC365" s="422"/>
      <c r="CD365" s="423">
        <f>IFERROR(IF(LEFT($A365,3)="Lcp",SUMIFS('BASE-LCP'!$K:$K,'BASE-LCP'!$A:$A,Capex!$A399,'BASE-LCP'!$B:$B,"abril")/1000,IF(LEFT($A365,3)="icp",SUMIFS('BASE-ICP'!$K:$K,'BASE-ICP'!$A:$A,Capex!$A399,'BASE-ICP'!$B:$B,"abril")/1000,"")),"")</f>
        <v>22.208970000000001</v>
      </c>
      <c r="CE365" s="427"/>
      <c r="CF365" s="372"/>
      <c r="CG365" s="419"/>
      <c r="CH365" s="423">
        <v>0</v>
      </c>
      <c r="CI365" s="427"/>
      <c r="CJ365" s="372"/>
      <c r="CK365" s="419"/>
      <c r="CL365" s="423">
        <f>IFERROR(IF(LEFT($A365,3)="Lcp",SUMIFS('BASE-LCP'!$K:$K,'BASE-LCP'!$A:$A,Capex!$A399,'BASE-LCP'!$B:$B,"junho")/1000,IF(LEFT($A365,3)="icp",SUMIFS('BASE-ICP'!$K:$K,'BASE-ICP'!$A:$A,Capex!$A399,'BASE-ICP'!$B:$B,"junho")/1000,"")),"")</f>
        <v>2.8350500000000003</v>
      </c>
      <c r="CM365" s="427"/>
      <c r="CN365" s="372"/>
      <c r="CO365" s="419"/>
      <c r="CP365" s="423">
        <f>IFERROR(IF(LEFT($A365,3)="Lcp",SUMIFS('BASE-LCP'!$K:$K,'BASE-LCP'!$A:$A,Capex!$A399,'BASE-LCP'!$B:$B,"julho")/1000,IF(LEFT($A365,3)="icp",SUMIFS('BASE-ICP'!$K:$K,'BASE-ICP'!$A:$A,Capex!$A399,'BASE-ICP'!$B:$B,"julho")/1000,"")),"")</f>
        <v>41.4833</v>
      </c>
      <c r="CQ365" s="427"/>
      <c r="CR365" s="372"/>
      <c r="CS365" s="419"/>
      <c r="CT365" s="423">
        <f>IFERROR(IF(LEFT($A365,3)="Lcp",SUMIFS('BASE-LCP'!$K:$K,'BASE-LCP'!$A:$A,Capex!$A399,'BASE-LCP'!$B:$B,"agosto")/1000,IF(LEFT($A365,3)="icp",SUMIFS('BASE-ICP'!$K:$K,'BASE-ICP'!$A:$A,Capex!$A399,'BASE-ICP'!$B:$B,"agosto")/1000,"")),"")</f>
        <v>0</v>
      </c>
      <c r="CU365" s="427"/>
      <c r="CV365" s="372"/>
      <c r="CW365" s="419"/>
      <c r="CX365" s="423">
        <f>IFERROR(IF(LEFT($A365,3)="Lcp",SUMIFS('BASE-LCP'!$K:$K,'BASE-LCP'!$A:$A,Capex!$A399,'BASE-LCP'!$B:$B,"setembro")/1000,IF(LEFT($A365,3)="icp",SUMIFS('BASE-ICP'!$K:$K,'BASE-ICP'!$A:$A,Capex!$A399,'BASE-ICP'!$B:$B,"setembro")/1000,"")),"")</f>
        <v>0</v>
      </c>
      <c r="CY365" s="427"/>
      <c r="CZ365" s="372"/>
      <c r="DA365" s="419"/>
      <c r="DB365" s="423">
        <f>IFERROR(IF(LEFT($A365,3)="Lcp",SUMIFS('BASE-LCP'!$K:$K,'BASE-LCP'!$A:$A,Capex!$A399,'BASE-LCP'!$B:$B,"outubro")/1000,IF(LEFT($A365,3)="icp",SUMIFS('BASE-ICP'!$K:$K,'BASE-ICP'!$A:$A,Capex!$A399,'BASE-ICP'!$B:$B,"outubro")/1000,"")),"")</f>
        <v>0</v>
      </c>
      <c r="DC365" s="427"/>
      <c r="DD365" s="372"/>
      <c r="DE365" s="419"/>
      <c r="DF365" s="423">
        <f>IFERROR(IF(LEFT($A365,3)="Lcp",SUMIFS('BASE-LCP'!$K:$K,'BASE-LCP'!$A:$A,Capex!$A399,'BASE-LCP'!$B:$B,"novembro")/1000,IF(LEFT($A365,3)="icp",SUMIFS('BASE-ICP'!$K:$K,'BASE-ICP'!$A:$A,Capex!$A399,'BASE-ICP'!$B:$B,"novembro")/1000,"")),"")</f>
        <v>0</v>
      </c>
      <c r="DG365" s="427">
        <v>25</v>
      </c>
      <c r="DH365" s="372"/>
      <c r="DI365" s="419"/>
      <c r="DJ365" s="423">
        <f>IFERROR(IF(LEFT($A365,3)="Lcp",SUMIFS('BASE-LCP'!$K:$K,'BASE-LCP'!$A:$A,Capex!$A399,'BASE-LCP'!$B:$B,"dezembro")/1000,IF(LEFT($A365,3)="icp",SUMIFS('BASE-ICP'!$K:$K,'BASE-ICP'!$A:$A,Capex!$A399,'BASE-ICP'!$B:$B,"dezembro")/1000,"")),"")</f>
        <v>0</v>
      </c>
      <c r="DK365" s="427">
        <v>25</v>
      </c>
      <c r="DL365" s="452">
        <f t="shared" si="189"/>
        <v>181</v>
      </c>
      <c r="DM365" s="374"/>
      <c r="DN365" s="374">
        <v>181</v>
      </c>
      <c r="DO365" s="374"/>
      <c r="DP365" s="374"/>
      <c r="DQ365" s="374"/>
      <c r="DR365" s="374"/>
      <c r="DS365" s="374"/>
      <c r="DT365" s="374"/>
      <c r="DU365" s="374"/>
      <c r="DV365" s="374"/>
      <c r="DW365" s="374"/>
      <c r="DX365" s="374"/>
      <c r="DY365" s="450"/>
      <c r="DZ365" s="374">
        <f t="shared" si="190"/>
        <v>181</v>
      </c>
      <c r="EA365" s="216">
        <f t="shared" si="191"/>
        <v>0</v>
      </c>
      <c r="EB365" s="320">
        <f t="shared" si="192"/>
        <v>2.8350500000000003</v>
      </c>
      <c r="EC365" s="241">
        <f t="shared" si="193"/>
        <v>0</v>
      </c>
      <c r="ED365" s="241">
        <f t="shared" si="194"/>
        <v>0</v>
      </c>
      <c r="EE365" s="241">
        <f t="shared" si="195"/>
        <v>0</v>
      </c>
      <c r="EF365" s="241">
        <f t="shared" si="196"/>
        <v>50</v>
      </c>
      <c r="EG365" s="346">
        <f t="shared" si="197"/>
        <v>50</v>
      </c>
      <c r="EH365" s="445">
        <f t="shared" si="198"/>
        <v>0</v>
      </c>
      <c r="EI365" s="447">
        <f t="shared" si="199"/>
        <v>0</v>
      </c>
      <c r="EJ365" s="364">
        <f t="shared" si="200"/>
        <v>2.8350500000000003</v>
      </c>
      <c r="EK365" s="365">
        <f t="shared" si="201"/>
        <v>47.164949999999997</v>
      </c>
      <c r="EL365" s="529">
        <f t="shared" si="202"/>
        <v>50</v>
      </c>
      <c r="EM365" s="530">
        <v>0</v>
      </c>
      <c r="EN365" s="530">
        <v>0</v>
      </c>
      <c r="EO365" s="530">
        <v>0</v>
      </c>
      <c r="EP365" s="530">
        <v>0</v>
      </c>
      <c r="EQ365" s="530">
        <v>0</v>
      </c>
      <c r="ER365" s="530">
        <v>0</v>
      </c>
      <c r="ES365" s="530">
        <v>0</v>
      </c>
      <c r="ET365" s="530">
        <v>0</v>
      </c>
      <c r="EU365" s="530">
        <v>0</v>
      </c>
      <c r="EV365" s="530">
        <v>0</v>
      </c>
      <c r="EW365" s="530">
        <v>25</v>
      </c>
      <c r="EX365" s="530">
        <v>25</v>
      </c>
      <c r="EY365" s="530">
        <f t="shared" si="203"/>
        <v>0</v>
      </c>
      <c r="EZ365" s="530">
        <f t="shared" si="204"/>
        <v>0</v>
      </c>
      <c r="FA365" s="530">
        <f t="shared" si="205"/>
        <v>0</v>
      </c>
      <c r="FB365" s="530">
        <f t="shared" si="206"/>
        <v>50</v>
      </c>
      <c r="FC365" s="384">
        <f>IFERROR(VLOOKUP(Capex!A399,BASE_558!D:R,8,FALSE)/1000,"")</f>
        <v>1244.5036</v>
      </c>
      <c r="FD365" s="328">
        <f>IFERROR(VLOOKUP(Capex!A399,BASE_558!D:R,9,)/1000,"")</f>
        <v>1078.04252</v>
      </c>
      <c r="FE365" s="328">
        <f>IFERROR(IF(LEFT(A365,3)="LCP",(VLOOKUP(Capex!A399,BASE_558!D:R,10,)/1000),SUMIFS('BASE ICP_PO_SC'!F:F,'BASE ICP_PO_SC'!A:A,Capex!A399,'BASE ICP_PO_SC'!E:E,"&lt;&gt;")/1000),"")</f>
        <v>66.529020000000003</v>
      </c>
      <c r="FF365" s="328">
        <f>IFERROR(IF(LEFT(A365,3)="LCP",(VLOOKUP(Capex!A399,BASE_558!D:R,11,)/1000),SUMIFS('BASE ICP_PO_SC'!F:F,'BASE ICP_PO_SC'!A:A,Capex!A399,'BASE ICP_PO_SC'!E:E,"")/1000),"")</f>
        <v>0.12364</v>
      </c>
      <c r="FG365" s="328">
        <f>IFERROR(VLOOKUP(A365,BASE_558!D:R,13,FALSE)/1000,"")</f>
        <v>15.3476</v>
      </c>
      <c r="FH365" s="328">
        <f>IFERROR(VLOOKUP(A365,BASE_558!D:R,15,FALSE)/1000,"")</f>
        <v>216.22639999999998</v>
      </c>
      <c r="FI365" s="547">
        <f t="shared" si="207"/>
        <v>0</v>
      </c>
      <c r="FJ365" s="547">
        <f t="shared" si="208"/>
        <v>0</v>
      </c>
      <c r="FK365" s="540">
        <f t="shared" si="209"/>
        <v>0</v>
      </c>
    </row>
    <row r="366" spans="1:167" s="23" customFormat="1" ht="24" customHeight="1">
      <c r="A366" s="548" t="s">
        <v>18525</v>
      </c>
      <c r="B366" s="404"/>
      <c r="C366" s="404"/>
      <c r="D366" s="338"/>
      <c r="E366" s="378"/>
      <c r="F366" s="5"/>
      <c r="G366" s="310" t="s">
        <v>8</v>
      </c>
      <c r="H366" s="338"/>
      <c r="I366" s="356"/>
      <c r="J366" s="356"/>
      <c r="K366" s="321"/>
      <c r="L366" s="316"/>
      <c r="M366" s="409"/>
      <c r="N366" s="317" t="str">
        <f t="shared" si="217"/>
        <v/>
      </c>
      <c r="O366" s="317" t="str">
        <f t="shared" si="218"/>
        <v/>
      </c>
      <c r="P366" s="418" t="str">
        <f t="shared" si="220"/>
        <v>N/A</v>
      </c>
      <c r="Q366" s="418" t="str">
        <f t="shared" si="220"/>
        <v>N/A</v>
      </c>
      <c r="R366" s="418" t="str">
        <f t="shared" si="220"/>
        <v>N/A</v>
      </c>
      <c r="S366" s="418" t="str">
        <f t="shared" si="220"/>
        <v>N/A</v>
      </c>
      <c r="T366" s="418" t="str">
        <f t="shared" si="220"/>
        <v>N/A</v>
      </c>
      <c r="U366" s="418" t="str">
        <f t="shared" si="220"/>
        <v>N/A</v>
      </c>
      <c r="V366" s="418" t="str">
        <f t="shared" si="220"/>
        <v>N/A</v>
      </c>
      <c r="W366" s="418" t="str">
        <f t="shared" si="220"/>
        <v>N/A</v>
      </c>
      <c r="X366" s="418" t="str">
        <f t="shared" si="220"/>
        <v>N/A</v>
      </c>
      <c r="Y366" s="418" t="str">
        <f t="shared" si="220"/>
        <v>N/A</v>
      </c>
      <c r="Z366" s="418" t="str">
        <f t="shared" si="220"/>
        <v>N/A</v>
      </c>
      <c r="AA366" s="418" t="str">
        <f t="shared" si="220"/>
        <v>N/A</v>
      </c>
      <c r="AB366" s="350"/>
      <c r="AC366" s="309" t="s">
        <v>2508</v>
      </c>
      <c r="AD366" s="311"/>
      <c r="AE366" s="382"/>
      <c r="AF366" s="310" t="s">
        <v>6985</v>
      </c>
      <c r="AG366" s="310" t="s">
        <v>6882</v>
      </c>
      <c r="AH366" s="310" t="s">
        <v>18524</v>
      </c>
      <c r="AI366" s="381" t="s">
        <v>186</v>
      </c>
      <c r="AJ366" s="6" t="s">
        <v>733</v>
      </c>
      <c r="AK366" s="6" t="str">
        <f t="shared" si="187"/>
        <v>IGUAL</v>
      </c>
      <c r="AL366" s="151" t="str">
        <f>IFERROR(IF(LEFT(A366,3)="LCP",VLOOKUP(A366,STATUS_SAP_LCP!B:C,2,FALSE),VLOOKUP(A366,STATUS_SAP_ICP!B:C,2,FALSE)),"NO BUDGET")</f>
        <v>CRTD  //  INIT BNRL EXPL</v>
      </c>
      <c r="AM366" s="6" t="str">
        <f t="shared" si="185"/>
        <v>CRTD</v>
      </c>
      <c r="AN366" s="429" t="s">
        <v>8478</v>
      </c>
      <c r="AO366" s="414"/>
      <c r="AP366" s="499" t="s">
        <v>10779</v>
      </c>
      <c r="AQ366" s="465">
        <v>46022</v>
      </c>
      <c r="AR366" s="460"/>
      <c r="AS366" s="57"/>
      <c r="AT366" s="185"/>
      <c r="AU366" s="318"/>
      <c r="AV366" s="223"/>
      <c r="AW366" s="318"/>
      <c r="AX366" s="223"/>
      <c r="AY366" s="318">
        <f t="shared" si="214"/>
        <v>94</v>
      </c>
      <c r="AZ366" s="223"/>
      <c r="BA366" s="318"/>
      <c r="BB366" s="519">
        <f t="shared" si="219"/>
        <v>0</v>
      </c>
      <c r="BC366" s="518"/>
      <c r="BD366" s="518"/>
      <c r="BE366" s="518"/>
      <c r="BF366" s="518"/>
      <c r="BG366" s="518"/>
      <c r="BH366" s="518"/>
      <c r="BI366" s="518"/>
      <c r="BJ366" s="518"/>
      <c r="BK366" s="518"/>
      <c r="BL366" s="518"/>
      <c r="BM366" s="518"/>
      <c r="BN366" s="518"/>
      <c r="BO366" s="367">
        <f t="shared" si="188"/>
        <v>94</v>
      </c>
      <c r="BP366" s="421"/>
      <c r="BQ366" s="422"/>
      <c r="BR366" s="423">
        <f>IFERROR(IF(LEFT($A366,3)="Lcp",SUMIFS('BASE-LCP'!$K:$K,'BASE-LCP'!$A:$A,Capex!$A400,'BASE-LCP'!$B:$B,"janeiro")/1000,IF(LEFT($A366,3)="icp",SUMIFS('BASE-ICP'!$K:$K,'BASE-ICP'!$A:$A,Capex!$A400,'BASE-ICP'!$B:$B,"janeiro")/1000,"")),"")</f>
        <v>22.530610000000003</v>
      </c>
      <c r="BS366" s="427"/>
      <c r="BT366" s="372"/>
      <c r="BU366" s="422"/>
      <c r="BV366" s="423">
        <f>IFERROR(IF(LEFT($A366,3)="Lcp",SUMIFS('BASE-LCP'!$K:$K,'BASE-LCP'!$A:$A,Capex!$A400,'BASE-LCP'!$B:$B,"fevereiro")/1000,IF(LEFT($A366,3)="icp",SUMIFS('BASE-ICP'!$K:$K,'BASE-ICP'!$A:$A,Capex!$A400,'BASE-ICP'!$B:$B,"fevereiro")/1000,"")),"")</f>
        <v>1.7011000000000001</v>
      </c>
      <c r="BW366" s="427"/>
      <c r="BX366" s="372"/>
      <c r="BY366" s="419"/>
      <c r="BZ366" s="423">
        <f>IFERROR(IF(LEFT($A366,3)="Lcp",SUMIFS('BASE-LCP'!$K:$K,'BASE-LCP'!$A:$A,Capex!$A400,'BASE-LCP'!$B:$B,"março")/1000,IF(LEFT($A366,3)="icp",SUMIFS('BASE-ICP'!$K:$K,'BASE-ICP'!$A:$A,Capex!$A400,'BASE-ICP'!$B:$B,"março")/1000,"")),"")</f>
        <v>0</v>
      </c>
      <c r="CA366" s="427"/>
      <c r="CB366" s="372"/>
      <c r="CC366" s="422"/>
      <c r="CD366" s="423">
        <f>IFERROR(IF(LEFT($A366,3)="Lcp",SUMIFS('BASE-LCP'!$K:$K,'BASE-LCP'!$A:$A,Capex!$A400,'BASE-LCP'!$B:$B,"abril")/1000,IF(LEFT($A366,3)="icp",SUMIFS('BASE-ICP'!$K:$K,'BASE-ICP'!$A:$A,Capex!$A400,'BASE-ICP'!$B:$B,"abril")/1000,"")),"")</f>
        <v>98.126839999999987</v>
      </c>
      <c r="CE366" s="427"/>
      <c r="CF366" s="372"/>
      <c r="CG366" s="419"/>
      <c r="CH366" s="423">
        <v>0</v>
      </c>
      <c r="CI366" s="427"/>
      <c r="CJ366" s="372"/>
      <c r="CK366" s="419"/>
      <c r="CL366" s="423">
        <f>IFERROR(IF(LEFT($A366,3)="Lcp",SUMIFS('BASE-LCP'!$K:$K,'BASE-LCP'!$A:$A,Capex!$A401,'BASE-LCP'!$B:$B,"junho")/1000,IF(LEFT($A366,3)="icp",SUMIFS('BASE-ICP'!$K:$K,'BASE-ICP'!$A:$A,Capex!$A401,'BASE-ICP'!$B:$B,"junho")/1000,"")),"")</f>
        <v>36.555510000000005</v>
      </c>
      <c r="CM366" s="427"/>
      <c r="CN366" s="372"/>
      <c r="CO366" s="419"/>
      <c r="CP366" s="423">
        <f>IFERROR(IF(LEFT($A366,3)="Lcp",SUMIFS('BASE-LCP'!$K:$K,'BASE-LCP'!$A:$A,Capex!$A400,'BASE-LCP'!$B:$B,"julho")/1000,IF(LEFT($A366,3)="icp",SUMIFS('BASE-ICP'!$K:$K,'BASE-ICP'!$A:$A,Capex!$A400,'BASE-ICP'!$B:$B,"julho")/1000,"")),"")</f>
        <v>1.21414</v>
      </c>
      <c r="CQ366" s="427"/>
      <c r="CR366" s="372"/>
      <c r="CS366" s="419"/>
      <c r="CT366" s="423">
        <f>IFERROR(IF(LEFT($A366,3)="Lcp",SUMIFS('BASE-LCP'!$K:$K,'BASE-LCP'!$A:$A,Capex!$A400,'BASE-LCP'!$B:$B,"agosto")/1000,IF(LEFT($A366,3)="icp",SUMIFS('BASE-ICP'!$K:$K,'BASE-ICP'!$A:$A,Capex!$A400,'BASE-ICP'!$B:$B,"agosto")/1000,"")),"")</f>
        <v>0</v>
      </c>
      <c r="CU366" s="427"/>
      <c r="CV366" s="372"/>
      <c r="CW366" s="419"/>
      <c r="CX366" s="423">
        <f>IFERROR(IF(LEFT($A366,3)="Lcp",SUMIFS('BASE-LCP'!$K:$K,'BASE-LCP'!$A:$A,Capex!$A400,'BASE-LCP'!$B:$B,"setembro")/1000,IF(LEFT($A366,3)="icp",SUMIFS('BASE-ICP'!$K:$K,'BASE-ICP'!$A:$A,Capex!$A400,'BASE-ICP'!$B:$B,"setembro")/1000,"")),"")</f>
        <v>0</v>
      </c>
      <c r="CY366" s="427"/>
      <c r="CZ366" s="372"/>
      <c r="DA366" s="419"/>
      <c r="DB366" s="423">
        <f>IFERROR(IF(LEFT($A366,3)="Lcp",SUMIFS('BASE-LCP'!$K:$K,'BASE-LCP'!$A:$A,Capex!$A400,'BASE-LCP'!$B:$B,"outubro")/1000,IF(LEFT($A366,3)="icp",SUMIFS('BASE-ICP'!$K:$K,'BASE-ICP'!$A:$A,Capex!$A400,'BASE-ICP'!$B:$B,"outubro")/1000,"")),"")</f>
        <v>0</v>
      </c>
      <c r="DC366" s="427">
        <v>30</v>
      </c>
      <c r="DD366" s="372"/>
      <c r="DE366" s="419"/>
      <c r="DF366" s="423">
        <f>IFERROR(IF(LEFT($A366,3)="Lcp",SUMIFS('BASE-LCP'!$K:$K,'BASE-LCP'!$A:$A,Capex!$A400,'BASE-LCP'!$B:$B,"novembro")/1000,IF(LEFT($A366,3)="icp",SUMIFS('BASE-ICP'!$K:$K,'BASE-ICP'!$A:$A,Capex!$A400,'BASE-ICP'!$B:$B,"novembro")/1000,"")),"")</f>
        <v>0</v>
      </c>
      <c r="DG366" s="427">
        <v>30</v>
      </c>
      <c r="DH366" s="372"/>
      <c r="DI366" s="419"/>
      <c r="DJ366" s="423">
        <f>IFERROR(IF(LEFT($A366,3)="Lcp",SUMIFS('BASE-LCP'!$K:$K,'BASE-LCP'!$A:$A,Capex!$A400,'BASE-LCP'!$B:$B,"dezembro")/1000,IF(LEFT($A366,3)="icp",SUMIFS('BASE-ICP'!$K:$K,'BASE-ICP'!$A:$A,Capex!$A400,'BASE-ICP'!$B:$B,"dezembro")/1000,"")),"")</f>
        <v>0</v>
      </c>
      <c r="DK366" s="427">
        <v>34</v>
      </c>
      <c r="DL366" s="452">
        <f t="shared" si="189"/>
        <v>21</v>
      </c>
      <c r="DM366" s="374"/>
      <c r="DN366" s="374">
        <v>21</v>
      </c>
      <c r="DO366" s="374"/>
      <c r="DP366" s="374"/>
      <c r="DQ366" s="374"/>
      <c r="DR366" s="374"/>
      <c r="DS366" s="374"/>
      <c r="DT366" s="374"/>
      <c r="DU366" s="374"/>
      <c r="DV366" s="374"/>
      <c r="DW366" s="374"/>
      <c r="DX366" s="374"/>
      <c r="DY366" s="450"/>
      <c r="DZ366" s="374">
        <f t="shared" si="190"/>
        <v>21</v>
      </c>
      <c r="EA366" s="216">
        <f t="shared" si="191"/>
        <v>0</v>
      </c>
      <c r="EB366" s="320">
        <f t="shared" si="192"/>
        <v>36.555510000000005</v>
      </c>
      <c r="EC366" s="241">
        <f t="shared" si="193"/>
        <v>0</v>
      </c>
      <c r="ED366" s="241">
        <f t="shared" si="194"/>
        <v>0</v>
      </c>
      <c r="EE366" s="241">
        <f t="shared" si="195"/>
        <v>0</v>
      </c>
      <c r="EF366" s="241">
        <f t="shared" si="196"/>
        <v>94</v>
      </c>
      <c r="EG366" s="346">
        <f t="shared" si="197"/>
        <v>94</v>
      </c>
      <c r="EH366" s="445">
        <f t="shared" si="198"/>
        <v>0</v>
      </c>
      <c r="EI366" s="447">
        <f t="shared" si="199"/>
        <v>0</v>
      </c>
      <c r="EJ366" s="364">
        <f t="shared" si="200"/>
        <v>36.555510000000005</v>
      </c>
      <c r="EK366" s="365">
        <f t="shared" si="201"/>
        <v>57.444489999999995</v>
      </c>
      <c r="EL366" s="529">
        <f t="shared" si="202"/>
        <v>94</v>
      </c>
      <c r="EM366" s="530"/>
      <c r="EN366" s="530"/>
      <c r="EO366" s="530"/>
      <c r="EP366" s="530"/>
      <c r="EQ366" s="530"/>
      <c r="ER366" s="530"/>
      <c r="ES366" s="530"/>
      <c r="ET366" s="530"/>
      <c r="EU366" s="530"/>
      <c r="EV366" s="530">
        <v>30</v>
      </c>
      <c r="EW366" s="530">
        <v>30</v>
      </c>
      <c r="EX366" s="530">
        <v>34</v>
      </c>
      <c r="EY366" s="530">
        <f t="shared" si="203"/>
        <v>0</v>
      </c>
      <c r="EZ366" s="530">
        <f t="shared" si="204"/>
        <v>0</v>
      </c>
      <c r="FA366" s="530">
        <f t="shared" si="205"/>
        <v>0</v>
      </c>
      <c r="FB366" s="530">
        <f t="shared" si="206"/>
        <v>94</v>
      </c>
      <c r="FC366" s="384">
        <f>IFERROR(VLOOKUP(Capex!A401,BASE_558!D:R,8,FALSE)/1000,"")</f>
        <v>545</v>
      </c>
      <c r="FD366" s="328">
        <f>IFERROR(VLOOKUP(Capex!A401,BASE_558!D:R,9,)/1000,"")</f>
        <v>502.30615999999998</v>
      </c>
      <c r="FE366" s="328">
        <f>IFERROR(IF(LEFT(A366,3)="LCP",(VLOOKUP(Capex!A401,BASE_558!D:R,10,)/1000),SUMIFS('BASE ICP_PO_SC'!F:F,'BASE ICP_PO_SC'!A:A,Capex!A401,'BASE ICP_PO_SC'!E:E,"&lt;&gt;")/1000),"")</f>
        <v>30.56447</v>
      </c>
      <c r="FF366" s="328">
        <f>IFERROR(IF(LEFT(A366,3)="LCP",(VLOOKUP(Capex!A401,BASE_558!D:R,11,)/1000),SUMIFS('BASE ICP_PO_SC'!F:F,'BASE ICP_PO_SC'!A:A,Capex!A401,'BASE ICP_PO_SC'!E:E,"")/1000),"")</f>
        <v>0</v>
      </c>
      <c r="FG366" s="328" t="str">
        <f>IFERROR(VLOOKUP(A366,BASE_558!D:R,13,FALSE)/1000,"")</f>
        <v/>
      </c>
      <c r="FH366" s="328" t="str">
        <f>IFERROR(VLOOKUP(A366,BASE_558!D:R,15,FALSE)/1000,"")</f>
        <v/>
      </c>
      <c r="FI366" s="547">
        <f t="shared" si="207"/>
        <v>0</v>
      </c>
      <c r="FJ366" s="547">
        <f t="shared" si="208"/>
        <v>0</v>
      </c>
      <c r="FK366" s="540">
        <f t="shared" si="209"/>
        <v>0</v>
      </c>
    </row>
    <row r="367" spans="1:167" s="23" customFormat="1" ht="24" customHeight="1">
      <c r="A367" s="310" t="s">
        <v>11932</v>
      </c>
      <c r="B367" s="404"/>
      <c r="C367" s="404"/>
      <c r="D367" s="338"/>
      <c r="E367" s="378"/>
      <c r="F367" s="5"/>
      <c r="G367" s="310" t="s">
        <v>8</v>
      </c>
      <c r="H367" s="338"/>
      <c r="I367" s="356"/>
      <c r="J367" s="356"/>
      <c r="K367" s="321"/>
      <c r="L367" s="316"/>
      <c r="M367" s="409"/>
      <c r="N367" s="317" t="str">
        <f t="shared" si="217"/>
        <v/>
      </c>
      <c r="O367" s="317" t="str">
        <f t="shared" si="218"/>
        <v/>
      </c>
      <c r="P367" s="418" t="str">
        <f t="shared" si="220"/>
        <v>N/A</v>
      </c>
      <c r="Q367" s="418" t="str">
        <f t="shared" si="220"/>
        <v>N/A</v>
      </c>
      <c r="R367" s="418" t="str">
        <f t="shared" si="220"/>
        <v>N/A</v>
      </c>
      <c r="S367" s="418" t="str">
        <f t="shared" si="220"/>
        <v>N/A</v>
      </c>
      <c r="T367" s="418" t="str">
        <f t="shared" si="220"/>
        <v>N/A</v>
      </c>
      <c r="U367" s="418" t="str">
        <f t="shared" si="220"/>
        <v>N/A</v>
      </c>
      <c r="V367" s="418" t="str">
        <f t="shared" si="220"/>
        <v>N/A</v>
      </c>
      <c r="W367" s="418" t="str">
        <f t="shared" si="220"/>
        <v>N/A</v>
      </c>
      <c r="X367" s="418" t="str">
        <f t="shared" si="220"/>
        <v>N/A</v>
      </c>
      <c r="Y367" s="418" t="str">
        <f t="shared" si="220"/>
        <v>N/A</v>
      </c>
      <c r="Z367" s="418" t="str">
        <f t="shared" si="220"/>
        <v>N/A</v>
      </c>
      <c r="AA367" s="418" t="str">
        <f t="shared" si="220"/>
        <v>N/A</v>
      </c>
      <c r="AB367" s="350"/>
      <c r="AC367" s="309" t="s">
        <v>3932</v>
      </c>
      <c r="AD367" s="311"/>
      <c r="AE367" s="382"/>
      <c r="AF367" s="310" t="s">
        <v>6985</v>
      </c>
      <c r="AG367" s="310" t="s">
        <v>2238</v>
      </c>
      <c r="AH367" s="310" t="s">
        <v>7429</v>
      </c>
      <c r="AI367" s="381" t="s">
        <v>187</v>
      </c>
      <c r="AJ367" s="6" t="s">
        <v>8545</v>
      </c>
      <c r="AK367" s="6" t="str">
        <f t="shared" si="187"/>
        <v>IGUAL</v>
      </c>
      <c r="AL367" s="151" t="str">
        <f>IFERROR(IF(LEFT(A367,3)="LCP",VLOOKUP(A367,STATUS_SAP_LCP!B:C,2,FALSE),VLOOKUP(A367,STATUS_SAP_ICP!B:C,2,FALSE)),"NO BUDGET")</f>
        <v>NO BUDGET</v>
      </c>
      <c r="AM367" s="6" t="str">
        <f t="shared" si="185"/>
        <v>NO BUDGET</v>
      </c>
      <c r="AN367" s="429"/>
      <c r="AO367" s="414"/>
      <c r="AP367" s="499" t="s">
        <v>10779</v>
      </c>
      <c r="AQ367" s="465">
        <v>46203</v>
      </c>
      <c r="AR367" s="460"/>
      <c r="AS367" s="57"/>
      <c r="AT367" s="185"/>
      <c r="AU367" s="318"/>
      <c r="AV367" s="223"/>
      <c r="AW367" s="318"/>
      <c r="AX367" s="223"/>
      <c r="AY367" s="318">
        <f t="shared" si="214"/>
        <v>0</v>
      </c>
      <c r="AZ367" s="223"/>
      <c r="BA367" s="318"/>
      <c r="BB367" s="519">
        <f t="shared" si="219"/>
        <v>50</v>
      </c>
      <c r="BC367" s="518">
        <v>0</v>
      </c>
      <c r="BD367" s="518">
        <v>0</v>
      </c>
      <c r="BE367" s="518">
        <v>0</v>
      </c>
      <c r="BF367" s="518">
        <v>0</v>
      </c>
      <c r="BG367" s="518">
        <v>0</v>
      </c>
      <c r="BH367" s="518">
        <v>0</v>
      </c>
      <c r="BI367" s="518">
        <v>0</v>
      </c>
      <c r="BJ367" s="518">
        <v>0</v>
      </c>
      <c r="BK367" s="518">
        <v>0</v>
      </c>
      <c r="BL367" s="518">
        <v>0</v>
      </c>
      <c r="BM367" s="518">
        <v>0</v>
      </c>
      <c r="BN367" s="518">
        <v>50</v>
      </c>
      <c r="BO367" s="367">
        <f t="shared" si="188"/>
        <v>0</v>
      </c>
      <c r="BP367" s="421"/>
      <c r="BQ367" s="422"/>
      <c r="BR367" s="423" t="str">
        <f>IFERROR(IF(LEFT($A367,3)="Lcp",SUMIFS('BASE-LCP'!$K:$K,'BASE-LCP'!$A:$A,Capex!$A401,'BASE-LCP'!$B:$B,"janeiro")/1000,IF(LEFT($A367,3)="icp",SUMIFS('BASE-ICP'!$K:$K,'BASE-ICP'!$A:$A,Capex!$A401,'BASE-ICP'!$B:$B,"janeiro")/1000,"")),"")</f>
        <v/>
      </c>
      <c r="BS367" s="427"/>
      <c r="BT367" s="372"/>
      <c r="BU367" s="422"/>
      <c r="BV367" s="423" t="str">
        <f>IFERROR(IF(LEFT($A367,3)="Lcp",SUMIFS('BASE-LCP'!$K:$K,'BASE-LCP'!$A:$A,Capex!$A401,'BASE-LCP'!$B:$B,"fevereiro")/1000,IF(LEFT($A367,3)="icp",SUMIFS('BASE-ICP'!$K:$K,'BASE-ICP'!$A:$A,Capex!$A401,'BASE-ICP'!$B:$B,"fevereiro")/1000,"")),"")</f>
        <v/>
      </c>
      <c r="BW367" s="427"/>
      <c r="BX367" s="372"/>
      <c r="BY367" s="419"/>
      <c r="BZ367" s="423" t="str">
        <f>IFERROR(IF(LEFT($A367,3)="Lcp",SUMIFS('BASE-LCP'!$K:$K,'BASE-LCP'!$A:$A,Capex!$A401,'BASE-LCP'!$B:$B,"março")/1000,IF(LEFT($A367,3)="icp",SUMIFS('BASE-ICP'!$K:$K,'BASE-ICP'!$A:$A,Capex!$A401,'BASE-ICP'!$B:$B,"março")/1000,"")),"")</f>
        <v/>
      </c>
      <c r="CA367" s="427"/>
      <c r="CB367" s="372"/>
      <c r="CC367" s="422"/>
      <c r="CD367" s="423" t="str">
        <f>IFERROR(IF(LEFT($A367,3)="Lcp",SUMIFS('BASE-LCP'!$K:$K,'BASE-LCP'!$A:$A,Capex!$A401,'BASE-LCP'!$B:$B,"abril")/1000,IF(LEFT($A367,3)="icp",SUMIFS('BASE-ICP'!$K:$K,'BASE-ICP'!$A:$A,Capex!$A401,'BASE-ICP'!$B:$B,"abril")/1000,"")),"")</f>
        <v/>
      </c>
      <c r="CE367" s="427"/>
      <c r="CF367" s="372"/>
      <c r="CG367" s="419"/>
      <c r="CH367" s="423">
        <v>0</v>
      </c>
      <c r="CI367" s="427"/>
      <c r="CJ367" s="372"/>
      <c r="CK367" s="419"/>
      <c r="CL367" s="423" t="str">
        <f>IFERROR(IF(LEFT($A367,3)="Lcp",SUMIFS('BASE-LCP'!$K:$K,'BASE-LCP'!$A:$A,Capex!$A402,'BASE-LCP'!$B:$B,"junho")/1000,IF(LEFT($A367,3)="icp",SUMIFS('BASE-ICP'!$K:$K,'BASE-ICP'!$A:$A,Capex!$A402,'BASE-ICP'!$B:$B,"junho")/1000,"")),"")</f>
        <v/>
      </c>
      <c r="CM367" s="427"/>
      <c r="CN367" s="372"/>
      <c r="CO367" s="419"/>
      <c r="CP367" s="423" t="str">
        <f>IFERROR(IF(LEFT($A367,3)="Lcp",SUMIFS('BASE-LCP'!$K:$K,'BASE-LCP'!$A:$A,Capex!$A401,'BASE-LCP'!$B:$B,"julho")/1000,IF(LEFT($A367,3)="icp",SUMIFS('BASE-ICP'!$K:$K,'BASE-ICP'!$A:$A,Capex!$A401,'BASE-ICP'!$B:$B,"julho")/1000,"")),"")</f>
        <v/>
      </c>
      <c r="CQ367" s="427"/>
      <c r="CR367" s="372"/>
      <c r="CS367" s="419"/>
      <c r="CT367" s="423" t="str">
        <f>IFERROR(IF(LEFT($A367,3)="Lcp",SUMIFS('BASE-LCP'!$K:$K,'BASE-LCP'!$A:$A,Capex!$A401,'BASE-LCP'!$B:$B,"agosto")/1000,IF(LEFT($A367,3)="icp",SUMIFS('BASE-ICP'!$K:$K,'BASE-ICP'!$A:$A,Capex!$A401,'BASE-ICP'!$B:$B,"agosto")/1000,"")),"")</f>
        <v/>
      </c>
      <c r="CU367" s="427"/>
      <c r="CV367" s="372"/>
      <c r="CW367" s="419"/>
      <c r="CX367" s="423" t="str">
        <f>IFERROR(IF(LEFT($A367,3)="Lcp",SUMIFS('BASE-LCP'!$K:$K,'BASE-LCP'!$A:$A,Capex!$A401,'BASE-LCP'!$B:$B,"setembro")/1000,IF(LEFT($A367,3)="icp",SUMIFS('BASE-ICP'!$K:$K,'BASE-ICP'!$A:$A,Capex!$A401,'BASE-ICP'!$B:$B,"setembro")/1000,"")),"")</f>
        <v/>
      </c>
      <c r="CY367" s="427"/>
      <c r="CZ367" s="372"/>
      <c r="DA367" s="419"/>
      <c r="DB367" s="423" t="str">
        <f>IFERROR(IF(LEFT($A367,3)="Lcp",SUMIFS('BASE-LCP'!$K:$K,'BASE-LCP'!$A:$A,Capex!$A401,'BASE-LCP'!$B:$B,"outubro")/1000,IF(LEFT($A367,3)="icp",SUMIFS('BASE-ICP'!$K:$K,'BASE-ICP'!$A:$A,Capex!$A401,'BASE-ICP'!$B:$B,"outubro")/1000,"")),"")</f>
        <v/>
      </c>
      <c r="DC367" s="427"/>
      <c r="DD367" s="372"/>
      <c r="DE367" s="419"/>
      <c r="DF367" s="423" t="str">
        <f>IFERROR(IF(LEFT($A367,3)="Lcp",SUMIFS('BASE-LCP'!$K:$K,'BASE-LCP'!$A:$A,Capex!$A401,'BASE-LCP'!$B:$B,"novembro")/1000,IF(LEFT($A367,3)="icp",SUMIFS('BASE-ICP'!$K:$K,'BASE-ICP'!$A:$A,Capex!$A401,'BASE-ICP'!$B:$B,"novembro")/1000,"")),"")</f>
        <v/>
      </c>
      <c r="DG367" s="427"/>
      <c r="DH367" s="372"/>
      <c r="DI367" s="419"/>
      <c r="DJ367" s="423" t="str">
        <f>IFERROR(IF(LEFT($A367,3)="Lcp",SUMIFS('BASE-LCP'!$K:$K,'BASE-LCP'!$A:$A,Capex!$A401,'BASE-LCP'!$B:$B,"dezembro")/1000,IF(LEFT($A367,3)="icp",SUMIFS('BASE-ICP'!$K:$K,'BASE-ICP'!$A:$A,Capex!$A401,'BASE-ICP'!$B:$B,"dezembro")/1000,"")),"")</f>
        <v/>
      </c>
      <c r="DK367" s="427"/>
      <c r="DL367" s="452">
        <f t="shared" si="189"/>
        <v>0</v>
      </c>
      <c r="DM367" s="374"/>
      <c r="DN367" s="374"/>
      <c r="DO367" s="374"/>
      <c r="DP367" s="374"/>
      <c r="DQ367" s="374"/>
      <c r="DR367" s="374"/>
      <c r="DS367" s="374"/>
      <c r="DT367" s="374"/>
      <c r="DU367" s="374"/>
      <c r="DV367" s="374"/>
      <c r="DW367" s="374"/>
      <c r="DX367" s="374"/>
      <c r="DY367" s="450"/>
      <c r="DZ367" s="374">
        <f t="shared" si="190"/>
        <v>0</v>
      </c>
      <c r="EA367" s="216">
        <f t="shared" si="191"/>
        <v>0</v>
      </c>
      <c r="EB367" s="320" t="e">
        <f t="shared" si="192"/>
        <v>#VALUE!</v>
      </c>
      <c r="EC367" s="241">
        <f t="shared" si="193"/>
        <v>0</v>
      </c>
      <c r="ED367" s="241">
        <f t="shared" si="194"/>
        <v>0</v>
      </c>
      <c r="EE367" s="241">
        <f t="shared" si="195"/>
        <v>0</v>
      </c>
      <c r="EF367" s="241">
        <f t="shared" si="196"/>
        <v>0</v>
      </c>
      <c r="EG367" s="346">
        <f t="shared" si="197"/>
        <v>-50</v>
      </c>
      <c r="EH367" s="445">
        <f t="shared" si="198"/>
        <v>0</v>
      </c>
      <c r="EI367" s="447">
        <f t="shared" si="199"/>
        <v>0</v>
      </c>
      <c r="EJ367" s="364">
        <f t="shared" si="200"/>
        <v>0</v>
      </c>
      <c r="EK367" s="365">
        <f t="shared" si="201"/>
        <v>0</v>
      </c>
      <c r="EL367" s="529">
        <f t="shared" si="202"/>
        <v>0</v>
      </c>
      <c r="EM367" s="530">
        <v>0</v>
      </c>
      <c r="EN367" s="530">
        <v>0</v>
      </c>
      <c r="EO367" s="530">
        <v>0</v>
      </c>
      <c r="EP367" s="530">
        <v>0</v>
      </c>
      <c r="EQ367" s="530">
        <v>0</v>
      </c>
      <c r="ER367" s="530">
        <v>0</v>
      </c>
      <c r="ES367" s="530">
        <v>0</v>
      </c>
      <c r="ET367" s="530">
        <v>0</v>
      </c>
      <c r="EU367" s="530">
        <v>0</v>
      </c>
      <c r="EV367" s="530">
        <v>0</v>
      </c>
      <c r="EW367" s="530">
        <v>0</v>
      </c>
      <c r="EX367" s="530">
        <v>0</v>
      </c>
      <c r="EY367" s="530">
        <f t="shared" si="203"/>
        <v>0</v>
      </c>
      <c r="EZ367" s="530">
        <f t="shared" si="204"/>
        <v>0</v>
      </c>
      <c r="FA367" s="530">
        <f t="shared" si="205"/>
        <v>0</v>
      </c>
      <c r="FB367" s="530">
        <f t="shared" si="206"/>
        <v>0</v>
      </c>
      <c r="FC367" s="384">
        <f>IFERROR(VLOOKUP(Capex!A402,BASE_558!D:R,8,FALSE)/1000,"")</f>
        <v>1394.6310000000001</v>
      </c>
      <c r="FD367" s="328">
        <f>IFERROR(VLOOKUP(Capex!A402,BASE_558!D:R,9,)/1000,"")</f>
        <v>1200.6883700000001</v>
      </c>
      <c r="FE367" s="328">
        <f>IFERROR(IF(LEFT(A367,3)="LCP",(VLOOKUP(Capex!A402,BASE_558!D:R,10,)/1000),SUMIFS('BASE ICP_PO_SC'!F:F,'BASE ICP_PO_SC'!A:A,Capex!A402,'BASE ICP_PO_SC'!E:E,"&lt;&gt;")/1000),"")</f>
        <v>0</v>
      </c>
      <c r="FF367" s="328">
        <f>IFERROR(IF(LEFT(A367,3)="LCP",(VLOOKUP(Capex!A402,BASE_558!D:R,11,)/1000),SUMIFS('BASE ICP_PO_SC'!F:F,'BASE ICP_PO_SC'!A:A,Capex!A402,'BASE ICP_PO_SC'!E:E,"")/1000),"")</f>
        <v>0</v>
      </c>
      <c r="FG367" s="328" t="str">
        <f>IFERROR(VLOOKUP(A367,BASE_558!D:R,13,FALSE)/1000,"")</f>
        <v/>
      </c>
      <c r="FH367" s="328" t="str">
        <f>IFERROR(VLOOKUP(A367,BASE_558!D:R,15,FALSE)/1000,"")</f>
        <v/>
      </c>
      <c r="FI367" s="547">
        <f t="shared" si="207"/>
        <v>0</v>
      </c>
      <c r="FJ367" s="547">
        <f t="shared" si="208"/>
        <v>0</v>
      </c>
      <c r="FK367" s="540">
        <f t="shared" si="209"/>
        <v>0</v>
      </c>
    </row>
    <row r="368" spans="1:167" s="23" customFormat="1" ht="24" customHeight="1">
      <c r="A368" s="310" t="s">
        <v>11933</v>
      </c>
      <c r="B368" s="404"/>
      <c r="C368" s="404"/>
      <c r="D368" s="338"/>
      <c r="E368" s="378"/>
      <c r="F368" s="5"/>
      <c r="G368" s="310" t="s">
        <v>8</v>
      </c>
      <c r="H368" s="338"/>
      <c r="I368" s="356"/>
      <c r="J368" s="356"/>
      <c r="K368" s="321"/>
      <c r="L368" s="316"/>
      <c r="M368" s="409"/>
      <c r="N368" s="317" t="str">
        <f t="shared" si="217"/>
        <v/>
      </c>
      <c r="O368" s="317" t="str">
        <f t="shared" si="218"/>
        <v/>
      </c>
      <c r="P368" s="418" t="str">
        <f t="shared" si="220"/>
        <v>N/A</v>
      </c>
      <c r="Q368" s="418" t="str">
        <f t="shared" si="220"/>
        <v>N/A</v>
      </c>
      <c r="R368" s="418" t="str">
        <f t="shared" si="220"/>
        <v>N/A</v>
      </c>
      <c r="S368" s="418" t="str">
        <f t="shared" si="220"/>
        <v>N/A</v>
      </c>
      <c r="T368" s="418" t="str">
        <f t="shared" si="220"/>
        <v>N/A</v>
      </c>
      <c r="U368" s="418" t="str">
        <f t="shared" si="220"/>
        <v>N/A</v>
      </c>
      <c r="V368" s="418" t="str">
        <f t="shared" si="220"/>
        <v>N/A</v>
      </c>
      <c r="W368" s="418" t="str">
        <f t="shared" si="220"/>
        <v>N/A</v>
      </c>
      <c r="X368" s="418" t="str">
        <f t="shared" si="220"/>
        <v>N/A</v>
      </c>
      <c r="Y368" s="418" t="str">
        <f t="shared" si="220"/>
        <v>N/A</v>
      </c>
      <c r="Z368" s="418" t="str">
        <f t="shared" si="220"/>
        <v>N/A</v>
      </c>
      <c r="AA368" s="418" t="str">
        <f t="shared" si="220"/>
        <v>N/A</v>
      </c>
      <c r="AB368" s="350"/>
      <c r="AC368" s="309" t="s">
        <v>2508</v>
      </c>
      <c r="AD368" s="311"/>
      <c r="AE368" s="382"/>
      <c r="AF368" s="310" t="s">
        <v>6985</v>
      </c>
      <c r="AG368" s="310" t="s">
        <v>6882</v>
      </c>
      <c r="AH368" s="310" t="s">
        <v>7432</v>
      </c>
      <c r="AI368" s="381" t="s">
        <v>183</v>
      </c>
      <c r="AJ368" s="6" t="s">
        <v>8545</v>
      </c>
      <c r="AK368" s="6" t="str">
        <f t="shared" si="187"/>
        <v>IGUAL</v>
      </c>
      <c r="AL368" s="151" t="str">
        <f>IFERROR(IF(LEFT(A368,3)="LCP",VLOOKUP(A368,STATUS_SAP_LCP!B:C,2,FALSE),VLOOKUP(A368,STATUS_SAP_ICP!B:C,2,FALSE)),"NO BUDGET")</f>
        <v>NO BUDGET</v>
      </c>
      <c r="AM368" s="6" t="str">
        <f t="shared" si="185"/>
        <v>NO BUDGET</v>
      </c>
      <c r="AN368" s="414" t="s">
        <v>7446</v>
      </c>
      <c r="AO368" s="414"/>
      <c r="AP368" s="499" t="s">
        <v>10779</v>
      </c>
      <c r="AQ368" s="465">
        <v>46203</v>
      </c>
      <c r="AR368" s="460"/>
      <c r="AS368" s="57"/>
      <c r="AT368" s="185"/>
      <c r="AU368" s="318"/>
      <c r="AV368" s="223"/>
      <c r="AW368" s="318"/>
      <c r="AX368" s="223"/>
      <c r="AY368" s="318">
        <f t="shared" si="214"/>
        <v>0</v>
      </c>
      <c r="AZ368" s="223"/>
      <c r="BA368" s="318"/>
      <c r="BB368" s="519">
        <f t="shared" si="219"/>
        <v>20</v>
      </c>
      <c r="BC368" s="518">
        <v>0</v>
      </c>
      <c r="BD368" s="518">
        <v>0</v>
      </c>
      <c r="BE368" s="518">
        <v>0</v>
      </c>
      <c r="BF368" s="518">
        <v>0</v>
      </c>
      <c r="BG368" s="518">
        <v>0</v>
      </c>
      <c r="BH368" s="518">
        <v>10</v>
      </c>
      <c r="BI368" s="518">
        <v>10</v>
      </c>
      <c r="BJ368" s="518">
        <v>0</v>
      </c>
      <c r="BK368" s="518">
        <v>0</v>
      </c>
      <c r="BL368" s="518">
        <v>0</v>
      </c>
      <c r="BM368" s="518">
        <v>0</v>
      </c>
      <c r="BN368" s="518">
        <v>0</v>
      </c>
      <c r="BO368" s="367">
        <f t="shared" si="188"/>
        <v>0</v>
      </c>
      <c r="BP368" s="421"/>
      <c r="BQ368" s="422"/>
      <c r="BR368" s="423" t="str">
        <f>IFERROR(IF(LEFT($A368,3)="Lcp",SUMIFS('BASE-LCP'!$K:$K,'BASE-LCP'!$A:$A,Capex!$A402,'BASE-LCP'!$B:$B,"janeiro")/1000,IF(LEFT($A368,3)="icp",SUMIFS('BASE-ICP'!$K:$K,'BASE-ICP'!$A:$A,Capex!$A402,'BASE-ICP'!$B:$B,"janeiro")/1000,"")),"")</f>
        <v/>
      </c>
      <c r="BS368" s="427"/>
      <c r="BT368" s="372"/>
      <c r="BU368" s="422"/>
      <c r="BV368" s="423" t="str">
        <f>IFERROR(IF(LEFT($A368,3)="Lcp",SUMIFS('BASE-LCP'!$K:$K,'BASE-LCP'!$A:$A,Capex!$A402,'BASE-LCP'!$B:$B,"fevereiro")/1000,IF(LEFT($A368,3)="icp",SUMIFS('BASE-ICP'!$K:$K,'BASE-ICP'!$A:$A,Capex!$A402,'BASE-ICP'!$B:$B,"fevereiro")/1000,"")),"")</f>
        <v/>
      </c>
      <c r="BW368" s="427"/>
      <c r="BX368" s="372"/>
      <c r="BY368" s="419"/>
      <c r="BZ368" s="423" t="str">
        <f>IFERROR(IF(LEFT($A368,3)="Lcp",SUMIFS('BASE-LCP'!$K:$K,'BASE-LCP'!$A:$A,Capex!$A402,'BASE-LCP'!$B:$B,"março")/1000,IF(LEFT($A368,3)="icp",SUMIFS('BASE-ICP'!$K:$K,'BASE-ICP'!$A:$A,Capex!$A402,'BASE-ICP'!$B:$B,"março")/1000,"")),"")</f>
        <v/>
      </c>
      <c r="CA368" s="427"/>
      <c r="CB368" s="372"/>
      <c r="CC368" s="422"/>
      <c r="CD368" s="423" t="str">
        <f>IFERROR(IF(LEFT($A368,3)="Lcp",SUMIFS('BASE-LCP'!$K:$K,'BASE-LCP'!$A:$A,Capex!$A402,'BASE-LCP'!$B:$B,"abril")/1000,IF(LEFT($A368,3)="icp",SUMIFS('BASE-ICP'!$K:$K,'BASE-ICP'!$A:$A,Capex!$A402,'BASE-ICP'!$B:$B,"abril")/1000,"")),"")</f>
        <v/>
      </c>
      <c r="CE368" s="427"/>
      <c r="CF368" s="372"/>
      <c r="CG368" s="419"/>
      <c r="CH368" s="423">
        <v>0</v>
      </c>
      <c r="CI368" s="427"/>
      <c r="CJ368" s="372"/>
      <c r="CK368" s="419"/>
      <c r="CL368" s="423" t="str">
        <f>IFERROR(IF(LEFT($A368,3)="Lcp",SUMIFS('BASE-LCP'!$K:$K,'BASE-LCP'!$A:$A,Capex!$A403,'BASE-LCP'!$B:$B,"junho")/1000,IF(LEFT($A368,3)="icp",SUMIFS('BASE-ICP'!$K:$K,'BASE-ICP'!$A:$A,Capex!$A403,'BASE-ICP'!$B:$B,"junho")/1000,"")),"")</f>
        <v/>
      </c>
      <c r="CM368" s="427"/>
      <c r="CN368" s="372"/>
      <c r="CO368" s="419"/>
      <c r="CP368" s="423" t="str">
        <f>IFERROR(IF(LEFT($A368,3)="Lcp",SUMIFS('BASE-LCP'!$K:$K,'BASE-LCP'!$A:$A,Capex!$A402,'BASE-LCP'!$B:$B,"julho")/1000,IF(LEFT($A368,3)="icp",SUMIFS('BASE-ICP'!$K:$K,'BASE-ICP'!$A:$A,Capex!$A402,'BASE-ICP'!$B:$B,"julho")/1000,"")),"")</f>
        <v/>
      </c>
      <c r="CQ368" s="427"/>
      <c r="CR368" s="372"/>
      <c r="CS368" s="419"/>
      <c r="CT368" s="423" t="str">
        <f>IFERROR(IF(LEFT($A368,3)="Lcp",SUMIFS('BASE-LCP'!$K:$K,'BASE-LCP'!$A:$A,Capex!$A402,'BASE-LCP'!$B:$B,"agosto")/1000,IF(LEFT($A368,3)="icp",SUMIFS('BASE-ICP'!$K:$K,'BASE-ICP'!$A:$A,Capex!$A402,'BASE-ICP'!$B:$B,"agosto")/1000,"")),"")</f>
        <v/>
      </c>
      <c r="CU368" s="427"/>
      <c r="CV368" s="372"/>
      <c r="CW368" s="419"/>
      <c r="CX368" s="423" t="str">
        <f>IFERROR(IF(LEFT($A368,3)="Lcp",SUMIFS('BASE-LCP'!$K:$K,'BASE-LCP'!$A:$A,Capex!$A402,'BASE-LCP'!$B:$B,"setembro")/1000,IF(LEFT($A368,3)="icp",SUMIFS('BASE-ICP'!$K:$K,'BASE-ICP'!$A:$A,Capex!$A402,'BASE-ICP'!$B:$B,"setembro")/1000,"")),"")</f>
        <v/>
      </c>
      <c r="CY368" s="427"/>
      <c r="CZ368" s="372"/>
      <c r="DA368" s="419"/>
      <c r="DB368" s="423" t="str">
        <f>IFERROR(IF(LEFT($A368,3)="Lcp",SUMIFS('BASE-LCP'!$K:$K,'BASE-LCP'!$A:$A,Capex!$A402,'BASE-LCP'!$B:$B,"outubro")/1000,IF(LEFT($A368,3)="icp",SUMIFS('BASE-ICP'!$K:$K,'BASE-ICP'!$A:$A,Capex!$A402,'BASE-ICP'!$B:$B,"outubro")/1000,"")),"")</f>
        <v/>
      </c>
      <c r="DC368" s="427"/>
      <c r="DD368" s="372"/>
      <c r="DE368" s="419"/>
      <c r="DF368" s="423" t="str">
        <f>IFERROR(IF(LEFT($A368,3)="Lcp",SUMIFS('BASE-LCP'!$K:$K,'BASE-LCP'!$A:$A,Capex!$A402,'BASE-LCP'!$B:$B,"novembro")/1000,IF(LEFT($A368,3)="icp",SUMIFS('BASE-ICP'!$K:$K,'BASE-ICP'!$A:$A,Capex!$A402,'BASE-ICP'!$B:$B,"novembro")/1000,"")),"")</f>
        <v/>
      </c>
      <c r="DG368" s="427"/>
      <c r="DH368" s="372"/>
      <c r="DI368" s="419"/>
      <c r="DJ368" s="423" t="str">
        <f>IFERROR(IF(LEFT($A368,3)="Lcp",SUMIFS('BASE-LCP'!$K:$K,'BASE-LCP'!$A:$A,Capex!$A402,'BASE-LCP'!$B:$B,"dezembro")/1000,IF(LEFT($A368,3)="icp",SUMIFS('BASE-ICP'!$K:$K,'BASE-ICP'!$A:$A,Capex!$A402,'BASE-ICP'!$B:$B,"dezembro")/1000,"")),"")</f>
        <v/>
      </c>
      <c r="DK368" s="427"/>
      <c r="DL368" s="452">
        <f t="shared" si="189"/>
        <v>0</v>
      </c>
      <c r="DM368" s="374"/>
      <c r="DN368" s="374"/>
      <c r="DO368" s="374"/>
      <c r="DP368" s="374"/>
      <c r="DQ368" s="374"/>
      <c r="DR368" s="374"/>
      <c r="DS368" s="374"/>
      <c r="DT368" s="374"/>
      <c r="DU368" s="374"/>
      <c r="DV368" s="374"/>
      <c r="DW368" s="374"/>
      <c r="DX368" s="374"/>
      <c r="DY368" s="450"/>
      <c r="DZ368" s="374">
        <f t="shared" si="190"/>
        <v>0</v>
      </c>
      <c r="EA368" s="216">
        <f t="shared" si="191"/>
        <v>0</v>
      </c>
      <c r="EB368" s="320" t="e">
        <f t="shared" si="192"/>
        <v>#VALUE!</v>
      </c>
      <c r="EC368" s="241">
        <f t="shared" si="193"/>
        <v>0</v>
      </c>
      <c r="ED368" s="241">
        <f t="shared" si="194"/>
        <v>0</v>
      </c>
      <c r="EE368" s="241">
        <f t="shared" si="195"/>
        <v>0</v>
      </c>
      <c r="EF368" s="241">
        <f t="shared" si="196"/>
        <v>0</v>
      </c>
      <c r="EG368" s="346">
        <f t="shared" si="197"/>
        <v>-20</v>
      </c>
      <c r="EH368" s="445">
        <f t="shared" si="198"/>
        <v>0</v>
      </c>
      <c r="EI368" s="447">
        <f t="shared" si="199"/>
        <v>0</v>
      </c>
      <c r="EJ368" s="364">
        <f t="shared" si="200"/>
        <v>0</v>
      </c>
      <c r="EK368" s="365">
        <f t="shared" si="201"/>
        <v>0</v>
      </c>
      <c r="EL368" s="529">
        <f t="shared" si="202"/>
        <v>0</v>
      </c>
      <c r="EM368" s="530">
        <v>0</v>
      </c>
      <c r="EN368" s="530">
        <v>0</v>
      </c>
      <c r="EO368" s="530">
        <v>0</v>
      </c>
      <c r="EP368" s="530">
        <v>0</v>
      </c>
      <c r="EQ368" s="530">
        <v>0</v>
      </c>
      <c r="ER368" s="530">
        <v>0</v>
      </c>
      <c r="ES368" s="530">
        <v>0</v>
      </c>
      <c r="ET368" s="530">
        <v>0</v>
      </c>
      <c r="EU368" s="530">
        <v>0</v>
      </c>
      <c r="EV368" s="530">
        <v>0</v>
      </c>
      <c r="EW368" s="530">
        <v>0</v>
      </c>
      <c r="EX368" s="530">
        <v>0</v>
      </c>
      <c r="EY368" s="530">
        <f t="shared" si="203"/>
        <v>0</v>
      </c>
      <c r="EZ368" s="530">
        <f t="shared" si="204"/>
        <v>0</v>
      </c>
      <c r="FA368" s="530">
        <f t="shared" si="205"/>
        <v>0</v>
      </c>
      <c r="FB368" s="530">
        <f t="shared" si="206"/>
        <v>0</v>
      </c>
      <c r="FC368" s="384">
        <f>IFERROR(VLOOKUP(Capex!A403,BASE_558!D:R,8,FALSE)/1000,"")</f>
        <v>394.38499999999999</v>
      </c>
      <c r="FD368" s="328">
        <f>IFERROR(VLOOKUP(Capex!A403,BASE_558!D:R,9,)/1000,"")</f>
        <v>295.68761999999998</v>
      </c>
      <c r="FE368" s="328">
        <f>IFERROR(IF(LEFT(A368,3)="LCP",(VLOOKUP(Capex!A403,BASE_558!D:R,10,)/1000),SUMIFS('BASE ICP_PO_SC'!F:F,'BASE ICP_PO_SC'!A:A,Capex!A403,'BASE ICP_PO_SC'!E:E,"&lt;&gt;")/1000),"")</f>
        <v>0</v>
      </c>
      <c r="FF368" s="328">
        <f>IFERROR(IF(LEFT(A368,3)="LCP",(VLOOKUP(Capex!A403,BASE_558!D:R,11,)/1000),SUMIFS('BASE ICP_PO_SC'!F:F,'BASE ICP_PO_SC'!A:A,Capex!A403,'BASE ICP_PO_SC'!E:E,"")/1000),"")</f>
        <v>0</v>
      </c>
      <c r="FG368" s="328" t="str">
        <f>IFERROR(VLOOKUP(A368,BASE_558!D:R,13,FALSE)/1000,"")</f>
        <v/>
      </c>
      <c r="FH368" s="328" t="str">
        <f>IFERROR(VLOOKUP(A368,BASE_558!D:R,15,FALSE)/1000,"")</f>
        <v/>
      </c>
      <c r="FI368" s="547">
        <f t="shared" si="207"/>
        <v>0</v>
      </c>
      <c r="FJ368" s="547">
        <f t="shared" si="208"/>
        <v>0</v>
      </c>
      <c r="FK368" s="540">
        <f t="shared" si="209"/>
        <v>0</v>
      </c>
    </row>
    <row r="369" spans="1:167" s="23" customFormat="1" ht="24" customHeight="1">
      <c r="A369" s="310" t="s">
        <v>661</v>
      </c>
      <c r="B369" s="404"/>
      <c r="C369" s="404"/>
      <c r="D369" s="338"/>
      <c r="E369" s="378"/>
      <c r="F369" s="5"/>
      <c r="G369" s="310" t="s">
        <v>8</v>
      </c>
      <c r="H369" s="338"/>
      <c r="I369" s="356"/>
      <c r="J369" s="356"/>
      <c r="K369" s="323"/>
      <c r="L369" s="324"/>
      <c r="M369" s="409"/>
      <c r="N369" s="317" t="str">
        <f t="shared" si="217"/>
        <v/>
      </c>
      <c r="O369" s="317" t="str">
        <f t="shared" si="218"/>
        <v/>
      </c>
      <c r="P369" s="418" t="str">
        <f t="shared" si="220"/>
        <v>N/A</v>
      </c>
      <c r="Q369" s="418" t="str">
        <f t="shared" si="220"/>
        <v>N/A</v>
      </c>
      <c r="R369" s="418" t="str">
        <f t="shared" si="220"/>
        <v>N/A</v>
      </c>
      <c r="S369" s="418" t="str">
        <f t="shared" si="220"/>
        <v>N/A</v>
      </c>
      <c r="T369" s="418" t="str">
        <f t="shared" si="220"/>
        <v>N/A</v>
      </c>
      <c r="U369" s="418" t="str">
        <f t="shared" si="220"/>
        <v>N/A</v>
      </c>
      <c r="V369" s="418" t="str">
        <f t="shared" si="220"/>
        <v>N/A</v>
      </c>
      <c r="W369" s="418" t="str">
        <f t="shared" si="220"/>
        <v>N/A</v>
      </c>
      <c r="X369" s="418" t="str">
        <f t="shared" si="220"/>
        <v>N/A</v>
      </c>
      <c r="Y369" s="418" t="str">
        <f t="shared" si="220"/>
        <v>N/A</v>
      </c>
      <c r="Z369" s="418" t="str">
        <f t="shared" si="220"/>
        <v>N/A</v>
      </c>
      <c r="AA369" s="418" t="str">
        <f t="shared" si="220"/>
        <v>N/A</v>
      </c>
      <c r="AB369" s="353"/>
      <c r="AC369" s="309" t="s">
        <v>3932</v>
      </c>
      <c r="AD369" s="311"/>
      <c r="AE369" s="382"/>
      <c r="AF369" s="310" t="s">
        <v>6986</v>
      </c>
      <c r="AG369" s="310" t="s">
        <v>712</v>
      </c>
      <c r="AH369" s="310" t="s">
        <v>10</v>
      </c>
      <c r="AI369" s="309" t="s">
        <v>2562</v>
      </c>
      <c r="AJ369" s="6" t="s">
        <v>8545</v>
      </c>
      <c r="AK369" s="6" t="str">
        <f t="shared" si="187"/>
        <v>IGUAL</v>
      </c>
      <c r="AL369" s="151" t="str">
        <f>IFERROR(IF(LEFT(A369,3)="LCP",VLOOKUP(A369,STATUS_SAP_LCP!B:C,2,FALSE),VLOOKUP(A369,STATUS_SAP_ICP!B:C,2,FALSE)),"NO BUDGET")</f>
        <v>NO BUDGET</v>
      </c>
      <c r="AM369" s="6" t="str">
        <f t="shared" si="185"/>
        <v>NO BUDGET</v>
      </c>
      <c r="AN369" s="282"/>
      <c r="AO369" s="414"/>
      <c r="AP369" s="499" t="s">
        <v>9616</v>
      </c>
      <c r="AQ369" s="464"/>
      <c r="AR369" s="460"/>
      <c r="AS369" s="57"/>
      <c r="AT369" s="185">
        <v>134.05377141119726</v>
      </c>
      <c r="AU369" s="318">
        <v>-105.79370399884283</v>
      </c>
      <c r="AV369" s="223">
        <v>-3573.8449488749379</v>
      </c>
      <c r="AW369" s="318">
        <v>-1062.9822799999977</v>
      </c>
      <c r="AX369" s="223">
        <v>-615.70264000001134</v>
      </c>
      <c r="AY369" s="318">
        <f t="shared" si="214"/>
        <v>0</v>
      </c>
      <c r="AZ369" s="223"/>
      <c r="BA369" s="318"/>
      <c r="BB369" s="519">
        <f t="shared" si="219"/>
        <v>0</v>
      </c>
      <c r="BC369" s="518"/>
      <c r="BD369" s="518"/>
      <c r="BE369" s="518"/>
      <c r="BF369" s="518"/>
      <c r="BG369" s="518"/>
      <c r="BH369" s="518"/>
      <c r="BI369" s="518"/>
      <c r="BJ369" s="518"/>
      <c r="BK369" s="518"/>
      <c r="BL369" s="518"/>
      <c r="BM369" s="518"/>
      <c r="BN369" s="518"/>
      <c r="BO369" s="367">
        <f t="shared" si="188"/>
        <v>0</v>
      </c>
      <c r="BP369" s="421"/>
      <c r="BQ369" s="422"/>
      <c r="BR369" s="423" t="str">
        <f>IFERROR(IF(LEFT($A369,3)="Lcp",SUMIFS('BASE-LCP'!$K:$K,'BASE-LCP'!$A:$A,Capex!$A405,'BASE-LCP'!$B:$B,"janeiro")/1000,IF(LEFT($A369,3)="icp",SUMIFS('BASE-ICP'!$K:$K,'BASE-ICP'!$A:$A,Capex!$A405,'BASE-ICP'!$B:$B,"janeiro")/1000,"")),"")</f>
        <v/>
      </c>
      <c r="BS369" s="427"/>
      <c r="BT369" s="372">
        <v>0</v>
      </c>
      <c r="BU369" s="422"/>
      <c r="BV369" s="423" t="str">
        <f>IFERROR(IF(LEFT($A369,3)="Lcp",SUMIFS('BASE-LCP'!$K:$K,'BASE-LCP'!$A:$A,Capex!$A405,'BASE-LCP'!$B:$B,"fevereiro")/1000,IF(LEFT($A369,3)="icp",SUMIFS('BASE-ICP'!$K:$K,'BASE-ICP'!$A:$A,Capex!$A405,'BASE-ICP'!$B:$B,"fevereiro")/1000,"")),"")</f>
        <v/>
      </c>
      <c r="BW369" s="427">
        <v>0</v>
      </c>
      <c r="BX369" s="372">
        <v>0</v>
      </c>
      <c r="BY369" s="419"/>
      <c r="BZ369" s="423" t="str">
        <f>IFERROR(IF(LEFT($A369,3)="Lcp",SUMIFS('BASE-LCP'!$K:$K,'BASE-LCP'!$A:$A,Capex!$A405,'BASE-LCP'!$B:$B,"março")/1000,IF(LEFT($A369,3)="icp",SUMIFS('BASE-ICP'!$K:$K,'BASE-ICP'!$A:$A,Capex!$A405,'BASE-ICP'!$B:$B,"março")/1000,"")),"")</f>
        <v/>
      </c>
      <c r="CA369" s="427">
        <v>0</v>
      </c>
      <c r="CB369" s="372">
        <v>0</v>
      </c>
      <c r="CC369" s="422"/>
      <c r="CD369" s="423" t="str">
        <f>IFERROR(IF(LEFT($A369,3)="Lcp",SUMIFS('BASE-LCP'!$K:$K,'BASE-LCP'!$A:$A,Capex!$A405,'BASE-LCP'!$B:$B,"abril")/1000,IF(LEFT($A369,3)="icp",SUMIFS('BASE-ICP'!$K:$K,'BASE-ICP'!$A:$A,Capex!$A405,'BASE-ICP'!$B:$B,"abril")/1000,"")),"")</f>
        <v/>
      </c>
      <c r="CE369" s="427">
        <v>0</v>
      </c>
      <c r="CF369" s="372">
        <v>0</v>
      </c>
      <c r="CG369" s="419"/>
      <c r="CH369" s="423">
        <v>0</v>
      </c>
      <c r="CI369" s="427">
        <v>0</v>
      </c>
      <c r="CJ369" s="372">
        <v>0</v>
      </c>
      <c r="CK369" s="419"/>
      <c r="CL369" s="423" t="str">
        <f>IFERROR(IF(LEFT($A369,3)="Lcp",SUMIFS('BASE-LCP'!$K:$K,'BASE-LCP'!$A:$A,Capex!$A406,'BASE-LCP'!$B:$B,"junho")/1000,IF(LEFT($A369,3)="icp",SUMIFS('BASE-ICP'!$K:$K,'BASE-ICP'!$A:$A,Capex!$A406,'BASE-ICP'!$B:$B,"junho")/1000,"")),"")</f>
        <v/>
      </c>
      <c r="CM369" s="427">
        <v>0</v>
      </c>
      <c r="CN369" s="372"/>
      <c r="CO369" s="419"/>
      <c r="CP369" s="423" t="str">
        <f>IFERROR(IF(LEFT($A369,3)="Lcp",SUMIFS('BASE-LCP'!$K:$K,'BASE-LCP'!$A:$A,Capex!$A405,'BASE-LCP'!$B:$B,"julho")/1000,IF(LEFT($A369,3)="icp",SUMIFS('BASE-ICP'!$K:$K,'BASE-ICP'!$A:$A,Capex!$A405,'BASE-ICP'!$B:$B,"julho")/1000,"")),"")</f>
        <v/>
      </c>
      <c r="CQ369" s="427">
        <v>0</v>
      </c>
      <c r="CR369" s="372"/>
      <c r="CS369" s="419"/>
      <c r="CT369" s="423" t="str">
        <f>IFERROR(IF(LEFT($A369,3)="Lcp",SUMIFS('BASE-LCP'!$K:$K,'BASE-LCP'!$A:$A,Capex!$A405,'BASE-LCP'!$B:$B,"agosto")/1000,IF(LEFT($A369,3)="icp",SUMIFS('BASE-ICP'!$K:$K,'BASE-ICP'!$A:$A,Capex!$A405,'BASE-ICP'!$B:$B,"agosto")/1000,"")),"")</f>
        <v/>
      </c>
      <c r="CU369" s="427">
        <v>0</v>
      </c>
      <c r="CV369" s="372"/>
      <c r="CW369" s="419"/>
      <c r="CX369" s="423" t="str">
        <f>IFERROR(IF(LEFT($A369,3)="Lcp",SUMIFS('BASE-LCP'!$K:$K,'BASE-LCP'!$A:$A,Capex!$A405,'BASE-LCP'!$B:$B,"setembro")/1000,IF(LEFT($A369,3)="icp",SUMIFS('BASE-ICP'!$K:$K,'BASE-ICP'!$A:$A,Capex!$A405,'BASE-ICP'!$B:$B,"setembro")/1000,"")),"")</f>
        <v/>
      </c>
      <c r="CY369" s="427"/>
      <c r="CZ369" s="372"/>
      <c r="DA369" s="419"/>
      <c r="DB369" s="423" t="str">
        <f>IFERROR(IF(LEFT($A369,3)="Lcp",SUMIFS('BASE-LCP'!$K:$K,'BASE-LCP'!$A:$A,Capex!$A405,'BASE-LCP'!$B:$B,"outubro")/1000,IF(LEFT($A369,3)="icp",SUMIFS('BASE-ICP'!$K:$K,'BASE-ICP'!$A:$A,Capex!$A405,'BASE-ICP'!$B:$B,"outubro")/1000,"")),"")</f>
        <v/>
      </c>
      <c r="DC369" s="427"/>
      <c r="DD369" s="372"/>
      <c r="DE369" s="419"/>
      <c r="DF369" s="423" t="str">
        <f>IFERROR(IF(LEFT($A369,3)="Lcp",SUMIFS('BASE-LCP'!$K:$K,'BASE-LCP'!$A:$A,Capex!$A405,'BASE-LCP'!$B:$B,"novembro")/1000,IF(LEFT($A369,3)="icp",SUMIFS('BASE-ICP'!$K:$K,'BASE-ICP'!$A:$A,Capex!$A405,'BASE-ICP'!$B:$B,"novembro")/1000,"")),"")</f>
        <v/>
      </c>
      <c r="DG369" s="427"/>
      <c r="DH369" s="372"/>
      <c r="DI369" s="419"/>
      <c r="DJ369" s="423" t="str">
        <f>IFERROR(IF(LEFT($A369,3)="Lcp",SUMIFS('BASE-LCP'!$K:$K,'BASE-LCP'!$A:$A,Capex!$A405,'BASE-LCP'!$B:$B,"dezembro")/1000,IF(LEFT($A369,3)="icp",SUMIFS('BASE-ICP'!$K:$K,'BASE-ICP'!$A:$A,Capex!$A405,'BASE-ICP'!$B:$B,"dezembro")/1000,"")),"")</f>
        <v/>
      </c>
      <c r="DK369" s="427"/>
      <c r="DL369" s="452">
        <f t="shared" si="189"/>
        <v>0</v>
      </c>
      <c r="DM369" s="374"/>
      <c r="DN369" s="374"/>
      <c r="DO369" s="374"/>
      <c r="DP369" s="374"/>
      <c r="DQ369" s="374"/>
      <c r="DR369" s="374"/>
      <c r="DS369" s="374"/>
      <c r="DT369" s="374"/>
      <c r="DU369" s="374"/>
      <c r="DV369" s="374"/>
      <c r="DW369" s="374"/>
      <c r="DX369" s="374"/>
      <c r="DY369" s="450"/>
      <c r="DZ369" s="374">
        <f t="shared" si="190"/>
        <v>0</v>
      </c>
      <c r="EA369" s="216">
        <f t="shared" si="191"/>
        <v>0</v>
      </c>
      <c r="EB369" s="320" t="e">
        <f t="shared" si="192"/>
        <v>#VALUE!</v>
      </c>
      <c r="EC369" s="241">
        <f t="shared" si="193"/>
        <v>0</v>
      </c>
      <c r="ED369" s="241">
        <f t="shared" si="194"/>
        <v>0</v>
      </c>
      <c r="EE369" s="241">
        <f t="shared" si="195"/>
        <v>0</v>
      </c>
      <c r="EF369" s="241">
        <f t="shared" si="196"/>
        <v>0</v>
      </c>
      <c r="EG369" s="346">
        <f t="shared" si="197"/>
        <v>0</v>
      </c>
      <c r="EH369" s="445">
        <f t="shared" si="198"/>
        <v>0</v>
      </c>
      <c r="EI369" s="447">
        <f t="shared" si="199"/>
        <v>0</v>
      </c>
      <c r="EJ369" s="364">
        <f t="shared" si="200"/>
        <v>0</v>
      </c>
      <c r="EK369" s="365">
        <f t="shared" si="201"/>
        <v>0</v>
      </c>
      <c r="EL369" s="529">
        <f t="shared" si="202"/>
        <v>0</v>
      </c>
      <c r="EM369" s="530">
        <v>0</v>
      </c>
      <c r="EN369" s="530">
        <v>0</v>
      </c>
      <c r="EO369" s="530">
        <v>0</v>
      </c>
      <c r="EP369" s="530">
        <v>0</v>
      </c>
      <c r="EQ369" s="530">
        <v>0</v>
      </c>
      <c r="ER369" s="530">
        <v>0</v>
      </c>
      <c r="ES369" s="530">
        <v>0</v>
      </c>
      <c r="ET369" s="530">
        <v>0</v>
      </c>
      <c r="EU369" s="530">
        <v>0</v>
      </c>
      <c r="EV369" s="530">
        <v>0</v>
      </c>
      <c r="EW369" s="530">
        <v>0</v>
      </c>
      <c r="EX369" s="530">
        <v>0</v>
      </c>
      <c r="EY369" s="530">
        <f t="shared" si="203"/>
        <v>0</v>
      </c>
      <c r="EZ369" s="530">
        <f t="shared" si="204"/>
        <v>0</v>
      </c>
      <c r="FA369" s="530">
        <f t="shared" si="205"/>
        <v>0</v>
      </c>
      <c r="FB369" s="530">
        <f t="shared" si="206"/>
        <v>0</v>
      </c>
      <c r="FC369" s="384" t="str">
        <f>IFERROR(VLOOKUP(Capex!A406,BASE_558!D:R,8,FALSE)/1000,"")</f>
        <v/>
      </c>
      <c r="FD369" s="328" t="str">
        <f>IFERROR(VLOOKUP(Capex!A406,BASE_558!D:R,9,)/1000,"")</f>
        <v/>
      </c>
      <c r="FE369" s="328">
        <f>IFERROR(IF(LEFT(A369,3)="LCP",(VLOOKUP(Capex!A406,BASE_558!D:R,10,)/1000),SUMIFS('BASE ICP_PO_SC'!F:F,'BASE ICP_PO_SC'!A:A,Capex!A406,'BASE ICP_PO_SC'!E:E,"&lt;&gt;")/1000),"")</f>
        <v>9.1</v>
      </c>
      <c r="FF369" s="328">
        <f>IFERROR(IF(LEFT(A369,3)="LCP",(VLOOKUP(Capex!A406,BASE_558!D:R,11,)/1000),SUMIFS('BASE ICP_PO_SC'!F:F,'BASE ICP_PO_SC'!A:A,Capex!A406,'BASE ICP_PO_SC'!E:E,"")/1000),"")</f>
        <v>0</v>
      </c>
      <c r="FG369" s="328" t="str">
        <f>IFERROR(VLOOKUP(A369,BASE_558!D:R,13,FALSE)/1000,"")</f>
        <v/>
      </c>
      <c r="FH369" s="328" t="str">
        <f>IFERROR(VLOOKUP(A369,BASE_558!D:R,15,FALSE)/1000,"")</f>
        <v/>
      </c>
      <c r="FI369" s="547">
        <f t="shared" si="207"/>
        <v>0</v>
      </c>
      <c r="FJ369" s="547">
        <f t="shared" si="208"/>
        <v>0</v>
      </c>
      <c r="FK369" s="540">
        <f t="shared" si="209"/>
        <v>0</v>
      </c>
    </row>
    <row r="370" spans="1:167" s="23" customFormat="1" ht="24" customHeight="1">
      <c r="A370" s="310" t="s">
        <v>662</v>
      </c>
      <c r="B370" s="404"/>
      <c r="C370" s="404"/>
      <c r="D370" s="338"/>
      <c r="E370" s="378"/>
      <c r="F370" s="5"/>
      <c r="G370" s="310" t="s">
        <v>8</v>
      </c>
      <c r="H370" s="356"/>
      <c r="I370" s="356"/>
      <c r="J370" s="356"/>
      <c r="K370" s="323"/>
      <c r="L370" s="324"/>
      <c r="M370" s="409"/>
      <c r="N370" s="317" t="str">
        <f t="shared" si="217"/>
        <v/>
      </c>
      <c r="O370" s="317" t="str">
        <f t="shared" si="218"/>
        <v/>
      </c>
      <c r="P370" s="418" t="str">
        <f t="shared" si="220"/>
        <v>N/A</v>
      </c>
      <c r="Q370" s="418" t="str">
        <f t="shared" si="220"/>
        <v>N/A</v>
      </c>
      <c r="R370" s="418" t="str">
        <f t="shared" si="220"/>
        <v>N/A</v>
      </c>
      <c r="S370" s="418" t="str">
        <f t="shared" si="220"/>
        <v>N/A</v>
      </c>
      <c r="T370" s="418" t="str">
        <f t="shared" si="220"/>
        <v>N/A</v>
      </c>
      <c r="U370" s="418" t="str">
        <f t="shared" si="220"/>
        <v>N/A</v>
      </c>
      <c r="V370" s="418" t="str">
        <f t="shared" si="220"/>
        <v>N/A</v>
      </c>
      <c r="W370" s="418" t="str">
        <f t="shared" si="220"/>
        <v>N/A</v>
      </c>
      <c r="X370" s="418" t="str">
        <f t="shared" si="220"/>
        <v>N/A</v>
      </c>
      <c r="Y370" s="418" t="str">
        <f t="shared" si="220"/>
        <v>N/A</v>
      </c>
      <c r="Z370" s="418" t="str">
        <f t="shared" si="220"/>
        <v>N/A</v>
      </c>
      <c r="AA370" s="418" t="str">
        <f t="shared" si="220"/>
        <v>N/A</v>
      </c>
      <c r="AB370" s="353"/>
      <c r="AC370" s="309" t="s">
        <v>3932</v>
      </c>
      <c r="AD370" s="311"/>
      <c r="AE370" s="382"/>
      <c r="AF370" s="310" t="s">
        <v>6986</v>
      </c>
      <c r="AG370" s="310" t="s">
        <v>712</v>
      </c>
      <c r="AH370" s="310" t="s">
        <v>2841</v>
      </c>
      <c r="AI370" s="309" t="s">
        <v>2562</v>
      </c>
      <c r="AJ370" s="6" t="s">
        <v>8545</v>
      </c>
      <c r="AK370" s="6" t="str">
        <f t="shared" si="187"/>
        <v>IGUAL</v>
      </c>
      <c r="AL370" s="151" t="str">
        <f>IFERROR(IF(LEFT(A370,3)="LCP",VLOOKUP(A370,STATUS_SAP_LCP!B:C,2,FALSE),VLOOKUP(A370,STATUS_SAP_ICP!B:C,2,FALSE)),"NO BUDGET")</f>
        <v>NO BUDGET</v>
      </c>
      <c r="AM370" s="6" t="str">
        <f t="shared" si="185"/>
        <v>NO BUDGET</v>
      </c>
      <c r="AN370" s="282"/>
      <c r="AO370" s="557"/>
      <c r="AP370" s="499" t="s">
        <v>9616</v>
      </c>
      <c r="AQ370" s="464"/>
      <c r="AR370" s="460"/>
      <c r="AS370" s="57"/>
      <c r="AT370" s="185"/>
      <c r="AU370" s="318"/>
      <c r="AV370" s="223"/>
      <c r="AW370" s="318"/>
      <c r="AX370" s="223">
        <v>193.17237000000296</v>
      </c>
      <c r="AY370" s="318">
        <f t="shared" si="214"/>
        <v>0</v>
      </c>
      <c r="AZ370" s="223"/>
      <c r="BA370" s="318"/>
      <c r="BB370" s="519">
        <f t="shared" si="219"/>
        <v>0</v>
      </c>
      <c r="BC370" s="518"/>
      <c r="BD370" s="518"/>
      <c r="BE370" s="518"/>
      <c r="BF370" s="518"/>
      <c r="BG370" s="518"/>
      <c r="BH370" s="518"/>
      <c r="BI370" s="518"/>
      <c r="BJ370" s="518"/>
      <c r="BK370" s="518"/>
      <c r="BL370" s="518"/>
      <c r="BM370" s="518"/>
      <c r="BN370" s="518"/>
      <c r="BO370" s="367">
        <f t="shared" si="188"/>
        <v>0</v>
      </c>
      <c r="BP370" s="421"/>
      <c r="BQ370" s="422"/>
      <c r="BR370" s="423" t="str">
        <f>IFERROR(IF(LEFT($A370,3)="Lcp",SUMIFS('BASE-LCP'!$K:$K,'BASE-LCP'!$A:$A,Capex!$A406,'BASE-LCP'!$B:$B,"janeiro")/1000,IF(LEFT($A370,3)="icp",SUMIFS('BASE-ICP'!$K:$K,'BASE-ICP'!$A:$A,Capex!$A406,'BASE-ICP'!$B:$B,"janeiro")/1000,"")),"")</f>
        <v/>
      </c>
      <c r="BS370" s="427">
        <v>0</v>
      </c>
      <c r="BT370" s="372">
        <v>0</v>
      </c>
      <c r="BU370" s="422"/>
      <c r="BV370" s="423" t="str">
        <f>IFERROR(IF(LEFT($A370,3)="Lcp",SUMIFS('BASE-LCP'!$K:$K,'BASE-LCP'!$A:$A,Capex!$A406,'BASE-LCP'!$B:$B,"fevereiro")/1000,IF(LEFT($A370,3)="icp",SUMIFS('BASE-ICP'!$K:$K,'BASE-ICP'!$A:$A,Capex!$A406,'BASE-ICP'!$B:$B,"fevereiro")/1000,"")),"")</f>
        <v/>
      </c>
      <c r="BW370" s="427">
        <v>0</v>
      </c>
      <c r="BX370" s="372">
        <v>0</v>
      </c>
      <c r="BY370" s="419"/>
      <c r="BZ370" s="423" t="str">
        <f>IFERROR(IF(LEFT($A370,3)="Lcp",SUMIFS('BASE-LCP'!$K:$K,'BASE-LCP'!$A:$A,Capex!$A406,'BASE-LCP'!$B:$B,"março")/1000,IF(LEFT($A370,3)="icp",SUMIFS('BASE-ICP'!$K:$K,'BASE-ICP'!$A:$A,Capex!$A406,'BASE-ICP'!$B:$B,"março")/1000,"")),"")</f>
        <v/>
      </c>
      <c r="CA370" s="427">
        <v>0</v>
      </c>
      <c r="CB370" s="372">
        <v>0</v>
      </c>
      <c r="CC370" s="422"/>
      <c r="CD370" s="423" t="str">
        <f>IFERROR(IF(LEFT($A370,3)="Lcp",SUMIFS('BASE-LCP'!$K:$K,'BASE-LCP'!$A:$A,Capex!$A406,'BASE-LCP'!$B:$B,"abril")/1000,IF(LEFT($A370,3)="icp",SUMIFS('BASE-ICP'!$K:$K,'BASE-ICP'!$A:$A,Capex!$A406,'BASE-ICP'!$B:$B,"abril")/1000,"")),"")</f>
        <v/>
      </c>
      <c r="CE370" s="427">
        <v>0</v>
      </c>
      <c r="CF370" s="372">
        <v>0</v>
      </c>
      <c r="CG370" s="419"/>
      <c r="CH370" s="423">
        <v>0</v>
      </c>
      <c r="CI370" s="427">
        <v>0</v>
      </c>
      <c r="CJ370" s="372">
        <v>0</v>
      </c>
      <c r="CK370" s="419"/>
      <c r="CL370" s="423" t="str">
        <f>IFERROR(IF(LEFT($A370,3)="Lcp",SUMIFS('BASE-LCP'!$K:$K,'BASE-LCP'!$A:$A,Capex!$A407,'BASE-LCP'!$B:$B,"junho")/1000,IF(LEFT($A370,3)="icp",SUMIFS('BASE-ICP'!$K:$K,'BASE-ICP'!$A:$A,Capex!$A407,'BASE-ICP'!$B:$B,"junho")/1000,"")),"")</f>
        <v/>
      </c>
      <c r="CM370" s="427">
        <v>0</v>
      </c>
      <c r="CN370" s="372"/>
      <c r="CO370" s="419"/>
      <c r="CP370" s="423" t="str">
        <f>IFERROR(IF(LEFT($A370,3)="Lcp",SUMIFS('BASE-LCP'!$K:$K,'BASE-LCP'!$A:$A,Capex!$A406,'BASE-LCP'!$B:$B,"julho")/1000,IF(LEFT($A370,3)="icp",SUMIFS('BASE-ICP'!$K:$K,'BASE-ICP'!$A:$A,Capex!$A406,'BASE-ICP'!$B:$B,"julho")/1000,"")),"")</f>
        <v/>
      </c>
      <c r="CQ370" s="427">
        <v>0</v>
      </c>
      <c r="CR370" s="372"/>
      <c r="CS370" s="419"/>
      <c r="CT370" s="423" t="str">
        <f>IFERROR(IF(LEFT($A370,3)="Lcp",SUMIFS('BASE-LCP'!$K:$K,'BASE-LCP'!$A:$A,Capex!$A406,'BASE-LCP'!$B:$B,"agosto")/1000,IF(LEFT($A370,3)="icp",SUMIFS('BASE-ICP'!$K:$K,'BASE-ICP'!$A:$A,Capex!$A406,'BASE-ICP'!$B:$B,"agosto")/1000,"")),"")</f>
        <v/>
      </c>
      <c r="CU370" s="427">
        <v>0</v>
      </c>
      <c r="CV370" s="372"/>
      <c r="CW370" s="419"/>
      <c r="CX370" s="423" t="str">
        <f>IFERROR(IF(LEFT($A370,3)="Lcp",SUMIFS('BASE-LCP'!$K:$K,'BASE-LCP'!$A:$A,Capex!$A406,'BASE-LCP'!$B:$B,"setembro")/1000,IF(LEFT($A370,3)="icp",SUMIFS('BASE-ICP'!$K:$K,'BASE-ICP'!$A:$A,Capex!$A406,'BASE-ICP'!$B:$B,"setembro")/1000,"")),"")</f>
        <v/>
      </c>
      <c r="CY370" s="427">
        <v>0</v>
      </c>
      <c r="CZ370" s="372"/>
      <c r="DA370" s="419"/>
      <c r="DB370" s="423" t="str">
        <f>IFERROR(IF(LEFT($A370,3)="Lcp",SUMIFS('BASE-LCP'!$K:$K,'BASE-LCP'!$A:$A,Capex!$A406,'BASE-LCP'!$B:$B,"outubro")/1000,IF(LEFT($A370,3)="icp",SUMIFS('BASE-ICP'!$K:$K,'BASE-ICP'!$A:$A,Capex!$A406,'BASE-ICP'!$B:$B,"outubro")/1000,"")),"")</f>
        <v/>
      </c>
      <c r="DC370" s="427">
        <v>0</v>
      </c>
      <c r="DD370" s="372"/>
      <c r="DE370" s="419"/>
      <c r="DF370" s="423" t="str">
        <f>IFERROR(IF(LEFT($A370,3)="Lcp",SUMIFS('BASE-LCP'!$K:$K,'BASE-LCP'!$A:$A,Capex!$A406,'BASE-LCP'!$B:$B,"novembro")/1000,IF(LEFT($A370,3)="icp",SUMIFS('BASE-ICP'!$K:$K,'BASE-ICP'!$A:$A,Capex!$A406,'BASE-ICP'!$B:$B,"novembro")/1000,"")),"")</f>
        <v/>
      </c>
      <c r="DG370" s="427">
        <v>0</v>
      </c>
      <c r="DH370" s="372"/>
      <c r="DI370" s="419"/>
      <c r="DJ370" s="423" t="str">
        <f>IFERROR(IF(LEFT($A370,3)="Lcp",SUMIFS('BASE-LCP'!$K:$K,'BASE-LCP'!$A:$A,Capex!$A406,'BASE-LCP'!$B:$B,"dezembro")/1000,IF(LEFT($A370,3)="icp",SUMIFS('BASE-ICP'!$K:$K,'BASE-ICP'!$A:$A,Capex!$A406,'BASE-ICP'!$B:$B,"dezembro")/1000,"")),"")</f>
        <v/>
      </c>
      <c r="DK370" s="427">
        <v>0</v>
      </c>
      <c r="DL370" s="452">
        <f t="shared" si="189"/>
        <v>0</v>
      </c>
      <c r="DM370" s="374"/>
      <c r="DN370" s="374"/>
      <c r="DO370" s="374"/>
      <c r="DP370" s="374"/>
      <c r="DQ370" s="374"/>
      <c r="DR370" s="374"/>
      <c r="DS370" s="374"/>
      <c r="DT370" s="374"/>
      <c r="DU370" s="374"/>
      <c r="DV370" s="374"/>
      <c r="DW370" s="374"/>
      <c r="DX370" s="374"/>
      <c r="DY370" s="450"/>
      <c r="DZ370" s="374">
        <f t="shared" si="190"/>
        <v>0</v>
      </c>
      <c r="EA370" s="216">
        <f t="shared" si="191"/>
        <v>0</v>
      </c>
      <c r="EB370" s="320" t="e">
        <f t="shared" si="192"/>
        <v>#VALUE!</v>
      </c>
      <c r="EC370" s="241">
        <f t="shared" si="193"/>
        <v>0</v>
      </c>
      <c r="ED370" s="241">
        <f t="shared" si="194"/>
        <v>0</v>
      </c>
      <c r="EE370" s="241">
        <f t="shared" si="195"/>
        <v>0</v>
      </c>
      <c r="EF370" s="241">
        <f t="shared" si="196"/>
        <v>0</v>
      </c>
      <c r="EG370" s="346">
        <f t="shared" si="197"/>
        <v>0</v>
      </c>
      <c r="EH370" s="445">
        <f t="shared" si="198"/>
        <v>0</v>
      </c>
      <c r="EI370" s="447">
        <f t="shared" si="199"/>
        <v>0</v>
      </c>
      <c r="EJ370" s="364">
        <f t="shared" si="200"/>
        <v>0</v>
      </c>
      <c r="EK370" s="365">
        <f t="shared" si="201"/>
        <v>0</v>
      </c>
      <c r="EL370" s="529">
        <f t="shared" si="202"/>
        <v>0</v>
      </c>
      <c r="EM370" s="530">
        <v>0</v>
      </c>
      <c r="EN370" s="530">
        <v>0</v>
      </c>
      <c r="EO370" s="530">
        <v>0</v>
      </c>
      <c r="EP370" s="530">
        <v>0</v>
      </c>
      <c r="EQ370" s="530">
        <v>0</v>
      </c>
      <c r="ER370" s="530">
        <v>0</v>
      </c>
      <c r="ES370" s="530">
        <v>0</v>
      </c>
      <c r="ET370" s="530">
        <v>0</v>
      </c>
      <c r="EU370" s="530">
        <v>0</v>
      </c>
      <c r="EV370" s="530">
        <v>0</v>
      </c>
      <c r="EW370" s="530">
        <v>0</v>
      </c>
      <c r="EX370" s="530">
        <v>0</v>
      </c>
      <c r="EY370" s="530">
        <f t="shared" si="203"/>
        <v>0</v>
      </c>
      <c r="EZ370" s="530">
        <f t="shared" si="204"/>
        <v>0</v>
      </c>
      <c r="FA370" s="530">
        <f t="shared" si="205"/>
        <v>0</v>
      </c>
      <c r="FB370" s="530">
        <f t="shared" si="206"/>
        <v>0</v>
      </c>
      <c r="FC370" s="384" t="str">
        <f>IFERROR(VLOOKUP(Capex!A407,BASE_558!D:R,8,FALSE)/1000,"")</f>
        <v/>
      </c>
      <c r="FD370" s="328" t="str">
        <f>IFERROR(VLOOKUP(Capex!A407,BASE_558!D:R,9,)/1000,"")</f>
        <v/>
      </c>
      <c r="FE370" s="328">
        <f>IFERROR(IF(LEFT(A370,3)="LCP",(VLOOKUP(Capex!A407,BASE_558!D:R,10,)/1000),SUMIFS('BASE ICP_PO_SC'!F:F,'BASE ICP_PO_SC'!A:A,Capex!A407,'BASE ICP_PO_SC'!E:E,"&lt;&gt;")/1000),"")</f>
        <v>0</v>
      </c>
      <c r="FF370" s="328">
        <f>IFERROR(IF(LEFT(A370,3)="LCP",(VLOOKUP(Capex!A407,BASE_558!D:R,11,)/1000),SUMIFS('BASE ICP_PO_SC'!F:F,'BASE ICP_PO_SC'!A:A,Capex!A407,'BASE ICP_PO_SC'!E:E,"")/1000),"")</f>
        <v>0</v>
      </c>
      <c r="FG370" s="328" t="str">
        <f>IFERROR(VLOOKUP(A370,BASE_558!D:R,13,FALSE)/1000,"")</f>
        <v/>
      </c>
      <c r="FH370" s="328" t="str">
        <f>IFERROR(VLOOKUP(A370,BASE_558!D:R,15,FALSE)/1000,"")</f>
        <v/>
      </c>
      <c r="FI370" s="547">
        <f t="shared" si="207"/>
        <v>0</v>
      </c>
      <c r="FJ370" s="547">
        <f t="shared" si="208"/>
        <v>0</v>
      </c>
      <c r="FK370" s="540">
        <f t="shared" si="209"/>
        <v>0</v>
      </c>
    </row>
    <row r="371" spans="1:167" s="23" customFormat="1" ht="24" customHeight="1">
      <c r="A371" s="310" t="s">
        <v>2598</v>
      </c>
      <c r="B371" s="404"/>
      <c r="C371" s="404"/>
      <c r="D371" s="338"/>
      <c r="E371" s="378"/>
      <c r="F371" s="5"/>
      <c r="G371" s="310" t="s">
        <v>8</v>
      </c>
      <c r="H371" s="338"/>
      <c r="I371" s="356"/>
      <c r="J371" s="356"/>
      <c r="K371" s="321"/>
      <c r="L371" s="324"/>
      <c r="M371" s="409"/>
      <c r="N371" s="317" t="str">
        <f t="shared" si="217"/>
        <v/>
      </c>
      <c r="O371" s="317" t="str">
        <f t="shared" si="218"/>
        <v/>
      </c>
      <c r="P371" s="418" t="str">
        <f t="shared" si="220"/>
        <v>N/A</v>
      </c>
      <c r="Q371" s="418" t="str">
        <f t="shared" si="220"/>
        <v>N/A</v>
      </c>
      <c r="R371" s="418" t="str">
        <f t="shared" si="220"/>
        <v>N/A</v>
      </c>
      <c r="S371" s="418" t="str">
        <f t="shared" si="220"/>
        <v>N/A</v>
      </c>
      <c r="T371" s="418" t="str">
        <f t="shared" si="220"/>
        <v>N/A</v>
      </c>
      <c r="U371" s="418" t="str">
        <f t="shared" si="220"/>
        <v>N/A</v>
      </c>
      <c r="V371" s="418" t="str">
        <f t="shared" si="220"/>
        <v>N/A</v>
      </c>
      <c r="W371" s="418" t="str">
        <f t="shared" si="220"/>
        <v>N/A</v>
      </c>
      <c r="X371" s="418" t="str">
        <f t="shared" si="220"/>
        <v>N/A</v>
      </c>
      <c r="Y371" s="418" t="str">
        <f t="shared" si="220"/>
        <v>N/A</v>
      </c>
      <c r="Z371" s="418" t="str">
        <f t="shared" si="220"/>
        <v>N/A</v>
      </c>
      <c r="AA371" s="418" t="str">
        <f t="shared" si="220"/>
        <v>N/A</v>
      </c>
      <c r="AB371" s="350"/>
      <c r="AC371" s="309" t="s">
        <v>3932</v>
      </c>
      <c r="AD371" s="311"/>
      <c r="AE371" s="382"/>
      <c r="AF371" s="310" t="s">
        <v>6987</v>
      </c>
      <c r="AG371" s="310" t="s">
        <v>712</v>
      </c>
      <c r="AH371" s="310" t="s">
        <v>1456</v>
      </c>
      <c r="AI371" s="381" t="s">
        <v>2561</v>
      </c>
      <c r="AJ371" s="6" t="s">
        <v>8545</v>
      </c>
      <c r="AK371" s="6" t="str">
        <f t="shared" si="187"/>
        <v>IGUAL</v>
      </c>
      <c r="AL371" s="151" t="str">
        <f>IFERROR(IF(LEFT(A371,3)="LCP",VLOOKUP(A371,STATUS_SAP_LCP!B:C,2,FALSE),VLOOKUP(A371,STATUS_SAP_ICP!B:C,2,FALSE)),"NO BUDGET")</f>
        <v>NO BUDGET</v>
      </c>
      <c r="AM371" s="6" t="str">
        <f t="shared" si="185"/>
        <v>NO BUDGET</v>
      </c>
      <c r="AN371" s="522"/>
      <c r="AO371" s="522"/>
      <c r="AP371" s="499" t="s">
        <v>9616</v>
      </c>
      <c r="AQ371" s="464"/>
      <c r="AR371" s="460"/>
      <c r="AS371" s="57">
        <v>-4344.27483402083</v>
      </c>
      <c r="AT371" s="185">
        <v>39.299372195749697</v>
      </c>
      <c r="AU371" s="318">
        <v>16.88863113221646</v>
      </c>
      <c r="AV371" s="223">
        <v>4192.1878488749317</v>
      </c>
      <c r="AW371" s="318">
        <v>657</v>
      </c>
      <c r="AX371" s="223">
        <v>1.0004441719502211E-11</v>
      </c>
      <c r="AY371" s="318">
        <f t="shared" si="214"/>
        <v>0</v>
      </c>
      <c r="AZ371" s="223"/>
      <c r="BA371" s="318"/>
      <c r="BB371" s="519">
        <f t="shared" si="219"/>
        <v>0</v>
      </c>
      <c r="BC371" s="518"/>
      <c r="BD371" s="518"/>
      <c r="BE371" s="518"/>
      <c r="BF371" s="518"/>
      <c r="BG371" s="518"/>
      <c r="BH371" s="518"/>
      <c r="BI371" s="518"/>
      <c r="BJ371" s="518"/>
      <c r="BK371" s="518"/>
      <c r="BL371" s="518"/>
      <c r="BM371" s="518"/>
      <c r="BN371" s="518"/>
      <c r="BO371" s="367">
        <f t="shared" si="188"/>
        <v>0</v>
      </c>
      <c r="BP371" s="421"/>
      <c r="BQ371" s="422"/>
      <c r="BR371" s="423" t="str">
        <f>IFERROR(IF(LEFT($A371,3)="Lcp",SUMIFS('BASE-LCP'!$K:$K,'BASE-LCP'!$A:$A,Capex!$A407,'BASE-LCP'!$B:$B,"janeiro")/1000,IF(LEFT($A371,3)="icp",SUMIFS('BASE-ICP'!$K:$K,'BASE-ICP'!$A:$A,Capex!$A407,'BASE-ICP'!$B:$B,"janeiro")/1000,"")),"")</f>
        <v/>
      </c>
      <c r="BS371" s="427">
        <v>0</v>
      </c>
      <c r="BT371" s="372">
        <v>0</v>
      </c>
      <c r="BU371" s="422"/>
      <c r="BV371" s="423" t="str">
        <f>IFERROR(IF(LEFT($A371,3)="Lcp",SUMIFS('BASE-LCP'!$K:$K,'BASE-LCP'!$A:$A,Capex!$A407,'BASE-LCP'!$B:$B,"fevereiro")/1000,IF(LEFT($A371,3)="icp",SUMIFS('BASE-ICP'!$K:$K,'BASE-ICP'!$A:$A,Capex!$A407,'BASE-ICP'!$B:$B,"fevereiro")/1000,"")),"")</f>
        <v/>
      </c>
      <c r="BW371" s="427">
        <v>0</v>
      </c>
      <c r="BX371" s="372">
        <v>0</v>
      </c>
      <c r="BY371" s="419"/>
      <c r="BZ371" s="423" t="str">
        <f>IFERROR(IF(LEFT($A371,3)="Lcp",SUMIFS('BASE-LCP'!$K:$K,'BASE-LCP'!$A:$A,Capex!$A407,'BASE-LCP'!$B:$B,"março")/1000,IF(LEFT($A371,3)="icp",SUMIFS('BASE-ICP'!$K:$K,'BASE-ICP'!$A:$A,Capex!$A407,'BASE-ICP'!$B:$B,"março")/1000,"")),"")</f>
        <v/>
      </c>
      <c r="CA371" s="427">
        <v>0</v>
      </c>
      <c r="CB371" s="372">
        <v>0</v>
      </c>
      <c r="CC371" s="422"/>
      <c r="CD371" s="423" t="str">
        <f>IFERROR(IF(LEFT($A371,3)="Lcp",SUMIFS('BASE-LCP'!$K:$K,'BASE-LCP'!$A:$A,Capex!$A407,'BASE-LCP'!$B:$B,"abril")/1000,IF(LEFT($A371,3)="icp",SUMIFS('BASE-ICP'!$K:$K,'BASE-ICP'!$A:$A,Capex!$A407,'BASE-ICP'!$B:$B,"abril")/1000,"")),"")</f>
        <v/>
      </c>
      <c r="CE371" s="427">
        <v>0</v>
      </c>
      <c r="CF371" s="372">
        <v>0</v>
      </c>
      <c r="CG371" s="419"/>
      <c r="CH371" s="423">
        <v>0</v>
      </c>
      <c r="CI371" s="427">
        <v>0</v>
      </c>
      <c r="CJ371" s="372">
        <v>0</v>
      </c>
      <c r="CK371" s="419"/>
      <c r="CL371" s="423" t="str">
        <f>IFERROR(IF(LEFT($A371,3)="Lcp",SUMIFS('BASE-LCP'!$K:$K,'BASE-LCP'!$A:$A,Capex!$A408,'BASE-LCP'!$B:$B,"junho")/1000,IF(LEFT($A371,3)="icp",SUMIFS('BASE-ICP'!$K:$K,'BASE-ICP'!$A:$A,Capex!$A408,'BASE-ICP'!$B:$B,"junho")/1000,"")),"")</f>
        <v/>
      </c>
      <c r="CM371" s="427">
        <v>0</v>
      </c>
      <c r="CN371" s="372"/>
      <c r="CO371" s="419"/>
      <c r="CP371" s="423" t="str">
        <f>IFERROR(IF(LEFT($A371,3)="Lcp",SUMIFS('BASE-LCP'!$K:$K,'BASE-LCP'!$A:$A,Capex!$A407,'BASE-LCP'!$B:$B,"julho")/1000,IF(LEFT($A371,3)="icp",SUMIFS('BASE-ICP'!$K:$K,'BASE-ICP'!$A:$A,Capex!$A407,'BASE-ICP'!$B:$B,"julho")/1000,"")),"")</f>
        <v/>
      </c>
      <c r="CQ371" s="427">
        <v>0</v>
      </c>
      <c r="CR371" s="372"/>
      <c r="CS371" s="419"/>
      <c r="CT371" s="423" t="str">
        <f>IFERROR(IF(LEFT($A371,3)="Lcp",SUMIFS('BASE-LCP'!$K:$K,'BASE-LCP'!$A:$A,Capex!$A407,'BASE-LCP'!$B:$B,"agosto")/1000,IF(LEFT($A371,3)="icp",SUMIFS('BASE-ICP'!$K:$K,'BASE-ICP'!$A:$A,Capex!$A407,'BASE-ICP'!$B:$B,"agosto")/1000,"")),"")</f>
        <v/>
      </c>
      <c r="CU371" s="427">
        <v>0</v>
      </c>
      <c r="CV371" s="372"/>
      <c r="CW371" s="419"/>
      <c r="CX371" s="423" t="str">
        <f>IFERROR(IF(LEFT($A371,3)="Lcp",SUMIFS('BASE-LCP'!$K:$K,'BASE-LCP'!$A:$A,Capex!$A407,'BASE-LCP'!$B:$B,"setembro")/1000,IF(LEFT($A371,3)="icp",SUMIFS('BASE-ICP'!$K:$K,'BASE-ICP'!$A:$A,Capex!$A407,'BASE-ICP'!$B:$B,"setembro")/1000,"")),"")</f>
        <v/>
      </c>
      <c r="CY371" s="427">
        <v>0</v>
      </c>
      <c r="CZ371" s="372"/>
      <c r="DA371" s="419"/>
      <c r="DB371" s="423" t="str">
        <f>IFERROR(IF(LEFT($A371,3)="Lcp",SUMIFS('BASE-LCP'!$K:$K,'BASE-LCP'!$A:$A,Capex!$A407,'BASE-LCP'!$B:$B,"outubro")/1000,IF(LEFT($A371,3)="icp",SUMIFS('BASE-ICP'!$K:$K,'BASE-ICP'!$A:$A,Capex!$A407,'BASE-ICP'!$B:$B,"outubro")/1000,"")),"")</f>
        <v/>
      </c>
      <c r="DC371" s="427">
        <v>0</v>
      </c>
      <c r="DD371" s="372"/>
      <c r="DE371" s="419"/>
      <c r="DF371" s="423" t="str">
        <f>IFERROR(IF(LEFT($A371,3)="Lcp",SUMIFS('BASE-LCP'!$K:$K,'BASE-LCP'!$A:$A,Capex!$A407,'BASE-LCP'!$B:$B,"novembro")/1000,IF(LEFT($A371,3)="icp",SUMIFS('BASE-ICP'!$K:$K,'BASE-ICP'!$A:$A,Capex!$A407,'BASE-ICP'!$B:$B,"novembro")/1000,"")),"")</f>
        <v/>
      </c>
      <c r="DG371" s="427">
        <v>0</v>
      </c>
      <c r="DH371" s="372"/>
      <c r="DI371" s="419"/>
      <c r="DJ371" s="423" t="str">
        <f>IFERROR(IF(LEFT($A371,3)="Lcp",SUMIFS('BASE-LCP'!$K:$K,'BASE-LCP'!$A:$A,Capex!$A407,'BASE-LCP'!$B:$B,"dezembro")/1000,IF(LEFT($A371,3)="icp",SUMIFS('BASE-ICP'!$K:$K,'BASE-ICP'!$A:$A,Capex!$A407,'BASE-ICP'!$B:$B,"dezembro")/1000,"")),"")</f>
        <v/>
      </c>
      <c r="DK371" s="427">
        <v>0</v>
      </c>
      <c r="DL371" s="452">
        <f t="shared" si="189"/>
        <v>0</v>
      </c>
      <c r="DM371" s="374"/>
      <c r="DN371" s="374"/>
      <c r="DO371" s="374"/>
      <c r="DP371" s="374"/>
      <c r="DQ371" s="374"/>
      <c r="DR371" s="374"/>
      <c r="DS371" s="374"/>
      <c r="DT371" s="374"/>
      <c r="DU371" s="374"/>
      <c r="DV371" s="374"/>
      <c r="DW371" s="374"/>
      <c r="DX371" s="374"/>
      <c r="DY371" s="450"/>
      <c r="DZ371" s="374">
        <f t="shared" si="190"/>
        <v>0</v>
      </c>
      <c r="EA371" s="216">
        <f t="shared" si="191"/>
        <v>0</v>
      </c>
      <c r="EB371" s="320" t="e">
        <f t="shared" si="192"/>
        <v>#VALUE!</v>
      </c>
      <c r="EC371" s="241">
        <f t="shared" si="193"/>
        <v>0</v>
      </c>
      <c r="ED371" s="241">
        <f t="shared" si="194"/>
        <v>0</v>
      </c>
      <c r="EE371" s="241">
        <f t="shared" si="195"/>
        <v>0</v>
      </c>
      <c r="EF371" s="241">
        <f t="shared" si="196"/>
        <v>0</v>
      </c>
      <c r="EG371" s="346">
        <f t="shared" si="197"/>
        <v>0</v>
      </c>
      <c r="EH371" s="445">
        <f t="shared" si="198"/>
        <v>0</v>
      </c>
      <c r="EI371" s="447">
        <f t="shared" si="199"/>
        <v>0</v>
      </c>
      <c r="EJ371" s="364">
        <f t="shared" si="200"/>
        <v>0</v>
      </c>
      <c r="EK371" s="365">
        <f t="shared" si="201"/>
        <v>0</v>
      </c>
      <c r="EL371" s="529">
        <f t="shared" si="202"/>
        <v>0</v>
      </c>
      <c r="EM371" s="530">
        <v>0</v>
      </c>
      <c r="EN371" s="530">
        <v>0</v>
      </c>
      <c r="EO371" s="530">
        <v>0</v>
      </c>
      <c r="EP371" s="530">
        <v>0</v>
      </c>
      <c r="EQ371" s="530">
        <v>0</v>
      </c>
      <c r="ER371" s="530">
        <v>0</v>
      </c>
      <c r="ES371" s="530">
        <v>0</v>
      </c>
      <c r="ET371" s="530">
        <v>0</v>
      </c>
      <c r="EU371" s="530">
        <v>0</v>
      </c>
      <c r="EV371" s="530">
        <v>0</v>
      </c>
      <c r="EW371" s="530">
        <v>0</v>
      </c>
      <c r="EX371" s="530">
        <v>0</v>
      </c>
      <c r="EY371" s="530">
        <f t="shared" si="203"/>
        <v>0</v>
      </c>
      <c r="EZ371" s="530">
        <f t="shared" si="204"/>
        <v>0</v>
      </c>
      <c r="FA371" s="530">
        <f t="shared" si="205"/>
        <v>0</v>
      </c>
      <c r="FB371" s="530">
        <f t="shared" si="206"/>
        <v>0</v>
      </c>
      <c r="FC371" s="384" t="str">
        <f>IFERROR(VLOOKUP(Capex!A408,BASE_558!D:R,8,FALSE)/1000,"")</f>
        <v/>
      </c>
      <c r="FD371" s="328" t="str">
        <f>IFERROR(VLOOKUP(Capex!A408,BASE_558!D:R,9,)/1000,"")</f>
        <v/>
      </c>
      <c r="FE371" s="328">
        <f>IFERROR(IF(LEFT(A371,3)="LCP",(VLOOKUP(Capex!A408,BASE_558!D:R,10,)/1000),SUMIFS('BASE ICP_PO_SC'!F:F,'BASE ICP_PO_SC'!A:A,Capex!A408,'BASE ICP_PO_SC'!E:E,"&lt;&gt;")/1000),"")</f>
        <v>154.47188999999997</v>
      </c>
      <c r="FF371" s="328">
        <f>IFERROR(IF(LEFT(A371,3)="LCP",(VLOOKUP(Capex!A408,BASE_558!D:R,11,)/1000),SUMIFS('BASE ICP_PO_SC'!F:F,'BASE ICP_PO_SC'!A:A,Capex!A408,'BASE ICP_PO_SC'!E:E,"")/1000),"")</f>
        <v>0</v>
      </c>
      <c r="FG371" s="328" t="str">
        <f>IFERROR(VLOOKUP(A371,BASE_558!D:R,13,FALSE)/1000,"")</f>
        <v/>
      </c>
      <c r="FH371" s="328" t="str">
        <f>IFERROR(VLOOKUP(A371,BASE_558!D:R,15,FALSE)/1000,"")</f>
        <v/>
      </c>
      <c r="FI371" s="547">
        <f t="shared" si="207"/>
        <v>0</v>
      </c>
      <c r="FJ371" s="547">
        <f t="shared" si="208"/>
        <v>0</v>
      </c>
      <c r="FK371" s="540">
        <f t="shared" si="209"/>
        <v>0</v>
      </c>
    </row>
    <row r="372" spans="1:167" s="23" customFormat="1" ht="24" customHeight="1">
      <c r="A372" s="310" t="s">
        <v>7447</v>
      </c>
      <c r="B372" s="555"/>
      <c r="C372" s="404"/>
      <c r="D372" s="356"/>
      <c r="E372" s="378"/>
      <c r="F372" s="5"/>
      <c r="G372" s="310" t="s">
        <v>8</v>
      </c>
      <c r="H372" s="338"/>
      <c r="I372" s="356"/>
      <c r="J372" s="356"/>
      <c r="K372" s="321"/>
      <c r="L372" s="316"/>
      <c r="M372" s="409"/>
      <c r="N372" s="317" t="str">
        <f t="shared" si="217"/>
        <v/>
      </c>
      <c r="O372" s="317" t="str">
        <f t="shared" si="218"/>
        <v/>
      </c>
      <c r="P372" s="418" t="str">
        <f t="shared" si="220"/>
        <v>N/A</v>
      </c>
      <c r="Q372" s="418" t="str">
        <f t="shared" si="220"/>
        <v>N/A</v>
      </c>
      <c r="R372" s="418" t="str">
        <f t="shared" si="220"/>
        <v>N/A</v>
      </c>
      <c r="S372" s="418" t="str">
        <f t="shared" si="220"/>
        <v>N/A</v>
      </c>
      <c r="T372" s="418" t="str">
        <f t="shared" si="220"/>
        <v>N/A</v>
      </c>
      <c r="U372" s="418" t="str">
        <f t="shared" si="220"/>
        <v>N/A</v>
      </c>
      <c r="V372" s="418" t="str">
        <f t="shared" si="220"/>
        <v>N/A</v>
      </c>
      <c r="W372" s="418" t="str">
        <f t="shared" si="220"/>
        <v>N/A</v>
      </c>
      <c r="X372" s="418" t="str">
        <f t="shared" si="220"/>
        <v>N/A</v>
      </c>
      <c r="Y372" s="418" t="str">
        <f t="shared" si="220"/>
        <v>N/A</v>
      </c>
      <c r="Z372" s="418" t="str">
        <f t="shared" si="220"/>
        <v>N/A</v>
      </c>
      <c r="AA372" s="418" t="str">
        <f t="shared" si="220"/>
        <v>N/A</v>
      </c>
      <c r="AB372" s="350"/>
      <c r="AC372" s="309" t="s">
        <v>2508</v>
      </c>
      <c r="AD372" s="311"/>
      <c r="AE372" s="382"/>
      <c r="AF372" s="310" t="s">
        <v>6986</v>
      </c>
      <c r="AG372" s="310" t="s">
        <v>6882</v>
      </c>
      <c r="AH372" s="310" t="s">
        <v>7442</v>
      </c>
      <c r="AI372" s="381" t="s">
        <v>2255</v>
      </c>
      <c r="AJ372" s="6" t="s">
        <v>8545</v>
      </c>
      <c r="AK372" s="6" t="str">
        <f t="shared" si="187"/>
        <v>IGUAL</v>
      </c>
      <c r="AL372" s="151" t="str">
        <f>IFERROR(IF(LEFT(A372,3)="LCP",VLOOKUP(A372,STATUS_SAP_LCP!B:C,2,FALSE),VLOOKUP(A372,STATUS_SAP_ICP!B:C,2,FALSE)),"NO BUDGET")</f>
        <v>NO BUDGET</v>
      </c>
      <c r="AM372" s="6" t="str">
        <f t="shared" si="185"/>
        <v>NO BUDGET</v>
      </c>
      <c r="AN372" s="414"/>
      <c r="AO372" s="414"/>
      <c r="AP372" s="499" t="s">
        <v>9616</v>
      </c>
      <c r="AQ372" s="465"/>
      <c r="AR372" s="460"/>
      <c r="AS372" s="57"/>
      <c r="AT372" s="185"/>
      <c r="AU372" s="318"/>
      <c r="AV372" s="223"/>
      <c r="AW372" s="318"/>
      <c r="AX372" s="223"/>
      <c r="AY372" s="318">
        <f t="shared" si="214"/>
        <v>-561.47</v>
      </c>
      <c r="AZ372" s="223"/>
      <c r="BA372" s="318"/>
      <c r="BB372" s="519">
        <f t="shared" si="219"/>
        <v>0</v>
      </c>
      <c r="BC372" s="518"/>
      <c r="BD372" s="518"/>
      <c r="BE372" s="518"/>
      <c r="BF372" s="518"/>
      <c r="BG372" s="518"/>
      <c r="BH372" s="518"/>
      <c r="BI372" s="518"/>
      <c r="BJ372" s="518"/>
      <c r="BK372" s="518"/>
      <c r="BL372" s="518"/>
      <c r="BM372" s="518"/>
      <c r="BN372" s="518"/>
      <c r="BO372" s="367">
        <f t="shared" si="188"/>
        <v>-561.47</v>
      </c>
      <c r="BP372" s="421"/>
      <c r="BQ372" s="422"/>
      <c r="BR372" s="423" t="str">
        <f>IFERROR(IF(LEFT($A372,3)="Lcp",SUMIFS('BASE-LCP'!$K:$K,'BASE-LCP'!$A:$A,Capex!$A409,'BASE-LCP'!$B:$B,"janeiro")/1000,IF(LEFT($A372,3)="icp",SUMIFS('BASE-ICP'!$K:$K,'BASE-ICP'!$A:$A,Capex!$A409,'BASE-ICP'!$B:$B,"janeiro")/1000,"")),"")</f>
        <v/>
      </c>
      <c r="BS372" s="427"/>
      <c r="BT372" s="372"/>
      <c r="BU372" s="422"/>
      <c r="BV372" s="423" t="str">
        <f>IFERROR(IF(LEFT($A372,3)="Lcp",SUMIFS('BASE-LCP'!$K:$K,'BASE-LCP'!$A:$A,Capex!$A409,'BASE-LCP'!$B:$B,"fevereiro")/1000,IF(LEFT($A372,3)="icp",SUMIFS('BASE-ICP'!$K:$K,'BASE-ICP'!$A:$A,Capex!$A409,'BASE-ICP'!$B:$B,"fevereiro")/1000,"")),"")</f>
        <v/>
      </c>
      <c r="BW372" s="427"/>
      <c r="BX372" s="372"/>
      <c r="BY372" s="419"/>
      <c r="BZ372" s="423" t="str">
        <f>IFERROR(IF(LEFT($A372,3)="Lcp",SUMIFS('BASE-LCP'!$K:$K,'BASE-LCP'!$A:$A,Capex!$A409,'BASE-LCP'!$B:$B,"março")/1000,IF(LEFT($A372,3)="icp",SUMIFS('BASE-ICP'!$K:$K,'BASE-ICP'!$A:$A,Capex!$A409,'BASE-ICP'!$B:$B,"março")/1000,"")),"")</f>
        <v/>
      </c>
      <c r="CA372" s="427"/>
      <c r="CB372" s="372"/>
      <c r="CC372" s="422"/>
      <c r="CD372" s="423" t="str">
        <f>IFERROR(IF(LEFT($A372,3)="Lcp",SUMIFS('BASE-LCP'!$K:$K,'BASE-LCP'!$A:$A,Capex!$A409,'BASE-LCP'!$B:$B,"abril")/1000,IF(LEFT($A372,3)="icp",SUMIFS('BASE-ICP'!$K:$K,'BASE-ICP'!$A:$A,Capex!$A409,'BASE-ICP'!$B:$B,"abril")/1000,"")),"")</f>
        <v/>
      </c>
      <c r="CE372" s="427"/>
      <c r="CF372" s="372"/>
      <c r="CG372" s="419"/>
      <c r="CH372" s="423">
        <v>0</v>
      </c>
      <c r="CI372" s="427"/>
      <c r="CJ372" s="372"/>
      <c r="CK372" s="419"/>
      <c r="CL372" s="423" t="str">
        <f>IFERROR(IF(LEFT($A372,3)="Lcp",SUMIFS('BASE-LCP'!$K:$K,'BASE-LCP'!$A:$A,Capex!$A409,'BASE-LCP'!$B:$B,"junho")/1000,IF(LEFT($A372,3)="icp",SUMIFS('BASE-ICP'!$K:$K,'BASE-ICP'!$A:$A,Capex!$A409,'BASE-ICP'!$B:$B,"junho")/1000,"")),"")</f>
        <v/>
      </c>
      <c r="CM372" s="427"/>
      <c r="CN372" s="372"/>
      <c r="CO372" s="419"/>
      <c r="CP372" s="423" t="str">
        <f>IFERROR(IF(LEFT($A372,3)="Lcp",SUMIFS('BASE-LCP'!$K:$K,'BASE-LCP'!$A:$A,Capex!$A409,'BASE-LCP'!$B:$B,"julho")/1000,IF(LEFT($A372,3)="icp",SUMIFS('BASE-ICP'!$K:$K,'BASE-ICP'!$A:$A,Capex!$A409,'BASE-ICP'!$B:$B,"julho")/1000,"")),"")</f>
        <v/>
      </c>
      <c r="CQ372" s="427"/>
      <c r="CR372" s="372"/>
      <c r="CS372" s="419"/>
      <c r="CT372" s="423" t="str">
        <f>IFERROR(IF(LEFT($A372,3)="Lcp",SUMIFS('BASE-LCP'!$K:$K,'BASE-LCP'!$A:$A,Capex!$A409,'BASE-LCP'!$B:$B,"agosto")/1000,IF(LEFT($A372,3)="icp",SUMIFS('BASE-ICP'!$K:$K,'BASE-ICP'!$A:$A,Capex!$A409,'BASE-ICP'!$B:$B,"agosto")/1000,"")),"")</f>
        <v/>
      </c>
      <c r="CU372" s="427"/>
      <c r="CV372" s="372"/>
      <c r="CW372" s="419"/>
      <c r="CX372" s="423" t="str">
        <f>IFERROR(IF(LEFT($A372,3)="Lcp",SUMIFS('BASE-LCP'!$K:$K,'BASE-LCP'!$A:$A,Capex!$A409,'BASE-LCP'!$B:$B,"setembro")/1000,IF(LEFT($A372,3)="icp",SUMIFS('BASE-ICP'!$K:$K,'BASE-ICP'!$A:$A,Capex!$A409,'BASE-ICP'!$B:$B,"setembro")/1000,"")),"")</f>
        <v/>
      </c>
      <c r="CY372" s="427"/>
      <c r="CZ372" s="372"/>
      <c r="DA372" s="419"/>
      <c r="DB372" s="423" t="str">
        <f>IFERROR(IF(LEFT($A372,3)="Lcp",SUMIFS('BASE-LCP'!$K:$K,'BASE-LCP'!$A:$A,Capex!$A409,'BASE-LCP'!$B:$B,"outubro")/1000,IF(LEFT($A372,3)="icp",SUMIFS('BASE-ICP'!$K:$K,'BASE-ICP'!$A:$A,Capex!$A409,'BASE-ICP'!$B:$B,"outubro")/1000,"")),"")</f>
        <v/>
      </c>
      <c r="DC372" s="427">
        <v>-137.47</v>
      </c>
      <c r="DD372" s="372"/>
      <c r="DE372" s="419"/>
      <c r="DF372" s="423" t="str">
        <f>IFERROR(IF(LEFT($A372,3)="Lcp",SUMIFS('BASE-LCP'!$K:$K,'BASE-LCP'!$A:$A,Capex!$A409,'BASE-LCP'!$B:$B,"novembro")/1000,IF(LEFT($A372,3)="icp",SUMIFS('BASE-ICP'!$K:$K,'BASE-ICP'!$A:$A,Capex!$A409,'BASE-ICP'!$B:$B,"novembro")/1000,"")),"")</f>
        <v/>
      </c>
      <c r="DG372" s="427">
        <v>-200</v>
      </c>
      <c r="DH372" s="372"/>
      <c r="DI372" s="419"/>
      <c r="DJ372" s="423" t="str">
        <f>IFERROR(IF(LEFT($A372,3)="Lcp",SUMIFS('BASE-LCP'!$K:$K,'BASE-LCP'!$A:$A,Capex!$A409,'BASE-LCP'!$B:$B,"dezembro")/1000,IF(LEFT($A372,3)="icp",SUMIFS('BASE-ICP'!$K:$K,'BASE-ICP'!$A:$A,Capex!$A409,'BASE-ICP'!$B:$B,"dezembro")/1000,"")),"")</f>
        <v/>
      </c>
      <c r="DK372" s="427">
        <f>-229+5</f>
        <v>-224</v>
      </c>
      <c r="DL372" s="452">
        <f t="shared" si="189"/>
        <v>0</v>
      </c>
      <c r="DM372" s="374"/>
      <c r="DN372" s="374"/>
      <c r="DO372" s="374"/>
      <c r="DP372" s="374"/>
      <c r="DQ372" s="374"/>
      <c r="DR372" s="374"/>
      <c r="DS372" s="374"/>
      <c r="DT372" s="374"/>
      <c r="DU372" s="374"/>
      <c r="DV372" s="374"/>
      <c r="DW372" s="374"/>
      <c r="DX372" s="374"/>
      <c r="DY372" s="450"/>
      <c r="DZ372" s="374">
        <f t="shared" si="190"/>
        <v>0</v>
      </c>
      <c r="EA372" s="216">
        <f t="shared" si="191"/>
        <v>0</v>
      </c>
      <c r="EB372" s="320" t="e">
        <f t="shared" si="192"/>
        <v>#VALUE!</v>
      </c>
      <c r="EC372" s="241">
        <f t="shared" si="193"/>
        <v>0</v>
      </c>
      <c r="ED372" s="241">
        <f t="shared" si="194"/>
        <v>0</v>
      </c>
      <c r="EE372" s="241">
        <f t="shared" si="195"/>
        <v>0</v>
      </c>
      <c r="EF372" s="241">
        <f t="shared" si="196"/>
        <v>-561.47</v>
      </c>
      <c r="EG372" s="346">
        <f t="shared" si="197"/>
        <v>-561.47</v>
      </c>
      <c r="EH372" s="445">
        <f t="shared" si="198"/>
        <v>0</v>
      </c>
      <c r="EI372" s="447">
        <f t="shared" si="199"/>
        <v>0</v>
      </c>
      <c r="EJ372" s="364">
        <f t="shared" si="200"/>
        <v>0</v>
      </c>
      <c r="EK372" s="365">
        <f t="shared" si="201"/>
        <v>-561.47</v>
      </c>
      <c r="EL372" s="529">
        <f t="shared" si="202"/>
        <v>-561.47</v>
      </c>
      <c r="EM372" s="530">
        <v>0</v>
      </c>
      <c r="EN372" s="530">
        <v>0</v>
      </c>
      <c r="EO372" s="530">
        <v>0</v>
      </c>
      <c r="EP372" s="530">
        <v>0</v>
      </c>
      <c r="EQ372" s="530">
        <v>0</v>
      </c>
      <c r="ER372" s="530">
        <v>0</v>
      </c>
      <c r="ES372" s="530">
        <v>0</v>
      </c>
      <c r="ET372" s="530">
        <v>0</v>
      </c>
      <c r="EU372" s="530">
        <v>0</v>
      </c>
      <c r="EV372" s="530">
        <v>-137.47</v>
      </c>
      <c r="EW372" s="530">
        <v>-200</v>
      </c>
      <c r="EX372" s="530">
        <v>-224</v>
      </c>
      <c r="EY372" s="530">
        <f t="shared" si="203"/>
        <v>0</v>
      </c>
      <c r="EZ372" s="530">
        <f t="shared" si="204"/>
        <v>0</v>
      </c>
      <c r="FA372" s="530">
        <f t="shared" si="205"/>
        <v>0</v>
      </c>
      <c r="FB372" s="530">
        <f t="shared" si="206"/>
        <v>-561.47</v>
      </c>
      <c r="FC372" s="384" t="str">
        <f>IFERROR(VLOOKUP(Capex!A409,BASE_558!D:R,8,FALSE)/1000,"")</f>
        <v/>
      </c>
      <c r="FD372" s="328" t="str">
        <f>IFERROR(VLOOKUP(Capex!A409,BASE_558!D:R,9,)/1000,"")</f>
        <v/>
      </c>
      <c r="FE372" s="328">
        <f>IFERROR(IF(LEFT(A372,3)="LCP",(VLOOKUP(Capex!A409,BASE_558!D:R,10,)/1000),SUMIFS('BASE ICP_PO_SC'!F:F,'BASE ICP_PO_SC'!A:A,Capex!A409,'BASE ICP_PO_SC'!E:E,"&lt;&gt;")/1000),"")</f>
        <v>28.39723</v>
      </c>
      <c r="FF372" s="328">
        <f>IFERROR(IF(LEFT(A372,3)="LCP",(VLOOKUP(Capex!A409,BASE_558!D:R,11,)/1000),SUMIFS('BASE ICP_PO_SC'!F:F,'BASE ICP_PO_SC'!A:A,Capex!A409,'BASE ICP_PO_SC'!E:E,"")/1000),"")</f>
        <v>0</v>
      </c>
      <c r="FG372" s="328" t="str">
        <f>IFERROR(VLOOKUP(A372,BASE_558!D:R,13,FALSE)/1000,"")</f>
        <v/>
      </c>
      <c r="FH372" s="328" t="str">
        <f>IFERROR(VLOOKUP(A372,BASE_558!D:R,15,FALSE)/1000,"")</f>
        <v/>
      </c>
      <c r="FI372" s="547">
        <f t="shared" si="207"/>
        <v>0</v>
      </c>
      <c r="FJ372" s="547">
        <f t="shared" si="208"/>
        <v>0</v>
      </c>
      <c r="FK372" s="540">
        <f t="shared" si="209"/>
        <v>0</v>
      </c>
    </row>
    <row r="373" spans="1:167" s="23" customFormat="1" ht="24" customHeight="1">
      <c r="A373" s="153" t="s">
        <v>1095</v>
      </c>
      <c r="B373" s="404" t="s">
        <v>844</v>
      </c>
      <c r="C373" s="404"/>
      <c r="D373" s="356"/>
      <c r="E373" s="378"/>
      <c r="F373" s="5"/>
      <c r="G373" s="310" t="s">
        <v>9</v>
      </c>
      <c r="H373" s="338"/>
      <c r="I373" s="356"/>
      <c r="J373" s="356">
        <v>2021</v>
      </c>
      <c r="K373" s="321"/>
      <c r="L373" s="324"/>
      <c r="M373" s="409"/>
      <c r="N373" s="317" t="str">
        <f t="shared" si="217"/>
        <v/>
      </c>
      <c r="O373" s="317" t="str">
        <f t="shared" si="218"/>
        <v/>
      </c>
      <c r="P373" s="418" t="str">
        <f t="shared" si="220"/>
        <v>N/A</v>
      </c>
      <c r="Q373" s="418" t="str">
        <f t="shared" si="220"/>
        <v>N/A</v>
      </c>
      <c r="R373" s="418" t="str">
        <f t="shared" si="220"/>
        <v>N/A</v>
      </c>
      <c r="S373" s="418" t="str">
        <f t="shared" si="220"/>
        <v>N/A</v>
      </c>
      <c r="T373" s="418" t="str">
        <f t="shared" si="220"/>
        <v>N/A</v>
      </c>
      <c r="U373" s="418" t="str">
        <f t="shared" si="220"/>
        <v>N/A</v>
      </c>
      <c r="V373" s="418" t="str">
        <f t="shared" si="220"/>
        <v>N/A</v>
      </c>
      <c r="W373" s="418" t="str">
        <f t="shared" si="220"/>
        <v>N/A</v>
      </c>
      <c r="X373" s="418" t="str">
        <f t="shared" si="220"/>
        <v>N/A</v>
      </c>
      <c r="Y373" s="418" t="str">
        <f t="shared" si="220"/>
        <v>N/A</v>
      </c>
      <c r="Z373" s="418" t="str">
        <f t="shared" si="220"/>
        <v>N/A</v>
      </c>
      <c r="AA373" s="418" t="str">
        <f t="shared" si="220"/>
        <v>N/A</v>
      </c>
      <c r="AB373" s="350"/>
      <c r="AC373" s="309" t="s">
        <v>3932</v>
      </c>
      <c r="AD373" s="311" t="s">
        <v>222</v>
      </c>
      <c r="AE373" s="382" t="s">
        <v>965</v>
      </c>
      <c r="AF373" s="310" t="s">
        <v>6988</v>
      </c>
      <c r="AG373" s="310" t="s">
        <v>2186</v>
      </c>
      <c r="AH373" s="310" t="s">
        <v>1076</v>
      </c>
      <c r="AI373" s="381" t="s">
        <v>316</v>
      </c>
      <c r="AJ373" s="6" t="s">
        <v>6786</v>
      </c>
      <c r="AK373" s="6" t="str">
        <f t="shared" si="187"/>
        <v>IGUAL</v>
      </c>
      <c r="AL373" s="151" t="str">
        <f>IFERROR(IF(LEFT(A373,3)="LCP",VLOOKUP(A373,STATUS_SAP_LCP!B:C,2,FALSE),VLOOKUP(A373,STATUS_SAP_ICP!B:C,2,FALSE)),"NO BUDGET")</f>
        <v>REL  BUDG AVAC  //  BREL WPLI</v>
      </c>
      <c r="AM373" s="6" t="str">
        <f t="shared" si="185"/>
        <v xml:space="preserve">REL </v>
      </c>
      <c r="AN373" s="429" t="s">
        <v>8960</v>
      </c>
      <c r="AO373" s="414"/>
      <c r="AP373" s="499" t="s">
        <v>9616</v>
      </c>
      <c r="AQ373" s="464"/>
      <c r="AR373" s="460"/>
      <c r="AS373" s="57"/>
      <c r="AT373" s="185"/>
      <c r="AU373" s="318">
        <v>371.01628000000011</v>
      </c>
      <c r="AV373" s="223">
        <v>142.52135999999999</v>
      </c>
      <c r="AW373" s="318">
        <v>-144.20464000000001</v>
      </c>
      <c r="AX373" s="223">
        <v>-302.34688000000006</v>
      </c>
      <c r="AY373" s="318">
        <f t="shared" si="214"/>
        <v>-66.664090000000002</v>
      </c>
      <c r="AZ373" s="223"/>
      <c r="BA373" s="318"/>
      <c r="BB373" s="519">
        <f t="shared" si="219"/>
        <v>0</v>
      </c>
      <c r="BC373" s="518">
        <v>0</v>
      </c>
      <c r="BD373" s="518">
        <v>0</v>
      </c>
      <c r="BE373" s="518">
        <v>0</v>
      </c>
      <c r="BF373" s="518">
        <v>0</v>
      </c>
      <c r="BG373" s="518">
        <v>0</v>
      </c>
      <c r="BH373" s="518">
        <v>0</v>
      </c>
      <c r="BI373" s="518">
        <v>0</v>
      </c>
      <c r="BJ373" s="518">
        <v>0</v>
      </c>
      <c r="BK373" s="518">
        <v>0</v>
      </c>
      <c r="BL373" s="518">
        <v>0</v>
      </c>
      <c r="BM373" s="518">
        <v>0</v>
      </c>
      <c r="BN373" s="518">
        <v>0</v>
      </c>
      <c r="BO373" s="367">
        <f t="shared" si="188"/>
        <v>-66.664090000000002</v>
      </c>
      <c r="BP373" s="421">
        <v>0</v>
      </c>
      <c r="BQ373" s="422">
        <v>-24.111000000000001</v>
      </c>
      <c r="BR373" s="423">
        <f>IFERROR(IF(LEFT($A373,3)="Lcp",SUMIFS('BASE-LCP'!$K:$K,'BASE-LCP'!$A:$A,Capex!$A35,'BASE-LCP'!$B:$B,"janeiro")/1000,IF(LEFT($A373,3)="icp",SUMIFS('BASE-ICP'!$K:$K,'BASE-ICP'!$A:$A,Capex!$A35,'BASE-ICP'!$B:$B,"janeiro")/1000,"")),"")</f>
        <v>0</v>
      </c>
      <c r="BS373" s="427">
        <v>-24.111000000000001</v>
      </c>
      <c r="BT373" s="372">
        <v>0</v>
      </c>
      <c r="BU373" s="422">
        <v>-3.6803600000000003</v>
      </c>
      <c r="BV373" s="423">
        <f>IFERROR(IF(LEFT($A373,3)="Lcp",SUMIFS('BASE-LCP'!$K:$K,'BASE-LCP'!$A:$A,Capex!$A35,'BASE-LCP'!$B:$B,"fevereiro")/1000,IF(LEFT($A373,3)="icp",SUMIFS('BASE-ICP'!$K:$K,'BASE-ICP'!$A:$A,Capex!$A35,'BASE-ICP'!$B:$B,"fevereiro")/1000,"")),"")</f>
        <v>0</v>
      </c>
      <c r="BW373" s="427">
        <v>-3.6803600000000003</v>
      </c>
      <c r="BX373" s="372">
        <v>0</v>
      </c>
      <c r="BY373" s="419">
        <v>29.48</v>
      </c>
      <c r="BZ373" s="423">
        <f>IFERROR(IF(LEFT($A373,3)="Lcp",SUMIFS('BASE-LCP'!$K:$K,'BASE-LCP'!$A:$A,Capex!$A35,'BASE-LCP'!$B:$B,"março")/1000,IF(LEFT($A373,3)="icp",SUMIFS('BASE-ICP'!$K:$K,'BASE-ICP'!$A:$A,Capex!$A35,'BASE-ICP'!$B:$B,"março")/1000,"")),"")</f>
        <v>0</v>
      </c>
      <c r="CA373" s="427">
        <v>29.48</v>
      </c>
      <c r="CB373" s="372">
        <v>0</v>
      </c>
      <c r="CC373" s="422"/>
      <c r="CD373" s="423">
        <f>IFERROR(IF(LEFT($A373,3)="Lcp",SUMIFS('BASE-LCP'!$K:$K,'BASE-LCP'!$A:$A,Capex!$A35,'BASE-LCP'!$B:$B,"abril")/1000,IF(LEFT($A373,3)="icp",SUMIFS('BASE-ICP'!$K:$K,'BASE-ICP'!$A:$A,Capex!$A35,'BASE-ICP'!$B:$B,"abril")/1000,"")),"")</f>
        <v>0</v>
      </c>
      <c r="CE373" s="427">
        <v>0.30931000000000003</v>
      </c>
      <c r="CF373" s="372">
        <v>0</v>
      </c>
      <c r="CG373" s="419">
        <f>CH373</f>
        <v>0</v>
      </c>
      <c r="CH373" s="423">
        <v>0</v>
      </c>
      <c r="CI373" s="427">
        <v>0</v>
      </c>
      <c r="CJ373" s="372">
        <v>0</v>
      </c>
      <c r="CK373" s="419"/>
      <c r="CL373" s="423">
        <f>IFERROR(IF(LEFT($A373,3)="Lcp",SUMIFS('BASE-LCP'!$K:$K,'BASE-LCP'!$A:$A,Capex!$A35,'BASE-LCP'!$B:$B,"junho")/1000,IF(LEFT($A373,3)="icp",SUMIFS('BASE-ICP'!$K:$K,'BASE-ICP'!$A:$A,Capex!$A35,'BASE-ICP'!$B:$B,"junho")/1000,"")),"")</f>
        <v>0</v>
      </c>
      <c r="CM373" s="427">
        <v>0.23796</v>
      </c>
      <c r="CN373" s="372"/>
      <c r="CO373" s="419"/>
      <c r="CP373" s="423">
        <f>IFERROR(IF(LEFT($A373,3)="Lcp",SUMIFS('BASE-LCP'!$K:$K,'BASE-LCP'!$A:$A,Capex!$A35,'BASE-LCP'!$B:$B,"julho")/1000,IF(LEFT($A373,3)="icp",SUMIFS('BASE-ICP'!$K:$K,'BASE-ICP'!$A:$A,Capex!$A35,'BASE-ICP'!$B:$B,"julho")/1000,"")),"")</f>
        <v>0</v>
      </c>
      <c r="CQ373" s="427">
        <v>0</v>
      </c>
      <c r="CR373" s="372"/>
      <c r="CS373" s="419"/>
      <c r="CT373" s="423">
        <f>IFERROR(IF(LEFT($A373,3)="Lcp",SUMIFS('BASE-LCP'!$K:$K,'BASE-LCP'!$A:$A,Capex!$A35,'BASE-LCP'!$B:$B,"agosto")/1000,IF(LEFT($A373,3)="icp",SUMIFS('BASE-ICP'!$K:$K,'BASE-ICP'!$A:$A,Capex!$A35,'BASE-ICP'!$B:$B,"agosto")/1000,"")),"")</f>
        <v>0</v>
      </c>
      <c r="CU373" s="427">
        <v>0</v>
      </c>
      <c r="CV373" s="372"/>
      <c r="CW373" s="419"/>
      <c r="CX373" s="423">
        <f>IFERROR(IF(LEFT($A373,3)="Lcp",SUMIFS('BASE-LCP'!$K:$K,'BASE-LCP'!$A:$A,Capex!$A35,'BASE-LCP'!$B:$B,"setembro")/1000,IF(LEFT($A373,3)="icp",SUMIFS('BASE-ICP'!$K:$K,'BASE-ICP'!$A:$A,Capex!$A35,'BASE-ICP'!$B:$B,"setembro")/1000,"")),"")</f>
        <v>0</v>
      </c>
      <c r="CY373" s="427">
        <v>0</v>
      </c>
      <c r="CZ373" s="372"/>
      <c r="DA373" s="419"/>
      <c r="DB373" s="423">
        <f>IFERROR(IF(LEFT($A373,3)="Lcp",SUMIFS('BASE-LCP'!$K:$K,'BASE-LCP'!$A:$A,Capex!$A35,'BASE-LCP'!$B:$B,"outubro")/1000,IF(LEFT($A373,3)="icp",SUMIFS('BASE-ICP'!$K:$K,'BASE-ICP'!$A:$A,Capex!$A35,'BASE-ICP'!$B:$B,"outubro")/1000,"")),"")</f>
        <v>0</v>
      </c>
      <c r="DC373" s="427">
        <v>122</v>
      </c>
      <c r="DD373" s="372"/>
      <c r="DE373" s="419"/>
      <c r="DF373" s="423">
        <f>IFERROR(IF(LEFT($A373,3)="Lcp",SUMIFS('BASE-LCP'!$K:$K,'BASE-LCP'!$A:$A,Capex!$A35,'BASE-LCP'!$B:$B,"novembro")/1000,IF(LEFT($A373,3)="icp",SUMIFS('BASE-ICP'!$K:$K,'BASE-ICP'!$A:$A,Capex!$A35,'BASE-ICP'!$B:$B,"novembro")/1000,"")),"")</f>
        <v>0</v>
      </c>
      <c r="DG373" s="427">
        <v>-122</v>
      </c>
      <c r="DH373" s="372"/>
      <c r="DI373" s="419"/>
      <c r="DJ373" s="423">
        <f>IFERROR(IF(LEFT($A373,3)="Lcp",SUMIFS('BASE-LCP'!$K:$K,'BASE-LCP'!$A:$A,Capex!$A35,'BASE-LCP'!$B:$B,"dezembro")/1000,IF(LEFT($A373,3)="icp",SUMIFS('BASE-ICP'!$K:$K,'BASE-ICP'!$A:$A,Capex!$A35,'BASE-ICP'!$B:$B,"dezembro")/1000,"")),"")</f>
        <v>0</v>
      </c>
      <c r="DK373" s="427">
        <f>-68.9</f>
        <v>-68.900000000000006</v>
      </c>
      <c r="DL373" s="452">
        <f t="shared" si="189"/>
        <v>0</v>
      </c>
      <c r="DM373" s="374"/>
      <c r="DN373" s="374"/>
      <c r="DO373" s="374"/>
      <c r="DP373" s="374"/>
      <c r="DQ373" s="374"/>
      <c r="DR373" s="374"/>
      <c r="DS373" s="374"/>
      <c r="DT373" s="374"/>
      <c r="DU373" s="374"/>
      <c r="DV373" s="374"/>
      <c r="DW373" s="374"/>
      <c r="DX373" s="374"/>
      <c r="DY373" s="450"/>
      <c r="DZ373" s="374">
        <f t="shared" si="190"/>
        <v>0</v>
      </c>
      <c r="EA373" s="216">
        <f t="shared" si="191"/>
        <v>0.23796</v>
      </c>
      <c r="EB373" s="320">
        <f t="shared" si="192"/>
        <v>-0.23796</v>
      </c>
      <c r="EC373" s="241">
        <f t="shared" si="193"/>
        <v>1.6886399999999995</v>
      </c>
      <c r="ED373" s="241">
        <f t="shared" si="194"/>
        <v>0.54727000000000003</v>
      </c>
      <c r="EE373" s="241">
        <f t="shared" si="195"/>
        <v>0</v>
      </c>
      <c r="EF373" s="241">
        <f t="shared" si="196"/>
        <v>-68.900000000000006</v>
      </c>
      <c r="EG373" s="346">
        <f t="shared" si="197"/>
        <v>-66.664090000000002</v>
      </c>
      <c r="EH373" s="445">
        <f t="shared" si="198"/>
        <v>0</v>
      </c>
      <c r="EI373" s="447">
        <f t="shared" si="199"/>
        <v>0</v>
      </c>
      <c r="EJ373" s="364">
        <f t="shared" si="200"/>
        <v>1.9979499999999994</v>
      </c>
      <c r="EK373" s="365">
        <f t="shared" si="201"/>
        <v>-68.662040000000005</v>
      </c>
      <c r="EL373" s="529">
        <f t="shared" si="202"/>
        <v>-66.70205</v>
      </c>
      <c r="EM373" s="530">
        <v>-24.111000000000001</v>
      </c>
      <c r="EN373" s="530">
        <v>-3.6803600000000003</v>
      </c>
      <c r="EO373" s="530">
        <v>29.48</v>
      </c>
      <c r="EP373" s="530">
        <v>0.30931000000000003</v>
      </c>
      <c r="EQ373" s="530">
        <v>0</v>
      </c>
      <c r="ER373" s="530">
        <v>0</v>
      </c>
      <c r="ES373" s="530">
        <v>0</v>
      </c>
      <c r="ET373" s="530">
        <v>0</v>
      </c>
      <c r="EU373" s="530">
        <v>0</v>
      </c>
      <c r="EV373" s="530">
        <v>122</v>
      </c>
      <c r="EW373" s="530">
        <v>-122</v>
      </c>
      <c r="EX373" s="530">
        <v>-68.7</v>
      </c>
      <c r="EY373" s="530">
        <f t="shared" si="203"/>
        <v>1.6886399999999995</v>
      </c>
      <c r="EZ373" s="530">
        <f t="shared" si="204"/>
        <v>0.30931000000000003</v>
      </c>
      <c r="FA373" s="530">
        <f t="shared" si="205"/>
        <v>0</v>
      </c>
      <c r="FB373" s="530">
        <f t="shared" si="206"/>
        <v>-68.7</v>
      </c>
      <c r="FC373" s="384" t="str">
        <f>IFERROR(VLOOKUP(Capex!A35,BASE_558!D:R,8,FALSE)/1000,"")</f>
        <v/>
      </c>
      <c r="FD373" s="328" t="str">
        <f>IFERROR(VLOOKUP(Capex!A35,BASE_558!D:R,9,)/1000,"")</f>
        <v/>
      </c>
      <c r="FE373" s="328">
        <f>IFERROR(IF(LEFT(A373,3)="LCP",(VLOOKUP(Capex!A35,BASE_558!D:R,10,)/1000),SUMIFS('BASE ICP_PO_SC'!F:F,'BASE ICP_PO_SC'!A:A,Capex!A35,'BASE ICP_PO_SC'!E:E,"&lt;&gt;")/1000),"")</f>
        <v>0</v>
      </c>
      <c r="FF373" s="328">
        <f>IFERROR(IF(LEFT(A373,3)="LCP",(VLOOKUP(Capex!A35,BASE_558!D:R,11,)/1000),SUMIFS('BASE ICP_PO_SC'!F:F,'BASE ICP_PO_SC'!A:A,Capex!A35,'BASE ICP_PO_SC'!E:E,"")/1000),"")</f>
        <v>0</v>
      </c>
      <c r="FG373" s="328" t="str">
        <f>IFERROR(VLOOKUP(A373,BASE_558!D:R,13,FALSE)/1000,"")</f>
        <v/>
      </c>
      <c r="FH373" s="328" t="str">
        <f>IFERROR(VLOOKUP(A373,BASE_558!D:R,15,FALSE)/1000,"")</f>
        <v/>
      </c>
      <c r="FI373" s="547">
        <f t="shared" si="207"/>
        <v>-0.23796</v>
      </c>
      <c r="FJ373" s="547">
        <f t="shared" si="208"/>
        <v>0</v>
      </c>
      <c r="FK373" s="540">
        <f t="shared" si="209"/>
        <v>0.20000000000000284</v>
      </c>
    </row>
    <row r="374" spans="1:167" s="23" customFormat="1" ht="24" customHeight="1">
      <c r="A374" s="309" t="s">
        <v>2256</v>
      </c>
      <c r="B374" s="404" t="s">
        <v>6883</v>
      </c>
      <c r="C374" s="404"/>
      <c r="D374" s="338"/>
      <c r="E374" s="378"/>
      <c r="F374" s="5"/>
      <c r="G374" s="310" t="s">
        <v>9</v>
      </c>
      <c r="H374" s="356"/>
      <c r="I374" s="356"/>
      <c r="J374" s="356">
        <v>2023</v>
      </c>
      <c r="K374" s="321"/>
      <c r="L374" s="324"/>
      <c r="M374" s="409"/>
      <c r="N374" s="317" t="str">
        <f t="shared" si="217"/>
        <v/>
      </c>
      <c r="O374" s="317" t="str">
        <f t="shared" si="218"/>
        <v/>
      </c>
      <c r="P374" s="418" t="str">
        <f t="shared" si="220"/>
        <v>N/A</v>
      </c>
      <c r="Q374" s="418" t="str">
        <f t="shared" si="220"/>
        <v>N/A</v>
      </c>
      <c r="R374" s="418" t="str">
        <f t="shared" si="220"/>
        <v>N/A</v>
      </c>
      <c r="S374" s="418" t="str">
        <f t="shared" si="220"/>
        <v>N/A</v>
      </c>
      <c r="T374" s="418" t="str">
        <f t="shared" si="220"/>
        <v>N/A</v>
      </c>
      <c r="U374" s="418" t="str">
        <f t="shared" si="220"/>
        <v>N/A</v>
      </c>
      <c r="V374" s="418" t="str">
        <f t="shared" si="220"/>
        <v>N/A</v>
      </c>
      <c r="W374" s="418" t="str">
        <f t="shared" si="220"/>
        <v>N/A</v>
      </c>
      <c r="X374" s="418" t="str">
        <f t="shared" si="220"/>
        <v>N/A</v>
      </c>
      <c r="Y374" s="418" t="str">
        <f t="shared" si="220"/>
        <v>N/A</v>
      </c>
      <c r="Z374" s="418" t="str">
        <f t="shared" si="220"/>
        <v>N/A</v>
      </c>
      <c r="AA374" s="418" t="str">
        <f t="shared" si="220"/>
        <v>N/A</v>
      </c>
      <c r="AB374" s="350"/>
      <c r="AC374" s="309" t="s">
        <v>3932</v>
      </c>
      <c r="AD374" s="311"/>
      <c r="AE374" s="382"/>
      <c r="AF374" s="310" t="s">
        <v>6988</v>
      </c>
      <c r="AG374" s="310" t="s">
        <v>2124</v>
      </c>
      <c r="AH374" s="310" t="s">
        <v>2815</v>
      </c>
      <c r="AI374" s="381" t="s">
        <v>186</v>
      </c>
      <c r="AJ374" s="6" t="s">
        <v>6786</v>
      </c>
      <c r="AK374" s="6" t="str">
        <f t="shared" si="187"/>
        <v>IGUAL</v>
      </c>
      <c r="AL374" s="151" t="str">
        <f>IFERROR(IF(LEFT(A374,3)="LCP",VLOOKUP(A374,STATUS_SAP_LCP!B:C,2,FALSE),VLOOKUP(A374,STATUS_SAP_ICP!B:C,2,FALSE)),"NO BUDGET")</f>
        <v>REL  BUDG AVAC  //  BREL WPLI</v>
      </c>
      <c r="AM374" s="6" t="str">
        <f t="shared" si="185"/>
        <v xml:space="preserve">REL </v>
      </c>
      <c r="AN374" s="414" t="s">
        <v>8965</v>
      </c>
      <c r="AO374" s="414"/>
      <c r="AP374" s="499" t="s">
        <v>9616</v>
      </c>
      <c r="AQ374" s="464"/>
      <c r="AR374" s="460"/>
      <c r="AS374" s="57"/>
      <c r="AT374" s="185"/>
      <c r="AU374" s="318"/>
      <c r="AV374" s="223"/>
      <c r="AW374" s="318">
        <v>0.24696000000000001</v>
      </c>
      <c r="AX374" s="223">
        <v>66.520529999999994</v>
      </c>
      <c r="AY374" s="318">
        <f t="shared" si="214"/>
        <v>-66.69259000000001</v>
      </c>
      <c r="AZ374" s="223"/>
      <c r="BA374" s="318"/>
      <c r="BB374" s="519">
        <f t="shared" si="219"/>
        <v>-1.28</v>
      </c>
      <c r="BC374" s="518">
        <v>-1.28</v>
      </c>
      <c r="BD374" s="518">
        <v>0</v>
      </c>
      <c r="BE374" s="518">
        <v>0</v>
      </c>
      <c r="BF374" s="518">
        <v>0</v>
      </c>
      <c r="BG374" s="518">
        <v>0</v>
      </c>
      <c r="BH374" s="518">
        <v>0</v>
      </c>
      <c r="BI374" s="518">
        <v>0</v>
      </c>
      <c r="BJ374" s="518">
        <v>0</v>
      </c>
      <c r="BK374" s="518">
        <v>0</v>
      </c>
      <c r="BL374" s="518">
        <v>0</v>
      </c>
      <c r="BM374" s="518">
        <v>0</v>
      </c>
      <c r="BN374" s="518">
        <v>0</v>
      </c>
      <c r="BO374" s="367">
        <f t="shared" si="188"/>
        <v>-66.69259000000001</v>
      </c>
      <c r="BP374" s="421">
        <v>-1.28</v>
      </c>
      <c r="BQ374" s="422">
        <v>7.1499999999999994E-2</v>
      </c>
      <c r="BR374" s="423">
        <f>IFERROR(IF(LEFT($A374,3)="Lcp",SUMIFS('BASE-LCP'!$K:$K,'BASE-LCP'!$A:$A,Capex!$A48,'BASE-LCP'!$B:$B,"janeiro")/1000,IF(LEFT($A374,3)="icp",SUMIFS('BASE-ICP'!$K:$K,'BASE-ICP'!$A:$A,Capex!$A48,'BASE-ICP'!$B:$B,"janeiro")/1000,"")),"")</f>
        <v>0</v>
      </c>
      <c r="BS374" s="427">
        <v>7.1499999999999994E-2</v>
      </c>
      <c r="BT374" s="372">
        <v>-66.7</v>
      </c>
      <c r="BU374" s="422">
        <v>0.11706</v>
      </c>
      <c r="BV374" s="423">
        <f>IFERROR(IF(LEFT($A374,3)="Lcp",SUMIFS('BASE-LCP'!$K:$K,'BASE-LCP'!$A:$A,Capex!$A48,'BASE-LCP'!$B:$B,"fevereiro")/1000,IF(LEFT($A374,3)="icp",SUMIFS('BASE-ICP'!$K:$K,'BASE-ICP'!$A:$A,Capex!$A48,'BASE-ICP'!$B:$B,"fevereiro")/1000,"")),"")</f>
        <v>0</v>
      </c>
      <c r="BW374" s="427">
        <v>0.11706</v>
      </c>
      <c r="BX374" s="372">
        <v>-66.7</v>
      </c>
      <c r="BY374" s="419">
        <v>1.8850000000000002E-2</v>
      </c>
      <c r="BZ374" s="423">
        <f>IFERROR(IF(LEFT($A374,3)="Lcp",SUMIFS('BASE-LCP'!$K:$K,'BASE-LCP'!$A:$A,Capex!$A48,'BASE-LCP'!$B:$B,"março")/1000,IF(LEFT($A374,3)="icp",SUMIFS('BASE-ICP'!$K:$K,'BASE-ICP'!$A:$A,Capex!$A48,'BASE-ICP'!$B:$B,"março")/1000,"")),"")</f>
        <v>0</v>
      </c>
      <c r="CA374" s="427">
        <v>1.8850000000000002E-2</v>
      </c>
      <c r="CB374" s="372">
        <v>-66.7</v>
      </c>
      <c r="CC374" s="422"/>
      <c r="CD374" s="423">
        <f>IFERROR(IF(LEFT($A374,3)="Lcp",SUMIFS('BASE-LCP'!$K:$K,'BASE-LCP'!$A:$A,Capex!$A48,'BASE-LCP'!$B:$B,"abril")/1000,IF(LEFT($A374,3)="icp",SUMIFS('BASE-ICP'!$K:$K,'BASE-ICP'!$A:$A,Capex!$A48,'BASE-ICP'!$B:$B,"abril")/1000,"")),"")</f>
        <v>0</v>
      </c>
      <c r="CE374" s="427">
        <v>0</v>
      </c>
      <c r="CF374" s="372">
        <v>-66.7</v>
      </c>
      <c r="CG374" s="419">
        <f>CH374</f>
        <v>0</v>
      </c>
      <c r="CH374" s="423">
        <v>0</v>
      </c>
      <c r="CI374" s="427">
        <v>0</v>
      </c>
      <c r="CJ374" s="372">
        <v>0</v>
      </c>
      <c r="CK374" s="419"/>
      <c r="CL374" s="423">
        <f>IFERROR(IF(LEFT($A374,3)="Lcp",SUMIFS('BASE-LCP'!$K:$K,'BASE-LCP'!$A:$A,Capex!$A48,'BASE-LCP'!$B:$B,"junho")/1000,IF(LEFT($A374,3)="icp",SUMIFS('BASE-ICP'!$K:$K,'BASE-ICP'!$A:$A,Capex!$A48,'BASE-ICP'!$B:$B,"junho")/1000,"")),"")</f>
        <v>0</v>
      </c>
      <c r="CM374" s="427">
        <v>0</v>
      </c>
      <c r="CN374" s="372"/>
      <c r="CO374" s="419"/>
      <c r="CP374" s="423">
        <f>IFERROR(IF(LEFT($A374,3)="Lcp",SUMIFS('BASE-LCP'!$K:$K,'BASE-LCP'!$A:$A,Capex!$A48,'BASE-LCP'!$B:$B,"julho")/1000,IF(LEFT($A374,3)="icp",SUMIFS('BASE-ICP'!$K:$K,'BASE-ICP'!$A:$A,Capex!$A48,'BASE-ICP'!$B:$B,"julho")/1000,"")),"")</f>
        <v>0</v>
      </c>
      <c r="CQ374" s="427">
        <v>0</v>
      </c>
      <c r="CR374" s="372"/>
      <c r="CS374" s="419"/>
      <c r="CT374" s="423">
        <f>IFERROR(IF(LEFT($A374,3)="Lcp",SUMIFS('BASE-LCP'!$K:$K,'BASE-LCP'!$A:$A,Capex!$A48,'BASE-LCP'!$B:$B,"agosto")/1000,IF(LEFT($A374,3)="icp",SUMIFS('BASE-ICP'!$K:$K,'BASE-ICP'!$A:$A,Capex!$A48,'BASE-ICP'!$B:$B,"agosto")/1000,"")),"")</f>
        <v>0</v>
      </c>
      <c r="CU374" s="427">
        <v>0</v>
      </c>
      <c r="CV374" s="372"/>
      <c r="CW374" s="419"/>
      <c r="CX374" s="423">
        <f>IFERROR(IF(LEFT($A374,3)="Lcp",SUMIFS('BASE-LCP'!$K:$K,'BASE-LCP'!$A:$A,Capex!$A48,'BASE-LCP'!$B:$B,"setembro")/1000,IF(LEFT($A374,3)="icp",SUMIFS('BASE-ICP'!$K:$K,'BASE-ICP'!$A:$A,Capex!$A48,'BASE-ICP'!$B:$B,"setembro")/1000,"")),"")</f>
        <v>0</v>
      </c>
      <c r="CY374" s="427">
        <v>0</v>
      </c>
      <c r="CZ374" s="372"/>
      <c r="DA374" s="419"/>
      <c r="DB374" s="423">
        <f>IFERROR(IF(LEFT($A374,3)="Lcp",SUMIFS('BASE-LCP'!$K:$K,'BASE-LCP'!$A:$A,Capex!$A48,'BASE-LCP'!$B:$B,"outubro")/1000,IF(LEFT($A374,3)="icp",SUMIFS('BASE-ICP'!$K:$K,'BASE-ICP'!$A:$A,Capex!$A48,'BASE-ICP'!$B:$B,"outubro")/1000,"")),"")</f>
        <v>0</v>
      </c>
      <c r="DC374" s="427">
        <v>-66.900000000000006</v>
      </c>
      <c r="DD374" s="372"/>
      <c r="DE374" s="419"/>
      <c r="DF374" s="423">
        <f>IFERROR(IF(LEFT($A374,3)="Lcp",SUMIFS('BASE-LCP'!$K:$K,'BASE-LCP'!$A:$A,Capex!$A48,'BASE-LCP'!$B:$B,"novembro")/1000,IF(LEFT($A374,3)="icp",SUMIFS('BASE-ICP'!$K:$K,'BASE-ICP'!$A:$A,Capex!$A48,'BASE-ICP'!$B:$B,"novembro")/1000,"")),"")</f>
        <v>0</v>
      </c>
      <c r="DG374" s="427">
        <v>0</v>
      </c>
      <c r="DH374" s="372"/>
      <c r="DI374" s="419"/>
      <c r="DJ374" s="423">
        <f>IFERROR(IF(LEFT($A374,3)="Lcp",SUMIFS('BASE-LCP'!$K:$K,'BASE-LCP'!$A:$A,Capex!$A48,'BASE-LCP'!$B:$B,"dezembro")/1000,IF(LEFT($A374,3)="icp",SUMIFS('BASE-ICP'!$K:$K,'BASE-ICP'!$A:$A,Capex!$A48,'BASE-ICP'!$B:$B,"dezembro")/1000,"")),"")</f>
        <v>0</v>
      </c>
      <c r="DK374" s="427">
        <v>0</v>
      </c>
      <c r="DL374" s="452">
        <f t="shared" si="189"/>
        <v>0</v>
      </c>
      <c r="DM374" s="374"/>
      <c r="DN374" s="374">
        <v>0</v>
      </c>
      <c r="DO374" s="374"/>
      <c r="DP374" s="374"/>
      <c r="DQ374" s="374"/>
      <c r="DR374" s="374"/>
      <c r="DS374" s="374"/>
      <c r="DT374" s="374"/>
      <c r="DU374" s="374"/>
      <c r="DV374" s="374"/>
      <c r="DW374" s="374"/>
      <c r="DX374" s="374"/>
      <c r="DY374" s="450"/>
      <c r="DZ374" s="374">
        <f t="shared" si="190"/>
        <v>0</v>
      </c>
      <c r="EA374" s="216">
        <f t="shared" si="191"/>
        <v>0</v>
      </c>
      <c r="EB374" s="320">
        <f t="shared" si="192"/>
        <v>0</v>
      </c>
      <c r="EC374" s="241">
        <f t="shared" si="193"/>
        <v>0.20741000000000001</v>
      </c>
      <c r="ED374" s="241">
        <f t="shared" si="194"/>
        <v>0</v>
      </c>
      <c r="EE374" s="241">
        <f t="shared" si="195"/>
        <v>0</v>
      </c>
      <c r="EF374" s="241">
        <f t="shared" si="196"/>
        <v>-66.900000000000006</v>
      </c>
      <c r="EG374" s="346">
        <f t="shared" si="197"/>
        <v>-65.412590000000009</v>
      </c>
      <c r="EH374" s="445">
        <f t="shared" si="198"/>
        <v>-66.7</v>
      </c>
      <c r="EI374" s="447">
        <f t="shared" si="199"/>
        <v>0</v>
      </c>
      <c r="EJ374" s="364">
        <f t="shared" si="200"/>
        <v>0.20741000000000001</v>
      </c>
      <c r="EK374" s="365">
        <f t="shared" si="201"/>
        <v>-66.900000000000006</v>
      </c>
      <c r="EL374" s="529">
        <f t="shared" si="202"/>
        <v>-66.492590000000007</v>
      </c>
      <c r="EM374" s="530">
        <v>7.1499999999999994E-2</v>
      </c>
      <c r="EN374" s="530">
        <v>0.11706</v>
      </c>
      <c r="EO374" s="530">
        <v>1.8850000000000002E-2</v>
      </c>
      <c r="EP374" s="530">
        <v>0</v>
      </c>
      <c r="EQ374" s="530">
        <v>0</v>
      </c>
      <c r="ER374" s="530">
        <v>0</v>
      </c>
      <c r="ES374" s="530">
        <v>0</v>
      </c>
      <c r="ET374" s="530">
        <v>0</v>
      </c>
      <c r="EU374" s="530">
        <v>0</v>
      </c>
      <c r="EV374" s="530">
        <v>-66.7</v>
      </c>
      <c r="EW374" s="530">
        <v>0</v>
      </c>
      <c r="EX374" s="530">
        <v>0</v>
      </c>
      <c r="EY374" s="530">
        <f t="shared" si="203"/>
        <v>0.20741000000000001</v>
      </c>
      <c r="EZ374" s="530">
        <f t="shared" si="204"/>
        <v>0</v>
      </c>
      <c r="FA374" s="530">
        <f t="shared" si="205"/>
        <v>0</v>
      </c>
      <c r="FB374" s="530">
        <f t="shared" si="206"/>
        <v>-66.7</v>
      </c>
      <c r="FC374" s="384" t="str">
        <f>IFERROR(VLOOKUP(Capex!A48,BASE_558!D:R,8,FALSE)/1000,"")</f>
        <v/>
      </c>
      <c r="FD374" s="328" t="str">
        <f>IFERROR(VLOOKUP(Capex!A48,BASE_558!D:R,9,)/1000,"")</f>
        <v/>
      </c>
      <c r="FE374" s="328">
        <f>IFERROR(IF(LEFT(A374,3)="LCP",(VLOOKUP(Capex!A48,BASE_558!D:R,10,)/1000),SUMIFS('BASE ICP_PO_SC'!F:F,'BASE ICP_PO_SC'!A:A,Capex!A48,'BASE ICP_PO_SC'!E:E,"&lt;&gt;")/1000),"")</f>
        <v>0</v>
      </c>
      <c r="FF374" s="328">
        <f>IFERROR(IF(LEFT(A374,3)="LCP",(VLOOKUP(Capex!A48,BASE_558!D:R,11,)/1000),SUMIFS('BASE ICP_PO_SC'!F:F,'BASE ICP_PO_SC'!A:A,Capex!A48,'BASE ICP_PO_SC'!E:E,"")/1000),"")</f>
        <v>0</v>
      </c>
      <c r="FG374" s="328" t="str">
        <f>IFERROR(VLOOKUP(A374,BASE_558!D:R,13,FALSE)/1000,"")</f>
        <v/>
      </c>
      <c r="FH374" s="328" t="str">
        <f>IFERROR(VLOOKUP(A374,BASE_558!D:R,15,FALSE)/1000,"")</f>
        <v/>
      </c>
      <c r="FI374" s="547">
        <f t="shared" si="207"/>
        <v>0</v>
      </c>
      <c r="FJ374" s="547">
        <f t="shared" si="208"/>
        <v>0</v>
      </c>
      <c r="FK374" s="540">
        <f t="shared" si="209"/>
        <v>0.20000000000000284</v>
      </c>
    </row>
    <row r="375" spans="1:167" s="23" customFormat="1" ht="24" customHeight="1">
      <c r="A375" s="410" t="s">
        <v>2600</v>
      </c>
      <c r="B375" s="404" t="s">
        <v>2413</v>
      </c>
      <c r="C375" s="404"/>
      <c r="D375" s="338"/>
      <c r="E375" s="378"/>
      <c r="F375" s="5"/>
      <c r="G375" s="310" t="s">
        <v>9</v>
      </c>
      <c r="H375" s="356"/>
      <c r="I375" s="356"/>
      <c r="J375" s="356">
        <v>2024</v>
      </c>
      <c r="K375" s="321"/>
      <c r="L375" s="324"/>
      <c r="M375" s="409"/>
      <c r="N375" s="317" t="str">
        <f t="shared" si="217"/>
        <v/>
      </c>
      <c r="O375" s="317" t="str">
        <f t="shared" si="218"/>
        <v/>
      </c>
      <c r="P375" s="418" t="str">
        <f t="shared" ref="P375:AA384" si="221">IF($N375="","N/A",IF($O375="","N/A",IF(P$2&lt;=$N375,"NÃO",IF($AJ375="REL ","SIM",IF(P$2&lt;$O375,"NÃO",IF($AJ375&lt;&gt;"CLSD","SIM","CRTD"))))))</f>
        <v>N/A</v>
      </c>
      <c r="Q375" s="418" t="str">
        <f t="shared" si="221"/>
        <v>N/A</v>
      </c>
      <c r="R375" s="418" t="str">
        <f t="shared" si="221"/>
        <v>N/A</v>
      </c>
      <c r="S375" s="418" t="str">
        <f t="shared" si="221"/>
        <v>N/A</v>
      </c>
      <c r="T375" s="418" t="str">
        <f t="shared" si="221"/>
        <v>N/A</v>
      </c>
      <c r="U375" s="418" t="str">
        <f t="shared" si="221"/>
        <v>N/A</v>
      </c>
      <c r="V375" s="418" t="str">
        <f t="shared" si="221"/>
        <v>N/A</v>
      </c>
      <c r="W375" s="418" t="str">
        <f t="shared" si="221"/>
        <v>N/A</v>
      </c>
      <c r="X375" s="418" t="str">
        <f t="shared" si="221"/>
        <v>N/A</v>
      </c>
      <c r="Y375" s="418" t="str">
        <f t="shared" si="221"/>
        <v>N/A</v>
      </c>
      <c r="Z375" s="418" t="str">
        <f t="shared" si="221"/>
        <v>N/A</v>
      </c>
      <c r="AA375" s="418" t="str">
        <f t="shared" si="221"/>
        <v>N/A</v>
      </c>
      <c r="AB375" s="350"/>
      <c r="AC375" s="309" t="s">
        <v>3932</v>
      </c>
      <c r="AD375" s="311"/>
      <c r="AE375" s="382"/>
      <c r="AF375" s="310" t="s">
        <v>6988</v>
      </c>
      <c r="AG375" s="310" t="s">
        <v>2259</v>
      </c>
      <c r="AH375" s="310" t="s">
        <v>6963</v>
      </c>
      <c r="AI375" s="381" t="s">
        <v>186</v>
      </c>
      <c r="AJ375" s="6" t="s">
        <v>6786</v>
      </c>
      <c r="AK375" s="6" t="str">
        <f t="shared" si="187"/>
        <v>IGUAL</v>
      </c>
      <c r="AL375" s="151" t="str">
        <f>IFERROR(IF(LEFT(A375,3)="LCP",VLOOKUP(A375,STATUS_SAP_LCP!B:C,2,FALSE),VLOOKUP(A375,STATUS_SAP_ICP!B:C,2,FALSE)),"NO BUDGET")</f>
        <v>REL  BUDG AVAC  //  BREL WPLI</v>
      </c>
      <c r="AM375" s="6" t="str">
        <f t="shared" si="185"/>
        <v xml:space="preserve">REL </v>
      </c>
      <c r="AN375" s="414" t="s">
        <v>8969</v>
      </c>
      <c r="AO375" s="414"/>
      <c r="AP375" s="499" t="s">
        <v>9616</v>
      </c>
      <c r="AQ375" s="464"/>
      <c r="AR375" s="460"/>
      <c r="AS375" s="57"/>
      <c r="AT375" s="185"/>
      <c r="AU375" s="318"/>
      <c r="AV375" s="223"/>
      <c r="AW375" s="318"/>
      <c r="AX375" s="223">
        <v>7.9424700000001813</v>
      </c>
      <c r="AY375" s="318">
        <f t="shared" si="214"/>
        <v>-7.8202599999999993</v>
      </c>
      <c r="AZ375" s="223"/>
      <c r="BA375" s="318"/>
      <c r="BB375" s="519">
        <f t="shared" si="219"/>
        <v>-6.8</v>
      </c>
      <c r="BC375" s="518">
        <v>0</v>
      </c>
      <c r="BD375" s="518">
        <v>0</v>
      </c>
      <c r="BE375" s="518">
        <v>0</v>
      </c>
      <c r="BF375" s="518">
        <v>-6.8</v>
      </c>
      <c r="BG375" s="518">
        <v>0</v>
      </c>
      <c r="BH375" s="518">
        <v>0</v>
      </c>
      <c r="BI375" s="518">
        <v>0</v>
      </c>
      <c r="BJ375" s="518">
        <v>0</v>
      </c>
      <c r="BK375" s="518">
        <v>0</v>
      </c>
      <c r="BL375" s="518">
        <v>0</v>
      </c>
      <c r="BM375" s="518">
        <v>0</v>
      </c>
      <c r="BN375" s="518">
        <v>0</v>
      </c>
      <c r="BO375" s="367">
        <f t="shared" si="188"/>
        <v>-7.8202599999999993</v>
      </c>
      <c r="BP375" s="421">
        <v>0</v>
      </c>
      <c r="BQ375" s="422">
        <v>6.9400000000000003E-2</v>
      </c>
      <c r="BR375" s="423">
        <f>IFERROR(IF(LEFT($A375,3)="Lcp",SUMIFS('BASE-LCP'!$K:$K,'BASE-LCP'!$A:$A,Capex!$A53,'BASE-LCP'!$B:$B,"janeiro")/1000,IF(LEFT($A375,3)="icp",SUMIFS('BASE-ICP'!$K:$K,'BASE-ICP'!$A:$A,Capex!$A53,'BASE-ICP'!$B:$B,"janeiro")/1000,"")),"")</f>
        <v>0</v>
      </c>
      <c r="BS375" s="427">
        <v>6.9400000000000003E-2</v>
      </c>
      <c r="BT375" s="372">
        <v>0</v>
      </c>
      <c r="BU375" s="422">
        <v>-3.5261099999999996</v>
      </c>
      <c r="BV375" s="423">
        <f>IFERROR(IF(LEFT($A375,3)="Lcp",SUMIFS('BASE-LCP'!$K:$K,'BASE-LCP'!$A:$A,Capex!$A53,'BASE-LCP'!$B:$B,"fevereiro")/1000,IF(LEFT($A375,3)="icp",SUMIFS('BASE-ICP'!$K:$K,'BASE-ICP'!$A:$A,Capex!$A53,'BASE-ICP'!$B:$B,"fevereiro")/1000,"")),"")</f>
        <v>0</v>
      </c>
      <c r="BW375" s="427">
        <v>-3.5261099999999996</v>
      </c>
      <c r="BX375" s="372">
        <v>0</v>
      </c>
      <c r="BY375" s="419">
        <v>0.17499999999999999</v>
      </c>
      <c r="BZ375" s="423">
        <f>IFERROR(IF(LEFT($A375,3)="Lcp",SUMIFS('BASE-LCP'!$K:$K,'BASE-LCP'!$A:$A,Capex!$A53,'BASE-LCP'!$B:$B,"março")/1000,IF(LEFT($A375,3)="icp",SUMIFS('BASE-ICP'!$K:$K,'BASE-ICP'!$A:$A,Capex!$A53,'BASE-ICP'!$B:$B,"março")/1000,"")),"")</f>
        <v>0</v>
      </c>
      <c r="CA375" s="427">
        <v>0.17499999999999999</v>
      </c>
      <c r="CB375" s="372">
        <v>-4.7</v>
      </c>
      <c r="CC375" s="422"/>
      <c r="CD375" s="423">
        <f>IFERROR(IF(LEFT($A375,3)="Lcp",SUMIFS('BASE-LCP'!$K:$K,'BASE-LCP'!$A:$A,Capex!$A53,'BASE-LCP'!$B:$B,"abril")/1000,IF(LEFT($A375,3)="icp",SUMIFS('BASE-ICP'!$K:$K,'BASE-ICP'!$A:$A,Capex!$A53,'BASE-ICP'!$B:$B,"abril")/1000,"")),"")</f>
        <v>0</v>
      </c>
      <c r="CE375" s="427">
        <v>0.65094999999999992</v>
      </c>
      <c r="CF375" s="372">
        <v>-5.0710199999999999</v>
      </c>
      <c r="CG375" s="419">
        <f>CH375</f>
        <v>4.2986700000000004</v>
      </c>
      <c r="CH375" s="423">
        <v>4.2986700000000004</v>
      </c>
      <c r="CI375" s="427">
        <v>4.2986700000000004</v>
      </c>
      <c r="CJ375" s="372">
        <v>0</v>
      </c>
      <c r="CK375" s="419"/>
      <c r="CL375" s="423">
        <f>IFERROR(IF(LEFT($A375,3)="Lcp",SUMIFS('BASE-LCP'!$K:$K,'BASE-LCP'!$A:$A,Capex!$A53,'BASE-LCP'!$B:$B,"junho")/1000,IF(LEFT($A375,3)="icp",SUMIFS('BASE-ICP'!$K:$K,'BASE-ICP'!$A:$A,Capex!$A53,'BASE-ICP'!$B:$B,"junho")/1000,"")),"")</f>
        <v>0</v>
      </c>
      <c r="CM375" s="427">
        <v>0.95183000000000006</v>
      </c>
      <c r="CN375" s="372"/>
      <c r="CO375" s="419"/>
      <c r="CP375" s="423">
        <f>IFERROR(IF(LEFT($A375,3)="Lcp",SUMIFS('BASE-LCP'!$K:$K,'BASE-LCP'!$A:$A,Capex!$A53,'BASE-LCP'!$B:$B,"julho")/1000,IF(LEFT($A375,3)="icp",SUMIFS('BASE-ICP'!$K:$K,'BASE-ICP'!$A:$A,Capex!$A53,'BASE-ICP'!$B:$B,"julho")/1000,"")),"")</f>
        <v>0</v>
      </c>
      <c r="CQ375" s="427">
        <v>0</v>
      </c>
      <c r="CR375" s="372"/>
      <c r="CS375" s="419"/>
      <c r="CT375" s="423">
        <f>IFERROR(IF(LEFT($A375,3)="Lcp",SUMIFS('BASE-LCP'!$K:$K,'BASE-LCP'!$A:$A,Capex!$A53,'BASE-LCP'!$B:$B,"agosto")/1000,IF(LEFT($A375,3)="icp",SUMIFS('BASE-ICP'!$K:$K,'BASE-ICP'!$A:$A,Capex!$A53,'BASE-ICP'!$B:$B,"agosto")/1000,"")),"")</f>
        <v>0</v>
      </c>
      <c r="CU375" s="427">
        <v>0</v>
      </c>
      <c r="CV375" s="372"/>
      <c r="CW375" s="419"/>
      <c r="CX375" s="423">
        <f>IFERROR(IF(LEFT($A375,3)="Lcp",SUMIFS('BASE-LCP'!$K:$K,'BASE-LCP'!$A:$A,Capex!$A53,'BASE-LCP'!$B:$B,"setembro")/1000,IF(LEFT($A375,3)="icp",SUMIFS('BASE-ICP'!$K:$K,'BASE-ICP'!$A:$A,Capex!$A53,'BASE-ICP'!$B:$B,"setembro")/1000,"")),"")</f>
        <v>0</v>
      </c>
      <c r="CY375" s="427">
        <v>0</v>
      </c>
      <c r="CZ375" s="372"/>
      <c r="DA375" s="419"/>
      <c r="DB375" s="423">
        <f>IFERROR(IF(LEFT($A375,3)="Lcp",SUMIFS('BASE-LCP'!$K:$K,'BASE-LCP'!$A:$A,Capex!$A53,'BASE-LCP'!$B:$B,"outubro")/1000,IF(LEFT($A375,3)="icp",SUMIFS('BASE-ICP'!$K:$K,'BASE-ICP'!$A:$A,Capex!$A53,'BASE-ICP'!$B:$B,"outubro")/1000,"")),"")</f>
        <v>0</v>
      </c>
      <c r="DC375" s="427">
        <v>0</v>
      </c>
      <c r="DD375" s="372"/>
      <c r="DE375" s="419"/>
      <c r="DF375" s="423">
        <f>IFERROR(IF(LEFT($A375,3)="Lcp",SUMIFS('BASE-LCP'!$K:$K,'BASE-LCP'!$A:$A,Capex!$A53,'BASE-LCP'!$B:$B,"novembro")/1000,IF(LEFT($A375,3)="icp",SUMIFS('BASE-ICP'!$K:$K,'BASE-ICP'!$A:$A,Capex!$A53,'BASE-ICP'!$B:$B,"novembro")/1000,"")),"")</f>
        <v>0</v>
      </c>
      <c r="DG375" s="427">
        <v>-10.44</v>
      </c>
      <c r="DH375" s="372"/>
      <c r="DI375" s="419"/>
      <c r="DJ375" s="423">
        <f>IFERROR(IF(LEFT($A375,3)="Lcp",SUMIFS('BASE-LCP'!$K:$K,'BASE-LCP'!$A:$A,Capex!$A53,'BASE-LCP'!$B:$B,"dezembro")/1000,IF(LEFT($A375,3)="icp",SUMIFS('BASE-ICP'!$K:$K,'BASE-ICP'!$A:$A,Capex!$A53,'BASE-ICP'!$B:$B,"dezembro")/1000,"")),"")</f>
        <v>0</v>
      </c>
      <c r="DK375" s="427">
        <v>0</v>
      </c>
      <c r="DL375" s="452">
        <f t="shared" si="189"/>
        <v>0</v>
      </c>
      <c r="DM375" s="374"/>
      <c r="DN375" s="374">
        <v>0</v>
      </c>
      <c r="DO375" s="374"/>
      <c r="DP375" s="374"/>
      <c r="DQ375" s="374"/>
      <c r="DR375" s="374"/>
      <c r="DS375" s="374"/>
      <c r="DT375" s="374"/>
      <c r="DU375" s="374"/>
      <c r="DV375" s="374"/>
      <c r="DW375" s="374"/>
      <c r="DX375" s="374"/>
      <c r="DY375" s="450"/>
      <c r="DZ375" s="374">
        <f t="shared" si="190"/>
        <v>0</v>
      </c>
      <c r="EA375" s="216">
        <f t="shared" si="191"/>
        <v>0.95183000000000006</v>
      </c>
      <c r="EB375" s="320">
        <f t="shared" si="192"/>
        <v>-0.95183000000000006</v>
      </c>
      <c r="EC375" s="241">
        <f t="shared" si="193"/>
        <v>-3.2817099999999999</v>
      </c>
      <c r="ED375" s="241">
        <f t="shared" si="194"/>
        <v>5.9014500000000005</v>
      </c>
      <c r="EE375" s="241">
        <f t="shared" si="195"/>
        <v>0</v>
      </c>
      <c r="EF375" s="241">
        <f t="shared" si="196"/>
        <v>-10.44</v>
      </c>
      <c r="EG375" s="346">
        <f t="shared" si="197"/>
        <v>-1.0202599999999995</v>
      </c>
      <c r="EH375" s="445">
        <f t="shared" si="198"/>
        <v>-5.0710199999999999</v>
      </c>
      <c r="EI375" s="447">
        <f t="shared" si="199"/>
        <v>4.2986700000000004</v>
      </c>
      <c r="EJ375" s="364">
        <f t="shared" si="200"/>
        <v>1.6679100000000004</v>
      </c>
      <c r="EK375" s="365">
        <f t="shared" si="201"/>
        <v>-9.4881700000000002</v>
      </c>
      <c r="EL375" s="529">
        <f t="shared" si="202"/>
        <v>-7.2873199999999994</v>
      </c>
      <c r="EM375" s="530">
        <v>6.9400000000000003E-2</v>
      </c>
      <c r="EN375" s="530">
        <v>-3.5261099999999996</v>
      </c>
      <c r="EO375" s="530">
        <v>0.17499999999999999</v>
      </c>
      <c r="EP375" s="530">
        <v>0.65094999999999992</v>
      </c>
      <c r="EQ375" s="530">
        <v>4.2986700000000004</v>
      </c>
      <c r="ER375" s="530">
        <v>0</v>
      </c>
      <c r="ES375" s="530">
        <v>0</v>
      </c>
      <c r="ET375" s="530">
        <v>0</v>
      </c>
      <c r="EU375" s="530">
        <v>0</v>
      </c>
      <c r="EV375" s="530">
        <v>0</v>
      </c>
      <c r="EW375" s="530">
        <v>-8.9552300000000002</v>
      </c>
      <c r="EX375" s="530">
        <v>0</v>
      </c>
      <c r="EY375" s="530">
        <f t="shared" si="203"/>
        <v>-3.2817099999999999</v>
      </c>
      <c r="EZ375" s="530">
        <f t="shared" si="204"/>
        <v>4.9496200000000004</v>
      </c>
      <c r="FA375" s="530">
        <f t="shared" si="205"/>
        <v>0</v>
      </c>
      <c r="FB375" s="530">
        <f t="shared" si="206"/>
        <v>-8.9552300000000002</v>
      </c>
      <c r="FC375" s="384" t="str">
        <f>IFERROR(VLOOKUP(Capex!A53,BASE_558!D:R,8,FALSE)/1000,"")</f>
        <v/>
      </c>
      <c r="FD375" s="328" t="str">
        <f>IFERROR(VLOOKUP(Capex!A53,BASE_558!D:R,9,)/1000,"")</f>
        <v/>
      </c>
      <c r="FE375" s="328">
        <f>IFERROR(IF(LEFT(A375,3)="LCP",(VLOOKUP(Capex!A53,BASE_558!D:R,10,)/1000),SUMIFS('BASE ICP_PO_SC'!F:F,'BASE ICP_PO_SC'!A:A,Capex!A53,'BASE ICP_PO_SC'!E:E,"&lt;&gt;")/1000),"")</f>
        <v>0</v>
      </c>
      <c r="FF375" s="328">
        <f>IFERROR(IF(LEFT(A375,3)="LCP",(VLOOKUP(Capex!A53,BASE_558!D:R,11,)/1000),SUMIFS('BASE ICP_PO_SC'!F:F,'BASE ICP_PO_SC'!A:A,Capex!A53,'BASE ICP_PO_SC'!E:E,"")/1000),"")</f>
        <v>0</v>
      </c>
      <c r="FG375" s="328" t="str">
        <f>IFERROR(VLOOKUP(A375,BASE_558!D:R,13,FALSE)/1000,"")</f>
        <v/>
      </c>
      <c r="FH375" s="328" t="str">
        <f>IFERROR(VLOOKUP(A375,BASE_558!D:R,15,FALSE)/1000,"")</f>
        <v/>
      </c>
      <c r="FI375" s="547">
        <f t="shared" si="207"/>
        <v>-0.95183000000000018</v>
      </c>
      <c r="FJ375" s="547">
        <f t="shared" si="208"/>
        <v>0</v>
      </c>
      <c r="FK375" s="540">
        <f t="shared" si="209"/>
        <v>1.4847699999999993</v>
      </c>
    </row>
    <row r="376" spans="1:167" s="23" customFormat="1" ht="24" customHeight="1">
      <c r="A376" s="310" t="s">
        <v>11934</v>
      </c>
      <c r="B376" s="404"/>
      <c r="C376" s="404"/>
      <c r="D376" s="356"/>
      <c r="E376" s="378"/>
      <c r="F376" s="5"/>
      <c r="G376" s="310" t="s">
        <v>8</v>
      </c>
      <c r="H376" s="338"/>
      <c r="I376" s="356"/>
      <c r="J376" s="356"/>
      <c r="K376" s="321"/>
      <c r="L376" s="316"/>
      <c r="M376" s="409"/>
      <c r="N376" s="317" t="str">
        <f t="shared" si="217"/>
        <v/>
      </c>
      <c r="O376" s="317" t="str">
        <f t="shared" si="218"/>
        <v/>
      </c>
      <c r="P376" s="418" t="str">
        <f t="shared" si="221"/>
        <v>N/A</v>
      </c>
      <c r="Q376" s="418" t="str">
        <f t="shared" si="221"/>
        <v>N/A</v>
      </c>
      <c r="R376" s="418" t="str">
        <f t="shared" si="221"/>
        <v>N/A</v>
      </c>
      <c r="S376" s="418" t="str">
        <f t="shared" si="221"/>
        <v>N/A</v>
      </c>
      <c r="T376" s="418" t="str">
        <f t="shared" si="221"/>
        <v>N/A</v>
      </c>
      <c r="U376" s="418" t="str">
        <f t="shared" si="221"/>
        <v>N/A</v>
      </c>
      <c r="V376" s="418" t="str">
        <f t="shared" si="221"/>
        <v>N/A</v>
      </c>
      <c r="W376" s="418" t="str">
        <f t="shared" si="221"/>
        <v>N/A</v>
      </c>
      <c r="X376" s="418" t="str">
        <f t="shared" si="221"/>
        <v>N/A</v>
      </c>
      <c r="Y376" s="418" t="str">
        <f t="shared" si="221"/>
        <v>N/A</v>
      </c>
      <c r="Z376" s="418" t="str">
        <f t="shared" si="221"/>
        <v>N/A</v>
      </c>
      <c r="AA376" s="418" t="str">
        <f t="shared" si="221"/>
        <v>N/A</v>
      </c>
      <c r="AB376" s="350"/>
      <c r="AC376" s="381" t="s">
        <v>3930</v>
      </c>
      <c r="AD376" s="311"/>
      <c r="AE376" s="382"/>
      <c r="AF376" s="310" t="s">
        <v>6985</v>
      </c>
      <c r="AG376" s="310" t="s">
        <v>2485</v>
      </c>
      <c r="AH376" s="310" t="s">
        <v>7431</v>
      </c>
      <c r="AI376" s="309" t="s">
        <v>188</v>
      </c>
      <c r="AJ376" s="6" t="s">
        <v>8545</v>
      </c>
      <c r="AK376" s="6" t="str">
        <f t="shared" si="187"/>
        <v>IGUAL</v>
      </c>
      <c r="AL376" s="151" t="str">
        <f>IFERROR(IF(LEFT(A376,3)="LCP",VLOOKUP(A376,STATUS_SAP_LCP!B:C,2,FALSE),VLOOKUP(A376,STATUS_SAP_ICP!B:C,2,FALSE)),"NO BUDGET")</f>
        <v>NO BUDGET</v>
      </c>
      <c r="AM376" s="6" t="str">
        <f t="shared" si="185"/>
        <v>NO BUDGET</v>
      </c>
      <c r="AN376" s="414" t="s">
        <v>8880</v>
      </c>
      <c r="AO376" s="414"/>
      <c r="AP376" s="499" t="s">
        <v>10779</v>
      </c>
      <c r="AQ376" s="465">
        <v>46022</v>
      </c>
      <c r="AR376" s="460"/>
      <c r="AS376" s="57"/>
      <c r="AT376" s="185"/>
      <c r="AU376" s="318"/>
      <c r="AV376" s="223"/>
      <c r="AW376" s="318"/>
      <c r="AX376" s="223"/>
      <c r="AY376" s="318">
        <f t="shared" si="214"/>
        <v>0</v>
      </c>
      <c r="AZ376" s="223"/>
      <c r="BA376" s="318"/>
      <c r="BB376" s="519">
        <f t="shared" si="219"/>
        <v>500</v>
      </c>
      <c r="BC376" s="518">
        <v>0</v>
      </c>
      <c r="BD376" s="518">
        <v>0</v>
      </c>
      <c r="BE376" s="518">
        <v>0</v>
      </c>
      <c r="BF376" s="518">
        <v>0</v>
      </c>
      <c r="BG376" s="518">
        <v>0</v>
      </c>
      <c r="BH376" s="518">
        <v>0</v>
      </c>
      <c r="BI376" s="518">
        <v>0</v>
      </c>
      <c r="BJ376" s="518">
        <v>100</v>
      </c>
      <c r="BK376" s="518">
        <v>100</v>
      </c>
      <c r="BL376" s="518">
        <v>100</v>
      </c>
      <c r="BM376" s="518">
        <v>100</v>
      </c>
      <c r="BN376" s="518">
        <v>100</v>
      </c>
      <c r="BO376" s="367">
        <f t="shared" si="188"/>
        <v>0</v>
      </c>
      <c r="BP376" s="421"/>
      <c r="BQ376" s="422"/>
      <c r="BR376" s="423" t="str">
        <f>IFERROR(IF(LEFT($A376,3)="Lcp",SUMIFS('BASE-LCP'!$K:$K,'BASE-LCP'!$A:$A,Capex!$A404,'BASE-LCP'!$B:$B,"janeiro")/1000,IF(LEFT($A376,3)="icp",SUMIFS('BASE-ICP'!$K:$K,'BASE-ICP'!$A:$A,Capex!$A404,'BASE-ICP'!$B:$B,"janeiro")/1000,"")),"")</f>
        <v/>
      </c>
      <c r="BS376" s="427"/>
      <c r="BT376" s="372"/>
      <c r="BU376" s="422"/>
      <c r="BV376" s="423" t="str">
        <f>IFERROR(IF(LEFT($A376,3)="Lcp",SUMIFS('BASE-LCP'!$K:$K,'BASE-LCP'!$A:$A,Capex!$A404,'BASE-LCP'!$B:$B,"fevereiro")/1000,IF(LEFT($A376,3)="icp",SUMIFS('BASE-ICP'!$K:$K,'BASE-ICP'!$A:$A,Capex!$A404,'BASE-ICP'!$B:$B,"fevereiro")/1000,"")),"")</f>
        <v/>
      </c>
      <c r="BW376" s="427"/>
      <c r="BX376" s="372"/>
      <c r="BY376" s="419"/>
      <c r="BZ376" s="423" t="str">
        <f>IFERROR(IF(LEFT($A376,3)="Lcp",SUMIFS('BASE-LCP'!$K:$K,'BASE-LCP'!$A:$A,Capex!$A404,'BASE-LCP'!$B:$B,"março")/1000,IF(LEFT($A376,3)="icp",SUMIFS('BASE-ICP'!$K:$K,'BASE-ICP'!$A:$A,Capex!$A404,'BASE-ICP'!$B:$B,"março")/1000,"")),"")</f>
        <v/>
      </c>
      <c r="CA376" s="427"/>
      <c r="CB376" s="372"/>
      <c r="CC376" s="422"/>
      <c r="CD376" s="423" t="str">
        <f>IFERROR(IF(LEFT($A376,3)="Lcp",SUMIFS('BASE-LCP'!$K:$K,'BASE-LCP'!$A:$A,Capex!$A404,'BASE-LCP'!$B:$B,"abril")/1000,IF(LEFT($A376,3)="icp",SUMIFS('BASE-ICP'!$K:$K,'BASE-ICP'!$A:$A,Capex!$A404,'BASE-ICP'!$B:$B,"abril")/1000,"")),"")</f>
        <v/>
      </c>
      <c r="CE376" s="427"/>
      <c r="CF376" s="372"/>
      <c r="CG376" s="419"/>
      <c r="CH376" s="423">
        <v>0</v>
      </c>
      <c r="CI376" s="427"/>
      <c r="CJ376" s="372"/>
      <c r="CK376" s="419"/>
      <c r="CL376" s="423" t="str">
        <f>IFERROR(IF(LEFT($A376,3)="Lcp",SUMIFS('BASE-LCP'!$K:$K,'BASE-LCP'!$A:$A,Capex!$A404,'BASE-LCP'!$B:$B,"junho")/1000,IF(LEFT($A376,3)="icp",SUMIFS('BASE-ICP'!$K:$K,'BASE-ICP'!$A:$A,Capex!$A404,'BASE-ICP'!$B:$B,"junho")/1000,"")),"")</f>
        <v/>
      </c>
      <c r="CM376" s="427"/>
      <c r="CN376" s="372"/>
      <c r="CO376" s="419"/>
      <c r="CP376" s="423" t="str">
        <f>IFERROR(IF(LEFT($A376,3)="Lcp",SUMIFS('BASE-LCP'!$K:$K,'BASE-LCP'!$A:$A,Capex!$A404,'BASE-LCP'!$B:$B,"julho")/1000,IF(LEFT($A376,3)="icp",SUMIFS('BASE-ICP'!$K:$K,'BASE-ICP'!$A:$A,Capex!$A404,'BASE-ICP'!$B:$B,"julho")/1000,"")),"")</f>
        <v/>
      </c>
      <c r="CQ376" s="427"/>
      <c r="CR376" s="372"/>
      <c r="CS376" s="419"/>
      <c r="CT376" s="423" t="str">
        <f>IFERROR(IF(LEFT($A376,3)="Lcp",SUMIFS('BASE-LCP'!$K:$K,'BASE-LCP'!$A:$A,Capex!$A404,'BASE-LCP'!$B:$B,"agosto")/1000,IF(LEFT($A376,3)="icp",SUMIFS('BASE-ICP'!$K:$K,'BASE-ICP'!$A:$A,Capex!$A404,'BASE-ICP'!$B:$B,"agosto")/1000,"")),"")</f>
        <v/>
      </c>
      <c r="CU376" s="427"/>
      <c r="CV376" s="372"/>
      <c r="CW376" s="419"/>
      <c r="CX376" s="423" t="str">
        <f>IFERROR(IF(LEFT($A376,3)="Lcp",SUMIFS('BASE-LCP'!$K:$K,'BASE-LCP'!$A:$A,Capex!$A404,'BASE-LCP'!$B:$B,"setembro")/1000,IF(LEFT($A376,3)="icp",SUMIFS('BASE-ICP'!$K:$K,'BASE-ICP'!$A:$A,Capex!$A404,'BASE-ICP'!$B:$B,"setembro")/1000,"")),"")</f>
        <v/>
      </c>
      <c r="CY376" s="427"/>
      <c r="CZ376" s="372"/>
      <c r="DA376" s="419"/>
      <c r="DB376" s="423" t="str">
        <f>IFERROR(IF(LEFT($A376,3)="Lcp",SUMIFS('BASE-LCP'!$K:$K,'BASE-LCP'!$A:$A,Capex!$A404,'BASE-LCP'!$B:$B,"outubro")/1000,IF(LEFT($A376,3)="icp",SUMIFS('BASE-ICP'!$K:$K,'BASE-ICP'!$A:$A,Capex!$A404,'BASE-ICP'!$B:$B,"outubro")/1000,"")),"")</f>
        <v/>
      </c>
      <c r="DC376" s="427"/>
      <c r="DD376" s="372"/>
      <c r="DE376" s="419"/>
      <c r="DF376" s="423" t="str">
        <f>IFERROR(IF(LEFT($A376,3)="Lcp",SUMIFS('BASE-LCP'!$K:$K,'BASE-LCP'!$A:$A,Capex!$A404,'BASE-LCP'!$B:$B,"novembro")/1000,IF(LEFT($A376,3)="icp",SUMIFS('BASE-ICP'!$K:$K,'BASE-ICP'!$A:$A,Capex!$A404,'BASE-ICP'!$B:$B,"novembro")/1000,"")),"")</f>
        <v/>
      </c>
      <c r="DG376" s="427"/>
      <c r="DH376" s="372"/>
      <c r="DI376" s="419"/>
      <c r="DJ376" s="423" t="str">
        <f>IFERROR(IF(LEFT($A376,3)="Lcp",SUMIFS('BASE-LCP'!$K:$K,'BASE-LCP'!$A:$A,Capex!$A404,'BASE-LCP'!$B:$B,"dezembro")/1000,IF(LEFT($A376,3)="icp",SUMIFS('BASE-ICP'!$K:$K,'BASE-ICP'!$A:$A,Capex!$A404,'BASE-ICP'!$B:$B,"dezembro")/1000,"")),"")</f>
        <v/>
      </c>
      <c r="DK376" s="427"/>
      <c r="DL376" s="452">
        <f t="shared" si="189"/>
        <v>0</v>
      </c>
      <c r="DM376" s="374"/>
      <c r="DN376" s="374"/>
      <c r="DO376" s="374"/>
      <c r="DP376" s="374"/>
      <c r="DQ376" s="374"/>
      <c r="DR376" s="374"/>
      <c r="DS376" s="374"/>
      <c r="DT376" s="374"/>
      <c r="DU376" s="374"/>
      <c r="DV376" s="374"/>
      <c r="DW376" s="374"/>
      <c r="DX376" s="374"/>
      <c r="DY376" s="450"/>
      <c r="DZ376" s="374">
        <f t="shared" si="190"/>
        <v>0</v>
      </c>
      <c r="EA376" s="216">
        <f t="shared" si="191"/>
        <v>0</v>
      </c>
      <c r="EB376" s="320" t="e">
        <f t="shared" si="192"/>
        <v>#VALUE!</v>
      </c>
      <c r="EC376" s="241">
        <f t="shared" si="193"/>
        <v>0</v>
      </c>
      <c r="ED376" s="241">
        <f t="shared" si="194"/>
        <v>0</v>
      </c>
      <c r="EE376" s="241">
        <f t="shared" si="195"/>
        <v>0</v>
      </c>
      <c r="EF376" s="241">
        <f t="shared" si="196"/>
        <v>0</v>
      </c>
      <c r="EG376" s="346">
        <f t="shared" si="197"/>
        <v>-500</v>
      </c>
      <c r="EH376" s="445">
        <f t="shared" si="198"/>
        <v>0</v>
      </c>
      <c r="EI376" s="447">
        <f t="shared" si="199"/>
        <v>0</v>
      </c>
      <c r="EJ376" s="364">
        <f t="shared" si="200"/>
        <v>0</v>
      </c>
      <c r="EK376" s="365">
        <f t="shared" si="201"/>
        <v>0</v>
      </c>
      <c r="EL376" s="529">
        <f t="shared" si="202"/>
        <v>20</v>
      </c>
      <c r="EM376" s="530">
        <v>0</v>
      </c>
      <c r="EN376" s="530">
        <v>0</v>
      </c>
      <c r="EO376" s="530">
        <v>0</v>
      </c>
      <c r="EP376" s="530">
        <v>0</v>
      </c>
      <c r="EQ376" s="530">
        <v>0</v>
      </c>
      <c r="ER376" s="530">
        <v>0</v>
      </c>
      <c r="ES376" s="530">
        <v>0</v>
      </c>
      <c r="ET376" s="530">
        <v>0</v>
      </c>
      <c r="EU376" s="530">
        <v>0</v>
      </c>
      <c r="EV376" s="530">
        <v>0</v>
      </c>
      <c r="EW376" s="530">
        <v>20</v>
      </c>
      <c r="EX376" s="530">
        <v>0</v>
      </c>
      <c r="EY376" s="530">
        <f t="shared" si="203"/>
        <v>0</v>
      </c>
      <c r="EZ376" s="530">
        <f t="shared" si="204"/>
        <v>0</v>
      </c>
      <c r="FA376" s="530">
        <f t="shared" si="205"/>
        <v>0</v>
      </c>
      <c r="FB376" s="530">
        <f t="shared" si="206"/>
        <v>20</v>
      </c>
      <c r="FC376" s="384">
        <f>IFERROR(VLOOKUP(Capex!A404,BASE_558!D:R,8,FALSE)/1000,"")</f>
        <v>5189.1674999999996</v>
      </c>
      <c r="FD376" s="328">
        <f>IFERROR(VLOOKUP(Capex!A404,BASE_558!D:R,9,)/1000,"")</f>
        <v>4601.76037</v>
      </c>
      <c r="FE376" s="328">
        <f>IFERROR(IF(LEFT(A376,3)="LCP",(VLOOKUP(Capex!A404,BASE_558!D:R,10,)/1000),SUMIFS('BASE ICP_PO_SC'!F:F,'BASE ICP_PO_SC'!A:A,Capex!A404,'BASE ICP_PO_SC'!E:E,"&lt;&gt;")/1000),"")</f>
        <v>0</v>
      </c>
      <c r="FF376" s="328">
        <f>IFERROR(IF(LEFT(A376,3)="LCP",(VLOOKUP(Capex!A404,BASE_558!D:R,11,)/1000),SUMIFS('BASE ICP_PO_SC'!F:F,'BASE ICP_PO_SC'!A:A,Capex!A404,'BASE ICP_PO_SC'!E:E,"")/1000),"")</f>
        <v>0</v>
      </c>
      <c r="FG376" s="328" t="str">
        <f>IFERROR(VLOOKUP(A376,BASE_558!D:R,13,FALSE)/1000,"")</f>
        <v/>
      </c>
      <c r="FH376" s="328" t="str">
        <f>IFERROR(VLOOKUP(A376,BASE_558!D:R,15,FALSE)/1000,"")</f>
        <v/>
      </c>
      <c r="FI376" s="547">
        <f t="shared" si="207"/>
        <v>0</v>
      </c>
      <c r="FJ376" s="547">
        <f t="shared" si="208"/>
        <v>0</v>
      </c>
      <c r="FK376" s="540">
        <f t="shared" si="209"/>
        <v>20</v>
      </c>
    </row>
    <row r="377" spans="1:167" s="23" customFormat="1" ht="24" customHeight="1">
      <c r="A377" s="310" t="s">
        <v>8419</v>
      </c>
      <c r="B377" s="404"/>
      <c r="C377" s="404"/>
      <c r="D377" s="338"/>
      <c r="E377" s="378"/>
      <c r="F377" s="5"/>
      <c r="G377" s="310" t="s">
        <v>8</v>
      </c>
      <c r="H377" s="338"/>
      <c r="I377" s="356"/>
      <c r="J377" s="356">
        <v>2025</v>
      </c>
      <c r="K377" s="321"/>
      <c r="L377" s="321"/>
      <c r="M377" s="409"/>
      <c r="N377" s="317" t="str">
        <f t="shared" si="217"/>
        <v/>
      </c>
      <c r="O377" s="317" t="str">
        <f t="shared" si="218"/>
        <v/>
      </c>
      <c r="P377" s="418" t="str">
        <f t="shared" si="221"/>
        <v>N/A</v>
      </c>
      <c r="Q377" s="418" t="str">
        <f t="shared" si="221"/>
        <v>N/A</v>
      </c>
      <c r="R377" s="418" t="str">
        <f t="shared" si="221"/>
        <v>N/A</v>
      </c>
      <c r="S377" s="418" t="str">
        <f t="shared" si="221"/>
        <v>N/A</v>
      </c>
      <c r="T377" s="418" t="str">
        <f t="shared" si="221"/>
        <v>N/A</v>
      </c>
      <c r="U377" s="418" t="str">
        <f t="shared" si="221"/>
        <v>N/A</v>
      </c>
      <c r="V377" s="418" t="str">
        <f t="shared" si="221"/>
        <v>N/A</v>
      </c>
      <c r="W377" s="418" t="str">
        <f t="shared" si="221"/>
        <v>N/A</v>
      </c>
      <c r="X377" s="418" t="str">
        <f t="shared" si="221"/>
        <v>N/A</v>
      </c>
      <c r="Y377" s="418" t="str">
        <f t="shared" si="221"/>
        <v>N/A</v>
      </c>
      <c r="Z377" s="418" t="str">
        <f t="shared" si="221"/>
        <v>N/A</v>
      </c>
      <c r="AA377" s="418" t="str">
        <f t="shared" si="221"/>
        <v>N/A</v>
      </c>
      <c r="AB377" s="350"/>
      <c r="AC377" s="309" t="s">
        <v>3931</v>
      </c>
      <c r="AD377" s="311"/>
      <c r="AE377" s="382"/>
      <c r="AF377" s="310" t="s">
        <v>6985</v>
      </c>
      <c r="AG377" s="310" t="s">
        <v>2485</v>
      </c>
      <c r="AH377" s="310" t="s">
        <v>8418</v>
      </c>
      <c r="AI377" s="309" t="s">
        <v>188</v>
      </c>
      <c r="AJ377" s="6" t="s">
        <v>733</v>
      </c>
      <c r="AK377" s="6" t="str">
        <f t="shared" si="187"/>
        <v>IGUAL</v>
      </c>
      <c r="AL377" s="151" t="str">
        <f>IFERROR(IF(LEFT(A377,3)="LCP",VLOOKUP(A377,STATUS_SAP_LCP!B:C,2,FALSE),VLOOKUP(A377,STATUS_SAP_ICP!B:C,2,FALSE)),"NO BUDGET")</f>
        <v>CRTD  //  SUBM BNRL EXPL</v>
      </c>
      <c r="AM377" s="6" t="str">
        <f t="shared" si="185"/>
        <v>CRTD</v>
      </c>
      <c r="AN377" s="414" t="s">
        <v>17633</v>
      </c>
      <c r="AO377" s="414"/>
      <c r="AP377" s="499" t="s">
        <v>9615</v>
      </c>
      <c r="AQ377" s="465">
        <v>46022</v>
      </c>
      <c r="AR377" s="460"/>
      <c r="AS377" s="57"/>
      <c r="AT377" s="185"/>
      <c r="AU377" s="318"/>
      <c r="AV377" s="223"/>
      <c r="AW377" s="318"/>
      <c r="AX377" s="223"/>
      <c r="AY377" s="318">
        <f t="shared" si="214"/>
        <v>125</v>
      </c>
      <c r="AZ377" s="223"/>
      <c r="BA377" s="318"/>
      <c r="BB377" s="519">
        <f t="shared" si="219"/>
        <v>0</v>
      </c>
      <c r="BC377" s="518"/>
      <c r="BD377" s="518"/>
      <c r="BE377" s="518"/>
      <c r="BF377" s="518"/>
      <c r="BG377" s="518"/>
      <c r="BH377" s="518"/>
      <c r="BI377" s="518"/>
      <c r="BJ377" s="518"/>
      <c r="BK377" s="518"/>
      <c r="BL377" s="518"/>
      <c r="BM377" s="518"/>
      <c r="BN377" s="518"/>
      <c r="BO377" s="367">
        <f t="shared" si="188"/>
        <v>125</v>
      </c>
      <c r="BP377" s="421"/>
      <c r="BQ377" s="422"/>
      <c r="BR377" s="423">
        <f>IFERROR(IF(LEFT($A377,3)="Lcp",SUMIFS('BASE-LCP'!$K:$K,'BASE-LCP'!$A:$A,Capex!$A388,'BASE-LCP'!$B:$B,"janeiro")/1000,IF(LEFT($A377,3)="icp",SUMIFS('BASE-ICP'!$K:$K,'BASE-ICP'!$A:$A,Capex!$A388,'BASE-ICP'!$B:$B,"janeiro")/1000,"")),"")</f>
        <v>0</v>
      </c>
      <c r="BS377" s="427"/>
      <c r="BT377" s="372"/>
      <c r="BU377" s="422"/>
      <c r="BV377" s="423">
        <f>IFERROR(IF(LEFT($A377,3)="Lcp",SUMIFS('BASE-LCP'!$K:$K,'BASE-LCP'!$A:$A,Capex!$A388,'BASE-LCP'!$B:$B,"fevereiro")/1000,IF(LEFT($A377,3)="icp",SUMIFS('BASE-ICP'!$K:$K,'BASE-ICP'!$A:$A,Capex!$A388,'BASE-ICP'!$B:$B,"fevereiro")/1000,"")),"")</f>
        <v>0</v>
      </c>
      <c r="BW377" s="427"/>
      <c r="BX377" s="372"/>
      <c r="BY377" s="419"/>
      <c r="BZ377" s="423">
        <f>IFERROR(IF(LEFT($A377,3)="Lcp",SUMIFS('BASE-LCP'!$K:$K,'BASE-LCP'!$A:$A,Capex!$A388,'BASE-LCP'!$B:$B,"março")/1000,IF(LEFT($A377,3)="icp",SUMIFS('BASE-ICP'!$K:$K,'BASE-ICP'!$A:$A,Capex!$A388,'BASE-ICP'!$B:$B,"março")/1000,"")),"")</f>
        <v>0</v>
      </c>
      <c r="CA377" s="427"/>
      <c r="CB377" s="372"/>
      <c r="CC377" s="422"/>
      <c r="CD377" s="423">
        <f>IFERROR(IF(LEFT($A377,3)="Lcp",SUMIFS('BASE-LCP'!$K:$K,'BASE-LCP'!$A:$A,Capex!$A388,'BASE-LCP'!$B:$B,"abril")/1000,IF(LEFT($A377,3)="icp",SUMIFS('BASE-ICP'!$K:$K,'BASE-ICP'!$A:$A,Capex!$A388,'BASE-ICP'!$B:$B,"abril")/1000,"")),"")</f>
        <v>0</v>
      </c>
      <c r="CE377" s="427"/>
      <c r="CF377" s="372"/>
      <c r="CG377" s="419"/>
      <c r="CH377" s="423">
        <v>0</v>
      </c>
      <c r="CI377" s="427"/>
      <c r="CJ377" s="372"/>
      <c r="CK377" s="419"/>
      <c r="CL377" s="423">
        <f>IFERROR(IF(LEFT($A377,3)="Lcp",SUMIFS('BASE-LCP'!$K:$K,'BASE-LCP'!$A:$A,Capex!$A388,'BASE-LCP'!$B:$B,"junho")/1000,IF(LEFT($A377,3)="icp",SUMIFS('BASE-ICP'!$K:$K,'BASE-ICP'!$A:$A,Capex!$A388,'BASE-ICP'!$B:$B,"junho")/1000,"")),"")</f>
        <v>0</v>
      </c>
      <c r="CM377" s="427"/>
      <c r="CN377" s="372"/>
      <c r="CO377" s="419"/>
      <c r="CP377" s="423">
        <f>IFERROR(IF(LEFT($A377,3)="Lcp",SUMIFS('BASE-LCP'!$K:$K,'BASE-LCP'!$A:$A,Capex!$A388,'BASE-LCP'!$B:$B,"julho")/1000,IF(LEFT($A377,3)="icp",SUMIFS('BASE-ICP'!$K:$K,'BASE-ICP'!$A:$A,Capex!$A388,'BASE-ICP'!$B:$B,"julho")/1000,"")),"")</f>
        <v>0</v>
      </c>
      <c r="CQ377" s="427"/>
      <c r="CR377" s="372"/>
      <c r="CS377" s="419"/>
      <c r="CT377" s="423">
        <f>IFERROR(IF(LEFT($A377,3)="Lcp",SUMIFS('BASE-LCP'!$K:$K,'BASE-LCP'!$A:$A,Capex!$A388,'BASE-LCP'!$B:$B,"agosto")/1000,IF(LEFT($A377,3)="icp",SUMIFS('BASE-ICP'!$K:$K,'BASE-ICP'!$A:$A,Capex!$A388,'BASE-ICP'!$B:$B,"agosto")/1000,"")),"")</f>
        <v>0</v>
      </c>
      <c r="CU377" s="427"/>
      <c r="CV377" s="372"/>
      <c r="CW377" s="419"/>
      <c r="CX377" s="423">
        <f>IFERROR(IF(LEFT($A377,3)="Lcp",SUMIFS('BASE-LCP'!$K:$K,'BASE-LCP'!$A:$A,Capex!$A388,'BASE-LCP'!$B:$B,"setembro")/1000,IF(LEFT($A377,3)="icp",SUMIFS('BASE-ICP'!$K:$K,'BASE-ICP'!$A:$A,Capex!$A388,'BASE-ICP'!$B:$B,"setembro")/1000,"")),"")</f>
        <v>0</v>
      </c>
      <c r="CY377" s="427"/>
      <c r="CZ377" s="372"/>
      <c r="DA377" s="419"/>
      <c r="DB377" s="423">
        <f>IFERROR(IF(LEFT($A377,3)="Lcp",SUMIFS('BASE-LCP'!$K:$K,'BASE-LCP'!$A:$A,Capex!$A388,'BASE-LCP'!$B:$B,"outubro")/1000,IF(LEFT($A377,3)="icp",SUMIFS('BASE-ICP'!$K:$K,'BASE-ICP'!$A:$A,Capex!$A388,'BASE-ICP'!$B:$B,"outubro")/1000,"")),"")</f>
        <v>0</v>
      </c>
      <c r="DC377" s="427"/>
      <c r="DD377" s="372"/>
      <c r="DE377" s="419"/>
      <c r="DF377" s="423">
        <f>IFERROR(IF(LEFT($A377,3)="Lcp",SUMIFS('BASE-LCP'!$K:$K,'BASE-LCP'!$A:$A,Capex!$A388,'BASE-LCP'!$B:$B,"novembro")/1000,IF(LEFT($A377,3)="icp",SUMIFS('BASE-ICP'!$K:$K,'BASE-ICP'!$A:$A,Capex!$A388,'BASE-ICP'!$B:$B,"novembro")/1000,"")),"")</f>
        <v>0</v>
      </c>
      <c r="DG377" s="427"/>
      <c r="DH377" s="372"/>
      <c r="DI377" s="419"/>
      <c r="DJ377" s="423">
        <f>IFERROR(IF(LEFT($A377,3)="Lcp",SUMIFS('BASE-LCP'!$K:$K,'BASE-LCP'!$A:$A,Capex!$A388,'BASE-LCP'!$B:$B,"dezembro")/1000,IF(LEFT($A377,3)="icp",SUMIFS('BASE-ICP'!$K:$K,'BASE-ICP'!$A:$A,Capex!$A388,'BASE-ICP'!$B:$B,"dezembro")/1000,"")),"")</f>
        <v>0</v>
      </c>
      <c r="DK377" s="427">
        <v>125</v>
      </c>
      <c r="DL377" s="452">
        <f t="shared" si="189"/>
        <v>0</v>
      </c>
      <c r="DM377" s="374"/>
      <c r="DN377" s="374"/>
      <c r="DO377" s="374"/>
      <c r="DP377" s="374"/>
      <c r="DQ377" s="374"/>
      <c r="DR377" s="374"/>
      <c r="DS377" s="374"/>
      <c r="DT377" s="374"/>
      <c r="DU377" s="374"/>
      <c r="DV377" s="374"/>
      <c r="DW377" s="374"/>
      <c r="DX377" s="374"/>
      <c r="DY377" s="450"/>
      <c r="DZ377" s="374">
        <f t="shared" si="190"/>
        <v>0</v>
      </c>
      <c r="EA377" s="216">
        <f t="shared" si="191"/>
        <v>0</v>
      </c>
      <c r="EB377" s="320">
        <f t="shared" si="192"/>
        <v>0</v>
      </c>
      <c r="EC377" s="241">
        <f t="shared" si="193"/>
        <v>0</v>
      </c>
      <c r="ED377" s="241">
        <f t="shared" si="194"/>
        <v>0</v>
      </c>
      <c r="EE377" s="241">
        <f t="shared" si="195"/>
        <v>0</v>
      </c>
      <c r="EF377" s="241">
        <f t="shared" si="196"/>
        <v>125</v>
      </c>
      <c r="EG377" s="346">
        <f t="shared" si="197"/>
        <v>125</v>
      </c>
      <c r="EH377" s="445">
        <f t="shared" si="198"/>
        <v>0</v>
      </c>
      <c r="EI377" s="447">
        <f t="shared" si="199"/>
        <v>0</v>
      </c>
      <c r="EJ377" s="364">
        <f t="shared" si="200"/>
        <v>0</v>
      </c>
      <c r="EK377" s="365">
        <f t="shared" si="201"/>
        <v>125</v>
      </c>
      <c r="EL377" s="529">
        <f t="shared" si="202"/>
        <v>164</v>
      </c>
      <c r="EM377" s="530">
        <v>0</v>
      </c>
      <c r="EN377" s="530">
        <v>0</v>
      </c>
      <c r="EO377" s="530">
        <v>0</v>
      </c>
      <c r="EP377" s="530">
        <v>0</v>
      </c>
      <c r="EQ377" s="530">
        <v>0</v>
      </c>
      <c r="ER377" s="530">
        <v>0</v>
      </c>
      <c r="ES377" s="530">
        <v>0</v>
      </c>
      <c r="ET377" s="530">
        <v>0</v>
      </c>
      <c r="EU377" s="530">
        <v>0</v>
      </c>
      <c r="EV377" s="530">
        <v>55</v>
      </c>
      <c r="EW377" s="530">
        <v>62</v>
      </c>
      <c r="EX377" s="530">
        <v>47</v>
      </c>
      <c r="EY377" s="530">
        <f t="shared" si="203"/>
        <v>0</v>
      </c>
      <c r="EZ377" s="530">
        <f t="shared" si="204"/>
        <v>0</v>
      </c>
      <c r="FA377" s="530">
        <f t="shared" si="205"/>
        <v>0</v>
      </c>
      <c r="FB377" s="530">
        <f t="shared" si="206"/>
        <v>164</v>
      </c>
      <c r="FC377" s="384">
        <f>IFERROR(VLOOKUP(Capex!A388,BASE_558!D:R,8,FALSE)/1000,"")</f>
        <v>163.21845999999999</v>
      </c>
      <c r="FD377" s="328">
        <f>IFERROR(VLOOKUP(Capex!A388,BASE_558!D:R,9,)/1000,"")</f>
        <v>101.43809</v>
      </c>
      <c r="FE377" s="328">
        <f>IFERROR(IF(LEFT(A377,3)="LCP",(VLOOKUP(Capex!A388,BASE_558!D:R,10,)/1000),SUMIFS('BASE ICP_PO_SC'!F:F,'BASE ICP_PO_SC'!A:A,Capex!A388,'BASE ICP_PO_SC'!E:E,"&lt;&gt;")/1000),"")</f>
        <v>0.14069999999999999</v>
      </c>
      <c r="FF377" s="328">
        <f>IFERROR(IF(LEFT(A377,3)="LCP",(VLOOKUP(Capex!A388,BASE_558!D:R,11,)/1000),SUMIFS('BASE ICP_PO_SC'!F:F,'BASE ICP_PO_SC'!A:A,Capex!A388,'BASE ICP_PO_SC'!E:E,"")/1000),"")</f>
        <v>0.73533999999999999</v>
      </c>
      <c r="FG377" s="328">
        <f>IFERROR(VLOOKUP(A377,BASE_558!D:R,13,FALSE)/1000,"")</f>
        <v>0</v>
      </c>
      <c r="FH377" s="328">
        <f>IFERROR(VLOOKUP(A377,BASE_558!D:R,15,FALSE)/1000,"")</f>
        <v>0</v>
      </c>
      <c r="FI377" s="547">
        <f t="shared" si="207"/>
        <v>0</v>
      </c>
      <c r="FJ377" s="547">
        <f t="shared" si="208"/>
        <v>0</v>
      </c>
      <c r="FK377" s="540">
        <f t="shared" si="209"/>
        <v>39</v>
      </c>
    </row>
    <row r="378" spans="1:167" s="23" customFormat="1" ht="24" customHeight="1">
      <c r="A378" s="310" t="s">
        <v>3925</v>
      </c>
      <c r="B378" s="404"/>
      <c r="C378" s="404">
        <v>349</v>
      </c>
      <c r="D378" s="338"/>
      <c r="E378" s="378"/>
      <c r="F378" s="5"/>
      <c r="G378" s="310" t="s">
        <v>8</v>
      </c>
      <c r="H378" s="356"/>
      <c r="I378" s="356"/>
      <c r="J378" s="356">
        <v>2025</v>
      </c>
      <c r="K378" s="321">
        <v>45693</v>
      </c>
      <c r="L378" s="321"/>
      <c r="M378" s="409"/>
      <c r="N378" s="317">
        <f t="shared" si="217"/>
        <v>46605</v>
      </c>
      <c r="O378" s="317">
        <f t="shared" si="218"/>
        <v>46970</v>
      </c>
      <c r="P378" s="418" t="str">
        <f t="shared" si="221"/>
        <v>NÃO</v>
      </c>
      <c r="Q378" s="418" t="str">
        <f t="shared" si="221"/>
        <v>NÃO</v>
      </c>
      <c r="R378" s="418" t="str">
        <f t="shared" si="221"/>
        <v>NÃO</v>
      </c>
      <c r="S378" s="418" t="str">
        <f t="shared" si="221"/>
        <v>NÃO</v>
      </c>
      <c r="T378" s="418" t="str">
        <f t="shared" si="221"/>
        <v>NÃO</v>
      </c>
      <c r="U378" s="418" t="str">
        <f t="shared" si="221"/>
        <v>NÃO</v>
      </c>
      <c r="V378" s="418" t="str">
        <f t="shared" si="221"/>
        <v>NÃO</v>
      </c>
      <c r="W378" s="418" t="str">
        <f t="shared" si="221"/>
        <v>NÃO</v>
      </c>
      <c r="X378" s="418" t="str">
        <f t="shared" si="221"/>
        <v>NÃO</v>
      </c>
      <c r="Y378" s="418" t="str">
        <f t="shared" si="221"/>
        <v>NÃO</v>
      </c>
      <c r="Z378" s="418" t="str">
        <f t="shared" si="221"/>
        <v>NÃO</v>
      </c>
      <c r="AA378" s="418" t="str">
        <f t="shared" si="221"/>
        <v>NÃO</v>
      </c>
      <c r="AB378" s="350"/>
      <c r="AC378" s="309" t="s">
        <v>3932</v>
      </c>
      <c r="AD378" s="311"/>
      <c r="AE378" s="382"/>
      <c r="AF378" s="310" t="s">
        <v>6985</v>
      </c>
      <c r="AG378" s="310" t="s">
        <v>17007</v>
      </c>
      <c r="AH378" s="310" t="s">
        <v>3924</v>
      </c>
      <c r="AI378" s="309" t="s">
        <v>316</v>
      </c>
      <c r="AJ378" s="6" t="s">
        <v>6786</v>
      </c>
      <c r="AK378" s="6" t="str">
        <f t="shared" si="187"/>
        <v>IGUAL</v>
      </c>
      <c r="AL378" s="151" t="str">
        <f>IFERROR(IF(LEFT(A378,3)="LCP",VLOOKUP(A378,STATUS_SAP_LCP!B:C,2,FALSE),VLOOKUP(A378,STATUS_SAP_ICP!B:C,2,FALSE)),"NO BUDGET")</f>
        <v>REL  BUDG AUC  AVAC  //  APPR BREL EXPL</v>
      </c>
      <c r="AM378" s="6" t="str">
        <f t="shared" si="185"/>
        <v xml:space="preserve">REL </v>
      </c>
      <c r="AN378" s="414" t="s">
        <v>8932</v>
      </c>
      <c r="AO378" s="414"/>
      <c r="AP378" s="499" t="s">
        <v>9616</v>
      </c>
      <c r="AQ378" s="465">
        <v>46387</v>
      </c>
      <c r="AR378" s="460"/>
      <c r="AS378" s="57"/>
      <c r="AT378" s="185"/>
      <c r="AU378" s="318"/>
      <c r="AV378" s="223"/>
      <c r="AW378" s="318"/>
      <c r="AX378" s="223"/>
      <c r="AY378" s="318">
        <f t="shared" si="214"/>
        <v>190</v>
      </c>
      <c r="AZ378" s="223"/>
      <c r="BA378" s="318"/>
      <c r="BB378" s="519">
        <f t="shared" si="219"/>
        <v>0</v>
      </c>
      <c r="BC378" s="518">
        <v>0</v>
      </c>
      <c r="BD378" s="518">
        <v>0</v>
      </c>
      <c r="BE378" s="518">
        <v>0</v>
      </c>
      <c r="BF378" s="518">
        <v>0</v>
      </c>
      <c r="BG378" s="518">
        <v>0</v>
      </c>
      <c r="BH378" s="518">
        <v>0</v>
      </c>
      <c r="BI378" s="518">
        <v>0</v>
      </c>
      <c r="BJ378" s="518">
        <v>0</v>
      </c>
      <c r="BK378" s="518">
        <v>0</v>
      </c>
      <c r="BL378" s="518">
        <v>0</v>
      </c>
      <c r="BM378" s="518">
        <v>0</v>
      </c>
      <c r="BN378" s="518">
        <v>0</v>
      </c>
      <c r="BO378" s="367">
        <f t="shared" si="188"/>
        <v>190</v>
      </c>
      <c r="BP378" s="421"/>
      <c r="BQ378" s="422"/>
      <c r="BR378" s="423">
        <f>IFERROR(IF(LEFT($A378,3)="Lcp",SUMIFS('BASE-LCP'!$K:$K,'BASE-LCP'!$A:$A,Capex!$A378,'BASE-LCP'!$B:$B,"janeiro")/1000,IF(LEFT($A378,3)="icp",SUMIFS('BASE-ICP'!$K:$K,'BASE-ICP'!$A:$A,Capex!$A378,'BASE-ICP'!$B:$B,"janeiro")/1000,"")),"")</f>
        <v>0</v>
      </c>
      <c r="BS378" s="427"/>
      <c r="BT378" s="372"/>
      <c r="BU378" s="422"/>
      <c r="BV378" s="423">
        <f>IFERROR(IF(LEFT($A378,3)="Lcp",SUMIFS('BASE-LCP'!$K:$K,'BASE-LCP'!$A:$A,Capex!$A378,'BASE-LCP'!$B:$B,"fevereiro")/1000,IF(LEFT($A378,3)="icp",SUMIFS('BASE-ICP'!$K:$K,'BASE-ICP'!$A:$A,Capex!$A378,'BASE-ICP'!$B:$B,"fevereiro")/1000,"")),"")</f>
        <v>0</v>
      </c>
      <c r="BW378" s="427"/>
      <c r="BX378" s="372"/>
      <c r="BY378" s="419"/>
      <c r="BZ378" s="423">
        <f>IFERROR(IF(LEFT($A378,3)="Lcp",SUMIFS('BASE-LCP'!$K:$K,'BASE-LCP'!$A:$A,Capex!$A378,'BASE-LCP'!$B:$B,"março")/1000,IF(LEFT($A378,3)="icp",SUMIFS('BASE-ICP'!$K:$K,'BASE-ICP'!$A:$A,Capex!$A378,'BASE-ICP'!$B:$B,"março")/1000,"")),"")</f>
        <v>0</v>
      </c>
      <c r="CA378" s="427"/>
      <c r="CB378" s="372"/>
      <c r="CC378" s="422"/>
      <c r="CD378" s="423">
        <f>IFERROR(IF(LEFT($A378,3)="Lcp",SUMIFS('BASE-LCP'!$K:$K,'BASE-LCP'!$A:$A,Capex!$A378,'BASE-LCP'!$B:$B,"abril")/1000,IF(LEFT($A378,3)="icp",SUMIFS('BASE-ICP'!$K:$K,'BASE-ICP'!$A:$A,Capex!$A378,'BASE-ICP'!$B:$B,"abril")/1000,"")),"")</f>
        <v>0</v>
      </c>
      <c r="CE378" s="427"/>
      <c r="CF378" s="372"/>
      <c r="CG378" s="419"/>
      <c r="CH378" s="423">
        <v>0</v>
      </c>
      <c r="CI378" s="427"/>
      <c r="CJ378" s="372"/>
      <c r="CK378" s="419"/>
      <c r="CL378" s="423">
        <f>IFERROR(IF(LEFT($A378,3)="Lcp",SUMIFS('BASE-LCP'!$K:$K,'BASE-LCP'!$A:$A,Capex!$A378,'BASE-LCP'!$B:$B,"junho")/1000,IF(LEFT($A378,3)="icp",SUMIFS('BASE-ICP'!$K:$K,'BASE-ICP'!$A:$A,Capex!$A378,'BASE-ICP'!$B:$B,"junho")/1000,"")),"")</f>
        <v>0</v>
      </c>
      <c r="CM378" s="427"/>
      <c r="CN378" s="372"/>
      <c r="CO378" s="419"/>
      <c r="CP378" s="423">
        <f>IFERROR(IF(LEFT($A378,3)="Lcp",SUMIFS('BASE-LCP'!$K:$K,'BASE-LCP'!$A:$A,Capex!$A378,'BASE-LCP'!$B:$B,"julho")/1000,IF(LEFT($A378,3)="icp",SUMIFS('BASE-ICP'!$K:$K,'BASE-ICP'!$A:$A,Capex!$A378,'BASE-ICP'!$B:$B,"julho")/1000,"")),"")</f>
        <v>0</v>
      </c>
      <c r="CQ378" s="427"/>
      <c r="CR378" s="372"/>
      <c r="CS378" s="419"/>
      <c r="CT378" s="423">
        <f>IFERROR(IF(LEFT($A378,3)="Lcp",SUMIFS('BASE-LCP'!$K:$K,'BASE-LCP'!$A:$A,Capex!$A378,'BASE-LCP'!$B:$B,"agosto")/1000,IF(LEFT($A378,3)="icp",SUMIFS('BASE-ICP'!$K:$K,'BASE-ICP'!$A:$A,Capex!$A378,'BASE-ICP'!$B:$B,"agosto")/1000,"")),"")</f>
        <v>0</v>
      </c>
      <c r="CU378" s="427"/>
      <c r="CV378" s="372"/>
      <c r="CW378" s="419"/>
      <c r="CX378" s="423">
        <f>IFERROR(IF(LEFT($A378,3)="Lcp",SUMIFS('BASE-LCP'!$K:$K,'BASE-LCP'!$A:$A,Capex!$A378,'BASE-LCP'!$B:$B,"setembro")/1000,IF(LEFT($A378,3)="icp",SUMIFS('BASE-ICP'!$K:$K,'BASE-ICP'!$A:$A,Capex!$A378,'BASE-ICP'!$B:$B,"setembro")/1000,"")),"")</f>
        <v>0</v>
      </c>
      <c r="CY378" s="427"/>
      <c r="CZ378" s="372"/>
      <c r="DA378" s="419"/>
      <c r="DB378" s="423">
        <f>IFERROR(IF(LEFT($A378,3)="Lcp",SUMIFS('BASE-LCP'!$K:$K,'BASE-LCP'!$A:$A,Capex!$A378,'BASE-LCP'!$B:$B,"outubro")/1000,IF(LEFT($A378,3)="icp",SUMIFS('BASE-ICP'!$K:$K,'BASE-ICP'!$A:$A,Capex!$A378,'BASE-ICP'!$B:$B,"outubro")/1000,"")),"")</f>
        <v>0</v>
      </c>
      <c r="DC378" s="427"/>
      <c r="DD378" s="372"/>
      <c r="DE378" s="419"/>
      <c r="DF378" s="423">
        <f>IFERROR(IF(LEFT($A378,3)="Lcp",SUMIFS('BASE-LCP'!$K:$K,'BASE-LCP'!$A:$A,Capex!$A378,'BASE-LCP'!$B:$B,"novembro")/1000,IF(LEFT($A378,3)="icp",SUMIFS('BASE-ICP'!$K:$K,'BASE-ICP'!$A:$A,Capex!$A378,'BASE-ICP'!$B:$B,"novembro")/1000,"")),"")</f>
        <v>0</v>
      </c>
      <c r="DG378" s="427"/>
      <c r="DH378" s="372"/>
      <c r="DI378" s="419"/>
      <c r="DJ378" s="423">
        <f>IFERROR(IF(LEFT($A378,3)="Lcp",SUMIFS('BASE-LCP'!$K:$K,'BASE-LCP'!$A:$A,Capex!$A378,'BASE-LCP'!$B:$B,"dezembro")/1000,IF(LEFT($A378,3)="icp",SUMIFS('BASE-ICP'!$K:$K,'BASE-ICP'!$A:$A,Capex!$A378,'BASE-ICP'!$B:$B,"dezembro")/1000,"")),"")</f>
        <v>0</v>
      </c>
      <c r="DK378" s="427">
        <v>190</v>
      </c>
      <c r="DL378" s="452">
        <f t="shared" si="189"/>
        <v>0</v>
      </c>
      <c r="DM378" s="374"/>
      <c r="DN378" s="374"/>
      <c r="DO378" s="374"/>
      <c r="DP378" s="374"/>
      <c r="DQ378" s="374"/>
      <c r="DR378" s="374"/>
      <c r="DS378" s="374"/>
      <c r="DT378" s="374"/>
      <c r="DU378" s="374"/>
      <c r="DV378" s="374"/>
      <c r="DW378" s="374"/>
      <c r="DX378" s="374"/>
      <c r="DY378" s="450"/>
      <c r="DZ378" s="374">
        <f t="shared" si="190"/>
        <v>0</v>
      </c>
      <c r="EA378" s="216">
        <f t="shared" si="191"/>
        <v>0</v>
      </c>
      <c r="EB378" s="320">
        <f t="shared" si="192"/>
        <v>0</v>
      </c>
      <c r="EC378" s="241">
        <f t="shared" si="193"/>
        <v>0</v>
      </c>
      <c r="ED378" s="241">
        <f t="shared" si="194"/>
        <v>0</v>
      </c>
      <c r="EE378" s="241">
        <f t="shared" si="195"/>
        <v>0</v>
      </c>
      <c r="EF378" s="241">
        <f t="shared" si="196"/>
        <v>190</v>
      </c>
      <c r="EG378" s="346">
        <f t="shared" si="197"/>
        <v>190</v>
      </c>
      <c r="EH378" s="445">
        <f t="shared" si="198"/>
        <v>0</v>
      </c>
      <c r="EI378" s="447">
        <f t="shared" si="199"/>
        <v>0</v>
      </c>
      <c r="EJ378" s="364">
        <f t="shared" si="200"/>
        <v>0</v>
      </c>
      <c r="EK378" s="365">
        <f t="shared" si="201"/>
        <v>190</v>
      </c>
      <c r="EL378" s="529">
        <f t="shared" si="202"/>
        <v>250</v>
      </c>
      <c r="EM378" s="530">
        <v>0</v>
      </c>
      <c r="EN378" s="530">
        <v>0</v>
      </c>
      <c r="EO378" s="530">
        <v>0</v>
      </c>
      <c r="EP378" s="530">
        <v>0</v>
      </c>
      <c r="EQ378" s="530">
        <v>0</v>
      </c>
      <c r="ER378" s="530">
        <v>0</v>
      </c>
      <c r="ES378" s="530">
        <v>0</v>
      </c>
      <c r="ET378" s="530">
        <v>0</v>
      </c>
      <c r="EU378" s="530">
        <v>0</v>
      </c>
      <c r="EV378" s="530">
        <v>0</v>
      </c>
      <c r="EW378" s="530">
        <v>0</v>
      </c>
      <c r="EX378" s="530">
        <v>250</v>
      </c>
      <c r="EY378" s="530">
        <f t="shared" si="203"/>
        <v>0</v>
      </c>
      <c r="EZ378" s="530">
        <f t="shared" si="204"/>
        <v>0</v>
      </c>
      <c r="FA378" s="530">
        <f t="shared" si="205"/>
        <v>0</v>
      </c>
      <c r="FB378" s="530">
        <f t="shared" si="206"/>
        <v>250</v>
      </c>
      <c r="FC378" s="384">
        <f>IFERROR(VLOOKUP(Capex!A378,BASE_558!D:R,8,FALSE)/1000,"")</f>
        <v>297.5</v>
      </c>
      <c r="FD378" s="328">
        <f>IFERROR(VLOOKUP(Capex!A378,BASE_558!D:R,9,)/1000,"")</f>
        <v>0</v>
      </c>
      <c r="FE378" s="328">
        <f>IFERROR(IF(LEFT(A378,3)="LCP",(VLOOKUP(Capex!A378,BASE_558!D:R,10,)/1000),SUMIFS('BASE ICP_PO_SC'!F:F,'BASE ICP_PO_SC'!A:A,Capex!A378,'BASE ICP_PO_SC'!E:E,"&lt;&gt;")/1000),"")</f>
        <v>0</v>
      </c>
      <c r="FF378" s="328">
        <f>IFERROR(IF(LEFT(A378,3)="LCP",(VLOOKUP(Capex!A378,BASE_558!D:R,11,)/1000),SUMIFS('BASE ICP_PO_SC'!F:F,'BASE ICP_PO_SC'!A:A,Capex!A378,'BASE ICP_PO_SC'!E:E,"")/1000),"")</f>
        <v>176.37909999999999</v>
      </c>
      <c r="FG378" s="328">
        <f>IFERROR(VLOOKUP(A378,BASE_558!D:R,13,FALSE)/1000,"")</f>
        <v>176.37909999999999</v>
      </c>
      <c r="FH378" s="328">
        <f>IFERROR(VLOOKUP(A378,BASE_558!D:R,15,FALSE)/1000,"")</f>
        <v>121.12089999999999</v>
      </c>
      <c r="FI378" s="547">
        <f t="shared" si="207"/>
        <v>0</v>
      </c>
      <c r="FJ378" s="547">
        <f t="shared" si="208"/>
        <v>0</v>
      </c>
      <c r="FK378" s="540">
        <f t="shared" si="209"/>
        <v>60</v>
      </c>
    </row>
    <row r="379" spans="1:167" s="23" customFormat="1" ht="24" customHeight="1">
      <c r="A379" s="310" t="s">
        <v>3922</v>
      </c>
      <c r="B379" s="404"/>
      <c r="C379" s="404">
        <v>348</v>
      </c>
      <c r="D379" s="338"/>
      <c r="E379" s="378"/>
      <c r="F379" s="5"/>
      <c r="G379" s="310" t="s">
        <v>8</v>
      </c>
      <c r="H379" s="356"/>
      <c r="I379" s="356"/>
      <c r="J379" s="356">
        <v>2025</v>
      </c>
      <c r="K379" s="321">
        <v>45693</v>
      </c>
      <c r="L379" s="321"/>
      <c r="M379" s="409"/>
      <c r="N379" s="317">
        <f t="shared" si="217"/>
        <v>46605</v>
      </c>
      <c r="O379" s="317">
        <f t="shared" si="218"/>
        <v>46970</v>
      </c>
      <c r="P379" s="418" t="str">
        <f t="shared" si="221"/>
        <v>NÃO</v>
      </c>
      <c r="Q379" s="418" t="str">
        <f t="shared" si="221"/>
        <v>NÃO</v>
      </c>
      <c r="R379" s="418" t="str">
        <f t="shared" si="221"/>
        <v>NÃO</v>
      </c>
      <c r="S379" s="418" t="str">
        <f t="shared" si="221"/>
        <v>NÃO</v>
      </c>
      <c r="T379" s="418" t="str">
        <f t="shared" si="221"/>
        <v>NÃO</v>
      </c>
      <c r="U379" s="418" t="str">
        <f t="shared" si="221"/>
        <v>NÃO</v>
      </c>
      <c r="V379" s="418" t="str">
        <f t="shared" si="221"/>
        <v>NÃO</v>
      </c>
      <c r="W379" s="418" t="str">
        <f t="shared" si="221"/>
        <v>NÃO</v>
      </c>
      <c r="X379" s="418" t="str">
        <f t="shared" si="221"/>
        <v>NÃO</v>
      </c>
      <c r="Y379" s="418" t="str">
        <f t="shared" si="221"/>
        <v>NÃO</v>
      </c>
      <c r="Z379" s="418" t="str">
        <f t="shared" si="221"/>
        <v>NÃO</v>
      </c>
      <c r="AA379" s="418" t="str">
        <f t="shared" si="221"/>
        <v>NÃO</v>
      </c>
      <c r="AB379" s="350"/>
      <c r="AC379" s="309" t="s">
        <v>3932</v>
      </c>
      <c r="AD379" s="311"/>
      <c r="AE379" s="382"/>
      <c r="AF379" s="310" t="s">
        <v>6985</v>
      </c>
      <c r="AG379" s="310" t="s">
        <v>17007</v>
      </c>
      <c r="AH379" s="310" t="s">
        <v>3923</v>
      </c>
      <c r="AI379" s="381" t="s">
        <v>316</v>
      </c>
      <c r="AJ379" s="6" t="s">
        <v>6786</v>
      </c>
      <c r="AK379" s="6" t="str">
        <f t="shared" si="187"/>
        <v>IGUAL</v>
      </c>
      <c r="AL379" s="151" t="str">
        <f>IFERROR(IF(LEFT(A379,3)="LCP",VLOOKUP(A379,STATUS_SAP_LCP!B:C,2,FALSE),VLOOKUP(A379,STATUS_SAP_ICP!B:C,2,FALSE)),"NO BUDGET")</f>
        <v>REL  BUDG AUC  AVAC  //  APPR BREL EXPL</v>
      </c>
      <c r="AM379" s="6" t="str">
        <f t="shared" si="185"/>
        <v xml:space="preserve">REL </v>
      </c>
      <c r="AN379" s="414" t="s">
        <v>8932</v>
      </c>
      <c r="AO379" s="414"/>
      <c r="AP379" s="499" t="s">
        <v>9616</v>
      </c>
      <c r="AQ379" s="465">
        <v>46387</v>
      </c>
      <c r="AR379" s="460"/>
      <c r="AS379" s="57"/>
      <c r="AT379" s="185"/>
      <c r="AU379" s="318"/>
      <c r="AV379" s="223"/>
      <c r="AW379" s="318"/>
      <c r="AX379" s="223"/>
      <c r="AY379" s="318">
        <f t="shared" si="214"/>
        <v>186</v>
      </c>
      <c r="AZ379" s="223"/>
      <c r="BA379" s="318"/>
      <c r="BB379" s="519">
        <f t="shared" si="219"/>
        <v>0</v>
      </c>
      <c r="BC379" s="518">
        <v>0</v>
      </c>
      <c r="BD379" s="518">
        <v>0</v>
      </c>
      <c r="BE379" s="518">
        <v>0</v>
      </c>
      <c r="BF379" s="518">
        <v>0</v>
      </c>
      <c r="BG379" s="518">
        <v>0</v>
      </c>
      <c r="BH379" s="518">
        <v>0</v>
      </c>
      <c r="BI379" s="518">
        <v>0</v>
      </c>
      <c r="BJ379" s="518">
        <v>0</v>
      </c>
      <c r="BK379" s="518">
        <v>0</v>
      </c>
      <c r="BL379" s="518">
        <v>0</v>
      </c>
      <c r="BM379" s="518">
        <v>0</v>
      </c>
      <c r="BN379" s="518">
        <v>0</v>
      </c>
      <c r="BO379" s="367">
        <f t="shared" si="188"/>
        <v>186</v>
      </c>
      <c r="BP379" s="421"/>
      <c r="BQ379" s="422"/>
      <c r="BR379" s="423">
        <f>IFERROR(IF(LEFT($A379,3)="Lcp",SUMIFS('BASE-LCP'!$K:$K,'BASE-LCP'!$A:$A,Capex!$A377,'BASE-LCP'!$B:$B,"janeiro")/1000,IF(LEFT($A379,3)="icp",SUMIFS('BASE-ICP'!$K:$K,'BASE-ICP'!$A:$A,Capex!$A377,'BASE-ICP'!$B:$B,"janeiro")/1000,"")),"")</f>
        <v>0</v>
      </c>
      <c r="BS379" s="427"/>
      <c r="BT379" s="372"/>
      <c r="BU379" s="422"/>
      <c r="BV379" s="423">
        <f>IFERROR(IF(LEFT($A379,3)="Lcp",SUMIFS('BASE-LCP'!$K:$K,'BASE-LCP'!$A:$A,Capex!$A377,'BASE-LCP'!$B:$B,"fevereiro")/1000,IF(LEFT($A379,3)="icp",SUMIFS('BASE-ICP'!$K:$K,'BASE-ICP'!$A:$A,Capex!$A377,'BASE-ICP'!$B:$B,"fevereiro")/1000,"")),"")</f>
        <v>0</v>
      </c>
      <c r="BW379" s="427"/>
      <c r="BX379" s="372"/>
      <c r="BY379" s="419"/>
      <c r="BZ379" s="423">
        <f>IFERROR(IF(LEFT($A379,3)="Lcp",SUMIFS('BASE-LCP'!$K:$K,'BASE-LCP'!$A:$A,Capex!$A377,'BASE-LCP'!$B:$B,"março")/1000,IF(LEFT($A379,3)="icp",SUMIFS('BASE-ICP'!$K:$K,'BASE-ICP'!$A:$A,Capex!$A377,'BASE-ICP'!$B:$B,"março")/1000,"")),"")</f>
        <v>0</v>
      </c>
      <c r="CA379" s="427"/>
      <c r="CB379" s="372"/>
      <c r="CC379" s="422"/>
      <c r="CD379" s="423">
        <f>IFERROR(IF(LEFT($A379,3)="Lcp",SUMIFS('BASE-LCP'!$K:$K,'BASE-LCP'!$A:$A,Capex!$A377,'BASE-LCP'!$B:$B,"abril")/1000,IF(LEFT($A379,3)="icp",SUMIFS('BASE-ICP'!$K:$K,'BASE-ICP'!$A:$A,Capex!$A377,'BASE-ICP'!$B:$B,"abril")/1000,"")),"")</f>
        <v>0</v>
      </c>
      <c r="CE379" s="427"/>
      <c r="CF379" s="372"/>
      <c r="CG379" s="419"/>
      <c r="CH379" s="423">
        <v>0</v>
      </c>
      <c r="CI379" s="427"/>
      <c r="CJ379" s="372"/>
      <c r="CK379" s="419"/>
      <c r="CL379" s="423">
        <f>IFERROR(IF(LEFT($A379,3)="Lcp",SUMIFS('BASE-LCP'!$K:$K,'BASE-LCP'!$A:$A,Capex!$A377,'BASE-LCP'!$B:$B,"junho")/1000,IF(LEFT($A379,3)="icp",SUMIFS('BASE-ICP'!$K:$K,'BASE-ICP'!$A:$A,Capex!$A377,'BASE-ICP'!$B:$B,"junho")/1000,"")),"")</f>
        <v>0</v>
      </c>
      <c r="CM379" s="427"/>
      <c r="CN379" s="372"/>
      <c r="CO379" s="419"/>
      <c r="CP379" s="423">
        <f>IFERROR(IF(LEFT($A379,3)="Lcp",SUMIFS('BASE-LCP'!$K:$K,'BASE-LCP'!$A:$A,Capex!$A377,'BASE-LCP'!$B:$B,"julho")/1000,IF(LEFT($A379,3)="icp",SUMIFS('BASE-ICP'!$K:$K,'BASE-ICP'!$A:$A,Capex!$A377,'BASE-ICP'!$B:$B,"julho")/1000,"")),"")</f>
        <v>0</v>
      </c>
      <c r="CQ379" s="427"/>
      <c r="CR379" s="372"/>
      <c r="CS379" s="419"/>
      <c r="CT379" s="423">
        <f>IFERROR(IF(LEFT($A379,3)="Lcp",SUMIFS('BASE-LCP'!$K:$K,'BASE-LCP'!$A:$A,Capex!$A377,'BASE-LCP'!$B:$B,"agosto")/1000,IF(LEFT($A379,3)="icp",SUMIFS('BASE-ICP'!$K:$K,'BASE-ICP'!$A:$A,Capex!$A377,'BASE-ICP'!$B:$B,"agosto")/1000,"")),"")</f>
        <v>0</v>
      </c>
      <c r="CU379" s="427"/>
      <c r="CV379" s="372"/>
      <c r="CW379" s="419"/>
      <c r="CX379" s="423">
        <f>IFERROR(IF(LEFT($A379,3)="Lcp",SUMIFS('BASE-LCP'!$K:$K,'BASE-LCP'!$A:$A,Capex!$A377,'BASE-LCP'!$B:$B,"setembro")/1000,IF(LEFT($A379,3)="icp",SUMIFS('BASE-ICP'!$K:$K,'BASE-ICP'!$A:$A,Capex!$A377,'BASE-ICP'!$B:$B,"setembro")/1000,"")),"")</f>
        <v>0</v>
      </c>
      <c r="CY379" s="427"/>
      <c r="CZ379" s="372"/>
      <c r="DA379" s="419"/>
      <c r="DB379" s="423">
        <f>IFERROR(IF(LEFT($A379,3)="Lcp",SUMIFS('BASE-LCP'!$K:$K,'BASE-LCP'!$A:$A,Capex!$A377,'BASE-LCP'!$B:$B,"outubro")/1000,IF(LEFT($A379,3)="icp",SUMIFS('BASE-ICP'!$K:$K,'BASE-ICP'!$A:$A,Capex!$A377,'BASE-ICP'!$B:$B,"outubro")/1000,"")),"")</f>
        <v>0</v>
      </c>
      <c r="DC379" s="427"/>
      <c r="DD379" s="372"/>
      <c r="DE379" s="419"/>
      <c r="DF379" s="423">
        <f>IFERROR(IF(LEFT($A379,3)="Lcp",SUMIFS('BASE-LCP'!$K:$K,'BASE-LCP'!$A:$A,Capex!$A377,'BASE-LCP'!$B:$B,"novembro")/1000,IF(LEFT($A379,3)="icp",SUMIFS('BASE-ICP'!$K:$K,'BASE-ICP'!$A:$A,Capex!$A377,'BASE-ICP'!$B:$B,"novembro")/1000,"")),"")</f>
        <v>0</v>
      </c>
      <c r="DG379" s="427"/>
      <c r="DH379" s="372"/>
      <c r="DI379" s="419"/>
      <c r="DJ379" s="423">
        <f>IFERROR(IF(LEFT($A379,3)="Lcp",SUMIFS('BASE-LCP'!$K:$K,'BASE-LCP'!$A:$A,Capex!$A377,'BASE-LCP'!$B:$B,"dezembro")/1000,IF(LEFT($A379,3)="icp",SUMIFS('BASE-ICP'!$K:$K,'BASE-ICP'!$A:$A,Capex!$A377,'BASE-ICP'!$B:$B,"dezembro")/1000,"")),"")</f>
        <v>0</v>
      </c>
      <c r="DK379" s="427">
        <v>186</v>
      </c>
      <c r="DL379" s="452">
        <f t="shared" si="189"/>
        <v>0</v>
      </c>
      <c r="DM379" s="374"/>
      <c r="DN379" s="374"/>
      <c r="DO379" s="374"/>
      <c r="DP379" s="374"/>
      <c r="DQ379" s="374"/>
      <c r="DR379" s="374"/>
      <c r="DS379" s="374"/>
      <c r="DT379" s="374"/>
      <c r="DU379" s="374"/>
      <c r="DV379" s="374"/>
      <c r="DW379" s="374"/>
      <c r="DX379" s="374"/>
      <c r="DY379" s="450"/>
      <c r="DZ379" s="374">
        <f t="shared" si="190"/>
        <v>0</v>
      </c>
      <c r="EA379" s="216">
        <f t="shared" si="191"/>
        <v>0</v>
      </c>
      <c r="EB379" s="320">
        <f t="shared" si="192"/>
        <v>0</v>
      </c>
      <c r="EC379" s="241">
        <f t="shared" si="193"/>
        <v>0</v>
      </c>
      <c r="ED379" s="241">
        <f t="shared" si="194"/>
        <v>0</v>
      </c>
      <c r="EE379" s="241">
        <f t="shared" si="195"/>
        <v>0</v>
      </c>
      <c r="EF379" s="241">
        <f t="shared" si="196"/>
        <v>186</v>
      </c>
      <c r="EG379" s="346">
        <f t="shared" si="197"/>
        <v>186</v>
      </c>
      <c r="EH379" s="445">
        <f t="shared" si="198"/>
        <v>0</v>
      </c>
      <c r="EI379" s="447">
        <f t="shared" si="199"/>
        <v>0</v>
      </c>
      <c r="EJ379" s="364">
        <f t="shared" si="200"/>
        <v>0</v>
      </c>
      <c r="EK379" s="365">
        <f t="shared" si="201"/>
        <v>186</v>
      </c>
      <c r="EL379" s="529">
        <f t="shared" si="202"/>
        <v>250</v>
      </c>
      <c r="EM379" s="530">
        <v>0</v>
      </c>
      <c r="EN379" s="530">
        <v>0</v>
      </c>
      <c r="EO379" s="530">
        <v>0</v>
      </c>
      <c r="EP379" s="530">
        <v>0</v>
      </c>
      <c r="EQ379" s="530">
        <v>0</v>
      </c>
      <c r="ER379" s="530">
        <v>0</v>
      </c>
      <c r="ES379" s="530">
        <v>0</v>
      </c>
      <c r="ET379" s="530">
        <v>0</v>
      </c>
      <c r="EU379" s="530">
        <v>0</v>
      </c>
      <c r="EV379" s="530">
        <v>0</v>
      </c>
      <c r="EW379" s="530">
        <v>0</v>
      </c>
      <c r="EX379" s="530">
        <v>250</v>
      </c>
      <c r="EY379" s="530">
        <f t="shared" si="203"/>
        <v>0</v>
      </c>
      <c r="EZ379" s="530">
        <f t="shared" si="204"/>
        <v>0</v>
      </c>
      <c r="FA379" s="530">
        <f t="shared" si="205"/>
        <v>0</v>
      </c>
      <c r="FB379" s="530">
        <f t="shared" si="206"/>
        <v>250</v>
      </c>
      <c r="FC379" s="384">
        <f>IFERROR(VLOOKUP(Capex!A377,BASE_558!D:R,8,FALSE)/1000,"")</f>
        <v>0</v>
      </c>
      <c r="FD379" s="328">
        <f>IFERROR(VLOOKUP(Capex!A377,BASE_558!D:R,9,)/1000,"")</f>
        <v>0</v>
      </c>
      <c r="FE379" s="328">
        <f>IFERROR(IF(LEFT(A379,3)="LCP",(VLOOKUP(Capex!A377,BASE_558!D:R,10,)/1000),SUMIFS('BASE ICP_PO_SC'!F:F,'BASE ICP_PO_SC'!A:A,Capex!A377,'BASE ICP_PO_SC'!E:E,"&lt;&gt;")/1000),"")</f>
        <v>0</v>
      </c>
      <c r="FF379" s="328">
        <f>IFERROR(IF(LEFT(A379,3)="LCP",(VLOOKUP(Capex!A377,BASE_558!D:R,11,)/1000),SUMIFS('BASE ICP_PO_SC'!F:F,'BASE ICP_PO_SC'!A:A,Capex!A377,'BASE ICP_PO_SC'!E:E,"")/1000),"")</f>
        <v>0</v>
      </c>
      <c r="FG379" s="328">
        <f>IFERROR(VLOOKUP(A379,BASE_558!D:R,13,FALSE)/1000,"")</f>
        <v>170.76824999999999</v>
      </c>
      <c r="FH379" s="328">
        <f>IFERROR(VLOOKUP(A379,BASE_558!D:R,15,FALSE)/1000,"")</f>
        <v>113.45675</v>
      </c>
      <c r="FI379" s="547">
        <f t="shared" si="207"/>
        <v>0</v>
      </c>
      <c r="FJ379" s="547">
        <f t="shared" si="208"/>
        <v>0</v>
      </c>
      <c r="FK379" s="540">
        <f t="shared" si="209"/>
        <v>64</v>
      </c>
    </row>
    <row r="380" spans="1:167" s="23" customFormat="1" ht="24" customHeight="1">
      <c r="A380" s="410" t="s">
        <v>2413</v>
      </c>
      <c r="B380" s="404" t="s">
        <v>2568</v>
      </c>
      <c r="C380" s="404">
        <v>171</v>
      </c>
      <c r="D380" s="338" t="s">
        <v>2645</v>
      </c>
      <c r="E380" s="309">
        <v>7693920</v>
      </c>
      <c r="F380" s="5" t="s">
        <v>609</v>
      </c>
      <c r="G380" s="310" t="s">
        <v>9</v>
      </c>
      <c r="H380" s="356" t="s">
        <v>6</v>
      </c>
      <c r="I380" s="356"/>
      <c r="J380" s="356">
        <v>2023</v>
      </c>
      <c r="K380" s="352">
        <v>45280</v>
      </c>
      <c r="L380" s="350"/>
      <c r="M380" s="409"/>
      <c r="N380" s="317">
        <f t="shared" si="217"/>
        <v>46192</v>
      </c>
      <c r="O380" s="317">
        <f t="shared" si="218"/>
        <v>46557</v>
      </c>
      <c r="P380" s="418" t="str">
        <f t="shared" si="221"/>
        <v>NÃO</v>
      </c>
      <c r="Q380" s="418" t="str">
        <f t="shared" si="221"/>
        <v>NÃO</v>
      </c>
      <c r="R380" s="418" t="str">
        <f t="shared" si="221"/>
        <v>NÃO</v>
      </c>
      <c r="S380" s="418" t="str">
        <f t="shared" si="221"/>
        <v>NÃO</v>
      </c>
      <c r="T380" s="418" t="str">
        <f t="shared" si="221"/>
        <v>NÃO</v>
      </c>
      <c r="U380" s="418" t="str">
        <f t="shared" si="221"/>
        <v>NÃO</v>
      </c>
      <c r="V380" s="418" t="str">
        <f t="shared" si="221"/>
        <v>NÃO</v>
      </c>
      <c r="W380" s="418" t="str">
        <f t="shared" si="221"/>
        <v>NÃO</v>
      </c>
      <c r="X380" s="418" t="str">
        <f t="shared" si="221"/>
        <v>NÃO</v>
      </c>
      <c r="Y380" s="418" t="str">
        <f t="shared" si="221"/>
        <v>NÃO</v>
      </c>
      <c r="Z380" s="418" t="str">
        <f t="shared" si="221"/>
        <v>NÃO</v>
      </c>
      <c r="AA380" s="418" t="str">
        <f t="shared" si="221"/>
        <v>NÃO</v>
      </c>
      <c r="AB380" s="350"/>
      <c r="AC380" s="309" t="s">
        <v>3932</v>
      </c>
      <c r="AD380" s="311" t="s">
        <v>224</v>
      </c>
      <c r="AE380" s="392" t="s">
        <v>965</v>
      </c>
      <c r="AF380" s="310" t="s">
        <v>6985</v>
      </c>
      <c r="AG380" s="310" t="s">
        <v>2259</v>
      </c>
      <c r="AH380" s="310" t="s">
        <v>6963</v>
      </c>
      <c r="AI380" s="381" t="s">
        <v>186</v>
      </c>
      <c r="AJ380" s="6" t="s">
        <v>6786</v>
      </c>
      <c r="AK380" s="6" t="str">
        <f t="shared" si="187"/>
        <v>IGUAL</v>
      </c>
      <c r="AL380" s="151" t="str">
        <f>IFERROR(IF(LEFT(A380,3)="LCP",VLOOKUP(A380,STATUS_SAP_LCP!B:C,2,FALSE),VLOOKUP(A380,STATUS_SAP_ICP!B:C,2,FALSE)),"NO BUDGET")</f>
        <v>REL  BUDG AUC   //  APPR BREL INPL</v>
      </c>
      <c r="AM380" s="6" t="str">
        <f t="shared" si="185"/>
        <v xml:space="preserve">REL </v>
      </c>
      <c r="AN380" s="414" t="s">
        <v>17709</v>
      </c>
      <c r="AO380" s="414"/>
      <c r="AP380" s="499" t="s">
        <v>9616</v>
      </c>
      <c r="AQ380" s="465">
        <v>46357</v>
      </c>
      <c r="AR380" s="460"/>
      <c r="AS380" s="57"/>
      <c r="AT380" s="185"/>
      <c r="AU380" s="318"/>
      <c r="AV380" s="223"/>
      <c r="AW380" s="318">
        <v>0</v>
      </c>
      <c r="AX380" s="223">
        <v>1509.8847400000004</v>
      </c>
      <c r="AY380" s="318">
        <f t="shared" si="214"/>
        <v>937.52965999999992</v>
      </c>
      <c r="AZ380" s="223"/>
      <c r="BA380" s="318"/>
      <c r="BB380" s="519">
        <f t="shared" si="219"/>
        <v>800</v>
      </c>
      <c r="BC380" s="518">
        <v>316</v>
      </c>
      <c r="BD380" s="518">
        <v>384</v>
      </c>
      <c r="BE380" s="518">
        <v>0</v>
      </c>
      <c r="BF380" s="518">
        <v>0</v>
      </c>
      <c r="BG380" s="518">
        <v>0</v>
      </c>
      <c r="BH380" s="518">
        <v>0</v>
      </c>
      <c r="BI380" s="518">
        <v>0</v>
      </c>
      <c r="BJ380" s="518">
        <v>0</v>
      </c>
      <c r="BK380" s="518">
        <v>0</v>
      </c>
      <c r="BL380" s="518">
        <v>0</v>
      </c>
      <c r="BM380" s="518">
        <v>50</v>
      </c>
      <c r="BN380" s="518">
        <v>50</v>
      </c>
      <c r="BO380" s="367">
        <f t="shared" si="188"/>
        <v>937.52965999999992</v>
      </c>
      <c r="BP380" s="421">
        <v>316</v>
      </c>
      <c r="BQ380" s="422">
        <v>95.12157000000002</v>
      </c>
      <c r="BR380" s="423">
        <f>IFERROR(IF(LEFT($A380,3)="Lcp",SUMIFS('BASE-LCP'!$K:$K,'BASE-LCP'!$A:$A,Capex!$A348,'BASE-LCP'!$B:$B,"janeiro")/1000,IF(LEFT($A380,3)="icp",SUMIFS('BASE-ICP'!$K:$K,'BASE-ICP'!$A:$A,Capex!$A348,'BASE-ICP'!$B:$B,"janeiro")/1000,"")),"")</f>
        <v>0</v>
      </c>
      <c r="BS380" s="427">
        <v>95.121570000000006</v>
      </c>
      <c r="BT380" s="372">
        <v>215.8</v>
      </c>
      <c r="BU380" s="422">
        <v>615.61711000000003</v>
      </c>
      <c r="BV380" s="423">
        <f>IFERROR(IF(LEFT($A380,3)="Lcp",SUMIFS('BASE-LCP'!$K:$K,'BASE-LCP'!$A:$A,Capex!$A348,'BASE-LCP'!$B:$B,"fevereiro")/1000,IF(LEFT($A380,3)="icp",SUMIFS('BASE-ICP'!$K:$K,'BASE-ICP'!$A:$A,Capex!$A348,'BASE-ICP'!$B:$B,"fevereiro")/1000,"")),"")</f>
        <v>0</v>
      </c>
      <c r="BW380" s="427">
        <v>615.6171099999998</v>
      </c>
      <c r="BX380" s="372">
        <v>22</v>
      </c>
      <c r="BY380" s="419">
        <v>64.034400000000005</v>
      </c>
      <c r="BZ380" s="423">
        <f>IFERROR(IF(LEFT($A380,3)="Lcp",SUMIFS('BASE-LCP'!$K:$K,'BASE-LCP'!$A:$A,Capex!$A348,'BASE-LCP'!$B:$B,"março")/1000,IF(LEFT($A380,3)="icp",SUMIFS('BASE-ICP'!$K:$K,'BASE-ICP'!$A:$A,Capex!$A348,'BASE-ICP'!$B:$B,"março")/1000,"")),"")</f>
        <v>0</v>
      </c>
      <c r="CA380" s="427">
        <v>64.034400000000005</v>
      </c>
      <c r="CB380" s="372">
        <v>23</v>
      </c>
      <c r="CC380" s="422">
        <v>18.556579999999997</v>
      </c>
      <c r="CD380" s="423">
        <f>IFERROR(IF(LEFT($A380,3)="Lcp",SUMIFS('BASE-LCP'!$K:$K,'BASE-LCP'!$A:$A,Capex!$A348,'BASE-LCP'!$B:$B,"abril")/1000,IF(LEFT($A380,3)="icp",SUMIFS('BASE-ICP'!$K:$K,'BASE-ICP'!$A:$A,Capex!$A348,'BASE-ICP'!$B:$B,"abril")/1000,"")),"")</f>
        <v>0</v>
      </c>
      <c r="CE380" s="427">
        <v>18.55658</v>
      </c>
      <c r="CF380" s="372"/>
      <c r="CG380" s="419"/>
      <c r="CH380" s="423">
        <v>0</v>
      </c>
      <c r="CI380" s="427"/>
      <c r="CJ380" s="372">
        <v>1.2</v>
      </c>
      <c r="CK380" s="419"/>
      <c r="CL380" s="423">
        <f>IFERROR(IF(LEFT($A380,3)="Lcp",SUMIFS('BASE-LCP'!$K:$K,'BASE-LCP'!$A:$A,Capex!$A348,'BASE-LCP'!$B:$B,"junho")/1000,IF(LEFT($A380,3)="icp",SUMIFS('BASE-ICP'!$K:$K,'BASE-ICP'!$A:$A,Capex!$A348,'BASE-ICP'!$B:$B,"junho")/1000,"")),"")</f>
        <v>0</v>
      </c>
      <c r="CM380" s="427">
        <v>0</v>
      </c>
      <c r="CN380" s="372"/>
      <c r="CO380" s="419"/>
      <c r="CP380" s="423">
        <f>IFERROR(IF(LEFT($A380,3)="Lcp",SUMIFS('BASE-LCP'!$K:$K,'BASE-LCP'!$A:$A,Capex!$A348,'BASE-LCP'!$B:$B,"julho")/1000,IF(LEFT($A380,3)="icp",SUMIFS('BASE-ICP'!$K:$K,'BASE-ICP'!$A:$A,Capex!$A348,'BASE-ICP'!$B:$B,"julho")/1000,"")),"")</f>
        <v>0</v>
      </c>
      <c r="CQ380" s="427">
        <f>40*0.9+1.2</f>
        <v>37.200000000000003</v>
      </c>
      <c r="CR380" s="372"/>
      <c r="CS380" s="419"/>
      <c r="CT380" s="423">
        <f>IFERROR(IF(LEFT($A380,3)="Lcp",SUMIFS('BASE-LCP'!$K:$K,'BASE-LCP'!$A:$A,Capex!$A348,'BASE-LCP'!$B:$B,"agosto")/1000,IF(LEFT($A380,3)="icp",SUMIFS('BASE-ICP'!$K:$K,'BASE-ICP'!$A:$A,Capex!$A348,'BASE-ICP'!$B:$B,"agosto")/1000,"")),"")</f>
        <v>0</v>
      </c>
      <c r="CU380" s="427">
        <v>0</v>
      </c>
      <c r="CV380" s="372"/>
      <c r="CW380" s="419"/>
      <c r="CX380" s="423">
        <f>IFERROR(IF(LEFT($A380,3)="Lcp",SUMIFS('BASE-LCP'!$K:$K,'BASE-LCP'!$A:$A,Capex!$A348,'BASE-LCP'!$B:$B,"setembro")/1000,IF(LEFT($A380,3)="icp",SUMIFS('BASE-ICP'!$K:$K,'BASE-ICP'!$A:$A,Capex!$A348,'BASE-ICP'!$B:$B,"setembro")/1000,"")),"")</f>
        <v>0</v>
      </c>
      <c r="CY380" s="427">
        <f>40+14</f>
        <v>54</v>
      </c>
      <c r="CZ380" s="372"/>
      <c r="DA380" s="419"/>
      <c r="DB380" s="423">
        <f>IFERROR(IF(LEFT($A380,3)="Lcp",SUMIFS('BASE-LCP'!$K:$K,'BASE-LCP'!$A:$A,Capex!$A348,'BASE-LCP'!$B:$B,"outubro")/1000,IF(LEFT($A380,3)="icp",SUMIFS('BASE-ICP'!$K:$K,'BASE-ICP'!$A:$A,Capex!$A348,'BASE-ICP'!$B:$B,"outubro")/1000,"")),"")</f>
        <v>0</v>
      </c>
      <c r="DC380" s="427">
        <v>0</v>
      </c>
      <c r="DD380" s="372"/>
      <c r="DE380" s="419"/>
      <c r="DF380" s="423">
        <f>IFERROR(IF(LEFT($A380,3)="Lcp",SUMIFS('BASE-LCP'!$K:$K,'BASE-LCP'!$A:$A,Capex!$A348,'BASE-LCP'!$B:$B,"novembro")/1000,IF(LEFT($A380,3)="icp",SUMIFS('BASE-ICP'!$K:$K,'BASE-ICP'!$A:$A,Capex!$A348,'BASE-ICP'!$B:$B,"novembro")/1000,"")),"")</f>
        <v>0</v>
      </c>
      <c r="DG380" s="427">
        <f>40+13</f>
        <v>53</v>
      </c>
      <c r="DH380" s="372"/>
      <c r="DI380" s="419"/>
      <c r="DJ380" s="423">
        <f>IFERROR(IF(LEFT($A380,3)="Lcp",SUMIFS('BASE-LCP'!$K:$K,'BASE-LCP'!$A:$A,Capex!$A348,'BASE-LCP'!$B:$B,"dezembro")/1000,IF(LEFT($A380,3)="icp",SUMIFS('BASE-ICP'!$K:$K,'BASE-ICP'!$A:$A,Capex!$A348,'BASE-ICP'!$B:$B,"dezembro")/1000,"")),"")</f>
        <v>0</v>
      </c>
      <c r="DK380" s="427">
        <v>0</v>
      </c>
      <c r="DL380" s="452">
        <f t="shared" si="189"/>
        <v>750</v>
      </c>
      <c r="DM380" s="374"/>
      <c r="DN380" s="374">
        <v>750</v>
      </c>
      <c r="DO380" s="374"/>
      <c r="DP380" s="374"/>
      <c r="DQ380" s="374"/>
      <c r="DR380" s="374"/>
      <c r="DS380" s="374"/>
      <c r="DT380" s="374"/>
      <c r="DU380" s="374"/>
      <c r="DV380" s="374"/>
      <c r="DW380" s="374"/>
      <c r="DX380" s="374"/>
      <c r="DY380" s="450"/>
      <c r="DZ380" s="374">
        <f t="shared" si="190"/>
        <v>750</v>
      </c>
      <c r="EA380" s="216">
        <f t="shared" si="191"/>
        <v>-1.2</v>
      </c>
      <c r="EB380" s="320">
        <f t="shared" si="192"/>
        <v>0</v>
      </c>
      <c r="EC380" s="241">
        <f t="shared" si="193"/>
        <v>774.77307999999982</v>
      </c>
      <c r="ED380" s="241">
        <f t="shared" si="194"/>
        <v>18.55658</v>
      </c>
      <c r="EE380" s="241">
        <f t="shared" si="195"/>
        <v>91.2</v>
      </c>
      <c r="EF380" s="241">
        <f t="shared" si="196"/>
        <v>53</v>
      </c>
      <c r="EG380" s="346">
        <f t="shared" si="197"/>
        <v>137.52965999999992</v>
      </c>
      <c r="EH380" s="445">
        <f t="shared" si="198"/>
        <v>0</v>
      </c>
      <c r="EI380" s="447">
        <f t="shared" si="199"/>
        <v>0</v>
      </c>
      <c r="EJ380" s="364">
        <f t="shared" si="200"/>
        <v>793.32965999999988</v>
      </c>
      <c r="EK380" s="365">
        <f t="shared" si="201"/>
        <v>144.20000000000005</v>
      </c>
      <c r="EL380" s="529">
        <f t="shared" si="202"/>
        <v>937.52965999999992</v>
      </c>
      <c r="EM380" s="530">
        <v>95.121570000000006</v>
      </c>
      <c r="EN380" s="530">
        <v>615.6171099999998</v>
      </c>
      <c r="EO380" s="530">
        <v>64.034400000000005</v>
      </c>
      <c r="EP380" s="530">
        <v>18.55658</v>
      </c>
      <c r="EQ380" s="530">
        <v>0</v>
      </c>
      <c r="ER380" s="530">
        <v>1.2</v>
      </c>
      <c r="ES380" s="530">
        <v>36</v>
      </c>
      <c r="ET380" s="530">
        <v>54</v>
      </c>
      <c r="EU380" s="530">
        <v>0</v>
      </c>
      <c r="EV380" s="530">
        <v>53</v>
      </c>
      <c r="EW380" s="530">
        <v>0</v>
      </c>
      <c r="EX380" s="530">
        <v>0</v>
      </c>
      <c r="EY380" s="530">
        <f t="shared" si="203"/>
        <v>774.77307999999982</v>
      </c>
      <c r="EZ380" s="530">
        <f t="shared" si="204"/>
        <v>19.75658</v>
      </c>
      <c r="FA380" s="530">
        <f t="shared" si="205"/>
        <v>90</v>
      </c>
      <c r="FB380" s="530">
        <f t="shared" si="206"/>
        <v>53</v>
      </c>
      <c r="FC380" s="384">
        <f>IFERROR(VLOOKUP(Capex!A348,BASE_558!D:R,8,FALSE)/1000,"")</f>
        <v>54.65</v>
      </c>
      <c r="FD380" s="328">
        <f>IFERROR(VLOOKUP(Capex!A348,BASE_558!D:R,9,)/1000,"")</f>
        <v>53.535170000000001</v>
      </c>
      <c r="FE380" s="328">
        <f>IFERROR(IF(LEFT(A380,3)="LCP",(VLOOKUP(Capex!A348,BASE_558!D:R,10,)/1000),SUMIFS('BASE ICP_PO_SC'!F:F,'BASE ICP_PO_SC'!A:A,Capex!A348,'BASE ICP_PO_SC'!E:E,"&lt;&gt;")/1000),"")</f>
        <v>0</v>
      </c>
      <c r="FF380" s="328">
        <f>IFERROR(IF(LEFT(A380,3)="LCP",(VLOOKUP(Capex!A348,BASE_558!D:R,11,)/1000),SUMIFS('BASE ICP_PO_SC'!F:F,'BASE ICP_PO_SC'!A:A,Capex!A348,'BASE ICP_PO_SC'!E:E,"")/1000),"")</f>
        <v>0</v>
      </c>
      <c r="FG380" s="328">
        <f>IFERROR(VLOOKUP(A380,BASE_558!D:R,13,FALSE)/1000,"")</f>
        <v>3222.3630400000002</v>
      </c>
      <c r="FH380" s="328">
        <f>IFERROR(VLOOKUP(A380,BASE_558!D:R,15,FALSE)/1000,"")</f>
        <v>-43.939039999999999</v>
      </c>
      <c r="FI380" s="547">
        <f t="shared" si="207"/>
        <v>1.1999999999999993</v>
      </c>
      <c r="FJ380" s="547">
        <f t="shared" si="208"/>
        <v>-1.2000000000000028</v>
      </c>
      <c r="FK380" s="540">
        <f t="shared" si="209"/>
        <v>0</v>
      </c>
    </row>
    <row r="381" spans="1:167" s="23" customFormat="1" ht="24" customHeight="1">
      <c r="A381" s="309" t="s">
        <v>2557</v>
      </c>
      <c r="B381" s="404"/>
      <c r="C381" s="404"/>
      <c r="D381" s="338"/>
      <c r="E381" s="309">
        <v>8501256</v>
      </c>
      <c r="F381" s="5"/>
      <c r="G381" s="310" t="s">
        <v>9</v>
      </c>
      <c r="H381" s="456"/>
      <c r="I381" s="356"/>
      <c r="J381" s="356">
        <v>2024</v>
      </c>
      <c r="K381" s="352">
        <v>45379</v>
      </c>
      <c r="L381" s="350"/>
      <c r="M381" s="409"/>
      <c r="N381" s="317">
        <f t="shared" si="217"/>
        <v>46291</v>
      </c>
      <c r="O381" s="317">
        <f t="shared" si="218"/>
        <v>46656</v>
      </c>
      <c r="P381" s="418" t="str">
        <f t="shared" si="221"/>
        <v>NÃO</v>
      </c>
      <c r="Q381" s="418" t="str">
        <f t="shared" si="221"/>
        <v>NÃO</v>
      </c>
      <c r="R381" s="418" t="str">
        <f t="shared" si="221"/>
        <v>NÃO</v>
      </c>
      <c r="S381" s="418" t="str">
        <f t="shared" si="221"/>
        <v>NÃO</v>
      </c>
      <c r="T381" s="418" t="str">
        <f t="shared" si="221"/>
        <v>NÃO</v>
      </c>
      <c r="U381" s="418" t="str">
        <f t="shared" si="221"/>
        <v>NÃO</v>
      </c>
      <c r="V381" s="418" t="str">
        <f t="shared" si="221"/>
        <v>NÃO</v>
      </c>
      <c r="W381" s="418" t="str">
        <f t="shared" si="221"/>
        <v>NÃO</v>
      </c>
      <c r="X381" s="418" t="str">
        <f t="shared" si="221"/>
        <v>NÃO</v>
      </c>
      <c r="Y381" s="418" t="str">
        <f t="shared" si="221"/>
        <v>NÃO</v>
      </c>
      <c r="Z381" s="418" t="str">
        <f t="shared" si="221"/>
        <v>NÃO</v>
      </c>
      <c r="AA381" s="418" t="str">
        <f t="shared" si="221"/>
        <v>NÃO</v>
      </c>
      <c r="AB381" s="350"/>
      <c r="AC381" s="309" t="s">
        <v>3932</v>
      </c>
      <c r="AD381" s="311" t="s">
        <v>223</v>
      </c>
      <c r="AE381" s="392" t="s">
        <v>980</v>
      </c>
      <c r="AF381" s="310" t="s">
        <v>6985</v>
      </c>
      <c r="AG381" s="310" t="s">
        <v>9603</v>
      </c>
      <c r="AH381" s="309" t="s">
        <v>2564</v>
      </c>
      <c r="AI381" s="381" t="s">
        <v>2255</v>
      </c>
      <c r="AJ381" s="6" t="s">
        <v>6786</v>
      </c>
      <c r="AK381" s="6" t="str">
        <f t="shared" si="187"/>
        <v>IGUAL</v>
      </c>
      <c r="AL381" s="151" t="str">
        <f>IFERROR(IF(LEFT(A381,3)="LCP",VLOOKUP(A381,STATUS_SAP_LCP!B:C,2,FALSE),VLOOKUP(A381,STATUS_SAP_ICP!B:C,2,FALSE)),"NO BUDGET")</f>
        <v>REL  BUDG AUC  AVAC  //  APPR BREL EXPL</v>
      </c>
      <c r="AM381" s="6" t="str">
        <f t="shared" si="185"/>
        <v xml:space="preserve">REL </v>
      </c>
      <c r="AN381" s="545" t="s">
        <v>3814</v>
      </c>
      <c r="AO381" s="545"/>
      <c r="AP381" s="499" t="s">
        <v>5299</v>
      </c>
      <c r="AQ381" s="465">
        <v>45809</v>
      </c>
      <c r="AR381" s="460"/>
      <c r="AS381" s="57"/>
      <c r="AT381" s="185"/>
      <c r="AU381" s="318"/>
      <c r="AV381" s="223"/>
      <c r="AW381" s="318"/>
      <c r="AX381" s="223">
        <v>191.95329000000004</v>
      </c>
      <c r="AY381" s="318">
        <f t="shared" si="214"/>
        <v>242.09796000000003</v>
      </c>
      <c r="AZ381" s="223"/>
      <c r="BA381" s="318"/>
      <c r="BB381" s="519">
        <f t="shared" si="219"/>
        <v>360.4</v>
      </c>
      <c r="BC381" s="518">
        <v>87</v>
      </c>
      <c r="BD381" s="518">
        <v>10.5</v>
      </c>
      <c r="BE381" s="518">
        <v>107.9</v>
      </c>
      <c r="BF381" s="518">
        <v>110</v>
      </c>
      <c r="BG381" s="518">
        <v>45</v>
      </c>
      <c r="BH381" s="518">
        <v>0</v>
      </c>
      <c r="BI381" s="518">
        <v>0</v>
      </c>
      <c r="BJ381" s="518">
        <v>0</v>
      </c>
      <c r="BK381" s="518">
        <v>0</v>
      </c>
      <c r="BL381" s="518">
        <v>0</v>
      </c>
      <c r="BM381" s="518">
        <v>0</v>
      </c>
      <c r="BN381" s="518">
        <v>0</v>
      </c>
      <c r="BO381" s="367">
        <f t="shared" si="188"/>
        <v>242.09796000000003</v>
      </c>
      <c r="BP381" s="421">
        <v>87</v>
      </c>
      <c r="BQ381" s="422">
        <v>107.92828</v>
      </c>
      <c r="BR381" s="423">
        <f>IFERROR(IF(LEFT($A381,3)="Lcp",SUMIFS('BASE-LCP'!$K:$K,'BASE-LCP'!$A:$A,Capex!$A353,'BASE-LCP'!$B:$B,"janeiro")/1000,IF(LEFT($A381,3)="icp",SUMIFS('BASE-ICP'!$K:$K,'BASE-ICP'!$A:$A,Capex!$A353,'BASE-ICP'!$B:$B,"janeiro")/1000,"")),"")</f>
        <v>0</v>
      </c>
      <c r="BS381" s="427">
        <v>107.92828000000002</v>
      </c>
      <c r="BT381" s="372">
        <v>16.299999999999997</v>
      </c>
      <c r="BU381" s="422">
        <v>9.9213500000000003</v>
      </c>
      <c r="BV381" s="423">
        <f>IFERROR(IF(LEFT($A381,3)="Lcp",SUMIFS('BASE-LCP'!$K:$K,'BASE-LCP'!$A:$A,Capex!$A353,'BASE-LCP'!$B:$B,"fevereiro")/1000,IF(LEFT($A381,3)="icp",SUMIFS('BASE-ICP'!$K:$K,'BASE-ICP'!$A:$A,Capex!$A353,'BASE-ICP'!$B:$B,"fevereiro")/1000,"")),"")</f>
        <v>0</v>
      </c>
      <c r="BW381" s="427">
        <v>9.9213500000000003</v>
      </c>
      <c r="BX381" s="372">
        <v>26.799999999999997</v>
      </c>
      <c r="BY381" s="419">
        <v>16.937100000000001</v>
      </c>
      <c r="BZ381" s="423">
        <f>IFERROR(IF(LEFT($A381,3)="Lcp",SUMIFS('BASE-LCP'!$K:$K,'BASE-LCP'!$A:$A,Capex!$A353,'BASE-LCP'!$B:$B,"março")/1000,IF(LEFT($A381,3)="icp",SUMIFS('BASE-ICP'!$K:$K,'BASE-ICP'!$A:$A,Capex!$A353,'BASE-ICP'!$B:$B,"março")/1000,"")),"")</f>
        <v>0</v>
      </c>
      <c r="CA381" s="427">
        <v>16.937100000000001</v>
      </c>
      <c r="CB381" s="372">
        <v>39.599999999999994</v>
      </c>
      <c r="CC381" s="422">
        <v>14.618729999999999</v>
      </c>
      <c r="CD381" s="423">
        <f>IFERROR(IF(LEFT($A381,3)="Lcp",SUMIFS('BASE-LCP'!$K:$K,'BASE-LCP'!$A:$A,Capex!$A353,'BASE-LCP'!$B:$B,"abril")/1000,IF(LEFT($A381,3)="icp",SUMIFS('BASE-ICP'!$K:$K,'BASE-ICP'!$A:$A,Capex!$A353,'BASE-ICP'!$B:$B,"abril")/1000,"")),"")</f>
        <v>0</v>
      </c>
      <c r="CE381" s="427">
        <v>14.618729999999999</v>
      </c>
      <c r="CF381" s="372">
        <v>84.9</v>
      </c>
      <c r="CG381" s="419">
        <v>75.322479999999985</v>
      </c>
      <c r="CH381" s="423">
        <v>75.322479999999999</v>
      </c>
      <c r="CI381" s="427">
        <v>75.322479999999999</v>
      </c>
      <c r="CJ381" s="372">
        <v>12.9</v>
      </c>
      <c r="CK381" s="419">
        <v>11.64002</v>
      </c>
      <c r="CL381" s="423">
        <f>IFERROR(IF(LEFT($A381,3)="Lcp",SUMIFS('BASE-LCP'!$K:$K,'BASE-LCP'!$A:$A,Capex!$A353,'BASE-LCP'!$B:$B,"junho")/1000,IF(LEFT($A381,3)="icp",SUMIFS('BASE-ICP'!$K:$K,'BASE-ICP'!$A:$A,Capex!$A353,'BASE-ICP'!$B:$B,"junho")/1000,"")),"")</f>
        <v>0</v>
      </c>
      <c r="CM381" s="427">
        <v>11.64002</v>
      </c>
      <c r="CN381" s="372"/>
      <c r="CO381" s="419"/>
      <c r="CP381" s="423">
        <f>IFERROR(IF(LEFT($A381,3)="Lcp",SUMIFS('BASE-LCP'!$K:$K,'BASE-LCP'!$A:$A,Capex!$A353,'BASE-LCP'!$B:$B,"julho")/1000,IF(LEFT($A381,3)="icp",SUMIFS('BASE-ICP'!$K:$K,'BASE-ICP'!$A:$A,Capex!$A353,'BASE-ICP'!$B:$B,"julho")/1000,"")),"")</f>
        <v>0</v>
      </c>
      <c r="CQ381" s="427">
        <v>5.73</v>
      </c>
      <c r="CR381" s="372"/>
      <c r="CS381" s="419"/>
      <c r="CT381" s="423">
        <f>IFERROR(IF(LEFT($A381,3)="Lcp",SUMIFS('BASE-LCP'!$K:$K,'BASE-LCP'!$A:$A,Capex!$A353,'BASE-LCP'!$B:$B,"agosto")/1000,IF(LEFT($A381,3)="icp",SUMIFS('BASE-ICP'!$K:$K,'BASE-ICP'!$A:$A,Capex!$A353,'BASE-ICP'!$B:$B,"agosto")/1000,"")),"")</f>
        <v>0</v>
      </c>
      <c r="CU381" s="427">
        <v>0</v>
      </c>
      <c r="CV381" s="372"/>
      <c r="CW381" s="419"/>
      <c r="CX381" s="423">
        <f>IFERROR(IF(LEFT($A381,3)="Lcp",SUMIFS('BASE-LCP'!$K:$K,'BASE-LCP'!$A:$A,Capex!$A353,'BASE-LCP'!$B:$B,"setembro")/1000,IF(LEFT($A381,3)="icp",SUMIFS('BASE-ICP'!$K:$K,'BASE-ICP'!$A:$A,Capex!$A353,'BASE-ICP'!$B:$B,"setembro")/1000,"")),"")</f>
        <v>0</v>
      </c>
      <c r="CY381" s="427">
        <v>0</v>
      </c>
      <c r="CZ381" s="372"/>
      <c r="DA381" s="419"/>
      <c r="DB381" s="423">
        <f>IFERROR(IF(LEFT($A381,3)="Lcp",SUMIFS('BASE-LCP'!$K:$K,'BASE-LCP'!$A:$A,Capex!$A353,'BASE-LCP'!$B:$B,"outubro")/1000,IF(LEFT($A381,3)="icp",SUMIFS('BASE-ICP'!$K:$K,'BASE-ICP'!$A:$A,Capex!$A353,'BASE-ICP'!$B:$B,"outubro")/1000,"")),"")</f>
        <v>0</v>
      </c>
      <c r="DC381" s="427">
        <v>0</v>
      </c>
      <c r="DD381" s="372"/>
      <c r="DE381" s="419"/>
      <c r="DF381" s="423">
        <f>IFERROR(IF(LEFT($A381,3)="Lcp",SUMIFS('BASE-LCP'!$K:$K,'BASE-LCP'!$A:$A,Capex!$A353,'BASE-LCP'!$B:$B,"novembro")/1000,IF(LEFT($A381,3)="icp",SUMIFS('BASE-ICP'!$K:$K,'BASE-ICP'!$A:$A,Capex!$A353,'BASE-ICP'!$B:$B,"novembro")/1000,"")),"")</f>
        <v>0</v>
      </c>
      <c r="DG381" s="427">
        <v>0</v>
      </c>
      <c r="DH381" s="372"/>
      <c r="DI381" s="419"/>
      <c r="DJ381" s="423">
        <f>IFERROR(IF(LEFT($A381,3)="Lcp",SUMIFS('BASE-LCP'!$K:$K,'BASE-LCP'!$A:$A,Capex!$A353,'BASE-LCP'!$B:$B,"dezembro")/1000,IF(LEFT($A381,3)="icp",SUMIFS('BASE-ICP'!$K:$K,'BASE-ICP'!$A:$A,Capex!$A353,'BASE-ICP'!$B:$B,"dezembro")/1000,"")),"")</f>
        <v>0</v>
      </c>
      <c r="DK381" s="427">
        <v>0</v>
      </c>
      <c r="DL381" s="452">
        <f t="shared" si="189"/>
        <v>0</v>
      </c>
      <c r="DM381" s="374"/>
      <c r="DN381" s="374">
        <v>0</v>
      </c>
      <c r="DO381" s="374"/>
      <c r="DP381" s="374"/>
      <c r="DQ381" s="374"/>
      <c r="DR381" s="374"/>
      <c r="DS381" s="374"/>
      <c r="DT381" s="374"/>
      <c r="DU381" s="374"/>
      <c r="DV381" s="374"/>
      <c r="DW381" s="374"/>
      <c r="DX381" s="374"/>
      <c r="DY381" s="450"/>
      <c r="DZ381" s="374">
        <f t="shared" si="190"/>
        <v>0</v>
      </c>
      <c r="EA381" s="216">
        <f t="shared" si="191"/>
        <v>-1.2599800000000005</v>
      </c>
      <c r="EB381" s="320">
        <f t="shared" si="192"/>
        <v>-11.64002</v>
      </c>
      <c r="EC381" s="241">
        <f t="shared" si="193"/>
        <v>134.78673000000003</v>
      </c>
      <c r="ED381" s="241">
        <f t="shared" si="194"/>
        <v>101.58123000000001</v>
      </c>
      <c r="EE381" s="241">
        <f t="shared" si="195"/>
        <v>5.73</v>
      </c>
      <c r="EF381" s="241">
        <f t="shared" si="196"/>
        <v>0</v>
      </c>
      <c r="EG381" s="346">
        <f t="shared" si="197"/>
        <v>-118.30203999999995</v>
      </c>
      <c r="EH381" s="445">
        <f t="shared" si="198"/>
        <v>84.9</v>
      </c>
      <c r="EI381" s="447">
        <f t="shared" si="199"/>
        <v>75.322479999999999</v>
      </c>
      <c r="EJ381" s="364">
        <f t="shared" si="200"/>
        <v>224.72794000000005</v>
      </c>
      <c r="EK381" s="365">
        <f t="shared" si="201"/>
        <v>17.370019999999982</v>
      </c>
      <c r="EL381" s="529">
        <f t="shared" si="202"/>
        <v>241.62794000000005</v>
      </c>
      <c r="EM381" s="530">
        <v>107.92828000000002</v>
      </c>
      <c r="EN381" s="530">
        <v>9.9213500000000003</v>
      </c>
      <c r="EO381" s="530">
        <v>16.937100000000001</v>
      </c>
      <c r="EP381" s="530">
        <v>14.618729999999999</v>
      </c>
      <c r="EQ381" s="530">
        <v>75.322479999999999</v>
      </c>
      <c r="ER381" s="530">
        <v>12.9</v>
      </c>
      <c r="ES381" s="530">
        <v>4</v>
      </c>
      <c r="ET381" s="530">
        <v>0</v>
      </c>
      <c r="EU381" s="530">
        <v>0</v>
      </c>
      <c r="EV381" s="530">
        <v>0</v>
      </c>
      <c r="EW381" s="530">
        <v>0</v>
      </c>
      <c r="EX381" s="530">
        <v>0</v>
      </c>
      <c r="EY381" s="530">
        <f t="shared" si="203"/>
        <v>134.78673000000003</v>
      </c>
      <c r="EZ381" s="530">
        <f t="shared" si="204"/>
        <v>102.84121</v>
      </c>
      <c r="FA381" s="530">
        <f t="shared" si="205"/>
        <v>4</v>
      </c>
      <c r="FB381" s="530">
        <f t="shared" si="206"/>
        <v>0</v>
      </c>
      <c r="FC381" s="384">
        <f>IFERROR(VLOOKUP(Capex!A353,BASE_558!D:R,8,FALSE)/1000,"")</f>
        <v>0</v>
      </c>
      <c r="FD381" s="328">
        <f>IFERROR(VLOOKUP(Capex!A353,BASE_558!D:R,9,)/1000,"")</f>
        <v>0</v>
      </c>
      <c r="FE381" s="328">
        <f>IFERROR(IF(LEFT(A381,3)="LCP",(VLOOKUP(Capex!A353,BASE_558!D:R,10,)/1000),SUMIFS('BASE ICP_PO_SC'!F:F,'BASE ICP_PO_SC'!A:A,Capex!A353,'BASE ICP_PO_SC'!E:E,"&lt;&gt;")/1000),"")</f>
        <v>0</v>
      </c>
      <c r="FF381" s="328">
        <f>IFERROR(IF(LEFT(A381,3)="LCP",(VLOOKUP(Capex!A353,BASE_558!D:R,11,)/1000),SUMIFS('BASE ICP_PO_SC'!F:F,'BASE ICP_PO_SC'!A:A,Capex!A353,'BASE ICP_PO_SC'!E:E,"")/1000),"")</f>
        <v>0</v>
      </c>
      <c r="FG381" s="328">
        <f>IFERROR(VLOOKUP(A381,BASE_558!D:R,13,FALSE)/1000,"")</f>
        <v>435.05311</v>
      </c>
      <c r="FH381" s="328">
        <f>IFERROR(VLOOKUP(A381,BASE_558!D:R,15,FALSE)/1000,"")</f>
        <v>464.94689</v>
      </c>
      <c r="FI381" s="547">
        <f t="shared" si="207"/>
        <v>1.2599799999999988</v>
      </c>
      <c r="FJ381" s="547">
        <f t="shared" si="208"/>
        <v>-1.7300000000000004</v>
      </c>
      <c r="FK381" s="540">
        <f t="shared" si="209"/>
        <v>0</v>
      </c>
    </row>
    <row r="382" spans="1:167" s="23" customFormat="1" ht="24" customHeight="1">
      <c r="A382" s="310" t="s">
        <v>2390</v>
      </c>
      <c r="B382" s="404"/>
      <c r="C382" s="404"/>
      <c r="D382" s="338" t="s">
        <v>2702</v>
      </c>
      <c r="E382" s="378">
        <v>7204417</v>
      </c>
      <c r="F382" s="5" t="s">
        <v>609</v>
      </c>
      <c r="G382" s="310" t="s">
        <v>9</v>
      </c>
      <c r="H382" s="356" t="s">
        <v>6</v>
      </c>
      <c r="I382" s="356"/>
      <c r="J382" s="356">
        <v>2023</v>
      </c>
      <c r="K382" s="352">
        <v>45177</v>
      </c>
      <c r="L382" s="350"/>
      <c r="M382" s="409"/>
      <c r="N382" s="317">
        <f t="shared" si="217"/>
        <v>46089</v>
      </c>
      <c r="O382" s="317">
        <f t="shared" si="218"/>
        <v>46454</v>
      </c>
      <c r="P382" s="418" t="str">
        <f t="shared" si="221"/>
        <v>NÃO</v>
      </c>
      <c r="Q382" s="418" t="str">
        <f t="shared" si="221"/>
        <v>NÃO</v>
      </c>
      <c r="R382" s="418" t="str">
        <f t="shared" si="221"/>
        <v>NÃO</v>
      </c>
      <c r="S382" s="418" t="str">
        <f t="shared" si="221"/>
        <v>NÃO</v>
      </c>
      <c r="T382" s="418" t="str">
        <f t="shared" si="221"/>
        <v>NÃO</v>
      </c>
      <c r="U382" s="418" t="str">
        <f t="shared" si="221"/>
        <v>NÃO</v>
      </c>
      <c r="V382" s="418" t="str">
        <f t="shared" si="221"/>
        <v>NÃO</v>
      </c>
      <c r="W382" s="418" t="str">
        <f t="shared" si="221"/>
        <v>NÃO</v>
      </c>
      <c r="X382" s="418" t="str">
        <f t="shared" si="221"/>
        <v>NÃO</v>
      </c>
      <c r="Y382" s="418" t="str">
        <f t="shared" si="221"/>
        <v>NÃO</v>
      </c>
      <c r="Z382" s="418" t="str">
        <f t="shared" si="221"/>
        <v>NÃO</v>
      </c>
      <c r="AA382" s="418" t="str">
        <f t="shared" si="221"/>
        <v>NÃO</v>
      </c>
      <c r="AB382" s="350"/>
      <c r="AC382" s="309" t="s">
        <v>3932</v>
      </c>
      <c r="AD382" s="311" t="s">
        <v>5</v>
      </c>
      <c r="AE382" s="382" t="s">
        <v>961</v>
      </c>
      <c r="AF382" s="310" t="s">
        <v>6985</v>
      </c>
      <c r="AG382" s="310" t="s">
        <v>2259</v>
      </c>
      <c r="AH382" s="310" t="s">
        <v>6969</v>
      </c>
      <c r="AI382" s="381" t="s">
        <v>186</v>
      </c>
      <c r="AJ382" s="6" t="s">
        <v>6786</v>
      </c>
      <c r="AK382" s="6" t="str">
        <f t="shared" si="187"/>
        <v>IGUAL</v>
      </c>
      <c r="AL382" s="151" t="str">
        <f>IFERROR(IF(LEFT(A382,3)="LCP",VLOOKUP(A382,STATUS_SAP_LCP!B:C,2,FALSE),VLOOKUP(A382,STATUS_SAP_ICP!B:C,2,FALSE)),"NO BUDGET")</f>
        <v>REL  BUDG AUC  AVAC  //  APPR BREL EXPL</v>
      </c>
      <c r="AM382" s="6" t="str">
        <f t="shared" si="185"/>
        <v xml:space="preserve">REL </v>
      </c>
      <c r="AN382" s="414" t="s">
        <v>16151</v>
      </c>
      <c r="AO382" s="414"/>
      <c r="AP382" s="499" t="s">
        <v>5299</v>
      </c>
      <c r="AQ382" s="465">
        <v>45992</v>
      </c>
      <c r="AR382" s="460"/>
      <c r="AS382" s="57"/>
      <c r="AT382" s="185"/>
      <c r="AU382" s="318"/>
      <c r="AV382" s="223"/>
      <c r="AW382" s="318">
        <v>11.028689999999999</v>
      </c>
      <c r="AX382" s="223">
        <v>53.39517</v>
      </c>
      <c r="AY382" s="318">
        <f t="shared" si="214"/>
        <v>346.29037</v>
      </c>
      <c r="AZ382" s="223"/>
      <c r="BA382" s="318"/>
      <c r="BB382" s="519">
        <f t="shared" si="219"/>
        <v>202.6</v>
      </c>
      <c r="BC382" s="518">
        <v>81.599999999999994</v>
      </c>
      <c r="BD382" s="518">
        <v>0</v>
      </c>
      <c r="BE382" s="518">
        <v>0</v>
      </c>
      <c r="BF382" s="518">
        <v>0</v>
      </c>
      <c r="BG382" s="518">
        <v>0</v>
      </c>
      <c r="BH382" s="518">
        <v>0</v>
      </c>
      <c r="BI382" s="518">
        <v>0</v>
      </c>
      <c r="BJ382" s="518">
        <v>0</v>
      </c>
      <c r="BK382" s="518">
        <v>0</v>
      </c>
      <c r="BL382" s="518">
        <v>31</v>
      </c>
      <c r="BM382" s="518">
        <v>53</v>
      </c>
      <c r="BN382" s="518">
        <v>37</v>
      </c>
      <c r="BO382" s="367">
        <f t="shared" si="188"/>
        <v>346.29037</v>
      </c>
      <c r="BP382" s="421">
        <v>81.599999999999994</v>
      </c>
      <c r="BQ382" s="422">
        <v>21.154540000000001</v>
      </c>
      <c r="BR382" s="423">
        <f>IFERROR(IF(LEFT($A382,3)="Lcp",SUMIFS('BASE-LCP'!$K:$K,'BASE-LCP'!$A:$A,Capex!$A335,'BASE-LCP'!$B:$B,"janeiro")/1000,IF(LEFT($A382,3)="icp",SUMIFS('BASE-ICP'!$K:$K,'BASE-ICP'!$A:$A,Capex!$A335,'BASE-ICP'!$B:$B,"janeiro")/1000,"")),"")</f>
        <v>0</v>
      </c>
      <c r="BS382" s="427">
        <v>21.154540000000001</v>
      </c>
      <c r="BT382" s="372">
        <v>56.3</v>
      </c>
      <c r="BU382" s="422">
        <v>1.29478</v>
      </c>
      <c r="BV382" s="423">
        <f>IFERROR(IF(LEFT($A382,3)="Lcp",SUMIFS('BASE-LCP'!$K:$K,'BASE-LCP'!$A:$A,Capex!$A335,'BASE-LCP'!$B:$B,"fevereiro")/1000,IF(LEFT($A382,3)="icp",SUMIFS('BASE-ICP'!$K:$K,'BASE-ICP'!$A:$A,Capex!$A335,'BASE-ICP'!$B:$B,"fevereiro")/1000,"")),"")</f>
        <v>0</v>
      </c>
      <c r="BW382" s="427">
        <v>1.2947800000000003</v>
      </c>
      <c r="BX382" s="372">
        <v>0</v>
      </c>
      <c r="BY382" s="419">
        <v>0.43156</v>
      </c>
      <c r="BZ382" s="423">
        <f>IFERROR(IF(LEFT($A382,3)="Lcp",SUMIFS('BASE-LCP'!$K:$K,'BASE-LCP'!$A:$A,Capex!$A335,'BASE-LCP'!$B:$B,"março")/1000,IF(LEFT($A382,3)="icp",SUMIFS('BASE-ICP'!$K:$K,'BASE-ICP'!$A:$A,Capex!$A335,'BASE-ICP'!$B:$B,"março")/1000,"")),"")</f>
        <v>3.02366</v>
      </c>
      <c r="CA382" s="427">
        <v>0.43155999999999994</v>
      </c>
      <c r="CB382" s="372">
        <v>88.960380000000001</v>
      </c>
      <c r="CC382" s="422">
        <v>97.196070000000006</v>
      </c>
      <c r="CD382" s="423">
        <f>IFERROR(IF(LEFT($A382,3)="Lcp",SUMIFS('BASE-LCP'!$K:$K,'BASE-LCP'!$A:$A,Capex!$A335,'BASE-LCP'!$B:$B,"abril")/1000,IF(LEFT($A382,3)="icp",SUMIFS('BASE-ICP'!$K:$K,'BASE-ICP'!$A:$A,Capex!$A335,'BASE-ICP'!$B:$B,"abril")/1000,"")),"")</f>
        <v>0</v>
      </c>
      <c r="CE382" s="427">
        <v>97.196069999999992</v>
      </c>
      <c r="CF382" s="565">
        <v>13.1</v>
      </c>
      <c r="CG382" s="419">
        <v>-12.512859999999998</v>
      </c>
      <c r="CH382" s="423">
        <v>-12.51286</v>
      </c>
      <c r="CI382" s="427">
        <v>-12.51286</v>
      </c>
      <c r="CJ382" s="372">
        <v>12.15</v>
      </c>
      <c r="CK382" s="419">
        <v>15.826280000000001</v>
      </c>
      <c r="CL382" s="423">
        <f>IFERROR(IF(LEFT($A382,3)="Lcp",SUMIFS('BASE-LCP'!$K:$K,'BASE-LCP'!$A:$A,Capex!$A335,'BASE-LCP'!$B:$B,"junho")/1000,IF(LEFT($A382,3)="icp",SUMIFS('BASE-ICP'!$K:$K,'BASE-ICP'!$A:$A,Capex!$A335,'BASE-ICP'!$B:$B,"junho")/1000,"")),"")</f>
        <v>0</v>
      </c>
      <c r="CM382" s="427">
        <v>15.826280000000002</v>
      </c>
      <c r="CN382" s="372"/>
      <c r="CO382" s="419"/>
      <c r="CP382" s="423">
        <f>IFERROR(IF(LEFT($A382,3)="Lcp",SUMIFS('BASE-LCP'!$K:$K,'BASE-LCP'!$A:$A,Capex!$A335,'BASE-LCP'!$B:$B,"julho")/1000,IF(LEFT($A382,3)="icp",SUMIFS('BASE-ICP'!$K:$K,'BASE-ICP'!$A:$A,Capex!$A335,'BASE-ICP'!$B:$B,"julho")/1000,"")),"")</f>
        <v>0</v>
      </c>
      <c r="CQ382" s="427">
        <v>1</v>
      </c>
      <c r="CR382" s="372"/>
      <c r="CS382" s="419"/>
      <c r="CT382" s="423">
        <f>IFERROR(IF(LEFT($A382,3)="Lcp",SUMIFS('BASE-LCP'!$K:$K,'BASE-LCP'!$A:$A,Capex!$A335,'BASE-LCP'!$B:$B,"agosto")/1000,IF(LEFT($A382,3)="icp",SUMIFS('BASE-ICP'!$K:$K,'BASE-ICP'!$A:$A,Capex!$A335,'BASE-ICP'!$B:$B,"agosto")/1000,"")),"")</f>
        <v>0</v>
      </c>
      <c r="CU382" s="427">
        <v>17</v>
      </c>
      <c r="CV382" s="372"/>
      <c r="CW382" s="419"/>
      <c r="CX382" s="423">
        <f>IFERROR(IF(LEFT($A382,3)="Lcp",SUMIFS('BASE-LCP'!$K:$K,'BASE-LCP'!$A:$A,Capex!$A335,'BASE-LCP'!$B:$B,"setembro")/1000,IF(LEFT($A382,3)="icp",SUMIFS('BASE-ICP'!$K:$K,'BASE-ICP'!$A:$A,Capex!$A335,'BASE-ICP'!$B:$B,"setembro")/1000,"")),"")</f>
        <v>0</v>
      </c>
      <c r="CY382" s="427">
        <f>24*0.9</f>
        <v>21.6</v>
      </c>
      <c r="CZ382" s="372"/>
      <c r="DA382" s="419"/>
      <c r="DB382" s="423">
        <f>IFERROR(IF(LEFT($A382,3)="Lcp",SUMIFS('BASE-LCP'!$K:$K,'BASE-LCP'!$A:$A,Capex!$A335,'BASE-LCP'!$B:$B,"outubro")/1000,IF(LEFT($A382,3)="icp",SUMIFS('BASE-ICP'!$K:$K,'BASE-ICP'!$A:$A,Capex!$A335,'BASE-ICP'!$B:$B,"outubro")/1000,"")),"")</f>
        <v>0</v>
      </c>
      <c r="DC382" s="427"/>
      <c r="DD382" s="372"/>
      <c r="DE382" s="419"/>
      <c r="DF382" s="423">
        <f>IFERROR(IF(LEFT($A382,3)="Lcp",SUMIFS('BASE-LCP'!$K:$K,'BASE-LCP'!$A:$A,Capex!$A335,'BASE-LCP'!$B:$B,"novembro")/1000,IF(LEFT($A382,3)="icp",SUMIFS('BASE-ICP'!$K:$K,'BASE-ICP'!$A:$A,Capex!$A335,'BASE-ICP'!$B:$B,"novembro")/1000,"")),"")</f>
        <v>0</v>
      </c>
      <c r="DG382" s="427">
        <f>101*0.9+1.5</f>
        <v>92.4</v>
      </c>
      <c r="DH382" s="372"/>
      <c r="DI382" s="419"/>
      <c r="DJ382" s="423">
        <f>IFERROR(IF(LEFT($A382,3)="Lcp",SUMIFS('BASE-LCP'!$K:$K,'BASE-LCP'!$A:$A,Capex!$A335,'BASE-LCP'!$B:$B,"dezembro")/1000,IF(LEFT($A382,3)="icp",SUMIFS('BASE-ICP'!$K:$K,'BASE-ICP'!$A:$A,Capex!$A335,'BASE-ICP'!$B:$B,"dezembro")/1000,"")),"")</f>
        <v>0</v>
      </c>
      <c r="DK382" s="427">
        <f>101*0.9</f>
        <v>90.9</v>
      </c>
      <c r="DL382" s="452">
        <f t="shared" si="189"/>
        <v>0</v>
      </c>
      <c r="DM382" s="374"/>
      <c r="DN382" s="374"/>
      <c r="DO382" s="374"/>
      <c r="DP382" s="374"/>
      <c r="DQ382" s="374"/>
      <c r="DR382" s="374"/>
      <c r="DS382" s="374"/>
      <c r="DT382" s="374"/>
      <c r="DU382" s="374"/>
      <c r="DV382" s="374"/>
      <c r="DW382" s="374"/>
      <c r="DX382" s="374"/>
      <c r="DY382" s="450"/>
      <c r="DZ382" s="374">
        <f t="shared" si="190"/>
        <v>0</v>
      </c>
      <c r="EA382" s="216">
        <f t="shared" si="191"/>
        <v>3.676280000000002</v>
      </c>
      <c r="EB382" s="320">
        <f t="shared" si="192"/>
        <v>-15.826280000000002</v>
      </c>
      <c r="EC382" s="241">
        <f t="shared" si="193"/>
        <v>22.880880000000001</v>
      </c>
      <c r="ED382" s="241">
        <f t="shared" si="194"/>
        <v>100.50948999999999</v>
      </c>
      <c r="EE382" s="241">
        <f t="shared" si="195"/>
        <v>39.6</v>
      </c>
      <c r="EF382" s="241">
        <f t="shared" si="196"/>
        <v>183.3</v>
      </c>
      <c r="EG382" s="346">
        <f t="shared" si="197"/>
        <v>143.69037</v>
      </c>
      <c r="EH382" s="445">
        <f t="shared" si="198"/>
        <v>13.1</v>
      </c>
      <c r="EI382" s="447">
        <f t="shared" si="199"/>
        <v>-12.51286</v>
      </c>
      <c r="EJ382" s="364">
        <f t="shared" si="200"/>
        <v>107.56408999999999</v>
      </c>
      <c r="EK382" s="365">
        <f t="shared" si="201"/>
        <v>238.72628</v>
      </c>
      <c r="EL382" s="529">
        <f t="shared" si="202"/>
        <v>339.31408999999996</v>
      </c>
      <c r="EM382" s="530">
        <v>21.154540000000001</v>
      </c>
      <c r="EN382" s="530">
        <v>1.2947800000000003</v>
      </c>
      <c r="EO382" s="530">
        <v>0.43155999999999994</v>
      </c>
      <c r="EP382" s="530">
        <v>97.196069999999992</v>
      </c>
      <c r="EQ382" s="530">
        <v>-12.51286</v>
      </c>
      <c r="ER382" s="530">
        <v>12.15</v>
      </c>
      <c r="ES382" s="530">
        <v>0</v>
      </c>
      <c r="ET382" s="530">
        <v>16.2</v>
      </c>
      <c r="EU382" s="530">
        <v>21.6</v>
      </c>
      <c r="EV382" s="530">
        <v>0</v>
      </c>
      <c r="EW382" s="530">
        <v>90.9</v>
      </c>
      <c r="EX382" s="530">
        <v>90.9</v>
      </c>
      <c r="EY382" s="530">
        <f t="shared" si="203"/>
        <v>22.880880000000001</v>
      </c>
      <c r="EZ382" s="530">
        <f t="shared" si="204"/>
        <v>96.833209999999994</v>
      </c>
      <c r="FA382" s="530">
        <f t="shared" si="205"/>
        <v>37.799999999999997</v>
      </c>
      <c r="FB382" s="530">
        <f t="shared" si="206"/>
        <v>181.8</v>
      </c>
      <c r="FC382" s="384">
        <f>IFERROR(VLOOKUP(Capex!A335,BASE_558!D:R,8,FALSE)/1000,"")</f>
        <v>1225.271</v>
      </c>
      <c r="FD382" s="328">
        <f>IFERROR(VLOOKUP(Capex!A335,BASE_558!D:R,9,)/1000,"")</f>
        <v>7.03444</v>
      </c>
      <c r="FE382" s="328">
        <f>IFERROR(IF(LEFT(A382,3)="LCP",(VLOOKUP(Capex!A335,BASE_558!D:R,10,)/1000),SUMIFS('BASE ICP_PO_SC'!F:F,'BASE ICP_PO_SC'!A:A,Capex!A335,'BASE ICP_PO_SC'!E:E,"&lt;&gt;")/1000),"")</f>
        <v>1.24901</v>
      </c>
      <c r="FF382" s="328">
        <f>IFERROR(IF(LEFT(A382,3)="LCP",(VLOOKUP(Capex!A335,BASE_558!D:R,11,)/1000),SUMIFS('BASE ICP_PO_SC'!F:F,'BASE ICP_PO_SC'!A:A,Capex!A335,'BASE ICP_PO_SC'!E:E,"")/1000),"")</f>
        <v>32.102049999999998</v>
      </c>
      <c r="FG382" s="328">
        <f>IFERROR(VLOOKUP(A382,BASE_558!D:R,13,FALSE)/1000,"")</f>
        <v>436.09546999999998</v>
      </c>
      <c r="FH382" s="328">
        <f>IFERROR(VLOOKUP(A382,BASE_558!D:R,15,FALSE)/1000,"")</f>
        <v>95.784530000000004</v>
      </c>
      <c r="FI382" s="547">
        <f t="shared" si="207"/>
        <v>-3.6762799999999913</v>
      </c>
      <c r="FJ382" s="547">
        <f t="shared" si="208"/>
        <v>-1.8000000000000043</v>
      </c>
      <c r="FK382" s="540">
        <f t="shared" si="209"/>
        <v>-1.5</v>
      </c>
    </row>
    <row r="383" spans="1:167" s="23" customFormat="1" ht="24" customHeight="1">
      <c r="A383" s="309" t="s">
        <v>3212</v>
      </c>
      <c r="B383" s="404" t="s">
        <v>6816</v>
      </c>
      <c r="C383" s="404">
        <v>45</v>
      </c>
      <c r="D383" s="338"/>
      <c r="E383" s="309">
        <v>8954959</v>
      </c>
      <c r="F383" s="5"/>
      <c r="G383" s="310" t="s">
        <v>9</v>
      </c>
      <c r="H383" s="356" t="s">
        <v>6</v>
      </c>
      <c r="I383" s="356"/>
      <c r="J383" s="356">
        <v>2024</v>
      </c>
      <c r="K383" s="352">
        <v>45532</v>
      </c>
      <c r="L383" s="322"/>
      <c r="M383" s="409"/>
      <c r="N383" s="317">
        <f t="shared" si="217"/>
        <v>46444</v>
      </c>
      <c r="O383" s="317">
        <f t="shared" si="218"/>
        <v>46809</v>
      </c>
      <c r="P383" s="418" t="str">
        <f t="shared" si="221"/>
        <v>NÃO</v>
      </c>
      <c r="Q383" s="418" t="str">
        <f t="shared" si="221"/>
        <v>NÃO</v>
      </c>
      <c r="R383" s="418" t="str">
        <f t="shared" si="221"/>
        <v>NÃO</v>
      </c>
      <c r="S383" s="418" t="str">
        <f t="shared" si="221"/>
        <v>NÃO</v>
      </c>
      <c r="T383" s="418" t="str">
        <f t="shared" si="221"/>
        <v>NÃO</v>
      </c>
      <c r="U383" s="418" t="str">
        <f t="shared" si="221"/>
        <v>NÃO</v>
      </c>
      <c r="V383" s="418" t="str">
        <f t="shared" si="221"/>
        <v>NÃO</v>
      </c>
      <c r="W383" s="418" t="str">
        <f t="shared" si="221"/>
        <v>NÃO</v>
      </c>
      <c r="X383" s="418" t="str">
        <f t="shared" si="221"/>
        <v>NÃO</v>
      </c>
      <c r="Y383" s="418" t="str">
        <f t="shared" si="221"/>
        <v>NÃO</v>
      </c>
      <c r="Z383" s="418" t="str">
        <f t="shared" si="221"/>
        <v>NÃO</v>
      </c>
      <c r="AA383" s="418" t="str">
        <f t="shared" si="221"/>
        <v>NÃO</v>
      </c>
      <c r="AB383" s="350"/>
      <c r="AC383" s="309" t="s">
        <v>3932</v>
      </c>
      <c r="AD383" s="311"/>
      <c r="AE383" s="392"/>
      <c r="AF383" s="310" t="s">
        <v>6985</v>
      </c>
      <c r="AG383" s="310" t="s">
        <v>2079</v>
      </c>
      <c r="AH383" s="310" t="s">
        <v>6814</v>
      </c>
      <c r="AI383" s="381" t="s">
        <v>2255</v>
      </c>
      <c r="AJ383" s="6" t="s">
        <v>6786</v>
      </c>
      <c r="AK383" s="6" t="str">
        <f t="shared" si="187"/>
        <v>IGUAL</v>
      </c>
      <c r="AL383" s="151" t="str">
        <f>IFERROR(IF(LEFT(A383,3)="LCP",VLOOKUP(A383,STATUS_SAP_LCP!B:C,2,FALSE),VLOOKUP(A383,STATUS_SAP_ICP!B:C,2,FALSE)),"NO BUDGET")</f>
        <v>REL  BUDG AUC  AVAC  //  APPR BREL EXPL</v>
      </c>
      <c r="AM383" s="6" t="str">
        <f t="shared" si="185"/>
        <v xml:space="preserve">REL </v>
      </c>
      <c r="AN383" s="429" t="s">
        <v>19076</v>
      </c>
      <c r="AO383" s="414"/>
      <c r="AP383" s="499" t="s">
        <v>5299</v>
      </c>
      <c r="AQ383" s="465">
        <v>46203</v>
      </c>
      <c r="AR383" s="460"/>
      <c r="AS383" s="57"/>
      <c r="AT383" s="185"/>
      <c r="AU383" s="318"/>
      <c r="AV383" s="223"/>
      <c r="AW383" s="318"/>
      <c r="AX383" s="223">
        <v>0</v>
      </c>
      <c r="AY383" s="318">
        <f t="shared" si="214"/>
        <v>276.74124</v>
      </c>
      <c r="AZ383" s="223"/>
      <c r="BA383" s="318"/>
      <c r="BB383" s="519">
        <f t="shared" si="219"/>
        <v>0</v>
      </c>
      <c r="BC383" s="518">
        <v>0</v>
      </c>
      <c r="BD383" s="518">
        <v>0</v>
      </c>
      <c r="BE383" s="518">
        <v>0</v>
      </c>
      <c r="BF383" s="518">
        <v>0</v>
      </c>
      <c r="BG383" s="518">
        <v>0</v>
      </c>
      <c r="BH383" s="518">
        <v>0</v>
      </c>
      <c r="BI383" s="518">
        <v>0</v>
      </c>
      <c r="BJ383" s="518">
        <v>0</v>
      </c>
      <c r="BK383" s="518">
        <v>0</v>
      </c>
      <c r="BL383" s="518">
        <v>0</v>
      </c>
      <c r="BM383" s="518">
        <v>0</v>
      </c>
      <c r="BN383" s="518">
        <v>0</v>
      </c>
      <c r="BO383" s="367">
        <f t="shared" si="188"/>
        <v>276.74124</v>
      </c>
      <c r="BP383" s="421">
        <v>0</v>
      </c>
      <c r="BQ383" s="422"/>
      <c r="BR383" s="423">
        <f>IFERROR(IF(LEFT($A383,3)="Lcp",SUMIFS('BASE-LCP'!$K:$K,'BASE-LCP'!$A:$A,Capex!$A373,'BASE-LCP'!$B:$B,"janeiro")/1000,IF(LEFT($A383,3)="icp",SUMIFS('BASE-ICP'!$K:$K,'BASE-ICP'!$A:$A,Capex!$A373,'BASE-ICP'!$B:$B,"janeiro")/1000,"")),"")</f>
        <v>0</v>
      </c>
      <c r="BS383" s="427">
        <v>0</v>
      </c>
      <c r="BT383" s="372"/>
      <c r="BU383" s="422"/>
      <c r="BV383" s="423">
        <f>IFERROR(IF(LEFT($A383,3)="Lcp",SUMIFS('BASE-LCP'!$K:$K,'BASE-LCP'!$A:$A,Capex!$A373,'BASE-LCP'!$B:$B,"fevereiro")/1000,IF(LEFT($A383,3)="icp",SUMIFS('BASE-ICP'!$K:$K,'BASE-ICP'!$A:$A,Capex!$A373,'BASE-ICP'!$B:$B,"fevereiro")/1000,"")),"")</f>
        <v>0</v>
      </c>
      <c r="BW383" s="427"/>
      <c r="BX383" s="372">
        <v>313</v>
      </c>
      <c r="BY383" s="419"/>
      <c r="BZ383" s="423">
        <f>IFERROR(IF(LEFT($A383,3)="Lcp",SUMIFS('BASE-LCP'!$K:$K,'BASE-LCP'!$A:$A,Capex!$A373,'BASE-LCP'!$B:$B,"março")/1000,IF(LEFT($A383,3)="icp",SUMIFS('BASE-ICP'!$K:$K,'BASE-ICP'!$A:$A,Capex!$A373,'BASE-ICP'!$B:$B,"março")/1000,"")),"")</f>
        <v>0</v>
      </c>
      <c r="CA383" s="427">
        <v>0</v>
      </c>
      <c r="CB383" s="372">
        <v>313</v>
      </c>
      <c r="CC383" s="422">
        <v>264.75026000000003</v>
      </c>
      <c r="CD383" s="423">
        <f>IFERROR(IF(LEFT($A383,3)="Lcp",SUMIFS('BASE-LCP'!$K:$K,'BASE-LCP'!$A:$A,Capex!$A373,'BASE-LCP'!$B:$B,"abril")/1000,IF(LEFT($A383,3)="icp",SUMIFS('BASE-ICP'!$K:$K,'BASE-ICP'!$A:$A,Capex!$A373,'BASE-ICP'!$B:$B,"abril")/1000,"")),"")</f>
        <v>0</v>
      </c>
      <c r="CE383" s="427">
        <v>264.75026000000003</v>
      </c>
      <c r="CF383" s="372">
        <v>7</v>
      </c>
      <c r="CG383" s="419">
        <v>1.4137899999999999</v>
      </c>
      <c r="CH383" s="423">
        <v>1.4137899999999999</v>
      </c>
      <c r="CI383" s="427">
        <v>1.4137899999999999</v>
      </c>
      <c r="CJ383" s="372">
        <v>11</v>
      </c>
      <c r="CK383" s="419">
        <v>8.5771899999999999</v>
      </c>
      <c r="CL383" s="423">
        <f>IFERROR(IF(LEFT($A383,3)="Lcp",SUMIFS('BASE-LCP'!$K:$K,'BASE-LCP'!$A:$A,Capex!$A373,'BASE-LCP'!$B:$B,"junho")/1000,IF(LEFT($A383,3)="icp",SUMIFS('BASE-ICP'!$K:$K,'BASE-ICP'!$A:$A,Capex!$A373,'BASE-ICP'!$B:$B,"junho")/1000,"")),"")</f>
        <v>0</v>
      </c>
      <c r="CM383" s="427">
        <v>8.5771899999999999</v>
      </c>
      <c r="CN383" s="372"/>
      <c r="CO383" s="419"/>
      <c r="CP383" s="423">
        <f>IFERROR(IF(LEFT($A383,3)="Lcp",SUMIFS('BASE-LCP'!$K:$K,'BASE-LCP'!$A:$A,Capex!$A373,'BASE-LCP'!$B:$B,"julho")/1000,IF(LEFT($A383,3)="icp",SUMIFS('BASE-ICP'!$K:$K,'BASE-ICP'!$A:$A,Capex!$A373,'BASE-ICP'!$B:$B,"julho")/1000,"")),"")</f>
        <v>0</v>
      </c>
      <c r="CQ383" s="427">
        <v>2</v>
      </c>
      <c r="CR383" s="372"/>
      <c r="CS383" s="419"/>
      <c r="CT383" s="423">
        <f>IFERROR(IF(LEFT($A383,3)="Lcp",SUMIFS('BASE-LCP'!$K:$K,'BASE-LCP'!$A:$A,Capex!$A373,'BASE-LCP'!$B:$B,"agosto")/1000,IF(LEFT($A383,3)="icp",SUMIFS('BASE-ICP'!$K:$K,'BASE-ICP'!$A:$A,Capex!$A373,'BASE-ICP'!$B:$B,"agosto")/1000,"")),"")</f>
        <v>0</v>
      </c>
      <c r="CU383" s="427">
        <v>0</v>
      </c>
      <c r="CV383" s="372"/>
      <c r="CW383" s="419"/>
      <c r="CX383" s="423">
        <f>IFERROR(IF(LEFT($A383,3)="Lcp",SUMIFS('BASE-LCP'!$K:$K,'BASE-LCP'!$A:$A,Capex!$A373,'BASE-LCP'!$B:$B,"setembro")/1000,IF(LEFT($A383,3)="icp",SUMIFS('BASE-ICP'!$K:$K,'BASE-ICP'!$A:$A,Capex!$A373,'BASE-ICP'!$B:$B,"setembro")/1000,"")),"")</f>
        <v>0</v>
      </c>
      <c r="CY383" s="427">
        <v>0</v>
      </c>
      <c r="CZ383" s="372"/>
      <c r="DA383" s="419"/>
      <c r="DB383" s="423">
        <f>IFERROR(IF(LEFT($A383,3)="Lcp",SUMIFS('BASE-LCP'!$K:$K,'BASE-LCP'!$A:$A,Capex!$A373,'BASE-LCP'!$B:$B,"outubro")/1000,IF(LEFT($A383,3)="icp",SUMIFS('BASE-ICP'!$K:$K,'BASE-ICP'!$A:$A,Capex!$A373,'BASE-ICP'!$B:$B,"outubro")/1000,"")),"")</f>
        <v>0</v>
      </c>
      <c r="DC383" s="427">
        <v>0</v>
      </c>
      <c r="DD383" s="372"/>
      <c r="DE383" s="419"/>
      <c r="DF383" s="423">
        <f>IFERROR(IF(LEFT($A383,3)="Lcp",SUMIFS('BASE-LCP'!$K:$K,'BASE-LCP'!$A:$A,Capex!$A373,'BASE-LCP'!$B:$B,"novembro")/1000,IF(LEFT($A383,3)="icp",SUMIFS('BASE-ICP'!$K:$K,'BASE-ICP'!$A:$A,Capex!$A373,'BASE-ICP'!$B:$B,"novembro")/1000,"")),"")</f>
        <v>0</v>
      </c>
      <c r="DG383" s="427">
        <v>0</v>
      </c>
      <c r="DH383" s="372"/>
      <c r="DI383" s="419"/>
      <c r="DJ383" s="423">
        <f>IFERROR(IF(LEFT($A383,3)="Lcp",SUMIFS('BASE-LCP'!$K:$K,'BASE-LCP'!$A:$A,Capex!$A373,'BASE-LCP'!$B:$B,"dezembro")/1000,IF(LEFT($A383,3)="icp",SUMIFS('BASE-ICP'!$K:$K,'BASE-ICP'!$A:$A,Capex!$A373,'BASE-ICP'!$B:$B,"dezembro")/1000,"")),"")</f>
        <v>0</v>
      </c>
      <c r="DK383" s="427">
        <v>0</v>
      </c>
      <c r="DL383" s="452">
        <f t="shared" si="189"/>
        <v>0</v>
      </c>
      <c r="DM383" s="374"/>
      <c r="DN383" s="374"/>
      <c r="DO383" s="374"/>
      <c r="DP383" s="374"/>
      <c r="DQ383" s="374"/>
      <c r="DR383" s="374"/>
      <c r="DS383" s="374"/>
      <c r="DT383" s="374"/>
      <c r="DU383" s="374"/>
      <c r="DV383" s="374"/>
      <c r="DW383" s="374"/>
      <c r="DX383" s="374"/>
      <c r="DY383" s="450"/>
      <c r="DZ383" s="374">
        <f t="shared" si="190"/>
        <v>0</v>
      </c>
      <c r="EA383" s="216">
        <f t="shared" si="191"/>
        <v>-2.4228100000000001</v>
      </c>
      <c r="EB383" s="320">
        <f t="shared" si="192"/>
        <v>-8.5771899999999999</v>
      </c>
      <c r="EC383" s="241">
        <f t="shared" si="193"/>
        <v>0</v>
      </c>
      <c r="ED383" s="241">
        <f t="shared" si="194"/>
        <v>274.74124</v>
      </c>
      <c r="EE383" s="241">
        <f t="shared" si="195"/>
        <v>2</v>
      </c>
      <c r="EF383" s="241">
        <f t="shared" si="196"/>
        <v>0</v>
      </c>
      <c r="EG383" s="346">
        <f t="shared" si="197"/>
        <v>276.74124</v>
      </c>
      <c r="EH383" s="445">
        <f t="shared" si="198"/>
        <v>7</v>
      </c>
      <c r="EI383" s="447">
        <f t="shared" si="199"/>
        <v>1.4137899999999999</v>
      </c>
      <c r="EJ383" s="364">
        <f t="shared" si="200"/>
        <v>266.16405000000003</v>
      </c>
      <c r="EK383" s="365">
        <f t="shared" si="201"/>
        <v>10.577189999999973</v>
      </c>
      <c r="EL383" s="529">
        <f t="shared" si="202"/>
        <v>277.16405000000003</v>
      </c>
      <c r="EM383" s="530">
        <v>0</v>
      </c>
      <c r="EN383" s="530">
        <v>0</v>
      </c>
      <c r="EO383" s="530">
        <v>0</v>
      </c>
      <c r="EP383" s="530">
        <v>264.75026000000003</v>
      </c>
      <c r="EQ383" s="530">
        <v>1.4137899999999999</v>
      </c>
      <c r="ER383" s="530">
        <v>11</v>
      </c>
      <c r="ES383" s="530">
        <v>0</v>
      </c>
      <c r="ET383" s="530">
        <v>0</v>
      </c>
      <c r="EU383" s="530">
        <v>0</v>
      </c>
      <c r="EV383" s="530">
        <v>0</v>
      </c>
      <c r="EW383" s="530">
        <v>0</v>
      </c>
      <c r="EX383" s="530">
        <v>0</v>
      </c>
      <c r="EY383" s="530">
        <f t="shared" si="203"/>
        <v>0</v>
      </c>
      <c r="EZ383" s="530">
        <f t="shared" si="204"/>
        <v>277.16405000000003</v>
      </c>
      <c r="FA383" s="530">
        <f t="shared" si="205"/>
        <v>0</v>
      </c>
      <c r="FB383" s="530">
        <f t="shared" si="206"/>
        <v>0</v>
      </c>
      <c r="FC383" s="384" t="str">
        <f>IFERROR(VLOOKUP(Capex!A373,BASE_558!D:R,8,FALSE)/1000,"")</f>
        <v/>
      </c>
      <c r="FD383" s="328" t="str">
        <f>IFERROR(VLOOKUP(Capex!A373,BASE_558!D:R,9,)/1000,"")</f>
        <v/>
      </c>
      <c r="FE383" s="328" t="str">
        <f>IFERROR(IF(LEFT(A383,3)="LCP",(VLOOKUP(Capex!A373,BASE_558!D:R,10,)/1000),SUMIFS('BASE ICP_PO_SC'!F:F,'BASE ICP_PO_SC'!A:A,Capex!A373,'BASE ICP_PO_SC'!E:E,"&lt;&gt;")/1000),"")</f>
        <v/>
      </c>
      <c r="FF383" s="328" t="str">
        <f>IFERROR(IF(LEFT(A383,3)="LCP",(VLOOKUP(Capex!A373,BASE_558!D:R,11,)/1000),SUMIFS('BASE ICP_PO_SC'!F:F,'BASE ICP_PO_SC'!A:A,Capex!A373,'BASE ICP_PO_SC'!E:E,"")/1000),"")</f>
        <v/>
      </c>
      <c r="FG383" s="328">
        <f>IFERROR(VLOOKUP(A383,BASE_558!D:R,13,FALSE)/1000,"")</f>
        <v>277.08309000000003</v>
      </c>
      <c r="FH383" s="328">
        <f>IFERROR(VLOOKUP(A383,BASE_558!D:R,15,FALSE)/1000,"")</f>
        <v>108.00191000000001</v>
      </c>
      <c r="FI383" s="547">
        <f t="shared" si="207"/>
        <v>2.4228100000000268</v>
      </c>
      <c r="FJ383" s="547">
        <f t="shared" si="208"/>
        <v>-2</v>
      </c>
      <c r="FK383" s="540">
        <f t="shared" si="209"/>
        <v>0</v>
      </c>
    </row>
    <row r="384" spans="1:167" s="23" customFormat="1" ht="24" customHeight="1">
      <c r="A384" s="84" t="s">
        <v>2336</v>
      </c>
      <c r="B384" s="404" t="s">
        <v>6817</v>
      </c>
      <c r="C384" s="404"/>
      <c r="D384" s="338" t="s">
        <v>2337</v>
      </c>
      <c r="E384" s="378">
        <v>6633104</v>
      </c>
      <c r="F384" s="5"/>
      <c r="G384" s="310" t="s">
        <v>9</v>
      </c>
      <c r="H384" s="356" t="s">
        <v>6</v>
      </c>
      <c r="I384" s="356"/>
      <c r="J384" s="356">
        <v>2022</v>
      </c>
      <c r="K384" s="352">
        <v>44960</v>
      </c>
      <c r="L384" s="350"/>
      <c r="M384" s="409" t="s">
        <v>6808</v>
      </c>
      <c r="N384" s="317">
        <f t="shared" si="217"/>
        <v>45872</v>
      </c>
      <c r="O384" s="317">
        <f t="shared" si="218"/>
        <v>46237</v>
      </c>
      <c r="P384" s="418" t="str">
        <f t="shared" si="221"/>
        <v>NÃO</v>
      </c>
      <c r="Q384" s="418" t="str">
        <f t="shared" si="221"/>
        <v>NÃO</v>
      </c>
      <c r="R384" s="418" t="str">
        <f t="shared" si="221"/>
        <v>NÃO</v>
      </c>
      <c r="S384" s="418" t="str">
        <f t="shared" si="221"/>
        <v>NÃO</v>
      </c>
      <c r="T384" s="418" t="str">
        <f t="shared" si="221"/>
        <v>NÃO</v>
      </c>
      <c r="U384" s="418" t="str">
        <f t="shared" si="221"/>
        <v>NÃO</v>
      </c>
      <c r="V384" s="418" t="str">
        <f t="shared" si="221"/>
        <v>NÃO</v>
      </c>
      <c r="W384" s="418" t="str">
        <f t="shared" si="221"/>
        <v>SIM</v>
      </c>
      <c r="X384" s="551" t="str">
        <f t="shared" si="221"/>
        <v>SIM</v>
      </c>
      <c r="Y384" s="418" t="str">
        <f t="shared" si="221"/>
        <v>SIM</v>
      </c>
      <c r="Z384" s="418" t="str">
        <f t="shared" si="221"/>
        <v>SIM</v>
      </c>
      <c r="AA384" s="567" t="str">
        <f t="shared" si="221"/>
        <v>SIM</v>
      </c>
      <c r="AB384" s="350"/>
      <c r="AC384" s="309" t="s">
        <v>3932</v>
      </c>
      <c r="AD384" s="311" t="s">
        <v>5</v>
      </c>
      <c r="AE384" s="382" t="s">
        <v>961</v>
      </c>
      <c r="AF384" s="310" t="s">
        <v>6985</v>
      </c>
      <c r="AG384" s="310" t="s">
        <v>2079</v>
      </c>
      <c r="AH384" s="310" t="s">
        <v>1828</v>
      </c>
      <c r="AI384" s="381" t="s">
        <v>2255</v>
      </c>
      <c r="AJ384" s="6" t="s">
        <v>6786</v>
      </c>
      <c r="AK384" s="6" t="str">
        <f t="shared" si="187"/>
        <v>IGUAL</v>
      </c>
      <c r="AL384" s="151" t="str">
        <f>IFERROR(IF(LEFT(A384,3)="LCP",VLOOKUP(A384,STATUS_SAP_LCP!B:C,2,FALSE),VLOOKUP(A384,STATUS_SAP_ICP!B:C,2,FALSE)),"NO BUDGET")</f>
        <v>REL  BUDG AUC  AVAC  //  APPR BREL EXPL</v>
      </c>
      <c r="AM384" s="6" t="str">
        <f t="shared" si="185"/>
        <v xml:space="preserve">REL </v>
      </c>
      <c r="AN384" s="414" t="s">
        <v>17676</v>
      </c>
      <c r="AO384" s="414"/>
      <c r="AP384" s="499" t="s">
        <v>9617</v>
      </c>
      <c r="AQ384" s="465">
        <v>45899</v>
      </c>
      <c r="AR384" s="460"/>
      <c r="AS384" s="57"/>
      <c r="AT384" s="185"/>
      <c r="AU384" s="318"/>
      <c r="AV384" s="223">
        <v>0</v>
      </c>
      <c r="AW384" s="318">
        <v>2207.1982699999999</v>
      </c>
      <c r="AX384" s="223">
        <v>114.82653000000001</v>
      </c>
      <c r="AY384" s="318">
        <f t="shared" si="214"/>
        <v>6</v>
      </c>
      <c r="AZ384" s="223"/>
      <c r="BA384" s="318"/>
      <c r="BB384" s="519">
        <f t="shared" si="219"/>
        <v>10</v>
      </c>
      <c r="BC384" s="518">
        <v>0</v>
      </c>
      <c r="BD384" s="518">
        <v>0</v>
      </c>
      <c r="BE384" s="518">
        <v>10</v>
      </c>
      <c r="BF384" s="518">
        <v>0</v>
      </c>
      <c r="BG384" s="518">
        <v>0</v>
      </c>
      <c r="BH384" s="518">
        <v>0</v>
      </c>
      <c r="BI384" s="518">
        <v>0</v>
      </c>
      <c r="BJ384" s="518">
        <v>0</v>
      </c>
      <c r="BK384" s="518">
        <v>0</v>
      </c>
      <c r="BL384" s="518">
        <v>0</v>
      </c>
      <c r="BM384" s="518">
        <v>0</v>
      </c>
      <c r="BN384" s="518">
        <v>0</v>
      </c>
      <c r="BO384" s="367">
        <f t="shared" si="188"/>
        <v>6</v>
      </c>
      <c r="BP384" s="421">
        <v>0</v>
      </c>
      <c r="BQ384" s="422"/>
      <c r="BR384" s="423">
        <f>IFERROR(IF(LEFT($A384,3)="Lcp",SUMIFS('BASE-LCP'!$K:$K,'BASE-LCP'!$A:$A,Capex!$A303,'BASE-LCP'!$B:$B,"janeiro")/1000,IF(LEFT($A384,3)="icp",SUMIFS('BASE-ICP'!$K:$K,'BASE-ICP'!$A:$A,Capex!$A303,'BASE-ICP'!$B:$B,"janeiro")/1000,"")),"")</f>
        <v>0</v>
      </c>
      <c r="BS384" s="427">
        <v>0</v>
      </c>
      <c r="BT384" s="372">
        <v>3</v>
      </c>
      <c r="BU384" s="422"/>
      <c r="BV384" s="423">
        <f>IFERROR(IF(LEFT($A384,3)="Lcp",SUMIFS('BASE-LCP'!$K:$K,'BASE-LCP'!$A:$A,Capex!$A303,'BASE-LCP'!$B:$B,"fevereiro")/1000,IF(LEFT($A384,3)="icp",SUMIFS('BASE-ICP'!$K:$K,'BASE-ICP'!$A:$A,Capex!$A303,'BASE-ICP'!$B:$B,"fevereiro")/1000,"")),"")</f>
        <v>4.6574399999999994</v>
      </c>
      <c r="BW384" s="427">
        <v>0</v>
      </c>
      <c r="BX384" s="372">
        <v>0</v>
      </c>
      <c r="BY384" s="419"/>
      <c r="BZ384" s="423">
        <f>IFERROR(IF(LEFT($A384,3)="Lcp",SUMIFS('BASE-LCP'!$K:$K,'BASE-LCP'!$A:$A,Capex!$A303,'BASE-LCP'!$B:$B,"março")/1000,IF(LEFT($A384,3)="icp",SUMIFS('BASE-ICP'!$K:$K,'BASE-ICP'!$A:$A,Capex!$A303,'BASE-ICP'!$B:$B,"março")/1000,"")),"")</f>
        <v>0</v>
      </c>
      <c r="CA384" s="427">
        <v>0</v>
      </c>
      <c r="CB384" s="372">
        <v>0</v>
      </c>
      <c r="CC384" s="422"/>
      <c r="CD384" s="423">
        <f>IFERROR(IF(LEFT($A384,3)="Lcp",SUMIFS('BASE-LCP'!$K:$K,'BASE-LCP'!$A:$A,Capex!$A303,'BASE-LCP'!$B:$B,"abril")/1000,IF(LEFT($A384,3)="icp",SUMIFS('BASE-ICP'!$K:$K,'BASE-ICP'!$A:$A,Capex!$A303,'BASE-ICP'!$B:$B,"abril")/1000,"")),"")</f>
        <v>0</v>
      </c>
      <c r="CE384" s="427">
        <v>0</v>
      </c>
      <c r="CF384" s="372">
        <v>0</v>
      </c>
      <c r="CG384" s="419"/>
      <c r="CH384" s="423">
        <v>0</v>
      </c>
      <c r="CI384" s="427">
        <v>0</v>
      </c>
      <c r="CJ384" s="372">
        <v>0</v>
      </c>
      <c r="CK384" s="419"/>
      <c r="CL384" s="423">
        <f>IFERROR(IF(LEFT($A384,3)="Lcp",SUMIFS('BASE-LCP'!$K:$K,'BASE-LCP'!$A:$A,Capex!$A303,'BASE-LCP'!$B:$B,"junho")/1000,IF(LEFT($A384,3)="icp",SUMIFS('BASE-ICP'!$K:$K,'BASE-ICP'!$A:$A,Capex!$A303,'BASE-ICP'!$B:$B,"junho")/1000,"")),"")</f>
        <v>0</v>
      </c>
      <c r="CM384" s="427">
        <v>0</v>
      </c>
      <c r="CN384" s="372"/>
      <c r="CO384" s="419"/>
      <c r="CP384" s="423">
        <f>IFERROR(IF(LEFT($A384,3)="Lcp",SUMIFS('BASE-LCP'!$K:$K,'BASE-LCP'!$A:$A,Capex!$A303,'BASE-LCP'!$B:$B,"julho")/1000,IF(LEFT($A384,3)="icp",SUMIFS('BASE-ICP'!$K:$K,'BASE-ICP'!$A:$A,Capex!$A303,'BASE-ICP'!$B:$B,"julho")/1000,"")),"")</f>
        <v>0</v>
      </c>
      <c r="CQ384" s="427">
        <v>0</v>
      </c>
      <c r="CR384" s="372"/>
      <c r="CS384" s="419"/>
      <c r="CT384" s="423">
        <f>IFERROR(IF(LEFT($A384,3)="Lcp",SUMIFS('BASE-LCP'!$K:$K,'BASE-LCP'!$A:$A,Capex!$A303,'BASE-LCP'!$B:$B,"agosto")/1000,IF(LEFT($A384,3)="icp",SUMIFS('BASE-ICP'!$K:$K,'BASE-ICP'!$A:$A,Capex!$A303,'BASE-ICP'!$B:$B,"agosto")/1000,"")),"")</f>
        <v>0</v>
      </c>
      <c r="CU384" s="427">
        <v>6</v>
      </c>
      <c r="CV384" s="372"/>
      <c r="CW384" s="419"/>
      <c r="CX384" s="423">
        <f>IFERROR(IF(LEFT($A384,3)="Lcp",SUMIFS('BASE-LCP'!$K:$K,'BASE-LCP'!$A:$A,Capex!$A303,'BASE-LCP'!$B:$B,"setembro")/1000,IF(LEFT($A384,3)="icp",SUMIFS('BASE-ICP'!$K:$K,'BASE-ICP'!$A:$A,Capex!$A303,'BASE-ICP'!$B:$B,"setembro")/1000,"")),"")</f>
        <v>0</v>
      </c>
      <c r="CY384" s="427">
        <v>0</v>
      </c>
      <c r="CZ384" s="372"/>
      <c r="DA384" s="419"/>
      <c r="DB384" s="423">
        <f>IFERROR(IF(LEFT($A384,3)="Lcp",SUMIFS('BASE-LCP'!$K:$K,'BASE-LCP'!$A:$A,Capex!$A303,'BASE-LCP'!$B:$B,"outubro")/1000,IF(LEFT($A384,3)="icp",SUMIFS('BASE-ICP'!$K:$K,'BASE-ICP'!$A:$A,Capex!$A303,'BASE-ICP'!$B:$B,"outubro")/1000,"")),"")</f>
        <v>0</v>
      </c>
      <c r="DC384" s="427">
        <v>0</v>
      </c>
      <c r="DD384" s="372"/>
      <c r="DE384" s="419"/>
      <c r="DF384" s="423">
        <f>IFERROR(IF(LEFT($A384,3)="Lcp",SUMIFS('BASE-LCP'!$K:$K,'BASE-LCP'!$A:$A,Capex!$A303,'BASE-LCP'!$B:$B,"novembro")/1000,IF(LEFT($A384,3)="icp",SUMIFS('BASE-ICP'!$K:$K,'BASE-ICP'!$A:$A,Capex!$A303,'BASE-ICP'!$B:$B,"novembro")/1000,"")),"")</f>
        <v>0</v>
      </c>
      <c r="DG384" s="427">
        <v>0</v>
      </c>
      <c r="DH384" s="372"/>
      <c r="DI384" s="419"/>
      <c r="DJ384" s="423">
        <f>IFERROR(IF(LEFT($A384,3)="Lcp",SUMIFS('BASE-LCP'!$K:$K,'BASE-LCP'!$A:$A,Capex!$A303,'BASE-LCP'!$B:$B,"dezembro")/1000,IF(LEFT($A384,3)="icp",SUMIFS('BASE-ICP'!$K:$K,'BASE-ICP'!$A:$A,Capex!$A303,'BASE-ICP'!$B:$B,"dezembro")/1000,"")),"")</f>
        <v>0</v>
      </c>
      <c r="DK384" s="427">
        <v>0</v>
      </c>
      <c r="DL384" s="452">
        <f t="shared" si="189"/>
        <v>0</v>
      </c>
      <c r="DM384" s="374"/>
      <c r="DN384" s="374">
        <v>0</v>
      </c>
      <c r="DO384" s="374"/>
      <c r="DP384" s="374"/>
      <c r="DQ384" s="374"/>
      <c r="DR384" s="374"/>
      <c r="DS384" s="374"/>
      <c r="DT384" s="374"/>
      <c r="DU384" s="374"/>
      <c r="DV384" s="374"/>
      <c r="DW384" s="374"/>
      <c r="DX384" s="374"/>
      <c r="DY384" s="450"/>
      <c r="DZ384" s="374">
        <f t="shared" si="190"/>
        <v>0</v>
      </c>
      <c r="EA384" s="216">
        <f t="shared" si="191"/>
        <v>0</v>
      </c>
      <c r="EB384" s="320">
        <f t="shared" si="192"/>
        <v>0</v>
      </c>
      <c r="EC384" s="241">
        <f t="shared" si="193"/>
        <v>0</v>
      </c>
      <c r="ED384" s="241">
        <f t="shared" si="194"/>
        <v>0</v>
      </c>
      <c r="EE384" s="241">
        <f t="shared" si="195"/>
        <v>6</v>
      </c>
      <c r="EF384" s="241">
        <f t="shared" si="196"/>
        <v>0</v>
      </c>
      <c r="EG384" s="346">
        <f t="shared" si="197"/>
        <v>-4</v>
      </c>
      <c r="EH384" s="445">
        <f t="shared" si="198"/>
        <v>0</v>
      </c>
      <c r="EI384" s="447">
        <f t="shared" si="199"/>
        <v>0</v>
      </c>
      <c r="EJ384" s="364">
        <f t="shared" si="200"/>
        <v>0</v>
      </c>
      <c r="EK384" s="365">
        <f t="shared" si="201"/>
        <v>6</v>
      </c>
      <c r="EL384" s="529">
        <f t="shared" si="202"/>
        <v>3.6</v>
      </c>
      <c r="EM384" s="530">
        <v>0</v>
      </c>
      <c r="EN384" s="530">
        <v>0</v>
      </c>
      <c r="EO384" s="530">
        <v>0</v>
      </c>
      <c r="EP384" s="530">
        <v>0</v>
      </c>
      <c r="EQ384" s="530">
        <v>0</v>
      </c>
      <c r="ER384" s="530">
        <v>0</v>
      </c>
      <c r="ES384" s="530">
        <v>0</v>
      </c>
      <c r="ET384" s="530">
        <v>3.6</v>
      </c>
      <c r="EU384" s="530">
        <v>0</v>
      </c>
      <c r="EV384" s="530">
        <v>0</v>
      </c>
      <c r="EW384" s="530">
        <v>0</v>
      </c>
      <c r="EX384" s="530">
        <v>0</v>
      </c>
      <c r="EY384" s="530">
        <f t="shared" si="203"/>
        <v>0</v>
      </c>
      <c r="EZ384" s="530">
        <f t="shared" si="204"/>
        <v>0</v>
      </c>
      <c r="FA384" s="530">
        <f t="shared" si="205"/>
        <v>3.6</v>
      </c>
      <c r="FB384" s="530">
        <f t="shared" si="206"/>
        <v>0</v>
      </c>
      <c r="FC384" s="384">
        <f>IFERROR(VLOOKUP(Capex!A303,BASE_558!D:R,8,FALSE)/1000,"")</f>
        <v>1164.8</v>
      </c>
      <c r="FD384" s="328">
        <f>IFERROR(VLOOKUP(Capex!A303,BASE_558!D:R,9,)/1000,"")</f>
        <v>1056.5716200000002</v>
      </c>
      <c r="FE384" s="328">
        <f>IFERROR(IF(LEFT(A384,3)="LCP",(VLOOKUP(Capex!A303,BASE_558!D:R,10,)/1000),SUMIFS('BASE ICP_PO_SC'!F:F,'BASE ICP_PO_SC'!A:A,Capex!A303,'BASE ICP_PO_SC'!E:E,"&lt;&gt;")/1000),"")</f>
        <v>13.33648</v>
      </c>
      <c r="FF384" s="328">
        <f>IFERROR(IF(LEFT(A384,3)="LCP",(VLOOKUP(Capex!A303,BASE_558!D:R,11,)/1000),SUMIFS('BASE ICP_PO_SC'!F:F,'BASE ICP_PO_SC'!A:A,Capex!A303,'BASE ICP_PO_SC'!E:E,"")/1000),"")</f>
        <v>8.8134999999999994</v>
      </c>
      <c r="FG384" s="328">
        <f>IFERROR(VLOOKUP(A384,BASE_558!D:R,13,FALSE)/1000,"")</f>
        <v>2328.5315099999998</v>
      </c>
      <c r="FH384" s="328">
        <f>IFERROR(VLOOKUP(A384,BASE_558!D:R,15,FALSE)/1000,"")</f>
        <v>542.03635999999995</v>
      </c>
      <c r="FI384" s="547">
        <f t="shared" si="207"/>
        <v>0</v>
      </c>
      <c r="FJ384" s="547">
        <f t="shared" si="208"/>
        <v>-2.4</v>
      </c>
      <c r="FK384" s="540">
        <f t="shared" si="209"/>
        <v>0</v>
      </c>
    </row>
    <row r="385" spans="1:167" s="23" customFormat="1" ht="24" customHeight="1">
      <c r="A385" s="310" t="s">
        <v>1315</v>
      </c>
      <c r="B385" s="404"/>
      <c r="C385" s="404" t="s">
        <v>602</v>
      </c>
      <c r="D385" s="338" t="s">
        <v>1316</v>
      </c>
      <c r="E385" s="378">
        <v>4829206</v>
      </c>
      <c r="F385" s="5"/>
      <c r="G385" s="310" t="s">
        <v>9</v>
      </c>
      <c r="H385" s="356" t="s">
        <v>6</v>
      </c>
      <c r="I385" s="356"/>
      <c r="J385" s="356">
        <v>2021</v>
      </c>
      <c r="K385" s="352">
        <v>44510</v>
      </c>
      <c r="L385" s="350"/>
      <c r="M385" s="409"/>
      <c r="N385" s="317">
        <f t="shared" si="217"/>
        <v>45422</v>
      </c>
      <c r="O385" s="317">
        <f t="shared" si="218"/>
        <v>45787</v>
      </c>
      <c r="P385" s="418" t="str">
        <f t="shared" ref="P385:AA394" si="222">IF($N385="","N/A",IF($O385="","N/A",IF(P$2&lt;=$N385,"NÃO",IF($AJ385="REL ","SIM",IF(P$2&lt;$O385,"NÃO",IF($AJ385&lt;&gt;"CLSD","SIM","CRTD"))))))</f>
        <v>SIM</v>
      </c>
      <c r="Q385" s="418" t="str">
        <f t="shared" si="222"/>
        <v>SIM</v>
      </c>
      <c r="R385" s="418" t="str">
        <f t="shared" si="222"/>
        <v>SIM</v>
      </c>
      <c r="S385" s="418" t="str">
        <f t="shared" si="222"/>
        <v>SIM</v>
      </c>
      <c r="T385" s="418" t="str">
        <f t="shared" si="222"/>
        <v>SIM</v>
      </c>
      <c r="U385" s="418" t="str">
        <f t="shared" si="222"/>
        <v>SIM</v>
      </c>
      <c r="V385" s="418" t="str">
        <f t="shared" si="222"/>
        <v>SIM</v>
      </c>
      <c r="W385" s="418" t="str">
        <f t="shared" si="222"/>
        <v>SIM</v>
      </c>
      <c r="X385" s="418" t="str">
        <f t="shared" si="222"/>
        <v>SIM</v>
      </c>
      <c r="Y385" s="418" t="str">
        <f t="shared" si="222"/>
        <v>SIM</v>
      </c>
      <c r="Z385" s="551" t="str">
        <f t="shared" si="222"/>
        <v>SIM</v>
      </c>
      <c r="AA385" s="567" t="str">
        <f t="shared" si="222"/>
        <v>SIM</v>
      </c>
      <c r="AB385" s="350"/>
      <c r="AC385" s="309" t="s">
        <v>3931</v>
      </c>
      <c r="AD385" s="311"/>
      <c r="AE385" s="382"/>
      <c r="AF385" s="310" t="s">
        <v>6985</v>
      </c>
      <c r="AG385" s="310" t="s">
        <v>1125</v>
      </c>
      <c r="AH385" s="310" t="s">
        <v>1263</v>
      </c>
      <c r="AI385" s="381" t="s">
        <v>188</v>
      </c>
      <c r="AJ385" s="6" t="s">
        <v>6786</v>
      </c>
      <c r="AK385" s="6" t="str">
        <f t="shared" si="187"/>
        <v>IGUAL</v>
      </c>
      <c r="AL385" s="151" t="str">
        <f>IFERROR(IF(LEFT(A385,3)="LCP",VLOOKUP(A385,STATUS_SAP_LCP!B:C,2,FALSE),VLOOKUP(A385,STATUS_SAP_ICP!B:C,2,FALSE)),"NO BUDGET")</f>
        <v>REL  BUDG AUC  AVAC  //  APPR BREL INPL</v>
      </c>
      <c r="AM385" s="6" t="str">
        <f t="shared" si="185"/>
        <v xml:space="preserve">REL </v>
      </c>
      <c r="AN385" s="429" t="s">
        <v>17006</v>
      </c>
      <c r="AO385" s="429"/>
      <c r="AP385" s="499" t="s">
        <v>9617</v>
      </c>
      <c r="AQ385" s="465">
        <v>45991</v>
      </c>
      <c r="AR385" s="460"/>
      <c r="AS385" s="57"/>
      <c r="AT385" s="185"/>
      <c r="AU385" s="318">
        <v>7.9071599999999993</v>
      </c>
      <c r="AV385" s="223">
        <v>44.461190000000009</v>
      </c>
      <c r="AW385" s="318">
        <v>1.7780399999999998</v>
      </c>
      <c r="AX385" s="223">
        <v>54.612359999999995</v>
      </c>
      <c r="AY385" s="318">
        <f t="shared" si="214"/>
        <v>15.3</v>
      </c>
      <c r="AZ385" s="223"/>
      <c r="BA385" s="318"/>
      <c r="BB385" s="519">
        <f t="shared" si="219"/>
        <v>0</v>
      </c>
      <c r="BC385" s="518"/>
      <c r="BD385" s="518"/>
      <c r="BE385" s="518"/>
      <c r="BF385" s="518"/>
      <c r="BG385" s="518"/>
      <c r="BH385" s="518"/>
      <c r="BI385" s="518"/>
      <c r="BJ385" s="518"/>
      <c r="BK385" s="518"/>
      <c r="BL385" s="518"/>
      <c r="BM385" s="518"/>
      <c r="BN385" s="518"/>
      <c r="BO385" s="367">
        <f t="shared" si="188"/>
        <v>15.3</v>
      </c>
      <c r="BP385" s="421"/>
      <c r="BQ385" s="422"/>
      <c r="BR385" s="423">
        <f>IFERROR(IF(LEFT($A385,3)="Lcp",SUMIFS('BASE-LCP'!$K:$K,'BASE-LCP'!$A:$A,Capex!$A256,'BASE-LCP'!$B:$B,"janeiro")/1000,IF(LEFT($A385,3)="icp",SUMIFS('BASE-ICP'!$K:$K,'BASE-ICP'!$A:$A,Capex!$A256,'BASE-ICP'!$B:$B,"janeiro")/1000,"")),"")</f>
        <v>0</v>
      </c>
      <c r="BS385" s="427">
        <v>0</v>
      </c>
      <c r="BT385" s="372">
        <v>0.3</v>
      </c>
      <c r="BU385" s="422"/>
      <c r="BV385" s="423">
        <f>IFERROR(IF(LEFT($A385,3)="Lcp",SUMIFS('BASE-LCP'!$K:$K,'BASE-LCP'!$A:$A,Capex!$A256,'BASE-LCP'!$B:$B,"fevereiro")/1000,IF(LEFT($A385,3)="icp",SUMIFS('BASE-ICP'!$K:$K,'BASE-ICP'!$A:$A,Capex!$A256,'BASE-ICP'!$B:$B,"fevereiro")/1000,"")),"")</f>
        <v>0</v>
      </c>
      <c r="BW385" s="427">
        <v>0</v>
      </c>
      <c r="BX385" s="372">
        <v>0.3</v>
      </c>
      <c r="BY385" s="419"/>
      <c r="BZ385" s="423">
        <f>IFERROR(IF(LEFT($A385,3)="Lcp",SUMIFS('BASE-LCP'!$K:$K,'BASE-LCP'!$A:$A,Capex!$A256,'BASE-LCP'!$B:$B,"março")/1000,IF(LEFT($A385,3)="icp",SUMIFS('BASE-ICP'!$K:$K,'BASE-ICP'!$A:$A,Capex!$A256,'BASE-ICP'!$B:$B,"março")/1000,"")),"")</f>
        <v>0</v>
      </c>
      <c r="CA385" s="427">
        <v>0</v>
      </c>
      <c r="CB385" s="372">
        <v>0</v>
      </c>
      <c r="CC385" s="422"/>
      <c r="CD385" s="423">
        <f>IFERROR(IF(LEFT($A385,3)="Lcp",SUMIFS('BASE-LCP'!$K:$K,'BASE-LCP'!$A:$A,Capex!$A256,'BASE-LCP'!$B:$B,"abril")/1000,IF(LEFT($A385,3)="icp",SUMIFS('BASE-ICP'!$K:$K,'BASE-ICP'!$A:$A,Capex!$A256,'BASE-ICP'!$B:$B,"abril")/1000,"")),"")</f>
        <v>0</v>
      </c>
      <c r="CE385" s="427">
        <v>0</v>
      </c>
      <c r="CF385" s="372"/>
      <c r="CG385" s="419"/>
      <c r="CH385" s="423">
        <v>0</v>
      </c>
      <c r="CI385" s="427"/>
      <c r="CJ385" s="372">
        <v>0</v>
      </c>
      <c r="CK385" s="419"/>
      <c r="CL385" s="423">
        <f>IFERROR(IF(LEFT($A385,3)="Lcp",SUMIFS('BASE-LCP'!$K:$K,'BASE-LCP'!$A:$A,Capex!$A256,'BASE-LCP'!$B:$B,"junho")/1000,IF(LEFT($A385,3)="icp",SUMIFS('BASE-ICP'!$K:$K,'BASE-ICP'!$A:$A,Capex!$A256,'BASE-ICP'!$B:$B,"junho")/1000,"")),"")</f>
        <v>0</v>
      </c>
      <c r="CM385" s="427">
        <v>0</v>
      </c>
      <c r="CN385" s="372"/>
      <c r="CO385" s="419"/>
      <c r="CP385" s="423">
        <f>IFERROR(IF(LEFT($A385,3)="Lcp",SUMIFS('BASE-LCP'!$K:$K,'BASE-LCP'!$A:$A,Capex!$A256,'BASE-LCP'!$B:$B,"julho")/1000,IF(LEFT($A385,3)="icp",SUMIFS('BASE-ICP'!$K:$K,'BASE-ICP'!$A:$A,Capex!$A256,'BASE-ICP'!$B:$B,"julho")/1000,"")),"")</f>
        <v>0</v>
      </c>
      <c r="CQ385" s="427">
        <f>2.5+1</f>
        <v>3.5</v>
      </c>
      <c r="CR385" s="372"/>
      <c r="CS385" s="419"/>
      <c r="CT385" s="423">
        <f>IFERROR(IF(LEFT($A385,3)="Lcp",SUMIFS('BASE-LCP'!$K:$K,'BASE-LCP'!$A:$A,Capex!$A256,'BASE-LCP'!$B:$B,"agosto")/1000,IF(LEFT($A385,3)="icp",SUMIFS('BASE-ICP'!$K:$K,'BASE-ICP'!$A:$A,Capex!$A256,'BASE-ICP'!$B:$B,"agosto")/1000,"")),"")</f>
        <v>0</v>
      </c>
      <c r="CU385" s="427">
        <v>0</v>
      </c>
      <c r="CV385" s="372"/>
      <c r="CW385" s="419"/>
      <c r="CX385" s="423">
        <f>IFERROR(IF(LEFT($A385,3)="Lcp",SUMIFS('BASE-LCP'!$K:$K,'BASE-LCP'!$A:$A,Capex!$A256,'BASE-LCP'!$B:$B,"setembro")/1000,IF(LEFT($A385,3)="icp",SUMIFS('BASE-ICP'!$K:$K,'BASE-ICP'!$A:$A,Capex!$A256,'BASE-ICP'!$B:$B,"setembro")/1000,"")),"")</f>
        <v>0</v>
      </c>
      <c r="CY385" s="427">
        <v>0</v>
      </c>
      <c r="CZ385" s="372"/>
      <c r="DA385" s="419"/>
      <c r="DB385" s="423">
        <f>IFERROR(IF(LEFT($A385,3)="Lcp",SUMIFS('BASE-LCP'!$K:$K,'BASE-LCP'!$A:$A,Capex!$A256,'BASE-LCP'!$B:$B,"outubro")/1000,IF(LEFT($A385,3)="icp",SUMIFS('BASE-ICP'!$K:$K,'BASE-ICP'!$A:$A,Capex!$A256,'BASE-ICP'!$B:$B,"outubro")/1000,"")),"")</f>
        <v>0</v>
      </c>
      <c r="DC385" s="427">
        <v>2.2999999999999998</v>
      </c>
      <c r="DD385" s="372"/>
      <c r="DE385" s="419"/>
      <c r="DF385" s="423">
        <f>IFERROR(IF(LEFT($A385,3)="Lcp",SUMIFS('BASE-LCP'!$K:$K,'BASE-LCP'!$A:$A,Capex!$A256,'BASE-LCP'!$B:$B,"novembro")/1000,IF(LEFT($A385,3)="icp",SUMIFS('BASE-ICP'!$K:$K,'BASE-ICP'!$A:$A,Capex!$A256,'BASE-ICP'!$B:$B,"novembro")/1000,"")),"")</f>
        <v>0</v>
      </c>
      <c r="DG385" s="427">
        <f>12-2.5</f>
        <v>9.5</v>
      </c>
      <c r="DH385" s="372"/>
      <c r="DI385" s="419"/>
      <c r="DJ385" s="423">
        <f>IFERROR(IF(LEFT($A385,3)="Lcp",SUMIFS('BASE-LCP'!$K:$K,'BASE-LCP'!$A:$A,Capex!$A256,'BASE-LCP'!$B:$B,"dezembro")/1000,IF(LEFT($A385,3)="icp",SUMIFS('BASE-ICP'!$K:$K,'BASE-ICP'!$A:$A,Capex!$A256,'BASE-ICP'!$B:$B,"dezembro")/1000,"")),"")</f>
        <v>0</v>
      </c>
      <c r="DK385" s="427">
        <v>0</v>
      </c>
      <c r="DL385" s="452">
        <f t="shared" si="189"/>
        <v>0</v>
      </c>
      <c r="DM385" s="374"/>
      <c r="DN385" s="374">
        <v>0</v>
      </c>
      <c r="DO385" s="374"/>
      <c r="DP385" s="374"/>
      <c r="DQ385" s="374"/>
      <c r="DR385" s="374"/>
      <c r="DS385" s="374"/>
      <c r="DT385" s="374"/>
      <c r="DU385" s="374"/>
      <c r="DV385" s="374"/>
      <c r="DW385" s="374"/>
      <c r="DX385" s="374"/>
      <c r="DY385" s="450"/>
      <c r="DZ385" s="374">
        <f t="shared" si="190"/>
        <v>0</v>
      </c>
      <c r="EA385" s="216">
        <f t="shared" si="191"/>
        <v>0</v>
      </c>
      <c r="EB385" s="320">
        <f t="shared" si="192"/>
        <v>0</v>
      </c>
      <c r="EC385" s="241">
        <f t="shared" si="193"/>
        <v>0</v>
      </c>
      <c r="ED385" s="241">
        <f t="shared" si="194"/>
        <v>0</v>
      </c>
      <c r="EE385" s="241">
        <f t="shared" si="195"/>
        <v>3.5</v>
      </c>
      <c r="EF385" s="241">
        <f t="shared" si="196"/>
        <v>11.8</v>
      </c>
      <c r="EG385" s="346">
        <f t="shared" si="197"/>
        <v>15.3</v>
      </c>
      <c r="EH385" s="445">
        <f t="shared" si="198"/>
        <v>0</v>
      </c>
      <c r="EI385" s="447">
        <f t="shared" si="199"/>
        <v>0</v>
      </c>
      <c r="EJ385" s="364">
        <f t="shared" si="200"/>
        <v>0</v>
      </c>
      <c r="EK385" s="365">
        <f t="shared" si="201"/>
        <v>15.3</v>
      </c>
      <c r="EL385" s="529">
        <f t="shared" si="202"/>
        <v>12.3</v>
      </c>
      <c r="EM385" s="530">
        <v>0</v>
      </c>
      <c r="EN385" s="530">
        <v>0</v>
      </c>
      <c r="EO385" s="530">
        <v>0</v>
      </c>
      <c r="EP385" s="530">
        <v>0</v>
      </c>
      <c r="EQ385" s="530">
        <v>0</v>
      </c>
      <c r="ER385" s="530">
        <v>0</v>
      </c>
      <c r="ES385" s="530">
        <v>0</v>
      </c>
      <c r="ET385" s="530">
        <v>0</v>
      </c>
      <c r="EU385" s="530">
        <v>0</v>
      </c>
      <c r="EV385" s="530">
        <v>0.3</v>
      </c>
      <c r="EW385" s="530">
        <v>12</v>
      </c>
      <c r="EX385" s="530">
        <v>0</v>
      </c>
      <c r="EY385" s="530">
        <f t="shared" si="203"/>
        <v>0</v>
      </c>
      <c r="EZ385" s="530">
        <f t="shared" si="204"/>
        <v>0</v>
      </c>
      <c r="FA385" s="530">
        <f t="shared" si="205"/>
        <v>0</v>
      </c>
      <c r="FB385" s="530">
        <f t="shared" si="206"/>
        <v>12.3</v>
      </c>
      <c r="FC385" s="384">
        <f>IFERROR(VLOOKUP(Capex!A256,BASE_558!D:R,8,FALSE)/1000,"")</f>
        <v>600</v>
      </c>
      <c r="FD385" s="328">
        <f>IFERROR(VLOOKUP(Capex!A256,BASE_558!D:R,9,)/1000,"")</f>
        <v>506.59172999999998</v>
      </c>
      <c r="FE385" s="328">
        <f>IFERROR(IF(LEFT(A385,3)="LCP",(VLOOKUP(Capex!A256,BASE_558!D:R,10,)/1000),SUMIFS('BASE ICP_PO_SC'!F:F,'BASE ICP_PO_SC'!A:A,Capex!A256,'BASE ICP_PO_SC'!E:E,"&lt;&gt;")/1000),"")</f>
        <v>0</v>
      </c>
      <c r="FF385" s="328">
        <f>IFERROR(IF(LEFT(A385,3)="LCP",(VLOOKUP(Capex!A256,BASE_558!D:R,11,)/1000),SUMIFS('BASE ICP_PO_SC'!F:F,'BASE ICP_PO_SC'!A:A,Capex!A256,'BASE ICP_PO_SC'!E:E,"")/1000),"")</f>
        <v>0</v>
      </c>
      <c r="FG385" s="328">
        <f>IFERROR(VLOOKUP(A385,BASE_558!D:R,13,FALSE)/1000,"")</f>
        <v>116.85507000000001</v>
      </c>
      <c r="FH385" s="328">
        <f>IFERROR(VLOOKUP(A385,BASE_558!D:R,15,FALSE)/1000,"")</f>
        <v>127.89869999999999</v>
      </c>
      <c r="FI385" s="547">
        <f t="shared" si="207"/>
        <v>0</v>
      </c>
      <c r="FJ385" s="547">
        <f t="shared" si="208"/>
        <v>-3.5</v>
      </c>
      <c r="FK385" s="540">
        <f t="shared" si="209"/>
        <v>0.5</v>
      </c>
    </row>
    <row r="386" spans="1:167" s="23" customFormat="1" ht="24" customHeight="1">
      <c r="A386" s="84" t="s">
        <v>1159</v>
      </c>
      <c r="B386" s="404"/>
      <c r="C386" s="404" t="s">
        <v>1264</v>
      </c>
      <c r="D386" s="338" t="s">
        <v>2282</v>
      </c>
      <c r="E386" s="378">
        <v>4723426</v>
      </c>
      <c r="F386" s="5"/>
      <c r="G386" s="310" t="s">
        <v>9</v>
      </c>
      <c r="H386" s="356" t="s">
        <v>6</v>
      </c>
      <c r="I386" s="356"/>
      <c r="J386" s="356">
        <v>2021</v>
      </c>
      <c r="K386" s="352">
        <v>44483</v>
      </c>
      <c r="L386" s="350"/>
      <c r="M386" s="409"/>
      <c r="N386" s="317">
        <f t="shared" si="217"/>
        <v>45395</v>
      </c>
      <c r="O386" s="317">
        <f t="shared" si="218"/>
        <v>45760</v>
      </c>
      <c r="P386" s="418" t="str">
        <f t="shared" si="222"/>
        <v>SIM</v>
      </c>
      <c r="Q386" s="418" t="str">
        <f t="shared" si="222"/>
        <v>SIM</v>
      </c>
      <c r="R386" s="418" t="str">
        <f t="shared" si="222"/>
        <v>SIM</v>
      </c>
      <c r="S386" s="418" t="str">
        <f t="shared" si="222"/>
        <v>SIM</v>
      </c>
      <c r="T386" s="418" t="str">
        <f t="shared" si="222"/>
        <v>SIM</v>
      </c>
      <c r="U386" s="418" t="str">
        <f t="shared" si="222"/>
        <v>SIM</v>
      </c>
      <c r="V386" s="418" t="str">
        <f t="shared" si="222"/>
        <v>SIM</v>
      </c>
      <c r="W386" s="551" t="str">
        <f t="shared" si="222"/>
        <v>SIM</v>
      </c>
      <c r="X386" s="418" t="str">
        <f t="shared" si="222"/>
        <v>SIM</v>
      </c>
      <c r="Y386" s="418" t="str">
        <f t="shared" si="222"/>
        <v>SIM</v>
      </c>
      <c r="Z386" s="418" t="str">
        <f t="shared" si="222"/>
        <v>SIM</v>
      </c>
      <c r="AA386" s="567" t="str">
        <f t="shared" si="222"/>
        <v>SIM</v>
      </c>
      <c r="AB386" s="350"/>
      <c r="AC386" s="309" t="s">
        <v>3932</v>
      </c>
      <c r="AD386" s="311" t="s">
        <v>982</v>
      </c>
      <c r="AE386" s="382" t="s">
        <v>2261</v>
      </c>
      <c r="AF386" s="310" t="s">
        <v>6985</v>
      </c>
      <c r="AG386" s="310" t="s">
        <v>2186</v>
      </c>
      <c r="AH386" s="310" t="s">
        <v>1162</v>
      </c>
      <c r="AI386" s="381" t="s">
        <v>2255</v>
      </c>
      <c r="AJ386" s="6" t="s">
        <v>6786</v>
      </c>
      <c r="AK386" s="6" t="str">
        <f t="shared" si="187"/>
        <v>IGUAL</v>
      </c>
      <c r="AL386" s="151" t="str">
        <f>IFERROR(IF(LEFT(A386,3)="LCP",VLOOKUP(A386,STATUS_SAP_LCP!B:C,2,FALSE),VLOOKUP(A386,STATUS_SAP_ICP!B:C,2,FALSE)),"NO BUDGET")</f>
        <v>REL  BUDG AUC   //  APPR BREL INPL</v>
      </c>
      <c r="AM386" s="6" t="str">
        <f t="shared" ref="AM386:AM449" si="223">IF(LEFT(AL386,4)="PREL","REL ",IF(LEFT(AL386,9)="NO BUDGET","NO BUDGET",LEFT(AL386,4)))</f>
        <v xml:space="preserve">REL </v>
      </c>
      <c r="AN386" s="429" t="s">
        <v>17711</v>
      </c>
      <c r="AO386" s="414"/>
      <c r="AP386" s="499" t="s">
        <v>5299</v>
      </c>
      <c r="AQ386" s="465">
        <v>45838</v>
      </c>
      <c r="AR386" s="460"/>
      <c r="AS386" s="57"/>
      <c r="AT386" s="185"/>
      <c r="AU386" s="318">
        <v>55.300829999999998</v>
      </c>
      <c r="AV386" s="223">
        <v>167.54766000000001</v>
      </c>
      <c r="AW386" s="318">
        <v>43.920319999999997</v>
      </c>
      <c r="AX386" s="223">
        <v>8.4504799999999989</v>
      </c>
      <c r="AY386" s="318">
        <f t="shared" si="214"/>
        <v>5</v>
      </c>
      <c r="AZ386" s="223"/>
      <c r="BA386" s="318"/>
      <c r="BB386" s="519">
        <f t="shared" si="219"/>
        <v>10</v>
      </c>
      <c r="BC386" s="518">
        <v>0</v>
      </c>
      <c r="BD386" s="518">
        <v>0</v>
      </c>
      <c r="BE386" s="518">
        <v>10</v>
      </c>
      <c r="BF386" s="518">
        <v>0</v>
      </c>
      <c r="BG386" s="518">
        <v>0</v>
      </c>
      <c r="BH386" s="518">
        <v>0</v>
      </c>
      <c r="BI386" s="518">
        <v>0</v>
      </c>
      <c r="BJ386" s="518">
        <v>0</v>
      </c>
      <c r="BK386" s="518">
        <v>0</v>
      </c>
      <c r="BL386" s="518">
        <v>0</v>
      </c>
      <c r="BM386" s="518">
        <v>0</v>
      </c>
      <c r="BN386" s="518">
        <v>0</v>
      </c>
      <c r="BO386" s="367">
        <f t="shared" si="188"/>
        <v>5</v>
      </c>
      <c r="BP386" s="421">
        <v>0</v>
      </c>
      <c r="BQ386" s="422"/>
      <c r="BR386" s="423">
        <f>IFERROR(IF(LEFT($A386,3)="Lcp",SUMIFS('BASE-LCP'!$K:$K,'BASE-LCP'!$A:$A,Capex!$A249,'BASE-LCP'!$B:$B,"janeiro")/1000,IF(LEFT($A386,3)="icp",SUMIFS('BASE-ICP'!$K:$K,'BASE-ICP'!$A:$A,Capex!$A249,'BASE-ICP'!$B:$B,"janeiro")/1000,"")),"")</f>
        <v>0</v>
      </c>
      <c r="BS386" s="427">
        <v>0</v>
      </c>
      <c r="BT386" s="372">
        <v>0</v>
      </c>
      <c r="BU386" s="422"/>
      <c r="BV386" s="423">
        <f>IFERROR(IF(LEFT($A386,3)="Lcp",SUMIFS('BASE-LCP'!$K:$K,'BASE-LCP'!$A:$A,Capex!$A249,'BASE-LCP'!$B:$B,"fevereiro")/1000,IF(LEFT($A386,3)="icp",SUMIFS('BASE-ICP'!$K:$K,'BASE-ICP'!$A:$A,Capex!$A249,'BASE-ICP'!$B:$B,"fevereiro")/1000,"")),"")</f>
        <v>0</v>
      </c>
      <c r="BW386" s="427">
        <v>0</v>
      </c>
      <c r="BX386" s="372">
        <v>5</v>
      </c>
      <c r="BY386" s="419"/>
      <c r="BZ386" s="423">
        <f>IFERROR(IF(LEFT($A386,3)="Lcp",SUMIFS('BASE-LCP'!$K:$K,'BASE-LCP'!$A:$A,Capex!$A249,'BASE-LCP'!$B:$B,"março")/1000,IF(LEFT($A386,3)="icp",SUMIFS('BASE-ICP'!$K:$K,'BASE-ICP'!$A:$A,Capex!$A249,'BASE-ICP'!$B:$B,"março")/1000,"")),"")</f>
        <v>0</v>
      </c>
      <c r="CA386" s="427">
        <v>0</v>
      </c>
      <c r="CB386" s="372">
        <v>5</v>
      </c>
      <c r="CC386" s="422"/>
      <c r="CD386" s="423">
        <f>IFERROR(IF(LEFT($A386,3)="Lcp",SUMIFS('BASE-LCP'!$K:$K,'BASE-LCP'!$A:$A,Capex!$A249,'BASE-LCP'!$B:$B,"abril")/1000,IF(LEFT($A386,3)="icp",SUMIFS('BASE-ICP'!$K:$K,'BASE-ICP'!$A:$A,Capex!$A249,'BASE-ICP'!$B:$B,"abril")/1000,"")),"")</f>
        <v>0</v>
      </c>
      <c r="CE386" s="427">
        <v>0</v>
      </c>
      <c r="CF386" s="372">
        <v>5</v>
      </c>
      <c r="CG386" s="419"/>
      <c r="CH386" s="423">
        <v>0</v>
      </c>
      <c r="CI386" s="427">
        <v>0</v>
      </c>
      <c r="CJ386" s="372">
        <v>5</v>
      </c>
      <c r="CK386" s="419"/>
      <c r="CL386" s="423">
        <f>IFERROR(IF(LEFT($A386,3)="Lcp",SUMIFS('BASE-LCP'!$K:$K,'BASE-LCP'!$A:$A,Capex!$A249,'BASE-LCP'!$B:$B,"junho")/1000,IF(LEFT($A386,3)="icp",SUMIFS('BASE-ICP'!$K:$K,'BASE-ICP'!$A:$A,Capex!$A249,'BASE-ICP'!$B:$B,"junho")/1000,"")),"")</f>
        <v>0</v>
      </c>
      <c r="CM386" s="427">
        <v>0</v>
      </c>
      <c r="CN386" s="372"/>
      <c r="CO386" s="419"/>
      <c r="CP386" s="423">
        <f>IFERROR(IF(LEFT($A386,3)="Lcp",SUMIFS('BASE-LCP'!$K:$K,'BASE-LCP'!$A:$A,Capex!$A249,'BASE-LCP'!$B:$B,"julho")/1000,IF(LEFT($A386,3)="icp",SUMIFS('BASE-ICP'!$K:$K,'BASE-ICP'!$A:$A,Capex!$A249,'BASE-ICP'!$B:$B,"julho")/1000,"")),"")</f>
        <v>0</v>
      </c>
      <c r="CQ386" s="427">
        <v>5</v>
      </c>
      <c r="CR386" s="372"/>
      <c r="CS386" s="419"/>
      <c r="CT386" s="423">
        <f>IFERROR(IF(LEFT($A386,3)="Lcp",SUMIFS('BASE-LCP'!$K:$K,'BASE-LCP'!$A:$A,Capex!$A249,'BASE-LCP'!$B:$B,"agosto")/1000,IF(LEFT($A386,3)="icp",SUMIFS('BASE-ICP'!$K:$K,'BASE-ICP'!$A:$A,Capex!$A249,'BASE-ICP'!$B:$B,"agosto")/1000,"")),"")</f>
        <v>0</v>
      </c>
      <c r="CU386" s="427">
        <v>0</v>
      </c>
      <c r="CV386" s="372"/>
      <c r="CW386" s="419"/>
      <c r="CX386" s="423">
        <f>IFERROR(IF(LEFT($A386,3)="Lcp",SUMIFS('BASE-LCP'!$K:$K,'BASE-LCP'!$A:$A,Capex!$A249,'BASE-LCP'!$B:$B,"setembro")/1000,IF(LEFT($A386,3)="icp",SUMIFS('BASE-ICP'!$K:$K,'BASE-ICP'!$A:$A,Capex!$A249,'BASE-ICP'!$B:$B,"setembro")/1000,"")),"")</f>
        <v>0</v>
      </c>
      <c r="CY386" s="427">
        <v>0</v>
      </c>
      <c r="CZ386" s="372"/>
      <c r="DA386" s="419"/>
      <c r="DB386" s="423">
        <f>IFERROR(IF(LEFT($A386,3)="Lcp",SUMIFS('BASE-LCP'!$K:$K,'BASE-LCP'!$A:$A,Capex!$A249,'BASE-LCP'!$B:$B,"outubro")/1000,IF(LEFT($A386,3)="icp",SUMIFS('BASE-ICP'!$K:$K,'BASE-ICP'!$A:$A,Capex!$A249,'BASE-ICP'!$B:$B,"outubro")/1000,"")),"")</f>
        <v>0</v>
      </c>
      <c r="DC386" s="427">
        <v>0</v>
      </c>
      <c r="DD386" s="372"/>
      <c r="DE386" s="419"/>
      <c r="DF386" s="423">
        <f>IFERROR(IF(LEFT($A386,3)="Lcp",SUMIFS('BASE-LCP'!$K:$K,'BASE-LCP'!$A:$A,Capex!$A249,'BASE-LCP'!$B:$B,"novembro")/1000,IF(LEFT($A386,3)="icp",SUMIFS('BASE-ICP'!$K:$K,'BASE-ICP'!$A:$A,Capex!$A249,'BASE-ICP'!$B:$B,"novembro")/1000,"")),"")</f>
        <v>0</v>
      </c>
      <c r="DG386" s="427">
        <v>0</v>
      </c>
      <c r="DH386" s="372"/>
      <c r="DI386" s="419"/>
      <c r="DJ386" s="423">
        <f>IFERROR(IF(LEFT($A386,3)="Lcp",SUMIFS('BASE-LCP'!$K:$K,'BASE-LCP'!$A:$A,Capex!$A249,'BASE-LCP'!$B:$B,"dezembro")/1000,IF(LEFT($A386,3)="icp",SUMIFS('BASE-ICP'!$K:$K,'BASE-ICP'!$A:$A,Capex!$A249,'BASE-ICP'!$B:$B,"dezembro")/1000,"")),"")</f>
        <v>0</v>
      </c>
      <c r="DK386" s="427">
        <v>0</v>
      </c>
      <c r="DL386" s="452">
        <f t="shared" si="189"/>
        <v>0</v>
      </c>
      <c r="DM386" s="374"/>
      <c r="DN386" s="374">
        <v>0</v>
      </c>
      <c r="DO386" s="374"/>
      <c r="DP386" s="374"/>
      <c r="DQ386" s="374"/>
      <c r="DR386" s="374"/>
      <c r="DS386" s="374"/>
      <c r="DT386" s="374"/>
      <c r="DU386" s="374"/>
      <c r="DV386" s="374"/>
      <c r="DW386" s="374"/>
      <c r="DX386" s="374"/>
      <c r="DY386" s="450"/>
      <c r="DZ386" s="374">
        <f t="shared" si="190"/>
        <v>0</v>
      </c>
      <c r="EA386" s="216">
        <f t="shared" si="191"/>
        <v>-5</v>
      </c>
      <c r="EB386" s="320">
        <f t="shared" si="192"/>
        <v>0</v>
      </c>
      <c r="EC386" s="241">
        <f t="shared" si="193"/>
        <v>0</v>
      </c>
      <c r="ED386" s="241">
        <f t="shared" si="194"/>
        <v>0</v>
      </c>
      <c r="EE386" s="241">
        <f t="shared" si="195"/>
        <v>5</v>
      </c>
      <c r="EF386" s="241">
        <f t="shared" si="196"/>
        <v>0</v>
      </c>
      <c r="EG386" s="346">
        <f t="shared" si="197"/>
        <v>-5</v>
      </c>
      <c r="EH386" s="445">
        <f t="shared" si="198"/>
        <v>5</v>
      </c>
      <c r="EI386" s="447">
        <f t="shared" si="199"/>
        <v>0</v>
      </c>
      <c r="EJ386" s="364">
        <f t="shared" si="200"/>
        <v>0</v>
      </c>
      <c r="EK386" s="365">
        <f t="shared" si="201"/>
        <v>5</v>
      </c>
      <c r="EL386" s="529">
        <f t="shared" si="202"/>
        <v>5</v>
      </c>
      <c r="EM386" s="530">
        <v>0</v>
      </c>
      <c r="EN386" s="530">
        <v>0</v>
      </c>
      <c r="EO386" s="530">
        <v>0</v>
      </c>
      <c r="EP386" s="530">
        <v>0</v>
      </c>
      <c r="EQ386" s="530">
        <v>0</v>
      </c>
      <c r="ER386" s="530">
        <v>5</v>
      </c>
      <c r="ES386" s="530">
        <v>0</v>
      </c>
      <c r="ET386" s="530">
        <v>0</v>
      </c>
      <c r="EU386" s="530">
        <v>0</v>
      </c>
      <c r="EV386" s="530">
        <v>0</v>
      </c>
      <c r="EW386" s="530">
        <v>0</v>
      </c>
      <c r="EX386" s="530">
        <v>0</v>
      </c>
      <c r="EY386" s="530">
        <f t="shared" si="203"/>
        <v>0</v>
      </c>
      <c r="EZ386" s="530">
        <f t="shared" si="204"/>
        <v>5</v>
      </c>
      <c r="FA386" s="530">
        <f t="shared" si="205"/>
        <v>0</v>
      </c>
      <c r="FB386" s="530">
        <f t="shared" si="206"/>
        <v>0</v>
      </c>
      <c r="FC386" s="384">
        <f>IFERROR(VLOOKUP(Capex!A249,BASE_558!D:R,8,FALSE)/1000,"")</f>
        <v>183.67</v>
      </c>
      <c r="FD386" s="328">
        <f>IFERROR(VLOOKUP(Capex!A249,BASE_558!D:R,9,)/1000,"")</f>
        <v>109.68371</v>
      </c>
      <c r="FE386" s="328">
        <f>IFERROR(IF(LEFT(A386,3)="LCP",(VLOOKUP(Capex!A249,BASE_558!D:R,10,)/1000),SUMIFS('BASE ICP_PO_SC'!F:F,'BASE ICP_PO_SC'!A:A,Capex!A249,'BASE ICP_PO_SC'!E:E,"&lt;&gt;")/1000),"")</f>
        <v>0</v>
      </c>
      <c r="FF386" s="328">
        <f>IFERROR(IF(LEFT(A386,3)="LCP",(VLOOKUP(Capex!A249,BASE_558!D:R,11,)/1000),SUMIFS('BASE ICP_PO_SC'!F:F,'BASE ICP_PO_SC'!A:A,Capex!A249,'BASE ICP_PO_SC'!E:E,"")/1000),"")</f>
        <v>0</v>
      </c>
      <c r="FG386" s="328">
        <f>IFERROR(VLOOKUP(A386,BASE_558!D:R,13,FALSE)/1000,"")</f>
        <v>281.88263000000001</v>
      </c>
      <c r="FH386" s="328">
        <f>IFERROR(VLOOKUP(A386,BASE_558!D:R,15,FALSE)/1000,"")</f>
        <v>7.8498000000000001</v>
      </c>
      <c r="FI386" s="547">
        <f t="shared" si="207"/>
        <v>5</v>
      </c>
      <c r="FJ386" s="547">
        <f t="shared" si="208"/>
        <v>-5</v>
      </c>
      <c r="FK386" s="540">
        <f t="shared" si="209"/>
        <v>0</v>
      </c>
    </row>
    <row r="387" spans="1:167" s="23" customFormat="1" ht="24" customHeight="1">
      <c r="A387" s="84" t="s">
        <v>1604</v>
      </c>
      <c r="B387" s="404"/>
      <c r="C387" s="404">
        <v>18908</v>
      </c>
      <c r="D387" s="338" t="s">
        <v>1911</v>
      </c>
      <c r="E387" s="378">
        <v>5657652</v>
      </c>
      <c r="F387" s="5"/>
      <c r="G387" s="310" t="s">
        <v>9</v>
      </c>
      <c r="H387" s="356" t="s">
        <v>6</v>
      </c>
      <c r="I387" s="356"/>
      <c r="J387" s="356">
        <v>2022</v>
      </c>
      <c r="K387" s="352">
        <v>44739</v>
      </c>
      <c r="L387" s="350"/>
      <c r="M387" s="409"/>
      <c r="N387" s="317">
        <f t="shared" si="217"/>
        <v>45651</v>
      </c>
      <c r="O387" s="317">
        <f t="shared" si="218"/>
        <v>46016</v>
      </c>
      <c r="P387" s="418" t="str">
        <f t="shared" si="222"/>
        <v>SIM</v>
      </c>
      <c r="Q387" s="418" t="str">
        <f t="shared" si="222"/>
        <v>SIM</v>
      </c>
      <c r="R387" s="418" t="str">
        <f t="shared" si="222"/>
        <v>SIM</v>
      </c>
      <c r="S387" s="418" t="str">
        <f t="shared" si="222"/>
        <v>SIM</v>
      </c>
      <c r="T387" s="418" t="str">
        <f t="shared" si="222"/>
        <v>SIM</v>
      </c>
      <c r="U387" s="418" t="str">
        <f t="shared" si="222"/>
        <v>SIM</v>
      </c>
      <c r="V387" s="418" t="str">
        <f t="shared" si="222"/>
        <v>SIM</v>
      </c>
      <c r="W387" s="551" t="str">
        <f t="shared" si="222"/>
        <v>SIM</v>
      </c>
      <c r="X387" s="418" t="str">
        <f t="shared" si="222"/>
        <v>SIM</v>
      </c>
      <c r="Y387" s="418" t="str">
        <f t="shared" si="222"/>
        <v>SIM</v>
      </c>
      <c r="Z387" s="418" t="str">
        <f t="shared" si="222"/>
        <v>SIM</v>
      </c>
      <c r="AA387" s="567" t="str">
        <f t="shared" si="222"/>
        <v>SIM</v>
      </c>
      <c r="AB387" s="350"/>
      <c r="AC387" s="309" t="s">
        <v>3932</v>
      </c>
      <c r="AD387" s="311" t="s">
        <v>982</v>
      </c>
      <c r="AE387" s="382" t="s">
        <v>2261</v>
      </c>
      <c r="AF387" s="310" t="s">
        <v>6985</v>
      </c>
      <c r="AG387" s="310" t="s">
        <v>2186</v>
      </c>
      <c r="AH387" s="310" t="s">
        <v>1556</v>
      </c>
      <c r="AI387" s="381" t="s">
        <v>2255</v>
      </c>
      <c r="AJ387" s="6" t="s">
        <v>6786</v>
      </c>
      <c r="AK387" s="6" t="str">
        <f t="shared" si="187"/>
        <v>IGUAL</v>
      </c>
      <c r="AL387" s="151" t="str">
        <f>IFERROR(IF(LEFT(A387,3)="LCP",VLOOKUP(A387,STATUS_SAP_LCP!B:C,2,FALSE),VLOOKUP(A387,STATUS_SAP_ICP!B:C,2,FALSE)),"NO BUDGET")</f>
        <v>REL  BUDG AUC  AVAC  //  APPR BREL INPL</v>
      </c>
      <c r="AM387" s="6" t="str">
        <f t="shared" si="223"/>
        <v xml:space="preserve">REL </v>
      </c>
      <c r="AN387" s="414" t="s">
        <v>19517</v>
      </c>
      <c r="AO387" s="414"/>
      <c r="AP387" s="499" t="s">
        <v>5299</v>
      </c>
      <c r="AQ387" s="465">
        <v>45838</v>
      </c>
      <c r="AR387" s="460"/>
      <c r="AS387" s="57"/>
      <c r="AT387" s="185"/>
      <c r="AU387" s="318">
        <v>0</v>
      </c>
      <c r="AV387" s="223">
        <v>0</v>
      </c>
      <c r="AW387" s="318">
        <v>121.51737</v>
      </c>
      <c r="AX387" s="223">
        <v>12.97382</v>
      </c>
      <c r="AY387" s="318">
        <f t="shared" si="214"/>
        <v>8.0636499999999991</v>
      </c>
      <c r="AZ387" s="223"/>
      <c r="BA387" s="318"/>
      <c r="BB387" s="519">
        <f t="shared" si="219"/>
        <v>0</v>
      </c>
      <c r="BC387" s="518">
        <v>0</v>
      </c>
      <c r="BD387" s="518">
        <v>0</v>
      </c>
      <c r="BE387" s="518">
        <v>0</v>
      </c>
      <c r="BF387" s="518">
        <v>0</v>
      </c>
      <c r="BG387" s="518">
        <v>0</v>
      </c>
      <c r="BH387" s="518">
        <v>0</v>
      </c>
      <c r="BI387" s="518">
        <v>0</v>
      </c>
      <c r="BJ387" s="518">
        <v>0</v>
      </c>
      <c r="BK387" s="518">
        <v>0</v>
      </c>
      <c r="BL387" s="518">
        <v>0</v>
      </c>
      <c r="BM387" s="518">
        <v>0</v>
      </c>
      <c r="BN387" s="518">
        <v>0</v>
      </c>
      <c r="BO387" s="367">
        <f t="shared" si="188"/>
        <v>8.0636499999999991</v>
      </c>
      <c r="BP387" s="421">
        <v>0</v>
      </c>
      <c r="BQ387" s="422"/>
      <c r="BR387" s="423">
        <f>IFERROR(IF(LEFT($A387,3)="Lcp",SUMIFS('BASE-LCP'!$K:$K,'BASE-LCP'!$A:$A,Capex!$A276,'BASE-LCP'!$B:$B,"janeiro")/1000,IF(LEFT($A387,3)="icp",SUMIFS('BASE-ICP'!$K:$K,'BASE-ICP'!$A:$A,Capex!$A276,'BASE-ICP'!$B:$B,"janeiro")/1000,"")),"")</f>
        <v>0</v>
      </c>
      <c r="BS387" s="427">
        <v>0</v>
      </c>
      <c r="BT387" s="372">
        <v>6</v>
      </c>
      <c r="BU387" s="422"/>
      <c r="BV387" s="423">
        <f>IFERROR(IF(LEFT($A387,3)="Lcp",SUMIFS('BASE-LCP'!$K:$K,'BASE-LCP'!$A:$A,Capex!$A276,'BASE-LCP'!$B:$B,"fevereiro")/1000,IF(LEFT($A387,3)="icp",SUMIFS('BASE-ICP'!$K:$K,'BASE-ICP'!$A:$A,Capex!$A276,'BASE-ICP'!$B:$B,"fevereiro")/1000,"")),"")</f>
        <v>0</v>
      </c>
      <c r="BW387" s="427">
        <v>0</v>
      </c>
      <c r="BX387" s="372">
        <v>6</v>
      </c>
      <c r="BY387" s="419"/>
      <c r="BZ387" s="423">
        <f>IFERROR(IF(LEFT($A387,3)="Lcp",SUMIFS('BASE-LCP'!$K:$K,'BASE-LCP'!$A:$A,Capex!$A276,'BASE-LCP'!$B:$B,"março")/1000,IF(LEFT($A387,3)="icp",SUMIFS('BASE-ICP'!$K:$K,'BASE-ICP'!$A:$A,Capex!$A276,'BASE-ICP'!$B:$B,"março")/1000,"")),"")</f>
        <v>0</v>
      </c>
      <c r="CA387" s="427">
        <v>0</v>
      </c>
      <c r="CB387" s="372">
        <v>6</v>
      </c>
      <c r="CC387" s="422"/>
      <c r="CD387" s="423">
        <f>IFERROR(IF(LEFT($A387,3)="Lcp",SUMIFS('BASE-LCP'!$K:$K,'BASE-LCP'!$A:$A,Capex!$A276,'BASE-LCP'!$B:$B,"abril")/1000,IF(LEFT($A387,3)="icp",SUMIFS('BASE-ICP'!$K:$K,'BASE-ICP'!$A:$A,Capex!$A276,'BASE-ICP'!$B:$B,"abril")/1000,"")),"")</f>
        <v>0</v>
      </c>
      <c r="CE387" s="427">
        <v>0</v>
      </c>
      <c r="CF387" s="372">
        <v>6</v>
      </c>
      <c r="CG387" s="419">
        <v>3.06365</v>
      </c>
      <c r="CH387" s="423">
        <v>3.06365</v>
      </c>
      <c r="CI387" s="427">
        <v>3.06365</v>
      </c>
      <c r="CJ387" s="372">
        <v>5</v>
      </c>
      <c r="CK387" s="419"/>
      <c r="CL387" s="423">
        <f>IFERROR(IF(LEFT($A387,3)="Lcp",SUMIFS('BASE-LCP'!$K:$K,'BASE-LCP'!$A:$A,Capex!$A276,'BASE-LCP'!$B:$B,"junho")/1000,IF(LEFT($A387,3)="icp",SUMIFS('BASE-ICP'!$K:$K,'BASE-ICP'!$A:$A,Capex!$A276,'BASE-ICP'!$B:$B,"junho")/1000,"")),"")</f>
        <v>0</v>
      </c>
      <c r="CM387" s="427">
        <v>0</v>
      </c>
      <c r="CN387" s="372"/>
      <c r="CO387" s="419"/>
      <c r="CP387" s="423">
        <f>IFERROR(IF(LEFT($A387,3)="Lcp",SUMIFS('BASE-LCP'!$K:$K,'BASE-LCP'!$A:$A,Capex!$A276,'BASE-LCP'!$B:$B,"julho")/1000,IF(LEFT($A387,3)="icp",SUMIFS('BASE-ICP'!$K:$K,'BASE-ICP'!$A:$A,Capex!$A276,'BASE-ICP'!$B:$B,"julho")/1000,"")),"")</f>
        <v>0</v>
      </c>
      <c r="CQ387" s="427">
        <v>5</v>
      </c>
      <c r="CR387" s="372"/>
      <c r="CS387" s="419"/>
      <c r="CT387" s="423">
        <f>IFERROR(IF(LEFT($A387,3)="Lcp",SUMIFS('BASE-LCP'!$K:$K,'BASE-LCP'!$A:$A,Capex!$A276,'BASE-LCP'!$B:$B,"agosto")/1000,IF(LEFT($A387,3)="icp",SUMIFS('BASE-ICP'!$K:$K,'BASE-ICP'!$A:$A,Capex!$A276,'BASE-ICP'!$B:$B,"agosto")/1000,"")),"")</f>
        <v>0</v>
      </c>
      <c r="CU387" s="427">
        <v>0</v>
      </c>
      <c r="CV387" s="372"/>
      <c r="CW387" s="419"/>
      <c r="CX387" s="423">
        <f>IFERROR(IF(LEFT($A387,3)="Lcp",SUMIFS('BASE-LCP'!$K:$K,'BASE-LCP'!$A:$A,Capex!$A276,'BASE-LCP'!$B:$B,"setembro")/1000,IF(LEFT($A387,3)="icp",SUMIFS('BASE-ICP'!$K:$K,'BASE-ICP'!$A:$A,Capex!$A276,'BASE-ICP'!$B:$B,"setembro")/1000,"")),"")</f>
        <v>0</v>
      </c>
      <c r="CY387" s="427">
        <v>0</v>
      </c>
      <c r="CZ387" s="372"/>
      <c r="DA387" s="419"/>
      <c r="DB387" s="423">
        <f>IFERROR(IF(LEFT($A387,3)="Lcp",SUMIFS('BASE-LCP'!$K:$K,'BASE-LCP'!$A:$A,Capex!$A276,'BASE-LCP'!$B:$B,"outubro")/1000,IF(LEFT($A387,3)="icp",SUMIFS('BASE-ICP'!$K:$K,'BASE-ICP'!$A:$A,Capex!$A276,'BASE-ICP'!$B:$B,"outubro")/1000,"")),"")</f>
        <v>0</v>
      </c>
      <c r="DC387" s="427">
        <v>0</v>
      </c>
      <c r="DD387" s="372"/>
      <c r="DE387" s="419"/>
      <c r="DF387" s="423">
        <f>IFERROR(IF(LEFT($A387,3)="Lcp",SUMIFS('BASE-LCP'!$K:$K,'BASE-LCP'!$A:$A,Capex!$A276,'BASE-LCP'!$B:$B,"novembro")/1000,IF(LEFT($A387,3)="icp",SUMIFS('BASE-ICP'!$K:$K,'BASE-ICP'!$A:$A,Capex!$A276,'BASE-ICP'!$B:$B,"novembro")/1000,"")),"")</f>
        <v>0</v>
      </c>
      <c r="DG387" s="427">
        <v>0</v>
      </c>
      <c r="DH387" s="372"/>
      <c r="DI387" s="419"/>
      <c r="DJ387" s="423">
        <f>IFERROR(IF(LEFT($A387,3)="Lcp",SUMIFS('BASE-LCP'!$K:$K,'BASE-LCP'!$A:$A,Capex!$A276,'BASE-LCP'!$B:$B,"dezembro")/1000,IF(LEFT($A387,3)="icp",SUMIFS('BASE-ICP'!$K:$K,'BASE-ICP'!$A:$A,Capex!$A276,'BASE-ICP'!$B:$B,"dezembro")/1000,"")),"")</f>
        <v>0</v>
      </c>
      <c r="DK387" s="427">
        <v>0</v>
      </c>
      <c r="DL387" s="452">
        <f t="shared" si="189"/>
        <v>0</v>
      </c>
      <c r="DM387" s="374"/>
      <c r="DN387" s="374">
        <v>0</v>
      </c>
      <c r="DO387" s="374"/>
      <c r="DP387" s="374"/>
      <c r="DQ387" s="374"/>
      <c r="DR387" s="374"/>
      <c r="DS387" s="374"/>
      <c r="DT387" s="374"/>
      <c r="DU387" s="374"/>
      <c r="DV387" s="374"/>
      <c r="DW387" s="374"/>
      <c r="DX387" s="374"/>
      <c r="DY387" s="450"/>
      <c r="DZ387" s="374">
        <f t="shared" si="190"/>
        <v>0</v>
      </c>
      <c r="EA387" s="216">
        <f t="shared" si="191"/>
        <v>-5</v>
      </c>
      <c r="EB387" s="320">
        <f t="shared" si="192"/>
        <v>0</v>
      </c>
      <c r="EC387" s="241">
        <f t="shared" si="193"/>
        <v>0</v>
      </c>
      <c r="ED387" s="241">
        <f t="shared" si="194"/>
        <v>3.06365</v>
      </c>
      <c r="EE387" s="241">
        <f t="shared" si="195"/>
        <v>5</v>
      </c>
      <c r="EF387" s="241">
        <f t="shared" si="196"/>
        <v>0</v>
      </c>
      <c r="EG387" s="346">
        <f t="shared" si="197"/>
        <v>8.0636499999999991</v>
      </c>
      <c r="EH387" s="445">
        <f t="shared" si="198"/>
        <v>6</v>
      </c>
      <c r="EI387" s="447">
        <f t="shared" si="199"/>
        <v>3.06365</v>
      </c>
      <c r="EJ387" s="364">
        <f t="shared" si="200"/>
        <v>3.06365</v>
      </c>
      <c r="EK387" s="365">
        <f t="shared" si="201"/>
        <v>4.9999999999999991</v>
      </c>
      <c r="EL387" s="529">
        <f t="shared" si="202"/>
        <v>8.0636499999999991</v>
      </c>
      <c r="EM387" s="530">
        <v>0</v>
      </c>
      <c r="EN387" s="530">
        <v>0</v>
      </c>
      <c r="EO387" s="530">
        <v>0</v>
      </c>
      <c r="EP387" s="530">
        <v>0</v>
      </c>
      <c r="EQ387" s="530">
        <v>3.06365</v>
      </c>
      <c r="ER387" s="530">
        <v>5</v>
      </c>
      <c r="ES387" s="530">
        <v>0</v>
      </c>
      <c r="ET387" s="530">
        <v>0</v>
      </c>
      <c r="EU387" s="530">
        <v>0</v>
      </c>
      <c r="EV387" s="530">
        <v>0</v>
      </c>
      <c r="EW387" s="530">
        <v>0</v>
      </c>
      <c r="EX387" s="530">
        <v>0</v>
      </c>
      <c r="EY387" s="530">
        <f t="shared" si="203"/>
        <v>0</v>
      </c>
      <c r="EZ387" s="530">
        <f t="shared" si="204"/>
        <v>8.0636499999999991</v>
      </c>
      <c r="FA387" s="530">
        <f t="shared" si="205"/>
        <v>0</v>
      </c>
      <c r="FB387" s="530">
        <f t="shared" si="206"/>
        <v>0</v>
      </c>
      <c r="FC387" s="384">
        <f>IFERROR(VLOOKUP(Capex!A276,BASE_558!D:R,8,FALSE)/1000,"")</f>
        <v>114.7</v>
      </c>
      <c r="FD387" s="328">
        <f>IFERROR(VLOOKUP(Capex!A276,BASE_558!D:R,9,)/1000,"")</f>
        <v>80.334419999999994</v>
      </c>
      <c r="FE387" s="328">
        <f>IFERROR(IF(LEFT(A387,3)="LCP",(VLOOKUP(Capex!A276,BASE_558!D:R,10,)/1000),SUMIFS('BASE ICP_PO_SC'!F:F,'BASE ICP_PO_SC'!A:A,Capex!A276,'BASE ICP_PO_SC'!E:E,"&lt;&gt;")/1000),"")</f>
        <v>0</v>
      </c>
      <c r="FF387" s="328">
        <f>IFERROR(IF(LEFT(A387,3)="LCP",(VLOOKUP(Capex!A276,BASE_558!D:R,11,)/1000),SUMIFS('BASE ICP_PO_SC'!F:F,'BASE ICP_PO_SC'!A:A,Capex!A276,'BASE ICP_PO_SC'!E:E,"")/1000),"")</f>
        <v>0</v>
      </c>
      <c r="FG387" s="328">
        <f>IFERROR(VLOOKUP(A387,BASE_558!D:R,13,FALSE)/1000,"")</f>
        <v>143.09716</v>
      </c>
      <c r="FH387" s="328">
        <f>IFERROR(VLOOKUP(A387,BASE_558!D:R,15,FALSE)/1000,"")</f>
        <v>73.502839999999992</v>
      </c>
      <c r="FI387" s="547">
        <f t="shared" si="207"/>
        <v>4.9999999999999991</v>
      </c>
      <c r="FJ387" s="547">
        <f t="shared" si="208"/>
        <v>-5</v>
      </c>
      <c r="FK387" s="540">
        <f t="shared" si="209"/>
        <v>0</v>
      </c>
    </row>
    <row r="388" spans="1:167" s="23" customFormat="1" ht="24" customHeight="1">
      <c r="A388" s="84" t="s">
        <v>2376</v>
      </c>
      <c r="B388" s="404"/>
      <c r="C388" s="404"/>
      <c r="D388" s="403" t="s">
        <v>3348</v>
      </c>
      <c r="E388" s="378">
        <v>7114473</v>
      </c>
      <c r="F388" s="5" t="s">
        <v>609</v>
      </c>
      <c r="G388" s="310" t="s">
        <v>9</v>
      </c>
      <c r="H388" s="356" t="s">
        <v>6</v>
      </c>
      <c r="I388" s="356"/>
      <c r="J388" s="356">
        <v>2023</v>
      </c>
      <c r="K388" s="352">
        <v>45138</v>
      </c>
      <c r="L388" s="350"/>
      <c r="M388" s="409"/>
      <c r="N388" s="317">
        <f t="shared" si="217"/>
        <v>46050</v>
      </c>
      <c r="O388" s="317">
        <f t="shared" si="218"/>
        <v>46415</v>
      </c>
      <c r="P388" s="418" t="str">
        <f t="shared" si="222"/>
        <v>NÃO</v>
      </c>
      <c r="Q388" s="418" t="str">
        <f t="shared" si="222"/>
        <v>NÃO</v>
      </c>
      <c r="R388" s="418" t="str">
        <f t="shared" si="222"/>
        <v>NÃO</v>
      </c>
      <c r="S388" s="418" t="str">
        <f t="shared" si="222"/>
        <v>NÃO</v>
      </c>
      <c r="T388" s="418" t="str">
        <f t="shared" si="222"/>
        <v>NÃO</v>
      </c>
      <c r="U388" s="418" t="str">
        <f t="shared" si="222"/>
        <v>NÃO</v>
      </c>
      <c r="V388" s="418" t="str">
        <f t="shared" si="222"/>
        <v>NÃO</v>
      </c>
      <c r="W388" s="418" t="str">
        <f t="shared" si="222"/>
        <v>NÃO</v>
      </c>
      <c r="X388" s="418" t="str">
        <f t="shared" si="222"/>
        <v>NÃO</v>
      </c>
      <c r="Y388" s="418" t="str">
        <f t="shared" si="222"/>
        <v>NÃO</v>
      </c>
      <c r="Z388" s="418" t="str">
        <f t="shared" si="222"/>
        <v>NÃO</v>
      </c>
      <c r="AA388" s="418" t="str">
        <f t="shared" si="222"/>
        <v>NÃO</v>
      </c>
      <c r="AB388" s="350"/>
      <c r="AC388" s="309" t="s">
        <v>3932</v>
      </c>
      <c r="AD388" s="311" t="s">
        <v>222</v>
      </c>
      <c r="AE388" s="382" t="s">
        <v>965</v>
      </c>
      <c r="AF388" s="310" t="s">
        <v>6985</v>
      </c>
      <c r="AG388" s="310" t="s">
        <v>1125</v>
      </c>
      <c r="AH388" s="310" t="s">
        <v>2377</v>
      </c>
      <c r="AI388" s="381" t="s">
        <v>2255</v>
      </c>
      <c r="AJ388" s="6" t="s">
        <v>6786</v>
      </c>
      <c r="AK388" s="6" t="str">
        <f t="shared" si="187"/>
        <v>DIFERENTE</v>
      </c>
      <c r="AL388" s="151" t="str">
        <f>IFERROR(IF(LEFT(A388,3)="LCP",VLOOKUP(A388,STATUS_SAP_LCP!B:C,2,FALSE),VLOOKUP(A388,STATUS_SAP_ICP!B:C,2,FALSE)),"NO BUDGET")</f>
        <v>TECO BUDG AUC  AVAC  //  APPR BREL EXPL</v>
      </c>
      <c r="AM388" s="6" t="str">
        <f t="shared" si="223"/>
        <v>TECO</v>
      </c>
      <c r="AN388" s="414" t="s">
        <v>16163</v>
      </c>
      <c r="AO388" s="414"/>
      <c r="AP388" s="499" t="s">
        <v>5299</v>
      </c>
      <c r="AQ388" s="465">
        <v>45838</v>
      </c>
      <c r="AR388" s="460"/>
      <c r="AS388" s="57"/>
      <c r="AT388" s="185"/>
      <c r="AU388" s="318"/>
      <c r="AV388" s="223"/>
      <c r="AW388" s="318">
        <v>101.43809</v>
      </c>
      <c r="AX388" s="223">
        <v>0</v>
      </c>
      <c r="AY388" s="318">
        <f t="shared" si="214"/>
        <v>5</v>
      </c>
      <c r="AZ388" s="223"/>
      <c r="BA388" s="318"/>
      <c r="BB388" s="519">
        <f t="shared" si="219"/>
        <v>0</v>
      </c>
      <c r="BC388" s="518">
        <v>0</v>
      </c>
      <c r="BD388" s="518">
        <v>0</v>
      </c>
      <c r="BE388" s="518">
        <v>0</v>
      </c>
      <c r="BF388" s="518">
        <v>0</v>
      </c>
      <c r="BG388" s="518">
        <v>0</v>
      </c>
      <c r="BH388" s="518">
        <v>0</v>
      </c>
      <c r="BI388" s="518">
        <v>0</v>
      </c>
      <c r="BJ388" s="518">
        <v>0</v>
      </c>
      <c r="BK388" s="518">
        <v>0</v>
      </c>
      <c r="BL388" s="518">
        <v>0</v>
      </c>
      <c r="BM388" s="518">
        <v>0</v>
      </c>
      <c r="BN388" s="518">
        <v>0</v>
      </c>
      <c r="BO388" s="367">
        <f t="shared" si="188"/>
        <v>5</v>
      </c>
      <c r="BP388" s="421">
        <v>0</v>
      </c>
      <c r="BQ388" s="422"/>
      <c r="BR388" s="423">
        <f>IFERROR(IF(LEFT($A388,3)="Lcp",SUMIFS('BASE-LCP'!$K:$K,'BASE-LCP'!$A:$A,Capex!$A328,'BASE-LCP'!$B:$B,"janeiro")/1000,IF(LEFT($A388,3)="icp",SUMIFS('BASE-ICP'!$K:$K,'BASE-ICP'!$A:$A,Capex!$A328,'BASE-ICP'!$B:$B,"janeiro")/1000,"")),"")</f>
        <v>0</v>
      </c>
      <c r="BS388" s="427">
        <v>0</v>
      </c>
      <c r="BT388" s="372">
        <v>0</v>
      </c>
      <c r="BU388" s="422"/>
      <c r="BV388" s="423">
        <f>IFERROR(IF(LEFT($A388,3)="Lcp",SUMIFS('BASE-LCP'!$K:$K,'BASE-LCP'!$A:$A,Capex!$A328,'BASE-LCP'!$B:$B,"fevereiro")/1000,IF(LEFT($A388,3)="icp",SUMIFS('BASE-ICP'!$K:$K,'BASE-ICP'!$A:$A,Capex!$A328,'BASE-ICP'!$B:$B,"fevereiro")/1000,"")),"")</f>
        <v>0</v>
      </c>
      <c r="BW388" s="427">
        <v>0</v>
      </c>
      <c r="BX388" s="372">
        <v>0</v>
      </c>
      <c r="BY388" s="419"/>
      <c r="BZ388" s="423">
        <f>IFERROR(IF(LEFT($A388,3)="Lcp",SUMIFS('BASE-LCP'!$K:$K,'BASE-LCP'!$A:$A,Capex!$A328,'BASE-LCP'!$B:$B,"março")/1000,IF(LEFT($A388,3)="icp",SUMIFS('BASE-ICP'!$K:$K,'BASE-ICP'!$A:$A,Capex!$A328,'BASE-ICP'!$B:$B,"março")/1000,"")),"")</f>
        <v>0</v>
      </c>
      <c r="CA388" s="427">
        <v>0</v>
      </c>
      <c r="CB388" s="372">
        <v>0</v>
      </c>
      <c r="CC388" s="422"/>
      <c r="CD388" s="423">
        <f>IFERROR(IF(LEFT($A388,3)="Lcp",SUMIFS('BASE-LCP'!$K:$K,'BASE-LCP'!$A:$A,Capex!$A328,'BASE-LCP'!$B:$B,"abril")/1000,IF(LEFT($A388,3)="icp",SUMIFS('BASE-ICP'!$K:$K,'BASE-ICP'!$A:$A,Capex!$A328,'BASE-ICP'!$B:$B,"abril")/1000,"")),"")</f>
        <v>0</v>
      </c>
      <c r="CE388" s="427">
        <v>0</v>
      </c>
      <c r="CF388" s="372">
        <v>0</v>
      </c>
      <c r="CG388" s="419"/>
      <c r="CH388" s="423">
        <v>0</v>
      </c>
      <c r="CI388" s="427">
        <v>0</v>
      </c>
      <c r="CJ388" s="372">
        <v>0</v>
      </c>
      <c r="CK388" s="419"/>
      <c r="CL388" s="423">
        <f>IFERROR(IF(LEFT($A388,3)="Lcp",SUMIFS('BASE-LCP'!$K:$K,'BASE-LCP'!$A:$A,Capex!$A328,'BASE-LCP'!$B:$B,"junho")/1000,IF(LEFT($A388,3)="icp",SUMIFS('BASE-ICP'!$K:$K,'BASE-ICP'!$A:$A,Capex!$A328,'BASE-ICP'!$B:$B,"junho")/1000,"")),"")</f>
        <v>0</v>
      </c>
      <c r="CM388" s="427">
        <v>0</v>
      </c>
      <c r="CN388" s="372"/>
      <c r="CO388" s="419"/>
      <c r="CP388" s="423">
        <f>IFERROR(IF(LEFT($A388,3)="Lcp",SUMIFS('BASE-LCP'!$K:$K,'BASE-LCP'!$A:$A,Capex!$A328,'BASE-LCP'!$B:$B,"julho")/1000,IF(LEFT($A388,3)="icp",SUMIFS('BASE-ICP'!$K:$K,'BASE-ICP'!$A:$A,Capex!$A328,'BASE-ICP'!$B:$B,"julho")/1000,"")),"")</f>
        <v>0</v>
      </c>
      <c r="CQ388" s="427">
        <v>0</v>
      </c>
      <c r="CR388" s="372"/>
      <c r="CS388" s="419"/>
      <c r="CT388" s="423">
        <f>IFERROR(IF(LEFT($A388,3)="Lcp",SUMIFS('BASE-LCP'!$K:$K,'BASE-LCP'!$A:$A,Capex!$A328,'BASE-LCP'!$B:$B,"agosto")/1000,IF(LEFT($A388,3)="icp",SUMIFS('BASE-ICP'!$K:$K,'BASE-ICP'!$A:$A,Capex!$A328,'BASE-ICP'!$B:$B,"agosto")/1000,"")),"")</f>
        <v>0</v>
      </c>
      <c r="CU388" s="427">
        <v>0</v>
      </c>
      <c r="CV388" s="372"/>
      <c r="CW388" s="419"/>
      <c r="CX388" s="423">
        <f>IFERROR(IF(LEFT($A388,3)="Lcp",SUMIFS('BASE-LCP'!$K:$K,'BASE-LCP'!$A:$A,Capex!$A328,'BASE-LCP'!$B:$B,"setembro")/1000,IF(LEFT($A388,3)="icp",SUMIFS('BASE-ICP'!$K:$K,'BASE-ICP'!$A:$A,Capex!$A328,'BASE-ICP'!$B:$B,"setembro")/1000,"")),"")</f>
        <v>0</v>
      </c>
      <c r="CY388" s="427">
        <v>5</v>
      </c>
      <c r="CZ388" s="372"/>
      <c r="DA388" s="419"/>
      <c r="DB388" s="423">
        <f>IFERROR(IF(LEFT($A388,3)="Lcp",SUMIFS('BASE-LCP'!$K:$K,'BASE-LCP'!$A:$A,Capex!$A328,'BASE-LCP'!$B:$B,"outubro")/1000,IF(LEFT($A388,3)="icp",SUMIFS('BASE-ICP'!$K:$K,'BASE-ICP'!$A:$A,Capex!$A328,'BASE-ICP'!$B:$B,"outubro")/1000,"")),"")</f>
        <v>0</v>
      </c>
      <c r="DC388" s="427">
        <v>0</v>
      </c>
      <c r="DD388" s="372"/>
      <c r="DE388" s="419"/>
      <c r="DF388" s="423">
        <f>IFERROR(IF(LEFT($A388,3)="Lcp",SUMIFS('BASE-LCP'!$K:$K,'BASE-LCP'!$A:$A,Capex!$A328,'BASE-LCP'!$B:$B,"novembro")/1000,IF(LEFT($A388,3)="icp",SUMIFS('BASE-ICP'!$K:$K,'BASE-ICP'!$A:$A,Capex!$A328,'BASE-ICP'!$B:$B,"novembro")/1000,"")),"")</f>
        <v>0</v>
      </c>
      <c r="DG388" s="427">
        <v>0</v>
      </c>
      <c r="DH388" s="372"/>
      <c r="DI388" s="419"/>
      <c r="DJ388" s="423">
        <f>IFERROR(IF(LEFT($A388,3)="Lcp",SUMIFS('BASE-LCP'!$K:$K,'BASE-LCP'!$A:$A,Capex!$A328,'BASE-LCP'!$B:$B,"dezembro")/1000,IF(LEFT($A388,3)="icp",SUMIFS('BASE-ICP'!$K:$K,'BASE-ICP'!$A:$A,Capex!$A328,'BASE-ICP'!$B:$B,"dezembro")/1000,"")),"")</f>
        <v>0</v>
      </c>
      <c r="DK388" s="427">
        <v>0</v>
      </c>
      <c r="DL388" s="452">
        <f t="shared" si="189"/>
        <v>0</v>
      </c>
      <c r="DM388" s="374"/>
      <c r="DN388" s="374">
        <v>0</v>
      </c>
      <c r="DO388" s="374"/>
      <c r="DP388" s="374"/>
      <c r="DQ388" s="374"/>
      <c r="DR388" s="374"/>
      <c r="DS388" s="374"/>
      <c r="DT388" s="374"/>
      <c r="DU388" s="374"/>
      <c r="DV388" s="374"/>
      <c r="DW388" s="374"/>
      <c r="DX388" s="374"/>
      <c r="DY388" s="450"/>
      <c r="DZ388" s="374">
        <f t="shared" si="190"/>
        <v>0</v>
      </c>
      <c r="EA388" s="216">
        <f t="shared" si="191"/>
        <v>0</v>
      </c>
      <c r="EB388" s="320">
        <f t="shared" si="192"/>
        <v>0</v>
      </c>
      <c r="EC388" s="241">
        <f t="shared" si="193"/>
        <v>0</v>
      </c>
      <c r="ED388" s="241">
        <f t="shared" si="194"/>
        <v>0</v>
      </c>
      <c r="EE388" s="241">
        <f t="shared" si="195"/>
        <v>5</v>
      </c>
      <c r="EF388" s="241">
        <f t="shared" si="196"/>
        <v>0</v>
      </c>
      <c r="EG388" s="346">
        <f t="shared" si="197"/>
        <v>5</v>
      </c>
      <c r="EH388" s="445">
        <f t="shared" si="198"/>
        <v>0</v>
      </c>
      <c r="EI388" s="447">
        <f t="shared" si="199"/>
        <v>0</v>
      </c>
      <c r="EJ388" s="364">
        <f t="shared" si="200"/>
        <v>0</v>
      </c>
      <c r="EK388" s="365">
        <f t="shared" si="201"/>
        <v>5</v>
      </c>
      <c r="EL388" s="529">
        <f t="shared" si="202"/>
        <v>0</v>
      </c>
      <c r="EM388" s="530">
        <v>0</v>
      </c>
      <c r="EN388" s="530">
        <v>0</v>
      </c>
      <c r="EO388" s="530">
        <v>0</v>
      </c>
      <c r="EP388" s="530">
        <v>0</v>
      </c>
      <c r="EQ388" s="530">
        <v>0</v>
      </c>
      <c r="ER388" s="530">
        <v>0</v>
      </c>
      <c r="ES388" s="530">
        <v>0</v>
      </c>
      <c r="ET388" s="530">
        <v>0</v>
      </c>
      <c r="EU388" s="530">
        <v>0</v>
      </c>
      <c r="EV388" s="530">
        <v>0</v>
      </c>
      <c r="EW388" s="530">
        <v>0</v>
      </c>
      <c r="EX388" s="530">
        <v>0</v>
      </c>
      <c r="EY388" s="530">
        <f t="shared" si="203"/>
        <v>0</v>
      </c>
      <c r="EZ388" s="530">
        <f t="shared" si="204"/>
        <v>0</v>
      </c>
      <c r="FA388" s="530">
        <f t="shared" si="205"/>
        <v>0</v>
      </c>
      <c r="FB388" s="530">
        <f t="shared" si="206"/>
        <v>0</v>
      </c>
      <c r="FC388" s="384">
        <f>IFERROR(VLOOKUP(Capex!A328,BASE_558!D:R,8,FALSE)/1000,"")</f>
        <v>1371.59</v>
      </c>
      <c r="FD388" s="328">
        <f>IFERROR(VLOOKUP(Capex!A328,BASE_558!D:R,9,)/1000,"")</f>
        <v>1167.1839399999999</v>
      </c>
      <c r="FE388" s="328">
        <f>IFERROR(IF(LEFT(A388,3)="LCP",(VLOOKUP(Capex!A328,BASE_558!D:R,10,)/1000),SUMIFS('BASE ICP_PO_SC'!F:F,'BASE ICP_PO_SC'!A:A,Capex!A328,'BASE ICP_PO_SC'!E:E,"&lt;&gt;")/1000),"")</f>
        <v>0</v>
      </c>
      <c r="FF388" s="328">
        <f>IFERROR(IF(LEFT(A388,3)="LCP",(VLOOKUP(Capex!A328,BASE_558!D:R,11,)/1000),SUMIFS('BASE ICP_PO_SC'!F:F,'BASE ICP_PO_SC'!A:A,Capex!A328,'BASE ICP_PO_SC'!E:E,"")/1000),"")</f>
        <v>0</v>
      </c>
      <c r="FG388" s="328">
        <f>IFERROR(VLOOKUP(A388,BASE_558!D:R,13,FALSE)/1000,"")</f>
        <v>102.31413000000001</v>
      </c>
      <c r="FH388" s="328">
        <f>IFERROR(VLOOKUP(A388,BASE_558!D:R,15,FALSE)/1000,"")</f>
        <v>60.904330000000002</v>
      </c>
      <c r="FI388" s="547">
        <f t="shared" si="207"/>
        <v>0</v>
      </c>
      <c r="FJ388" s="547">
        <f t="shared" si="208"/>
        <v>-5</v>
      </c>
      <c r="FK388" s="540">
        <f t="shared" si="209"/>
        <v>0</v>
      </c>
    </row>
    <row r="389" spans="1:167" s="23" customFormat="1" ht="24" customHeight="1">
      <c r="A389" s="84" t="s">
        <v>2339</v>
      </c>
      <c r="B389" s="404"/>
      <c r="C389" s="404"/>
      <c r="D389" s="338"/>
      <c r="E389" s="378">
        <v>6538565</v>
      </c>
      <c r="F389" s="5"/>
      <c r="G389" s="310" t="s">
        <v>9</v>
      </c>
      <c r="H389" s="456"/>
      <c r="I389" s="356"/>
      <c r="J389" s="356">
        <v>2023</v>
      </c>
      <c r="K389" s="352">
        <v>44953</v>
      </c>
      <c r="L389" s="350"/>
      <c r="M389" s="409"/>
      <c r="N389" s="317">
        <f t="shared" si="217"/>
        <v>45865</v>
      </c>
      <c r="O389" s="317">
        <f t="shared" si="218"/>
        <v>46230</v>
      </c>
      <c r="P389" s="418" t="str">
        <f t="shared" si="222"/>
        <v>NÃO</v>
      </c>
      <c r="Q389" s="418" t="str">
        <f t="shared" si="222"/>
        <v>NÃO</v>
      </c>
      <c r="R389" s="418" t="str">
        <f t="shared" si="222"/>
        <v>NÃO</v>
      </c>
      <c r="S389" s="418" t="str">
        <f t="shared" si="222"/>
        <v>NÃO</v>
      </c>
      <c r="T389" s="418" t="str">
        <f t="shared" si="222"/>
        <v>NÃO</v>
      </c>
      <c r="U389" s="418" t="str">
        <f t="shared" si="222"/>
        <v>NÃO</v>
      </c>
      <c r="V389" s="418" t="str">
        <f t="shared" si="222"/>
        <v>SIM</v>
      </c>
      <c r="W389" s="418" t="str">
        <f t="shared" si="222"/>
        <v>SIM</v>
      </c>
      <c r="X389" s="551" t="str">
        <f t="shared" si="222"/>
        <v>SIM</v>
      </c>
      <c r="Y389" s="418" t="str">
        <f t="shared" si="222"/>
        <v>SIM</v>
      </c>
      <c r="Z389" s="418" t="str">
        <f t="shared" si="222"/>
        <v>SIM</v>
      </c>
      <c r="AA389" s="567" t="str">
        <f t="shared" si="222"/>
        <v>SIM</v>
      </c>
      <c r="AB389" s="350"/>
      <c r="AC389" s="309" t="s">
        <v>3932</v>
      </c>
      <c r="AD389" s="311" t="s">
        <v>223</v>
      </c>
      <c r="AE389" s="382" t="s">
        <v>613</v>
      </c>
      <c r="AF389" s="310" t="s">
        <v>6985</v>
      </c>
      <c r="AG389" s="310" t="s">
        <v>9603</v>
      </c>
      <c r="AH389" s="310" t="s">
        <v>2340</v>
      </c>
      <c r="AI389" s="381" t="s">
        <v>2255</v>
      </c>
      <c r="AJ389" s="6" t="s">
        <v>6786</v>
      </c>
      <c r="AK389" s="6" t="str">
        <f t="shared" ref="AK389:AK452" si="224">IF(AJ389&lt;&gt;AM389,"DIFERENTE","IGUAL")</f>
        <v>IGUAL</v>
      </c>
      <c r="AL389" s="151" t="str">
        <f>IFERROR(IF(LEFT(A389,3)="LCP",VLOOKUP(A389,STATUS_SAP_LCP!B:C,2,FALSE),VLOOKUP(A389,STATUS_SAP_ICP!B:C,2,FALSE)),"NO BUDGET")</f>
        <v>REL  BUDG AUC  AVAC  //  APPR BREL EXPL</v>
      </c>
      <c r="AM389" s="6" t="str">
        <f t="shared" si="223"/>
        <v xml:space="preserve">REL </v>
      </c>
      <c r="AN389" s="414" t="s">
        <v>3257</v>
      </c>
      <c r="AO389" s="414"/>
      <c r="AP389" s="499" t="s">
        <v>9617</v>
      </c>
      <c r="AQ389" s="465">
        <v>45747</v>
      </c>
      <c r="AR389" s="460"/>
      <c r="AS389" s="57"/>
      <c r="AT389" s="185"/>
      <c r="AU389" s="318"/>
      <c r="AV389" s="223">
        <v>0</v>
      </c>
      <c r="AW389" s="318">
        <v>283.34844000000004</v>
      </c>
      <c r="AX389" s="223">
        <v>344.39853000000005</v>
      </c>
      <c r="AY389" s="318">
        <f t="shared" si="214"/>
        <v>12.76857</v>
      </c>
      <c r="AZ389" s="223"/>
      <c r="BA389" s="318"/>
      <c r="BB389" s="519">
        <f t="shared" si="219"/>
        <v>0</v>
      </c>
      <c r="BC389" s="518">
        <v>0</v>
      </c>
      <c r="BD389" s="518">
        <v>0</v>
      </c>
      <c r="BE389" s="518">
        <v>0</v>
      </c>
      <c r="BF389" s="518">
        <v>0</v>
      </c>
      <c r="BG389" s="518">
        <v>0</v>
      </c>
      <c r="BH389" s="518">
        <v>0</v>
      </c>
      <c r="BI389" s="518">
        <v>0</v>
      </c>
      <c r="BJ389" s="518">
        <v>0</v>
      </c>
      <c r="BK389" s="518">
        <v>0</v>
      </c>
      <c r="BL389" s="518">
        <v>0</v>
      </c>
      <c r="BM389" s="518">
        <v>0</v>
      </c>
      <c r="BN389" s="518">
        <v>0</v>
      </c>
      <c r="BO389" s="367">
        <f t="shared" ref="BO389:BO409" si="225">SUM(BS389,BW389,CA389,CE389,CI389,CM389,CQ389,CU389,CY389,DC389,DG389,DK389)</f>
        <v>12.76857</v>
      </c>
      <c r="BP389" s="421">
        <v>0</v>
      </c>
      <c r="BQ389" s="422">
        <v>7.7685699999999995</v>
      </c>
      <c r="BR389" s="423">
        <f>IFERROR(IF(LEFT($A389,3)="Lcp",SUMIFS('BASE-LCP'!$K:$K,'BASE-LCP'!$A:$A,Capex!$A305,'BASE-LCP'!$B:$B,"janeiro")/1000,IF(LEFT($A389,3)="icp",SUMIFS('BASE-ICP'!$K:$K,'BASE-ICP'!$A:$A,Capex!$A305,'BASE-ICP'!$B:$B,"janeiro")/1000,"")),"")</f>
        <v>0</v>
      </c>
      <c r="BS389" s="427">
        <v>7.7685699999999995</v>
      </c>
      <c r="BT389" s="372">
        <v>10</v>
      </c>
      <c r="BU389" s="422"/>
      <c r="BV389" s="423">
        <f>IFERROR(IF(LEFT($A389,3)="Lcp",SUMIFS('BASE-LCP'!$K:$K,'BASE-LCP'!$A:$A,Capex!$A305,'BASE-LCP'!$B:$B,"fevereiro")/1000,IF(LEFT($A389,3)="icp",SUMIFS('BASE-ICP'!$K:$K,'BASE-ICP'!$A:$A,Capex!$A305,'BASE-ICP'!$B:$B,"fevereiro")/1000,"")),"")</f>
        <v>0</v>
      </c>
      <c r="BW389" s="427">
        <v>0</v>
      </c>
      <c r="BX389" s="372">
        <v>8</v>
      </c>
      <c r="BY389" s="419"/>
      <c r="BZ389" s="423">
        <f>IFERROR(IF(LEFT($A389,3)="Lcp",SUMIFS('BASE-LCP'!$K:$K,'BASE-LCP'!$A:$A,Capex!$A305,'BASE-LCP'!$B:$B,"março")/1000,IF(LEFT($A389,3)="icp",SUMIFS('BASE-ICP'!$K:$K,'BASE-ICP'!$A:$A,Capex!$A305,'BASE-ICP'!$B:$B,"março")/1000,"")),"")</f>
        <v>0</v>
      </c>
      <c r="CA389" s="427">
        <v>0</v>
      </c>
      <c r="CB389" s="372">
        <v>0</v>
      </c>
      <c r="CC389" s="422"/>
      <c r="CD389" s="423">
        <f>IFERROR(IF(LEFT($A389,3)="Lcp",SUMIFS('BASE-LCP'!$K:$K,'BASE-LCP'!$A:$A,Capex!$A305,'BASE-LCP'!$B:$B,"abril")/1000,IF(LEFT($A389,3)="icp",SUMIFS('BASE-ICP'!$K:$K,'BASE-ICP'!$A:$A,Capex!$A305,'BASE-ICP'!$B:$B,"abril")/1000,"")),"")</f>
        <v>0</v>
      </c>
      <c r="CE389" s="427">
        <v>0</v>
      </c>
      <c r="CF389" s="372">
        <v>0</v>
      </c>
      <c r="CG389" s="419"/>
      <c r="CH389" s="423">
        <v>0</v>
      </c>
      <c r="CI389" s="427">
        <v>0</v>
      </c>
      <c r="CJ389" s="372">
        <v>0</v>
      </c>
      <c r="CK389" s="419"/>
      <c r="CL389" s="423">
        <f>IFERROR(IF(LEFT($A389,3)="Lcp",SUMIFS('BASE-LCP'!$K:$K,'BASE-LCP'!$A:$A,Capex!$A305,'BASE-LCP'!$B:$B,"junho")/1000,IF(LEFT($A389,3)="icp",SUMIFS('BASE-ICP'!$K:$K,'BASE-ICP'!$A:$A,Capex!$A305,'BASE-ICP'!$B:$B,"junho")/1000,"")),"")</f>
        <v>0</v>
      </c>
      <c r="CM389" s="427">
        <v>0</v>
      </c>
      <c r="CN389" s="372"/>
      <c r="CO389" s="419"/>
      <c r="CP389" s="423">
        <f>IFERROR(IF(LEFT($A389,3)="Lcp",SUMIFS('BASE-LCP'!$K:$K,'BASE-LCP'!$A:$A,Capex!$A305,'BASE-LCP'!$B:$B,"julho")/1000,IF(LEFT($A389,3)="icp",SUMIFS('BASE-ICP'!$K:$K,'BASE-ICP'!$A:$A,Capex!$A305,'BASE-ICP'!$B:$B,"julho")/1000,"")),"")</f>
        <v>0</v>
      </c>
      <c r="CQ389" s="427">
        <v>5</v>
      </c>
      <c r="CR389" s="372"/>
      <c r="CS389" s="419"/>
      <c r="CT389" s="423">
        <f>IFERROR(IF(LEFT($A389,3)="Lcp",SUMIFS('BASE-LCP'!$K:$K,'BASE-LCP'!$A:$A,Capex!$A305,'BASE-LCP'!$B:$B,"agosto")/1000,IF(LEFT($A389,3)="icp",SUMIFS('BASE-ICP'!$K:$K,'BASE-ICP'!$A:$A,Capex!$A305,'BASE-ICP'!$B:$B,"agosto")/1000,"")),"")</f>
        <v>0</v>
      </c>
      <c r="CU389" s="427">
        <v>0</v>
      </c>
      <c r="CV389" s="372"/>
      <c r="CW389" s="419"/>
      <c r="CX389" s="423">
        <f>IFERROR(IF(LEFT($A389,3)="Lcp",SUMIFS('BASE-LCP'!$K:$K,'BASE-LCP'!$A:$A,Capex!$A305,'BASE-LCP'!$B:$B,"setembro")/1000,IF(LEFT($A389,3)="icp",SUMIFS('BASE-ICP'!$K:$K,'BASE-ICP'!$A:$A,Capex!$A305,'BASE-ICP'!$B:$B,"setembro")/1000,"")),"")</f>
        <v>0</v>
      </c>
      <c r="CY389" s="427">
        <v>0</v>
      </c>
      <c r="CZ389" s="372"/>
      <c r="DA389" s="419"/>
      <c r="DB389" s="423">
        <f>IFERROR(IF(LEFT($A389,3)="Lcp",SUMIFS('BASE-LCP'!$K:$K,'BASE-LCP'!$A:$A,Capex!$A305,'BASE-LCP'!$B:$B,"outubro")/1000,IF(LEFT($A389,3)="icp",SUMIFS('BASE-ICP'!$K:$K,'BASE-ICP'!$A:$A,Capex!$A305,'BASE-ICP'!$B:$B,"outubro")/1000,"")),"")</f>
        <v>0</v>
      </c>
      <c r="DC389" s="427">
        <v>0</v>
      </c>
      <c r="DD389" s="372"/>
      <c r="DE389" s="419"/>
      <c r="DF389" s="423">
        <f>IFERROR(IF(LEFT($A389,3)="Lcp",SUMIFS('BASE-LCP'!$K:$K,'BASE-LCP'!$A:$A,Capex!$A305,'BASE-LCP'!$B:$B,"novembro")/1000,IF(LEFT($A389,3)="icp",SUMIFS('BASE-ICP'!$K:$K,'BASE-ICP'!$A:$A,Capex!$A305,'BASE-ICP'!$B:$B,"novembro")/1000,"")),"")</f>
        <v>0</v>
      </c>
      <c r="DG389" s="427">
        <v>0</v>
      </c>
      <c r="DH389" s="372"/>
      <c r="DI389" s="419"/>
      <c r="DJ389" s="423">
        <f>IFERROR(IF(LEFT($A389,3)="Lcp",SUMIFS('BASE-LCP'!$K:$K,'BASE-LCP'!$A:$A,Capex!$A305,'BASE-LCP'!$B:$B,"dezembro")/1000,IF(LEFT($A389,3)="icp",SUMIFS('BASE-ICP'!$K:$K,'BASE-ICP'!$A:$A,Capex!$A305,'BASE-ICP'!$B:$B,"dezembro")/1000,"")),"")</f>
        <v>0</v>
      </c>
      <c r="DK389" s="427">
        <v>0</v>
      </c>
      <c r="DL389" s="452">
        <f t="shared" ref="DL389:DL452" si="226">SUM(DM389:DX389)</f>
        <v>0</v>
      </c>
      <c r="DM389" s="374"/>
      <c r="DN389" s="374">
        <v>0</v>
      </c>
      <c r="DO389" s="374"/>
      <c r="DP389" s="374"/>
      <c r="DQ389" s="374"/>
      <c r="DR389" s="374"/>
      <c r="DS389" s="374"/>
      <c r="DT389" s="374"/>
      <c r="DU389" s="374"/>
      <c r="DV389" s="374"/>
      <c r="DW389" s="374"/>
      <c r="DX389" s="374"/>
      <c r="DY389" s="450"/>
      <c r="DZ389" s="374">
        <f t="shared" ref="DZ389:DZ452" si="227">SUM(DL389,DY389)</f>
        <v>0</v>
      </c>
      <c r="EA389" s="216">
        <f t="shared" ref="EA389:EA409" si="228">CM389-CJ389</f>
        <v>0</v>
      </c>
      <c r="EB389" s="320">
        <f t="shared" ref="EB389:EB409" si="229">CL389-CM389</f>
        <v>0</v>
      </c>
      <c r="EC389" s="241">
        <f t="shared" ref="EC389:EC409" si="230">SUM(BS389,BW389,CA389)</f>
        <v>7.7685699999999995</v>
      </c>
      <c r="ED389" s="241">
        <f t="shared" ref="ED389:ED409" si="231">SUM(CE389,CI389,CM389)</f>
        <v>0</v>
      </c>
      <c r="EE389" s="241">
        <f t="shared" ref="EE389:EE409" si="232">SUM(CQ389,CU389,CY389)</f>
        <v>5</v>
      </c>
      <c r="EF389" s="241">
        <f t="shared" ref="EF389:EF409" si="233">SUM(DC389,DG389,DK389)</f>
        <v>0</v>
      </c>
      <c r="EG389" s="346">
        <f t="shared" ref="EG389:EG409" si="234">BO389-BB389</f>
        <v>12.76857</v>
      </c>
      <c r="EH389" s="445">
        <f t="shared" ref="EH389:EH409" si="235">CF389</f>
        <v>0</v>
      </c>
      <c r="EI389" s="447">
        <f t="shared" ref="EI389:EI409" si="236">CH389</f>
        <v>0</v>
      </c>
      <c r="EJ389" s="364">
        <f t="shared" ref="EJ389:EJ409" si="237">SUM(BS389,BW389,CA389,CE389,CI389,CL389)</f>
        <v>7.7685699999999995</v>
      </c>
      <c r="EK389" s="365">
        <f t="shared" ref="EK389:EK452" si="238">BO389-EJ389</f>
        <v>5.0000000000000009</v>
      </c>
      <c r="EL389" s="529">
        <f t="shared" ref="EL389:EL452" si="239">SUM(EM389:EX389)</f>
        <v>17.76857</v>
      </c>
      <c r="EM389" s="530">
        <v>7.7685699999999995</v>
      </c>
      <c r="EN389" s="530">
        <v>0</v>
      </c>
      <c r="EO389" s="530">
        <v>0</v>
      </c>
      <c r="EP389" s="530">
        <v>0</v>
      </c>
      <c r="EQ389" s="530">
        <v>0</v>
      </c>
      <c r="ER389" s="530">
        <v>0</v>
      </c>
      <c r="ES389" s="530">
        <v>0</v>
      </c>
      <c r="ET389" s="530">
        <v>0</v>
      </c>
      <c r="EU389" s="530">
        <v>0</v>
      </c>
      <c r="EV389" s="530">
        <v>8</v>
      </c>
      <c r="EW389" s="530">
        <v>2</v>
      </c>
      <c r="EX389" s="530">
        <v>0</v>
      </c>
      <c r="EY389" s="530">
        <f t="shared" ref="EY389:EY409" si="240">SUM(EM389:EO389)</f>
        <v>7.7685699999999995</v>
      </c>
      <c r="EZ389" s="530">
        <f t="shared" ref="EZ389:EZ409" si="241">SUM(EP389:ER389)</f>
        <v>0</v>
      </c>
      <c r="FA389" s="530">
        <f t="shared" ref="FA389:FA409" si="242">SUM(ES389:EU389)</f>
        <v>0</v>
      </c>
      <c r="FB389" s="530">
        <f t="shared" ref="FB389:FB409" si="243">SUM(EV389:EX389)</f>
        <v>10</v>
      </c>
      <c r="FC389" s="384">
        <f>IFERROR(VLOOKUP(Capex!A305,BASE_558!D:R,8,FALSE)/1000,"")</f>
        <v>555</v>
      </c>
      <c r="FD389" s="328">
        <f>IFERROR(VLOOKUP(Capex!A305,BASE_558!D:R,9,)/1000,"")</f>
        <v>550.19836999999995</v>
      </c>
      <c r="FE389" s="328">
        <f>IFERROR(IF(LEFT(A389,3)="LCP",(VLOOKUP(Capex!A305,BASE_558!D:R,10,)/1000),SUMIFS('BASE ICP_PO_SC'!F:F,'BASE ICP_PO_SC'!A:A,Capex!A305,'BASE ICP_PO_SC'!E:E,"&lt;&gt;")/1000),"")</f>
        <v>0</v>
      </c>
      <c r="FF389" s="328">
        <f>IFERROR(IF(LEFT(A389,3)="LCP",(VLOOKUP(Capex!A305,BASE_558!D:R,11,)/1000),SUMIFS('BASE ICP_PO_SC'!F:F,'BASE ICP_PO_SC'!A:A,Capex!A305,'BASE ICP_PO_SC'!E:E,"")/1000),"")</f>
        <v>0</v>
      </c>
      <c r="FG389" s="328">
        <f>IFERROR(VLOOKUP(A389,BASE_558!D:R,13,FALSE)/1000,"")</f>
        <v>641.15680000000009</v>
      </c>
      <c r="FH389" s="328">
        <f>IFERROR(VLOOKUP(A389,BASE_558!D:R,15,FALSE)/1000,"")</f>
        <v>593.84319999999991</v>
      </c>
      <c r="FI389" s="547">
        <f t="shared" ref="FI389:FI409" si="244">EZ389-ED389</f>
        <v>0</v>
      </c>
      <c r="FJ389" s="547">
        <f t="shared" ref="FJ389:FJ409" si="245">FA389-EE389</f>
        <v>-5</v>
      </c>
      <c r="FK389" s="540">
        <f t="shared" ref="FK389:FK409" si="246">FB389-EF389</f>
        <v>10</v>
      </c>
    </row>
    <row r="390" spans="1:167" s="23" customFormat="1" ht="24" customHeight="1">
      <c r="A390" s="349" t="s">
        <v>2237</v>
      </c>
      <c r="B390" s="404" t="s">
        <v>2239</v>
      </c>
      <c r="C390" s="404"/>
      <c r="D390" s="338"/>
      <c r="E390" s="378"/>
      <c r="F390" s="5"/>
      <c r="G390" s="310" t="s">
        <v>9</v>
      </c>
      <c r="H390" s="356"/>
      <c r="I390" s="356"/>
      <c r="J390" s="356">
        <v>2022</v>
      </c>
      <c r="K390" s="321"/>
      <c r="L390" s="322"/>
      <c r="M390" s="409"/>
      <c r="N390" s="317" t="str">
        <f t="shared" si="217"/>
        <v/>
      </c>
      <c r="O390" s="317" t="str">
        <f t="shared" si="218"/>
        <v/>
      </c>
      <c r="P390" s="418" t="str">
        <f t="shared" si="222"/>
        <v>N/A</v>
      </c>
      <c r="Q390" s="418" t="str">
        <f t="shared" si="222"/>
        <v>N/A</v>
      </c>
      <c r="R390" s="418" t="str">
        <f t="shared" si="222"/>
        <v>N/A</v>
      </c>
      <c r="S390" s="418" t="str">
        <f t="shared" si="222"/>
        <v>N/A</v>
      </c>
      <c r="T390" s="418" t="str">
        <f t="shared" si="222"/>
        <v>N/A</v>
      </c>
      <c r="U390" s="418" t="str">
        <f t="shared" si="222"/>
        <v>N/A</v>
      </c>
      <c r="V390" s="418" t="str">
        <f t="shared" si="222"/>
        <v>N/A</v>
      </c>
      <c r="W390" s="418" t="str">
        <f t="shared" si="222"/>
        <v>N/A</v>
      </c>
      <c r="X390" s="418" t="str">
        <f t="shared" si="222"/>
        <v>N/A</v>
      </c>
      <c r="Y390" s="418" t="str">
        <f t="shared" si="222"/>
        <v>N/A</v>
      </c>
      <c r="Z390" s="418" t="str">
        <f t="shared" si="222"/>
        <v>N/A</v>
      </c>
      <c r="AA390" s="418" t="str">
        <f t="shared" si="222"/>
        <v>N/A</v>
      </c>
      <c r="AB390" s="350"/>
      <c r="AC390" s="208" t="s">
        <v>3932</v>
      </c>
      <c r="AD390" s="311" t="s">
        <v>5</v>
      </c>
      <c r="AE390" s="382" t="s">
        <v>951</v>
      </c>
      <c r="AF390" s="310" t="s">
        <v>6988</v>
      </c>
      <c r="AG390" s="458" t="s">
        <v>2238</v>
      </c>
      <c r="AH390" s="513" t="s">
        <v>2832</v>
      </c>
      <c r="AI390" s="546" t="s">
        <v>186</v>
      </c>
      <c r="AJ390" s="6" t="s">
        <v>6786</v>
      </c>
      <c r="AK390" s="6" t="str">
        <f t="shared" si="224"/>
        <v>IGUAL</v>
      </c>
      <c r="AL390" s="151" t="str">
        <f>IFERROR(IF(LEFT(A390,3)="LCP",VLOOKUP(A390,STATUS_SAP_LCP!B:C,2,FALSE),VLOOKUP(A390,STATUS_SAP_ICP!B:C,2,FALSE)),"NO BUDGET")</f>
        <v>REL  BUDG ISBD AVAC  //  BREL WPLI</v>
      </c>
      <c r="AM390" s="6" t="str">
        <f t="shared" si="223"/>
        <v xml:space="preserve">REL </v>
      </c>
      <c r="AN390" s="429" t="s">
        <v>7236</v>
      </c>
      <c r="AO390" s="429"/>
      <c r="AP390" s="499" t="s">
        <v>10767</v>
      </c>
      <c r="AQ390" s="464"/>
      <c r="AR390" s="460"/>
      <c r="AS390" s="57"/>
      <c r="AT390" s="185"/>
      <c r="AU390" s="318">
        <v>0</v>
      </c>
      <c r="AV390" s="223">
        <v>1611.7084500000001</v>
      </c>
      <c r="AW390" s="318">
        <v>247.35041999999993</v>
      </c>
      <c r="AX390" s="223">
        <v>-1482.0272399999992</v>
      </c>
      <c r="AY390" s="318">
        <f t="shared" si="214"/>
        <v>82.615030000000161</v>
      </c>
      <c r="AZ390" s="223"/>
      <c r="BA390" s="318"/>
      <c r="BB390" s="519">
        <f t="shared" si="219"/>
        <v>1822.1671699999997</v>
      </c>
      <c r="BC390" s="518">
        <v>424.12897999999996</v>
      </c>
      <c r="BD390" s="518">
        <v>252.92822999999999</v>
      </c>
      <c r="BE390" s="518">
        <v>966.04687999999987</v>
      </c>
      <c r="BF390" s="518">
        <v>162.43147999999999</v>
      </c>
      <c r="BG390" s="518">
        <v>16.631599999999999</v>
      </c>
      <c r="BH390" s="518">
        <v>0</v>
      </c>
      <c r="BI390" s="518">
        <v>0</v>
      </c>
      <c r="BJ390" s="518">
        <v>0</v>
      </c>
      <c r="BK390" s="518">
        <v>0</v>
      </c>
      <c r="BL390" s="518">
        <v>0</v>
      </c>
      <c r="BM390" s="518">
        <v>0</v>
      </c>
      <c r="BN390" s="518">
        <v>0</v>
      </c>
      <c r="BO390" s="367">
        <f t="shared" si="225"/>
        <v>82.615030000000161</v>
      </c>
      <c r="BP390" s="421">
        <v>424.12897999999996</v>
      </c>
      <c r="BQ390" s="422">
        <v>25.332800000000002</v>
      </c>
      <c r="BR390" s="423">
        <f>IFERROR(IF(LEFT($A390,3)="Lcp",SUMIFS('BASE-LCP'!$K:$K,'BASE-LCP'!$A:$A,Capex!$A46,'BASE-LCP'!$B:$B,"janeiro")/1000,IF(LEFT($A390,3)="icp",SUMIFS('BASE-ICP'!$K:$K,'BASE-ICP'!$A:$A,Capex!$A46,'BASE-ICP'!$B:$B,"janeiro")/1000,"")),"")</f>
        <v>0</v>
      </c>
      <c r="BS390" s="427">
        <v>25.332800000000002</v>
      </c>
      <c r="BT390" s="372">
        <v>970.29190440000002</v>
      </c>
      <c r="BU390" s="422">
        <v>14.246470000000002</v>
      </c>
      <c r="BV390" s="423">
        <f>IFERROR(IF(LEFT($A390,3)="Lcp",SUMIFS('BASE-LCP'!$K:$K,'BASE-LCP'!$A:$A,Capex!$A46,'BASE-LCP'!$B:$B,"fevereiro")/1000,IF(LEFT($A390,3)="icp",SUMIFS('BASE-ICP'!$K:$K,'BASE-ICP'!$A:$A,Capex!$A46,'BASE-ICP'!$B:$B,"fevereiro")/1000,"")),"")</f>
        <v>0</v>
      </c>
      <c r="BW390" s="427">
        <v>14.246470000000002</v>
      </c>
      <c r="BX390" s="372">
        <v>1507.1470578999999</v>
      </c>
      <c r="BY390" s="419">
        <v>1119.6214500000001</v>
      </c>
      <c r="BZ390" s="423">
        <f>IFERROR(IF(LEFT($A390,3)="Lcp",SUMIFS('BASE-LCP'!$K:$K,'BASE-LCP'!$A:$A,Capex!$A46,'BASE-LCP'!$B:$B,"março")/1000,IF(LEFT($A390,3)="icp",SUMIFS('BASE-ICP'!$K:$K,'BASE-ICP'!$A:$A,Capex!$A46,'BASE-ICP'!$B:$B,"março")/1000,"")),"")</f>
        <v>0</v>
      </c>
      <c r="CA390" s="427">
        <v>1119.6214500000001</v>
      </c>
      <c r="CB390" s="372">
        <v>998.01725999999974</v>
      </c>
      <c r="CC390" s="422"/>
      <c r="CD390" s="423">
        <f>IFERROR(IF(LEFT($A390,3)="Lcp",SUMIFS('BASE-LCP'!$K:$K,'BASE-LCP'!$A:$A,Capex!$A46,'BASE-LCP'!$B:$B,"abril")/1000,IF(LEFT($A390,3)="icp",SUMIFS('BASE-ICP'!$K:$K,'BASE-ICP'!$A:$A,Capex!$A46,'BASE-ICP'!$B:$B,"abril")/1000,"")),"")</f>
        <v>0</v>
      </c>
      <c r="CE390" s="427">
        <v>12.921670000000042</v>
      </c>
      <c r="CF390" s="372">
        <v>23.510999999999999</v>
      </c>
      <c r="CG390" s="419">
        <f>CH390</f>
        <v>7.4029600000000793</v>
      </c>
      <c r="CH390" s="423">
        <v>7.4029600000000793</v>
      </c>
      <c r="CI390" s="427">
        <v>7.4029600000000793</v>
      </c>
      <c r="CJ390" s="372">
        <v>17.247</v>
      </c>
      <c r="CK390" s="419"/>
      <c r="CL390" s="423">
        <f>IFERROR(IF(LEFT($A390,3)="Lcp",SUMIFS('BASE-LCP'!$K:$K,'BASE-LCP'!$A:$A,Capex!$A46,'BASE-LCP'!$B:$B,"junho")/1000,IF(LEFT($A390,3)="icp",SUMIFS('BASE-ICP'!$K:$K,'BASE-ICP'!$A:$A,Capex!$A46,'BASE-ICP'!$B:$B,"junho")/1000,"")),"")</f>
        <v>0</v>
      </c>
      <c r="CM390" s="427">
        <v>6.4076800000000329</v>
      </c>
      <c r="CN390" s="372"/>
      <c r="CO390" s="419"/>
      <c r="CP390" s="423">
        <f>IFERROR(IF(LEFT($A390,3)="Lcp",SUMIFS('BASE-LCP'!$K:$K,'BASE-LCP'!$A:$A,Capex!$A46,'BASE-LCP'!$B:$B,"julho")/1000,IF(LEFT($A390,3)="icp",SUMIFS('BASE-ICP'!$K:$K,'BASE-ICP'!$A:$A,Capex!$A46,'BASE-ICP'!$B:$B,"julho")/1000,"")),"")</f>
        <v>0</v>
      </c>
      <c r="CQ390" s="427">
        <v>201.2</v>
      </c>
      <c r="CR390" s="372"/>
      <c r="CS390" s="419"/>
      <c r="CT390" s="423">
        <f>IFERROR(IF(LEFT($A390,3)="Lcp",SUMIFS('BASE-LCP'!$K:$K,'BASE-LCP'!$A:$A,Capex!$A46,'BASE-LCP'!$B:$B,"agosto")/1000,IF(LEFT($A390,3)="icp",SUMIFS('BASE-ICP'!$K:$K,'BASE-ICP'!$A:$A,Capex!$A46,'BASE-ICP'!$B:$B,"agosto")/1000,"")),"")</f>
        <v>0</v>
      </c>
      <c r="CU390" s="427">
        <v>192.49199999999999</v>
      </c>
      <c r="CV390" s="372"/>
      <c r="CW390" s="419"/>
      <c r="CX390" s="423">
        <f>IFERROR(IF(LEFT($A390,3)="Lcp",SUMIFS('BASE-LCP'!$K:$K,'BASE-LCP'!$A:$A,Capex!$A46,'BASE-LCP'!$B:$B,"setembro")/1000,IF(LEFT($A390,3)="icp",SUMIFS('BASE-ICP'!$K:$K,'BASE-ICP'!$A:$A,Capex!$A46,'BASE-ICP'!$B:$B,"setembro")/1000,"")),"")</f>
        <v>0</v>
      </c>
      <c r="CY390" s="427">
        <v>25.32</v>
      </c>
      <c r="CZ390" s="372"/>
      <c r="DA390" s="419"/>
      <c r="DB390" s="423">
        <f>IFERROR(IF(LEFT($A390,3)="Lcp",SUMIFS('BASE-LCP'!$K:$K,'BASE-LCP'!$A:$A,Capex!$A46,'BASE-LCP'!$B:$B,"outubro")/1000,IF(LEFT($A390,3)="icp",SUMIFS('BASE-ICP'!$K:$K,'BASE-ICP'!$A:$A,Capex!$A46,'BASE-ICP'!$B:$B,"outubro")/1000,"")),"")</f>
        <v>0</v>
      </c>
      <c r="DC390" s="427">
        <v>23</v>
      </c>
      <c r="DD390" s="372"/>
      <c r="DE390" s="419"/>
      <c r="DF390" s="423">
        <f>IFERROR(IF(LEFT($A390,3)="Lcp",SUMIFS('BASE-LCP'!$K:$K,'BASE-LCP'!$A:$A,Capex!$A46,'BASE-LCP'!$B:$B,"novembro")/1000,IF(LEFT($A390,3)="icp",SUMIFS('BASE-ICP'!$K:$K,'BASE-ICP'!$A:$A,Capex!$A46,'BASE-ICP'!$B:$B,"novembro")/1000,"")),"")</f>
        <v>0</v>
      </c>
      <c r="DG390" s="427">
        <f>5+11.67</f>
        <v>16.670000000000002</v>
      </c>
      <c r="DH390" s="372"/>
      <c r="DI390" s="419"/>
      <c r="DJ390" s="423">
        <f>IFERROR(IF(LEFT($A390,3)="Lcp",SUMIFS('BASE-LCP'!$K:$K,'BASE-LCP'!$A:$A,Capex!$A46,'BASE-LCP'!$B:$B,"dezembro")/1000,IF(LEFT($A390,3)="icp",SUMIFS('BASE-ICP'!$K:$K,'BASE-ICP'!$A:$A,Capex!$A46,'BASE-ICP'!$B:$B,"dezembro")/1000,"")),"")</f>
        <v>0</v>
      </c>
      <c r="DK390" s="534">
        <f>-1562</f>
        <v>-1562</v>
      </c>
      <c r="DL390" s="452">
        <f t="shared" si="226"/>
        <v>0</v>
      </c>
      <c r="DM390" s="374"/>
      <c r="DN390" s="374"/>
      <c r="DO390" s="374"/>
      <c r="DP390" s="374"/>
      <c r="DQ390" s="374"/>
      <c r="DR390" s="374"/>
      <c r="DS390" s="374"/>
      <c r="DT390" s="374"/>
      <c r="DU390" s="374"/>
      <c r="DV390" s="374"/>
      <c r="DW390" s="374"/>
      <c r="DX390" s="374"/>
      <c r="DY390" s="450"/>
      <c r="DZ390" s="374">
        <f t="shared" si="227"/>
        <v>0</v>
      </c>
      <c r="EA390" s="216">
        <f t="shared" si="228"/>
        <v>-10.839319999999967</v>
      </c>
      <c r="EB390" s="320">
        <f t="shared" si="229"/>
        <v>-6.4076800000000329</v>
      </c>
      <c r="EC390" s="241">
        <f t="shared" si="230"/>
        <v>1159.20072</v>
      </c>
      <c r="ED390" s="241">
        <f t="shared" si="231"/>
        <v>26.732310000000155</v>
      </c>
      <c r="EE390" s="241">
        <f t="shared" si="232"/>
        <v>419.012</v>
      </c>
      <c r="EF390" s="241">
        <f t="shared" si="233"/>
        <v>-1522.33</v>
      </c>
      <c r="EG390" s="346">
        <f t="shared" si="234"/>
        <v>-1739.5521399999996</v>
      </c>
      <c r="EH390" s="445">
        <f t="shared" si="235"/>
        <v>23.510999999999999</v>
      </c>
      <c r="EI390" s="447">
        <f t="shared" si="236"/>
        <v>7.4029600000000793</v>
      </c>
      <c r="EJ390" s="364">
        <f t="shared" si="237"/>
        <v>1179.5253500000001</v>
      </c>
      <c r="EK390" s="365">
        <f t="shared" si="238"/>
        <v>-1096.91032</v>
      </c>
      <c r="EL390" s="529">
        <f t="shared" si="239"/>
        <v>88.264910000000327</v>
      </c>
      <c r="EM390" s="530">
        <v>25.332800000000002</v>
      </c>
      <c r="EN390" s="530">
        <v>14.246470000000002</v>
      </c>
      <c r="EO390" s="530">
        <v>1119.6214500000001</v>
      </c>
      <c r="EP390" s="530">
        <v>12.921670000000042</v>
      </c>
      <c r="EQ390" s="530">
        <v>7.4029600000000793</v>
      </c>
      <c r="ER390" s="530">
        <v>17.247</v>
      </c>
      <c r="ES390" s="530">
        <v>208.2</v>
      </c>
      <c r="ET390" s="530">
        <v>187.245</v>
      </c>
      <c r="EU390" s="530">
        <v>18.32</v>
      </c>
      <c r="EV390" s="530">
        <v>16</v>
      </c>
      <c r="EW390" s="530">
        <v>17</v>
      </c>
      <c r="EX390" s="530">
        <v>-1555.27244</v>
      </c>
      <c r="EY390" s="530">
        <f t="shared" si="240"/>
        <v>1159.20072</v>
      </c>
      <c r="EZ390" s="530">
        <f t="shared" si="241"/>
        <v>37.57163000000012</v>
      </c>
      <c r="FA390" s="530">
        <f t="shared" si="242"/>
        <v>413.76499999999999</v>
      </c>
      <c r="FB390" s="530">
        <f t="shared" si="243"/>
        <v>-1522.27244</v>
      </c>
      <c r="FC390" s="384" t="str">
        <f>IFERROR(VLOOKUP(Capex!A46,BASE_558!D:R,8,FALSE)/1000,"")</f>
        <v/>
      </c>
      <c r="FD390" s="328" t="str">
        <f>IFERROR(VLOOKUP(Capex!A46,BASE_558!D:R,9,)/1000,"")</f>
        <v/>
      </c>
      <c r="FE390" s="328">
        <f>IFERROR(IF(LEFT(A390,3)="LCP",(VLOOKUP(Capex!A46,BASE_558!D:R,10,)/1000),SUMIFS('BASE ICP_PO_SC'!F:F,'BASE ICP_PO_SC'!A:A,Capex!A46,'BASE ICP_PO_SC'!E:E,"&lt;&gt;")/1000),"")</f>
        <v>0</v>
      </c>
      <c r="FF390" s="328">
        <f>IFERROR(IF(LEFT(A390,3)="LCP",(VLOOKUP(Capex!A46,BASE_558!D:R,11,)/1000),SUMIFS('BASE ICP_PO_SC'!F:F,'BASE ICP_PO_SC'!A:A,Capex!A46,'BASE ICP_PO_SC'!E:E,"")/1000),"")</f>
        <v>0</v>
      </c>
      <c r="FG390" s="328" t="str">
        <f>IFERROR(VLOOKUP(A390,BASE_558!D:R,13,FALSE)/1000,"")</f>
        <v/>
      </c>
      <c r="FH390" s="328" t="str">
        <f>IFERROR(VLOOKUP(A390,BASE_558!D:R,15,FALSE)/1000,"")</f>
        <v/>
      </c>
      <c r="FI390" s="547">
        <f t="shared" si="244"/>
        <v>10.839319999999965</v>
      </c>
      <c r="FJ390" s="547">
        <f t="shared" si="245"/>
        <v>-5.2470000000000141</v>
      </c>
      <c r="FK390" s="540">
        <f t="shared" si="246"/>
        <v>5.7559999999966749E-2</v>
      </c>
    </row>
    <row r="391" spans="1:167" s="23" customFormat="1" ht="24" customHeight="1">
      <c r="A391" s="84" t="s">
        <v>755</v>
      </c>
      <c r="B391" s="404"/>
      <c r="C391" s="404">
        <v>567</v>
      </c>
      <c r="D391" s="338" t="s">
        <v>1878</v>
      </c>
      <c r="E391" s="378">
        <v>3918460</v>
      </c>
      <c r="F391" s="310"/>
      <c r="G391" s="310" t="s">
        <v>9</v>
      </c>
      <c r="H391" s="356" t="s">
        <v>6</v>
      </c>
      <c r="I391" s="356"/>
      <c r="J391" s="356">
        <v>2021</v>
      </c>
      <c r="K391" s="352">
        <v>44320</v>
      </c>
      <c r="L391" s="350"/>
      <c r="M391" s="409"/>
      <c r="N391" s="317">
        <f t="shared" si="217"/>
        <v>45232</v>
      </c>
      <c r="O391" s="317">
        <f t="shared" si="218"/>
        <v>45597</v>
      </c>
      <c r="P391" s="418" t="str">
        <f t="shared" si="222"/>
        <v>SIM</v>
      </c>
      <c r="Q391" s="418" t="str">
        <f t="shared" si="222"/>
        <v>SIM</v>
      </c>
      <c r="R391" s="418" t="str">
        <f t="shared" si="222"/>
        <v>SIM</v>
      </c>
      <c r="S391" s="418" t="str">
        <f t="shared" si="222"/>
        <v>SIM</v>
      </c>
      <c r="T391" s="418" t="str">
        <f t="shared" si="222"/>
        <v>SIM</v>
      </c>
      <c r="U391" s="418" t="str">
        <f t="shared" si="222"/>
        <v>SIM</v>
      </c>
      <c r="V391" s="418" t="str">
        <f t="shared" si="222"/>
        <v>SIM</v>
      </c>
      <c r="W391" s="418" t="str">
        <f t="shared" si="222"/>
        <v>SIM</v>
      </c>
      <c r="X391" s="418" t="str">
        <f t="shared" si="222"/>
        <v>SIM</v>
      </c>
      <c r="Y391" s="418" t="str">
        <f t="shared" si="222"/>
        <v>SIM</v>
      </c>
      <c r="Z391" s="551" t="str">
        <f t="shared" si="222"/>
        <v>SIM</v>
      </c>
      <c r="AA391" s="567" t="str">
        <f t="shared" si="222"/>
        <v>SIM</v>
      </c>
      <c r="AB391" s="350"/>
      <c r="AC391" s="309" t="s">
        <v>3932</v>
      </c>
      <c r="AD391" s="311" t="s">
        <v>982</v>
      </c>
      <c r="AE391" s="392" t="s">
        <v>2261</v>
      </c>
      <c r="AF391" s="310" t="s">
        <v>6985</v>
      </c>
      <c r="AG391" s="310" t="s">
        <v>2186</v>
      </c>
      <c r="AH391" s="310" t="s">
        <v>7174</v>
      </c>
      <c r="AI391" s="381" t="s">
        <v>2255</v>
      </c>
      <c r="AJ391" s="6" t="s">
        <v>6786</v>
      </c>
      <c r="AK391" s="6" t="str">
        <f t="shared" si="224"/>
        <v>IGUAL</v>
      </c>
      <c r="AL391" s="151" t="str">
        <f>IFERROR(IF(LEFT(A391,3)="LCP",VLOOKUP(A391,STATUS_SAP_LCP!B:C,2,FALSE),VLOOKUP(A391,STATUS_SAP_ICP!B:C,2,FALSE)),"NO BUDGET")</f>
        <v>REL  BUDG AUC   //  APPR BREL INPL</v>
      </c>
      <c r="AM391" s="6" t="str">
        <f t="shared" si="223"/>
        <v xml:space="preserve">REL </v>
      </c>
      <c r="AN391" s="429" t="s">
        <v>17710</v>
      </c>
      <c r="AO391" s="429"/>
      <c r="AP391" s="499" t="s">
        <v>5299</v>
      </c>
      <c r="AQ391" s="465">
        <v>45960</v>
      </c>
      <c r="AR391" s="460"/>
      <c r="AS391" s="57"/>
      <c r="AT391" s="185"/>
      <c r="AU391" s="318">
        <v>190.12249999999997</v>
      </c>
      <c r="AV391" s="223">
        <v>469.50777999999991</v>
      </c>
      <c r="AW391" s="318">
        <v>22.573330000000006</v>
      </c>
      <c r="AX391" s="223">
        <v>0.22947999999999999</v>
      </c>
      <c r="AY391" s="318">
        <f t="shared" si="214"/>
        <v>33.089570000000002</v>
      </c>
      <c r="AZ391" s="223"/>
      <c r="BA391" s="318"/>
      <c r="BB391" s="519">
        <f t="shared" si="219"/>
        <v>36</v>
      </c>
      <c r="BC391" s="518">
        <v>0</v>
      </c>
      <c r="BD391" s="518">
        <v>18</v>
      </c>
      <c r="BE391" s="518">
        <v>9</v>
      </c>
      <c r="BF391" s="518">
        <v>9</v>
      </c>
      <c r="BG391" s="518">
        <v>0</v>
      </c>
      <c r="BH391" s="518">
        <v>0</v>
      </c>
      <c r="BI391" s="518">
        <v>0</v>
      </c>
      <c r="BJ391" s="518">
        <v>0</v>
      </c>
      <c r="BK391" s="518">
        <v>0</v>
      </c>
      <c r="BL391" s="518">
        <v>0</v>
      </c>
      <c r="BM391" s="518">
        <v>0</v>
      </c>
      <c r="BN391" s="518">
        <v>0</v>
      </c>
      <c r="BO391" s="367">
        <f t="shared" si="225"/>
        <v>33.089570000000002</v>
      </c>
      <c r="BP391" s="421">
        <v>0</v>
      </c>
      <c r="BQ391" s="422">
        <v>0.48902999999999996</v>
      </c>
      <c r="BR391" s="423">
        <f>IFERROR(IF(LEFT($A391,3)="Lcp",SUMIFS('BASE-LCP'!$K:$K,'BASE-LCP'!$A:$A,Capex!$A206,'BASE-LCP'!$B:$B,"janeiro")/1000,IF(LEFT($A391,3)="icp",SUMIFS('BASE-ICP'!$K:$K,'BASE-ICP'!$A:$A,Capex!$A206,'BASE-ICP'!$B:$B,"janeiro")/1000,"")),"")</f>
        <v>0</v>
      </c>
      <c r="BS391" s="427">
        <v>0.48902999999999996</v>
      </c>
      <c r="BT391" s="372">
        <v>0</v>
      </c>
      <c r="BU391" s="422"/>
      <c r="BV391" s="423">
        <f>IFERROR(IF(LEFT($A391,3)="Lcp",SUMIFS('BASE-LCP'!$K:$K,'BASE-LCP'!$A:$A,Capex!$A206,'BASE-LCP'!$B:$B,"fevereiro")/1000,IF(LEFT($A391,3)="icp",SUMIFS('BASE-ICP'!$K:$K,'BASE-ICP'!$A:$A,Capex!$A206,'BASE-ICP'!$B:$B,"fevereiro")/1000,"")),"")</f>
        <v>0</v>
      </c>
      <c r="BW391" s="427">
        <v>0</v>
      </c>
      <c r="BX391" s="372">
        <v>18</v>
      </c>
      <c r="BY391" s="419">
        <v>1.11181</v>
      </c>
      <c r="BZ391" s="423">
        <f>IFERROR(IF(LEFT($A391,3)="Lcp",SUMIFS('BASE-LCP'!$K:$K,'BASE-LCP'!$A:$A,Capex!$A206,'BASE-LCP'!$B:$B,"março")/1000,IF(LEFT($A391,3)="icp",SUMIFS('BASE-ICP'!$K:$K,'BASE-ICP'!$A:$A,Capex!$A206,'BASE-ICP'!$B:$B,"março")/1000,"")),"")</f>
        <v>0</v>
      </c>
      <c r="CA391" s="427">
        <v>1.11181</v>
      </c>
      <c r="CB391" s="372">
        <v>25.9</v>
      </c>
      <c r="CC391" s="422">
        <v>5.4887299999999994</v>
      </c>
      <c r="CD391" s="423">
        <f>IFERROR(IF(LEFT($A391,3)="Lcp",SUMIFS('BASE-LCP'!$K:$K,'BASE-LCP'!$A:$A,Capex!$A206,'BASE-LCP'!$B:$B,"abril")/1000,IF(LEFT($A391,3)="icp",SUMIFS('BASE-ICP'!$K:$K,'BASE-ICP'!$A:$A,Capex!$A206,'BASE-ICP'!$B:$B,"abril")/1000,"")),"")</f>
        <v>0</v>
      </c>
      <c r="CE391" s="427">
        <v>5.4887300000000003</v>
      </c>
      <c r="CF391" s="372">
        <v>0</v>
      </c>
      <c r="CG391" s="419"/>
      <c r="CH391" s="423">
        <v>0</v>
      </c>
      <c r="CI391" s="427">
        <v>0</v>
      </c>
      <c r="CJ391" s="372">
        <v>6</v>
      </c>
      <c r="CK391" s="419"/>
      <c r="CL391" s="423">
        <f>IFERROR(IF(LEFT($A391,3)="Lcp",SUMIFS('BASE-LCP'!$K:$K,'BASE-LCP'!$A:$A,Capex!$A206,'BASE-LCP'!$B:$B,"junho")/1000,IF(LEFT($A391,3)="icp",SUMIFS('BASE-ICP'!$K:$K,'BASE-ICP'!$A:$A,Capex!$A206,'BASE-ICP'!$B:$B,"junho")/1000,"")),"")</f>
        <v>0</v>
      </c>
      <c r="CM391" s="427">
        <v>0</v>
      </c>
      <c r="CN391" s="372"/>
      <c r="CO391" s="419"/>
      <c r="CP391" s="423">
        <f>IFERROR(IF(LEFT($A391,3)="Lcp",SUMIFS('BASE-LCP'!$K:$K,'BASE-LCP'!$A:$A,Capex!$A206,'BASE-LCP'!$B:$B,"julho")/1000,IF(LEFT($A391,3)="icp",SUMIFS('BASE-ICP'!$K:$K,'BASE-ICP'!$A:$A,Capex!$A206,'BASE-ICP'!$B:$B,"julho")/1000,"")),"")</f>
        <v>0</v>
      </c>
      <c r="CQ391" s="427">
        <v>6</v>
      </c>
      <c r="CR391" s="372"/>
      <c r="CS391" s="419"/>
      <c r="CT391" s="423">
        <f>IFERROR(IF(LEFT($A391,3)="Lcp",SUMIFS('BASE-LCP'!$K:$K,'BASE-LCP'!$A:$A,Capex!$A206,'BASE-LCP'!$B:$B,"agosto")/1000,IF(LEFT($A391,3)="icp",SUMIFS('BASE-ICP'!$K:$K,'BASE-ICP'!$A:$A,Capex!$A206,'BASE-ICP'!$B:$B,"agosto")/1000,"")),"")</f>
        <v>0</v>
      </c>
      <c r="CU391" s="427">
        <v>3</v>
      </c>
      <c r="CV391" s="372"/>
      <c r="CW391" s="419"/>
      <c r="CX391" s="423">
        <f>IFERROR(IF(LEFT($A391,3)="Lcp",SUMIFS('BASE-LCP'!$K:$K,'BASE-LCP'!$A:$A,Capex!$A206,'BASE-LCP'!$B:$B,"setembro")/1000,IF(LEFT($A391,3)="icp",SUMIFS('BASE-ICP'!$K:$K,'BASE-ICP'!$A:$A,Capex!$A206,'BASE-ICP'!$B:$B,"setembro")/1000,"")),"")</f>
        <v>0</v>
      </c>
      <c r="CY391" s="427">
        <v>17</v>
      </c>
      <c r="CZ391" s="372"/>
      <c r="DA391" s="419"/>
      <c r="DB391" s="423">
        <f>IFERROR(IF(LEFT($A391,3)="Lcp",SUMIFS('BASE-LCP'!$K:$K,'BASE-LCP'!$A:$A,Capex!$A206,'BASE-LCP'!$B:$B,"outubro")/1000,IF(LEFT($A391,3)="icp",SUMIFS('BASE-ICP'!$K:$K,'BASE-ICP'!$A:$A,Capex!$A206,'BASE-ICP'!$B:$B,"outubro")/1000,"")),"")</f>
        <v>0</v>
      </c>
      <c r="DC391" s="427">
        <v>0</v>
      </c>
      <c r="DD391" s="372"/>
      <c r="DE391" s="419"/>
      <c r="DF391" s="423">
        <f>IFERROR(IF(LEFT($A391,3)="Lcp",SUMIFS('BASE-LCP'!$K:$K,'BASE-LCP'!$A:$A,Capex!$A206,'BASE-LCP'!$B:$B,"novembro")/1000,IF(LEFT($A391,3)="icp",SUMIFS('BASE-ICP'!$K:$K,'BASE-ICP'!$A:$A,Capex!$A206,'BASE-ICP'!$B:$B,"novembro")/1000,"")),"")</f>
        <v>0</v>
      </c>
      <c r="DG391" s="427">
        <v>0</v>
      </c>
      <c r="DH391" s="372"/>
      <c r="DI391" s="419"/>
      <c r="DJ391" s="423">
        <f>IFERROR(IF(LEFT($A391,3)="Lcp",SUMIFS('BASE-LCP'!$K:$K,'BASE-LCP'!$A:$A,Capex!$A206,'BASE-LCP'!$B:$B,"dezembro")/1000,IF(LEFT($A391,3)="icp",SUMIFS('BASE-ICP'!$K:$K,'BASE-ICP'!$A:$A,Capex!$A206,'BASE-ICP'!$B:$B,"dezembro")/1000,"")),"")</f>
        <v>0</v>
      </c>
      <c r="DK391" s="427">
        <v>0</v>
      </c>
      <c r="DL391" s="452">
        <f t="shared" si="226"/>
        <v>0</v>
      </c>
      <c r="DM391" s="374"/>
      <c r="DN391" s="374">
        <v>0</v>
      </c>
      <c r="DO391" s="374"/>
      <c r="DP391" s="374"/>
      <c r="DQ391" s="374"/>
      <c r="DR391" s="374"/>
      <c r="DS391" s="374"/>
      <c r="DT391" s="374"/>
      <c r="DU391" s="374"/>
      <c r="DV391" s="374"/>
      <c r="DW391" s="374"/>
      <c r="DX391" s="374"/>
      <c r="DY391" s="450"/>
      <c r="DZ391" s="374">
        <f t="shared" si="227"/>
        <v>0</v>
      </c>
      <c r="EA391" s="216">
        <f t="shared" si="228"/>
        <v>-6</v>
      </c>
      <c r="EB391" s="320">
        <f t="shared" si="229"/>
        <v>0</v>
      </c>
      <c r="EC391" s="241">
        <f t="shared" si="230"/>
        <v>1.6008399999999998</v>
      </c>
      <c r="ED391" s="241">
        <f t="shared" si="231"/>
        <v>5.4887300000000003</v>
      </c>
      <c r="EE391" s="241">
        <f t="shared" si="232"/>
        <v>26</v>
      </c>
      <c r="EF391" s="241">
        <f t="shared" si="233"/>
        <v>0</v>
      </c>
      <c r="EG391" s="346">
        <f t="shared" si="234"/>
        <v>-2.9104299999999981</v>
      </c>
      <c r="EH391" s="445">
        <f t="shared" si="235"/>
        <v>0</v>
      </c>
      <c r="EI391" s="447">
        <f t="shared" si="236"/>
        <v>0</v>
      </c>
      <c r="EJ391" s="364">
        <f t="shared" si="237"/>
        <v>7.0895700000000001</v>
      </c>
      <c r="EK391" s="365">
        <f t="shared" si="238"/>
        <v>26</v>
      </c>
      <c r="EL391" s="529">
        <f t="shared" si="239"/>
        <v>33.089570000000002</v>
      </c>
      <c r="EM391" s="530">
        <v>0.48902999999999996</v>
      </c>
      <c r="EN391" s="530">
        <v>0</v>
      </c>
      <c r="EO391" s="530">
        <v>1.11181</v>
      </c>
      <c r="EP391" s="530">
        <v>5.4887300000000003</v>
      </c>
      <c r="EQ391" s="530">
        <v>0</v>
      </c>
      <c r="ER391" s="530">
        <v>6</v>
      </c>
      <c r="ES391" s="530">
        <v>0</v>
      </c>
      <c r="ET391" s="530">
        <v>3</v>
      </c>
      <c r="EU391" s="530">
        <v>17</v>
      </c>
      <c r="EV391" s="530">
        <v>0</v>
      </c>
      <c r="EW391" s="530">
        <v>0</v>
      </c>
      <c r="EX391" s="530">
        <v>0</v>
      </c>
      <c r="EY391" s="530">
        <f t="shared" si="240"/>
        <v>1.6008399999999998</v>
      </c>
      <c r="EZ391" s="530">
        <f t="shared" si="241"/>
        <v>11.48873</v>
      </c>
      <c r="FA391" s="530">
        <f t="shared" si="242"/>
        <v>20</v>
      </c>
      <c r="FB391" s="530">
        <f t="shared" si="243"/>
        <v>0</v>
      </c>
      <c r="FC391" s="384">
        <f>IFERROR(VLOOKUP(Capex!A206,BASE_558!D:R,8,FALSE)/1000,"")</f>
        <v>878.96</v>
      </c>
      <c r="FD391" s="328">
        <f>IFERROR(VLOOKUP(Capex!A206,BASE_558!D:R,9,)/1000,"")</f>
        <v>831.69006000000002</v>
      </c>
      <c r="FE391" s="328">
        <f>IFERROR(IF(LEFT(A391,3)="LCP",(VLOOKUP(Capex!A206,BASE_558!D:R,10,)/1000),SUMIFS('BASE ICP_PO_SC'!F:F,'BASE ICP_PO_SC'!A:A,Capex!A206,'BASE ICP_PO_SC'!E:E,"&lt;&gt;")/1000),"")</f>
        <v>0</v>
      </c>
      <c r="FF391" s="328">
        <f>IFERROR(IF(LEFT(A391,3)="LCP",(VLOOKUP(Capex!A206,BASE_558!D:R,11,)/1000),SUMIFS('BASE ICP_PO_SC'!F:F,'BASE ICP_PO_SC'!A:A,Capex!A206,'BASE ICP_PO_SC'!E:E,"")/1000),"")</f>
        <v>0</v>
      </c>
      <c r="FG391" s="328">
        <f>IFERROR(VLOOKUP(A391,BASE_558!D:R,13,FALSE)/1000,"")</f>
        <v>962.33152000000007</v>
      </c>
      <c r="FH391" s="328">
        <f>IFERROR(VLOOKUP(A391,BASE_558!D:R,15,FALSE)/1000,"")</f>
        <v>-193.25132000000002</v>
      </c>
      <c r="FI391" s="547">
        <f t="shared" si="244"/>
        <v>6</v>
      </c>
      <c r="FJ391" s="547">
        <f t="shared" si="245"/>
        <v>-6</v>
      </c>
      <c r="FK391" s="540">
        <f t="shared" si="246"/>
        <v>0</v>
      </c>
    </row>
    <row r="392" spans="1:167" s="23" customFormat="1" ht="24" customHeight="1">
      <c r="A392" s="84" t="s">
        <v>2406</v>
      </c>
      <c r="B392" s="404"/>
      <c r="C392" s="404"/>
      <c r="D392" s="338" t="s">
        <v>2656</v>
      </c>
      <c r="E392" s="378">
        <v>7453165</v>
      </c>
      <c r="F392" s="5"/>
      <c r="G392" s="310" t="s">
        <v>9</v>
      </c>
      <c r="H392" s="356" t="s">
        <v>6</v>
      </c>
      <c r="I392" s="356"/>
      <c r="J392" s="356">
        <v>2023</v>
      </c>
      <c r="K392" s="352">
        <v>45177</v>
      </c>
      <c r="L392" s="322"/>
      <c r="M392" s="409"/>
      <c r="N392" s="317">
        <f t="shared" si="217"/>
        <v>46089</v>
      </c>
      <c r="O392" s="317">
        <f t="shared" si="218"/>
        <v>46454</v>
      </c>
      <c r="P392" s="418" t="str">
        <f t="shared" si="222"/>
        <v>NÃO</v>
      </c>
      <c r="Q392" s="418" t="str">
        <f t="shared" si="222"/>
        <v>NÃO</v>
      </c>
      <c r="R392" s="418" t="str">
        <f t="shared" si="222"/>
        <v>NÃO</v>
      </c>
      <c r="S392" s="418" t="str">
        <f t="shared" si="222"/>
        <v>NÃO</v>
      </c>
      <c r="T392" s="418" t="str">
        <f t="shared" si="222"/>
        <v>NÃO</v>
      </c>
      <c r="U392" s="418" t="str">
        <f t="shared" si="222"/>
        <v>NÃO</v>
      </c>
      <c r="V392" s="418" t="str">
        <f t="shared" si="222"/>
        <v>NÃO</v>
      </c>
      <c r="W392" s="418" t="str">
        <f t="shared" si="222"/>
        <v>NÃO</v>
      </c>
      <c r="X392" s="418" t="str">
        <f t="shared" si="222"/>
        <v>NÃO</v>
      </c>
      <c r="Y392" s="418" t="str">
        <f t="shared" si="222"/>
        <v>NÃO</v>
      </c>
      <c r="Z392" s="418" t="str">
        <f t="shared" si="222"/>
        <v>NÃO</v>
      </c>
      <c r="AA392" s="418" t="str">
        <f t="shared" si="222"/>
        <v>NÃO</v>
      </c>
      <c r="AB392" s="350"/>
      <c r="AC392" s="309" t="s">
        <v>3932</v>
      </c>
      <c r="AD392" s="311" t="s">
        <v>982</v>
      </c>
      <c r="AE392" s="382" t="s">
        <v>2261</v>
      </c>
      <c r="AF392" s="310" t="s">
        <v>6985</v>
      </c>
      <c r="AG392" s="310" t="s">
        <v>2186</v>
      </c>
      <c r="AH392" s="310" t="s">
        <v>2407</v>
      </c>
      <c r="AI392" s="381" t="s">
        <v>2255</v>
      </c>
      <c r="AJ392" s="6" t="s">
        <v>6786</v>
      </c>
      <c r="AK392" s="6" t="str">
        <f t="shared" si="224"/>
        <v>IGUAL</v>
      </c>
      <c r="AL392" s="151" t="str">
        <f>IFERROR(IF(LEFT(A392,3)="LCP",VLOOKUP(A392,STATUS_SAP_LCP!B:C,2,FALSE),VLOOKUP(A392,STATUS_SAP_ICP!B:C,2,FALSE)),"NO BUDGET")</f>
        <v>REL  BUDG AUC  AVAC  //  APPR BREL EXPL</v>
      </c>
      <c r="AM392" s="6" t="str">
        <f t="shared" si="223"/>
        <v xml:space="preserve">REL </v>
      </c>
      <c r="AN392" s="429" t="s">
        <v>17714</v>
      </c>
      <c r="AO392" s="429"/>
      <c r="AP392" s="499" t="s">
        <v>5299</v>
      </c>
      <c r="AQ392" s="465">
        <v>45807</v>
      </c>
      <c r="AR392" s="460"/>
      <c r="AS392" s="57"/>
      <c r="AT392" s="185"/>
      <c r="AU392" s="318"/>
      <c r="AV392" s="223"/>
      <c r="AW392" s="318">
        <v>0</v>
      </c>
      <c r="AX392" s="223">
        <v>103.02701</v>
      </c>
      <c r="AY392" s="318">
        <f t="shared" si="214"/>
        <v>54.625029999999988</v>
      </c>
      <c r="AZ392" s="223"/>
      <c r="BA392" s="318"/>
      <c r="BB392" s="519">
        <f t="shared" si="219"/>
        <v>48</v>
      </c>
      <c r="BC392" s="518">
        <v>0</v>
      </c>
      <c r="BD392" s="518">
        <v>48</v>
      </c>
      <c r="BE392" s="518">
        <v>0</v>
      </c>
      <c r="BF392" s="518">
        <v>0</v>
      </c>
      <c r="BG392" s="518">
        <v>0</v>
      </c>
      <c r="BH392" s="518">
        <v>0</v>
      </c>
      <c r="BI392" s="518">
        <v>0</v>
      </c>
      <c r="BJ392" s="518">
        <v>0</v>
      </c>
      <c r="BK392" s="518">
        <v>0</v>
      </c>
      <c r="BL392" s="518">
        <v>0</v>
      </c>
      <c r="BM392" s="518">
        <v>0</v>
      </c>
      <c r="BN392" s="518">
        <v>0</v>
      </c>
      <c r="BO392" s="367">
        <f t="shared" si="225"/>
        <v>54.625029999999988</v>
      </c>
      <c r="BP392" s="421">
        <v>0</v>
      </c>
      <c r="BQ392" s="422"/>
      <c r="BR392" s="423">
        <f>IFERROR(IF(LEFT($A392,3)="Lcp",SUMIFS('BASE-LCP'!$K:$K,'BASE-LCP'!$A:$A,Capex!$A344,'BASE-LCP'!$B:$B,"janeiro")/1000,IF(LEFT($A392,3)="icp",SUMIFS('BASE-ICP'!$K:$K,'BASE-ICP'!$A:$A,Capex!$A344,'BASE-ICP'!$B:$B,"janeiro")/1000,"")),"")</f>
        <v>0</v>
      </c>
      <c r="BS392" s="427">
        <v>0</v>
      </c>
      <c r="BT392" s="372">
        <v>0</v>
      </c>
      <c r="BU392" s="422"/>
      <c r="BV392" s="423">
        <f>IFERROR(IF(LEFT($A392,3)="Lcp",SUMIFS('BASE-LCP'!$K:$K,'BASE-LCP'!$A:$A,Capex!$A344,'BASE-LCP'!$B:$B,"fevereiro")/1000,IF(LEFT($A392,3)="icp",SUMIFS('BASE-ICP'!$K:$K,'BASE-ICP'!$A:$A,Capex!$A344,'BASE-ICP'!$B:$B,"fevereiro")/1000,"")),"")</f>
        <v>0</v>
      </c>
      <c r="BW392" s="427">
        <v>0</v>
      </c>
      <c r="BX392" s="372">
        <v>0</v>
      </c>
      <c r="BY392" s="419"/>
      <c r="BZ392" s="423">
        <f>IFERROR(IF(LEFT($A392,3)="Lcp",SUMIFS('BASE-LCP'!$K:$K,'BASE-LCP'!$A:$A,Capex!$A344,'BASE-LCP'!$B:$B,"março")/1000,IF(LEFT($A392,3)="icp",SUMIFS('BASE-ICP'!$K:$K,'BASE-ICP'!$A:$A,Capex!$A344,'BASE-ICP'!$B:$B,"março")/1000,"")),"")</f>
        <v>0</v>
      </c>
      <c r="CA392" s="427">
        <v>0</v>
      </c>
      <c r="CB392" s="372">
        <v>0</v>
      </c>
      <c r="CC392" s="422"/>
      <c r="CD392" s="423">
        <f>IFERROR(IF(LEFT($A392,3)="Lcp",SUMIFS('BASE-LCP'!$K:$K,'BASE-LCP'!$A:$A,Capex!$A344,'BASE-LCP'!$B:$B,"abril")/1000,IF(LEFT($A392,3)="icp",SUMIFS('BASE-ICP'!$K:$K,'BASE-ICP'!$A:$A,Capex!$A344,'BASE-ICP'!$B:$B,"abril")/1000,"")),"")</f>
        <v>0</v>
      </c>
      <c r="CE392" s="427">
        <v>0</v>
      </c>
      <c r="CF392" s="372">
        <v>0</v>
      </c>
      <c r="CG392" s="419"/>
      <c r="CH392" s="423">
        <v>0</v>
      </c>
      <c r="CI392" s="427">
        <v>0</v>
      </c>
      <c r="CJ392" s="372">
        <v>45</v>
      </c>
      <c r="CK392" s="419">
        <v>48.625029999999995</v>
      </c>
      <c r="CL392" s="423">
        <f>IFERROR(IF(LEFT($A392,3)="Lcp",SUMIFS('BASE-LCP'!$K:$K,'BASE-LCP'!$A:$A,Capex!$A344,'BASE-LCP'!$B:$B,"junho")/1000,IF(LEFT($A392,3)="icp",SUMIFS('BASE-ICP'!$K:$K,'BASE-ICP'!$A:$A,Capex!$A344,'BASE-ICP'!$B:$B,"junho")/1000,"")),"")</f>
        <v>0</v>
      </c>
      <c r="CM392" s="427">
        <v>48.625029999999988</v>
      </c>
      <c r="CN392" s="372"/>
      <c r="CO392" s="419"/>
      <c r="CP392" s="423">
        <f>IFERROR(IF(LEFT($A392,3)="Lcp",SUMIFS('BASE-LCP'!$K:$K,'BASE-LCP'!$A:$A,Capex!$A344,'BASE-LCP'!$B:$B,"julho")/1000,IF(LEFT($A392,3)="icp",SUMIFS('BASE-ICP'!$K:$K,'BASE-ICP'!$A:$A,Capex!$A344,'BASE-ICP'!$B:$B,"julho")/1000,"")),"")</f>
        <v>0</v>
      </c>
      <c r="CQ392" s="427">
        <v>6</v>
      </c>
      <c r="CR392" s="372"/>
      <c r="CS392" s="419"/>
      <c r="CT392" s="423">
        <f>IFERROR(IF(LEFT($A392,3)="Lcp",SUMIFS('BASE-LCP'!$K:$K,'BASE-LCP'!$A:$A,Capex!$A344,'BASE-LCP'!$B:$B,"agosto")/1000,IF(LEFT($A392,3)="icp",SUMIFS('BASE-ICP'!$K:$K,'BASE-ICP'!$A:$A,Capex!$A344,'BASE-ICP'!$B:$B,"agosto")/1000,"")),"")</f>
        <v>0</v>
      </c>
      <c r="CU392" s="427">
        <v>0</v>
      </c>
      <c r="CV392" s="372"/>
      <c r="CW392" s="419"/>
      <c r="CX392" s="423">
        <f>IFERROR(IF(LEFT($A392,3)="Lcp",SUMIFS('BASE-LCP'!$K:$K,'BASE-LCP'!$A:$A,Capex!$A344,'BASE-LCP'!$B:$B,"setembro")/1000,IF(LEFT($A392,3)="icp",SUMIFS('BASE-ICP'!$K:$K,'BASE-ICP'!$A:$A,Capex!$A344,'BASE-ICP'!$B:$B,"setembro")/1000,"")),"")</f>
        <v>0</v>
      </c>
      <c r="CY392" s="427">
        <v>0</v>
      </c>
      <c r="CZ392" s="372"/>
      <c r="DA392" s="419"/>
      <c r="DB392" s="423">
        <f>IFERROR(IF(LEFT($A392,3)="Lcp",SUMIFS('BASE-LCP'!$K:$K,'BASE-LCP'!$A:$A,Capex!$A344,'BASE-LCP'!$B:$B,"outubro")/1000,IF(LEFT($A392,3)="icp",SUMIFS('BASE-ICP'!$K:$K,'BASE-ICP'!$A:$A,Capex!$A344,'BASE-ICP'!$B:$B,"outubro")/1000,"")),"")</f>
        <v>0</v>
      </c>
      <c r="DC392" s="427">
        <v>0</v>
      </c>
      <c r="DD392" s="372"/>
      <c r="DE392" s="419"/>
      <c r="DF392" s="423">
        <f>IFERROR(IF(LEFT($A392,3)="Lcp",SUMIFS('BASE-LCP'!$K:$K,'BASE-LCP'!$A:$A,Capex!$A344,'BASE-LCP'!$B:$B,"novembro")/1000,IF(LEFT($A392,3)="icp",SUMIFS('BASE-ICP'!$K:$K,'BASE-ICP'!$A:$A,Capex!$A344,'BASE-ICP'!$B:$B,"novembro")/1000,"")),"")</f>
        <v>0</v>
      </c>
      <c r="DG392" s="427">
        <v>0</v>
      </c>
      <c r="DH392" s="372"/>
      <c r="DI392" s="419"/>
      <c r="DJ392" s="423">
        <f>IFERROR(IF(LEFT($A392,3)="Lcp",SUMIFS('BASE-LCP'!$K:$K,'BASE-LCP'!$A:$A,Capex!$A344,'BASE-LCP'!$B:$B,"dezembro")/1000,IF(LEFT($A392,3)="icp",SUMIFS('BASE-ICP'!$K:$K,'BASE-ICP'!$A:$A,Capex!$A344,'BASE-ICP'!$B:$B,"dezembro")/1000,"")),"")</f>
        <v>0</v>
      </c>
      <c r="DK392" s="427">
        <v>0</v>
      </c>
      <c r="DL392" s="452">
        <f t="shared" si="226"/>
        <v>0</v>
      </c>
      <c r="DM392" s="374"/>
      <c r="DN392" s="374">
        <v>0</v>
      </c>
      <c r="DO392" s="374"/>
      <c r="DP392" s="374"/>
      <c r="DQ392" s="374"/>
      <c r="DR392" s="374"/>
      <c r="DS392" s="374"/>
      <c r="DT392" s="374"/>
      <c r="DU392" s="374"/>
      <c r="DV392" s="374"/>
      <c r="DW392" s="374"/>
      <c r="DX392" s="374"/>
      <c r="DY392" s="450"/>
      <c r="DZ392" s="374">
        <f t="shared" si="227"/>
        <v>0</v>
      </c>
      <c r="EA392" s="216">
        <f t="shared" si="228"/>
        <v>3.6250299999999882</v>
      </c>
      <c r="EB392" s="320">
        <f t="shared" si="229"/>
        <v>-48.625029999999988</v>
      </c>
      <c r="EC392" s="241">
        <f t="shared" si="230"/>
        <v>0</v>
      </c>
      <c r="ED392" s="241">
        <f t="shared" si="231"/>
        <v>48.625029999999988</v>
      </c>
      <c r="EE392" s="241">
        <f t="shared" si="232"/>
        <v>6</v>
      </c>
      <c r="EF392" s="241">
        <f t="shared" si="233"/>
        <v>0</v>
      </c>
      <c r="EG392" s="346">
        <f t="shared" si="234"/>
        <v>6.6250299999999882</v>
      </c>
      <c r="EH392" s="445">
        <f t="shared" si="235"/>
        <v>0</v>
      </c>
      <c r="EI392" s="447">
        <f t="shared" si="236"/>
        <v>0</v>
      </c>
      <c r="EJ392" s="364">
        <f t="shared" si="237"/>
        <v>0</v>
      </c>
      <c r="EK392" s="365">
        <f t="shared" si="238"/>
        <v>54.625029999999988</v>
      </c>
      <c r="EL392" s="529">
        <f t="shared" si="239"/>
        <v>45</v>
      </c>
      <c r="EM392" s="530">
        <v>0</v>
      </c>
      <c r="EN392" s="530">
        <v>0</v>
      </c>
      <c r="EO392" s="530">
        <v>0</v>
      </c>
      <c r="EP392" s="530">
        <v>0</v>
      </c>
      <c r="EQ392" s="530">
        <v>0</v>
      </c>
      <c r="ER392" s="530">
        <v>45</v>
      </c>
      <c r="ES392" s="530">
        <v>0</v>
      </c>
      <c r="ET392" s="530">
        <v>0</v>
      </c>
      <c r="EU392" s="530">
        <v>0</v>
      </c>
      <c r="EV392" s="530">
        <v>0</v>
      </c>
      <c r="EW392" s="530">
        <v>0</v>
      </c>
      <c r="EX392" s="530">
        <v>0</v>
      </c>
      <c r="EY392" s="530">
        <f t="shared" si="240"/>
        <v>0</v>
      </c>
      <c r="EZ392" s="530">
        <f t="shared" si="241"/>
        <v>45</v>
      </c>
      <c r="FA392" s="530">
        <f t="shared" si="242"/>
        <v>0</v>
      </c>
      <c r="FB392" s="530">
        <f t="shared" si="243"/>
        <v>0</v>
      </c>
      <c r="FC392" s="384">
        <f>IFERROR(VLOOKUP(Capex!A344,BASE_558!D:R,8,FALSE)/1000,"")</f>
        <v>0</v>
      </c>
      <c r="FD392" s="328">
        <f>IFERROR(VLOOKUP(Capex!A344,BASE_558!D:R,9,)/1000,"")</f>
        <v>0</v>
      </c>
      <c r="FE392" s="328">
        <f>IFERROR(IF(LEFT(A392,3)="LCP",(VLOOKUP(Capex!A344,BASE_558!D:R,10,)/1000),SUMIFS('BASE ICP_PO_SC'!F:F,'BASE ICP_PO_SC'!A:A,Capex!A344,'BASE ICP_PO_SC'!E:E,"&lt;&gt;")/1000),"")</f>
        <v>0</v>
      </c>
      <c r="FF392" s="328">
        <f>IFERROR(IF(LEFT(A392,3)="LCP",(VLOOKUP(Capex!A344,BASE_558!D:R,11,)/1000),SUMIFS('BASE ICP_PO_SC'!F:F,'BASE ICP_PO_SC'!A:A,Capex!A344,'BASE ICP_PO_SC'!E:E,"")/1000),"")</f>
        <v>0</v>
      </c>
      <c r="FG392" s="328">
        <f>IFERROR(VLOOKUP(A392,BASE_558!D:R,13,FALSE)/1000,"")</f>
        <v>200.08832999999998</v>
      </c>
      <c r="FH392" s="328">
        <f>IFERROR(VLOOKUP(A392,BASE_558!D:R,15,FALSE)/1000,"")</f>
        <v>63.545670000000001</v>
      </c>
      <c r="FI392" s="547">
        <f t="shared" si="244"/>
        <v>-3.6250299999999882</v>
      </c>
      <c r="FJ392" s="547">
        <f t="shared" si="245"/>
        <v>-6</v>
      </c>
      <c r="FK392" s="540">
        <f t="shared" si="246"/>
        <v>0</v>
      </c>
    </row>
    <row r="393" spans="1:167" s="23" customFormat="1" ht="24" customHeight="1">
      <c r="A393" s="310" t="s">
        <v>2384</v>
      </c>
      <c r="B393" s="404"/>
      <c r="C393" s="404">
        <v>29</v>
      </c>
      <c r="D393" s="338" t="s">
        <v>2644</v>
      </c>
      <c r="E393" s="309">
        <v>7142974</v>
      </c>
      <c r="F393" s="5" t="s">
        <v>609</v>
      </c>
      <c r="G393" s="310" t="s">
        <v>9</v>
      </c>
      <c r="H393" s="356" t="s">
        <v>6</v>
      </c>
      <c r="I393" s="356"/>
      <c r="J393" s="356">
        <v>2023</v>
      </c>
      <c r="K393" s="352">
        <v>45124</v>
      </c>
      <c r="L393" s="350"/>
      <c r="M393" s="409"/>
      <c r="N393" s="317">
        <f t="shared" si="217"/>
        <v>46036</v>
      </c>
      <c r="O393" s="317">
        <f t="shared" si="218"/>
        <v>46401</v>
      </c>
      <c r="P393" s="418" t="str">
        <f t="shared" si="222"/>
        <v>NÃO</v>
      </c>
      <c r="Q393" s="418" t="str">
        <f t="shared" si="222"/>
        <v>NÃO</v>
      </c>
      <c r="R393" s="418" t="str">
        <f t="shared" si="222"/>
        <v>NÃO</v>
      </c>
      <c r="S393" s="418" t="str">
        <f t="shared" si="222"/>
        <v>NÃO</v>
      </c>
      <c r="T393" s="418" t="str">
        <f t="shared" si="222"/>
        <v>NÃO</v>
      </c>
      <c r="U393" s="418" t="str">
        <f t="shared" si="222"/>
        <v>NÃO</v>
      </c>
      <c r="V393" s="418" t="str">
        <f t="shared" si="222"/>
        <v>NÃO</v>
      </c>
      <c r="W393" s="418" t="str">
        <f t="shared" si="222"/>
        <v>NÃO</v>
      </c>
      <c r="X393" s="418" t="str">
        <f t="shared" si="222"/>
        <v>NÃO</v>
      </c>
      <c r="Y393" s="418" t="str">
        <f t="shared" si="222"/>
        <v>NÃO</v>
      </c>
      <c r="Z393" s="418" t="str">
        <f t="shared" si="222"/>
        <v>NÃO</v>
      </c>
      <c r="AA393" s="418" t="str">
        <f t="shared" si="222"/>
        <v>NÃO</v>
      </c>
      <c r="AB393" s="350"/>
      <c r="AC393" s="309" t="s">
        <v>3932</v>
      </c>
      <c r="AD393" s="311" t="s">
        <v>224</v>
      </c>
      <c r="AE393" s="392" t="s">
        <v>957</v>
      </c>
      <c r="AF393" s="310" t="s">
        <v>6985</v>
      </c>
      <c r="AG393" s="310" t="s">
        <v>2259</v>
      </c>
      <c r="AH393" s="310" t="s">
        <v>6967</v>
      </c>
      <c r="AI393" s="381" t="s">
        <v>186</v>
      </c>
      <c r="AJ393" s="6" t="s">
        <v>6786</v>
      </c>
      <c r="AK393" s="6" t="str">
        <f t="shared" si="224"/>
        <v>IGUAL</v>
      </c>
      <c r="AL393" s="151" t="str">
        <f>IFERROR(IF(LEFT(A393,3)="LCP",VLOOKUP(A393,STATUS_SAP_LCP!B:C,2,FALSE),VLOOKUP(A393,STATUS_SAP_ICP!B:C,2,FALSE)),"NO BUDGET")</f>
        <v>REL  BUDG AUC  AVAC  //  APPR BREL EXPL</v>
      </c>
      <c r="AM393" s="6" t="str">
        <f t="shared" si="223"/>
        <v xml:space="preserve">REL </v>
      </c>
      <c r="AN393" s="414" t="s">
        <v>19072</v>
      </c>
      <c r="AO393" s="414"/>
      <c r="AP393" s="499" t="s">
        <v>5299</v>
      </c>
      <c r="AQ393" s="465">
        <v>46203</v>
      </c>
      <c r="AR393" s="460"/>
      <c r="AS393" s="57"/>
      <c r="AT393" s="185"/>
      <c r="AU393" s="318"/>
      <c r="AV393" s="223"/>
      <c r="AW393" s="318">
        <v>0</v>
      </c>
      <c r="AX393" s="223">
        <v>115.43736</v>
      </c>
      <c r="AY393" s="318">
        <f t="shared" si="214"/>
        <v>275.07991000000004</v>
      </c>
      <c r="AZ393" s="223"/>
      <c r="BA393" s="318"/>
      <c r="BB393" s="519">
        <f t="shared" si="219"/>
        <v>0</v>
      </c>
      <c r="BC393" s="518">
        <v>0</v>
      </c>
      <c r="BD393" s="518">
        <v>0</v>
      </c>
      <c r="BE393" s="518">
        <v>0</v>
      </c>
      <c r="BF393" s="518">
        <v>0</v>
      </c>
      <c r="BG393" s="518">
        <v>0</v>
      </c>
      <c r="BH393" s="518">
        <v>0</v>
      </c>
      <c r="BI393" s="518">
        <v>0</v>
      </c>
      <c r="BJ393" s="518">
        <v>0</v>
      </c>
      <c r="BK393" s="518">
        <v>0</v>
      </c>
      <c r="BL393" s="518">
        <v>0</v>
      </c>
      <c r="BM393" s="518">
        <v>0</v>
      </c>
      <c r="BN393" s="518">
        <v>0</v>
      </c>
      <c r="BO393" s="367">
        <f t="shared" si="225"/>
        <v>275.07991000000004</v>
      </c>
      <c r="BP393" s="421">
        <v>0</v>
      </c>
      <c r="BQ393" s="422"/>
      <c r="BR393" s="423">
        <f>IFERROR(IF(LEFT($A393,3)="Lcp",SUMIFS('BASE-LCP'!$K:$K,'BASE-LCP'!$A:$A,Capex!$A332,'BASE-LCP'!$B:$B,"janeiro")/1000,IF(LEFT($A393,3)="icp",SUMIFS('BASE-ICP'!$K:$K,'BASE-ICP'!$A:$A,Capex!$A332,'BASE-ICP'!$B:$B,"janeiro")/1000,"")),"")</f>
        <v>-0.55720000000000003</v>
      </c>
      <c r="BS393" s="427">
        <v>0</v>
      </c>
      <c r="BT393" s="372">
        <v>0</v>
      </c>
      <c r="BU393" s="422"/>
      <c r="BV393" s="423">
        <f>IFERROR(IF(LEFT($A393,3)="Lcp",SUMIFS('BASE-LCP'!$K:$K,'BASE-LCP'!$A:$A,Capex!$A332,'BASE-LCP'!$B:$B,"fevereiro")/1000,IF(LEFT($A393,3)="icp",SUMIFS('BASE-ICP'!$K:$K,'BASE-ICP'!$A:$A,Capex!$A332,'BASE-ICP'!$B:$B,"fevereiro")/1000,"")),"")</f>
        <v>0.13683000000000003</v>
      </c>
      <c r="BW393" s="427">
        <v>0</v>
      </c>
      <c r="BX393" s="372">
        <v>0</v>
      </c>
      <c r="BY393" s="419">
        <v>4.6071299999999997</v>
      </c>
      <c r="BZ393" s="423">
        <f>IFERROR(IF(LEFT($A393,3)="Lcp",SUMIFS('BASE-LCP'!$K:$K,'BASE-LCP'!$A:$A,Capex!$A332,'BASE-LCP'!$B:$B,"março")/1000,IF(LEFT($A393,3)="icp",SUMIFS('BASE-ICP'!$K:$K,'BASE-ICP'!$A:$A,Capex!$A332,'BASE-ICP'!$B:$B,"março")/1000,"")),"")</f>
        <v>21.82292</v>
      </c>
      <c r="CA393" s="427">
        <v>4.6071300000000006</v>
      </c>
      <c r="CB393" s="372">
        <v>171.44019</v>
      </c>
      <c r="CC393" s="422">
        <v>225.96535999999998</v>
      </c>
      <c r="CD393" s="423">
        <f>IFERROR(IF(LEFT($A393,3)="Lcp",SUMIFS('BASE-LCP'!$K:$K,'BASE-LCP'!$A:$A,Capex!$A332,'BASE-LCP'!$B:$B,"abril")/1000,IF(LEFT($A393,3)="icp",SUMIFS('BASE-ICP'!$K:$K,'BASE-ICP'!$A:$A,Capex!$A332,'BASE-ICP'!$B:$B,"abril")/1000,"")),"")</f>
        <v>4.9719499999999996</v>
      </c>
      <c r="CE393" s="427">
        <v>225.96536</v>
      </c>
      <c r="CF393" s="372">
        <v>0</v>
      </c>
      <c r="CG393" s="419">
        <v>-36.492580000000004</v>
      </c>
      <c r="CH393" s="423">
        <v>-36.49257999999999</v>
      </c>
      <c r="CI393" s="427">
        <v>-36.49257999999999</v>
      </c>
      <c r="CJ393" s="372">
        <v>8</v>
      </c>
      <c r="CK393" s="419"/>
      <c r="CL393" s="423">
        <f>IFERROR(IF(LEFT($A393,3)="Lcp",SUMIFS('BASE-LCP'!$K:$K,'BASE-LCP'!$A:$A,Capex!$A332,'BASE-LCP'!$B:$B,"junho")/1000,IF(LEFT($A393,3)="icp",SUMIFS('BASE-ICP'!$K:$K,'BASE-ICP'!$A:$A,Capex!$A332,'BASE-ICP'!$B:$B,"junho")/1000,"")),"")</f>
        <v>0</v>
      </c>
      <c r="CM393" s="427">
        <v>0</v>
      </c>
      <c r="CN393" s="372"/>
      <c r="CO393" s="419"/>
      <c r="CP393" s="423">
        <f>IFERROR(IF(LEFT($A393,3)="Lcp",SUMIFS('BASE-LCP'!$K:$K,'BASE-LCP'!$A:$A,Capex!$A332,'BASE-LCP'!$B:$B,"julho")/1000,IF(LEFT($A393,3)="icp",SUMIFS('BASE-ICP'!$K:$K,'BASE-ICP'!$A:$A,Capex!$A332,'BASE-ICP'!$B:$B,"julho")/1000,"")),"")</f>
        <v>0</v>
      </c>
      <c r="CQ393" s="427">
        <v>8</v>
      </c>
      <c r="CR393" s="372"/>
      <c r="CS393" s="419"/>
      <c r="CT393" s="423">
        <f>IFERROR(IF(LEFT($A393,3)="Lcp",SUMIFS('BASE-LCP'!$K:$K,'BASE-LCP'!$A:$A,Capex!$A332,'BASE-LCP'!$B:$B,"agosto")/1000,IF(LEFT($A393,3)="icp",SUMIFS('BASE-ICP'!$K:$K,'BASE-ICP'!$A:$A,Capex!$A332,'BASE-ICP'!$B:$B,"agosto")/1000,"")),"")</f>
        <v>0</v>
      </c>
      <c r="CU393" s="427"/>
      <c r="CV393" s="372"/>
      <c r="CW393" s="419"/>
      <c r="CX393" s="423">
        <f>IFERROR(IF(LEFT($A393,3)="Lcp",SUMIFS('BASE-LCP'!$K:$K,'BASE-LCP'!$A:$A,Capex!$A332,'BASE-LCP'!$B:$B,"setembro")/1000,IF(LEFT($A393,3)="icp",SUMIFS('BASE-ICP'!$K:$K,'BASE-ICP'!$A:$A,Capex!$A332,'BASE-ICP'!$B:$B,"setembro")/1000,"")),"")</f>
        <v>0</v>
      </c>
      <c r="CY393" s="427">
        <v>5</v>
      </c>
      <c r="CZ393" s="372"/>
      <c r="DA393" s="419"/>
      <c r="DB393" s="423">
        <f>IFERROR(IF(LEFT($A393,3)="Lcp",SUMIFS('BASE-LCP'!$K:$K,'BASE-LCP'!$A:$A,Capex!$A332,'BASE-LCP'!$B:$B,"outubro")/1000,IF(LEFT($A393,3)="icp",SUMIFS('BASE-ICP'!$K:$K,'BASE-ICP'!$A:$A,Capex!$A332,'BASE-ICP'!$B:$B,"outubro")/1000,"")),"")</f>
        <v>0</v>
      </c>
      <c r="DC393" s="427">
        <v>5</v>
      </c>
      <c r="DD393" s="372"/>
      <c r="DE393" s="419"/>
      <c r="DF393" s="423">
        <f>IFERROR(IF(LEFT($A393,3)="Lcp",SUMIFS('BASE-LCP'!$K:$K,'BASE-LCP'!$A:$A,Capex!$A332,'BASE-LCP'!$B:$B,"novembro")/1000,IF(LEFT($A393,3)="icp",SUMIFS('BASE-ICP'!$K:$K,'BASE-ICP'!$A:$A,Capex!$A332,'BASE-ICP'!$B:$B,"novembro")/1000,"")),"")</f>
        <v>0</v>
      </c>
      <c r="DG393" s="427">
        <f>70*0.9</f>
        <v>63</v>
      </c>
      <c r="DH393" s="372"/>
      <c r="DI393" s="419"/>
      <c r="DJ393" s="423">
        <f>IFERROR(IF(LEFT($A393,3)="Lcp",SUMIFS('BASE-LCP'!$K:$K,'BASE-LCP'!$A:$A,Capex!$A332,'BASE-LCP'!$B:$B,"dezembro")/1000,IF(LEFT($A393,3)="icp",SUMIFS('BASE-ICP'!$K:$K,'BASE-ICP'!$A:$A,Capex!$A332,'BASE-ICP'!$B:$B,"dezembro")/1000,"")),"")</f>
        <v>0</v>
      </c>
      <c r="DK393" s="427">
        <v>0</v>
      </c>
      <c r="DL393" s="452">
        <f t="shared" si="226"/>
        <v>345</v>
      </c>
      <c r="DM393" s="374"/>
      <c r="DN393" s="374">
        <f>145+200</f>
        <v>345</v>
      </c>
      <c r="DO393" s="374"/>
      <c r="DP393" s="374"/>
      <c r="DQ393" s="374"/>
      <c r="DR393" s="374"/>
      <c r="DS393" s="374"/>
      <c r="DT393" s="374"/>
      <c r="DU393" s="374"/>
      <c r="DV393" s="374"/>
      <c r="DW393" s="374"/>
      <c r="DX393" s="374"/>
      <c r="DY393" s="450"/>
      <c r="DZ393" s="374">
        <f t="shared" si="227"/>
        <v>345</v>
      </c>
      <c r="EA393" s="216">
        <f t="shared" si="228"/>
        <v>-8</v>
      </c>
      <c r="EB393" s="320">
        <f t="shared" si="229"/>
        <v>0</v>
      </c>
      <c r="EC393" s="241">
        <f t="shared" si="230"/>
        <v>4.6071300000000006</v>
      </c>
      <c r="ED393" s="241">
        <f t="shared" si="231"/>
        <v>189.47278</v>
      </c>
      <c r="EE393" s="241">
        <f t="shared" si="232"/>
        <v>13</v>
      </c>
      <c r="EF393" s="241">
        <f t="shared" si="233"/>
        <v>68</v>
      </c>
      <c r="EG393" s="346">
        <f t="shared" si="234"/>
        <v>275.07991000000004</v>
      </c>
      <c r="EH393" s="445">
        <f t="shared" si="235"/>
        <v>0</v>
      </c>
      <c r="EI393" s="447">
        <f t="shared" si="236"/>
        <v>-36.49257999999999</v>
      </c>
      <c r="EJ393" s="364">
        <f t="shared" si="237"/>
        <v>194.07991000000004</v>
      </c>
      <c r="EK393" s="365">
        <f t="shared" si="238"/>
        <v>81</v>
      </c>
      <c r="EL393" s="529">
        <f t="shared" si="239"/>
        <v>275.07991000000004</v>
      </c>
      <c r="EM393" s="530">
        <v>0</v>
      </c>
      <c r="EN393" s="530">
        <v>0</v>
      </c>
      <c r="EO393" s="530">
        <v>4.6071300000000006</v>
      </c>
      <c r="EP393" s="530">
        <v>225.96536</v>
      </c>
      <c r="EQ393" s="530">
        <v>-36.49257999999999</v>
      </c>
      <c r="ER393" s="530">
        <v>8</v>
      </c>
      <c r="ES393" s="530">
        <v>0</v>
      </c>
      <c r="ET393" s="530">
        <v>0</v>
      </c>
      <c r="EU393" s="530">
        <v>5</v>
      </c>
      <c r="EV393" s="530">
        <v>5</v>
      </c>
      <c r="EW393" s="530">
        <v>63</v>
      </c>
      <c r="EX393" s="530">
        <v>0</v>
      </c>
      <c r="EY393" s="530">
        <f t="shared" si="240"/>
        <v>4.6071300000000006</v>
      </c>
      <c r="EZ393" s="530">
        <f t="shared" si="241"/>
        <v>197.47278</v>
      </c>
      <c r="FA393" s="530">
        <f t="shared" si="242"/>
        <v>5</v>
      </c>
      <c r="FB393" s="530">
        <f t="shared" si="243"/>
        <v>68</v>
      </c>
      <c r="FC393" s="384">
        <f>IFERROR(VLOOKUP(Capex!A332,BASE_558!D:R,8,FALSE)/1000,"")</f>
        <v>413</v>
      </c>
      <c r="FD393" s="328">
        <f>IFERROR(VLOOKUP(Capex!A332,BASE_558!D:R,9,)/1000,"")</f>
        <v>227.90908999999999</v>
      </c>
      <c r="FE393" s="328">
        <f>IFERROR(IF(LEFT(A393,3)="LCP",(VLOOKUP(Capex!A332,BASE_558!D:R,10,)/1000),SUMIFS('BASE ICP_PO_SC'!F:F,'BASE ICP_PO_SC'!A:A,Capex!A332,'BASE ICP_PO_SC'!E:E,"&lt;&gt;")/1000),"")</f>
        <v>0</v>
      </c>
      <c r="FF393" s="328">
        <f>IFERROR(IF(LEFT(A393,3)="LCP",(VLOOKUP(Capex!A332,BASE_558!D:R,11,)/1000),SUMIFS('BASE ICP_PO_SC'!F:F,'BASE ICP_PO_SC'!A:A,Capex!A332,'BASE ICP_PO_SC'!E:E,"")/1000),"")</f>
        <v>0</v>
      </c>
      <c r="FG393" s="328">
        <f>IFERROR(VLOOKUP(A393,BASE_558!D:R,13,FALSE)/1000,"")</f>
        <v>576.77354000000003</v>
      </c>
      <c r="FH393" s="328">
        <f>IFERROR(VLOOKUP(A393,BASE_558!D:R,15,FALSE)/1000,"")</f>
        <v>264.80946</v>
      </c>
      <c r="FI393" s="547">
        <f t="shared" si="244"/>
        <v>8</v>
      </c>
      <c r="FJ393" s="547">
        <f t="shared" si="245"/>
        <v>-8</v>
      </c>
      <c r="FK393" s="540">
        <f t="shared" si="246"/>
        <v>0</v>
      </c>
    </row>
    <row r="394" spans="1:167" s="23" customFormat="1" ht="24" customHeight="1">
      <c r="A394" s="440" t="s">
        <v>702</v>
      </c>
      <c r="B394" s="404" t="s">
        <v>709</v>
      </c>
      <c r="C394" s="404"/>
      <c r="D394" s="338" t="s">
        <v>1299</v>
      </c>
      <c r="E394" s="378">
        <v>3458408</v>
      </c>
      <c r="F394" s="310" t="s">
        <v>609</v>
      </c>
      <c r="G394" s="310" t="s">
        <v>9</v>
      </c>
      <c r="H394" s="356" t="s">
        <v>6</v>
      </c>
      <c r="I394" s="356" t="s">
        <v>2650</v>
      </c>
      <c r="J394" s="356">
        <v>2020</v>
      </c>
      <c r="K394" s="352">
        <v>44174</v>
      </c>
      <c r="L394" s="350"/>
      <c r="M394" s="409"/>
      <c r="N394" s="317">
        <f t="shared" si="217"/>
        <v>45086</v>
      </c>
      <c r="O394" s="317">
        <f t="shared" si="218"/>
        <v>45451</v>
      </c>
      <c r="P394" s="418" t="str">
        <f t="shared" si="222"/>
        <v>SIM</v>
      </c>
      <c r="Q394" s="418" t="str">
        <f t="shared" si="222"/>
        <v>SIM</v>
      </c>
      <c r="R394" s="418" t="str">
        <f t="shared" si="222"/>
        <v>SIM</v>
      </c>
      <c r="S394" s="418" t="str">
        <f t="shared" si="222"/>
        <v>SIM</v>
      </c>
      <c r="T394" s="418" t="str">
        <f t="shared" si="222"/>
        <v>SIM</v>
      </c>
      <c r="U394" s="418" t="str">
        <f t="shared" si="222"/>
        <v>SIM</v>
      </c>
      <c r="V394" s="418" t="str">
        <f t="shared" si="222"/>
        <v>SIM</v>
      </c>
      <c r="W394" s="418" t="str">
        <f t="shared" si="222"/>
        <v>SIM</v>
      </c>
      <c r="X394" s="418" t="str">
        <f t="shared" si="222"/>
        <v>SIM</v>
      </c>
      <c r="Y394" s="418" t="str">
        <f t="shared" si="222"/>
        <v>SIM</v>
      </c>
      <c r="Z394" s="418" t="str">
        <f t="shared" si="222"/>
        <v>SIM</v>
      </c>
      <c r="AA394" s="551" t="str">
        <f t="shared" si="222"/>
        <v>SIM</v>
      </c>
      <c r="AB394" s="350"/>
      <c r="AC394" s="309" t="s">
        <v>3932</v>
      </c>
      <c r="AD394" s="311" t="s">
        <v>224</v>
      </c>
      <c r="AE394" s="392" t="s">
        <v>957</v>
      </c>
      <c r="AF394" s="310" t="s">
        <v>6985</v>
      </c>
      <c r="AG394" s="310" t="s">
        <v>2079</v>
      </c>
      <c r="AH394" s="310" t="s">
        <v>1442</v>
      </c>
      <c r="AI394" s="381" t="s">
        <v>183</v>
      </c>
      <c r="AJ394" s="6" t="s">
        <v>6786</v>
      </c>
      <c r="AK394" s="6" t="str">
        <f t="shared" si="224"/>
        <v>IGUAL</v>
      </c>
      <c r="AL394" s="151" t="str">
        <f>IFERROR(IF(LEFT(A394,3)="LCP",VLOOKUP(A394,STATUS_SAP_LCP!B:C,2,FALSE),VLOOKUP(A394,STATUS_SAP_ICP!B:C,2,FALSE)),"NO BUDGET")</f>
        <v>REL  BUDG AUC  AVAC SETC  //  APPR BREL INPL</v>
      </c>
      <c r="AM394" s="6" t="str">
        <f t="shared" si="223"/>
        <v xml:space="preserve">REL </v>
      </c>
      <c r="AN394" s="295" t="s">
        <v>19512</v>
      </c>
      <c r="AO394" s="295"/>
      <c r="AP394" s="499" t="s">
        <v>5299</v>
      </c>
      <c r="AQ394" s="465">
        <v>45930</v>
      </c>
      <c r="AR394" s="460"/>
      <c r="AS394" s="57"/>
      <c r="AT394" s="185">
        <v>0</v>
      </c>
      <c r="AU394" s="318">
        <v>808.89480000000003</v>
      </c>
      <c r="AV394" s="223">
        <v>16327.13391</v>
      </c>
      <c r="AW394" s="318">
        <v>3187.71002</v>
      </c>
      <c r="AX394" s="223">
        <v>1131.1148400000002</v>
      </c>
      <c r="AY394" s="318">
        <f t="shared" si="214"/>
        <v>263.28059000000007</v>
      </c>
      <c r="AZ394" s="223"/>
      <c r="BA394" s="318"/>
      <c r="BB394" s="519">
        <f t="shared" si="219"/>
        <v>0</v>
      </c>
      <c r="BC394" s="518">
        <v>0</v>
      </c>
      <c r="BD394" s="518">
        <v>0</v>
      </c>
      <c r="BE394" s="518">
        <v>0</v>
      </c>
      <c r="BF394" s="518">
        <v>0</v>
      </c>
      <c r="BG394" s="518">
        <v>0</v>
      </c>
      <c r="BH394" s="518">
        <v>0</v>
      </c>
      <c r="BI394" s="518">
        <v>0</v>
      </c>
      <c r="BJ394" s="518">
        <v>0</v>
      </c>
      <c r="BK394" s="518">
        <v>0</v>
      </c>
      <c r="BL394" s="518">
        <v>0</v>
      </c>
      <c r="BM394" s="518">
        <v>0</v>
      </c>
      <c r="BN394" s="518">
        <v>0</v>
      </c>
      <c r="BO394" s="367">
        <f t="shared" si="225"/>
        <v>263.28059000000007</v>
      </c>
      <c r="BP394" s="421">
        <v>0</v>
      </c>
      <c r="BQ394" s="422">
        <v>25.891629999999999</v>
      </c>
      <c r="BR394" s="423">
        <f>IFERROR(IF(LEFT($A394,3)="Lcp",SUMIFS('BASE-LCP'!$K:$K,'BASE-LCP'!$A:$A,Capex!$A199,'BASE-LCP'!$B:$B,"janeiro")/1000,IF(LEFT($A394,3)="icp",SUMIFS('BASE-ICP'!$K:$K,'BASE-ICP'!$A:$A,Capex!$A199,'BASE-ICP'!$B:$B,"janeiro")/1000,"")),"")</f>
        <v>0</v>
      </c>
      <c r="BS394" s="427">
        <v>25.89163000000001</v>
      </c>
      <c r="BT394" s="372">
        <v>60</v>
      </c>
      <c r="BU394" s="422">
        <v>99.548050000000003</v>
      </c>
      <c r="BV394" s="423">
        <f>IFERROR(IF(LEFT($A394,3)="Lcp",SUMIFS('BASE-LCP'!$K:$K,'BASE-LCP'!$A:$A,Capex!$A199,'BASE-LCP'!$B:$B,"fevereiro")/1000,IF(LEFT($A394,3)="icp",SUMIFS('BASE-ICP'!$K:$K,'BASE-ICP'!$A:$A,Capex!$A199,'BASE-ICP'!$B:$B,"fevereiro")/1000,"")),"")</f>
        <v>0</v>
      </c>
      <c r="BW394" s="427">
        <v>99.548050000000018</v>
      </c>
      <c r="BX394" s="372">
        <v>10.5</v>
      </c>
      <c r="BY394" s="419">
        <v>31.076630000000002</v>
      </c>
      <c r="BZ394" s="423">
        <f>IFERROR(IF(LEFT($A394,3)="Lcp",SUMIFS('BASE-LCP'!$K:$K,'BASE-LCP'!$A:$A,Capex!$A199,'BASE-LCP'!$B:$B,"março")/1000,IF(LEFT($A394,3)="icp",SUMIFS('BASE-ICP'!$K:$K,'BASE-ICP'!$A:$A,Capex!$A199,'BASE-ICP'!$B:$B,"março")/1000,"")),"")</f>
        <v>0</v>
      </c>
      <c r="CA394" s="427">
        <v>31.076630000000005</v>
      </c>
      <c r="CB394" s="372">
        <v>17.3</v>
      </c>
      <c r="CC394" s="422">
        <v>32.499460000000006</v>
      </c>
      <c r="CD394" s="423">
        <f>IFERROR(IF(LEFT($A394,3)="Lcp",SUMIFS('BASE-LCP'!$K:$K,'BASE-LCP'!$A:$A,Capex!$A199,'BASE-LCP'!$B:$B,"abril")/1000,IF(LEFT($A394,3)="icp",SUMIFS('BASE-ICP'!$K:$K,'BASE-ICP'!$A:$A,Capex!$A199,'BASE-ICP'!$B:$B,"abril")/1000,"")),"")</f>
        <v>0</v>
      </c>
      <c r="CE394" s="427">
        <v>32.499459999999992</v>
      </c>
      <c r="CF394" s="372">
        <v>5.4</v>
      </c>
      <c r="CG394" s="419">
        <v>7.6788399999999992</v>
      </c>
      <c r="CH394" s="423">
        <v>7.678840000000001</v>
      </c>
      <c r="CI394" s="427">
        <v>7.678840000000001</v>
      </c>
      <c r="CJ394" s="372">
        <v>6.75</v>
      </c>
      <c r="CK394" s="419">
        <v>1.5859800000000002</v>
      </c>
      <c r="CL394" s="423">
        <f>IFERROR(IF(LEFT($A394,3)="Lcp",SUMIFS('BASE-LCP'!$K:$K,'BASE-LCP'!$A:$A,Capex!$A199,'BASE-LCP'!$B:$B,"junho")/1000,IF(LEFT($A394,3)="icp",SUMIFS('BASE-ICP'!$K:$K,'BASE-ICP'!$A:$A,Capex!$A199,'BASE-ICP'!$B:$B,"junho")/1000,"")),"")</f>
        <v>0</v>
      </c>
      <c r="CM394" s="427">
        <v>1.5859799999999999</v>
      </c>
      <c r="CN394" s="372"/>
      <c r="CO394" s="419"/>
      <c r="CP394" s="423">
        <f>IFERROR(IF(LEFT($A394,3)="Lcp",SUMIFS('BASE-LCP'!$K:$K,'BASE-LCP'!$A:$A,Capex!$A199,'BASE-LCP'!$B:$B,"julho")/1000,IF(LEFT($A394,3)="icp",SUMIFS('BASE-ICP'!$K:$K,'BASE-ICP'!$A:$A,Capex!$A199,'BASE-ICP'!$B:$B,"julho")/1000,"")),"")</f>
        <v>0</v>
      </c>
      <c r="CQ394" s="427">
        <v>3</v>
      </c>
      <c r="CR394" s="372"/>
      <c r="CS394" s="419"/>
      <c r="CT394" s="423">
        <f>IFERROR(IF(LEFT($A394,3)="Lcp",SUMIFS('BASE-LCP'!$K:$K,'BASE-LCP'!$A:$A,Capex!$A199,'BASE-LCP'!$B:$B,"agosto")/1000,IF(LEFT($A394,3)="icp",SUMIFS('BASE-ICP'!$K:$K,'BASE-ICP'!$A:$A,Capex!$A199,'BASE-ICP'!$B:$B,"agosto")/1000,"")),"")</f>
        <v>0</v>
      </c>
      <c r="CU394" s="427">
        <v>62</v>
      </c>
      <c r="CV394" s="372"/>
      <c r="CW394" s="419"/>
      <c r="CX394" s="423">
        <f>IFERROR(IF(LEFT($A394,3)="Lcp",SUMIFS('BASE-LCP'!$K:$K,'BASE-LCP'!$A:$A,Capex!$A199,'BASE-LCP'!$B:$B,"setembro")/1000,IF(LEFT($A394,3)="icp",SUMIFS('BASE-ICP'!$K:$K,'BASE-ICP'!$A:$A,Capex!$A199,'BASE-ICP'!$B:$B,"setembro")/1000,"")),"")</f>
        <v>0</v>
      </c>
      <c r="CY394" s="427">
        <v>0</v>
      </c>
      <c r="CZ394" s="372"/>
      <c r="DA394" s="419"/>
      <c r="DB394" s="423">
        <f>IFERROR(IF(LEFT($A394,3)="Lcp",SUMIFS('BASE-LCP'!$K:$K,'BASE-LCP'!$A:$A,Capex!$A199,'BASE-LCP'!$B:$B,"outubro")/1000,IF(LEFT($A394,3)="icp",SUMIFS('BASE-ICP'!$K:$K,'BASE-ICP'!$A:$A,Capex!$A199,'BASE-ICP'!$B:$B,"outubro")/1000,"")),"")</f>
        <v>0</v>
      </c>
      <c r="DC394" s="427">
        <v>0</v>
      </c>
      <c r="DD394" s="372"/>
      <c r="DE394" s="419"/>
      <c r="DF394" s="423">
        <f>IFERROR(IF(LEFT($A394,3)="Lcp",SUMIFS('BASE-LCP'!$K:$K,'BASE-LCP'!$A:$A,Capex!$A199,'BASE-LCP'!$B:$B,"novembro")/1000,IF(LEFT($A394,3)="icp",SUMIFS('BASE-ICP'!$K:$K,'BASE-ICP'!$A:$A,Capex!$A199,'BASE-ICP'!$B:$B,"novembro")/1000,"")),"")</f>
        <v>0</v>
      </c>
      <c r="DG394" s="427">
        <v>0</v>
      </c>
      <c r="DH394" s="372"/>
      <c r="DI394" s="419"/>
      <c r="DJ394" s="423">
        <f>IFERROR(IF(LEFT($A394,3)="Lcp",SUMIFS('BASE-LCP'!$K:$K,'BASE-LCP'!$A:$A,Capex!$A199,'BASE-LCP'!$B:$B,"dezembro")/1000,IF(LEFT($A394,3)="icp",SUMIFS('BASE-ICP'!$K:$K,'BASE-ICP'!$A:$A,Capex!$A199,'BASE-ICP'!$B:$B,"dezembro")/1000,"")),"")</f>
        <v>0</v>
      </c>
      <c r="DK394" s="427">
        <v>0</v>
      </c>
      <c r="DL394" s="452">
        <f t="shared" si="226"/>
        <v>0</v>
      </c>
      <c r="DM394" s="374"/>
      <c r="DN394" s="374">
        <v>0</v>
      </c>
      <c r="DO394" s="374"/>
      <c r="DP394" s="374"/>
      <c r="DQ394" s="374"/>
      <c r="DR394" s="374"/>
      <c r="DS394" s="374"/>
      <c r="DT394" s="374"/>
      <c r="DU394" s="374"/>
      <c r="DV394" s="374"/>
      <c r="DW394" s="374"/>
      <c r="DX394" s="374"/>
      <c r="DY394" s="450"/>
      <c r="DZ394" s="374">
        <f t="shared" si="227"/>
        <v>0</v>
      </c>
      <c r="EA394" s="216">
        <f t="shared" si="228"/>
        <v>-5.1640199999999998</v>
      </c>
      <c r="EB394" s="320">
        <f t="shared" si="229"/>
        <v>-1.5859799999999999</v>
      </c>
      <c r="EC394" s="241">
        <f t="shared" si="230"/>
        <v>156.51631000000003</v>
      </c>
      <c r="ED394" s="241">
        <f t="shared" si="231"/>
        <v>41.764279999999992</v>
      </c>
      <c r="EE394" s="241">
        <f t="shared" si="232"/>
        <v>65</v>
      </c>
      <c r="EF394" s="241">
        <f t="shared" si="233"/>
        <v>0</v>
      </c>
      <c r="EG394" s="346">
        <f t="shared" si="234"/>
        <v>263.28059000000007</v>
      </c>
      <c r="EH394" s="445">
        <f t="shared" si="235"/>
        <v>5.4</v>
      </c>
      <c r="EI394" s="447">
        <f t="shared" si="236"/>
        <v>7.678840000000001</v>
      </c>
      <c r="EJ394" s="364">
        <f t="shared" si="237"/>
        <v>196.69461000000004</v>
      </c>
      <c r="EK394" s="365">
        <f t="shared" si="238"/>
        <v>66.585980000000035</v>
      </c>
      <c r="EL394" s="529">
        <f t="shared" si="239"/>
        <v>259.24461000000002</v>
      </c>
      <c r="EM394" s="530">
        <v>25.89163000000001</v>
      </c>
      <c r="EN394" s="530">
        <v>99.548050000000018</v>
      </c>
      <c r="EO394" s="530">
        <v>31.076630000000005</v>
      </c>
      <c r="EP394" s="530">
        <v>32.499459999999992</v>
      </c>
      <c r="EQ394" s="530">
        <v>7.678840000000001</v>
      </c>
      <c r="ER394" s="530">
        <v>6.75</v>
      </c>
      <c r="ES394" s="530">
        <v>30.6</v>
      </c>
      <c r="ET394" s="530">
        <v>25.2</v>
      </c>
      <c r="EU394" s="530">
        <v>0</v>
      </c>
      <c r="EV394" s="530">
        <v>0</v>
      </c>
      <c r="EW394" s="530">
        <v>0</v>
      </c>
      <c r="EX394" s="530">
        <v>0</v>
      </c>
      <c r="EY394" s="530">
        <f t="shared" si="240"/>
        <v>156.51631000000003</v>
      </c>
      <c r="EZ394" s="530">
        <f t="shared" si="241"/>
        <v>46.928299999999993</v>
      </c>
      <c r="FA394" s="530">
        <f t="shared" si="242"/>
        <v>55.8</v>
      </c>
      <c r="FB394" s="530">
        <f t="shared" si="243"/>
        <v>0</v>
      </c>
      <c r="FC394" s="384">
        <f>IFERROR(VLOOKUP(Capex!A199,BASE_558!D:R,8,FALSE)/1000,"")</f>
        <v>71.727000000000004</v>
      </c>
      <c r="FD394" s="328">
        <f>IFERROR(VLOOKUP(Capex!A199,BASE_558!D:R,9,)/1000,"")</f>
        <v>71.238190000000003</v>
      </c>
      <c r="FE394" s="328">
        <f>IFERROR(IF(LEFT(A394,3)="LCP",(VLOOKUP(Capex!A199,BASE_558!D:R,10,)/1000),SUMIFS('BASE ICP_PO_SC'!F:F,'BASE ICP_PO_SC'!A:A,Capex!A199,'BASE ICP_PO_SC'!E:E,"&lt;&gt;")/1000),"")</f>
        <v>0</v>
      </c>
      <c r="FF394" s="328">
        <f>IFERROR(IF(LEFT(A394,3)="LCP",(VLOOKUP(Capex!A199,BASE_558!D:R,11,)/1000),SUMIFS('BASE ICP_PO_SC'!F:F,'BASE ICP_PO_SC'!A:A,Capex!A199,'BASE ICP_PO_SC'!E:E,"")/1000),"")</f>
        <v>0</v>
      </c>
      <c r="FG394" s="328">
        <f>IFERROR(VLOOKUP(A394,BASE_558!D:R,13,FALSE)/1000,"")</f>
        <v>23268.929920000002</v>
      </c>
      <c r="FH394" s="328">
        <f>IFERROR(VLOOKUP(A394,BASE_558!D:R,15,FALSE)/1000,"")</f>
        <v>3421.07008</v>
      </c>
      <c r="FI394" s="547">
        <f t="shared" si="244"/>
        <v>5.1640200000000007</v>
      </c>
      <c r="FJ394" s="547">
        <f t="shared" si="245"/>
        <v>-9.2000000000000028</v>
      </c>
      <c r="FK394" s="540">
        <f t="shared" si="246"/>
        <v>0</v>
      </c>
    </row>
    <row r="395" spans="1:167" s="23" customFormat="1" ht="24" customHeight="1">
      <c r="A395" s="347" t="s">
        <v>2418</v>
      </c>
      <c r="B395" s="404" t="s">
        <v>2348</v>
      </c>
      <c r="C395" s="404"/>
      <c r="D395" s="338"/>
      <c r="E395" s="378"/>
      <c r="F395" s="5" t="s">
        <v>609</v>
      </c>
      <c r="G395" s="310" t="s">
        <v>9</v>
      </c>
      <c r="H395" s="356"/>
      <c r="I395" s="356"/>
      <c r="J395" s="356">
        <v>2023</v>
      </c>
      <c r="K395" s="321"/>
      <c r="L395" s="322"/>
      <c r="M395" s="409"/>
      <c r="N395" s="317" t="str">
        <f t="shared" si="217"/>
        <v/>
      </c>
      <c r="O395" s="317" t="str">
        <f t="shared" si="218"/>
        <v/>
      </c>
      <c r="P395" s="418" t="str">
        <f t="shared" ref="P395:AA409" si="247">IF($N395="","N/A",IF($O395="","N/A",IF(P$2&lt;=$N395,"NÃO",IF($AJ395="REL ","SIM",IF(P$2&lt;$O395,"NÃO",IF($AJ395&lt;&gt;"CLSD","SIM","CRTD"))))))</f>
        <v>N/A</v>
      </c>
      <c r="Q395" s="418" t="str">
        <f t="shared" si="247"/>
        <v>N/A</v>
      </c>
      <c r="R395" s="418" t="str">
        <f t="shared" si="247"/>
        <v>N/A</v>
      </c>
      <c r="S395" s="418" t="str">
        <f t="shared" si="247"/>
        <v>N/A</v>
      </c>
      <c r="T395" s="418" t="str">
        <f t="shared" si="247"/>
        <v>N/A</v>
      </c>
      <c r="U395" s="418" t="str">
        <f t="shared" si="247"/>
        <v>N/A</v>
      </c>
      <c r="V395" s="418" t="str">
        <f t="shared" si="247"/>
        <v>N/A</v>
      </c>
      <c r="W395" s="418" t="str">
        <f t="shared" si="247"/>
        <v>N/A</v>
      </c>
      <c r="X395" s="418" t="str">
        <f t="shared" si="247"/>
        <v>N/A</v>
      </c>
      <c r="Y395" s="418" t="str">
        <f t="shared" si="247"/>
        <v>N/A</v>
      </c>
      <c r="Z395" s="418" t="str">
        <f t="shared" si="247"/>
        <v>N/A</v>
      </c>
      <c r="AA395" s="418" t="str">
        <f t="shared" si="247"/>
        <v>N/A</v>
      </c>
      <c r="AB395" s="350"/>
      <c r="AC395" s="208" t="s">
        <v>3932</v>
      </c>
      <c r="AD395" s="311"/>
      <c r="AE395" s="382"/>
      <c r="AF395" s="310" t="s">
        <v>6988</v>
      </c>
      <c r="AG395" s="458" t="s">
        <v>2238</v>
      </c>
      <c r="AH395" s="513" t="s">
        <v>2843</v>
      </c>
      <c r="AI395" s="533" t="s">
        <v>183</v>
      </c>
      <c r="AJ395" s="6" t="s">
        <v>6786</v>
      </c>
      <c r="AK395" s="6" t="str">
        <f t="shared" si="224"/>
        <v>IGUAL</v>
      </c>
      <c r="AL395" s="151" t="str">
        <f>IFERROR(IF(LEFT(A395,3)="LCP",VLOOKUP(A395,STATUS_SAP_LCP!B:C,2,FALSE),VLOOKUP(A395,STATUS_SAP_ICP!B:C,2,FALSE)),"NO BUDGET")</f>
        <v>REL  BUDG AVAC  //  BREL WPLI</v>
      </c>
      <c r="AM395" s="6" t="str">
        <f t="shared" si="223"/>
        <v xml:space="preserve">REL </v>
      </c>
      <c r="AN395" s="414" t="s">
        <v>8966</v>
      </c>
      <c r="AO395" s="414"/>
      <c r="AP395" s="499" t="s">
        <v>9616</v>
      </c>
      <c r="AQ395" s="465">
        <v>46022</v>
      </c>
      <c r="AR395" s="460"/>
      <c r="AS395" s="57"/>
      <c r="AT395" s="185"/>
      <c r="AU395" s="318"/>
      <c r="AV395" s="223"/>
      <c r="AW395" s="318">
        <v>841.58798000000002</v>
      </c>
      <c r="AX395" s="223">
        <v>2728.9778699999983</v>
      </c>
      <c r="AY395" s="318">
        <f t="shared" si="214"/>
        <v>6749.8809000000001</v>
      </c>
      <c r="AZ395" s="223"/>
      <c r="BA395" s="318"/>
      <c r="BB395" s="519">
        <f t="shared" si="219"/>
        <v>-937.37873916666831</v>
      </c>
      <c r="BC395" s="518">
        <v>2469.2667804999987</v>
      </c>
      <c r="BD395" s="518">
        <v>375.77715416666655</v>
      </c>
      <c r="BE395" s="518">
        <v>1932.1383541666664</v>
      </c>
      <c r="BF395" s="518">
        <v>740.43897200000026</v>
      </c>
      <c r="BG395" s="518">
        <v>127.5</v>
      </c>
      <c r="BH395" s="518">
        <v>27.5</v>
      </c>
      <c r="BI395" s="518">
        <v>27.5</v>
      </c>
      <c r="BJ395" s="518">
        <v>27.5</v>
      </c>
      <c r="BK395" s="518">
        <v>40</v>
      </c>
      <c r="BL395" s="518">
        <v>-3000</v>
      </c>
      <c r="BM395" s="518">
        <v>-1702.5</v>
      </c>
      <c r="BN395" s="518">
        <v>-2002.5</v>
      </c>
      <c r="BO395" s="367">
        <f t="shared" si="225"/>
        <v>6749.8809000000001</v>
      </c>
      <c r="BP395" s="421">
        <v>2469.2667804999987</v>
      </c>
      <c r="BQ395" s="422">
        <v>231.61026000000001</v>
      </c>
      <c r="BR395" s="423">
        <f>IFERROR(IF(LEFT($A395,3)="Lcp",SUMIFS('BASE-LCP'!$K:$K,'BASE-LCP'!$A:$A,Capex!$A49,'BASE-LCP'!$B:$B,"janeiro")/1000,IF(LEFT($A395,3)="icp",SUMIFS('BASE-ICP'!$K:$K,'BASE-ICP'!$A:$A,Capex!$A49,'BASE-ICP'!$B:$B,"janeiro")/1000,"")),"")</f>
        <v>0</v>
      </c>
      <c r="BS395" s="427">
        <v>231.61026000000001</v>
      </c>
      <c r="BT395" s="372">
        <v>379.274225</v>
      </c>
      <c r="BU395" s="422">
        <v>439.14301</v>
      </c>
      <c r="BV395" s="423">
        <f>IFERROR(IF(LEFT($A395,3)="Lcp",SUMIFS('BASE-LCP'!$K:$K,'BASE-LCP'!$A:$A,Capex!$A49,'BASE-LCP'!$B:$B,"fevereiro")/1000,IF(LEFT($A395,3)="icp",SUMIFS('BASE-ICP'!$K:$K,'BASE-ICP'!$A:$A,Capex!$A49,'BASE-ICP'!$B:$B,"fevereiro")/1000,"")),"")</f>
        <v>0</v>
      </c>
      <c r="BW395" s="427">
        <v>439.14301</v>
      </c>
      <c r="BX395" s="372">
        <v>2913.0743745</v>
      </c>
      <c r="BY395" s="419">
        <v>506.92165</v>
      </c>
      <c r="BZ395" s="423">
        <f>IFERROR(IF(LEFT($A395,3)="Lcp",SUMIFS('BASE-LCP'!$K:$K,'BASE-LCP'!$A:$A,Capex!$A49,'BASE-LCP'!$B:$B,"março")/1000,IF(LEFT($A395,3)="icp",SUMIFS('BASE-ICP'!$K:$K,'BASE-ICP'!$A:$A,Capex!$A49,'BASE-ICP'!$B:$B,"março")/1000,"")),"")</f>
        <v>0</v>
      </c>
      <c r="CA395" s="427">
        <v>506.92165</v>
      </c>
      <c r="CB395" s="372">
        <v>2883.6550695000005</v>
      </c>
      <c r="CC395" s="422"/>
      <c r="CD395" s="423">
        <f>IFERROR(IF(LEFT($A395,3)="Lcp",SUMIFS('BASE-LCP'!$K:$K,'BASE-LCP'!$A:$A,Capex!$A49,'BASE-LCP'!$B:$B,"abril")/1000,IF(LEFT($A395,3)="icp",SUMIFS('BASE-ICP'!$K:$K,'BASE-ICP'!$A:$A,Capex!$A49,'BASE-ICP'!$B:$B,"abril")/1000,"")),"")</f>
        <v>0</v>
      </c>
      <c r="CE395" s="427">
        <v>2246.3476799999999</v>
      </c>
      <c r="CF395" s="372">
        <v>342.36799999999999</v>
      </c>
      <c r="CG395" s="419">
        <f>CH395</f>
        <v>676.41407000000027</v>
      </c>
      <c r="CH395" s="423">
        <v>676.41407000000027</v>
      </c>
      <c r="CI395" s="427">
        <v>676.41407000000027</v>
      </c>
      <c r="CJ395" s="372">
        <v>413.70700000000011</v>
      </c>
      <c r="CK395" s="419"/>
      <c r="CL395" s="423">
        <f>IFERROR(IF(LEFT($A395,3)="Lcp",SUMIFS('BASE-LCP'!$K:$K,'BASE-LCP'!$A:$A,Capex!$A49,'BASE-LCP'!$B:$B,"junho")/1000,IF(LEFT($A395,3)="icp",SUMIFS('BASE-ICP'!$K:$K,'BASE-ICP'!$A:$A,Capex!$A49,'BASE-ICP'!$B:$B,"junho")/1000,"")),"")</f>
        <v>0</v>
      </c>
      <c r="CM395" s="427">
        <v>606.00122999999985</v>
      </c>
      <c r="CN395" s="372"/>
      <c r="CO395" s="419"/>
      <c r="CP395" s="423">
        <f>IFERROR(IF(LEFT($A395,3)="Lcp",SUMIFS('BASE-LCP'!$K:$K,'BASE-LCP'!$A:$A,Capex!$A49,'BASE-LCP'!$B:$B,"julho")/1000,IF(LEFT($A395,3)="icp",SUMIFS('BASE-ICP'!$K:$K,'BASE-ICP'!$A:$A,Capex!$A49,'BASE-ICP'!$B:$B,"julho")/1000,"")),"")</f>
        <v>0</v>
      </c>
      <c r="CQ395" s="427">
        <f>567.819-95</f>
        <v>472.81899999999996</v>
      </c>
      <c r="CR395" s="372"/>
      <c r="CS395" s="419"/>
      <c r="CT395" s="423">
        <f>IFERROR(IF(LEFT($A395,3)="Lcp",SUMIFS('BASE-LCP'!$K:$K,'BASE-LCP'!$A:$A,Capex!$A49,'BASE-LCP'!$B:$B,"agosto")/1000,IF(LEFT($A395,3)="icp",SUMIFS('BASE-ICP'!$K:$K,'BASE-ICP'!$A:$A,Capex!$A49,'BASE-ICP'!$B:$B,"agosto")/1000,"")),"")</f>
        <v>0</v>
      </c>
      <c r="CU395" s="427">
        <v>139.46799999999999</v>
      </c>
      <c r="CV395" s="372"/>
      <c r="CW395" s="419"/>
      <c r="CX395" s="423">
        <f>IFERROR(IF(LEFT($A395,3)="Lcp",SUMIFS('BASE-LCP'!$K:$K,'BASE-LCP'!$A:$A,Capex!$A49,'BASE-LCP'!$B:$B,"setembro")/1000,IF(LEFT($A395,3)="icp",SUMIFS('BASE-ICP'!$K:$K,'BASE-ICP'!$A:$A,Capex!$A49,'BASE-ICP'!$B:$B,"setembro")/1000,"")),"")</f>
        <v>0</v>
      </c>
      <c r="CY395" s="427">
        <v>85.507999999999996</v>
      </c>
      <c r="CZ395" s="372"/>
      <c r="DA395" s="419"/>
      <c r="DB395" s="423">
        <f>IFERROR(IF(LEFT($A395,3)="Lcp",SUMIFS('BASE-LCP'!$K:$K,'BASE-LCP'!$A:$A,Capex!$A49,'BASE-LCP'!$B:$B,"outubro")/1000,IF(LEFT($A395,3)="icp",SUMIFS('BASE-ICP'!$K:$K,'BASE-ICP'!$A:$A,Capex!$A49,'BASE-ICP'!$B:$B,"outubro")/1000,"")),"")</f>
        <v>0</v>
      </c>
      <c r="DC395" s="427">
        <v>554.95299999999997</v>
      </c>
      <c r="DD395" s="372"/>
      <c r="DE395" s="419"/>
      <c r="DF395" s="423">
        <f>IFERROR(IF(LEFT($A395,3)="Lcp",SUMIFS('BASE-LCP'!$K:$K,'BASE-LCP'!$A:$A,Capex!$A49,'BASE-LCP'!$B:$B,"novembro")/1000,IF(LEFT($A395,3)="icp",SUMIFS('BASE-ICP'!$K:$K,'BASE-ICP'!$A:$A,Capex!$A49,'BASE-ICP'!$B:$B,"novembro")/1000,"")),"")</f>
        <v>0</v>
      </c>
      <c r="DG395" s="427">
        <v>139.75899999999999</v>
      </c>
      <c r="DH395" s="372"/>
      <c r="DI395" s="419"/>
      <c r="DJ395" s="423">
        <f>IFERROR(IF(LEFT($A395,3)="Lcp",SUMIFS('BASE-LCP'!$K:$K,'BASE-LCP'!$A:$A,Capex!$A49,'BASE-LCP'!$B:$B,"dezembro")/1000,IF(LEFT($A395,3)="icp",SUMIFS('BASE-ICP'!$K:$K,'BASE-ICP'!$A:$A,Capex!$A49,'BASE-ICP'!$B:$B,"dezembro")/1000,"")),"")</f>
        <v>0</v>
      </c>
      <c r="DK395" s="427">
        <v>650.93600000000004</v>
      </c>
      <c r="DL395" s="452">
        <f t="shared" si="226"/>
        <v>-7725.9</v>
      </c>
      <c r="DM395" s="374"/>
      <c r="DN395" s="374">
        <f>-7722-3.9</f>
        <v>-7725.9</v>
      </c>
      <c r="DO395" s="374"/>
      <c r="DP395" s="374"/>
      <c r="DQ395" s="374"/>
      <c r="DR395" s="374"/>
      <c r="DS395" s="374"/>
      <c r="DT395" s="374"/>
      <c r="DU395" s="374"/>
      <c r="DV395" s="374"/>
      <c r="DW395" s="374"/>
      <c r="DX395" s="374"/>
      <c r="DY395" s="450"/>
      <c r="DZ395" s="374">
        <f t="shared" si="227"/>
        <v>-7725.9</v>
      </c>
      <c r="EA395" s="216">
        <f t="shared" si="228"/>
        <v>192.29422999999974</v>
      </c>
      <c r="EB395" s="320">
        <f t="shared" si="229"/>
        <v>-606.00122999999985</v>
      </c>
      <c r="EC395" s="241">
        <f t="shared" si="230"/>
        <v>1177.6749199999999</v>
      </c>
      <c r="ED395" s="241">
        <f t="shared" si="231"/>
        <v>3528.76298</v>
      </c>
      <c r="EE395" s="241">
        <f t="shared" si="232"/>
        <v>697.79499999999996</v>
      </c>
      <c r="EF395" s="241">
        <f t="shared" si="233"/>
        <v>1345.6480000000001</v>
      </c>
      <c r="EG395" s="346">
        <f t="shared" si="234"/>
        <v>7687.2596391666684</v>
      </c>
      <c r="EH395" s="445">
        <f t="shared" si="235"/>
        <v>342.36799999999999</v>
      </c>
      <c r="EI395" s="447">
        <f t="shared" si="236"/>
        <v>676.41407000000027</v>
      </c>
      <c r="EJ395" s="364">
        <f t="shared" si="237"/>
        <v>4100.43667</v>
      </c>
      <c r="EK395" s="365">
        <f t="shared" si="238"/>
        <v>2649.4442300000001</v>
      </c>
      <c r="EL395" s="529">
        <f t="shared" si="239"/>
        <v>6439.4866700000011</v>
      </c>
      <c r="EM395" s="530">
        <v>231.61026000000001</v>
      </c>
      <c r="EN395" s="530">
        <v>439.14301</v>
      </c>
      <c r="EO395" s="530">
        <v>506.92165</v>
      </c>
      <c r="EP395" s="530">
        <v>2246.3476799999999</v>
      </c>
      <c r="EQ395" s="530">
        <v>676.41407000000027</v>
      </c>
      <c r="ER395" s="530">
        <v>413.70700000000011</v>
      </c>
      <c r="ES395" s="530">
        <v>549.82299999999998</v>
      </c>
      <c r="ET395" s="530">
        <v>52.456000000000003</v>
      </c>
      <c r="EU395" s="530">
        <v>85.507999999999996</v>
      </c>
      <c r="EV395" s="530">
        <v>400.93799999999999</v>
      </c>
      <c r="EW395" s="530">
        <v>63.5</v>
      </c>
      <c r="EX395" s="530">
        <v>773.11800000000005</v>
      </c>
      <c r="EY395" s="530">
        <f t="shared" si="240"/>
        <v>1177.6749199999999</v>
      </c>
      <c r="EZ395" s="530">
        <f t="shared" si="241"/>
        <v>3336.46875</v>
      </c>
      <c r="FA395" s="530">
        <f t="shared" si="242"/>
        <v>687.78700000000003</v>
      </c>
      <c r="FB395" s="530">
        <f t="shared" si="243"/>
        <v>1237.556</v>
      </c>
      <c r="FC395" s="384" t="str">
        <f>IFERROR(VLOOKUP(Capex!A49,BASE_558!D:R,8,FALSE)/1000,"")</f>
        <v/>
      </c>
      <c r="FD395" s="328" t="str">
        <f>IFERROR(VLOOKUP(Capex!A49,BASE_558!D:R,9,)/1000,"")</f>
        <v/>
      </c>
      <c r="FE395" s="328">
        <f>IFERROR(IF(LEFT(A395,3)="LCP",(VLOOKUP(Capex!A49,BASE_558!D:R,10,)/1000),SUMIFS('BASE ICP_PO_SC'!F:F,'BASE ICP_PO_SC'!A:A,Capex!A49,'BASE ICP_PO_SC'!E:E,"&lt;&gt;")/1000),"")</f>
        <v>0</v>
      </c>
      <c r="FF395" s="328">
        <f>IFERROR(IF(LEFT(A395,3)="LCP",(VLOOKUP(Capex!A49,BASE_558!D:R,11,)/1000),SUMIFS('BASE ICP_PO_SC'!F:F,'BASE ICP_PO_SC'!A:A,Capex!A49,'BASE ICP_PO_SC'!E:E,"")/1000),"")</f>
        <v>0</v>
      </c>
      <c r="FG395" s="328" t="str">
        <f>IFERROR(VLOOKUP(A395,BASE_558!D:R,13,FALSE)/1000,"")</f>
        <v/>
      </c>
      <c r="FH395" s="328" t="str">
        <f>IFERROR(VLOOKUP(A395,BASE_558!D:R,15,FALSE)/1000,"")</f>
        <v/>
      </c>
      <c r="FI395" s="547">
        <f t="shared" si="244"/>
        <v>-192.29422999999997</v>
      </c>
      <c r="FJ395" s="547">
        <f t="shared" si="245"/>
        <v>-10.007999999999925</v>
      </c>
      <c r="FK395" s="570">
        <f t="shared" si="246"/>
        <v>-108.0920000000001</v>
      </c>
    </row>
    <row r="396" spans="1:167" s="23" customFormat="1" ht="24" customHeight="1">
      <c r="A396" s="310" t="s">
        <v>2404</v>
      </c>
      <c r="B396" s="404"/>
      <c r="C396" s="404">
        <v>28</v>
      </c>
      <c r="D396" s="338" t="s">
        <v>2647</v>
      </c>
      <c r="E396" s="378">
        <v>7401342</v>
      </c>
      <c r="F396" s="5" t="s">
        <v>609</v>
      </c>
      <c r="G396" s="310" t="s">
        <v>9</v>
      </c>
      <c r="H396" s="356" t="s">
        <v>6</v>
      </c>
      <c r="I396" s="356"/>
      <c r="J396" s="356">
        <v>2023</v>
      </c>
      <c r="K396" s="352">
        <v>45183</v>
      </c>
      <c r="L396" s="322"/>
      <c r="M396" s="409"/>
      <c r="N396" s="317">
        <f t="shared" si="217"/>
        <v>46095</v>
      </c>
      <c r="O396" s="317">
        <f t="shared" si="218"/>
        <v>46460</v>
      </c>
      <c r="P396" s="418" t="str">
        <f t="shared" si="247"/>
        <v>NÃO</v>
      </c>
      <c r="Q396" s="418" t="str">
        <f t="shared" si="247"/>
        <v>NÃO</v>
      </c>
      <c r="R396" s="418" t="str">
        <f t="shared" si="247"/>
        <v>NÃO</v>
      </c>
      <c r="S396" s="418" t="str">
        <f t="shared" si="247"/>
        <v>NÃO</v>
      </c>
      <c r="T396" s="418" t="str">
        <f t="shared" si="247"/>
        <v>NÃO</v>
      </c>
      <c r="U396" s="418" t="str">
        <f t="shared" si="247"/>
        <v>NÃO</v>
      </c>
      <c r="V396" s="418" t="str">
        <f t="shared" si="247"/>
        <v>NÃO</v>
      </c>
      <c r="W396" s="418" t="str">
        <f t="shared" si="247"/>
        <v>NÃO</v>
      </c>
      <c r="X396" s="418" t="str">
        <f t="shared" si="247"/>
        <v>NÃO</v>
      </c>
      <c r="Y396" s="418" t="str">
        <f t="shared" si="247"/>
        <v>NÃO</v>
      </c>
      <c r="Z396" s="418" t="str">
        <f t="shared" si="247"/>
        <v>NÃO</v>
      </c>
      <c r="AA396" s="418" t="str">
        <f t="shared" si="247"/>
        <v>NÃO</v>
      </c>
      <c r="AB396" s="350"/>
      <c r="AC396" s="309" t="s">
        <v>3932</v>
      </c>
      <c r="AD396" s="311" t="s">
        <v>224</v>
      </c>
      <c r="AE396" s="382" t="s">
        <v>957</v>
      </c>
      <c r="AF396" s="310" t="s">
        <v>6985</v>
      </c>
      <c r="AG396" s="310" t="s">
        <v>2259</v>
      </c>
      <c r="AH396" s="310" t="s">
        <v>6970</v>
      </c>
      <c r="AI396" s="381" t="s">
        <v>186</v>
      </c>
      <c r="AJ396" s="6" t="s">
        <v>6786</v>
      </c>
      <c r="AK396" s="6" t="str">
        <f t="shared" si="224"/>
        <v>IGUAL</v>
      </c>
      <c r="AL396" s="151" t="str">
        <f>IFERROR(IF(LEFT(A396,3)="LCP",VLOOKUP(A396,STATUS_SAP_LCP!B:C,2,FALSE),VLOOKUP(A396,STATUS_SAP_ICP!B:C,2,FALSE)),"NO BUDGET")</f>
        <v>REL  BUDG AUC  AVAC  //  APPR BREL EXPL</v>
      </c>
      <c r="AM396" s="6" t="str">
        <f t="shared" si="223"/>
        <v xml:space="preserve">REL </v>
      </c>
      <c r="AN396" s="414" t="s">
        <v>16152</v>
      </c>
      <c r="AO396" s="414"/>
      <c r="AP396" s="499" t="s">
        <v>9616</v>
      </c>
      <c r="AQ396" s="465">
        <v>46387</v>
      </c>
      <c r="AR396" s="460"/>
      <c r="AS396" s="57"/>
      <c r="AT396" s="185"/>
      <c r="AU396" s="318"/>
      <c r="AV396" s="223"/>
      <c r="AW396" s="318">
        <v>0</v>
      </c>
      <c r="AX396" s="223">
        <v>115.43736</v>
      </c>
      <c r="AY396" s="318">
        <f t="shared" si="214"/>
        <v>276.61621000000002</v>
      </c>
      <c r="AZ396" s="223"/>
      <c r="BA396" s="318"/>
      <c r="BB396" s="519">
        <f t="shared" si="219"/>
        <v>0</v>
      </c>
      <c r="BC396" s="518">
        <v>0</v>
      </c>
      <c r="BD396" s="518">
        <v>0</v>
      </c>
      <c r="BE396" s="518">
        <v>0</v>
      </c>
      <c r="BF396" s="518">
        <v>0</v>
      </c>
      <c r="BG396" s="518">
        <v>0</v>
      </c>
      <c r="BH396" s="518">
        <v>0</v>
      </c>
      <c r="BI396" s="518">
        <v>0</v>
      </c>
      <c r="BJ396" s="518">
        <v>0</v>
      </c>
      <c r="BK396" s="518">
        <v>0</v>
      </c>
      <c r="BL396" s="518">
        <v>0</v>
      </c>
      <c r="BM396" s="518">
        <v>0</v>
      </c>
      <c r="BN396" s="518">
        <v>0</v>
      </c>
      <c r="BO396" s="367">
        <f t="shared" si="225"/>
        <v>276.61621000000002</v>
      </c>
      <c r="BP396" s="421">
        <v>0</v>
      </c>
      <c r="BQ396" s="422"/>
      <c r="BR396" s="423">
        <f>IFERROR(IF(LEFT($A396,3)="Lcp",SUMIFS('BASE-LCP'!$K:$K,'BASE-LCP'!$A:$A,Capex!$A343,'BASE-LCP'!$B:$B,"janeiro")/1000,IF(LEFT($A396,3)="icp",SUMIFS('BASE-ICP'!$K:$K,'BASE-ICP'!$A:$A,Capex!$A343,'BASE-ICP'!$B:$B,"janeiro")/1000,"")),"")</f>
        <v>0</v>
      </c>
      <c r="BS396" s="427">
        <v>0</v>
      </c>
      <c r="BT396" s="372">
        <v>0</v>
      </c>
      <c r="BU396" s="422"/>
      <c r="BV396" s="423">
        <f>IFERROR(IF(LEFT($A396,3)="Lcp",SUMIFS('BASE-LCP'!$K:$K,'BASE-LCP'!$A:$A,Capex!$A343,'BASE-LCP'!$B:$B,"fevereiro")/1000,IF(LEFT($A396,3)="icp",SUMIFS('BASE-ICP'!$K:$K,'BASE-ICP'!$A:$A,Capex!$A343,'BASE-ICP'!$B:$B,"fevereiro")/1000,"")),"")</f>
        <v>0</v>
      </c>
      <c r="BW396" s="427">
        <v>0</v>
      </c>
      <c r="BX396" s="372">
        <v>0</v>
      </c>
      <c r="BY396" s="419">
        <v>4.3378800000000002</v>
      </c>
      <c r="BZ396" s="423">
        <f>IFERROR(IF(LEFT($A396,3)="Lcp",SUMIFS('BASE-LCP'!$K:$K,'BASE-LCP'!$A:$A,Capex!$A343,'BASE-LCP'!$B:$B,"março")/1000,IF(LEFT($A396,3)="icp",SUMIFS('BASE-ICP'!$K:$K,'BASE-ICP'!$A:$A,Capex!$A343,'BASE-ICP'!$B:$B,"março")/1000,"")),"")</f>
        <v>0</v>
      </c>
      <c r="CA396" s="427">
        <v>4.337880000000002</v>
      </c>
      <c r="CB396" s="372">
        <v>171.44019</v>
      </c>
      <c r="CC396" s="422">
        <v>225.96535999999998</v>
      </c>
      <c r="CD396" s="423">
        <f>IFERROR(IF(LEFT($A396,3)="Lcp",SUMIFS('BASE-LCP'!$K:$K,'BASE-LCP'!$A:$A,Capex!$A343,'BASE-LCP'!$B:$B,"abril")/1000,IF(LEFT($A396,3)="icp",SUMIFS('BASE-ICP'!$K:$K,'BASE-ICP'!$A:$A,Capex!$A343,'BASE-ICP'!$B:$B,"abril")/1000,"")),"")</f>
        <v>0</v>
      </c>
      <c r="CE396" s="427">
        <v>225.96536</v>
      </c>
      <c r="CF396" s="372">
        <v>0</v>
      </c>
      <c r="CG396" s="419">
        <v>-39.187030000000007</v>
      </c>
      <c r="CH396" s="423">
        <v>-39.187029999999993</v>
      </c>
      <c r="CI396" s="427">
        <v>-39.187029999999993</v>
      </c>
      <c r="CJ396" s="372">
        <v>10.8</v>
      </c>
      <c r="CK396" s="419"/>
      <c r="CL396" s="423">
        <f>IFERROR(IF(LEFT($A396,3)="Lcp",SUMIFS('BASE-LCP'!$K:$K,'BASE-LCP'!$A:$A,Capex!$A343,'BASE-LCP'!$B:$B,"junho")/1000,IF(LEFT($A396,3)="icp",SUMIFS('BASE-ICP'!$K:$K,'BASE-ICP'!$A:$A,Capex!$A343,'BASE-ICP'!$B:$B,"junho")/1000,"")),"")</f>
        <v>0</v>
      </c>
      <c r="CM396" s="427">
        <v>0</v>
      </c>
      <c r="CN396" s="372"/>
      <c r="CO396" s="419"/>
      <c r="CP396" s="423">
        <f>IFERROR(IF(LEFT($A396,3)="Lcp",SUMIFS('BASE-LCP'!$K:$K,'BASE-LCP'!$A:$A,Capex!$A343,'BASE-LCP'!$B:$B,"julho")/1000,IF(LEFT($A396,3)="icp",SUMIFS('BASE-ICP'!$K:$K,'BASE-ICP'!$A:$A,Capex!$A343,'BASE-ICP'!$B:$B,"julho")/1000,"")),"")</f>
        <v>0</v>
      </c>
      <c r="CQ396" s="427">
        <v>10.8</v>
      </c>
      <c r="CR396" s="372"/>
      <c r="CS396" s="419"/>
      <c r="CT396" s="423">
        <f>IFERROR(IF(LEFT($A396,3)="Lcp",SUMIFS('BASE-LCP'!$K:$K,'BASE-LCP'!$A:$A,Capex!$A343,'BASE-LCP'!$B:$B,"agosto")/1000,IF(LEFT($A396,3)="icp",SUMIFS('BASE-ICP'!$K:$K,'BASE-ICP'!$A:$A,Capex!$A343,'BASE-ICP'!$B:$B,"agosto")/1000,"")),"")</f>
        <v>0</v>
      </c>
      <c r="CU396" s="427"/>
      <c r="CV396" s="372"/>
      <c r="CW396" s="419"/>
      <c r="CX396" s="423">
        <f>IFERROR(IF(LEFT($A396,3)="Lcp",SUMIFS('BASE-LCP'!$K:$K,'BASE-LCP'!$A:$A,Capex!$A343,'BASE-LCP'!$B:$B,"setembro")/1000,IF(LEFT($A396,3)="icp",SUMIFS('BASE-ICP'!$K:$K,'BASE-ICP'!$A:$A,Capex!$A343,'BASE-ICP'!$B:$B,"setembro")/1000,"")),"")</f>
        <v>0</v>
      </c>
      <c r="CY396" s="427">
        <v>0</v>
      </c>
      <c r="CZ396" s="372"/>
      <c r="DA396" s="419"/>
      <c r="DB396" s="423">
        <f>IFERROR(IF(LEFT($A396,3)="Lcp",SUMIFS('BASE-LCP'!$K:$K,'BASE-LCP'!$A:$A,Capex!$A343,'BASE-LCP'!$B:$B,"outubro")/1000,IF(LEFT($A396,3)="icp",SUMIFS('BASE-ICP'!$K:$K,'BASE-ICP'!$A:$A,Capex!$A343,'BASE-ICP'!$B:$B,"outubro")/1000,"")),"")</f>
        <v>0</v>
      </c>
      <c r="DC396" s="427">
        <f>83*0.9</f>
        <v>74.7</v>
      </c>
      <c r="DD396" s="372"/>
      <c r="DE396" s="419"/>
      <c r="DF396" s="423">
        <f>IFERROR(IF(LEFT($A396,3)="Lcp",SUMIFS('BASE-LCP'!$K:$K,'BASE-LCP'!$A:$A,Capex!$A343,'BASE-LCP'!$B:$B,"novembro")/1000,IF(LEFT($A396,3)="icp",SUMIFS('BASE-ICP'!$K:$K,'BASE-ICP'!$A:$A,Capex!$A343,'BASE-ICP'!$B:$B,"novembro")/1000,"")),"")</f>
        <v>0</v>
      </c>
      <c r="DG396" s="427">
        <v>0</v>
      </c>
      <c r="DH396" s="372"/>
      <c r="DI396" s="419"/>
      <c r="DJ396" s="423">
        <f>IFERROR(IF(LEFT($A396,3)="Lcp",SUMIFS('BASE-LCP'!$K:$K,'BASE-LCP'!$A:$A,Capex!$A343,'BASE-LCP'!$B:$B,"dezembro")/1000,IF(LEFT($A396,3)="icp",SUMIFS('BASE-ICP'!$K:$K,'BASE-ICP'!$A:$A,Capex!$A343,'BASE-ICP'!$B:$B,"dezembro")/1000,"")),"")</f>
        <v>0</v>
      </c>
      <c r="DK396" s="427">
        <v>0</v>
      </c>
      <c r="DL396" s="452">
        <f t="shared" si="226"/>
        <v>296</v>
      </c>
      <c r="DM396" s="374"/>
      <c r="DN396" s="374">
        <f>146+150</f>
        <v>296</v>
      </c>
      <c r="DO396" s="374"/>
      <c r="DP396" s="374"/>
      <c r="DQ396" s="374"/>
      <c r="DR396" s="374"/>
      <c r="DS396" s="374"/>
      <c r="DT396" s="374"/>
      <c r="DU396" s="374"/>
      <c r="DV396" s="374"/>
      <c r="DW396" s="374"/>
      <c r="DX396" s="374"/>
      <c r="DY396" s="450"/>
      <c r="DZ396" s="374">
        <f t="shared" si="227"/>
        <v>296</v>
      </c>
      <c r="EA396" s="216">
        <f t="shared" si="228"/>
        <v>-10.8</v>
      </c>
      <c r="EB396" s="320">
        <f t="shared" si="229"/>
        <v>0</v>
      </c>
      <c r="EC396" s="241">
        <f t="shared" si="230"/>
        <v>4.337880000000002</v>
      </c>
      <c r="ED396" s="241">
        <f t="shared" si="231"/>
        <v>186.77833000000001</v>
      </c>
      <c r="EE396" s="241">
        <f t="shared" si="232"/>
        <v>10.8</v>
      </c>
      <c r="EF396" s="241">
        <f t="shared" si="233"/>
        <v>74.7</v>
      </c>
      <c r="EG396" s="346">
        <f t="shared" si="234"/>
        <v>276.61621000000002</v>
      </c>
      <c r="EH396" s="445">
        <f t="shared" si="235"/>
        <v>0</v>
      </c>
      <c r="EI396" s="447">
        <f t="shared" si="236"/>
        <v>-39.187029999999993</v>
      </c>
      <c r="EJ396" s="364">
        <f t="shared" si="237"/>
        <v>191.11621000000002</v>
      </c>
      <c r="EK396" s="365">
        <f t="shared" si="238"/>
        <v>85.5</v>
      </c>
      <c r="EL396" s="529">
        <f t="shared" si="239"/>
        <v>276.61621000000002</v>
      </c>
      <c r="EM396" s="530">
        <v>0</v>
      </c>
      <c r="EN396" s="530">
        <v>0</v>
      </c>
      <c r="EO396" s="530">
        <v>4.337880000000002</v>
      </c>
      <c r="EP396" s="530">
        <v>225.96536</v>
      </c>
      <c r="EQ396" s="530">
        <v>-39.187029999999993</v>
      </c>
      <c r="ER396" s="530">
        <v>10.8</v>
      </c>
      <c r="ES396" s="530">
        <v>0</v>
      </c>
      <c r="ET396" s="530">
        <v>0</v>
      </c>
      <c r="EU396" s="530">
        <v>0</v>
      </c>
      <c r="EV396" s="530">
        <v>74.7</v>
      </c>
      <c r="EW396" s="530">
        <v>0</v>
      </c>
      <c r="EX396" s="530">
        <v>0</v>
      </c>
      <c r="EY396" s="530">
        <f t="shared" si="240"/>
        <v>4.337880000000002</v>
      </c>
      <c r="EZ396" s="530">
        <f t="shared" si="241"/>
        <v>197.57833000000002</v>
      </c>
      <c r="FA396" s="530">
        <f t="shared" si="242"/>
        <v>0</v>
      </c>
      <c r="FB396" s="530">
        <f t="shared" si="243"/>
        <v>74.7</v>
      </c>
      <c r="FC396" s="384">
        <f>IFERROR(VLOOKUP(Capex!A343,BASE_558!D:R,8,FALSE)/1000,"")</f>
        <v>0</v>
      </c>
      <c r="FD396" s="328">
        <f>IFERROR(VLOOKUP(Capex!A343,BASE_558!D:R,9,)/1000,"")</f>
        <v>0</v>
      </c>
      <c r="FE396" s="328">
        <f>IFERROR(IF(LEFT(A396,3)="LCP",(VLOOKUP(Capex!A343,BASE_558!D:R,10,)/1000),SUMIFS('BASE ICP_PO_SC'!F:F,'BASE ICP_PO_SC'!A:A,Capex!A343,'BASE ICP_PO_SC'!E:E,"&lt;&gt;")/1000),"")</f>
        <v>0</v>
      </c>
      <c r="FF396" s="328">
        <f>IFERROR(IF(LEFT(A396,3)="LCP",(VLOOKUP(Capex!A343,BASE_558!D:R,11,)/1000),SUMIFS('BASE ICP_PO_SC'!F:F,'BASE ICP_PO_SC'!A:A,Capex!A343,'BASE ICP_PO_SC'!E:E,"")/1000),"")</f>
        <v>0</v>
      </c>
      <c r="FG396" s="328">
        <f>IFERROR(VLOOKUP(A396,BASE_558!D:R,13,FALSE)/1000,"")</f>
        <v>571.15589999999997</v>
      </c>
      <c r="FH396" s="328">
        <f>IFERROR(VLOOKUP(A396,BASE_558!D:R,15,FALSE)/1000,"")</f>
        <v>269.91809999999998</v>
      </c>
      <c r="FI396" s="547">
        <f t="shared" si="244"/>
        <v>10.800000000000011</v>
      </c>
      <c r="FJ396" s="547">
        <f t="shared" si="245"/>
        <v>-10.8</v>
      </c>
      <c r="FK396" s="540">
        <f t="shared" si="246"/>
        <v>0</v>
      </c>
    </row>
    <row r="397" spans="1:167" s="23" customFormat="1" ht="24" customHeight="1">
      <c r="A397" s="310" t="s">
        <v>3927</v>
      </c>
      <c r="B397" s="404"/>
      <c r="C397" s="404">
        <v>9</v>
      </c>
      <c r="D397" s="338"/>
      <c r="E397" s="378"/>
      <c r="F397" s="5" t="s">
        <v>609</v>
      </c>
      <c r="G397" s="310" t="s">
        <v>9</v>
      </c>
      <c r="H397" s="356" t="s">
        <v>6</v>
      </c>
      <c r="I397" s="356"/>
      <c r="J397" s="356">
        <v>2024</v>
      </c>
      <c r="K397" s="321">
        <v>45553</v>
      </c>
      <c r="L397" s="322"/>
      <c r="M397" s="409"/>
      <c r="N397" s="317">
        <f t="shared" si="217"/>
        <v>46465</v>
      </c>
      <c r="O397" s="317">
        <f t="shared" si="218"/>
        <v>46830</v>
      </c>
      <c r="P397" s="418" t="str">
        <f t="shared" si="247"/>
        <v>NÃO</v>
      </c>
      <c r="Q397" s="418" t="str">
        <f t="shared" si="247"/>
        <v>NÃO</v>
      </c>
      <c r="R397" s="418" t="str">
        <f t="shared" si="247"/>
        <v>NÃO</v>
      </c>
      <c r="S397" s="418" t="str">
        <f t="shared" si="247"/>
        <v>NÃO</v>
      </c>
      <c r="T397" s="418" t="str">
        <f t="shared" si="247"/>
        <v>NÃO</v>
      </c>
      <c r="U397" s="418" t="str">
        <f t="shared" si="247"/>
        <v>NÃO</v>
      </c>
      <c r="V397" s="418" t="str">
        <f t="shared" si="247"/>
        <v>NÃO</v>
      </c>
      <c r="W397" s="418" t="str">
        <f t="shared" si="247"/>
        <v>NÃO</v>
      </c>
      <c r="X397" s="418" t="str">
        <f t="shared" si="247"/>
        <v>NÃO</v>
      </c>
      <c r="Y397" s="418" t="str">
        <f t="shared" si="247"/>
        <v>NÃO</v>
      </c>
      <c r="Z397" s="418" t="str">
        <f t="shared" si="247"/>
        <v>NÃO</v>
      </c>
      <c r="AA397" s="418" t="str">
        <f t="shared" si="247"/>
        <v>NÃO</v>
      </c>
      <c r="AB397" s="350"/>
      <c r="AC397" s="309" t="s">
        <v>3930</v>
      </c>
      <c r="AD397" s="311"/>
      <c r="AE397" s="382"/>
      <c r="AF397" s="310" t="s">
        <v>6985</v>
      </c>
      <c r="AG397" s="310" t="s">
        <v>2485</v>
      </c>
      <c r="AH397" s="310" t="s">
        <v>3262</v>
      </c>
      <c r="AI397" s="381" t="s">
        <v>188</v>
      </c>
      <c r="AJ397" s="6" t="s">
        <v>6786</v>
      </c>
      <c r="AK397" s="6" t="str">
        <f t="shared" si="224"/>
        <v>IGUAL</v>
      </c>
      <c r="AL397" s="151" t="str">
        <f>IFERROR(IF(LEFT(A397,3)="LCP",VLOOKUP(A397,STATUS_SAP_LCP!B:C,2,FALSE),VLOOKUP(A397,STATUS_SAP_ICP!B:C,2,FALSE)),"NO BUDGET")</f>
        <v>REL  BUDG AUC  AVAC  //  APPR BREL EXPL</v>
      </c>
      <c r="AM397" s="6" t="str">
        <f t="shared" si="223"/>
        <v xml:space="preserve">REL </v>
      </c>
      <c r="AN397" s="522" t="s">
        <v>17630</v>
      </c>
      <c r="AO397" s="522"/>
      <c r="AP397" s="499" t="s">
        <v>9616</v>
      </c>
      <c r="AQ397" s="465">
        <v>45838</v>
      </c>
      <c r="AR397" s="460"/>
      <c r="AS397" s="57"/>
      <c r="AT397" s="185"/>
      <c r="AU397" s="318"/>
      <c r="AV397" s="223"/>
      <c r="AW397" s="318"/>
      <c r="AX397" s="223">
        <v>0</v>
      </c>
      <c r="AY397" s="318">
        <f t="shared" si="214"/>
        <v>18</v>
      </c>
      <c r="AZ397" s="223"/>
      <c r="BA397" s="318"/>
      <c r="BB397" s="519">
        <f t="shared" si="219"/>
        <v>19</v>
      </c>
      <c r="BC397" s="518">
        <v>0</v>
      </c>
      <c r="BD397" s="518">
        <v>19</v>
      </c>
      <c r="BE397" s="518">
        <v>0</v>
      </c>
      <c r="BF397" s="518">
        <v>0</v>
      </c>
      <c r="BG397" s="518">
        <v>0</v>
      </c>
      <c r="BH397" s="518">
        <v>0</v>
      </c>
      <c r="BI397" s="518">
        <v>0</v>
      </c>
      <c r="BJ397" s="518">
        <v>0</v>
      </c>
      <c r="BK397" s="518">
        <v>0</v>
      </c>
      <c r="BL397" s="518">
        <v>0</v>
      </c>
      <c r="BM397" s="518">
        <v>0</v>
      </c>
      <c r="BN397" s="518">
        <v>0</v>
      </c>
      <c r="BO397" s="367">
        <f t="shared" si="225"/>
        <v>18</v>
      </c>
      <c r="BP397" s="421">
        <v>0</v>
      </c>
      <c r="BQ397" s="422"/>
      <c r="BR397" s="423">
        <f>IFERROR(IF(LEFT($A397,3)="Lcp",SUMIFS('BASE-LCP'!$K:$K,'BASE-LCP'!$A:$A,Capex!$A376,'BASE-LCP'!$B:$B,"janeiro")/1000,IF(LEFT($A397,3)="icp",SUMIFS('BASE-ICP'!$K:$K,'BASE-ICP'!$A:$A,Capex!$A376,'BASE-ICP'!$B:$B,"janeiro")/1000,"")),"")</f>
        <v>0</v>
      </c>
      <c r="BS397" s="427">
        <v>0</v>
      </c>
      <c r="BT397" s="372">
        <v>16</v>
      </c>
      <c r="BU397" s="422"/>
      <c r="BV397" s="423">
        <f>IFERROR(IF(LEFT($A397,3)="Lcp",SUMIFS('BASE-LCP'!$K:$K,'BASE-LCP'!$A:$A,Capex!$A376,'BASE-LCP'!$B:$B,"fevereiro")/1000,IF(LEFT($A397,3)="icp",SUMIFS('BASE-ICP'!$K:$K,'BASE-ICP'!$A:$A,Capex!$A376,'BASE-ICP'!$B:$B,"fevereiro")/1000,"")),"")</f>
        <v>0</v>
      </c>
      <c r="BW397" s="427">
        <v>0</v>
      </c>
      <c r="BX397" s="372">
        <v>0</v>
      </c>
      <c r="BY397" s="419"/>
      <c r="BZ397" s="423">
        <f>IFERROR(IF(LEFT($A397,3)="Lcp",SUMIFS('BASE-LCP'!$K:$K,'BASE-LCP'!$A:$A,Capex!$A376,'BASE-LCP'!$B:$B,"março")/1000,IF(LEFT($A397,3)="icp",SUMIFS('BASE-ICP'!$K:$K,'BASE-ICP'!$A:$A,Capex!$A376,'BASE-ICP'!$B:$B,"março")/1000,"")),"")</f>
        <v>0</v>
      </c>
      <c r="CA397" s="427">
        <v>0</v>
      </c>
      <c r="CB397" s="372"/>
      <c r="CC397" s="422"/>
      <c r="CD397" s="423">
        <f>IFERROR(IF(LEFT($A397,3)="Lcp",SUMIFS('BASE-LCP'!$K:$K,'BASE-LCP'!$A:$A,Capex!$A376,'BASE-LCP'!$B:$B,"abril")/1000,IF(LEFT($A397,3)="icp",SUMIFS('BASE-ICP'!$K:$K,'BASE-ICP'!$A:$A,Capex!$A376,'BASE-ICP'!$B:$B,"abril")/1000,"")),"")</f>
        <v>0</v>
      </c>
      <c r="CE397" s="427"/>
      <c r="CF397" s="372">
        <v>11</v>
      </c>
      <c r="CG397" s="419"/>
      <c r="CH397" s="423">
        <v>0</v>
      </c>
      <c r="CI397" s="427">
        <v>0</v>
      </c>
      <c r="CJ397" s="372">
        <v>11</v>
      </c>
      <c r="CK397" s="419"/>
      <c r="CL397" s="423">
        <f>IFERROR(IF(LEFT($A397,3)="Lcp",SUMIFS('BASE-LCP'!$K:$K,'BASE-LCP'!$A:$A,Capex!$A376,'BASE-LCP'!$B:$B,"junho")/1000,IF(LEFT($A397,3)="icp",SUMIFS('BASE-ICP'!$K:$K,'BASE-ICP'!$A:$A,Capex!$A376,'BASE-ICP'!$B:$B,"junho")/1000,"")),"")</f>
        <v>0</v>
      </c>
      <c r="CM397" s="427">
        <v>0</v>
      </c>
      <c r="CN397" s="372"/>
      <c r="CO397" s="419"/>
      <c r="CP397" s="423">
        <f>IFERROR(IF(LEFT($A397,3)="Lcp",SUMIFS('BASE-LCP'!$K:$K,'BASE-LCP'!$A:$A,Capex!$A376,'BASE-LCP'!$B:$B,"julho")/1000,IF(LEFT($A397,3)="icp",SUMIFS('BASE-ICP'!$K:$K,'BASE-ICP'!$A:$A,Capex!$A376,'BASE-ICP'!$B:$B,"julho")/1000,"")),"")</f>
        <v>0</v>
      </c>
      <c r="CQ397" s="427">
        <v>0</v>
      </c>
      <c r="CR397" s="372"/>
      <c r="CS397" s="419"/>
      <c r="CT397" s="423">
        <f>IFERROR(IF(LEFT($A397,3)="Lcp",SUMIFS('BASE-LCP'!$K:$K,'BASE-LCP'!$A:$A,Capex!$A376,'BASE-LCP'!$B:$B,"agosto")/1000,IF(LEFT($A397,3)="icp",SUMIFS('BASE-ICP'!$K:$K,'BASE-ICP'!$A:$A,Capex!$A376,'BASE-ICP'!$B:$B,"agosto")/1000,"")),"")</f>
        <v>0</v>
      </c>
      <c r="CU397" s="427">
        <v>18</v>
      </c>
      <c r="CV397" s="372"/>
      <c r="CW397" s="419"/>
      <c r="CX397" s="423">
        <f>IFERROR(IF(LEFT($A397,3)="Lcp",SUMIFS('BASE-LCP'!$K:$K,'BASE-LCP'!$A:$A,Capex!$A376,'BASE-LCP'!$B:$B,"setembro")/1000,IF(LEFT($A397,3)="icp",SUMIFS('BASE-ICP'!$K:$K,'BASE-ICP'!$A:$A,Capex!$A376,'BASE-ICP'!$B:$B,"setembro")/1000,"")),"")</f>
        <v>0</v>
      </c>
      <c r="CY397" s="427">
        <v>0</v>
      </c>
      <c r="CZ397" s="372"/>
      <c r="DA397" s="419"/>
      <c r="DB397" s="423">
        <f>IFERROR(IF(LEFT($A397,3)="Lcp",SUMIFS('BASE-LCP'!$K:$K,'BASE-LCP'!$A:$A,Capex!$A376,'BASE-LCP'!$B:$B,"outubro")/1000,IF(LEFT($A397,3)="icp",SUMIFS('BASE-ICP'!$K:$K,'BASE-ICP'!$A:$A,Capex!$A376,'BASE-ICP'!$B:$B,"outubro")/1000,"")),"")</f>
        <v>0</v>
      </c>
      <c r="DC397" s="427">
        <v>0</v>
      </c>
      <c r="DD397" s="372"/>
      <c r="DE397" s="419"/>
      <c r="DF397" s="423">
        <f>IFERROR(IF(LEFT($A397,3)="Lcp",SUMIFS('BASE-LCP'!$K:$K,'BASE-LCP'!$A:$A,Capex!$A376,'BASE-LCP'!$B:$B,"novembro")/1000,IF(LEFT($A397,3)="icp",SUMIFS('BASE-ICP'!$K:$K,'BASE-ICP'!$A:$A,Capex!$A376,'BASE-ICP'!$B:$B,"novembro")/1000,"")),"")</f>
        <v>0</v>
      </c>
      <c r="DG397" s="427">
        <v>0</v>
      </c>
      <c r="DH397" s="372"/>
      <c r="DI397" s="419"/>
      <c r="DJ397" s="423">
        <f>IFERROR(IF(LEFT($A397,3)="Lcp",SUMIFS('BASE-LCP'!$K:$K,'BASE-LCP'!$A:$A,Capex!$A376,'BASE-LCP'!$B:$B,"dezembro")/1000,IF(LEFT($A397,3)="icp",SUMIFS('BASE-ICP'!$K:$K,'BASE-ICP'!$A:$A,Capex!$A376,'BASE-ICP'!$B:$B,"dezembro")/1000,"")),"")</f>
        <v>0</v>
      </c>
      <c r="DK397" s="427">
        <v>0</v>
      </c>
      <c r="DL397" s="452">
        <f t="shared" si="226"/>
        <v>0</v>
      </c>
      <c r="DM397" s="374"/>
      <c r="DN397" s="374">
        <v>0</v>
      </c>
      <c r="DO397" s="374"/>
      <c r="DP397" s="374"/>
      <c r="DQ397" s="374"/>
      <c r="DR397" s="374"/>
      <c r="DS397" s="374"/>
      <c r="DT397" s="374"/>
      <c r="DU397" s="374"/>
      <c r="DV397" s="374"/>
      <c r="DW397" s="374"/>
      <c r="DX397" s="374"/>
      <c r="DY397" s="450"/>
      <c r="DZ397" s="374">
        <f t="shared" si="227"/>
        <v>0</v>
      </c>
      <c r="EA397" s="216">
        <f t="shared" si="228"/>
        <v>-11</v>
      </c>
      <c r="EB397" s="320">
        <f t="shared" si="229"/>
        <v>0</v>
      </c>
      <c r="EC397" s="241">
        <f t="shared" si="230"/>
        <v>0</v>
      </c>
      <c r="ED397" s="241">
        <f t="shared" si="231"/>
        <v>0</v>
      </c>
      <c r="EE397" s="241">
        <f t="shared" si="232"/>
        <v>18</v>
      </c>
      <c r="EF397" s="241">
        <f t="shared" si="233"/>
        <v>0</v>
      </c>
      <c r="EG397" s="346">
        <f t="shared" si="234"/>
        <v>-1</v>
      </c>
      <c r="EH397" s="445">
        <f t="shared" si="235"/>
        <v>11</v>
      </c>
      <c r="EI397" s="447">
        <f t="shared" si="236"/>
        <v>0</v>
      </c>
      <c r="EJ397" s="364">
        <f t="shared" si="237"/>
        <v>0</v>
      </c>
      <c r="EK397" s="365">
        <f t="shared" si="238"/>
        <v>18</v>
      </c>
      <c r="EL397" s="529">
        <f t="shared" si="239"/>
        <v>18</v>
      </c>
      <c r="EM397" s="530">
        <v>0</v>
      </c>
      <c r="EN397" s="530">
        <v>0</v>
      </c>
      <c r="EO397" s="530">
        <v>0</v>
      </c>
      <c r="EP397" s="530">
        <v>0</v>
      </c>
      <c r="EQ397" s="530">
        <v>0</v>
      </c>
      <c r="ER397" s="530">
        <v>11</v>
      </c>
      <c r="ES397" s="530">
        <v>7</v>
      </c>
      <c r="ET397" s="530">
        <v>0</v>
      </c>
      <c r="EU397" s="530">
        <v>0</v>
      </c>
      <c r="EV397" s="530">
        <v>0</v>
      </c>
      <c r="EW397" s="530">
        <v>0</v>
      </c>
      <c r="EX397" s="530">
        <v>0</v>
      </c>
      <c r="EY397" s="530">
        <f t="shared" si="240"/>
        <v>0</v>
      </c>
      <c r="EZ397" s="530">
        <f t="shared" si="241"/>
        <v>11</v>
      </c>
      <c r="FA397" s="530">
        <f t="shared" si="242"/>
        <v>7</v>
      </c>
      <c r="FB397" s="530">
        <f t="shared" si="243"/>
        <v>0</v>
      </c>
      <c r="FC397" s="384" t="str">
        <f>IFERROR(VLOOKUP(Capex!A376,BASE_558!D:R,8,FALSE)/1000,"")</f>
        <v/>
      </c>
      <c r="FD397" s="328" t="str">
        <f>IFERROR(VLOOKUP(Capex!A376,BASE_558!D:R,9,)/1000,"")</f>
        <v/>
      </c>
      <c r="FE397" s="328" t="str">
        <f>IFERROR(IF(LEFT(A397,3)="LCP",(VLOOKUP(Capex!A376,BASE_558!D:R,10,)/1000),SUMIFS('BASE ICP_PO_SC'!F:F,'BASE ICP_PO_SC'!A:A,Capex!A376,'BASE ICP_PO_SC'!E:E,"&lt;&gt;")/1000),"")</f>
        <v/>
      </c>
      <c r="FF397" s="328" t="str">
        <f>IFERROR(IF(LEFT(A397,3)="LCP",(VLOOKUP(Capex!A376,BASE_558!D:R,11,)/1000),SUMIFS('BASE ICP_PO_SC'!F:F,'BASE ICP_PO_SC'!A:A,Capex!A376,'BASE ICP_PO_SC'!E:E,"")/1000),"")</f>
        <v/>
      </c>
      <c r="FG397" s="328">
        <f>IFERROR(VLOOKUP(A397,BASE_558!D:R,13,FALSE)/1000,"")</f>
        <v>16.980910000000002</v>
      </c>
      <c r="FH397" s="328">
        <f>IFERROR(VLOOKUP(A397,BASE_558!D:R,15,FALSE)/1000,"")</f>
        <v>3.0190900000000003</v>
      </c>
      <c r="FI397" s="547">
        <f t="shared" si="244"/>
        <v>11</v>
      </c>
      <c r="FJ397" s="547">
        <f t="shared" si="245"/>
        <v>-11</v>
      </c>
      <c r="FK397" s="540">
        <f t="shared" si="246"/>
        <v>0</v>
      </c>
    </row>
    <row r="398" spans="1:167" s="23" customFormat="1" ht="24" customHeight="1">
      <c r="A398" s="84" t="s">
        <v>2408</v>
      </c>
      <c r="B398" s="404"/>
      <c r="C398" s="404">
        <v>42095</v>
      </c>
      <c r="D398" s="338" t="s">
        <v>3337</v>
      </c>
      <c r="E398" s="378">
        <v>7466196</v>
      </c>
      <c r="F398" s="5"/>
      <c r="G398" s="310" t="s">
        <v>9</v>
      </c>
      <c r="H398" s="356" t="s">
        <v>6</v>
      </c>
      <c r="I398" s="356"/>
      <c r="J398" s="356">
        <v>2023</v>
      </c>
      <c r="K398" s="352">
        <v>45197</v>
      </c>
      <c r="L398" s="322"/>
      <c r="M398" s="409" t="s">
        <v>6808</v>
      </c>
      <c r="N398" s="317">
        <f t="shared" si="217"/>
        <v>46109</v>
      </c>
      <c r="O398" s="317">
        <f t="shared" si="218"/>
        <v>46474</v>
      </c>
      <c r="P398" s="418" t="str">
        <f t="shared" si="247"/>
        <v>NÃO</v>
      </c>
      <c r="Q398" s="418" t="str">
        <f t="shared" si="247"/>
        <v>NÃO</v>
      </c>
      <c r="R398" s="418" t="str">
        <f t="shared" si="247"/>
        <v>NÃO</v>
      </c>
      <c r="S398" s="418" t="str">
        <f t="shared" si="247"/>
        <v>NÃO</v>
      </c>
      <c r="T398" s="418" t="str">
        <f t="shared" si="247"/>
        <v>NÃO</v>
      </c>
      <c r="U398" s="418" t="str">
        <f t="shared" si="247"/>
        <v>NÃO</v>
      </c>
      <c r="V398" s="418" t="str">
        <f t="shared" si="247"/>
        <v>NÃO</v>
      </c>
      <c r="W398" s="418" t="str">
        <f t="shared" si="247"/>
        <v>NÃO</v>
      </c>
      <c r="X398" s="418" t="str">
        <f t="shared" si="247"/>
        <v>NÃO</v>
      </c>
      <c r="Y398" s="418" t="str">
        <f t="shared" si="247"/>
        <v>NÃO</v>
      </c>
      <c r="Z398" s="418" t="str">
        <f t="shared" si="247"/>
        <v>NÃO</v>
      </c>
      <c r="AA398" s="418" t="str">
        <f t="shared" si="247"/>
        <v>NÃO</v>
      </c>
      <c r="AB398" s="350"/>
      <c r="AC398" s="309" t="s">
        <v>3932</v>
      </c>
      <c r="AD398" s="311" t="s">
        <v>222</v>
      </c>
      <c r="AE398" s="382" t="s">
        <v>957</v>
      </c>
      <c r="AF398" s="310" t="s">
        <v>6985</v>
      </c>
      <c r="AG398" s="310" t="s">
        <v>2079</v>
      </c>
      <c r="AH398" s="310" t="s">
        <v>2409</v>
      </c>
      <c r="AI398" s="381" t="s">
        <v>316</v>
      </c>
      <c r="AJ398" s="6" t="s">
        <v>195</v>
      </c>
      <c r="AK398" s="6" t="str">
        <f t="shared" si="224"/>
        <v>IGUAL</v>
      </c>
      <c r="AL398" s="151" t="str">
        <f>IFERROR(IF(LEFT(A398,3)="LCP",VLOOKUP(A398,STATUS_SAP_LCP!B:C,2,FALSE),VLOOKUP(A398,STATUS_SAP_ICP!B:C,2,FALSE)),"NO BUDGET")</f>
        <v>TECO BUDG AUC  AVAC  //  APPR BREL EXPL</v>
      </c>
      <c r="AM398" s="6" t="str">
        <f t="shared" si="223"/>
        <v>TECO</v>
      </c>
      <c r="AN398" s="429" t="s">
        <v>19835</v>
      </c>
      <c r="AO398" s="414"/>
      <c r="AP398" s="499" t="s">
        <v>9617</v>
      </c>
      <c r="AQ398" s="465">
        <v>45777</v>
      </c>
      <c r="AR398" s="460"/>
      <c r="AS398" s="57"/>
      <c r="AT398" s="185"/>
      <c r="AU398" s="318"/>
      <c r="AV398" s="223">
        <v>0</v>
      </c>
      <c r="AW398" s="318">
        <v>0</v>
      </c>
      <c r="AX398" s="223">
        <v>115.20192</v>
      </c>
      <c r="AY398" s="318">
        <f t="shared" si="214"/>
        <v>12.6</v>
      </c>
      <c r="AZ398" s="223"/>
      <c r="BA398" s="318"/>
      <c r="BB398" s="519">
        <f t="shared" si="219"/>
        <v>0</v>
      </c>
      <c r="BC398" s="518">
        <v>0</v>
      </c>
      <c r="BD398" s="518">
        <v>0</v>
      </c>
      <c r="BE398" s="518">
        <v>0</v>
      </c>
      <c r="BF398" s="518">
        <v>0</v>
      </c>
      <c r="BG398" s="518">
        <v>0</v>
      </c>
      <c r="BH398" s="518">
        <v>0</v>
      </c>
      <c r="BI398" s="518">
        <v>0</v>
      </c>
      <c r="BJ398" s="518">
        <v>0</v>
      </c>
      <c r="BK398" s="518">
        <v>0</v>
      </c>
      <c r="BL398" s="518">
        <v>0</v>
      </c>
      <c r="BM398" s="518">
        <v>0</v>
      </c>
      <c r="BN398" s="518">
        <v>0</v>
      </c>
      <c r="BO398" s="367">
        <f t="shared" si="225"/>
        <v>12.6</v>
      </c>
      <c r="BP398" s="421">
        <v>0</v>
      </c>
      <c r="BQ398" s="422"/>
      <c r="BR398" s="423">
        <f>IFERROR(IF(LEFT($A398,3)="Lcp",SUMIFS('BASE-LCP'!$K:$K,'BASE-LCP'!$A:$A,Capex!$A345,'BASE-LCP'!$B:$B,"janeiro")/1000,IF(LEFT($A398,3)="icp",SUMIFS('BASE-ICP'!$K:$K,'BASE-ICP'!$A:$A,Capex!$A345,'BASE-ICP'!$B:$B,"janeiro")/1000,"")),"")</f>
        <v>0</v>
      </c>
      <c r="BS398" s="427">
        <v>0</v>
      </c>
      <c r="BT398" s="372">
        <v>0</v>
      </c>
      <c r="BU398" s="422"/>
      <c r="BV398" s="423">
        <f>IFERROR(IF(LEFT($A398,3)="Lcp",SUMIFS('BASE-LCP'!$K:$K,'BASE-LCP'!$A:$A,Capex!$A345,'BASE-LCP'!$B:$B,"fevereiro")/1000,IF(LEFT($A398,3)="icp",SUMIFS('BASE-ICP'!$K:$K,'BASE-ICP'!$A:$A,Capex!$A345,'BASE-ICP'!$B:$B,"fevereiro")/1000,"")),"")</f>
        <v>0</v>
      </c>
      <c r="BW398" s="427">
        <v>0</v>
      </c>
      <c r="BX398" s="372">
        <v>0</v>
      </c>
      <c r="BY398" s="419"/>
      <c r="BZ398" s="423">
        <f>IFERROR(IF(LEFT($A398,3)="Lcp",SUMIFS('BASE-LCP'!$K:$K,'BASE-LCP'!$A:$A,Capex!$A345,'BASE-LCP'!$B:$B,"março")/1000,IF(LEFT($A398,3)="icp",SUMIFS('BASE-ICP'!$K:$K,'BASE-ICP'!$A:$A,Capex!$A345,'BASE-ICP'!$B:$B,"março")/1000,"")),"")</f>
        <v>0</v>
      </c>
      <c r="CA398" s="427">
        <v>0</v>
      </c>
      <c r="CB398" s="372">
        <v>0</v>
      </c>
      <c r="CC398" s="422"/>
      <c r="CD398" s="423">
        <f>IFERROR(IF(LEFT($A398,3)="Lcp",SUMIFS('BASE-LCP'!$K:$K,'BASE-LCP'!$A:$A,Capex!$A345,'BASE-LCP'!$B:$B,"abril")/1000,IF(LEFT($A398,3)="icp",SUMIFS('BASE-ICP'!$K:$K,'BASE-ICP'!$A:$A,Capex!$A345,'BASE-ICP'!$B:$B,"abril")/1000,"")),"")</f>
        <v>0</v>
      </c>
      <c r="CE398" s="427">
        <v>0</v>
      </c>
      <c r="CF398" s="372">
        <v>0</v>
      </c>
      <c r="CG398" s="419"/>
      <c r="CH398" s="423">
        <v>0</v>
      </c>
      <c r="CI398" s="427">
        <v>0</v>
      </c>
      <c r="CJ398" s="372">
        <v>0</v>
      </c>
      <c r="CK398" s="419"/>
      <c r="CL398" s="423">
        <f>IFERROR(IF(LEFT($A398,3)="Lcp",SUMIFS('BASE-LCP'!$K:$K,'BASE-LCP'!$A:$A,Capex!$A345,'BASE-LCP'!$B:$B,"junho")/1000,IF(LEFT($A398,3)="icp",SUMIFS('BASE-ICP'!$K:$K,'BASE-ICP'!$A:$A,Capex!$A345,'BASE-ICP'!$B:$B,"junho")/1000,"")),"")</f>
        <v>0</v>
      </c>
      <c r="CM398" s="427">
        <v>0</v>
      </c>
      <c r="CN398" s="372"/>
      <c r="CO398" s="419"/>
      <c r="CP398" s="423">
        <f>IFERROR(IF(LEFT($A398,3)="Lcp",SUMIFS('BASE-LCP'!$K:$K,'BASE-LCP'!$A:$A,Capex!$A345,'BASE-LCP'!$B:$B,"julho")/1000,IF(LEFT($A398,3)="icp",SUMIFS('BASE-ICP'!$K:$K,'BASE-ICP'!$A:$A,Capex!$A345,'BASE-ICP'!$B:$B,"julho")/1000,"")),"")</f>
        <v>0</v>
      </c>
      <c r="CQ398" s="427">
        <v>0</v>
      </c>
      <c r="CR398" s="372"/>
      <c r="CS398" s="419"/>
      <c r="CT398" s="423">
        <f>IFERROR(IF(LEFT($A398,3)="Lcp",SUMIFS('BASE-LCP'!$K:$K,'BASE-LCP'!$A:$A,Capex!$A345,'BASE-LCP'!$B:$B,"agosto")/1000,IF(LEFT($A398,3)="icp",SUMIFS('BASE-ICP'!$K:$K,'BASE-ICP'!$A:$A,Capex!$A345,'BASE-ICP'!$B:$B,"agosto")/1000,"")),"")</f>
        <v>0</v>
      </c>
      <c r="CU398" s="427">
        <f>14*0.9</f>
        <v>12.6</v>
      </c>
      <c r="CV398" s="372"/>
      <c r="CW398" s="419"/>
      <c r="CX398" s="423">
        <f>IFERROR(IF(LEFT($A398,3)="Lcp",SUMIFS('BASE-LCP'!$K:$K,'BASE-LCP'!$A:$A,Capex!$A345,'BASE-LCP'!$B:$B,"setembro")/1000,IF(LEFT($A398,3)="icp",SUMIFS('BASE-ICP'!$K:$K,'BASE-ICP'!$A:$A,Capex!$A345,'BASE-ICP'!$B:$B,"setembro")/1000,"")),"")</f>
        <v>0</v>
      </c>
      <c r="CY398" s="427">
        <v>0</v>
      </c>
      <c r="CZ398" s="372"/>
      <c r="DA398" s="419"/>
      <c r="DB398" s="423">
        <f>IFERROR(IF(LEFT($A398,3)="Lcp",SUMIFS('BASE-LCP'!$K:$K,'BASE-LCP'!$A:$A,Capex!$A345,'BASE-LCP'!$B:$B,"outubro")/1000,IF(LEFT($A398,3)="icp",SUMIFS('BASE-ICP'!$K:$K,'BASE-ICP'!$A:$A,Capex!$A345,'BASE-ICP'!$B:$B,"outubro")/1000,"")),"")</f>
        <v>0</v>
      </c>
      <c r="DC398" s="427">
        <v>0</v>
      </c>
      <c r="DD398" s="372"/>
      <c r="DE398" s="419"/>
      <c r="DF398" s="423">
        <f>IFERROR(IF(LEFT($A398,3)="Lcp",SUMIFS('BASE-LCP'!$K:$K,'BASE-LCP'!$A:$A,Capex!$A345,'BASE-LCP'!$B:$B,"novembro")/1000,IF(LEFT($A398,3)="icp",SUMIFS('BASE-ICP'!$K:$K,'BASE-ICP'!$A:$A,Capex!$A345,'BASE-ICP'!$B:$B,"novembro")/1000,"")),"")</f>
        <v>0</v>
      </c>
      <c r="DG398" s="427">
        <v>0</v>
      </c>
      <c r="DH398" s="372"/>
      <c r="DI398" s="419"/>
      <c r="DJ398" s="423">
        <f>IFERROR(IF(LEFT($A398,3)="Lcp",SUMIFS('BASE-LCP'!$K:$K,'BASE-LCP'!$A:$A,Capex!$A345,'BASE-LCP'!$B:$B,"dezembro")/1000,IF(LEFT($A398,3)="icp",SUMIFS('BASE-ICP'!$K:$K,'BASE-ICP'!$A:$A,Capex!$A345,'BASE-ICP'!$B:$B,"dezembro")/1000,"")),"")</f>
        <v>0</v>
      </c>
      <c r="DK398" s="427">
        <v>0</v>
      </c>
      <c r="DL398" s="452">
        <f t="shared" si="226"/>
        <v>0</v>
      </c>
      <c r="DM398" s="374"/>
      <c r="DN398" s="374">
        <v>0</v>
      </c>
      <c r="DO398" s="374"/>
      <c r="DP398" s="374"/>
      <c r="DQ398" s="374"/>
      <c r="DR398" s="374"/>
      <c r="DS398" s="374"/>
      <c r="DT398" s="374"/>
      <c r="DU398" s="374"/>
      <c r="DV398" s="374"/>
      <c r="DW398" s="374"/>
      <c r="DX398" s="374"/>
      <c r="DY398" s="450"/>
      <c r="DZ398" s="374">
        <f t="shared" si="227"/>
        <v>0</v>
      </c>
      <c r="EA398" s="216">
        <f t="shared" si="228"/>
        <v>0</v>
      </c>
      <c r="EB398" s="320">
        <f t="shared" si="229"/>
        <v>0</v>
      </c>
      <c r="EC398" s="241">
        <f t="shared" si="230"/>
        <v>0</v>
      </c>
      <c r="ED398" s="241">
        <f t="shared" si="231"/>
        <v>0</v>
      </c>
      <c r="EE398" s="241">
        <f t="shared" si="232"/>
        <v>12.6</v>
      </c>
      <c r="EF398" s="241">
        <f t="shared" si="233"/>
        <v>0</v>
      </c>
      <c r="EG398" s="346">
        <f t="shared" si="234"/>
        <v>12.6</v>
      </c>
      <c r="EH398" s="445">
        <f t="shared" si="235"/>
        <v>0</v>
      </c>
      <c r="EI398" s="447">
        <f t="shared" si="236"/>
        <v>0</v>
      </c>
      <c r="EJ398" s="364">
        <f t="shared" si="237"/>
        <v>0</v>
      </c>
      <c r="EK398" s="365">
        <f t="shared" si="238"/>
        <v>12.6</v>
      </c>
      <c r="EL398" s="529">
        <f t="shared" si="239"/>
        <v>0</v>
      </c>
      <c r="EM398" s="530">
        <v>0</v>
      </c>
      <c r="EN398" s="530">
        <v>0</v>
      </c>
      <c r="EO398" s="530">
        <v>0</v>
      </c>
      <c r="EP398" s="530">
        <v>0</v>
      </c>
      <c r="EQ398" s="530">
        <v>0</v>
      </c>
      <c r="ER398" s="530">
        <v>0</v>
      </c>
      <c r="ES398" s="530">
        <v>0</v>
      </c>
      <c r="ET398" s="530">
        <v>0</v>
      </c>
      <c r="EU398" s="530">
        <v>0</v>
      </c>
      <c r="EV398" s="530">
        <v>0</v>
      </c>
      <c r="EW398" s="530">
        <v>0</v>
      </c>
      <c r="EX398" s="530">
        <v>0</v>
      </c>
      <c r="EY398" s="530">
        <f t="shared" si="240"/>
        <v>0</v>
      </c>
      <c r="EZ398" s="530">
        <f t="shared" si="241"/>
        <v>0</v>
      </c>
      <c r="FA398" s="530">
        <f t="shared" si="242"/>
        <v>0</v>
      </c>
      <c r="FB398" s="530">
        <f t="shared" si="243"/>
        <v>0</v>
      </c>
      <c r="FC398" s="384">
        <f>IFERROR(VLOOKUP(Capex!A345,BASE_558!D:R,8,FALSE)/1000,"")</f>
        <v>220.33132999999998</v>
      </c>
      <c r="FD398" s="328">
        <f>IFERROR(VLOOKUP(Capex!A345,BASE_558!D:R,9,)/1000,"")</f>
        <v>10.85111</v>
      </c>
      <c r="FE398" s="328">
        <f>IFERROR(IF(LEFT(A398,3)="LCP",(VLOOKUP(Capex!A345,BASE_558!D:R,10,)/1000),SUMIFS('BASE ICP_PO_SC'!F:F,'BASE ICP_PO_SC'!A:A,Capex!A345,'BASE ICP_PO_SC'!E:E,"&lt;&gt;")/1000),"")</f>
        <v>52.073639999999997</v>
      </c>
      <c r="FF398" s="328">
        <f>IFERROR(IF(LEFT(A398,3)="LCP",(VLOOKUP(Capex!A345,BASE_558!D:R,11,)/1000),SUMIFS('BASE ICP_PO_SC'!F:F,'BASE ICP_PO_SC'!A:A,Capex!A345,'BASE ICP_PO_SC'!E:E,"")/1000),"")</f>
        <v>0</v>
      </c>
      <c r="FG398" s="328">
        <f>IFERROR(VLOOKUP(A398,BASE_558!D:R,13,FALSE)/1000,"")</f>
        <v>129.50157999999999</v>
      </c>
      <c r="FH398" s="328">
        <f>IFERROR(VLOOKUP(A398,BASE_558!D:R,15,FALSE)/1000,"")</f>
        <v>54.403419999999997</v>
      </c>
      <c r="FI398" s="547">
        <f t="shared" si="244"/>
        <v>0</v>
      </c>
      <c r="FJ398" s="547">
        <f t="shared" si="245"/>
        <v>-12.6</v>
      </c>
      <c r="FK398" s="540">
        <f t="shared" si="246"/>
        <v>0</v>
      </c>
    </row>
    <row r="399" spans="1:167" s="23" customFormat="1" ht="24" customHeight="1">
      <c r="A399" s="309" t="s">
        <v>263</v>
      </c>
      <c r="B399" s="404" t="s">
        <v>810</v>
      </c>
      <c r="C399" s="404"/>
      <c r="D399" s="338" t="s">
        <v>864</v>
      </c>
      <c r="E399" s="378">
        <v>2357324</v>
      </c>
      <c r="F399" s="5"/>
      <c r="G399" s="310" t="s">
        <v>9</v>
      </c>
      <c r="H399" s="356" t="s">
        <v>6</v>
      </c>
      <c r="I399" s="356"/>
      <c r="J399" s="356">
        <v>2019</v>
      </c>
      <c r="K399" s="352">
        <v>43818</v>
      </c>
      <c r="L399" s="350"/>
      <c r="M399" s="409"/>
      <c r="N399" s="317">
        <f t="shared" si="217"/>
        <v>44730</v>
      </c>
      <c r="O399" s="317">
        <f t="shared" si="218"/>
        <v>45095</v>
      </c>
      <c r="P399" s="418" t="str">
        <f t="shared" si="247"/>
        <v>SIM</v>
      </c>
      <c r="Q399" s="418" t="str">
        <f t="shared" si="247"/>
        <v>SIM</v>
      </c>
      <c r="R399" s="418" t="str">
        <f t="shared" si="247"/>
        <v>SIM</v>
      </c>
      <c r="S399" s="418" t="str">
        <f t="shared" si="247"/>
        <v>SIM</v>
      </c>
      <c r="T399" s="418" t="str">
        <f t="shared" si="247"/>
        <v>SIM</v>
      </c>
      <c r="U399" s="418" t="str">
        <f t="shared" si="247"/>
        <v>SIM</v>
      </c>
      <c r="V399" s="418" t="str">
        <f t="shared" si="247"/>
        <v>SIM</v>
      </c>
      <c r="W399" s="418" t="str">
        <f t="shared" si="247"/>
        <v>SIM</v>
      </c>
      <c r="X399" s="418" t="str">
        <f t="shared" si="247"/>
        <v>SIM</v>
      </c>
      <c r="Y399" s="418" t="str">
        <f t="shared" si="247"/>
        <v>SIM</v>
      </c>
      <c r="Z399" s="418" t="str">
        <f t="shared" si="247"/>
        <v>SIM</v>
      </c>
      <c r="AA399" s="551" t="str">
        <f t="shared" si="247"/>
        <v>SIM</v>
      </c>
      <c r="AB399" s="350"/>
      <c r="AC399" s="309" t="s">
        <v>3932</v>
      </c>
      <c r="AD399" s="311" t="s">
        <v>224</v>
      </c>
      <c r="AE399" s="382" t="s">
        <v>965</v>
      </c>
      <c r="AF399" s="310" t="s">
        <v>6985</v>
      </c>
      <c r="AG399" s="310" t="s">
        <v>2079</v>
      </c>
      <c r="AH399" s="310" t="s">
        <v>6837</v>
      </c>
      <c r="AI399" s="381" t="s">
        <v>316</v>
      </c>
      <c r="AJ399" s="6" t="s">
        <v>6786</v>
      </c>
      <c r="AK399" s="6" t="str">
        <f t="shared" si="224"/>
        <v>IGUAL</v>
      </c>
      <c r="AL399" s="151" t="str">
        <f>IFERROR(IF(LEFT(A399,3)="LCP",VLOOKUP(A399,STATUS_SAP_LCP!B:C,2,FALSE),VLOOKUP(A399,STATUS_SAP_ICP!B:C,2,FALSE)),"NO BUDGET")</f>
        <v>REL  BUDG AUC   //  APPR BREL INPL</v>
      </c>
      <c r="AM399" s="6" t="str">
        <f t="shared" si="223"/>
        <v xml:space="preserve">REL </v>
      </c>
      <c r="AN399" s="295" t="s">
        <v>19511</v>
      </c>
      <c r="AO399" s="295"/>
      <c r="AP399" s="499" t="s">
        <v>5299</v>
      </c>
      <c r="AQ399" s="465">
        <v>45899</v>
      </c>
      <c r="AR399" s="460"/>
      <c r="AS399" s="57">
        <v>0</v>
      </c>
      <c r="AT399" s="185">
        <v>0</v>
      </c>
      <c r="AU399" s="318">
        <v>108.40026999999999</v>
      </c>
      <c r="AV399" s="223">
        <v>706.17513999999994</v>
      </c>
      <c r="AW399" s="318">
        <v>-510.70312999999976</v>
      </c>
      <c r="AX399" s="223">
        <v>612.57582000000014</v>
      </c>
      <c r="AY399" s="318">
        <f t="shared" si="214"/>
        <v>210.11111999999994</v>
      </c>
      <c r="AZ399" s="223"/>
      <c r="BA399" s="318"/>
      <c r="BB399" s="519">
        <f t="shared" si="219"/>
        <v>96.23636363636362</v>
      </c>
      <c r="BC399" s="518">
        <v>28</v>
      </c>
      <c r="BD399" s="518">
        <v>0</v>
      </c>
      <c r="BE399" s="518">
        <v>0</v>
      </c>
      <c r="BF399" s="518">
        <v>68.23636363636362</v>
      </c>
      <c r="BG399" s="518">
        <v>0</v>
      </c>
      <c r="BH399" s="518">
        <v>0</v>
      </c>
      <c r="BI399" s="518">
        <v>0</v>
      </c>
      <c r="BJ399" s="518">
        <v>0</v>
      </c>
      <c r="BK399" s="518">
        <v>0</v>
      </c>
      <c r="BL399" s="518">
        <v>0</v>
      </c>
      <c r="BM399" s="518">
        <v>0</v>
      </c>
      <c r="BN399" s="518">
        <v>0</v>
      </c>
      <c r="BO399" s="367">
        <f t="shared" si="225"/>
        <v>210.11111999999994</v>
      </c>
      <c r="BP399" s="421">
        <v>28</v>
      </c>
      <c r="BQ399" s="422">
        <v>76.362140000000011</v>
      </c>
      <c r="BR399" s="423">
        <f>IFERROR(IF(LEFT($A399,3)="Lcp",SUMIFS('BASE-LCP'!$K:$K,'BASE-LCP'!$A:$A,Capex!$A162,'BASE-LCP'!$B:$B,"janeiro")/1000,IF(LEFT($A399,3)="icp",SUMIFS('BASE-ICP'!$K:$K,'BASE-ICP'!$A:$A,Capex!$A162,'BASE-ICP'!$B:$B,"janeiro")/1000,"")),"")</f>
        <v>0</v>
      </c>
      <c r="BS399" s="427">
        <v>76.362139999999954</v>
      </c>
      <c r="BT399" s="372">
        <v>10</v>
      </c>
      <c r="BU399" s="422">
        <v>18.146570000000001</v>
      </c>
      <c r="BV399" s="423">
        <f>IFERROR(IF(LEFT($A399,3)="Lcp",SUMIFS('BASE-LCP'!$K:$K,'BASE-LCP'!$A:$A,Capex!$A162,'BASE-LCP'!$B:$B,"fevereiro")/1000,IF(LEFT($A399,3)="icp",SUMIFS('BASE-ICP'!$K:$K,'BASE-ICP'!$A:$A,Capex!$A162,'BASE-ICP'!$B:$B,"fevereiro")/1000,"")),"")</f>
        <v>0</v>
      </c>
      <c r="BW399" s="427">
        <v>18.146569999999997</v>
      </c>
      <c r="BX399" s="372">
        <v>0</v>
      </c>
      <c r="BY399" s="419">
        <v>0.55838999999999994</v>
      </c>
      <c r="BZ399" s="423">
        <f>IFERROR(IF(LEFT($A399,3)="Lcp",SUMIFS('BASE-LCP'!$K:$K,'BASE-LCP'!$A:$A,Capex!$A162,'BASE-LCP'!$B:$B,"março")/1000,IF(LEFT($A399,3)="icp",SUMIFS('BASE-ICP'!$K:$K,'BASE-ICP'!$A:$A,Capex!$A162,'BASE-ICP'!$B:$B,"março")/1000,"")),"")</f>
        <v>0</v>
      </c>
      <c r="CA399" s="427">
        <v>0.55838999999999983</v>
      </c>
      <c r="CB399" s="372">
        <v>0</v>
      </c>
      <c r="CC399" s="422">
        <v>22.208970000000001</v>
      </c>
      <c r="CD399" s="423">
        <f>IFERROR(IF(LEFT($A399,3)="Lcp",SUMIFS('BASE-LCP'!$K:$K,'BASE-LCP'!$A:$A,Capex!$A162,'BASE-LCP'!$B:$B,"abril")/1000,IF(LEFT($A399,3)="icp",SUMIFS('BASE-ICP'!$K:$K,'BASE-ICP'!$A:$A,Capex!$A162,'BASE-ICP'!$B:$B,"abril")/1000,"")),"")</f>
        <v>0</v>
      </c>
      <c r="CE399" s="427">
        <v>22.208970000000001</v>
      </c>
      <c r="CF399" s="372"/>
      <c r="CG399" s="419"/>
      <c r="CH399" s="423">
        <v>5.3290705182007515E-18</v>
      </c>
      <c r="CI399" s="427">
        <v>5.3290705182007515E-18</v>
      </c>
      <c r="CJ399" s="372">
        <v>25</v>
      </c>
      <c r="CK399" s="419">
        <v>2.8350500000000003</v>
      </c>
      <c r="CL399" s="423">
        <f>IFERROR(IF(LEFT($A399,3)="Lcp",SUMIFS('BASE-LCP'!$K:$K,'BASE-LCP'!$A:$A,Capex!$A162,'BASE-LCP'!$B:$B,"junho")/1000,IF(LEFT($A399,3)="icp",SUMIFS('BASE-ICP'!$K:$K,'BASE-ICP'!$A:$A,Capex!$A162,'BASE-ICP'!$B:$B,"junho")/1000,"")),"")</f>
        <v>0</v>
      </c>
      <c r="CM399" s="427">
        <v>2.8350500000000003</v>
      </c>
      <c r="CN399" s="565"/>
      <c r="CO399" s="427"/>
      <c r="CP399" s="423">
        <f>IFERROR(IF(LEFT($A399,3)="Lcp",SUMIFS('BASE-LCP'!$K:$K,'BASE-LCP'!$A:$A,Capex!$A162,'BASE-LCP'!$B:$B,"julho")/1000,IF(LEFT($A399,3)="icp",SUMIFS('BASE-ICP'!$K:$K,'BASE-ICP'!$A:$A,Capex!$A162,'BASE-ICP'!$B:$B,"julho")/1000,"")),"")</f>
        <v>0</v>
      </c>
      <c r="CQ399" s="427">
        <f>100*0.9</f>
        <v>90</v>
      </c>
      <c r="CR399" s="372"/>
      <c r="CS399" s="419"/>
      <c r="CT399" s="423">
        <f>IFERROR(IF(LEFT($A399,3)="Lcp",SUMIFS('BASE-LCP'!$K:$K,'BASE-LCP'!$A:$A,Capex!$A162,'BASE-LCP'!$B:$B,"agosto")/1000,IF(LEFT($A399,3)="icp",SUMIFS('BASE-ICP'!$K:$K,'BASE-ICP'!$A:$A,Capex!$A162,'BASE-ICP'!$B:$B,"agosto")/1000,"")),"")</f>
        <v>0</v>
      </c>
      <c r="CU399" s="427">
        <v>0</v>
      </c>
      <c r="CV399" s="372"/>
      <c r="CW399" s="419"/>
      <c r="CX399" s="423">
        <f>IFERROR(IF(LEFT($A399,3)="Lcp",SUMIFS('BASE-LCP'!$K:$K,'BASE-LCP'!$A:$A,Capex!$A162,'BASE-LCP'!$B:$B,"setembro")/1000,IF(LEFT($A399,3)="icp",SUMIFS('BASE-ICP'!$K:$K,'BASE-ICP'!$A:$A,Capex!$A162,'BASE-ICP'!$B:$B,"setembro")/1000,"")),"")</f>
        <v>0</v>
      </c>
      <c r="CY399" s="427">
        <v>0</v>
      </c>
      <c r="CZ399" s="372"/>
      <c r="DA399" s="419"/>
      <c r="DB399" s="423">
        <f>IFERROR(IF(LEFT($A399,3)="Lcp",SUMIFS('BASE-LCP'!$K:$K,'BASE-LCP'!$A:$A,Capex!$A162,'BASE-LCP'!$B:$B,"outubro")/1000,IF(LEFT($A399,3)="icp",SUMIFS('BASE-ICP'!$K:$K,'BASE-ICP'!$A:$A,Capex!$A162,'BASE-ICP'!$B:$B,"outubro")/1000,"")),"")</f>
        <v>0</v>
      </c>
      <c r="DC399" s="427">
        <v>0</v>
      </c>
      <c r="DD399" s="372"/>
      <c r="DE399" s="419"/>
      <c r="DF399" s="423">
        <f>IFERROR(IF(LEFT($A399,3)="Lcp",SUMIFS('BASE-LCP'!$K:$K,'BASE-LCP'!$A:$A,Capex!$A162,'BASE-LCP'!$B:$B,"novembro")/1000,IF(LEFT($A399,3)="icp",SUMIFS('BASE-ICP'!$K:$K,'BASE-ICP'!$A:$A,Capex!$A162,'BASE-ICP'!$B:$B,"novembro")/1000,"")),"")</f>
        <v>0</v>
      </c>
      <c r="DG399" s="427">
        <v>0</v>
      </c>
      <c r="DH399" s="372"/>
      <c r="DI399" s="419"/>
      <c r="DJ399" s="423">
        <f>IFERROR(IF(LEFT($A399,3)="Lcp",SUMIFS('BASE-LCP'!$K:$K,'BASE-LCP'!$A:$A,Capex!$A162,'BASE-LCP'!$B:$B,"dezembro")/1000,IF(LEFT($A399,3)="icp",SUMIFS('BASE-ICP'!$K:$K,'BASE-ICP'!$A:$A,Capex!$A162,'BASE-ICP'!$B:$B,"dezembro")/1000,"")),"")</f>
        <v>0</v>
      </c>
      <c r="DK399" s="427">
        <v>0</v>
      </c>
      <c r="DL399" s="452">
        <f t="shared" si="226"/>
        <v>0</v>
      </c>
      <c r="DM399" s="374"/>
      <c r="DN399" s="374">
        <v>0</v>
      </c>
      <c r="DO399" s="374"/>
      <c r="DP399" s="374"/>
      <c r="DQ399" s="374"/>
      <c r="DR399" s="374"/>
      <c r="DS399" s="374"/>
      <c r="DT399" s="374"/>
      <c r="DU399" s="374"/>
      <c r="DV399" s="374"/>
      <c r="DW399" s="374"/>
      <c r="DX399" s="374"/>
      <c r="DY399" s="450"/>
      <c r="DZ399" s="374">
        <f t="shared" si="227"/>
        <v>0</v>
      </c>
      <c r="EA399" s="216">
        <f t="shared" si="228"/>
        <v>-22.164950000000001</v>
      </c>
      <c r="EB399" s="320">
        <f t="shared" si="229"/>
        <v>-2.8350500000000003</v>
      </c>
      <c r="EC399" s="241">
        <f t="shared" si="230"/>
        <v>95.067099999999954</v>
      </c>
      <c r="ED399" s="241">
        <f t="shared" si="231"/>
        <v>25.04402</v>
      </c>
      <c r="EE399" s="241">
        <f t="shared" si="232"/>
        <v>90</v>
      </c>
      <c r="EF399" s="241">
        <f t="shared" si="233"/>
        <v>0</v>
      </c>
      <c r="EG399" s="346">
        <f t="shared" si="234"/>
        <v>113.87475636363632</v>
      </c>
      <c r="EH399" s="445">
        <f t="shared" si="235"/>
        <v>0</v>
      </c>
      <c r="EI399" s="447">
        <f t="shared" si="236"/>
        <v>5.3290705182007515E-18</v>
      </c>
      <c r="EJ399" s="364">
        <f t="shared" si="237"/>
        <v>117.27606999999995</v>
      </c>
      <c r="EK399" s="365">
        <f t="shared" si="238"/>
        <v>92.835049999999995</v>
      </c>
      <c r="EL399" s="529">
        <f t="shared" si="239"/>
        <v>219.27606999999995</v>
      </c>
      <c r="EM399" s="530">
        <v>76.362139999999954</v>
      </c>
      <c r="EN399" s="530">
        <v>18.146569999999997</v>
      </c>
      <c r="EO399" s="530">
        <v>0.55838999999999983</v>
      </c>
      <c r="EP399" s="530">
        <v>22.208970000000001</v>
      </c>
      <c r="EQ399" s="530">
        <v>5.3290705182007515E-18</v>
      </c>
      <c r="ER399" s="530">
        <v>25</v>
      </c>
      <c r="ES399" s="530">
        <v>77</v>
      </c>
      <c r="ET399" s="530">
        <v>0</v>
      </c>
      <c r="EU399" s="530">
        <v>0</v>
      </c>
      <c r="EV399" s="530">
        <v>0</v>
      </c>
      <c r="EW399" s="530">
        <v>0</v>
      </c>
      <c r="EX399" s="530">
        <v>0</v>
      </c>
      <c r="EY399" s="530">
        <f t="shared" si="240"/>
        <v>95.067099999999954</v>
      </c>
      <c r="EZ399" s="530">
        <f t="shared" si="241"/>
        <v>47.208970000000001</v>
      </c>
      <c r="FA399" s="530">
        <f t="shared" si="242"/>
        <v>77</v>
      </c>
      <c r="FB399" s="530">
        <f t="shared" si="243"/>
        <v>0</v>
      </c>
      <c r="FC399" s="384">
        <f>IFERROR(VLOOKUP(Capex!A162,BASE_558!D:R,8,FALSE)/1000,"")</f>
        <v>132.4</v>
      </c>
      <c r="FD399" s="328">
        <f>IFERROR(VLOOKUP(Capex!A162,BASE_558!D:R,9,)/1000,"")</f>
        <v>0</v>
      </c>
      <c r="FE399" s="328">
        <f>IFERROR(IF(LEFT(A399,3)="LCP",(VLOOKUP(Capex!A162,BASE_558!D:R,10,)/1000),SUMIFS('BASE ICP_PO_SC'!F:F,'BASE ICP_PO_SC'!A:A,Capex!A162,'BASE ICP_PO_SC'!E:E,"&lt;&gt;")/1000),"")</f>
        <v>0</v>
      </c>
      <c r="FF399" s="328">
        <f>IFERROR(IF(LEFT(A399,3)="LCP",(VLOOKUP(Capex!A162,BASE_558!D:R,11,)/1000),SUMIFS('BASE ICP_PO_SC'!F:F,'BASE ICP_PO_SC'!A:A,Capex!A162,'BASE ICP_PO_SC'!E:E,"")/1000),"")</f>
        <v>0</v>
      </c>
      <c r="FG399" s="328">
        <f>IFERROR(VLOOKUP(A399,BASE_558!D:R,13,FALSE)/1000,"")</f>
        <v>1144.6951799999999</v>
      </c>
      <c r="FH399" s="328">
        <f>IFERROR(VLOOKUP(A399,BASE_558!D:R,15,FALSE)/1000,"")</f>
        <v>99.808419999999998</v>
      </c>
      <c r="FI399" s="547">
        <f t="shared" si="244"/>
        <v>22.164950000000001</v>
      </c>
      <c r="FJ399" s="547">
        <f t="shared" si="245"/>
        <v>-13</v>
      </c>
      <c r="FK399" s="540">
        <f t="shared" si="246"/>
        <v>0</v>
      </c>
    </row>
    <row r="400" spans="1:167" s="23" customFormat="1" ht="24" customHeight="1">
      <c r="A400" s="310" t="s">
        <v>2386</v>
      </c>
      <c r="B400" s="404"/>
      <c r="C400" s="404"/>
      <c r="D400" s="338" t="s">
        <v>2645</v>
      </c>
      <c r="E400" s="378">
        <v>7204219</v>
      </c>
      <c r="F400" s="5" t="s">
        <v>609</v>
      </c>
      <c r="G400" s="310" t="s">
        <v>9</v>
      </c>
      <c r="H400" s="356" t="s">
        <v>6</v>
      </c>
      <c r="I400" s="356"/>
      <c r="J400" s="356">
        <v>2023</v>
      </c>
      <c r="K400" s="352">
        <v>45124</v>
      </c>
      <c r="L400" s="350"/>
      <c r="M400" s="409"/>
      <c r="N400" s="317">
        <f t="shared" si="217"/>
        <v>46036</v>
      </c>
      <c r="O400" s="317">
        <f t="shared" si="218"/>
        <v>46401</v>
      </c>
      <c r="P400" s="418" t="str">
        <f t="shared" si="247"/>
        <v>NÃO</v>
      </c>
      <c r="Q400" s="418" t="str">
        <f t="shared" si="247"/>
        <v>NÃO</v>
      </c>
      <c r="R400" s="418" t="str">
        <f t="shared" si="247"/>
        <v>NÃO</v>
      </c>
      <c r="S400" s="418" t="str">
        <f t="shared" si="247"/>
        <v>NÃO</v>
      </c>
      <c r="T400" s="418" t="str">
        <f t="shared" si="247"/>
        <v>NÃO</v>
      </c>
      <c r="U400" s="418" t="str">
        <f t="shared" si="247"/>
        <v>NÃO</v>
      </c>
      <c r="V400" s="418" t="str">
        <f t="shared" si="247"/>
        <v>NÃO</v>
      </c>
      <c r="W400" s="418" t="str">
        <f t="shared" si="247"/>
        <v>NÃO</v>
      </c>
      <c r="X400" s="418" t="str">
        <f t="shared" si="247"/>
        <v>NÃO</v>
      </c>
      <c r="Y400" s="418" t="str">
        <f t="shared" si="247"/>
        <v>NÃO</v>
      </c>
      <c r="Z400" s="418" t="str">
        <f t="shared" si="247"/>
        <v>NÃO</v>
      </c>
      <c r="AA400" s="418" t="str">
        <f t="shared" si="247"/>
        <v>NÃO</v>
      </c>
      <c r="AB400" s="350"/>
      <c r="AC400" s="309" t="s">
        <v>3932</v>
      </c>
      <c r="AD400" s="311" t="s">
        <v>5</v>
      </c>
      <c r="AE400" s="382" t="s">
        <v>961</v>
      </c>
      <c r="AF400" s="310" t="s">
        <v>6985</v>
      </c>
      <c r="AG400" s="310" t="s">
        <v>2259</v>
      </c>
      <c r="AH400" s="310" t="s">
        <v>6968</v>
      </c>
      <c r="AI400" s="381" t="s">
        <v>186</v>
      </c>
      <c r="AJ400" s="6" t="s">
        <v>6786</v>
      </c>
      <c r="AK400" s="6" t="str">
        <f t="shared" si="224"/>
        <v>IGUAL</v>
      </c>
      <c r="AL400" s="151" t="str">
        <f>IFERROR(IF(LEFT(A400,3)="LCP",VLOOKUP(A400,STATUS_SAP_LCP!B:C,2,FALSE),VLOOKUP(A400,STATUS_SAP_ICP!B:C,2,FALSE)),"NO BUDGET")</f>
        <v>REL  BUDG AUC  AVAC  //  APPR BREL EXPL</v>
      </c>
      <c r="AM400" s="6" t="str">
        <f t="shared" si="223"/>
        <v xml:space="preserve">REL </v>
      </c>
      <c r="AN400" s="414" t="s">
        <v>17707</v>
      </c>
      <c r="AO400" s="414"/>
      <c r="AP400" s="499" t="s">
        <v>5299</v>
      </c>
      <c r="AQ400" s="465">
        <v>45960</v>
      </c>
      <c r="AR400" s="460"/>
      <c r="AS400" s="57"/>
      <c r="AT400" s="185"/>
      <c r="AU400" s="318"/>
      <c r="AV400" s="223"/>
      <c r="AW400" s="318">
        <v>3.1174600000000003</v>
      </c>
      <c r="AX400" s="223">
        <v>54.842330000000004</v>
      </c>
      <c r="AY400" s="318">
        <f t="shared" si="214"/>
        <v>377.43531000000002</v>
      </c>
      <c r="AZ400" s="223"/>
      <c r="BA400" s="318"/>
      <c r="BB400" s="519">
        <f t="shared" si="219"/>
        <v>221.9</v>
      </c>
      <c r="BC400" s="518">
        <v>83.4</v>
      </c>
      <c r="BD400" s="518">
        <v>0</v>
      </c>
      <c r="BE400" s="518">
        <v>14</v>
      </c>
      <c r="BF400" s="518">
        <v>0</v>
      </c>
      <c r="BG400" s="518">
        <v>31</v>
      </c>
      <c r="BH400" s="518">
        <v>54</v>
      </c>
      <c r="BI400" s="518">
        <v>38</v>
      </c>
      <c r="BJ400" s="518">
        <v>1.5</v>
      </c>
      <c r="BK400" s="518">
        <v>0</v>
      </c>
      <c r="BL400" s="518">
        <v>0</v>
      </c>
      <c r="BM400" s="518">
        <v>0</v>
      </c>
      <c r="BN400" s="518">
        <v>0</v>
      </c>
      <c r="BO400" s="367">
        <f t="shared" si="225"/>
        <v>377.43531000000002</v>
      </c>
      <c r="BP400" s="421">
        <v>83.4</v>
      </c>
      <c r="BQ400" s="422">
        <v>22.530609999999999</v>
      </c>
      <c r="BR400" s="423">
        <f>IFERROR(IF(LEFT($A400,3)="Lcp",SUMIFS('BASE-LCP'!$K:$K,'BASE-LCP'!$A:$A,Capex!$A333,'BASE-LCP'!$B:$B,"janeiro")/1000,IF(LEFT($A400,3)="icp",SUMIFS('BASE-ICP'!$K:$K,'BASE-ICP'!$A:$A,Capex!$A333,'BASE-ICP'!$B:$B,"janeiro")/1000,"")),"")</f>
        <v>0</v>
      </c>
      <c r="BS400" s="427">
        <v>22.530610000000003</v>
      </c>
      <c r="BT400" s="372">
        <v>58.6</v>
      </c>
      <c r="BU400" s="422">
        <v>1.7010999999999998</v>
      </c>
      <c r="BV400" s="423">
        <f>IFERROR(IF(LEFT($A400,3)="Lcp",SUMIFS('BASE-LCP'!$K:$K,'BASE-LCP'!$A:$A,Capex!$A333,'BASE-LCP'!$B:$B,"fevereiro")/1000,IF(LEFT($A400,3)="icp",SUMIFS('BASE-ICP'!$K:$K,'BASE-ICP'!$A:$A,Capex!$A333,'BASE-ICP'!$B:$B,"fevereiro")/1000,"")),"")</f>
        <v>0</v>
      </c>
      <c r="BW400" s="427">
        <v>1.7011000000000001</v>
      </c>
      <c r="BX400" s="372">
        <v>0</v>
      </c>
      <c r="BY400" s="419"/>
      <c r="BZ400" s="423">
        <f>IFERROR(IF(LEFT($A400,3)="Lcp",SUMIFS('BASE-LCP'!$K:$K,'BASE-LCP'!$A:$A,Capex!$A333,'BASE-LCP'!$B:$B,"março")/1000,IF(LEFT($A400,3)="icp",SUMIFS('BASE-ICP'!$K:$K,'BASE-ICP'!$A:$A,Capex!$A333,'BASE-ICP'!$B:$B,"março")/1000,"")),"")</f>
        <v>0</v>
      </c>
      <c r="CA400" s="427">
        <v>0</v>
      </c>
      <c r="CB400" s="372">
        <v>97.882999999999996</v>
      </c>
      <c r="CC400" s="422">
        <v>98.126840000000001</v>
      </c>
      <c r="CD400" s="423">
        <f>IFERROR(IF(LEFT($A400,3)="Lcp",SUMIFS('BASE-LCP'!$K:$K,'BASE-LCP'!$A:$A,Capex!$A333,'BASE-LCP'!$B:$B,"abril")/1000,IF(LEFT($A400,3)="icp",SUMIFS('BASE-ICP'!$K:$K,'BASE-ICP'!$A:$A,Capex!$A333,'BASE-ICP'!$B:$B,"abril")/1000,"")),"")</f>
        <v>0</v>
      </c>
      <c r="CE400" s="427">
        <v>98.126839999999987</v>
      </c>
      <c r="CF400" s="372">
        <v>16.8</v>
      </c>
      <c r="CG400" s="419">
        <v>8.1160099999999993</v>
      </c>
      <c r="CH400" s="423">
        <v>8.1160100000000028</v>
      </c>
      <c r="CI400" s="427">
        <v>8.1160100000000028</v>
      </c>
      <c r="CJ400" s="372">
        <v>15.3</v>
      </c>
      <c r="CK400" s="419">
        <v>0.66074999999999995</v>
      </c>
      <c r="CL400" s="423">
        <f>IFERROR(IF(LEFT($A400,3)="Lcp",SUMIFS('BASE-LCP'!$K:$K,'BASE-LCP'!$A:$A,Capex!$A333,'BASE-LCP'!$B:$B,"junho")/1000,IF(LEFT($A400,3)="icp",SUMIFS('BASE-ICP'!$K:$K,'BASE-ICP'!$A:$A,Capex!$A333,'BASE-ICP'!$B:$B,"junho")/1000,"")),"")</f>
        <v>0</v>
      </c>
      <c r="CM400" s="427">
        <v>0.66074999999999995</v>
      </c>
      <c r="CN400" s="565"/>
      <c r="CO400" s="427"/>
      <c r="CP400" s="423">
        <f>IFERROR(IF(LEFT($A400,3)="Lcp",SUMIFS('BASE-LCP'!$K:$K,'BASE-LCP'!$A:$A,Capex!$A333,'BASE-LCP'!$B:$B,"julho")/1000,IF(LEFT($A400,3)="icp",SUMIFS('BASE-ICP'!$K:$K,'BASE-ICP'!$A:$A,Capex!$A333,'BASE-ICP'!$B:$B,"julho")/1000,"")),"")</f>
        <v>0</v>
      </c>
      <c r="CQ400" s="427">
        <f>23*0.9+15</f>
        <v>35.700000000000003</v>
      </c>
      <c r="CR400" s="565"/>
      <c r="CS400" s="427"/>
      <c r="CT400" s="423">
        <f>IFERROR(IF(LEFT($A400,3)="Lcp",SUMIFS('BASE-LCP'!$K:$K,'BASE-LCP'!$A:$A,Capex!$A333,'BASE-LCP'!$B:$B,"agosto")/1000,IF(LEFT($A400,3)="icp",SUMIFS('BASE-ICP'!$K:$K,'BASE-ICP'!$A:$A,Capex!$A333,'BASE-ICP'!$B:$B,"agosto")/1000,"")),"")</f>
        <v>0</v>
      </c>
      <c r="CU400" s="427"/>
      <c r="CV400" s="372"/>
      <c r="CW400" s="419"/>
      <c r="CX400" s="423">
        <f>IFERROR(IF(LEFT($A400,3)="Lcp",SUMIFS('BASE-LCP'!$K:$K,'BASE-LCP'!$A:$A,Capex!$A333,'BASE-LCP'!$B:$B,"setembro")/1000,IF(LEFT($A400,3)="icp",SUMIFS('BASE-ICP'!$K:$K,'BASE-ICP'!$A:$A,Capex!$A333,'BASE-ICP'!$B:$B,"setembro")/1000,"")),"")</f>
        <v>0</v>
      </c>
      <c r="CY400" s="427">
        <f>147*0.9</f>
        <v>132.30000000000001</v>
      </c>
      <c r="CZ400" s="372"/>
      <c r="DA400" s="419"/>
      <c r="DB400" s="423">
        <f>IFERROR(IF(LEFT($A400,3)="Lcp",SUMIFS('BASE-LCP'!$K:$K,'BASE-LCP'!$A:$A,Capex!$A333,'BASE-LCP'!$B:$B,"outubro")/1000,IF(LEFT($A400,3)="icp",SUMIFS('BASE-ICP'!$K:$K,'BASE-ICP'!$A:$A,Capex!$A333,'BASE-ICP'!$B:$B,"outubro")/1000,"")),"")</f>
        <v>0</v>
      </c>
      <c r="DC400" s="427">
        <f>87*0.9</f>
        <v>78.3</v>
      </c>
      <c r="DD400" s="372"/>
      <c r="DE400" s="419"/>
      <c r="DF400" s="423">
        <f>IFERROR(IF(LEFT($A400,3)="Lcp",SUMIFS('BASE-LCP'!$K:$K,'BASE-LCP'!$A:$A,Capex!$A333,'BASE-LCP'!$B:$B,"novembro")/1000,IF(LEFT($A400,3)="icp",SUMIFS('BASE-ICP'!$K:$K,'BASE-ICP'!$A:$A,Capex!$A333,'BASE-ICP'!$B:$B,"novembro")/1000,"")),"")</f>
        <v>0</v>
      </c>
      <c r="DG400" s="427"/>
      <c r="DH400" s="372"/>
      <c r="DI400" s="419"/>
      <c r="DJ400" s="423">
        <f>IFERROR(IF(LEFT($A400,3)="Lcp",SUMIFS('BASE-LCP'!$K:$K,'BASE-LCP'!$A:$A,Capex!$A333,'BASE-LCP'!$B:$B,"dezembro")/1000,IF(LEFT($A400,3)="icp",SUMIFS('BASE-ICP'!$K:$K,'BASE-ICP'!$A:$A,Capex!$A333,'BASE-ICP'!$B:$B,"dezembro")/1000,"")),"")</f>
        <v>0</v>
      </c>
      <c r="DK400" s="427"/>
      <c r="DL400" s="452">
        <f t="shared" si="226"/>
        <v>0</v>
      </c>
      <c r="DM400" s="374"/>
      <c r="DN400" s="374"/>
      <c r="DO400" s="374"/>
      <c r="DP400" s="374"/>
      <c r="DQ400" s="374"/>
      <c r="DR400" s="374"/>
      <c r="DS400" s="374"/>
      <c r="DT400" s="374"/>
      <c r="DU400" s="374"/>
      <c r="DV400" s="374"/>
      <c r="DW400" s="374"/>
      <c r="DX400" s="374"/>
      <c r="DY400" s="450"/>
      <c r="DZ400" s="374">
        <f t="shared" si="227"/>
        <v>0</v>
      </c>
      <c r="EA400" s="216">
        <f t="shared" si="228"/>
        <v>-14.639250000000001</v>
      </c>
      <c r="EB400" s="320">
        <f t="shared" si="229"/>
        <v>-0.66074999999999995</v>
      </c>
      <c r="EC400" s="241">
        <f t="shared" si="230"/>
        <v>24.231710000000003</v>
      </c>
      <c r="ED400" s="241">
        <f t="shared" si="231"/>
        <v>106.90359999999998</v>
      </c>
      <c r="EE400" s="241">
        <f t="shared" si="232"/>
        <v>168</v>
      </c>
      <c r="EF400" s="241">
        <f t="shared" si="233"/>
        <v>78.3</v>
      </c>
      <c r="EG400" s="346">
        <f t="shared" si="234"/>
        <v>155.53531000000001</v>
      </c>
      <c r="EH400" s="445">
        <f t="shared" si="235"/>
        <v>16.8</v>
      </c>
      <c r="EI400" s="447">
        <f t="shared" si="236"/>
        <v>8.1160100000000028</v>
      </c>
      <c r="EJ400" s="364">
        <f t="shared" si="237"/>
        <v>130.47456</v>
      </c>
      <c r="EK400" s="365">
        <f t="shared" si="238"/>
        <v>246.96075000000002</v>
      </c>
      <c r="EL400" s="529">
        <f t="shared" si="239"/>
        <v>377.07456000000002</v>
      </c>
      <c r="EM400" s="530">
        <v>22.530610000000003</v>
      </c>
      <c r="EN400" s="530">
        <v>1.7011000000000001</v>
      </c>
      <c r="EO400" s="530">
        <v>0</v>
      </c>
      <c r="EP400" s="530">
        <v>98.126839999999987</v>
      </c>
      <c r="EQ400" s="530">
        <v>8.1160100000000028</v>
      </c>
      <c r="ER400" s="530">
        <v>15.3</v>
      </c>
      <c r="ES400" s="530">
        <v>20.7</v>
      </c>
      <c r="ET400" s="530">
        <v>0</v>
      </c>
      <c r="EU400" s="530">
        <v>132.30000000000001</v>
      </c>
      <c r="EV400" s="530">
        <v>78.3</v>
      </c>
      <c r="EW400" s="530">
        <v>0</v>
      </c>
      <c r="EX400" s="530">
        <v>0</v>
      </c>
      <c r="EY400" s="530">
        <f t="shared" si="240"/>
        <v>24.231710000000003</v>
      </c>
      <c r="EZ400" s="530">
        <f t="shared" si="241"/>
        <v>121.54284999999999</v>
      </c>
      <c r="FA400" s="530">
        <f t="shared" si="242"/>
        <v>153</v>
      </c>
      <c r="FB400" s="530">
        <f t="shared" si="243"/>
        <v>78.3</v>
      </c>
      <c r="FC400" s="384">
        <f>IFERROR(VLOOKUP(Capex!A333,BASE_558!D:R,8,FALSE)/1000,"")</f>
        <v>0</v>
      </c>
      <c r="FD400" s="328">
        <f>IFERROR(VLOOKUP(Capex!A333,BASE_558!D:R,9,)/1000,"")</f>
        <v>0</v>
      </c>
      <c r="FE400" s="328">
        <f>IFERROR(IF(LEFT(A400,3)="LCP",(VLOOKUP(Capex!A333,BASE_558!D:R,10,)/1000),SUMIFS('BASE ICP_PO_SC'!F:F,'BASE ICP_PO_SC'!A:A,Capex!A333,'BASE ICP_PO_SC'!E:E,"&lt;&gt;")/1000),"")</f>
        <v>0</v>
      </c>
      <c r="FF400" s="328">
        <f>IFERROR(IF(LEFT(A400,3)="LCP",(VLOOKUP(Capex!A333,BASE_558!D:R,11,)/1000),SUMIFS('BASE ICP_PO_SC'!F:F,'BASE ICP_PO_SC'!A:A,Capex!A333,'BASE ICP_PO_SC'!E:E,"")/1000),"")</f>
        <v>0</v>
      </c>
      <c r="FG400" s="328">
        <f>IFERROR(VLOOKUP(A400,BASE_558!D:R,13,FALSE)/1000,"")</f>
        <v>463.64977000000005</v>
      </c>
      <c r="FH400" s="328">
        <f>IFERROR(VLOOKUP(A400,BASE_558!D:R,15,FALSE)/1000,"")</f>
        <v>45.633230000000005</v>
      </c>
      <c r="FI400" s="547">
        <f t="shared" si="244"/>
        <v>14.639250000000004</v>
      </c>
      <c r="FJ400" s="547">
        <f t="shared" si="245"/>
        <v>-15</v>
      </c>
      <c r="FK400" s="540">
        <f t="shared" si="246"/>
        <v>0</v>
      </c>
    </row>
    <row r="401" spans="1:167" s="23" customFormat="1" ht="24" customHeight="1">
      <c r="A401" s="309" t="s">
        <v>2412</v>
      </c>
      <c r="B401" s="404"/>
      <c r="C401" s="404">
        <v>165</v>
      </c>
      <c r="D401" s="338" t="s">
        <v>3347</v>
      </c>
      <c r="E401" s="378">
        <v>7574585</v>
      </c>
      <c r="F401" s="5"/>
      <c r="G401" s="310" t="s">
        <v>9</v>
      </c>
      <c r="H401" s="356" t="s">
        <v>6</v>
      </c>
      <c r="I401" s="356"/>
      <c r="J401" s="356">
        <v>2023</v>
      </c>
      <c r="K401" s="352">
        <v>45215</v>
      </c>
      <c r="L401" s="350"/>
      <c r="M401" s="409"/>
      <c r="N401" s="317">
        <f t="shared" si="217"/>
        <v>46127</v>
      </c>
      <c r="O401" s="317">
        <f t="shared" si="218"/>
        <v>46492</v>
      </c>
      <c r="P401" s="418" t="str">
        <f t="shared" si="247"/>
        <v>NÃO</v>
      </c>
      <c r="Q401" s="418" t="str">
        <f t="shared" si="247"/>
        <v>NÃO</v>
      </c>
      <c r="R401" s="418" t="str">
        <f t="shared" si="247"/>
        <v>NÃO</v>
      </c>
      <c r="S401" s="418" t="str">
        <f t="shared" si="247"/>
        <v>NÃO</v>
      </c>
      <c r="T401" s="418" t="str">
        <f t="shared" si="247"/>
        <v>NÃO</v>
      </c>
      <c r="U401" s="418" t="str">
        <f t="shared" si="247"/>
        <v>NÃO</v>
      </c>
      <c r="V401" s="418" t="str">
        <f t="shared" si="247"/>
        <v>NÃO</v>
      </c>
      <c r="W401" s="418" t="str">
        <f t="shared" si="247"/>
        <v>NÃO</v>
      </c>
      <c r="X401" s="418" t="str">
        <f t="shared" si="247"/>
        <v>NÃO</v>
      </c>
      <c r="Y401" s="418" t="str">
        <f t="shared" si="247"/>
        <v>NÃO</v>
      </c>
      <c r="Z401" s="418" t="str">
        <f t="shared" si="247"/>
        <v>NÃO</v>
      </c>
      <c r="AA401" s="418" t="str">
        <f t="shared" si="247"/>
        <v>NÃO</v>
      </c>
      <c r="AB401" s="350"/>
      <c r="AC401" s="309" t="s">
        <v>3932</v>
      </c>
      <c r="AD401" s="311" t="s">
        <v>223</v>
      </c>
      <c r="AE401" s="382" t="s">
        <v>980</v>
      </c>
      <c r="AF401" s="310" t="s">
        <v>6985</v>
      </c>
      <c r="AG401" s="310" t="s">
        <v>2124</v>
      </c>
      <c r="AH401" s="310" t="s">
        <v>2838</v>
      </c>
      <c r="AI401" s="381" t="s">
        <v>2255</v>
      </c>
      <c r="AJ401" s="6" t="s">
        <v>6786</v>
      </c>
      <c r="AK401" s="6" t="str">
        <f t="shared" si="224"/>
        <v>IGUAL</v>
      </c>
      <c r="AL401" s="151" t="str">
        <f>IFERROR(IF(LEFT(A401,3)="LCP",VLOOKUP(A401,STATUS_SAP_LCP!B:C,2,FALSE),VLOOKUP(A401,STATUS_SAP_ICP!B:C,2,FALSE)),"NO BUDGET")</f>
        <v>REL  BUDG AUC  AVAC  //  APPR BREL EXPL</v>
      </c>
      <c r="AM401" s="6" t="str">
        <f t="shared" si="223"/>
        <v xml:space="preserve">REL </v>
      </c>
      <c r="AN401" s="414" t="s">
        <v>19040</v>
      </c>
      <c r="AO401" s="414"/>
      <c r="AP401" s="499" t="s">
        <v>9617</v>
      </c>
      <c r="AQ401" s="465">
        <v>45868</v>
      </c>
      <c r="AR401" s="460"/>
      <c r="AS401" s="57"/>
      <c r="AT401" s="185"/>
      <c r="AU401" s="318"/>
      <c r="AV401" s="223"/>
      <c r="AW401" s="318">
        <v>3.9858800000000003</v>
      </c>
      <c r="AX401" s="223">
        <v>435.14476999999994</v>
      </c>
      <c r="AY401" s="318">
        <f t="shared" si="214"/>
        <v>90.175510000000017</v>
      </c>
      <c r="AZ401" s="223"/>
      <c r="BA401" s="318"/>
      <c r="BB401" s="519">
        <f t="shared" si="219"/>
        <v>60</v>
      </c>
      <c r="BC401" s="518">
        <v>0</v>
      </c>
      <c r="BD401" s="518">
        <v>0</v>
      </c>
      <c r="BE401" s="518">
        <v>30</v>
      </c>
      <c r="BF401" s="518">
        <v>30</v>
      </c>
      <c r="BG401" s="518">
        <v>0</v>
      </c>
      <c r="BH401" s="518">
        <v>0</v>
      </c>
      <c r="BI401" s="518">
        <v>0</v>
      </c>
      <c r="BJ401" s="518">
        <v>0</v>
      </c>
      <c r="BK401" s="518">
        <v>0</v>
      </c>
      <c r="BL401" s="518">
        <v>0</v>
      </c>
      <c r="BM401" s="518">
        <v>0</v>
      </c>
      <c r="BN401" s="518">
        <v>0</v>
      </c>
      <c r="BO401" s="367">
        <f t="shared" si="225"/>
        <v>90.175510000000017</v>
      </c>
      <c r="BP401" s="421">
        <v>0</v>
      </c>
      <c r="BQ401" s="422"/>
      <c r="BR401" s="423">
        <f>IFERROR(IF(LEFT($A401,3)="Lcp",SUMIFS('BASE-LCP'!$K:$K,'BASE-LCP'!$A:$A,Capex!$A347,'BASE-LCP'!$B:$B,"janeiro")/1000,IF(LEFT($A401,3)="icp",SUMIFS('BASE-ICP'!$K:$K,'BASE-ICP'!$A:$A,Capex!$A347,'BASE-ICP'!$B:$B,"janeiro")/1000,"")),"")</f>
        <v>0</v>
      </c>
      <c r="BS401" s="427">
        <v>0</v>
      </c>
      <c r="BT401" s="372">
        <v>0</v>
      </c>
      <c r="BU401" s="422"/>
      <c r="BV401" s="423">
        <f>IFERROR(IF(LEFT($A401,3)="Lcp",SUMIFS('BASE-LCP'!$K:$K,'BASE-LCP'!$A:$A,Capex!$A347,'BASE-LCP'!$B:$B,"fevereiro")/1000,IF(LEFT($A401,3)="icp",SUMIFS('BASE-ICP'!$K:$K,'BASE-ICP'!$A:$A,Capex!$A347,'BASE-ICP'!$B:$B,"fevereiro")/1000,"")),"")</f>
        <v>0</v>
      </c>
      <c r="BW401" s="427">
        <v>0</v>
      </c>
      <c r="BX401" s="372">
        <v>30</v>
      </c>
      <c r="BY401" s="419"/>
      <c r="BZ401" s="423">
        <f>IFERROR(IF(LEFT($A401,3)="Lcp",SUMIFS('BASE-LCP'!$K:$K,'BASE-LCP'!$A:$A,Capex!$A347,'BASE-LCP'!$B:$B,"março")/1000,IF(LEFT($A401,3)="icp",SUMIFS('BASE-ICP'!$K:$K,'BASE-ICP'!$A:$A,Capex!$A347,'BASE-ICP'!$B:$B,"março")/1000,"")),"")</f>
        <v>142.2705</v>
      </c>
      <c r="CA401" s="427">
        <v>0</v>
      </c>
      <c r="CB401" s="372">
        <v>0</v>
      </c>
      <c r="CC401" s="422">
        <v>26.108619999999998</v>
      </c>
      <c r="CD401" s="423">
        <f>IFERROR(IF(LEFT($A401,3)="Lcp",SUMIFS('BASE-LCP'!$K:$K,'BASE-LCP'!$A:$A,Capex!$A347,'BASE-LCP'!$B:$B,"abril")/1000,IF(LEFT($A401,3)="icp",SUMIFS('BASE-ICP'!$K:$K,'BASE-ICP'!$A:$A,Capex!$A347,'BASE-ICP'!$B:$B,"abril")/1000,"")),"")</f>
        <v>-0.43030000000000002</v>
      </c>
      <c r="CE401" s="427">
        <v>26.108620000000013</v>
      </c>
      <c r="CF401" s="372">
        <v>0</v>
      </c>
      <c r="CG401" s="419">
        <v>0.51137999999999995</v>
      </c>
      <c r="CH401" s="423">
        <v>0.51137999999999995</v>
      </c>
      <c r="CI401" s="427">
        <v>0.51137999999999995</v>
      </c>
      <c r="CJ401" s="372">
        <v>50</v>
      </c>
      <c r="CK401" s="419">
        <v>36.555510000000005</v>
      </c>
      <c r="CL401" s="423">
        <f>IFERROR(IF(LEFT($A401,3)="Lcp",SUMIFS('BASE-LCP'!$K:$K,'BASE-LCP'!$A:$A,Capex!$A347,'BASE-LCP'!$B:$B,"junho")/1000,IF(LEFT($A401,3)="icp",SUMIFS('BASE-ICP'!$K:$K,'BASE-ICP'!$A:$A,Capex!$A347,'BASE-ICP'!$B:$B,"junho")/1000,"")),"")</f>
        <v>0</v>
      </c>
      <c r="CM401" s="427">
        <v>36.555510000000005</v>
      </c>
      <c r="CN401" s="372"/>
      <c r="CO401" s="419"/>
      <c r="CP401" s="423">
        <f>IFERROR(IF(LEFT($A401,3)="Lcp",SUMIFS('BASE-LCP'!$K:$K,'BASE-LCP'!$A:$A,Capex!$A347,'BASE-LCP'!$B:$B,"julho")/1000,IF(LEFT($A401,3)="icp",SUMIFS('BASE-ICP'!$K:$K,'BASE-ICP'!$A:$A,Capex!$A347,'BASE-ICP'!$B:$B,"julho")/1000,"")),"")</f>
        <v>0</v>
      </c>
      <c r="CQ401" s="427">
        <f>17</f>
        <v>17</v>
      </c>
      <c r="CR401" s="372"/>
      <c r="CS401" s="419"/>
      <c r="CT401" s="423">
        <f>IFERROR(IF(LEFT($A401,3)="Lcp",SUMIFS('BASE-LCP'!$K:$K,'BASE-LCP'!$A:$A,Capex!$A347,'BASE-LCP'!$B:$B,"agosto")/1000,IF(LEFT($A401,3)="icp",SUMIFS('BASE-ICP'!$K:$K,'BASE-ICP'!$A:$A,Capex!$A347,'BASE-ICP'!$B:$B,"agosto")/1000,"")),"")</f>
        <v>0</v>
      </c>
      <c r="CU401" s="427">
        <v>0</v>
      </c>
      <c r="CV401" s="372"/>
      <c r="CW401" s="419"/>
      <c r="CX401" s="423">
        <f>IFERROR(IF(LEFT($A401,3)="Lcp",SUMIFS('BASE-LCP'!$K:$K,'BASE-LCP'!$A:$A,Capex!$A347,'BASE-LCP'!$B:$B,"setembro")/1000,IF(LEFT($A401,3)="icp",SUMIFS('BASE-ICP'!$K:$K,'BASE-ICP'!$A:$A,Capex!$A347,'BASE-ICP'!$B:$B,"setembro")/1000,"")),"")</f>
        <v>0</v>
      </c>
      <c r="CY401" s="427">
        <v>0</v>
      </c>
      <c r="CZ401" s="372"/>
      <c r="DA401" s="419"/>
      <c r="DB401" s="423">
        <f>IFERROR(IF(LEFT($A401,3)="Lcp",SUMIFS('BASE-LCP'!$K:$K,'BASE-LCP'!$A:$A,Capex!$A347,'BASE-LCP'!$B:$B,"outubro")/1000,IF(LEFT($A401,3)="icp",SUMIFS('BASE-ICP'!$K:$K,'BASE-ICP'!$A:$A,Capex!$A347,'BASE-ICP'!$B:$B,"outubro")/1000,"")),"")</f>
        <v>0</v>
      </c>
      <c r="DC401" s="427">
        <v>0</v>
      </c>
      <c r="DD401" s="372"/>
      <c r="DE401" s="419"/>
      <c r="DF401" s="423">
        <f>IFERROR(IF(LEFT($A401,3)="Lcp",SUMIFS('BASE-LCP'!$K:$K,'BASE-LCP'!$A:$A,Capex!$A347,'BASE-LCP'!$B:$B,"novembro")/1000,IF(LEFT($A401,3)="icp",SUMIFS('BASE-ICP'!$K:$K,'BASE-ICP'!$A:$A,Capex!$A347,'BASE-ICP'!$B:$B,"novembro")/1000,"")),"")</f>
        <v>0</v>
      </c>
      <c r="DG401" s="427">
        <v>8</v>
      </c>
      <c r="DH401" s="565"/>
      <c r="DI401" s="427"/>
      <c r="DJ401" s="423">
        <f>IFERROR(IF(LEFT($A401,3)="Lcp",SUMIFS('BASE-LCP'!$K:$K,'BASE-LCP'!$A:$A,Capex!$A347,'BASE-LCP'!$B:$B,"dezembro")/1000,IF(LEFT($A401,3)="icp",SUMIFS('BASE-ICP'!$K:$K,'BASE-ICP'!$A:$A,Capex!$A347,'BASE-ICP'!$B:$B,"dezembro")/1000,"")),"")</f>
        <v>0</v>
      </c>
      <c r="DK401" s="427">
        <v>2</v>
      </c>
      <c r="DL401" s="452">
        <f t="shared" si="226"/>
        <v>0</v>
      </c>
      <c r="DM401" s="374"/>
      <c r="DN401" s="374">
        <v>0</v>
      </c>
      <c r="DO401" s="374"/>
      <c r="DP401" s="374"/>
      <c r="DQ401" s="374"/>
      <c r="DR401" s="374"/>
      <c r="DS401" s="374"/>
      <c r="DT401" s="374"/>
      <c r="DU401" s="374"/>
      <c r="DV401" s="374"/>
      <c r="DW401" s="374"/>
      <c r="DX401" s="374"/>
      <c r="DY401" s="450"/>
      <c r="DZ401" s="374">
        <f t="shared" si="227"/>
        <v>0</v>
      </c>
      <c r="EA401" s="216">
        <f t="shared" si="228"/>
        <v>-13.444489999999995</v>
      </c>
      <c r="EB401" s="320">
        <f t="shared" si="229"/>
        <v>-36.555510000000005</v>
      </c>
      <c r="EC401" s="241">
        <f t="shared" si="230"/>
        <v>0</v>
      </c>
      <c r="ED401" s="241">
        <f t="shared" si="231"/>
        <v>63.175510000000017</v>
      </c>
      <c r="EE401" s="241">
        <f t="shared" si="232"/>
        <v>17</v>
      </c>
      <c r="EF401" s="241">
        <f t="shared" si="233"/>
        <v>10</v>
      </c>
      <c r="EG401" s="346">
        <f t="shared" si="234"/>
        <v>30.175510000000017</v>
      </c>
      <c r="EH401" s="445">
        <f t="shared" si="235"/>
        <v>0</v>
      </c>
      <c r="EI401" s="447">
        <f t="shared" si="236"/>
        <v>0.51137999999999995</v>
      </c>
      <c r="EJ401" s="364">
        <f t="shared" si="237"/>
        <v>26.620000000000012</v>
      </c>
      <c r="EK401" s="365">
        <f t="shared" si="238"/>
        <v>63.555510000000005</v>
      </c>
      <c r="EL401" s="529">
        <f t="shared" si="239"/>
        <v>86.62</v>
      </c>
      <c r="EM401" s="530">
        <v>0</v>
      </c>
      <c r="EN401" s="530">
        <v>0</v>
      </c>
      <c r="EO401" s="530">
        <v>0</v>
      </c>
      <c r="EP401" s="530">
        <v>26.108620000000013</v>
      </c>
      <c r="EQ401" s="530">
        <v>0.51137999999999995</v>
      </c>
      <c r="ER401" s="530">
        <v>50</v>
      </c>
      <c r="ES401" s="530">
        <v>0</v>
      </c>
      <c r="ET401" s="530">
        <v>0</v>
      </c>
      <c r="EU401" s="530">
        <v>0</v>
      </c>
      <c r="EV401" s="530">
        <v>0</v>
      </c>
      <c r="EW401" s="530">
        <v>8</v>
      </c>
      <c r="EX401" s="530">
        <v>2</v>
      </c>
      <c r="EY401" s="530">
        <f t="shared" si="240"/>
        <v>0</v>
      </c>
      <c r="EZ401" s="530">
        <f t="shared" si="241"/>
        <v>76.62</v>
      </c>
      <c r="FA401" s="530">
        <f t="shared" si="242"/>
        <v>0</v>
      </c>
      <c r="FB401" s="530">
        <f t="shared" si="243"/>
        <v>10</v>
      </c>
      <c r="FC401" s="384">
        <f>IFERROR(VLOOKUP(Capex!A347,BASE_558!D:R,8,FALSE)/1000,"")</f>
        <v>175.58500000000001</v>
      </c>
      <c r="FD401" s="328">
        <f>IFERROR(VLOOKUP(Capex!A347,BASE_558!D:R,9,)/1000,"")</f>
        <v>141.84020000000001</v>
      </c>
      <c r="FE401" s="328">
        <f>IFERROR(IF(LEFT(A401,3)="LCP",(VLOOKUP(Capex!A347,BASE_558!D:R,10,)/1000),SUMIFS('BASE ICP_PO_SC'!F:F,'BASE ICP_PO_SC'!A:A,Capex!A347,'BASE ICP_PO_SC'!E:E,"&lt;&gt;")/1000),"")</f>
        <v>0</v>
      </c>
      <c r="FF401" s="328">
        <f>IFERROR(IF(LEFT(A401,3)="LCP",(VLOOKUP(Capex!A347,BASE_558!D:R,11,)/1000),SUMIFS('BASE ICP_PO_SC'!F:F,'BASE ICP_PO_SC'!A:A,Capex!A347,'BASE ICP_PO_SC'!E:E,"")/1000),"")</f>
        <v>0</v>
      </c>
      <c r="FG401" s="328">
        <f>IFERROR(VLOOKUP(A401,BASE_558!D:R,13,FALSE)/1000,"")</f>
        <v>532.87063000000001</v>
      </c>
      <c r="FH401" s="328">
        <f>IFERROR(VLOOKUP(A401,BASE_558!D:R,15,FALSE)/1000,"")</f>
        <v>12.129370000000002</v>
      </c>
      <c r="FI401" s="547">
        <f t="shared" si="244"/>
        <v>13.444489999999988</v>
      </c>
      <c r="FJ401" s="547">
        <f t="shared" si="245"/>
        <v>-17</v>
      </c>
      <c r="FK401" s="540">
        <f t="shared" si="246"/>
        <v>0</v>
      </c>
    </row>
    <row r="402" spans="1:167" s="23" customFormat="1" ht="24" customHeight="1">
      <c r="A402" s="309" t="s">
        <v>2382</v>
      </c>
      <c r="B402" s="404"/>
      <c r="C402" s="404"/>
      <c r="D402" s="338" t="s">
        <v>3342</v>
      </c>
      <c r="E402" s="378">
        <v>7142267</v>
      </c>
      <c r="F402" s="5"/>
      <c r="G402" s="310" t="s">
        <v>9</v>
      </c>
      <c r="H402" s="356" t="s">
        <v>6</v>
      </c>
      <c r="I402" s="356"/>
      <c r="J402" s="356">
        <v>2023</v>
      </c>
      <c r="K402" s="352">
        <v>45145</v>
      </c>
      <c r="L402" s="350"/>
      <c r="M402" s="409"/>
      <c r="N402" s="317">
        <f t="shared" si="217"/>
        <v>46057</v>
      </c>
      <c r="O402" s="317">
        <f t="shared" si="218"/>
        <v>46422</v>
      </c>
      <c r="P402" s="418" t="str">
        <f t="shared" si="247"/>
        <v>NÃO</v>
      </c>
      <c r="Q402" s="418" t="str">
        <f t="shared" si="247"/>
        <v>NÃO</v>
      </c>
      <c r="R402" s="418" t="str">
        <f t="shared" si="247"/>
        <v>NÃO</v>
      </c>
      <c r="S402" s="418" t="str">
        <f t="shared" si="247"/>
        <v>NÃO</v>
      </c>
      <c r="T402" s="418" t="str">
        <f t="shared" si="247"/>
        <v>NÃO</v>
      </c>
      <c r="U402" s="418" t="str">
        <f t="shared" si="247"/>
        <v>NÃO</v>
      </c>
      <c r="V402" s="418" t="str">
        <f t="shared" si="247"/>
        <v>NÃO</v>
      </c>
      <c r="W402" s="418" t="str">
        <f t="shared" si="247"/>
        <v>NÃO</v>
      </c>
      <c r="X402" s="418" t="str">
        <f t="shared" si="247"/>
        <v>NÃO</v>
      </c>
      <c r="Y402" s="418" t="str">
        <f t="shared" si="247"/>
        <v>NÃO</v>
      </c>
      <c r="Z402" s="418" t="str">
        <f t="shared" si="247"/>
        <v>NÃO</v>
      </c>
      <c r="AA402" s="418" t="str">
        <f t="shared" si="247"/>
        <v>NÃO</v>
      </c>
      <c r="AB402" s="350"/>
      <c r="AC402" s="309" t="s">
        <v>3932</v>
      </c>
      <c r="AD402" s="311" t="s">
        <v>223</v>
      </c>
      <c r="AE402" s="382" t="s">
        <v>186</v>
      </c>
      <c r="AF402" s="310" t="s">
        <v>6985</v>
      </c>
      <c r="AG402" s="310" t="s">
        <v>2124</v>
      </c>
      <c r="AH402" s="310" t="s">
        <v>6966</v>
      </c>
      <c r="AI402" s="309" t="s">
        <v>186</v>
      </c>
      <c r="AJ402" s="6" t="s">
        <v>6786</v>
      </c>
      <c r="AK402" s="6" t="str">
        <f t="shared" si="224"/>
        <v>IGUAL</v>
      </c>
      <c r="AL402" s="151" t="str">
        <f>IFERROR(IF(LEFT(A402,3)="LCP",VLOOKUP(A402,STATUS_SAP_LCP!B:C,2,FALSE),VLOOKUP(A402,STATUS_SAP_ICP!B:C,2,FALSE)),"NO BUDGET")</f>
        <v>REL  BUDG AUC  AVAC  //  APPR BREL EXPL</v>
      </c>
      <c r="AM402" s="6" t="str">
        <f t="shared" si="223"/>
        <v xml:space="preserve">REL </v>
      </c>
      <c r="AN402" s="414" t="s">
        <v>19228</v>
      </c>
      <c r="AO402" s="414"/>
      <c r="AP402" s="499" t="s">
        <v>9617</v>
      </c>
      <c r="AQ402" s="465">
        <v>45868</v>
      </c>
      <c r="AR402" s="460"/>
      <c r="AS402" s="57"/>
      <c r="AT402" s="185"/>
      <c r="AU402" s="318"/>
      <c r="AV402" s="223"/>
      <c r="AW402" s="318">
        <v>465.23226999999997</v>
      </c>
      <c r="AX402" s="223">
        <v>572.80011000000002</v>
      </c>
      <c r="AY402" s="318">
        <f t="shared" si="214"/>
        <v>235.05598999999995</v>
      </c>
      <c r="AZ402" s="223"/>
      <c r="BA402" s="318"/>
      <c r="BB402" s="519">
        <f t="shared" si="219"/>
        <v>261</v>
      </c>
      <c r="BC402" s="518">
        <v>195</v>
      </c>
      <c r="BD402" s="518">
        <v>66</v>
      </c>
      <c r="BE402" s="518">
        <v>0</v>
      </c>
      <c r="BF402" s="518">
        <v>0</v>
      </c>
      <c r="BG402" s="518">
        <v>0</v>
      </c>
      <c r="BH402" s="518">
        <v>0</v>
      </c>
      <c r="BI402" s="518">
        <v>0</v>
      </c>
      <c r="BJ402" s="518">
        <v>0</v>
      </c>
      <c r="BK402" s="518">
        <v>0</v>
      </c>
      <c r="BL402" s="518">
        <v>0</v>
      </c>
      <c r="BM402" s="518">
        <v>0</v>
      </c>
      <c r="BN402" s="518">
        <v>0</v>
      </c>
      <c r="BO402" s="367">
        <f t="shared" si="225"/>
        <v>235.05598999999995</v>
      </c>
      <c r="BP402" s="421">
        <v>195</v>
      </c>
      <c r="BQ402" s="422">
        <v>35.41037</v>
      </c>
      <c r="BR402" s="423">
        <f>IFERROR(IF(LEFT($A402,3)="Lcp",SUMIFS('BASE-LCP'!$K:$K,'BASE-LCP'!$A:$A,Capex!$A331,'BASE-LCP'!$B:$B,"janeiro")/1000,IF(LEFT($A402,3)="icp",SUMIFS('BASE-ICP'!$K:$K,'BASE-ICP'!$A:$A,Capex!$A331,'BASE-ICP'!$B:$B,"janeiro")/1000,"")),"")</f>
        <v>0</v>
      </c>
      <c r="BS402" s="427">
        <v>35.41037</v>
      </c>
      <c r="BT402" s="372">
        <v>109</v>
      </c>
      <c r="BU402" s="422">
        <v>11.81039</v>
      </c>
      <c r="BV402" s="423">
        <f>IFERROR(IF(LEFT($A402,3)="Lcp",SUMIFS('BASE-LCP'!$K:$K,'BASE-LCP'!$A:$A,Capex!$A331,'BASE-LCP'!$B:$B,"fevereiro")/1000,IF(LEFT($A402,3)="icp",SUMIFS('BASE-ICP'!$K:$K,'BASE-ICP'!$A:$A,Capex!$A331,'BASE-ICP'!$B:$B,"fevereiro")/1000,"")),"")</f>
        <v>0</v>
      </c>
      <c r="BW402" s="427">
        <v>11.81039</v>
      </c>
      <c r="BX402" s="372">
        <v>89.7</v>
      </c>
      <c r="BY402" s="419">
        <v>19.590910000000001</v>
      </c>
      <c r="BZ402" s="423">
        <f>IFERROR(IF(LEFT($A402,3)="Lcp",SUMIFS('BASE-LCP'!$K:$K,'BASE-LCP'!$A:$A,Capex!$A331,'BASE-LCP'!$B:$B,"março")/1000,IF(LEFT($A402,3)="icp",SUMIFS('BASE-ICP'!$K:$K,'BASE-ICP'!$A:$A,Capex!$A331,'BASE-ICP'!$B:$B,"março")/1000,"")),"")</f>
        <v>22.739509999999999</v>
      </c>
      <c r="CA402" s="427">
        <v>19.590909999999997</v>
      </c>
      <c r="CB402" s="372">
        <v>68.099999999999994</v>
      </c>
      <c r="CC402" s="422">
        <v>81.194399999999987</v>
      </c>
      <c r="CD402" s="423">
        <f>IFERROR(IF(LEFT($A402,3)="Lcp",SUMIFS('BASE-LCP'!$K:$K,'BASE-LCP'!$A:$A,Capex!$A331,'BASE-LCP'!$B:$B,"abril")/1000,IF(LEFT($A402,3)="icp",SUMIFS('BASE-ICP'!$K:$K,'BASE-ICP'!$A:$A,Capex!$A331,'BASE-ICP'!$B:$B,"abril")/1000,"")),"")</f>
        <v>0</v>
      </c>
      <c r="CE402" s="427">
        <v>81.194399999999987</v>
      </c>
      <c r="CF402" s="372">
        <v>38.6</v>
      </c>
      <c r="CG402" s="419">
        <v>10.14466</v>
      </c>
      <c r="CH402" s="423">
        <v>10.144659999999998</v>
      </c>
      <c r="CI402" s="427">
        <v>10.144659999999998</v>
      </c>
      <c r="CJ402" s="372">
        <v>27.4</v>
      </c>
      <c r="CK402" s="419">
        <v>4.5052599999999998</v>
      </c>
      <c r="CL402" s="423">
        <f>IFERROR(IF(LEFT($A402,3)="Lcp",SUMIFS('BASE-LCP'!$K:$K,'BASE-LCP'!$A:$A,Capex!$A331,'BASE-LCP'!$B:$B,"junho")/1000,IF(LEFT($A402,3)="icp",SUMIFS('BASE-ICP'!$K:$K,'BASE-ICP'!$A:$A,Capex!$A331,'BASE-ICP'!$B:$B,"junho")/1000,"")),"")</f>
        <v>0</v>
      </c>
      <c r="CM402" s="427">
        <v>4.5052599999999998</v>
      </c>
      <c r="CN402" s="372"/>
      <c r="CO402" s="419"/>
      <c r="CP402" s="423">
        <f>IFERROR(IF(LEFT($A402,3)="Lcp",SUMIFS('BASE-LCP'!$K:$K,'BASE-LCP'!$A:$A,Capex!$A331,'BASE-LCP'!$B:$B,"julho")/1000,IF(LEFT($A402,3)="icp",SUMIFS('BASE-ICP'!$K:$K,'BASE-ICP'!$A:$A,Capex!$A331,'BASE-ICP'!$B:$B,"julho")/1000,"")),"")</f>
        <v>0</v>
      </c>
      <c r="CQ402" s="427">
        <f>25-11.5+33.9</f>
        <v>47.4</v>
      </c>
      <c r="CR402" s="372"/>
      <c r="CS402" s="419"/>
      <c r="CT402" s="423">
        <f>IFERROR(IF(LEFT($A402,3)="Lcp",SUMIFS('BASE-LCP'!$K:$K,'BASE-LCP'!$A:$A,Capex!$A331,'BASE-LCP'!$B:$B,"agosto")/1000,IF(LEFT($A402,3)="icp",SUMIFS('BASE-ICP'!$K:$K,'BASE-ICP'!$A:$A,Capex!$A331,'BASE-ICP'!$B:$B,"agosto")/1000,"")),"")</f>
        <v>0</v>
      </c>
      <c r="CU402" s="427">
        <v>25</v>
      </c>
      <c r="CV402" s="372"/>
      <c r="CW402" s="419"/>
      <c r="CX402" s="423">
        <f>IFERROR(IF(LEFT($A402,3)="Lcp",SUMIFS('BASE-LCP'!$K:$K,'BASE-LCP'!$A:$A,Capex!$A331,'BASE-LCP'!$B:$B,"setembro")/1000,IF(LEFT($A402,3)="icp",SUMIFS('BASE-ICP'!$K:$K,'BASE-ICP'!$A:$A,Capex!$A331,'BASE-ICP'!$B:$B,"setembro")/1000,"")),"")</f>
        <v>0</v>
      </c>
      <c r="CY402" s="427">
        <v>0</v>
      </c>
      <c r="CZ402" s="372"/>
      <c r="DA402" s="419"/>
      <c r="DB402" s="423">
        <f>IFERROR(IF(LEFT($A402,3)="Lcp",SUMIFS('BASE-LCP'!$K:$K,'BASE-LCP'!$A:$A,Capex!$A331,'BASE-LCP'!$B:$B,"outubro")/1000,IF(LEFT($A402,3)="icp",SUMIFS('BASE-ICP'!$K:$K,'BASE-ICP'!$A:$A,Capex!$A331,'BASE-ICP'!$B:$B,"outubro")/1000,"")),"")</f>
        <v>0</v>
      </c>
      <c r="DC402" s="427">
        <v>0</v>
      </c>
      <c r="DD402" s="372"/>
      <c r="DE402" s="419"/>
      <c r="DF402" s="423">
        <f>IFERROR(IF(LEFT($A402,3)="Lcp",SUMIFS('BASE-LCP'!$K:$K,'BASE-LCP'!$A:$A,Capex!$A331,'BASE-LCP'!$B:$B,"novembro")/1000,IF(LEFT($A402,3)="icp",SUMIFS('BASE-ICP'!$K:$K,'BASE-ICP'!$A:$A,Capex!$A331,'BASE-ICP'!$B:$B,"novembro")/1000,"")),"")</f>
        <v>0</v>
      </c>
      <c r="DG402" s="427">
        <v>0</v>
      </c>
      <c r="DH402" s="372"/>
      <c r="DI402" s="419"/>
      <c r="DJ402" s="423">
        <f>IFERROR(IF(LEFT($A402,3)="Lcp",SUMIFS('BASE-LCP'!$K:$K,'BASE-LCP'!$A:$A,Capex!$A331,'BASE-LCP'!$B:$B,"dezembro")/1000,IF(LEFT($A402,3)="icp",SUMIFS('BASE-ICP'!$K:$K,'BASE-ICP'!$A:$A,Capex!$A331,'BASE-ICP'!$B:$B,"dezembro")/1000,"")),"")</f>
        <v>0</v>
      </c>
      <c r="DK402" s="427">
        <v>0</v>
      </c>
      <c r="DL402" s="452">
        <f t="shared" si="226"/>
        <v>0</v>
      </c>
      <c r="DM402" s="374"/>
      <c r="DN402" s="374">
        <v>0</v>
      </c>
      <c r="DO402" s="374"/>
      <c r="DP402" s="374"/>
      <c r="DQ402" s="374"/>
      <c r="DR402" s="374"/>
      <c r="DS402" s="374"/>
      <c r="DT402" s="374"/>
      <c r="DU402" s="374"/>
      <c r="DV402" s="374"/>
      <c r="DW402" s="374"/>
      <c r="DX402" s="374"/>
      <c r="DY402" s="450"/>
      <c r="DZ402" s="374">
        <f t="shared" si="227"/>
        <v>0</v>
      </c>
      <c r="EA402" s="216">
        <f t="shared" si="228"/>
        <v>-22.894739999999999</v>
      </c>
      <c r="EB402" s="320">
        <f t="shared" si="229"/>
        <v>-4.5052599999999998</v>
      </c>
      <c r="EC402" s="241">
        <f t="shared" si="230"/>
        <v>66.811669999999992</v>
      </c>
      <c r="ED402" s="241">
        <f t="shared" si="231"/>
        <v>95.844319999999982</v>
      </c>
      <c r="EE402" s="241">
        <f t="shared" si="232"/>
        <v>72.400000000000006</v>
      </c>
      <c r="EF402" s="241">
        <f t="shared" si="233"/>
        <v>0</v>
      </c>
      <c r="EG402" s="346">
        <f t="shared" si="234"/>
        <v>-25.944010000000048</v>
      </c>
      <c r="EH402" s="445">
        <f t="shared" si="235"/>
        <v>38.6</v>
      </c>
      <c r="EI402" s="447">
        <f t="shared" si="236"/>
        <v>10.144659999999998</v>
      </c>
      <c r="EJ402" s="364">
        <f t="shared" si="237"/>
        <v>158.15072999999995</v>
      </c>
      <c r="EK402" s="365">
        <f t="shared" si="238"/>
        <v>76.905259999999998</v>
      </c>
      <c r="EL402" s="529">
        <f t="shared" si="239"/>
        <v>235.55072999999996</v>
      </c>
      <c r="EM402" s="530">
        <v>35.41037</v>
      </c>
      <c r="EN402" s="530">
        <v>11.81039</v>
      </c>
      <c r="EO402" s="530">
        <v>19.590909999999997</v>
      </c>
      <c r="EP402" s="530">
        <v>81.194399999999987</v>
      </c>
      <c r="EQ402" s="530">
        <v>10.144659999999998</v>
      </c>
      <c r="ER402" s="530">
        <v>27.4</v>
      </c>
      <c r="ES402" s="530">
        <v>25</v>
      </c>
      <c r="ET402" s="530">
        <v>25</v>
      </c>
      <c r="EU402" s="530">
        <v>0</v>
      </c>
      <c r="EV402" s="530">
        <v>0</v>
      </c>
      <c r="EW402" s="530">
        <v>0</v>
      </c>
      <c r="EX402" s="530">
        <v>0</v>
      </c>
      <c r="EY402" s="530">
        <f t="shared" si="240"/>
        <v>66.811669999999992</v>
      </c>
      <c r="EZ402" s="530">
        <f t="shared" si="241"/>
        <v>118.73905999999999</v>
      </c>
      <c r="FA402" s="530">
        <f t="shared" si="242"/>
        <v>50</v>
      </c>
      <c r="FB402" s="530">
        <f t="shared" si="243"/>
        <v>0</v>
      </c>
      <c r="FC402" s="384">
        <f>IFERROR(VLOOKUP(Capex!A331,BASE_558!D:R,8,FALSE)/1000,"")</f>
        <v>818.91608999999994</v>
      </c>
      <c r="FD402" s="328">
        <f>IFERROR(VLOOKUP(Capex!A331,BASE_558!D:R,9,)/1000,"")</f>
        <v>489.16471000000001</v>
      </c>
      <c r="FE402" s="328">
        <f>IFERROR(IF(LEFT(A402,3)="LCP",(VLOOKUP(Capex!A331,BASE_558!D:R,10,)/1000),SUMIFS('BASE ICP_PO_SC'!F:F,'BASE ICP_PO_SC'!A:A,Capex!A331,'BASE ICP_PO_SC'!E:E,"&lt;&gt;")/1000),"")</f>
        <v>4.016</v>
      </c>
      <c r="FF402" s="328">
        <f>IFERROR(IF(LEFT(A402,3)="LCP",(VLOOKUP(Capex!A331,BASE_558!D:R,11,)/1000),SUMIFS('BASE ICP_PO_SC'!F:F,'BASE ICP_PO_SC'!A:A,Capex!A331,'BASE ICP_PO_SC'!E:E,"")/1000),"")</f>
        <v>0</v>
      </c>
      <c r="FG402" s="328">
        <f>IFERROR(VLOOKUP(A402,BASE_558!D:R,13,FALSE)/1000,"")</f>
        <v>1304.6635000000001</v>
      </c>
      <c r="FH402" s="328">
        <f>IFERROR(VLOOKUP(A402,BASE_558!D:R,15,FALSE)/1000,"")</f>
        <v>89.967500000000001</v>
      </c>
      <c r="FI402" s="547">
        <f t="shared" si="244"/>
        <v>22.894740000000013</v>
      </c>
      <c r="FJ402" s="547">
        <f t="shared" si="245"/>
        <v>-22.400000000000006</v>
      </c>
      <c r="FK402" s="540">
        <f t="shared" si="246"/>
        <v>0</v>
      </c>
    </row>
    <row r="403" spans="1:167" s="23" customFormat="1" ht="24" customHeight="1">
      <c r="A403" s="84" t="s">
        <v>2692</v>
      </c>
      <c r="B403" s="404" t="s">
        <v>2724</v>
      </c>
      <c r="C403" s="404"/>
      <c r="D403" s="338"/>
      <c r="E403" s="378">
        <v>8687320</v>
      </c>
      <c r="F403" s="5"/>
      <c r="G403" s="310" t="s">
        <v>9</v>
      </c>
      <c r="H403" s="356" t="s">
        <v>6</v>
      </c>
      <c r="I403" s="356"/>
      <c r="J403" s="356">
        <v>2024</v>
      </c>
      <c r="K403" s="352">
        <v>45414</v>
      </c>
      <c r="L403" s="350"/>
      <c r="M403" s="409"/>
      <c r="N403" s="317">
        <f t="shared" si="217"/>
        <v>46326</v>
      </c>
      <c r="O403" s="317">
        <f t="shared" si="218"/>
        <v>46691</v>
      </c>
      <c r="P403" s="418" t="str">
        <f t="shared" si="247"/>
        <v>NÃO</v>
      </c>
      <c r="Q403" s="418" t="str">
        <f t="shared" si="247"/>
        <v>NÃO</v>
      </c>
      <c r="R403" s="418" t="str">
        <f t="shared" si="247"/>
        <v>NÃO</v>
      </c>
      <c r="S403" s="418" t="str">
        <f t="shared" si="247"/>
        <v>NÃO</v>
      </c>
      <c r="T403" s="418" t="str">
        <f t="shared" si="247"/>
        <v>NÃO</v>
      </c>
      <c r="U403" s="418" t="str">
        <f t="shared" si="247"/>
        <v>NÃO</v>
      </c>
      <c r="V403" s="418" t="str">
        <f t="shared" si="247"/>
        <v>NÃO</v>
      </c>
      <c r="W403" s="418" t="str">
        <f t="shared" si="247"/>
        <v>NÃO</v>
      </c>
      <c r="X403" s="418" t="str">
        <f t="shared" si="247"/>
        <v>NÃO</v>
      </c>
      <c r="Y403" s="418" t="str">
        <f t="shared" si="247"/>
        <v>NÃO</v>
      </c>
      <c r="Z403" s="418" t="str">
        <f t="shared" si="247"/>
        <v>NÃO</v>
      </c>
      <c r="AA403" s="418" t="str">
        <f t="shared" si="247"/>
        <v>NÃO</v>
      </c>
      <c r="AB403" s="350"/>
      <c r="AC403" s="309" t="s">
        <v>3932</v>
      </c>
      <c r="AD403" s="311" t="s">
        <v>224</v>
      </c>
      <c r="AE403" s="382" t="s">
        <v>957</v>
      </c>
      <c r="AF403" s="310" t="s">
        <v>6985</v>
      </c>
      <c r="AG403" s="310" t="s">
        <v>2079</v>
      </c>
      <c r="AH403" s="310" t="s">
        <v>2777</v>
      </c>
      <c r="AI403" s="381" t="s">
        <v>183</v>
      </c>
      <c r="AJ403" s="6" t="s">
        <v>6786</v>
      </c>
      <c r="AK403" s="6" t="str">
        <f t="shared" si="224"/>
        <v>IGUAL</v>
      </c>
      <c r="AL403" s="151" t="str">
        <f>IFERROR(IF(LEFT(A403,3)="LCP",VLOOKUP(A403,STATUS_SAP_LCP!B:C,2,FALSE),VLOOKUP(A403,STATUS_SAP_ICP!B:C,2,FALSE)),"NO BUDGET")</f>
        <v>REL  BUDG AUC  AVAC  //  APPR BREL EXPL</v>
      </c>
      <c r="AM403" s="6" t="str">
        <f t="shared" si="223"/>
        <v xml:space="preserve">REL </v>
      </c>
      <c r="AN403" s="414" t="s">
        <v>19075</v>
      </c>
      <c r="AO403" s="414"/>
      <c r="AP403" s="499" t="s">
        <v>5299</v>
      </c>
      <c r="AQ403" s="465">
        <v>45717</v>
      </c>
      <c r="AR403" s="460"/>
      <c r="AS403" s="57"/>
      <c r="AT403" s="185"/>
      <c r="AU403" s="318"/>
      <c r="AV403" s="223"/>
      <c r="AW403" s="318"/>
      <c r="AX403" s="223">
        <v>0</v>
      </c>
      <c r="AY403" s="318">
        <f t="shared" si="214"/>
        <v>323.68762000000015</v>
      </c>
      <c r="AZ403" s="223"/>
      <c r="BA403" s="318"/>
      <c r="BB403" s="519">
        <f t="shared" si="219"/>
        <v>321.10000000000002</v>
      </c>
      <c r="BC403" s="518">
        <v>0</v>
      </c>
      <c r="BD403" s="518">
        <v>321.10000000000002</v>
      </c>
      <c r="BE403" s="518">
        <v>0</v>
      </c>
      <c r="BF403" s="518">
        <v>0</v>
      </c>
      <c r="BG403" s="518">
        <v>0</v>
      </c>
      <c r="BH403" s="518">
        <v>0</v>
      </c>
      <c r="BI403" s="518">
        <v>0</v>
      </c>
      <c r="BJ403" s="518">
        <v>0</v>
      </c>
      <c r="BK403" s="518">
        <v>0</v>
      </c>
      <c r="BL403" s="518">
        <v>0</v>
      </c>
      <c r="BM403" s="518">
        <v>0</v>
      </c>
      <c r="BN403" s="518">
        <v>0</v>
      </c>
      <c r="BO403" s="367">
        <f t="shared" si="225"/>
        <v>323.68762000000015</v>
      </c>
      <c r="BP403" s="421">
        <v>0</v>
      </c>
      <c r="BQ403" s="422"/>
      <c r="BR403" s="423">
        <f>IFERROR(IF(LEFT($A403,3)="Lcp",SUMIFS('BASE-LCP'!$K:$K,'BASE-LCP'!$A:$A,Capex!$A362,'BASE-LCP'!$B:$B,"janeiro")/1000,IF(LEFT($A403,3)="icp",SUMIFS('BASE-ICP'!$K:$K,'BASE-ICP'!$A:$A,Capex!$A362,'BASE-ICP'!$B:$B,"janeiro")/1000,"")),"")</f>
        <v>0</v>
      </c>
      <c r="BS403" s="427">
        <v>0</v>
      </c>
      <c r="BT403" s="372">
        <v>0</v>
      </c>
      <c r="BU403" s="422"/>
      <c r="BV403" s="423">
        <f>IFERROR(IF(LEFT($A403,3)="Lcp",SUMIFS('BASE-LCP'!$K:$K,'BASE-LCP'!$A:$A,Capex!$A362,'BASE-LCP'!$B:$B,"fevereiro")/1000,IF(LEFT($A403,3)="icp",SUMIFS('BASE-ICP'!$K:$K,'BASE-ICP'!$A:$A,Capex!$A362,'BASE-ICP'!$B:$B,"fevereiro")/1000,"")),"")</f>
        <v>0</v>
      </c>
      <c r="BW403" s="427">
        <v>0</v>
      </c>
      <c r="BX403" s="372">
        <v>321.10000000000002</v>
      </c>
      <c r="BY403" s="419">
        <v>294.64254</v>
      </c>
      <c r="BZ403" s="423">
        <f>IFERROR(IF(LEFT($A403,3)="Lcp",SUMIFS('BASE-LCP'!$K:$K,'BASE-LCP'!$A:$A,Capex!$A362,'BASE-LCP'!$B:$B,"março")/1000,IF(LEFT($A403,3)="icp",SUMIFS('BASE-ICP'!$K:$K,'BASE-ICP'!$A:$A,Capex!$A362,'BASE-ICP'!$B:$B,"março")/1000,"")),"")</f>
        <v>0</v>
      </c>
      <c r="CA403" s="427">
        <v>294.64254000000017</v>
      </c>
      <c r="CB403" s="372">
        <v>0</v>
      </c>
      <c r="CC403" s="422">
        <v>1.04508</v>
      </c>
      <c r="CD403" s="423">
        <f>IFERROR(IF(LEFT($A403,3)="Lcp",SUMIFS('BASE-LCP'!$K:$K,'BASE-LCP'!$A:$A,Capex!$A362,'BASE-LCP'!$B:$B,"abril")/1000,IF(LEFT($A403,3)="icp",SUMIFS('BASE-ICP'!$K:$K,'BASE-ICP'!$A:$A,Capex!$A362,'BASE-ICP'!$B:$B,"abril")/1000,"")),"")</f>
        <v>0</v>
      </c>
      <c r="CE403" s="427">
        <v>1.0450800000000002</v>
      </c>
      <c r="CF403" s="372">
        <v>0</v>
      </c>
      <c r="CG403" s="419"/>
      <c r="CH403" s="423">
        <v>0</v>
      </c>
      <c r="CI403" s="427">
        <v>0</v>
      </c>
      <c r="CJ403" s="372">
        <v>28</v>
      </c>
      <c r="CK403" s="419"/>
      <c r="CL403" s="423">
        <f>IFERROR(IF(LEFT($A403,3)="Lcp",SUMIFS('BASE-LCP'!$K:$K,'BASE-LCP'!$A:$A,Capex!$A362,'BASE-LCP'!$B:$B,"junho")/1000,IF(LEFT($A403,3)="icp",SUMIFS('BASE-ICP'!$K:$K,'BASE-ICP'!$A:$A,Capex!$A362,'BASE-ICP'!$B:$B,"junho")/1000,"")),"")</f>
        <v>0</v>
      </c>
      <c r="CM403" s="427">
        <v>0</v>
      </c>
      <c r="CN403" s="372"/>
      <c r="CO403" s="419"/>
      <c r="CP403" s="423">
        <f>IFERROR(IF(LEFT($A403,3)="Lcp",SUMIFS('BASE-LCP'!$K:$K,'BASE-LCP'!$A:$A,Capex!$A362,'BASE-LCP'!$B:$B,"julho")/1000,IF(LEFT($A403,3)="icp",SUMIFS('BASE-ICP'!$K:$K,'BASE-ICP'!$A:$A,Capex!$A362,'BASE-ICP'!$B:$B,"julho")/1000,"")),"")</f>
        <v>0</v>
      </c>
      <c r="CQ403" s="427">
        <v>28</v>
      </c>
      <c r="CR403" s="372"/>
      <c r="CS403" s="419"/>
      <c r="CT403" s="423">
        <f>IFERROR(IF(LEFT($A403,3)="Lcp",SUMIFS('BASE-LCP'!$K:$K,'BASE-LCP'!$A:$A,Capex!$A362,'BASE-LCP'!$B:$B,"agosto")/1000,IF(LEFT($A403,3)="icp",SUMIFS('BASE-ICP'!$K:$K,'BASE-ICP'!$A:$A,Capex!$A362,'BASE-ICP'!$B:$B,"agosto")/1000,"")),"")</f>
        <v>0</v>
      </c>
      <c r="CU403" s="427">
        <v>0</v>
      </c>
      <c r="CV403" s="372"/>
      <c r="CW403" s="419"/>
      <c r="CX403" s="423">
        <f>IFERROR(IF(LEFT($A403,3)="Lcp",SUMIFS('BASE-LCP'!$K:$K,'BASE-LCP'!$A:$A,Capex!$A362,'BASE-LCP'!$B:$B,"setembro")/1000,IF(LEFT($A403,3)="icp",SUMIFS('BASE-ICP'!$K:$K,'BASE-ICP'!$A:$A,Capex!$A362,'BASE-ICP'!$B:$B,"setembro")/1000,"")),"")</f>
        <v>0</v>
      </c>
      <c r="CY403" s="427">
        <v>0</v>
      </c>
      <c r="CZ403" s="372"/>
      <c r="DA403" s="419"/>
      <c r="DB403" s="423">
        <f>IFERROR(IF(LEFT($A403,3)="Lcp",SUMIFS('BASE-LCP'!$K:$K,'BASE-LCP'!$A:$A,Capex!$A362,'BASE-LCP'!$B:$B,"outubro")/1000,IF(LEFT($A403,3)="icp",SUMIFS('BASE-ICP'!$K:$K,'BASE-ICP'!$A:$A,Capex!$A362,'BASE-ICP'!$B:$B,"outubro")/1000,"")),"")</f>
        <v>0</v>
      </c>
      <c r="DC403" s="427">
        <v>0</v>
      </c>
      <c r="DD403" s="372"/>
      <c r="DE403" s="419"/>
      <c r="DF403" s="423">
        <f>IFERROR(IF(LEFT($A403,3)="Lcp",SUMIFS('BASE-LCP'!$K:$K,'BASE-LCP'!$A:$A,Capex!$A362,'BASE-LCP'!$B:$B,"novembro")/1000,IF(LEFT($A403,3)="icp",SUMIFS('BASE-ICP'!$K:$K,'BASE-ICP'!$A:$A,Capex!$A362,'BASE-ICP'!$B:$B,"novembro")/1000,"")),"")</f>
        <v>0</v>
      </c>
      <c r="DG403" s="427">
        <v>0</v>
      </c>
      <c r="DH403" s="372"/>
      <c r="DI403" s="419"/>
      <c r="DJ403" s="423">
        <f>IFERROR(IF(LEFT($A403,3)="Lcp",SUMIFS('BASE-LCP'!$K:$K,'BASE-LCP'!$A:$A,Capex!$A362,'BASE-LCP'!$B:$B,"dezembro")/1000,IF(LEFT($A403,3)="icp",SUMIFS('BASE-ICP'!$K:$K,'BASE-ICP'!$A:$A,Capex!$A362,'BASE-ICP'!$B:$B,"dezembro")/1000,"")),"")</f>
        <v>0</v>
      </c>
      <c r="DK403" s="427">
        <v>0</v>
      </c>
      <c r="DL403" s="452">
        <f t="shared" si="226"/>
        <v>0</v>
      </c>
      <c r="DM403" s="374"/>
      <c r="DN403" s="374">
        <v>0</v>
      </c>
      <c r="DO403" s="374"/>
      <c r="DP403" s="374"/>
      <c r="DQ403" s="374"/>
      <c r="DR403" s="374"/>
      <c r="DS403" s="374"/>
      <c r="DT403" s="374"/>
      <c r="DU403" s="374"/>
      <c r="DV403" s="374"/>
      <c r="DW403" s="374"/>
      <c r="DX403" s="374"/>
      <c r="DY403" s="450"/>
      <c r="DZ403" s="374">
        <f t="shared" si="227"/>
        <v>0</v>
      </c>
      <c r="EA403" s="216">
        <f t="shared" si="228"/>
        <v>-28</v>
      </c>
      <c r="EB403" s="320">
        <f t="shared" si="229"/>
        <v>0</v>
      </c>
      <c r="EC403" s="241">
        <f t="shared" si="230"/>
        <v>294.64254000000017</v>
      </c>
      <c r="ED403" s="241">
        <f t="shared" si="231"/>
        <v>1.0450800000000002</v>
      </c>
      <c r="EE403" s="241">
        <f t="shared" si="232"/>
        <v>28</v>
      </c>
      <c r="EF403" s="241">
        <f t="shared" si="233"/>
        <v>0</v>
      </c>
      <c r="EG403" s="346">
        <f t="shared" si="234"/>
        <v>2.587620000000129</v>
      </c>
      <c r="EH403" s="445">
        <f t="shared" si="235"/>
        <v>0</v>
      </c>
      <c r="EI403" s="447">
        <f t="shared" si="236"/>
        <v>0</v>
      </c>
      <c r="EJ403" s="364">
        <f t="shared" si="237"/>
        <v>295.68762000000015</v>
      </c>
      <c r="EK403" s="365">
        <f t="shared" si="238"/>
        <v>28</v>
      </c>
      <c r="EL403" s="529">
        <f t="shared" si="239"/>
        <v>323.68762000000015</v>
      </c>
      <c r="EM403" s="530">
        <v>0</v>
      </c>
      <c r="EN403" s="530">
        <v>0</v>
      </c>
      <c r="EO403" s="530">
        <v>294.64254000000017</v>
      </c>
      <c r="EP403" s="530">
        <v>1.0450800000000002</v>
      </c>
      <c r="EQ403" s="530">
        <v>0</v>
      </c>
      <c r="ER403" s="530">
        <v>28</v>
      </c>
      <c r="ES403" s="530">
        <v>0</v>
      </c>
      <c r="ET403" s="530">
        <v>0</v>
      </c>
      <c r="EU403" s="530">
        <v>0</v>
      </c>
      <c r="EV403" s="530">
        <v>0</v>
      </c>
      <c r="EW403" s="530">
        <v>0</v>
      </c>
      <c r="EX403" s="530">
        <v>0</v>
      </c>
      <c r="EY403" s="530">
        <f t="shared" si="240"/>
        <v>294.64254000000017</v>
      </c>
      <c r="EZ403" s="530">
        <f t="shared" si="241"/>
        <v>29.045079999999999</v>
      </c>
      <c r="FA403" s="530">
        <f t="shared" si="242"/>
        <v>0</v>
      </c>
      <c r="FB403" s="530">
        <f t="shared" si="243"/>
        <v>0</v>
      </c>
      <c r="FC403" s="384">
        <f>IFERROR(VLOOKUP(Capex!A362,BASE_558!D:R,8,FALSE)/1000,"")</f>
        <v>0</v>
      </c>
      <c r="FD403" s="328">
        <f>IFERROR(VLOOKUP(Capex!A362,BASE_558!D:R,9,)/1000,"")</f>
        <v>0</v>
      </c>
      <c r="FE403" s="328">
        <f>IFERROR(IF(LEFT(A403,3)="LCP",(VLOOKUP(Capex!A362,BASE_558!D:R,10,)/1000),SUMIFS('BASE ICP_PO_SC'!F:F,'BASE ICP_PO_SC'!A:A,Capex!A362,'BASE ICP_PO_SC'!E:E,"&lt;&gt;")/1000),"")</f>
        <v>0</v>
      </c>
      <c r="FF403" s="328">
        <f>IFERROR(IF(LEFT(A403,3)="LCP",(VLOOKUP(Capex!A362,BASE_558!D:R,11,)/1000),SUMIFS('BASE ICP_PO_SC'!F:F,'BASE ICP_PO_SC'!A:A,Capex!A362,'BASE ICP_PO_SC'!E:E,"")/1000),"")</f>
        <v>0</v>
      </c>
      <c r="FG403" s="328">
        <f>IFERROR(VLOOKUP(A403,BASE_558!D:R,13,FALSE)/1000,"")</f>
        <v>324.49419</v>
      </c>
      <c r="FH403" s="328">
        <f>IFERROR(VLOOKUP(A403,BASE_558!D:R,15,FALSE)/1000,"")</f>
        <v>69.890810000000002</v>
      </c>
      <c r="FI403" s="547">
        <f t="shared" si="244"/>
        <v>28</v>
      </c>
      <c r="FJ403" s="547">
        <f t="shared" si="245"/>
        <v>-28</v>
      </c>
      <c r="FK403" s="540">
        <f t="shared" si="246"/>
        <v>0</v>
      </c>
    </row>
    <row r="404" spans="1:167" s="23" customFormat="1" ht="24" customHeight="1">
      <c r="A404" s="84" t="s">
        <v>1565</v>
      </c>
      <c r="B404" s="404" t="s">
        <v>2422</v>
      </c>
      <c r="C404" s="404"/>
      <c r="D404" s="338" t="s">
        <v>1893</v>
      </c>
      <c r="E404" s="378">
        <v>5188671</v>
      </c>
      <c r="F404" s="5"/>
      <c r="G404" s="310" t="s">
        <v>9</v>
      </c>
      <c r="H404" s="356" t="s">
        <v>6</v>
      </c>
      <c r="I404" s="356"/>
      <c r="J404" s="356">
        <v>2022</v>
      </c>
      <c r="K404" s="352">
        <v>44643</v>
      </c>
      <c r="L404" s="350"/>
      <c r="M404" s="409"/>
      <c r="N404" s="317">
        <f t="shared" si="217"/>
        <v>45555</v>
      </c>
      <c r="O404" s="317">
        <f t="shared" si="218"/>
        <v>45920</v>
      </c>
      <c r="P404" s="418" t="str">
        <f t="shared" si="247"/>
        <v>SIM</v>
      </c>
      <c r="Q404" s="418" t="str">
        <f t="shared" si="247"/>
        <v>SIM</v>
      </c>
      <c r="R404" s="418" t="str">
        <f t="shared" si="247"/>
        <v>SIM</v>
      </c>
      <c r="S404" s="418" t="str">
        <f t="shared" si="247"/>
        <v>SIM</v>
      </c>
      <c r="T404" s="418" t="str">
        <f t="shared" si="247"/>
        <v>SIM</v>
      </c>
      <c r="U404" s="418" t="str">
        <f t="shared" si="247"/>
        <v>SIM</v>
      </c>
      <c r="V404" s="418" t="str">
        <f t="shared" si="247"/>
        <v>SIM</v>
      </c>
      <c r="W404" s="418" t="str">
        <f t="shared" si="247"/>
        <v>SIM</v>
      </c>
      <c r="X404" s="418" t="str">
        <f t="shared" si="247"/>
        <v>SIM</v>
      </c>
      <c r="Y404" s="551" t="str">
        <f t="shared" si="247"/>
        <v>SIM</v>
      </c>
      <c r="Z404" s="418" t="str">
        <f t="shared" si="247"/>
        <v>SIM</v>
      </c>
      <c r="AA404" s="567" t="str">
        <f t="shared" si="247"/>
        <v>SIM</v>
      </c>
      <c r="AB404" s="350"/>
      <c r="AC404" s="309" t="s">
        <v>3932</v>
      </c>
      <c r="AD404" s="311" t="s">
        <v>982</v>
      </c>
      <c r="AE404" s="382" t="s">
        <v>2261</v>
      </c>
      <c r="AF404" s="310" t="s">
        <v>6985</v>
      </c>
      <c r="AG404" s="310" t="s">
        <v>2251</v>
      </c>
      <c r="AH404" s="310" t="s">
        <v>1100</v>
      </c>
      <c r="AI404" s="309" t="s">
        <v>2255</v>
      </c>
      <c r="AJ404" s="6" t="s">
        <v>6786</v>
      </c>
      <c r="AK404" s="6" t="str">
        <f t="shared" si="224"/>
        <v>IGUAL</v>
      </c>
      <c r="AL404" s="151" t="str">
        <f>IFERROR(IF(LEFT(A404,3)="LCP",VLOOKUP(A404,STATUS_SAP_LCP!B:C,2,FALSE),VLOOKUP(A404,STATUS_SAP_ICP!B:C,2,FALSE)),"NO BUDGET")</f>
        <v>REL  BUDG AUC   //  APPR BREL EXPL</v>
      </c>
      <c r="AM404" s="6" t="str">
        <f t="shared" si="223"/>
        <v xml:space="preserve">REL </v>
      </c>
      <c r="AN404" s="414" t="s">
        <v>18973</v>
      </c>
      <c r="AO404" s="414"/>
      <c r="AP404" s="499" t="s">
        <v>5299</v>
      </c>
      <c r="AQ404" s="465">
        <v>45838</v>
      </c>
      <c r="AR404" s="460"/>
      <c r="AS404" s="57"/>
      <c r="AT404" s="185"/>
      <c r="AU404" s="318">
        <v>0</v>
      </c>
      <c r="AV404" s="223">
        <v>7.8631100000000007</v>
      </c>
      <c r="AW404" s="318">
        <v>4398.1836299999995</v>
      </c>
      <c r="AX404" s="223">
        <v>105.35505999999999</v>
      </c>
      <c r="AY404" s="318">
        <f t="shared" si="214"/>
        <v>129.25856999999999</v>
      </c>
      <c r="AZ404" s="223"/>
      <c r="BA404" s="318"/>
      <c r="BB404" s="519">
        <f t="shared" si="219"/>
        <v>93.7</v>
      </c>
      <c r="BC404" s="518">
        <v>34</v>
      </c>
      <c r="BD404" s="518">
        <v>59.7</v>
      </c>
      <c r="BE404" s="518">
        <v>0</v>
      </c>
      <c r="BF404" s="518">
        <v>0</v>
      </c>
      <c r="BG404" s="518">
        <v>0</v>
      </c>
      <c r="BH404" s="518">
        <v>0</v>
      </c>
      <c r="BI404" s="518">
        <v>0</v>
      </c>
      <c r="BJ404" s="518">
        <v>0</v>
      </c>
      <c r="BK404" s="518">
        <v>0</v>
      </c>
      <c r="BL404" s="518">
        <v>0</v>
      </c>
      <c r="BM404" s="518">
        <v>0</v>
      </c>
      <c r="BN404" s="518">
        <v>0</v>
      </c>
      <c r="BO404" s="367">
        <f t="shared" si="225"/>
        <v>129.25856999999999</v>
      </c>
      <c r="BP404" s="421">
        <v>34</v>
      </c>
      <c r="BQ404" s="422">
        <v>8.7367699999999999</v>
      </c>
      <c r="BR404" s="423">
        <f>IFERROR(IF(LEFT($A404,3)="Lcp",SUMIFS('BASE-LCP'!$K:$K,'BASE-LCP'!$A:$A,Capex!$A263,'BASE-LCP'!$B:$B,"janeiro")/1000,IF(LEFT($A404,3)="icp",SUMIFS('BASE-ICP'!$K:$K,'BASE-ICP'!$A:$A,Capex!$A263,'BASE-ICP'!$B:$B,"janeiro")/1000,"")),"")</f>
        <v>0</v>
      </c>
      <c r="BS404" s="427">
        <v>8.7367699999999999</v>
      </c>
      <c r="BT404" s="372">
        <v>24.3</v>
      </c>
      <c r="BU404" s="422"/>
      <c r="BV404" s="423">
        <f>IFERROR(IF(LEFT($A404,3)="Lcp",SUMIFS('BASE-LCP'!$K:$K,'BASE-LCP'!$A:$A,Capex!$A263,'BASE-LCP'!$B:$B,"fevereiro")/1000,IF(LEFT($A404,3)="icp",SUMIFS('BASE-ICP'!$K:$K,'BASE-ICP'!$A:$A,Capex!$A263,'BASE-ICP'!$B:$B,"fevereiro")/1000,"")),"")</f>
        <v>0</v>
      </c>
      <c r="BW404" s="427">
        <v>0</v>
      </c>
      <c r="BX404" s="372">
        <v>24.3</v>
      </c>
      <c r="BY404" s="419"/>
      <c r="BZ404" s="423">
        <f>IFERROR(IF(LEFT($A404,3)="Lcp",SUMIFS('BASE-LCP'!$K:$K,'BASE-LCP'!$A:$A,Capex!$A263,'BASE-LCP'!$B:$B,"março")/1000,IF(LEFT($A404,3)="icp",SUMIFS('BASE-ICP'!$K:$K,'BASE-ICP'!$A:$A,Capex!$A263,'BASE-ICP'!$B:$B,"março")/1000,"")),"")</f>
        <v>0</v>
      </c>
      <c r="CA404" s="427">
        <v>0</v>
      </c>
      <c r="CB404" s="372">
        <v>24.3</v>
      </c>
      <c r="CC404" s="422">
        <v>6.2336899999999993</v>
      </c>
      <c r="CD404" s="423">
        <f>IFERROR(IF(LEFT($A404,3)="Lcp",SUMIFS('BASE-LCP'!$K:$K,'BASE-LCP'!$A:$A,Capex!$A263,'BASE-LCP'!$B:$B,"abril")/1000,IF(LEFT($A404,3)="icp",SUMIFS('BASE-ICP'!$K:$K,'BASE-ICP'!$A:$A,Capex!$A263,'BASE-ICP'!$B:$B,"abril")/1000,"")),"")</f>
        <v>0</v>
      </c>
      <c r="CE404" s="427">
        <v>6.2336899999999993</v>
      </c>
      <c r="CF404" s="372">
        <v>55.8</v>
      </c>
      <c r="CG404" s="419">
        <v>49.06118</v>
      </c>
      <c r="CH404" s="423">
        <v>49.06118</v>
      </c>
      <c r="CI404" s="427">
        <v>49.06118</v>
      </c>
      <c r="CJ404" s="372">
        <v>36.9</v>
      </c>
      <c r="CK404" s="419">
        <v>26.326930000000001</v>
      </c>
      <c r="CL404" s="423">
        <f>IFERROR(IF(LEFT($A404,3)="Lcp",SUMIFS('BASE-LCP'!$K:$K,'BASE-LCP'!$A:$A,Capex!$A263,'BASE-LCP'!$B:$B,"junho")/1000,IF(LEFT($A404,3)="icp",SUMIFS('BASE-ICP'!$K:$K,'BASE-ICP'!$A:$A,Capex!$A263,'BASE-ICP'!$B:$B,"junho")/1000,"")),"")</f>
        <v>0</v>
      </c>
      <c r="CM404" s="427">
        <v>26.326930000000001</v>
      </c>
      <c r="CN404" s="372"/>
      <c r="CO404" s="419"/>
      <c r="CP404" s="423">
        <f>IFERROR(IF(LEFT($A404,3)="Lcp",SUMIFS('BASE-LCP'!$K:$K,'BASE-LCP'!$A:$A,Capex!$A263,'BASE-LCP'!$B:$B,"julho")/1000,IF(LEFT($A404,3)="icp",SUMIFS('BASE-ICP'!$K:$K,'BASE-ICP'!$A:$A,Capex!$A263,'BASE-ICP'!$B:$B,"julho")/1000,"")),"")</f>
        <v>0</v>
      </c>
      <c r="CQ404" s="427">
        <v>36.9</v>
      </c>
      <c r="CR404" s="372"/>
      <c r="CS404" s="419"/>
      <c r="CT404" s="423">
        <f>IFERROR(IF(LEFT($A404,3)="Lcp",SUMIFS('BASE-LCP'!$K:$K,'BASE-LCP'!$A:$A,Capex!$A263,'BASE-LCP'!$B:$B,"agosto")/1000,IF(LEFT($A404,3)="icp",SUMIFS('BASE-ICP'!$K:$K,'BASE-ICP'!$A:$A,Capex!$A263,'BASE-ICP'!$B:$B,"agosto")/1000,"")),"")</f>
        <v>0</v>
      </c>
      <c r="CU404" s="427">
        <v>2</v>
      </c>
      <c r="CV404" s="372"/>
      <c r="CW404" s="419"/>
      <c r="CX404" s="423">
        <f>IFERROR(IF(LEFT($A404,3)="Lcp",SUMIFS('BASE-LCP'!$K:$K,'BASE-LCP'!$A:$A,Capex!$A263,'BASE-LCP'!$B:$B,"setembro")/1000,IF(LEFT($A404,3)="icp",SUMIFS('BASE-ICP'!$K:$K,'BASE-ICP'!$A:$A,Capex!$A263,'BASE-ICP'!$B:$B,"setembro")/1000,"")),"")</f>
        <v>0</v>
      </c>
      <c r="CY404" s="427">
        <v>0</v>
      </c>
      <c r="CZ404" s="372"/>
      <c r="DA404" s="419"/>
      <c r="DB404" s="423">
        <f>IFERROR(IF(LEFT($A404,3)="Lcp",SUMIFS('BASE-LCP'!$K:$K,'BASE-LCP'!$A:$A,Capex!$A263,'BASE-LCP'!$B:$B,"outubro")/1000,IF(LEFT($A404,3)="icp",SUMIFS('BASE-ICP'!$K:$K,'BASE-ICP'!$A:$A,Capex!$A263,'BASE-ICP'!$B:$B,"outubro")/1000,"")),"")</f>
        <v>0</v>
      </c>
      <c r="DC404" s="427">
        <v>0</v>
      </c>
      <c r="DD404" s="372"/>
      <c r="DE404" s="419"/>
      <c r="DF404" s="423">
        <f>IFERROR(IF(LEFT($A404,3)="Lcp",SUMIFS('BASE-LCP'!$K:$K,'BASE-LCP'!$A:$A,Capex!$A263,'BASE-LCP'!$B:$B,"novembro")/1000,IF(LEFT($A404,3)="icp",SUMIFS('BASE-ICP'!$K:$K,'BASE-ICP'!$A:$A,Capex!$A263,'BASE-ICP'!$B:$B,"novembro")/1000,"")),"")</f>
        <v>0</v>
      </c>
      <c r="DG404" s="427">
        <v>0</v>
      </c>
      <c r="DH404" s="372"/>
      <c r="DI404" s="419"/>
      <c r="DJ404" s="423">
        <f>IFERROR(IF(LEFT($A404,3)="Lcp",SUMIFS('BASE-LCP'!$K:$K,'BASE-LCP'!$A:$A,Capex!$A263,'BASE-LCP'!$B:$B,"dezembro")/1000,IF(LEFT($A404,3)="icp",SUMIFS('BASE-ICP'!$K:$K,'BASE-ICP'!$A:$A,Capex!$A263,'BASE-ICP'!$B:$B,"dezembro")/1000,"")),"")</f>
        <v>0</v>
      </c>
      <c r="DK404" s="427">
        <v>0</v>
      </c>
      <c r="DL404" s="452">
        <f t="shared" si="226"/>
        <v>0</v>
      </c>
      <c r="DM404" s="374"/>
      <c r="DN404" s="374">
        <v>0</v>
      </c>
      <c r="DO404" s="374"/>
      <c r="DP404" s="374"/>
      <c r="DQ404" s="374"/>
      <c r="DR404" s="374"/>
      <c r="DS404" s="374"/>
      <c r="DT404" s="374"/>
      <c r="DU404" s="374"/>
      <c r="DV404" s="374"/>
      <c r="DW404" s="374"/>
      <c r="DX404" s="374"/>
      <c r="DY404" s="450"/>
      <c r="DZ404" s="374">
        <f t="shared" si="227"/>
        <v>0</v>
      </c>
      <c r="EA404" s="216">
        <f t="shared" si="228"/>
        <v>-10.573069999999998</v>
      </c>
      <c r="EB404" s="320">
        <f t="shared" si="229"/>
        <v>-26.326930000000001</v>
      </c>
      <c r="EC404" s="241">
        <f t="shared" si="230"/>
        <v>8.7367699999999999</v>
      </c>
      <c r="ED404" s="241">
        <f t="shared" si="231"/>
        <v>81.621800000000007</v>
      </c>
      <c r="EE404" s="241">
        <f t="shared" si="232"/>
        <v>38.9</v>
      </c>
      <c r="EF404" s="241">
        <f t="shared" si="233"/>
        <v>0</v>
      </c>
      <c r="EG404" s="346">
        <f t="shared" si="234"/>
        <v>35.558569999999989</v>
      </c>
      <c r="EH404" s="445">
        <f t="shared" si="235"/>
        <v>55.8</v>
      </c>
      <c r="EI404" s="447">
        <f t="shared" si="236"/>
        <v>49.06118</v>
      </c>
      <c r="EJ404" s="364">
        <f t="shared" si="237"/>
        <v>64.031639999999996</v>
      </c>
      <c r="EK404" s="365">
        <f t="shared" si="238"/>
        <v>65.226929999999996</v>
      </c>
      <c r="EL404" s="529">
        <f t="shared" si="239"/>
        <v>102.93163999999999</v>
      </c>
      <c r="EM404" s="530">
        <v>8.7367699999999999</v>
      </c>
      <c r="EN404" s="530">
        <v>0</v>
      </c>
      <c r="EO404" s="530">
        <v>0</v>
      </c>
      <c r="EP404" s="530">
        <v>6.2336899999999993</v>
      </c>
      <c r="EQ404" s="530">
        <v>49.06118</v>
      </c>
      <c r="ER404" s="530">
        <v>36.9</v>
      </c>
      <c r="ES404" s="530">
        <v>2</v>
      </c>
      <c r="ET404" s="530">
        <v>0</v>
      </c>
      <c r="EU404" s="530">
        <v>0</v>
      </c>
      <c r="EV404" s="530">
        <v>0</v>
      </c>
      <c r="EW404" s="530">
        <v>0</v>
      </c>
      <c r="EX404" s="530">
        <v>0</v>
      </c>
      <c r="EY404" s="530">
        <f t="shared" si="240"/>
        <v>8.7367699999999999</v>
      </c>
      <c r="EZ404" s="530">
        <f t="shared" si="241"/>
        <v>92.194870000000009</v>
      </c>
      <c r="FA404" s="530">
        <f t="shared" si="242"/>
        <v>2</v>
      </c>
      <c r="FB404" s="530">
        <f t="shared" si="243"/>
        <v>0</v>
      </c>
      <c r="FC404" s="384">
        <f>IFERROR(VLOOKUP(Capex!A263,BASE_558!D:R,8,FALSE)/1000,"")</f>
        <v>166.76900000000001</v>
      </c>
      <c r="FD404" s="328">
        <f>IFERROR(VLOOKUP(Capex!A263,BASE_558!D:R,9,)/1000,"")</f>
        <v>160.70892000000001</v>
      </c>
      <c r="FE404" s="328">
        <f>IFERROR(IF(LEFT(A404,3)="LCP",(VLOOKUP(Capex!A263,BASE_558!D:R,10,)/1000),SUMIFS('BASE ICP_PO_SC'!F:F,'BASE ICP_PO_SC'!A:A,Capex!A263,'BASE ICP_PO_SC'!E:E,"&lt;&gt;")/1000),"")</f>
        <v>0</v>
      </c>
      <c r="FF404" s="328">
        <f>IFERROR(IF(LEFT(A404,3)="LCP",(VLOOKUP(Capex!A263,BASE_558!D:R,11,)/1000),SUMIFS('BASE ICP_PO_SC'!F:F,'BASE ICP_PO_SC'!A:A,Capex!A263,'BASE ICP_PO_SC'!E:E,"")/1000),"")</f>
        <v>0</v>
      </c>
      <c r="FG404" s="328">
        <f>IFERROR(VLOOKUP(A404,BASE_558!D:R,13,FALSE)/1000,"")</f>
        <v>4650.6853200000005</v>
      </c>
      <c r="FH404" s="328">
        <f>IFERROR(VLOOKUP(A404,BASE_558!D:R,15,FALSE)/1000,"")</f>
        <v>538.48218000000008</v>
      </c>
      <c r="FI404" s="547">
        <f t="shared" si="244"/>
        <v>10.573070000000001</v>
      </c>
      <c r="FJ404" s="547">
        <f t="shared" si="245"/>
        <v>-36.9</v>
      </c>
      <c r="FK404" s="540">
        <f t="shared" si="246"/>
        <v>0</v>
      </c>
    </row>
    <row r="405" spans="1:167" s="23" customFormat="1" ht="24" customHeight="1">
      <c r="A405" s="310" t="s">
        <v>7437</v>
      </c>
      <c r="B405" s="404"/>
      <c r="C405" s="404"/>
      <c r="D405" s="338"/>
      <c r="E405" s="378">
        <v>9277825</v>
      </c>
      <c r="F405" s="5"/>
      <c r="G405" s="310" t="s">
        <v>8</v>
      </c>
      <c r="H405" s="356"/>
      <c r="I405" s="356"/>
      <c r="J405" s="356">
        <v>2025</v>
      </c>
      <c r="K405" s="321">
        <v>45685</v>
      </c>
      <c r="L405" s="321"/>
      <c r="M405" s="409"/>
      <c r="N405" s="317">
        <f t="shared" si="217"/>
        <v>46597</v>
      </c>
      <c r="O405" s="317">
        <f t="shared" si="218"/>
        <v>46962</v>
      </c>
      <c r="P405" s="418" t="str">
        <f t="shared" si="247"/>
        <v>NÃO</v>
      </c>
      <c r="Q405" s="418" t="str">
        <f t="shared" si="247"/>
        <v>NÃO</v>
      </c>
      <c r="R405" s="418" t="str">
        <f t="shared" si="247"/>
        <v>NÃO</v>
      </c>
      <c r="S405" s="418" t="str">
        <f t="shared" si="247"/>
        <v>NÃO</v>
      </c>
      <c r="T405" s="418" t="str">
        <f t="shared" si="247"/>
        <v>NÃO</v>
      </c>
      <c r="U405" s="418" t="str">
        <f t="shared" si="247"/>
        <v>NÃO</v>
      </c>
      <c r="V405" s="418" t="str">
        <f t="shared" si="247"/>
        <v>NÃO</v>
      </c>
      <c r="W405" s="418" t="str">
        <f t="shared" si="247"/>
        <v>NÃO</v>
      </c>
      <c r="X405" s="418" t="str">
        <f t="shared" si="247"/>
        <v>NÃO</v>
      </c>
      <c r="Y405" s="418" t="str">
        <f t="shared" si="247"/>
        <v>NÃO</v>
      </c>
      <c r="Z405" s="418" t="str">
        <f t="shared" si="247"/>
        <v>NÃO</v>
      </c>
      <c r="AA405" s="418" t="str">
        <f t="shared" si="247"/>
        <v>NÃO</v>
      </c>
      <c r="AB405" s="350"/>
      <c r="AC405" s="309" t="s">
        <v>2508</v>
      </c>
      <c r="AD405" s="311"/>
      <c r="AE405" s="382"/>
      <c r="AF405" s="310" t="s">
        <v>6985</v>
      </c>
      <c r="AG405" s="310" t="s">
        <v>6882</v>
      </c>
      <c r="AH405" s="310" t="s">
        <v>7438</v>
      </c>
      <c r="AI405" s="381" t="s">
        <v>2255</v>
      </c>
      <c r="AJ405" s="6" t="s">
        <v>6786</v>
      </c>
      <c r="AK405" s="6" t="str">
        <f t="shared" si="224"/>
        <v>IGUAL</v>
      </c>
      <c r="AL405" s="151" t="str">
        <f>IFERROR(IF(LEFT(A405,3)="LCP",VLOOKUP(A405,STATUS_SAP_LCP!B:C,2,FALSE),VLOOKUP(A405,STATUS_SAP_ICP!B:C,2,FALSE)),"NO BUDGET")</f>
        <v>REL  BUDG AUC  AVAC  //  APPR BNRL INPL</v>
      </c>
      <c r="AM405" s="6" t="str">
        <f t="shared" si="223"/>
        <v xml:space="preserve">REL </v>
      </c>
      <c r="AN405" s="414" t="s">
        <v>15952</v>
      </c>
      <c r="AO405" s="414"/>
      <c r="AP405" s="499" t="s">
        <v>9616</v>
      </c>
      <c r="AQ405" s="465">
        <v>46022</v>
      </c>
      <c r="AR405" s="460"/>
      <c r="AS405" s="57"/>
      <c r="AT405" s="185"/>
      <c r="AU405" s="318"/>
      <c r="AV405" s="223"/>
      <c r="AW405" s="318"/>
      <c r="AX405" s="223"/>
      <c r="AY405" s="318">
        <f t="shared" si="214"/>
        <v>70</v>
      </c>
      <c r="AZ405" s="223"/>
      <c r="BA405" s="318"/>
      <c r="BB405" s="519">
        <f t="shared" si="219"/>
        <v>0</v>
      </c>
      <c r="BC405" s="518"/>
      <c r="BD405" s="518"/>
      <c r="BE405" s="518"/>
      <c r="BF405" s="518"/>
      <c r="BG405" s="518"/>
      <c r="BH405" s="518"/>
      <c r="BI405" s="518"/>
      <c r="BJ405" s="518"/>
      <c r="BK405" s="518"/>
      <c r="BL405" s="518"/>
      <c r="BM405" s="518"/>
      <c r="BN405" s="518"/>
      <c r="BO405" s="367">
        <f t="shared" si="225"/>
        <v>70</v>
      </c>
      <c r="BP405" s="421"/>
      <c r="BQ405" s="422"/>
      <c r="BR405" s="423">
        <f>IFERROR(IF(LEFT($A405,3)="Lcp",SUMIFS('BASE-LCP'!$K:$K,'BASE-LCP'!$A:$A,Capex!$A379,'BASE-LCP'!$B:$B,"janeiro")/1000,IF(LEFT($A405,3)="icp",SUMIFS('BASE-ICP'!$K:$K,'BASE-ICP'!$A:$A,Capex!$A379,'BASE-ICP'!$B:$B,"janeiro")/1000,"")),"")</f>
        <v>0</v>
      </c>
      <c r="BS405" s="427"/>
      <c r="BT405" s="372"/>
      <c r="BU405" s="422"/>
      <c r="BV405" s="423">
        <f>IFERROR(IF(LEFT($A405,3)="Lcp",SUMIFS('BASE-LCP'!$K:$K,'BASE-LCP'!$A:$A,Capex!$A379,'BASE-LCP'!$B:$B,"fevereiro")/1000,IF(LEFT($A405,3)="icp",SUMIFS('BASE-ICP'!$K:$K,'BASE-ICP'!$A:$A,Capex!$A379,'BASE-ICP'!$B:$B,"fevereiro")/1000,"")),"")</f>
        <v>0</v>
      </c>
      <c r="BW405" s="427"/>
      <c r="BX405" s="372"/>
      <c r="BY405" s="419"/>
      <c r="BZ405" s="423">
        <f>IFERROR(IF(LEFT($A405,3)="Lcp",SUMIFS('BASE-LCP'!$K:$K,'BASE-LCP'!$A:$A,Capex!$A379,'BASE-LCP'!$B:$B,"março")/1000,IF(LEFT($A405,3)="icp",SUMIFS('BASE-ICP'!$K:$K,'BASE-ICP'!$A:$A,Capex!$A379,'BASE-ICP'!$B:$B,"março")/1000,"")),"")</f>
        <v>0</v>
      </c>
      <c r="CA405" s="427"/>
      <c r="CB405" s="372"/>
      <c r="CC405" s="422"/>
      <c r="CD405" s="423">
        <f>IFERROR(IF(LEFT($A405,3)="Lcp",SUMIFS('BASE-LCP'!$K:$K,'BASE-LCP'!$A:$A,Capex!$A379,'BASE-LCP'!$B:$B,"abril")/1000,IF(LEFT($A405,3)="icp",SUMIFS('BASE-ICP'!$K:$K,'BASE-ICP'!$A:$A,Capex!$A379,'BASE-ICP'!$B:$B,"abril")/1000,"")),"")</f>
        <v>0</v>
      </c>
      <c r="CE405" s="427"/>
      <c r="CF405" s="372"/>
      <c r="CG405" s="419"/>
      <c r="CH405" s="423">
        <v>0</v>
      </c>
      <c r="CI405" s="427"/>
      <c r="CJ405" s="372"/>
      <c r="CK405" s="419"/>
      <c r="CL405" s="423">
        <f>IFERROR(IF(LEFT($A405,3)="Lcp",SUMIFS('BASE-LCP'!$K:$K,'BASE-LCP'!$A:$A,Capex!$A379,'BASE-LCP'!$B:$B,"junho")/1000,IF(LEFT($A405,3)="icp",SUMIFS('BASE-ICP'!$K:$K,'BASE-ICP'!$A:$A,Capex!$A379,'BASE-ICP'!$B:$B,"junho")/1000,"")),"")</f>
        <v>0</v>
      </c>
      <c r="CM405" s="427"/>
      <c r="CN405" s="372"/>
      <c r="CO405" s="419"/>
      <c r="CP405" s="423">
        <f>IFERROR(IF(LEFT($A405,3)="Lcp",SUMIFS('BASE-LCP'!$K:$K,'BASE-LCP'!$A:$A,Capex!$A379,'BASE-LCP'!$B:$B,"julho")/1000,IF(LEFT($A405,3)="icp",SUMIFS('BASE-ICP'!$K:$K,'BASE-ICP'!$A:$A,Capex!$A379,'BASE-ICP'!$B:$B,"julho")/1000,"")),"")</f>
        <v>0</v>
      </c>
      <c r="CQ405" s="427"/>
      <c r="CR405" s="372"/>
      <c r="CS405" s="419"/>
      <c r="CT405" s="423">
        <f>IFERROR(IF(LEFT($A405,3)="Lcp",SUMIFS('BASE-LCP'!$K:$K,'BASE-LCP'!$A:$A,Capex!$A379,'BASE-LCP'!$B:$B,"agosto")/1000,IF(LEFT($A405,3)="icp",SUMIFS('BASE-ICP'!$K:$K,'BASE-ICP'!$A:$A,Capex!$A379,'BASE-ICP'!$B:$B,"agosto")/1000,"")),"")</f>
        <v>0</v>
      </c>
      <c r="CU405" s="427">
        <v>37</v>
      </c>
      <c r="CV405" s="372"/>
      <c r="CW405" s="419"/>
      <c r="CX405" s="423">
        <f>IFERROR(IF(LEFT($A405,3)="Lcp",SUMIFS('BASE-LCP'!$K:$K,'BASE-LCP'!$A:$A,Capex!$A379,'BASE-LCP'!$B:$B,"setembro")/1000,IF(LEFT($A405,3)="icp",SUMIFS('BASE-ICP'!$K:$K,'BASE-ICP'!$A:$A,Capex!$A379,'BASE-ICP'!$B:$B,"setembro")/1000,"")),"")</f>
        <v>0</v>
      </c>
      <c r="CY405" s="427"/>
      <c r="CZ405" s="372"/>
      <c r="DA405" s="419"/>
      <c r="DB405" s="423">
        <f>IFERROR(IF(LEFT($A405,3)="Lcp",SUMIFS('BASE-LCP'!$K:$K,'BASE-LCP'!$A:$A,Capex!$A379,'BASE-LCP'!$B:$B,"outubro")/1000,IF(LEFT($A405,3)="icp",SUMIFS('BASE-ICP'!$K:$K,'BASE-ICP'!$A:$A,Capex!$A379,'BASE-ICP'!$B:$B,"outubro")/1000,"")),"")</f>
        <v>0</v>
      </c>
      <c r="DC405" s="427">
        <f>63-37</f>
        <v>26</v>
      </c>
      <c r="DD405" s="372"/>
      <c r="DE405" s="419"/>
      <c r="DF405" s="423">
        <f>IFERROR(IF(LEFT($A405,3)="Lcp",SUMIFS('BASE-LCP'!$K:$K,'BASE-LCP'!$A:$A,Capex!$A379,'BASE-LCP'!$B:$B,"novembro")/1000,IF(LEFT($A405,3)="icp",SUMIFS('BASE-ICP'!$K:$K,'BASE-ICP'!$A:$A,Capex!$A379,'BASE-ICP'!$B:$B,"novembro")/1000,"")),"")</f>
        <v>0</v>
      </c>
      <c r="DG405" s="427"/>
      <c r="DH405" s="372"/>
      <c r="DI405" s="419"/>
      <c r="DJ405" s="423">
        <f>IFERROR(IF(LEFT($A405,3)="Lcp",SUMIFS('BASE-LCP'!$K:$K,'BASE-LCP'!$A:$A,Capex!$A379,'BASE-LCP'!$B:$B,"dezembro")/1000,IF(LEFT($A405,3)="icp",SUMIFS('BASE-ICP'!$K:$K,'BASE-ICP'!$A:$A,Capex!$A379,'BASE-ICP'!$B:$B,"dezembro")/1000,"")),"")</f>
        <v>0</v>
      </c>
      <c r="DK405" s="427">
        <v>7</v>
      </c>
      <c r="DL405" s="452">
        <f t="shared" si="226"/>
        <v>0</v>
      </c>
      <c r="DM405" s="374"/>
      <c r="DN405" s="374"/>
      <c r="DO405" s="374"/>
      <c r="DP405" s="374"/>
      <c r="DQ405" s="374"/>
      <c r="DR405" s="374"/>
      <c r="DS405" s="374"/>
      <c r="DT405" s="374"/>
      <c r="DU405" s="374"/>
      <c r="DV405" s="374"/>
      <c r="DW405" s="374"/>
      <c r="DX405" s="374"/>
      <c r="DY405" s="450"/>
      <c r="DZ405" s="374">
        <f t="shared" si="227"/>
        <v>0</v>
      </c>
      <c r="EA405" s="216">
        <f t="shared" si="228"/>
        <v>0</v>
      </c>
      <c r="EB405" s="320">
        <f t="shared" si="229"/>
        <v>0</v>
      </c>
      <c r="EC405" s="241">
        <f t="shared" si="230"/>
        <v>0</v>
      </c>
      <c r="ED405" s="241">
        <f t="shared" si="231"/>
        <v>0</v>
      </c>
      <c r="EE405" s="241">
        <f t="shared" si="232"/>
        <v>37</v>
      </c>
      <c r="EF405" s="241">
        <f t="shared" si="233"/>
        <v>33</v>
      </c>
      <c r="EG405" s="346">
        <f t="shared" si="234"/>
        <v>70</v>
      </c>
      <c r="EH405" s="445">
        <f t="shared" si="235"/>
        <v>0</v>
      </c>
      <c r="EI405" s="447">
        <f t="shared" si="236"/>
        <v>0</v>
      </c>
      <c r="EJ405" s="364">
        <f t="shared" si="237"/>
        <v>0</v>
      </c>
      <c r="EK405" s="365">
        <f t="shared" si="238"/>
        <v>70</v>
      </c>
      <c r="EL405" s="529">
        <f t="shared" si="239"/>
        <v>70</v>
      </c>
      <c r="EM405" s="530">
        <v>0</v>
      </c>
      <c r="EN405" s="530">
        <v>0</v>
      </c>
      <c r="EO405" s="530">
        <v>0</v>
      </c>
      <c r="EP405" s="530">
        <v>0</v>
      </c>
      <c r="EQ405" s="530">
        <v>0</v>
      </c>
      <c r="ER405" s="530">
        <v>0</v>
      </c>
      <c r="ES405" s="530">
        <v>0</v>
      </c>
      <c r="ET405" s="530">
        <v>0</v>
      </c>
      <c r="EU405" s="530">
        <v>0</v>
      </c>
      <c r="EV405" s="530">
        <v>63</v>
      </c>
      <c r="EW405" s="530">
        <v>0</v>
      </c>
      <c r="EX405" s="530">
        <v>7</v>
      </c>
      <c r="EY405" s="530">
        <f t="shared" si="240"/>
        <v>0</v>
      </c>
      <c r="EZ405" s="530">
        <f t="shared" si="241"/>
        <v>0</v>
      </c>
      <c r="FA405" s="530">
        <f t="shared" si="242"/>
        <v>0</v>
      </c>
      <c r="FB405" s="530">
        <f t="shared" si="243"/>
        <v>70</v>
      </c>
      <c r="FC405" s="384">
        <f>IFERROR(VLOOKUP(Capex!A379,BASE_558!D:R,8,FALSE)/1000,"")</f>
        <v>284.22500000000002</v>
      </c>
      <c r="FD405" s="328">
        <f>IFERROR(VLOOKUP(Capex!A379,BASE_558!D:R,9,)/1000,"")</f>
        <v>0</v>
      </c>
      <c r="FE405" s="328">
        <f>IFERROR(IF(LEFT(A405,3)="LCP",(VLOOKUP(Capex!A379,BASE_558!D:R,10,)/1000),SUMIFS('BASE ICP_PO_SC'!F:F,'BASE ICP_PO_SC'!A:A,Capex!A379,'BASE ICP_PO_SC'!E:E,"&lt;&gt;")/1000),"")</f>
        <v>0</v>
      </c>
      <c r="FF405" s="328">
        <f>IFERROR(IF(LEFT(A405,3)="LCP",(VLOOKUP(Capex!A379,BASE_558!D:R,11,)/1000),SUMIFS('BASE ICP_PO_SC'!F:F,'BASE ICP_PO_SC'!A:A,Capex!A379,'BASE ICP_PO_SC'!E:E,"")/1000),"")</f>
        <v>170.76824999999999</v>
      </c>
      <c r="FG405" s="328">
        <f>IFERROR(VLOOKUP(A405,BASE_558!D:R,13,FALSE)/1000,"")</f>
        <v>49.974510000000002</v>
      </c>
      <c r="FH405" s="328">
        <f>IFERROR(VLOOKUP(A405,BASE_558!D:R,15,FALSE)/1000,"")</f>
        <v>19.193490000000001</v>
      </c>
      <c r="FI405" s="547">
        <f t="shared" si="244"/>
        <v>0</v>
      </c>
      <c r="FJ405" s="547">
        <f t="shared" si="245"/>
        <v>-37</v>
      </c>
      <c r="FK405" s="540">
        <f t="shared" si="246"/>
        <v>37</v>
      </c>
    </row>
    <row r="406" spans="1:167" s="23" customFormat="1" ht="24" customHeight="1">
      <c r="A406" s="309" t="s">
        <v>6815</v>
      </c>
      <c r="B406" s="404" t="s">
        <v>3211</v>
      </c>
      <c r="C406" s="404"/>
      <c r="D406" s="338"/>
      <c r="E406" s="378"/>
      <c r="F406" s="5"/>
      <c r="G406" s="310" t="s">
        <v>9</v>
      </c>
      <c r="H406" s="356"/>
      <c r="I406" s="356"/>
      <c r="J406" s="356">
        <v>2024</v>
      </c>
      <c r="K406" s="321"/>
      <c r="L406" s="322"/>
      <c r="M406" s="409"/>
      <c r="N406" s="317" t="str">
        <f t="shared" si="217"/>
        <v/>
      </c>
      <c r="O406" s="317" t="str">
        <f t="shared" si="218"/>
        <v/>
      </c>
      <c r="P406" s="418" t="str">
        <f t="shared" si="247"/>
        <v>N/A</v>
      </c>
      <c r="Q406" s="418" t="str">
        <f t="shared" si="247"/>
        <v>N/A</v>
      </c>
      <c r="R406" s="418" t="str">
        <f t="shared" si="247"/>
        <v>N/A</v>
      </c>
      <c r="S406" s="418" t="str">
        <f t="shared" si="247"/>
        <v>N/A</v>
      </c>
      <c r="T406" s="418" t="str">
        <f t="shared" si="247"/>
        <v>N/A</v>
      </c>
      <c r="U406" s="418" t="str">
        <f t="shared" si="247"/>
        <v>N/A</v>
      </c>
      <c r="V406" s="418" t="str">
        <f t="shared" si="247"/>
        <v>N/A</v>
      </c>
      <c r="W406" s="418" t="str">
        <f t="shared" si="247"/>
        <v>N/A</v>
      </c>
      <c r="X406" s="418" t="str">
        <f t="shared" si="247"/>
        <v>N/A</v>
      </c>
      <c r="Y406" s="418" t="str">
        <f t="shared" si="247"/>
        <v>N/A</v>
      </c>
      <c r="Z406" s="418" t="str">
        <f t="shared" si="247"/>
        <v>N/A</v>
      </c>
      <c r="AA406" s="418" t="str">
        <f t="shared" si="247"/>
        <v>N/A</v>
      </c>
      <c r="AB406" s="350"/>
      <c r="AC406" s="309" t="s">
        <v>3932</v>
      </c>
      <c r="AD406" s="311"/>
      <c r="AE406" s="382"/>
      <c r="AF406" s="310" t="s">
        <v>6988</v>
      </c>
      <c r="AG406" s="262" t="s">
        <v>2251</v>
      </c>
      <c r="AH406" s="310" t="s">
        <v>3213</v>
      </c>
      <c r="AI406" s="309" t="s">
        <v>2255</v>
      </c>
      <c r="AJ406" s="6" t="s">
        <v>6786</v>
      </c>
      <c r="AK406" s="6" t="str">
        <f t="shared" si="224"/>
        <v>IGUAL</v>
      </c>
      <c r="AL406" s="151" t="str">
        <f>IFERROR(IF(LEFT(A406,3)="LCP",VLOOKUP(A406,STATUS_SAP_LCP!B:C,2,FALSE),VLOOKUP(A406,STATUS_SAP_ICP!B:C,2,FALSE)),"NO BUDGET")</f>
        <v>REL  BUDG AVAC  //  BREL WPLI</v>
      </c>
      <c r="AM406" s="6" t="str">
        <f t="shared" si="223"/>
        <v xml:space="preserve">REL </v>
      </c>
      <c r="AN406" s="414" t="s">
        <v>16347</v>
      </c>
      <c r="AO406" s="414"/>
      <c r="AP406" s="499" t="s">
        <v>9616</v>
      </c>
      <c r="AQ406" s="464"/>
      <c r="AR406" s="460"/>
      <c r="AS406" s="57"/>
      <c r="AT406" s="185"/>
      <c r="AU406" s="318"/>
      <c r="AV406" s="223"/>
      <c r="AW406" s="318"/>
      <c r="AX406" s="223">
        <v>2.9100000000000001E-2</v>
      </c>
      <c r="AY406" s="318">
        <f t="shared" si="214"/>
        <v>-2.6810000000001555E-2</v>
      </c>
      <c r="AZ406" s="223"/>
      <c r="BA406" s="318"/>
      <c r="BB406" s="519">
        <f t="shared" si="219"/>
        <v>0</v>
      </c>
      <c r="BC406" s="518">
        <v>0</v>
      </c>
      <c r="BD406" s="518">
        <v>0</v>
      </c>
      <c r="BE406" s="518">
        <v>0</v>
      </c>
      <c r="BF406" s="518">
        <v>0</v>
      </c>
      <c r="BG406" s="518">
        <v>0</v>
      </c>
      <c r="BH406" s="518">
        <v>0</v>
      </c>
      <c r="BI406" s="518">
        <v>0</v>
      </c>
      <c r="BJ406" s="518">
        <v>0</v>
      </c>
      <c r="BK406" s="518">
        <v>0</v>
      </c>
      <c r="BL406" s="518">
        <v>0</v>
      </c>
      <c r="BM406" s="518">
        <v>0</v>
      </c>
      <c r="BN406" s="518">
        <v>0</v>
      </c>
      <c r="BO406" s="367">
        <f t="shared" si="225"/>
        <v>-2.6810000000001555E-2</v>
      </c>
      <c r="BP406" s="421">
        <v>0</v>
      </c>
      <c r="BQ406" s="422">
        <v>0.13880999999999999</v>
      </c>
      <c r="BR406" s="423">
        <f>IFERROR(IF(LEFT($A406,3)="Lcp",SUMIFS('BASE-LCP'!$K:$K,'BASE-LCP'!$A:$A,Capex!$A59,'BASE-LCP'!$B:$B,"janeiro")/1000,IF(LEFT($A406,3)="icp",SUMIFS('BASE-ICP'!$K:$K,'BASE-ICP'!$A:$A,Capex!$A59,'BASE-ICP'!$B:$B,"janeiro")/1000,"")),"")</f>
        <v>0</v>
      </c>
      <c r="BS406" s="427">
        <v>0.13880999999999999</v>
      </c>
      <c r="BT406" s="372">
        <v>100</v>
      </c>
      <c r="BU406" s="422">
        <v>0</v>
      </c>
      <c r="BV406" s="423">
        <f>IFERROR(IF(LEFT($A406,3)="Lcp",SUMIFS('BASE-LCP'!$K:$K,'BASE-LCP'!$A:$A,Capex!$A59,'BASE-LCP'!$B:$B,"fevereiro")/1000,IF(LEFT($A406,3)="icp",SUMIFS('BASE-ICP'!$K:$K,'BASE-ICP'!$A:$A,Capex!$A59,'BASE-ICP'!$B:$B,"fevereiro")/1000,"")),"")</f>
        <v>0</v>
      </c>
      <c r="BW406" s="427"/>
      <c r="BX406" s="372">
        <v>100</v>
      </c>
      <c r="BY406" s="419">
        <v>0.34300000000000003</v>
      </c>
      <c r="BZ406" s="423">
        <f>IFERROR(IF(LEFT($A406,3)="Lcp",SUMIFS('BASE-LCP'!$K:$K,'BASE-LCP'!$A:$A,Capex!$A59,'BASE-LCP'!$B:$B,"março")/1000,IF(LEFT($A406,3)="icp",SUMIFS('BASE-ICP'!$K:$K,'BASE-ICP'!$A:$A,Capex!$A59,'BASE-ICP'!$B:$B,"março")/1000,"")),"")</f>
        <v>0</v>
      </c>
      <c r="CA406" s="427">
        <v>0.34300000000000003</v>
      </c>
      <c r="CB406" s="372">
        <v>100</v>
      </c>
      <c r="CC406" s="422"/>
      <c r="CD406" s="423">
        <f>IFERROR(IF(LEFT($A406,3)="Lcp",SUMIFS('BASE-LCP'!$K:$K,'BASE-LCP'!$A:$A,Capex!$A59,'BASE-LCP'!$B:$B,"abril")/1000,IF(LEFT($A406,3)="icp",SUMIFS('BASE-ICP'!$K:$K,'BASE-ICP'!$A:$A,Capex!$A59,'BASE-ICP'!$B:$B,"abril")/1000,"")),"")</f>
        <v>0</v>
      </c>
      <c r="CE406" s="427">
        <v>91.673240000000007</v>
      </c>
      <c r="CF406" s="372">
        <v>-91.3</v>
      </c>
      <c r="CG406" s="419">
        <f>CH406</f>
        <v>0.88813999999999982</v>
      </c>
      <c r="CH406" s="423">
        <v>0.88813999999999982</v>
      </c>
      <c r="CI406" s="427">
        <v>0.88813999999999982</v>
      </c>
      <c r="CJ406" s="372">
        <v>0</v>
      </c>
      <c r="CK406" s="419"/>
      <c r="CL406" s="423">
        <f>IFERROR(IF(LEFT($A406,3)="Lcp",SUMIFS('BASE-LCP'!$K:$K,'BASE-LCP'!$A:$A,Capex!$A59,'BASE-LCP'!$B:$B,"junho")/1000,IF(LEFT($A406,3)="icp",SUMIFS('BASE-ICP'!$K:$K,'BASE-ICP'!$A:$A,Capex!$A59,'BASE-ICP'!$B:$B,"junho")/1000,"")),"")</f>
        <v>0</v>
      </c>
      <c r="CM406" s="427">
        <v>-91.3</v>
      </c>
      <c r="CN406" s="372"/>
      <c r="CO406" s="419"/>
      <c r="CP406" s="423">
        <f>IFERROR(IF(LEFT($A406,3)="Lcp",SUMIFS('BASE-LCP'!$K:$K,'BASE-LCP'!$A:$A,Capex!$A59,'BASE-LCP'!$B:$B,"julho")/1000,IF(LEFT($A406,3)="icp",SUMIFS('BASE-ICP'!$K:$K,'BASE-ICP'!$A:$A,Capex!$A59,'BASE-ICP'!$B:$B,"julho")/1000,"")),"")</f>
        <v>0</v>
      </c>
      <c r="CQ406" s="427">
        <v>0</v>
      </c>
      <c r="CR406" s="372"/>
      <c r="CS406" s="419"/>
      <c r="CT406" s="423">
        <f>IFERROR(IF(LEFT($A406,3)="Lcp",SUMIFS('BASE-LCP'!$K:$K,'BASE-LCP'!$A:$A,Capex!$A59,'BASE-LCP'!$B:$B,"agosto")/1000,IF(LEFT($A406,3)="icp",SUMIFS('BASE-ICP'!$K:$K,'BASE-ICP'!$A:$A,Capex!$A59,'BASE-ICP'!$B:$B,"agosto")/1000,"")),"")</f>
        <v>0</v>
      </c>
      <c r="CU406" s="427">
        <v>0</v>
      </c>
      <c r="CV406" s="372"/>
      <c r="CW406" s="419"/>
      <c r="CX406" s="423">
        <f>IFERROR(IF(LEFT($A406,3)="Lcp",SUMIFS('BASE-LCP'!$K:$K,'BASE-LCP'!$A:$A,Capex!$A59,'BASE-LCP'!$B:$B,"setembro")/1000,IF(LEFT($A406,3)="icp",SUMIFS('BASE-ICP'!$K:$K,'BASE-ICP'!$A:$A,Capex!$A59,'BASE-ICP'!$B:$B,"setembro")/1000,"")),"")</f>
        <v>0</v>
      </c>
      <c r="CY406" s="427">
        <v>-1.77</v>
      </c>
      <c r="CZ406" s="372"/>
      <c r="DA406" s="419"/>
      <c r="DB406" s="423">
        <f>IFERROR(IF(LEFT($A406,3)="Lcp",SUMIFS('BASE-LCP'!$K:$K,'BASE-LCP'!$A:$A,Capex!$A59,'BASE-LCP'!$B:$B,"outubro")/1000,IF(LEFT($A406,3)="icp",SUMIFS('BASE-ICP'!$K:$K,'BASE-ICP'!$A:$A,Capex!$A59,'BASE-ICP'!$B:$B,"outubro")/1000,"")),"")</f>
        <v>0</v>
      </c>
      <c r="DC406" s="427">
        <v>0</v>
      </c>
      <c r="DD406" s="372"/>
      <c r="DE406" s="419"/>
      <c r="DF406" s="423">
        <f>IFERROR(IF(LEFT($A406,3)="Lcp",SUMIFS('BASE-LCP'!$K:$K,'BASE-LCP'!$A:$A,Capex!$A59,'BASE-LCP'!$B:$B,"novembro")/1000,IF(LEFT($A406,3)="icp",SUMIFS('BASE-ICP'!$K:$K,'BASE-ICP'!$A:$A,Capex!$A59,'BASE-ICP'!$B:$B,"novembro")/1000,"")),"")</f>
        <v>0</v>
      </c>
      <c r="DG406" s="427">
        <v>0</v>
      </c>
      <c r="DH406" s="372"/>
      <c r="DI406" s="419"/>
      <c r="DJ406" s="423">
        <f>IFERROR(IF(LEFT($A406,3)="Lcp",SUMIFS('BASE-LCP'!$K:$K,'BASE-LCP'!$A:$A,Capex!$A59,'BASE-LCP'!$B:$B,"dezembro")/1000,IF(LEFT($A406,3)="icp",SUMIFS('BASE-ICP'!$K:$K,'BASE-ICP'!$A:$A,Capex!$A59,'BASE-ICP'!$B:$B,"dezembro")/1000,"")),"")</f>
        <v>0</v>
      </c>
      <c r="DK406" s="427">
        <v>0</v>
      </c>
      <c r="DL406" s="452">
        <f t="shared" si="226"/>
        <v>0</v>
      </c>
      <c r="DM406" s="374"/>
      <c r="DN406" s="374"/>
      <c r="DO406" s="374"/>
      <c r="DP406" s="374"/>
      <c r="DQ406" s="374"/>
      <c r="DR406" s="374"/>
      <c r="DS406" s="374"/>
      <c r="DT406" s="374"/>
      <c r="DU406" s="374"/>
      <c r="DV406" s="374"/>
      <c r="DW406" s="374"/>
      <c r="DX406" s="374"/>
      <c r="DY406" s="450"/>
      <c r="DZ406" s="374">
        <f t="shared" si="227"/>
        <v>0</v>
      </c>
      <c r="EA406" s="216">
        <f t="shared" si="228"/>
        <v>-91.3</v>
      </c>
      <c r="EB406" s="320">
        <f t="shared" si="229"/>
        <v>91.3</v>
      </c>
      <c r="EC406" s="241">
        <f t="shared" si="230"/>
        <v>0.48181000000000002</v>
      </c>
      <c r="ED406" s="241">
        <f t="shared" si="231"/>
        <v>1.2613800000000026</v>
      </c>
      <c r="EE406" s="241">
        <f t="shared" si="232"/>
        <v>-1.77</v>
      </c>
      <c r="EF406" s="241">
        <f t="shared" si="233"/>
        <v>0</v>
      </c>
      <c r="EG406" s="346">
        <f t="shared" si="234"/>
        <v>-2.6810000000001555E-2</v>
      </c>
      <c r="EH406" s="445">
        <f t="shared" si="235"/>
        <v>-91.3</v>
      </c>
      <c r="EI406" s="447">
        <f t="shared" si="236"/>
        <v>0.88813999999999982</v>
      </c>
      <c r="EJ406" s="364">
        <f t="shared" si="237"/>
        <v>93.043189999999996</v>
      </c>
      <c r="EK406" s="365">
        <f t="shared" si="238"/>
        <v>-93.07</v>
      </c>
      <c r="EL406" s="529">
        <f t="shared" si="239"/>
        <v>1.7431899999999985</v>
      </c>
      <c r="EM406" s="530">
        <v>0.13880999999999999</v>
      </c>
      <c r="EN406" s="530">
        <v>0</v>
      </c>
      <c r="EO406" s="530">
        <v>0.34300000000000003</v>
      </c>
      <c r="EP406" s="530">
        <v>91.673240000000007</v>
      </c>
      <c r="EQ406" s="530">
        <v>0.88813999999999982</v>
      </c>
      <c r="ER406" s="530">
        <v>0</v>
      </c>
      <c r="ES406" s="530">
        <v>0</v>
      </c>
      <c r="ET406" s="530">
        <v>0</v>
      </c>
      <c r="EU406" s="530">
        <v>-91.3</v>
      </c>
      <c r="EV406" s="530">
        <v>0</v>
      </c>
      <c r="EW406" s="530">
        <v>0</v>
      </c>
      <c r="EX406" s="530">
        <v>0</v>
      </c>
      <c r="EY406" s="530">
        <f t="shared" si="240"/>
        <v>0.48181000000000002</v>
      </c>
      <c r="EZ406" s="530">
        <f t="shared" si="241"/>
        <v>92.56138</v>
      </c>
      <c r="FA406" s="530">
        <f t="shared" si="242"/>
        <v>-91.3</v>
      </c>
      <c r="FB406" s="530">
        <f t="shared" si="243"/>
        <v>0</v>
      </c>
      <c r="FC406" s="384" t="str">
        <f>IFERROR(VLOOKUP(Capex!A59,BASE_558!D:R,8,FALSE)/1000,"")</f>
        <v/>
      </c>
      <c r="FD406" s="328" t="str">
        <f>IFERROR(VLOOKUP(Capex!A59,BASE_558!D:R,9,)/1000,"")</f>
        <v/>
      </c>
      <c r="FE406" s="328">
        <f>IFERROR(IF(LEFT(A406,3)="LCP",(VLOOKUP(Capex!A59,BASE_558!D:R,10,)/1000),SUMIFS('BASE ICP_PO_SC'!F:F,'BASE ICP_PO_SC'!A:A,Capex!A59,'BASE ICP_PO_SC'!E:E,"&lt;&gt;")/1000),"")</f>
        <v>0</v>
      </c>
      <c r="FF406" s="328">
        <f>IFERROR(IF(LEFT(A406,3)="LCP",(VLOOKUP(Capex!A59,BASE_558!D:R,11,)/1000),SUMIFS('BASE ICP_PO_SC'!F:F,'BASE ICP_PO_SC'!A:A,Capex!A59,'BASE ICP_PO_SC'!E:E,"")/1000),"")</f>
        <v>0</v>
      </c>
      <c r="FG406" s="328" t="str">
        <f>IFERROR(VLOOKUP(A406,BASE_558!D:R,13,FALSE)/1000,"")</f>
        <v/>
      </c>
      <c r="FH406" s="328" t="str">
        <f>IFERROR(VLOOKUP(A406,BASE_558!D:R,15,FALSE)/1000,"")</f>
        <v/>
      </c>
      <c r="FI406" s="547">
        <f t="shared" si="244"/>
        <v>91.3</v>
      </c>
      <c r="FJ406" s="547">
        <f t="shared" si="245"/>
        <v>-89.53</v>
      </c>
      <c r="FK406" s="540">
        <f t="shared" si="246"/>
        <v>0</v>
      </c>
    </row>
    <row r="407" spans="1:167" s="23" customFormat="1" ht="24" customHeight="1">
      <c r="A407" s="309" t="s">
        <v>2725</v>
      </c>
      <c r="B407" s="404" t="s">
        <v>2693</v>
      </c>
      <c r="C407" s="404"/>
      <c r="D407" s="338"/>
      <c r="E407" s="378"/>
      <c r="F407" s="5"/>
      <c r="G407" s="310" t="s">
        <v>9</v>
      </c>
      <c r="H407" s="356"/>
      <c r="I407" s="356"/>
      <c r="J407" s="356">
        <v>2024</v>
      </c>
      <c r="K407" s="321"/>
      <c r="L407" s="322"/>
      <c r="M407" s="409"/>
      <c r="N407" s="317" t="str">
        <f t="shared" si="217"/>
        <v/>
      </c>
      <c r="O407" s="317" t="str">
        <f t="shared" si="218"/>
        <v/>
      </c>
      <c r="P407" s="418" t="str">
        <f t="shared" si="247"/>
        <v>N/A</v>
      </c>
      <c r="Q407" s="418" t="str">
        <f t="shared" si="247"/>
        <v>N/A</v>
      </c>
      <c r="R407" s="418" t="str">
        <f t="shared" si="247"/>
        <v>N/A</v>
      </c>
      <c r="S407" s="418" t="str">
        <f t="shared" si="247"/>
        <v>N/A</v>
      </c>
      <c r="T407" s="418" t="str">
        <f t="shared" si="247"/>
        <v>N/A</v>
      </c>
      <c r="U407" s="418" t="str">
        <f t="shared" si="247"/>
        <v>N/A</v>
      </c>
      <c r="V407" s="418" t="str">
        <f t="shared" si="247"/>
        <v>N/A</v>
      </c>
      <c r="W407" s="418" t="str">
        <f t="shared" si="247"/>
        <v>N/A</v>
      </c>
      <c r="X407" s="418" t="str">
        <f t="shared" si="247"/>
        <v>N/A</v>
      </c>
      <c r="Y407" s="418" t="str">
        <f t="shared" si="247"/>
        <v>N/A</v>
      </c>
      <c r="Z407" s="418" t="str">
        <f t="shared" si="247"/>
        <v>N/A</v>
      </c>
      <c r="AA407" s="418" t="str">
        <f t="shared" si="247"/>
        <v>N/A</v>
      </c>
      <c r="AB407" s="350"/>
      <c r="AC407" s="309" t="s">
        <v>3932</v>
      </c>
      <c r="AD407" s="311"/>
      <c r="AE407" s="382"/>
      <c r="AF407" s="310" t="s">
        <v>6988</v>
      </c>
      <c r="AG407" s="310" t="s">
        <v>2079</v>
      </c>
      <c r="AH407" s="310" t="s">
        <v>2695</v>
      </c>
      <c r="AI407" s="381" t="s">
        <v>183</v>
      </c>
      <c r="AJ407" s="6" t="s">
        <v>6786</v>
      </c>
      <c r="AK407" s="6" t="str">
        <f t="shared" si="224"/>
        <v>IGUAL</v>
      </c>
      <c r="AL407" s="151" t="str">
        <f>IFERROR(IF(LEFT(A407,3)="LCP",VLOOKUP(A407,STATUS_SAP_LCP!B:C,2,FALSE),VLOOKUP(A407,STATUS_SAP_ICP!B:C,2,FALSE)),"NO BUDGET")</f>
        <v>REL  BUDG AVAC  //  BREL WPLI</v>
      </c>
      <c r="AM407" s="6" t="str">
        <f t="shared" si="223"/>
        <v xml:space="preserve">REL </v>
      </c>
      <c r="AN407" s="414" t="s">
        <v>8886</v>
      </c>
      <c r="AO407" s="414"/>
      <c r="AP407" s="499" t="s">
        <v>9616</v>
      </c>
      <c r="AQ407" s="464"/>
      <c r="AR407" s="460"/>
      <c r="AS407" s="57"/>
      <c r="AT407" s="185"/>
      <c r="AU407" s="318"/>
      <c r="AV407" s="223"/>
      <c r="AW407" s="318"/>
      <c r="AX407" s="223">
        <v>26.519410000000004</v>
      </c>
      <c r="AY407" s="318">
        <f t="shared" si="214"/>
        <v>-26.517999999999994</v>
      </c>
      <c r="AZ407" s="223"/>
      <c r="BA407" s="318"/>
      <c r="BB407" s="519">
        <f t="shared" si="219"/>
        <v>-23.599999999999994</v>
      </c>
      <c r="BC407" s="518">
        <v>92.4</v>
      </c>
      <c r="BD407" s="518">
        <v>-116</v>
      </c>
      <c r="BE407" s="518">
        <v>0</v>
      </c>
      <c r="BF407" s="518">
        <v>0</v>
      </c>
      <c r="BG407" s="518">
        <v>0</v>
      </c>
      <c r="BH407" s="518">
        <v>0</v>
      </c>
      <c r="BI407" s="518">
        <v>0</v>
      </c>
      <c r="BJ407" s="518">
        <v>0</v>
      </c>
      <c r="BK407" s="518">
        <v>0</v>
      </c>
      <c r="BL407" s="518">
        <v>0</v>
      </c>
      <c r="BM407" s="518">
        <v>0</v>
      </c>
      <c r="BN407" s="518">
        <v>0</v>
      </c>
      <c r="BO407" s="367">
        <f t="shared" si="225"/>
        <v>-26.517999999999994</v>
      </c>
      <c r="BP407" s="421">
        <v>92.4</v>
      </c>
      <c r="BQ407" s="422">
        <v>6.9400000000000003E-2</v>
      </c>
      <c r="BR407" s="423">
        <f>IFERROR(IF(LEFT($A407,3)="Lcp",SUMIFS('BASE-LCP'!$K:$K,'BASE-LCP'!$A:$A,Capex!$A56,'BASE-LCP'!$B:$B,"janeiro")/1000,IF(LEFT($A407,3)="icp",SUMIFS('BASE-ICP'!$K:$K,'BASE-ICP'!$A:$A,Capex!$A56,'BASE-ICP'!$B:$B,"janeiro")/1000,"")),"")</f>
        <v>0</v>
      </c>
      <c r="BS407" s="427">
        <v>6.9400000000000003E-2</v>
      </c>
      <c r="BT407" s="372">
        <v>92.4</v>
      </c>
      <c r="BU407" s="422">
        <v>90.785469999999989</v>
      </c>
      <c r="BV407" s="423">
        <f>IFERROR(IF(LEFT($A407,3)="Lcp",SUMIFS('BASE-LCP'!$K:$K,'BASE-LCP'!$A:$A,Capex!$A56,'BASE-LCP'!$B:$B,"fevereiro")/1000,IF(LEFT($A407,3)="icp",SUMIFS('BASE-ICP'!$K:$K,'BASE-ICP'!$A:$A,Capex!$A56,'BASE-ICP'!$B:$B,"fevereiro")/1000,"")),"")</f>
        <v>0</v>
      </c>
      <c r="BW407" s="427">
        <v>90.785469999999989</v>
      </c>
      <c r="BX407" s="372">
        <v>-116.8</v>
      </c>
      <c r="BY407" s="419">
        <v>6.8600000000005823E-2</v>
      </c>
      <c r="BZ407" s="423">
        <f>IFERROR(IF(LEFT($A407,3)="Lcp",SUMIFS('BASE-LCP'!$K:$K,'BASE-LCP'!$A:$A,Capex!$A56,'BASE-LCP'!$B:$B,"março")/1000,IF(LEFT($A407,3)="icp",SUMIFS('BASE-ICP'!$K:$K,'BASE-ICP'!$A:$A,Capex!$A56,'BASE-ICP'!$B:$B,"março")/1000,"")),"")</f>
        <v>0</v>
      </c>
      <c r="CA407" s="427">
        <v>6.8600000000005823E-2</v>
      </c>
      <c r="CB407" s="372">
        <v>-117</v>
      </c>
      <c r="CC407" s="422"/>
      <c r="CD407" s="423">
        <f>IFERROR(IF(LEFT($A407,3)="Lcp",SUMIFS('BASE-LCP'!$K:$K,'BASE-LCP'!$A:$A,Capex!$A56,'BASE-LCP'!$B:$B,"abril")/1000,IF(LEFT($A407,3)="icp",SUMIFS('BASE-ICP'!$K:$K,'BASE-ICP'!$A:$A,Capex!$A56,'BASE-ICP'!$B:$B,"abril")/1000,"")),"")</f>
        <v>-0.11788</v>
      </c>
      <c r="CE407" s="427">
        <v>3.6718899999999994</v>
      </c>
      <c r="CF407" s="372">
        <v>-121</v>
      </c>
      <c r="CG407" s="419">
        <f>CH407</f>
        <v>0</v>
      </c>
      <c r="CH407" s="423">
        <v>0</v>
      </c>
      <c r="CI407" s="427">
        <v>0</v>
      </c>
      <c r="CJ407" s="372">
        <v>0</v>
      </c>
      <c r="CK407" s="419"/>
      <c r="CL407" s="423">
        <f>IFERROR(IF(LEFT($A407,3)="Lcp",SUMIFS('BASE-LCP'!$K:$K,'BASE-LCP'!$A:$A,Capex!$A56,'BASE-LCP'!$B:$B,"junho")/1000,IF(LEFT($A407,3)="icp",SUMIFS('BASE-ICP'!$K:$K,'BASE-ICP'!$A:$A,Capex!$A56,'BASE-ICP'!$B:$B,"junho")/1000,"")),"")</f>
        <v>0</v>
      </c>
      <c r="CM407" s="427">
        <v>-116.21335999999999</v>
      </c>
      <c r="CN407" s="372"/>
      <c r="CO407" s="419"/>
      <c r="CP407" s="423">
        <f>IFERROR(IF(LEFT($A407,3)="Lcp",SUMIFS('BASE-LCP'!$K:$K,'BASE-LCP'!$A:$A,Capex!$A56,'BASE-LCP'!$B:$B,"julho")/1000,IF(LEFT($A407,3)="icp",SUMIFS('BASE-ICP'!$K:$K,'BASE-ICP'!$A:$A,Capex!$A56,'BASE-ICP'!$B:$B,"julho")/1000,"")),"")</f>
        <v>0</v>
      </c>
      <c r="CQ407" s="427">
        <v>0</v>
      </c>
      <c r="CR407" s="372"/>
      <c r="CS407" s="419"/>
      <c r="CT407" s="423">
        <f>IFERROR(IF(LEFT($A407,3)="Lcp",SUMIFS('BASE-LCP'!$K:$K,'BASE-LCP'!$A:$A,Capex!$A56,'BASE-LCP'!$B:$B,"agosto")/1000,IF(LEFT($A407,3)="icp",SUMIFS('BASE-ICP'!$K:$K,'BASE-ICP'!$A:$A,Capex!$A56,'BASE-ICP'!$B:$B,"agosto")/1000,"")),"")</f>
        <v>0</v>
      </c>
      <c r="CU407" s="427">
        <v>-4.9000000000000004</v>
      </c>
      <c r="CV407" s="372"/>
      <c r="CW407" s="419"/>
      <c r="CX407" s="423">
        <f>IFERROR(IF(LEFT($A407,3)="Lcp",SUMIFS('BASE-LCP'!$K:$K,'BASE-LCP'!$A:$A,Capex!$A56,'BASE-LCP'!$B:$B,"setembro")/1000,IF(LEFT($A407,3)="icp",SUMIFS('BASE-ICP'!$K:$K,'BASE-ICP'!$A:$A,Capex!$A56,'BASE-ICP'!$B:$B,"setembro")/1000,"")),"")</f>
        <v>0</v>
      </c>
      <c r="CY407" s="427">
        <v>0</v>
      </c>
      <c r="CZ407" s="372"/>
      <c r="DA407" s="419"/>
      <c r="DB407" s="423">
        <f>IFERROR(IF(LEFT($A407,3)="Lcp",SUMIFS('BASE-LCP'!$K:$K,'BASE-LCP'!$A:$A,Capex!$A56,'BASE-LCP'!$B:$B,"outubro")/1000,IF(LEFT($A407,3)="icp",SUMIFS('BASE-ICP'!$K:$K,'BASE-ICP'!$A:$A,Capex!$A56,'BASE-ICP'!$B:$B,"outubro")/1000,"")),"")</f>
        <v>0</v>
      </c>
      <c r="DC407" s="427">
        <v>0</v>
      </c>
      <c r="DD407" s="372"/>
      <c r="DE407" s="419"/>
      <c r="DF407" s="423">
        <f>IFERROR(IF(LEFT($A407,3)="Lcp",SUMIFS('BASE-LCP'!$K:$K,'BASE-LCP'!$A:$A,Capex!$A56,'BASE-LCP'!$B:$B,"novembro")/1000,IF(LEFT($A407,3)="icp",SUMIFS('BASE-ICP'!$K:$K,'BASE-ICP'!$A:$A,Capex!$A56,'BASE-ICP'!$B:$B,"novembro")/1000,"")),"")</f>
        <v>0</v>
      </c>
      <c r="DG407" s="427">
        <v>0</v>
      </c>
      <c r="DH407" s="372"/>
      <c r="DI407" s="419"/>
      <c r="DJ407" s="423">
        <f>IFERROR(IF(LEFT($A407,3)="Lcp",SUMIFS('BASE-LCP'!$K:$K,'BASE-LCP'!$A:$A,Capex!$A56,'BASE-LCP'!$B:$B,"dezembro")/1000,IF(LEFT($A407,3)="icp",SUMIFS('BASE-ICP'!$K:$K,'BASE-ICP'!$A:$A,Capex!$A56,'BASE-ICP'!$B:$B,"dezembro")/1000,"")),"")</f>
        <v>0</v>
      </c>
      <c r="DK407" s="427">
        <v>0</v>
      </c>
      <c r="DL407" s="452">
        <f t="shared" si="226"/>
        <v>0</v>
      </c>
      <c r="DM407" s="374"/>
      <c r="DN407" s="374">
        <v>0</v>
      </c>
      <c r="DO407" s="374"/>
      <c r="DP407" s="374"/>
      <c r="DQ407" s="374"/>
      <c r="DR407" s="374"/>
      <c r="DS407" s="374"/>
      <c r="DT407" s="374"/>
      <c r="DU407" s="374"/>
      <c r="DV407" s="374"/>
      <c r="DW407" s="374"/>
      <c r="DX407" s="374"/>
      <c r="DY407" s="450"/>
      <c r="DZ407" s="374">
        <f t="shared" si="227"/>
        <v>0</v>
      </c>
      <c r="EA407" s="216">
        <f t="shared" si="228"/>
        <v>-116.21335999999999</v>
      </c>
      <c r="EB407" s="320">
        <f t="shared" si="229"/>
        <v>116.21335999999999</v>
      </c>
      <c r="EC407" s="241">
        <f t="shared" si="230"/>
        <v>90.923469999999995</v>
      </c>
      <c r="ED407" s="241">
        <f t="shared" si="231"/>
        <v>-112.54146999999999</v>
      </c>
      <c r="EE407" s="241">
        <f t="shared" si="232"/>
        <v>-4.9000000000000004</v>
      </c>
      <c r="EF407" s="241">
        <f t="shared" si="233"/>
        <v>0</v>
      </c>
      <c r="EG407" s="346">
        <f t="shared" si="234"/>
        <v>-2.9179999999999993</v>
      </c>
      <c r="EH407" s="445">
        <f t="shared" si="235"/>
        <v>-121</v>
      </c>
      <c r="EI407" s="447">
        <f t="shared" si="236"/>
        <v>0</v>
      </c>
      <c r="EJ407" s="364">
        <f t="shared" si="237"/>
        <v>94.595359999999999</v>
      </c>
      <c r="EK407" s="365">
        <f t="shared" si="238"/>
        <v>-121.11336</v>
      </c>
      <c r="EL407" s="529">
        <f t="shared" si="239"/>
        <v>-26.404640000000001</v>
      </c>
      <c r="EM407" s="530">
        <v>6.9400000000000003E-2</v>
      </c>
      <c r="EN407" s="530">
        <v>90.785469999999989</v>
      </c>
      <c r="EO407" s="530">
        <v>6.8600000000005823E-2</v>
      </c>
      <c r="EP407" s="530">
        <v>3.6718899999999994</v>
      </c>
      <c r="EQ407" s="530">
        <v>0</v>
      </c>
      <c r="ER407" s="530">
        <v>0</v>
      </c>
      <c r="ES407" s="530">
        <v>0</v>
      </c>
      <c r="ET407" s="530">
        <v>-121</v>
      </c>
      <c r="EU407" s="530">
        <v>0</v>
      </c>
      <c r="EV407" s="530">
        <v>0</v>
      </c>
      <c r="EW407" s="530">
        <v>0</v>
      </c>
      <c r="EX407" s="530">
        <v>0</v>
      </c>
      <c r="EY407" s="530">
        <f t="shared" si="240"/>
        <v>90.923469999999995</v>
      </c>
      <c r="EZ407" s="530">
        <f t="shared" si="241"/>
        <v>3.6718899999999994</v>
      </c>
      <c r="FA407" s="530">
        <f t="shared" si="242"/>
        <v>-121</v>
      </c>
      <c r="FB407" s="530">
        <f t="shared" si="243"/>
        <v>0</v>
      </c>
      <c r="FC407" s="384" t="str">
        <f>IFERROR(VLOOKUP(Capex!A56,BASE_558!D:R,8,FALSE)/1000,"")</f>
        <v/>
      </c>
      <c r="FD407" s="328" t="str">
        <f>IFERROR(VLOOKUP(Capex!A56,BASE_558!D:R,9,)/1000,"")</f>
        <v/>
      </c>
      <c r="FE407" s="328">
        <f>IFERROR(IF(LEFT(A407,3)="LCP",(VLOOKUP(Capex!A56,BASE_558!D:R,10,)/1000),SUMIFS('BASE ICP_PO_SC'!F:F,'BASE ICP_PO_SC'!A:A,Capex!A56,'BASE ICP_PO_SC'!E:E,"&lt;&gt;")/1000),"")</f>
        <v>84.359660000000005</v>
      </c>
      <c r="FF407" s="328">
        <f>IFERROR(IF(LEFT(A407,3)="LCP",(VLOOKUP(Capex!A56,BASE_558!D:R,11,)/1000),SUMIFS('BASE ICP_PO_SC'!F:F,'BASE ICP_PO_SC'!A:A,Capex!A56,'BASE ICP_PO_SC'!E:E,"")/1000),"")</f>
        <v>0</v>
      </c>
      <c r="FG407" s="328" t="str">
        <f>IFERROR(VLOOKUP(A407,BASE_558!D:R,13,FALSE)/1000,"")</f>
        <v/>
      </c>
      <c r="FH407" s="328" t="str">
        <f>IFERROR(VLOOKUP(A407,BASE_558!D:R,15,FALSE)/1000,"")</f>
        <v/>
      </c>
      <c r="FI407" s="547">
        <f t="shared" si="244"/>
        <v>116.21335999999999</v>
      </c>
      <c r="FJ407" s="547">
        <f t="shared" si="245"/>
        <v>-116.1</v>
      </c>
      <c r="FK407" s="540">
        <f t="shared" si="246"/>
        <v>0</v>
      </c>
    </row>
    <row r="408" spans="1:167" s="23" customFormat="1" ht="24" customHeight="1">
      <c r="A408" s="309" t="s">
        <v>2681</v>
      </c>
      <c r="B408" s="404" t="s">
        <v>2619</v>
      </c>
      <c r="C408" s="404"/>
      <c r="D408" s="338"/>
      <c r="E408" s="378"/>
      <c r="F408" s="5"/>
      <c r="G408" s="310" t="s">
        <v>9</v>
      </c>
      <c r="H408" s="356"/>
      <c r="I408" s="356"/>
      <c r="J408" s="356">
        <v>2024</v>
      </c>
      <c r="K408" s="321"/>
      <c r="L408" s="322"/>
      <c r="M408" s="409"/>
      <c r="N408" s="317" t="str">
        <f t="shared" si="217"/>
        <v/>
      </c>
      <c r="O408" s="317" t="str">
        <f t="shared" si="218"/>
        <v/>
      </c>
      <c r="P408" s="418" t="str">
        <f t="shared" si="247"/>
        <v>N/A</v>
      </c>
      <c r="Q408" s="418" t="str">
        <f t="shared" si="247"/>
        <v>N/A</v>
      </c>
      <c r="R408" s="418" t="str">
        <f t="shared" si="247"/>
        <v>N/A</v>
      </c>
      <c r="S408" s="418" t="str">
        <f t="shared" si="247"/>
        <v>N/A</v>
      </c>
      <c r="T408" s="418" t="str">
        <f t="shared" si="247"/>
        <v>N/A</v>
      </c>
      <c r="U408" s="418" t="str">
        <f t="shared" si="247"/>
        <v>N/A</v>
      </c>
      <c r="V408" s="418" t="str">
        <f t="shared" si="247"/>
        <v>N/A</v>
      </c>
      <c r="W408" s="418" t="str">
        <f t="shared" si="247"/>
        <v>N/A</v>
      </c>
      <c r="X408" s="418" t="str">
        <f t="shared" si="247"/>
        <v>N/A</v>
      </c>
      <c r="Y408" s="418" t="str">
        <f t="shared" si="247"/>
        <v>N/A</v>
      </c>
      <c r="Z408" s="418" t="str">
        <f t="shared" si="247"/>
        <v>N/A</v>
      </c>
      <c r="AA408" s="418" t="str">
        <f t="shared" si="247"/>
        <v>N/A</v>
      </c>
      <c r="AB408" s="350"/>
      <c r="AC408" s="309" t="s">
        <v>3932</v>
      </c>
      <c r="AD408" s="311"/>
      <c r="AE408" s="382"/>
      <c r="AF408" s="310" t="s">
        <v>6988</v>
      </c>
      <c r="AG408" s="310" t="s">
        <v>3215</v>
      </c>
      <c r="AH408" s="310" t="s">
        <v>2620</v>
      </c>
      <c r="AI408" s="381" t="s">
        <v>316</v>
      </c>
      <c r="AJ408" s="6" t="s">
        <v>6786</v>
      </c>
      <c r="AK408" s="6" t="str">
        <f t="shared" si="224"/>
        <v>IGUAL</v>
      </c>
      <c r="AL408" s="151" t="str">
        <f>IFERROR(IF(LEFT(A408,3)="LCP",VLOOKUP(A408,STATUS_SAP_LCP!B:C,2,FALSE),VLOOKUP(A408,STATUS_SAP_ICP!B:C,2,FALSE)),"NO BUDGET")</f>
        <v>REL  BUDG AVAC  //  BREL WPLI</v>
      </c>
      <c r="AM408" s="6" t="str">
        <f t="shared" si="223"/>
        <v xml:space="preserve">REL </v>
      </c>
      <c r="AN408" s="414" t="s">
        <v>18534</v>
      </c>
      <c r="AO408" s="414"/>
      <c r="AP408" s="499" t="s">
        <v>9616</v>
      </c>
      <c r="AQ408" s="464"/>
      <c r="AR408" s="460"/>
      <c r="AS408" s="57"/>
      <c r="AT408" s="185"/>
      <c r="AU408" s="318"/>
      <c r="AV408" s="223"/>
      <c r="AW408" s="318"/>
      <c r="AX408" s="223">
        <v>0</v>
      </c>
      <c r="AY408" s="318">
        <f t="shared" si="214"/>
        <v>3.1623400000000004</v>
      </c>
      <c r="AZ408" s="223"/>
      <c r="BA408" s="318"/>
      <c r="BB408" s="519">
        <f t="shared" si="219"/>
        <v>0</v>
      </c>
      <c r="BC408" s="518">
        <v>0</v>
      </c>
      <c r="BD408" s="518">
        <v>0</v>
      </c>
      <c r="BE408" s="518">
        <v>0</v>
      </c>
      <c r="BF408" s="518">
        <v>0</v>
      </c>
      <c r="BG408" s="518">
        <v>0</v>
      </c>
      <c r="BH408" s="518">
        <v>0</v>
      </c>
      <c r="BI408" s="518">
        <v>0</v>
      </c>
      <c r="BJ408" s="518">
        <v>0</v>
      </c>
      <c r="BK408" s="518">
        <v>0</v>
      </c>
      <c r="BL408" s="518">
        <v>0</v>
      </c>
      <c r="BM408" s="518">
        <v>0</v>
      </c>
      <c r="BN408" s="518">
        <v>0</v>
      </c>
      <c r="BO408" s="367">
        <f t="shared" si="225"/>
        <v>3.1623400000000004</v>
      </c>
      <c r="BP408" s="421">
        <v>0</v>
      </c>
      <c r="BQ408" s="422">
        <v>0</v>
      </c>
      <c r="BR408" s="423">
        <f>IFERROR(IF(LEFT($A408,3)="Lcp",SUMIFS('BASE-LCP'!$K:$K,'BASE-LCP'!$A:$A,Capex!$A54,'BASE-LCP'!$B:$B,"janeiro")/1000,IF(LEFT($A408,3)="icp",SUMIFS('BASE-ICP'!$K:$K,'BASE-ICP'!$A:$A,Capex!$A54,'BASE-ICP'!$B:$B,"janeiro")/1000,"")),"")</f>
        <v>0</v>
      </c>
      <c r="BS408" s="427">
        <v>0</v>
      </c>
      <c r="BT408" s="372">
        <v>0</v>
      </c>
      <c r="BU408" s="422">
        <v>0</v>
      </c>
      <c r="BV408" s="423">
        <f>IFERROR(IF(LEFT($A408,3)="Lcp",SUMIFS('BASE-LCP'!$K:$K,'BASE-LCP'!$A:$A,Capex!$A54,'BASE-LCP'!$B:$B,"fevereiro")/1000,IF(LEFT($A408,3)="icp",SUMIFS('BASE-ICP'!$K:$K,'BASE-ICP'!$A:$A,Capex!$A54,'BASE-ICP'!$B:$B,"fevereiro")/1000,"")),"")</f>
        <v>0</v>
      </c>
      <c r="BW408" s="427">
        <v>0</v>
      </c>
      <c r="BX408" s="372">
        <v>0</v>
      </c>
      <c r="BY408" s="419">
        <v>0.54880000000000007</v>
      </c>
      <c r="BZ408" s="423">
        <f>IFERROR(IF(LEFT($A408,3)="Lcp",SUMIFS('BASE-LCP'!$K:$K,'BASE-LCP'!$A:$A,Capex!$A54,'BASE-LCP'!$B:$B,"março")/1000,IF(LEFT($A408,3)="icp",SUMIFS('BASE-ICP'!$K:$K,'BASE-ICP'!$A:$A,Capex!$A54,'BASE-ICP'!$B:$B,"março")/1000,"")),"")</f>
        <v>0</v>
      </c>
      <c r="CA408" s="427">
        <v>0.54880000000000007</v>
      </c>
      <c r="CB408" s="372">
        <v>131</v>
      </c>
      <c r="CC408" s="422"/>
      <c r="CD408" s="423">
        <f>IFERROR(IF(LEFT($A408,3)="Lcp",SUMIFS('BASE-LCP'!$K:$K,'BASE-LCP'!$A:$A,Capex!$A54,'BASE-LCP'!$B:$B,"abril")/1000,IF(LEFT($A408,3)="icp",SUMIFS('BASE-ICP'!$K:$K,'BASE-ICP'!$A:$A,Capex!$A54,'BASE-ICP'!$B:$B,"abril")/1000,"")),"")</f>
        <v>0</v>
      </c>
      <c r="CE408" s="427">
        <v>0.13997000000000004</v>
      </c>
      <c r="CF408" s="372">
        <v>131</v>
      </c>
      <c r="CG408" s="419">
        <f>CH408</f>
        <v>0.11842</v>
      </c>
      <c r="CH408" s="423">
        <v>0.11842</v>
      </c>
      <c r="CI408" s="427">
        <v>0.11842</v>
      </c>
      <c r="CJ408" s="372">
        <v>0</v>
      </c>
      <c r="CK408" s="419"/>
      <c r="CL408" s="423">
        <f>IFERROR(IF(LEFT($A408,3)="Lcp",SUMIFS('BASE-LCP'!$K:$K,'BASE-LCP'!$A:$A,Capex!$A54,'BASE-LCP'!$B:$B,"junho")/1000,IF(LEFT($A408,3)="icp",SUMIFS('BASE-ICP'!$K:$K,'BASE-ICP'!$A:$A,Capex!$A54,'BASE-ICP'!$B:$B,"junho")/1000,"")),"")</f>
        <v>0</v>
      </c>
      <c r="CM408" s="427">
        <v>2.75515</v>
      </c>
      <c r="CN408" s="372"/>
      <c r="CO408" s="419"/>
      <c r="CP408" s="423">
        <f>IFERROR(IF(LEFT($A408,3)="Lcp",SUMIFS('BASE-LCP'!$K:$K,'BASE-LCP'!$A:$A,Capex!$A54,'BASE-LCP'!$B:$B,"julho")/1000,IF(LEFT($A408,3)="icp",SUMIFS('BASE-ICP'!$K:$K,'BASE-ICP'!$A:$A,Capex!$A54,'BASE-ICP'!$B:$B,"julho")/1000,"")),"")</f>
        <v>0</v>
      </c>
      <c r="CQ408" s="427">
        <v>0</v>
      </c>
      <c r="CR408" s="372"/>
      <c r="CS408" s="419"/>
      <c r="CT408" s="423">
        <f>IFERROR(IF(LEFT($A408,3)="Lcp",SUMIFS('BASE-LCP'!$K:$K,'BASE-LCP'!$A:$A,Capex!$A54,'BASE-LCP'!$B:$B,"agosto")/1000,IF(LEFT($A408,3)="icp",SUMIFS('BASE-ICP'!$K:$K,'BASE-ICP'!$A:$A,Capex!$A54,'BASE-ICP'!$B:$B,"agosto")/1000,"")),"")</f>
        <v>0</v>
      </c>
      <c r="CU408" s="427">
        <v>131</v>
      </c>
      <c r="CV408" s="372"/>
      <c r="CW408" s="419"/>
      <c r="CX408" s="423">
        <f>IFERROR(IF(LEFT($A408,3)="Lcp",SUMIFS('BASE-LCP'!$K:$K,'BASE-LCP'!$A:$A,Capex!$A54,'BASE-LCP'!$B:$B,"setembro")/1000,IF(LEFT($A408,3)="icp",SUMIFS('BASE-ICP'!$K:$K,'BASE-ICP'!$A:$A,Capex!$A54,'BASE-ICP'!$B:$B,"setembro")/1000,"")),"")</f>
        <v>0</v>
      </c>
      <c r="CY408" s="427">
        <v>23</v>
      </c>
      <c r="CZ408" s="372"/>
      <c r="DA408" s="419"/>
      <c r="DB408" s="423">
        <f>IFERROR(IF(LEFT($A408,3)="Lcp",SUMIFS('BASE-LCP'!$K:$K,'BASE-LCP'!$A:$A,Capex!$A54,'BASE-LCP'!$B:$B,"outubro")/1000,IF(LEFT($A408,3)="icp",SUMIFS('BASE-ICP'!$K:$K,'BASE-ICP'!$A:$A,Capex!$A54,'BASE-ICP'!$B:$B,"outubro")/1000,"")),"")</f>
        <v>0</v>
      </c>
      <c r="DC408" s="427">
        <f>-154-0.4</f>
        <v>-154.4</v>
      </c>
      <c r="DD408" s="372"/>
      <c r="DE408" s="419"/>
      <c r="DF408" s="423">
        <f>IFERROR(IF(LEFT($A408,3)="Lcp",SUMIFS('BASE-LCP'!$K:$K,'BASE-LCP'!$A:$A,Capex!$A54,'BASE-LCP'!$B:$B,"novembro")/1000,IF(LEFT($A408,3)="icp",SUMIFS('BASE-ICP'!$K:$K,'BASE-ICP'!$A:$A,Capex!$A54,'BASE-ICP'!$B:$B,"novembro")/1000,"")),"")</f>
        <v>0</v>
      </c>
      <c r="DG408" s="427">
        <v>0</v>
      </c>
      <c r="DH408" s="372"/>
      <c r="DI408" s="419"/>
      <c r="DJ408" s="423">
        <f>IFERROR(IF(LEFT($A408,3)="Lcp",SUMIFS('BASE-LCP'!$K:$K,'BASE-LCP'!$A:$A,Capex!$A54,'BASE-LCP'!$B:$B,"dezembro")/1000,IF(LEFT($A408,3)="icp",SUMIFS('BASE-ICP'!$K:$K,'BASE-ICP'!$A:$A,Capex!$A54,'BASE-ICP'!$B:$B,"dezembro")/1000,"")),"")</f>
        <v>0</v>
      </c>
      <c r="DK408" s="427">
        <v>0</v>
      </c>
      <c r="DL408" s="452">
        <f t="shared" si="226"/>
        <v>0</v>
      </c>
      <c r="DM408" s="374"/>
      <c r="DN408" s="374"/>
      <c r="DO408" s="374"/>
      <c r="DP408" s="374"/>
      <c r="DQ408" s="374"/>
      <c r="DR408" s="374"/>
      <c r="DS408" s="374"/>
      <c r="DT408" s="374"/>
      <c r="DU408" s="374"/>
      <c r="DV408" s="374"/>
      <c r="DW408" s="374"/>
      <c r="DX408" s="374"/>
      <c r="DY408" s="450"/>
      <c r="DZ408" s="374">
        <f t="shared" si="227"/>
        <v>0</v>
      </c>
      <c r="EA408" s="216">
        <f t="shared" si="228"/>
        <v>2.75515</v>
      </c>
      <c r="EB408" s="320">
        <f t="shared" si="229"/>
        <v>-2.75515</v>
      </c>
      <c r="EC408" s="241">
        <f t="shared" si="230"/>
        <v>0.54880000000000007</v>
      </c>
      <c r="ED408" s="241">
        <f t="shared" si="231"/>
        <v>3.0135399999999999</v>
      </c>
      <c r="EE408" s="241">
        <f t="shared" si="232"/>
        <v>154</v>
      </c>
      <c r="EF408" s="241">
        <f t="shared" si="233"/>
        <v>-154.4</v>
      </c>
      <c r="EG408" s="346">
        <f t="shared" si="234"/>
        <v>3.1623400000000004</v>
      </c>
      <c r="EH408" s="445">
        <f t="shared" si="235"/>
        <v>131</v>
      </c>
      <c r="EI408" s="447">
        <f t="shared" si="236"/>
        <v>0.11842</v>
      </c>
      <c r="EJ408" s="364">
        <f t="shared" si="237"/>
        <v>0.80719000000000007</v>
      </c>
      <c r="EK408" s="365">
        <f t="shared" si="238"/>
        <v>2.3551500000000001</v>
      </c>
      <c r="EL408" s="529">
        <f t="shared" si="239"/>
        <v>0.40718999999998573</v>
      </c>
      <c r="EM408" s="530">
        <v>0</v>
      </c>
      <c r="EN408" s="530">
        <v>0</v>
      </c>
      <c r="EO408" s="530">
        <v>0.54880000000000007</v>
      </c>
      <c r="EP408" s="530">
        <v>0.13997000000000004</v>
      </c>
      <c r="EQ408" s="530">
        <v>0.11842</v>
      </c>
      <c r="ER408" s="530">
        <v>0</v>
      </c>
      <c r="ES408" s="530">
        <v>131</v>
      </c>
      <c r="ET408" s="530">
        <v>23</v>
      </c>
      <c r="EU408" s="530">
        <v>-154.4</v>
      </c>
      <c r="EV408" s="530">
        <v>0</v>
      </c>
      <c r="EW408" s="530">
        <v>0</v>
      </c>
      <c r="EX408" s="530">
        <v>0</v>
      </c>
      <c r="EY408" s="530">
        <f t="shared" si="240"/>
        <v>0.54880000000000007</v>
      </c>
      <c r="EZ408" s="530">
        <f t="shared" si="241"/>
        <v>0.25839000000000001</v>
      </c>
      <c r="FA408" s="530">
        <f t="shared" si="242"/>
        <v>-0.40000000000000568</v>
      </c>
      <c r="FB408" s="530">
        <f t="shared" si="243"/>
        <v>0</v>
      </c>
      <c r="FC408" s="384" t="str">
        <f>IFERROR(VLOOKUP(Capex!A54,BASE_558!D:R,8,FALSE)/1000,"")</f>
        <v/>
      </c>
      <c r="FD408" s="328" t="str">
        <f>IFERROR(VLOOKUP(Capex!A54,BASE_558!D:R,9,)/1000,"")</f>
        <v/>
      </c>
      <c r="FE408" s="328">
        <f>IFERROR(IF(LEFT(A408,3)="LCP",(VLOOKUP(Capex!A54,BASE_558!D:R,10,)/1000),SUMIFS('BASE ICP_PO_SC'!F:F,'BASE ICP_PO_SC'!A:A,Capex!A54,'BASE ICP_PO_SC'!E:E,"&lt;&gt;")/1000),"")</f>
        <v>0</v>
      </c>
      <c r="FF408" s="328">
        <f>IFERROR(IF(LEFT(A408,3)="LCP",(VLOOKUP(Capex!A54,BASE_558!D:R,11,)/1000),SUMIFS('BASE ICP_PO_SC'!F:F,'BASE ICP_PO_SC'!A:A,Capex!A54,'BASE ICP_PO_SC'!E:E,"")/1000),"")</f>
        <v>0</v>
      </c>
      <c r="FG408" s="328" t="str">
        <f>IFERROR(VLOOKUP(A408,BASE_558!D:R,13,FALSE)/1000,"")</f>
        <v/>
      </c>
      <c r="FH408" s="328" t="str">
        <f>IFERROR(VLOOKUP(A408,BASE_558!D:R,15,FALSE)/1000,"")</f>
        <v/>
      </c>
      <c r="FI408" s="547">
        <f t="shared" si="244"/>
        <v>-2.75515</v>
      </c>
      <c r="FJ408" s="547">
        <f t="shared" si="245"/>
        <v>-154.4</v>
      </c>
      <c r="FK408" s="540">
        <f t="shared" si="246"/>
        <v>154.4</v>
      </c>
    </row>
    <row r="409" spans="1:167" s="23" customFormat="1" ht="24" customHeight="1">
      <c r="A409" s="309" t="s">
        <v>2724</v>
      </c>
      <c r="B409" s="404" t="s">
        <v>2692</v>
      </c>
      <c r="C409" s="404"/>
      <c r="D409" s="338"/>
      <c r="E409" s="378"/>
      <c r="F409" s="5"/>
      <c r="G409" s="310" t="s">
        <v>9</v>
      </c>
      <c r="H409" s="356"/>
      <c r="I409" s="356"/>
      <c r="J409" s="356">
        <v>2024</v>
      </c>
      <c r="K409" s="321"/>
      <c r="L409" s="322"/>
      <c r="M409" s="409"/>
      <c r="N409" s="317" t="str">
        <f t="shared" si="217"/>
        <v/>
      </c>
      <c r="O409" s="317" t="str">
        <f t="shared" si="218"/>
        <v/>
      </c>
      <c r="P409" s="418" t="str">
        <f t="shared" si="247"/>
        <v>N/A</v>
      </c>
      <c r="Q409" s="418" t="str">
        <f t="shared" si="247"/>
        <v>N/A</v>
      </c>
      <c r="R409" s="418" t="str">
        <f t="shared" si="247"/>
        <v>N/A</v>
      </c>
      <c r="S409" s="418" t="str">
        <f t="shared" si="247"/>
        <v>N/A</v>
      </c>
      <c r="T409" s="418" t="str">
        <f t="shared" si="247"/>
        <v>N/A</v>
      </c>
      <c r="U409" s="418" t="str">
        <f t="shared" si="247"/>
        <v>N/A</v>
      </c>
      <c r="V409" s="418" t="str">
        <f t="shared" si="247"/>
        <v>N/A</v>
      </c>
      <c r="W409" s="418" t="str">
        <f t="shared" si="247"/>
        <v>N/A</v>
      </c>
      <c r="X409" s="418" t="str">
        <f t="shared" si="247"/>
        <v>N/A</v>
      </c>
      <c r="Y409" s="418" t="str">
        <f t="shared" si="247"/>
        <v>N/A</v>
      </c>
      <c r="Z409" s="418" t="str">
        <f t="shared" si="247"/>
        <v>N/A</v>
      </c>
      <c r="AA409" s="418" t="str">
        <f t="shared" si="247"/>
        <v>N/A</v>
      </c>
      <c r="AB409" s="350"/>
      <c r="AC409" s="309" t="s">
        <v>3932</v>
      </c>
      <c r="AD409" s="311"/>
      <c r="AE409" s="382"/>
      <c r="AF409" s="310" t="s">
        <v>6988</v>
      </c>
      <c r="AG409" s="310" t="s">
        <v>2079</v>
      </c>
      <c r="AH409" s="310" t="s">
        <v>2694</v>
      </c>
      <c r="AI409" s="381" t="s">
        <v>183</v>
      </c>
      <c r="AJ409" s="6" t="s">
        <v>6786</v>
      </c>
      <c r="AK409" s="6" t="str">
        <f t="shared" si="224"/>
        <v>IGUAL</v>
      </c>
      <c r="AL409" s="151" t="str">
        <f>IFERROR(IF(LEFT(A409,3)="LCP",VLOOKUP(A409,STATUS_SAP_LCP!B:C,2,FALSE),VLOOKUP(A409,STATUS_SAP_ICP!B:C,2,FALSE)),"NO BUDGET")</f>
        <v>REL  BUDG AVAC  //  BREL WPLI</v>
      </c>
      <c r="AM409" s="6" t="str">
        <f t="shared" si="223"/>
        <v xml:space="preserve">REL </v>
      </c>
      <c r="AN409" s="414" t="s">
        <v>8887</v>
      </c>
      <c r="AO409" s="414"/>
      <c r="AP409" s="499" t="s">
        <v>9616</v>
      </c>
      <c r="AQ409" s="464"/>
      <c r="AR409" s="460"/>
      <c r="AS409" s="57"/>
      <c r="AT409" s="185"/>
      <c r="AU409" s="318"/>
      <c r="AV409" s="223"/>
      <c r="AW409" s="318"/>
      <c r="AX409" s="223">
        <v>44.063120000000005</v>
      </c>
      <c r="AY409" s="318">
        <f t="shared" si="214"/>
        <v>-44.06286000000005</v>
      </c>
      <c r="AZ409" s="223"/>
      <c r="BA409" s="318"/>
      <c r="BB409" s="519">
        <f t="shared" si="219"/>
        <v>-45.199999999999989</v>
      </c>
      <c r="BC409" s="518">
        <v>202</v>
      </c>
      <c r="BD409" s="518">
        <v>-247.2</v>
      </c>
      <c r="BE409" s="518">
        <v>0</v>
      </c>
      <c r="BF409" s="518">
        <v>0</v>
      </c>
      <c r="BG409" s="518">
        <v>0</v>
      </c>
      <c r="BH409" s="518">
        <v>0</v>
      </c>
      <c r="BI409" s="518">
        <v>0</v>
      </c>
      <c r="BJ409" s="518">
        <v>0</v>
      </c>
      <c r="BK409" s="518">
        <v>0</v>
      </c>
      <c r="BL409" s="518">
        <v>0</v>
      </c>
      <c r="BM409" s="518">
        <v>0</v>
      </c>
      <c r="BN409" s="518">
        <v>0</v>
      </c>
      <c r="BO409" s="367">
        <f t="shared" si="225"/>
        <v>-44.06286000000005</v>
      </c>
      <c r="BP409" s="421">
        <v>202</v>
      </c>
      <c r="BQ409" s="422">
        <v>0.13880999999999999</v>
      </c>
      <c r="BR409" s="423">
        <f>IFERROR(IF(LEFT($A409,3)="Lcp",SUMIFS('BASE-LCP'!$K:$K,'BASE-LCP'!$A:$A,Capex!$A55,'BASE-LCP'!$B:$B,"janeiro")/1000,IF(LEFT($A409,3)="icp",SUMIFS('BASE-ICP'!$K:$K,'BASE-ICP'!$A:$A,Capex!$A55,'BASE-ICP'!$B:$B,"janeiro")/1000,"")),"")</f>
        <v>0</v>
      </c>
      <c r="BS409" s="427">
        <v>0.13880999999999999</v>
      </c>
      <c r="BT409" s="372">
        <v>204</v>
      </c>
      <c r="BU409" s="422">
        <v>172.29261</v>
      </c>
      <c r="BV409" s="423">
        <f>IFERROR(IF(LEFT($A409,3)="Lcp",SUMIFS('BASE-LCP'!$K:$K,'BASE-LCP'!$A:$A,Capex!$A55,'BASE-LCP'!$B:$B,"fevereiro")/1000,IF(LEFT($A409,3)="icp",SUMIFS('BASE-ICP'!$K:$K,'BASE-ICP'!$A:$A,Capex!$A55,'BASE-ICP'!$B:$B,"fevereiro")/1000,"")),"")</f>
        <v>0</v>
      </c>
      <c r="BW409" s="427">
        <v>172.29261</v>
      </c>
      <c r="BX409" s="372">
        <v>-216.3</v>
      </c>
      <c r="BY409" s="419">
        <v>31.322459999999992</v>
      </c>
      <c r="BZ409" s="423">
        <f>IFERROR(IF(LEFT($A409,3)="Lcp",SUMIFS('BASE-LCP'!$K:$K,'BASE-LCP'!$A:$A,Capex!$A55,'BASE-LCP'!$B:$B,"março")/1000,IF(LEFT($A409,3)="icp",SUMIFS('BASE-ICP'!$K:$K,'BASE-ICP'!$A:$A,Capex!$A55,'BASE-ICP'!$B:$B,"março")/1000,"")),"")</f>
        <v>0</v>
      </c>
      <c r="CA409" s="427">
        <v>31.322459999999992</v>
      </c>
      <c r="CB409" s="372">
        <v>-247.8</v>
      </c>
      <c r="CC409" s="422"/>
      <c r="CD409" s="423">
        <f>IFERROR(IF(LEFT($A409,3)="Lcp",SUMIFS('BASE-LCP'!$K:$K,'BASE-LCP'!$A:$A,Capex!$A55,'BASE-LCP'!$B:$B,"abril")/1000,IF(LEFT($A409,3)="icp",SUMIFS('BASE-ICP'!$K:$K,'BASE-ICP'!$A:$A,Capex!$A55,'BASE-ICP'!$B:$B,"abril")/1000,"")),"")</f>
        <v>0</v>
      </c>
      <c r="CE409" s="427">
        <v>7.0083599999999864</v>
      </c>
      <c r="CF409" s="372">
        <v>-254.80835999999999</v>
      </c>
      <c r="CG409" s="419">
        <f>CH409</f>
        <v>0.11842</v>
      </c>
      <c r="CH409" s="423">
        <v>0.11842</v>
      </c>
      <c r="CI409" s="427">
        <v>0.11842</v>
      </c>
      <c r="CJ409" s="372">
        <v>0</v>
      </c>
      <c r="CK409" s="419"/>
      <c r="CL409" s="423">
        <f>IFERROR(IF(LEFT($A409,3)="Lcp",SUMIFS('BASE-LCP'!$K:$K,'BASE-LCP'!$A:$A,Capex!$A55,'BASE-LCP'!$B:$B,"junho")/1000,IF(LEFT($A409,3)="icp",SUMIFS('BASE-ICP'!$K:$K,'BASE-ICP'!$A:$A,Capex!$A55,'BASE-ICP'!$B:$B,"junho")/1000,"")),"")</f>
        <v>0</v>
      </c>
      <c r="CM409" s="427">
        <v>-221.81052</v>
      </c>
      <c r="CN409" s="372"/>
      <c r="CO409" s="419"/>
      <c r="CP409" s="423">
        <f>IFERROR(IF(LEFT($A409,3)="Lcp",SUMIFS('BASE-LCP'!$K:$K,'BASE-LCP'!$A:$A,Capex!$A55,'BASE-LCP'!$B:$B,"julho")/1000,IF(LEFT($A409,3)="icp",SUMIFS('BASE-ICP'!$K:$K,'BASE-ICP'!$A:$A,Capex!$A55,'BASE-ICP'!$B:$B,"julho")/1000,"")),"")</f>
        <v>0</v>
      </c>
      <c r="CQ409" s="427">
        <v>0</v>
      </c>
      <c r="CR409" s="372"/>
      <c r="CS409" s="419"/>
      <c r="CT409" s="423">
        <f>IFERROR(IF(LEFT($A409,3)="Lcp",SUMIFS('BASE-LCP'!$K:$K,'BASE-LCP'!$A:$A,Capex!$A55,'BASE-LCP'!$B:$B,"agosto")/1000,IF(LEFT($A409,3)="icp",SUMIFS('BASE-ICP'!$K:$K,'BASE-ICP'!$A:$A,Capex!$A55,'BASE-ICP'!$B:$B,"agosto")/1000,"")),"")</f>
        <v>0</v>
      </c>
      <c r="CU409" s="427">
        <v>-33.133000000000003</v>
      </c>
      <c r="CV409" s="372"/>
      <c r="CW409" s="419"/>
      <c r="CX409" s="423">
        <f>IFERROR(IF(LEFT($A409,3)="Lcp",SUMIFS('BASE-LCP'!$K:$K,'BASE-LCP'!$A:$A,Capex!$A55,'BASE-LCP'!$B:$B,"setembro")/1000,IF(LEFT($A409,3)="icp",SUMIFS('BASE-ICP'!$K:$K,'BASE-ICP'!$A:$A,Capex!$A55,'BASE-ICP'!$B:$B,"setembro")/1000,"")),"")</f>
        <v>0</v>
      </c>
      <c r="CY409" s="427">
        <v>0</v>
      </c>
      <c r="CZ409" s="372"/>
      <c r="DA409" s="419"/>
      <c r="DB409" s="423">
        <f>IFERROR(IF(LEFT($A409,3)="Lcp",SUMIFS('BASE-LCP'!$K:$K,'BASE-LCP'!$A:$A,Capex!$A55,'BASE-LCP'!$B:$B,"outubro")/1000,IF(LEFT($A409,3)="icp",SUMIFS('BASE-ICP'!$K:$K,'BASE-ICP'!$A:$A,Capex!$A55,'BASE-ICP'!$B:$B,"outubro")/1000,"")),"")</f>
        <v>0</v>
      </c>
      <c r="DC409" s="427">
        <v>0</v>
      </c>
      <c r="DD409" s="372"/>
      <c r="DE409" s="419"/>
      <c r="DF409" s="423">
        <f>IFERROR(IF(LEFT($A409,3)="Lcp",SUMIFS('BASE-LCP'!$K:$K,'BASE-LCP'!$A:$A,Capex!$A55,'BASE-LCP'!$B:$B,"novembro")/1000,IF(LEFT($A409,3)="icp",SUMIFS('BASE-ICP'!$K:$K,'BASE-ICP'!$A:$A,Capex!$A55,'BASE-ICP'!$B:$B,"novembro")/1000,"")),"")</f>
        <v>0</v>
      </c>
      <c r="DG409" s="427">
        <v>0</v>
      </c>
      <c r="DH409" s="372"/>
      <c r="DI409" s="419"/>
      <c r="DJ409" s="423">
        <f>IFERROR(IF(LEFT($A409,3)="Lcp",SUMIFS('BASE-LCP'!$K:$K,'BASE-LCP'!$A:$A,Capex!$A55,'BASE-LCP'!$B:$B,"dezembro")/1000,IF(LEFT($A409,3)="icp",SUMIFS('BASE-ICP'!$K:$K,'BASE-ICP'!$A:$A,Capex!$A55,'BASE-ICP'!$B:$B,"dezembro")/1000,"")),"")</f>
        <v>0</v>
      </c>
      <c r="DK409" s="427">
        <v>0</v>
      </c>
      <c r="DL409" s="452">
        <f t="shared" si="226"/>
        <v>0</v>
      </c>
      <c r="DM409" s="374"/>
      <c r="DN409" s="374">
        <v>0</v>
      </c>
      <c r="DO409" s="374"/>
      <c r="DP409" s="374"/>
      <c r="DQ409" s="374"/>
      <c r="DR409" s="374"/>
      <c r="DS409" s="374"/>
      <c r="DT409" s="374"/>
      <c r="DU409" s="374"/>
      <c r="DV409" s="374"/>
      <c r="DW409" s="374"/>
      <c r="DX409" s="374"/>
      <c r="DY409" s="450"/>
      <c r="DZ409" s="374">
        <f t="shared" si="227"/>
        <v>0</v>
      </c>
      <c r="EA409" s="216">
        <f t="shared" si="228"/>
        <v>-221.81052</v>
      </c>
      <c r="EB409" s="320">
        <f t="shared" si="229"/>
        <v>221.81052</v>
      </c>
      <c r="EC409" s="241">
        <f t="shared" si="230"/>
        <v>203.75387999999998</v>
      </c>
      <c r="ED409" s="241">
        <f t="shared" si="231"/>
        <v>-214.68374</v>
      </c>
      <c r="EE409" s="241">
        <f t="shared" si="232"/>
        <v>-33.133000000000003</v>
      </c>
      <c r="EF409" s="241">
        <f t="shared" si="233"/>
        <v>0</v>
      </c>
      <c r="EG409" s="346">
        <f t="shared" si="234"/>
        <v>1.1371399999999383</v>
      </c>
      <c r="EH409" s="445">
        <f t="shared" si="235"/>
        <v>-254.80835999999999</v>
      </c>
      <c r="EI409" s="447">
        <f t="shared" si="236"/>
        <v>0.11842</v>
      </c>
      <c r="EJ409" s="364">
        <f t="shared" si="237"/>
        <v>210.88065999999995</v>
      </c>
      <c r="EK409" s="365">
        <f t="shared" si="238"/>
        <v>-254.94352000000001</v>
      </c>
      <c r="EL409" s="529">
        <f t="shared" si="239"/>
        <v>-43.927700000000044</v>
      </c>
      <c r="EM409" s="530">
        <v>0.13880999999999999</v>
      </c>
      <c r="EN409" s="530">
        <v>172.29261</v>
      </c>
      <c r="EO409" s="530">
        <v>31.322459999999992</v>
      </c>
      <c r="EP409" s="530">
        <v>7.0083599999999864</v>
      </c>
      <c r="EQ409" s="530">
        <v>0.11842</v>
      </c>
      <c r="ER409" s="530">
        <v>0</v>
      </c>
      <c r="ES409" s="530">
        <v>0</v>
      </c>
      <c r="ET409" s="530">
        <v>-254.80835999999999</v>
      </c>
      <c r="EU409" s="530">
        <v>0</v>
      </c>
      <c r="EV409" s="530">
        <v>0</v>
      </c>
      <c r="EW409" s="530">
        <v>0</v>
      </c>
      <c r="EX409" s="530">
        <v>0</v>
      </c>
      <c r="EY409" s="530">
        <f t="shared" si="240"/>
        <v>203.75387999999998</v>
      </c>
      <c r="EZ409" s="530">
        <f t="shared" si="241"/>
        <v>7.1267799999999868</v>
      </c>
      <c r="FA409" s="530">
        <f t="shared" si="242"/>
        <v>-254.80835999999999</v>
      </c>
      <c r="FB409" s="530">
        <f t="shared" si="243"/>
        <v>0</v>
      </c>
      <c r="FC409" s="384" t="str">
        <f>IFERROR(VLOOKUP(Capex!A55,BASE_558!D:R,8,FALSE)/1000,"")</f>
        <v/>
      </c>
      <c r="FD409" s="328" t="str">
        <f>IFERROR(VLOOKUP(Capex!A55,BASE_558!D:R,9,)/1000,"")</f>
        <v/>
      </c>
      <c r="FE409" s="328">
        <f>IFERROR(IF(LEFT(A409,3)="LCP",(VLOOKUP(Capex!A55,BASE_558!D:R,10,)/1000),SUMIFS('BASE ICP_PO_SC'!F:F,'BASE ICP_PO_SC'!A:A,Capex!A55,'BASE ICP_PO_SC'!E:E,"&lt;&gt;")/1000),"")</f>
        <v>0</v>
      </c>
      <c r="FF409" s="328">
        <f>IFERROR(IF(LEFT(A409,3)="LCP",(VLOOKUP(Capex!A55,BASE_558!D:R,11,)/1000),SUMIFS('BASE ICP_PO_SC'!F:F,'BASE ICP_PO_SC'!A:A,Capex!A55,'BASE ICP_PO_SC'!E:E,"")/1000),"")</f>
        <v>0</v>
      </c>
      <c r="FG409" s="328" t="str">
        <f>IFERROR(VLOOKUP(A409,BASE_558!D:R,13,FALSE)/1000,"")</f>
        <v/>
      </c>
      <c r="FH409" s="328" t="str">
        <f>IFERROR(VLOOKUP(A409,BASE_558!D:R,15,FALSE)/1000,"")</f>
        <v/>
      </c>
      <c r="FI409" s="547">
        <f t="shared" si="244"/>
        <v>221.81052</v>
      </c>
      <c r="FJ409" s="547">
        <f t="shared" si="245"/>
        <v>-221.67535999999998</v>
      </c>
      <c r="FK409" s="540">
        <f t="shared" si="246"/>
        <v>0</v>
      </c>
    </row>
    <row r="410" spans="1:167">
      <c r="CM410" s="375"/>
    </row>
    <row r="411" spans="1:167">
      <c r="BO411" s="375"/>
    </row>
  </sheetData>
  <autoFilter ref="A4:FK409" xr:uid="{AB6E66F2-7951-4433-A646-5DFD2D41681E}">
    <sortState xmlns:xlrd2="http://schemas.microsoft.com/office/spreadsheetml/2017/richdata2" ref="A5:FK409">
      <sortCondition descending="1" ref="FJ4:FJ409"/>
    </sortState>
  </autoFilter>
  <mergeCells count="3">
    <mergeCell ref="P3:AA3"/>
    <mergeCell ref="BO3:DK3"/>
    <mergeCell ref="DL3:DX3"/>
  </mergeCells>
  <phoneticPr fontId="26" type="noConversion"/>
  <conditionalFormatting sqref="AS5:BO409 EA5:FB409">
    <cfRule type="cellIs" dxfId="2965" priority="2292" operator="equal">
      <formula>"Behind Schedule"</formula>
    </cfRule>
    <cfRule type="cellIs" dxfId="2964" priority="2293" operator="equal">
      <formula>"TBD"</formula>
    </cfRule>
    <cfRule type="cellIs" dxfId="2963" priority="2294" operator="equal">
      <formula>"In Progress"</formula>
    </cfRule>
    <cfRule type="cellIs" dxfId="2962" priority="2295" operator="equal">
      <formula>"Completed"</formula>
    </cfRule>
  </conditionalFormatting>
  <conditionalFormatting sqref="AM5:AM409 AJ5:AK409">
    <cfRule type="cellIs" dxfId="2961" priority="885" operator="equal">
      <formula>"CLSD"</formula>
    </cfRule>
    <cfRule type="cellIs" dxfId="2960" priority="886" operator="equal">
      <formula>"TECO"</formula>
    </cfRule>
    <cfRule type="cellIs" dxfId="2959" priority="887" operator="equal">
      <formula>"REL "</formula>
    </cfRule>
    <cfRule type="cellIs" dxfId="2958" priority="888" operator="equal">
      <formula>"CRTD"</formula>
    </cfRule>
  </conditionalFormatting>
  <conditionalFormatting sqref="AP29 AP32 AP36 AP43 AP128:AP161 AP163:AP166 AP169:AP187 AP189:AP195 AP197:AP198 AP200:AP204 AP207:AP208 AP210 AP216:AP218 AP220 AP222:AP226 AP228:AP231 AP233 AP246 AP248 AP252 AP254:AP255 AP257:AP260 AP264:AP267 AP279:AP280 AP282 AP284:AP297 AP311 AP315:AP316 AP318:AP320 AP326:AP327 AP329 AP338:AP340 AP5:AP26 AP63:AP126 AP374 AP235:AP241 AP269:AP275 AP277 AP322:AP324 AP346 AP352 AP364 AP369:AP370 AP299:AP302 AP212:AP214">
    <cfRule type="containsText" dxfId="2957" priority="849" operator="containsText" text="In Study">
      <formula>NOT(ISERROR(SEARCH("In Study",AP5)))</formula>
    </cfRule>
    <cfRule type="containsText" dxfId="2956" priority="850" operator="containsText" text="In Approval">
      <formula>NOT(ISERROR(SEARCH("In Approval",AP5)))</formula>
    </cfRule>
    <cfRule type="containsText" dxfId="2955" priority="851" operator="containsText" text="Planning">
      <formula>NOT(ISERROR(SEARCH("Planning",AP5)))</formula>
    </cfRule>
    <cfRule type="containsText" dxfId="2954" priority="852" operator="containsText" text="Installation">
      <formula>NOT(ISERROR(SEARCH("Installation",AP5)))</formula>
    </cfRule>
    <cfRule type="containsText" dxfId="2953" priority="853" operator="containsText" text="Commissioning">
      <formula>NOT(ISERROR(SEARCH("Commissioning",AP5)))</formula>
    </cfRule>
    <cfRule type="containsText" dxfId="2952" priority="854" operator="containsText" text="Production">
      <formula>NOT(ISERROR(SEARCH("Production",AP5)))</formula>
    </cfRule>
    <cfRule type="containsText" dxfId="2951" priority="855" operator="containsText" text="Canceled">
      <formula>NOT(ISERROR(SEARCH("Canceled",AP5)))</formula>
    </cfRule>
    <cfRule type="containsText" dxfId="2950" priority="856" operator="containsText" text="Closed">
      <formula>NOT(ISERROR(SEARCH("Closed",AP5)))</formula>
    </cfRule>
  </conditionalFormatting>
  <conditionalFormatting sqref="AP385 AP387:AP397 AP403">
    <cfRule type="containsText" dxfId="2949" priority="841" operator="containsText" text="In Study">
      <formula>NOT(ISERROR(SEARCH("In Study",AP385)))</formula>
    </cfRule>
    <cfRule type="containsText" dxfId="2948" priority="842" operator="containsText" text="In Approval">
      <formula>NOT(ISERROR(SEARCH("In Approval",AP385)))</formula>
    </cfRule>
    <cfRule type="containsText" dxfId="2947" priority="843" operator="containsText" text="Planning">
      <formula>NOT(ISERROR(SEARCH("Planning",AP385)))</formula>
    </cfRule>
    <cfRule type="containsText" dxfId="2946" priority="844" operator="containsText" text="Installation">
      <formula>NOT(ISERROR(SEARCH("Installation",AP385)))</formula>
    </cfRule>
    <cfRule type="containsText" dxfId="2945" priority="845" operator="containsText" text="Comissioning">
      <formula>NOT(ISERROR(SEARCH("Comissioning",AP385)))</formula>
    </cfRule>
    <cfRule type="containsText" dxfId="2944" priority="846" operator="containsText" text="Production">
      <formula>NOT(ISERROR(SEARCH("Production",AP385)))</formula>
    </cfRule>
    <cfRule type="containsText" dxfId="2943" priority="847" operator="containsText" text="Canceled">
      <formula>NOT(ISERROR(SEARCH("Canceled",AP385)))</formula>
    </cfRule>
    <cfRule type="containsText" dxfId="2942" priority="848" operator="containsText" text="Closed">
      <formula>NOT(ISERROR(SEARCH("Closed",AP385)))</formula>
    </cfRule>
  </conditionalFormatting>
  <conditionalFormatting sqref="AP398:AP402 AP404">
    <cfRule type="containsText" dxfId="2941" priority="817" operator="containsText" text="In Study">
      <formula>NOT(ISERROR(SEARCH("In Study",AP398)))</formula>
    </cfRule>
    <cfRule type="containsText" dxfId="2940" priority="818" operator="containsText" text="In Approval">
      <formula>NOT(ISERROR(SEARCH("In Approval",AP398)))</formula>
    </cfRule>
    <cfRule type="containsText" dxfId="2939" priority="819" operator="containsText" text="Planning">
      <formula>NOT(ISERROR(SEARCH("Planning",AP398)))</formula>
    </cfRule>
    <cfRule type="containsText" dxfId="2938" priority="820" operator="containsText" text="Installation">
      <formula>NOT(ISERROR(SEARCH("Installation",AP398)))</formula>
    </cfRule>
    <cfRule type="containsText" dxfId="2937" priority="821" operator="containsText" text="Comissioning">
      <formula>NOT(ISERROR(SEARCH("Comissioning",AP398)))</formula>
    </cfRule>
    <cfRule type="containsText" dxfId="2936" priority="822" operator="containsText" text="Production">
      <formula>NOT(ISERROR(SEARCH("Production",AP398)))</formula>
    </cfRule>
    <cfRule type="containsText" dxfId="2935" priority="823" operator="containsText" text="Canceled">
      <formula>NOT(ISERROR(SEARCH("Canceled",AP398)))</formula>
    </cfRule>
    <cfRule type="containsText" dxfId="2934" priority="824" operator="containsText" text="Closed">
      <formula>NOT(ISERROR(SEARCH("Closed",AP398)))</formula>
    </cfRule>
  </conditionalFormatting>
  <conditionalFormatting sqref="AP386 AP405:AP409">
    <cfRule type="containsText" dxfId="2933" priority="809" operator="containsText" text="In Study">
      <formula>NOT(ISERROR(SEARCH("In Study",AP386)))</formula>
    </cfRule>
    <cfRule type="containsText" dxfId="2932" priority="810" operator="containsText" text="In Approval">
      <formula>NOT(ISERROR(SEARCH("In Approval",AP386)))</formula>
    </cfRule>
    <cfRule type="containsText" dxfId="2931" priority="811" operator="containsText" text="Planning">
      <formula>NOT(ISERROR(SEARCH("Planning",AP386)))</formula>
    </cfRule>
    <cfRule type="containsText" dxfId="2930" priority="812" operator="containsText" text="Installation">
      <formula>NOT(ISERROR(SEARCH("Installation",AP386)))</formula>
    </cfRule>
    <cfRule type="containsText" dxfId="2929" priority="813" operator="containsText" text="Comissioning">
      <formula>NOT(ISERROR(SEARCH("Comissioning",AP386)))</formula>
    </cfRule>
    <cfRule type="containsText" dxfId="2928" priority="814" operator="containsText" text="Production">
      <formula>NOT(ISERROR(SEARCH("Production",AP386)))</formula>
    </cfRule>
    <cfRule type="containsText" dxfId="2927" priority="815" operator="containsText" text="Canceled">
      <formula>NOT(ISERROR(SEARCH("Canceled",AP386)))</formula>
    </cfRule>
    <cfRule type="containsText" dxfId="2926" priority="816" operator="containsText" text="Closed">
      <formula>NOT(ISERROR(SEARCH("Closed",AP386)))</formula>
    </cfRule>
  </conditionalFormatting>
  <conditionalFormatting sqref="AP27:AP28 AP30:AP31 AP33:AP35 AP37:AP42 AP44:AP45 AP47:AP62">
    <cfRule type="containsText" dxfId="2925" priority="801" operator="containsText" text="In Study">
      <formula>NOT(ISERROR(SEARCH("In Study",AP27)))</formula>
    </cfRule>
    <cfRule type="containsText" dxfId="2924" priority="802" operator="containsText" text="In Approval">
      <formula>NOT(ISERROR(SEARCH("In Approval",AP27)))</formula>
    </cfRule>
    <cfRule type="containsText" dxfId="2923" priority="803" operator="containsText" text="Planning">
      <formula>NOT(ISERROR(SEARCH("Planning",AP27)))</formula>
    </cfRule>
    <cfRule type="containsText" dxfId="2922" priority="804" operator="containsText" text="Installation">
      <formula>NOT(ISERROR(SEARCH("Installation",AP27)))</formula>
    </cfRule>
    <cfRule type="containsText" dxfId="2921" priority="805" operator="containsText" text="Comissioning">
      <formula>NOT(ISERROR(SEARCH("Comissioning",AP27)))</formula>
    </cfRule>
    <cfRule type="containsText" dxfId="2920" priority="806" operator="containsText" text="Production">
      <formula>NOT(ISERROR(SEARCH("Production",AP27)))</formula>
    </cfRule>
    <cfRule type="containsText" dxfId="2919" priority="807" operator="containsText" text="Canceled">
      <formula>NOT(ISERROR(SEARCH("Canceled",AP27)))</formula>
    </cfRule>
    <cfRule type="containsText" dxfId="2918" priority="808" operator="containsText" text="Closed">
      <formula>NOT(ISERROR(SEARCH("Closed",AP27)))</formula>
    </cfRule>
  </conditionalFormatting>
  <conditionalFormatting sqref="AP127 AP162 AP167:AP168">
    <cfRule type="containsText" dxfId="2917" priority="793" operator="containsText" text="In Study">
      <formula>NOT(ISERROR(SEARCH("In Study",AP127)))</formula>
    </cfRule>
    <cfRule type="containsText" dxfId="2916" priority="794" operator="containsText" text="In Approval">
      <formula>NOT(ISERROR(SEARCH("In Approval",AP127)))</formula>
    </cfRule>
    <cfRule type="containsText" dxfId="2915" priority="795" operator="containsText" text="Planning">
      <formula>NOT(ISERROR(SEARCH("Planning",AP127)))</formula>
    </cfRule>
    <cfRule type="containsText" dxfId="2914" priority="796" operator="containsText" text="Installation">
      <formula>NOT(ISERROR(SEARCH("Installation",AP127)))</formula>
    </cfRule>
    <cfRule type="containsText" dxfId="2913" priority="797" operator="containsText" text="Comissioning">
      <formula>NOT(ISERROR(SEARCH("Comissioning",AP127)))</formula>
    </cfRule>
    <cfRule type="containsText" dxfId="2912" priority="798" operator="containsText" text="Production">
      <formula>NOT(ISERROR(SEARCH("Production",AP127)))</formula>
    </cfRule>
    <cfRule type="containsText" dxfId="2911" priority="799" operator="containsText" text="Canceled">
      <formula>NOT(ISERROR(SEARCH("Canceled",AP127)))</formula>
    </cfRule>
    <cfRule type="containsText" dxfId="2910" priority="800" operator="containsText" text="Closed">
      <formula>NOT(ISERROR(SEARCH("Closed",AP127)))</formula>
    </cfRule>
  </conditionalFormatting>
  <conditionalFormatting sqref="AP188">
    <cfRule type="containsText" dxfId="2909" priority="785" operator="containsText" text="In Study">
      <formula>NOT(ISERROR(SEARCH("In Study",AP188)))</formula>
    </cfRule>
    <cfRule type="containsText" dxfId="2908" priority="786" operator="containsText" text="In Approval">
      <formula>NOT(ISERROR(SEARCH("In Approval",AP188)))</formula>
    </cfRule>
    <cfRule type="containsText" dxfId="2907" priority="787" operator="containsText" text="Planning">
      <formula>NOT(ISERROR(SEARCH("Planning",AP188)))</formula>
    </cfRule>
    <cfRule type="containsText" dxfId="2906" priority="788" operator="containsText" text="Installation">
      <formula>NOT(ISERROR(SEARCH("Installation",AP188)))</formula>
    </cfRule>
    <cfRule type="containsText" dxfId="2905" priority="789" operator="containsText" text="Comissioning">
      <formula>NOT(ISERROR(SEARCH("Comissioning",AP188)))</formula>
    </cfRule>
    <cfRule type="containsText" dxfId="2904" priority="790" operator="containsText" text="Production">
      <formula>NOT(ISERROR(SEARCH("Production",AP188)))</formula>
    </cfRule>
    <cfRule type="containsText" dxfId="2903" priority="791" operator="containsText" text="Canceled">
      <formula>NOT(ISERROR(SEARCH("Canceled",AP188)))</formula>
    </cfRule>
    <cfRule type="containsText" dxfId="2902" priority="792" operator="containsText" text="Closed">
      <formula>NOT(ISERROR(SEARCH("Closed",AP188)))</formula>
    </cfRule>
  </conditionalFormatting>
  <conditionalFormatting sqref="AP196">
    <cfRule type="containsText" dxfId="2901" priority="777" operator="containsText" text="In Study">
      <formula>NOT(ISERROR(SEARCH("In Study",AP196)))</formula>
    </cfRule>
    <cfRule type="containsText" dxfId="2900" priority="778" operator="containsText" text="In Approval">
      <formula>NOT(ISERROR(SEARCH("In Approval",AP196)))</formula>
    </cfRule>
    <cfRule type="containsText" dxfId="2899" priority="779" operator="containsText" text="Planning">
      <formula>NOT(ISERROR(SEARCH("Planning",AP196)))</formula>
    </cfRule>
    <cfRule type="containsText" dxfId="2898" priority="780" operator="containsText" text="Installation">
      <formula>NOT(ISERROR(SEARCH("Installation",AP196)))</formula>
    </cfRule>
    <cfRule type="containsText" dxfId="2897" priority="781" operator="containsText" text="Comissioning">
      <formula>NOT(ISERROR(SEARCH("Comissioning",AP196)))</formula>
    </cfRule>
    <cfRule type="containsText" dxfId="2896" priority="782" operator="containsText" text="Production">
      <formula>NOT(ISERROR(SEARCH("Production",AP196)))</formula>
    </cfRule>
    <cfRule type="containsText" dxfId="2895" priority="783" operator="containsText" text="Canceled">
      <formula>NOT(ISERROR(SEARCH("Canceled",AP196)))</formula>
    </cfRule>
    <cfRule type="containsText" dxfId="2894" priority="784" operator="containsText" text="Closed">
      <formula>NOT(ISERROR(SEARCH("Closed",AP196)))</formula>
    </cfRule>
  </conditionalFormatting>
  <conditionalFormatting sqref="AP199">
    <cfRule type="containsText" dxfId="2893" priority="769" operator="containsText" text="In Study">
      <formula>NOT(ISERROR(SEARCH("In Study",AP199)))</formula>
    </cfRule>
    <cfRule type="containsText" dxfId="2892" priority="770" operator="containsText" text="In Approval">
      <formula>NOT(ISERROR(SEARCH("In Approval",AP199)))</formula>
    </cfRule>
    <cfRule type="containsText" dxfId="2891" priority="771" operator="containsText" text="Planning">
      <formula>NOT(ISERROR(SEARCH("Planning",AP199)))</formula>
    </cfRule>
    <cfRule type="containsText" dxfId="2890" priority="772" operator="containsText" text="Installation">
      <formula>NOT(ISERROR(SEARCH("Installation",AP199)))</formula>
    </cfRule>
    <cfRule type="containsText" dxfId="2889" priority="773" operator="containsText" text="Comissioning">
      <formula>NOT(ISERROR(SEARCH("Comissioning",AP199)))</formula>
    </cfRule>
    <cfRule type="containsText" dxfId="2888" priority="774" operator="containsText" text="Production">
      <formula>NOT(ISERROR(SEARCH("Production",AP199)))</formula>
    </cfRule>
    <cfRule type="containsText" dxfId="2887" priority="775" operator="containsText" text="Canceled">
      <formula>NOT(ISERROR(SEARCH("Canceled",AP199)))</formula>
    </cfRule>
    <cfRule type="containsText" dxfId="2886" priority="776" operator="containsText" text="Closed">
      <formula>NOT(ISERROR(SEARCH("Closed",AP199)))</formula>
    </cfRule>
  </conditionalFormatting>
  <conditionalFormatting sqref="AP205">
    <cfRule type="containsText" dxfId="2885" priority="761" operator="containsText" text="In Study">
      <formula>NOT(ISERROR(SEARCH("In Study",AP205)))</formula>
    </cfRule>
    <cfRule type="containsText" dxfId="2884" priority="762" operator="containsText" text="In Approval">
      <formula>NOT(ISERROR(SEARCH("In Approval",AP205)))</formula>
    </cfRule>
    <cfRule type="containsText" dxfId="2883" priority="763" operator="containsText" text="Planning">
      <formula>NOT(ISERROR(SEARCH("Planning",AP205)))</formula>
    </cfRule>
    <cfRule type="containsText" dxfId="2882" priority="764" operator="containsText" text="Installation">
      <formula>NOT(ISERROR(SEARCH("Installation",AP205)))</formula>
    </cfRule>
    <cfRule type="containsText" dxfId="2881" priority="765" operator="containsText" text="Comissioning">
      <formula>NOT(ISERROR(SEARCH("Comissioning",AP205)))</formula>
    </cfRule>
    <cfRule type="containsText" dxfId="2880" priority="766" operator="containsText" text="Production">
      <formula>NOT(ISERROR(SEARCH("Production",AP205)))</formula>
    </cfRule>
    <cfRule type="containsText" dxfId="2879" priority="767" operator="containsText" text="Canceled">
      <formula>NOT(ISERROR(SEARCH("Canceled",AP205)))</formula>
    </cfRule>
    <cfRule type="containsText" dxfId="2878" priority="768" operator="containsText" text="Closed">
      <formula>NOT(ISERROR(SEARCH("Closed",AP205)))</formula>
    </cfRule>
  </conditionalFormatting>
  <conditionalFormatting sqref="AP206">
    <cfRule type="containsText" dxfId="2877" priority="753" operator="containsText" text="In Study">
      <formula>NOT(ISERROR(SEARCH("In Study",AP206)))</formula>
    </cfRule>
    <cfRule type="containsText" dxfId="2876" priority="754" operator="containsText" text="In Approval">
      <formula>NOT(ISERROR(SEARCH("In Approval",AP206)))</formula>
    </cfRule>
    <cfRule type="containsText" dxfId="2875" priority="755" operator="containsText" text="Planning">
      <formula>NOT(ISERROR(SEARCH("Planning",AP206)))</formula>
    </cfRule>
    <cfRule type="containsText" dxfId="2874" priority="756" operator="containsText" text="Installation">
      <formula>NOT(ISERROR(SEARCH("Installation",AP206)))</formula>
    </cfRule>
    <cfRule type="containsText" dxfId="2873" priority="757" operator="containsText" text="Comissioning">
      <formula>NOT(ISERROR(SEARCH("Comissioning",AP206)))</formula>
    </cfRule>
    <cfRule type="containsText" dxfId="2872" priority="758" operator="containsText" text="Production">
      <formula>NOT(ISERROR(SEARCH("Production",AP206)))</formula>
    </cfRule>
    <cfRule type="containsText" dxfId="2871" priority="759" operator="containsText" text="Canceled">
      <formula>NOT(ISERROR(SEARCH("Canceled",AP206)))</formula>
    </cfRule>
    <cfRule type="containsText" dxfId="2870" priority="760" operator="containsText" text="Closed">
      <formula>NOT(ISERROR(SEARCH("Closed",AP206)))</formula>
    </cfRule>
  </conditionalFormatting>
  <conditionalFormatting sqref="AP209">
    <cfRule type="containsText" dxfId="2869" priority="745" operator="containsText" text="In Study">
      <formula>NOT(ISERROR(SEARCH("In Study",AP209)))</formula>
    </cfRule>
    <cfRule type="containsText" dxfId="2868" priority="746" operator="containsText" text="In Approval">
      <formula>NOT(ISERROR(SEARCH("In Approval",AP209)))</formula>
    </cfRule>
    <cfRule type="containsText" dxfId="2867" priority="747" operator="containsText" text="Planning">
      <formula>NOT(ISERROR(SEARCH("Planning",AP209)))</formula>
    </cfRule>
    <cfRule type="containsText" dxfId="2866" priority="748" operator="containsText" text="Installation">
      <formula>NOT(ISERROR(SEARCH("Installation",AP209)))</formula>
    </cfRule>
    <cfRule type="containsText" dxfId="2865" priority="749" operator="containsText" text="Comissioning">
      <formula>NOT(ISERROR(SEARCH("Comissioning",AP209)))</formula>
    </cfRule>
    <cfRule type="containsText" dxfId="2864" priority="750" operator="containsText" text="Production">
      <formula>NOT(ISERROR(SEARCH("Production",AP209)))</formula>
    </cfRule>
    <cfRule type="containsText" dxfId="2863" priority="751" operator="containsText" text="Canceled">
      <formula>NOT(ISERROR(SEARCH("Canceled",AP209)))</formula>
    </cfRule>
    <cfRule type="containsText" dxfId="2862" priority="752" operator="containsText" text="Closed">
      <formula>NOT(ISERROR(SEARCH("Closed",AP209)))</formula>
    </cfRule>
  </conditionalFormatting>
  <conditionalFormatting sqref="AP211">
    <cfRule type="containsText" dxfId="2861" priority="737" operator="containsText" text="In Study">
      <formula>NOT(ISERROR(SEARCH("In Study",AP211)))</formula>
    </cfRule>
    <cfRule type="containsText" dxfId="2860" priority="738" operator="containsText" text="In Approval">
      <formula>NOT(ISERROR(SEARCH("In Approval",AP211)))</formula>
    </cfRule>
    <cfRule type="containsText" dxfId="2859" priority="739" operator="containsText" text="Planning">
      <formula>NOT(ISERROR(SEARCH("Planning",AP211)))</formula>
    </cfRule>
    <cfRule type="containsText" dxfId="2858" priority="740" operator="containsText" text="Installation">
      <formula>NOT(ISERROR(SEARCH("Installation",AP211)))</formula>
    </cfRule>
    <cfRule type="containsText" dxfId="2857" priority="741" operator="containsText" text="Comissioning">
      <formula>NOT(ISERROR(SEARCH("Comissioning",AP211)))</formula>
    </cfRule>
    <cfRule type="containsText" dxfId="2856" priority="742" operator="containsText" text="Production">
      <formula>NOT(ISERROR(SEARCH("Production",AP211)))</formula>
    </cfRule>
    <cfRule type="containsText" dxfId="2855" priority="743" operator="containsText" text="Canceled">
      <formula>NOT(ISERROR(SEARCH("Canceled",AP211)))</formula>
    </cfRule>
    <cfRule type="containsText" dxfId="2854" priority="744" operator="containsText" text="Closed">
      <formula>NOT(ISERROR(SEARCH("Closed",AP211)))</formula>
    </cfRule>
  </conditionalFormatting>
  <conditionalFormatting sqref="AP215">
    <cfRule type="containsText" dxfId="2853" priority="721" operator="containsText" text="In Study">
      <formula>NOT(ISERROR(SEARCH("In Study",AP215)))</formula>
    </cfRule>
    <cfRule type="containsText" dxfId="2852" priority="722" operator="containsText" text="In Approval">
      <formula>NOT(ISERROR(SEARCH("In Approval",AP215)))</formula>
    </cfRule>
    <cfRule type="containsText" dxfId="2851" priority="723" operator="containsText" text="Planning">
      <formula>NOT(ISERROR(SEARCH("Planning",AP215)))</formula>
    </cfRule>
    <cfRule type="containsText" dxfId="2850" priority="724" operator="containsText" text="Installation">
      <formula>NOT(ISERROR(SEARCH("Installation",AP215)))</formula>
    </cfRule>
    <cfRule type="containsText" dxfId="2849" priority="725" operator="containsText" text="Comissioning">
      <formula>NOT(ISERROR(SEARCH("Comissioning",AP215)))</formula>
    </cfRule>
    <cfRule type="containsText" dxfId="2848" priority="726" operator="containsText" text="Production">
      <formula>NOT(ISERROR(SEARCH("Production",AP215)))</formula>
    </cfRule>
    <cfRule type="containsText" dxfId="2847" priority="727" operator="containsText" text="Canceled">
      <formula>NOT(ISERROR(SEARCH("Canceled",AP215)))</formula>
    </cfRule>
    <cfRule type="containsText" dxfId="2846" priority="728" operator="containsText" text="Closed">
      <formula>NOT(ISERROR(SEARCH("Closed",AP215)))</formula>
    </cfRule>
  </conditionalFormatting>
  <conditionalFormatting sqref="AP219">
    <cfRule type="containsText" dxfId="2845" priority="713" operator="containsText" text="In Study">
      <formula>NOT(ISERROR(SEARCH("In Study",AP219)))</formula>
    </cfRule>
    <cfRule type="containsText" dxfId="2844" priority="714" operator="containsText" text="In Approval">
      <formula>NOT(ISERROR(SEARCH("In Approval",AP219)))</formula>
    </cfRule>
    <cfRule type="containsText" dxfId="2843" priority="715" operator="containsText" text="Planning">
      <formula>NOT(ISERROR(SEARCH("Planning",AP219)))</formula>
    </cfRule>
    <cfRule type="containsText" dxfId="2842" priority="716" operator="containsText" text="Installation">
      <formula>NOT(ISERROR(SEARCH("Installation",AP219)))</formula>
    </cfRule>
    <cfRule type="containsText" dxfId="2841" priority="717" operator="containsText" text="Comissioning">
      <formula>NOT(ISERROR(SEARCH("Comissioning",AP219)))</formula>
    </cfRule>
    <cfRule type="containsText" dxfId="2840" priority="718" operator="containsText" text="Production">
      <formula>NOT(ISERROR(SEARCH("Production",AP219)))</formula>
    </cfRule>
    <cfRule type="containsText" dxfId="2839" priority="719" operator="containsText" text="Canceled">
      <formula>NOT(ISERROR(SEARCH("Canceled",AP219)))</formula>
    </cfRule>
    <cfRule type="containsText" dxfId="2838" priority="720" operator="containsText" text="Closed">
      <formula>NOT(ISERROR(SEARCH("Closed",AP219)))</formula>
    </cfRule>
  </conditionalFormatting>
  <conditionalFormatting sqref="AP221">
    <cfRule type="containsText" dxfId="2837" priority="705" operator="containsText" text="In Study">
      <formula>NOT(ISERROR(SEARCH("In Study",AP221)))</formula>
    </cfRule>
    <cfRule type="containsText" dxfId="2836" priority="706" operator="containsText" text="In Approval">
      <formula>NOT(ISERROR(SEARCH("In Approval",AP221)))</formula>
    </cfRule>
    <cfRule type="containsText" dxfId="2835" priority="707" operator="containsText" text="Planning">
      <formula>NOT(ISERROR(SEARCH("Planning",AP221)))</formula>
    </cfRule>
    <cfRule type="containsText" dxfId="2834" priority="708" operator="containsText" text="Installation">
      <formula>NOT(ISERROR(SEARCH("Installation",AP221)))</formula>
    </cfRule>
    <cfRule type="containsText" dxfId="2833" priority="709" operator="containsText" text="Comissioning">
      <formula>NOT(ISERROR(SEARCH("Comissioning",AP221)))</formula>
    </cfRule>
    <cfRule type="containsText" dxfId="2832" priority="710" operator="containsText" text="Production">
      <formula>NOT(ISERROR(SEARCH("Production",AP221)))</formula>
    </cfRule>
    <cfRule type="containsText" dxfId="2831" priority="711" operator="containsText" text="Canceled">
      <formula>NOT(ISERROR(SEARCH("Canceled",AP221)))</formula>
    </cfRule>
    <cfRule type="containsText" dxfId="2830" priority="712" operator="containsText" text="Closed">
      <formula>NOT(ISERROR(SEARCH("Closed",AP221)))</formula>
    </cfRule>
  </conditionalFormatting>
  <conditionalFormatting sqref="AP227">
    <cfRule type="containsText" dxfId="2829" priority="697" operator="containsText" text="In Study">
      <formula>NOT(ISERROR(SEARCH("In Study",AP227)))</formula>
    </cfRule>
    <cfRule type="containsText" dxfId="2828" priority="698" operator="containsText" text="In Approval">
      <formula>NOT(ISERROR(SEARCH("In Approval",AP227)))</formula>
    </cfRule>
    <cfRule type="containsText" dxfId="2827" priority="699" operator="containsText" text="Planning">
      <formula>NOT(ISERROR(SEARCH("Planning",AP227)))</formula>
    </cfRule>
    <cfRule type="containsText" dxfId="2826" priority="700" operator="containsText" text="Installation">
      <formula>NOT(ISERROR(SEARCH("Installation",AP227)))</formula>
    </cfRule>
    <cfRule type="containsText" dxfId="2825" priority="701" operator="containsText" text="Comissioning">
      <formula>NOT(ISERROR(SEARCH("Comissioning",AP227)))</formula>
    </cfRule>
    <cfRule type="containsText" dxfId="2824" priority="702" operator="containsText" text="Production">
      <formula>NOT(ISERROR(SEARCH("Production",AP227)))</formula>
    </cfRule>
    <cfRule type="containsText" dxfId="2823" priority="703" operator="containsText" text="Canceled">
      <formula>NOT(ISERROR(SEARCH("Canceled",AP227)))</formula>
    </cfRule>
    <cfRule type="containsText" dxfId="2822" priority="704" operator="containsText" text="Closed">
      <formula>NOT(ISERROR(SEARCH("Closed",AP227)))</formula>
    </cfRule>
  </conditionalFormatting>
  <conditionalFormatting sqref="AP232">
    <cfRule type="containsText" dxfId="2821" priority="689" operator="containsText" text="In Study">
      <formula>NOT(ISERROR(SEARCH("In Study",AP232)))</formula>
    </cfRule>
    <cfRule type="containsText" dxfId="2820" priority="690" operator="containsText" text="In Approval">
      <formula>NOT(ISERROR(SEARCH("In Approval",AP232)))</formula>
    </cfRule>
    <cfRule type="containsText" dxfId="2819" priority="691" operator="containsText" text="Planning">
      <formula>NOT(ISERROR(SEARCH("Planning",AP232)))</formula>
    </cfRule>
    <cfRule type="containsText" dxfId="2818" priority="692" operator="containsText" text="Installation">
      <formula>NOT(ISERROR(SEARCH("Installation",AP232)))</formula>
    </cfRule>
    <cfRule type="containsText" dxfId="2817" priority="693" operator="containsText" text="Comissioning">
      <formula>NOT(ISERROR(SEARCH("Comissioning",AP232)))</formula>
    </cfRule>
    <cfRule type="containsText" dxfId="2816" priority="694" operator="containsText" text="Production">
      <formula>NOT(ISERROR(SEARCH("Production",AP232)))</formula>
    </cfRule>
    <cfRule type="containsText" dxfId="2815" priority="695" operator="containsText" text="Canceled">
      <formula>NOT(ISERROR(SEARCH("Canceled",AP232)))</formula>
    </cfRule>
    <cfRule type="containsText" dxfId="2814" priority="696" operator="containsText" text="Closed">
      <formula>NOT(ISERROR(SEARCH("Closed",AP232)))</formula>
    </cfRule>
  </conditionalFormatting>
  <conditionalFormatting sqref="AP234">
    <cfRule type="containsText" dxfId="2813" priority="681" operator="containsText" text="In Study">
      <formula>NOT(ISERROR(SEARCH("In Study",AP234)))</formula>
    </cfRule>
    <cfRule type="containsText" dxfId="2812" priority="682" operator="containsText" text="In Approval">
      <formula>NOT(ISERROR(SEARCH("In Approval",AP234)))</formula>
    </cfRule>
    <cfRule type="containsText" dxfId="2811" priority="683" operator="containsText" text="Planning">
      <formula>NOT(ISERROR(SEARCH("Planning",AP234)))</formula>
    </cfRule>
    <cfRule type="containsText" dxfId="2810" priority="684" operator="containsText" text="Installation">
      <formula>NOT(ISERROR(SEARCH("Installation",AP234)))</formula>
    </cfRule>
    <cfRule type="containsText" dxfId="2809" priority="685" operator="containsText" text="Comissioning">
      <formula>NOT(ISERROR(SEARCH("Comissioning",AP234)))</formula>
    </cfRule>
    <cfRule type="containsText" dxfId="2808" priority="686" operator="containsText" text="Production">
      <formula>NOT(ISERROR(SEARCH("Production",AP234)))</formula>
    </cfRule>
    <cfRule type="containsText" dxfId="2807" priority="687" operator="containsText" text="Canceled">
      <formula>NOT(ISERROR(SEARCH("Canceled",AP234)))</formula>
    </cfRule>
    <cfRule type="containsText" dxfId="2806" priority="688" operator="containsText" text="Closed">
      <formula>NOT(ISERROR(SEARCH("Closed",AP234)))</formula>
    </cfRule>
  </conditionalFormatting>
  <conditionalFormatting sqref="AP242">
    <cfRule type="containsText" dxfId="2805" priority="673" operator="containsText" text="In Study">
      <formula>NOT(ISERROR(SEARCH("In Study",AP242)))</formula>
    </cfRule>
    <cfRule type="containsText" dxfId="2804" priority="674" operator="containsText" text="In Approval">
      <formula>NOT(ISERROR(SEARCH("In Approval",AP242)))</formula>
    </cfRule>
    <cfRule type="containsText" dxfId="2803" priority="675" operator="containsText" text="Planning">
      <formula>NOT(ISERROR(SEARCH("Planning",AP242)))</formula>
    </cfRule>
    <cfRule type="containsText" dxfId="2802" priority="676" operator="containsText" text="Installation">
      <formula>NOT(ISERROR(SEARCH("Installation",AP242)))</formula>
    </cfRule>
    <cfRule type="containsText" dxfId="2801" priority="677" operator="containsText" text="Comissioning">
      <formula>NOT(ISERROR(SEARCH("Comissioning",AP242)))</formula>
    </cfRule>
    <cfRule type="containsText" dxfId="2800" priority="678" operator="containsText" text="Production">
      <formula>NOT(ISERROR(SEARCH("Production",AP242)))</formula>
    </cfRule>
    <cfRule type="containsText" dxfId="2799" priority="679" operator="containsText" text="Canceled">
      <formula>NOT(ISERROR(SEARCH("Canceled",AP242)))</formula>
    </cfRule>
    <cfRule type="containsText" dxfId="2798" priority="680" operator="containsText" text="Closed">
      <formula>NOT(ISERROR(SEARCH("Closed",AP242)))</formula>
    </cfRule>
  </conditionalFormatting>
  <conditionalFormatting sqref="AP243">
    <cfRule type="containsText" dxfId="2797" priority="665" operator="containsText" text="In Study">
      <formula>NOT(ISERROR(SEARCH("In Study",AP243)))</formula>
    </cfRule>
    <cfRule type="containsText" dxfId="2796" priority="666" operator="containsText" text="In Approval">
      <formula>NOT(ISERROR(SEARCH("In Approval",AP243)))</formula>
    </cfRule>
    <cfRule type="containsText" dxfId="2795" priority="667" operator="containsText" text="Planning">
      <formula>NOT(ISERROR(SEARCH("Planning",AP243)))</formula>
    </cfRule>
    <cfRule type="containsText" dxfId="2794" priority="668" operator="containsText" text="Installation">
      <formula>NOT(ISERROR(SEARCH("Installation",AP243)))</formula>
    </cfRule>
    <cfRule type="containsText" dxfId="2793" priority="669" operator="containsText" text="Comissioning">
      <formula>NOT(ISERROR(SEARCH("Comissioning",AP243)))</formula>
    </cfRule>
    <cfRule type="containsText" dxfId="2792" priority="670" operator="containsText" text="Production">
      <formula>NOT(ISERROR(SEARCH("Production",AP243)))</formula>
    </cfRule>
    <cfRule type="containsText" dxfId="2791" priority="671" operator="containsText" text="Canceled">
      <formula>NOT(ISERROR(SEARCH("Canceled",AP243)))</formula>
    </cfRule>
    <cfRule type="containsText" dxfId="2790" priority="672" operator="containsText" text="Closed">
      <formula>NOT(ISERROR(SEARCH("Closed",AP243)))</formula>
    </cfRule>
  </conditionalFormatting>
  <conditionalFormatting sqref="AP244">
    <cfRule type="containsText" dxfId="2789" priority="657" operator="containsText" text="In Study">
      <formula>NOT(ISERROR(SEARCH("In Study",AP244)))</formula>
    </cfRule>
    <cfRule type="containsText" dxfId="2788" priority="658" operator="containsText" text="In Approval">
      <formula>NOT(ISERROR(SEARCH("In Approval",AP244)))</formula>
    </cfRule>
    <cfRule type="containsText" dxfId="2787" priority="659" operator="containsText" text="Planning">
      <formula>NOT(ISERROR(SEARCH("Planning",AP244)))</formula>
    </cfRule>
    <cfRule type="containsText" dxfId="2786" priority="660" operator="containsText" text="Installation">
      <formula>NOT(ISERROR(SEARCH("Installation",AP244)))</formula>
    </cfRule>
    <cfRule type="containsText" dxfId="2785" priority="661" operator="containsText" text="Comissioning">
      <formula>NOT(ISERROR(SEARCH("Comissioning",AP244)))</formula>
    </cfRule>
    <cfRule type="containsText" dxfId="2784" priority="662" operator="containsText" text="Production">
      <formula>NOT(ISERROR(SEARCH("Production",AP244)))</formula>
    </cfRule>
    <cfRule type="containsText" dxfId="2783" priority="663" operator="containsText" text="Canceled">
      <formula>NOT(ISERROR(SEARCH("Canceled",AP244)))</formula>
    </cfRule>
    <cfRule type="containsText" dxfId="2782" priority="664" operator="containsText" text="Closed">
      <formula>NOT(ISERROR(SEARCH("Closed",AP244)))</formula>
    </cfRule>
  </conditionalFormatting>
  <conditionalFormatting sqref="AP245">
    <cfRule type="containsText" dxfId="2781" priority="649" operator="containsText" text="In Study">
      <formula>NOT(ISERROR(SEARCH("In Study",AP245)))</formula>
    </cfRule>
    <cfRule type="containsText" dxfId="2780" priority="650" operator="containsText" text="In Approval">
      <formula>NOT(ISERROR(SEARCH("In Approval",AP245)))</formula>
    </cfRule>
    <cfRule type="containsText" dxfId="2779" priority="651" operator="containsText" text="Planning">
      <formula>NOT(ISERROR(SEARCH("Planning",AP245)))</formula>
    </cfRule>
    <cfRule type="containsText" dxfId="2778" priority="652" operator="containsText" text="Installation">
      <formula>NOT(ISERROR(SEARCH("Installation",AP245)))</formula>
    </cfRule>
    <cfRule type="containsText" dxfId="2777" priority="653" operator="containsText" text="Comissioning">
      <formula>NOT(ISERROR(SEARCH("Comissioning",AP245)))</formula>
    </cfRule>
    <cfRule type="containsText" dxfId="2776" priority="654" operator="containsText" text="Production">
      <formula>NOT(ISERROR(SEARCH("Production",AP245)))</formula>
    </cfRule>
    <cfRule type="containsText" dxfId="2775" priority="655" operator="containsText" text="Canceled">
      <formula>NOT(ISERROR(SEARCH("Canceled",AP245)))</formula>
    </cfRule>
    <cfRule type="containsText" dxfId="2774" priority="656" operator="containsText" text="Closed">
      <formula>NOT(ISERROR(SEARCH("Closed",AP245)))</formula>
    </cfRule>
  </conditionalFormatting>
  <conditionalFormatting sqref="AP247">
    <cfRule type="containsText" dxfId="2773" priority="641" operator="containsText" text="In Study">
      <formula>NOT(ISERROR(SEARCH("In Study",AP247)))</formula>
    </cfRule>
    <cfRule type="containsText" dxfId="2772" priority="642" operator="containsText" text="In Approval">
      <formula>NOT(ISERROR(SEARCH("In Approval",AP247)))</formula>
    </cfRule>
    <cfRule type="containsText" dxfId="2771" priority="643" operator="containsText" text="Planning">
      <formula>NOT(ISERROR(SEARCH("Planning",AP247)))</formula>
    </cfRule>
    <cfRule type="containsText" dxfId="2770" priority="644" operator="containsText" text="Installation">
      <formula>NOT(ISERROR(SEARCH("Installation",AP247)))</formula>
    </cfRule>
    <cfRule type="containsText" dxfId="2769" priority="645" operator="containsText" text="Comissioning">
      <formula>NOT(ISERROR(SEARCH("Comissioning",AP247)))</formula>
    </cfRule>
    <cfRule type="containsText" dxfId="2768" priority="646" operator="containsText" text="Production">
      <formula>NOT(ISERROR(SEARCH("Production",AP247)))</formula>
    </cfRule>
    <cfRule type="containsText" dxfId="2767" priority="647" operator="containsText" text="Canceled">
      <formula>NOT(ISERROR(SEARCH("Canceled",AP247)))</formula>
    </cfRule>
    <cfRule type="containsText" dxfId="2766" priority="648" operator="containsText" text="Closed">
      <formula>NOT(ISERROR(SEARCH("Closed",AP247)))</formula>
    </cfRule>
  </conditionalFormatting>
  <conditionalFormatting sqref="AP249">
    <cfRule type="containsText" dxfId="2765" priority="633" operator="containsText" text="In Study">
      <formula>NOT(ISERROR(SEARCH("In Study",AP249)))</formula>
    </cfRule>
    <cfRule type="containsText" dxfId="2764" priority="634" operator="containsText" text="In Approval">
      <formula>NOT(ISERROR(SEARCH("In Approval",AP249)))</formula>
    </cfRule>
    <cfRule type="containsText" dxfId="2763" priority="635" operator="containsText" text="Planning">
      <formula>NOT(ISERROR(SEARCH("Planning",AP249)))</formula>
    </cfRule>
    <cfRule type="containsText" dxfId="2762" priority="636" operator="containsText" text="Installation">
      <formula>NOT(ISERROR(SEARCH("Installation",AP249)))</formula>
    </cfRule>
    <cfRule type="containsText" dxfId="2761" priority="637" operator="containsText" text="Comissioning">
      <formula>NOT(ISERROR(SEARCH("Comissioning",AP249)))</formula>
    </cfRule>
    <cfRule type="containsText" dxfId="2760" priority="638" operator="containsText" text="Production">
      <formula>NOT(ISERROR(SEARCH("Production",AP249)))</formula>
    </cfRule>
    <cfRule type="containsText" dxfId="2759" priority="639" operator="containsText" text="Canceled">
      <formula>NOT(ISERROR(SEARCH("Canceled",AP249)))</formula>
    </cfRule>
    <cfRule type="containsText" dxfId="2758" priority="640" operator="containsText" text="Closed">
      <formula>NOT(ISERROR(SEARCH("Closed",AP249)))</formula>
    </cfRule>
  </conditionalFormatting>
  <conditionalFormatting sqref="AP250">
    <cfRule type="containsText" dxfId="2757" priority="625" operator="containsText" text="In Study">
      <formula>NOT(ISERROR(SEARCH("In Study",AP250)))</formula>
    </cfRule>
    <cfRule type="containsText" dxfId="2756" priority="626" operator="containsText" text="In Approval">
      <formula>NOT(ISERROR(SEARCH("In Approval",AP250)))</formula>
    </cfRule>
    <cfRule type="containsText" dxfId="2755" priority="627" operator="containsText" text="Planning">
      <formula>NOT(ISERROR(SEARCH("Planning",AP250)))</formula>
    </cfRule>
    <cfRule type="containsText" dxfId="2754" priority="628" operator="containsText" text="Installation">
      <formula>NOT(ISERROR(SEARCH("Installation",AP250)))</formula>
    </cfRule>
    <cfRule type="containsText" dxfId="2753" priority="629" operator="containsText" text="Comissioning">
      <formula>NOT(ISERROR(SEARCH("Comissioning",AP250)))</formula>
    </cfRule>
    <cfRule type="containsText" dxfId="2752" priority="630" operator="containsText" text="Production">
      <formula>NOT(ISERROR(SEARCH("Production",AP250)))</formula>
    </cfRule>
    <cfRule type="containsText" dxfId="2751" priority="631" operator="containsText" text="Canceled">
      <formula>NOT(ISERROR(SEARCH("Canceled",AP250)))</formula>
    </cfRule>
    <cfRule type="containsText" dxfId="2750" priority="632" operator="containsText" text="Closed">
      <formula>NOT(ISERROR(SEARCH("Closed",AP250)))</formula>
    </cfRule>
  </conditionalFormatting>
  <conditionalFormatting sqref="AP251">
    <cfRule type="containsText" dxfId="2749" priority="617" operator="containsText" text="In Study">
      <formula>NOT(ISERROR(SEARCH("In Study",AP251)))</formula>
    </cfRule>
    <cfRule type="containsText" dxfId="2748" priority="618" operator="containsText" text="In Approval">
      <formula>NOT(ISERROR(SEARCH("In Approval",AP251)))</formula>
    </cfRule>
    <cfRule type="containsText" dxfId="2747" priority="619" operator="containsText" text="Planning">
      <formula>NOT(ISERROR(SEARCH("Planning",AP251)))</formula>
    </cfRule>
    <cfRule type="containsText" dxfId="2746" priority="620" operator="containsText" text="Installation">
      <formula>NOT(ISERROR(SEARCH("Installation",AP251)))</formula>
    </cfRule>
    <cfRule type="containsText" dxfId="2745" priority="621" operator="containsText" text="Comissioning">
      <formula>NOT(ISERROR(SEARCH("Comissioning",AP251)))</formula>
    </cfRule>
    <cfRule type="containsText" dxfId="2744" priority="622" operator="containsText" text="Production">
      <formula>NOT(ISERROR(SEARCH("Production",AP251)))</formula>
    </cfRule>
    <cfRule type="containsText" dxfId="2743" priority="623" operator="containsText" text="Canceled">
      <formula>NOT(ISERROR(SEARCH("Canceled",AP251)))</formula>
    </cfRule>
    <cfRule type="containsText" dxfId="2742" priority="624" operator="containsText" text="Closed">
      <formula>NOT(ISERROR(SEARCH("Closed",AP251)))</formula>
    </cfRule>
  </conditionalFormatting>
  <conditionalFormatting sqref="AP253">
    <cfRule type="containsText" dxfId="2741" priority="609" operator="containsText" text="In Study">
      <formula>NOT(ISERROR(SEARCH("In Study",AP253)))</formula>
    </cfRule>
    <cfRule type="containsText" dxfId="2740" priority="610" operator="containsText" text="In Approval">
      <formula>NOT(ISERROR(SEARCH("In Approval",AP253)))</formula>
    </cfRule>
    <cfRule type="containsText" dxfId="2739" priority="611" operator="containsText" text="Planning">
      <formula>NOT(ISERROR(SEARCH("Planning",AP253)))</formula>
    </cfRule>
    <cfRule type="containsText" dxfId="2738" priority="612" operator="containsText" text="Installation">
      <formula>NOT(ISERROR(SEARCH("Installation",AP253)))</formula>
    </cfRule>
    <cfRule type="containsText" dxfId="2737" priority="613" operator="containsText" text="Comissioning">
      <formula>NOT(ISERROR(SEARCH("Comissioning",AP253)))</formula>
    </cfRule>
    <cfRule type="containsText" dxfId="2736" priority="614" operator="containsText" text="Production">
      <formula>NOT(ISERROR(SEARCH("Production",AP253)))</formula>
    </cfRule>
    <cfRule type="containsText" dxfId="2735" priority="615" operator="containsText" text="Canceled">
      <formula>NOT(ISERROR(SEARCH("Canceled",AP253)))</formula>
    </cfRule>
    <cfRule type="containsText" dxfId="2734" priority="616" operator="containsText" text="Closed">
      <formula>NOT(ISERROR(SEARCH("Closed",AP253)))</formula>
    </cfRule>
  </conditionalFormatting>
  <conditionalFormatting sqref="AP256">
    <cfRule type="containsText" dxfId="2733" priority="601" operator="containsText" text="In Study">
      <formula>NOT(ISERROR(SEARCH("In Study",AP256)))</formula>
    </cfRule>
    <cfRule type="containsText" dxfId="2732" priority="602" operator="containsText" text="In Approval">
      <formula>NOT(ISERROR(SEARCH("In Approval",AP256)))</formula>
    </cfRule>
    <cfRule type="containsText" dxfId="2731" priority="603" operator="containsText" text="Planning">
      <formula>NOT(ISERROR(SEARCH("Planning",AP256)))</formula>
    </cfRule>
    <cfRule type="containsText" dxfId="2730" priority="604" operator="containsText" text="Installation">
      <formula>NOT(ISERROR(SEARCH("Installation",AP256)))</formula>
    </cfRule>
    <cfRule type="containsText" dxfId="2729" priority="605" operator="containsText" text="Comissioning">
      <formula>NOT(ISERROR(SEARCH("Comissioning",AP256)))</formula>
    </cfRule>
    <cfRule type="containsText" dxfId="2728" priority="606" operator="containsText" text="Production">
      <formula>NOT(ISERROR(SEARCH("Production",AP256)))</formula>
    </cfRule>
    <cfRule type="containsText" dxfId="2727" priority="607" operator="containsText" text="Canceled">
      <formula>NOT(ISERROR(SEARCH("Canceled",AP256)))</formula>
    </cfRule>
    <cfRule type="containsText" dxfId="2726" priority="608" operator="containsText" text="Closed">
      <formula>NOT(ISERROR(SEARCH("Closed",AP256)))</formula>
    </cfRule>
  </conditionalFormatting>
  <conditionalFormatting sqref="AP261">
    <cfRule type="containsText" dxfId="2725" priority="593" operator="containsText" text="In Study">
      <formula>NOT(ISERROR(SEARCH("In Study",AP261)))</formula>
    </cfRule>
    <cfRule type="containsText" dxfId="2724" priority="594" operator="containsText" text="In Approval">
      <formula>NOT(ISERROR(SEARCH("In Approval",AP261)))</formula>
    </cfRule>
    <cfRule type="containsText" dxfId="2723" priority="595" operator="containsText" text="Planning">
      <formula>NOT(ISERROR(SEARCH("Planning",AP261)))</formula>
    </cfRule>
    <cfRule type="containsText" dxfId="2722" priority="596" operator="containsText" text="Installation">
      <formula>NOT(ISERROR(SEARCH("Installation",AP261)))</formula>
    </cfRule>
    <cfRule type="containsText" dxfId="2721" priority="597" operator="containsText" text="Comissioning">
      <formula>NOT(ISERROR(SEARCH("Comissioning",AP261)))</formula>
    </cfRule>
    <cfRule type="containsText" dxfId="2720" priority="598" operator="containsText" text="Production">
      <formula>NOT(ISERROR(SEARCH("Production",AP261)))</formula>
    </cfRule>
    <cfRule type="containsText" dxfId="2719" priority="599" operator="containsText" text="Canceled">
      <formula>NOT(ISERROR(SEARCH("Canceled",AP261)))</formula>
    </cfRule>
    <cfRule type="containsText" dxfId="2718" priority="600" operator="containsText" text="Closed">
      <formula>NOT(ISERROR(SEARCH("Closed",AP261)))</formula>
    </cfRule>
  </conditionalFormatting>
  <conditionalFormatting sqref="AP262">
    <cfRule type="containsText" dxfId="2717" priority="585" operator="containsText" text="In Study">
      <formula>NOT(ISERROR(SEARCH("In Study",AP262)))</formula>
    </cfRule>
    <cfRule type="containsText" dxfId="2716" priority="586" operator="containsText" text="In Approval">
      <formula>NOT(ISERROR(SEARCH("In Approval",AP262)))</formula>
    </cfRule>
    <cfRule type="containsText" dxfId="2715" priority="587" operator="containsText" text="Planning">
      <formula>NOT(ISERROR(SEARCH("Planning",AP262)))</formula>
    </cfRule>
    <cfRule type="containsText" dxfId="2714" priority="588" operator="containsText" text="Installation">
      <formula>NOT(ISERROR(SEARCH("Installation",AP262)))</formula>
    </cfRule>
    <cfRule type="containsText" dxfId="2713" priority="589" operator="containsText" text="Comissioning">
      <formula>NOT(ISERROR(SEARCH("Comissioning",AP262)))</formula>
    </cfRule>
    <cfRule type="containsText" dxfId="2712" priority="590" operator="containsText" text="Production">
      <formula>NOT(ISERROR(SEARCH("Production",AP262)))</formula>
    </cfRule>
    <cfRule type="containsText" dxfId="2711" priority="591" operator="containsText" text="Canceled">
      <formula>NOT(ISERROR(SEARCH("Canceled",AP262)))</formula>
    </cfRule>
    <cfRule type="containsText" dxfId="2710" priority="592" operator="containsText" text="Closed">
      <formula>NOT(ISERROR(SEARCH("Closed",AP262)))</formula>
    </cfRule>
  </conditionalFormatting>
  <conditionalFormatting sqref="AP263">
    <cfRule type="containsText" dxfId="2709" priority="577" operator="containsText" text="In Study">
      <formula>NOT(ISERROR(SEARCH("In Study",AP263)))</formula>
    </cfRule>
    <cfRule type="containsText" dxfId="2708" priority="578" operator="containsText" text="In Approval">
      <formula>NOT(ISERROR(SEARCH("In Approval",AP263)))</formula>
    </cfRule>
    <cfRule type="containsText" dxfId="2707" priority="579" operator="containsText" text="Planning">
      <formula>NOT(ISERROR(SEARCH("Planning",AP263)))</formula>
    </cfRule>
    <cfRule type="containsText" dxfId="2706" priority="580" operator="containsText" text="Installation">
      <formula>NOT(ISERROR(SEARCH("Installation",AP263)))</formula>
    </cfRule>
    <cfRule type="containsText" dxfId="2705" priority="581" operator="containsText" text="Comissioning">
      <formula>NOT(ISERROR(SEARCH("Comissioning",AP263)))</formula>
    </cfRule>
    <cfRule type="containsText" dxfId="2704" priority="582" operator="containsText" text="Production">
      <formula>NOT(ISERROR(SEARCH("Production",AP263)))</formula>
    </cfRule>
    <cfRule type="containsText" dxfId="2703" priority="583" operator="containsText" text="Canceled">
      <formula>NOT(ISERROR(SEARCH("Canceled",AP263)))</formula>
    </cfRule>
    <cfRule type="containsText" dxfId="2702" priority="584" operator="containsText" text="Closed">
      <formula>NOT(ISERROR(SEARCH("Closed",AP263)))</formula>
    </cfRule>
  </conditionalFormatting>
  <conditionalFormatting sqref="AP268">
    <cfRule type="containsText" dxfId="2701" priority="569" operator="containsText" text="In Study">
      <formula>NOT(ISERROR(SEARCH("In Study",AP268)))</formula>
    </cfRule>
    <cfRule type="containsText" dxfId="2700" priority="570" operator="containsText" text="In Approval">
      <formula>NOT(ISERROR(SEARCH("In Approval",AP268)))</formula>
    </cfRule>
    <cfRule type="containsText" dxfId="2699" priority="571" operator="containsText" text="Planning">
      <formula>NOT(ISERROR(SEARCH("Planning",AP268)))</formula>
    </cfRule>
    <cfRule type="containsText" dxfId="2698" priority="572" operator="containsText" text="Installation">
      <formula>NOT(ISERROR(SEARCH("Installation",AP268)))</formula>
    </cfRule>
    <cfRule type="containsText" dxfId="2697" priority="573" operator="containsText" text="Comissioning">
      <formula>NOT(ISERROR(SEARCH("Comissioning",AP268)))</formula>
    </cfRule>
    <cfRule type="containsText" dxfId="2696" priority="574" operator="containsText" text="Production">
      <formula>NOT(ISERROR(SEARCH("Production",AP268)))</formula>
    </cfRule>
    <cfRule type="containsText" dxfId="2695" priority="575" operator="containsText" text="Canceled">
      <formula>NOT(ISERROR(SEARCH("Canceled",AP268)))</formula>
    </cfRule>
    <cfRule type="containsText" dxfId="2694" priority="576" operator="containsText" text="Closed">
      <formula>NOT(ISERROR(SEARCH("Closed",AP268)))</formula>
    </cfRule>
  </conditionalFormatting>
  <conditionalFormatting sqref="AP276">
    <cfRule type="containsText" dxfId="2693" priority="561" operator="containsText" text="In Study">
      <formula>NOT(ISERROR(SEARCH("In Study",AP276)))</formula>
    </cfRule>
    <cfRule type="containsText" dxfId="2692" priority="562" operator="containsText" text="In Approval">
      <formula>NOT(ISERROR(SEARCH("In Approval",AP276)))</formula>
    </cfRule>
    <cfRule type="containsText" dxfId="2691" priority="563" operator="containsText" text="Planning">
      <formula>NOT(ISERROR(SEARCH("Planning",AP276)))</formula>
    </cfRule>
    <cfRule type="containsText" dxfId="2690" priority="564" operator="containsText" text="Installation">
      <formula>NOT(ISERROR(SEARCH("Installation",AP276)))</formula>
    </cfRule>
    <cfRule type="containsText" dxfId="2689" priority="565" operator="containsText" text="Comissioning">
      <formula>NOT(ISERROR(SEARCH("Comissioning",AP276)))</formula>
    </cfRule>
    <cfRule type="containsText" dxfId="2688" priority="566" operator="containsText" text="Production">
      <formula>NOT(ISERROR(SEARCH("Production",AP276)))</formula>
    </cfRule>
    <cfRule type="containsText" dxfId="2687" priority="567" operator="containsText" text="Canceled">
      <formula>NOT(ISERROR(SEARCH("Canceled",AP276)))</formula>
    </cfRule>
    <cfRule type="containsText" dxfId="2686" priority="568" operator="containsText" text="Closed">
      <formula>NOT(ISERROR(SEARCH("Closed",AP276)))</formula>
    </cfRule>
  </conditionalFormatting>
  <conditionalFormatting sqref="AP278">
    <cfRule type="containsText" dxfId="2685" priority="553" operator="containsText" text="In Study">
      <formula>NOT(ISERROR(SEARCH("In Study",AP278)))</formula>
    </cfRule>
    <cfRule type="containsText" dxfId="2684" priority="554" operator="containsText" text="In Approval">
      <formula>NOT(ISERROR(SEARCH("In Approval",AP278)))</formula>
    </cfRule>
    <cfRule type="containsText" dxfId="2683" priority="555" operator="containsText" text="Planning">
      <formula>NOT(ISERROR(SEARCH("Planning",AP278)))</formula>
    </cfRule>
    <cfRule type="containsText" dxfId="2682" priority="556" operator="containsText" text="Installation">
      <formula>NOT(ISERROR(SEARCH("Installation",AP278)))</formula>
    </cfRule>
    <cfRule type="containsText" dxfId="2681" priority="557" operator="containsText" text="Comissioning">
      <formula>NOT(ISERROR(SEARCH("Comissioning",AP278)))</formula>
    </cfRule>
    <cfRule type="containsText" dxfId="2680" priority="558" operator="containsText" text="Production">
      <formula>NOT(ISERROR(SEARCH("Production",AP278)))</formula>
    </cfRule>
    <cfRule type="containsText" dxfId="2679" priority="559" operator="containsText" text="Canceled">
      <formula>NOT(ISERROR(SEARCH("Canceled",AP278)))</formula>
    </cfRule>
    <cfRule type="containsText" dxfId="2678" priority="560" operator="containsText" text="Closed">
      <formula>NOT(ISERROR(SEARCH("Closed",AP278)))</formula>
    </cfRule>
  </conditionalFormatting>
  <conditionalFormatting sqref="AP281">
    <cfRule type="containsText" dxfId="2677" priority="545" operator="containsText" text="In Study">
      <formula>NOT(ISERROR(SEARCH("In Study",AP281)))</formula>
    </cfRule>
    <cfRule type="containsText" dxfId="2676" priority="546" operator="containsText" text="In Approval">
      <formula>NOT(ISERROR(SEARCH("In Approval",AP281)))</formula>
    </cfRule>
    <cfRule type="containsText" dxfId="2675" priority="547" operator="containsText" text="Planning">
      <formula>NOT(ISERROR(SEARCH("Planning",AP281)))</formula>
    </cfRule>
    <cfRule type="containsText" dxfId="2674" priority="548" operator="containsText" text="Installation">
      <formula>NOT(ISERROR(SEARCH("Installation",AP281)))</formula>
    </cfRule>
    <cfRule type="containsText" dxfId="2673" priority="549" operator="containsText" text="Comissioning">
      <formula>NOT(ISERROR(SEARCH("Comissioning",AP281)))</formula>
    </cfRule>
    <cfRule type="containsText" dxfId="2672" priority="550" operator="containsText" text="Production">
      <formula>NOT(ISERROR(SEARCH("Production",AP281)))</formula>
    </cfRule>
    <cfRule type="containsText" dxfId="2671" priority="551" operator="containsText" text="Canceled">
      <formula>NOT(ISERROR(SEARCH("Canceled",AP281)))</formula>
    </cfRule>
    <cfRule type="containsText" dxfId="2670" priority="552" operator="containsText" text="Closed">
      <formula>NOT(ISERROR(SEARCH("Closed",AP281)))</formula>
    </cfRule>
  </conditionalFormatting>
  <conditionalFormatting sqref="AP283">
    <cfRule type="containsText" dxfId="2669" priority="537" operator="containsText" text="In Study">
      <formula>NOT(ISERROR(SEARCH("In Study",AP283)))</formula>
    </cfRule>
    <cfRule type="containsText" dxfId="2668" priority="538" operator="containsText" text="In Approval">
      <formula>NOT(ISERROR(SEARCH("In Approval",AP283)))</formula>
    </cfRule>
    <cfRule type="containsText" dxfId="2667" priority="539" operator="containsText" text="Planning">
      <formula>NOT(ISERROR(SEARCH("Planning",AP283)))</formula>
    </cfRule>
    <cfRule type="containsText" dxfId="2666" priority="540" operator="containsText" text="Installation">
      <formula>NOT(ISERROR(SEARCH("Installation",AP283)))</formula>
    </cfRule>
    <cfRule type="containsText" dxfId="2665" priority="541" operator="containsText" text="Comissioning">
      <formula>NOT(ISERROR(SEARCH("Comissioning",AP283)))</formula>
    </cfRule>
    <cfRule type="containsText" dxfId="2664" priority="542" operator="containsText" text="Production">
      <formula>NOT(ISERROR(SEARCH("Production",AP283)))</formula>
    </cfRule>
    <cfRule type="containsText" dxfId="2663" priority="543" operator="containsText" text="Canceled">
      <formula>NOT(ISERROR(SEARCH("Canceled",AP283)))</formula>
    </cfRule>
    <cfRule type="containsText" dxfId="2662" priority="544" operator="containsText" text="Closed">
      <formula>NOT(ISERROR(SEARCH("Closed",AP283)))</formula>
    </cfRule>
  </conditionalFormatting>
  <conditionalFormatting sqref="AP298">
    <cfRule type="containsText" dxfId="2661" priority="529" operator="containsText" text="In Study">
      <formula>NOT(ISERROR(SEARCH("In Study",AP298)))</formula>
    </cfRule>
    <cfRule type="containsText" dxfId="2660" priority="530" operator="containsText" text="In Approval">
      <formula>NOT(ISERROR(SEARCH("In Approval",AP298)))</formula>
    </cfRule>
    <cfRule type="containsText" dxfId="2659" priority="531" operator="containsText" text="Planning">
      <formula>NOT(ISERROR(SEARCH("Planning",AP298)))</formula>
    </cfRule>
    <cfRule type="containsText" dxfId="2658" priority="532" operator="containsText" text="Installation">
      <formula>NOT(ISERROR(SEARCH("Installation",AP298)))</formula>
    </cfRule>
    <cfRule type="containsText" dxfId="2657" priority="533" operator="containsText" text="Comissioning">
      <formula>NOT(ISERROR(SEARCH("Comissioning",AP298)))</formula>
    </cfRule>
    <cfRule type="containsText" dxfId="2656" priority="534" operator="containsText" text="Production">
      <formula>NOT(ISERROR(SEARCH("Production",AP298)))</formula>
    </cfRule>
    <cfRule type="containsText" dxfId="2655" priority="535" operator="containsText" text="Canceled">
      <formula>NOT(ISERROR(SEARCH("Canceled",AP298)))</formula>
    </cfRule>
    <cfRule type="containsText" dxfId="2654" priority="536" operator="containsText" text="Closed">
      <formula>NOT(ISERROR(SEARCH("Closed",AP298)))</formula>
    </cfRule>
  </conditionalFormatting>
  <conditionalFormatting sqref="AP303">
    <cfRule type="containsText" dxfId="2653" priority="513" operator="containsText" text="In Study">
      <formula>NOT(ISERROR(SEARCH("In Study",AP303)))</formula>
    </cfRule>
    <cfRule type="containsText" dxfId="2652" priority="514" operator="containsText" text="In Approval">
      <formula>NOT(ISERROR(SEARCH("In Approval",AP303)))</formula>
    </cfRule>
    <cfRule type="containsText" dxfId="2651" priority="515" operator="containsText" text="Planning">
      <formula>NOT(ISERROR(SEARCH("Planning",AP303)))</formula>
    </cfRule>
    <cfRule type="containsText" dxfId="2650" priority="516" operator="containsText" text="Installation">
      <formula>NOT(ISERROR(SEARCH("Installation",AP303)))</formula>
    </cfRule>
    <cfRule type="containsText" dxfId="2649" priority="517" operator="containsText" text="Comissioning">
      <formula>NOT(ISERROR(SEARCH("Comissioning",AP303)))</formula>
    </cfRule>
    <cfRule type="containsText" dxfId="2648" priority="518" operator="containsText" text="Production">
      <formula>NOT(ISERROR(SEARCH("Production",AP303)))</formula>
    </cfRule>
    <cfRule type="containsText" dxfId="2647" priority="519" operator="containsText" text="Canceled">
      <formula>NOT(ISERROR(SEARCH("Canceled",AP303)))</formula>
    </cfRule>
    <cfRule type="containsText" dxfId="2646" priority="520" operator="containsText" text="Closed">
      <formula>NOT(ISERROR(SEARCH("Closed",AP303)))</formula>
    </cfRule>
  </conditionalFormatting>
  <conditionalFormatting sqref="AP304">
    <cfRule type="containsText" dxfId="2645" priority="505" operator="containsText" text="In Study">
      <formula>NOT(ISERROR(SEARCH("In Study",AP304)))</formula>
    </cfRule>
    <cfRule type="containsText" dxfId="2644" priority="506" operator="containsText" text="In Approval">
      <formula>NOT(ISERROR(SEARCH("In Approval",AP304)))</formula>
    </cfRule>
    <cfRule type="containsText" dxfId="2643" priority="507" operator="containsText" text="Planning">
      <formula>NOT(ISERROR(SEARCH("Planning",AP304)))</formula>
    </cfRule>
    <cfRule type="containsText" dxfId="2642" priority="508" operator="containsText" text="Installation">
      <formula>NOT(ISERROR(SEARCH("Installation",AP304)))</formula>
    </cfRule>
    <cfRule type="containsText" dxfId="2641" priority="509" operator="containsText" text="Comissioning">
      <formula>NOT(ISERROR(SEARCH("Comissioning",AP304)))</formula>
    </cfRule>
    <cfRule type="containsText" dxfId="2640" priority="510" operator="containsText" text="Production">
      <formula>NOT(ISERROR(SEARCH("Production",AP304)))</formula>
    </cfRule>
    <cfRule type="containsText" dxfId="2639" priority="511" operator="containsText" text="Canceled">
      <formula>NOT(ISERROR(SEARCH("Canceled",AP304)))</formula>
    </cfRule>
    <cfRule type="containsText" dxfId="2638" priority="512" operator="containsText" text="Closed">
      <formula>NOT(ISERROR(SEARCH("Closed",AP304)))</formula>
    </cfRule>
  </conditionalFormatting>
  <conditionalFormatting sqref="AP305">
    <cfRule type="containsText" dxfId="2637" priority="497" operator="containsText" text="In Study">
      <formula>NOT(ISERROR(SEARCH("In Study",AP305)))</formula>
    </cfRule>
    <cfRule type="containsText" dxfId="2636" priority="498" operator="containsText" text="In Approval">
      <formula>NOT(ISERROR(SEARCH("In Approval",AP305)))</formula>
    </cfRule>
    <cfRule type="containsText" dxfId="2635" priority="499" operator="containsText" text="Planning">
      <formula>NOT(ISERROR(SEARCH("Planning",AP305)))</formula>
    </cfRule>
    <cfRule type="containsText" dxfId="2634" priority="500" operator="containsText" text="Installation">
      <formula>NOT(ISERROR(SEARCH("Installation",AP305)))</formula>
    </cfRule>
    <cfRule type="containsText" dxfId="2633" priority="501" operator="containsText" text="Comissioning">
      <formula>NOT(ISERROR(SEARCH("Comissioning",AP305)))</formula>
    </cfRule>
    <cfRule type="containsText" dxfId="2632" priority="502" operator="containsText" text="Production">
      <formula>NOT(ISERROR(SEARCH("Production",AP305)))</formula>
    </cfRule>
    <cfRule type="containsText" dxfId="2631" priority="503" operator="containsText" text="Canceled">
      <formula>NOT(ISERROR(SEARCH("Canceled",AP305)))</formula>
    </cfRule>
    <cfRule type="containsText" dxfId="2630" priority="504" operator="containsText" text="Closed">
      <formula>NOT(ISERROR(SEARCH("Closed",AP305)))</formula>
    </cfRule>
  </conditionalFormatting>
  <conditionalFormatting sqref="AP306">
    <cfRule type="containsText" dxfId="2629" priority="489" operator="containsText" text="In Study">
      <formula>NOT(ISERROR(SEARCH("In Study",AP306)))</formula>
    </cfRule>
    <cfRule type="containsText" dxfId="2628" priority="490" operator="containsText" text="In Approval">
      <formula>NOT(ISERROR(SEARCH("In Approval",AP306)))</formula>
    </cfRule>
    <cfRule type="containsText" dxfId="2627" priority="491" operator="containsText" text="Planning">
      <formula>NOT(ISERROR(SEARCH("Planning",AP306)))</formula>
    </cfRule>
    <cfRule type="containsText" dxfId="2626" priority="492" operator="containsText" text="Installation">
      <formula>NOT(ISERROR(SEARCH("Installation",AP306)))</formula>
    </cfRule>
    <cfRule type="containsText" dxfId="2625" priority="493" operator="containsText" text="Comissioning">
      <formula>NOT(ISERROR(SEARCH("Comissioning",AP306)))</formula>
    </cfRule>
    <cfRule type="containsText" dxfId="2624" priority="494" operator="containsText" text="Production">
      <formula>NOT(ISERROR(SEARCH("Production",AP306)))</formula>
    </cfRule>
    <cfRule type="containsText" dxfId="2623" priority="495" operator="containsText" text="Canceled">
      <formula>NOT(ISERROR(SEARCH("Canceled",AP306)))</formula>
    </cfRule>
    <cfRule type="containsText" dxfId="2622" priority="496" operator="containsText" text="Closed">
      <formula>NOT(ISERROR(SEARCH("Closed",AP306)))</formula>
    </cfRule>
  </conditionalFormatting>
  <conditionalFormatting sqref="AP307">
    <cfRule type="containsText" dxfId="2621" priority="481" operator="containsText" text="In Study">
      <formula>NOT(ISERROR(SEARCH("In Study",AP307)))</formula>
    </cfRule>
    <cfRule type="containsText" dxfId="2620" priority="482" operator="containsText" text="In Approval">
      <formula>NOT(ISERROR(SEARCH("In Approval",AP307)))</formula>
    </cfRule>
    <cfRule type="containsText" dxfId="2619" priority="483" operator="containsText" text="Planning">
      <formula>NOT(ISERROR(SEARCH("Planning",AP307)))</formula>
    </cfRule>
    <cfRule type="containsText" dxfId="2618" priority="484" operator="containsText" text="Installation">
      <formula>NOT(ISERROR(SEARCH("Installation",AP307)))</formula>
    </cfRule>
    <cfRule type="containsText" dxfId="2617" priority="485" operator="containsText" text="Comissioning">
      <formula>NOT(ISERROR(SEARCH("Comissioning",AP307)))</formula>
    </cfRule>
    <cfRule type="containsText" dxfId="2616" priority="486" operator="containsText" text="Production">
      <formula>NOT(ISERROR(SEARCH("Production",AP307)))</formula>
    </cfRule>
    <cfRule type="containsText" dxfId="2615" priority="487" operator="containsText" text="Canceled">
      <formula>NOT(ISERROR(SEARCH("Canceled",AP307)))</formula>
    </cfRule>
    <cfRule type="containsText" dxfId="2614" priority="488" operator="containsText" text="Closed">
      <formula>NOT(ISERROR(SEARCH("Closed",AP307)))</formula>
    </cfRule>
  </conditionalFormatting>
  <conditionalFormatting sqref="AP308">
    <cfRule type="containsText" dxfId="2613" priority="473" operator="containsText" text="In Study">
      <formula>NOT(ISERROR(SEARCH("In Study",AP308)))</formula>
    </cfRule>
    <cfRule type="containsText" dxfId="2612" priority="474" operator="containsText" text="In Approval">
      <formula>NOT(ISERROR(SEARCH("In Approval",AP308)))</formula>
    </cfRule>
    <cfRule type="containsText" dxfId="2611" priority="475" operator="containsText" text="Planning">
      <formula>NOT(ISERROR(SEARCH("Planning",AP308)))</formula>
    </cfRule>
    <cfRule type="containsText" dxfId="2610" priority="476" operator="containsText" text="Installation">
      <formula>NOT(ISERROR(SEARCH("Installation",AP308)))</formula>
    </cfRule>
    <cfRule type="containsText" dxfId="2609" priority="477" operator="containsText" text="Comissioning">
      <formula>NOT(ISERROR(SEARCH("Comissioning",AP308)))</formula>
    </cfRule>
    <cfRule type="containsText" dxfId="2608" priority="478" operator="containsText" text="Production">
      <formula>NOT(ISERROR(SEARCH("Production",AP308)))</formula>
    </cfRule>
    <cfRule type="containsText" dxfId="2607" priority="479" operator="containsText" text="Canceled">
      <formula>NOT(ISERROR(SEARCH("Canceled",AP308)))</formula>
    </cfRule>
    <cfRule type="containsText" dxfId="2606" priority="480" operator="containsText" text="Closed">
      <formula>NOT(ISERROR(SEARCH("Closed",AP308)))</formula>
    </cfRule>
  </conditionalFormatting>
  <conditionalFormatting sqref="AP309">
    <cfRule type="containsText" dxfId="2605" priority="465" operator="containsText" text="In Study">
      <formula>NOT(ISERROR(SEARCH("In Study",AP309)))</formula>
    </cfRule>
    <cfRule type="containsText" dxfId="2604" priority="466" operator="containsText" text="In Approval">
      <formula>NOT(ISERROR(SEARCH("In Approval",AP309)))</formula>
    </cfRule>
    <cfRule type="containsText" dxfId="2603" priority="467" operator="containsText" text="Planning">
      <formula>NOT(ISERROR(SEARCH("Planning",AP309)))</formula>
    </cfRule>
    <cfRule type="containsText" dxfId="2602" priority="468" operator="containsText" text="Installation">
      <formula>NOT(ISERROR(SEARCH("Installation",AP309)))</formula>
    </cfRule>
    <cfRule type="containsText" dxfId="2601" priority="469" operator="containsText" text="Comissioning">
      <formula>NOT(ISERROR(SEARCH("Comissioning",AP309)))</formula>
    </cfRule>
    <cfRule type="containsText" dxfId="2600" priority="470" operator="containsText" text="Production">
      <formula>NOT(ISERROR(SEARCH("Production",AP309)))</formula>
    </cfRule>
    <cfRule type="containsText" dxfId="2599" priority="471" operator="containsText" text="Canceled">
      <formula>NOT(ISERROR(SEARCH("Canceled",AP309)))</formula>
    </cfRule>
    <cfRule type="containsText" dxfId="2598" priority="472" operator="containsText" text="Closed">
      <formula>NOT(ISERROR(SEARCH("Closed",AP309)))</formula>
    </cfRule>
  </conditionalFormatting>
  <conditionalFormatting sqref="AP310">
    <cfRule type="containsText" dxfId="2597" priority="449" operator="containsText" text="In Study">
      <formula>NOT(ISERROR(SEARCH("In Study",AP310)))</formula>
    </cfRule>
    <cfRule type="containsText" dxfId="2596" priority="450" operator="containsText" text="In Approval">
      <formula>NOT(ISERROR(SEARCH("In Approval",AP310)))</formula>
    </cfRule>
    <cfRule type="containsText" dxfId="2595" priority="451" operator="containsText" text="Planning">
      <formula>NOT(ISERROR(SEARCH("Planning",AP310)))</formula>
    </cfRule>
    <cfRule type="containsText" dxfId="2594" priority="452" operator="containsText" text="Installation">
      <formula>NOT(ISERROR(SEARCH("Installation",AP310)))</formula>
    </cfRule>
    <cfRule type="containsText" dxfId="2593" priority="453" operator="containsText" text="Comissioning">
      <formula>NOT(ISERROR(SEARCH("Comissioning",AP310)))</formula>
    </cfRule>
    <cfRule type="containsText" dxfId="2592" priority="454" operator="containsText" text="Production">
      <formula>NOT(ISERROR(SEARCH("Production",AP310)))</formula>
    </cfRule>
    <cfRule type="containsText" dxfId="2591" priority="455" operator="containsText" text="Canceled">
      <formula>NOT(ISERROR(SEARCH("Canceled",AP310)))</formula>
    </cfRule>
    <cfRule type="containsText" dxfId="2590" priority="456" operator="containsText" text="Closed">
      <formula>NOT(ISERROR(SEARCH("Closed",AP310)))</formula>
    </cfRule>
  </conditionalFormatting>
  <conditionalFormatting sqref="AP312">
    <cfRule type="containsText" dxfId="2589" priority="441" operator="containsText" text="In Study">
      <formula>NOT(ISERROR(SEARCH("In Study",AP312)))</formula>
    </cfRule>
    <cfRule type="containsText" dxfId="2588" priority="442" operator="containsText" text="In Approval">
      <formula>NOT(ISERROR(SEARCH("In Approval",AP312)))</formula>
    </cfRule>
    <cfRule type="containsText" dxfId="2587" priority="443" operator="containsText" text="Planning">
      <formula>NOT(ISERROR(SEARCH("Planning",AP312)))</formula>
    </cfRule>
    <cfRule type="containsText" dxfId="2586" priority="444" operator="containsText" text="Installation">
      <formula>NOT(ISERROR(SEARCH("Installation",AP312)))</formula>
    </cfRule>
    <cfRule type="containsText" dxfId="2585" priority="445" operator="containsText" text="Comissioning">
      <formula>NOT(ISERROR(SEARCH("Comissioning",AP312)))</formula>
    </cfRule>
    <cfRule type="containsText" dxfId="2584" priority="446" operator="containsText" text="Production">
      <formula>NOT(ISERROR(SEARCH("Production",AP312)))</formula>
    </cfRule>
    <cfRule type="containsText" dxfId="2583" priority="447" operator="containsText" text="Canceled">
      <formula>NOT(ISERROR(SEARCH("Canceled",AP312)))</formula>
    </cfRule>
    <cfRule type="containsText" dxfId="2582" priority="448" operator="containsText" text="Closed">
      <formula>NOT(ISERROR(SEARCH("Closed",AP312)))</formula>
    </cfRule>
  </conditionalFormatting>
  <conditionalFormatting sqref="AP313">
    <cfRule type="containsText" dxfId="2581" priority="433" operator="containsText" text="In Study">
      <formula>NOT(ISERROR(SEARCH("In Study",AP313)))</formula>
    </cfRule>
    <cfRule type="containsText" dxfId="2580" priority="434" operator="containsText" text="In Approval">
      <formula>NOT(ISERROR(SEARCH("In Approval",AP313)))</formula>
    </cfRule>
    <cfRule type="containsText" dxfId="2579" priority="435" operator="containsText" text="Planning">
      <formula>NOT(ISERROR(SEARCH("Planning",AP313)))</formula>
    </cfRule>
    <cfRule type="containsText" dxfId="2578" priority="436" operator="containsText" text="Installation">
      <formula>NOT(ISERROR(SEARCH("Installation",AP313)))</formula>
    </cfRule>
    <cfRule type="containsText" dxfId="2577" priority="437" operator="containsText" text="Comissioning">
      <formula>NOT(ISERROR(SEARCH("Comissioning",AP313)))</formula>
    </cfRule>
    <cfRule type="containsText" dxfId="2576" priority="438" operator="containsText" text="Production">
      <formula>NOT(ISERROR(SEARCH("Production",AP313)))</formula>
    </cfRule>
    <cfRule type="containsText" dxfId="2575" priority="439" operator="containsText" text="Canceled">
      <formula>NOT(ISERROR(SEARCH("Canceled",AP313)))</formula>
    </cfRule>
    <cfRule type="containsText" dxfId="2574" priority="440" operator="containsText" text="Closed">
      <formula>NOT(ISERROR(SEARCH("Closed",AP313)))</formula>
    </cfRule>
  </conditionalFormatting>
  <conditionalFormatting sqref="AP314">
    <cfRule type="containsText" dxfId="2573" priority="425" operator="containsText" text="In Study">
      <formula>NOT(ISERROR(SEARCH("In Study",AP314)))</formula>
    </cfRule>
    <cfRule type="containsText" dxfId="2572" priority="426" operator="containsText" text="In Approval">
      <formula>NOT(ISERROR(SEARCH("In Approval",AP314)))</formula>
    </cfRule>
    <cfRule type="containsText" dxfId="2571" priority="427" operator="containsText" text="Planning">
      <formula>NOT(ISERROR(SEARCH("Planning",AP314)))</formula>
    </cfRule>
    <cfRule type="containsText" dxfId="2570" priority="428" operator="containsText" text="Installation">
      <formula>NOT(ISERROR(SEARCH("Installation",AP314)))</formula>
    </cfRule>
    <cfRule type="containsText" dxfId="2569" priority="429" operator="containsText" text="Comissioning">
      <formula>NOT(ISERROR(SEARCH("Comissioning",AP314)))</formula>
    </cfRule>
    <cfRule type="containsText" dxfId="2568" priority="430" operator="containsText" text="Production">
      <formula>NOT(ISERROR(SEARCH("Production",AP314)))</formula>
    </cfRule>
    <cfRule type="containsText" dxfId="2567" priority="431" operator="containsText" text="Canceled">
      <formula>NOT(ISERROR(SEARCH("Canceled",AP314)))</formula>
    </cfRule>
    <cfRule type="containsText" dxfId="2566" priority="432" operator="containsText" text="Closed">
      <formula>NOT(ISERROR(SEARCH("Closed",AP314)))</formula>
    </cfRule>
  </conditionalFormatting>
  <conditionalFormatting sqref="AP317">
    <cfRule type="containsText" dxfId="2565" priority="417" operator="containsText" text="In Study">
      <formula>NOT(ISERROR(SEARCH("In Study",AP317)))</formula>
    </cfRule>
    <cfRule type="containsText" dxfId="2564" priority="418" operator="containsText" text="In Approval">
      <formula>NOT(ISERROR(SEARCH("In Approval",AP317)))</formula>
    </cfRule>
    <cfRule type="containsText" dxfId="2563" priority="419" operator="containsText" text="Planning">
      <formula>NOT(ISERROR(SEARCH("Planning",AP317)))</formula>
    </cfRule>
    <cfRule type="containsText" dxfId="2562" priority="420" operator="containsText" text="Installation">
      <formula>NOT(ISERROR(SEARCH("Installation",AP317)))</formula>
    </cfRule>
    <cfRule type="containsText" dxfId="2561" priority="421" operator="containsText" text="Comissioning">
      <formula>NOT(ISERROR(SEARCH("Comissioning",AP317)))</formula>
    </cfRule>
    <cfRule type="containsText" dxfId="2560" priority="422" operator="containsText" text="Production">
      <formula>NOT(ISERROR(SEARCH("Production",AP317)))</formula>
    </cfRule>
    <cfRule type="containsText" dxfId="2559" priority="423" operator="containsText" text="Canceled">
      <formula>NOT(ISERROR(SEARCH("Canceled",AP317)))</formula>
    </cfRule>
    <cfRule type="containsText" dxfId="2558" priority="424" operator="containsText" text="Closed">
      <formula>NOT(ISERROR(SEARCH("Closed",AP317)))</formula>
    </cfRule>
  </conditionalFormatting>
  <conditionalFormatting sqref="AP321">
    <cfRule type="containsText" dxfId="2557" priority="409" operator="containsText" text="In Study">
      <formula>NOT(ISERROR(SEARCH("In Study",AP321)))</formula>
    </cfRule>
    <cfRule type="containsText" dxfId="2556" priority="410" operator="containsText" text="In Approval">
      <formula>NOT(ISERROR(SEARCH("In Approval",AP321)))</formula>
    </cfRule>
    <cfRule type="containsText" dxfId="2555" priority="411" operator="containsText" text="Planning">
      <formula>NOT(ISERROR(SEARCH("Planning",AP321)))</formula>
    </cfRule>
    <cfRule type="containsText" dxfId="2554" priority="412" operator="containsText" text="Installation">
      <formula>NOT(ISERROR(SEARCH("Installation",AP321)))</formula>
    </cfRule>
    <cfRule type="containsText" dxfId="2553" priority="413" operator="containsText" text="Comissioning">
      <formula>NOT(ISERROR(SEARCH("Comissioning",AP321)))</formula>
    </cfRule>
    <cfRule type="containsText" dxfId="2552" priority="414" operator="containsText" text="Production">
      <formula>NOT(ISERROR(SEARCH("Production",AP321)))</formula>
    </cfRule>
    <cfRule type="containsText" dxfId="2551" priority="415" operator="containsText" text="Canceled">
      <formula>NOT(ISERROR(SEARCH("Canceled",AP321)))</formula>
    </cfRule>
    <cfRule type="containsText" dxfId="2550" priority="416" operator="containsText" text="Closed">
      <formula>NOT(ISERROR(SEARCH("Closed",AP321)))</formula>
    </cfRule>
  </conditionalFormatting>
  <conditionalFormatting sqref="AP325">
    <cfRule type="containsText" dxfId="2549" priority="401" operator="containsText" text="In Study">
      <formula>NOT(ISERROR(SEARCH("In Study",AP325)))</formula>
    </cfRule>
    <cfRule type="containsText" dxfId="2548" priority="402" operator="containsText" text="In Approval">
      <formula>NOT(ISERROR(SEARCH("In Approval",AP325)))</formula>
    </cfRule>
    <cfRule type="containsText" dxfId="2547" priority="403" operator="containsText" text="Planning">
      <formula>NOT(ISERROR(SEARCH("Planning",AP325)))</formula>
    </cfRule>
    <cfRule type="containsText" dxfId="2546" priority="404" operator="containsText" text="Installation">
      <formula>NOT(ISERROR(SEARCH("Installation",AP325)))</formula>
    </cfRule>
    <cfRule type="containsText" dxfId="2545" priority="405" operator="containsText" text="Comissioning">
      <formula>NOT(ISERROR(SEARCH("Comissioning",AP325)))</formula>
    </cfRule>
    <cfRule type="containsText" dxfId="2544" priority="406" operator="containsText" text="Production">
      <formula>NOT(ISERROR(SEARCH("Production",AP325)))</formula>
    </cfRule>
    <cfRule type="containsText" dxfId="2543" priority="407" operator="containsText" text="Canceled">
      <formula>NOT(ISERROR(SEARCH("Canceled",AP325)))</formula>
    </cfRule>
    <cfRule type="containsText" dxfId="2542" priority="408" operator="containsText" text="Closed">
      <formula>NOT(ISERROR(SEARCH("Closed",AP325)))</formula>
    </cfRule>
  </conditionalFormatting>
  <conditionalFormatting sqref="AP328">
    <cfRule type="containsText" dxfId="2541" priority="393" operator="containsText" text="In Study">
      <formula>NOT(ISERROR(SEARCH("In Study",AP328)))</formula>
    </cfRule>
    <cfRule type="containsText" dxfId="2540" priority="394" operator="containsText" text="In Approval">
      <formula>NOT(ISERROR(SEARCH("In Approval",AP328)))</formula>
    </cfRule>
    <cfRule type="containsText" dxfId="2539" priority="395" operator="containsText" text="Planning">
      <formula>NOT(ISERROR(SEARCH("Planning",AP328)))</formula>
    </cfRule>
    <cfRule type="containsText" dxfId="2538" priority="396" operator="containsText" text="Installation">
      <formula>NOT(ISERROR(SEARCH("Installation",AP328)))</formula>
    </cfRule>
    <cfRule type="containsText" dxfId="2537" priority="397" operator="containsText" text="Comissioning">
      <formula>NOT(ISERROR(SEARCH("Comissioning",AP328)))</formula>
    </cfRule>
    <cfRule type="containsText" dxfId="2536" priority="398" operator="containsText" text="Production">
      <formula>NOT(ISERROR(SEARCH("Production",AP328)))</formula>
    </cfRule>
    <cfRule type="containsText" dxfId="2535" priority="399" operator="containsText" text="Canceled">
      <formula>NOT(ISERROR(SEARCH("Canceled",AP328)))</formula>
    </cfRule>
    <cfRule type="containsText" dxfId="2534" priority="400" operator="containsText" text="Closed">
      <formula>NOT(ISERROR(SEARCH("Closed",AP328)))</formula>
    </cfRule>
  </conditionalFormatting>
  <conditionalFormatting sqref="AP330">
    <cfRule type="containsText" dxfId="2533" priority="385" operator="containsText" text="In Study">
      <formula>NOT(ISERROR(SEARCH("In Study",AP330)))</formula>
    </cfRule>
    <cfRule type="containsText" dxfId="2532" priority="386" operator="containsText" text="In Approval">
      <formula>NOT(ISERROR(SEARCH("In Approval",AP330)))</formula>
    </cfRule>
    <cfRule type="containsText" dxfId="2531" priority="387" operator="containsText" text="Planning">
      <formula>NOT(ISERROR(SEARCH("Planning",AP330)))</formula>
    </cfRule>
    <cfRule type="containsText" dxfId="2530" priority="388" operator="containsText" text="Installation">
      <formula>NOT(ISERROR(SEARCH("Installation",AP330)))</formula>
    </cfRule>
    <cfRule type="containsText" dxfId="2529" priority="389" operator="containsText" text="Comissioning">
      <formula>NOT(ISERROR(SEARCH("Comissioning",AP330)))</formula>
    </cfRule>
    <cfRule type="containsText" dxfId="2528" priority="390" operator="containsText" text="Production">
      <formula>NOT(ISERROR(SEARCH("Production",AP330)))</formula>
    </cfRule>
    <cfRule type="containsText" dxfId="2527" priority="391" operator="containsText" text="Canceled">
      <formula>NOT(ISERROR(SEARCH("Canceled",AP330)))</formula>
    </cfRule>
    <cfRule type="containsText" dxfId="2526" priority="392" operator="containsText" text="Closed">
      <formula>NOT(ISERROR(SEARCH("Closed",AP330)))</formula>
    </cfRule>
  </conditionalFormatting>
  <conditionalFormatting sqref="AP331">
    <cfRule type="containsText" dxfId="2525" priority="377" operator="containsText" text="In Study">
      <formula>NOT(ISERROR(SEARCH("In Study",AP331)))</formula>
    </cfRule>
    <cfRule type="containsText" dxfId="2524" priority="378" operator="containsText" text="In Approval">
      <formula>NOT(ISERROR(SEARCH("In Approval",AP331)))</formula>
    </cfRule>
    <cfRule type="containsText" dxfId="2523" priority="379" operator="containsText" text="Planning">
      <formula>NOT(ISERROR(SEARCH("Planning",AP331)))</formula>
    </cfRule>
    <cfRule type="containsText" dxfId="2522" priority="380" operator="containsText" text="Installation">
      <formula>NOT(ISERROR(SEARCH("Installation",AP331)))</formula>
    </cfRule>
    <cfRule type="containsText" dxfId="2521" priority="381" operator="containsText" text="Comissioning">
      <formula>NOT(ISERROR(SEARCH("Comissioning",AP331)))</formula>
    </cfRule>
    <cfRule type="containsText" dxfId="2520" priority="382" operator="containsText" text="Production">
      <formula>NOT(ISERROR(SEARCH("Production",AP331)))</formula>
    </cfRule>
    <cfRule type="containsText" dxfId="2519" priority="383" operator="containsText" text="Canceled">
      <formula>NOT(ISERROR(SEARCH("Canceled",AP331)))</formula>
    </cfRule>
    <cfRule type="containsText" dxfId="2518" priority="384" operator="containsText" text="Closed">
      <formula>NOT(ISERROR(SEARCH("Closed",AP331)))</formula>
    </cfRule>
  </conditionalFormatting>
  <conditionalFormatting sqref="AP332">
    <cfRule type="containsText" dxfId="2517" priority="369" operator="containsText" text="In Study">
      <formula>NOT(ISERROR(SEARCH("In Study",AP332)))</formula>
    </cfRule>
    <cfRule type="containsText" dxfId="2516" priority="370" operator="containsText" text="In Approval">
      <formula>NOT(ISERROR(SEARCH("In Approval",AP332)))</formula>
    </cfRule>
    <cfRule type="containsText" dxfId="2515" priority="371" operator="containsText" text="Planning">
      <formula>NOT(ISERROR(SEARCH("Planning",AP332)))</formula>
    </cfRule>
    <cfRule type="containsText" dxfId="2514" priority="372" operator="containsText" text="Installation">
      <formula>NOT(ISERROR(SEARCH("Installation",AP332)))</formula>
    </cfRule>
    <cfRule type="containsText" dxfId="2513" priority="373" operator="containsText" text="Comissioning">
      <formula>NOT(ISERROR(SEARCH("Comissioning",AP332)))</formula>
    </cfRule>
    <cfRule type="containsText" dxfId="2512" priority="374" operator="containsText" text="Production">
      <formula>NOT(ISERROR(SEARCH("Production",AP332)))</formula>
    </cfRule>
    <cfRule type="containsText" dxfId="2511" priority="375" operator="containsText" text="Canceled">
      <formula>NOT(ISERROR(SEARCH("Canceled",AP332)))</formula>
    </cfRule>
    <cfRule type="containsText" dxfId="2510" priority="376" operator="containsText" text="Closed">
      <formula>NOT(ISERROR(SEARCH("Closed",AP332)))</formula>
    </cfRule>
  </conditionalFormatting>
  <conditionalFormatting sqref="AP333">
    <cfRule type="containsText" dxfId="2509" priority="361" operator="containsText" text="In Study">
      <formula>NOT(ISERROR(SEARCH("In Study",AP333)))</formula>
    </cfRule>
    <cfRule type="containsText" dxfId="2508" priority="362" operator="containsText" text="In Approval">
      <formula>NOT(ISERROR(SEARCH("In Approval",AP333)))</formula>
    </cfRule>
    <cfRule type="containsText" dxfId="2507" priority="363" operator="containsText" text="Planning">
      <formula>NOT(ISERROR(SEARCH("Planning",AP333)))</formula>
    </cfRule>
    <cfRule type="containsText" dxfId="2506" priority="364" operator="containsText" text="Installation">
      <formula>NOT(ISERROR(SEARCH("Installation",AP333)))</formula>
    </cfRule>
    <cfRule type="containsText" dxfId="2505" priority="365" operator="containsText" text="Comissioning">
      <formula>NOT(ISERROR(SEARCH("Comissioning",AP333)))</formula>
    </cfRule>
    <cfRule type="containsText" dxfId="2504" priority="366" operator="containsText" text="Production">
      <formula>NOT(ISERROR(SEARCH("Production",AP333)))</formula>
    </cfRule>
    <cfRule type="containsText" dxfId="2503" priority="367" operator="containsText" text="Canceled">
      <formula>NOT(ISERROR(SEARCH("Canceled",AP333)))</formula>
    </cfRule>
    <cfRule type="containsText" dxfId="2502" priority="368" operator="containsText" text="Closed">
      <formula>NOT(ISERROR(SEARCH("Closed",AP333)))</formula>
    </cfRule>
  </conditionalFormatting>
  <conditionalFormatting sqref="AP334">
    <cfRule type="containsText" dxfId="2501" priority="353" operator="containsText" text="In Study">
      <formula>NOT(ISERROR(SEARCH("In Study",AP334)))</formula>
    </cfRule>
    <cfRule type="containsText" dxfId="2500" priority="354" operator="containsText" text="In Approval">
      <formula>NOT(ISERROR(SEARCH("In Approval",AP334)))</formula>
    </cfRule>
    <cfRule type="containsText" dxfId="2499" priority="355" operator="containsText" text="Planning">
      <formula>NOT(ISERROR(SEARCH("Planning",AP334)))</formula>
    </cfRule>
    <cfRule type="containsText" dxfId="2498" priority="356" operator="containsText" text="Installation">
      <formula>NOT(ISERROR(SEARCH("Installation",AP334)))</formula>
    </cfRule>
    <cfRule type="containsText" dxfId="2497" priority="357" operator="containsText" text="Comissioning">
      <formula>NOT(ISERROR(SEARCH("Comissioning",AP334)))</formula>
    </cfRule>
    <cfRule type="containsText" dxfId="2496" priority="358" operator="containsText" text="Production">
      <formula>NOT(ISERROR(SEARCH("Production",AP334)))</formula>
    </cfRule>
    <cfRule type="containsText" dxfId="2495" priority="359" operator="containsText" text="Canceled">
      <formula>NOT(ISERROR(SEARCH("Canceled",AP334)))</formula>
    </cfRule>
    <cfRule type="containsText" dxfId="2494" priority="360" operator="containsText" text="Closed">
      <formula>NOT(ISERROR(SEARCH("Closed",AP334)))</formula>
    </cfRule>
  </conditionalFormatting>
  <conditionalFormatting sqref="AP335">
    <cfRule type="containsText" dxfId="2493" priority="345" operator="containsText" text="In Study">
      <formula>NOT(ISERROR(SEARCH("In Study",AP335)))</formula>
    </cfRule>
    <cfRule type="containsText" dxfId="2492" priority="346" operator="containsText" text="In Approval">
      <formula>NOT(ISERROR(SEARCH("In Approval",AP335)))</formula>
    </cfRule>
    <cfRule type="containsText" dxfId="2491" priority="347" operator="containsText" text="Planning">
      <formula>NOT(ISERROR(SEARCH("Planning",AP335)))</formula>
    </cfRule>
    <cfRule type="containsText" dxfId="2490" priority="348" operator="containsText" text="Installation">
      <formula>NOT(ISERROR(SEARCH("Installation",AP335)))</formula>
    </cfRule>
    <cfRule type="containsText" dxfId="2489" priority="349" operator="containsText" text="Comissioning">
      <formula>NOT(ISERROR(SEARCH("Comissioning",AP335)))</formula>
    </cfRule>
    <cfRule type="containsText" dxfId="2488" priority="350" operator="containsText" text="Production">
      <formula>NOT(ISERROR(SEARCH("Production",AP335)))</formula>
    </cfRule>
    <cfRule type="containsText" dxfId="2487" priority="351" operator="containsText" text="Canceled">
      <formula>NOT(ISERROR(SEARCH("Canceled",AP335)))</formula>
    </cfRule>
    <cfRule type="containsText" dxfId="2486" priority="352" operator="containsText" text="Closed">
      <formula>NOT(ISERROR(SEARCH("Closed",AP335)))</formula>
    </cfRule>
  </conditionalFormatting>
  <conditionalFormatting sqref="AP336">
    <cfRule type="containsText" dxfId="2485" priority="337" operator="containsText" text="In Study">
      <formula>NOT(ISERROR(SEARCH("In Study",AP336)))</formula>
    </cfRule>
    <cfRule type="containsText" dxfId="2484" priority="338" operator="containsText" text="In Approval">
      <formula>NOT(ISERROR(SEARCH("In Approval",AP336)))</formula>
    </cfRule>
    <cfRule type="containsText" dxfId="2483" priority="339" operator="containsText" text="Planning">
      <formula>NOT(ISERROR(SEARCH("Planning",AP336)))</formula>
    </cfRule>
    <cfRule type="containsText" dxfId="2482" priority="340" operator="containsText" text="Installation">
      <formula>NOT(ISERROR(SEARCH("Installation",AP336)))</formula>
    </cfRule>
    <cfRule type="containsText" dxfId="2481" priority="341" operator="containsText" text="Comissioning">
      <formula>NOT(ISERROR(SEARCH("Comissioning",AP336)))</formula>
    </cfRule>
    <cfRule type="containsText" dxfId="2480" priority="342" operator="containsText" text="Production">
      <formula>NOT(ISERROR(SEARCH("Production",AP336)))</formula>
    </cfRule>
    <cfRule type="containsText" dxfId="2479" priority="343" operator="containsText" text="Canceled">
      <formula>NOT(ISERROR(SEARCH("Canceled",AP336)))</formula>
    </cfRule>
    <cfRule type="containsText" dxfId="2478" priority="344" operator="containsText" text="Closed">
      <formula>NOT(ISERROR(SEARCH("Closed",AP336)))</formula>
    </cfRule>
  </conditionalFormatting>
  <conditionalFormatting sqref="AP337">
    <cfRule type="containsText" dxfId="2477" priority="329" operator="containsText" text="In Study">
      <formula>NOT(ISERROR(SEARCH("In Study",AP337)))</formula>
    </cfRule>
    <cfRule type="containsText" dxfId="2476" priority="330" operator="containsText" text="In Approval">
      <formula>NOT(ISERROR(SEARCH("In Approval",AP337)))</formula>
    </cfRule>
    <cfRule type="containsText" dxfId="2475" priority="331" operator="containsText" text="Planning">
      <formula>NOT(ISERROR(SEARCH("Planning",AP337)))</formula>
    </cfRule>
    <cfRule type="containsText" dxfId="2474" priority="332" operator="containsText" text="Installation">
      <formula>NOT(ISERROR(SEARCH("Installation",AP337)))</formula>
    </cfRule>
    <cfRule type="containsText" dxfId="2473" priority="333" operator="containsText" text="Comissioning">
      <formula>NOT(ISERROR(SEARCH("Comissioning",AP337)))</formula>
    </cfRule>
    <cfRule type="containsText" dxfId="2472" priority="334" operator="containsText" text="Production">
      <formula>NOT(ISERROR(SEARCH("Production",AP337)))</formula>
    </cfRule>
    <cfRule type="containsText" dxfId="2471" priority="335" operator="containsText" text="Canceled">
      <formula>NOT(ISERROR(SEARCH("Canceled",AP337)))</formula>
    </cfRule>
    <cfRule type="containsText" dxfId="2470" priority="336" operator="containsText" text="Closed">
      <formula>NOT(ISERROR(SEARCH("Closed",AP337)))</formula>
    </cfRule>
  </conditionalFormatting>
  <conditionalFormatting sqref="AP341">
    <cfRule type="containsText" dxfId="2469" priority="321" operator="containsText" text="In Study">
      <formula>NOT(ISERROR(SEARCH("In Study",AP341)))</formula>
    </cfRule>
    <cfRule type="containsText" dxfId="2468" priority="322" operator="containsText" text="In Approval">
      <formula>NOT(ISERROR(SEARCH("In Approval",AP341)))</formula>
    </cfRule>
    <cfRule type="containsText" dxfId="2467" priority="323" operator="containsText" text="Planning">
      <formula>NOT(ISERROR(SEARCH("Planning",AP341)))</formula>
    </cfRule>
    <cfRule type="containsText" dxfId="2466" priority="324" operator="containsText" text="Installation">
      <formula>NOT(ISERROR(SEARCH("Installation",AP341)))</formula>
    </cfRule>
    <cfRule type="containsText" dxfId="2465" priority="325" operator="containsText" text="Comissioning">
      <formula>NOT(ISERROR(SEARCH("Comissioning",AP341)))</formula>
    </cfRule>
    <cfRule type="containsText" dxfId="2464" priority="326" operator="containsText" text="Production">
      <formula>NOT(ISERROR(SEARCH("Production",AP341)))</formula>
    </cfRule>
    <cfRule type="containsText" dxfId="2463" priority="327" operator="containsText" text="Canceled">
      <formula>NOT(ISERROR(SEARCH("Canceled",AP341)))</formula>
    </cfRule>
    <cfRule type="containsText" dxfId="2462" priority="328" operator="containsText" text="Closed">
      <formula>NOT(ISERROR(SEARCH("Closed",AP341)))</formula>
    </cfRule>
  </conditionalFormatting>
  <conditionalFormatting sqref="AP342">
    <cfRule type="containsText" dxfId="2461" priority="313" operator="containsText" text="In Study">
      <formula>NOT(ISERROR(SEARCH("In Study",AP342)))</formula>
    </cfRule>
    <cfRule type="containsText" dxfId="2460" priority="314" operator="containsText" text="In Approval">
      <formula>NOT(ISERROR(SEARCH("In Approval",AP342)))</formula>
    </cfRule>
    <cfRule type="containsText" dxfId="2459" priority="315" operator="containsText" text="Planning">
      <formula>NOT(ISERROR(SEARCH("Planning",AP342)))</formula>
    </cfRule>
    <cfRule type="containsText" dxfId="2458" priority="316" operator="containsText" text="Installation">
      <formula>NOT(ISERROR(SEARCH("Installation",AP342)))</formula>
    </cfRule>
    <cfRule type="containsText" dxfId="2457" priority="317" operator="containsText" text="Comissioning">
      <formula>NOT(ISERROR(SEARCH("Comissioning",AP342)))</formula>
    </cfRule>
    <cfRule type="containsText" dxfId="2456" priority="318" operator="containsText" text="Production">
      <formula>NOT(ISERROR(SEARCH("Production",AP342)))</formula>
    </cfRule>
    <cfRule type="containsText" dxfId="2455" priority="319" operator="containsText" text="Canceled">
      <formula>NOT(ISERROR(SEARCH("Canceled",AP342)))</formula>
    </cfRule>
    <cfRule type="containsText" dxfId="2454" priority="320" operator="containsText" text="Closed">
      <formula>NOT(ISERROR(SEARCH("Closed",AP342)))</formula>
    </cfRule>
  </conditionalFormatting>
  <conditionalFormatting sqref="AP343">
    <cfRule type="containsText" dxfId="2453" priority="305" operator="containsText" text="In Study">
      <formula>NOT(ISERROR(SEARCH("In Study",AP343)))</formula>
    </cfRule>
    <cfRule type="containsText" dxfId="2452" priority="306" operator="containsText" text="In Approval">
      <formula>NOT(ISERROR(SEARCH("In Approval",AP343)))</formula>
    </cfRule>
    <cfRule type="containsText" dxfId="2451" priority="307" operator="containsText" text="Planning">
      <formula>NOT(ISERROR(SEARCH("Planning",AP343)))</formula>
    </cfRule>
    <cfRule type="containsText" dxfId="2450" priority="308" operator="containsText" text="Installation">
      <formula>NOT(ISERROR(SEARCH("Installation",AP343)))</formula>
    </cfRule>
    <cfRule type="containsText" dxfId="2449" priority="309" operator="containsText" text="Comissioning">
      <formula>NOT(ISERROR(SEARCH("Comissioning",AP343)))</formula>
    </cfRule>
    <cfRule type="containsText" dxfId="2448" priority="310" operator="containsText" text="Production">
      <formula>NOT(ISERROR(SEARCH("Production",AP343)))</formula>
    </cfRule>
    <cfRule type="containsText" dxfId="2447" priority="311" operator="containsText" text="Canceled">
      <formula>NOT(ISERROR(SEARCH("Canceled",AP343)))</formula>
    </cfRule>
    <cfRule type="containsText" dxfId="2446" priority="312" operator="containsText" text="Closed">
      <formula>NOT(ISERROR(SEARCH("Closed",AP343)))</formula>
    </cfRule>
  </conditionalFormatting>
  <conditionalFormatting sqref="AP344">
    <cfRule type="containsText" dxfId="2445" priority="297" operator="containsText" text="In Study">
      <formula>NOT(ISERROR(SEARCH("In Study",AP344)))</formula>
    </cfRule>
    <cfRule type="containsText" dxfId="2444" priority="298" operator="containsText" text="In Approval">
      <formula>NOT(ISERROR(SEARCH("In Approval",AP344)))</formula>
    </cfRule>
    <cfRule type="containsText" dxfId="2443" priority="299" operator="containsText" text="Planning">
      <formula>NOT(ISERROR(SEARCH("Planning",AP344)))</formula>
    </cfRule>
    <cfRule type="containsText" dxfId="2442" priority="300" operator="containsText" text="Installation">
      <formula>NOT(ISERROR(SEARCH("Installation",AP344)))</formula>
    </cfRule>
    <cfRule type="containsText" dxfId="2441" priority="301" operator="containsText" text="Comissioning">
      <formula>NOT(ISERROR(SEARCH("Comissioning",AP344)))</formula>
    </cfRule>
    <cfRule type="containsText" dxfId="2440" priority="302" operator="containsText" text="Production">
      <formula>NOT(ISERROR(SEARCH("Production",AP344)))</formula>
    </cfRule>
    <cfRule type="containsText" dxfId="2439" priority="303" operator="containsText" text="Canceled">
      <formula>NOT(ISERROR(SEARCH("Canceled",AP344)))</formula>
    </cfRule>
    <cfRule type="containsText" dxfId="2438" priority="304" operator="containsText" text="Closed">
      <formula>NOT(ISERROR(SEARCH("Closed",AP344)))</formula>
    </cfRule>
  </conditionalFormatting>
  <conditionalFormatting sqref="AP345">
    <cfRule type="containsText" dxfId="2437" priority="289" operator="containsText" text="In Study">
      <formula>NOT(ISERROR(SEARCH("In Study",AP345)))</formula>
    </cfRule>
    <cfRule type="containsText" dxfId="2436" priority="290" operator="containsText" text="In Approval">
      <formula>NOT(ISERROR(SEARCH("In Approval",AP345)))</formula>
    </cfRule>
    <cfRule type="containsText" dxfId="2435" priority="291" operator="containsText" text="Planning">
      <formula>NOT(ISERROR(SEARCH("Planning",AP345)))</formula>
    </cfRule>
    <cfRule type="containsText" dxfId="2434" priority="292" operator="containsText" text="Installation">
      <formula>NOT(ISERROR(SEARCH("Installation",AP345)))</formula>
    </cfRule>
    <cfRule type="containsText" dxfId="2433" priority="293" operator="containsText" text="Comissioning">
      <formula>NOT(ISERROR(SEARCH("Comissioning",AP345)))</formula>
    </cfRule>
    <cfRule type="containsText" dxfId="2432" priority="294" operator="containsText" text="Production">
      <formula>NOT(ISERROR(SEARCH("Production",AP345)))</formula>
    </cfRule>
    <cfRule type="containsText" dxfId="2431" priority="295" operator="containsText" text="Canceled">
      <formula>NOT(ISERROR(SEARCH("Canceled",AP345)))</formula>
    </cfRule>
    <cfRule type="containsText" dxfId="2430" priority="296" operator="containsText" text="Closed">
      <formula>NOT(ISERROR(SEARCH("Closed",AP345)))</formula>
    </cfRule>
  </conditionalFormatting>
  <conditionalFormatting sqref="AP347">
    <cfRule type="containsText" dxfId="2429" priority="281" operator="containsText" text="In Study">
      <formula>NOT(ISERROR(SEARCH("In Study",AP347)))</formula>
    </cfRule>
    <cfRule type="containsText" dxfId="2428" priority="282" operator="containsText" text="In Approval">
      <formula>NOT(ISERROR(SEARCH("In Approval",AP347)))</formula>
    </cfRule>
    <cfRule type="containsText" dxfId="2427" priority="283" operator="containsText" text="Planning">
      <formula>NOT(ISERROR(SEARCH("Planning",AP347)))</formula>
    </cfRule>
    <cfRule type="containsText" dxfId="2426" priority="284" operator="containsText" text="Installation">
      <formula>NOT(ISERROR(SEARCH("Installation",AP347)))</formula>
    </cfRule>
    <cfRule type="containsText" dxfId="2425" priority="285" operator="containsText" text="Comissioning">
      <formula>NOT(ISERROR(SEARCH("Comissioning",AP347)))</formula>
    </cfRule>
    <cfRule type="containsText" dxfId="2424" priority="286" operator="containsText" text="Production">
      <formula>NOT(ISERROR(SEARCH("Production",AP347)))</formula>
    </cfRule>
    <cfRule type="containsText" dxfId="2423" priority="287" operator="containsText" text="Canceled">
      <formula>NOT(ISERROR(SEARCH("Canceled",AP347)))</formula>
    </cfRule>
    <cfRule type="containsText" dxfId="2422" priority="288" operator="containsText" text="Closed">
      <formula>NOT(ISERROR(SEARCH("Closed",AP347)))</formula>
    </cfRule>
  </conditionalFormatting>
  <conditionalFormatting sqref="AP348">
    <cfRule type="containsText" dxfId="2421" priority="273" operator="containsText" text="In Study">
      <formula>NOT(ISERROR(SEARCH("In Study",AP348)))</formula>
    </cfRule>
    <cfRule type="containsText" dxfId="2420" priority="274" operator="containsText" text="In Approval">
      <formula>NOT(ISERROR(SEARCH("In Approval",AP348)))</formula>
    </cfRule>
    <cfRule type="containsText" dxfId="2419" priority="275" operator="containsText" text="Planning">
      <formula>NOT(ISERROR(SEARCH("Planning",AP348)))</formula>
    </cfRule>
    <cfRule type="containsText" dxfId="2418" priority="276" operator="containsText" text="Installation">
      <formula>NOT(ISERROR(SEARCH("Installation",AP348)))</formula>
    </cfRule>
    <cfRule type="containsText" dxfId="2417" priority="277" operator="containsText" text="Comissioning">
      <formula>NOT(ISERROR(SEARCH("Comissioning",AP348)))</formula>
    </cfRule>
    <cfRule type="containsText" dxfId="2416" priority="278" operator="containsText" text="Production">
      <formula>NOT(ISERROR(SEARCH("Production",AP348)))</formula>
    </cfRule>
    <cfRule type="containsText" dxfId="2415" priority="279" operator="containsText" text="Canceled">
      <formula>NOT(ISERROR(SEARCH("Canceled",AP348)))</formula>
    </cfRule>
    <cfRule type="containsText" dxfId="2414" priority="280" operator="containsText" text="Closed">
      <formula>NOT(ISERROR(SEARCH("Closed",AP348)))</formula>
    </cfRule>
  </conditionalFormatting>
  <conditionalFormatting sqref="AP349">
    <cfRule type="containsText" dxfId="2413" priority="265" operator="containsText" text="In Study">
      <formula>NOT(ISERROR(SEARCH("In Study",AP349)))</formula>
    </cfRule>
    <cfRule type="containsText" dxfId="2412" priority="266" operator="containsText" text="In Approval">
      <formula>NOT(ISERROR(SEARCH("In Approval",AP349)))</formula>
    </cfRule>
    <cfRule type="containsText" dxfId="2411" priority="267" operator="containsText" text="Planning">
      <formula>NOT(ISERROR(SEARCH("Planning",AP349)))</formula>
    </cfRule>
    <cfRule type="containsText" dxfId="2410" priority="268" operator="containsText" text="Installation">
      <formula>NOT(ISERROR(SEARCH("Installation",AP349)))</formula>
    </cfRule>
    <cfRule type="containsText" dxfId="2409" priority="269" operator="containsText" text="Comissioning">
      <formula>NOT(ISERROR(SEARCH("Comissioning",AP349)))</formula>
    </cfRule>
    <cfRule type="containsText" dxfId="2408" priority="270" operator="containsText" text="Production">
      <formula>NOT(ISERROR(SEARCH("Production",AP349)))</formula>
    </cfRule>
    <cfRule type="containsText" dxfId="2407" priority="271" operator="containsText" text="Canceled">
      <formula>NOT(ISERROR(SEARCH("Canceled",AP349)))</formula>
    </cfRule>
    <cfRule type="containsText" dxfId="2406" priority="272" operator="containsText" text="Closed">
      <formula>NOT(ISERROR(SEARCH("Closed",AP349)))</formula>
    </cfRule>
  </conditionalFormatting>
  <conditionalFormatting sqref="AP350">
    <cfRule type="containsText" dxfId="2405" priority="257" operator="containsText" text="In Study">
      <formula>NOT(ISERROR(SEARCH("In Study",AP350)))</formula>
    </cfRule>
    <cfRule type="containsText" dxfId="2404" priority="258" operator="containsText" text="In Approval">
      <formula>NOT(ISERROR(SEARCH("In Approval",AP350)))</formula>
    </cfRule>
    <cfRule type="containsText" dxfId="2403" priority="259" operator="containsText" text="Planning">
      <formula>NOT(ISERROR(SEARCH("Planning",AP350)))</formula>
    </cfRule>
    <cfRule type="containsText" dxfId="2402" priority="260" operator="containsText" text="Installation">
      <formula>NOT(ISERROR(SEARCH("Installation",AP350)))</formula>
    </cfRule>
    <cfRule type="containsText" dxfId="2401" priority="261" operator="containsText" text="Comissioning">
      <formula>NOT(ISERROR(SEARCH("Comissioning",AP350)))</formula>
    </cfRule>
    <cfRule type="containsText" dxfId="2400" priority="262" operator="containsText" text="Production">
      <formula>NOT(ISERROR(SEARCH("Production",AP350)))</formula>
    </cfRule>
    <cfRule type="containsText" dxfId="2399" priority="263" operator="containsText" text="Canceled">
      <formula>NOT(ISERROR(SEARCH("Canceled",AP350)))</formula>
    </cfRule>
    <cfRule type="containsText" dxfId="2398" priority="264" operator="containsText" text="Closed">
      <formula>NOT(ISERROR(SEARCH("Closed",AP350)))</formula>
    </cfRule>
  </conditionalFormatting>
  <conditionalFormatting sqref="AP351">
    <cfRule type="containsText" dxfId="2397" priority="249" operator="containsText" text="In Study">
      <formula>NOT(ISERROR(SEARCH("In Study",AP351)))</formula>
    </cfRule>
    <cfRule type="containsText" dxfId="2396" priority="250" operator="containsText" text="In Approval">
      <formula>NOT(ISERROR(SEARCH("In Approval",AP351)))</formula>
    </cfRule>
    <cfRule type="containsText" dxfId="2395" priority="251" operator="containsText" text="Planning">
      <formula>NOT(ISERROR(SEARCH("Planning",AP351)))</formula>
    </cfRule>
    <cfRule type="containsText" dxfId="2394" priority="252" operator="containsText" text="Installation">
      <formula>NOT(ISERROR(SEARCH("Installation",AP351)))</formula>
    </cfRule>
    <cfRule type="containsText" dxfId="2393" priority="253" operator="containsText" text="Comissioning">
      <formula>NOT(ISERROR(SEARCH("Comissioning",AP351)))</formula>
    </cfRule>
    <cfRule type="containsText" dxfId="2392" priority="254" operator="containsText" text="Production">
      <formula>NOT(ISERROR(SEARCH("Production",AP351)))</formula>
    </cfRule>
    <cfRule type="containsText" dxfId="2391" priority="255" operator="containsText" text="Canceled">
      <formula>NOT(ISERROR(SEARCH("Canceled",AP351)))</formula>
    </cfRule>
    <cfRule type="containsText" dxfId="2390" priority="256" operator="containsText" text="Closed">
      <formula>NOT(ISERROR(SEARCH("Closed",AP351)))</formula>
    </cfRule>
  </conditionalFormatting>
  <conditionalFormatting sqref="AP353">
    <cfRule type="containsText" dxfId="2389" priority="241" operator="containsText" text="In Study">
      <formula>NOT(ISERROR(SEARCH("In Study",AP353)))</formula>
    </cfRule>
    <cfRule type="containsText" dxfId="2388" priority="242" operator="containsText" text="In Approval">
      <formula>NOT(ISERROR(SEARCH("In Approval",AP353)))</formula>
    </cfRule>
    <cfRule type="containsText" dxfId="2387" priority="243" operator="containsText" text="Planning">
      <formula>NOT(ISERROR(SEARCH("Planning",AP353)))</formula>
    </cfRule>
    <cfRule type="containsText" dxfId="2386" priority="244" operator="containsText" text="Installation">
      <formula>NOT(ISERROR(SEARCH("Installation",AP353)))</formula>
    </cfRule>
    <cfRule type="containsText" dxfId="2385" priority="245" operator="containsText" text="Comissioning">
      <formula>NOT(ISERROR(SEARCH("Comissioning",AP353)))</formula>
    </cfRule>
    <cfRule type="containsText" dxfId="2384" priority="246" operator="containsText" text="Production">
      <formula>NOT(ISERROR(SEARCH("Production",AP353)))</formula>
    </cfRule>
    <cfRule type="containsText" dxfId="2383" priority="247" operator="containsText" text="Canceled">
      <formula>NOT(ISERROR(SEARCH("Canceled",AP353)))</formula>
    </cfRule>
    <cfRule type="containsText" dxfId="2382" priority="248" operator="containsText" text="Closed">
      <formula>NOT(ISERROR(SEARCH("Closed",AP353)))</formula>
    </cfRule>
  </conditionalFormatting>
  <conditionalFormatting sqref="AP354">
    <cfRule type="containsText" dxfId="2381" priority="233" operator="containsText" text="In Study">
      <formula>NOT(ISERROR(SEARCH("In Study",AP354)))</formula>
    </cfRule>
    <cfRule type="containsText" dxfId="2380" priority="234" operator="containsText" text="In Approval">
      <formula>NOT(ISERROR(SEARCH("In Approval",AP354)))</formula>
    </cfRule>
    <cfRule type="containsText" dxfId="2379" priority="235" operator="containsText" text="Planning">
      <formula>NOT(ISERROR(SEARCH("Planning",AP354)))</formula>
    </cfRule>
    <cfRule type="containsText" dxfId="2378" priority="236" operator="containsText" text="Installation">
      <formula>NOT(ISERROR(SEARCH("Installation",AP354)))</formula>
    </cfRule>
    <cfRule type="containsText" dxfId="2377" priority="237" operator="containsText" text="Comissioning">
      <formula>NOT(ISERROR(SEARCH("Comissioning",AP354)))</formula>
    </cfRule>
    <cfRule type="containsText" dxfId="2376" priority="238" operator="containsText" text="Production">
      <formula>NOT(ISERROR(SEARCH("Production",AP354)))</formula>
    </cfRule>
    <cfRule type="containsText" dxfId="2375" priority="239" operator="containsText" text="Canceled">
      <formula>NOT(ISERROR(SEARCH("Canceled",AP354)))</formula>
    </cfRule>
    <cfRule type="containsText" dxfId="2374" priority="240" operator="containsText" text="Closed">
      <formula>NOT(ISERROR(SEARCH("Closed",AP354)))</formula>
    </cfRule>
  </conditionalFormatting>
  <conditionalFormatting sqref="AP355">
    <cfRule type="containsText" dxfId="2373" priority="225" operator="containsText" text="In Study">
      <formula>NOT(ISERROR(SEARCH("In Study",AP355)))</formula>
    </cfRule>
    <cfRule type="containsText" dxfId="2372" priority="226" operator="containsText" text="In Approval">
      <formula>NOT(ISERROR(SEARCH("In Approval",AP355)))</formula>
    </cfRule>
    <cfRule type="containsText" dxfId="2371" priority="227" operator="containsText" text="Planning">
      <formula>NOT(ISERROR(SEARCH("Planning",AP355)))</formula>
    </cfRule>
    <cfRule type="containsText" dxfId="2370" priority="228" operator="containsText" text="Installation">
      <formula>NOT(ISERROR(SEARCH("Installation",AP355)))</formula>
    </cfRule>
    <cfRule type="containsText" dxfId="2369" priority="229" operator="containsText" text="Comissioning">
      <formula>NOT(ISERROR(SEARCH("Comissioning",AP355)))</formula>
    </cfRule>
    <cfRule type="containsText" dxfId="2368" priority="230" operator="containsText" text="Production">
      <formula>NOT(ISERROR(SEARCH("Production",AP355)))</formula>
    </cfRule>
    <cfRule type="containsText" dxfId="2367" priority="231" operator="containsText" text="Canceled">
      <formula>NOT(ISERROR(SEARCH("Canceled",AP355)))</formula>
    </cfRule>
    <cfRule type="containsText" dxfId="2366" priority="232" operator="containsText" text="Closed">
      <formula>NOT(ISERROR(SEARCH("Closed",AP355)))</formula>
    </cfRule>
  </conditionalFormatting>
  <conditionalFormatting sqref="AP356">
    <cfRule type="containsText" dxfId="2365" priority="217" operator="containsText" text="In Study">
      <formula>NOT(ISERROR(SEARCH("In Study",AP356)))</formula>
    </cfRule>
    <cfRule type="containsText" dxfId="2364" priority="218" operator="containsText" text="In Approval">
      <formula>NOT(ISERROR(SEARCH("In Approval",AP356)))</formula>
    </cfRule>
    <cfRule type="containsText" dxfId="2363" priority="219" operator="containsText" text="Planning">
      <formula>NOT(ISERROR(SEARCH("Planning",AP356)))</formula>
    </cfRule>
    <cfRule type="containsText" dxfId="2362" priority="220" operator="containsText" text="Installation">
      <formula>NOT(ISERROR(SEARCH("Installation",AP356)))</formula>
    </cfRule>
    <cfRule type="containsText" dxfId="2361" priority="221" operator="containsText" text="Comissioning">
      <formula>NOT(ISERROR(SEARCH("Comissioning",AP356)))</formula>
    </cfRule>
    <cfRule type="containsText" dxfId="2360" priority="222" operator="containsText" text="Production">
      <formula>NOT(ISERROR(SEARCH("Production",AP356)))</formula>
    </cfRule>
    <cfRule type="containsText" dxfId="2359" priority="223" operator="containsText" text="Canceled">
      <formula>NOT(ISERROR(SEARCH("Canceled",AP356)))</formula>
    </cfRule>
    <cfRule type="containsText" dxfId="2358" priority="224" operator="containsText" text="Closed">
      <formula>NOT(ISERROR(SEARCH("Closed",AP356)))</formula>
    </cfRule>
  </conditionalFormatting>
  <conditionalFormatting sqref="AP357">
    <cfRule type="containsText" dxfId="2357" priority="209" operator="containsText" text="In Study">
      <formula>NOT(ISERROR(SEARCH("In Study",AP357)))</formula>
    </cfRule>
    <cfRule type="containsText" dxfId="2356" priority="210" operator="containsText" text="In Approval">
      <formula>NOT(ISERROR(SEARCH("In Approval",AP357)))</formula>
    </cfRule>
    <cfRule type="containsText" dxfId="2355" priority="211" operator="containsText" text="Planning">
      <formula>NOT(ISERROR(SEARCH("Planning",AP357)))</formula>
    </cfRule>
    <cfRule type="containsText" dxfId="2354" priority="212" operator="containsText" text="Installation">
      <formula>NOT(ISERROR(SEARCH("Installation",AP357)))</formula>
    </cfRule>
    <cfRule type="containsText" dxfId="2353" priority="213" operator="containsText" text="Comissioning">
      <formula>NOT(ISERROR(SEARCH("Comissioning",AP357)))</formula>
    </cfRule>
    <cfRule type="containsText" dxfId="2352" priority="214" operator="containsText" text="Production">
      <formula>NOT(ISERROR(SEARCH("Production",AP357)))</formula>
    </cfRule>
    <cfRule type="containsText" dxfId="2351" priority="215" operator="containsText" text="Canceled">
      <formula>NOT(ISERROR(SEARCH("Canceled",AP357)))</formula>
    </cfRule>
    <cfRule type="containsText" dxfId="2350" priority="216" operator="containsText" text="Closed">
      <formula>NOT(ISERROR(SEARCH("Closed",AP357)))</formula>
    </cfRule>
  </conditionalFormatting>
  <conditionalFormatting sqref="AP358">
    <cfRule type="containsText" dxfId="2349" priority="201" operator="containsText" text="In Study">
      <formula>NOT(ISERROR(SEARCH("In Study",AP358)))</formula>
    </cfRule>
    <cfRule type="containsText" dxfId="2348" priority="202" operator="containsText" text="In Approval">
      <formula>NOT(ISERROR(SEARCH("In Approval",AP358)))</formula>
    </cfRule>
    <cfRule type="containsText" dxfId="2347" priority="203" operator="containsText" text="Planning">
      <formula>NOT(ISERROR(SEARCH("Planning",AP358)))</formula>
    </cfRule>
    <cfRule type="containsText" dxfId="2346" priority="204" operator="containsText" text="Installation">
      <formula>NOT(ISERROR(SEARCH("Installation",AP358)))</formula>
    </cfRule>
    <cfRule type="containsText" dxfId="2345" priority="205" operator="containsText" text="Comissioning">
      <formula>NOT(ISERROR(SEARCH("Comissioning",AP358)))</formula>
    </cfRule>
    <cfRule type="containsText" dxfId="2344" priority="206" operator="containsText" text="Production">
      <formula>NOT(ISERROR(SEARCH("Production",AP358)))</formula>
    </cfRule>
    <cfRule type="containsText" dxfId="2343" priority="207" operator="containsText" text="Canceled">
      <formula>NOT(ISERROR(SEARCH("Canceled",AP358)))</formula>
    </cfRule>
    <cfRule type="containsText" dxfId="2342" priority="208" operator="containsText" text="Closed">
      <formula>NOT(ISERROR(SEARCH("Closed",AP358)))</formula>
    </cfRule>
  </conditionalFormatting>
  <conditionalFormatting sqref="AP359">
    <cfRule type="containsText" dxfId="2341" priority="193" operator="containsText" text="In Study">
      <formula>NOT(ISERROR(SEARCH("In Study",AP359)))</formula>
    </cfRule>
    <cfRule type="containsText" dxfId="2340" priority="194" operator="containsText" text="In Approval">
      <formula>NOT(ISERROR(SEARCH("In Approval",AP359)))</formula>
    </cfRule>
    <cfRule type="containsText" dxfId="2339" priority="195" operator="containsText" text="Planning">
      <formula>NOT(ISERROR(SEARCH("Planning",AP359)))</formula>
    </cfRule>
    <cfRule type="containsText" dxfId="2338" priority="196" operator="containsText" text="Installation">
      <formula>NOT(ISERROR(SEARCH("Installation",AP359)))</formula>
    </cfRule>
    <cfRule type="containsText" dxfId="2337" priority="197" operator="containsText" text="Comissioning">
      <formula>NOT(ISERROR(SEARCH("Comissioning",AP359)))</formula>
    </cfRule>
    <cfRule type="containsText" dxfId="2336" priority="198" operator="containsText" text="Production">
      <formula>NOT(ISERROR(SEARCH("Production",AP359)))</formula>
    </cfRule>
    <cfRule type="containsText" dxfId="2335" priority="199" operator="containsText" text="Canceled">
      <formula>NOT(ISERROR(SEARCH("Canceled",AP359)))</formula>
    </cfRule>
    <cfRule type="containsText" dxfId="2334" priority="200" operator="containsText" text="Closed">
      <formula>NOT(ISERROR(SEARCH("Closed",AP359)))</formula>
    </cfRule>
  </conditionalFormatting>
  <conditionalFormatting sqref="AP360">
    <cfRule type="containsText" dxfId="2333" priority="185" operator="containsText" text="In Study">
      <formula>NOT(ISERROR(SEARCH("In Study",AP360)))</formula>
    </cfRule>
    <cfRule type="containsText" dxfId="2332" priority="186" operator="containsText" text="In Approval">
      <formula>NOT(ISERROR(SEARCH("In Approval",AP360)))</formula>
    </cfRule>
    <cfRule type="containsText" dxfId="2331" priority="187" operator="containsText" text="Planning">
      <formula>NOT(ISERROR(SEARCH("Planning",AP360)))</formula>
    </cfRule>
    <cfRule type="containsText" dxfId="2330" priority="188" operator="containsText" text="Installation">
      <formula>NOT(ISERROR(SEARCH("Installation",AP360)))</formula>
    </cfRule>
    <cfRule type="containsText" dxfId="2329" priority="189" operator="containsText" text="Comissioning">
      <formula>NOT(ISERROR(SEARCH("Comissioning",AP360)))</formula>
    </cfRule>
    <cfRule type="containsText" dxfId="2328" priority="190" operator="containsText" text="Production">
      <formula>NOT(ISERROR(SEARCH("Production",AP360)))</formula>
    </cfRule>
    <cfRule type="containsText" dxfId="2327" priority="191" operator="containsText" text="Canceled">
      <formula>NOT(ISERROR(SEARCH("Canceled",AP360)))</formula>
    </cfRule>
    <cfRule type="containsText" dxfId="2326" priority="192" operator="containsText" text="Closed">
      <formula>NOT(ISERROR(SEARCH("Closed",AP360)))</formula>
    </cfRule>
  </conditionalFormatting>
  <conditionalFormatting sqref="AP361">
    <cfRule type="containsText" dxfId="2325" priority="177" operator="containsText" text="In Study">
      <formula>NOT(ISERROR(SEARCH("In Study",AP361)))</formula>
    </cfRule>
    <cfRule type="containsText" dxfId="2324" priority="178" operator="containsText" text="In Approval">
      <formula>NOT(ISERROR(SEARCH("In Approval",AP361)))</formula>
    </cfRule>
    <cfRule type="containsText" dxfId="2323" priority="179" operator="containsText" text="Planning">
      <formula>NOT(ISERROR(SEARCH("Planning",AP361)))</formula>
    </cfRule>
    <cfRule type="containsText" dxfId="2322" priority="180" operator="containsText" text="Installation">
      <formula>NOT(ISERROR(SEARCH("Installation",AP361)))</formula>
    </cfRule>
    <cfRule type="containsText" dxfId="2321" priority="181" operator="containsText" text="Comissioning">
      <formula>NOT(ISERROR(SEARCH("Comissioning",AP361)))</formula>
    </cfRule>
    <cfRule type="containsText" dxfId="2320" priority="182" operator="containsText" text="Production">
      <formula>NOT(ISERROR(SEARCH("Production",AP361)))</formula>
    </cfRule>
    <cfRule type="containsText" dxfId="2319" priority="183" operator="containsText" text="Canceled">
      <formula>NOT(ISERROR(SEARCH("Canceled",AP361)))</formula>
    </cfRule>
    <cfRule type="containsText" dxfId="2318" priority="184" operator="containsText" text="Closed">
      <formula>NOT(ISERROR(SEARCH("Closed",AP361)))</formula>
    </cfRule>
  </conditionalFormatting>
  <conditionalFormatting sqref="AP362">
    <cfRule type="containsText" dxfId="2317" priority="169" operator="containsText" text="In Study">
      <formula>NOT(ISERROR(SEARCH("In Study",AP362)))</formula>
    </cfRule>
    <cfRule type="containsText" dxfId="2316" priority="170" operator="containsText" text="In Approval">
      <formula>NOT(ISERROR(SEARCH("In Approval",AP362)))</formula>
    </cfRule>
    <cfRule type="containsText" dxfId="2315" priority="171" operator="containsText" text="Planning">
      <formula>NOT(ISERROR(SEARCH("Planning",AP362)))</formula>
    </cfRule>
    <cfRule type="containsText" dxfId="2314" priority="172" operator="containsText" text="Installation">
      <formula>NOT(ISERROR(SEARCH("Installation",AP362)))</formula>
    </cfRule>
    <cfRule type="containsText" dxfId="2313" priority="173" operator="containsText" text="Comissioning">
      <formula>NOT(ISERROR(SEARCH("Comissioning",AP362)))</formula>
    </cfRule>
    <cfRule type="containsText" dxfId="2312" priority="174" operator="containsText" text="Production">
      <formula>NOT(ISERROR(SEARCH("Production",AP362)))</formula>
    </cfRule>
    <cfRule type="containsText" dxfId="2311" priority="175" operator="containsText" text="Canceled">
      <formula>NOT(ISERROR(SEARCH("Canceled",AP362)))</formula>
    </cfRule>
    <cfRule type="containsText" dxfId="2310" priority="176" operator="containsText" text="Closed">
      <formula>NOT(ISERROR(SEARCH("Closed",AP362)))</formula>
    </cfRule>
  </conditionalFormatting>
  <conditionalFormatting sqref="AP363">
    <cfRule type="containsText" dxfId="2309" priority="161" operator="containsText" text="In Study">
      <formula>NOT(ISERROR(SEARCH("In Study",AP363)))</formula>
    </cfRule>
    <cfRule type="containsText" dxfId="2308" priority="162" operator="containsText" text="In Approval">
      <formula>NOT(ISERROR(SEARCH("In Approval",AP363)))</formula>
    </cfRule>
    <cfRule type="containsText" dxfId="2307" priority="163" operator="containsText" text="Planning">
      <formula>NOT(ISERROR(SEARCH("Planning",AP363)))</formula>
    </cfRule>
    <cfRule type="containsText" dxfId="2306" priority="164" operator="containsText" text="Installation">
      <formula>NOT(ISERROR(SEARCH("Installation",AP363)))</formula>
    </cfRule>
    <cfRule type="containsText" dxfId="2305" priority="165" operator="containsText" text="Comissioning">
      <formula>NOT(ISERROR(SEARCH("Comissioning",AP363)))</formula>
    </cfRule>
    <cfRule type="containsText" dxfId="2304" priority="166" operator="containsText" text="Production">
      <formula>NOT(ISERROR(SEARCH("Production",AP363)))</formula>
    </cfRule>
    <cfRule type="containsText" dxfId="2303" priority="167" operator="containsText" text="Canceled">
      <formula>NOT(ISERROR(SEARCH("Canceled",AP363)))</formula>
    </cfRule>
    <cfRule type="containsText" dxfId="2302" priority="168" operator="containsText" text="Closed">
      <formula>NOT(ISERROR(SEARCH("Closed",AP363)))</formula>
    </cfRule>
  </conditionalFormatting>
  <conditionalFormatting sqref="AP365">
    <cfRule type="containsText" dxfId="2301" priority="153" operator="containsText" text="In Study">
      <formula>NOT(ISERROR(SEARCH("In Study",AP365)))</formula>
    </cfRule>
    <cfRule type="containsText" dxfId="2300" priority="154" operator="containsText" text="In Approval">
      <formula>NOT(ISERROR(SEARCH("In Approval",AP365)))</formula>
    </cfRule>
    <cfRule type="containsText" dxfId="2299" priority="155" operator="containsText" text="Planning">
      <formula>NOT(ISERROR(SEARCH("Planning",AP365)))</formula>
    </cfRule>
    <cfRule type="containsText" dxfId="2298" priority="156" operator="containsText" text="Installation">
      <formula>NOT(ISERROR(SEARCH("Installation",AP365)))</formula>
    </cfRule>
    <cfRule type="containsText" dxfId="2297" priority="157" operator="containsText" text="Comissioning">
      <formula>NOT(ISERROR(SEARCH("Comissioning",AP365)))</formula>
    </cfRule>
    <cfRule type="containsText" dxfId="2296" priority="158" operator="containsText" text="Production">
      <formula>NOT(ISERROR(SEARCH("Production",AP365)))</formula>
    </cfRule>
    <cfRule type="containsText" dxfId="2295" priority="159" operator="containsText" text="Canceled">
      <formula>NOT(ISERROR(SEARCH("Canceled",AP365)))</formula>
    </cfRule>
    <cfRule type="containsText" dxfId="2294" priority="160" operator="containsText" text="Closed">
      <formula>NOT(ISERROR(SEARCH("Closed",AP365)))</formula>
    </cfRule>
  </conditionalFormatting>
  <conditionalFormatting sqref="AP366">
    <cfRule type="containsText" dxfId="2293" priority="145" operator="containsText" text="In Study">
      <formula>NOT(ISERROR(SEARCH("In Study",AP366)))</formula>
    </cfRule>
    <cfRule type="containsText" dxfId="2292" priority="146" operator="containsText" text="In Approval">
      <formula>NOT(ISERROR(SEARCH("In Approval",AP366)))</formula>
    </cfRule>
    <cfRule type="containsText" dxfId="2291" priority="147" operator="containsText" text="Planning">
      <formula>NOT(ISERROR(SEARCH("Planning",AP366)))</formula>
    </cfRule>
    <cfRule type="containsText" dxfId="2290" priority="148" operator="containsText" text="Installation">
      <formula>NOT(ISERROR(SEARCH("Installation",AP366)))</formula>
    </cfRule>
    <cfRule type="containsText" dxfId="2289" priority="149" operator="containsText" text="Comissioning">
      <formula>NOT(ISERROR(SEARCH("Comissioning",AP366)))</formula>
    </cfRule>
    <cfRule type="containsText" dxfId="2288" priority="150" operator="containsText" text="Production">
      <formula>NOT(ISERROR(SEARCH("Production",AP366)))</formula>
    </cfRule>
    <cfRule type="containsText" dxfId="2287" priority="151" operator="containsText" text="Canceled">
      <formula>NOT(ISERROR(SEARCH("Canceled",AP366)))</formula>
    </cfRule>
    <cfRule type="containsText" dxfId="2286" priority="152" operator="containsText" text="Closed">
      <formula>NOT(ISERROR(SEARCH("Closed",AP366)))</formula>
    </cfRule>
  </conditionalFormatting>
  <conditionalFormatting sqref="AP367">
    <cfRule type="containsText" dxfId="2285" priority="137" operator="containsText" text="In Study">
      <formula>NOT(ISERROR(SEARCH("In Study",AP367)))</formula>
    </cfRule>
    <cfRule type="containsText" dxfId="2284" priority="138" operator="containsText" text="In Approval">
      <formula>NOT(ISERROR(SEARCH("In Approval",AP367)))</formula>
    </cfRule>
    <cfRule type="containsText" dxfId="2283" priority="139" operator="containsText" text="Planning">
      <formula>NOT(ISERROR(SEARCH("Planning",AP367)))</formula>
    </cfRule>
    <cfRule type="containsText" dxfId="2282" priority="140" operator="containsText" text="Installation">
      <formula>NOT(ISERROR(SEARCH("Installation",AP367)))</formula>
    </cfRule>
    <cfRule type="containsText" dxfId="2281" priority="141" operator="containsText" text="Comissioning">
      <formula>NOT(ISERROR(SEARCH("Comissioning",AP367)))</formula>
    </cfRule>
    <cfRule type="containsText" dxfId="2280" priority="142" operator="containsText" text="Production">
      <formula>NOT(ISERROR(SEARCH("Production",AP367)))</formula>
    </cfRule>
    <cfRule type="containsText" dxfId="2279" priority="143" operator="containsText" text="Canceled">
      <formula>NOT(ISERROR(SEARCH("Canceled",AP367)))</formula>
    </cfRule>
    <cfRule type="containsText" dxfId="2278" priority="144" operator="containsText" text="Closed">
      <formula>NOT(ISERROR(SEARCH("Closed",AP367)))</formula>
    </cfRule>
  </conditionalFormatting>
  <conditionalFormatting sqref="AP368">
    <cfRule type="containsText" dxfId="2277" priority="129" operator="containsText" text="In Study">
      <formula>NOT(ISERROR(SEARCH("In Study",AP368)))</formula>
    </cfRule>
    <cfRule type="containsText" dxfId="2276" priority="130" operator="containsText" text="In Approval">
      <formula>NOT(ISERROR(SEARCH("In Approval",AP368)))</formula>
    </cfRule>
    <cfRule type="containsText" dxfId="2275" priority="131" operator="containsText" text="Planning">
      <formula>NOT(ISERROR(SEARCH("Planning",AP368)))</formula>
    </cfRule>
    <cfRule type="containsText" dxfId="2274" priority="132" operator="containsText" text="Installation">
      <formula>NOT(ISERROR(SEARCH("Installation",AP368)))</formula>
    </cfRule>
    <cfRule type="containsText" dxfId="2273" priority="133" operator="containsText" text="Comissioning">
      <formula>NOT(ISERROR(SEARCH("Comissioning",AP368)))</formula>
    </cfRule>
    <cfRule type="containsText" dxfId="2272" priority="134" operator="containsText" text="Production">
      <formula>NOT(ISERROR(SEARCH("Production",AP368)))</formula>
    </cfRule>
    <cfRule type="containsText" dxfId="2271" priority="135" operator="containsText" text="Canceled">
      <formula>NOT(ISERROR(SEARCH("Canceled",AP368)))</formula>
    </cfRule>
    <cfRule type="containsText" dxfId="2270" priority="136" operator="containsText" text="Closed">
      <formula>NOT(ISERROR(SEARCH("Closed",AP368)))</formula>
    </cfRule>
  </conditionalFormatting>
  <conditionalFormatting sqref="AP371">
    <cfRule type="containsText" dxfId="2269" priority="113" operator="containsText" text="In Study">
      <formula>NOT(ISERROR(SEARCH("In Study",AP371)))</formula>
    </cfRule>
    <cfRule type="containsText" dxfId="2268" priority="114" operator="containsText" text="In Approval">
      <formula>NOT(ISERROR(SEARCH("In Approval",AP371)))</formula>
    </cfRule>
    <cfRule type="containsText" dxfId="2267" priority="115" operator="containsText" text="Planning">
      <formula>NOT(ISERROR(SEARCH("Planning",AP371)))</formula>
    </cfRule>
    <cfRule type="containsText" dxfId="2266" priority="116" operator="containsText" text="Installation">
      <formula>NOT(ISERROR(SEARCH("Installation",AP371)))</formula>
    </cfRule>
    <cfRule type="containsText" dxfId="2265" priority="117" operator="containsText" text="Comissioning">
      <formula>NOT(ISERROR(SEARCH("Comissioning",AP371)))</formula>
    </cfRule>
    <cfRule type="containsText" dxfId="2264" priority="118" operator="containsText" text="Production">
      <formula>NOT(ISERROR(SEARCH("Production",AP371)))</formula>
    </cfRule>
    <cfRule type="containsText" dxfId="2263" priority="119" operator="containsText" text="Canceled">
      <formula>NOT(ISERROR(SEARCH("Canceled",AP371)))</formula>
    </cfRule>
    <cfRule type="containsText" dxfId="2262" priority="120" operator="containsText" text="Closed">
      <formula>NOT(ISERROR(SEARCH("Closed",AP371)))</formula>
    </cfRule>
  </conditionalFormatting>
  <conditionalFormatting sqref="AP372">
    <cfRule type="containsText" dxfId="2261" priority="105" operator="containsText" text="In Study">
      <formula>NOT(ISERROR(SEARCH("In Study",AP372)))</formula>
    </cfRule>
    <cfRule type="containsText" dxfId="2260" priority="106" operator="containsText" text="In Approval">
      <formula>NOT(ISERROR(SEARCH("In Approval",AP372)))</formula>
    </cfRule>
    <cfRule type="containsText" dxfId="2259" priority="107" operator="containsText" text="Planning">
      <formula>NOT(ISERROR(SEARCH("Planning",AP372)))</formula>
    </cfRule>
    <cfRule type="containsText" dxfId="2258" priority="108" operator="containsText" text="Installation">
      <formula>NOT(ISERROR(SEARCH("Installation",AP372)))</formula>
    </cfRule>
    <cfRule type="containsText" dxfId="2257" priority="109" operator="containsText" text="Comissioning">
      <formula>NOT(ISERROR(SEARCH("Comissioning",AP372)))</formula>
    </cfRule>
    <cfRule type="containsText" dxfId="2256" priority="110" operator="containsText" text="Production">
      <formula>NOT(ISERROR(SEARCH("Production",AP372)))</formula>
    </cfRule>
    <cfRule type="containsText" dxfId="2255" priority="111" operator="containsText" text="Canceled">
      <formula>NOT(ISERROR(SEARCH("Canceled",AP372)))</formula>
    </cfRule>
    <cfRule type="containsText" dxfId="2254" priority="112" operator="containsText" text="Closed">
      <formula>NOT(ISERROR(SEARCH("Closed",AP372)))</formula>
    </cfRule>
  </conditionalFormatting>
  <conditionalFormatting sqref="AP373">
    <cfRule type="containsText" dxfId="2253" priority="97" operator="containsText" text="In Study">
      <formula>NOT(ISERROR(SEARCH("In Study",AP373)))</formula>
    </cfRule>
    <cfRule type="containsText" dxfId="2252" priority="98" operator="containsText" text="In Approval">
      <formula>NOT(ISERROR(SEARCH("In Approval",AP373)))</formula>
    </cfRule>
    <cfRule type="containsText" dxfId="2251" priority="99" operator="containsText" text="Planning">
      <formula>NOT(ISERROR(SEARCH("Planning",AP373)))</formula>
    </cfRule>
    <cfRule type="containsText" dxfId="2250" priority="100" operator="containsText" text="Installation">
      <formula>NOT(ISERROR(SEARCH("Installation",AP373)))</formula>
    </cfRule>
    <cfRule type="containsText" dxfId="2249" priority="101" operator="containsText" text="Comissioning">
      <formula>NOT(ISERROR(SEARCH("Comissioning",AP373)))</formula>
    </cfRule>
    <cfRule type="containsText" dxfId="2248" priority="102" operator="containsText" text="Production">
      <formula>NOT(ISERROR(SEARCH("Production",AP373)))</formula>
    </cfRule>
    <cfRule type="containsText" dxfId="2247" priority="103" operator="containsText" text="Canceled">
      <formula>NOT(ISERROR(SEARCH("Canceled",AP373)))</formula>
    </cfRule>
    <cfRule type="containsText" dxfId="2246" priority="104" operator="containsText" text="Closed">
      <formula>NOT(ISERROR(SEARCH("Closed",AP373)))</formula>
    </cfRule>
  </conditionalFormatting>
  <conditionalFormatting sqref="AP375">
    <cfRule type="containsText" dxfId="2245" priority="81" operator="containsText" text="In Study">
      <formula>NOT(ISERROR(SEARCH("In Study",AP375)))</formula>
    </cfRule>
    <cfRule type="containsText" dxfId="2244" priority="82" operator="containsText" text="In Approval">
      <formula>NOT(ISERROR(SEARCH("In Approval",AP375)))</formula>
    </cfRule>
    <cfRule type="containsText" dxfId="2243" priority="83" operator="containsText" text="Planning">
      <formula>NOT(ISERROR(SEARCH("Planning",AP375)))</formula>
    </cfRule>
    <cfRule type="containsText" dxfId="2242" priority="84" operator="containsText" text="Installation">
      <formula>NOT(ISERROR(SEARCH("Installation",AP375)))</formula>
    </cfRule>
    <cfRule type="containsText" dxfId="2241" priority="85" operator="containsText" text="Comissioning">
      <formula>NOT(ISERROR(SEARCH("Comissioning",AP375)))</formula>
    </cfRule>
    <cfRule type="containsText" dxfId="2240" priority="86" operator="containsText" text="Production">
      <formula>NOT(ISERROR(SEARCH("Production",AP375)))</formula>
    </cfRule>
    <cfRule type="containsText" dxfId="2239" priority="87" operator="containsText" text="Canceled">
      <formula>NOT(ISERROR(SEARCH("Canceled",AP375)))</formula>
    </cfRule>
    <cfRule type="containsText" dxfId="2238" priority="88" operator="containsText" text="Closed">
      <formula>NOT(ISERROR(SEARCH("Closed",AP375)))</formula>
    </cfRule>
  </conditionalFormatting>
  <conditionalFormatting sqref="AP376">
    <cfRule type="containsText" dxfId="2237" priority="73" operator="containsText" text="In Study">
      <formula>NOT(ISERROR(SEARCH("In Study",AP376)))</formula>
    </cfRule>
    <cfRule type="containsText" dxfId="2236" priority="74" operator="containsText" text="In Approval">
      <formula>NOT(ISERROR(SEARCH("In Approval",AP376)))</formula>
    </cfRule>
    <cfRule type="containsText" dxfId="2235" priority="75" operator="containsText" text="Planning">
      <formula>NOT(ISERROR(SEARCH("Planning",AP376)))</formula>
    </cfRule>
    <cfRule type="containsText" dxfId="2234" priority="76" operator="containsText" text="Installation">
      <formula>NOT(ISERROR(SEARCH("Installation",AP376)))</formula>
    </cfRule>
    <cfRule type="containsText" dxfId="2233" priority="77" operator="containsText" text="Comissioning">
      <formula>NOT(ISERROR(SEARCH("Comissioning",AP376)))</formula>
    </cfRule>
    <cfRule type="containsText" dxfId="2232" priority="78" operator="containsText" text="Production">
      <formula>NOT(ISERROR(SEARCH("Production",AP376)))</formula>
    </cfRule>
    <cfRule type="containsText" dxfId="2231" priority="79" operator="containsText" text="Canceled">
      <formula>NOT(ISERROR(SEARCH("Canceled",AP376)))</formula>
    </cfRule>
    <cfRule type="containsText" dxfId="2230" priority="80" operator="containsText" text="Closed">
      <formula>NOT(ISERROR(SEARCH("Closed",AP376)))</formula>
    </cfRule>
  </conditionalFormatting>
  <conditionalFormatting sqref="AP377">
    <cfRule type="containsText" dxfId="2229" priority="65" operator="containsText" text="In Study">
      <formula>NOT(ISERROR(SEARCH("In Study",AP377)))</formula>
    </cfRule>
    <cfRule type="containsText" dxfId="2228" priority="66" operator="containsText" text="In Approval">
      <formula>NOT(ISERROR(SEARCH("In Approval",AP377)))</formula>
    </cfRule>
    <cfRule type="containsText" dxfId="2227" priority="67" operator="containsText" text="Planning">
      <formula>NOT(ISERROR(SEARCH("Planning",AP377)))</formula>
    </cfRule>
    <cfRule type="containsText" dxfId="2226" priority="68" operator="containsText" text="Installation">
      <formula>NOT(ISERROR(SEARCH("Installation",AP377)))</formula>
    </cfRule>
    <cfRule type="containsText" dxfId="2225" priority="69" operator="containsText" text="Comissioning">
      <formula>NOT(ISERROR(SEARCH("Comissioning",AP377)))</formula>
    </cfRule>
    <cfRule type="containsText" dxfId="2224" priority="70" operator="containsText" text="Production">
      <formula>NOT(ISERROR(SEARCH("Production",AP377)))</formula>
    </cfRule>
    <cfRule type="containsText" dxfId="2223" priority="71" operator="containsText" text="Canceled">
      <formula>NOT(ISERROR(SEARCH("Canceled",AP377)))</formula>
    </cfRule>
    <cfRule type="containsText" dxfId="2222" priority="72" operator="containsText" text="Closed">
      <formula>NOT(ISERROR(SEARCH("Closed",AP377)))</formula>
    </cfRule>
  </conditionalFormatting>
  <conditionalFormatting sqref="AP378">
    <cfRule type="containsText" dxfId="2221" priority="57" operator="containsText" text="In Study">
      <formula>NOT(ISERROR(SEARCH("In Study",AP378)))</formula>
    </cfRule>
    <cfRule type="containsText" dxfId="2220" priority="58" operator="containsText" text="In Approval">
      <formula>NOT(ISERROR(SEARCH("In Approval",AP378)))</formula>
    </cfRule>
    <cfRule type="containsText" dxfId="2219" priority="59" operator="containsText" text="Planning">
      <formula>NOT(ISERROR(SEARCH("Planning",AP378)))</formula>
    </cfRule>
    <cfRule type="containsText" dxfId="2218" priority="60" operator="containsText" text="Installation">
      <formula>NOT(ISERROR(SEARCH("Installation",AP378)))</formula>
    </cfRule>
    <cfRule type="containsText" dxfId="2217" priority="61" operator="containsText" text="Comissioning">
      <formula>NOT(ISERROR(SEARCH("Comissioning",AP378)))</formula>
    </cfRule>
    <cfRule type="containsText" dxfId="2216" priority="62" operator="containsText" text="Production">
      <formula>NOT(ISERROR(SEARCH("Production",AP378)))</formula>
    </cfRule>
    <cfRule type="containsText" dxfId="2215" priority="63" operator="containsText" text="Canceled">
      <formula>NOT(ISERROR(SEARCH("Canceled",AP378)))</formula>
    </cfRule>
    <cfRule type="containsText" dxfId="2214" priority="64" operator="containsText" text="Closed">
      <formula>NOT(ISERROR(SEARCH("Closed",AP378)))</formula>
    </cfRule>
  </conditionalFormatting>
  <conditionalFormatting sqref="AP379">
    <cfRule type="containsText" dxfId="2213" priority="49" operator="containsText" text="In Study">
      <formula>NOT(ISERROR(SEARCH("In Study",AP379)))</formula>
    </cfRule>
    <cfRule type="containsText" dxfId="2212" priority="50" operator="containsText" text="In Approval">
      <formula>NOT(ISERROR(SEARCH("In Approval",AP379)))</formula>
    </cfRule>
    <cfRule type="containsText" dxfId="2211" priority="51" operator="containsText" text="Planning">
      <formula>NOT(ISERROR(SEARCH("Planning",AP379)))</formula>
    </cfRule>
    <cfRule type="containsText" dxfId="2210" priority="52" operator="containsText" text="Installation">
      <formula>NOT(ISERROR(SEARCH("Installation",AP379)))</formula>
    </cfRule>
    <cfRule type="containsText" dxfId="2209" priority="53" operator="containsText" text="Comissioning">
      <formula>NOT(ISERROR(SEARCH("Comissioning",AP379)))</formula>
    </cfRule>
    <cfRule type="containsText" dxfId="2208" priority="54" operator="containsText" text="Production">
      <formula>NOT(ISERROR(SEARCH("Production",AP379)))</formula>
    </cfRule>
    <cfRule type="containsText" dxfId="2207" priority="55" operator="containsText" text="Canceled">
      <formula>NOT(ISERROR(SEARCH("Canceled",AP379)))</formula>
    </cfRule>
    <cfRule type="containsText" dxfId="2206" priority="56" operator="containsText" text="Closed">
      <formula>NOT(ISERROR(SEARCH("Closed",AP379)))</formula>
    </cfRule>
  </conditionalFormatting>
  <conditionalFormatting sqref="AP380">
    <cfRule type="containsText" dxfId="2205" priority="41" operator="containsText" text="In Study">
      <formula>NOT(ISERROR(SEARCH("In Study",AP380)))</formula>
    </cfRule>
    <cfRule type="containsText" dxfId="2204" priority="42" operator="containsText" text="In Approval">
      <formula>NOT(ISERROR(SEARCH("In Approval",AP380)))</formula>
    </cfRule>
    <cfRule type="containsText" dxfId="2203" priority="43" operator="containsText" text="Planning">
      <formula>NOT(ISERROR(SEARCH("Planning",AP380)))</formula>
    </cfRule>
    <cfRule type="containsText" dxfId="2202" priority="44" operator="containsText" text="Installation">
      <formula>NOT(ISERROR(SEARCH("Installation",AP380)))</formula>
    </cfRule>
    <cfRule type="containsText" dxfId="2201" priority="45" operator="containsText" text="Comissioning">
      <formula>NOT(ISERROR(SEARCH("Comissioning",AP380)))</formula>
    </cfRule>
    <cfRule type="containsText" dxfId="2200" priority="46" operator="containsText" text="Production">
      <formula>NOT(ISERROR(SEARCH("Production",AP380)))</formula>
    </cfRule>
    <cfRule type="containsText" dxfId="2199" priority="47" operator="containsText" text="Canceled">
      <formula>NOT(ISERROR(SEARCH("Canceled",AP380)))</formula>
    </cfRule>
    <cfRule type="containsText" dxfId="2198" priority="48" operator="containsText" text="Closed">
      <formula>NOT(ISERROR(SEARCH("Closed",AP380)))</formula>
    </cfRule>
  </conditionalFormatting>
  <conditionalFormatting sqref="AP381">
    <cfRule type="containsText" dxfId="2197" priority="33" operator="containsText" text="In Study">
      <formula>NOT(ISERROR(SEARCH("In Study",AP381)))</formula>
    </cfRule>
    <cfRule type="containsText" dxfId="2196" priority="34" operator="containsText" text="In Approval">
      <formula>NOT(ISERROR(SEARCH("In Approval",AP381)))</formula>
    </cfRule>
    <cfRule type="containsText" dxfId="2195" priority="35" operator="containsText" text="Planning">
      <formula>NOT(ISERROR(SEARCH("Planning",AP381)))</formula>
    </cfRule>
    <cfRule type="containsText" dxfId="2194" priority="36" operator="containsText" text="Installation">
      <formula>NOT(ISERROR(SEARCH("Installation",AP381)))</formula>
    </cfRule>
    <cfRule type="containsText" dxfId="2193" priority="37" operator="containsText" text="Comissioning">
      <formula>NOT(ISERROR(SEARCH("Comissioning",AP381)))</formula>
    </cfRule>
    <cfRule type="containsText" dxfId="2192" priority="38" operator="containsText" text="Production">
      <formula>NOT(ISERROR(SEARCH("Production",AP381)))</formula>
    </cfRule>
    <cfRule type="containsText" dxfId="2191" priority="39" operator="containsText" text="Canceled">
      <formula>NOT(ISERROR(SEARCH("Canceled",AP381)))</formula>
    </cfRule>
    <cfRule type="containsText" dxfId="2190" priority="40" operator="containsText" text="Closed">
      <formula>NOT(ISERROR(SEARCH("Closed",AP381)))</formula>
    </cfRule>
  </conditionalFormatting>
  <conditionalFormatting sqref="AP382">
    <cfRule type="containsText" dxfId="2189" priority="25" operator="containsText" text="In Study">
      <formula>NOT(ISERROR(SEARCH("In Study",AP382)))</formula>
    </cfRule>
    <cfRule type="containsText" dxfId="2188" priority="26" operator="containsText" text="In Approval">
      <formula>NOT(ISERROR(SEARCH("In Approval",AP382)))</formula>
    </cfRule>
    <cfRule type="containsText" dxfId="2187" priority="27" operator="containsText" text="Planning">
      <formula>NOT(ISERROR(SEARCH("Planning",AP382)))</formula>
    </cfRule>
    <cfRule type="containsText" dxfId="2186" priority="28" operator="containsText" text="Installation">
      <formula>NOT(ISERROR(SEARCH("Installation",AP382)))</formula>
    </cfRule>
    <cfRule type="containsText" dxfId="2185" priority="29" operator="containsText" text="Comissioning">
      <formula>NOT(ISERROR(SEARCH("Comissioning",AP382)))</formula>
    </cfRule>
    <cfRule type="containsText" dxfId="2184" priority="30" operator="containsText" text="Production">
      <formula>NOT(ISERROR(SEARCH("Production",AP382)))</formula>
    </cfRule>
    <cfRule type="containsText" dxfId="2183" priority="31" operator="containsText" text="Canceled">
      <formula>NOT(ISERROR(SEARCH("Canceled",AP382)))</formula>
    </cfRule>
    <cfRule type="containsText" dxfId="2182" priority="32" operator="containsText" text="Closed">
      <formula>NOT(ISERROR(SEARCH("Closed",AP382)))</formula>
    </cfRule>
  </conditionalFormatting>
  <conditionalFormatting sqref="AP383">
    <cfRule type="containsText" dxfId="2181" priority="17" operator="containsText" text="In Study">
      <formula>NOT(ISERROR(SEARCH("In Study",AP383)))</formula>
    </cfRule>
    <cfRule type="containsText" dxfId="2180" priority="18" operator="containsText" text="In Approval">
      <formula>NOT(ISERROR(SEARCH("In Approval",AP383)))</formula>
    </cfRule>
    <cfRule type="containsText" dxfId="2179" priority="19" operator="containsText" text="Planning">
      <formula>NOT(ISERROR(SEARCH("Planning",AP383)))</formula>
    </cfRule>
    <cfRule type="containsText" dxfId="2178" priority="20" operator="containsText" text="Installation">
      <formula>NOT(ISERROR(SEARCH("Installation",AP383)))</formula>
    </cfRule>
    <cfRule type="containsText" dxfId="2177" priority="21" operator="containsText" text="Comissioning">
      <formula>NOT(ISERROR(SEARCH("Comissioning",AP383)))</formula>
    </cfRule>
    <cfRule type="containsText" dxfId="2176" priority="22" operator="containsText" text="Production">
      <formula>NOT(ISERROR(SEARCH("Production",AP383)))</formula>
    </cfRule>
    <cfRule type="containsText" dxfId="2175" priority="23" operator="containsText" text="Canceled">
      <formula>NOT(ISERROR(SEARCH("Canceled",AP383)))</formula>
    </cfRule>
    <cfRule type="containsText" dxfId="2174" priority="24" operator="containsText" text="Closed">
      <formula>NOT(ISERROR(SEARCH("Closed",AP383)))</formula>
    </cfRule>
  </conditionalFormatting>
  <conditionalFormatting sqref="AP384">
    <cfRule type="containsText" dxfId="2173" priority="9" operator="containsText" text="In Study">
      <formula>NOT(ISERROR(SEARCH("In Study",AP384)))</formula>
    </cfRule>
    <cfRule type="containsText" dxfId="2172" priority="10" operator="containsText" text="In Approval">
      <formula>NOT(ISERROR(SEARCH("In Approval",AP384)))</formula>
    </cfRule>
    <cfRule type="containsText" dxfId="2171" priority="11" operator="containsText" text="Planning">
      <formula>NOT(ISERROR(SEARCH("Planning",AP384)))</formula>
    </cfRule>
    <cfRule type="containsText" dxfId="2170" priority="12" operator="containsText" text="Installation">
      <formula>NOT(ISERROR(SEARCH("Installation",AP384)))</formula>
    </cfRule>
    <cfRule type="containsText" dxfId="2169" priority="13" operator="containsText" text="Commissioning">
      <formula>NOT(ISERROR(SEARCH("Commissioning",AP384)))</formula>
    </cfRule>
    <cfRule type="containsText" dxfId="2168" priority="14" operator="containsText" text="Production">
      <formula>NOT(ISERROR(SEARCH("Production",AP384)))</formula>
    </cfRule>
    <cfRule type="containsText" dxfId="2167" priority="15" operator="containsText" text="Canceled">
      <formula>NOT(ISERROR(SEARCH("Canceled",AP384)))</formula>
    </cfRule>
    <cfRule type="containsText" dxfId="2166" priority="16" operator="containsText" text="Closed">
      <formula>NOT(ISERROR(SEARCH("Closed",AP384)))</formula>
    </cfRule>
  </conditionalFormatting>
  <conditionalFormatting sqref="AP46">
    <cfRule type="containsText" dxfId="2165" priority="1" operator="containsText" text="In Study">
      <formula>NOT(ISERROR(SEARCH("In Study",AP46)))</formula>
    </cfRule>
    <cfRule type="containsText" dxfId="2164" priority="2" operator="containsText" text="In Approval">
      <formula>NOT(ISERROR(SEARCH("In Approval",AP46)))</formula>
    </cfRule>
    <cfRule type="containsText" dxfId="2163" priority="3" operator="containsText" text="Planning">
      <formula>NOT(ISERROR(SEARCH("Planning",AP46)))</formula>
    </cfRule>
    <cfRule type="containsText" dxfId="2162" priority="4" operator="containsText" text="Installation">
      <formula>NOT(ISERROR(SEARCH("Installation",AP46)))</formula>
    </cfRule>
    <cfRule type="containsText" dxfId="2161" priority="5" operator="containsText" text="Commissioning">
      <formula>NOT(ISERROR(SEARCH("Commissioning",AP46)))</formula>
    </cfRule>
    <cfRule type="containsText" dxfId="2160" priority="6" operator="containsText" text="Production">
      <formula>NOT(ISERROR(SEARCH("Production",AP46)))</formula>
    </cfRule>
    <cfRule type="containsText" dxfId="2159" priority="7" operator="containsText" text="Canceled">
      <formula>NOT(ISERROR(SEARCH("Canceled",AP46)))</formula>
    </cfRule>
    <cfRule type="containsText" dxfId="2158" priority="8" operator="containsText" text="Closed">
      <formula>NOT(ISERROR(SEARCH("Closed",AP46)))</formula>
    </cfRule>
  </conditionalFormatting>
  <dataValidations disablePrompts="1" count="2">
    <dataValidation type="list" allowBlank="1" showInputMessage="1" showErrorMessage="1" sqref="AD5:AD409" xr:uid="{370FE2FE-1D6C-4D05-9093-D1B5329966E0}">
      <formula1>"A,B1,B2,UTIL,FACIL,STAFF,"</formula1>
    </dataValidation>
    <dataValidation type="list" allowBlank="1" showInputMessage="1" showErrorMessage="1" sqref="AP5:AP409" xr:uid="{630866AB-329E-46B3-B97C-6EBC89E02C02}">
      <formula1>"In Study,In Approval,Planning,Installation,Commissioning,Production,Closed,Canceled"</formula1>
    </dataValidation>
  </dataValidations>
  <printOptions horizontalCentered="1" verticalCentered="1"/>
  <pageMargins left="0.25" right="0.25" top="0.75" bottom="0.75" header="0.3" footer="0.3"/>
  <pageSetup scale="31" orientation="landscape" r:id="rId1"/>
  <drawing r:id="rId2"/>
  <extLst>
    <ext xmlns:x14="http://schemas.microsoft.com/office/spreadsheetml/2009/9/main" uri="{78C0D931-6437-407d-A8EE-F0AAD7539E65}">
      <x14:conditionalFormattings>
        <x14:conditionalFormatting xmlns:xm="http://schemas.microsoft.com/office/excel/2006/main">
          <x14:cfRule type="containsText" priority="875" operator="containsText" id="{2F489EF1-835B-44EB-ADE8-BE51EE68DF7B}">
            <xm:f>NOT(ISERROR(SEARCH("NO BUDGET",AM5)))</xm:f>
            <xm:f>"NO BUDGET"</xm:f>
            <x14:dxf>
              <font>
                <b val="0"/>
                <i val="0"/>
              </font>
              <fill>
                <patternFill>
                  <bgColor theme="0" tint="-0.14996795556505021"/>
                </patternFill>
              </fill>
            </x14:dxf>
          </x14:cfRule>
          <xm:sqref>AM5:AM409</xm:sqref>
        </x14:conditionalFormatting>
        <x14:conditionalFormatting xmlns:xm="http://schemas.microsoft.com/office/excel/2006/main">
          <x14:cfRule type="containsText" priority="874" operator="containsText" id="{CBA71B64-8DF2-4D7A-A793-003A2C8F9564}">
            <xm:f>NOT(ISERROR(SEARCH("NO BUDGET",AJ1)))</xm:f>
            <xm:f>"NO BUDGET"</xm:f>
            <x14:dxf>
              <fill>
                <patternFill>
                  <bgColor theme="0" tint="-0.14996795556505021"/>
                </patternFill>
              </fill>
            </x14:dxf>
          </x14:cfRule>
          <xm:sqref>AJ1:AJ3 AJ5:AJ1048576 AM5:AM409</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C6F81-DB84-4D8F-BF12-DEEB240F47A1}">
  <sheetPr codeName="Planilha18">
    <tabColor rgb="FF0070C0"/>
    <pageSetUpPr fitToPage="1"/>
  </sheetPr>
  <dimension ref="A1:DN44"/>
  <sheetViews>
    <sheetView showGridLines="0" zoomScale="70" zoomScaleNormal="70" zoomScaleSheetLayoutView="25" workbookViewId="0">
      <pane xSplit="25" ySplit="4" topLeftCell="BM28" activePane="bottomRight" state="frozen"/>
      <selection pane="topRight" activeCell="W1" sqref="W1"/>
      <selection pane="bottomLeft" activeCell="A5" sqref="A5"/>
      <selection pane="bottomRight" activeCell="V41" sqref="V41"/>
    </sheetView>
  </sheetViews>
  <sheetFormatPr defaultColWidth="9.453125" defaultRowHeight="13"/>
  <cols>
    <col min="1" max="1" width="17.81640625" style="496" customWidth="1"/>
    <col min="2" max="2" width="11.81640625" style="496" customWidth="1"/>
    <col min="3" max="3" width="14.1796875" style="496" hidden="1" customWidth="1"/>
    <col min="4" max="6" width="13.7265625" style="496" hidden="1" customWidth="1"/>
    <col min="7" max="7" width="13.7265625" style="496" customWidth="1"/>
    <col min="8" max="14" width="13.7265625" style="496" hidden="1" customWidth="1"/>
    <col min="15" max="15" width="13.7265625" style="496" customWidth="1"/>
    <col min="16" max="16" width="57.81640625" style="496" customWidth="1"/>
    <col min="17" max="17" width="23.26953125" style="496" hidden="1" customWidth="1"/>
    <col min="18" max="18" width="17" style="496" hidden="1" customWidth="1"/>
    <col min="19" max="20" width="23.26953125" style="496" hidden="1" customWidth="1"/>
    <col min="21" max="21" width="13.7265625" style="496" customWidth="1"/>
    <col min="22" max="22" width="45.81640625" style="496" customWidth="1"/>
    <col min="23" max="23" width="13.7265625" style="496" hidden="1" customWidth="1"/>
    <col min="24" max="24" width="16.26953125" style="496" customWidth="1"/>
    <col min="25" max="25" width="13.7265625" style="496" customWidth="1"/>
    <col min="26" max="34" width="13.7265625" style="496" hidden="1" customWidth="1"/>
    <col min="35" max="35" width="21" style="496" hidden="1" customWidth="1"/>
    <col min="36" max="36" width="15.54296875" style="497" hidden="1" customWidth="1"/>
    <col min="37" max="37" width="15.54296875" style="497" customWidth="1"/>
    <col min="38" max="38" width="15.54296875" style="497" hidden="1" customWidth="1"/>
    <col min="39" max="40" width="14.453125" style="497" hidden="1" customWidth="1"/>
    <col min="41" max="41" width="11.7265625" style="497" customWidth="1"/>
    <col min="42" max="44" width="11.7265625" style="497" hidden="1" customWidth="1"/>
    <col min="45" max="45" width="11.7265625" style="497" customWidth="1"/>
    <col min="46" max="48" width="11.7265625" style="497" hidden="1" customWidth="1"/>
    <col min="49" max="49" width="11.7265625" style="497" customWidth="1"/>
    <col min="50" max="52" width="11.7265625" style="497" hidden="1" customWidth="1"/>
    <col min="53" max="53" width="11.7265625" style="497" customWidth="1"/>
    <col min="54" max="56" width="11.7265625" style="497" hidden="1" customWidth="1"/>
    <col min="57" max="58" width="11.7265625" style="497" customWidth="1"/>
    <col min="59" max="59" width="11.7265625" style="497" hidden="1" customWidth="1"/>
    <col min="60" max="61" width="11.7265625" style="497" customWidth="1"/>
    <col min="62" max="64" width="11.7265625" style="497" hidden="1" customWidth="1"/>
    <col min="65" max="65" width="11.7265625" style="497" customWidth="1"/>
    <col min="66" max="68" width="11.7265625" style="497" hidden="1" customWidth="1"/>
    <col min="69" max="69" width="11.7265625" style="497" customWidth="1"/>
    <col min="70" max="72" width="11.7265625" style="497" hidden="1" customWidth="1"/>
    <col min="73" max="73" width="12.54296875" style="497" customWidth="1"/>
    <col min="74" max="76" width="11.7265625" style="497" hidden="1" customWidth="1"/>
    <col min="77" max="77" width="11.7265625" style="497" customWidth="1"/>
    <col min="78" max="80" width="11.7265625" style="497" hidden="1" customWidth="1"/>
    <col min="81" max="81" width="13.7265625" style="497" customWidth="1"/>
    <col min="82" max="84" width="11.7265625" style="497" hidden="1" customWidth="1"/>
    <col min="85" max="88" width="11.7265625" style="497" customWidth="1"/>
    <col min="89" max="99" width="11.7265625" style="497" hidden="1" customWidth="1"/>
    <col min="100" max="101" width="11.7265625" style="497" customWidth="1"/>
    <col min="102" max="105" width="11.7265625" style="497" hidden="1" customWidth="1"/>
    <col min="106" max="106" width="11.26953125" style="497" hidden="1" customWidth="1"/>
    <col min="107" max="110" width="11.7265625" style="497" hidden="1" customWidth="1"/>
    <col min="111" max="118" width="11.7265625" style="497" customWidth="1"/>
    <col min="119" max="16384" width="9.453125" style="496"/>
  </cols>
  <sheetData>
    <row r="1" spans="1:118" s="502" customFormat="1" ht="24" customHeight="1">
      <c r="AA1" s="505">
        <f t="shared" ref="AA1:BF1" si="0">SUBTOTAL(9,AA5:AA2048)</f>
        <v>483.38335999999993</v>
      </c>
      <c r="AB1" s="505">
        <f t="shared" si="0"/>
        <v>709.85182999999995</v>
      </c>
      <c r="AC1" s="505">
        <f t="shared" si="0"/>
        <v>255.46514999999999</v>
      </c>
      <c r="AD1" s="505">
        <f t="shared" si="0"/>
        <v>0</v>
      </c>
      <c r="AE1" s="505">
        <f t="shared" si="0"/>
        <v>0</v>
      </c>
      <c r="AF1" s="505">
        <f t="shared" si="0"/>
        <v>0</v>
      </c>
      <c r="AG1" s="505">
        <f t="shared" si="0"/>
        <v>0</v>
      </c>
      <c r="AH1" s="505">
        <f t="shared" si="0"/>
        <v>0</v>
      </c>
      <c r="AI1" s="505">
        <f t="shared" si="0"/>
        <v>1893.7150500000002</v>
      </c>
      <c r="AJ1" s="505">
        <f t="shared" si="0"/>
        <v>517.81610000000001</v>
      </c>
      <c r="AK1" s="505">
        <f t="shared" si="0"/>
        <v>667.29135999999994</v>
      </c>
      <c r="AL1" s="505">
        <f t="shared" si="0"/>
        <v>107.92828000000002</v>
      </c>
      <c r="AM1" s="505">
        <f t="shared" si="0"/>
        <v>115.69685</v>
      </c>
      <c r="AN1" s="505">
        <f t="shared" si="0"/>
        <v>115.69685000000001</v>
      </c>
      <c r="AO1" s="505">
        <f t="shared" si="0"/>
        <v>115.69685000000001</v>
      </c>
      <c r="AP1" s="505">
        <f t="shared" si="0"/>
        <v>26.299999999999997</v>
      </c>
      <c r="AQ1" s="505">
        <f t="shared" si="0"/>
        <v>9.9213499999999986</v>
      </c>
      <c r="AR1" s="505">
        <f t="shared" si="0"/>
        <v>9.9213499999999986</v>
      </c>
      <c r="AS1" s="505">
        <f t="shared" si="0"/>
        <v>9.9213499999999986</v>
      </c>
      <c r="AT1" s="505">
        <f t="shared" si="0"/>
        <v>34.799999999999997</v>
      </c>
      <c r="AU1" s="505">
        <f t="shared" si="0"/>
        <v>16.937100000000001</v>
      </c>
      <c r="AV1" s="505">
        <f t="shared" si="0"/>
        <v>16.937100000000001</v>
      </c>
      <c r="AW1" s="505">
        <f t="shared" si="0"/>
        <v>16.916080000000001</v>
      </c>
      <c r="AX1" s="505">
        <f t="shared" si="0"/>
        <v>89.6</v>
      </c>
      <c r="AY1" s="505">
        <f t="shared" si="0"/>
        <v>14.618729999999999</v>
      </c>
      <c r="AZ1" s="505">
        <f t="shared" si="0"/>
        <v>14.618730000000001</v>
      </c>
      <c r="BA1" s="505">
        <f t="shared" si="0"/>
        <v>15.150280000000002</v>
      </c>
      <c r="BB1" s="505">
        <f t="shared" si="0"/>
        <v>84.9</v>
      </c>
      <c r="BC1" s="505">
        <f t="shared" si="0"/>
        <v>75.655289999999979</v>
      </c>
      <c r="BD1" s="505">
        <f t="shared" si="0"/>
        <v>75.655289999999979</v>
      </c>
      <c r="BE1" s="505">
        <f t="shared" si="0"/>
        <v>75.778099999999995</v>
      </c>
      <c r="BF1" s="505">
        <f t="shared" si="0"/>
        <v>12.9</v>
      </c>
      <c r="BG1" s="505">
        <f t="shared" ref="BG1:CL1" si="1">SUBTOTAL(9,BG5:BG2048)</f>
        <v>90.298699999999997</v>
      </c>
      <c r="BH1" s="505">
        <f t="shared" si="1"/>
        <v>90.298699999999997</v>
      </c>
      <c r="BI1" s="505">
        <f t="shared" si="1"/>
        <v>90.298699999999997</v>
      </c>
      <c r="BJ1" s="505">
        <f t="shared" si="1"/>
        <v>0</v>
      </c>
      <c r="BK1" s="505">
        <f t="shared" si="1"/>
        <v>0</v>
      </c>
      <c r="BL1" s="505">
        <f t="shared" si="1"/>
        <v>0</v>
      </c>
      <c r="BM1" s="505">
        <f t="shared" si="1"/>
        <v>10.73</v>
      </c>
      <c r="BN1" s="505">
        <f t="shared" si="1"/>
        <v>0</v>
      </c>
      <c r="BO1" s="505">
        <f t="shared" si="1"/>
        <v>0</v>
      </c>
      <c r="BP1" s="505">
        <f t="shared" si="1"/>
        <v>0</v>
      </c>
      <c r="BQ1" s="505">
        <f t="shared" si="1"/>
        <v>0</v>
      </c>
      <c r="BR1" s="505">
        <f t="shared" si="1"/>
        <v>0</v>
      </c>
      <c r="BS1" s="505">
        <f t="shared" si="1"/>
        <v>0</v>
      </c>
      <c r="BT1" s="505">
        <f t="shared" si="1"/>
        <v>0</v>
      </c>
      <c r="BU1" s="505">
        <f t="shared" si="1"/>
        <v>98.4</v>
      </c>
      <c r="BV1" s="505">
        <f t="shared" si="1"/>
        <v>0</v>
      </c>
      <c r="BW1" s="505">
        <f t="shared" si="1"/>
        <v>0</v>
      </c>
      <c r="BX1" s="505">
        <f t="shared" si="1"/>
        <v>0</v>
      </c>
      <c r="BY1" s="505">
        <f t="shared" si="1"/>
        <v>79</v>
      </c>
      <c r="BZ1" s="505">
        <f t="shared" si="1"/>
        <v>0</v>
      </c>
      <c r="CA1" s="505">
        <f t="shared" si="1"/>
        <v>0</v>
      </c>
      <c r="CB1" s="505">
        <f t="shared" si="1"/>
        <v>0</v>
      </c>
      <c r="CC1" s="505">
        <f t="shared" si="1"/>
        <v>155.4</v>
      </c>
      <c r="CD1" s="505">
        <f t="shared" si="1"/>
        <v>0</v>
      </c>
      <c r="CE1" s="505">
        <f t="shared" si="1"/>
        <v>0</v>
      </c>
      <c r="CF1" s="505">
        <f t="shared" si="1"/>
        <v>0</v>
      </c>
      <c r="CG1" s="505">
        <f t="shared" si="1"/>
        <v>0</v>
      </c>
      <c r="CH1" s="505">
        <f t="shared" si="1"/>
        <v>0</v>
      </c>
      <c r="CI1" s="505">
        <f t="shared" si="1"/>
        <v>0</v>
      </c>
      <c r="CJ1" s="505">
        <f t="shared" si="1"/>
        <v>0</v>
      </c>
      <c r="CK1" s="505">
        <f t="shared" si="1"/>
        <v>0</v>
      </c>
      <c r="CL1" s="505">
        <f t="shared" si="1"/>
        <v>0</v>
      </c>
      <c r="CM1" s="505">
        <f t="shared" ref="CM1:DN1" si="2">SUBTOTAL(9,CM5:CM2048)</f>
        <v>0</v>
      </c>
      <c r="CN1" s="505">
        <f t="shared" si="2"/>
        <v>0</v>
      </c>
      <c r="CO1" s="505">
        <f t="shared" si="2"/>
        <v>0</v>
      </c>
      <c r="CP1" s="505">
        <f t="shared" si="2"/>
        <v>0</v>
      </c>
      <c r="CQ1" s="505">
        <f t="shared" si="2"/>
        <v>0</v>
      </c>
      <c r="CR1" s="505">
        <f t="shared" si="2"/>
        <v>0</v>
      </c>
      <c r="CS1" s="505">
        <f t="shared" si="2"/>
        <v>0</v>
      </c>
      <c r="CT1" s="505">
        <f t="shared" si="2"/>
        <v>0</v>
      </c>
      <c r="CU1" s="505">
        <f t="shared" si="2"/>
        <v>0</v>
      </c>
      <c r="CV1" s="505">
        <f t="shared" si="2"/>
        <v>77.398699999999991</v>
      </c>
      <c r="CW1" s="505">
        <f t="shared" si="2"/>
        <v>0</v>
      </c>
      <c r="CX1" s="505">
        <f t="shared" si="2"/>
        <v>142.53428000000002</v>
      </c>
      <c r="CY1" s="505">
        <f t="shared" si="2"/>
        <v>181.22708</v>
      </c>
      <c r="CZ1" s="505">
        <f t="shared" si="2"/>
        <v>109.13000000000001</v>
      </c>
      <c r="DA1" s="505">
        <f t="shared" si="2"/>
        <v>234.4</v>
      </c>
      <c r="DB1" s="505">
        <f t="shared" si="2"/>
        <v>149.47526000000002</v>
      </c>
      <c r="DC1" s="505">
        <f t="shared" si="2"/>
        <v>84.9</v>
      </c>
      <c r="DD1" s="505">
        <f t="shared" si="2"/>
        <v>75.655289999999979</v>
      </c>
      <c r="DE1" s="505">
        <f t="shared" si="2"/>
        <v>233.33985000000001</v>
      </c>
      <c r="DF1" s="505">
        <f t="shared" si="2"/>
        <v>433.95150999999998</v>
      </c>
      <c r="DG1" s="505">
        <f t="shared" si="2"/>
        <v>2213.0444700000003</v>
      </c>
      <c r="DH1" s="505">
        <f t="shared" si="2"/>
        <v>1516.3631</v>
      </c>
      <c r="DI1" s="505">
        <f t="shared" si="2"/>
        <v>135.03655000000001</v>
      </c>
      <c r="DJ1" s="505">
        <f t="shared" si="2"/>
        <v>16.9787</v>
      </c>
      <c r="DK1" s="505">
        <f t="shared" si="2"/>
        <v>1668.37835</v>
      </c>
      <c r="DL1" s="505">
        <f t="shared" si="2"/>
        <v>544.66612000000021</v>
      </c>
      <c r="DM1" s="505">
        <f t="shared" si="2"/>
        <v>0</v>
      </c>
      <c r="DN1" s="505">
        <f t="shared" si="2"/>
        <v>0</v>
      </c>
    </row>
    <row r="2" spans="1:118" ht="42.75" customHeight="1">
      <c r="A2" s="504" t="s">
        <v>9614</v>
      </c>
      <c r="B2" s="502"/>
      <c r="C2" s="502"/>
      <c r="D2" s="502"/>
      <c r="E2" s="502"/>
      <c r="F2" s="502"/>
      <c r="G2" s="502"/>
      <c r="H2" s="502"/>
      <c r="I2" s="502"/>
      <c r="J2" s="502"/>
      <c r="K2" s="502"/>
      <c r="L2" s="502"/>
      <c r="M2" s="502"/>
      <c r="N2" s="502"/>
      <c r="O2" s="502"/>
      <c r="P2" s="502"/>
      <c r="Q2" s="502"/>
      <c r="R2" s="502"/>
      <c r="S2" s="502"/>
      <c r="T2" s="502"/>
      <c r="U2" s="502"/>
      <c r="V2" s="502"/>
      <c r="W2" s="502"/>
      <c r="X2" s="502"/>
      <c r="Y2" s="502"/>
      <c r="Z2" s="502"/>
      <c r="AA2" s="502"/>
      <c r="AB2" s="502"/>
      <c r="AC2" s="502"/>
      <c r="AD2" s="502"/>
      <c r="AE2" s="502"/>
      <c r="AF2" s="502"/>
      <c r="AG2" s="502"/>
      <c r="AH2" s="502"/>
      <c r="AI2" s="501"/>
      <c r="AJ2" s="503"/>
      <c r="AK2" s="503"/>
      <c r="AL2" s="503"/>
      <c r="AM2" s="503"/>
      <c r="AN2" s="503"/>
      <c r="AO2" s="503"/>
      <c r="AP2" s="503"/>
      <c r="AQ2" s="503"/>
      <c r="AR2" s="503"/>
      <c r="AS2" s="503"/>
      <c r="AT2" s="503"/>
      <c r="AU2" s="503"/>
      <c r="AV2" s="503"/>
      <c r="AW2" s="503"/>
      <c r="AX2" s="503"/>
      <c r="AY2" s="503"/>
      <c r="AZ2" s="503"/>
      <c r="BA2" s="503"/>
      <c r="BB2" s="503"/>
      <c r="BC2" s="503"/>
      <c r="BD2" s="503"/>
      <c r="BE2" s="503"/>
      <c r="BF2" s="503"/>
      <c r="BG2" s="503"/>
      <c r="BH2" s="503"/>
      <c r="BI2" s="503"/>
      <c r="BJ2" s="503"/>
      <c r="BK2" s="503"/>
      <c r="BL2" s="503"/>
      <c r="BM2" s="503"/>
      <c r="BN2" s="503"/>
      <c r="BO2" s="503"/>
      <c r="BP2" s="503"/>
      <c r="BQ2" s="503"/>
      <c r="BR2" s="503"/>
      <c r="BS2" s="503"/>
      <c r="BT2" s="503"/>
      <c r="BU2" s="503"/>
      <c r="BV2" s="503"/>
      <c r="BW2" s="503"/>
      <c r="BX2" s="503"/>
      <c r="BY2" s="503"/>
      <c r="BZ2" s="503"/>
      <c r="CA2" s="503"/>
      <c r="CB2" s="503"/>
      <c r="CC2" s="503"/>
      <c r="CD2" s="503"/>
      <c r="CE2" s="503"/>
      <c r="CF2" s="503"/>
      <c r="CG2" s="503"/>
      <c r="CH2" s="503"/>
      <c r="CI2" s="503"/>
      <c r="CJ2" s="503"/>
      <c r="CK2" s="503"/>
      <c r="CL2" s="503"/>
      <c r="CM2" s="503"/>
      <c r="CN2" s="503"/>
      <c r="CO2" s="503"/>
      <c r="CP2" s="503"/>
      <c r="CQ2" s="503"/>
      <c r="CR2" s="503"/>
      <c r="CS2" s="503"/>
      <c r="CT2" s="503"/>
      <c r="CU2" s="503"/>
      <c r="CV2" s="503"/>
      <c r="CW2" s="503"/>
      <c r="CX2" s="503"/>
      <c r="CY2" s="503"/>
      <c r="CZ2" s="503"/>
      <c r="DA2" s="503"/>
      <c r="DB2" s="503"/>
      <c r="DC2" s="503"/>
      <c r="DD2" s="503"/>
      <c r="DE2" s="503"/>
      <c r="DF2" s="503"/>
      <c r="DG2" s="503">
        <v>1996.8860600000003</v>
      </c>
      <c r="DH2" s="503">
        <v>1318.8532799999998</v>
      </c>
      <c r="DI2" s="503">
        <v>145.27175999999997</v>
      </c>
      <c r="DJ2" s="503">
        <v>29.996749999999999</v>
      </c>
      <c r="DK2" s="503">
        <v>1494.1217899999997</v>
      </c>
      <c r="DL2" s="503">
        <v>502.76426999999995</v>
      </c>
      <c r="DM2" s="503"/>
      <c r="DN2" s="503"/>
    </row>
    <row r="3" spans="1:118" ht="18" customHeight="1" thickBot="1">
      <c r="A3" s="502"/>
      <c r="B3" s="502"/>
      <c r="C3" s="502"/>
      <c r="D3" s="502"/>
      <c r="E3" s="502"/>
      <c r="F3" s="502"/>
      <c r="G3" s="502"/>
      <c r="H3" s="502"/>
      <c r="I3" s="502"/>
      <c r="J3" s="502"/>
      <c r="K3" s="502"/>
      <c r="L3" s="502"/>
      <c r="M3" s="502"/>
      <c r="N3" s="502"/>
      <c r="O3" s="502"/>
      <c r="P3" s="502"/>
      <c r="Q3" s="502"/>
      <c r="R3" s="502"/>
      <c r="S3" s="502"/>
      <c r="T3" s="502"/>
      <c r="U3" s="502"/>
      <c r="V3" s="502"/>
      <c r="W3" s="502"/>
      <c r="X3" s="502"/>
      <c r="Y3" s="502"/>
      <c r="Z3" s="502"/>
      <c r="AA3" s="502"/>
      <c r="AB3" s="502"/>
      <c r="AC3" s="502"/>
      <c r="AD3" s="502"/>
      <c r="AE3" s="502"/>
      <c r="AF3" s="502"/>
      <c r="AG3" s="502"/>
      <c r="AH3" s="502"/>
      <c r="AI3" s="501"/>
      <c r="AJ3" s="500"/>
      <c r="AK3" s="500"/>
      <c r="AL3" s="500"/>
      <c r="AM3" s="500"/>
      <c r="AN3" s="500"/>
      <c r="AO3" s="500"/>
      <c r="AP3" s="500"/>
      <c r="AQ3" s="500"/>
      <c r="AR3" s="500"/>
      <c r="AS3" s="500"/>
      <c r="AT3" s="500"/>
      <c r="AU3" s="500"/>
      <c r="AV3" s="500"/>
      <c r="AW3" s="500"/>
      <c r="AX3" s="500"/>
      <c r="AY3" s="500"/>
      <c r="AZ3" s="500"/>
      <c r="BA3" s="500"/>
      <c r="BB3" s="500"/>
      <c r="BC3" s="500"/>
      <c r="BD3" s="500"/>
      <c r="BE3" s="500"/>
      <c r="BF3" s="500"/>
      <c r="BG3" s="500"/>
      <c r="BH3" s="500"/>
      <c r="BI3" s="500"/>
      <c r="BJ3" s="500"/>
      <c r="BK3" s="500"/>
      <c r="BL3" s="500"/>
      <c r="BM3" s="500"/>
      <c r="BN3" s="500"/>
      <c r="BO3" s="500"/>
      <c r="BP3" s="500"/>
      <c r="BQ3" s="500"/>
      <c r="BR3" s="500"/>
      <c r="BS3" s="500"/>
      <c r="BT3" s="500"/>
      <c r="BU3" s="500"/>
      <c r="BV3" s="500"/>
      <c r="BW3" s="500"/>
      <c r="BX3" s="500"/>
      <c r="BY3" s="500"/>
      <c r="BZ3" s="500"/>
      <c r="CA3" s="500"/>
      <c r="CB3" s="500"/>
      <c r="CC3" s="500"/>
      <c r="CD3" s="500"/>
      <c r="CE3" s="500"/>
      <c r="CF3" s="500"/>
      <c r="CG3" s="500"/>
      <c r="CH3" s="500"/>
      <c r="CI3" s="500"/>
      <c r="CJ3" s="500"/>
      <c r="CK3" s="500"/>
      <c r="CL3" s="500"/>
      <c r="CM3" s="500"/>
      <c r="CN3" s="500"/>
      <c r="CO3" s="500"/>
      <c r="CP3" s="500"/>
      <c r="CQ3" s="500"/>
      <c r="CR3" s="500"/>
      <c r="CS3" s="500"/>
      <c r="CT3" s="500"/>
      <c r="CU3" s="500"/>
      <c r="CV3" s="500"/>
      <c r="CW3" s="500"/>
      <c r="CX3" s="500"/>
      <c r="CY3" s="500"/>
      <c r="CZ3" s="500"/>
      <c r="DA3" s="500"/>
      <c r="DB3" s="500"/>
      <c r="DC3" s="500"/>
      <c r="DD3" s="500"/>
      <c r="DE3" s="500"/>
      <c r="DF3" s="500"/>
      <c r="DG3" s="506">
        <f>DG1-DG2</f>
        <v>216.15841</v>
      </c>
      <c r="DH3" s="506">
        <f t="shared" ref="DH3:DL3" si="3">DH1-DH2</f>
        <v>197.50982000000022</v>
      </c>
      <c r="DI3" s="506">
        <f t="shared" si="3"/>
        <v>-10.235209999999967</v>
      </c>
      <c r="DJ3" s="506">
        <f t="shared" si="3"/>
        <v>-13.018049999999999</v>
      </c>
      <c r="DK3" s="506">
        <f t="shared" si="3"/>
        <v>174.25656000000026</v>
      </c>
      <c r="DL3" s="506">
        <f t="shared" si="3"/>
        <v>41.901850000000252</v>
      </c>
      <c r="DM3" s="500"/>
      <c r="DN3" s="500"/>
    </row>
    <row r="4" spans="1:118" s="30" customFormat="1" ht="71.150000000000006" customHeight="1" thickTop="1" thickBot="1">
      <c r="A4" s="436" t="s">
        <v>3331</v>
      </c>
      <c r="B4" s="436" t="s">
        <v>2898</v>
      </c>
      <c r="C4" s="436" t="s">
        <v>10703</v>
      </c>
      <c r="D4" s="436" t="s">
        <v>7014</v>
      </c>
      <c r="E4" s="436" t="s">
        <v>7075</v>
      </c>
      <c r="F4" s="436" t="s">
        <v>7076</v>
      </c>
      <c r="G4" s="436" t="s">
        <v>7077</v>
      </c>
      <c r="H4" s="436" t="s">
        <v>7078</v>
      </c>
      <c r="I4" s="436" t="s">
        <v>7079</v>
      </c>
      <c r="J4" s="436" t="s">
        <v>7080</v>
      </c>
      <c r="K4" s="436" t="s">
        <v>9613</v>
      </c>
      <c r="L4" s="436" t="s">
        <v>9612</v>
      </c>
      <c r="M4" s="436" t="s">
        <v>7016</v>
      </c>
      <c r="N4" s="436" t="s">
        <v>949</v>
      </c>
      <c r="O4" s="436" t="s">
        <v>2750</v>
      </c>
      <c r="P4" s="436" t="s">
        <v>2205</v>
      </c>
      <c r="Q4" s="436" t="s">
        <v>190</v>
      </c>
      <c r="R4" s="436" t="s">
        <v>6989</v>
      </c>
      <c r="S4" s="436" t="s">
        <v>6990</v>
      </c>
      <c r="T4" s="436" t="s">
        <v>6992</v>
      </c>
      <c r="U4" s="436" t="s">
        <v>6991</v>
      </c>
      <c r="V4" s="436" t="s">
        <v>452</v>
      </c>
      <c r="W4" s="436" t="s">
        <v>7002</v>
      </c>
      <c r="X4" s="436" t="s">
        <v>7003</v>
      </c>
      <c r="Y4" s="436" t="s">
        <v>7448</v>
      </c>
      <c r="Z4" s="436" t="s">
        <v>7449</v>
      </c>
      <c r="AA4" s="1" t="s">
        <v>1827</v>
      </c>
      <c r="AB4" s="1" t="s">
        <v>2721</v>
      </c>
      <c r="AC4" s="1" t="s">
        <v>6979</v>
      </c>
      <c r="AD4" s="1" t="s">
        <v>6980</v>
      </c>
      <c r="AE4" s="1" t="s">
        <v>7082</v>
      </c>
      <c r="AF4" s="1" t="s">
        <v>8934</v>
      </c>
      <c r="AG4" s="1" t="s">
        <v>9611</v>
      </c>
      <c r="AH4" s="1" t="s">
        <v>9610</v>
      </c>
      <c r="AI4" s="1" t="s">
        <v>10704</v>
      </c>
      <c r="AJ4" s="430" t="s">
        <v>7081</v>
      </c>
      <c r="AK4" s="168" t="s">
        <v>6996</v>
      </c>
      <c r="AL4" s="424" t="s">
        <v>7083</v>
      </c>
      <c r="AM4" s="425" t="s">
        <v>7084</v>
      </c>
      <c r="AN4" s="426" t="s">
        <v>2740</v>
      </c>
      <c r="AO4" s="431" t="s">
        <v>7116</v>
      </c>
      <c r="AP4" s="424" t="s">
        <v>7093</v>
      </c>
      <c r="AQ4" s="425" t="s">
        <v>7094</v>
      </c>
      <c r="AR4" s="426" t="s">
        <v>7095</v>
      </c>
      <c r="AS4" s="431" t="s">
        <v>7117</v>
      </c>
      <c r="AT4" s="424" t="s">
        <v>7085</v>
      </c>
      <c r="AU4" s="425" t="s">
        <v>7086</v>
      </c>
      <c r="AV4" s="426" t="s">
        <v>2618</v>
      </c>
      <c r="AW4" s="431" t="s">
        <v>7118</v>
      </c>
      <c r="AX4" s="424" t="s">
        <v>7096</v>
      </c>
      <c r="AY4" s="425" t="s">
        <v>7097</v>
      </c>
      <c r="AZ4" s="426" t="s">
        <v>7098</v>
      </c>
      <c r="BA4" s="431" t="s">
        <v>7119</v>
      </c>
      <c r="BB4" s="424" t="s">
        <v>7099</v>
      </c>
      <c r="BC4" s="425" t="s">
        <v>7100</v>
      </c>
      <c r="BD4" s="426" t="s">
        <v>7101</v>
      </c>
      <c r="BE4" s="431" t="s">
        <v>7114</v>
      </c>
      <c r="BF4" s="424" t="s">
        <v>7087</v>
      </c>
      <c r="BG4" s="425" t="s">
        <v>7088</v>
      </c>
      <c r="BH4" s="426" t="s">
        <v>2755</v>
      </c>
      <c r="BI4" s="431" t="s">
        <v>7120</v>
      </c>
      <c r="BJ4" s="424" t="s">
        <v>7089</v>
      </c>
      <c r="BK4" s="425" t="s">
        <v>7090</v>
      </c>
      <c r="BL4" s="426" t="s">
        <v>2728</v>
      </c>
      <c r="BM4" s="431" t="s">
        <v>7121</v>
      </c>
      <c r="BN4" s="424" t="s">
        <v>7102</v>
      </c>
      <c r="BO4" s="425" t="s">
        <v>7103</v>
      </c>
      <c r="BP4" s="426" t="s">
        <v>7104</v>
      </c>
      <c r="BQ4" s="431" t="s">
        <v>7122</v>
      </c>
      <c r="BR4" s="424" t="s">
        <v>7105</v>
      </c>
      <c r="BS4" s="425" t="s">
        <v>7106</v>
      </c>
      <c r="BT4" s="426" t="s">
        <v>7107</v>
      </c>
      <c r="BU4" s="431" t="s">
        <v>7123</v>
      </c>
      <c r="BV4" s="424" t="s">
        <v>7108</v>
      </c>
      <c r="BW4" s="425" t="s">
        <v>7109</v>
      </c>
      <c r="BX4" s="426" t="s">
        <v>7110</v>
      </c>
      <c r="BY4" s="431" t="s">
        <v>7124</v>
      </c>
      <c r="BZ4" s="424" t="s">
        <v>7091</v>
      </c>
      <c r="CA4" s="425" t="s">
        <v>7092</v>
      </c>
      <c r="CB4" s="426" t="s">
        <v>2732</v>
      </c>
      <c r="CC4" s="431" t="s">
        <v>7125</v>
      </c>
      <c r="CD4" s="424" t="s">
        <v>7111</v>
      </c>
      <c r="CE4" s="425" t="s">
        <v>7112</v>
      </c>
      <c r="CF4" s="426" t="s">
        <v>7113</v>
      </c>
      <c r="CG4" s="431" t="s">
        <v>7126</v>
      </c>
      <c r="CH4" s="451" t="s">
        <v>7010</v>
      </c>
      <c r="CI4" s="432" t="s">
        <v>8494</v>
      </c>
      <c r="CJ4" s="432" t="s">
        <v>8495</v>
      </c>
      <c r="CK4" s="432" t="s">
        <v>8496</v>
      </c>
      <c r="CL4" s="432" t="s">
        <v>8497</v>
      </c>
      <c r="CM4" s="432" t="s">
        <v>8498</v>
      </c>
      <c r="CN4" s="432" t="s">
        <v>8499</v>
      </c>
      <c r="CO4" s="432" t="s">
        <v>8500</v>
      </c>
      <c r="CP4" s="432" t="s">
        <v>8501</v>
      </c>
      <c r="CQ4" s="432" t="s">
        <v>8502</v>
      </c>
      <c r="CR4" s="432" t="s">
        <v>8503</v>
      </c>
      <c r="CS4" s="432" t="s">
        <v>8504</v>
      </c>
      <c r="CT4" s="432" t="s">
        <v>8505</v>
      </c>
      <c r="CU4" s="432" t="s">
        <v>7017</v>
      </c>
      <c r="CV4" s="14" t="s">
        <v>7115</v>
      </c>
      <c r="CW4" s="40" t="s">
        <v>6993</v>
      </c>
      <c r="CX4" s="433" t="s">
        <v>644</v>
      </c>
      <c r="CY4" s="433" t="s">
        <v>645</v>
      </c>
      <c r="CZ4" s="433" t="s">
        <v>646</v>
      </c>
      <c r="DA4" s="433" t="s">
        <v>647</v>
      </c>
      <c r="DB4" s="434" t="s">
        <v>7018</v>
      </c>
      <c r="DC4" s="14" t="s">
        <v>7000</v>
      </c>
      <c r="DD4" s="446" t="s">
        <v>7001</v>
      </c>
      <c r="DE4" s="431" t="s">
        <v>6981</v>
      </c>
      <c r="DF4" s="435" t="s">
        <v>6982</v>
      </c>
      <c r="DG4" s="220" t="s">
        <v>648</v>
      </c>
      <c r="DH4" s="220" t="s">
        <v>649</v>
      </c>
      <c r="DI4" s="220" t="s">
        <v>603</v>
      </c>
      <c r="DJ4" s="220" t="s">
        <v>604</v>
      </c>
      <c r="DK4" s="220" t="s">
        <v>653</v>
      </c>
      <c r="DL4" s="220" t="s">
        <v>654</v>
      </c>
      <c r="DM4" s="443" t="s">
        <v>6994</v>
      </c>
      <c r="DN4" s="443" t="s">
        <v>7031</v>
      </c>
    </row>
    <row r="5" spans="1:118" s="23" customFormat="1" ht="30" customHeight="1">
      <c r="A5" s="85" t="s">
        <v>1949</v>
      </c>
      <c r="B5" s="85">
        <v>328093</v>
      </c>
      <c r="C5" s="84" t="s">
        <v>609</v>
      </c>
      <c r="D5" s="85" t="s">
        <v>2648</v>
      </c>
      <c r="E5" s="85" t="s">
        <v>6</v>
      </c>
      <c r="F5" s="357" t="s">
        <v>6</v>
      </c>
      <c r="G5" s="85">
        <v>2023</v>
      </c>
      <c r="H5" s="84">
        <v>44958</v>
      </c>
      <c r="I5" s="84">
        <v>45582</v>
      </c>
      <c r="J5" s="85" t="s">
        <v>6</v>
      </c>
      <c r="K5" s="84">
        <v>45291</v>
      </c>
      <c r="L5" s="84">
        <v>45473</v>
      </c>
      <c r="M5" s="13" t="s">
        <v>5</v>
      </c>
      <c r="N5" s="13" t="s">
        <v>953</v>
      </c>
      <c r="O5" s="5" t="s">
        <v>2156</v>
      </c>
      <c r="P5" s="151" t="s">
        <v>1962</v>
      </c>
      <c r="Q5" s="3" t="s">
        <v>186</v>
      </c>
      <c r="R5" s="6" t="s">
        <v>218</v>
      </c>
      <c r="S5" s="6" t="str">
        <f t="shared" ref="S5:S44" si="4">IF(R5&lt;&gt;U5,"DIFERENTE","IGUAL")</f>
        <v>IGUAL</v>
      </c>
      <c r="T5" s="151" t="str">
        <f>IFERROR(VLOOKUP(A5,STATUS_SAP_QUARTELY!B:C,2,FALSE),"NO BUDGET")</f>
        <v>CLSD BUDG AUC  AVAC SETC  //  BREL</v>
      </c>
      <c r="U5" s="6" t="str">
        <f t="shared" ref="U5:U44" si="5">IF(LEFT(T5,4)="PREL","REL ",IF(LEFT(T5,9)="NO BUDGET","NO BUDGET",LEFT(T5,4)))</f>
        <v>CLSD</v>
      </c>
      <c r="V5" s="151" t="s">
        <v>2651</v>
      </c>
      <c r="W5" s="85"/>
      <c r="X5" s="499" t="s">
        <v>9607</v>
      </c>
      <c r="Y5" s="84">
        <v>45582</v>
      </c>
      <c r="Z5" s="85"/>
      <c r="AA5" s="318">
        <v>0</v>
      </c>
      <c r="AB5" s="223">
        <v>88.186050000000009</v>
      </c>
      <c r="AC5" s="318">
        <f t="shared" ref="AC5:AC34" si="6">AK5</f>
        <v>0</v>
      </c>
      <c r="AD5" s="223"/>
      <c r="AE5" s="318"/>
      <c r="AF5" s="223"/>
      <c r="AG5" s="318"/>
      <c r="AH5" s="223"/>
      <c r="AI5" s="498">
        <v>89.3</v>
      </c>
      <c r="AJ5" s="223"/>
      <c r="AK5" s="333">
        <f>SUM(AO5,AS5,AW5,BA5,BE5,BI5,BM5,BQ5,BU5,BY5,CC5,CG5)</f>
        <v>0</v>
      </c>
      <c r="AL5" s="421"/>
      <c r="AM5" s="422"/>
      <c r="AN5" s="423">
        <f>SUMIFS(BASE_QUARTELY!$J:$J,BASE_QUARTELY!$A:$A,'AME - Quarterly'!$A5,BASE_QUARTELY!$B:$B,"janeiro")/1000</f>
        <v>0</v>
      </c>
      <c r="AO5" s="427"/>
      <c r="AP5" s="421"/>
      <c r="AQ5" s="422"/>
      <c r="AR5" s="423">
        <f>SUMIFS(BASE_QUARTELY!$J:$J,BASE_QUARTELY!$A:$A,'AME - Quarterly'!$A5,BASE_QUARTELY!$B:$B,"fevereiro")/1000</f>
        <v>0</v>
      </c>
      <c r="AS5" s="427"/>
      <c r="AT5" s="421"/>
      <c r="AU5" s="422"/>
      <c r="AV5" s="423">
        <f>SUMIFS(BASE_QUARTELY!$J:$J,BASE_QUARTELY!$A:$A,'AME - Quarterly'!$A5,BASE_QUARTELY!$B:$B,"março")/1000</f>
        <v>0</v>
      </c>
      <c r="AW5" s="427"/>
      <c r="AX5" s="421"/>
      <c r="AY5" s="422"/>
      <c r="AZ5" s="423">
        <f>SUMIFS(BASE_QUARTELY!$J:$J,BASE_QUARTELY!$A:$A,'AME - Quarterly'!$A5,BASE_QUARTELY!$B:$B,"abril")/1000</f>
        <v>0</v>
      </c>
      <c r="BA5" s="427"/>
      <c r="BB5" s="421"/>
      <c r="BC5" s="422">
        <v>0</v>
      </c>
      <c r="BD5" s="423">
        <f>SUMIFS(BASE_QUARTELY!$J:$J,BASE_QUARTELY!$A:$A,'AME - Quarterly'!$A5,BASE_QUARTELY!$B:$B,"maio")/1000</f>
        <v>0</v>
      </c>
      <c r="BE5" s="427"/>
      <c r="BF5" s="421"/>
      <c r="BG5" s="422"/>
      <c r="BH5" s="423">
        <f>SUMIFS(BASE_QUARTELY!$J:$J,BASE_QUARTELY!$A:$A,'AME - Quarterly'!$A5,BASE_QUARTELY!$B:$B,"junho")/1000</f>
        <v>0</v>
      </c>
      <c r="BI5" s="427"/>
      <c r="BJ5" s="421"/>
      <c r="BK5" s="422"/>
      <c r="BL5" s="423">
        <f>SUMIFS(BASE_QUARTELY!$J:$J,BASE_QUARTELY!$A:$A,'AME - Quarterly'!$A5,BASE_QUARTELY!$B:$B,"julho")/1000</f>
        <v>0</v>
      </c>
      <c r="BM5" s="427"/>
      <c r="BN5" s="421"/>
      <c r="BO5" s="422"/>
      <c r="BP5" s="423">
        <f>SUMIFS(BASE_QUARTELY!$J:$J,BASE_QUARTELY!$A:$A,'AME - Quarterly'!$A5,BASE_QUARTELY!$B:$B,"agosto")/1000</f>
        <v>0</v>
      </c>
      <c r="BQ5" s="427"/>
      <c r="BR5" s="421"/>
      <c r="BS5" s="422"/>
      <c r="BT5" s="423">
        <f>SUMIFS(BASE_QUARTELY!$J:$J,BASE_QUARTELY!$A:$A,'AME - Quarterly'!$A5,BASE_QUARTELY!$B:$B,"setembro")/1000</f>
        <v>0</v>
      </c>
      <c r="BU5" s="427"/>
      <c r="BV5" s="421"/>
      <c r="BW5" s="422"/>
      <c r="BX5" s="423">
        <f>SUMIFS(BASE_QUARTELY!$J:$J,BASE_QUARTELY!$A:$A,'AME - Quarterly'!$A5,BASE_QUARTELY!$B:$B,"outubro")/1000</f>
        <v>0</v>
      </c>
      <c r="BY5" s="427"/>
      <c r="BZ5" s="421"/>
      <c r="CA5" s="422"/>
      <c r="CB5" s="423">
        <f>SUMIFS(BASE_QUARTELY!$J:$J,BASE_QUARTELY!$A:$A,'AME - Quarterly'!$A5,BASE_QUARTELY!$B:$B,"novembro")/1000</f>
        <v>0</v>
      </c>
      <c r="CC5" s="427"/>
      <c r="CD5" s="421"/>
      <c r="CE5" s="422"/>
      <c r="CF5" s="423">
        <f>SUMIFS(BASE_QUARTELY!$J:$J,BASE_QUARTELY!$A:$A,'AME - Quarterly'!$A5,BASE_QUARTELY!$B:$B,"dezembro")/1000</f>
        <v>0</v>
      </c>
      <c r="CG5" s="427"/>
      <c r="CH5" s="452">
        <f>SUM(CI5:CT5)</f>
        <v>0</v>
      </c>
      <c r="CI5" s="374"/>
      <c r="CJ5" s="374"/>
      <c r="CK5" s="374"/>
      <c r="CL5" s="374"/>
      <c r="CM5" s="374"/>
      <c r="CN5" s="374"/>
      <c r="CO5" s="374"/>
      <c r="CP5" s="374"/>
      <c r="CQ5" s="374"/>
      <c r="CR5" s="374"/>
      <c r="CS5" s="374"/>
      <c r="CT5" s="374"/>
      <c r="CU5" s="374"/>
      <c r="CV5" s="216">
        <f>BI5-BF5</f>
        <v>0</v>
      </c>
      <c r="CW5" s="320">
        <f>BI5-BH5</f>
        <v>0</v>
      </c>
      <c r="CX5" s="241">
        <f>SUM(AO5,AS5,AW5)</f>
        <v>0</v>
      </c>
      <c r="CY5" s="241">
        <f>SUM(BA5,BE5,BI5)</f>
        <v>0</v>
      </c>
      <c r="CZ5" s="241">
        <f>SUM(BM5,BQ5,BU5)</f>
        <v>0</v>
      </c>
      <c r="DA5" s="241">
        <f>SUM(BY5,CC5,CG5)</f>
        <v>0</v>
      </c>
      <c r="DB5" s="346">
        <f>AK5-AJ5</f>
        <v>0</v>
      </c>
      <c r="DC5" s="445">
        <f>BB5</f>
        <v>0</v>
      </c>
      <c r="DD5" s="447">
        <f>BD5</f>
        <v>0</v>
      </c>
      <c r="DE5" s="364">
        <f>SUM(AO5,AS5,AW5,BA5,BD5)</f>
        <v>0</v>
      </c>
      <c r="DF5" s="365">
        <f>AK5-DE5</f>
        <v>0</v>
      </c>
      <c r="DG5" s="384">
        <f>IFERROR(VLOOKUP($A5,'BASE_558 QUARTELY'!$D:$V,6,FALSE)/1000,"")</f>
        <v>100</v>
      </c>
      <c r="DH5" s="384">
        <f>IFERROR(VLOOKUP($A5,'BASE_558 QUARTELY'!$D:$V,7,FALSE)/1000,"")</f>
        <v>88.186050000000009</v>
      </c>
      <c r="DI5" s="384">
        <f>IFERROR(VLOOKUP($A5,'BASE_558 QUARTELY'!$D:$V,8,FALSE)/1000,"")</f>
        <v>0</v>
      </c>
      <c r="DJ5" s="384">
        <f>IFERROR(VLOOKUP($A5,'BASE_558 QUARTELY'!$D:$V,9,FALSE)/1000,"")</f>
        <v>0</v>
      </c>
      <c r="DK5" s="384">
        <f>IFERROR(VLOOKUP($A5,'BASE_558 QUARTELY'!$D:$V,11,FALSE)/1000,"")</f>
        <v>88.186050000000009</v>
      </c>
      <c r="DL5" s="384">
        <f>IFERROR(VLOOKUP($A5,'BASE_558 QUARTELY'!$D:$V,12,FALSE)/1000,"")</f>
        <v>11.81395</v>
      </c>
      <c r="DM5" s="442"/>
      <c r="DN5" s="442"/>
    </row>
    <row r="6" spans="1:118" s="23" customFormat="1" ht="30" customHeight="1">
      <c r="A6" s="85" t="s">
        <v>1950</v>
      </c>
      <c r="B6" s="85" t="s">
        <v>1955</v>
      </c>
      <c r="C6" s="84" t="s">
        <v>609</v>
      </c>
      <c r="D6" s="85" t="s">
        <v>3928</v>
      </c>
      <c r="E6" s="85" t="s">
        <v>6</v>
      </c>
      <c r="F6" s="357" t="s">
        <v>6</v>
      </c>
      <c r="G6" s="85">
        <v>2023</v>
      </c>
      <c r="H6" s="84">
        <v>44958</v>
      </c>
      <c r="I6" s="84">
        <v>45582</v>
      </c>
      <c r="J6" s="85" t="s">
        <v>6</v>
      </c>
      <c r="K6" s="84">
        <v>45291</v>
      </c>
      <c r="L6" s="84">
        <v>45473</v>
      </c>
      <c r="M6" s="13" t="s">
        <v>982</v>
      </c>
      <c r="N6" s="13" t="s">
        <v>953</v>
      </c>
      <c r="O6" s="5" t="s">
        <v>2238</v>
      </c>
      <c r="P6" s="151" t="s">
        <v>2584</v>
      </c>
      <c r="Q6" s="3" t="s">
        <v>2255</v>
      </c>
      <c r="R6" s="6" t="s">
        <v>218</v>
      </c>
      <c r="S6" s="6" t="str">
        <f t="shared" si="4"/>
        <v>IGUAL</v>
      </c>
      <c r="T6" s="151" t="str">
        <f>IFERROR(VLOOKUP(A6,STATUS_SAP_QUARTELY!B:C,2,FALSE),"NO BUDGET")</f>
        <v>CLSD BUDG AUC  AVAC SETC  //  BREL</v>
      </c>
      <c r="U6" s="6" t="str">
        <f t="shared" si="5"/>
        <v>CLSD</v>
      </c>
      <c r="V6" s="151" t="s">
        <v>2766</v>
      </c>
      <c r="W6" s="85"/>
      <c r="X6" s="499" t="s">
        <v>9607</v>
      </c>
      <c r="Y6" s="84">
        <v>45582</v>
      </c>
      <c r="Z6" s="85"/>
      <c r="AA6" s="318">
        <v>0</v>
      </c>
      <c r="AB6" s="223">
        <v>43.244689999999999</v>
      </c>
      <c r="AC6" s="318">
        <f t="shared" si="6"/>
        <v>0</v>
      </c>
      <c r="AD6" s="223"/>
      <c r="AE6" s="318"/>
      <c r="AF6" s="223"/>
      <c r="AG6" s="318"/>
      <c r="AH6" s="223"/>
      <c r="AI6" s="498">
        <v>75</v>
      </c>
      <c r="AJ6" s="223"/>
      <c r="AK6" s="333">
        <f t="shared" ref="AK6:AK44" si="7">SUM(AO6,AS6,AW6,BA6,BE6,BI6,BM6,BQ6,BU6,BY6,CC6,CG6)</f>
        <v>0</v>
      </c>
      <c r="AL6" s="421"/>
      <c r="AM6" s="422"/>
      <c r="AN6" s="423">
        <f>SUMIFS(BASE_QUARTELY!$J:$J,BASE_QUARTELY!$A:$A,'AME - Quarterly'!$A6,BASE_QUARTELY!$B:$B,"janeiro")/1000</f>
        <v>0</v>
      </c>
      <c r="AO6" s="427"/>
      <c r="AP6" s="421"/>
      <c r="AQ6" s="422"/>
      <c r="AR6" s="423">
        <f>SUMIFS(BASE_QUARTELY!$J:$J,BASE_QUARTELY!$A:$A,'AME - Quarterly'!$A6,BASE_QUARTELY!$B:$B,"fevereiro")/1000</f>
        <v>0</v>
      </c>
      <c r="AS6" s="427"/>
      <c r="AT6" s="421"/>
      <c r="AU6" s="422"/>
      <c r="AV6" s="423">
        <f>SUMIFS(BASE_QUARTELY!$J:$J,BASE_QUARTELY!$A:$A,'AME - Quarterly'!$A6,BASE_QUARTELY!$B:$B,"março")/1000</f>
        <v>0</v>
      </c>
      <c r="AW6" s="427"/>
      <c r="AX6" s="421"/>
      <c r="AY6" s="422"/>
      <c r="AZ6" s="423">
        <f>SUMIFS(BASE_QUARTELY!$J:$J,BASE_QUARTELY!$A:$A,'AME - Quarterly'!$A6,BASE_QUARTELY!$B:$B,"abril")/1000</f>
        <v>0</v>
      </c>
      <c r="BA6" s="427"/>
      <c r="BB6" s="421"/>
      <c r="BC6" s="422">
        <v>0</v>
      </c>
      <c r="BD6" s="423">
        <f>SUMIFS(BASE_QUARTELY!$J:$J,BASE_QUARTELY!$A:$A,'AME - Quarterly'!$A6,BASE_QUARTELY!$B:$B,"maio")/1000</f>
        <v>0</v>
      </c>
      <c r="BE6" s="427"/>
      <c r="BF6" s="421"/>
      <c r="BG6" s="422"/>
      <c r="BH6" s="423">
        <f>SUMIFS(BASE_QUARTELY!$J:$J,BASE_QUARTELY!$A:$A,'AME - Quarterly'!$A6,BASE_QUARTELY!$B:$B,"junho")/1000</f>
        <v>0</v>
      </c>
      <c r="BI6" s="427"/>
      <c r="BJ6" s="421"/>
      <c r="BK6" s="422"/>
      <c r="BL6" s="423">
        <f>SUMIFS(BASE_QUARTELY!$J:$J,BASE_QUARTELY!$A:$A,'AME - Quarterly'!$A6,BASE_QUARTELY!$B:$B,"julho")/1000</f>
        <v>0</v>
      </c>
      <c r="BM6" s="427"/>
      <c r="BN6" s="421"/>
      <c r="BO6" s="422"/>
      <c r="BP6" s="423">
        <f>SUMIFS(BASE_QUARTELY!$J:$J,BASE_QUARTELY!$A:$A,'AME - Quarterly'!$A6,BASE_QUARTELY!$B:$B,"agosto")/1000</f>
        <v>0</v>
      </c>
      <c r="BQ6" s="427"/>
      <c r="BR6" s="421"/>
      <c r="BS6" s="422"/>
      <c r="BT6" s="423">
        <f>SUMIFS(BASE_QUARTELY!$J:$J,BASE_QUARTELY!$A:$A,'AME - Quarterly'!$A6,BASE_QUARTELY!$B:$B,"setembro")/1000</f>
        <v>0</v>
      </c>
      <c r="BU6" s="427"/>
      <c r="BV6" s="421"/>
      <c r="BW6" s="422"/>
      <c r="BX6" s="423">
        <f>SUMIFS(BASE_QUARTELY!$J:$J,BASE_QUARTELY!$A:$A,'AME - Quarterly'!$A6,BASE_QUARTELY!$B:$B,"outubro")/1000</f>
        <v>0</v>
      </c>
      <c r="BY6" s="427"/>
      <c r="BZ6" s="421"/>
      <c r="CA6" s="422"/>
      <c r="CB6" s="423">
        <f>SUMIFS(BASE_QUARTELY!$J:$J,BASE_QUARTELY!$A:$A,'AME - Quarterly'!$A6,BASE_QUARTELY!$B:$B,"novembro")/1000</f>
        <v>0</v>
      </c>
      <c r="CC6" s="427"/>
      <c r="CD6" s="421"/>
      <c r="CE6" s="422"/>
      <c r="CF6" s="423">
        <f>SUMIFS(BASE_QUARTELY!$J:$J,BASE_QUARTELY!$A:$A,'AME - Quarterly'!$A6,BASE_QUARTELY!$B:$B,"dezembro")/1000</f>
        <v>0</v>
      </c>
      <c r="CG6" s="427"/>
      <c r="CH6" s="452">
        <f t="shared" ref="CH6:CH44" si="8">SUM(CI6:CT6)</f>
        <v>0</v>
      </c>
      <c r="CI6" s="374"/>
      <c r="CJ6" s="374"/>
      <c r="CK6" s="374"/>
      <c r="CL6" s="374"/>
      <c r="CM6" s="374"/>
      <c r="CN6" s="374"/>
      <c r="CO6" s="374"/>
      <c r="CP6" s="374"/>
      <c r="CQ6" s="374"/>
      <c r="CR6" s="374"/>
      <c r="CS6" s="374"/>
      <c r="CT6" s="374"/>
      <c r="CU6" s="374"/>
      <c r="CV6" s="216">
        <f t="shared" ref="CV6:CV44" si="9">BI6-BF6</f>
        <v>0</v>
      </c>
      <c r="CW6" s="320">
        <f t="shared" ref="CW6:CW44" si="10">BI6-BH6</f>
        <v>0</v>
      </c>
      <c r="CX6" s="241">
        <f t="shared" ref="CX6:CX44" si="11">SUM(AO6,AS6,AW6)</f>
        <v>0</v>
      </c>
      <c r="CY6" s="241">
        <f t="shared" ref="CY6:CY44" si="12">SUM(BA6,BE6,BI6)</f>
        <v>0</v>
      </c>
      <c r="CZ6" s="241">
        <f t="shared" ref="CZ6:CZ44" si="13">SUM(BM6,BQ6,BU6)</f>
        <v>0</v>
      </c>
      <c r="DA6" s="241">
        <f t="shared" ref="DA6:DA44" si="14">SUM(BY6,CC6,CG6)</f>
        <v>0</v>
      </c>
      <c r="DB6" s="346">
        <f t="shared" ref="DB6:DB44" si="15">AK6-AJ6</f>
        <v>0</v>
      </c>
      <c r="DC6" s="445">
        <f t="shared" ref="DC6:DC44" si="16">BB6</f>
        <v>0</v>
      </c>
      <c r="DD6" s="447">
        <f t="shared" ref="DD6:DD44" si="17">BD6</f>
        <v>0</v>
      </c>
      <c r="DE6" s="364">
        <f t="shared" ref="DE6:DE44" si="18">SUM(AO6,AS6,AW6,BA6,BD6)</f>
        <v>0</v>
      </c>
      <c r="DF6" s="365">
        <f t="shared" ref="DF6:DF44" si="19">AK6-DE6</f>
        <v>0</v>
      </c>
      <c r="DG6" s="384">
        <f>IFERROR(VLOOKUP($A6,'BASE_558 QUARTELY'!$D:$V,6,FALSE)/1000,"")</f>
        <v>75</v>
      </c>
      <c r="DH6" s="384">
        <f>IFERROR(VLOOKUP($A6,'BASE_558 QUARTELY'!$D:$V,7,FALSE)/1000,"")</f>
        <v>43.244690000000006</v>
      </c>
      <c r="DI6" s="384">
        <f>IFERROR(VLOOKUP($A6,'BASE_558 QUARTELY'!$D:$V,8,FALSE)/1000,"")</f>
        <v>0</v>
      </c>
      <c r="DJ6" s="384">
        <f>IFERROR(VLOOKUP($A6,'BASE_558 QUARTELY'!$D:$V,9,FALSE)/1000,"")</f>
        <v>0</v>
      </c>
      <c r="DK6" s="384">
        <f>IFERROR(VLOOKUP($A6,'BASE_558 QUARTELY'!$D:$V,11,FALSE)/1000,"")</f>
        <v>43.244690000000006</v>
      </c>
      <c r="DL6" s="384">
        <f>IFERROR(VLOOKUP($A6,'BASE_558 QUARTELY'!$D:$V,12,FALSE)/1000,"")</f>
        <v>31.755310000000001</v>
      </c>
      <c r="DM6" s="442"/>
      <c r="DN6" s="442"/>
    </row>
    <row r="7" spans="1:118" s="23" customFormat="1" ht="30" customHeight="1">
      <c r="A7" s="85" t="s">
        <v>1951</v>
      </c>
      <c r="B7" s="85">
        <v>13016</v>
      </c>
      <c r="C7" s="84" t="s">
        <v>609</v>
      </c>
      <c r="D7" s="85" t="s">
        <v>2677</v>
      </c>
      <c r="E7" s="85" t="s">
        <v>6</v>
      </c>
      <c r="F7" s="357" t="s">
        <v>3230</v>
      </c>
      <c r="G7" s="85">
        <v>2023</v>
      </c>
      <c r="H7" s="84">
        <v>44958</v>
      </c>
      <c r="I7" s="85"/>
      <c r="J7" s="85"/>
      <c r="K7" s="84">
        <v>45291</v>
      </c>
      <c r="L7" s="84">
        <v>45473</v>
      </c>
      <c r="M7" s="13" t="s">
        <v>5</v>
      </c>
      <c r="N7" s="13" t="s">
        <v>951</v>
      </c>
      <c r="O7" s="5" t="s">
        <v>1961</v>
      </c>
      <c r="P7" s="10" t="s">
        <v>1958</v>
      </c>
      <c r="Q7" s="3" t="s">
        <v>316</v>
      </c>
      <c r="R7" s="6" t="s">
        <v>6786</v>
      </c>
      <c r="S7" s="6" t="str">
        <f t="shared" si="4"/>
        <v>IGUAL</v>
      </c>
      <c r="T7" s="151" t="str">
        <f>IFERROR(VLOOKUP(A7,STATUS_SAP_QUARTELY!B:C,2,FALSE),"NO BUDGET")</f>
        <v>REL  BUDG ISBD AUC  AVAC SETC  //  BREL</v>
      </c>
      <c r="U7" s="6" t="str">
        <f t="shared" si="5"/>
        <v xml:space="preserve">REL </v>
      </c>
      <c r="V7" s="284" t="s">
        <v>2614</v>
      </c>
      <c r="W7" s="85"/>
      <c r="X7" s="499" t="s">
        <v>9606</v>
      </c>
      <c r="Y7" s="84">
        <v>45868</v>
      </c>
      <c r="Z7" s="85"/>
      <c r="AA7" s="318">
        <v>7.15585</v>
      </c>
      <c r="AB7" s="223">
        <v>77.38776</v>
      </c>
      <c r="AC7" s="318">
        <f t="shared" si="6"/>
        <v>12.76857</v>
      </c>
      <c r="AD7" s="223"/>
      <c r="AE7" s="318"/>
      <c r="AF7" s="223"/>
      <c r="AG7" s="318"/>
      <c r="AH7" s="223"/>
      <c r="AI7" s="498">
        <v>50</v>
      </c>
      <c r="AJ7" s="223"/>
      <c r="AK7" s="333">
        <f t="shared" si="7"/>
        <v>12.76857</v>
      </c>
      <c r="AL7" s="421"/>
      <c r="AM7" s="422">
        <v>7.7685699999999995</v>
      </c>
      <c r="AN7" s="423">
        <f>SUMIFS(BASE_QUARTELY!$J:$J,BASE_QUARTELY!$A:$A,'AME - Quarterly'!$A7,BASE_QUARTELY!$B:$B,"janeiro")/1000</f>
        <v>7.7685699999999995</v>
      </c>
      <c r="AO7" s="427">
        <v>7.7685699999999995</v>
      </c>
      <c r="AP7" s="421">
        <v>2</v>
      </c>
      <c r="AQ7" s="422"/>
      <c r="AR7" s="423">
        <f>SUMIFS(BASE_QUARTELY!$J:$J,BASE_QUARTELY!$A:$A,'AME - Quarterly'!$A7,BASE_QUARTELY!$B:$B,"fevereiro")/1000</f>
        <v>0</v>
      </c>
      <c r="AS7" s="427">
        <v>0</v>
      </c>
      <c r="AT7" s="421">
        <v>0</v>
      </c>
      <c r="AU7" s="422"/>
      <c r="AV7" s="423">
        <f>SUMIFS(BASE_QUARTELY!$J:$J,BASE_QUARTELY!$A:$A,'AME - Quarterly'!$A7,BASE_QUARTELY!$B:$B,"março")/1000</f>
        <v>0</v>
      </c>
      <c r="AW7" s="427">
        <v>0</v>
      </c>
      <c r="AX7" s="421">
        <v>0</v>
      </c>
      <c r="AY7" s="422"/>
      <c r="AZ7" s="423">
        <f>SUMIFS(BASE_QUARTELY!$J:$J,BASE_QUARTELY!$A:$A,'AME - Quarterly'!$A7,BASE_QUARTELY!$B:$B,"abril")/1000</f>
        <v>0</v>
      </c>
      <c r="BA7" s="427">
        <v>0</v>
      </c>
      <c r="BB7" s="421"/>
      <c r="BC7" s="422">
        <v>0</v>
      </c>
      <c r="BD7" s="423">
        <f>SUMIFS(BASE_QUARTELY!$J:$J,BASE_QUARTELY!$A:$A,'AME - Quarterly'!$A7,BASE_QUARTELY!$B:$B,"maio")/1000</f>
        <v>0</v>
      </c>
      <c r="BE7" s="427"/>
      <c r="BF7" s="421"/>
      <c r="BG7" s="422"/>
      <c r="BH7" s="423">
        <f>SUMIFS(BASE_QUARTELY!$J:$J,BASE_QUARTELY!$A:$A,'AME - Quarterly'!$A7,BASE_QUARTELY!$B:$B,"junho")/1000</f>
        <v>0</v>
      </c>
      <c r="BI7" s="427"/>
      <c r="BJ7" s="421"/>
      <c r="BK7" s="422"/>
      <c r="BL7" s="423">
        <f>SUMIFS(BASE_QUARTELY!$J:$J,BASE_QUARTELY!$A:$A,'AME - Quarterly'!$A7,BASE_QUARTELY!$B:$B,"julho")/1000</f>
        <v>0</v>
      </c>
      <c r="BM7" s="427">
        <v>5</v>
      </c>
      <c r="BN7" s="421"/>
      <c r="BO7" s="422"/>
      <c r="BP7" s="423">
        <f>SUMIFS(BASE_QUARTELY!$J:$J,BASE_QUARTELY!$A:$A,'AME - Quarterly'!$A7,BASE_QUARTELY!$B:$B,"agosto")/1000</f>
        <v>0</v>
      </c>
      <c r="BQ7" s="427"/>
      <c r="BR7" s="421"/>
      <c r="BS7" s="422"/>
      <c r="BT7" s="423">
        <f>SUMIFS(BASE_QUARTELY!$J:$J,BASE_QUARTELY!$A:$A,'AME - Quarterly'!$A7,BASE_QUARTELY!$B:$B,"setembro")/1000</f>
        <v>0</v>
      </c>
      <c r="BU7" s="427"/>
      <c r="BV7" s="421"/>
      <c r="BW7" s="422"/>
      <c r="BX7" s="423">
        <f>SUMIFS(BASE_QUARTELY!$J:$J,BASE_QUARTELY!$A:$A,'AME - Quarterly'!$A7,BASE_QUARTELY!$B:$B,"outubro")/1000</f>
        <v>0</v>
      </c>
      <c r="BY7" s="427"/>
      <c r="BZ7" s="421"/>
      <c r="CA7" s="422"/>
      <c r="CB7" s="423">
        <f>SUMIFS(BASE_QUARTELY!$J:$J,BASE_QUARTELY!$A:$A,'AME - Quarterly'!$A7,BASE_QUARTELY!$B:$B,"novembro")/1000</f>
        <v>0</v>
      </c>
      <c r="CC7" s="427"/>
      <c r="CD7" s="421"/>
      <c r="CE7" s="422"/>
      <c r="CF7" s="423">
        <f>SUMIFS(BASE_QUARTELY!$J:$J,BASE_QUARTELY!$A:$A,'AME - Quarterly'!$A7,BASE_QUARTELY!$B:$B,"dezembro")/1000</f>
        <v>0</v>
      </c>
      <c r="CG7" s="427"/>
      <c r="CH7" s="452">
        <f t="shared" si="8"/>
        <v>0</v>
      </c>
      <c r="CI7" s="374"/>
      <c r="CJ7" s="374"/>
      <c r="CK7" s="374"/>
      <c r="CL7" s="374"/>
      <c r="CM7" s="374"/>
      <c r="CN7" s="374"/>
      <c r="CO7" s="374"/>
      <c r="CP7" s="374"/>
      <c r="CQ7" s="374"/>
      <c r="CR7" s="374"/>
      <c r="CS7" s="374"/>
      <c r="CT7" s="374"/>
      <c r="CU7" s="374"/>
      <c r="CV7" s="216">
        <f t="shared" si="9"/>
        <v>0</v>
      </c>
      <c r="CW7" s="320">
        <f t="shared" si="10"/>
        <v>0</v>
      </c>
      <c r="CX7" s="241">
        <f t="shared" si="11"/>
        <v>7.7685699999999995</v>
      </c>
      <c r="CY7" s="241">
        <f t="shared" si="12"/>
        <v>0</v>
      </c>
      <c r="CZ7" s="241">
        <f t="shared" si="13"/>
        <v>5</v>
      </c>
      <c r="DA7" s="241">
        <f t="shared" si="14"/>
        <v>0</v>
      </c>
      <c r="DB7" s="346">
        <f t="shared" si="15"/>
        <v>12.76857</v>
      </c>
      <c r="DC7" s="445">
        <f t="shared" si="16"/>
        <v>0</v>
      </c>
      <c r="DD7" s="447">
        <f t="shared" si="17"/>
        <v>0</v>
      </c>
      <c r="DE7" s="364">
        <f t="shared" si="18"/>
        <v>7.7685699999999995</v>
      </c>
      <c r="DF7" s="365">
        <f t="shared" si="19"/>
        <v>5.0000000000000009</v>
      </c>
      <c r="DG7" s="384">
        <f>IFERROR(VLOOKUP($A7,'BASE_558 QUARTELY'!$D:$V,6,FALSE)/1000,"")</f>
        <v>100</v>
      </c>
      <c r="DH7" s="384">
        <f>IFERROR(VLOOKUP($A7,'BASE_558 QUARTELY'!$D:$V,7,FALSE)/1000,"")</f>
        <v>92.312060000000002</v>
      </c>
      <c r="DI7" s="384">
        <f>IFERROR(VLOOKUP($A7,'BASE_558 QUARTELY'!$D:$V,8,FALSE)/1000,"")</f>
        <v>5.6412599999999999</v>
      </c>
      <c r="DJ7" s="384">
        <f>IFERROR(VLOOKUP($A7,'BASE_558 QUARTELY'!$D:$V,9,FALSE)/1000,"")</f>
        <v>0</v>
      </c>
      <c r="DK7" s="384">
        <f>IFERROR(VLOOKUP($A7,'BASE_558 QUARTELY'!$D:$V,11,FALSE)/1000,"")</f>
        <v>97.953320000000005</v>
      </c>
      <c r="DL7" s="384">
        <f>IFERROR(VLOOKUP($A7,'BASE_558 QUARTELY'!$D:$V,12,FALSE)/1000,"")</f>
        <v>2.0466800000000003</v>
      </c>
      <c r="DM7" s="442"/>
      <c r="DN7" s="442"/>
    </row>
    <row r="8" spans="1:118" s="23" customFormat="1" ht="30" customHeight="1">
      <c r="A8" s="85" t="s">
        <v>1953</v>
      </c>
      <c r="B8" s="86">
        <v>647</v>
      </c>
      <c r="C8" s="84" t="s">
        <v>609</v>
      </c>
      <c r="D8" s="85" t="s">
        <v>2652</v>
      </c>
      <c r="E8" s="85" t="s">
        <v>6</v>
      </c>
      <c r="F8" s="6" t="s">
        <v>6</v>
      </c>
      <c r="G8" s="85">
        <v>2023</v>
      </c>
      <c r="H8" s="84">
        <v>44958</v>
      </c>
      <c r="I8" s="84">
        <v>45582</v>
      </c>
      <c r="J8" s="85" t="s">
        <v>6</v>
      </c>
      <c r="K8" s="84">
        <v>45291</v>
      </c>
      <c r="L8" s="84">
        <v>45473</v>
      </c>
      <c r="M8" s="13" t="s">
        <v>5</v>
      </c>
      <c r="N8" s="13" t="s">
        <v>977</v>
      </c>
      <c r="O8" s="5" t="s">
        <v>1961</v>
      </c>
      <c r="P8" s="151" t="s">
        <v>1959</v>
      </c>
      <c r="Q8" s="3" t="s">
        <v>2255</v>
      </c>
      <c r="R8" s="6" t="s">
        <v>218</v>
      </c>
      <c r="S8" s="6" t="str">
        <f t="shared" si="4"/>
        <v>IGUAL</v>
      </c>
      <c r="T8" s="151" t="str">
        <f>IFERROR(VLOOKUP(A8,STATUS_SAP_QUARTELY!B:C,2,FALSE),"NO BUDGET")</f>
        <v>CLSD BUDG ISBD AUC  AVAC SETC  //  BREL</v>
      </c>
      <c r="U8" s="6" t="str">
        <f t="shared" si="5"/>
        <v>CLSD</v>
      </c>
      <c r="V8" s="151" t="s">
        <v>2651</v>
      </c>
      <c r="W8" s="85"/>
      <c r="X8" s="499" t="s">
        <v>9607</v>
      </c>
      <c r="Y8" s="84">
        <v>45582</v>
      </c>
      <c r="Z8" s="85"/>
      <c r="AA8" s="318">
        <v>35.448880000000003</v>
      </c>
      <c r="AB8" s="223">
        <v>11.95533</v>
      </c>
      <c r="AC8" s="318">
        <f t="shared" si="6"/>
        <v>0</v>
      </c>
      <c r="AD8" s="223"/>
      <c r="AE8" s="318"/>
      <c r="AF8" s="223"/>
      <c r="AG8" s="318"/>
      <c r="AH8" s="223"/>
      <c r="AI8" s="498">
        <v>32</v>
      </c>
      <c r="AJ8" s="223"/>
      <c r="AK8" s="333">
        <f t="shared" si="7"/>
        <v>0</v>
      </c>
      <c r="AL8" s="421"/>
      <c r="AM8" s="422"/>
      <c r="AN8" s="423">
        <f>SUMIFS(BASE_QUARTELY!$J:$J,BASE_QUARTELY!$A:$A,'AME - Quarterly'!$A8,BASE_QUARTELY!$B:$B,"janeiro")/1000</f>
        <v>0</v>
      </c>
      <c r="AO8" s="427"/>
      <c r="AP8" s="421"/>
      <c r="AQ8" s="422"/>
      <c r="AR8" s="423">
        <f>SUMIFS(BASE_QUARTELY!$J:$J,BASE_QUARTELY!$A:$A,'AME - Quarterly'!$A8,BASE_QUARTELY!$B:$B,"fevereiro")/1000</f>
        <v>0</v>
      </c>
      <c r="AS8" s="427"/>
      <c r="AT8" s="421"/>
      <c r="AU8" s="422"/>
      <c r="AV8" s="423">
        <f>SUMIFS(BASE_QUARTELY!$J:$J,BASE_QUARTELY!$A:$A,'AME - Quarterly'!$A8,BASE_QUARTELY!$B:$B,"março")/1000</f>
        <v>0</v>
      </c>
      <c r="AW8" s="427"/>
      <c r="AX8" s="421"/>
      <c r="AY8" s="422"/>
      <c r="AZ8" s="423">
        <f>SUMIFS(BASE_QUARTELY!$J:$J,BASE_QUARTELY!$A:$A,'AME - Quarterly'!$A8,BASE_QUARTELY!$B:$B,"abril")/1000</f>
        <v>0</v>
      </c>
      <c r="BA8" s="427"/>
      <c r="BB8" s="421"/>
      <c r="BC8" s="422">
        <v>0</v>
      </c>
      <c r="BD8" s="423">
        <f>SUMIFS(BASE_QUARTELY!$J:$J,BASE_QUARTELY!$A:$A,'AME - Quarterly'!$A8,BASE_QUARTELY!$B:$B,"maio")/1000</f>
        <v>0</v>
      </c>
      <c r="BE8" s="427"/>
      <c r="BF8" s="421"/>
      <c r="BG8" s="422"/>
      <c r="BH8" s="423">
        <f>SUMIFS(BASE_QUARTELY!$J:$J,BASE_QUARTELY!$A:$A,'AME - Quarterly'!$A8,BASE_QUARTELY!$B:$B,"junho")/1000</f>
        <v>0</v>
      </c>
      <c r="BI8" s="427"/>
      <c r="BJ8" s="421"/>
      <c r="BK8" s="422"/>
      <c r="BL8" s="423">
        <f>SUMIFS(BASE_QUARTELY!$J:$J,BASE_QUARTELY!$A:$A,'AME - Quarterly'!$A8,BASE_QUARTELY!$B:$B,"julho")/1000</f>
        <v>0</v>
      </c>
      <c r="BM8" s="427"/>
      <c r="BN8" s="421"/>
      <c r="BO8" s="422"/>
      <c r="BP8" s="423">
        <f>SUMIFS(BASE_QUARTELY!$J:$J,BASE_QUARTELY!$A:$A,'AME - Quarterly'!$A8,BASE_QUARTELY!$B:$B,"agosto")/1000</f>
        <v>0</v>
      </c>
      <c r="BQ8" s="427"/>
      <c r="BR8" s="421"/>
      <c r="BS8" s="422"/>
      <c r="BT8" s="423">
        <f>SUMIFS(BASE_QUARTELY!$J:$J,BASE_QUARTELY!$A:$A,'AME - Quarterly'!$A8,BASE_QUARTELY!$B:$B,"setembro")/1000</f>
        <v>0</v>
      </c>
      <c r="BU8" s="427"/>
      <c r="BV8" s="421"/>
      <c r="BW8" s="422"/>
      <c r="BX8" s="423">
        <f>SUMIFS(BASE_QUARTELY!$J:$J,BASE_QUARTELY!$A:$A,'AME - Quarterly'!$A8,BASE_QUARTELY!$B:$B,"outubro")/1000</f>
        <v>0</v>
      </c>
      <c r="BY8" s="427"/>
      <c r="BZ8" s="421"/>
      <c r="CA8" s="422"/>
      <c r="CB8" s="423">
        <f>SUMIFS(BASE_QUARTELY!$J:$J,BASE_QUARTELY!$A:$A,'AME - Quarterly'!$A8,BASE_QUARTELY!$B:$B,"novembro")/1000</f>
        <v>0</v>
      </c>
      <c r="CC8" s="427"/>
      <c r="CD8" s="421"/>
      <c r="CE8" s="422"/>
      <c r="CF8" s="423">
        <f>SUMIFS(BASE_QUARTELY!$J:$J,BASE_QUARTELY!$A:$A,'AME - Quarterly'!$A8,BASE_QUARTELY!$B:$B,"dezembro")/1000</f>
        <v>0</v>
      </c>
      <c r="CG8" s="427"/>
      <c r="CH8" s="452">
        <f t="shared" si="8"/>
        <v>0</v>
      </c>
      <c r="CI8" s="374"/>
      <c r="CJ8" s="374"/>
      <c r="CK8" s="374"/>
      <c r="CL8" s="374"/>
      <c r="CM8" s="374"/>
      <c r="CN8" s="374"/>
      <c r="CO8" s="374"/>
      <c r="CP8" s="374"/>
      <c r="CQ8" s="374"/>
      <c r="CR8" s="374"/>
      <c r="CS8" s="374"/>
      <c r="CT8" s="374"/>
      <c r="CU8" s="374"/>
      <c r="CV8" s="216">
        <f t="shared" si="9"/>
        <v>0</v>
      </c>
      <c r="CW8" s="320">
        <f t="shared" si="10"/>
        <v>0</v>
      </c>
      <c r="CX8" s="241">
        <f t="shared" si="11"/>
        <v>0</v>
      </c>
      <c r="CY8" s="241">
        <f t="shared" si="12"/>
        <v>0</v>
      </c>
      <c r="CZ8" s="241">
        <f t="shared" si="13"/>
        <v>0</v>
      </c>
      <c r="DA8" s="241">
        <f t="shared" si="14"/>
        <v>0</v>
      </c>
      <c r="DB8" s="346">
        <f t="shared" si="15"/>
        <v>0</v>
      </c>
      <c r="DC8" s="445">
        <f t="shared" si="16"/>
        <v>0</v>
      </c>
      <c r="DD8" s="447">
        <f t="shared" si="17"/>
        <v>0</v>
      </c>
      <c r="DE8" s="364">
        <f t="shared" si="18"/>
        <v>0</v>
      </c>
      <c r="DF8" s="365">
        <f t="shared" si="19"/>
        <v>0</v>
      </c>
      <c r="DG8" s="384">
        <f>IFERROR(VLOOKUP($A8,'BASE_558 QUARTELY'!$D:$V,6,FALSE)/1000,"")</f>
        <v>51.488309999999998</v>
      </c>
      <c r="DH8" s="384">
        <f>IFERROR(VLOOKUP($A8,'BASE_558 QUARTELY'!$D:$V,7,FALSE)/1000,"")</f>
        <v>47.404209999999999</v>
      </c>
      <c r="DI8" s="384">
        <f>IFERROR(VLOOKUP($A8,'BASE_558 QUARTELY'!$D:$V,8,FALSE)/1000,"")</f>
        <v>0</v>
      </c>
      <c r="DJ8" s="384">
        <f>IFERROR(VLOOKUP($A8,'BASE_558 QUARTELY'!$D:$V,9,FALSE)/1000,"")</f>
        <v>0</v>
      </c>
      <c r="DK8" s="384">
        <f>IFERROR(VLOOKUP($A8,'BASE_558 QUARTELY'!$D:$V,11,FALSE)/1000,"")</f>
        <v>47.404209999999999</v>
      </c>
      <c r="DL8" s="384">
        <f>IFERROR(VLOOKUP($A8,'BASE_558 QUARTELY'!$D:$V,12,FALSE)/1000,"")</f>
        <v>4.0841000000000003</v>
      </c>
      <c r="DM8" s="442"/>
      <c r="DN8" s="442"/>
    </row>
    <row r="9" spans="1:118" s="23" customFormat="1" ht="30" customHeight="1">
      <c r="A9" s="85" t="s">
        <v>1954</v>
      </c>
      <c r="B9" s="86" t="s">
        <v>1956</v>
      </c>
      <c r="C9" s="84" t="s">
        <v>609</v>
      </c>
      <c r="D9" s="85" t="s">
        <v>2571</v>
      </c>
      <c r="E9" s="85" t="s">
        <v>6</v>
      </c>
      <c r="F9" s="6" t="s">
        <v>6</v>
      </c>
      <c r="G9" s="85">
        <v>2023</v>
      </c>
      <c r="H9" s="84">
        <v>44980</v>
      </c>
      <c r="I9" s="84">
        <v>45582</v>
      </c>
      <c r="J9" s="85" t="s">
        <v>6</v>
      </c>
      <c r="K9" s="84">
        <v>45291</v>
      </c>
      <c r="L9" s="84">
        <v>45473</v>
      </c>
      <c r="M9" s="13" t="s">
        <v>5</v>
      </c>
      <c r="N9" s="13" t="s">
        <v>979</v>
      </c>
      <c r="O9" s="5" t="s">
        <v>1961</v>
      </c>
      <c r="P9" s="10" t="s">
        <v>1960</v>
      </c>
      <c r="Q9" s="3" t="s">
        <v>316</v>
      </c>
      <c r="R9" s="6" t="s">
        <v>218</v>
      </c>
      <c r="S9" s="6" t="str">
        <f t="shared" si="4"/>
        <v>IGUAL</v>
      </c>
      <c r="T9" s="151" t="str">
        <f>IFERROR(VLOOKUP(A9,STATUS_SAP_QUARTELY!B:C,2,FALSE),"NO BUDGET")</f>
        <v>CLSD BUDG ISBD AUC  AVAC SETC  //  BREL</v>
      </c>
      <c r="U9" s="6" t="str">
        <f t="shared" si="5"/>
        <v>CLSD</v>
      </c>
      <c r="V9" s="151" t="s">
        <v>2651</v>
      </c>
      <c r="W9" s="85"/>
      <c r="X9" s="499" t="s">
        <v>9607</v>
      </c>
      <c r="Y9" s="84">
        <v>45582</v>
      </c>
      <c r="Z9" s="85"/>
      <c r="AA9" s="318">
        <v>27.720129999999997</v>
      </c>
      <c r="AB9" s="223">
        <v>1.6426699999999999</v>
      </c>
      <c r="AC9" s="318">
        <f t="shared" si="6"/>
        <v>0</v>
      </c>
      <c r="AD9" s="223"/>
      <c r="AE9" s="318"/>
      <c r="AF9" s="223"/>
      <c r="AG9" s="318"/>
      <c r="AH9" s="223"/>
      <c r="AI9" s="498">
        <v>25</v>
      </c>
      <c r="AJ9" s="223"/>
      <c r="AK9" s="333">
        <f t="shared" si="7"/>
        <v>0</v>
      </c>
      <c r="AL9" s="421"/>
      <c r="AM9" s="422"/>
      <c r="AN9" s="423">
        <f>SUMIFS(BASE_QUARTELY!$J:$J,BASE_QUARTELY!$A:$A,'AME - Quarterly'!$A9,BASE_QUARTELY!$B:$B,"janeiro")/1000</f>
        <v>0</v>
      </c>
      <c r="AO9" s="427"/>
      <c r="AP9" s="421"/>
      <c r="AQ9" s="422"/>
      <c r="AR9" s="423">
        <f>SUMIFS(BASE_QUARTELY!$J:$J,BASE_QUARTELY!$A:$A,'AME - Quarterly'!$A9,BASE_QUARTELY!$B:$B,"fevereiro")/1000</f>
        <v>0</v>
      </c>
      <c r="AS9" s="427"/>
      <c r="AT9" s="421"/>
      <c r="AU9" s="422"/>
      <c r="AV9" s="423">
        <f>SUMIFS(BASE_QUARTELY!$J:$J,BASE_QUARTELY!$A:$A,'AME - Quarterly'!$A9,BASE_QUARTELY!$B:$B,"março")/1000</f>
        <v>0</v>
      </c>
      <c r="AW9" s="427"/>
      <c r="AX9" s="421"/>
      <c r="AY9" s="422"/>
      <c r="AZ9" s="423">
        <f>SUMIFS(BASE_QUARTELY!$J:$J,BASE_QUARTELY!$A:$A,'AME - Quarterly'!$A9,BASE_QUARTELY!$B:$B,"abril")/1000</f>
        <v>0</v>
      </c>
      <c r="BA9" s="427"/>
      <c r="BB9" s="421"/>
      <c r="BC9" s="422">
        <v>0</v>
      </c>
      <c r="BD9" s="423">
        <f>SUMIFS(BASE_QUARTELY!$J:$J,BASE_QUARTELY!$A:$A,'AME - Quarterly'!$A9,BASE_QUARTELY!$B:$B,"maio")/1000</f>
        <v>0</v>
      </c>
      <c r="BE9" s="427"/>
      <c r="BF9" s="421"/>
      <c r="BG9" s="422"/>
      <c r="BH9" s="423">
        <f>SUMIFS(BASE_QUARTELY!$J:$J,BASE_QUARTELY!$A:$A,'AME - Quarterly'!$A9,BASE_QUARTELY!$B:$B,"junho")/1000</f>
        <v>0</v>
      </c>
      <c r="BI9" s="427"/>
      <c r="BJ9" s="421"/>
      <c r="BK9" s="422"/>
      <c r="BL9" s="423">
        <f>SUMIFS(BASE_QUARTELY!$J:$J,BASE_QUARTELY!$A:$A,'AME - Quarterly'!$A9,BASE_QUARTELY!$B:$B,"julho")/1000</f>
        <v>0</v>
      </c>
      <c r="BM9" s="427"/>
      <c r="BN9" s="421"/>
      <c r="BO9" s="422"/>
      <c r="BP9" s="423">
        <f>SUMIFS(BASE_QUARTELY!$J:$J,BASE_QUARTELY!$A:$A,'AME - Quarterly'!$A9,BASE_QUARTELY!$B:$B,"agosto")/1000</f>
        <v>0</v>
      </c>
      <c r="BQ9" s="427"/>
      <c r="BR9" s="421"/>
      <c r="BS9" s="422"/>
      <c r="BT9" s="423">
        <f>SUMIFS(BASE_QUARTELY!$J:$J,BASE_QUARTELY!$A:$A,'AME - Quarterly'!$A9,BASE_QUARTELY!$B:$B,"setembro")/1000</f>
        <v>0</v>
      </c>
      <c r="BU9" s="427"/>
      <c r="BV9" s="421"/>
      <c r="BW9" s="422"/>
      <c r="BX9" s="423">
        <f>SUMIFS(BASE_QUARTELY!$J:$J,BASE_QUARTELY!$A:$A,'AME - Quarterly'!$A9,BASE_QUARTELY!$B:$B,"outubro")/1000</f>
        <v>0</v>
      </c>
      <c r="BY9" s="427"/>
      <c r="BZ9" s="421"/>
      <c r="CA9" s="422"/>
      <c r="CB9" s="423">
        <f>SUMIFS(BASE_QUARTELY!$J:$J,BASE_QUARTELY!$A:$A,'AME - Quarterly'!$A9,BASE_QUARTELY!$B:$B,"novembro")/1000</f>
        <v>0</v>
      </c>
      <c r="CC9" s="427"/>
      <c r="CD9" s="421"/>
      <c r="CE9" s="422"/>
      <c r="CF9" s="423">
        <f>SUMIFS(BASE_QUARTELY!$J:$J,BASE_QUARTELY!$A:$A,'AME - Quarterly'!$A9,BASE_QUARTELY!$B:$B,"dezembro")/1000</f>
        <v>0</v>
      </c>
      <c r="CG9" s="427"/>
      <c r="CH9" s="452">
        <f t="shared" si="8"/>
        <v>0</v>
      </c>
      <c r="CI9" s="374"/>
      <c r="CJ9" s="374"/>
      <c r="CK9" s="374"/>
      <c r="CL9" s="374"/>
      <c r="CM9" s="374"/>
      <c r="CN9" s="374"/>
      <c r="CO9" s="374"/>
      <c r="CP9" s="374"/>
      <c r="CQ9" s="374"/>
      <c r="CR9" s="374"/>
      <c r="CS9" s="374"/>
      <c r="CT9" s="374"/>
      <c r="CU9" s="374"/>
      <c r="CV9" s="216">
        <f t="shared" si="9"/>
        <v>0</v>
      </c>
      <c r="CW9" s="320">
        <f t="shared" si="10"/>
        <v>0</v>
      </c>
      <c r="CX9" s="241">
        <f t="shared" si="11"/>
        <v>0</v>
      </c>
      <c r="CY9" s="241">
        <f t="shared" si="12"/>
        <v>0</v>
      </c>
      <c r="CZ9" s="241">
        <f t="shared" si="13"/>
        <v>0</v>
      </c>
      <c r="DA9" s="241">
        <f t="shared" si="14"/>
        <v>0</v>
      </c>
      <c r="DB9" s="346">
        <f t="shared" si="15"/>
        <v>0</v>
      </c>
      <c r="DC9" s="445">
        <f t="shared" si="16"/>
        <v>0</v>
      </c>
      <c r="DD9" s="447">
        <f t="shared" si="17"/>
        <v>0</v>
      </c>
      <c r="DE9" s="364">
        <f t="shared" si="18"/>
        <v>0</v>
      </c>
      <c r="DF9" s="365">
        <f t="shared" si="19"/>
        <v>0</v>
      </c>
      <c r="DG9" s="384">
        <f>IFERROR(VLOOKUP($A9,'BASE_558 QUARTELY'!$D:$V,6,FALSE)/1000,"")</f>
        <v>32</v>
      </c>
      <c r="DH9" s="384">
        <f>IFERROR(VLOOKUP($A9,'BASE_558 QUARTELY'!$D:$V,7,FALSE)/1000,"")</f>
        <v>29.3628</v>
      </c>
      <c r="DI9" s="384">
        <f>IFERROR(VLOOKUP($A9,'BASE_558 QUARTELY'!$D:$V,8,FALSE)/1000,"")</f>
        <v>0</v>
      </c>
      <c r="DJ9" s="384">
        <f>IFERROR(VLOOKUP($A9,'BASE_558 QUARTELY'!$D:$V,9,FALSE)/1000,"")</f>
        <v>0</v>
      </c>
      <c r="DK9" s="384">
        <f>IFERROR(VLOOKUP($A9,'BASE_558 QUARTELY'!$D:$V,11,FALSE)/1000,"")</f>
        <v>29.3628</v>
      </c>
      <c r="DL9" s="384">
        <f>IFERROR(VLOOKUP($A9,'BASE_558 QUARTELY'!$D:$V,12,FALSE)/1000,"")</f>
        <v>2.6372</v>
      </c>
      <c r="DM9" s="442"/>
      <c r="DN9" s="442"/>
    </row>
    <row r="10" spans="1:118" s="23" customFormat="1" ht="30" customHeight="1">
      <c r="A10" s="85" t="s">
        <v>2042</v>
      </c>
      <c r="B10" s="86">
        <v>171254</v>
      </c>
      <c r="C10" s="84" t="s">
        <v>609</v>
      </c>
      <c r="D10" s="85" t="s">
        <v>2678</v>
      </c>
      <c r="E10" s="85" t="s">
        <v>6</v>
      </c>
      <c r="F10" s="6" t="s">
        <v>6</v>
      </c>
      <c r="G10" s="85">
        <v>2023</v>
      </c>
      <c r="H10" s="84">
        <v>45054</v>
      </c>
      <c r="I10" s="84">
        <v>45582</v>
      </c>
      <c r="J10" s="85"/>
      <c r="K10" s="84">
        <v>45291</v>
      </c>
      <c r="L10" s="84">
        <v>45473</v>
      </c>
      <c r="M10" s="13" t="s">
        <v>224</v>
      </c>
      <c r="N10" s="13" t="s">
        <v>957</v>
      </c>
      <c r="O10" s="5" t="s">
        <v>1961</v>
      </c>
      <c r="P10" s="10" t="s">
        <v>1963</v>
      </c>
      <c r="Q10" s="3" t="s">
        <v>316</v>
      </c>
      <c r="R10" s="6" t="s">
        <v>218</v>
      </c>
      <c r="S10" s="6" t="str">
        <f t="shared" si="4"/>
        <v>IGUAL</v>
      </c>
      <c r="T10" s="151" t="str">
        <f>IFERROR(VLOOKUP(A10,STATUS_SAP_QUARTELY!B:C,2,FALSE),"NO BUDGET")</f>
        <v>CLSD BUDG AUC  AVAC SETC  //  BREL</v>
      </c>
      <c r="U10" s="6" t="str">
        <f t="shared" si="5"/>
        <v>CLSD</v>
      </c>
      <c r="V10" s="151" t="s">
        <v>2651</v>
      </c>
      <c r="W10" s="85"/>
      <c r="X10" s="499" t="s">
        <v>9607</v>
      </c>
      <c r="Y10" s="84">
        <v>45582</v>
      </c>
      <c r="Z10" s="85"/>
      <c r="AA10" s="318">
        <v>47.694849999999995</v>
      </c>
      <c r="AB10" s="223">
        <v>0.54834000000000005</v>
      </c>
      <c r="AC10" s="318">
        <f t="shared" si="6"/>
        <v>0</v>
      </c>
      <c r="AD10" s="223"/>
      <c r="AE10" s="318"/>
      <c r="AF10" s="223"/>
      <c r="AG10" s="318"/>
      <c r="AH10" s="223"/>
      <c r="AI10" s="498">
        <v>67</v>
      </c>
      <c r="AJ10" s="223"/>
      <c r="AK10" s="333">
        <f t="shared" si="7"/>
        <v>0</v>
      </c>
      <c r="AL10" s="421"/>
      <c r="AM10" s="422"/>
      <c r="AN10" s="423">
        <f>SUMIFS(BASE_QUARTELY!$J:$J,BASE_QUARTELY!$A:$A,'AME - Quarterly'!$A10,BASE_QUARTELY!$B:$B,"janeiro")/1000</f>
        <v>0</v>
      </c>
      <c r="AO10" s="427"/>
      <c r="AP10" s="421">
        <v>8</v>
      </c>
      <c r="AQ10" s="422"/>
      <c r="AR10" s="423">
        <f>SUMIFS(BASE_QUARTELY!$J:$J,BASE_QUARTELY!$A:$A,'AME - Quarterly'!$A10,BASE_QUARTELY!$B:$B,"fevereiro")/1000</f>
        <v>0</v>
      </c>
      <c r="AS10" s="427">
        <v>0</v>
      </c>
      <c r="AT10" s="421">
        <v>8</v>
      </c>
      <c r="AU10" s="422"/>
      <c r="AV10" s="423">
        <f>SUMIFS(BASE_QUARTELY!$J:$J,BASE_QUARTELY!$A:$A,'AME - Quarterly'!$A10,BASE_QUARTELY!$B:$B,"março")/1000</f>
        <v>0</v>
      </c>
      <c r="AW10" s="427">
        <v>0</v>
      </c>
      <c r="AX10" s="421"/>
      <c r="AY10" s="422"/>
      <c r="AZ10" s="423">
        <f>SUMIFS(BASE_QUARTELY!$J:$J,BASE_QUARTELY!$A:$A,'AME - Quarterly'!$A10,BASE_QUARTELY!$B:$B,"abril")/1000</f>
        <v>0</v>
      </c>
      <c r="BA10" s="427"/>
      <c r="BB10" s="421"/>
      <c r="BC10" s="422">
        <v>0</v>
      </c>
      <c r="BD10" s="423">
        <f>SUMIFS(BASE_QUARTELY!$J:$J,BASE_QUARTELY!$A:$A,'AME - Quarterly'!$A10,BASE_QUARTELY!$B:$B,"maio")/1000</f>
        <v>0</v>
      </c>
      <c r="BE10" s="427"/>
      <c r="BF10" s="421"/>
      <c r="BG10" s="422"/>
      <c r="BH10" s="423">
        <f>SUMIFS(BASE_QUARTELY!$J:$J,BASE_QUARTELY!$A:$A,'AME - Quarterly'!$A10,BASE_QUARTELY!$B:$B,"junho")/1000</f>
        <v>0</v>
      </c>
      <c r="BI10" s="427"/>
      <c r="BJ10" s="421"/>
      <c r="BK10" s="422"/>
      <c r="BL10" s="423">
        <f>SUMIFS(BASE_QUARTELY!$J:$J,BASE_QUARTELY!$A:$A,'AME - Quarterly'!$A10,BASE_QUARTELY!$B:$B,"julho")/1000</f>
        <v>0</v>
      </c>
      <c r="BM10" s="427"/>
      <c r="BN10" s="421"/>
      <c r="BO10" s="422"/>
      <c r="BP10" s="423">
        <f>SUMIFS(BASE_QUARTELY!$J:$J,BASE_QUARTELY!$A:$A,'AME - Quarterly'!$A10,BASE_QUARTELY!$B:$B,"agosto")/1000</f>
        <v>0</v>
      </c>
      <c r="BQ10" s="427"/>
      <c r="BR10" s="421"/>
      <c r="BS10" s="422"/>
      <c r="BT10" s="423">
        <f>SUMIFS(BASE_QUARTELY!$J:$J,BASE_QUARTELY!$A:$A,'AME - Quarterly'!$A10,BASE_QUARTELY!$B:$B,"setembro")/1000</f>
        <v>0</v>
      </c>
      <c r="BU10" s="427"/>
      <c r="BV10" s="421"/>
      <c r="BW10" s="422"/>
      <c r="BX10" s="423">
        <f>SUMIFS(BASE_QUARTELY!$J:$J,BASE_QUARTELY!$A:$A,'AME - Quarterly'!$A10,BASE_QUARTELY!$B:$B,"outubro")/1000</f>
        <v>0</v>
      </c>
      <c r="BY10" s="427"/>
      <c r="BZ10" s="421"/>
      <c r="CA10" s="422"/>
      <c r="CB10" s="423">
        <f>SUMIFS(BASE_QUARTELY!$J:$J,BASE_QUARTELY!$A:$A,'AME - Quarterly'!$A10,BASE_QUARTELY!$B:$B,"novembro")/1000</f>
        <v>0</v>
      </c>
      <c r="CC10" s="427"/>
      <c r="CD10" s="421"/>
      <c r="CE10" s="422"/>
      <c r="CF10" s="423">
        <f>SUMIFS(BASE_QUARTELY!$J:$J,BASE_QUARTELY!$A:$A,'AME - Quarterly'!$A10,BASE_QUARTELY!$B:$B,"dezembro")/1000</f>
        <v>0</v>
      </c>
      <c r="CG10" s="427"/>
      <c r="CH10" s="452">
        <f t="shared" si="8"/>
        <v>0</v>
      </c>
      <c r="CI10" s="374"/>
      <c r="CJ10" s="374"/>
      <c r="CK10" s="374"/>
      <c r="CL10" s="374"/>
      <c r="CM10" s="374"/>
      <c r="CN10" s="374"/>
      <c r="CO10" s="374"/>
      <c r="CP10" s="374"/>
      <c r="CQ10" s="374"/>
      <c r="CR10" s="374"/>
      <c r="CS10" s="374"/>
      <c r="CT10" s="374"/>
      <c r="CU10" s="374"/>
      <c r="CV10" s="216">
        <f t="shared" si="9"/>
        <v>0</v>
      </c>
      <c r="CW10" s="320">
        <f t="shared" si="10"/>
        <v>0</v>
      </c>
      <c r="CX10" s="241">
        <f t="shared" si="11"/>
        <v>0</v>
      </c>
      <c r="CY10" s="241">
        <f t="shared" si="12"/>
        <v>0</v>
      </c>
      <c r="CZ10" s="241">
        <f t="shared" si="13"/>
        <v>0</v>
      </c>
      <c r="DA10" s="241">
        <f t="shared" si="14"/>
        <v>0</v>
      </c>
      <c r="DB10" s="346">
        <f t="shared" si="15"/>
        <v>0</v>
      </c>
      <c r="DC10" s="445">
        <f t="shared" si="16"/>
        <v>0</v>
      </c>
      <c r="DD10" s="447">
        <f t="shared" si="17"/>
        <v>0</v>
      </c>
      <c r="DE10" s="364">
        <f t="shared" si="18"/>
        <v>0</v>
      </c>
      <c r="DF10" s="365">
        <f t="shared" si="19"/>
        <v>0</v>
      </c>
      <c r="DG10" s="384">
        <f>IFERROR(VLOOKUP($A10,'BASE_558 QUARTELY'!$D:$V,6,FALSE)/1000,"")</f>
        <v>56.774999999999999</v>
      </c>
      <c r="DH10" s="384">
        <f>IFERROR(VLOOKUP($A10,'BASE_558 QUARTELY'!$D:$V,7,FALSE)/1000,"")</f>
        <v>48.243190000000006</v>
      </c>
      <c r="DI10" s="384">
        <f>IFERROR(VLOOKUP($A10,'BASE_558 QUARTELY'!$D:$V,8,FALSE)/1000,"")</f>
        <v>0</v>
      </c>
      <c r="DJ10" s="384">
        <f>IFERROR(VLOOKUP($A10,'BASE_558 QUARTELY'!$D:$V,9,FALSE)/1000,"")</f>
        <v>0</v>
      </c>
      <c r="DK10" s="384">
        <f>IFERROR(VLOOKUP($A10,'BASE_558 QUARTELY'!$D:$V,11,FALSE)/1000,"")</f>
        <v>48.243190000000006</v>
      </c>
      <c r="DL10" s="384">
        <f>IFERROR(VLOOKUP($A10,'BASE_558 QUARTELY'!$D:$V,12,FALSE)/1000,"")</f>
        <v>8.5318100000000001</v>
      </c>
      <c r="DM10" s="442"/>
      <c r="DN10" s="442"/>
    </row>
    <row r="11" spans="1:118" s="23" customFormat="1" ht="30" customHeight="1">
      <c r="A11" s="85" t="s">
        <v>2043</v>
      </c>
      <c r="B11" s="86" t="s">
        <v>2627</v>
      </c>
      <c r="C11" s="84" t="s">
        <v>609</v>
      </c>
      <c r="D11" s="85" t="s">
        <v>2765</v>
      </c>
      <c r="E11" s="85" t="s">
        <v>6</v>
      </c>
      <c r="F11" s="6" t="s">
        <v>6</v>
      </c>
      <c r="G11" s="85">
        <v>2023</v>
      </c>
      <c r="H11" s="84">
        <v>45055</v>
      </c>
      <c r="I11" s="84">
        <v>45582</v>
      </c>
      <c r="J11" s="85"/>
      <c r="K11" s="84">
        <v>45291</v>
      </c>
      <c r="L11" s="84">
        <v>45473</v>
      </c>
      <c r="M11" s="13" t="s">
        <v>5</v>
      </c>
      <c r="N11" s="13" t="s">
        <v>952</v>
      </c>
      <c r="O11" s="5" t="s">
        <v>2124</v>
      </c>
      <c r="P11" s="10" t="s">
        <v>1966</v>
      </c>
      <c r="Q11" s="3" t="s">
        <v>2255</v>
      </c>
      <c r="R11" s="6" t="s">
        <v>218</v>
      </c>
      <c r="S11" s="6" t="str">
        <f t="shared" si="4"/>
        <v>IGUAL</v>
      </c>
      <c r="T11" s="151" t="str">
        <f>IFERROR(VLOOKUP(A11,STATUS_SAP_QUARTELY!B:C,2,FALSE),"NO BUDGET")</f>
        <v>CLSD BUDG AUC  AVAC SETC  //  BREL</v>
      </c>
      <c r="U11" s="6" t="str">
        <f t="shared" si="5"/>
        <v>CLSD</v>
      </c>
      <c r="V11" s="151" t="s">
        <v>2651</v>
      </c>
      <c r="W11" s="85"/>
      <c r="X11" s="499" t="s">
        <v>9607</v>
      </c>
      <c r="Y11" s="84">
        <v>45582</v>
      </c>
      <c r="Z11" s="85"/>
      <c r="AA11" s="318">
        <v>1.5659399999999999</v>
      </c>
      <c r="AB11" s="223">
        <v>27.681609999999999</v>
      </c>
      <c r="AC11" s="318">
        <f t="shared" si="6"/>
        <v>0</v>
      </c>
      <c r="AD11" s="223"/>
      <c r="AE11" s="318"/>
      <c r="AF11" s="223"/>
      <c r="AG11" s="318"/>
      <c r="AH11" s="223"/>
      <c r="AI11" s="498">
        <v>71.5</v>
      </c>
      <c r="AJ11" s="223"/>
      <c r="AK11" s="333">
        <f t="shared" si="7"/>
        <v>0</v>
      </c>
      <c r="AL11" s="421"/>
      <c r="AM11" s="422"/>
      <c r="AN11" s="423">
        <f>SUMIFS(BASE_QUARTELY!$J:$J,BASE_QUARTELY!$A:$A,'AME - Quarterly'!$A11,BASE_QUARTELY!$B:$B,"janeiro")/1000</f>
        <v>0</v>
      </c>
      <c r="AO11" s="427"/>
      <c r="AP11" s="421"/>
      <c r="AQ11" s="422"/>
      <c r="AR11" s="423">
        <f>SUMIFS(BASE_QUARTELY!$J:$J,BASE_QUARTELY!$A:$A,'AME - Quarterly'!$A11,BASE_QUARTELY!$B:$B,"fevereiro")/1000</f>
        <v>0</v>
      </c>
      <c r="AS11" s="427"/>
      <c r="AT11" s="421"/>
      <c r="AU11" s="422"/>
      <c r="AV11" s="423">
        <f>SUMIFS(BASE_QUARTELY!$J:$J,BASE_QUARTELY!$A:$A,'AME - Quarterly'!$A11,BASE_QUARTELY!$B:$B,"março")/1000</f>
        <v>0</v>
      </c>
      <c r="AW11" s="427"/>
      <c r="AX11" s="421"/>
      <c r="AY11" s="422"/>
      <c r="AZ11" s="423">
        <f>SUMIFS(BASE_QUARTELY!$J:$J,BASE_QUARTELY!$A:$A,'AME - Quarterly'!$A11,BASE_QUARTELY!$B:$B,"abril")/1000</f>
        <v>0</v>
      </c>
      <c r="BA11" s="427"/>
      <c r="BB11" s="421"/>
      <c r="BC11" s="422">
        <v>0</v>
      </c>
      <c r="BD11" s="423">
        <f>SUMIFS(BASE_QUARTELY!$J:$J,BASE_QUARTELY!$A:$A,'AME - Quarterly'!$A11,BASE_QUARTELY!$B:$B,"maio")/1000</f>
        <v>0</v>
      </c>
      <c r="BE11" s="427"/>
      <c r="BF11" s="421"/>
      <c r="BG11" s="422"/>
      <c r="BH11" s="423">
        <f>SUMIFS(BASE_QUARTELY!$J:$J,BASE_QUARTELY!$A:$A,'AME - Quarterly'!$A11,BASE_QUARTELY!$B:$B,"junho")/1000</f>
        <v>0</v>
      </c>
      <c r="BI11" s="427"/>
      <c r="BJ11" s="421"/>
      <c r="BK11" s="422"/>
      <c r="BL11" s="423">
        <f>SUMIFS(BASE_QUARTELY!$J:$J,BASE_QUARTELY!$A:$A,'AME - Quarterly'!$A11,BASE_QUARTELY!$B:$B,"julho")/1000</f>
        <v>0</v>
      </c>
      <c r="BM11" s="427"/>
      <c r="BN11" s="421"/>
      <c r="BO11" s="422"/>
      <c r="BP11" s="423">
        <f>SUMIFS(BASE_QUARTELY!$J:$J,BASE_QUARTELY!$A:$A,'AME - Quarterly'!$A11,BASE_QUARTELY!$B:$B,"agosto")/1000</f>
        <v>0</v>
      </c>
      <c r="BQ11" s="427"/>
      <c r="BR11" s="421"/>
      <c r="BS11" s="422"/>
      <c r="BT11" s="423">
        <f>SUMIFS(BASE_QUARTELY!$J:$J,BASE_QUARTELY!$A:$A,'AME - Quarterly'!$A11,BASE_QUARTELY!$B:$B,"setembro")/1000</f>
        <v>0</v>
      </c>
      <c r="BU11" s="427"/>
      <c r="BV11" s="421"/>
      <c r="BW11" s="422"/>
      <c r="BX11" s="423">
        <f>SUMIFS(BASE_QUARTELY!$J:$J,BASE_QUARTELY!$A:$A,'AME - Quarterly'!$A11,BASE_QUARTELY!$B:$B,"outubro")/1000</f>
        <v>0</v>
      </c>
      <c r="BY11" s="427"/>
      <c r="BZ11" s="421"/>
      <c r="CA11" s="422"/>
      <c r="CB11" s="423">
        <f>SUMIFS(BASE_QUARTELY!$J:$J,BASE_QUARTELY!$A:$A,'AME - Quarterly'!$A11,BASE_QUARTELY!$B:$B,"novembro")/1000</f>
        <v>0</v>
      </c>
      <c r="CC11" s="427"/>
      <c r="CD11" s="421"/>
      <c r="CE11" s="422"/>
      <c r="CF11" s="423">
        <f>SUMIFS(BASE_QUARTELY!$J:$J,BASE_QUARTELY!$A:$A,'AME - Quarterly'!$A11,BASE_QUARTELY!$B:$B,"dezembro")/1000</f>
        <v>0</v>
      </c>
      <c r="CG11" s="427"/>
      <c r="CH11" s="452">
        <f t="shared" si="8"/>
        <v>0</v>
      </c>
      <c r="CI11" s="374"/>
      <c r="CJ11" s="374"/>
      <c r="CK11" s="374"/>
      <c r="CL11" s="374"/>
      <c r="CM11" s="374"/>
      <c r="CN11" s="374"/>
      <c r="CO11" s="374"/>
      <c r="CP11" s="374"/>
      <c r="CQ11" s="374"/>
      <c r="CR11" s="374"/>
      <c r="CS11" s="374"/>
      <c r="CT11" s="374"/>
      <c r="CU11" s="374"/>
      <c r="CV11" s="216">
        <f t="shared" si="9"/>
        <v>0</v>
      </c>
      <c r="CW11" s="320">
        <f t="shared" si="10"/>
        <v>0</v>
      </c>
      <c r="CX11" s="241">
        <f t="shared" si="11"/>
        <v>0</v>
      </c>
      <c r="CY11" s="241">
        <f t="shared" si="12"/>
        <v>0</v>
      </c>
      <c r="CZ11" s="241">
        <f t="shared" si="13"/>
        <v>0</v>
      </c>
      <c r="DA11" s="241">
        <f t="shared" si="14"/>
        <v>0</v>
      </c>
      <c r="DB11" s="346">
        <f t="shared" si="15"/>
        <v>0</v>
      </c>
      <c r="DC11" s="445">
        <f t="shared" si="16"/>
        <v>0</v>
      </c>
      <c r="DD11" s="447">
        <f t="shared" si="17"/>
        <v>0</v>
      </c>
      <c r="DE11" s="364">
        <f t="shared" si="18"/>
        <v>0</v>
      </c>
      <c r="DF11" s="365">
        <f t="shared" si="19"/>
        <v>0</v>
      </c>
      <c r="DG11" s="384">
        <f>IFERROR(VLOOKUP($A11,'BASE_558 QUARTELY'!$D:$V,6,FALSE)/1000,"")</f>
        <v>71.5</v>
      </c>
      <c r="DH11" s="384">
        <f>IFERROR(VLOOKUP($A11,'BASE_558 QUARTELY'!$D:$V,7,FALSE)/1000,"")</f>
        <v>29.24755</v>
      </c>
      <c r="DI11" s="384">
        <f>IFERROR(VLOOKUP($A11,'BASE_558 QUARTELY'!$D:$V,8,FALSE)/1000,"")</f>
        <v>0</v>
      </c>
      <c r="DJ11" s="384">
        <f>IFERROR(VLOOKUP($A11,'BASE_558 QUARTELY'!$D:$V,9,FALSE)/1000,"")</f>
        <v>0</v>
      </c>
      <c r="DK11" s="384">
        <f>IFERROR(VLOOKUP($A11,'BASE_558 QUARTELY'!$D:$V,11,FALSE)/1000,"")</f>
        <v>29.24755</v>
      </c>
      <c r="DL11" s="384">
        <f>IFERROR(VLOOKUP($A11,'BASE_558 QUARTELY'!$D:$V,12,FALSE)/1000,"")</f>
        <v>42.252449999999996</v>
      </c>
      <c r="DM11" s="442"/>
      <c r="DN11" s="442"/>
    </row>
    <row r="12" spans="1:118" s="23" customFormat="1" ht="30" customHeight="1">
      <c r="A12" s="85" t="s">
        <v>2044</v>
      </c>
      <c r="B12" s="86">
        <v>193027</v>
      </c>
      <c r="C12" s="84" t="s">
        <v>609</v>
      </c>
      <c r="D12" s="85" t="s">
        <v>2658</v>
      </c>
      <c r="E12" s="85" t="s">
        <v>6</v>
      </c>
      <c r="F12" s="357" t="s">
        <v>3230</v>
      </c>
      <c r="G12" s="85">
        <v>2023</v>
      </c>
      <c r="H12" s="84">
        <v>45056</v>
      </c>
      <c r="I12" s="85"/>
      <c r="J12" s="85"/>
      <c r="K12" s="84">
        <v>45291</v>
      </c>
      <c r="L12" s="84">
        <v>45473</v>
      </c>
      <c r="M12" s="13" t="s">
        <v>5</v>
      </c>
      <c r="N12" s="13" t="s">
        <v>951</v>
      </c>
      <c r="O12" s="5" t="s">
        <v>2186</v>
      </c>
      <c r="P12" s="10" t="s">
        <v>1967</v>
      </c>
      <c r="Q12" s="3" t="s">
        <v>2255</v>
      </c>
      <c r="R12" s="6" t="s">
        <v>218</v>
      </c>
      <c r="S12" s="6" t="str">
        <f t="shared" si="4"/>
        <v>IGUAL</v>
      </c>
      <c r="T12" s="151" t="str">
        <f>IFERROR(VLOOKUP(A12,STATUS_SAP_QUARTELY!B:C,2,FALSE),"NO BUDGET")</f>
        <v>CLSD BUDG AUC  AVAC SETC  //  BREL</v>
      </c>
      <c r="U12" s="6" t="str">
        <f t="shared" si="5"/>
        <v>CLSD</v>
      </c>
      <c r="V12" s="151" t="s">
        <v>2651</v>
      </c>
      <c r="W12" s="85"/>
      <c r="X12" s="499" t="s">
        <v>9607</v>
      </c>
      <c r="Y12" s="84">
        <v>45746</v>
      </c>
      <c r="Z12" s="85"/>
      <c r="AA12" s="318">
        <v>0</v>
      </c>
      <c r="AB12" s="223">
        <v>7.2595499999999999</v>
      </c>
      <c r="AC12" s="318">
        <f t="shared" si="6"/>
        <v>0</v>
      </c>
      <c r="AD12" s="223"/>
      <c r="AE12" s="318"/>
      <c r="AF12" s="223"/>
      <c r="AG12" s="318"/>
      <c r="AH12" s="223"/>
      <c r="AI12" s="498">
        <v>12</v>
      </c>
      <c r="AJ12" s="223"/>
      <c r="AK12" s="333">
        <f t="shared" si="7"/>
        <v>0</v>
      </c>
      <c r="AL12" s="421"/>
      <c r="AM12" s="422"/>
      <c r="AN12" s="423">
        <f>SUMIFS(BASE_QUARTELY!$J:$J,BASE_QUARTELY!$A:$A,'AME - Quarterly'!$A12,BASE_QUARTELY!$B:$B,"janeiro")/1000</f>
        <v>0</v>
      </c>
      <c r="AO12" s="427"/>
      <c r="AP12" s="421"/>
      <c r="AQ12" s="422"/>
      <c r="AR12" s="423">
        <f>SUMIFS(BASE_QUARTELY!$J:$J,BASE_QUARTELY!$A:$A,'AME - Quarterly'!$A12,BASE_QUARTELY!$B:$B,"fevereiro")/1000</f>
        <v>0</v>
      </c>
      <c r="AS12" s="427"/>
      <c r="AT12" s="421"/>
      <c r="AU12" s="422"/>
      <c r="AV12" s="423">
        <f>SUMIFS(BASE_QUARTELY!$J:$J,BASE_QUARTELY!$A:$A,'AME - Quarterly'!$A12,BASE_QUARTELY!$B:$B,"março")/1000</f>
        <v>0</v>
      </c>
      <c r="AW12" s="427"/>
      <c r="AX12" s="421"/>
      <c r="AY12" s="422"/>
      <c r="AZ12" s="423">
        <f>SUMIFS(BASE_QUARTELY!$J:$J,BASE_QUARTELY!$A:$A,'AME - Quarterly'!$A12,BASE_QUARTELY!$B:$B,"abril")/1000</f>
        <v>0</v>
      </c>
      <c r="BA12" s="427"/>
      <c r="BB12" s="421"/>
      <c r="BC12" s="422">
        <v>0</v>
      </c>
      <c r="BD12" s="423">
        <f>SUMIFS(BASE_QUARTELY!$J:$J,BASE_QUARTELY!$A:$A,'AME - Quarterly'!$A12,BASE_QUARTELY!$B:$B,"maio")/1000</f>
        <v>0</v>
      </c>
      <c r="BE12" s="427"/>
      <c r="BF12" s="421"/>
      <c r="BG12" s="422"/>
      <c r="BH12" s="423">
        <f>SUMIFS(BASE_QUARTELY!$J:$J,BASE_QUARTELY!$A:$A,'AME - Quarterly'!$A12,BASE_QUARTELY!$B:$B,"junho")/1000</f>
        <v>0</v>
      </c>
      <c r="BI12" s="427"/>
      <c r="BJ12" s="421"/>
      <c r="BK12" s="422"/>
      <c r="BL12" s="423">
        <f>SUMIFS(BASE_QUARTELY!$J:$J,BASE_QUARTELY!$A:$A,'AME - Quarterly'!$A12,BASE_QUARTELY!$B:$B,"julho")/1000</f>
        <v>0</v>
      </c>
      <c r="BM12" s="427"/>
      <c r="BN12" s="421"/>
      <c r="BO12" s="422"/>
      <c r="BP12" s="423">
        <f>SUMIFS(BASE_QUARTELY!$J:$J,BASE_QUARTELY!$A:$A,'AME - Quarterly'!$A12,BASE_QUARTELY!$B:$B,"agosto")/1000</f>
        <v>0</v>
      </c>
      <c r="BQ12" s="427"/>
      <c r="BR12" s="421"/>
      <c r="BS12" s="422"/>
      <c r="BT12" s="423">
        <f>SUMIFS(BASE_QUARTELY!$J:$J,BASE_QUARTELY!$A:$A,'AME - Quarterly'!$A12,BASE_QUARTELY!$B:$B,"setembro")/1000</f>
        <v>0</v>
      </c>
      <c r="BU12" s="427"/>
      <c r="BV12" s="421"/>
      <c r="BW12" s="422"/>
      <c r="BX12" s="423">
        <f>SUMIFS(BASE_QUARTELY!$J:$J,BASE_QUARTELY!$A:$A,'AME - Quarterly'!$A12,BASE_QUARTELY!$B:$B,"outubro")/1000</f>
        <v>0</v>
      </c>
      <c r="BY12" s="427"/>
      <c r="BZ12" s="421"/>
      <c r="CA12" s="422"/>
      <c r="CB12" s="423">
        <f>SUMIFS(BASE_QUARTELY!$J:$J,BASE_QUARTELY!$A:$A,'AME - Quarterly'!$A12,BASE_QUARTELY!$B:$B,"novembro")/1000</f>
        <v>0</v>
      </c>
      <c r="CC12" s="427"/>
      <c r="CD12" s="421"/>
      <c r="CE12" s="422"/>
      <c r="CF12" s="423">
        <f>SUMIFS(BASE_QUARTELY!$J:$J,BASE_QUARTELY!$A:$A,'AME - Quarterly'!$A12,BASE_QUARTELY!$B:$B,"dezembro")/1000</f>
        <v>0</v>
      </c>
      <c r="CG12" s="427"/>
      <c r="CH12" s="452">
        <f t="shared" si="8"/>
        <v>0</v>
      </c>
      <c r="CI12" s="374"/>
      <c r="CJ12" s="374"/>
      <c r="CK12" s="374"/>
      <c r="CL12" s="374"/>
      <c r="CM12" s="374"/>
      <c r="CN12" s="374"/>
      <c r="CO12" s="374"/>
      <c r="CP12" s="374"/>
      <c r="CQ12" s="374"/>
      <c r="CR12" s="374"/>
      <c r="CS12" s="374"/>
      <c r="CT12" s="374"/>
      <c r="CU12" s="374"/>
      <c r="CV12" s="216">
        <f t="shared" si="9"/>
        <v>0</v>
      </c>
      <c r="CW12" s="320">
        <f t="shared" si="10"/>
        <v>0</v>
      </c>
      <c r="CX12" s="241">
        <f t="shared" si="11"/>
        <v>0</v>
      </c>
      <c r="CY12" s="241">
        <f t="shared" si="12"/>
        <v>0</v>
      </c>
      <c r="CZ12" s="241">
        <f t="shared" si="13"/>
        <v>0</v>
      </c>
      <c r="DA12" s="241">
        <f t="shared" si="14"/>
        <v>0</v>
      </c>
      <c r="DB12" s="346">
        <f t="shared" si="15"/>
        <v>0</v>
      </c>
      <c r="DC12" s="445">
        <f t="shared" si="16"/>
        <v>0</v>
      </c>
      <c r="DD12" s="447">
        <f t="shared" si="17"/>
        <v>0</v>
      </c>
      <c r="DE12" s="364">
        <f t="shared" si="18"/>
        <v>0</v>
      </c>
      <c r="DF12" s="365">
        <f t="shared" si="19"/>
        <v>0</v>
      </c>
      <c r="DG12" s="384">
        <f>IFERROR(VLOOKUP($A12,'BASE_558 QUARTELY'!$D:$V,6,FALSE)/1000,"")</f>
        <v>12</v>
      </c>
      <c r="DH12" s="384">
        <f>IFERROR(VLOOKUP($A12,'BASE_558 QUARTELY'!$D:$V,7,FALSE)/1000,"")</f>
        <v>7.2595499999999999</v>
      </c>
      <c r="DI12" s="384">
        <f>IFERROR(VLOOKUP($A12,'BASE_558 QUARTELY'!$D:$V,8,FALSE)/1000,"")</f>
        <v>0</v>
      </c>
      <c r="DJ12" s="384">
        <f>IFERROR(VLOOKUP($A12,'BASE_558 QUARTELY'!$D:$V,9,FALSE)/1000,"")</f>
        <v>0</v>
      </c>
      <c r="DK12" s="384">
        <f>IFERROR(VLOOKUP($A12,'BASE_558 QUARTELY'!$D:$V,11,FALSE)/1000,"")</f>
        <v>7.2595499999999999</v>
      </c>
      <c r="DL12" s="384">
        <f>IFERROR(VLOOKUP($A12,'BASE_558 QUARTELY'!$D:$V,12,FALSE)/1000,"")</f>
        <v>4.7404500000000001</v>
      </c>
      <c r="DM12" s="442"/>
      <c r="DN12" s="442"/>
    </row>
    <row r="13" spans="1:118" s="23" customFormat="1" ht="30" customHeight="1">
      <c r="A13" s="85" t="s">
        <v>2045</v>
      </c>
      <c r="B13" s="86">
        <v>335990</v>
      </c>
      <c r="C13" s="84" t="s">
        <v>609</v>
      </c>
      <c r="D13" s="85" t="s">
        <v>2679</v>
      </c>
      <c r="E13" s="85" t="s">
        <v>6</v>
      </c>
      <c r="F13" s="6" t="s">
        <v>6</v>
      </c>
      <c r="G13" s="85">
        <v>2023</v>
      </c>
      <c r="H13" s="84">
        <v>45055</v>
      </c>
      <c r="I13" s="84">
        <v>45590</v>
      </c>
      <c r="J13" s="85" t="s">
        <v>6</v>
      </c>
      <c r="K13" s="84">
        <v>45291</v>
      </c>
      <c r="L13" s="84">
        <v>45473</v>
      </c>
      <c r="M13" s="13" t="s">
        <v>222</v>
      </c>
      <c r="N13" s="13" t="s">
        <v>958</v>
      </c>
      <c r="O13" s="5" t="s">
        <v>1961</v>
      </c>
      <c r="P13" s="10" t="s">
        <v>1965</v>
      </c>
      <c r="Q13" s="3" t="s">
        <v>186</v>
      </c>
      <c r="R13" s="6" t="s">
        <v>218</v>
      </c>
      <c r="S13" s="6" t="str">
        <f t="shared" si="4"/>
        <v>IGUAL</v>
      </c>
      <c r="T13" s="151" t="str">
        <f>IFERROR(VLOOKUP(A13,STATUS_SAP_QUARTELY!B:C,2,FALSE),"NO BUDGET")</f>
        <v>CLSD BUDG AUC  AVAC SETC  //  BREL</v>
      </c>
      <c r="U13" s="6" t="str">
        <f t="shared" si="5"/>
        <v>CLSD</v>
      </c>
      <c r="V13" s="151" t="s">
        <v>6839</v>
      </c>
      <c r="W13" s="85"/>
      <c r="X13" s="499" t="s">
        <v>9607</v>
      </c>
      <c r="Y13" s="84">
        <v>45590</v>
      </c>
      <c r="Z13" s="85"/>
      <c r="AA13" s="318">
        <v>0</v>
      </c>
      <c r="AB13" s="223">
        <v>72.523650000000004</v>
      </c>
      <c r="AC13" s="318">
        <f t="shared" si="6"/>
        <v>0</v>
      </c>
      <c r="AD13" s="223"/>
      <c r="AE13" s="318"/>
      <c r="AF13" s="223"/>
      <c r="AG13" s="318"/>
      <c r="AH13" s="223"/>
      <c r="AI13" s="498">
        <v>60</v>
      </c>
      <c r="AJ13" s="223"/>
      <c r="AK13" s="333">
        <f t="shared" si="7"/>
        <v>0</v>
      </c>
      <c r="AL13" s="421"/>
      <c r="AM13" s="422"/>
      <c r="AN13" s="423">
        <f>SUMIFS(BASE_QUARTELY!$J:$J,BASE_QUARTELY!$A:$A,'AME - Quarterly'!$A13,BASE_QUARTELY!$B:$B,"janeiro")/1000</f>
        <v>0</v>
      </c>
      <c r="AO13" s="427"/>
      <c r="AP13" s="421"/>
      <c r="AQ13" s="422"/>
      <c r="AR13" s="423">
        <f>SUMIFS(BASE_QUARTELY!$J:$J,BASE_QUARTELY!$A:$A,'AME - Quarterly'!$A13,BASE_QUARTELY!$B:$B,"fevereiro")/1000</f>
        <v>0</v>
      </c>
      <c r="AS13" s="427"/>
      <c r="AT13" s="421"/>
      <c r="AU13" s="422"/>
      <c r="AV13" s="423">
        <f>SUMIFS(BASE_QUARTELY!$J:$J,BASE_QUARTELY!$A:$A,'AME - Quarterly'!$A13,BASE_QUARTELY!$B:$B,"março")/1000</f>
        <v>0</v>
      </c>
      <c r="AW13" s="427"/>
      <c r="AX13" s="421"/>
      <c r="AY13" s="422"/>
      <c r="AZ13" s="423">
        <f>SUMIFS(BASE_QUARTELY!$J:$J,BASE_QUARTELY!$A:$A,'AME - Quarterly'!$A13,BASE_QUARTELY!$B:$B,"abril")/1000</f>
        <v>0</v>
      </c>
      <c r="BA13" s="427"/>
      <c r="BB13" s="421"/>
      <c r="BC13" s="422">
        <v>0</v>
      </c>
      <c r="BD13" s="423">
        <f>SUMIFS(BASE_QUARTELY!$J:$J,BASE_QUARTELY!$A:$A,'AME - Quarterly'!$A13,BASE_QUARTELY!$B:$B,"maio")/1000</f>
        <v>0</v>
      </c>
      <c r="BE13" s="427"/>
      <c r="BF13" s="421"/>
      <c r="BG13" s="422"/>
      <c r="BH13" s="423">
        <f>SUMIFS(BASE_QUARTELY!$J:$J,BASE_QUARTELY!$A:$A,'AME - Quarterly'!$A13,BASE_QUARTELY!$B:$B,"junho")/1000</f>
        <v>0</v>
      </c>
      <c r="BI13" s="427"/>
      <c r="BJ13" s="421"/>
      <c r="BK13" s="422"/>
      <c r="BL13" s="423">
        <f>SUMIFS(BASE_QUARTELY!$J:$J,BASE_QUARTELY!$A:$A,'AME - Quarterly'!$A13,BASE_QUARTELY!$B:$B,"julho")/1000</f>
        <v>0</v>
      </c>
      <c r="BM13" s="427"/>
      <c r="BN13" s="421"/>
      <c r="BO13" s="422"/>
      <c r="BP13" s="423">
        <f>SUMIFS(BASE_QUARTELY!$J:$J,BASE_QUARTELY!$A:$A,'AME - Quarterly'!$A13,BASE_QUARTELY!$B:$B,"agosto")/1000</f>
        <v>0</v>
      </c>
      <c r="BQ13" s="427"/>
      <c r="BR13" s="421"/>
      <c r="BS13" s="422"/>
      <c r="BT13" s="423">
        <f>SUMIFS(BASE_QUARTELY!$J:$J,BASE_QUARTELY!$A:$A,'AME - Quarterly'!$A13,BASE_QUARTELY!$B:$B,"setembro")/1000</f>
        <v>0</v>
      </c>
      <c r="BU13" s="427"/>
      <c r="BV13" s="421"/>
      <c r="BW13" s="422"/>
      <c r="BX13" s="423">
        <f>SUMIFS(BASE_QUARTELY!$J:$J,BASE_QUARTELY!$A:$A,'AME - Quarterly'!$A13,BASE_QUARTELY!$B:$B,"outubro")/1000</f>
        <v>0</v>
      </c>
      <c r="BY13" s="427"/>
      <c r="BZ13" s="421"/>
      <c r="CA13" s="422"/>
      <c r="CB13" s="423">
        <f>SUMIFS(BASE_QUARTELY!$J:$J,BASE_QUARTELY!$A:$A,'AME - Quarterly'!$A13,BASE_QUARTELY!$B:$B,"novembro")/1000</f>
        <v>0</v>
      </c>
      <c r="CC13" s="427"/>
      <c r="CD13" s="421"/>
      <c r="CE13" s="422"/>
      <c r="CF13" s="423">
        <f>SUMIFS(BASE_QUARTELY!$J:$J,BASE_QUARTELY!$A:$A,'AME - Quarterly'!$A13,BASE_QUARTELY!$B:$B,"dezembro")/1000</f>
        <v>0</v>
      </c>
      <c r="CG13" s="427"/>
      <c r="CH13" s="452">
        <f t="shared" si="8"/>
        <v>0</v>
      </c>
      <c r="CI13" s="374"/>
      <c r="CJ13" s="374"/>
      <c r="CK13" s="374"/>
      <c r="CL13" s="374"/>
      <c r="CM13" s="374"/>
      <c r="CN13" s="374"/>
      <c r="CO13" s="374"/>
      <c r="CP13" s="374"/>
      <c r="CQ13" s="374"/>
      <c r="CR13" s="374"/>
      <c r="CS13" s="374"/>
      <c r="CT13" s="374"/>
      <c r="CU13" s="374"/>
      <c r="CV13" s="216">
        <f t="shared" si="9"/>
        <v>0</v>
      </c>
      <c r="CW13" s="320">
        <f t="shared" si="10"/>
        <v>0</v>
      </c>
      <c r="CX13" s="241">
        <f t="shared" si="11"/>
        <v>0</v>
      </c>
      <c r="CY13" s="241">
        <f t="shared" si="12"/>
        <v>0</v>
      </c>
      <c r="CZ13" s="241">
        <f t="shared" si="13"/>
        <v>0</v>
      </c>
      <c r="DA13" s="241">
        <f t="shared" si="14"/>
        <v>0</v>
      </c>
      <c r="DB13" s="346">
        <f t="shared" si="15"/>
        <v>0</v>
      </c>
      <c r="DC13" s="445">
        <f t="shared" si="16"/>
        <v>0</v>
      </c>
      <c r="DD13" s="447">
        <f t="shared" si="17"/>
        <v>0</v>
      </c>
      <c r="DE13" s="364">
        <f t="shared" si="18"/>
        <v>0</v>
      </c>
      <c r="DF13" s="365">
        <f t="shared" si="19"/>
        <v>0</v>
      </c>
      <c r="DG13" s="384">
        <f>IFERROR(VLOOKUP($A13,'BASE_558 QUARTELY'!$D:$V,6,FALSE)/1000,"")</f>
        <v>90</v>
      </c>
      <c r="DH13" s="384">
        <f>IFERROR(VLOOKUP($A13,'BASE_558 QUARTELY'!$D:$V,7,FALSE)/1000,"")</f>
        <v>72.523649999999989</v>
      </c>
      <c r="DI13" s="384">
        <f>IFERROR(VLOOKUP($A13,'BASE_558 QUARTELY'!$D:$V,8,FALSE)/1000,"")</f>
        <v>0</v>
      </c>
      <c r="DJ13" s="384">
        <f>IFERROR(VLOOKUP($A13,'BASE_558 QUARTELY'!$D:$V,9,FALSE)/1000,"")</f>
        <v>0</v>
      </c>
      <c r="DK13" s="384">
        <f>IFERROR(VLOOKUP($A13,'BASE_558 QUARTELY'!$D:$V,11,FALSE)/1000,"")</f>
        <v>72.523649999999989</v>
      </c>
      <c r="DL13" s="384">
        <f>IFERROR(VLOOKUP($A13,'BASE_558 QUARTELY'!$D:$V,12,FALSE)/1000,"")</f>
        <v>17.47635</v>
      </c>
      <c r="DM13" s="442"/>
      <c r="DN13" s="442"/>
    </row>
    <row r="14" spans="1:118" s="23" customFormat="1" ht="30" customHeight="1">
      <c r="A14" s="85" t="s">
        <v>2062</v>
      </c>
      <c r="B14" s="86">
        <v>4657</v>
      </c>
      <c r="C14" s="84"/>
      <c r="D14" s="85" t="s">
        <v>2902</v>
      </c>
      <c r="E14" s="472"/>
      <c r="F14" s="6" t="s">
        <v>6</v>
      </c>
      <c r="G14" s="85">
        <v>2023</v>
      </c>
      <c r="H14" s="84">
        <v>45061</v>
      </c>
      <c r="I14" s="84">
        <v>45582</v>
      </c>
      <c r="J14" s="85" t="s">
        <v>6</v>
      </c>
      <c r="K14" s="84">
        <v>45291</v>
      </c>
      <c r="L14" s="84">
        <v>45473</v>
      </c>
      <c r="M14" s="13"/>
      <c r="N14" s="13"/>
      <c r="O14" s="5" t="s">
        <v>481</v>
      </c>
      <c r="P14" s="151" t="s">
        <v>3281</v>
      </c>
      <c r="Q14" s="3" t="s">
        <v>2255</v>
      </c>
      <c r="R14" s="6" t="s">
        <v>218</v>
      </c>
      <c r="S14" s="6" t="str">
        <f t="shared" si="4"/>
        <v>IGUAL</v>
      </c>
      <c r="T14" s="151" t="str">
        <f>IFERROR(VLOOKUP(A14,STATUS_SAP_QUARTELY!B:C,2,FALSE),"NO BUDGET")</f>
        <v>CLSD BUDG ISBD AUC  AVAC SETC  //  BREL</v>
      </c>
      <c r="U14" s="6" t="str">
        <f t="shared" si="5"/>
        <v>CLSD</v>
      </c>
      <c r="V14" s="151" t="s">
        <v>2651</v>
      </c>
      <c r="W14" s="85"/>
      <c r="X14" s="499" t="s">
        <v>9607</v>
      </c>
      <c r="Y14" s="84">
        <v>45582</v>
      </c>
      <c r="Z14" s="85"/>
      <c r="AA14" s="318">
        <v>46.945869999999999</v>
      </c>
      <c r="AB14" s="223">
        <v>0</v>
      </c>
      <c r="AC14" s="318">
        <f t="shared" si="6"/>
        <v>0</v>
      </c>
      <c r="AD14" s="223"/>
      <c r="AE14" s="318"/>
      <c r="AF14" s="223"/>
      <c r="AG14" s="318"/>
      <c r="AH14" s="223"/>
      <c r="AI14" s="498">
        <v>49</v>
      </c>
      <c r="AJ14" s="223"/>
      <c r="AK14" s="333">
        <f t="shared" si="7"/>
        <v>0</v>
      </c>
      <c r="AL14" s="421"/>
      <c r="AM14" s="422"/>
      <c r="AN14" s="423">
        <f>SUMIFS(BASE_QUARTELY!$J:$J,BASE_QUARTELY!$A:$A,'AME - Quarterly'!$A14,BASE_QUARTELY!$B:$B,"janeiro")/1000</f>
        <v>0</v>
      </c>
      <c r="AO14" s="427"/>
      <c r="AP14" s="421"/>
      <c r="AQ14" s="422"/>
      <c r="AR14" s="423">
        <f>SUMIFS(BASE_QUARTELY!$J:$J,BASE_QUARTELY!$A:$A,'AME - Quarterly'!$A14,BASE_QUARTELY!$B:$B,"fevereiro")/1000</f>
        <v>0</v>
      </c>
      <c r="AS14" s="427"/>
      <c r="AT14" s="421"/>
      <c r="AU14" s="422"/>
      <c r="AV14" s="423">
        <f>SUMIFS(BASE_QUARTELY!$J:$J,BASE_QUARTELY!$A:$A,'AME - Quarterly'!$A14,BASE_QUARTELY!$B:$B,"março")/1000</f>
        <v>0</v>
      </c>
      <c r="AW14" s="427"/>
      <c r="AX14" s="421"/>
      <c r="AY14" s="422"/>
      <c r="AZ14" s="423">
        <f>SUMIFS(BASE_QUARTELY!$J:$J,BASE_QUARTELY!$A:$A,'AME - Quarterly'!$A14,BASE_QUARTELY!$B:$B,"abril")/1000</f>
        <v>0</v>
      </c>
      <c r="BA14" s="427"/>
      <c r="BB14" s="421"/>
      <c r="BC14" s="422">
        <v>0</v>
      </c>
      <c r="BD14" s="423">
        <f>SUMIFS(BASE_QUARTELY!$J:$J,BASE_QUARTELY!$A:$A,'AME - Quarterly'!$A14,BASE_QUARTELY!$B:$B,"maio")/1000</f>
        <v>0</v>
      </c>
      <c r="BE14" s="427"/>
      <c r="BF14" s="421"/>
      <c r="BG14" s="422"/>
      <c r="BH14" s="423">
        <f>SUMIFS(BASE_QUARTELY!$J:$J,BASE_QUARTELY!$A:$A,'AME - Quarterly'!$A14,BASE_QUARTELY!$B:$B,"junho")/1000</f>
        <v>0</v>
      </c>
      <c r="BI14" s="427"/>
      <c r="BJ14" s="421"/>
      <c r="BK14" s="422"/>
      <c r="BL14" s="423">
        <f>SUMIFS(BASE_QUARTELY!$J:$J,BASE_QUARTELY!$A:$A,'AME - Quarterly'!$A14,BASE_QUARTELY!$B:$B,"julho")/1000</f>
        <v>0</v>
      </c>
      <c r="BM14" s="427"/>
      <c r="BN14" s="421"/>
      <c r="BO14" s="422"/>
      <c r="BP14" s="423">
        <f>SUMIFS(BASE_QUARTELY!$J:$J,BASE_QUARTELY!$A:$A,'AME - Quarterly'!$A14,BASE_QUARTELY!$B:$B,"agosto")/1000</f>
        <v>0</v>
      </c>
      <c r="BQ14" s="427"/>
      <c r="BR14" s="421"/>
      <c r="BS14" s="422"/>
      <c r="BT14" s="423">
        <f>SUMIFS(BASE_QUARTELY!$J:$J,BASE_QUARTELY!$A:$A,'AME - Quarterly'!$A14,BASE_QUARTELY!$B:$B,"setembro")/1000</f>
        <v>0</v>
      </c>
      <c r="BU14" s="427"/>
      <c r="BV14" s="421"/>
      <c r="BW14" s="422"/>
      <c r="BX14" s="423">
        <f>SUMIFS(BASE_QUARTELY!$J:$J,BASE_QUARTELY!$A:$A,'AME - Quarterly'!$A14,BASE_QUARTELY!$B:$B,"outubro")/1000</f>
        <v>0</v>
      </c>
      <c r="BY14" s="427"/>
      <c r="BZ14" s="421"/>
      <c r="CA14" s="422"/>
      <c r="CB14" s="423">
        <f>SUMIFS(BASE_QUARTELY!$J:$J,BASE_QUARTELY!$A:$A,'AME - Quarterly'!$A14,BASE_QUARTELY!$B:$B,"novembro")/1000</f>
        <v>0</v>
      </c>
      <c r="CC14" s="427"/>
      <c r="CD14" s="421"/>
      <c r="CE14" s="422"/>
      <c r="CF14" s="423">
        <f>SUMIFS(BASE_QUARTELY!$J:$J,BASE_QUARTELY!$A:$A,'AME - Quarterly'!$A14,BASE_QUARTELY!$B:$B,"dezembro")/1000</f>
        <v>0</v>
      </c>
      <c r="CG14" s="427"/>
      <c r="CH14" s="452">
        <f t="shared" si="8"/>
        <v>0</v>
      </c>
      <c r="CI14" s="374"/>
      <c r="CJ14" s="374"/>
      <c r="CK14" s="374"/>
      <c r="CL14" s="374"/>
      <c r="CM14" s="374"/>
      <c r="CN14" s="374"/>
      <c r="CO14" s="374"/>
      <c r="CP14" s="374"/>
      <c r="CQ14" s="374"/>
      <c r="CR14" s="374"/>
      <c r="CS14" s="374"/>
      <c r="CT14" s="374"/>
      <c r="CU14" s="374"/>
      <c r="CV14" s="216">
        <f t="shared" si="9"/>
        <v>0</v>
      </c>
      <c r="CW14" s="320">
        <f t="shared" si="10"/>
        <v>0</v>
      </c>
      <c r="CX14" s="241">
        <f t="shared" si="11"/>
        <v>0</v>
      </c>
      <c r="CY14" s="241">
        <f t="shared" si="12"/>
        <v>0</v>
      </c>
      <c r="CZ14" s="241">
        <f t="shared" si="13"/>
        <v>0</v>
      </c>
      <c r="DA14" s="241">
        <f t="shared" si="14"/>
        <v>0</v>
      </c>
      <c r="DB14" s="346">
        <f t="shared" si="15"/>
        <v>0</v>
      </c>
      <c r="DC14" s="445">
        <f t="shared" si="16"/>
        <v>0</v>
      </c>
      <c r="DD14" s="447">
        <f t="shared" si="17"/>
        <v>0</v>
      </c>
      <c r="DE14" s="364">
        <f t="shared" si="18"/>
        <v>0</v>
      </c>
      <c r="DF14" s="365">
        <f t="shared" si="19"/>
        <v>0</v>
      </c>
      <c r="DG14" s="384">
        <f>IFERROR(VLOOKUP($A14,'BASE_558 QUARTELY'!$D:$V,6,FALSE)/1000,"")</f>
        <v>49</v>
      </c>
      <c r="DH14" s="384">
        <f>IFERROR(VLOOKUP($A14,'BASE_558 QUARTELY'!$D:$V,7,FALSE)/1000,"")</f>
        <v>46.945869999999999</v>
      </c>
      <c r="DI14" s="384">
        <f>IFERROR(VLOOKUP($A14,'BASE_558 QUARTELY'!$D:$V,8,FALSE)/1000,"")</f>
        <v>0</v>
      </c>
      <c r="DJ14" s="384">
        <f>IFERROR(VLOOKUP($A14,'BASE_558 QUARTELY'!$D:$V,9,FALSE)/1000,"")</f>
        <v>0</v>
      </c>
      <c r="DK14" s="384">
        <f>IFERROR(VLOOKUP($A14,'BASE_558 QUARTELY'!$D:$V,11,FALSE)/1000,"")</f>
        <v>46.945869999999999</v>
      </c>
      <c r="DL14" s="384">
        <f>IFERROR(VLOOKUP($A14,'BASE_558 QUARTELY'!$D:$V,12,FALSE)/1000,"")</f>
        <v>2.0541300000000002</v>
      </c>
      <c r="DM14" s="442"/>
      <c r="DN14" s="442"/>
    </row>
    <row r="15" spans="1:118" s="23" customFormat="1" ht="30" customHeight="1">
      <c r="A15" s="85" t="s">
        <v>2085</v>
      </c>
      <c r="B15" s="86">
        <v>3</v>
      </c>
      <c r="C15" s="84" t="s">
        <v>609</v>
      </c>
      <c r="D15" s="85" t="s">
        <v>2903</v>
      </c>
      <c r="E15" s="472"/>
      <c r="F15" s="6" t="s">
        <v>6</v>
      </c>
      <c r="G15" s="85">
        <v>2023</v>
      </c>
      <c r="H15" s="84" t="s">
        <v>2086</v>
      </c>
      <c r="I15" s="84">
        <v>45582</v>
      </c>
      <c r="J15" s="85"/>
      <c r="K15" s="84">
        <v>45291</v>
      </c>
      <c r="L15" s="84">
        <v>45473</v>
      </c>
      <c r="M15" s="13" t="s">
        <v>5</v>
      </c>
      <c r="N15" s="13" t="s">
        <v>961</v>
      </c>
      <c r="O15" s="5" t="s">
        <v>704</v>
      </c>
      <c r="P15" s="10" t="s">
        <v>2087</v>
      </c>
      <c r="Q15" s="3" t="s">
        <v>2255</v>
      </c>
      <c r="R15" s="6" t="s">
        <v>218</v>
      </c>
      <c r="S15" s="6" t="str">
        <f t="shared" si="4"/>
        <v>IGUAL</v>
      </c>
      <c r="T15" s="151" t="str">
        <f>IFERROR(VLOOKUP(A15,STATUS_SAP_QUARTELY!B:C,2,FALSE),"NO BUDGET")</f>
        <v>CLSD BUDG ISBD AUC  AVAC SETC  //  BREL</v>
      </c>
      <c r="U15" s="6" t="str">
        <f t="shared" si="5"/>
        <v>CLSD</v>
      </c>
      <c r="V15" s="151" t="s">
        <v>2651</v>
      </c>
      <c r="W15" s="85"/>
      <c r="X15" s="499" t="s">
        <v>9607</v>
      </c>
      <c r="Y15" s="84">
        <v>45582</v>
      </c>
      <c r="Z15" s="85"/>
      <c r="AA15" s="318">
        <v>35.394680000000001</v>
      </c>
      <c r="AB15" s="223">
        <v>0</v>
      </c>
      <c r="AC15" s="318">
        <f t="shared" si="6"/>
        <v>0</v>
      </c>
      <c r="AD15" s="223"/>
      <c r="AE15" s="318"/>
      <c r="AF15" s="223"/>
      <c r="AG15" s="318"/>
      <c r="AH15" s="223"/>
      <c r="AI15" s="498">
        <v>17</v>
      </c>
      <c r="AJ15" s="223"/>
      <c r="AK15" s="333">
        <f t="shared" si="7"/>
        <v>0</v>
      </c>
      <c r="AL15" s="421"/>
      <c r="AM15" s="422"/>
      <c r="AN15" s="423">
        <f>SUMIFS(BASE_QUARTELY!$J:$J,BASE_QUARTELY!$A:$A,'AME - Quarterly'!$A15,BASE_QUARTELY!$B:$B,"janeiro")/1000</f>
        <v>0</v>
      </c>
      <c r="AO15" s="427"/>
      <c r="AP15" s="421"/>
      <c r="AQ15" s="422"/>
      <c r="AR15" s="423">
        <f>SUMIFS(BASE_QUARTELY!$J:$J,BASE_QUARTELY!$A:$A,'AME - Quarterly'!$A15,BASE_QUARTELY!$B:$B,"fevereiro")/1000</f>
        <v>0</v>
      </c>
      <c r="AS15" s="427"/>
      <c r="AT15" s="421"/>
      <c r="AU15" s="422"/>
      <c r="AV15" s="423">
        <f>SUMIFS(BASE_QUARTELY!$J:$J,BASE_QUARTELY!$A:$A,'AME - Quarterly'!$A15,BASE_QUARTELY!$B:$B,"março")/1000</f>
        <v>0</v>
      </c>
      <c r="AW15" s="427"/>
      <c r="AX15" s="421"/>
      <c r="AY15" s="422"/>
      <c r="AZ15" s="423">
        <f>SUMIFS(BASE_QUARTELY!$J:$J,BASE_QUARTELY!$A:$A,'AME - Quarterly'!$A15,BASE_QUARTELY!$B:$B,"abril")/1000</f>
        <v>0</v>
      </c>
      <c r="BA15" s="427"/>
      <c r="BB15" s="421"/>
      <c r="BC15" s="422">
        <v>0</v>
      </c>
      <c r="BD15" s="423">
        <f>SUMIFS(BASE_QUARTELY!$J:$J,BASE_QUARTELY!$A:$A,'AME - Quarterly'!$A15,BASE_QUARTELY!$B:$B,"maio")/1000</f>
        <v>0</v>
      </c>
      <c r="BE15" s="427"/>
      <c r="BF15" s="421"/>
      <c r="BG15" s="422"/>
      <c r="BH15" s="423">
        <f>SUMIFS(BASE_QUARTELY!$J:$J,BASE_QUARTELY!$A:$A,'AME - Quarterly'!$A15,BASE_QUARTELY!$B:$B,"junho")/1000</f>
        <v>0</v>
      </c>
      <c r="BI15" s="427"/>
      <c r="BJ15" s="421"/>
      <c r="BK15" s="422"/>
      <c r="BL15" s="423">
        <f>SUMIFS(BASE_QUARTELY!$J:$J,BASE_QUARTELY!$A:$A,'AME - Quarterly'!$A15,BASE_QUARTELY!$B:$B,"julho")/1000</f>
        <v>0</v>
      </c>
      <c r="BM15" s="427"/>
      <c r="BN15" s="421"/>
      <c r="BO15" s="422"/>
      <c r="BP15" s="423">
        <f>SUMIFS(BASE_QUARTELY!$J:$J,BASE_QUARTELY!$A:$A,'AME - Quarterly'!$A15,BASE_QUARTELY!$B:$B,"agosto")/1000</f>
        <v>0</v>
      </c>
      <c r="BQ15" s="427"/>
      <c r="BR15" s="421"/>
      <c r="BS15" s="422"/>
      <c r="BT15" s="423">
        <f>SUMIFS(BASE_QUARTELY!$J:$J,BASE_QUARTELY!$A:$A,'AME - Quarterly'!$A15,BASE_QUARTELY!$B:$B,"setembro")/1000</f>
        <v>0</v>
      </c>
      <c r="BU15" s="427"/>
      <c r="BV15" s="421"/>
      <c r="BW15" s="422"/>
      <c r="BX15" s="423">
        <f>SUMIFS(BASE_QUARTELY!$J:$J,BASE_QUARTELY!$A:$A,'AME - Quarterly'!$A15,BASE_QUARTELY!$B:$B,"outubro")/1000</f>
        <v>0</v>
      </c>
      <c r="BY15" s="427"/>
      <c r="BZ15" s="421"/>
      <c r="CA15" s="422"/>
      <c r="CB15" s="423">
        <f>SUMIFS(BASE_QUARTELY!$J:$J,BASE_QUARTELY!$A:$A,'AME - Quarterly'!$A15,BASE_QUARTELY!$B:$B,"novembro")/1000</f>
        <v>0</v>
      </c>
      <c r="CC15" s="427"/>
      <c r="CD15" s="421"/>
      <c r="CE15" s="422"/>
      <c r="CF15" s="423">
        <f>SUMIFS(BASE_QUARTELY!$J:$J,BASE_QUARTELY!$A:$A,'AME - Quarterly'!$A15,BASE_QUARTELY!$B:$B,"dezembro")/1000</f>
        <v>0</v>
      </c>
      <c r="CG15" s="427"/>
      <c r="CH15" s="452">
        <f t="shared" si="8"/>
        <v>0</v>
      </c>
      <c r="CI15" s="374"/>
      <c r="CJ15" s="374"/>
      <c r="CK15" s="374"/>
      <c r="CL15" s="374"/>
      <c r="CM15" s="374"/>
      <c r="CN15" s="374"/>
      <c r="CO15" s="374"/>
      <c r="CP15" s="374"/>
      <c r="CQ15" s="374"/>
      <c r="CR15" s="374"/>
      <c r="CS15" s="374"/>
      <c r="CT15" s="374"/>
      <c r="CU15" s="374"/>
      <c r="CV15" s="216">
        <f t="shared" si="9"/>
        <v>0</v>
      </c>
      <c r="CW15" s="320">
        <f t="shared" si="10"/>
        <v>0</v>
      </c>
      <c r="CX15" s="241">
        <f t="shared" si="11"/>
        <v>0</v>
      </c>
      <c r="CY15" s="241">
        <f t="shared" si="12"/>
        <v>0</v>
      </c>
      <c r="CZ15" s="241">
        <f t="shared" si="13"/>
        <v>0</v>
      </c>
      <c r="DA15" s="241">
        <f t="shared" si="14"/>
        <v>0</v>
      </c>
      <c r="DB15" s="346">
        <f t="shared" si="15"/>
        <v>0</v>
      </c>
      <c r="DC15" s="445">
        <f t="shared" si="16"/>
        <v>0</v>
      </c>
      <c r="DD15" s="447">
        <f t="shared" si="17"/>
        <v>0</v>
      </c>
      <c r="DE15" s="364">
        <f t="shared" si="18"/>
        <v>0</v>
      </c>
      <c r="DF15" s="365">
        <f t="shared" si="19"/>
        <v>0</v>
      </c>
      <c r="DG15" s="384">
        <f>IFERROR(VLOOKUP($A15,'BASE_558 QUARTELY'!$D:$V,6,FALSE)/1000,"")</f>
        <v>36.85</v>
      </c>
      <c r="DH15" s="384">
        <f>IFERROR(VLOOKUP($A15,'BASE_558 QUARTELY'!$D:$V,7,FALSE)/1000,"")</f>
        <v>35.394680000000001</v>
      </c>
      <c r="DI15" s="384">
        <f>IFERROR(VLOOKUP($A15,'BASE_558 QUARTELY'!$D:$V,8,FALSE)/1000,"")</f>
        <v>0</v>
      </c>
      <c r="DJ15" s="384">
        <f>IFERROR(VLOOKUP($A15,'BASE_558 QUARTELY'!$D:$V,9,FALSE)/1000,"")</f>
        <v>0</v>
      </c>
      <c r="DK15" s="384">
        <f>IFERROR(VLOOKUP($A15,'BASE_558 QUARTELY'!$D:$V,11,FALSE)/1000,"")</f>
        <v>35.394680000000001</v>
      </c>
      <c r="DL15" s="384">
        <f>IFERROR(VLOOKUP($A15,'BASE_558 QUARTELY'!$D:$V,12,FALSE)/1000,"")</f>
        <v>1.4553199999999999</v>
      </c>
      <c r="DM15" s="442"/>
      <c r="DN15" s="442"/>
    </row>
    <row r="16" spans="1:118" s="23" customFormat="1" ht="30" customHeight="1">
      <c r="A16" s="85" t="s">
        <v>2095</v>
      </c>
      <c r="B16" s="86">
        <v>20102</v>
      </c>
      <c r="C16" s="84" t="s">
        <v>609</v>
      </c>
      <c r="D16" s="85" t="s">
        <v>2794</v>
      </c>
      <c r="E16" s="85" t="s">
        <v>6</v>
      </c>
      <c r="F16" s="6" t="s">
        <v>6</v>
      </c>
      <c r="G16" s="85">
        <v>2023</v>
      </c>
      <c r="H16" s="84">
        <v>45075</v>
      </c>
      <c r="I16" s="84">
        <v>45582</v>
      </c>
      <c r="J16" s="85"/>
      <c r="K16" s="84">
        <v>45291</v>
      </c>
      <c r="L16" s="84">
        <v>45473</v>
      </c>
      <c r="M16" s="13" t="s">
        <v>222</v>
      </c>
      <c r="N16" s="13" t="s">
        <v>958</v>
      </c>
      <c r="O16" s="5" t="s">
        <v>2079</v>
      </c>
      <c r="P16" s="10" t="s">
        <v>1964</v>
      </c>
      <c r="Q16" s="3" t="s">
        <v>316</v>
      </c>
      <c r="R16" s="6" t="s">
        <v>218</v>
      </c>
      <c r="S16" s="6" t="str">
        <f t="shared" si="4"/>
        <v>IGUAL</v>
      </c>
      <c r="T16" s="151" t="str">
        <f>IFERROR(VLOOKUP(A16,STATUS_SAP_QUARTELY!B:C,2,FALSE),"NO BUDGET")</f>
        <v>CLSD BUDG ISBD AUC  AVAC SETC  //  BREL</v>
      </c>
      <c r="U16" s="6" t="str">
        <f t="shared" si="5"/>
        <v>CLSD</v>
      </c>
      <c r="V16" s="151" t="s">
        <v>2651</v>
      </c>
      <c r="W16" s="85"/>
      <c r="X16" s="499" t="s">
        <v>9607</v>
      </c>
      <c r="Y16" s="84">
        <v>45582</v>
      </c>
      <c r="Z16" s="85"/>
      <c r="AA16" s="318">
        <v>81.422240000000002</v>
      </c>
      <c r="AB16" s="223">
        <v>13.968999999999999</v>
      </c>
      <c r="AC16" s="318">
        <f t="shared" si="6"/>
        <v>0</v>
      </c>
      <c r="AD16" s="223"/>
      <c r="AE16" s="318"/>
      <c r="AF16" s="223"/>
      <c r="AG16" s="318"/>
      <c r="AH16" s="223"/>
      <c r="AI16" s="498">
        <v>46</v>
      </c>
      <c r="AJ16" s="223"/>
      <c r="AK16" s="333">
        <f t="shared" si="7"/>
        <v>0</v>
      </c>
      <c r="AL16" s="421"/>
      <c r="AM16" s="422"/>
      <c r="AN16" s="423">
        <f>SUMIFS(BASE_QUARTELY!$J:$J,BASE_QUARTELY!$A:$A,'AME - Quarterly'!$A16,BASE_QUARTELY!$B:$B,"janeiro")/1000</f>
        <v>0</v>
      </c>
      <c r="AO16" s="427"/>
      <c r="AP16" s="421"/>
      <c r="AQ16" s="422"/>
      <c r="AR16" s="423">
        <f>SUMIFS(BASE_QUARTELY!$J:$J,BASE_QUARTELY!$A:$A,'AME - Quarterly'!$A16,BASE_QUARTELY!$B:$B,"fevereiro")/1000</f>
        <v>0</v>
      </c>
      <c r="AS16" s="427"/>
      <c r="AT16" s="421"/>
      <c r="AU16" s="422"/>
      <c r="AV16" s="423">
        <f>SUMIFS(BASE_QUARTELY!$J:$J,BASE_QUARTELY!$A:$A,'AME - Quarterly'!$A16,BASE_QUARTELY!$B:$B,"março")/1000</f>
        <v>0</v>
      </c>
      <c r="AW16" s="427"/>
      <c r="AX16" s="421"/>
      <c r="AY16" s="422"/>
      <c r="AZ16" s="423">
        <f>SUMIFS(BASE_QUARTELY!$J:$J,BASE_QUARTELY!$A:$A,'AME - Quarterly'!$A16,BASE_QUARTELY!$B:$B,"abril")/1000</f>
        <v>0</v>
      </c>
      <c r="BA16" s="427"/>
      <c r="BB16" s="421"/>
      <c r="BC16" s="422">
        <v>0</v>
      </c>
      <c r="BD16" s="423">
        <f>SUMIFS(BASE_QUARTELY!$J:$J,BASE_QUARTELY!$A:$A,'AME - Quarterly'!$A16,BASE_QUARTELY!$B:$B,"maio")/1000</f>
        <v>0</v>
      </c>
      <c r="BE16" s="427"/>
      <c r="BF16" s="421"/>
      <c r="BG16" s="422"/>
      <c r="BH16" s="423">
        <f>SUMIFS(BASE_QUARTELY!$J:$J,BASE_QUARTELY!$A:$A,'AME - Quarterly'!$A16,BASE_QUARTELY!$B:$B,"junho")/1000</f>
        <v>0</v>
      </c>
      <c r="BI16" s="427"/>
      <c r="BJ16" s="421"/>
      <c r="BK16" s="422"/>
      <c r="BL16" s="423">
        <f>SUMIFS(BASE_QUARTELY!$J:$J,BASE_QUARTELY!$A:$A,'AME - Quarterly'!$A16,BASE_QUARTELY!$B:$B,"julho")/1000</f>
        <v>0</v>
      </c>
      <c r="BM16" s="427"/>
      <c r="BN16" s="421"/>
      <c r="BO16" s="422"/>
      <c r="BP16" s="423">
        <f>SUMIFS(BASE_QUARTELY!$J:$J,BASE_QUARTELY!$A:$A,'AME - Quarterly'!$A16,BASE_QUARTELY!$B:$B,"agosto")/1000</f>
        <v>0</v>
      </c>
      <c r="BQ16" s="427"/>
      <c r="BR16" s="421"/>
      <c r="BS16" s="422"/>
      <c r="BT16" s="423">
        <f>SUMIFS(BASE_QUARTELY!$J:$J,BASE_QUARTELY!$A:$A,'AME - Quarterly'!$A16,BASE_QUARTELY!$B:$B,"setembro")/1000</f>
        <v>0</v>
      </c>
      <c r="BU16" s="427"/>
      <c r="BV16" s="421"/>
      <c r="BW16" s="422"/>
      <c r="BX16" s="423">
        <f>SUMIFS(BASE_QUARTELY!$J:$J,BASE_QUARTELY!$A:$A,'AME - Quarterly'!$A16,BASE_QUARTELY!$B:$B,"outubro")/1000</f>
        <v>0</v>
      </c>
      <c r="BY16" s="427"/>
      <c r="BZ16" s="421"/>
      <c r="CA16" s="422"/>
      <c r="CB16" s="423">
        <f>SUMIFS(BASE_QUARTELY!$J:$J,BASE_QUARTELY!$A:$A,'AME - Quarterly'!$A16,BASE_QUARTELY!$B:$B,"novembro")/1000</f>
        <v>0</v>
      </c>
      <c r="CC16" s="427"/>
      <c r="CD16" s="421"/>
      <c r="CE16" s="422"/>
      <c r="CF16" s="423">
        <f>SUMIFS(BASE_QUARTELY!$J:$J,BASE_QUARTELY!$A:$A,'AME - Quarterly'!$A16,BASE_QUARTELY!$B:$B,"dezembro")/1000</f>
        <v>0</v>
      </c>
      <c r="CG16" s="427"/>
      <c r="CH16" s="452">
        <f t="shared" si="8"/>
        <v>0</v>
      </c>
      <c r="CI16" s="374"/>
      <c r="CJ16" s="374"/>
      <c r="CK16" s="374"/>
      <c r="CL16" s="374"/>
      <c r="CM16" s="374"/>
      <c r="CN16" s="374"/>
      <c r="CO16" s="374"/>
      <c r="CP16" s="374"/>
      <c r="CQ16" s="374"/>
      <c r="CR16" s="374"/>
      <c r="CS16" s="374"/>
      <c r="CT16" s="374"/>
      <c r="CU16" s="374"/>
      <c r="CV16" s="216">
        <f t="shared" si="9"/>
        <v>0</v>
      </c>
      <c r="CW16" s="320">
        <f t="shared" si="10"/>
        <v>0</v>
      </c>
      <c r="CX16" s="241">
        <f t="shared" si="11"/>
        <v>0</v>
      </c>
      <c r="CY16" s="241">
        <f t="shared" si="12"/>
        <v>0</v>
      </c>
      <c r="CZ16" s="241">
        <f t="shared" si="13"/>
        <v>0</v>
      </c>
      <c r="DA16" s="241">
        <f t="shared" si="14"/>
        <v>0</v>
      </c>
      <c r="DB16" s="346">
        <f t="shared" si="15"/>
        <v>0</v>
      </c>
      <c r="DC16" s="445">
        <f t="shared" si="16"/>
        <v>0</v>
      </c>
      <c r="DD16" s="447">
        <f t="shared" si="17"/>
        <v>0</v>
      </c>
      <c r="DE16" s="364">
        <f t="shared" si="18"/>
        <v>0</v>
      </c>
      <c r="DF16" s="365">
        <f t="shared" si="19"/>
        <v>0</v>
      </c>
      <c r="DG16" s="384">
        <f>IFERROR(VLOOKUP($A16,'BASE_558 QUARTELY'!$D:$V,6,FALSE)/1000,"")</f>
        <v>98</v>
      </c>
      <c r="DH16" s="384">
        <f>IFERROR(VLOOKUP($A16,'BASE_558 QUARTELY'!$D:$V,7,FALSE)/1000,"")</f>
        <v>95.39124000000001</v>
      </c>
      <c r="DI16" s="384">
        <f>IFERROR(VLOOKUP($A16,'BASE_558 QUARTELY'!$D:$V,8,FALSE)/1000,"")</f>
        <v>0</v>
      </c>
      <c r="DJ16" s="384">
        <f>IFERROR(VLOOKUP($A16,'BASE_558 QUARTELY'!$D:$V,9,FALSE)/1000,"")</f>
        <v>0</v>
      </c>
      <c r="DK16" s="384">
        <f>IFERROR(VLOOKUP($A16,'BASE_558 QUARTELY'!$D:$V,11,FALSE)/1000,"")</f>
        <v>95.39124000000001</v>
      </c>
      <c r="DL16" s="384">
        <f>IFERROR(VLOOKUP($A16,'BASE_558 QUARTELY'!$D:$V,12,FALSE)/1000,"")</f>
        <v>2.6087600000000002</v>
      </c>
      <c r="DM16" s="442"/>
      <c r="DN16" s="442"/>
    </row>
    <row r="17" spans="1:118" s="23" customFormat="1" ht="30" customHeight="1">
      <c r="A17" s="85" t="s">
        <v>2170</v>
      </c>
      <c r="B17" s="86">
        <v>45</v>
      </c>
      <c r="C17" s="84" t="s">
        <v>609</v>
      </c>
      <c r="D17" s="85" t="s">
        <v>2763</v>
      </c>
      <c r="E17" s="85" t="s">
        <v>6</v>
      </c>
      <c r="F17" s="357" t="s">
        <v>6</v>
      </c>
      <c r="G17" s="85">
        <v>2023</v>
      </c>
      <c r="H17" s="84">
        <v>45182</v>
      </c>
      <c r="I17" s="85" t="s">
        <v>9608</v>
      </c>
      <c r="J17" s="85"/>
      <c r="K17" s="84">
        <v>45291</v>
      </c>
      <c r="L17" s="84">
        <v>45473</v>
      </c>
      <c r="M17" s="13"/>
      <c r="N17" s="13"/>
      <c r="O17" s="5" t="s">
        <v>2124</v>
      </c>
      <c r="P17" s="10" t="s">
        <v>2174</v>
      </c>
      <c r="Q17" s="3" t="s">
        <v>2255</v>
      </c>
      <c r="R17" s="6" t="s">
        <v>218</v>
      </c>
      <c r="S17" s="6" t="str">
        <f t="shared" si="4"/>
        <v>IGUAL</v>
      </c>
      <c r="T17" s="151" t="str">
        <f>IFERROR(VLOOKUP(A17,STATUS_SAP_QUARTELY!B:C,2,FALSE),"NO BUDGET")</f>
        <v>CLSD BUDG AUC  AVAC SETC  //  BREL</v>
      </c>
      <c r="U17" s="6" t="str">
        <f t="shared" si="5"/>
        <v>CLSD</v>
      </c>
      <c r="V17" s="151" t="s">
        <v>2651</v>
      </c>
      <c r="W17" s="85"/>
      <c r="X17" s="499" t="s">
        <v>9607</v>
      </c>
      <c r="Y17" s="84">
        <v>45529</v>
      </c>
      <c r="Z17" s="85"/>
      <c r="AA17" s="318">
        <v>20.430520000000001</v>
      </c>
      <c r="AB17" s="223">
        <v>3.8039100000000001</v>
      </c>
      <c r="AC17" s="318">
        <f t="shared" si="6"/>
        <v>0</v>
      </c>
      <c r="AD17" s="223"/>
      <c r="AE17" s="318"/>
      <c r="AF17" s="223"/>
      <c r="AG17" s="318"/>
      <c r="AH17" s="223"/>
      <c r="AI17" s="498">
        <v>32</v>
      </c>
      <c r="AJ17" s="223"/>
      <c r="AK17" s="333">
        <f t="shared" si="7"/>
        <v>0</v>
      </c>
      <c r="AL17" s="421"/>
      <c r="AM17" s="422"/>
      <c r="AN17" s="423">
        <f>SUMIFS(BASE_QUARTELY!$J:$J,BASE_QUARTELY!$A:$A,'AME - Quarterly'!$A17,BASE_QUARTELY!$B:$B,"janeiro")/1000</f>
        <v>0</v>
      </c>
      <c r="AO17" s="427"/>
      <c r="AP17" s="421"/>
      <c r="AQ17" s="422"/>
      <c r="AR17" s="423">
        <f>SUMIFS(BASE_QUARTELY!$J:$J,BASE_QUARTELY!$A:$A,'AME - Quarterly'!$A17,BASE_QUARTELY!$B:$B,"fevereiro")/1000</f>
        <v>0</v>
      </c>
      <c r="AS17" s="427"/>
      <c r="AT17" s="421"/>
      <c r="AU17" s="422"/>
      <c r="AV17" s="423">
        <f>SUMIFS(BASE_QUARTELY!$J:$J,BASE_QUARTELY!$A:$A,'AME - Quarterly'!$A17,BASE_QUARTELY!$B:$B,"março")/1000</f>
        <v>0</v>
      </c>
      <c r="AW17" s="427"/>
      <c r="AX17" s="421"/>
      <c r="AY17" s="422"/>
      <c r="AZ17" s="423">
        <f>SUMIFS(BASE_QUARTELY!$J:$J,BASE_QUARTELY!$A:$A,'AME - Quarterly'!$A17,BASE_QUARTELY!$B:$B,"abril")/1000</f>
        <v>0</v>
      </c>
      <c r="BA17" s="427"/>
      <c r="BB17" s="421"/>
      <c r="BC17" s="422">
        <v>0</v>
      </c>
      <c r="BD17" s="423">
        <f>SUMIFS(BASE_QUARTELY!$J:$J,BASE_QUARTELY!$A:$A,'AME - Quarterly'!$A17,BASE_QUARTELY!$B:$B,"maio")/1000</f>
        <v>0</v>
      </c>
      <c r="BE17" s="427"/>
      <c r="BF17" s="421"/>
      <c r="BG17" s="422"/>
      <c r="BH17" s="423">
        <f>SUMIFS(BASE_QUARTELY!$J:$J,BASE_QUARTELY!$A:$A,'AME - Quarterly'!$A17,BASE_QUARTELY!$B:$B,"junho")/1000</f>
        <v>0</v>
      </c>
      <c r="BI17" s="427"/>
      <c r="BJ17" s="421"/>
      <c r="BK17" s="422"/>
      <c r="BL17" s="423">
        <f>SUMIFS(BASE_QUARTELY!$J:$J,BASE_QUARTELY!$A:$A,'AME - Quarterly'!$A17,BASE_QUARTELY!$B:$B,"julho")/1000</f>
        <v>0</v>
      </c>
      <c r="BM17" s="427"/>
      <c r="BN17" s="421"/>
      <c r="BO17" s="422"/>
      <c r="BP17" s="423">
        <f>SUMIFS(BASE_QUARTELY!$J:$J,BASE_QUARTELY!$A:$A,'AME - Quarterly'!$A17,BASE_QUARTELY!$B:$B,"agosto")/1000</f>
        <v>0</v>
      </c>
      <c r="BQ17" s="427"/>
      <c r="BR17" s="421"/>
      <c r="BS17" s="422"/>
      <c r="BT17" s="423">
        <f>SUMIFS(BASE_QUARTELY!$J:$J,BASE_QUARTELY!$A:$A,'AME - Quarterly'!$A17,BASE_QUARTELY!$B:$B,"setembro")/1000</f>
        <v>0</v>
      </c>
      <c r="BU17" s="427"/>
      <c r="BV17" s="421"/>
      <c r="BW17" s="422"/>
      <c r="BX17" s="423">
        <f>SUMIFS(BASE_QUARTELY!$J:$J,BASE_QUARTELY!$A:$A,'AME - Quarterly'!$A17,BASE_QUARTELY!$B:$B,"outubro")/1000</f>
        <v>0</v>
      </c>
      <c r="BY17" s="427"/>
      <c r="BZ17" s="421"/>
      <c r="CA17" s="422"/>
      <c r="CB17" s="423">
        <f>SUMIFS(BASE_QUARTELY!$J:$J,BASE_QUARTELY!$A:$A,'AME - Quarterly'!$A17,BASE_QUARTELY!$B:$B,"novembro")/1000</f>
        <v>0</v>
      </c>
      <c r="CC17" s="427"/>
      <c r="CD17" s="421"/>
      <c r="CE17" s="422"/>
      <c r="CF17" s="423">
        <f>SUMIFS(BASE_QUARTELY!$J:$J,BASE_QUARTELY!$A:$A,'AME - Quarterly'!$A17,BASE_QUARTELY!$B:$B,"dezembro")/1000</f>
        <v>0</v>
      </c>
      <c r="CG17" s="427"/>
      <c r="CH17" s="452">
        <f t="shared" si="8"/>
        <v>0</v>
      </c>
      <c r="CI17" s="374"/>
      <c r="CJ17" s="374"/>
      <c r="CK17" s="374"/>
      <c r="CL17" s="374"/>
      <c r="CM17" s="374"/>
      <c r="CN17" s="374"/>
      <c r="CO17" s="374"/>
      <c r="CP17" s="374"/>
      <c r="CQ17" s="374"/>
      <c r="CR17" s="374"/>
      <c r="CS17" s="374"/>
      <c r="CT17" s="374"/>
      <c r="CU17" s="374"/>
      <c r="CV17" s="216">
        <f t="shared" si="9"/>
        <v>0</v>
      </c>
      <c r="CW17" s="320">
        <f t="shared" si="10"/>
        <v>0</v>
      </c>
      <c r="CX17" s="241">
        <f t="shared" si="11"/>
        <v>0</v>
      </c>
      <c r="CY17" s="241">
        <f t="shared" si="12"/>
        <v>0</v>
      </c>
      <c r="CZ17" s="241">
        <f t="shared" si="13"/>
        <v>0</v>
      </c>
      <c r="DA17" s="241">
        <f t="shared" si="14"/>
        <v>0</v>
      </c>
      <c r="DB17" s="346">
        <f t="shared" si="15"/>
        <v>0</v>
      </c>
      <c r="DC17" s="445">
        <f t="shared" si="16"/>
        <v>0</v>
      </c>
      <c r="DD17" s="447">
        <f t="shared" si="17"/>
        <v>0</v>
      </c>
      <c r="DE17" s="364">
        <f t="shared" si="18"/>
        <v>0</v>
      </c>
      <c r="DF17" s="365">
        <f t="shared" si="19"/>
        <v>0</v>
      </c>
      <c r="DG17" s="384">
        <f>IFERROR(VLOOKUP($A17,'BASE_558 QUARTELY'!$D:$V,6,FALSE)/1000,"")</f>
        <v>28.395</v>
      </c>
      <c r="DH17" s="384">
        <f>IFERROR(VLOOKUP($A17,'BASE_558 QUARTELY'!$D:$V,7,FALSE)/1000,"")</f>
        <v>24.23443</v>
      </c>
      <c r="DI17" s="384">
        <f>IFERROR(VLOOKUP($A17,'BASE_558 QUARTELY'!$D:$V,8,FALSE)/1000,"")</f>
        <v>0</v>
      </c>
      <c r="DJ17" s="384">
        <f>IFERROR(VLOOKUP($A17,'BASE_558 QUARTELY'!$D:$V,9,FALSE)/1000,"")</f>
        <v>0</v>
      </c>
      <c r="DK17" s="384">
        <f>IFERROR(VLOOKUP($A17,'BASE_558 QUARTELY'!$D:$V,11,FALSE)/1000,"")</f>
        <v>24.23443</v>
      </c>
      <c r="DL17" s="384">
        <f>IFERROR(VLOOKUP($A17,'BASE_558 QUARTELY'!$D:$V,12,FALSE)/1000,"")</f>
        <v>4.1605699999999999</v>
      </c>
      <c r="DM17" s="442"/>
      <c r="DN17" s="442"/>
    </row>
    <row r="18" spans="1:118" s="23" customFormat="1" ht="30" customHeight="1">
      <c r="A18" s="85" t="s">
        <v>2171</v>
      </c>
      <c r="B18" s="86">
        <v>82</v>
      </c>
      <c r="C18" s="84" t="s">
        <v>609</v>
      </c>
      <c r="D18" s="85" t="s">
        <v>2764</v>
      </c>
      <c r="E18" s="85" t="s">
        <v>6</v>
      </c>
      <c r="F18" s="357" t="s">
        <v>3230</v>
      </c>
      <c r="G18" s="85">
        <v>2023</v>
      </c>
      <c r="H18" s="84">
        <v>45182</v>
      </c>
      <c r="I18" s="85" t="s">
        <v>9608</v>
      </c>
      <c r="J18" s="85" t="s">
        <v>6</v>
      </c>
      <c r="K18" s="84">
        <v>45291</v>
      </c>
      <c r="L18" s="84">
        <v>45473</v>
      </c>
      <c r="M18" s="13"/>
      <c r="N18" s="13"/>
      <c r="O18" s="5" t="s">
        <v>2124</v>
      </c>
      <c r="P18" s="10" t="s">
        <v>2175</v>
      </c>
      <c r="Q18" s="3" t="s">
        <v>186</v>
      </c>
      <c r="R18" s="6" t="s">
        <v>218</v>
      </c>
      <c r="S18" s="6" t="str">
        <f t="shared" si="4"/>
        <v>IGUAL</v>
      </c>
      <c r="T18" s="151" t="str">
        <f>IFERROR(VLOOKUP(A18,STATUS_SAP_QUARTELY!B:C,2,FALSE),"NO BUDGET")</f>
        <v>CLSD BUDG AUC  AVAC SETC  //  BREL</v>
      </c>
      <c r="U18" s="6" t="str">
        <f t="shared" si="5"/>
        <v>CLSD</v>
      </c>
      <c r="V18" s="151" t="s">
        <v>9609</v>
      </c>
      <c r="W18" s="85"/>
      <c r="X18" s="499" t="s">
        <v>9607</v>
      </c>
      <c r="Y18" s="84">
        <v>45529</v>
      </c>
      <c r="Z18" s="85"/>
      <c r="AA18" s="318">
        <v>1.2249300000000001</v>
      </c>
      <c r="AB18" s="223">
        <v>52.195730000000005</v>
      </c>
      <c r="AC18" s="318">
        <f t="shared" si="6"/>
        <v>0</v>
      </c>
      <c r="AD18" s="223"/>
      <c r="AE18" s="318"/>
      <c r="AF18" s="223"/>
      <c r="AG18" s="318"/>
      <c r="AH18" s="223"/>
      <c r="AI18" s="498">
        <v>93.079050000000009</v>
      </c>
      <c r="AJ18" s="223"/>
      <c r="AK18" s="333">
        <f t="shared" si="7"/>
        <v>0</v>
      </c>
      <c r="AL18" s="421"/>
      <c r="AM18" s="422"/>
      <c r="AN18" s="423">
        <f>SUMIFS(BASE_QUARTELY!$J:$J,BASE_QUARTELY!$A:$A,'AME - Quarterly'!$A18,BASE_QUARTELY!$B:$B,"janeiro")/1000</f>
        <v>0</v>
      </c>
      <c r="AO18" s="427"/>
      <c r="AP18" s="421"/>
      <c r="AQ18" s="422"/>
      <c r="AR18" s="423">
        <f>SUMIFS(BASE_QUARTELY!$J:$J,BASE_QUARTELY!$A:$A,'AME - Quarterly'!$A18,BASE_QUARTELY!$B:$B,"fevereiro")/1000</f>
        <v>0</v>
      </c>
      <c r="AS18" s="427"/>
      <c r="AT18" s="421"/>
      <c r="AU18" s="422"/>
      <c r="AV18" s="423">
        <f>SUMIFS(BASE_QUARTELY!$J:$J,BASE_QUARTELY!$A:$A,'AME - Quarterly'!$A18,BASE_QUARTELY!$B:$B,"março")/1000</f>
        <v>0</v>
      </c>
      <c r="AW18" s="427"/>
      <c r="AX18" s="421"/>
      <c r="AY18" s="422"/>
      <c r="AZ18" s="423">
        <f>SUMIFS(BASE_QUARTELY!$J:$J,BASE_QUARTELY!$A:$A,'AME - Quarterly'!$A18,BASE_QUARTELY!$B:$B,"abril")/1000</f>
        <v>0</v>
      </c>
      <c r="BA18" s="427"/>
      <c r="BB18" s="421"/>
      <c r="BC18" s="422">
        <v>0</v>
      </c>
      <c r="BD18" s="423">
        <f>SUMIFS(BASE_QUARTELY!$J:$J,BASE_QUARTELY!$A:$A,'AME - Quarterly'!$A18,BASE_QUARTELY!$B:$B,"maio")/1000</f>
        <v>0</v>
      </c>
      <c r="BE18" s="427"/>
      <c r="BF18" s="421"/>
      <c r="BG18" s="422"/>
      <c r="BH18" s="423">
        <f>SUMIFS(BASE_QUARTELY!$J:$J,BASE_QUARTELY!$A:$A,'AME - Quarterly'!$A18,BASE_QUARTELY!$B:$B,"junho")/1000</f>
        <v>0</v>
      </c>
      <c r="BI18" s="427"/>
      <c r="BJ18" s="421"/>
      <c r="BK18" s="422"/>
      <c r="BL18" s="423">
        <f>SUMIFS(BASE_QUARTELY!$J:$J,BASE_QUARTELY!$A:$A,'AME - Quarterly'!$A18,BASE_QUARTELY!$B:$B,"julho")/1000</f>
        <v>0</v>
      </c>
      <c r="BM18" s="427"/>
      <c r="BN18" s="421"/>
      <c r="BO18" s="422"/>
      <c r="BP18" s="423">
        <f>SUMIFS(BASE_QUARTELY!$J:$J,BASE_QUARTELY!$A:$A,'AME - Quarterly'!$A18,BASE_QUARTELY!$B:$B,"agosto")/1000</f>
        <v>0</v>
      </c>
      <c r="BQ18" s="427"/>
      <c r="BR18" s="421"/>
      <c r="BS18" s="422"/>
      <c r="BT18" s="423">
        <f>SUMIFS(BASE_QUARTELY!$J:$J,BASE_QUARTELY!$A:$A,'AME - Quarterly'!$A18,BASE_QUARTELY!$B:$B,"setembro")/1000</f>
        <v>0</v>
      </c>
      <c r="BU18" s="427"/>
      <c r="BV18" s="421"/>
      <c r="BW18" s="422"/>
      <c r="BX18" s="423">
        <f>SUMIFS(BASE_QUARTELY!$J:$J,BASE_QUARTELY!$A:$A,'AME - Quarterly'!$A18,BASE_QUARTELY!$B:$B,"outubro")/1000</f>
        <v>0</v>
      </c>
      <c r="BY18" s="427"/>
      <c r="BZ18" s="421"/>
      <c r="CA18" s="422"/>
      <c r="CB18" s="423">
        <f>SUMIFS(BASE_QUARTELY!$J:$J,BASE_QUARTELY!$A:$A,'AME - Quarterly'!$A18,BASE_QUARTELY!$B:$B,"novembro")/1000</f>
        <v>0</v>
      </c>
      <c r="CC18" s="427"/>
      <c r="CD18" s="421"/>
      <c r="CE18" s="422"/>
      <c r="CF18" s="423">
        <f>SUMIFS(BASE_QUARTELY!$J:$J,BASE_QUARTELY!$A:$A,'AME - Quarterly'!$A18,BASE_QUARTELY!$B:$B,"dezembro")/1000</f>
        <v>0</v>
      </c>
      <c r="CG18" s="427"/>
      <c r="CH18" s="452">
        <f t="shared" si="8"/>
        <v>0</v>
      </c>
      <c r="CI18" s="374"/>
      <c r="CJ18" s="374"/>
      <c r="CK18" s="374"/>
      <c r="CL18" s="374"/>
      <c r="CM18" s="374"/>
      <c r="CN18" s="374"/>
      <c r="CO18" s="374"/>
      <c r="CP18" s="374"/>
      <c r="CQ18" s="374"/>
      <c r="CR18" s="374"/>
      <c r="CS18" s="374"/>
      <c r="CT18" s="374"/>
      <c r="CU18" s="374"/>
      <c r="CV18" s="216">
        <f t="shared" si="9"/>
        <v>0</v>
      </c>
      <c r="CW18" s="320">
        <f t="shared" si="10"/>
        <v>0</v>
      </c>
      <c r="CX18" s="241">
        <f t="shared" si="11"/>
        <v>0</v>
      </c>
      <c r="CY18" s="241">
        <f t="shared" si="12"/>
        <v>0</v>
      </c>
      <c r="CZ18" s="241">
        <f t="shared" si="13"/>
        <v>0</v>
      </c>
      <c r="DA18" s="241">
        <f t="shared" si="14"/>
        <v>0</v>
      </c>
      <c r="DB18" s="346">
        <f t="shared" si="15"/>
        <v>0</v>
      </c>
      <c r="DC18" s="445">
        <f t="shared" si="16"/>
        <v>0</v>
      </c>
      <c r="DD18" s="447">
        <f t="shared" si="17"/>
        <v>0</v>
      </c>
      <c r="DE18" s="364">
        <f t="shared" si="18"/>
        <v>0</v>
      </c>
      <c r="DF18" s="365">
        <f t="shared" si="19"/>
        <v>0</v>
      </c>
      <c r="DG18" s="384">
        <f>IFERROR(VLOOKUP($A18,'BASE_558 QUARTELY'!$D:$V,6,FALSE)/1000,"")</f>
        <v>93.079050000000009</v>
      </c>
      <c r="DH18" s="384">
        <f>IFERROR(VLOOKUP($A18,'BASE_558 QUARTELY'!$D:$V,7,FALSE)/1000,"")</f>
        <v>53.420660000000005</v>
      </c>
      <c r="DI18" s="384">
        <f>IFERROR(VLOOKUP($A18,'BASE_558 QUARTELY'!$D:$V,8,FALSE)/1000,"")</f>
        <v>0</v>
      </c>
      <c r="DJ18" s="384">
        <f>IFERROR(VLOOKUP($A18,'BASE_558 QUARTELY'!$D:$V,9,FALSE)/1000,"")</f>
        <v>0</v>
      </c>
      <c r="DK18" s="384">
        <f>IFERROR(VLOOKUP($A18,'BASE_558 QUARTELY'!$D:$V,11,FALSE)/1000,"")</f>
        <v>53.420660000000005</v>
      </c>
      <c r="DL18" s="384">
        <f>IFERROR(VLOOKUP($A18,'BASE_558 QUARTELY'!$D:$V,12,FALSE)/1000,"")</f>
        <v>39.658389999999997</v>
      </c>
      <c r="DM18" s="442"/>
      <c r="DN18" s="442"/>
    </row>
    <row r="19" spans="1:118" s="23" customFormat="1" ht="30" customHeight="1">
      <c r="A19" s="85" t="s">
        <v>2172</v>
      </c>
      <c r="B19" s="86">
        <v>76</v>
      </c>
      <c r="C19" s="84" t="s">
        <v>609</v>
      </c>
      <c r="D19" s="85" t="s">
        <v>2649</v>
      </c>
      <c r="E19" s="85" t="s">
        <v>6</v>
      </c>
      <c r="F19" s="357" t="s">
        <v>6</v>
      </c>
      <c r="G19" s="85">
        <v>2023</v>
      </c>
      <c r="H19" s="84">
        <v>45182</v>
      </c>
      <c r="I19" s="85" t="s">
        <v>9608</v>
      </c>
      <c r="J19" s="85" t="s">
        <v>6</v>
      </c>
      <c r="K19" s="84">
        <v>45291</v>
      </c>
      <c r="L19" s="84">
        <v>45473</v>
      </c>
      <c r="M19" s="13"/>
      <c r="N19" s="13"/>
      <c r="O19" s="5" t="s">
        <v>2156</v>
      </c>
      <c r="P19" s="10" t="s">
        <v>2176</v>
      </c>
      <c r="Q19" s="3" t="s">
        <v>2255</v>
      </c>
      <c r="R19" s="6" t="s">
        <v>218</v>
      </c>
      <c r="S19" s="6" t="str">
        <f t="shared" si="4"/>
        <v>IGUAL</v>
      </c>
      <c r="T19" s="151" t="str">
        <f>IFERROR(VLOOKUP(A19,STATUS_SAP_QUARTELY!B:C,2,FALSE),"NO BUDGET")</f>
        <v>CLSD BUDG AUC  AVAC SETC  //  BREL</v>
      </c>
      <c r="U19" s="6" t="str">
        <f t="shared" si="5"/>
        <v>CLSD</v>
      </c>
      <c r="V19" s="151" t="s">
        <v>2651</v>
      </c>
      <c r="W19" s="85"/>
      <c r="X19" s="499" t="s">
        <v>9607</v>
      </c>
      <c r="Y19" s="84">
        <v>45529</v>
      </c>
      <c r="Z19" s="85"/>
      <c r="AA19" s="318">
        <v>58.371600000000001</v>
      </c>
      <c r="AB19" s="223">
        <v>15.217030000000001</v>
      </c>
      <c r="AC19" s="318">
        <f t="shared" si="6"/>
        <v>0</v>
      </c>
      <c r="AD19" s="223"/>
      <c r="AE19" s="318"/>
      <c r="AF19" s="223"/>
      <c r="AG19" s="318"/>
      <c r="AH19" s="223"/>
      <c r="AI19" s="498">
        <v>93.550250000000005</v>
      </c>
      <c r="AJ19" s="223"/>
      <c r="AK19" s="333">
        <f t="shared" si="7"/>
        <v>0</v>
      </c>
      <c r="AL19" s="421"/>
      <c r="AM19" s="422"/>
      <c r="AN19" s="423">
        <f>SUMIFS(BASE_QUARTELY!$J:$J,BASE_QUARTELY!$A:$A,'AME - Quarterly'!$A19,BASE_QUARTELY!$B:$B,"janeiro")/1000</f>
        <v>0</v>
      </c>
      <c r="AO19" s="427"/>
      <c r="AP19" s="421"/>
      <c r="AQ19" s="422"/>
      <c r="AR19" s="423">
        <f>SUMIFS(BASE_QUARTELY!$J:$J,BASE_QUARTELY!$A:$A,'AME - Quarterly'!$A19,BASE_QUARTELY!$B:$B,"fevereiro")/1000</f>
        <v>0</v>
      </c>
      <c r="AS19" s="427"/>
      <c r="AT19" s="421"/>
      <c r="AU19" s="422"/>
      <c r="AV19" s="423">
        <f>SUMIFS(BASE_QUARTELY!$J:$J,BASE_QUARTELY!$A:$A,'AME - Quarterly'!$A19,BASE_QUARTELY!$B:$B,"março")/1000</f>
        <v>0</v>
      </c>
      <c r="AW19" s="427"/>
      <c r="AX19" s="421"/>
      <c r="AY19" s="422"/>
      <c r="AZ19" s="423">
        <f>SUMIFS(BASE_QUARTELY!$J:$J,BASE_QUARTELY!$A:$A,'AME - Quarterly'!$A19,BASE_QUARTELY!$B:$B,"abril")/1000</f>
        <v>0</v>
      </c>
      <c r="BA19" s="427"/>
      <c r="BB19" s="421"/>
      <c r="BC19" s="422">
        <v>0</v>
      </c>
      <c r="BD19" s="423">
        <f>SUMIFS(BASE_QUARTELY!$J:$J,BASE_QUARTELY!$A:$A,'AME - Quarterly'!$A19,BASE_QUARTELY!$B:$B,"maio")/1000</f>
        <v>0</v>
      </c>
      <c r="BE19" s="427"/>
      <c r="BF19" s="421"/>
      <c r="BG19" s="422"/>
      <c r="BH19" s="423">
        <f>SUMIFS(BASE_QUARTELY!$J:$J,BASE_QUARTELY!$A:$A,'AME - Quarterly'!$A19,BASE_QUARTELY!$B:$B,"junho")/1000</f>
        <v>0</v>
      </c>
      <c r="BI19" s="427"/>
      <c r="BJ19" s="421"/>
      <c r="BK19" s="422"/>
      <c r="BL19" s="423">
        <f>SUMIFS(BASE_QUARTELY!$J:$J,BASE_QUARTELY!$A:$A,'AME - Quarterly'!$A19,BASE_QUARTELY!$B:$B,"julho")/1000</f>
        <v>0</v>
      </c>
      <c r="BM19" s="427"/>
      <c r="BN19" s="421"/>
      <c r="BO19" s="422"/>
      <c r="BP19" s="423">
        <f>SUMIFS(BASE_QUARTELY!$J:$J,BASE_QUARTELY!$A:$A,'AME - Quarterly'!$A19,BASE_QUARTELY!$B:$B,"agosto")/1000</f>
        <v>0</v>
      </c>
      <c r="BQ19" s="427"/>
      <c r="BR19" s="421"/>
      <c r="BS19" s="422"/>
      <c r="BT19" s="423">
        <f>SUMIFS(BASE_QUARTELY!$J:$J,BASE_QUARTELY!$A:$A,'AME - Quarterly'!$A19,BASE_QUARTELY!$B:$B,"setembro")/1000</f>
        <v>0</v>
      </c>
      <c r="BU19" s="427"/>
      <c r="BV19" s="421"/>
      <c r="BW19" s="422"/>
      <c r="BX19" s="423">
        <f>SUMIFS(BASE_QUARTELY!$J:$J,BASE_QUARTELY!$A:$A,'AME - Quarterly'!$A19,BASE_QUARTELY!$B:$B,"outubro")/1000</f>
        <v>0</v>
      </c>
      <c r="BY19" s="427"/>
      <c r="BZ19" s="421"/>
      <c r="CA19" s="422"/>
      <c r="CB19" s="423">
        <f>SUMIFS(BASE_QUARTELY!$J:$J,BASE_QUARTELY!$A:$A,'AME - Quarterly'!$A19,BASE_QUARTELY!$B:$B,"novembro")/1000</f>
        <v>0</v>
      </c>
      <c r="CC19" s="427"/>
      <c r="CD19" s="421"/>
      <c r="CE19" s="422"/>
      <c r="CF19" s="423">
        <f>SUMIFS(BASE_QUARTELY!$J:$J,BASE_QUARTELY!$A:$A,'AME - Quarterly'!$A19,BASE_QUARTELY!$B:$B,"dezembro")/1000</f>
        <v>0</v>
      </c>
      <c r="CG19" s="427"/>
      <c r="CH19" s="452">
        <f t="shared" si="8"/>
        <v>0</v>
      </c>
      <c r="CI19" s="374"/>
      <c r="CJ19" s="374"/>
      <c r="CK19" s="374"/>
      <c r="CL19" s="374"/>
      <c r="CM19" s="374"/>
      <c r="CN19" s="374"/>
      <c r="CO19" s="374"/>
      <c r="CP19" s="374"/>
      <c r="CQ19" s="374"/>
      <c r="CR19" s="374"/>
      <c r="CS19" s="374"/>
      <c r="CT19" s="374"/>
      <c r="CU19" s="374"/>
      <c r="CV19" s="216">
        <f t="shared" si="9"/>
        <v>0</v>
      </c>
      <c r="CW19" s="320">
        <f t="shared" si="10"/>
        <v>0</v>
      </c>
      <c r="CX19" s="241">
        <f t="shared" si="11"/>
        <v>0</v>
      </c>
      <c r="CY19" s="241">
        <f t="shared" si="12"/>
        <v>0</v>
      </c>
      <c r="CZ19" s="241">
        <f t="shared" si="13"/>
        <v>0</v>
      </c>
      <c r="DA19" s="241">
        <f t="shared" si="14"/>
        <v>0</v>
      </c>
      <c r="DB19" s="346">
        <f t="shared" si="15"/>
        <v>0</v>
      </c>
      <c r="DC19" s="445">
        <f t="shared" si="16"/>
        <v>0</v>
      </c>
      <c r="DD19" s="447">
        <f t="shared" si="17"/>
        <v>0</v>
      </c>
      <c r="DE19" s="364">
        <f t="shared" si="18"/>
        <v>0</v>
      </c>
      <c r="DF19" s="365">
        <f t="shared" si="19"/>
        <v>0</v>
      </c>
      <c r="DG19" s="384">
        <f>IFERROR(VLOOKUP($A19,'BASE_558 QUARTELY'!$D:$V,6,FALSE)/1000,"")</f>
        <v>99.950249999999997</v>
      </c>
      <c r="DH19" s="384">
        <f>IFERROR(VLOOKUP($A19,'BASE_558 QUARTELY'!$D:$V,7,FALSE)/1000,"")</f>
        <v>73.588630000000009</v>
      </c>
      <c r="DI19" s="384">
        <f>IFERROR(VLOOKUP($A19,'BASE_558 QUARTELY'!$D:$V,8,FALSE)/1000,"")</f>
        <v>0</v>
      </c>
      <c r="DJ19" s="384">
        <f>IFERROR(VLOOKUP($A19,'BASE_558 QUARTELY'!$D:$V,9,FALSE)/1000,"")</f>
        <v>0</v>
      </c>
      <c r="DK19" s="384">
        <f>IFERROR(VLOOKUP($A19,'BASE_558 QUARTELY'!$D:$V,11,FALSE)/1000,"")</f>
        <v>73.588630000000009</v>
      </c>
      <c r="DL19" s="384">
        <f>IFERROR(VLOOKUP($A19,'BASE_558 QUARTELY'!$D:$V,12,FALSE)/1000,"")</f>
        <v>26.361619999999998</v>
      </c>
      <c r="DM19" s="442"/>
      <c r="DN19" s="442"/>
    </row>
    <row r="20" spans="1:118" s="23" customFormat="1" ht="30" customHeight="1">
      <c r="A20" s="85" t="s">
        <v>2173</v>
      </c>
      <c r="B20" s="86">
        <v>4</v>
      </c>
      <c r="C20" s="84" t="s">
        <v>609</v>
      </c>
      <c r="D20" s="85" t="s">
        <v>2665</v>
      </c>
      <c r="E20" s="85" t="s">
        <v>6</v>
      </c>
      <c r="F20" s="357" t="s">
        <v>6</v>
      </c>
      <c r="G20" s="85">
        <v>2023</v>
      </c>
      <c r="H20" s="84">
        <v>45190</v>
      </c>
      <c r="I20" s="85" t="s">
        <v>9608</v>
      </c>
      <c r="J20" s="85"/>
      <c r="K20" s="84">
        <v>45291</v>
      </c>
      <c r="L20" s="84">
        <v>45473</v>
      </c>
      <c r="M20" s="13"/>
      <c r="N20" s="13"/>
      <c r="O20" s="5" t="s">
        <v>1961</v>
      </c>
      <c r="P20" s="10" t="s">
        <v>2177</v>
      </c>
      <c r="Q20" s="3" t="s">
        <v>316</v>
      </c>
      <c r="R20" s="6" t="s">
        <v>218</v>
      </c>
      <c r="S20" s="6" t="str">
        <f t="shared" si="4"/>
        <v>IGUAL</v>
      </c>
      <c r="T20" s="151" t="str">
        <f>IFERROR(VLOOKUP(A20,STATUS_SAP_QUARTELY!B:C,2,FALSE),"NO BUDGET")</f>
        <v>CLSD BUDG ISBD AUC  AVAC SETC  //  BREL</v>
      </c>
      <c r="U20" s="6" t="str">
        <f t="shared" si="5"/>
        <v>CLSD</v>
      </c>
      <c r="V20" s="151" t="s">
        <v>2651</v>
      </c>
      <c r="W20" s="85"/>
      <c r="X20" s="499" t="s">
        <v>9607</v>
      </c>
      <c r="Y20" s="84">
        <v>45529</v>
      </c>
      <c r="Z20" s="85"/>
      <c r="AA20" s="318">
        <v>0</v>
      </c>
      <c r="AB20" s="223">
        <v>39.527419999999999</v>
      </c>
      <c r="AC20" s="318">
        <f t="shared" si="6"/>
        <v>0</v>
      </c>
      <c r="AD20" s="223"/>
      <c r="AE20" s="318"/>
      <c r="AF20" s="223"/>
      <c r="AG20" s="318"/>
      <c r="AH20" s="223"/>
      <c r="AI20" s="498">
        <v>20.016999999999999</v>
      </c>
      <c r="AJ20" s="223"/>
      <c r="AK20" s="333">
        <f t="shared" si="7"/>
        <v>0</v>
      </c>
      <c r="AL20" s="421"/>
      <c r="AM20" s="422"/>
      <c r="AN20" s="423">
        <f>SUMIFS(BASE_QUARTELY!$J:$J,BASE_QUARTELY!$A:$A,'AME - Quarterly'!$A20,BASE_QUARTELY!$B:$B,"janeiro")/1000</f>
        <v>0</v>
      </c>
      <c r="AO20" s="427"/>
      <c r="AP20" s="421"/>
      <c r="AQ20" s="422"/>
      <c r="AR20" s="423">
        <f>SUMIFS(BASE_QUARTELY!$J:$J,BASE_QUARTELY!$A:$A,'AME - Quarterly'!$A20,BASE_QUARTELY!$B:$B,"fevereiro")/1000</f>
        <v>0</v>
      </c>
      <c r="AS20" s="427"/>
      <c r="AT20" s="421"/>
      <c r="AU20" s="422"/>
      <c r="AV20" s="423">
        <f>SUMIFS(BASE_QUARTELY!$J:$J,BASE_QUARTELY!$A:$A,'AME - Quarterly'!$A20,BASE_QUARTELY!$B:$B,"março")/1000</f>
        <v>0</v>
      </c>
      <c r="AW20" s="427"/>
      <c r="AX20" s="421"/>
      <c r="AY20" s="422"/>
      <c r="AZ20" s="423">
        <f>SUMIFS(BASE_QUARTELY!$J:$J,BASE_QUARTELY!$A:$A,'AME - Quarterly'!$A20,BASE_QUARTELY!$B:$B,"abril")/1000</f>
        <v>0</v>
      </c>
      <c r="BA20" s="427"/>
      <c r="BB20" s="421"/>
      <c r="BC20" s="422">
        <v>0</v>
      </c>
      <c r="BD20" s="423">
        <f>SUMIFS(BASE_QUARTELY!$J:$J,BASE_QUARTELY!$A:$A,'AME - Quarterly'!$A20,BASE_QUARTELY!$B:$B,"maio")/1000</f>
        <v>0</v>
      </c>
      <c r="BE20" s="427"/>
      <c r="BF20" s="421"/>
      <c r="BG20" s="422"/>
      <c r="BH20" s="423">
        <f>SUMIFS(BASE_QUARTELY!$J:$J,BASE_QUARTELY!$A:$A,'AME - Quarterly'!$A20,BASE_QUARTELY!$B:$B,"junho")/1000</f>
        <v>0</v>
      </c>
      <c r="BI20" s="427"/>
      <c r="BJ20" s="421"/>
      <c r="BK20" s="422"/>
      <c r="BL20" s="423">
        <f>SUMIFS(BASE_QUARTELY!$J:$J,BASE_QUARTELY!$A:$A,'AME - Quarterly'!$A20,BASE_QUARTELY!$B:$B,"julho")/1000</f>
        <v>0</v>
      </c>
      <c r="BM20" s="427"/>
      <c r="BN20" s="421"/>
      <c r="BO20" s="422"/>
      <c r="BP20" s="423">
        <f>SUMIFS(BASE_QUARTELY!$J:$J,BASE_QUARTELY!$A:$A,'AME - Quarterly'!$A20,BASE_QUARTELY!$B:$B,"agosto")/1000</f>
        <v>0</v>
      </c>
      <c r="BQ20" s="427"/>
      <c r="BR20" s="421"/>
      <c r="BS20" s="422"/>
      <c r="BT20" s="423">
        <f>SUMIFS(BASE_QUARTELY!$J:$J,BASE_QUARTELY!$A:$A,'AME - Quarterly'!$A20,BASE_QUARTELY!$B:$B,"setembro")/1000</f>
        <v>0</v>
      </c>
      <c r="BU20" s="427"/>
      <c r="BV20" s="421"/>
      <c r="BW20" s="422"/>
      <c r="BX20" s="423">
        <f>SUMIFS(BASE_QUARTELY!$J:$J,BASE_QUARTELY!$A:$A,'AME - Quarterly'!$A20,BASE_QUARTELY!$B:$B,"outubro")/1000</f>
        <v>0</v>
      </c>
      <c r="BY20" s="427"/>
      <c r="BZ20" s="421"/>
      <c r="CA20" s="422"/>
      <c r="CB20" s="423">
        <f>SUMIFS(BASE_QUARTELY!$J:$J,BASE_QUARTELY!$A:$A,'AME - Quarterly'!$A20,BASE_QUARTELY!$B:$B,"novembro")/1000</f>
        <v>0</v>
      </c>
      <c r="CC20" s="427"/>
      <c r="CD20" s="421"/>
      <c r="CE20" s="422"/>
      <c r="CF20" s="423">
        <f>SUMIFS(BASE_QUARTELY!$J:$J,BASE_QUARTELY!$A:$A,'AME - Quarterly'!$A20,BASE_QUARTELY!$B:$B,"dezembro")/1000</f>
        <v>0</v>
      </c>
      <c r="CG20" s="427"/>
      <c r="CH20" s="452">
        <f t="shared" si="8"/>
        <v>0</v>
      </c>
      <c r="CI20" s="374"/>
      <c r="CJ20" s="374"/>
      <c r="CK20" s="374"/>
      <c r="CL20" s="374"/>
      <c r="CM20" s="374"/>
      <c r="CN20" s="374"/>
      <c r="CO20" s="374"/>
      <c r="CP20" s="374"/>
      <c r="CQ20" s="374"/>
      <c r="CR20" s="374"/>
      <c r="CS20" s="374"/>
      <c r="CT20" s="374"/>
      <c r="CU20" s="374"/>
      <c r="CV20" s="216">
        <f t="shared" si="9"/>
        <v>0</v>
      </c>
      <c r="CW20" s="320">
        <f t="shared" si="10"/>
        <v>0</v>
      </c>
      <c r="CX20" s="241">
        <f t="shared" si="11"/>
        <v>0</v>
      </c>
      <c r="CY20" s="241">
        <f t="shared" si="12"/>
        <v>0</v>
      </c>
      <c r="CZ20" s="241">
        <f t="shared" si="13"/>
        <v>0</v>
      </c>
      <c r="DA20" s="241">
        <f t="shared" si="14"/>
        <v>0</v>
      </c>
      <c r="DB20" s="346">
        <f t="shared" si="15"/>
        <v>0</v>
      </c>
      <c r="DC20" s="445">
        <f t="shared" si="16"/>
        <v>0</v>
      </c>
      <c r="DD20" s="447">
        <f t="shared" si="17"/>
        <v>0</v>
      </c>
      <c r="DE20" s="364">
        <f t="shared" si="18"/>
        <v>0</v>
      </c>
      <c r="DF20" s="365">
        <f t="shared" si="19"/>
        <v>0</v>
      </c>
      <c r="DG20" s="384">
        <f>IFERROR(VLOOKUP($A20,'BASE_558 QUARTELY'!$D:$V,6,FALSE)/1000,"")</f>
        <v>41.017000000000003</v>
      </c>
      <c r="DH20" s="384">
        <f>IFERROR(VLOOKUP($A20,'BASE_558 QUARTELY'!$D:$V,7,FALSE)/1000,"")</f>
        <v>39.527419999999999</v>
      </c>
      <c r="DI20" s="384">
        <f>IFERROR(VLOOKUP($A20,'BASE_558 QUARTELY'!$D:$V,8,FALSE)/1000,"")</f>
        <v>0</v>
      </c>
      <c r="DJ20" s="384">
        <f>IFERROR(VLOOKUP($A20,'BASE_558 QUARTELY'!$D:$V,9,FALSE)/1000,"")</f>
        <v>0</v>
      </c>
      <c r="DK20" s="384">
        <f>IFERROR(VLOOKUP($A20,'BASE_558 QUARTELY'!$D:$V,11,FALSE)/1000,"")</f>
        <v>39.527419999999999</v>
      </c>
      <c r="DL20" s="384">
        <f>IFERROR(VLOOKUP($A20,'BASE_558 QUARTELY'!$D:$V,12,FALSE)/1000,"")</f>
        <v>1.4895799999999999</v>
      </c>
      <c r="DM20" s="442"/>
      <c r="DN20" s="442"/>
    </row>
    <row r="21" spans="1:118" s="23" customFormat="1" ht="30" customHeight="1">
      <c r="A21" s="85" t="s">
        <v>2184</v>
      </c>
      <c r="B21" s="86">
        <v>176</v>
      </c>
      <c r="C21" s="84" t="s">
        <v>609</v>
      </c>
      <c r="D21" s="85" t="s">
        <v>2701</v>
      </c>
      <c r="E21" s="85" t="s">
        <v>6</v>
      </c>
      <c r="F21" s="357" t="s">
        <v>6</v>
      </c>
      <c r="G21" s="85">
        <v>2023</v>
      </c>
      <c r="H21" s="84">
        <v>45195</v>
      </c>
      <c r="I21" s="85" t="s">
        <v>9608</v>
      </c>
      <c r="J21" s="85" t="s">
        <v>6</v>
      </c>
      <c r="K21" s="84">
        <v>45291</v>
      </c>
      <c r="L21" s="84">
        <v>45473</v>
      </c>
      <c r="M21" s="13"/>
      <c r="N21" s="13"/>
      <c r="O21" s="5" t="s">
        <v>2156</v>
      </c>
      <c r="P21" s="10" t="s">
        <v>2185</v>
      </c>
      <c r="Q21" s="3" t="s">
        <v>186</v>
      </c>
      <c r="R21" s="6" t="s">
        <v>218</v>
      </c>
      <c r="S21" s="6" t="str">
        <f t="shared" si="4"/>
        <v>IGUAL</v>
      </c>
      <c r="T21" s="151" t="str">
        <f>IFERROR(VLOOKUP(A21,STATUS_SAP_QUARTELY!B:C,2,FALSE),"NO BUDGET")</f>
        <v>CLSD BUDG AUC  AVAC SETC  //  BREL</v>
      </c>
      <c r="U21" s="6" t="str">
        <f t="shared" si="5"/>
        <v>CLSD</v>
      </c>
      <c r="V21" s="151" t="s">
        <v>2651</v>
      </c>
      <c r="W21" s="85"/>
      <c r="X21" s="499" t="s">
        <v>9607</v>
      </c>
      <c r="Y21" s="84">
        <v>45529</v>
      </c>
      <c r="Z21" s="85"/>
      <c r="AA21" s="318">
        <v>48.931449999999998</v>
      </c>
      <c r="AB21" s="223">
        <v>33.589390000000002</v>
      </c>
      <c r="AC21" s="318">
        <f t="shared" si="6"/>
        <v>0</v>
      </c>
      <c r="AD21" s="223"/>
      <c r="AE21" s="318"/>
      <c r="AF21" s="223"/>
      <c r="AG21" s="318"/>
      <c r="AH21" s="223"/>
      <c r="AI21" s="498">
        <v>97.860160000000008</v>
      </c>
      <c r="AJ21" s="223"/>
      <c r="AK21" s="333">
        <f t="shared" si="7"/>
        <v>0</v>
      </c>
      <c r="AL21" s="421"/>
      <c r="AM21" s="422"/>
      <c r="AN21" s="423">
        <f>SUMIFS(BASE_QUARTELY!$J:$J,BASE_QUARTELY!$A:$A,'AME - Quarterly'!$A21,BASE_QUARTELY!$B:$B,"janeiro")/1000</f>
        <v>0</v>
      </c>
      <c r="AO21" s="427"/>
      <c r="AP21" s="421"/>
      <c r="AQ21" s="422"/>
      <c r="AR21" s="423">
        <f>SUMIFS(BASE_QUARTELY!$J:$J,BASE_QUARTELY!$A:$A,'AME - Quarterly'!$A21,BASE_QUARTELY!$B:$B,"fevereiro")/1000</f>
        <v>0</v>
      </c>
      <c r="AS21" s="427"/>
      <c r="AT21" s="421"/>
      <c r="AU21" s="422"/>
      <c r="AV21" s="423">
        <f>SUMIFS(BASE_QUARTELY!$J:$J,BASE_QUARTELY!$A:$A,'AME - Quarterly'!$A21,BASE_QUARTELY!$B:$B,"março")/1000</f>
        <v>0</v>
      </c>
      <c r="AW21" s="427"/>
      <c r="AX21" s="421"/>
      <c r="AY21" s="422"/>
      <c r="AZ21" s="423">
        <f>SUMIFS(BASE_QUARTELY!$J:$J,BASE_QUARTELY!$A:$A,'AME - Quarterly'!$A21,BASE_QUARTELY!$B:$B,"abril")/1000</f>
        <v>0</v>
      </c>
      <c r="BA21" s="427"/>
      <c r="BB21" s="421"/>
      <c r="BC21" s="422">
        <v>0</v>
      </c>
      <c r="BD21" s="423">
        <f>SUMIFS(BASE_QUARTELY!$J:$J,BASE_QUARTELY!$A:$A,'AME - Quarterly'!$A21,BASE_QUARTELY!$B:$B,"maio")/1000</f>
        <v>0</v>
      </c>
      <c r="BE21" s="427"/>
      <c r="BF21" s="421"/>
      <c r="BG21" s="422"/>
      <c r="BH21" s="423">
        <f>SUMIFS(BASE_QUARTELY!$J:$J,BASE_QUARTELY!$A:$A,'AME - Quarterly'!$A21,BASE_QUARTELY!$B:$B,"junho")/1000</f>
        <v>0</v>
      </c>
      <c r="BI21" s="427"/>
      <c r="BJ21" s="421"/>
      <c r="BK21" s="422"/>
      <c r="BL21" s="423">
        <f>SUMIFS(BASE_QUARTELY!$J:$J,BASE_QUARTELY!$A:$A,'AME - Quarterly'!$A21,BASE_QUARTELY!$B:$B,"julho")/1000</f>
        <v>0</v>
      </c>
      <c r="BM21" s="427"/>
      <c r="BN21" s="421"/>
      <c r="BO21" s="422"/>
      <c r="BP21" s="423">
        <f>SUMIFS(BASE_QUARTELY!$J:$J,BASE_QUARTELY!$A:$A,'AME - Quarterly'!$A21,BASE_QUARTELY!$B:$B,"agosto")/1000</f>
        <v>0</v>
      </c>
      <c r="BQ21" s="427"/>
      <c r="BR21" s="421"/>
      <c r="BS21" s="422"/>
      <c r="BT21" s="423">
        <f>SUMIFS(BASE_QUARTELY!$J:$J,BASE_QUARTELY!$A:$A,'AME - Quarterly'!$A21,BASE_QUARTELY!$B:$B,"setembro")/1000</f>
        <v>0</v>
      </c>
      <c r="BU21" s="427"/>
      <c r="BV21" s="421"/>
      <c r="BW21" s="422"/>
      <c r="BX21" s="423">
        <f>SUMIFS(BASE_QUARTELY!$J:$J,BASE_QUARTELY!$A:$A,'AME - Quarterly'!$A21,BASE_QUARTELY!$B:$B,"outubro")/1000</f>
        <v>0</v>
      </c>
      <c r="BY21" s="427"/>
      <c r="BZ21" s="421"/>
      <c r="CA21" s="422"/>
      <c r="CB21" s="423">
        <f>SUMIFS(BASE_QUARTELY!$J:$J,BASE_QUARTELY!$A:$A,'AME - Quarterly'!$A21,BASE_QUARTELY!$B:$B,"novembro")/1000</f>
        <v>0</v>
      </c>
      <c r="CC21" s="427"/>
      <c r="CD21" s="421"/>
      <c r="CE21" s="422"/>
      <c r="CF21" s="423">
        <f>SUMIFS(BASE_QUARTELY!$J:$J,BASE_QUARTELY!$A:$A,'AME - Quarterly'!$A21,BASE_QUARTELY!$B:$B,"dezembro")/1000</f>
        <v>0</v>
      </c>
      <c r="CG21" s="427"/>
      <c r="CH21" s="452">
        <f t="shared" si="8"/>
        <v>0</v>
      </c>
      <c r="CI21" s="374"/>
      <c r="CJ21" s="374"/>
      <c r="CK21" s="374"/>
      <c r="CL21" s="374"/>
      <c r="CM21" s="374"/>
      <c r="CN21" s="374"/>
      <c r="CO21" s="374"/>
      <c r="CP21" s="374"/>
      <c r="CQ21" s="374"/>
      <c r="CR21" s="374"/>
      <c r="CS21" s="374"/>
      <c r="CT21" s="374"/>
      <c r="CU21" s="374"/>
      <c r="CV21" s="216">
        <f t="shared" si="9"/>
        <v>0</v>
      </c>
      <c r="CW21" s="320">
        <f t="shared" si="10"/>
        <v>0</v>
      </c>
      <c r="CX21" s="241">
        <f t="shared" si="11"/>
        <v>0</v>
      </c>
      <c r="CY21" s="241">
        <f t="shared" si="12"/>
        <v>0</v>
      </c>
      <c r="CZ21" s="241">
        <f t="shared" si="13"/>
        <v>0</v>
      </c>
      <c r="DA21" s="241">
        <f t="shared" si="14"/>
        <v>0</v>
      </c>
      <c r="DB21" s="346">
        <f t="shared" si="15"/>
        <v>0</v>
      </c>
      <c r="DC21" s="445">
        <f t="shared" si="16"/>
        <v>0</v>
      </c>
      <c r="DD21" s="447">
        <f t="shared" si="17"/>
        <v>0</v>
      </c>
      <c r="DE21" s="364">
        <f t="shared" si="18"/>
        <v>0</v>
      </c>
      <c r="DF21" s="365">
        <f t="shared" si="19"/>
        <v>0</v>
      </c>
      <c r="DG21" s="384">
        <f>IFERROR(VLOOKUP($A21,'BASE_558 QUARTELY'!$D:$V,6,FALSE)/1000,"")</f>
        <v>97.860160000000008</v>
      </c>
      <c r="DH21" s="384">
        <f>IFERROR(VLOOKUP($A21,'BASE_558 QUARTELY'!$D:$V,7,FALSE)/1000,"")</f>
        <v>82.520839999999993</v>
      </c>
      <c r="DI21" s="384">
        <f>IFERROR(VLOOKUP($A21,'BASE_558 QUARTELY'!$D:$V,8,FALSE)/1000,"")</f>
        <v>0</v>
      </c>
      <c r="DJ21" s="384">
        <f>IFERROR(VLOOKUP($A21,'BASE_558 QUARTELY'!$D:$V,9,FALSE)/1000,"")</f>
        <v>0</v>
      </c>
      <c r="DK21" s="384">
        <f>IFERROR(VLOOKUP($A21,'BASE_558 QUARTELY'!$D:$V,11,FALSE)/1000,"")</f>
        <v>82.520839999999993</v>
      </c>
      <c r="DL21" s="384">
        <f>IFERROR(VLOOKUP($A21,'BASE_558 QUARTELY'!$D:$V,12,FALSE)/1000,"")</f>
        <v>15.339319999999999</v>
      </c>
      <c r="DM21" s="442"/>
      <c r="DN21" s="442"/>
    </row>
    <row r="22" spans="1:118" s="23" customFormat="1" ht="30" customHeight="1">
      <c r="A22" s="85" t="s">
        <v>2202</v>
      </c>
      <c r="B22" s="86">
        <v>34</v>
      </c>
      <c r="C22" s="84" t="s">
        <v>609</v>
      </c>
      <c r="D22" s="85" t="s">
        <v>2900</v>
      </c>
      <c r="E22" s="85" t="s">
        <v>6</v>
      </c>
      <c r="F22" s="357" t="s">
        <v>6</v>
      </c>
      <c r="G22" s="85">
        <v>2023</v>
      </c>
      <c r="H22" s="84">
        <v>45203</v>
      </c>
      <c r="I22" s="85" t="s">
        <v>9608</v>
      </c>
      <c r="J22" s="85"/>
      <c r="K22" s="84">
        <v>45291</v>
      </c>
      <c r="L22" s="84">
        <v>45473</v>
      </c>
      <c r="M22" s="13"/>
      <c r="N22" s="13"/>
      <c r="O22" s="5" t="s">
        <v>2251</v>
      </c>
      <c r="P22" s="10" t="s">
        <v>2204</v>
      </c>
      <c r="Q22" s="3" t="s">
        <v>2255</v>
      </c>
      <c r="R22" s="6" t="s">
        <v>218</v>
      </c>
      <c r="S22" s="6" t="str">
        <f t="shared" si="4"/>
        <v>IGUAL</v>
      </c>
      <c r="T22" s="151" t="str">
        <f>IFERROR(VLOOKUP(A22,STATUS_SAP_QUARTELY!B:C,2,FALSE),"NO BUDGET")</f>
        <v>CLSD BUDG AUC  AVAC SETC  //  BREL</v>
      </c>
      <c r="U22" s="6" t="str">
        <f t="shared" si="5"/>
        <v>CLSD</v>
      </c>
      <c r="V22" s="151" t="s">
        <v>2651</v>
      </c>
      <c r="W22" s="85"/>
      <c r="X22" s="499" t="s">
        <v>9607</v>
      </c>
      <c r="Y22" s="84">
        <v>45529</v>
      </c>
      <c r="Z22" s="85"/>
      <c r="AA22" s="318">
        <v>35.749299999999998</v>
      </c>
      <c r="AB22" s="223">
        <v>1.5951900000000001</v>
      </c>
      <c r="AC22" s="318">
        <f t="shared" si="6"/>
        <v>0</v>
      </c>
      <c r="AD22" s="223"/>
      <c r="AE22" s="318"/>
      <c r="AF22" s="223"/>
      <c r="AG22" s="318"/>
      <c r="AH22" s="223"/>
      <c r="AI22" s="498">
        <v>50.042499999999997</v>
      </c>
      <c r="AJ22" s="223"/>
      <c r="AK22" s="333">
        <f t="shared" si="7"/>
        <v>0</v>
      </c>
      <c r="AL22" s="421"/>
      <c r="AM22" s="422"/>
      <c r="AN22" s="423">
        <f>SUMIFS(BASE_QUARTELY!$J:$J,BASE_QUARTELY!$A:$A,'AME - Quarterly'!$A22,BASE_QUARTELY!$B:$B,"janeiro")/1000</f>
        <v>0</v>
      </c>
      <c r="AO22" s="427"/>
      <c r="AP22" s="421"/>
      <c r="AQ22" s="422"/>
      <c r="AR22" s="423">
        <f>SUMIFS(BASE_QUARTELY!$J:$J,BASE_QUARTELY!$A:$A,'AME - Quarterly'!$A22,BASE_QUARTELY!$B:$B,"fevereiro")/1000</f>
        <v>0</v>
      </c>
      <c r="AS22" s="427"/>
      <c r="AT22" s="421"/>
      <c r="AU22" s="422"/>
      <c r="AV22" s="423">
        <f>SUMIFS(BASE_QUARTELY!$J:$J,BASE_QUARTELY!$A:$A,'AME - Quarterly'!$A22,BASE_QUARTELY!$B:$B,"março")/1000</f>
        <v>0</v>
      </c>
      <c r="AW22" s="427"/>
      <c r="AX22" s="421"/>
      <c r="AY22" s="422"/>
      <c r="AZ22" s="423">
        <f>SUMIFS(BASE_QUARTELY!$J:$J,BASE_QUARTELY!$A:$A,'AME - Quarterly'!$A22,BASE_QUARTELY!$B:$B,"abril")/1000</f>
        <v>0</v>
      </c>
      <c r="BA22" s="427"/>
      <c r="BB22" s="421"/>
      <c r="BC22" s="422">
        <v>0</v>
      </c>
      <c r="BD22" s="423">
        <f>SUMIFS(BASE_QUARTELY!$J:$J,BASE_QUARTELY!$A:$A,'AME - Quarterly'!$A22,BASE_QUARTELY!$B:$B,"maio")/1000</f>
        <v>0</v>
      </c>
      <c r="BE22" s="427"/>
      <c r="BF22" s="421"/>
      <c r="BG22" s="422"/>
      <c r="BH22" s="423">
        <f>SUMIFS(BASE_QUARTELY!$J:$J,BASE_QUARTELY!$A:$A,'AME - Quarterly'!$A22,BASE_QUARTELY!$B:$B,"junho")/1000</f>
        <v>0</v>
      </c>
      <c r="BI22" s="427"/>
      <c r="BJ22" s="421"/>
      <c r="BK22" s="422"/>
      <c r="BL22" s="423">
        <f>SUMIFS(BASE_QUARTELY!$J:$J,BASE_QUARTELY!$A:$A,'AME - Quarterly'!$A22,BASE_QUARTELY!$B:$B,"julho")/1000</f>
        <v>0</v>
      </c>
      <c r="BM22" s="427"/>
      <c r="BN22" s="421"/>
      <c r="BO22" s="422"/>
      <c r="BP22" s="423">
        <f>SUMIFS(BASE_QUARTELY!$J:$J,BASE_QUARTELY!$A:$A,'AME - Quarterly'!$A22,BASE_QUARTELY!$B:$B,"agosto")/1000</f>
        <v>0</v>
      </c>
      <c r="BQ22" s="427"/>
      <c r="BR22" s="421"/>
      <c r="BS22" s="422"/>
      <c r="BT22" s="423">
        <f>SUMIFS(BASE_QUARTELY!$J:$J,BASE_QUARTELY!$A:$A,'AME - Quarterly'!$A22,BASE_QUARTELY!$B:$B,"setembro")/1000</f>
        <v>0</v>
      </c>
      <c r="BU22" s="427"/>
      <c r="BV22" s="421"/>
      <c r="BW22" s="422"/>
      <c r="BX22" s="423">
        <f>SUMIFS(BASE_QUARTELY!$J:$J,BASE_QUARTELY!$A:$A,'AME - Quarterly'!$A22,BASE_QUARTELY!$B:$B,"outubro")/1000</f>
        <v>0</v>
      </c>
      <c r="BY22" s="427"/>
      <c r="BZ22" s="421"/>
      <c r="CA22" s="422"/>
      <c r="CB22" s="423">
        <f>SUMIFS(BASE_QUARTELY!$J:$J,BASE_QUARTELY!$A:$A,'AME - Quarterly'!$A22,BASE_QUARTELY!$B:$B,"novembro")/1000</f>
        <v>0</v>
      </c>
      <c r="CC22" s="427"/>
      <c r="CD22" s="421"/>
      <c r="CE22" s="422"/>
      <c r="CF22" s="423">
        <f>SUMIFS(BASE_QUARTELY!$J:$J,BASE_QUARTELY!$A:$A,'AME - Quarterly'!$A22,BASE_QUARTELY!$B:$B,"dezembro")/1000</f>
        <v>0</v>
      </c>
      <c r="CG22" s="427"/>
      <c r="CH22" s="452">
        <f t="shared" si="8"/>
        <v>0</v>
      </c>
      <c r="CI22" s="374"/>
      <c r="CJ22" s="374"/>
      <c r="CK22" s="374"/>
      <c r="CL22" s="374"/>
      <c r="CM22" s="374"/>
      <c r="CN22" s="374"/>
      <c r="CO22" s="374"/>
      <c r="CP22" s="374"/>
      <c r="CQ22" s="374"/>
      <c r="CR22" s="374"/>
      <c r="CS22" s="374"/>
      <c r="CT22" s="374"/>
      <c r="CU22" s="374"/>
      <c r="CV22" s="216">
        <f t="shared" si="9"/>
        <v>0</v>
      </c>
      <c r="CW22" s="320">
        <f t="shared" si="10"/>
        <v>0</v>
      </c>
      <c r="CX22" s="241">
        <f t="shared" si="11"/>
        <v>0</v>
      </c>
      <c r="CY22" s="241">
        <f t="shared" si="12"/>
        <v>0</v>
      </c>
      <c r="CZ22" s="241">
        <f t="shared" si="13"/>
        <v>0</v>
      </c>
      <c r="DA22" s="241">
        <f t="shared" si="14"/>
        <v>0</v>
      </c>
      <c r="DB22" s="346">
        <f t="shared" si="15"/>
        <v>0</v>
      </c>
      <c r="DC22" s="445">
        <f t="shared" si="16"/>
        <v>0</v>
      </c>
      <c r="DD22" s="447">
        <f t="shared" si="17"/>
        <v>0</v>
      </c>
      <c r="DE22" s="364">
        <f t="shared" si="18"/>
        <v>0</v>
      </c>
      <c r="DF22" s="365">
        <f t="shared" si="19"/>
        <v>0</v>
      </c>
      <c r="DG22" s="384">
        <f>IFERROR(VLOOKUP($A22,'BASE_558 QUARTELY'!$D:$V,6,FALSE)/1000,"")</f>
        <v>50.042499999999997</v>
      </c>
      <c r="DH22" s="384">
        <f>IFERROR(VLOOKUP($A22,'BASE_558 QUARTELY'!$D:$V,7,FALSE)/1000,"")</f>
        <v>37.34449</v>
      </c>
      <c r="DI22" s="384">
        <f>IFERROR(VLOOKUP($A22,'BASE_558 QUARTELY'!$D:$V,8,FALSE)/1000,"")</f>
        <v>0</v>
      </c>
      <c r="DJ22" s="384">
        <f>IFERROR(VLOOKUP($A22,'BASE_558 QUARTELY'!$D:$V,9,FALSE)/1000,"")</f>
        <v>0</v>
      </c>
      <c r="DK22" s="384">
        <f>IFERROR(VLOOKUP($A22,'BASE_558 QUARTELY'!$D:$V,11,FALSE)/1000,"")</f>
        <v>37.34449</v>
      </c>
      <c r="DL22" s="384">
        <f>IFERROR(VLOOKUP($A22,'BASE_558 QUARTELY'!$D:$V,12,FALSE)/1000,"")</f>
        <v>12.69801</v>
      </c>
      <c r="DM22" s="442"/>
      <c r="DN22" s="442"/>
    </row>
    <row r="23" spans="1:118" s="23" customFormat="1" ht="30" customHeight="1">
      <c r="A23" s="85" t="s">
        <v>2423</v>
      </c>
      <c r="B23" s="86">
        <v>63</v>
      </c>
      <c r="C23" s="84" t="s">
        <v>609</v>
      </c>
      <c r="D23" s="85" t="s">
        <v>2901</v>
      </c>
      <c r="E23" s="85" t="s">
        <v>6</v>
      </c>
      <c r="F23" s="357" t="s">
        <v>6</v>
      </c>
      <c r="G23" s="85">
        <v>2023</v>
      </c>
      <c r="H23" s="84">
        <v>45205</v>
      </c>
      <c r="I23" s="84">
        <v>45561</v>
      </c>
      <c r="J23" s="85"/>
      <c r="K23" s="84">
        <v>45291</v>
      </c>
      <c r="L23" s="84">
        <v>45473</v>
      </c>
      <c r="M23" s="13"/>
      <c r="N23" s="13"/>
      <c r="O23" s="5" t="s">
        <v>2251</v>
      </c>
      <c r="P23" s="10" t="s">
        <v>2424</v>
      </c>
      <c r="Q23" s="3" t="s">
        <v>2255</v>
      </c>
      <c r="R23" s="6" t="s">
        <v>218</v>
      </c>
      <c r="S23" s="6" t="str">
        <f t="shared" si="4"/>
        <v>IGUAL</v>
      </c>
      <c r="T23" s="151" t="str">
        <f>IFERROR(VLOOKUP(A23,STATUS_SAP_QUARTELY!B:C,2,FALSE),"NO BUDGET")</f>
        <v>CLSD BUDG AUC  AVAC SETC  //  BREL</v>
      </c>
      <c r="U23" s="6" t="str">
        <f t="shared" si="5"/>
        <v>CLSD</v>
      </c>
      <c r="V23" s="151" t="s">
        <v>2651</v>
      </c>
      <c r="W23" s="85"/>
      <c r="X23" s="499" t="s">
        <v>9607</v>
      </c>
      <c r="Y23" s="84">
        <v>45561</v>
      </c>
      <c r="Z23" s="85"/>
      <c r="AA23" s="318">
        <v>0</v>
      </c>
      <c r="AB23" s="223">
        <v>16.880179999999999</v>
      </c>
      <c r="AC23" s="318">
        <f t="shared" si="6"/>
        <v>0</v>
      </c>
      <c r="AD23" s="223"/>
      <c r="AE23" s="318"/>
      <c r="AF23" s="223"/>
      <c r="AG23" s="318"/>
      <c r="AH23" s="223"/>
      <c r="AI23" s="498">
        <v>20.016999999999999</v>
      </c>
      <c r="AJ23" s="223"/>
      <c r="AK23" s="333">
        <f t="shared" si="7"/>
        <v>0</v>
      </c>
      <c r="AL23" s="421"/>
      <c r="AM23" s="422"/>
      <c r="AN23" s="423">
        <f>SUMIFS(BASE_QUARTELY!$J:$J,BASE_QUARTELY!$A:$A,'AME - Quarterly'!$A23,BASE_QUARTELY!$B:$B,"janeiro")/1000</f>
        <v>0</v>
      </c>
      <c r="AO23" s="427"/>
      <c r="AP23" s="421"/>
      <c r="AQ23" s="422"/>
      <c r="AR23" s="423">
        <f>SUMIFS(BASE_QUARTELY!$J:$J,BASE_QUARTELY!$A:$A,'AME - Quarterly'!$A23,BASE_QUARTELY!$B:$B,"fevereiro")/1000</f>
        <v>0</v>
      </c>
      <c r="AS23" s="427"/>
      <c r="AT23" s="421"/>
      <c r="AU23" s="422"/>
      <c r="AV23" s="423">
        <f>SUMIFS(BASE_QUARTELY!$J:$J,BASE_QUARTELY!$A:$A,'AME - Quarterly'!$A23,BASE_QUARTELY!$B:$B,"março")/1000</f>
        <v>0</v>
      </c>
      <c r="AW23" s="427"/>
      <c r="AX23" s="421"/>
      <c r="AY23" s="422"/>
      <c r="AZ23" s="423">
        <f>SUMIFS(BASE_QUARTELY!$J:$J,BASE_QUARTELY!$A:$A,'AME - Quarterly'!$A23,BASE_QUARTELY!$B:$B,"abril")/1000</f>
        <v>0</v>
      </c>
      <c r="BA23" s="427"/>
      <c r="BB23" s="421"/>
      <c r="BC23" s="422">
        <v>0</v>
      </c>
      <c r="BD23" s="423">
        <f>SUMIFS(BASE_QUARTELY!$J:$J,BASE_QUARTELY!$A:$A,'AME - Quarterly'!$A23,BASE_QUARTELY!$B:$B,"maio")/1000</f>
        <v>0</v>
      </c>
      <c r="BE23" s="427"/>
      <c r="BF23" s="421"/>
      <c r="BG23" s="422"/>
      <c r="BH23" s="423">
        <f>SUMIFS(BASE_QUARTELY!$J:$J,BASE_QUARTELY!$A:$A,'AME - Quarterly'!$A23,BASE_QUARTELY!$B:$B,"junho")/1000</f>
        <v>0</v>
      </c>
      <c r="BI23" s="427"/>
      <c r="BJ23" s="421"/>
      <c r="BK23" s="422"/>
      <c r="BL23" s="423">
        <f>SUMIFS(BASE_QUARTELY!$J:$J,BASE_QUARTELY!$A:$A,'AME - Quarterly'!$A23,BASE_QUARTELY!$B:$B,"julho")/1000</f>
        <v>0</v>
      </c>
      <c r="BM23" s="427"/>
      <c r="BN23" s="421"/>
      <c r="BO23" s="422"/>
      <c r="BP23" s="423">
        <f>SUMIFS(BASE_QUARTELY!$J:$J,BASE_QUARTELY!$A:$A,'AME - Quarterly'!$A23,BASE_QUARTELY!$B:$B,"agosto")/1000</f>
        <v>0</v>
      </c>
      <c r="BQ23" s="427"/>
      <c r="BR23" s="421"/>
      <c r="BS23" s="422"/>
      <c r="BT23" s="423">
        <f>SUMIFS(BASE_QUARTELY!$J:$J,BASE_QUARTELY!$A:$A,'AME - Quarterly'!$A23,BASE_QUARTELY!$B:$B,"setembro")/1000</f>
        <v>0</v>
      </c>
      <c r="BU23" s="427"/>
      <c r="BV23" s="421"/>
      <c r="BW23" s="422"/>
      <c r="BX23" s="423">
        <f>SUMIFS(BASE_QUARTELY!$J:$J,BASE_QUARTELY!$A:$A,'AME - Quarterly'!$A23,BASE_QUARTELY!$B:$B,"outubro")/1000</f>
        <v>0</v>
      </c>
      <c r="BY23" s="427"/>
      <c r="BZ23" s="421"/>
      <c r="CA23" s="422"/>
      <c r="CB23" s="423">
        <f>SUMIFS(BASE_QUARTELY!$J:$J,BASE_QUARTELY!$A:$A,'AME - Quarterly'!$A23,BASE_QUARTELY!$B:$B,"novembro")/1000</f>
        <v>0</v>
      </c>
      <c r="CC23" s="427"/>
      <c r="CD23" s="421"/>
      <c r="CE23" s="422"/>
      <c r="CF23" s="423">
        <f>SUMIFS(BASE_QUARTELY!$J:$J,BASE_QUARTELY!$A:$A,'AME - Quarterly'!$A23,BASE_QUARTELY!$B:$B,"dezembro")/1000</f>
        <v>0</v>
      </c>
      <c r="CG23" s="427"/>
      <c r="CH23" s="452">
        <f t="shared" si="8"/>
        <v>0</v>
      </c>
      <c r="CI23" s="374"/>
      <c r="CJ23" s="374"/>
      <c r="CK23" s="374"/>
      <c r="CL23" s="374"/>
      <c r="CM23" s="374"/>
      <c r="CN23" s="374"/>
      <c r="CO23" s="374"/>
      <c r="CP23" s="374"/>
      <c r="CQ23" s="374"/>
      <c r="CR23" s="374"/>
      <c r="CS23" s="374"/>
      <c r="CT23" s="374"/>
      <c r="CU23" s="374"/>
      <c r="CV23" s="216">
        <f t="shared" si="9"/>
        <v>0</v>
      </c>
      <c r="CW23" s="320">
        <f t="shared" si="10"/>
        <v>0</v>
      </c>
      <c r="CX23" s="241">
        <f t="shared" si="11"/>
        <v>0</v>
      </c>
      <c r="CY23" s="241">
        <f t="shared" si="12"/>
        <v>0</v>
      </c>
      <c r="CZ23" s="241">
        <f t="shared" si="13"/>
        <v>0</v>
      </c>
      <c r="DA23" s="241">
        <f t="shared" si="14"/>
        <v>0</v>
      </c>
      <c r="DB23" s="346">
        <f t="shared" si="15"/>
        <v>0</v>
      </c>
      <c r="DC23" s="445">
        <f t="shared" si="16"/>
        <v>0</v>
      </c>
      <c r="DD23" s="447">
        <f t="shared" si="17"/>
        <v>0</v>
      </c>
      <c r="DE23" s="364">
        <f t="shared" si="18"/>
        <v>0</v>
      </c>
      <c r="DF23" s="365">
        <f t="shared" si="19"/>
        <v>0</v>
      </c>
      <c r="DG23" s="384">
        <f>IFERROR(VLOOKUP($A23,'BASE_558 QUARTELY'!$D:$V,6,FALSE)/1000,"")</f>
        <v>24.016999999999999</v>
      </c>
      <c r="DH23" s="384">
        <f>IFERROR(VLOOKUP($A23,'BASE_558 QUARTELY'!$D:$V,7,FALSE)/1000,"")</f>
        <v>16.880179999999999</v>
      </c>
      <c r="DI23" s="384">
        <f>IFERROR(VLOOKUP($A23,'BASE_558 QUARTELY'!$D:$V,8,FALSE)/1000,"")</f>
        <v>0</v>
      </c>
      <c r="DJ23" s="384">
        <f>IFERROR(VLOOKUP($A23,'BASE_558 QUARTELY'!$D:$V,9,FALSE)/1000,"")</f>
        <v>0</v>
      </c>
      <c r="DK23" s="384">
        <f>IFERROR(VLOOKUP($A23,'BASE_558 QUARTELY'!$D:$V,11,FALSE)/1000,"")</f>
        <v>16.880179999999999</v>
      </c>
      <c r="DL23" s="384">
        <f>IFERROR(VLOOKUP($A23,'BASE_558 QUARTELY'!$D:$V,12,FALSE)/1000,"")</f>
        <v>7.1368199999999993</v>
      </c>
      <c r="DM23" s="442"/>
      <c r="DN23" s="442"/>
    </row>
    <row r="24" spans="1:118" s="23" customFormat="1" ht="30" customHeight="1">
      <c r="A24" s="85" t="s">
        <v>2430</v>
      </c>
      <c r="B24" s="86">
        <v>194</v>
      </c>
      <c r="C24" s="84" t="s">
        <v>609</v>
      </c>
      <c r="D24" s="85" t="s">
        <v>2793</v>
      </c>
      <c r="E24" s="85" t="s">
        <v>6</v>
      </c>
      <c r="F24" s="357" t="s">
        <v>6</v>
      </c>
      <c r="G24" s="85">
        <v>2023</v>
      </c>
      <c r="H24" s="84">
        <v>45216</v>
      </c>
      <c r="I24" s="84">
        <v>45558</v>
      </c>
      <c r="J24" s="85"/>
      <c r="K24" s="84">
        <v>45291</v>
      </c>
      <c r="L24" s="84">
        <v>45473</v>
      </c>
      <c r="M24" s="13" t="s">
        <v>224</v>
      </c>
      <c r="N24" s="13"/>
      <c r="O24" s="5" t="s">
        <v>2079</v>
      </c>
      <c r="P24" s="10" t="s">
        <v>2431</v>
      </c>
      <c r="Q24" s="3" t="s">
        <v>2432</v>
      </c>
      <c r="R24" s="6" t="s">
        <v>218</v>
      </c>
      <c r="S24" s="6" t="str">
        <f t="shared" si="4"/>
        <v>IGUAL</v>
      </c>
      <c r="T24" s="151" t="str">
        <f>IFERROR(VLOOKUP(A24,STATUS_SAP_QUARTELY!B:C,2,FALSE),"NO BUDGET")</f>
        <v>CLSD BUDG AUC  AVAC SETC  //  BREL</v>
      </c>
      <c r="U24" s="6" t="str">
        <f t="shared" si="5"/>
        <v>CLSD</v>
      </c>
      <c r="V24" s="151" t="s">
        <v>2651</v>
      </c>
      <c r="W24" s="85"/>
      <c r="X24" s="499" t="s">
        <v>9607</v>
      </c>
      <c r="Y24" s="84">
        <v>45558</v>
      </c>
      <c r="Z24" s="85"/>
      <c r="AA24" s="318">
        <v>35.327120000000001</v>
      </c>
      <c r="AB24" s="223">
        <v>10.691050000000001</v>
      </c>
      <c r="AC24" s="318">
        <f t="shared" si="6"/>
        <v>0</v>
      </c>
      <c r="AD24" s="223"/>
      <c r="AE24" s="318"/>
      <c r="AF24" s="223"/>
      <c r="AG24" s="318"/>
      <c r="AH24" s="223"/>
      <c r="AI24" s="498">
        <v>48</v>
      </c>
      <c r="AJ24" s="223"/>
      <c r="AK24" s="333">
        <f t="shared" si="7"/>
        <v>0</v>
      </c>
      <c r="AL24" s="421"/>
      <c r="AM24" s="422"/>
      <c r="AN24" s="423">
        <f>SUMIFS(BASE_QUARTELY!$J:$J,BASE_QUARTELY!$A:$A,'AME - Quarterly'!$A24,BASE_QUARTELY!$B:$B,"janeiro")/1000</f>
        <v>0</v>
      </c>
      <c r="AO24" s="427"/>
      <c r="AP24" s="421"/>
      <c r="AQ24" s="422"/>
      <c r="AR24" s="423">
        <f>SUMIFS(BASE_QUARTELY!$J:$J,BASE_QUARTELY!$A:$A,'AME - Quarterly'!$A24,BASE_QUARTELY!$B:$B,"fevereiro")/1000</f>
        <v>0</v>
      </c>
      <c r="AS24" s="427"/>
      <c r="AT24" s="421"/>
      <c r="AU24" s="422"/>
      <c r="AV24" s="423">
        <f>SUMIFS(BASE_QUARTELY!$J:$J,BASE_QUARTELY!$A:$A,'AME - Quarterly'!$A24,BASE_QUARTELY!$B:$B,"março")/1000</f>
        <v>0</v>
      </c>
      <c r="AW24" s="427"/>
      <c r="AX24" s="421"/>
      <c r="AY24" s="422"/>
      <c r="AZ24" s="423">
        <f>SUMIFS(BASE_QUARTELY!$J:$J,BASE_QUARTELY!$A:$A,'AME - Quarterly'!$A24,BASE_QUARTELY!$B:$B,"abril")/1000</f>
        <v>0</v>
      </c>
      <c r="BA24" s="427"/>
      <c r="BB24" s="421"/>
      <c r="BC24" s="422">
        <v>0</v>
      </c>
      <c r="BD24" s="423">
        <f>SUMIFS(BASE_QUARTELY!$J:$J,BASE_QUARTELY!$A:$A,'AME - Quarterly'!$A24,BASE_QUARTELY!$B:$B,"maio")/1000</f>
        <v>0</v>
      </c>
      <c r="BE24" s="427"/>
      <c r="BF24" s="421"/>
      <c r="BG24" s="422"/>
      <c r="BH24" s="423">
        <f>SUMIFS(BASE_QUARTELY!$J:$J,BASE_QUARTELY!$A:$A,'AME - Quarterly'!$A24,BASE_QUARTELY!$B:$B,"junho")/1000</f>
        <v>0</v>
      </c>
      <c r="BI24" s="427"/>
      <c r="BJ24" s="421"/>
      <c r="BK24" s="422"/>
      <c r="BL24" s="423">
        <f>SUMIFS(BASE_QUARTELY!$J:$J,BASE_QUARTELY!$A:$A,'AME - Quarterly'!$A24,BASE_QUARTELY!$B:$B,"julho")/1000</f>
        <v>0</v>
      </c>
      <c r="BM24" s="427"/>
      <c r="BN24" s="421"/>
      <c r="BO24" s="422"/>
      <c r="BP24" s="423">
        <f>SUMIFS(BASE_QUARTELY!$J:$J,BASE_QUARTELY!$A:$A,'AME - Quarterly'!$A24,BASE_QUARTELY!$B:$B,"agosto")/1000</f>
        <v>0</v>
      </c>
      <c r="BQ24" s="427"/>
      <c r="BR24" s="421"/>
      <c r="BS24" s="422"/>
      <c r="BT24" s="423">
        <f>SUMIFS(BASE_QUARTELY!$J:$J,BASE_QUARTELY!$A:$A,'AME - Quarterly'!$A24,BASE_QUARTELY!$B:$B,"setembro")/1000</f>
        <v>0</v>
      </c>
      <c r="BU24" s="427"/>
      <c r="BV24" s="421"/>
      <c r="BW24" s="422"/>
      <c r="BX24" s="423">
        <f>SUMIFS(BASE_QUARTELY!$J:$J,BASE_QUARTELY!$A:$A,'AME - Quarterly'!$A24,BASE_QUARTELY!$B:$B,"outubro")/1000</f>
        <v>0</v>
      </c>
      <c r="BY24" s="427"/>
      <c r="BZ24" s="421"/>
      <c r="CA24" s="422"/>
      <c r="CB24" s="423">
        <f>SUMIFS(BASE_QUARTELY!$J:$J,BASE_QUARTELY!$A:$A,'AME - Quarterly'!$A24,BASE_QUARTELY!$B:$B,"novembro")/1000</f>
        <v>0</v>
      </c>
      <c r="CC24" s="427"/>
      <c r="CD24" s="421"/>
      <c r="CE24" s="422"/>
      <c r="CF24" s="423">
        <f>SUMIFS(BASE_QUARTELY!$J:$J,BASE_QUARTELY!$A:$A,'AME - Quarterly'!$A24,BASE_QUARTELY!$B:$B,"dezembro")/1000</f>
        <v>0</v>
      </c>
      <c r="CG24" s="427"/>
      <c r="CH24" s="452">
        <f t="shared" si="8"/>
        <v>0</v>
      </c>
      <c r="CI24" s="374"/>
      <c r="CJ24" s="374"/>
      <c r="CK24" s="374"/>
      <c r="CL24" s="374"/>
      <c r="CM24" s="374"/>
      <c r="CN24" s="374"/>
      <c r="CO24" s="374"/>
      <c r="CP24" s="374"/>
      <c r="CQ24" s="374"/>
      <c r="CR24" s="374"/>
      <c r="CS24" s="374"/>
      <c r="CT24" s="374"/>
      <c r="CU24" s="374"/>
      <c r="CV24" s="216">
        <f t="shared" si="9"/>
        <v>0</v>
      </c>
      <c r="CW24" s="320">
        <f t="shared" si="10"/>
        <v>0</v>
      </c>
      <c r="CX24" s="241">
        <f t="shared" si="11"/>
        <v>0</v>
      </c>
      <c r="CY24" s="241">
        <f t="shared" si="12"/>
        <v>0</v>
      </c>
      <c r="CZ24" s="241">
        <f t="shared" si="13"/>
        <v>0</v>
      </c>
      <c r="DA24" s="241">
        <f t="shared" si="14"/>
        <v>0</v>
      </c>
      <c r="DB24" s="346">
        <f t="shared" si="15"/>
        <v>0</v>
      </c>
      <c r="DC24" s="445">
        <f t="shared" si="16"/>
        <v>0</v>
      </c>
      <c r="DD24" s="447">
        <f t="shared" si="17"/>
        <v>0</v>
      </c>
      <c r="DE24" s="364">
        <f t="shared" si="18"/>
        <v>0</v>
      </c>
      <c r="DF24" s="365">
        <f t="shared" si="19"/>
        <v>0</v>
      </c>
      <c r="DG24" s="384">
        <f>IFERROR(VLOOKUP($A24,'BASE_558 QUARTELY'!$D:$V,6,FALSE)/1000,"")</f>
        <v>71.408389999999997</v>
      </c>
      <c r="DH24" s="384">
        <f>IFERROR(VLOOKUP($A24,'BASE_558 QUARTELY'!$D:$V,7,FALSE)/1000,"")</f>
        <v>46.018169999999998</v>
      </c>
      <c r="DI24" s="384">
        <f>IFERROR(VLOOKUP($A24,'BASE_558 QUARTELY'!$D:$V,8,FALSE)/1000,"")</f>
        <v>0</v>
      </c>
      <c r="DJ24" s="384">
        <f>IFERROR(VLOOKUP($A24,'BASE_558 QUARTELY'!$D:$V,9,FALSE)/1000,"")</f>
        <v>0</v>
      </c>
      <c r="DK24" s="384">
        <f>IFERROR(VLOOKUP($A24,'BASE_558 QUARTELY'!$D:$V,11,FALSE)/1000,"")</f>
        <v>46.018169999999998</v>
      </c>
      <c r="DL24" s="384">
        <f>IFERROR(VLOOKUP($A24,'BASE_558 QUARTELY'!$D:$V,12,FALSE)/1000,"")</f>
        <v>25.390220000000003</v>
      </c>
      <c r="DM24" s="442"/>
      <c r="DN24" s="442"/>
    </row>
    <row r="25" spans="1:118" s="23" customFormat="1" ht="30" customHeight="1">
      <c r="A25" s="85" t="s">
        <v>2639</v>
      </c>
      <c r="B25" s="86">
        <v>328076</v>
      </c>
      <c r="C25" s="84" t="s">
        <v>609</v>
      </c>
      <c r="D25" s="85"/>
      <c r="E25" s="85" t="s">
        <v>6</v>
      </c>
      <c r="F25" s="6"/>
      <c r="G25" s="85">
        <v>2024</v>
      </c>
      <c r="H25" s="84">
        <v>45379</v>
      </c>
      <c r="I25" s="84"/>
      <c r="J25" s="85"/>
      <c r="K25" s="84">
        <v>45657</v>
      </c>
      <c r="L25" s="84">
        <v>45838</v>
      </c>
      <c r="M25" s="13"/>
      <c r="N25" s="13"/>
      <c r="O25" s="5" t="s">
        <v>2186</v>
      </c>
      <c r="P25" s="10" t="s">
        <v>2513</v>
      </c>
      <c r="Q25" s="3" t="s">
        <v>2255</v>
      </c>
      <c r="R25" s="6" t="s">
        <v>195</v>
      </c>
      <c r="S25" s="6" t="str">
        <f t="shared" si="4"/>
        <v>DIFERENTE</v>
      </c>
      <c r="T25" s="151" t="str">
        <f>IFERROR(VLOOKUP(A25,STATUS_SAP_QUARTELY!B:C,2,FALSE),"NO BUDGET")</f>
        <v>REL  BUDG AUC  AVAC SETC  //  BREL</v>
      </c>
      <c r="U25" s="6" t="str">
        <f t="shared" si="5"/>
        <v xml:space="preserve">REL </v>
      </c>
      <c r="V25" s="284" t="s">
        <v>16157</v>
      </c>
      <c r="W25" s="85"/>
      <c r="X25" s="499" t="s">
        <v>5299</v>
      </c>
      <c r="Y25" s="84">
        <v>45807</v>
      </c>
      <c r="Z25" s="85"/>
      <c r="AA25" s="318"/>
      <c r="AB25" s="223">
        <v>40.598910000000004</v>
      </c>
      <c r="AC25" s="318">
        <f t="shared" si="6"/>
        <v>16.859539999999999</v>
      </c>
      <c r="AD25" s="223"/>
      <c r="AE25" s="318"/>
      <c r="AF25" s="223"/>
      <c r="AG25" s="318"/>
      <c r="AH25" s="223"/>
      <c r="AI25" s="498">
        <v>83</v>
      </c>
      <c r="AJ25" s="223">
        <v>17</v>
      </c>
      <c r="AK25" s="333">
        <f t="shared" si="7"/>
        <v>16.859539999999999</v>
      </c>
      <c r="AL25" s="421">
        <v>0</v>
      </c>
      <c r="AM25" s="422">
        <v>0</v>
      </c>
      <c r="AN25" s="423">
        <f>SUMIFS(BASE_QUARTELY!$J:$J,BASE_QUARTELY!$A:$A,'AME - Quarterly'!$A25,BASE_QUARTELY!$B:$B,"janeiro")/1000</f>
        <v>0</v>
      </c>
      <c r="AO25" s="427"/>
      <c r="AP25" s="421"/>
      <c r="AQ25" s="422">
        <v>0</v>
      </c>
      <c r="AR25" s="423">
        <f>SUMIFS(BASE_QUARTELY!$J:$J,BASE_QUARTELY!$A:$A,'AME - Quarterly'!$A25,BASE_QUARTELY!$B:$B,"fevereiro")/1000</f>
        <v>0</v>
      </c>
      <c r="AS25" s="427">
        <v>0</v>
      </c>
      <c r="AT25" s="421">
        <v>17</v>
      </c>
      <c r="AU25" s="422">
        <v>10.110809999999999</v>
      </c>
      <c r="AV25" s="423">
        <f>SUMIFS(BASE_QUARTELY!$J:$J,BASE_QUARTELY!$A:$A,'AME - Quarterly'!$A25,BASE_QUARTELY!$B:$B,"março")/1000</f>
        <v>10.110809999999999</v>
      </c>
      <c r="AW25" s="427">
        <v>10.110809999999999</v>
      </c>
      <c r="AX25" s="421"/>
      <c r="AY25" s="422"/>
      <c r="AZ25" s="423">
        <f>SUMIFS(BASE_QUARTELY!$J:$J,BASE_QUARTELY!$A:$A,'AME - Quarterly'!$A25,BASE_QUARTELY!$B:$B,"abril")/1000</f>
        <v>0</v>
      </c>
      <c r="BA25" s="427"/>
      <c r="BB25" s="421">
        <v>5.9</v>
      </c>
      <c r="BC25" s="422">
        <v>0</v>
      </c>
      <c r="BD25" s="423">
        <f>SUMIFS(BASE_QUARTELY!$J:$J,BASE_QUARTELY!$A:$A,'AME - Quarterly'!$A25,BASE_QUARTELY!$B:$B,"maio")/1000</f>
        <v>0</v>
      </c>
      <c r="BE25" s="427">
        <v>0</v>
      </c>
      <c r="BF25" s="421">
        <v>5.9</v>
      </c>
      <c r="BG25" s="422">
        <v>2.5187300000000001</v>
      </c>
      <c r="BH25" s="423">
        <f>SUMIFS(BASE_QUARTELY!$J:$J,BASE_QUARTELY!$A:$A,'AME - Quarterly'!$A25,BASE_QUARTELY!$B:$B,"junho")/1000</f>
        <v>2.5187300000000001</v>
      </c>
      <c r="BI25" s="427">
        <v>2.5187300000000001</v>
      </c>
      <c r="BJ25" s="421"/>
      <c r="BK25" s="422"/>
      <c r="BL25" s="423">
        <f>SUMIFS(BASE_QUARTELY!$J:$J,BASE_QUARTELY!$A:$A,'AME - Quarterly'!$A25,BASE_QUARTELY!$B:$B,"julho")/1000</f>
        <v>0</v>
      </c>
      <c r="BM25" s="427">
        <f>4.7*0.9</f>
        <v>4.2300000000000004</v>
      </c>
      <c r="BN25" s="421"/>
      <c r="BO25" s="422"/>
      <c r="BP25" s="423">
        <f>SUMIFS(BASE_QUARTELY!$J:$J,BASE_QUARTELY!$A:$A,'AME - Quarterly'!$A25,BASE_QUARTELY!$B:$B,"agosto")/1000</f>
        <v>0</v>
      </c>
      <c r="BQ25" s="427"/>
      <c r="BR25" s="421"/>
      <c r="BS25" s="422"/>
      <c r="BT25" s="423">
        <f>SUMIFS(BASE_QUARTELY!$J:$J,BASE_QUARTELY!$A:$A,'AME - Quarterly'!$A25,BASE_QUARTELY!$B:$B,"setembro")/1000</f>
        <v>0</v>
      </c>
      <c r="BU25" s="427"/>
      <c r="BV25" s="421"/>
      <c r="BW25" s="422"/>
      <c r="BX25" s="423">
        <f>SUMIFS(BASE_QUARTELY!$J:$J,BASE_QUARTELY!$A:$A,'AME - Quarterly'!$A25,BASE_QUARTELY!$B:$B,"outubro")/1000</f>
        <v>0</v>
      </c>
      <c r="BY25" s="427"/>
      <c r="BZ25" s="421"/>
      <c r="CA25" s="422"/>
      <c r="CB25" s="423">
        <f>SUMIFS(BASE_QUARTELY!$J:$J,BASE_QUARTELY!$A:$A,'AME - Quarterly'!$A25,BASE_QUARTELY!$B:$B,"novembro")/1000</f>
        <v>0</v>
      </c>
      <c r="CC25" s="427"/>
      <c r="CD25" s="421"/>
      <c r="CE25" s="422"/>
      <c r="CF25" s="423">
        <f>SUMIFS(BASE_QUARTELY!$J:$J,BASE_QUARTELY!$A:$A,'AME - Quarterly'!$A25,BASE_QUARTELY!$B:$B,"dezembro")/1000</f>
        <v>0</v>
      </c>
      <c r="CG25" s="427"/>
      <c r="CH25" s="452">
        <f t="shared" si="8"/>
        <v>0</v>
      </c>
      <c r="CI25" s="374"/>
      <c r="CJ25" s="374"/>
      <c r="CK25" s="374"/>
      <c r="CL25" s="374"/>
      <c r="CM25" s="374"/>
      <c r="CN25" s="374"/>
      <c r="CO25" s="374"/>
      <c r="CP25" s="374"/>
      <c r="CQ25" s="374"/>
      <c r="CR25" s="374"/>
      <c r="CS25" s="374"/>
      <c r="CT25" s="374"/>
      <c r="CU25" s="374"/>
      <c r="CV25" s="216">
        <f t="shared" si="9"/>
        <v>-3.3812700000000002</v>
      </c>
      <c r="CW25" s="320">
        <f t="shared" si="10"/>
        <v>0</v>
      </c>
      <c r="CX25" s="241">
        <f t="shared" si="11"/>
        <v>10.110809999999999</v>
      </c>
      <c r="CY25" s="241">
        <f t="shared" si="12"/>
        <v>2.5187300000000001</v>
      </c>
      <c r="CZ25" s="241">
        <f t="shared" si="13"/>
        <v>4.2300000000000004</v>
      </c>
      <c r="DA25" s="241">
        <f t="shared" si="14"/>
        <v>0</v>
      </c>
      <c r="DB25" s="346">
        <f t="shared" si="15"/>
        <v>-0.14046000000000092</v>
      </c>
      <c r="DC25" s="445">
        <f t="shared" si="16"/>
        <v>5.9</v>
      </c>
      <c r="DD25" s="447">
        <f t="shared" si="17"/>
        <v>0</v>
      </c>
      <c r="DE25" s="364">
        <f t="shared" si="18"/>
        <v>10.110809999999999</v>
      </c>
      <c r="DF25" s="365">
        <f t="shared" si="19"/>
        <v>6.7487300000000001</v>
      </c>
      <c r="DG25" s="384">
        <f>IFERROR(VLOOKUP($A25,'BASE_558 QUARTELY'!$D:$V,6,FALSE)/1000,"")</f>
        <v>83</v>
      </c>
      <c r="DH25" s="384">
        <f>IFERROR(VLOOKUP($A25,'BASE_558 QUARTELY'!$D:$V,7,FALSE)/1000,"")</f>
        <v>53.228480000000005</v>
      </c>
      <c r="DI25" s="384">
        <f>IFERROR(VLOOKUP($A25,'BASE_558 QUARTELY'!$D:$V,8,FALSE)/1000,"")</f>
        <v>4.7960699999999994</v>
      </c>
      <c r="DJ25" s="384">
        <f>IFERROR(VLOOKUP($A25,'BASE_558 QUARTELY'!$D:$V,9,FALSE)/1000,"")</f>
        <v>0</v>
      </c>
      <c r="DK25" s="384">
        <f>IFERROR(VLOOKUP($A25,'BASE_558 QUARTELY'!$D:$V,11,FALSE)/1000,"")</f>
        <v>58.024550000000005</v>
      </c>
      <c r="DL25" s="384">
        <f>IFERROR(VLOOKUP($A25,'BASE_558 QUARTELY'!$D:$V,12,FALSE)/1000,"")</f>
        <v>24.975450000000002</v>
      </c>
      <c r="DM25" s="442"/>
      <c r="DN25" s="442"/>
    </row>
    <row r="26" spans="1:118" s="23" customFormat="1" ht="30" customHeight="1">
      <c r="A26" s="85" t="s">
        <v>2640</v>
      </c>
      <c r="B26" s="86">
        <v>197</v>
      </c>
      <c r="C26" s="84" t="s">
        <v>609</v>
      </c>
      <c r="D26" s="85"/>
      <c r="E26" s="85" t="s">
        <v>6</v>
      </c>
      <c r="F26" s="6"/>
      <c r="G26" s="85">
        <v>2024</v>
      </c>
      <c r="H26" s="84">
        <v>45379</v>
      </c>
      <c r="I26" s="84"/>
      <c r="J26" s="85"/>
      <c r="K26" s="84">
        <v>45657</v>
      </c>
      <c r="L26" s="84">
        <v>45838</v>
      </c>
      <c r="M26" s="13"/>
      <c r="N26" s="13"/>
      <c r="O26" s="5" t="s">
        <v>2079</v>
      </c>
      <c r="P26" s="10" t="s">
        <v>2500</v>
      </c>
      <c r="Q26" s="3" t="s">
        <v>2255</v>
      </c>
      <c r="R26" s="6" t="s">
        <v>218</v>
      </c>
      <c r="S26" s="6" t="str">
        <f t="shared" si="4"/>
        <v>IGUAL</v>
      </c>
      <c r="T26" s="151" t="str">
        <f>IFERROR(VLOOKUP(A26,STATUS_SAP_QUARTELY!B:C,2,FALSE),"NO BUDGET")</f>
        <v>CLSD BUDG AUC  AVAC SETC  //  BREL</v>
      </c>
      <c r="U26" s="6" t="str">
        <f t="shared" si="5"/>
        <v>CLSD</v>
      </c>
      <c r="V26" s="151" t="s">
        <v>2651</v>
      </c>
      <c r="W26" s="85"/>
      <c r="X26" s="499" t="s">
        <v>9607</v>
      </c>
      <c r="Y26" s="84">
        <v>45657</v>
      </c>
      <c r="Z26" s="85"/>
      <c r="AA26" s="318"/>
      <c r="AB26" s="223">
        <v>5.8725100000000001</v>
      </c>
      <c r="AC26" s="318">
        <f t="shared" si="6"/>
        <v>0</v>
      </c>
      <c r="AD26" s="223"/>
      <c r="AE26" s="318"/>
      <c r="AF26" s="223"/>
      <c r="AG26" s="318"/>
      <c r="AH26" s="223"/>
      <c r="AI26" s="498">
        <v>5.9</v>
      </c>
      <c r="AJ26" s="223">
        <v>0</v>
      </c>
      <c r="AK26" s="333">
        <f t="shared" si="7"/>
        <v>0</v>
      </c>
      <c r="AL26" s="421">
        <v>0</v>
      </c>
      <c r="AM26" s="422">
        <v>0</v>
      </c>
      <c r="AN26" s="423">
        <f>SUMIFS(BASE_QUARTELY!$J:$J,BASE_QUARTELY!$A:$A,'AME - Quarterly'!$A26,BASE_QUARTELY!$B:$B,"janeiro")/1000</f>
        <v>0</v>
      </c>
      <c r="AO26" s="427"/>
      <c r="AP26" s="421"/>
      <c r="AQ26" s="422">
        <v>0</v>
      </c>
      <c r="AR26" s="423">
        <f>SUMIFS(BASE_QUARTELY!$J:$J,BASE_QUARTELY!$A:$A,'AME - Quarterly'!$A26,BASE_QUARTELY!$B:$B,"fevereiro")/1000</f>
        <v>0</v>
      </c>
      <c r="AS26" s="427">
        <v>0</v>
      </c>
      <c r="AT26" s="421"/>
      <c r="AU26" s="422"/>
      <c r="AV26" s="423">
        <f>SUMIFS(BASE_QUARTELY!$J:$J,BASE_QUARTELY!$A:$A,'AME - Quarterly'!$A26,BASE_QUARTELY!$B:$B,"março")/1000</f>
        <v>0</v>
      </c>
      <c r="AW26" s="427"/>
      <c r="AX26" s="421"/>
      <c r="AY26" s="422"/>
      <c r="AZ26" s="423">
        <f>SUMIFS(BASE_QUARTELY!$J:$J,BASE_QUARTELY!$A:$A,'AME - Quarterly'!$A26,BASE_QUARTELY!$B:$B,"abril")/1000</f>
        <v>0</v>
      </c>
      <c r="BA26" s="427"/>
      <c r="BB26" s="421"/>
      <c r="BC26" s="422">
        <v>0</v>
      </c>
      <c r="BD26" s="423">
        <f>SUMIFS(BASE_QUARTELY!$J:$J,BASE_QUARTELY!$A:$A,'AME - Quarterly'!$A26,BASE_QUARTELY!$B:$B,"maio")/1000</f>
        <v>0</v>
      </c>
      <c r="BE26" s="427"/>
      <c r="BF26" s="421"/>
      <c r="BG26" s="422"/>
      <c r="BH26" s="423">
        <f>SUMIFS(BASE_QUARTELY!$J:$J,BASE_QUARTELY!$A:$A,'AME - Quarterly'!$A26,BASE_QUARTELY!$B:$B,"junho")/1000</f>
        <v>0</v>
      </c>
      <c r="BI26" s="427"/>
      <c r="BJ26" s="421"/>
      <c r="BK26" s="422"/>
      <c r="BL26" s="423">
        <f>SUMIFS(BASE_QUARTELY!$J:$J,BASE_QUARTELY!$A:$A,'AME - Quarterly'!$A26,BASE_QUARTELY!$B:$B,"julho")/1000</f>
        <v>0</v>
      </c>
      <c r="BM26" s="427"/>
      <c r="BN26" s="421"/>
      <c r="BO26" s="422"/>
      <c r="BP26" s="423">
        <f>SUMIFS(BASE_QUARTELY!$J:$J,BASE_QUARTELY!$A:$A,'AME - Quarterly'!$A26,BASE_QUARTELY!$B:$B,"agosto")/1000</f>
        <v>0</v>
      </c>
      <c r="BQ26" s="427"/>
      <c r="BR26" s="421"/>
      <c r="BS26" s="422"/>
      <c r="BT26" s="423">
        <f>SUMIFS(BASE_QUARTELY!$J:$J,BASE_QUARTELY!$A:$A,'AME - Quarterly'!$A26,BASE_QUARTELY!$B:$B,"setembro")/1000</f>
        <v>0</v>
      </c>
      <c r="BU26" s="427"/>
      <c r="BV26" s="421"/>
      <c r="BW26" s="422"/>
      <c r="BX26" s="423">
        <f>SUMIFS(BASE_QUARTELY!$J:$J,BASE_QUARTELY!$A:$A,'AME - Quarterly'!$A26,BASE_QUARTELY!$B:$B,"outubro")/1000</f>
        <v>0</v>
      </c>
      <c r="BY26" s="427"/>
      <c r="BZ26" s="421"/>
      <c r="CA26" s="422"/>
      <c r="CB26" s="423">
        <f>SUMIFS(BASE_QUARTELY!$J:$J,BASE_QUARTELY!$A:$A,'AME - Quarterly'!$A26,BASE_QUARTELY!$B:$B,"novembro")/1000</f>
        <v>0</v>
      </c>
      <c r="CC26" s="427"/>
      <c r="CD26" s="421"/>
      <c r="CE26" s="422"/>
      <c r="CF26" s="423">
        <f>SUMIFS(BASE_QUARTELY!$J:$J,BASE_QUARTELY!$A:$A,'AME - Quarterly'!$A26,BASE_QUARTELY!$B:$B,"dezembro")/1000</f>
        <v>0</v>
      </c>
      <c r="CG26" s="427"/>
      <c r="CH26" s="452">
        <f t="shared" si="8"/>
        <v>0</v>
      </c>
      <c r="CI26" s="374"/>
      <c r="CJ26" s="374"/>
      <c r="CK26" s="374"/>
      <c r="CL26" s="374"/>
      <c r="CM26" s="374"/>
      <c r="CN26" s="374"/>
      <c r="CO26" s="374"/>
      <c r="CP26" s="374"/>
      <c r="CQ26" s="374"/>
      <c r="CR26" s="374"/>
      <c r="CS26" s="374"/>
      <c r="CT26" s="374"/>
      <c r="CU26" s="374"/>
      <c r="CV26" s="216">
        <f t="shared" si="9"/>
        <v>0</v>
      </c>
      <c r="CW26" s="320">
        <f t="shared" si="10"/>
        <v>0</v>
      </c>
      <c r="CX26" s="241">
        <f t="shared" si="11"/>
        <v>0</v>
      </c>
      <c r="CY26" s="241">
        <f t="shared" si="12"/>
        <v>0</v>
      </c>
      <c r="CZ26" s="241">
        <f t="shared" si="13"/>
        <v>0</v>
      </c>
      <c r="DA26" s="241">
        <f t="shared" si="14"/>
        <v>0</v>
      </c>
      <c r="DB26" s="346">
        <f t="shared" si="15"/>
        <v>0</v>
      </c>
      <c r="DC26" s="445">
        <f t="shared" si="16"/>
        <v>0</v>
      </c>
      <c r="DD26" s="447">
        <f t="shared" si="17"/>
        <v>0</v>
      </c>
      <c r="DE26" s="364">
        <f t="shared" si="18"/>
        <v>0</v>
      </c>
      <c r="DF26" s="365">
        <f t="shared" si="19"/>
        <v>0</v>
      </c>
      <c r="DG26" s="384">
        <f>IFERROR(VLOOKUP($A26,'BASE_558 QUARTELY'!$D:$V,6,FALSE)/1000,"")</f>
        <v>8.5</v>
      </c>
      <c r="DH26" s="384">
        <f>IFERROR(VLOOKUP($A26,'BASE_558 QUARTELY'!$D:$V,7,FALSE)/1000,"")</f>
        <v>5.8725100000000001</v>
      </c>
      <c r="DI26" s="384">
        <f>IFERROR(VLOOKUP($A26,'BASE_558 QUARTELY'!$D:$V,8,FALSE)/1000,"")</f>
        <v>0</v>
      </c>
      <c r="DJ26" s="384">
        <f>IFERROR(VLOOKUP($A26,'BASE_558 QUARTELY'!$D:$V,9,FALSE)/1000,"")</f>
        <v>0</v>
      </c>
      <c r="DK26" s="384">
        <f>IFERROR(VLOOKUP($A26,'BASE_558 QUARTELY'!$D:$V,11,FALSE)/1000,"")</f>
        <v>5.8725100000000001</v>
      </c>
      <c r="DL26" s="384">
        <f>IFERROR(VLOOKUP($A26,'BASE_558 QUARTELY'!$D:$V,12,FALSE)/1000,"")</f>
        <v>2.6274899999999999</v>
      </c>
      <c r="DM26" s="442"/>
      <c r="DN26" s="442"/>
    </row>
    <row r="27" spans="1:118" s="23" customFormat="1" ht="30" customHeight="1">
      <c r="A27" s="85" t="s">
        <v>2641</v>
      </c>
      <c r="B27" s="86">
        <v>80</v>
      </c>
      <c r="C27" s="84" t="s">
        <v>609</v>
      </c>
      <c r="D27" s="85"/>
      <c r="E27" s="85" t="s">
        <v>6</v>
      </c>
      <c r="F27" s="6"/>
      <c r="G27" s="85">
        <v>2024</v>
      </c>
      <c r="H27" s="84">
        <v>45379</v>
      </c>
      <c r="I27" s="84"/>
      <c r="J27" s="85"/>
      <c r="K27" s="84">
        <v>45657</v>
      </c>
      <c r="L27" s="84">
        <v>45838</v>
      </c>
      <c r="M27" s="13"/>
      <c r="N27" s="13"/>
      <c r="O27" s="5" t="s">
        <v>2124</v>
      </c>
      <c r="P27" s="10" t="s">
        <v>2463</v>
      </c>
      <c r="Q27" s="3" t="s">
        <v>186</v>
      </c>
      <c r="R27" s="6" t="s">
        <v>218</v>
      </c>
      <c r="S27" s="6" t="str">
        <f t="shared" si="4"/>
        <v>IGUAL</v>
      </c>
      <c r="T27" s="151" t="str">
        <f>IFERROR(VLOOKUP(A27,STATUS_SAP_QUARTELY!B:C,2,FALSE),"NO BUDGET")</f>
        <v>CLSD BUDG AUC  AVAC SETC  //  BREL</v>
      </c>
      <c r="U27" s="6" t="str">
        <f t="shared" si="5"/>
        <v>CLSD</v>
      </c>
      <c r="V27" s="151" t="s">
        <v>2651</v>
      </c>
      <c r="W27" s="85"/>
      <c r="X27" s="499" t="s">
        <v>9607</v>
      </c>
      <c r="Y27" s="84">
        <v>45747</v>
      </c>
      <c r="Z27" s="85"/>
      <c r="AA27" s="318"/>
      <c r="AB27" s="223">
        <v>11.068239999999999</v>
      </c>
      <c r="AC27" s="318">
        <f t="shared" si="6"/>
        <v>24.73291</v>
      </c>
      <c r="AD27" s="223"/>
      <c r="AE27" s="318"/>
      <c r="AF27" s="223"/>
      <c r="AG27" s="318"/>
      <c r="AH27" s="223"/>
      <c r="AI27" s="498">
        <v>40.033999999999999</v>
      </c>
      <c r="AJ27" s="223">
        <v>27.9</v>
      </c>
      <c r="AK27" s="333">
        <f t="shared" si="7"/>
        <v>24.73291</v>
      </c>
      <c r="AL27" s="421">
        <v>19.756270000000001</v>
      </c>
      <c r="AM27" s="422">
        <v>19.756270000000001</v>
      </c>
      <c r="AN27" s="423">
        <f>SUMIFS(BASE_QUARTELY!$J:$J,BASE_QUARTELY!$A:$A,'AME - Quarterly'!$A27,BASE_QUARTELY!$B:$B,"janeiro")/1000</f>
        <v>19.756270000000001</v>
      </c>
      <c r="AO27" s="427">
        <v>19.756270000000001</v>
      </c>
      <c r="AP27" s="421">
        <v>8.0999999999999979</v>
      </c>
      <c r="AQ27" s="422">
        <v>0</v>
      </c>
      <c r="AR27" s="423">
        <f>SUMIFS(BASE_QUARTELY!$J:$J,BASE_QUARTELY!$A:$A,'AME - Quarterly'!$A27,BASE_QUARTELY!$B:$B,"fevereiro")/1000</f>
        <v>0</v>
      </c>
      <c r="AS27" s="427">
        <v>0</v>
      </c>
      <c r="AT27" s="421">
        <v>8.0999999999999979</v>
      </c>
      <c r="AU27" s="422"/>
      <c r="AV27" s="423">
        <f>SUMIFS(BASE_QUARTELY!$J:$J,BASE_QUARTELY!$A:$A,'AME - Quarterly'!$A27,BASE_QUARTELY!$B:$B,"março")/1000</f>
        <v>0</v>
      </c>
      <c r="AW27" s="427">
        <v>0</v>
      </c>
      <c r="AX27" s="421">
        <v>8.0999999999999979</v>
      </c>
      <c r="AY27" s="422">
        <v>4.5162899999999997</v>
      </c>
      <c r="AZ27" s="423">
        <f>SUMIFS(BASE_QUARTELY!$J:$J,BASE_QUARTELY!$A:$A,'AME - Quarterly'!$A27,BASE_QUARTELY!$B:$B,"abril")/1000</f>
        <v>4.5162899999999997</v>
      </c>
      <c r="BA27" s="427">
        <v>4.9766400000000006</v>
      </c>
      <c r="BB27" s="421"/>
      <c r="BC27" s="422">
        <v>0</v>
      </c>
      <c r="BD27" s="423">
        <f>SUMIFS(BASE_QUARTELY!$J:$J,BASE_QUARTELY!$A:$A,'AME - Quarterly'!$A27,BASE_QUARTELY!$B:$B,"maio")/1000</f>
        <v>0</v>
      </c>
      <c r="BE27" s="427"/>
      <c r="BF27" s="421"/>
      <c r="BG27" s="422"/>
      <c r="BH27" s="423">
        <f>SUMIFS(BASE_QUARTELY!$J:$J,BASE_QUARTELY!$A:$A,'AME - Quarterly'!$A27,BASE_QUARTELY!$B:$B,"junho")/1000</f>
        <v>0</v>
      </c>
      <c r="BI27" s="427"/>
      <c r="BJ27" s="421"/>
      <c r="BK27" s="422"/>
      <c r="BL27" s="423">
        <f>SUMIFS(BASE_QUARTELY!$J:$J,BASE_QUARTELY!$A:$A,'AME - Quarterly'!$A27,BASE_QUARTELY!$B:$B,"julho")/1000</f>
        <v>0</v>
      </c>
      <c r="BM27" s="427"/>
      <c r="BN27" s="421"/>
      <c r="BO27" s="422"/>
      <c r="BP27" s="423">
        <f>SUMIFS(BASE_QUARTELY!$J:$J,BASE_QUARTELY!$A:$A,'AME - Quarterly'!$A27,BASE_QUARTELY!$B:$B,"agosto")/1000</f>
        <v>0</v>
      </c>
      <c r="BQ27" s="427"/>
      <c r="BR27" s="421"/>
      <c r="BS27" s="422"/>
      <c r="BT27" s="423">
        <f>SUMIFS(BASE_QUARTELY!$J:$J,BASE_QUARTELY!$A:$A,'AME - Quarterly'!$A27,BASE_QUARTELY!$B:$B,"setembro")/1000</f>
        <v>0</v>
      </c>
      <c r="BU27" s="427"/>
      <c r="BV27" s="421"/>
      <c r="BW27" s="422"/>
      <c r="BX27" s="423">
        <f>SUMIFS(BASE_QUARTELY!$J:$J,BASE_QUARTELY!$A:$A,'AME - Quarterly'!$A27,BASE_QUARTELY!$B:$B,"outubro")/1000</f>
        <v>0</v>
      </c>
      <c r="BY27" s="427"/>
      <c r="BZ27" s="421"/>
      <c r="CA27" s="422"/>
      <c r="CB27" s="423">
        <f>SUMIFS(BASE_QUARTELY!$J:$J,BASE_QUARTELY!$A:$A,'AME - Quarterly'!$A27,BASE_QUARTELY!$B:$B,"novembro")/1000</f>
        <v>0</v>
      </c>
      <c r="CC27" s="427"/>
      <c r="CD27" s="421"/>
      <c r="CE27" s="422"/>
      <c r="CF27" s="423">
        <f>SUMIFS(BASE_QUARTELY!$J:$J,BASE_QUARTELY!$A:$A,'AME - Quarterly'!$A27,BASE_QUARTELY!$B:$B,"dezembro")/1000</f>
        <v>0</v>
      </c>
      <c r="CG27" s="427"/>
      <c r="CH27" s="452">
        <f t="shared" si="8"/>
        <v>0</v>
      </c>
      <c r="CI27" s="374"/>
      <c r="CJ27" s="374"/>
      <c r="CK27" s="374"/>
      <c r="CL27" s="374"/>
      <c r="CM27" s="374"/>
      <c r="CN27" s="374"/>
      <c r="CO27" s="374"/>
      <c r="CP27" s="374"/>
      <c r="CQ27" s="374"/>
      <c r="CR27" s="374"/>
      <c r="CS27" s="374"/>
      <c r="CT27" s="374"/>
      <c r="CU27" s="374"/>
      <c r="CV27" s="216">
        <f t="shared" si="9"/>
        <v>0</v>
      </c>
      <c r="CW27" s="320">
        <f t="shared" si="10"/>
        <v>0</v>
      </c>
      <c r="CX27" s="241">
        <f t="shared" si="11"/>
        <v>19.756270000000001</v>
      </c>
      <c r="CY27" s="241">
        <f t="shared" si="12"/>
        <v>4.9766400000000006</v>
      </c>
      <c r="CZ27" s="241">
        <f t="shared" si="13"/>
        <v>0</v>
      </c>
      <c r="DA27" s="241">
        <f t="shared" si="14"/>
        <v>0</v>
      </c>
      <c r="DB27" s="346">
        <f t="shared" si="15"/>
        <v>-3.1670899999999982</v>
      </c>
      <c r="DC27" s="445">
        <f t="shared" si="16"/>
        <v>0</v>
      </c>
      <c r="DD27" s="447">
        <f t="shared" si="17"/>
        <v>0</v>
      </c>
      <c r="DE27" s="364">
        <f t="shared" si="18"/>
        <v>24.73291</v>
      </c>
      <c r="DF27" s="365">
        <f t="shared" si="19"/>
        <v>0</v>
      </c>
      <c r="DG27" s="384">
        <f>IFERROR(VLOOKUP($A27,'BASE_558 QUARTELY'!$D:$V,6,FALSE)/1000,"")</f>
        <v>60</v>
      </c>
      <c r="DH27" s="384">
        <f>IFERROR(VLOOKUP($A27,'BASE_558 QUARTELY'!$D:$V,7,FALSE)/1000,"")</f>
        <v>35.340800000000002</v>
      </c>
      <c r="DI27" s="384">
        <f>IFERROR(VLOOKUP($A27,'BASE_558 QUARTELY'!$D:$V,8,FALSE)/1000,"")</f>
        <v>0</v>
      </c>
      <c r="DJ27" s="384">
        <f>IFERROR(VLOOKUP($A27,'BASE_558 QUARTELY'!$D:$V,9,FALSE)/1000,"")</f>
        <v>0</v>
      </c>
      <c r="DK27" s="384">
        <f>IFERROR(VLOOKUP($A27,'BASE_558 QUARTELY'!$D:$V,11,FALSE)/1000,"")</f>
        <v>35.340800000000002</v>
      </c>
      <c r="DL27" s="384">
        <f>IFERROR(VLOOKUP($A27,'BASE_558 QUARTELY'!$D:$V,12,FALSE)/1000,"")</f>
        <v>24.659200000000002</v>
      </c>
      <c r="DM27" s="442"/>
      <c r="DN27" s="442"/>
    </row>
    <row r="28" spans="1:118" s="23" customFormat="1" ht="30" customHeight="1">
      <c r="A28" s="85" t="s">
        <v>2767</v>
      </c>
      <c r="B28" s="86">
        <v>315</v>
      </c>
      <c r="C28" s="84" t="s">
        <v>609</v>
      </c>
      <c r="D28" s="85"/>
      <c r="E28" s="85" t="s">
        <v>6</v>
      </c>
      <c r="F28" s="6"/>
      <c r="G28" s="85">
        <v>2024</v>
      </c>
      <c r="H28" s="84">
        <v>45427</v>
      </c>
      <c r="I28" s="84"/>
      <c r="J28" s="85"/>
      <c r="K28" s="84">
        <v>45657</v>
      </c>
      <c r="L28" s="84">
        <v>45838</v>
      </c>
      <c r="M28" s="13"/>
      <c r="N28" s="13"/>
      <c r="O28" s="5" t="s">
        <v>2186</v>
      </c>
      <c r="P28" s="10" t="s">
        <v>2768</v>
      </c>
      <c r="Q28" s="3" t="s">
        <v>316</v>
      </c>
      <c r="R28" s="6" t="s">
        <v>218</v>
      </c>
      <c r="S28" s="6" t="str">
        <f t="shared" si="4"/>
        <v>IGUAL</v>
      </c>
      <c r="T28" s="151" t="str">
        <f>IFERROR(VLOOKUP(A28,STATUS_SAP_QUARTELY!B:C,2,FALSE),"NO BUDGET")</f>
        <v>CLSD BUDG AUC  AVAC SETC  //  BREL</v>
      </c>
      <c r="U28" s="6" t="str">
        <f t="shared" si="5"/>
        <v>CLSD</v>
      </c>
      <c r="V28" s="151" t="s">
        <v>2651</v>
      </c>
      <c r="W28" s="85"/>
      <c r="X28" s="499" t="s">
        <v>9607</v>
      </c>
      <c r="Y28" s="84">
        <v>45716</v>
      </c>
      <c r="Z28" s="85"/>
      <c r="AA28" s="318"/>
      <c r="AB28" s="223">
        <v>0</v>
      </c>
      <c r="AC28" s="318">
        <f t="shared" si="6"/>
        <v>81.821970000000022</v>
      </c>
      <c r="AD28" s="223"/>
      <c r="AE28" s="318"/>
      <c r="AF28" s="223"/>
      <c r="AG28" s="318"/>
      <c r="AH28" s="223"/>
      <c r="AI28" s="498">
        <v>99.98</v>
      </c>
      <c r="AJ28" s="223">
        <v>62</v>
      </c>
      <c r="AK28" s="333">
        <f t="shared" si="7"/>
        <v>81.821970000000022</v>
      </c>
      <c r="AL28" s="421">
        <v>80.12636000000002</v>
      </c>
      <c r="AM28" s="422">
        <v>80.126360000000005</v>
      </c>
      <c r="AN28" s="423">
        <f>SUMIFS(BASE_QUARTELY!$J:$J,BASE_QUARTELY!$A:$A,'AME - Quarterly'!$A28,BASE_QUARTELY!$B:$B,"janeiro")/1000</f>
        <v>80.12636000000002</v>
      </c>
      <c r="AO28" s="427">
        <v>80.12636000000002</v>
      </c>
      <c r="AP28" s="421"/>
      <c r="AQ28" s="422">
        <v>1.6956100000000001</v>
      </c>
      <c r="AR28" s="423">
        <f>SUMIFS(BASE_QUARTELY!$J:$J,BASE_QUARTELY!$A:$A,'AME - Quarterly'!$A28,BASE_QUARTELY!$B:$B,"fevereiro")/1000</f>
        <v>1.6956100000000003</v>
      </c>
      <c r="AS28" s="427">
        <v>1.6956100000000001</v>
      </c>
      <c r="AT28" s="421"/>
      <c r="AU28" s="422"/>
      <c r="AV28" s="423">
        <f>SUMIFS(BASE_QUARTELY!$J:$J,BASE_QUARTELY!$A:$A,'AME - Quarterly'!$A28,BASE_QUARTELY!$B:$B,"março")/1000</f>
        <v>0</v>
      </c>
      <c r="AW28" s="427"/>
      <c r="AX28" s="421"/>
      <c r="AY28" s="422"/>
      <c r="AZ28" s="423">
        <f>SUMIFS(BASE_QUARTELY!$J:$J,BASE_QUARTELY!$A:$A,'AME - Quarterly'!$A28,BASE_QUARTELY!$B:$B,"abril")/1000</f>
        <v>0</v>
      </c>
      <c r="BA28" s="427"/>
      <c r="BB28" s="421"/>
      <c r="BC28" s="422">
        <v>0</v>
      </c>
      <c r="BD28" s="423">
        <f>SUMIFS(BASE_QUARTELY!$J:$J,BASE_QUARTELY!$A:$A,'AME - Quarterly'!$A28,BASE_QUARTELY!$B:$B,"maio")/1000</f>
        <v>0</v>
      </c>
      <c r="BE28" s="427"/>
      <c r="BF28" s="421"/>
      <c r="BG28" s="422"/>
      <c r="BH28" s="423">
        <f>SUMIFS(BASE_QUARTELY!$J:$J,BASE_QUARTELY!$A:$A,'AME - Quarterly'!$A28,BASE_QUARTELY!$B:$B,"junho")/1000</f>
        <v>0</v>
      </c>
      <c r="BI28" s="427"/>
      <c r="BJ28" s="421"/>
      <c r="BK28" s="422"/>
      <c r="BL28" s="423">
        <f>SUMIFS(BASE_QUARTELY!$J:$J,BASE_QUARTELY!$A:$A,'AME - Quarterly'!$A28,BASE_QUARTELY!$B:$B,"julho")/1000</f>
        <v>0</v>
      </c>
      <c r="BM28" s="427"/>
      <c r="BN28" s="421"/>
      <c r="BO28" s="422"/>
      <c r="BP28" s="423">
        <f>SUMIFS(BASE_QUARTELY!$J:$J,BASE_QUARTELY!$A:$A,'AME - Quarterly'!$A28,BASE_QUARTELY!$B:$B,"agosto")/1000</f>
        <v>0</v>
      </c>
      <c r="BQ28" s="427"/>
      <c r="BR28" s="421"/>
      <c r="BS28" s="422"/>
      <c r="BT28" s="423">
        <f>SUMIFS(BASE_QUARTELY!$J:$J,BASE_QUARTELY!$A:$A,'AME - Quarterly'!$A28,BASE_QUARTELY!$B:$B,"setembro")/1000</f>
        <v>0</v>
      </c>
      <c r="BU28" s="427"/>
      <c r="BV28" s="421"/>
      <c r="BW28" s="422"/>
      <c r="BX28" s="423">
        <f>SUMIFS(BASE_QUARTELY!$J:$J,BASE_QUARTELY!$A:$A,'AME - Quarterly'!$A28,BASE_QUARTELY!$B:$B,"outubro")/1000</f>
        <v>0</v>
      </c>
      <c r="BY28" s="427"/>
      <c r="BZ28" s="421"/>
      <c r="CA28" s="422"/>
      <c r="CB28" s="423">
        <f>SUMIFS(BASE_QUARTELY!$J:$J,BASE_QUARTELY!$A:$A,'AME - Quarterly'!$A28,BASE_QUARTELY!$B:$B,"novembro")/1000</f>
        <v>0</v>
      </c>
      <c r="CC28" s="427"/>
      <c r="CD28" s="421"/>
      <c r="CE28" s="422"/>
      <c r="CF28" s="423">
        <f>SUMIFS(BASE_QUARTELY!$J:$J,BASE_QUARTELY!$A:$A,'AME - Quarterly'!$A28,BASE_QUARTELY!$B:$B,"dezembro")/1000</f>
        <v>0</v>
      </c>
      <c r="CG28" s="427"/>
      <c r="CH28" s="452">
        <f t="shared" si="8"/>
        <v>0</v>
      </c>
      <c r="CI28" s="374"/>
      <c r="CJ28" s="374"/>
      <c r="CK28" s="374"/>
      <c r="CL28" s="374"/>
      <c r="CM28" s="374"/>
      <c r="CN28" s="374"/>
      <c r="CO28" s="374"/>
      <c r="CP28" s="374"/>
      <c r="CQ28" s="374"/>
      <c r="CR28" s="374"/>
      <c r="CS28" s="374"/>
      <c r="CT28" s="374"/>
      <c r="CU28" s="374"/>
      <c r="CV28" s="216">
        <f t="shared" si="9"/>
        <v>0</v>
      </c>
      <c r="CW28" s="320">
        <f t="shared" si="10"/>
        <v>0</v>
      </c>
      <c r="CX28" s="241">
        <f t="shared" si="11"/>
        <v>81.821970000000022</v>
      </c>
      <c r="CY28" s="241">
        <f t="shared" si="12"/>
        <v>0</v>
      </c>
      <c r="CZ28" s="241">
        <f t="shared" si="13"/>
        <v>0</v>
      </c>
      <c r="DA28" s="241">
        <f t="shared" si="14"/>
        <v>0</v>
      </c>
      <c r="DB28" s="346">
        <f t="shared" si="15"/>
        <v>19.821970000000022</v>
      </c>
      <c r="DC28" s="445">
        <f t="shared" si="16"/>
        <v>0</v>
      </c>
      <c r="DD28" s="447">
        <f t="shared" si="17"/>
        <v>0</v>
      </c>
      <c r="DE28" s="364">
        <f t="shared" si="18"/>
        <v>81.821970000000022</v>
      </c>
      <c r="DF28" s="365">
        <f t="shared" si="19"/>
        <v>0</v>
      </c>
      <c r="DG28" s="384">
        <f>IFERROR(VLOOKUP($A28,'BASE_558 QUARTELY'!$D:$V,6,FALSE)/1000,"")</f>
        <v>99.98</v>
      </c>
      <c r="DH28" s="384">
        <f>IFERROR(VLOOKUP($A28,'BASE_558 QUARTELY'!$D:$V,7,FALSE)/1000,"")</f>
        <v>81.821970000000007</v>
      </c>
      <c r="DI28" s="384">
        <f>IFERROR(VLOOKUP($A28,'BASE_558 QUARTELY'!$D:$V,8,FALSE)/1000,"")</f>
        <v>0</v>
      </c>
      <c r="DJ28" s="384">
        <f>IFERROR(VLOOKUP($A28,'BASE_558 QUARTELY'!$D:$V,9,FALSE)/1000,"")</f>
        <v>0</v>
      </c>
      <c r="DK28" s="384">
        <f>IFERROR(VLOOKUP($A28,'BASE_558 QUARTELY'!$D:$V,11,FALSE)/1000,"")</f>
        <v>81.821970000000007</v>
      </c>
      <c r="DL28" s="384">
        <f>IFERROR(VLOOKUP($A28,'BASE_558 QUARTELY'!$D:$V,12,FALSE)/1000,"")</f>
        <v>18.15803</v>
      </c>
      <c r="DM28" s="442"/>
      <c r="DN28" s="442"/>
    </row>
    <row r="29" spans="1:118" s="23" customFormat="1" ht="30" customHeight="1">
      <c r="A29" s="85" t="s">
        <v>2770</v>
      </c>
      <c r="B29" s="86">
        <v>306</v>
      </c>
      <c r="C29" s="84" t="s">
        <v>609</v>
      </c>
      <c r="D29" s="85"/>
      <c r="E29" s="85" t="s">
        <v>6</v>
      </c>
      <c r="F29" s="6"/>
      <c r="G29" s="85">
        <v>2024</v>
      </c>
      <c r="H29" s="84">
        <v>45428</v>
      </c>
      <c r="I29" s="84"/>
      <c r="J29" s="85"/>
      <c r="K29" s="84">
        <v>45657</v>
      </c>
      <c r="L29" s="84">
        <v>45838</v>
      </c>
      <c r="M29" s="13"/>
      <c r="N29" s="13"/>
      <c r="O29" s="5" t="s">
        <v>2251</v>
      </c>
      <c r="P29" s="10" t="s">
        <v>2771</v>
      </c>
      <c r="Q29" s="3" t="s">
        <v>186</v>
      </c>
      <c r="R29" s="6" t="s">
        <v>218</v>
      </c>
      <c r="S29" s="6" t="str">
        <f t="shared" si="4"/>
        <v>IGUAL</v>
      </c>
      <c r="T29" s="151" t="str">
        <f>IFERROR(VLOOKUP(A29,STATUS_SAP_QUARTELY!B:C,2,FALSE),"NO BUDGET")</f>
        <v>CLSD BUDG AUC  AVAC SETC  //  BREL</v>
      </c>
      <c r="U29" s="6" t="str">
        <f t="shared" si="5"/>
        <v>CLSD</v>
      </c>
      <c r="V29" s="151" t="s">
        <v>2651</v>
      </c>
      <c r="W29" s="85"/>
      <c r="X29" s="499" t="s">
        <v>9607</v>
      </c>
      <c r="Y29" s="84">
        <v>45777</v>
      </c>
      <c r="Z29" s="85"/>
      <c r="AA29" s="318"/>
      <c r="AB29" s="223">
        <v>14.10507</v>
      </c>
      <c r="AC29" s="318">
        <f t="shared" si="6"/>
        <v>9.3017400000000006</v>
      </c>
      <c r="AD29" s="223"/>
      <c r="AE29" s="318"/>
      <c r="AF29" s="223"/>
      <c r="AG29" s="318"/>
      <c r="AH29" s="223"/>
      <c r="AI29" s="498">
        <v>59.948610000000002</v>
      </c>
      <c r="AJ29" s="223">
        <v>10.5</v>
      </c>
      <c r="AK29" s="333">
        <f t="shared" si="7"/>
        <v>9.3017400000000006</v>
      </c>
      <c r="AL29" s="421">
        <v>8.0456500000000002</v>
      </c>
      <c r="AM29" s="422">
        <v>8.0456500000000002</v>
      </c>
      <c r="AN29" s="423">
        <f>SUMIFS(BASE_QUARTELY!$J:$J,BASE_QUARTELY!$A:$A,'AME - Quarterly'!$A29,BASE_QUARTELY!$B:$B,"janeiro")/1000</f>
        <v>8.0456500000000002</v>
      </c>
      <c r="AO29" s="427">
        <v>8.0456500000000002</v>
      </c>
      <c r="AP29" s="421">
        <v>1.2</v>
      </c>
      <c r="AQ29" s="422"/>
      <c r="AR29" s="423">
        <f>SUMIFS(BASE_QUARTELY!$J:$J,BASE_QUARTELY!$A:$A,'AME - Quarterly'!$A29,BASE_QUARTELY!$B:$B,"fevereiro")/1000</f>
        <v>0</v>
      </c>
      <c r="AS29" s="427"/>
      <c r="AT29" s="421">
        <v>1.2</v>
      </c>
      <c r="AU29" s="422">
        <v>0.48520999999999997</v>
      </c>
      <c r="AV29" s="423">
        <f>SUMIFS(BASE_QUARTELY!$J:$J,BASE_QUARTELY!$A:$A,'AME - Quarterly'!$A29,BASE_QUARTELY!$B:$B,"março")/1000</f>
        <v>0.48520999999999997</v>
      </c>
      <c r="AW29" s="427">
        <v>0.48520999999999997</v>
      </c>
      <c r="AX29" s="421">
        <v>0.7</v>
      </c>
      <c r="AY29" s="422">
        <v>0.69964000000000004</v>
      </c>
      <c r="AZ29" s="423">
        <f>SUMIFS(BASE_QUARTELY!$J:$J,BASE_QUARTELY!$A:$A,'AME - Quarterly'!$A29,BASE_QUARTELY!$B:$B,"abril")/1000</f>
        <v>0.69964000000000004</v>
      </c>
      <c r="BA29" s="427">
        <v>0.77088000000000001</v>
      </c>
      <c r="BB29" s="421"/>
      <c r="BC29" s="422">
        <v>0</v>
      </c>
      <c r="BD29" s="423">
        <f>SUMIFS(BASE_QUARTELY!$J:$J,BASE_QUARTELY!$A:$A,'AME - Quarterly'!$A29,BASE_QUARTELY!$B:$B,"maio")/1000</f>
        <v>0</v>
      </c>
      <c r="BE29" s="427"/>
      <c r="BF29" s="421"/>
      <c r="BG29" s="422"/>
      <c r="BH29" s="423">
        <f>SUMIFS(BASE_QUARTELY!$J:$J,BASE_QUARTELY!$A:$A,'AME - Quarterly'!$A29,BASE_QUARTELY!$B:$B,"junho")/1000</f>
        <v>0</v>
      </c>
      <c r="BI29" s="427"/>
      <c r="BJ29" s="421"/>
      <c r="BK29" s="422"/>
      <c r="BL29" s="423">
        <f>SUMIFS(BASE_QUARTELY!$J:$J,BASE_QUARTELY!$A:$A,'AME - Quarterly'!$A29,BASE_QUARTELY!$B:$B,"julho")/1000</f>
        <v>0</v>
      </c>
      <c r="BM29" s="427"/>
      <c r="BN29" s="421"/>
      <c r="BO29" s="422"/>
      <c r="BP29" s="423">
        <f>SUMIFS(BASE_QUARTELY!$J:$J,BASE_QUARTELY!$A:$A,'AME - Quarterly'!$A29,BASE_QUARTELY!$B:$B,"agosto")/1000</f>
        <v>0</v>
      </c>
      <c r="BQ29" s="427"/>
      <c r="BR29" s="421"/>
      <c r="BS29" s="422"/>
      <c r="BT29" s="423">
        <f>SUMIFS(BASE_QUARTELY!$J:$J,BASE_QUARTELY!$A:$A,'AME - Quarterly'!$A29,BASE_QUARTELY!$B:$B,"setembro")/1000</f>
        <v>0</v>
      </c>
      <c r="BU29" s="427"/>
      <c r="BV29" s="421"/>
      <c r="BW29" s="422"/>
      <c r="BX29" s="423">
        <f>SUMIFS(BASE_QUARTELY!$J:$J,BASE_QUARTELY!$A:$A,'AME - Quarterly'!$A29,BASE_QUARTELY!$B:$B,"outubro")/1000</f>
        <v>0</v>
      </c>
      <c r="BY29" s="427"/>
      <c r="BZ29" s="421"/>
      <c r="CA29" s="422"/>
      <c r="CB29" s="423">
        <f>SUMIFS(BASE_QUARTELY!$J:$J,BASE_QUARTELY!$A:$A,'AME - Quarterly'!$A29,BASE_QUARTELY!$B:$B,"novembro")/1000</f>
        <v>0</v>
      </c>
      <c r="CC29" s="427"/>
      <c r="CD29" s="421"/>
      <c r="CE29" s="422"/>
      <c r="CF29" s="423">
        <f>SUMIFS(BASE_QUARTELY!$J:$J,BASE_QUARTELY!$A:$A,'AME - Quarterly'!$A29,BASE_QUARTELY!$B:$B,"dezembro")/1000</f>
        <v>0</v>
      </c>
      <c r="CG29" s="427"/>
      <c r="CH29" s="452">
        <f t="shared" si="8"/>
        <v>0</v>
      </c>
      <c r="CI29" s="374"/>
      <c r="CJ29" s="374"/>
      <c r="CK29" s="374"/>
      <c r="CL29" s="374"/>
      <c r="CM29" s="374"/>
      <c r="CN29" s="374"/>
      <c r="CO29" s="374"/>
      <c r="CP29" s="374"/>
      <c r="CQ29" s="374"/>
      <c r="CR29" s="374"/>
      <c r="CS29" s="374"/>
      <c r="CT29" s="374"/>
      <c r="CU29" s="374"/>
      <c r="CV29" s="216">
        <f t="shared" si="9"/>
        <v>0</v>
      </c>
      <c r="CW29" s="320">
        <f t="shared" si="10"/>
        <v>0</v>
      </c>
      <c r="CX29" s="241">
        <f t="shared" si="11"/>
        <v>8.5308600000000006</v>
      </c>
      <c r="CY29" s="241">
        <f t="shared" si="12"/>
        <v>0.77088000000000001</v>
      </c>
      <c r="CZ29" s="241">
        <f t="shared" si="13"/>
        <v>0</v>
      </c>
      <c r="DA29" s="241">
        <f t="shared" si="14"/>
        <v>0</v>
      </c>
      <c r="DB29" s="346">
        <f t="shared" si="15"/>
        <v>-1.1982599999999994</v>
      </c>
      <c r="DC29" s="445">
        <f t="shared" si="16"/>
        <v>0</v>
      </c>
      <c r="DD29" s="447">
        <f t="shared" si="17"/>
        <v>0</v>
      </c>
      <c r="DE29" s="364">
        <f t="shared" si="18"/>
        <v>9.3017400000000006</v>
      </c>
      <c r="DF29" s="365">
        <f t="shared" si="19"/>
        <v>0</v>
      </c>
      <c r="DG29" s="384">
        <f>IFERROR(VLOOKUP($A29,'BASE_558 QUARTELY'!$D:$V,6,FALSE)/1000,"")</f>
        <v>59.948</v>
      </c>
      <c r="DH29" s="384">
        <f>IFERROR(VLOOKUP($A29,'BASE_558 QUARTELY'!$D:$V,7,FALSE)/1000,"")</f>
        <v>23.335560000000001</v>
      </c>
      <c r="DI29" s="384">
        <f>IFERROR(VLOOKUP($A29,'BASE_558 QUARTELY'!$D:$V,8,FALSE)/1000,"")</f>
        <v>0</v>
      </c>
      <c r="DJ29" s="384">
        <f>IFERROR(VLOOKUP($A29,'BASE_558 QUARTELY'!$D:$V,9,FALSE)/1000,"")</f>
        <v>0</v>
      </c>
      <c r="DK29" s="384">
        <f>IFERROR(VLOOKUP($A29,'BASE_558 QUARTELY'!$D:$V,11,FALSE)/1000,"")</f>
        <v>23.335560000000001</v>
      </c>
      <c r="DL29" s="384">
        <f>IFERROR(VLOOKUP($A29,'BASE_558 QUARTELY'!$D:$V,12,FALSE)/1000,"")</f>
        <v>36.612439999999999</v>
      </c>
      <c r="DM29" s="442"/>
      <c r="DN29" s="442"/>
    </row>
    <row r="30" spans="1:118" s="23" customFormat="1" ht="30" customHeight="1">
      <c r="A30" s="85" t="s">
        <v>2881</v>
      </c>
      <c r="B30" s="86">
        <v>285</v>
      </c>
      <c r="C30" s="84" t="s">
        <v>609</v>
      </c>
      <c r="D30" s="85"/>
      <c r="E30" s="85" t="s">
        <v>6</v>
      </c>
      <c r="F30" s="357" t="s">
        <v>6</v>
      </c>
      <c r="G30" s="85">
        <v>2024</v>
      </c>
      <c r="H30" s="84">
        <v>45464</v>
      </c>
      <c r="I30" s="84">
        <v>45674</v>
      </c>
      <c r="J30" s="85"/>
      <c r="K30" s="84">
        <v>45657</v>
      </c>
      <c r="L30" s="84">
        <v>45838</v>
      </c>
      <c r="M30" s="13"/>
      <c r="N30" s="13"/>
      <c r="O30" s="5" t="s">
        <v>2124</v>
      </c>
      <c r="P30" s="10" t="s">
        <v>2696</v>
      </c>
      <c r="Q30" s="3" t="s">
        <v>2432</v>
      </c>
      <c r="R30" s="6" t="s">
        <v>218</v>
      </c>
      <c r="S30" s="6" t="str">
        <f t="shared" si="4"/>
        <v>IGUAL</v>
      </c>
      <c r="T30" s="151" t="str">
        <f>IFERROR(VLOOKUP(A30,STATUS_SAP_QUARTELY!B:C,2,FALSE),"NO BUDGET")</f>
        <v>CLSD BUDG AUC  AVAC SETC  //  BREL</v>
      </c>
      <c r="U30" s="6" t="str">
        <f t="shared" si="5"/>
        <v>CLSD</v>
      </c>
      <c r="V30" s="151" t="s">
        <v>6961</v>
      </c>
      <c r="W30" s="85"/>
      <c r="X30" s="499" t="s">
        <v>9607</v>
      </c>
      <c r="Y30" s="84">
        <v>45674</v>
      </c>
      <c r="Z30" s="85"/>
      <c r="AA30" s="318"/>
      <c r="AB30" s="223">
        <v>15.721050000000002</v>
      </c>
      <c r="AC30" s="318">
        <f t="shared" si="6"/>
        <v>0</v>
      </c>
      <c r="AD30" s="223"/>
      <c r="AE30" s="318"/>
      <c r="AF30" s="223"/>
      <c r="AG30" s="318"/>
      <c r="AH30" s="223"/>
      <c r="AI30" s="498">
        <v>36</v>
      </c>
      <c r="AJ30" s="223">
        <v>0</v>
      </c>
      <c r="AK30" s="333">
        <f t="shared" si="7"/>
        <v>0</v>
      </c>
      <c r="AL30" s="421">
        <v>0</v>
      </c>
      <c r="AM30" s="422"/>
      <c r="AN30" s="423">
        <f>SUMIFS(BASE_QUARTELY!$J:$J,BASE_QUARTELY!$A:$A,'AME - Quarterly'!$A30,BASE_QUARTELY!$B:$B,"janeiro")/1000</f>
        <v>0</v>
      </c>
      <c r="AO30" s="427"/>
      <c r="AP30" s="421"/>
      <c r="AQ30" s="422"/>
      <c r="AR30" s="423">
        <f>SUMIFS(BASE_QUARTELY!$J:$J,BASE_QUARTELY!$A:$A,'AME - Quarterly'!$A30,BASE_QUARTELY!$B:$B,"fevereiro")/1000</f>
        <v>0</v>
      </c>
      <c r="AS30" s="427"/>
      <c r="AT30" s="421"/>
      <c r="AU30" s="422"/>
      <c r="AV30" s="423">
        <f>SUMIFS(BASE_QUARTELY!$J:$J,BASE_QUARTELY!$A:$A,'AME - Quarterly'!$A30,BASE_QUARTELY!$B:$B,"março")/1000</f>
        <v>0</v>
      </c>
      <c r="AW30" s="427"/>
      <c r="AX30" s="421"/>
      <c r="AY30" s="422"/>
      <c r="AZ30" s="423">
        <f>SUMIFS(BASE_QUARTELY!$J:$J,BASE_QUARTELY!$A:$A,'AME - Quarterly'!$A30,BASE_QUARTELY!$B:$B,"abril")/1000</f>
        <v>0</v>
      </c>
      <c r="BA30" s="427"/>
      <c r="BB30" s="421"/>
      <c r="BC30" s="422">
        <v>0</v>
      </c>
      <c r="BD30" s="423">
        <f>SUMIFS(BASE_QUARTELY!$J:$J,BASE_QUARTELY!$A:$A,'AME - Quarterly'!$A30,BASE_QUARTELY!$B:$B,"maio")/1000</f>
        <v>0</v>
      </c>
      <c r="BE30" s="427"/>
      <c r="BF30" s="421"/>
      <c r="BG30" s="422"/>
      <c r="BH30" s="423">
        <f>SUMIFS(BASE_QUARTELY!$J:$J,BASE_QUARTELY!$A:$A,'AME - Quarterly'!$A30,BASE_QUARTELY!$B:$B,"junho")/1000</f>
        <v>0</v>
      </c>
      <c r="BI30" s="427"/>
      <c r="BJ30" s="421"/>
      <c r="BK30" s="422"/>
      <c r="BL30" s="423">
        <f>SUMIFS(BASE_QUARTELY!$J:$J,BASE_QUARTELY!$A:$A,'AME - Quarterly'!$A30,BASE_QUARTELY!$B:$B,"julho")/1000</f>
        <v>0</v>
      </c>
      <c r="BM30" s="427"/>
      <c r="BN30" s="421"/>
      <c r="BO30" s="422"/>
      <c r="BP30" s="423">
        <f>SUMIFS(BASE_QUARTELY!$J:$J,BASE_QUARTELY!$A:$A,'AME - Quarterly'!$A30,BASE_QUARTELY!$B:$B,"agosto")/1000</f>
        <v>0</v>
      </c>
      <c r="BQ30" s="427"/>
      <c r="BR30" s="421"/>
      <c r="BS30" s="422"/>
      <c r="BT30" s="423">
        <f>SUMIFS(BASE_QUARTELY!$J:$J,BASE_QUARTELY!$A:$A,'AME - Quarterly'!$A30,BASE_QUARTELY!$B:$B,"setembro")/1000</f>
        <v>0</v>
      </c>
      <c r="BU30" s="427"/>
      <c r="BV30" s="421"/>
      <c r="BW30" s="422"/>
      <c r="BX30" s="423">
        <f>SUMIFS(BASE_QUARTELY!$J:$J,BASE_QUARTELY!$A:$A,'AME - Quarterly'!$A30,BASE_QUARTELY!$B:$B,"outubro")/1000</f>
        <v>0</v>
      </c>
      <c r="BY30" s="427"/>
      <c r="BZ30" s="421"/>
      <c r="CA30" s="422"/>
      <c r="CB30" s="423">
        <f>SUMIFS(BASE_QUARTELY!$J:$J,BASE_QUARTELY!$A:$A,'AME - Quarterly'!$A30,BASE_QUARTELY!$B:$B,"novembro")/1000</f>
        <v>0</v>
      </c>
      <c r="CC30" s="427"/>
      <c r="CD30" s="421"/>
      <c r="CE30" s="422"/>
      <c r="CF30" s="423">
        <f>SUMIFS(BASE_QUARTELY!$J:$J,BASE_QUARTELY!$A:$A,'AME - Quarterly'!$A30,BASE_QUARTELY!$B:$B,"dezembro")/1000</f>
        <v>0</v>
      </c>
      <c r="CG30" s="427"/>
      <c r="CH30" s="452">
        <f t="shared" si="8"/>
        <v>0</v>
      </c>
      <c r="CI30" s="374"/>
      <c r="CJ30" s="374"/>
      <c r="CK30" s="374"/>
      <c r="CL30" s="374"/>
      <c r="CM30" s="374"/>
      <c r="CN30" s="374"/>
      <c r="CO30" s="374"/>
      <c r="CP30" s="374"/>
      <c r="CQ30" s="374"/>
      <c r="CR30" s="374"/>
      <c r="CS30" s="374"/>
      <c r="CT30" s="374"/>
      <c r="CU30" s="374"/>
      <c r="CV30" s="216">
        <f t="shared" si="9"/>
        <v>0</v>
      </c>
      <c r="CW30" s="320">
        <f t="shared" si="10"/>
        <v>0</v>
      </c>
      <c r="CX30" s="241">
        <f t="shared" si="11"/>
        <v>0</v>
      </c>
      <c r="CY30" s="241">
        <f t="shared" si="12"/>
        <v>0</v>
      </c>
      <c r="CZ30" s="241">
        <f t="shared" si="13"/>
        <v>0</v>
      </c>
      <c r="DA30" s="241">
        <f t="shared" si="14"/>
        <v>0</v>
      </c>
      <c r="DB30" s="346">
        <f t="shared" si="15"/>
        <v>0</v>
      </c>
      <c r="DC30" s="445">
        <f t="shared" si="16"/>
        <v>0</v>
      </c>
      <c r="DD30" s="447">
        <f t="shared" si="17"/>
        <v>0</v>
      </c>
      <c r="DE30" s="364">
        <f t="shared" si="18"/>
        <v>0</v>
      </c>
      <c r="DF30" s="365">
        <f t="shared" si="19"/>
        <v>0</v>
      </c>
      <c r="DG30" s="384">
        <f>IFERROR(VLOOKUP($A30,'BASE_558 QUARTELY'!$D:$V,6,FALSE)/1000,"")</f>
        <v>18.03</v>
      </c>
      <c r="DH30" s="384">
        <f>IFERROR(VLOOKUP($A30,'BASE_558 QUARTELY'!$D:$V,7,FALSE)/1000,"")</f>
        <v>15.72104</v>
      </c>
      <c r="DI30" s="384">
        <f>IFERROR(VLOOKUP($A30,'BASE_558 QUARTELY'!$D:$V,8,FALSE)/1000,"")</f>
        <v>0</v>
      </c>
      <c r="DJ30" s="384">
        <f>IFERROR(VLOOKUP($A30,'BASE_558 QUARTELY'!$D:$V,9,FALSE)/1000,"")</f>
        <v>0</v>
      </c>
      <c r="DK30" s="384">
        <f>IFERROR(VLOOKUP($A30,'BASE_558 QUARTELY'!$D:$V,11,FALSE)/1000,"")</f>
        <v>15.72104</v>
      </c>
      <c r="DL30" s="384">
        <f>IFERROR(VLOOKUP($A30,'BASE_558 QUARTELY'!$D:$V,12,FALSE)/1000,"")</f>
        <v>2.3089599999999999</v>
      </c>
      <c r="DM30" s="442"/>
      <c r="DN30" s="442"/>
    </row>
    <row r="31" spans="1:118" s="23" customFormat="1" ht="30" customHeight="1">
      <c r="A31" s="85" t="s">
        <v>2887</v>
      </c>
      <c r="B31" s="86">
        <v>358</v>
      </c>
      <c r="C31" s="84" t="s">
        <v>609</v>
      </c>
      <c r="D31" s="85"/>
      <c r="E31" s="85" t="s">
        <v>6</v>
      </c>
      <c r="F31" s="6"/>
      <c r="G31" s="85">
        <v>2024</v>
      </c>
      <c r="H31" s="84">
        <v>45475</v>
      </c>
      <c r="I31" s="85"/>
      <c r="J31" s="85"/>
      <c r="K31" s="84">
        <v>45657</v>
      </c>
      <c r="L31" s="84">
        <v>45838</v>
      </c>
      <c r="M31" s="13"/>
      <c r="N31" s="13"/>
      <c r="O31" s="5" t="s">
        <v>3215</v>
      </c>
      <c r="P31" s="10" t="s">
        <v>2896</v>
      </c>
      <c r="Q31" s="3" t="s">
        <v>2255</v>
      </c>
      <c r="R31" s="6" t="s">
        <v>218</v>
      </c>
      <c r="S31" s="6" t="str">
        <f t="shared" si="4"/>
        <v>IGUAL</v>
      </c>
      <c r="T31" s="151" t="str">
        <f>IFERROR(VLOOKUP(A31,STATUS_SAP_QUARTELY!B:C,2,FALSE),"NO BUDGET")</f>
        <v>CLSD BUDG AUC  AVAC SETC  //  BREL</v>
      </c>
      <c r="U31" s="6" t="str">
        <f t="shared" si="5"/>
        <v>CLSD</v>
      </c>
      <c r="V31" s="151" t="s">
        <v>2651</v>
      </c>
      <c r="W31" s="85"/>
      <c r="X31" s="499" t="s">
        <v>9607</v>
      </c>
      <c r="Y31" s="84">
        <v>45747</v>
      </c>
      <c r="Z31" s="85"/>
      <c r="AA31" s="318"/>
      <c r="AB31" s="223">
        <v>11.238109999999999</v>
      </c>
      <c r="AC31" s="318">
        <f t="shared" si="6"/>
        <v>7.4406699999999999</v>
      </c>
      <c r="AD31" s="223"/>
      <c r="AE31" s="318"/>
      <c r="AF31" s="223"/>
      <c r="AG31" s="318"/>
      <c r="AH31" s="223"/>
      <c r="AI31" s="498">
        <v>25.045380000000002</v>
      </c>
      <c r="AJ31" s="223">
        <v>7</v>
      </c>
      <c r="AK31" s="333">
        <f t="shared" si="7"/>
        <v>7.4406699999999999</v>
      </c>
      <c r="AL31" s="421">
        <v>0</v>
      </c>
      <c r="AM31" s="422"/>
      <c r="AN31" s="423">
        <f>SUMIFS(BASE_QUARTELY!$J:$J,BASE_QUARTELY!$A:$A,'AME - Quarterly'!$A31,BASE_QUARTELY!$B:$B,"janeiro")/1000</f>
        <v>0</v>
      </c>
      <c r="AO31" s="427"/>
      <c r="AP31" s="421">
        <v>7</v>
      </c>
      <c r="AQ31" s="422">
        <v>6.4546599999999996</v>
      </c>
      <c r="AR31" s="423">
        <f>SUMIFS(BASE_QUARTELY!$J:$J,BASE_QUARTELY!$A:$A,'AME - Quarterly'!$A31,BASE_QUARTELY!$B:$B,"fevereiro")/1000</f>
        <v>6.4546599999999996</v>
      </c>
      <c r="AS31" s="427">
        <v>6.4546599999999996</v>
      </c>
      <c r="AT31" s="421">
        <v>0.5</v>
      </c>
      <c r="AU31" s="422">
        <v>0.91898999999999997</v>
      </c>
      <c r="AV31" s="423">
        <f>SUMIFS(BASE_QUARTELY!$J:$J,BASE_QUARTELY!$A:$A,'AME - Quarterly'!$A31,BASE_QUARTELY!$B:$B,"março")/1000</f>
        <v>0.91898999999999997</v>
      </c>
      <c r="AW31" s="427">
        <v>0.89797000000000005</v>
      </c>
      <c r="AX31" s="421"/>
      <c r="AY31" s="422"/>
      <c r="AZ31" s="423">
        <f>SUMIFS(BASE_QUARTELY!$J:$J,BASE_QUARTELY!$A:$A,'AME - Quarterly'!$A31,BASE_QUARTELY!$B:$B,"abril")/1000</f>
        <v>0</v>
      </c>
      <c r="BA31" s="427"/>
      <c r="BB31" s="421"/>
      <c r="BC31" s="422">
        <v>-8.8040000000000007E-2</v>
      </c>
      <c r="BD31" s="423">
        <f>SUMIFS(BASE_QUARTELY!$J:$J,BASE_QUARTELY!$A:$A,'AME - Quarterly'!$A31,BASE_QUARTELY!$B:$B,"maio")/1000</f>
        <v>-8.8040000000000007E-2</v>
      </c>
      <c r="BE31" s="427"/>
      <c r="BF31" s="421"/>
      <c r="BG31" s="422">
        <v>8.8040000000000007E-2</v>
      </c>
      <c r="BH31" s="423">
        <f>SUMIFS(BASE_QUARTELY!$J:$J,BASE_QUARTELY!$A:$A,'AME - Quarterly'!$A31,BASE_QUARTELY!$B:$B,"junho")/1000</f>
        <v>8.8039999999999966E-2</v>
      </c>
      <c r="BI31" s="427">
        <v>8.8039999999999966E-2</v>
      </c>
      <c r="BJ31" s="421"/>
      <c r="BK31" s="422"/>
      <c r="BL31" s="423">
        <f>SUMIFS(BASE_QUARTELY!$J:$J,BASE_QUARTELY!$A:$A,'AME - Quarterly'!$A31,BASE_QUARTELY!$B:$B,"julho")/1000</f>
        <v>0</v>
      </c>
      <c r="BM31" s="427"/>
      <c r="BN31" s="421"/>
      <c r="BO31" s="422"/>
      <c r="BP31" s="423">
        <f>SUMIFS(BASE_QUARTELY!$J:$J,BASE_QUARTELY!$A:$A,'AME - Quarterly'!$A31,BASE_QUARTELY!$B:$B,"agosto")/1000</f>
        <v>0</v>
      </c>
      <c r="BQ31" s="427"/>
      <c r="BR31" s="421"/>
      <c r="BS31" s="422"/>
      <c r="BT31" s="423">
        <f>SUMIFS(BASE_QUARTELY!$J:$J,BASE_QUARTELY!$A:$A,'AME - Quarterly'!$A31,BASE_QUARTELY!$B:$B,"setembro")/1000</f>
        <v>0</v>
      </c>
      <c r="BU31" s="427"/>
      <c r="BV31" s="421"/>
      <c r="BW31" s="422"/>
      <c r="BX31" s="423">
        <f>SUMIFS(BASE_QUARTELY!$J:$J,BASE_QUARTELY!$A:$A,'AME - Quarterly'!$A31,BASE_QUARTELY!$B:$B,"outubro")/1000</f>
        <v>0</v>
      </c>
      <c r="BY31" s="427"/>
      <c r="BZ31" s="421"/>
      <c r="CA31" s="422"/>
      <c r="CB31" s="423">
        <f>SUMIFS(BASE_QUARTELY!$J:$J,BASE_QUARTELY!$A:$A,'AME - Quarterly'!$A31,BASE_QUARTELY!$B:$B,"novembro")/1000</f>
        <v>0</v>
      </c>
      <c r="CC31" s="427"/>
      <c r="CD31" s="421"/>
      <c r="CE31" s="422"/>
      <c r="CF31" s="423">
        <f>SUMIFS(BASE_QUARTELY!$J:$J,BASE_QUARTELY!$A:$A,'AME - Quarterly'!$A31,BASE_QUARTELY!$B:$B,"dezembro")/1000</f>
        <v>0</v>
      </c>
      <c r="CG31" s="427"/>
      <c r="CH31" s="452">
        <f t="shared" si="8"/>
        <v>0</v>
      </c>
      <c r="CI31" s="374"/>
      <c r="CJ31" s="374"/>
      <c r="CK31" s="374"/>
      <c r="CL31" s="374"/>
      <c r="CM31" s="374"/>
      <c r="CN31" s="374"/>
      <c r="CO31" s="374"/>
      <c r="CP31" s="374"/>
      <c r="CQ31" s="374"/>
      <c r="CR31" s="374"/>
      <c r="CS31" s="374"/>
      <c r="CT31" s="374"/>
      <c r="CU31" s="374"/>
      <c r="CV31" s="216">
        <f t="shared" si="9"/>
        <v>8.8039999999999966E-2</v>
      </c>
      <c r="CW31" s="320">
        <f t="shared" si="10"/>
        <v>0</v>
      </c>
      <c r="CX31" s="241">
        <f t="shared" si="11"/>
        <v>7.3526299999999996</v>
      </c>
      <c r="CY31" s="241">
        <f t="shared" si="12"/>
        <v>8.8039999999999966E-2</v>
      </c>
      <c r="CZ31" s="241">
        <f t="shared" si="13"/>
        <v>0</v>
      </c>
      <c r="DA31" s="241">
        <f t="shared" si="14"/>
        <v>0</v>
      </c>
      <c r="DB31" s="346">
        <f t="shared" si="15"/>
        <v>0.4406699999999999</v>
      </c>
      <c r="DC31" s="445">
        <f t="shared" si="16"/>
        <v>0</v>
      </c>
      <c r="DD31" s="447">
        <f t="shared" si="17"/>
        <v>-8.8040000000000007E-2</v>
      </c>
      <c r="DE31" s="364">
        <f t="shared" si="18"/>
        <v>7.2645899999999992</v>
      </c>
      <c r="DF31" s="365">
        <f t="shared" si="19"/>
        <v>0.17608000000000068</v>
      </c>
      <c r="DG31" s="384">
        <f>IFERROR(VLOOKUP($A31,'BASE_558 QUARTELY'!$D:$V,6,FALSE)/1000,"")</f>
        <v>25.045400000000001</v>
      </c>
      <c r="DH31" s="384">
        <f>IFERROR(VLOOKUP($A31,'BASE_558 QUARTELY'!$D:$V,7,FALSE)/1000,"")</f>
        <v>18.611759999999997</v>
      </c>
      <c r="DI31" s="384">
        <f>IFERROR(VLOOKUP($A31,'BASE_558 QUARTELY'!$D:$V,8,FALSE)/1000,"")</f>
        <v>0</v>
      </c>
      <c r="DJ31" s="384">
        <f>IFERROR(VLOOKUP($A31,'BASE_558 QUARTELY'!$D:$V,9,FALSE)/1000,"")</f>
        <v>0</v>
      </c>
      <c r="DK31" s="384">
        <f>IFERROR(VLOOKUP($A31,'BASE_558 QUARTELY'!$D:$V,11,FALSE)/1000,"")</f>
        <v>18.611759999999997</v>
      </c>
      <c r="DL31" s="384">
        <f>IFERROR(VLOOKUP($A31,'BASE_558 QUARTELY'!$D:$V,12,FALSE)/1000,"")</f>
        <v>6.4336400000000005</v>
      </c>
      <c r="DM31" s="442"/>
      <c r="DN31" s="442"/>
    </row>
    <row r="32" spans="1:118" s="23" customFormat="1" ht="30" customHeight="1">
      <c r="A32" s="85" t="s">
        <v>6798</v>
      </c>
      <c r="B32" s="86">
        <v>286</v>
      </c>
      <c r="C32" s="84" t="s">
        <v>609</v>
      </c>
      <c r="D32" s="85"/>
      <c r="E32" s="85" t="s">
        <v>6</v>
      </c>
      <c r="F32" s="6"/>
      <c r="G32" s="85">
        <v>2024</v>
      </c>
      <c r="H32" s="84">
        <v>45505</v>
      </c>
      <c r="I32" s="85"/>
      <c r="J32" s="85"/>
      <c r="K32" s="84">
        <v>45657</v>
      </c>
      <c r="L32" s="84">
        <v>45838</v>
      </c>
      <c r="M32" s="13"/>
      <c r="N32" s="13"/>
      <c r="O32" s="5" t="s">
        <v>2124</v>
      </c>
      <c r="P32" s="10" t="s">
        <v>6776</v>
      </c>
      <c r="Q32" s="3" t="s">
        <v>2255</v>
      </c>
      <c r="R32" s="6" t="s">
        <v>218</v>
      </c>
      <c r="S32" s="6" t="str">
        <f t="shared" si="4"/>
        <v>IGUAL</v>
      </c>
      <c r="T32" s="151" t="str">
        <f>IFERROR(VLOOKUP(A32,STATUS_SAP_QUARTELY!B:C,2,FALSE),"NO BUDGET")</f>
        <v>CLSD BUDG ISBD AUC  AVAC SETC  //  BREL</v>
      </c>
      <c r="U32" s="6" t="str">
        <f t="shared" si="5"/>
        <v>CLSD</v>
      </c>
      <c r="V32" s="151" t="s">
        <v>2651</v>
      </c>
      <c r="W32" s="85"/>
      <c r="X32" s="499" t="s">
        <v>9607</v>
      </c>
      <c r="Y32" s="84">
        <v>45657</v>
      </c>
      <c r="Z32" s="85"/>
      <c r="AA32" s="318"/>
      <c r="AB32" s="223">
        <v>93.34939</v>
      </c>
      <c r="AC32" s="318">
        <f t="shared" si="6"/>
        <v>0</v>
      </c>
      <c r="AD32" s="223"/>
      <c r="AE32" s="318"/>
      <c r="AF32" s="223"/>
      <c r="AG32" s="318"/>
      <c r="AH32" s="223"/>
      <c r="AI32" s="498">
        <v>100</v>
      </c>
      <c r="AJ32" s="223">
        <v>0</v>
      </c>
      <c r="AK32" s="333">
        <f t="shared" si="7"/>
        <v>0</v>
      </c>
      <c r="AL32" s="421">
        <v>0</v>
      </c>
      <c r="AM32" s="422">
        <v>0</v>
      </c>
      <c r="AN32" s="423">
        <f>SUMIFS(BASE_QUARTELY!$J:$J,BASE_QUARTELY!$A:$A,'AME - Quarterly'!$A32,BASE_QUARTELY!$B:$B,"janeiro")/1000</f>
        <v>0</v>
      </c>
      <c r="AO32" s="427"/>
      <c r="AP32" s="421"/>
      <c r="AQ32" s="422">
        <v>0</v>
      </c>
      <c r="AR32" s="423">
        <f>SUMIFS(BASE_QUARTELY!$J:$J,BASE_QUARTELY!$A:$A,'AME - Quarterly'!$A32,BASE_QUARTELY!$B:$B,"fevereiro")/1000</f>
        <v>0</v>
      </c>
      <c r="AS32" s="427">
        <v>0</v>
      </c>
      <c r="AT32" s="421"/>
      <c r="AU32" s="422"/>
      <c r="AV32" s="423">
        <f>SUMIFS(BASE_QUARTELY!$J:$J,BASE_QUARTELY!$A:$A,'AME - Quarterly'!$A32,BASE_QUARTELY!$B:$B,"março")/1000</f>
        <v>0</v>
      </c>
      <c r="AW32" s="427"/>
      <c r="AX32" s="421"/>
      <c r="AY32" s="422"/>
      <c r="AZ32" s="423">
        <f>SUMIFS(BASE_QUARTELY!$J:$J,BASE_QUARTELY!$A:$A,'AME - Quarterly'!$A32,BASE_QUARTELY!$B:$B,"abril")/1000</f>
        <v>0</v>
      </c>
      <c r="BA32" s="427"/>
      <c r="BB32" s="421"/>
      <c r="BC32" s="422">
        <v>0</v>
      </c>
      <c r="BD32" s="423">
        <f>SUMIFS(BASE_QUARTELY!$J:$J,BASE_QUARTELY!$A:$A,'AME - Quarterly'!$A32,BASE_QUARTELY!$B:$B,"maio")/1000</f>
        <v>0</v>
      </c>
      <c r="BE32" s="427"/>
      <c r="BF32" s="421"/>
      <c r="BG32" s="422"/>
      <c r="BH32" s="423">
        <f>SUMIFS(BASE_QUARTELY!$J:$J,BASE_QUARTELY!$A:$A,'AME - Quarterly'!$A32,BASE_QUARTELY!$B:$B,"junho")/1000</f>
        <v>0</v>
      </c>
      <c r="BI32" s="427"/>
      <c r="BJ32" s="421"/>
      <c r="BK32" s="422"/>
      <c r="BL32" s="423">
        <f>SUMIFS(BASE_QUARTELY!$J:$J,BASE_QUARTELY!$A:$A,'AME - Quarterly'!$A32,BASE_QUARTELY!$B:$B,"julho")/1000</f>
        <v>0</v>
      </c>
      <c r="BM32" s="427"/>
      <c r="BN32" s="421"/>
      <c r="BO32" s="422"/>
      <c r="BP32" s="423">
        <f>SUMIFS(BASE_QUARTELY!$J:$J,BASE_QUARTELY!$A:$A,'AME - Quarterly'!$A32,BASE_QUARTELY!$B:$B,"agosto")/1000</f>
        <v>0</v>
      </c>
      <c r="BQ32" s="427"/>
      <c r="BR32" s="421"/>
      <c r="BS32" s="422"/>
      <c r="BT32" s="423">
        <f>SUMIFS(BASE_QUARTELY!$J:$J,BASE_QUARTELY!$A:$A,'AME - Quarterly'!$A32,BASE_QUARTELY!$B:$B,"setembro")/1000</f>
        <v>0</v>
      </c>
      <c r="BU32" s="427"/>
      <c r="BV32" s="421"/>
      <c r="BW32" s="422"/>
      <c r="BX32" s="423">
        <f>SUMIFS(BASE_QUARTELY!$J:$J,BASE_QUARTELY!$A:$A,'AME - Quarterly'!$A32,BASE_QUARTELY!$B:$B,"outubro")/1000</f>
        <v>0</v>
      </c>
      <c r="BY32" s="427"/>
      <c r="BZ32" s="421"/>
      <c r="CA32" s="422"/>
      <c r="CB32" s="423">
        <f>SUMIFS(BASE_QUARTELY!$J:$J,BASE_QUARTELY!$A:$A,'AME - Quarterly'!$A32,BASE_QUARTELY!$B:$B,"novembro")/1000</f>
        <v>0</v>
      </c>
      <c r="CC32" s="427"/>
      <c r="CD32" s="421"/>
      <c r="CE32" s="422"/>
      <c r="CF32" s="423">
        <f>SUMIFS(BASE_QUARTELY!$J:$J,BASE_QUARTELY!$A:$A,'AME - Quarterly'!$A32,BASE_QUARTELY!$B:$B,"dezembro")/1000</f>
        <v>0</v>
      </c>
      <c r="CG32" s="427"/>
      <c r="CH32" s="452">
        <f t="shared" si="8"/>
        <v>0</v>
      </c>
      <c r="CI32" s="374"/>
      <c r="CJ32" s="374"/>
      <c r="CK32" s="374"/>
      <c r="CL32" s="374"/>
      <c r="CM32" s="374"/>
      <c r="CN32" s="374"/>
      <c r="CO32" s="374"/>
      <c r="CP32" s="374"/>
      <c r="CQ32" s="374"/>
      <c r="CR32" s="374"/>
      <c r="CS32" s="374"/>
      <c r="CT32" s="374"/>
      <c r="CU32" s="374"/>
      <c r="CV32" s="216">
        <f t="shared" si="9"/>
        <v>0</v>
      </c>
      <c r="CW32" s="320">
        <f t="shared" si="10"/>
        <v>0</v>
      </c>
      <c r="CX32" s="241">
        <f t="shared" si="11"/>
        <v>0</v>
      </c>
      <c r="CY32" s="241">
        <f t="shared" si="12"/>
        <v>0</v>
      </c>
      <c r="CZ32" s="241">
        <f t="shared" si="13"/>
        <v>0</v>
      </c>
      <c r="DA32" s="241">
        <f t="shared" si="14"/>
        <v>0</v>
      </c>
      <c r="DB32" s="346">
        <f t="shared" si="15"/>
        <v>0</v>
      </c>
      <c r="DC32" s="445">
        <f t="shared" si="16"/>
        <v>0</v>
      </c>
      <c r="DD32" s="447">
        <f t="shared" si="17"/>
        <v>0</v>
      </c>
      <c r="DE32" s="364">
        <f t="shared" si="18"/>
        <v>0</v>
      </c>
      <c r="DF32" s="365">
        <f t="shared" si="19"/>
        <v>0</v>
      </c>
      <c r="DG32" s="384">
        <f>IFERROR(VLOOKUP($A32,'BASE_558 QUARTELY'!$D:$V,6,FALSE)/1000,"")</f>
        <v>100</v>
      </c>
      <c r="DH32" s="384">
        <f>IFERROR(VLOOKUP($A32,'BASE_558 QUARTELY'!$D:$V,7,FALSE)/1000,"")</f>
        <v>93.34939</v>
      </c>
      <c r="DI32" s="384">
        <f>IFERROR(VLOOKUP($A32,'BASE_558 QUARTELY'!$D:$V,8,FALSE)/1000,"")</f>
        <v>0</v>
      </c>
      <c r="DJ32" s="384">
        <f>IFERROR(VLOOKUP($A32,'BASE_558 QUARTELY'!$D:$V,9,FALSE)/1000,"")</f>
        <v>0</v>
      </c>
      <c r="DK32" s="384">
        <f>IFERROR(VLOOKUP($A32,'BASE_558 QUARTELY'!$D:$V,11,FALSE)/1000,"")</f>
        <v>93.34939</v>
      </c>
      <c r="DL32" s="384">
        <f>IFERROR(VLOOKUP($A32,'BASE_558 QUARTELY'!$D:$V,12,FALSE)/1000,"")</f>
        <v>6.6506099999999995</v>
      </c>
      <c r="DM32" s="442"/>
      <c r="DN32" s="442"/>
    </row>
    <row r="33" spans="1:118" s="23" customFormat="1" ht="30" customHeight="1">
      <c r="A33" s="85" t="s">
        <v>6868</v>
      </c>
      <c r="B33" s="86">
        <v>326</v>
      </c>
      <c r="C33" s="84" t="s">
        <v>609</v>
      </c>
      <c r="D33" s="85"/>
      <c r="E33" s="85" t="s">
        <v>6</v>
      </c>
      <c r="F33" s="6"/>
      <c r="G33" s="85">
        <v>2024</v>
      </c>
      <c r="H33" s="84">
        <v>45552</v>
      </c>
      <c r="I33" s="85"/>
      <c r="J33" s="85"/>
      <c r="K33" s="84">
        <v>45657</v>
      </c>
      <c r="L33" s="84">
        <v>45838</v>
      </c>
      <c r="M33" s="13"/>
      <c r="N33" s="13"/>
      <c r="O33" s="5" t="s">
        <v>2079</v>
      </c>
      <c r="P33" s="10" t="s">
        <v>2882</v>
      </c>
      <c r="Q33" s="3" t="s">
        <v>187</v>
      </c>
      <c r="R33" s="6" t="s">
        <v>195</v>
      </c>
      <c r="S33" s="6" t="str">
        <f t="shared" si="4"/>
        <v>IGUAL</v>
      </c>
      <c r="T33" s="151" t="str">
        <f>IFERROR(VLOOKUP(A33,STATUS_SAP_QUARTELY!B:C,2,FALSE),"NO BUDGET")</f>
        <v>TECO BUDG AUC  AVAC SETC  //  BREL</v>
      </c>
      <c r="U33" s="6" t="str">
        <f t="shared" si="5"/>
        <v>TECO</v>
      </c>
      <c r="V33" s="549" t="s">
        <v>17363</v>
      </c>
      <c r="W33" s="85"/>
      <c r="X33" s="499" t="s">
        <v>5299</v>
      </c>
      <c r="Y33" s="84">
        <v>45807</v>
      </c>
      <c r="Z33" s="85"/>
      <c r="AA33" s="318"/>
      <c r="AB33" s="223">
        <v>0</v>
      </c>
      <c r="AC33" s="318">
        <f t="shared" si="6"/>
        <v>72.917379999999994</v>
      </c>
      <c r="AD33" s="223"/>
      <c r="AE33" s="318"/>
      <c r="AF33" s="223"/>
      <c r="AG33" s="318"/>
      <c r="AH33" s="223"/>
      <c r="AI33" s="498">
        <v>50</v>
      </c>
      <c r="AJ33" s="223">
        <v>90</v>
      </c>
      <c r="AK33" s="333">
        <f t="shared" si="7"/>
        <v>72.917379999999994</v>
      </c>
      <c r="AL33" s="421">
        <v>0</v>
      </c>
      <c r="AM33" s="422"/>
      <c r="AN33" s="423">
        <f>SUMIFS(BASE_QUARTELY!$J:$J,BASE_QUARTELY!$A:$A,'AME - Quarterly'!$A33,BASE_QUARTELY!$B:$B,"janeiro")/1000</f>
        <v>0</v>
      </c>
      <c r="AO33" s="427"/>
      <c r="AP33" s="421"/>
      <c r="AQ33" s="422"/>
      <c r="AR33" s="423">
        <f>SUMIFS(BASE_QUARTELY!$J:$J,BASE_QUARTELY!$A:$A,'AME - Quarterly'!$A33,BASE_QUARTELY!$B:$B,"fevereiro")/1000</f>
        <v>0</v>
      </c>
      <c r="AS33" s="427"/>
      <c r="AT33" s="421"/>
      <c r="AU33" s="422"/>
      <c r="AV33" s="423">
        <f>SUMIFS(BASE_QUARTELY!$J:$J,BASE_QUARTELY!$A:$A,'AME - Quarterly'!$A33,BASE_QUARTELY!$B:$B,"março")/1000</f>
        <v>0</v>
      </c>
      <c r="AW33" s="427"/>
      <c r="AX33" s="421">
        <v>20</v>
      </c>
      <c r="AY33" s="422"/>
      <c r="AZ33" s="423">
        <f>SUMIFS(BASE_QUARTELY!$J:$J,BASE_QUARTELY!$A:$A,'AME - Quarterly'!$A33,BASE_QUARTELY!$B:$B,"abril")/1000</f>
        <v>0</v>
      </c>
      <c r="BA33" s="427">
        <v>0</v>
      </c>
      <c r="BB33" s="421">
        <v>75</v>
      </c>
      <c r="BC33" s="422">
        <v>69.626149999999996</v>
      </c>
      <c r="BD33" s="423">
        <f>SUMIFS(BASE_QUARTELY!$J:$J,BASE_QUARTELY!$A:$A,'AME - Quarterly'!$A33,BASE_QUARTELY!$B:$B,"maio")/1000</f>
        <v>69.626149999999996</v>
      </c>
      <c r="BE33" s="427">
        <v>69.626139999999992</v>
      </c>
      <c r="BF33" s="421">
        <v>3</v>
      </c>
      <c r="BG33" s="422">
        <v>3.2912399999999997</v>
      </c>
      <c r="BH33" s="423">
        <f>SUMIFS(BASE_QUARTELY!$J:$J,BASE_QUARTELY!$A:$A,'AME - Quarterly'!$A33,BASE_QUARTELY!$B:$B,"junho")/1000</f>
        <v>3.2912400000000002</v>
      </c>
      <c r="BI33" s="427">
        <v>3.2912400000000002</v>
      </c>
      <c r="BJ33" s="421"/>
      <c r="BK33" s="422"/>
      <c r="BL33" s="423">
        <f>SUMIFS(BASE_QUARTELY!$J:$J,BASE_QUARTELY!$A:$A,'AME - Quarterly'!$A33,BASE_QUARTELY!$B:$B,"julho")/1000</f>
        <v>0</v>
      </c>
      <c r="BM33" s="427"/>
      <c r="BN33" s="421"/>
      <c r="BO33" s="422"/>
      <c r="BP33" s="423">
        <f>SUMIFS(BASE_QUARTELY!$J:$J,BASE_QUARTELY!$A:$A,'AME - Quarterly'!$A33,BASE_QUARTELY!$B:$B,"agosto")/1000</f>
        <v>0</v>
      </c>
      <c r="BQ33" s="427"/>
      <c r="BR33" s="421"/>
      <c r="BS33" s="422"/>
      <c r="BT33" s="423">
        <f>SUMIFS(BASE_QUARTELY!$J:$J,BASE_QUARTELY!$A:$A,'AME - Quarterly'!$A33,BASE_QUARTELY!$B:$B,"setembro")/1000</f>
        <v>0</v>
      </c>
      <c r="BU33" s="427"/>
      <c r="BV33" s="421"/>
      <c r="BW33" s="422"/>
      <c r="BX33" s="423">
        <f>SUMIFS(BASE_QUARTELY!$J:$J,BASE_QUARTELY!$A:$A,'AME - Quarterly'!$A33,BASE_QUARTELY!$B:$B,"outubro")/1000</f>
        <v>0</v>
      </c>
      <c r="BY33" s="427"/>
      <c r="BZ33" s="421"/>
      <c r="CA33" s="422"/>
      <c r="CB33" s="423">
        <f>SUMIFS(BASE_QUARTELY!$J:$J,BASE_QUARTELY!$A:$A,'AME - Quarterly'!$A33,BASE_QUARTELY!$B:$B,"novembro")/1000</f>
        <v>0</v>
      </c>
      <c r="CC33" s="427"/>
      <c r="CD33" s="421"/>
      <c r="CE33" s="422"/>
      <c r="CF33" s="423">
        <f>SUMIFS(BASE_QUARTELY!$J:$J,BASE_QUARTELY!$A:$A,'AME - Quarterly'!$A33,BASE_QUARTELY!$B:$B,"dezembro")/1000</f>
        <v>0</v>
      </c>
      <c r="CG33" s="427"/>
      <c r="CH33" s="452">
        <f t="shared" si="8"/>
        <v>0</v>
      </c>
      <c r="CI33" s="374"/>
      <c r="CJ33" s="374"/>
      <c r="CK33" s="374"/>
      <c r="CL33" s="374"/>
      <c r="CM33" s="374"/>
      <c r="CN33" s="374"/>
      <c r="CO33" s="374"/>
      <c r="CP33" s="374"/>
      <c r="CQ33" s="374"/>
      <c r="CR33" s="374"/>
      <c r="CS33" s="374"/>
      <c r="CT33" s="374"/>
      <c r="CU33" s="374"/>
      <c r="CV33" s="216">
        <f t="shared" si="9"/>
        <v>0.29124000000000017</v>
      </c>
      <c r="CW33" s="320">
        <f t="shared" si="10"/>
        <v>0</v>
      </c>
      <c r="CX33" s="241">
        <f t="shared" si="11"/>
        <v>0</v>
      </c>
      <c r="CY33" s="241">
        <f t="shared" si="12"/>
        <v>72.917379999999994</v>
      </c>
      <c r="CZ33" s="241">
        <f t="shared" si="13"/>
        <v>0</v>
      </c>
      <c r="DA33" s="241">
        <f t="shared" si="14"/>
        <v>0</v>
      </c>
      <c r="DB33" s="346">
        <f t="shared" si="15"/>
        <v>-17.082620000000006</v>
      </c>
      <c r="DC33" s="445">
        <f t="shared" si="16"/>
        <v>75</v>
      </c>
      <c r="DD33" s="447">
        <f t="shared" si="17"/>
        <v>69.626149999999996</v>
      </c>
      <c r="DE33" s="364">
        <f t="shared" si="18"/>
        <v>69.626149999999996</v>
      </c>
      <c r="DF33" s="365">
        <f t="shared" si="19"/>
        <v>3.2912299999999988</v>
      </c>
      <c r="DG33" s="384">
        <f>IFERROR(VLOOKUP($A33,'BASE_558 QUARTELY'!$D:$V,6,FALSE)/1000,"")</f>
        <v>100</v>
      </c>
      <c r="DH33" s="384">
        <f>IFERROR(VLOOKUP($A33,'BASE_558 QUARTELY'!$D:$V,7,FALSE)/1000,"")</f>
        <v>72.917389999999997</v>
      </c>
      <c r="DI33" s="384">
        <f>IFERROR(VLOOKUP($A33,'BASE_558 QUARTELY'!$D:$V,8,FALSE)/1000,"")</f>
        <v>0</v>
      </c>
      <c r="DJ33" s="384">
        <f>IFERROR(VLOOKUP($A33,'BASE_558 QUARTELY'!$D:$V,9,FALSE)/1000,"")</f>
        <v>0</v>
      </c>
      <c r="DK33" s="384">
        <f>IFERROR(VLOOKUP($A33,'BASE_558 QUARTELY'!$D:$V,11,FALSE)/1000,"")</f>
        <v>72.917389999999997</v>
      </c>
      <c r="DL33" s="384">
        <f>IFERROR(VLOOKUP($A33,'BASE_558 QUARTELY'!$D:$V,12,FALSE)/1000,"")</f>
        <v>27.082609999999999</v>
      </c>
      <c r="DM33" s="442"/>
      <c r="DN33" s="442"/>
    </row>
    <row r="34" spans="1:118" s="23" customFormat="1" ht="30" customHeight="1">
      <c r="A34" s="85" t="s">
        <v>6951</v>
      </c>
      <c r="B34" s="86">
        <v>160</v>
      </c>
      <c r="C34" s="84" t="s">
        <v>609</v>
      </c>
      <c r="D34" s="85"/>
      <c r="E34" s="85" t="s">
        <v>6</v>
      </c>
      <c r="F34" s="6"/>
      <c r="G34" s="85">
        <v>2024</v>
      </c>
      <c r="H34" s="84">
        <v>45572</v>
      </c>
      <c r="I34" s="85"/>
      <c r="J34" s="85"/>
      <c r="K34" s="84">
        <v>45657</v>
      </c>
      <c r="L34" s="84">
        <v>45838</v>
      </c>
      <c r="M34" s="13"/>
      <c r="N34" s="13"/>
      <c r="O34" s="5" t="s">
        <v>3215</v>
      </c>
      <c r="P34" s="10" t="s">
        <v>8483</v>
      </c>
      <c r="Q34" s="3" t="s">
        <v>316</v>
      </c>
      <c r="R34" s="6" t="s">
        <v>195</v>
      </c>
      <c r="S34" s="6" t="str">
        <f t="shared" si="4"/>
        <v>IGUAL</v>
      </c>
      <c r="T34" s="151" t="str">
        <f>IFERROR(VLOOKUP(A34,STATUS_SAP_QUARTELY!B:C,2,FALSE),"NO BUDGET")</f>
        <v>TECO BUDG AUC  AVAC SETC  //  BREL</v>
      </c>
      <c r="U34" s="6" t="str">
        <f t="shared" si="5"/>
        <v>TECO</v>
      </c>
      <c r="V34" s="308" t="s">
        <v>19070</v>
      </c>
      <c r="W34" s="85"/>
      <c r="X34" s="499" t="s">
        <v>9606</v>
      </c>
      <c r="Y34" s="84">
        <v>45868</v>
      </c>
      <c r="Z34" s="85"/>
      <c r="AA34" s="318"/>
      <c r="AB34" s="223">
        <v>0</v>
      </c>
      <c r="AC34" s="318">
        <f t="shared" si="6"/>
        <v>29.622370000000004</v>
      </c>
      <c r="AD34" s="223"/>
      <c r="AE34" s="318"/>
      <c r="AF34" s="223"/>
      <c r="AG34" s="318"/>
      <c r="AH34" s="223"/>
      <c r="AI34" s="498">
        <v>50</v>
      </c>
      <c r="AJ34" s="223">
        <v>65</v>
      </c>
      <c r="AK34" s="333">
        <f t="shared" si="7"/>
        <v>29.622370000000004</v>
      </c>
      <c r="AL34" s="421">
        <v>0</v>
      </c>
      <c r="AM34" s="422"/>
      <c r="AN34" s="423">
        <f>SUMIFS(BASE_QUARTELY!$J:$J,BASE_QUARTELY!$A:$A,'AME - Quarterly'!$A34,BASE_QUARTELY!$B:$B,"janeiro")/1000</f>
        <v>0</v>
      </c>
      <c r="AO34" s="427"/>
      <c r="AP34" s="421"/>
      <c r="AQ34" s="422">
        <v>1.77108</v>
      </c>
      <c r="AR34" s="423">
        <f>SUMIFS(BASE_QUARTELY!$J:$J,BASE_QUARTELY!$A:$A,'AME - Quarterly'!$A34,BASE_QUARTELY!$B:$B,"fevereiro")/1000</f>
        <v>1.77108</v>
      </c>
      <c r="AS34" s="427">
        <v>1.77108</v>
      </c>
      <c r="AT34" s="421"/>
      <c r="AU34" s="422">
        <v>5.4220899999999999</v>
      </c>
      <c r="AV34" s="423">
        <f>SUMIFS(BASE_QUARTELY!$J:$J,BASE_QUARTELY!$A:$A,'AME - Quarterly'!$A34,BASE_QUARTELY!$B:$B,"março")/1000</f>
        <v>5.4220899999999999</v>
      </c>
      <c r="AW34" s="427">
        <v>5.4220899999999999</v>
      </c>
      <c r="AX34" s="421">
        <v>10.8</v>
      </c>
      <c r="AY34" s="422">
        <v>9.4027999999999992</v>
      </c>
      <c r="AZ34" s="423">
        <f>SUMIFS(BASE_QUARTELY!$J:$J,BASE_QUARTELY!$A:$A,'AME - Quarterly'!$A34,BASE_QUARTELY!$B:$B,"abril")/1000</f>
        <v>9.4028000000000009</v>
      </c>
      <c r="BA34" s="427">
        <v>9.4027600000000007</v>
      </c>
      <c r="BB34" s="421">
        <v>4</v>
      </c>
      <c r="BC34" s="422">
        <v>5.7843699999999991</v>
      </c>
      <c r="BD34" s="423">
        <f>SUMIFS(BASE_QUARTELY!$J:$J,BASE_QUARTELY!$A:$A,'AME - Quarterly'!$A34,BASE_QUARTELY!$B:$B,"maio")/1000</f>
        <v>5.7843699999999991</v>
      </c>
      <c r="BE34" s="427">
        <v>5.7844299999999995</v>
      </c>
      <c r="BF34" s="421">
        <v>4</v>
      </c>
      <c r="BG34" s="422">
        <v>5.7420100000000005</v>
      </c>
      <c r="BH34" s="423">
        <f>SUMIFS(BASE_QUARTELY!$J:$J,BASE_QUARTELY!$A:$A,'AME - Quarterly'!$A34,BASE_QUARTELY!$B:$B,"junho")/1000</f>
        <v>5.7420100000000005</v>
      </c>
      <c r="BI34" s="427">
        <v>5.7420100000000005</v>
      </c>
      <c r="BJ34" s="421"/>
      <c r="BK34" s="422"/>
      <c r="BL34" s="423">
        <f>SUMIFS(BASE_QUARTELY!$J:$J,BASE_QUARTELY!$A:$A,'AME - Quarterly'!$A34,BASE_QUARTELY!$B:$B,"julho")/1000</f>
        <v>0</v>
      </c>
      <c r="BM34" s="427">
        <v>1.5</v>
      </c>
      <c r="BN34" s="421"/>
      <c r="BO34" s="422"/>
      <c r="BP34" s="423">
        <f>SUMIFS(BASE_QUARTELY!$J:$J,BASE_QUARTELY!$A:$A,'AME - Quarterly'!$A34,BASE_QUARTELY!$B:$B,"agosto")/1000</f>
        <v>0</v>
      </c>
      <c r="BQ34" s="427"/>
      <c r="BR34" s="421"/>
      <c r="BS34" s="422"/>
      <c r="BT34" s="423">
        <f>SUMIFS(BASE_QUARTELY!$J:$J,BASE_QUARTELY!$A:$A,'AME - Quarterly'!$A34,BASE_QUARTELY!$B:$B,"setembro")/1000</f>
        <v>0</v>
      </c>
      <c r="BU34" s="427"/>
      <c r="BV34" s="421"/>
      <c r="BW34" s="422"/>
      <c r="BX34" s="423">
        <f>SUMIFS(BASE_QUARTELY!$J:$J,BASE_QUARTELY!$A:$A,'AME - Quarterly'!$A34,BASE_QUARTELY!$B:$B,"outubro")/1000</f>
        <v>0</v>
      </c>
      <c r="BY34" s="427"/>
      <c r="BZ34" s="421"/>
      <c r="CA34" s="422"/>
      <c r="CB34" s="423">
        <f>SUMIFS(BASE_QUARTELY!$J:$J,BASE_QUARTELY!$A:$A,'AME - Quarterly'!$A34,BASE_QUARTELY!$B:$B,"novembro")/1000</f>
        <v>0</v>
      </c>
      <c r="CC34" s="427"/>
      <c r="CD34" s="421"/>
      <c r="CE34" s="422"/>
      <c r="CF34" s="423">
        <f>SUMIFS(BASE_QUARTELY!$J:$J,BASE_QUARTELY!$A:$A,'AME - Quarterly'!$A34,BASE_QUARTELY!$B:$B,"dezembro")/1000</f>
        <v>0</v>
      </c>
      <c r="CG34" s="427"/>
      <c r="CH34" s="452">
        <f t="shared" si="8"/>
        <v>0</v>
      </c>
      <c r="CI34" s="374"/>
      <c r="CJ34" s="374"/>
      <c r="CK34" s="374"/>
      <c r="CL34" s="374"/>
      <c r="CM34" s="374"/>
      <c r="CN34" s="374"/>
      <c r="CO34" s="374"/>
      <c r="CP34" s="374"/>
      <c r="CQ34" s="374"/>
      <c r="CR34" s="374"/>
      <c r="CS34" s="374"/>
      <c r="CT34" s="374"/>
      <c r="CU34" s="374"/>
      <c r="CV34" s="216">
        <f t="shared" si="9"/>
        <v>1.7420100000000005</v>
      </c>
      <c r="CW34" s="320">
        <f t="shared" si="10"/>
        <v>0</v>
      </c>
      <c r="CX34" s="241">
        <f t="shared" si="11"/>
        <v>7.1931700000000003</v>
      </c>
      <c r="CY34" s="241">
        <f t="shared" si="12"/>
        <v>20.929200000000002</v>
      </c>
      <c r="CZ34" s="241">
        <f t="shared" si="13"/>
        <v>1.5</v>
      </c>
      <c r="DA34" s="241">
        <f t="shared" si="14"/>
        <v>0</v>
      </c>
      <c r="DB34" s="346">
        <f t="shared" si="15"/>
        <v>-35.377629999999996</v>
      </c>
      <c r="DC34" s="445">
        <f t="shared" si="16"/>
        <v>4</v>
      </c>
      <c r="DD34" s="447">
        <f t="shared" si="17"/>
        <v>5.7843699999999991</v>
      </c>
      <c r="DE34" s="364">
        <f t="shared" si="18"/>
        <v>22.380300000000002</v>
      </c>
      <c r="DF34" s="365">
        <f t="shared" si="19"/>
        <v>7.2420700000000018</v>
      </c>
      <c r="DG34" s="384">
        <f>IFERROR(VLOOKUP($A34,'BASE_558 QUARTELY'!$D:$V,6,FALSE)/1000,"")</f>
        <v>72</v>
      </c>
      <c r="DH34" s="384">
        <f>IFERROR(VLOOKUP($A34,'BASE_558 QUARTELY'!$D:$V,7,FALSE)/1000,"")</f>
        <v>28.122349999999997</v>
      </c>
      <c r="DI34" s="384">
        <f>IFERROR(VLOOKUP($A34,'BASE_558 QUARTELY'!$D:$V,8,FALSE)/1000,"")</f>
        <v>1.9357899999999999</v>
      </c>
      <c r="DJ34" s="384">
        <f>IFERROR(VLOOKUP($A34,'BASE_558 QUARTELY'!$D:$V,9,FALSE)/1000,"")</f>
        <v>0</v>
      </c>
      <c r="DK34" s="384">
        <f>IFERROR(VLOOKUP($A34,'BASE_558 QUARTELY'!$D:$V,11,FALSE)/1000,"")</f>
        <v>30.058139999999998</v>
      </c>
      <c r="DL34" s="384">
        <f>IFERROR(VLOOKUP($A34,'BASE_558 QUARTELY'!$D:$V,12,FALSE)/1000,"")</f>
        <v>41.941859999999998</v>
      </c>
      <c r="DM34" s="442"/>
      <c r="DN34" s="442"/>
    </row>
    <row r="35" spans="1:118" s="23" customFormat="1" ht="30" customHeight="1">
      <c r="A35" s="85" t="s">
        <v>8935</v>
      </c>
      <c r="B35" s="86">
        <v>321</v>
      </c>
      <c r="C35" s="84" t="s">
        <v>609</v>
      </c>
      <c r="D35" s="85"/>
      <c r="E35" s="85"/>
      <c r="F35" s="6"/>
      <c r="G35" s="85">
        <v>2025</v>
      </c>
      <c r="H35" s="84">
        <v>45728</v>
      </c>
      <c r="I35" s="85"/>
      <c r="J35" s="85"/>
      <c r="K35" s="84">
        <v>46022</v>
      </c>
      <c r="L35" s="84">
        <v>46203</v>
      </c>
      <c r="M35" s="13"/>
      <c r="N35" s="13"/>
      <c r="O35" s="5" t="s">
        <v>704</v>
      </c>
      <c r="P35" s="10" t="s">
        <v>6953</v>
      </c>
      <c r="Q35" s="3" t="s">
        <v>2255</v>
      </c>
      <c r="R35" s="6" t="s">
        <v>6786</v>
      </c>
      <c r="S35" s="6" t="str">
        <f t="shared" si="4"/>
        <v>IGUAL</v>
      </c>
      <c r="T35" s="151" t="str">
        <f>IFERROR(VLOOKUP(A35,STATUS_SAP_QUARTELY!B:C,2,FALSE),"NO BUDGET")</f>
        <v>REL  BUDG AUC  AVAC  //  BREL</v>
      </c>
      <c r="U35" s="6" t="str">
        <f t="shared" si="5"/>
        <v xml:space="preserve">REL </v>
      </c>
      <c r="V35" s="161" t="s">
        <v>10775</v>
      </c>
      <c r="W35" s="85"/>
      <c r="X35" s="499" t="s">
        <v>9616</v>
      </c>
      <c r="Y35" s="84">
        <v>46022</v>
      </c>
      <c r="Z35" s="85"/>
      <c r="AA35" s="318"/>
      <c r="AB35" s="223"/>
      <c r="AC35" s="318"/>
      <c r="AD35" s="223"/>
      <c r="AE35" s="318"/>
      <c r="AF35" s="223"/>
      <c r="AG35" s="318"/>
      <c r="AH35" s="223"/>
      <c r="AI35" s="498">
        <v>42</v>
      </c>
      <c r="AJ35" s="223">
        <v>42</v>
      </c>
      <c r="AK35" s="333">
        <f t="shared" si="7"/>
        <v>42</v>
      </c>
      <c r="AL35" s="421"/>
      <c r="AM35" s="422"/>
      <c r="AN35" s="423">
        <f>SUMIFS(BASE_QUARTELY!$J:$J,BASE_QUARTELY!$A:$A,'AME - Quarterly'!$A35,BASE_QUARTELY!$B:$B,"janeiro")/1000</f>
        <v>0</v>
      </c>
      <c r="AO35" s="427"/>
      <c r="AP35" s="421"/>
      <c r="AQ35" s="422"/>
      <c r="AR35" s="423">
        <f>SUMIFS(BASE_QUARTELY!$J:$J,BASE_QUARTELY!$A:$A,'AME - Quarterly'!$A35,BASE_QUARTELY!$B:$B,"fevereiro")/1000</f>
        <v>0</v>
      </c>
      <c r="AS35" s="427"/>
      <c r="AT35" s="421"/>
      <c r="AU35" s="422"/>
      <c r="AV35" s="423">
        <f>SUMIFS(BASE_QUARTELY!$J:$J,BASE_QUARTELY!$A:$A,'AME - Quarterly'!$A35,BASE_QUARTELY!$B:$B,"março")/1000</f>
        <v>0</v>
      </c>
      <c r="AW35" s="427"/>
      <c r="AX35" s="421"/>
      <c r="AY35" s="422"/>
      <c r="AZ35" s="423">
        <f>SUMIFS(BASE_QUARTELY!$J:$J,BASE_QUARTELY!$A:$A,'AME - Quarterly'!$A35,BASE_QUARTELY!$B:$B,"abril")/1000</f>
        <v>0</v>
      </c>
      <c r="BA35" s="427"/>
      <c r="BB35" s="421"/>
      <c r="BC35" s="422">
        <v>0</v>
      </c>
      <c r="BD35" s="423">
        <f>SUMIFS(BASE_QUARTELY!$J:$J,BASE_QUARTELY!$A:$A,'AME - Quarterly'!$A35,BASE_QUARTELY!$B:$B,"maio")/1000</f>
        <v>0</v>
      </c>
      <c r="BE35" s="427"/>
      <c r="BF35" s="421"/>
      <c r="BG35" s="422"/>
      <c r="BH35" s="423">
        <f>SUMIFS(BASE_QUARTELY!$J:$J,BASE_QUARTELY!$A:$A,'AME - Quarterly'!$A35,BASE_QUARTELY!$B:$B,"junho")/1000</f>
        <v>0</v>
      </c>
      <c r="BI35" s="427"/>
      <c r="BJ35" s="421"/>
      <c r="BK35" s="422"/>
      <c r="BL35" s="423">
        <f>SUMIFS(BASE_QUARTELY!$J:$J,BASE_QUARTELY!$A:$A,'AME - Quarterly'!$A35,BASE_QUARTELY!$B:$B,"julho")/1000</f>
        <v>0</v>
      </c>
      <c r="BM35" s="427"/>
      <c r="BN35" s="421"/>
      <c r="BO35" s="422"/>
      <c r="BP35" s="423">
        <f>SUMIFS(BASE_QUARTELY!$J:$J,BASE_QUARTELY!$A:$A,'AME - Quarterly'!$A35,BASE_QUARTELY!$B:$B,"agosto")/1000</f>
        <v>0</v>
      </c>
      <c r="BQ35" s="427"/>
      <c r="BR35" s="421"/>
      <c r="BS35" s="422"/>
      <c r="BT35" s="423">
        <f>SUMIFS(BASE_QUARTELY!$J:$J,BASE_QUARTELY!$A:$A,'AME - Quarterly'!$A35,BASE_QUARTELY!$B:$B,"setembro")/1000</f>
        <v>0</v>
      </c>
      <c r="BU35" s="427">
        <v>42</v>
      </c>
      <c r="BV35" s="421"/>
      <c r="BW35" s="422"/>
      <c r="BX35" s="423">
        <f>SUMIFS(BASE_QUARTELY!$J:$J,BASE_QUARTELY!$A:$A,'AME - Quarterly'!$A35,BASE_QUARTELY!$B:$B,"outubro")/1000</f>
        <v>0</v>
      </c>
      <c r="BY35" s="427"/>
      <c r="BZ35" s="421"/>
      <c r="CA35" s="422"/>
      <c r="CB35" s="423">
        <f>SUMIFS(BASE_QUARTELY!$J:$J,BASE_QUARTELY!$A:$A,'AME - Quarterly'!$A35,BASE_QUARTELY!$B:$B,"novembro")/1000</f>
        <v>0</v>
      </c>
      <c r="CC35" s="427"/>
      <c r="CD35" s="421"/>
      <c r="CE35" s="422"/>
      <c r="CF35" s="423">
        <f>SUMIFS(BASE_QUARTELY!$J:$J,BASE_QUARTELY!$A:$A,'AME - Quarterly'!$A35,BASE_QUARTELY!$B:$B,"dezembro")/1000</f>
        <v>0</v>
      </c>
      <c r="CG35" s="427"/>
      <c r="CH35" s="452">
        <f t="shared" si="8"/>
        <v>0</v>
      </c>
      <c r="CI35" s="374"/>
      <c r="CJ35" s="374"/>
      <c r="CK35" s="374"/>
      <c r="CL35" s="374"/>
      <c r="CM35" s="374"/>
      <c r="CN35" s="374"/>
      <c r="CO35" s="374"/>
      <c r="CP35" s="374"/>
      <c r="CQ35" s="374"/>
      <c r="CR35" s="374"/>
      <c r="CS35" s="374"/>
      <c r="CT35" s="374"/>
      <c r="CU35" s="374"/>
      <c r="CV35" s="216">
        <f t="shared" si="9"/>
        <v>0</v>
      </c>
      <c r="CW35" s="320">
        <f t="shared" si="10"/>
        <v>0</v>
      </c>
      <c r="CX35" s="241">
        <f t="shared" si="11"/>
        <v>0</v>
      </c>
      <c r="CY35" s="241">
        <f t="shared" si="12"/>
        <v>0</v>
      </c>
      <c r="CZ35" s="241">
        <f t="shared" si="13"/>
        <v>42</v>
      </c>
      <c r="DA35" s="241">
        <f t="shared" si="14"/>
        <v>0</v>
      </c>
      <c r="DB35" s="346">
        <f t="shared" si="15"/>
        <v>0</v>
      </c>
      <c r="DC35" s="445">
        <f t="shared" si="16"/>
        <v>0</v>
      </c>
      <c r="DD35" s="447">
        <f t="shared" si="17"/>
        <v>0</v>
      </c>
      <c r="DE35" s="364">
        <f t="shared" si="18"/>
        <v>0</v>
      </c>
      <c r="DF35" s="365">
        <f t="shared" si="19"/>
        <v>42</v>
      </c>
      <c r="DG35" s="384">
        <f>IFERROR(VLOOKUP($A35,'BASE_558 QUARTELY'!$D:$V,6,FALSE)/1000,"")</f>
        <v>42</v>
      </c>
      <c r="DH35" s="384">
        <f>IFERROR(VLOOKUP($A35,'BASE_558 QUARTELY'!$D:$V,7,FALSE)/1000,"")</f>
        <v>0</v>
      </c>
      <c r="DI35" s="384">
        <f>IFERROR(VLOOKUP($A35,'BASE_558 QUARTELY'!$D:$V,8,FALSE)/1000,"")</f>
        <v>0</v>
      </c>
      <c r="DJ35" s="384">
        <f>IFERROR(VLOOKUP($A35,'BASE_558 QUARTELY'!$D:$V,9,FALSE)/1000,"")</f>
        <v>0</v>
      </c>
      <c r="DK35" s="384">
        <f>IFERROR(VLOOKUP($A35,'BASE_558 QUARTELY'!$D:$V,11,FALSE)/1000,"")</f>
        <v>0</v>
      </c>
      <c r="DL35" s="384">
        <f>IFERROR(VLOOKUP($A35,'BASE_558 QUARTELY'!$D:$V,12,FALSE)/1000,"")</f>
        <v>42</v>
      </c>
      <c r="DM35" s="442"/>
      <c r="DN35" s="442"/>
    </row>
    <row r="36" spans="1:118" s="23" customFormat="1" ht="30" customHeight="1">
      <c r="A36" s="85" t="s">
        <v>8936</v>
      </c>
      <c r="B36" s="86">
        <v>346</v>
      </c>
      <c r="C36" s="84" t="s">
        <v>609</v>
      </c>
      <c r="D36" s="85"/>
      <c r="E36" s="85"/>
      <c r="F36" s="6"/>
      <c r="G36" s="85">
        <v>2025</v>
      </c>
      <c r="H36" s="84">
        <v>45728</v>
      </c>
      <c r="I36" s="85"/>
      <c r="J36" s="85"/>
      <c r="K36" s="84">
        <v>46022</v>
      </c>
      <c r="L36" s="84">
        <v>46203</v>
      </c>
      <c r="M36" s="13"/>
      <c r="N36" s="13"/>
      <c r="O36" s="5" t="s">
        <v>2186</v>
      </c>
      <c r="P36" s="10" t="s">
        <v>9102</v>
      </c>
      <c r="Q36" s="3" t="s">
        <v>2255</v>
      </c>
      <c r="R36" s="6" t="s">
        <v>6786</v>
      </c>
      <c r="S36" s="6" t="str">
        <f t="shared" si="4"/>
        <v>IGUAL</v>
      </c>
      <c r="T36" s="151" t="str">
        <f>IFERROR(VLOOKUP(A36,STATUS_SAP_QUARTELY!B:C,2,FALSE),"NO BUDGET")</f>
        <v>REL  BUDG AUC  AVAC  //  BREL</v>
      </c>
      <c r="U36" s="6" t="str">
        <f t="shared" si="5"/>
        <v xml:space="preserve">REL </v>
      </c>
      <c r="V36" s="161" t="s">
        <v>10776</v>
      </c>
      <c r="W36" s="85"/>
      <c r="X36" s="499" t="s">
        <v>9616</v>
      </c>
      <c r="Y36" s="84">
        <v>46022</v>
      </c>
      <c r="Z36" s="85"/>
      <c r="AA36" s="318"/>
      <c r="AB36" s="223"/>
      <c r="AC36" s="318"/>
      <c r="AD36" s="223"/>
      <c r="AE36" s="318"/>
      <c r="AF36" s="223"/>
      <c r="AG36" s="318"/>
      <c r="AH36" s="223"/>
      <c r="AI36" s="498">
        <v>50</v>
      </c>
      <c r="AJ36" s="223">
        <v>46</v>
      </c>
      <c r="AK36" s="333">
        <f t="shared" si="7"/>
        <v>34.200000000000003</v>
      </c>
      <c r="AL36" s="421"/>
      <c r="AM36" s="422"/>
      <c r="AN36" s="423">
        <f>SUMIFS(BASE_QUARTELY!$J:$J,BASE_QUARTELY!$A:$A,'AME - Quarterly'!$A36,BASE_QUARTELY!$B:$B,"janeiro")/1000</f>
        <v>0</v>
      </c>
      <c r="AO36" s="427"/>
      <c r="AP36" s="421"/>
      <c r="AQ36" s="422"/>
      <c r="AR36" s="423">
        <f>SUMIFS(BASE_QUARTELY!$J:$J,BASE_QUARTELY!$A:$A,'AME - Quarterly'!$A36,BASE_QUARTELY!$B:$B,"fevereiro")/1000</f>
        <v>0</v>
      </c>
      <c r="AS36" s="427"/>
      <c r="AT36" s="421"/>
      <c r="AU36" s="422"/>
      <c r="AV36" s="423">
        <f>SUMIFS(BASE_QUARTELY!$J:$J,BASE_QUARTELY!$A:$A,'AME - Quarterly'!$A36,BASE_QUARTELY!$B:$B,"março")/1000</f>
        <v>0</v>
      </c>
      <c r="AW36" s="427"/>
      <c r="AX36" s="421"/>
      <c r="AY36" s="422"/>
      <c r="AZ36" s="423">
        <f>SUMIFS(BASE_QUARTELY!$J:$J,BASE_QUARTELY!$A:$A,'AME - Quarterly'!$A36,BASE_QUARTELY!$B:$B,"abril")/1000</f>
        <v>0</v>
      </c>
      <c r="BA36" s="427"/>
      <c r="BB36" s="421"/>
      <c r="BC36" s="422">
        <v>0</v>
      </c>
      <c r="BD36" s="423">
        <f>SUMIFS(BASE_QUARTELY!$J:$J,BASE_QUARTELY!$A:$A,'AME - Quarterly'!$A36,BASE_QUARTELY!$B:$B,"maio")/1000</f>
        <v>0</v>
      </c>
      <c r="BE36" s="427"/>
      <c r="BF36" s="421"/>
      <c r="BG36" s="422"/>
      <c r="BH36" s="423">
        <f>SUMIFS(BASE_QUARTELY!$J:$J,BASE_QUARTELY!$A:$A,'AME - Quarterly'!$A36,BASE_QUARTELY!$B:$B,"junho")/1000</f>
        <v>0</v>
      </c>
      <c r="BI36" s="427"/>
      <c r="BJ36" s="421"/>
      <c r="BK36" s="422"/>
      <c r="BL36" s="423">
        <f>SUMIFS(BASE_QUARTELY!$J:$J,BASE_QUARTELY!$A:$A,'AME - Quarterly'!$A36,BASE_QUARTELY!$B:$B,"julho")/1000</f>
        <v>0</v>
      </c>
      <c r="BM36" s="427"/>
      <c r="BN36" s="421"/>
      <c r="BO36" s="422"/>
      <c r="BP36" s="423">
        <f>SUMIFS(BASE_QUARTELY!$J:$J,BASE_QUARTELY!$A:$A,'AME - Quarterly'!$A36,BASE_QUARTELY!$B:$B,"agosto")/1000</f>
        <v>0</v>
      </c>
      <c r="BQ36" s="427"/>
      <c r="BR36" s="421"/>
      <c r="BS36" s="422"/>
      <c r="BT36" s="423">
        <f>SUMIFS(BASE_QUARTELY!$J:$J,BASE_QUARTELY!$A:$A,'AME - Quarterly'!$A36,BASE_QUARTELY!$B:$B,"setembro")/1000</f>
        <v>0</v>
      </c>
      <c r="BU36" s="427">
        <f>38*0.9</f>
        <v>34.200000000000003</v>
      </c>
      <c r="BV36" s="421"/>
      <c r="BW36" s="422"/>
      <c r="BX36" s="423">
        <f>SUMIFS(BASE_QUARTELY!$J:$J,BASE_QUARTELY!$A:$A,'AME - Quarterly'!$A36,BASE_QUARTELY!$B:$B,"outubro")/1000</f>
        <v>0</v>
      </c>
      <c r="BY36" s="427"/>
      <c r="BZ36" s="421"/>
      <c r="CA36" s="422"/>
      <c r="CB36" s="423">
        <f>SUMIFS(BASE_QUARTELY!$J:$J,BASE_QUARTELY!$A:$A,'AME - Quarterly'!$A36,BASE_QUARTELY!$B:$B,"novembro")/1000</f>
        <v>0</v>
      </c>
      <c r="CC36" s="427"/>
      <c r="CD36" s="421"/>
      <c r="CE36" s="422"/>
      <c r="CF36" s="423">
        <f>SUMIFS(BASE_QUARTELY!$J:$J,BASE_QUARTELY!$A:$A,'AME - Quarterly'!$A36,BASE_QUARTELY!$B:$B,"dezembro")/1000</f>
        <v>0</v>
      </c>
      <c r="CG36" s="427"/>
      <c r="CH36" s="452">
        <f t="shared" si="8"/>
        <v>0</v>
      </c>
      <c r="CI36" s="374"/>
      <c r="CJ36" s="374"/>
      <c r="CK36" s="374"/>
      <c r="CL36" s="374"/>
      <c r="CM36" s="374"/>
      <c r="CN36" s="374"/>
      <c r="CO36" s="374"/>
      <c r="CP36" s="374"/>
      <c r="CQ36" s="374"/>
      <c r="CR36" s="374"/>
      <c r="CS36" s="374"/>
      <c r="CT36" s="374"/>
      <c r="CU36" s="374"/>
      <c r="CV36" s="216">
        <f t="shared" si="9"/>
        <v>0</v>
      </c>
      <c r="CW36" s="320">
        <f t="shared" si="10"/>
        <v>0</v>
      </c>
      <c r="CX36" s="241">
        <f t="shared" si="11"/>
        <v>0</v>
      </c>
      <c r="CY36" s="241">
        <f t="shared" si="12"/>
        <v>0</v>
      </c>
      <c r="CZ36" s="241">
        <f t="shared" si="13"/>
        <v>34.200000000000003</v>
      </c>
      <c r="DA36" s="241">
        <f t="shared" si="14"/>
        <v>0</v>
      </c>
      <c r="DB36" s="346">
        <f t="shared" si="15"/>
        <v>-11.799999999999997</v>
      </c>
      <c r="DC36" s="445">
        <f t="shared" si="16"/>
        <v>0</v>
      </c>
      <c r="DD36" s="447">
        <f t="shared" si="17"/>
        <v>0</v>
      </c>
      <c r="DE36" s="364">
        <f t="shared" si="18"/>
        <v>0</v>
      </c>
      <c r="DF36" s="365">
        <f t="shared" si="19"/>
        <v>34.200000000000003</v>
      </c>
      <c r="DG36" s="384">
        <f>IFERROR(VLOOKUP($A36,'BASE_558 QUARTELY'!$D:$V,6,FALSE)/1000,"")</f>
        <v>50</v>
      </c>
      <c r="DH36" s="384">
        <f>IFERROR(VLOOKUP($A36,'BASE_558 QUARTELY'!$D:$V,7,FALSE)/1000,"")</f>
        <v>0</v>
      </c>
      <c r="DI36" s="384">
        <f>IFERROR(VLOOKUP($A36,'BASE_558 QUARTELY'!$D:$V,8,FALSE)/1000,"")</f>
        <v>37.577370000000002</v>
      </c>
      <c r="DJ36" s="384">
        <f>IFERROR(VLOOKUP($A36,'BASE_558 QUARTELY'!$D:$V,9,FALSE)/1000,"")</f>
        <v>0</v>
      </c>
      <c r="DK36" s="384">
        <f>IFERROR(VLOOKUP($A36,'BASE_558 QUARTELY'!$D:$V,11,FALSE)/1000,"")</f>
        <v>37.577370000000002</v>
      </c>
      <c r="DL36" s="384">
        <f>IFERROR(VLOOKUP($A36,'BASE_558 QUARTELY'!$D:$V,12,FALSE)/1000,"")</f>
        <v>12.42263</v>
      </c>
      <c r="DM36" s="442"/>
      <c r="DN36" s="442"/>
    </row>
    <row r="37" spans="1:118" s="23" customFormat="1" ht="30" customHeight="1">
      <c r="A37" s="85" t="s">
        <v>8937</v>
      </c>
      <c r="B37" s="86">
        <v>471</v>
      </c>
      <c r="C37" s="84" t="s">
        <v>609</v>
      </c>
      <c r="D37" s="85"/>
      <c r="E37" s="85"/>
      <c r="F37" s="6"/>
      <c r="G37" s="85">
        <v>2025</v>
      </c>
      <c r="H37" s="84">
        <v>45741</v>
      </c>
      <c r="I37" s="85"/>
      <c r="J37" s="85"/>
      <c r="K37" s="84">
        <v>46022</v>
      </c>
      <c r="L37" s="84">
        <v>46203</v>
      </c>
      <c r="M37" s="13"/>
      <c r="N37" s="13"/>
      <c r="O37" s="5" t="s">
        <v>2251</v>
      </c>
      <c r="P37" s="10" t="s">
        <v>9099</v>
      </c>
      <c r="Q37" s="3" t="s">
        <v>186</v>
      </c>
      <c r="R37" s="6" t="s">
        <v>195</v>
      </c>
      <c r="S37" s="6" t="str">
        <f t="shared" si="4"/>
        <v>IGUAL</v>
      </c>
      <c r="T37" s="151" t="str">
        <f>IFERROR(VLOOKUP(A37,STATUS_SAP_QUARTELY!B:C,2,FALSE),"NO BUDGET")</f>
        <v>TECO BUDG AUC  AVAC SETC  //  BREL</v>
      </c>
      <c r="U37" s="6" t="str">
        <f t="shared" si="5"/>
        <v>TECO</v>
      </c>
      <c r="V37" s="550" t="s">
        <v>19507</v>
      </c>
      <c r="W37" s="85"/>
      <c r="X37" s="499" t="s">
        <v>5299</v>
      </c>
      <c r="Y37" s="84">
        <v>45838</v>
      </c>
      <c r="Z37" s="85"/>
      <c r="AA37" s="318"/>
      <c r="AB37" s="223"/>
      <c r="AC37" s="318"/>
      <c r="AD37" s="223"/>
      <c r="AE37" s="318"/>
      <c r="AF37" s="223"/>
      <c r="AG37" s="318"/>
      <c r="AH37" s="223"/>
      <c r="AI37" s="498"/>
      <c r="AJ37" s="223">
        <v>54</v>
      </c>
      <c r="AK37" s="333">
        <f t="shared" si="7"/>
        <v>59.576569999999997</v>
      </c>
      <c r="AL37" s="421"/>
      <c r="AM37" s="422"/>
      <c r="AN37" s="423">
        <f>SUMIFS(BASE_QUARTELY!$J:$J,BASE_QUARTELY!$A:$A,'AME - Quarterly'!$A37,BASE_QUARTELY!$B:$B,"janeiro")/1000</f>
        <v>0</v>
      </c>
      <c r="AO37" s="427"/>
      <c r="AP37" s="421"/>
      <c r="AQ37" s="422"/>
      <c r="AR37" s="423">
        <f>SUMIFS(BASE_QUARTELY!$J:$J,BASE_QUARTELY!$A:$A,'AME - Quarterly'!$A37,BASE_QUARTELY!$B:$B,"fevereiro")/1000</f>
        <v>0</v>
      </c>
      <c r="AS37" s="427"/>
      <c r="AT37" s="421"/>
      <c r="AU37" s="422"/>
      <c r="AV37" s="423">
        <f>SUMIFS(BASE_QUARTELY!$J:$J,BASE_QUARTELY!$A:$A,'AME - Quarterly'!$A37,BASE_QUARTELY!$B:$B,"março")/1000</f>
        <v>0</v>
      </c>
      <c r="AW37" s="427"/>
      <c r="AX37" s="421">
        <v>50</v>
      </c>
      <c r="AY37" s="422"/>
      <c r="AZ37" s="423">
        <f>SUMIFS(BASE_QUARTELY!$J:$J,BASE_QUARTELY!$A:$A,'AME - Quarterly'!$A37,BASE_QUARTELY!$B:$B,"abril")/1000</f>
        <v>0</v>
      </c>
      <c r="BA37" s="427">
        <v>0</v>
      </c>
      <c r="BB37" s="421"/>
      <c r="BC37" s="422">
        <v>0</v>
      </c>
      <c r="BD37" s="423">
        <f>SUMIFS(BASE_QUARTELY!$J:$J,BASE_QUARTELY!$A:$A,'AME - Quarterly'!$A37,BASE_QUARTELY!$B:$B,"maio")/1000</f>
        <v>0</v>
      </c>
      <c r="BE37" s="427"/>
      <c r="BF37" s="421">
        <v>0</v>
      </c>
      <c r="BG37" s="422">
        <v>59.576569999999997</v>
      </c>
      <c r="BH37" s="423">
        <f>SUMIFS(BASE_QUARTELY!$J:$J,BASE_QUARTELY!$A:$A,'AME - Quarterly'!$A37,BASE_QUARTELY!$B:$B,"junho")/1000</f>
        <v>59.576569999999997</v>
      </c>
      <c r="BI37" s="427">
        <v>59.576569999999997</v>
      </c>
      <c r="BJ37" s="421"/>
      <c r="BK37" s="422"/>
      <c r="BL37" s="423">
        <f>SUMIFS(BASE_QUARTELY!$J:$J,BASE_QUARTELY!$A:$A,'AME - Quarterly'!$A37,BASE_QUARTELY!$B:$B,"julho")/1000</f>
        <v>0</v>
      </c>
      <c r="BM37" s="427">
        <v>0</v>
      </c>
      <c r="BN37" s="421"/>
      <c r="BO37" s="422"/>
      <c r="BP37" s="423">
        <f>SUMIFS(BASE_QUARTELY!$J:$J,BASE_QUARTELY!$A:$A,'AME - Quarterly'!$A37,BASE_QUARTELY!$B:$B,"agosto")/1000</f>
        <v>0</v>
      </c>
      <c r="BQ37" s="427">
        <v>0</v>
      </c>
      <c r="BR37" s="421"/>
      <c r="BS37" s="422"/>
      <c r="BT37" s="423">
        <f>SUMIFS(BASE_QUARTELY!$J:$J,BASE_QUARTELY!$A:$A,'AME - Quarterly'!$A37,BASE_QUARTELY!$B:$B,"setembro")/1000</f>
        <v>0</v>
      </c>
      <c r="BU37" s="427"/>
      <c r="BV37" s="421"/>
      <c r="BW37" s="422"/>
      <c r="BX37" s="423">
        <f>SUMIFS(BASE_QUARTELY!$J:$J,BASE_QUARTELY!$A:$A,'AME - Quarterly'!$A37,BASE_QUARTELY!$B:$B,"outubro")/1000</f>
        <v>0</v>
      </c>
      <c r="BY37" s="427"/>
      <c r="BZ37" s="421"/>
      <c r="CA37" s="422"/>
      <c r="CB37" s="423">
        <f>SUMIFS(BASE_QUARTELY!$J:$J,BASE_QUARTELY!$A:$A,'AME - Quarterly'!$A37,BASE_QUARTELY!$B:$B,"novembro")/1000</f>
        <v>0</v>
      </c>
      <c r="CC37" s="427"/>
      <c r="CD37" s="421"/>
      <c r="CE37" s="422"/>
      <c r="CF37" s="423">
        <f>SUMIFS(BASE_QUARTELY!$J:$J,BASE_QUARTELY!$A:$A,'AME - Quarterly'!$A37,BASE_QUARTELY!$B:$B,"dezembro")/1000</f>
        <v>0</v>
      </c>
      <c r="CG37" s="427"/>
      <c r="CH37" s="452">
        <f t="shared" si="8"/>
        <v>0</v>
      </c>
      <c r="CI37" s="374"/>
      <c r="CJ37" s="374"/>
      <c r="CK37" s="374"/>
      <c r="CL37" s="374"/>
      <c r="CM37" s="374"/>
      <c r="CN37" s="374"/>
      <c r="CO37" s="374"/>
      <c r="CP37" s="374"/>
      <c r="CQ37" s="374"/>
      <c r="CR37" s="374"/>
      <c r="CS37" s="374"/>
      <c r="CT37" s="374"/>
      <c r="CU37" s="374"/>
      <c r="CV37" s="216">
        <f t="shared" si="9"/>
        <v>59.576569999999997</v>
      </c>
      <c r="CW37" s="320">
        <f t="shared" si="10"/>
        <v>0</v>
      </c>
      <c r="CX37" s="241">
        <f t="shared" si="11"/>
        <v>0</v>
      </c>
      <c r="CY37" s="241">
        <f t="shared" si="12"/>
        <v>59.576569999999997</v>
      </c>
      <c r="CZ37" s="241">
        <f t="shared" si="13"/>
        <v>0</v>
      </c>
      <c r="DA37" s="241">
        <f t="shared" si="14"/>
        <v>0</v>
      </c>
      <c r="DB37" s="346">
        <f t="shared" si="15"/>
        <v>5.5765699999999967</v>
      </c>
      <c r="DC37" s="445">
        <f t="shared" si="16"/>
        <v>0</v>
      </c>
      <c r="DD37" s="447">
        <f t="shared" si="17"/>
        <v>0</v>
      </c>
      <c r="DE37" s="364">
        <f t="shared" si="18"/>
        <v>0</v>
      </c>
      <c r="DF37" s="365">
        <f t="shared" si="19"/>
        <v>59.576569999999997</v>
      </c>
      <c r="DG37" s="384">
        <f>IFERROR(VLOOKUP($A37,'BASE_558 QUARTELY'!$D:$V,6,FALSE)/1000,"")</f>
        <v>70.484649999999988</v>
      </c>
      <c r="DH37" s="384">
        <f>IFERROR(VLOOKUP($A37,'BASE_558 QUARTELY'!$D:$V,7,FALSE)/1000,"")</f>
        <v>59.576569999999997</v>
      </c>
      <c r="DI37" s="384">
        <f>IFERROR(VLOOKUP($A37,'BASE_558 QUARTELY'!$D:$V,8,FALSE)/1000,"")</f>
        <v>0</v>
      </c>
      <c r="DJ37" s="384">
        <f>IFERROR(VLOOKUP($A37,'BASE_558 QUARTELY'!$D:$V,9,FALSE)/1000,"")</f>
        <v>0</v>
      </c>
      <c r="DK37" s="384">
        <f>IFERROR(VLOOKUP($A37,'BASE_558 QUARTELY'!$D:$V,11,FALSE)/1000,"")</f>
        <v>59.576569999999997</v>
      </c>
      <c r="DL37" s="384">
        <f>IFERROR(VLOOKUP($A37,'BASE_558 QUARTELY'!$D:$V,12,FALSE)/1000,"")</f>
        <v>10.90808</v>
      </c>
      <c r="DM37" s="442"/>
      <c r="DN37" s="442"/>
    </row>
    <row r="38" spans="1:118" s="23" customFormat="1" ht="30" customHeight="1">
      <c r="A38" s="85" t="s">
        <v>8938</v>
      </c>
      <c r="B38" s="86">
        <v>271</v>
      </c>
      <c r="C38" s="84" t="s">
        <v>609</v>
      </c>
      <c r="D38" s="85"/>
      <c r="E38" s="85"/>
      <c r="F38" s="6"/>
      <c r="G38" s="85">
        <v>2025</v>
      </c>
      <c r="H38" s="84">
        <v>45749</v>
      </c>
      <c r="I38" s="85"/>
      <c r="J38" s="85"/>
      <c r="K38" s="84">
        <v>46022</v>
      </c>
      <c r="L38" s="84">
        <v>46203</v>
      </c>
      <c r="M38" s="13"/>
      <c r="N38" s="13"/>
      <c r="O38" s="5" t="s">
        <v>2251</v>
      </c>
      <c r="P38" s="10" t="s">
        <v>11916</v>
      </c>
      <c r="Q38" s="3" t="s">
        <v>316</v>
      </c>
      <c r="R38" s="6" t="s">
        <v>6786</v>
      </c>
      <c r="S38" s="6" t="str">
        <f t="shared" si="4"/>
        <v>IGUAL</v>
      </c>
      <c r="T38" s="151" t="str">
        <f>IFERROR(VLOOKUP(A38,STATUS_SAP_QUARTELY!B:C,2,FALSE),"NO BUDGET")</f>
        <v>REL  BUDG AUC  AVAC  //  BREL</v>
      </c>
      <c r="U38" s="6" t="str">
        <f t="shared" si="5"/>
        <v xml:space="preserve">REL </v>
      </c>
      <c r="V38" s="161" t="s">
        <v>17717</v>
      </c>
      <c r="W38" s="85"/>
      <c r="X38" s="499" t="s">
        <v>9616</v>
      </c>
      <c r="Y38" s="84">
        <v>46022</v>
      </c>
      <c r="Z38" s="85"/>
      <c r="AA38" s="318"/>
      <c r="AB38" s="223"/>
      <c r="AC38" s="318"/>
      <c r="AD38" s="223"/>
      <c r="AE38" s="318"/>
      <c r="AF38" s="223"/>
      <c r="AG38" s="318"/>
      <c r="AH38" s="223"/>
      <c r="AI38" s="498">
        <v>8.3930000000000007</v>
      </c>
      <c r="AJ38" s="223"/>
      <c r="AK38" s="333">
        <f t="shared" si="7"/>
        <v>6</v>
      </c>
      <c r="AL38" s="421"/>
      <c r="AM38" s="422"/>
      <c r="AN38" s="423">
        <f>SUMIFS(BASE_QUARTELY!$J:$J,BASE_QUARTELY!$A:$A,'AME - Quarterly'!$A38,BASE_QUARTELY!$B:$B,"janeiro")/1000</f>
        <v>0</v>
      </c>
      <c r="AO38" s="427"/>
      <c r="AP38" s="421"/>
      <c r="AQ38" s="422"/>
      <c r="AR38" s="423">
        <f>SUMIFS(BASE_QUARTELY!$J:$J,BASE_QUARTELY!$A:$A,'AME - Quarterly'!$A38,BASE_QUARTELY!$B:$B,"fevereiro")/1000</f>
        <v>0</v>
      </c>
      <c r="AS38" s="427"/>
      <c r="AT38" s="421"/>
      <c r="AU38" s="422"/>
      <c r="AV38" s="423">
        <f>SUMIFS(BASE_QUARTELY!$J:$J,BASE_QUARTELY!$A:$A,'AME - Quarterly'!$A38,BASE_QUARTELY!$B:$B,"março")/1000</f>
        <v>0</v>
      </c>
      <c r="AW38" s="427"/>
      <c r="AX38" s="421"/>
      <c r="AY38" s="422"/>
      <c r="AZ38" s="423">
        <f>SUMIFS(BASE_QUARTELY!$J:$J,BASE_QUARTELY!$A:$A,'AME - Quarterly'!$A38,BASE_QUARTELY!$B:$B,"abril")/1000</f>
        <v>0</v>
      </c>
      <c r="BA38" s="427"/>
      <c r="BB38" s="421"/>
      <c r="BC38" s="422">
        <v>0</v>
      </c>
      <c r="BD38" s="423">
        <f>SUMIFS(BASE_QUARTELY!$J:$J,BASE_QUARTELY!$A:$A,'AME - Quarterly'!$A38,BASE_QUARTELY!$B:$B,"maio")/1000</f>
        <v>0</v>
      </c>
      <c r="BE38" s="427"/>
      <c r="BF38" s="421">
        <v>0</v>
      </c>
      <c r="BG38" s="422"/>
      <c r="BH38" s="423">
        <f>SUMIFS(BASE_QUARTELY!$J:$J,BASE_QUARTELY!$A:$A,'AME - Quarterly'!$A38,BASE_QUARTELY!$B:$B,"junho")/1000</f>
        <v>0</v>
      </c>
      <c r="BI38" s="427">
        <v>0</v>
      </c>
      <c r="BJ38" s="421"/>
      <c r="BK38" s="422"/>
      <c r="BL38" s="423">
        <f>SUMIFS(BASE_QUARTELY!$J:$J,BASE_QUARTELY!$A:$A,'AME - Quarterly'!$A38,BASE_QUARTELY!$B:$B,"julho")/1000</f>
        <v>0</v>
      </c>
      <c r="BM38" s="427">
        <v>0</v>
      </c>
      <c r="BN38" s="421"/>
      <c r="BO38" s="422"/>
      <c r="BP38" s="423">
        <f>SUMIFS(BASE_QUARTELY!$J:$J,BASE_QUARTELY!$A:$A,'AME - Quarterly'!$A38,BASE_QUARTELY!$B:$B,"agosto")/1000</f>
        <v>0</v>
      </c>
      <c r="BQ38" s="427"/>
      <c r="BR38" s="421"/>
      <c r="BS38" s="422"/>
      <c r="BT38" s="423">
        <f>SUMIFS(BASE_QUARTELY!$J:$J,BASE_QUARTELY!$A:$A,'AME - Quarterly'!$A38,BASE_QUARTELY!$B:$B,"setembro")/1000</f>
        <v>0</v>
      </c>
      <c r="BU38" s="427">
        <v>6</v>
      </c>
      <c r="BV38" s="421"/>
      <c r="BW38" s="422"/>
      <c r="BX38" s="423">
        <f>SUMIFS(BASE_QUARTELY!$J:$J,BASE_QUARTELY!$A:$A,'AME - Quarterly'!$A38,BASE_QUARTELY!$B:$B,"outubro")/1000</f>
        <v>0</v>
      </c>
      <c r="BY38" s="427"/>
      <c r="BZ38" s="421"/>
      <c r="CA38" s="422"/>
      <c r="CB38" s="423">
        <f>SUMIFS(BASE_QUARTELY!$J:$J,BASE_QUARTELY!$A:$A,'AME - Quarterly'!$A38,BASE_QUARTELY!$B:$B,"novembro")/1000</f>
        <v>0</v>
      </c>
      <c r="CC38" s="427"/>
      <c r="CD38" s="421"/>
      <c r="CE38" s="422"/>
      <c r="CF38" s="423">
        <f>SUMIFS(BASE_QUARTELY!$J:$J,BASE_QUARTELY!$A:$A,'AME - Quarterly'!$A38,BASE_QUARTELY!$B:$B,"dezembro")/1000</f>
        <v>0</v>
      </c>
      <c r="CG38" s="427"/>
      <c r="CH38" s="452">
        <f t="shared" si="8"/>
        <v>0</v>
      </c>
      <c r="CI38" s="374"/>
      <c r="CJ38" s="374"/>
      <c r="CK38" s="374"/>
      <c r="CL38" s="374"/>
      <c r="CM38" s="374"/>
      <c r="CN38" s="374"/>
      <c r="CO38" s="374"/>
      <c r="CP38" s="374"/>
      <c r="CQ38" s="374"/>
      <c r="CR38" s="374"/>
      <c r="CS38" s="374"/>
      <c r="CT38" s="374"/>
      <c r="CU38" s="374"/>
      <c r="CV38" s="216">
        <f t="shared" si="9"/>
        <v>0</v>
      </c>
      <c r="CW38" s="320">
        <f t="shared" si="10"/>
        <v>0</v>
      </c>
      <c r="CX38" s="241">
        <f t="shared" si="11"/>
        <v>0</v>
      </c>
      <c r="CY38" s="241">
        <f t="shared" si="12"/>
        <v>0</v>
      </c>
      <c r="CZ38" s="241">
        <f t="shared" si="13"/>
        <v>6</v>
      </c>
      <c r="DA38" s="241">
        <f t="shared" si="14"/>
        <v>0</v>
      </c>
      <c r="DB38" s="346">
        <f t="shared" si="15"/>
        <v>6</v>
      </c>
      <c r="DC38" s="445">
        <f t="shared" si="16"/>
        <v>0</v>
      </c>
      <c r="DD38" s="447">
        <f t="shared" si="17"/>
        <v>0</v>
      </c>
      <c r="DE38" s="364">
        <f t="shared" si="18"/>
        <v>0</v>
      </c>
      <c r="DF38" s="365">
        <f t="shared" si="19"/>
        <v>6</v>
      </c>
      <c r="DG38" s="384">
        <f>IFERROR(VLOOKUP($A38,'BASE_558 QUARTELY'!$D:$V,6,FALSE)/1000,"")</f>
        <v>8.4</v>
      </c>
      <c r="DH38" s="384">
        <f>IFERROR(VLOOKUP($A38,'BASE_558 QUARTELY'!$D:$V,7,FALSE)/1000,"")</f>
        <v>0</v>
      </c>
      <c r="DI38" s="384">
        <f>IFERROR(VLOOKUP($A38,'BASE_558 QUARTELY'!$D:$V,8,FALSE)/1000,"")</f>
        <v>6.8519199999999998</v>
      </c>
      <c r="DJ38" s="384">
        <f>IFERROR(VLOOKUP($A38,'BASE_558 QUARTELY'!$D:$V,9,FALSE)/1000,"")</f>
        <v>0</v>
      </c>
      <c r="DK38" s="384">
        <f>IFERROR(VLOOKUP($A38,'BASE_558 QUARTELY'!$D:$V,11,FALSE)/1000,"")</f>
        <v>6.8519199999999998</v>
      </c>
      <c r="DL38" s="384">
        <f>IFERROR(VLOOKUP($A38,'BASE_558 QUARTELY'!$D:$V,12,FALSE)/1000,"")</f>
        <v>1.5480799999999999</v>
      </c>
      <c r="DM38" s="442"/>
      <c r="DN38" s="442"/>
    </row>
    <row r="39" spans="1:118" s="23" customFormat="1" ht="30" customHeight="1">
      <c r="A39" s="85" t="s">
        <v>8939</v>
      </c>
      <c r="B39" s="86">
        <v>448</v>
      </c>
      <c r="C39" s="84" t="s">
        <v>609</v>
      </c>
      <c r="D39" s="85"/>
      <c r="E39" s="85"/>
      <c r="F39" s="6"/>
      <c r="G39" s="85">
        <v>2025</v>
      </c>
      <c r="H39" s="84">
        <v>45758</v>
      </c>
      <c r="I39" s="85"/>
      <c r="J39" s="85"/>
      <c r="K39" s="84">
        <v>46022</v>
      </c>
      <c r="L39" s="84">
        <v>46203</v>
      </c>
      <c r="M39" s="13"/>
      <c r="N39" s="13"/>
      <c r="O39" s="5" t="s">
        <v>2186</v>
      </c>
      <c r="P39" s="10" t="s">
        <v>12243</v>
      </c>
      <c r="Q39" s="3" t="s">
        <v>2255</v>
      </c>
      <c r="R39" s="6" t="s">
        <v>6786</v>
      </c>
      <c r="S39" s="6" t="str">
        <f t="shared" si="4"/>
        <v>IGUAL</v>
      </c>
      <c r="T39" s="151" t="str">
        <f>IFERROR(VLOOKUP(A39,STATUS_SAP_QUARTELY!B:C,2,FALSE),"NO BUDGET")</f>
        <v>REL  BUDG AUC  AVAC SETC  //  BREL</v>
      </c>
      <c r="U39" s="6" t="str">
        <f t="shared" si="5"/>
        <v xml:space="preserve">REL </v>
      </c>
      <c r="V39" s="161" t="s">
        <v>12244</v>
      </c>
      <c r="W39" s="85"/>
      <c r="X39" s="499" t="s">
        <v>9616</v>
      </c>
      <c r="Y39" s="84">
        <v>46022</v>
      </c>
      <c r="Z39" s="85"/>
      <c r="AA39" s="318"/>
      <c r="AB39" s="223"/>
      <c r="AC39" s="318"/>
      <c r="AD39" s="223"/>
      <c r="AE39" s="318"/>
      <c r="AF39" s="223"/>
      <c r="AG39" s="318"/>
      <c r="AH39" s="223"/>
      <c r="AI39" s="498">
        <v>45</v>
      </c>
      <c r="AJ39" s="223">
        <v>45</v>
      </c>
      <c r="AK39" s="333">
        <f t="shared" si="7"/>
        <v>35.649639999999991</v>
      </c>
      <c r="AL39" s="421"/>
      <c r="AM39" s="422"/>
      <c r="AN39" s="423">
        <f>SUMIFS(BASE_QUARTELY!$J:$J,BASE_QUARTELY!$A:$A,'AME - Quarterly'!$A39,BASE_QUARTELY!$B:$B,"janeiro")/1000</f>
        <v>0</v>
      </c>
      <c r="AO39" s="427"/>
      <c r="AP39" s="421"/>
      <c r="AQ39" s="422"/>
      <c r="AR39" s="423">
        <f>SUMIFS(BASE_QUARTELY!$J:$J,BASE_QUARTELY!$A:$A,'AME - Quarterly'!$A39,BASE_QUARTELY!$B:$B,"fevereiro")/1000</f>
        <v>0</v>
      </c>
      <c r="AS39" s="427"/>
      <c r="AT39" s="421"/>
      <c r="AU39" s="422"/>
      <c r="AV39" s="423">
        <f>SUMIFS(BASE_QUARTELY!$J:$J,BASE_QUARTELY!$A:$A,'AME - Quarterly'!$A39,BASE_QUARTELY!$B:$B,"março")/1000</f>
        <v>0</v>
      </c>
      <c r="AW39" s="427"/>
      <c r="AX39" s="421"/>
      <c r="AY39" s="422"/>
      <c r="AZ39" s="423">
        <f>SUMIFS(BASE_QUARTELY!$J:$J,BASE_QUARTELY!$A:$A,'AME - Quarterly'!$A39,BASE_QUARTELY!$B:$B,"abril")/1000</f>
        <v>0</v>
      </c>
      <c r="BA39" s="427"/>
      <c r="BB39" s="421"/>
      <c r="BC39" s="422">
        <v>0.33280999999999994</v>
      </c>
      <c r="BD39" s="423">
        <f>SUMIFS(BASE_QUARTELY!$J:$J,BASE_QUARTELY!$A:$A,'AME - Quarterly'!$A39,BASE_QUARTELY!$B:$B,"maio")/1000</f>
        <v>0</v>
      </c>
      <c r="BE39" s="427">
        <v>0.36752999999999997</v>
      </c>
      <c r="BF39" s="421"/>
      <c r="BG39" s="422">
        <v>19.08211</v>
      </c>
      <c r="BH39" s="423">
        <f>SUMIFS(BASE_QUARTELY!$J:$J,BASE_QUARTELY!$A:$A,'AME - Quarterly'!$A39,BASE_QUARTELY!$B:$B,"junho")/1000</f>
        <v>19.082109999999997</v>
      </c>
      <c r="BI39" s="427">
        <v>19.082109999999997</v>
      </c>
      <c r="BJ39" s="421"/>
      <c r="BK39" s="422"/>
      <c r="BL39" s="423">
        <f>SUMIFS(BASE_QUARTELY!$J:$J,BASE_QUARTELY!$A:$A,'AME - Quarterly'!$A39,BASE_QUARTELY!$B:$B,"julho")/1000</f>
        <v>0</v>
      </c>
      <c r="BM39" s="427"/>
      <c r="BN39" s="421"/>
      <c r="BO39" s="422"/>
      <c r="BP39" s="423">
        <f>SUMIFS(BASE_QUARTELY!$J:$J,BASE_QUARTELY!$A:$A,'AME - Quarterly'!$A39,BASE_QUARTELY!$B:$B,"agosto")/1000</f>
        <v>0</v>
      </c>
      <c r="BQ39" s="427"/>
      <c r="BR39" s="421"/>
      <c r="BS39" s="422"/>
      <c r="BT39" s="423">
        <f>SUMIFS(BASE_QUARTELY!$J:$J,BASE_QUARTELY!$A:$A,'AME - Quarterly'!$A39,BASE_QUARTELY!$B:$B,"setembro")/1000</f>
        <v>0</v>
      </c>
      <c r="BU39" s="427">
        <f>18*0.9</f>
        <v>16.2</v>
      </c>
      <c r="BV39" s="421"/>
      <c r="BW39" s="422"/>
      <c r="BX39" s="423">
        <f>SUMIFS(BASE_QUARTELY!$J:$J,BASE_QUARTELY!$A:$A,'AME - Quarterly'!$A39,BASE_QUARTELY!$B:$B,"outubro")/1000</f>
        <v>0</v>
      </c>
      <c r="BY39" s="427"/>
      <c r="BZ39" s="421"/>
      <c r="CA39" s="422"/>
      <c r="CB39" s="423">
        <f>SUMIFS(BASE_QUARTELY!$J:$J,BASE_QUARTELY!$A:$A,'AME - Quarterly'!$A39,BASE_QUARTELY!$B:$B,"novembro")/1000</f>
        <v>0</v>
      </c>
      <c r="CC39" s="427"/>
      <c r="CD39" s="421"/>
      <c r="CE39" s="422"/>
      <c r="CF39" s="423">
        <f>SUMIFS(BASE_QUARTELY!$J:$J,BASE_QUARTELY!$A:$A,'AME - Quarterly'!$A39,BASE_QUARTELY!$B:$B,"dezembro")/1000</f>
        <v>0</v>
      </c>
      <c r="CG39" s="427"/>
      <c r="CH39" s="452">
        <f t="shared" si="8"/>
        <v>0</v>
      </c>
      <c r="CI39" s="374"/>
      <c r="CJ39" s="374"/>
      <c r="CK39" s="374"/>
      <c r="CL39" s="374"/>
      <c r="CM39" s="374"/>
      <c r="CN39" s="374"/>
      <c r="CO39" s="374"/>
      <c r="CP39" s="374"/>
      <c r="CQ39" s="374"/>
      <c r="CR39" s="374"/>
      <c r="CS39" s="374"/>
      <c r="CT39" s="374"/>
      <c r="CU39" s="374"/>
      <c r="CV39" s="216">
        <f t="shared" si="9"/>
        <v>19.082109999999997</v>
      </c>
      <c r="CW39" s="320">
        <f t="shared" si="10"/>
        <v>0</v>
      </c>
      <c r="CX39" s="241">
        <f t="shared" si="11"/>
        <v>0</v>
      </c>
      <c r="CY39" s="241">
        <f t="shared" si="12"/>
        <v>19.449639999999995</v>
      </c>
      <c r="CZ39" s="241">
        <f t="shared" si="13"/>
        <v>16.2</v>
      </c>
      <c r="DA39" s="241">
        <f t="shared" si="14"/>
        <v>0</v>
      </c>
      <c r="DB39" s="346">
        <f t="shared" si="15"/>
        <v>-9.3503600000000091</v>
      </c>
      <c r="DC39" s="445">
        <f t="shared" si="16"/>
        <v>0</v>
      </c>
      <c r="DD39" s="447">
        <f t="shared" si="17"/>
        <v>0</v>
      </c>
      <c r="DE39" s="364">
        <f t="shared" si="18"/>
        <v>0</v>
      </c>
      <c r="DF39" s="365">
        <f t="shared" si="19"/>
        <v>35.649639999999991</v>
      </c>
      <c r="DG39" s="384">
        <f>IFERROR(VLOOKUP($A39,'BASE_558 QUARTELY'!$D:$V,6,FALSE)/1000,"")</f>
        <v>45</v>
      </c>
      <c r="DH39" s="384">
        <f>IFERROR(VLOOKUP($A39,'BASE_558 QUARTELY'!$D:$V,7,FALSE)/1000,"")</f>
        <v>19.08211</v>
      </c>
      <c r="DI39" s="384">
        <f>IFERROR(VLOOKUP($A39,'BASE_558 QUARTELY'!$D:$V,8,FALSE)/1000,"")</f>
        <v>18.279119999999999</v>
      </c>
      <c r="DJ39" s="384">
        <f>IFERROR(VLOOKUP($A39,'BASE_558 QUARTELY'!$D:$V,9,FALSE)/1000,"")</f>
        <v>0</v>
      </c>
      <c r="DK39" s="384">
        <f>IFERROR(VLOOKUP($A39,'BASE_558 QUARTELY'!$D:$V,11,FALSE)/1000,"")</f>
        <v>37.361230000000006</v>
      </c>
      <c r="DL39" s="384">
        <f>IFERROR(VLOOKUP($A39,'BASE_558 QUARTELY'!$D:$V,12,FALSE)/1000,"")</f>
        <v>7.6387700000000001</v>
      </c>
      <c r="DM39" s="442"/>
      <c r="DN39" s="442"/>
    </row>
    <row r="40" spans="1:118" s="23" customFormat="1" ht="30" customHeight="1">
      <c r="A40" s="85" t="s">
        <v>8940</v>
      </c>
      <c r="B40" s="86">
        <v>6</v>
      </c>
      <c r="C40" s="84" t="s">
        <v>609</v>
      </c>
      <c r="D40" s="85"/>
      <c r="E40" s="85"/>
      <c r="F40" s="6"/>
      <c r="G40" s="85">
        <v>2025</v>
      </c>
      <c r="H40" s="84">
        <v>45783</v>
      </c>
      <c r="I40" s="85"/>
      <c r="J40" s="85"/>
      <c r="K40" s="84">
        <v>46022</v>
      </c>
      <c r="L40" s="84">
        <v>46203</v>
      </c>
      <c r="M40" s="13"/>
      <c r="N40" s="13"/>
      <c r="O40" s="5" t="s">
        <v>2156</v>
      </c>
      <c r="P40" s="10" t="s">
        <v>11314</v>
      </c>
      <c r="Q40" s="3" t="s">
        <v>316</v>
      </c>
      <c r="R40" s="6" t="s">
        <v>6786</v>
      </c>
      <c r="S40" s="6" t="str">
        <f t="shared" si="4"/>
        <v>IGUAL</v>
      </c>
      <c r="T40" s="151" t="str">
        <f>IFERROR(VLOOKUP(A40,STATUS_SAP_QUARTELY!B:C,2,FALSE),"NO BUDGET")</f>
        <v>REL  BUDG AUC  AVAC SETC  //  BREL</v>
      </c>
      <c r="U40" s="6" t="str">
        <f t="shared" si="5"/>
        <v xml:space="preserve">REL </v>
      </c>
      <c r="V40" s="161" t="s">
        <v>20130</v>
      </c>
      <c r="W40" s="85"/>
      <c r="X40" s="499" t="s">
        <v>9616</v>
      </c>
      <c r="Y40" s="84">
        <v>46022</v>
      </c>
      <c r="Z40" s="85"/>
      <c r="AA40" s="318"/>
      <c r="AB40" s="223"/>
      <c r="AC40" s="318"/>
      <c r="AD40" s="223"/>
      <c r="AE40" s="318"/>
      <c r="AF40" s="223"/>
      <c r="AG40" s="318"/>
      <c r="AH40" s="223"/>
      <c r="AI40" s="498"/>
      <c r="AJ40" s="223"/>
      <c r="AK40" s="333">
        <f t="shared" si="7"/>
        <v>30</v>
      </c>
      <c r="AL40" s="421"/>
      <c r="AM40" s="422"/>
      <c r="AN40" s="423">
        <f>SUMIFS(BASE_QUARTELY!$J:$J,BASE_QUARTELY!$A:$A,'AME - Quarterly'!$A40,BASE_QUARTELY!$B:$B,"janeiro")/1000</f>
        <v>0</v>
      </c>
      <c r="AO40" s="427"/>
      <c r="AP40" s="421"/>
      <c r="AQ40" s="422"/>
      <c r="AR40" s="423">
        <f>SUMIFS(BASE_QUARTELY!$J:$J,BASE_QUARTELY!$A:$A,'AME - Quarterly'!$A40,BASE_QUARTELY!$B:$B,"fevereiro")/1000</f>
        <v>0</v>
      </c>
      <c r="AS40" s="427"/>
      <c r="AT40" s="421"/>
      <c r="AU40" s="422"/>
      <c r="AV40" s="423">
        <f>SUMIFS(BASE_QUARTELY!$J:$J,BASE_QUARTELY!$A:$A,'AME - Quarterly'!$A40,BASE_QUARTELY!$B:$B,"março")/1000</f>
        <v>0</v>
      </c>
      <c r="AW40" s="427"/>
      <c r="AX40" s="421"/>
      <c r="AY40" s="422"/>
      <c r="AZ40" s="423">
        <f>SUMIFS(BASE_QUARTELY!$J:$J,BASE_QUARTELY!$A:$A,'AME - Quarterly'!$A40,BASE_QUARTELY!$B:$B,"abril")/1000</f>
        <v>0</v>
      </c>
      <c r="BA40" s="427"/>
      <c r="BB40" s="421"/>
      <c r="BC40" s="422">
        <v>0</v>
      </c>
      <c r="BD40" s="423">
        <f>SUMIFS(BASE_QUARTELY!$J:$J,BASE_QUARTELY!$A:$A,'AME - Quarterly'!$A40,BASE_QUARTELY!$B:$B,"maio")/1000</f>
        <v>0.33280999999999994</v>
      </c>
      <c r="BE40" s="427"/>
      <c r="BF40" s="421"/>
      <c r="BG40" s="422"/>
      <c r="BH40" s="423">
        <f>SUMIFS(BASE_QUARTELY!$J:$J,BASE_QUARTELY!$A:$A,'AME - Quarterly'!$A40,BASE_QUARTELY!$B:$B,"junho")/1000</f>
        <v>0</v>
      </c>
      <c r="BI40" s="427"/>
      <c r="BJ40" s="421"/>
      <c r="BK40" s="422"/>
      <c r="BL40" s="423">
        <f>SUMIFS(BASE_QUARTELY!$J:$J,BASE_QUARTELY!$A:$A,'AME - Quarterly'!$A40,BASE_QUARTELY!$B:$B,"julho")/1000</f>
        <v>0</v>
      </c>
      <c r="BM40" s="427"/>
      <c r="BN40" s="421"/>
      <c r="BO40" s="422"/>
      <c r="BP40" s="423">
        <f>SUMIFS(BASE_QUARTELY!$J:$J,BASE_QUARTELY!$A:$A,'AME - Quarterly'!$A40,BASE_QUARTELY!$B:$B,"agosto")/1000</f>
        <v>0</v>
      </c>
      <c r="BQ40" s="427"/>
      <c r="BR40" s="421"/>
      <c r="BS40" s="422"/>
      <c r="BT40" s="423">
        <f>SUMIFS(BASE_QUARTELY!$J:$J,BASE_QUARTELY!$A:$A,'AME - Quarterly'!$A40,BASE_QUARTELY!$B:$B,"setembro")/1000</f>
        <v>0</v>
      </c>
      <c r="BU40" s="427"/>
      <c r="BV40" s="421"/>
      <c r="BW40" s="422"/>
      <c r="BX40" s="423">
        <f>SUMIFS(BASE_QUARTELY!$J:$J,BASE_QUARTELY!$A:$A,'AME - Quarterly'!$A40,BASE_QUARTELY!$B:$B,"outubro")/1000</f>
        <v>0</v>
      </c>
      <c r="BY40" s="427">
        <v>30</v>
      </c>
      <c r="BZ40" s="421"/>
      <c r="CA40" s="422"/>
      <c r="CB40" s="423">
        <f>SUMIFS(BASE_QUARTELY!$J:$J,BASE_QUARTELY!$A:$A,'AME - Quarterly'!$A40,BASE_QUARTELY!$B:$B,"novembro")/1000</f>
        <v>0</v>
      </c>
      <c r="CC40" s="427"/>
      <c r="CD40" s="421"/>
      <c r="CE40" s="422"/>
      <c r="CF40" s="423">
        <f>SUMIFS(BASE_QUARTELY!$J:$J,BASE_QUARTELY!$A:$A,'AME - Quarterly'!$A40,BASE_QUARTELY!$B:$B,"dezembro")/1000</f>
        <v>0</v>
      </c>
      <c r="CG40" s="427"/>
      <c r="CH40" s="452">
        <f t="shared" si="8"/>
        <v>0</v>
      </c>
      <c r="CI40" s="374"/>
      <c r="CJ40" s="374"/>
      <c r="CK40" s="374"/>
      <c r="CL40" s="374"/>
      <c r="CM40" s="374"/>
      <c r="CN40" s="374"/>
      <c r="CO40" s="374"/>
      <c r="CP40" s="374"/>
      <c r="CQ40" s="374"/>
      <c r="CR40" s="374"/>
      <c r="CS40" s="374"/>
      <c r="CT40" s="374"/>
      <c r="CU40" s="374"/>
      <c r="CV40" s="216">
        <f t="shared" si="9"/>
        <v>0</v>
      </c>
      <c r="CW40" s="320">
        <f t="shared" si="10"/>
        <v>0</v>
      </c>
      <c r="CX40" s="241">
        <f t="shared" si="11"/>
        <v>0</v>
      </c>
      <c r="CY40" s="241">
        <f t="shared" si="12"/>
        <v>0</v>
      </c>
      <c r="CZ40" s="241">
        <f t="shared" si="13"/>
        <v>0</v>
      </c>
      <c r="DA40" s="241">
        <f t="shared" si="14"/>
        <v>30</v>
      </c>
      <c r="DB40" s="346">
        <f t="shared" si="15"/>
        <v>30</v>
      </c>
      <c r="DC40" s="445">
        <f t="shared" si="16"/>
        <v>0</v>
      </c>
      <c r="DD40" s="447">
        <f t="shared" si="17"/>
        <v>0.33280999999999994</v>
      </c>
      <c r="DE40" s="364">
        <f t="shared" si="18"/>
        <v>0.33280999999999994</v>
      </c>
      <c r="DF40" s="365">
        <f t="shared" si="19"/>
        <v>29.667190000000002</v>
      </c>
      <c r="DG40" s="384">
        <f>IFERROR(VLOOKUP($A40,'BASE_558 QUARTELY'!$D:$V,6,FALSE)/1000,"")</f>
        <v>32.273759999999996</v>
      </c>
      <c r="DH40" s="384">
        <f>IFERROR(VLOOKUP($A40,'BASE_558 QUARTELY'!$D:$V,7,FALSE)/1000,"")</f>
        <v>0.33280999999999999</v>
      </c>
      <c r="DI40" s="384">
        <f>IFERROR(VLOOKUP($A40,'BASE_558 QUARTELY'!$D:$V,8,FALSE)/1000,"")</f>
        <v>3.5516300000000003</v>
      </c>
      <c r="DJ40" s="384">
        <f>IFERROR(VLOOKUP($A40,'BASE_558 QUARTELY'!$D:$V,9,FALSE)/1000,"")</f>
        <v>16.9787</v>
      </c>
      <c r="DK40" s="384">
        <f>IFERROR(VLOOKUP($A40,'BASE_558 QUARTELY'!$D:$V,11,FALSE)/1000,"")</f>
        <v>20.863139999999998</v>
      </c>
      <c r="DL40" s="384">
        <f>IFERROR(VLOOKUP($A40,'BASE_558 QUARTELY'!$D:$V,12,FALSE)/1000,"")</f>
        <v>11.410620000000002</v>
      </c>
      <c r="DM40" s="442"/>
      <c r="DN40" s="442"/>
    </row>
    <row r="41" spans="1:118" s="23" customFormat="1" ht="30" customHeight="1">
      <c r="A41" s="85" t="s">
        <v>8941</v>
      </c>
      <c r="B41" s="86">
        <v>480</v>
      </c>
      <c r="C41" s="84" t="s">
        <v>609</v>
      </c>
      <c r="D41" s="85"/>
      <c r="E41" s="85"/>
      <c r="F41" s="6"/>
      <c r="G41" s="85">
        <v>2025</v>
      </c>
      <c r="H41" s="84">
        <v>45789</v>
      </c>
      <c r="I41" s="85"/>
      <c r="J41" s="85"/>
      <c r="K41" s="84">
        <v>46022</v>
      </c>
      <c r="L41" s="84">
        <v>46203</v>
      </c>
      <c r="M41" s="13"/>
      <c r="N41" s="13"/>
      <c r="O41" s="5" t="s">
        <v>17007</v>
      </c>
      <c r="P41" s="10" t="s">
        <v>16997</v>
      </c>
      <c r="Q41" s="3" t="s">
        <v>316</v>
      </c>
      <c r="R41" s="6" t="s">
        <v>6786</v>
      </c>
      <c r="S41" s="6" t="str">
        <f t="shared" si="4"/>
        <v>IGUAL</v>
      </c>
      <c r="T41" s="151" t="str">
        <f>IFERROR(VLOOKUP(A41,STATUS_SAP_QUARTELY!B:C,2,FALSE),"NO BUDGET")</f>
        <v>REL  BUDG ISBD AUC  AVAC  //  BREL</v>
      </c>
      <c r="U41" s="6" t="str">
        <f t="shared" si="5"/>
        <v xml:space="preserve">REL </v>
      </c>
      <c r="V41" s="161"/>
      <c r="W41" s="85"/>
      <c r="X41" s="499" t="s">
        <v>9616</v>
      </c>
      <c r="Y41" s="84">
        <v>46022</v>
      </c>
      <c r="Z41" s="85"/>
      <c r="AA41" s="318"/>
      <c r="AB41" s="223"/>
      <c r="AC41" s="318"/>
      <c r="AD41" s="223"/>
      <c r="AE41" s="318"/>
      <c r="AF41" s="223"/>
      <c r="AG41" s="318"/>
      <c r="AH41" s="223"/>
      <c r="AI41" s="498">
        <v>51.4161</v>
      </c>
      <c r="AJ41" s="223">
        <v>51.4161</v>
      </c>
      <c r="AK41" s="333">
        <f t="shared" si="7"/>
        <v>71.400000000000006</v>
      </c>
      <c r="AL41" s="421"/>
      <c r="AM41" s="422"/>
      <c r="AN41" s="423">
        <f>SUMIFS(BASE_QUARTELY!$J:$J,BASE_QUARTELY!$A:$A,'AME - Quarterly'!$A41,BASE_QUARTELY!$B:$B,"janeiro")/1000</f>
        <v>0</v>
      </c>
      <c r="AO41" s="427"/>
      <c r="AP41" s="421"/>
      <c r="AQ41" s="422"/>
      <c r="AR41" s="423">
        <f>SUMIFS(BASE_QUARTELY!$J:$J,BASE_QUARTELY!$A:$A,'AME - Quarterly'!$A41,BASE_QUARTELY!$B:$B,"fevereiro")/1000</f>
        <v>0</v>
      </c>
      <c r="AS41" s="427"/>
      <c r="AT41" s="421"/>
      <c r="AU41" s="422"/>
      <c r="AV41" s="423">
        <f>SUMIFS(BASE_QUARTELY!$J:$J,BASE_QUARTELY!$A:$A,'AME - Quarterly'!$A41,BASE_QUARTELY!$B:$B,"março")/1000</f>
        <v>0</v>
      </c>
      <c r="AW41" s="427"/>
      <c r="AX41" s="421"/>
      <c r="AY41" s="422"/>
      <c r="AZ41" s="423">
        <f>SUMIFS(BASE_QUARTELY!$J:$J,BASE_QUARTELY!$A:$A,'AME - Quarterly'!$A41,BASE_QUARTELY!$B:$B,"abril")/1000</f>
        <v>0</v>
      </c>
      <c r="BA41" s="427"/>
      <c r="BB41" s="421"/>
      <c r="BC41" s="422">
        <v>0</v>
      </c>
      <c r="BD41" s="423">
        <f>SUMIFS(BASE_QUARTELY!$J:$J,BASE_QUARTELY!$A:$A,'AME - Quarterly'!$A41,BASE_QUARTELY!$B:$B,"maio")/1000</f>
        <v>0</v>
      </c>
      <c r="BE41" s="427"/>
      <c r="BF41" s="421"/>
      <c r="BG41" s="422"/>
      <c r="BH41" s="423">
        <f>SUMIFS(BASE_QUARTELY!$J:$J,BASE_QUARTELY!$A:$A,'AME - Quarterly'!$A41,BASE_QUARTELY!$B:$B,"junho")/1000</f>
        <v>0</v>
      </c>
      <c r="BI41" s="427"/>
      <c r="BJ41" s="421"/>
      <c r="BK41" s="422"/>
      <c r="BL41" s="423">
        <f>SUMIFS(BASE_QUARTELY!$J:$J,BASE_QUARTELY!$A:$A,'AME - Quarterly'!$A41,BASE_QUARTELY!$B:$B,"julho")/1000</f>
        <v>0</v>
      </c>
      <c r="BM41" s="427"/>
      <c r="BN41" s="421"/>
      <c r="BO41" s="422"/>
      <c r="BP41" s="423">
        <f>SUMIFS(BASE_QUARTELY!$J:$J,BASE_QUARTELY!$A:$A,'AME - Quarterly'!$A41,BASE_QUARTELY!$B:$B,"agosto")/1000</f>
        <v>0</v>
      </c>
      <c r="BQ41" s="427"/>
      <c r="BR41" s="421"/>
      <c r="BS41" s="422"/>
      <c r="BT41" s="423">
        <f>SUMIFS(BASE_QUARTELY!$J:$J,BASE_QUARTELY!$A:$A,'AME - Quarterly'!$A41,BASE_QUARTELY!$B:$B,"setembro")/1000</f>
        <v>0</v>
      </c>
      <c r="BU41" s="427"/>
      <c r="BV41" s="421"/>
      <c r="BW41" s="422"/>
      <c r="BX41" s="423">
        <f>SUMIFS(BASE_QUARTELY!$J:$J,BASE_QUARTELY!$A:$A,'AME - Quarterly'!$A41,BASE_QUARTELY!$B:$B,"outubro")/1000</f>
        <v>0</v>
      </c>
      <c r="BY41" s="427"/>
      <c r="BZ41" s="421"/>
      <c r="CA41" s="422"/>
      <c r="CB41" s="423">
        <f>SUMIFS(BASE_QUARTELY!$J:$J,BASE_QUARTELY!$A:$A,'AME - Quarterly'!$A41,BASE_QUARTELY!$B:$B,"novembro")/1000</f>
        <v>0</v>
      </c>
      <c r="CC41" s="427">
        <f>(53*1.3)+2.5</f>
        <v>71.400000000000006</v>
      </c>
      <c r="CD41" s="421"/>
      <c r="CE41" s="422"/>
      <c r="CF41" s="423">
        <f>SUMIFS(BASE_QUARTELY!$J:$J,BASE_QUARTELY!$A:$A,'AME - Quarterly'!$A41,BASE_QUARTELY!$B:$B,"dezembro")/1000</f>
        <v>0</v>
      </c>
      <c r="CG41" s="427"/>
      <c r="CH41" s="452">
        <f t="shared" si="8"/>
        <v>0</v>
      </c>
      <c r="CI41" s="374"/>
      <c r="CJ41" s="374"/>
      <c r="CK41" s="374"/>
      <c r="CL41" s="374"/>
      <c r="CM41" s="374"/>
      <c r="CN41" s="374"/>
      <c r="CO41" s="374"/>
      <c r="CP41" s="374"/>
      <c r="CQ41" s="374"/>
      <c r="CR41" s="374"/>
      <c r="CS41" s="374"/>
      <c r="CT41" s="374"/>
      <c r="CU41" s="374"/>
      <c r="CV41" s="216">
        <f t="shared" si="9"/>
        <v>0</v>
      </c>
      <c r="CW41" s="320">
        <f t="shared" si="10"/>
        <v>0</v>
      </c>
      <c r="CX41" s="241">
        <f t="shared" si="11"/>
        <v>0</v>
      </c>
      <c r="CY41" s="241">
        <f t="shared" si="12"/>
        <v>0</v>
      </c>
      <c r="CZ41" s="241">
        <f t="shared" si="13"/>
        <v>0</v>
      </c>
      <c r="DA41" s="241">
        <f t="shared" si="14"/>
        <v>71.400000000000006</v>
      </c>
      <c r="DB41" s="346">
        <f t="shared" si="15"/>
        <v>19.983900000000006</v>
      </c>
      <c r="DC41" s="445">
        <f t="shared" si="16"/>
        <v>0</v>
      </c>
      <c r="DD41" s="447">
        <f t="shared" si="17"/>
        <v>0</v>
      </c>
      <c r="DE41" s="364">
        <f t="shared" si="18"/>
        <v>0</v>
      </c>
      <c r="DF41" s="365">
        <f t="shared" si="19"/>
        <v>71.400000000000006</v>
      </c>
      <c r="DG41" s="384">
        <f>IFERROR(VLOOKUP($A41,'BASE_558 QUARTELY'!$D:$V,6,FALSE)/1000,"")</f>
        <v>60</v>
      </c>
      <c r="DH41" s="384">
        <f>IFERROR(VLOOKUP($A41,'BASE_558 QUARTELY'!$D:$V,7,FALSE)/1000,"")</f>
        <v>0</v>
      </c>
      <c r="DI41" s="384">
        <f>IFERROR(VLOOKUP($A41,'BASE_558 QUARTELY'!$D:$V,8,FALSE)/1000,"")</f>
        <v>56.403390000000002</v>
      </c>
      <c r="DJ41" s="384">
        <f>IFERROR(VLOOKUP($A41,'BASE_558 QUARTELY'!$D:$V,9,FALSE)/1000,"")</f>
        <v>0</v>
      </c>
      <c r="DK41" s="384">
        <f>IFERROR(VLOOKUP($A41,'BASE_558 QUARTELY'!$D:$V,11,FALSE)/1000,"")</f>
        <v>56.403390000000002</v>
      </c>
      <c r="DL41" s="384">
        <f>IFERROR(VLOOKUP($A41,'BASE_558 QUARTELY'!$D:$V,12,FALSE)/1000,"")</f>
        <v>3.5966100000000001</v>
      </c>
      <c r="DM41" s="442"/>
      <c r="DN41" s="442"/>
    </row>
    <row r="42" spans="1:118" s="23" customFormat="1" ht="30" customHeight="1">
      <c r="A42" s="85" t="s">
        <v>10774</v>
      </c>
      <c r="B42" s="86">
        <v>488</v>
      </c>
      <c r="C42" s="84" t="s">
        <v>609</v>
      </c>
      <c r="D42" s="85"/>
      <c r="E42" s="85"/>
      <c r="F42" s="6"/>
      <c r="G42" s="85">
        <v>2025</v>
      </c>
      <c r="H42" s="84">
        <v>45825</v>
      </c>
      <c r="I42" s="85"/>
      <c r="J42" s="85"/>
      <c r="K42" s="84">
        <v>46022</v>
      </c>
      <c r="L42" s="84">
        <v>46203</v>
      </c>
      <c r="M42" s="13"/>
      <c r="N42" s="13"/>
      <c r="O42" s="5" t="s">
        <v>2186</v>
      </c>
      <c r="P42" s="10" t="s">
        <v>18523</v>
      </c>
      <c r="Q42" s="3" t="s">
        <v>2255</v>
      </c>
      <c r="R42" s="6" t="s">
        <v>6786</v>
      </c>
      <c r="S42" s="6" t="str">
        <f t="shared" si="4"/>
        <v>IGUAL</v>
      </c>
      <c r="T42" s="151" t="str">
        <f>IFERROR(VLOOKUP(A42,STATUS_SAP_QUARTELY!B:C,2,FALSE),"NO BUDGET")</f>
        <v>REL  AUC  AVAC  //  BNRL</v>
      </c>
      <c r="U42" s="6" t="str">
        <f t="shared" si="5"/>
        <v xml:space="preserve">REL </v>
      </c>
      <c r="V42" s="161"/>
      <c r="W42" s="85"/>
      <c r="X42" s="499" t="s">
        <v>9616</v>
      </c>
      <c r="Y42" s="84">
        <v>46022</v>
      </c>
      <c r="Z42" s="85"/>
      <c r="AA42" s="318"/>
      <c r="AB42" s="223"/>
      <c r="AC42" s="318"/>
      <c r="AD42" s="223"/>
      <c r="AE42" s="318"/>
      <c r="AF42" s="223"/>
      <c r="AG42" s="318"/>
      <c r="AH42" s="223"/>
      <c r="AI42" s="498"/>
      <c r="AJ42" s="223"/>
      <c r="AK42" s="333">
        <f t="shared" si="7"/>
        <v>35</v>
      </c>
      <c r="AL42" s="421"/>
      <c r="AM42" s="422"/>
      <c r="AN42" s="423">
        <f>SUMIFS(BASE_QUARTELY!$J:$J,BASE_QUARTELY!$A:$A,'AME - Quarterly'!$A42,BASE_QUARTELY!$B:$B,"janeiro")/1000</f>
        <v>0</v>
      </c>
      <c r="AO42" s="427"/>
      <c r="AP42" s="421"/>
      <c r="AQ42" s="422"/>
      <c r="AR42" s="423">
        <f>SUMIFS(BASE_QUARTELY!$J:$J,BASE_QUARTELY!$A:$A,'AME - Quarterly'!$A42,BASE_QUARTELY!$B:$B,"fevereiro")/1000</f>
        <v>0</v>
      </c>
      <c r="AS42" s="427"/>
      <c r="AT42" s="421"/>
      <c r="AU42" s="422"/>
      <c r="AV42" s="423">
        <f>SUMIFS(BASE_QUARTELY!$J:$J,BASE_QUARTELY!$A:$A,'AME - Quarterly'!$A42,BASE_QUARTELY!$B:$B,"março")/1000</f>
        <v>0</v>
      </c>
      <c r="AW42" s="427"/>
      <c r="AX42" s="421"/>
      <c r="AY42" s="422"/>
      <c r="AZ42" s="423">
        <f>SUMIFS(BASE_QUARTELY!$J:$J,BASE_QUARTELY!$A:$A,'AME - Quarterly'!$A42,BASE_QUARTELY!$B:$B,"abril")/1000</f>
        <v>0</v>
      </c>
      <c r="BA42" s="427"/>
      <c r="BB42" s="421"/>
      <c r="BC42" s="422"/>
      <c r="BD42" s="423">
        <f>SUMIFS(BASE_QUARTELY!$J:$J,BASE_QUARTELY!$A:$A,'AME - Quarterly'!$A42,BASE_QUARTELY!$B:$B,"maio")/1000</f>
        <v>0</v>
      </c>
      <c r="BE42" s="427"/>
      <c r="BF42" s="421"/>
      <c r="BG42" s="422"/>
      <c r="BH42" s="423">
        <f>SUMIFS(BASE_QUARTELY!$J:$J,BASE_QUARTELY!$A:$A,'AME - Quarterly'!$A42,BASE_QUARTELY!$B:$B,"junho")/1000</f>
        <v>0</v>
      </c>
      <c r="BI42" s="427"/>
      <c r="BJ42" s="421"/>
      <c r="BK42" s="422"/>
      <c r="BL42" s="423">
        <f>SUMIFS(BASE_QUARTELY!$J:$J,BASE_QUARTELY!$A:$A,'AME - Quarterly'!$A42,BASE_QUARTELY!$B:$B,"julho")/1000</f>
        <v>0</v>
      </c>
      <c r="BM42" s="427"/>
      <c r="BN42" s="421"/>
      <c r="BO42" s="422"/>
      <c r="BP42" s="423">
        <f>SUMIFS(BASE_QUARTELY!$J:$J,BASE_QUARTELY!$A:$A,'AME - Quarterly'!$A42,BASE_QUARTELY!$B:$B,"agosto")/1000</f>
        <v>0</v>
      </c>
      <c r="BQ42" s="427"/>
      <c r="BR42" s="421"/>
      <c r="BS42" s="422"/>
      <c r="BT42" s="423">
        <f>SUMIFS(BASE_QUARTELY!$J:$J,BASE_QUARTELY!$A:$A,'AME - Quarterly'!$A42,BASE_QUARTELY!$B:$B,"setembro")/1000</f>
        <v>0</v>
      </c>
      <c r="BU42" s="427"/>
      <c r="BV42" s="421"/>
      <c r="BW42" s="422"/>
      <c r="BX42" s="423">
        <f>SUMIFS(BASE_QUARTELY!$J:$J,BASE_QUARTELY!$A:$A,'AME - Quarterly'!$A42,BASE_QUARTELY!$B:$B,"outubro")/1000</f>
        <v>0</v>
      </c>
      <c r="BY42" s="427"/>
      <c r="BZ42" s="421"/>
      <c r="CA42" s="422"/>
      <c r="CB42" s="423">
        <f>SUMIFS(BASE_QUARTELY!$J:$J,BASE_QUARTELY!$A:$A,'AME - Quarterly'!$A42,BASE_QUARTELY!$B:$B,"novembro")/1000</f>
        <v>0</v>
      </c>
      <c r="CC42" s="427">
        <v>35</v>
      </c>
      <c r="CD42" s="421"/>
      <c r="CE42" s="422"/>
      <c r="CF42" s="423">
        <f>SUMIFS(BASE_QUARTELY!$J:$J,BASE_QUARTELY!$A:$A,'AME - Quarterly'!$A42,BASE_QUARTELY!$B:$B,"dezembro")/1000</f>
        <v>0</v>
      </c>
      <c r="CG42" s="427"/>
      <c r="CH42" s="452">
        <f t="shared" si="8"/>
        <v>0</v>
      </c>
      <c r="CI42" s="374"/>
      <c r="CJ42" s="374"/>
      <c r="CK42" s="374"/>
      <c r="CL42" s="374"/>
      <c r="CM42" s="374"/>
      <c r="CN42" s="374"/>
      <c r="CO42" s="374"/>
      <c r="CP42" s="374"/>
      <c r="CQ42" s="374"/>
      <c r="CR42" s="374"/>
      <c r="CS42" s="374"/>
      <c r="CT42" s="374"/>
      <c r="CU42" s="374"/>
      <c r="CV42" s="216">
        <f t="shared" si="9"/>
        <v>0</v>
      </c>
      <c r="CW42" s="320">
        <f t="shared" si="10"/>
        <v>0</v>
      </c>
      <c r="CX42" s="241">
        <f t="shared" si="11"/>
        <v>0</v>
      </c>
      <c r="CY42" s="241">
        <f t="shared" si="12"/>
        <v>0</v>
      </c>
      <c r="CZ42" s="241">
        <f t="shared" si="13"/>
        <v>0</v>
      </c>
      <c r="DA42" s="241">
        <f t="shared" si="14"/>
        <v>35</v>
      </c>
      <c r="DB42" s="346">
        <f t="shared" si="15"/>
        <v>35</v>
      </c>
      <c r="DC42" s="445">
        <f t="shared" si="16"/>
        <v>0</v>
      </c>
      <c r="DD42" s="447">
        <f t="shared" si="17"/>
        <v>0</v>
      </c>
      <c r="DE42" s="364">
        <f t="shared" si="18"/>
        <v>0</v>
      </c>
      <c r="DF42" s="365">
        <f t="shared" si="19"/>
        <v>35</v>
      </c>
      <c r="DG42" s="384" t="str">
        <f>IFERROR(VLOOKUP($A42,'BASE_558 QUARTELY'!$D:$V,6,FALSE)/1000,"")</f>
        <v/>
      </c>
      <c r="DH42" s="384" t="str">
        <f>IFERROR(VLOOKUP($A42,'BASE_558 QUARTELY'!$D:$V,7,FALSE)/1000,"")</f>
        <v/>
      </c>
      <c r="DI42" s="384" t="str">
        <f>IFERROR(VLOOKUP($A42,'BASE_558 QUARTELY'!$D:$V,8,FALSE)/1000,"")</f>
        <v/>
      </c>
      <c r="DJ42" s="384" t="str">
        <f>IFERROR(VLOOKUP($A42,'BASE_558 QUARTELY'!$D:$V,9,FALSE)/1000,"")</f>
        <v/>
      </c>
      <c r="DK42" s="384" t="str">
        <f>IFERROR(VLOOKUP($A42,'BASE_558 QUARTELY'!$D:$V,11,FALSE)/1000,"")</f>
        <v/>
      </c>
      <c r="DL42" s="384" t="str">
        <f>IFERROR(VLOOKUP($A42,'BASE_558 QUARTELY'!$D:$V,12,FALSE)/1000,"")</f>
        <v/>
      </c>
      <c r="DM42" s="442"/>
      <c r="DN42" s="442"/>
    </row>
    <row r="43" spans="1:118" s="23" customFormat="1" ht="30" customHeight="1">
      <c r="A43" s="85" t="s">
        <v>8942</v>
      </c>
      <c r="B43" s="86">
        <v>483</v>
      </c>
      <c r="C43" s="84" t="s">
        <v>609</v>
      </c>
      <c r="D43" s="85"/>
      <c r="E43" s="85"/>
      <c r="F43" s="6"/>
      <c r="G43" s="85">
        <v>2025</v>
      </c>
      <c r="H43" s="84">
        <v>45839</v>
      </c>
      <c r="I43" s="85"/>
      <c r="J43" s="85"/>
      <c r="K43" s="84">
        <v>46022</v>
      </c>
      <c r="L43" s="84">
        <v>46203</v>
      </c>
      <c r="M43" s="13"/>
      <c r="N43" s="13"/>
      <c r="O43" s="5" t="s">
        <v>2124</v>
      </c>
      <c r="P43" s="10" t="s">
        <v>19509</v>
      </c>
      <c r="Q43" s="3" t="s">
        <v>186</v>
      </c>
      <c r="R43" s="6" t="s">
        <v>6786</v>
      </c>
      <c r="S43" s="6" t="str">
        <f t="shared" si="4"/>
        <v>DIFERENTE</v>
      </c>
      <c r="T43" s="151" t="str">
        <f>IFERROR(VLOOKUP(A43,STATUS_SAP_QUARTELY!B:C,2,FALSE),"NO BUDGET")</f>
        <v>NO BUDGET</v>
      </c>
      <c r="U43" s="6" t="str">
        <f t="shared" si="5"/>
        <v>NO BUDGET</v>
      </c>
      <c r="V43" s="161"/>
      <c r="W43" s="85"/>
      <c r="X43" s="499" t="s">
        <v>9616</v>
      </c>
      <c r="Y43" s="84">
        <v>46022</v>
      </c>
      <c r="Z43" s="85"/>
      <c r="AA43" s="318"/>
      <c r="AB43" s="223"/>
      <c r="AC43" s="318"/>
      <c r="AD43" s="223"/>
      <c r="AE43" s="318"/>
      <c r="AF43" s="223"/>
      <c r="AG43" s="318"/>
      <c r="AH43" s="223"/>
      <c r="AI43" s="498">
        <v>58.345999999999997</v>
      </c>
      <c r="AJ43" s="223"/>
      <c r="AK43" s="333">
        <f t="shared" si="7"/>
        <v>58</v>
      </c>
      <c r="AL43" s="421"/>
      <c r="AM43" s="422"/>
      <c r="AN43" s="423">
        <f>SUMIFS(BASE_QUARTELY!$J:$J,BASE_QUARTELY!$A:$A,'AME - Quarterly'!$A43,BASE_QUARTELY!$B:$B,"janeiro")/1000</f>
        <v>0</v>
      </c>
      <c r="AO43" s="427"/>
      <c r="AP43" s="421"/>
      <c r="AQ43" s="422"/>
      <c r="AR43" s="423">
        <f>SUMIFS(BASE_QUARTELY!$J:$J,BASE_QUARTELY!$A:$A,'AME - Quarterly'!$A43,BASE_QUARTELY!$B:$B,"fevereiro")/1000</f>
        <v>0</v>
      </c>
      <c r="AS43" s="427"/>
      <c r="AT43" s="421"/>
      <c r="AU43" s="422"/>
      <c r="AV43" s="423">
        <f>SUMIFS(BASE_QUARTELY!$J:$J,BASE_QUARTELY!$A:$A,'AME - Quarterly'!$A43,BASE_QUARTELY!$B:$B,"março")/1000</f>
        <v>0</v>
      </c>
      <c r="AW43" s="427"/>
      <c r="AX43" s="421"/>
      <c r="AY43" s="422"/>
      <c r="AZ43" s="423">
        <f>SUMIFS(BASE_QUARTELY!$J:$J,BASE_QUARTELY!$A:$A,'AME - Quarterly'!$A43,BASE_QUARTELY!$B:$B,"abril")/1000</f>
        <v>0</v>
      </c>
      <c r="BA43" s="427"/>
      <c r="BB43" s="421"/>
      <c r="BC43" s="422"/>
      <c r="BD43" s="423">
        <f>SUMIFS(BASE_QUARTELY!$J:$J,BASE_QUARTELY!$A:$A,'AME - Quarterly'!$A43,BASE_QUARTELY!$B:$B,"maio")/1000</f>
        <v>0</v>
      </c>
      <c r="BE43" s="427"/>
      <c r="BF43" s="421"/>
      <c r="BG43" s="422"/>
      <c r="BH43" s="423">
        <f>SUMIFS(BASE_QUARTELY!$J:$J,BASE_QUARTELY!$A:$A,'AME - Quarterly'!$A43,BASE_QUARTELY!$B:$B,"junho")/1000</f>
        <v>0</v>
      </c>
      <c r="BI43" s="427"/>
      <c r="BJ43" s="421"/>
      <c r="BK43" s="422"/>
      <c r="BL43" s="423">
        <f>SUMIFS(BASE_QUARTELY!$J:$J,BASE_QUARTELY!$A:$A,'AME - Quarterly'!$A43,BASE_QUARTELY!$B:$B,"julho")/1000</f>
        <v>0</v>
      </c>
      <c r="BM43" s="427"/>
      <c r="BN43" s="421"/>
      <c r="BO43" s="422"/>
      <c r="BP43" s="423">
        <f>SUMIFS(BASE_QUARTELY!$J:$J,BASE_QUARTELY!$A:$A,'AME - Quarterly'!$A43,BASE_QUARTELY!$B:$B,"agosto")/1000</f>
        <v>0</v>
      </c>
      <c r="BQ43" s="427"/>
      <c r="BR43" s="421"/>
      <c r="BS43" s="422"/>
      <c r="BT43" s="423">
        <f>SUMIFS(BASE_QUARTELY!$J:$J,BASE_QUARTELY!$A:$A,'AME - Quarterly'!$A43,BASE_QUARTELY!$B:$B,"setembro")/1000</f>
        <v>0</v>
      </c>
      <c r="BU43" s="427"/>
      <c r="BV43" s="421"/>
      <c r="BW43" s="422"/>
      <c r="BX43" s="423">
        <f>SUMIFS(BASE_QUARTELY!$J:$J,BASE_QUARTELY!$A:$A,'AME - Quarterly'!$A43,BASE_QUARTELY!$B:$B,"outubro")/1000</f>
        <v>0</v>
      </c>
      <c r="BY43" s="427">
        <f>58/2</f>
        <v>29</v>
      </c>
      <c r="BZ43" s="421"/>
      <c r="CA43" s="422"/>
      <c r="CB43" s="423">
        <f>SUMIFS(BASE_QUARTELY!$J:$J,BASE_QUARTELY!$A:$A,'AME - Quarterly'!$A43,BASE_QUARTELY!$B:$B,"novembro")/1000</f>
        <v>0</v>
      </c>
      <c r="CC43" s="427">
        <f>58/2</f>
        <v>29</v>
      </c>
      <c r="CD43" s="421"/>
      <c r="CE43" s="422"/>
      <c r="CF43" s="423">
        <f>SUMIFS(BASE_QUARTELY!$J:$J,BASE_QUARTELY!$A:$A,'AME - Quarterly'!$A43,BASE_QUARTELY!$B:$B,"dezembro")/1000</f>
        <v>0</v>
      </c>
      <c r="CG43" s="427"/>
      <c r="CH43" s="452">
        <f t="shared" si="8"/>
        <v>0</v>
      </c>
      <c r="CI43" s="374"/>
      <c r="CJ43" s="374"/>
      <c r="CK43" s="374"/>
      <c r="CL43" s="374"/>
      <c r="CM43" s="374"/>
      <c r="CN43" s="374"/>
      <c r="CO43" s="374"/>
      <c r="CP43" s="374"/>
      <c r="CQ43" s="374"/>
      <c r="CR43" s="374"/>
      <c r="CS43" s="374"/>
      <c r="CT43" s="374"/>
      <c r="CU43" s="374"/>
      <c r="CV43" s="216">
        <f t="shared" si="9"/>
        <v>0</v>
      </c>
      <c r="CW43" s="320">
        <f t="shared" si="10"/>
        <v>0</v>
      </c>
      <c r="CX43" s="241">
        <f t="shared" si="11"/>
        <v>0</v>
      </c>
      <c r="CY43" s="241">
        <f t="shared" si="12"/>
        <v>0</v>
      </c>
      <c r="CZ43" s="241">
        <f t="shared" si="13"/>
        <v>0</v>
      </c>
      <c r="DA43" s="241">
        <f t="shared" si="14"/>
        <v>58</v>
      </c>
      <c r="DB43" s="346">
        <f t="shared" si="15"/>
        <v>58</v>
      </c>
      <c r="DC43" s="445">
        <f t="shared" si="16"/>
        <v>0</v>
      </c>
      <c r="DD43" s="447">
        <f t="shared" si="17"/>
        <v>0</v>
      </c>
      <c r="DE43" s="364">
        <f t="shared" si="18"/>
        <v>0</v>
      </c>
      <c r="DF43" s="365">
        <f t="shared" si="19"/>
        <v>58</v>
      </c>
      <c r="DG43" s="384" t="str">
        <f>IFERROR(VLOOKUP($A43,'BASE_558 QUARTELY'!$D:$V,6,FALSE)/1000,"")</f>
        <v/>
      </c>
      <c r="DH43" s="384" t="str">
        <f>IFERROR(VLOOKUP($A43,'BASE_558 QUARTELY'!$D:$V,7,FALSE)/1000,"")</f>
        <v/>
      </c>
      <c r="DI43" s="384" t="str">
        <f>IFERROR(VLOOKUP($A43,'BASE_558 QUARTELY'!$D:$V,8,FALSE)/1000,"")</f>
        <v/>
      </c>
      <c r="DJ43" s="384" t="str">
        <f>IFERROR(VLOOKUP($A43,'BASE_558 QUARTELY'!$D:$V,9,FALSE)/1000,"")</f>
        <v/>
      </c>
      <c r="DK43" s="384" t="str">
        <f>IFERROR(VLOOKUP($A43,'BASE_558 QUARTELY'!$D:$V,11,FALSE)/1000,"")</f>
        <v/>
      </c>
      <c r="DL43" s="384" t="str">
        <f>IFERROR(VLOOKUP($A43,'BASE_558 QUARTELY'!$D:$V,12,FALSE)/1000,"")</f>
        <v/>
      </c>
      <c r="DM43" s="442"/>
      <c r="DN43" s="442"/>
    </row>
    <row r="44" spans="1:118" s="23" customFormat="1" ht="30" customHeight="1">
      <c r="A44" s="85" t="s">
        <v>8943</v>
      </c>
      <c r="B44" s="86">
        <v>484</v>
      </c>
      <c r="C44" s="84" t="s">
        <v>609</v>
      </c>
      <c r="D44" s="85"/>
      <c r="E44" s="85"/>
      <c r="F44" s="6"/>
      <c r="G44" s="85">
        <v>2025</v>
      </c>
      <c r="H44" s="84">
        <v>45839</v>
      </c>
      <c r="I44" s="85"/>
      <c r="J44" s="85"/>
      <c r="K44" s="84">
        <v>46022</v>
      </c>
      <c r="L44" s="84">
        <v>46203</v>
      </c>
      <c r="M44" s="13"/>
      <c r="N44" s="13"/>
      <c r="O44" s="5" t="s">
        <v>2124</v>
      </c>
      <c r="P44" s="10" t="s">
        <v>19508</v>
      </c>
      <c r="Q44" s="3" t="s">
        <v>186</v>
      </c>
      <c r="R44" s="6" t="s">
        <v>6786</v>
      </c>
      <c r="S44" s="6" t="str">
        <f t="shared" si="4"/>
        <v>DIFERENTE</v>
      </c>
      <c r="T44" s="151" t="str">
        <f>IFERROR(VLOOKUP(A44,STATUS_SAP_QUARTELY!B:C,2,FALSE),"NO BUDGET")</f>
        <v>NO BUDGET</v>
      </c>
      <c r="U44" s="6" t="str">
        <f t="shared" si="5"/>
        <v>NO BUDGET</v>
      </c>
      <c r="V44" s="161"/>
      <c r="W44" s="85"/>
      <c r="X44" s="499" t="s">
        <v>9616</v>
      </c>
      <c r="Y44" s="84">
        <v>46022</v>
      </c>
      <c r="Z44" s="85"/>
      <c r="AA44" s="318"/>
      <c r="AB44" s="223"/>
      <c r="AC44" s="318"/>
      <c r="AD44" s="223"/>
      <c r="AE44" s="318"/>
      <c r="AF44" s="223"/>
      <c r="AG44" s="318"/>
      <c r="AH44" s="223"/>
      <c r="AI44" s="498">
        <v>40.286000000000001</v>
      </c>
      <c r="AJ44" s="223"/>
      <c r="AK44" s="333">
        <f t="shared" si="7"/>
        <v>40</v>
      </c>
      <c r="AL44" s="421"/>
      <c r="AM44" s="422"/>
      <c r="AN44" s="423">
        <f>SUMIFS(BASE_QUARTELY!$J:$J,BASE_QUARTELY!$A:$A,'AME - Quarterly'!$A44,BASE_QUARTELY!$B:$B,"janeiro")/1000</f>
        <v>0</v>
      </c>
      <c r="AO44" s="427"/>
      <c r="AP44" s="421"/>
      <c r="AQ44" s="422"/>
      <c r="AR44" s="423">
        <f>SUMIFS(BASE_QUARTELY!$J:$J,BASE_QUARTELY!$A:$A,'AME - Quarterly'!$A44,BASE_QUARTELY!$B:$B,"fevereiro")/1000</f>
        <v>0</v>
      </c>
      <c r="AS44" s="427"/>
      <c r="AT44" s="421"/>
      <c r="AU44" s="422"/>
      <c r="AV44" s="423">
        <f>SUMIFS(BASE_QUARTELY!$J:$J,BASE_QUARTELY!$A:$A,'AME - Quarterly'!$A44,BASE_QUARTELY!$B:$B,"março")/1000</f>
        <v>0</v>
      </c>
      <c r="AW44" s="427"/>
      <c r="AX44" s="421"/>
      <c r="AY44" s="422"/>
      <c r="AZ44" s="423">
        <f>SUMIFS(BASE_QUARTELY!$J:$J,BASE_QUARTELY!$A:$A,'AME - Quarterly'!$A44,BASE_QUARTELY!$B:$B,"abril")/1000</f>
        <v>0</v>
      </c>
      <c r="BA44" s="427"/>
      <c r="BB44" s="421"/>
      <c r="BC44" s="422"/>
      <c r="BD44" s="423">
        <f>SUMIFS(BASE_QUARTELY!$J:$J,BASE_QUARTELY!$A:$A,'AME - Quarterly'!$A44,BASE_QUARTELY!$B:$B,"maio")/1000</f>
        <v>0</v>
      </c>
      <c r="BE44" s="427"/>
      <c r="BF44" s="421"/>
      <c r="BG44" s="422"/>
      <c r="BH44" s="423">
        <f>SUMIFS(BASE_QUARTELY!$J:$J,BASE_QUARTELY!$A:$A,'AME - Quarterly'!$A44,BASE_QUARTELY!$B:$B,"junho")/1000</f>
        <v>0</v>
      </c>
      <c r="BI44" s="427"/>
      <c r="BJ44" s="421"/>
      <c r="BK44" s="422"/>
      <c r="BL44" s="423">
        <f>SUMIFS(BASE_QUARTELY!$J:$J,BASE_QUARTELY!$A:$A,'AME - Quarterly'!$A44,BASE_QUARTELY!$B:$B,"julho")/1000</f>
        <v>0</v>
      </c>
      <c r="BM44" s="427"/>
      <c r="BN44" s="421"/>
      <c r="BO44" s="422"/>
      <c r="BP44" s="423">
        <f>SUMIFS(BASE_QUARTELY!$J:$J,BASE_QUARTELY!$A:$A,'AME - Quarterly'!$A44,BASE_QUARTELY!$B:$B,"agosto")/1000</f>
        <v>0</v>
      </c>
      <c r="BQ44" s="427"/>
      <c r="BR44" s="421"/>
      <c r="BS44" s="422"/>
      <c r="BT44" s="423">
        <f>SUMIFS(BASE_QUARTELY!$J:$J,BASE_QUARTELY!$A:$A,'AME - Quarterly'!$A44,BASE_QUARTELY!$B:$B,"setembro")/1000</f>
        <v>0</v>
      </c>
      <c r="BU44" s="427"/>
      <c r="BV44" s="421"/>
      <c r="BW44" s="422"/>
      <c r="BX44" s="423">
        <f>SUMIFS(BASE_QUARTELY!$J:$J,BASE_QUARTELY!$A:$A,'AME - Quarterly'!$A44,BASE_QUARTELY!$B:$B,"outubro")/1000</f>
        <v>0</v>
      </c>
      <c r="BY44" s="427">
        <f>40/2</f>
        <v>20</v>
      </c>
      <c r="BZ44" s="421"/>
      <c r="CA44" s="422"/>
      <c r="CB44" s="423">
        <f>SUMIFS(BASE_QUARTELY!$J:$J,BASE_QUARTELY!$A:$A,'AME - Quarterly'!$A44,BASE_QUARTELY!$B:$B,"novembro")/1000</f>
        <v>0</v>
      </c>
      <c r="CC44" s="427">
        <f>40/2</f>
        <v>20</v>
      </c>
      <c r="CD44" s="421"/>
      <c r="CE44" s="422"/>
      <c r="CF44" s="423">
        <f>SUMIFS(BASE_QUARTELY!$J:$J,BASE_QUARTELY!$A:$A,'AME - Quarterly'!$A44,BASE_QUARTELY!$B:$B,"dezembro")/1000</f>
        <v>0</v>
      </c>
      <c r="CG44" s="427"/>
      <c r="CH44" s="452">
        <f t="shared" si="8"/>
        <v>0</v>
      </c>
      <c r="CI44" s="374"/>
      <c r="CJ44" s="374"/>
      <c r="CK44" s="374"/>
      <c r="CL44" s="374"/>
      <c r="CM44" s="374"/>
      <c r="CN44" s="374"/>
      <c r="CO44" s="374"/>
      <c r="CP44" s="374"/>
      <c r="CQ44" s="374"/>
      <c r="CR44" s="374"/>
      <c r="CS44" s="374"/>
      <c r="CT44" s="374"/>
      <c r="CU44" s="374"/>
      <c r="CV44" s="216">
        <f t="shared" si="9"/>
        <v>0</v>
      </c>
      <c r="CW44" s="320">
        <f t="shared" si="10"/>
        <v>0</v>
      </c>
      <c r="CX44" s="241">
        <f t="shared" si="11"/>
        <v>0</v>
      </c>
      <c r="CY44" s="241">
        <f t="shared" si="12"/>
        <v>0</v>
      </c>
      <c r="CZ44" s="241">
        <f t="shared" si="13"/>
        <v>0</v>
      </c>
      <c r="DA44" s="241">
        <f t="shared" si="14"/>
        <v>40</v>
      </c>
      <c r="DB44" s="346">
        <f t="shared" si="15"/>
        <v>40</v>
      </c>
      <c r="DC44" s="445">
        <f t="shared" si="16"/>
        <v>0</v>
      </c>
      <c r="DD44" s="447">
        <f t="shared" si="17"/>
        <v>0</v>
      </c>
      <c r="DE44" s="364">
        <f t="shared" si="18"/>
        <v>0</v>
      </c>
      <c r="DF44" s="365">
        <f t="shared" si="19"/>
        <v>40</v>
      </c>
      <c r="DG44" s="384" t="str">
        <f>IFERROR(VLOOKUP($A44,'BASE_558 QUARTELY'!$D:$V,6,FALSE)/1000,"")</f>
        <v/>
      </c>
      <c r="DH44" s="384" t="str">
        <f>IFERROR(VLOOKUP($A44,'BASE_558 QUARTELY'!$D:$V,7,FALSE)/1000,"")</f>
        <v/>
      </c>
      <c r="DI44" s="384" t="str">
        <f>IFERROR(VLOOKUP($A44,'BASE_558 QUARTELY'!$D:$V,8,FALSE)/1000,"")</f>
        <v/>
      </c>
      <c r="DJ44" s="384" t="str">
        <f>IFERROR(VLOOKUP($A44,'BASE_558 QUARTELY'!$D:$V,9,FALSE)/1000,"")</f>
        <v/>
      </c>
      <c r="DK44" s="384" t="str">
        <f>IFERROR(VLOOKUP($A44,'BASE_558 QUARTELY'!$D:$V,11,FALSE)/1000,"")</f>
        <v/>
      </c>
      <c r="DL44" s="384" t="str">
        <f>IFERROR(VLOOKUP($A44,'BASE_558 QUARTELY'!$D:$V,12,FALSE)/1000,"")</f>
        <v/>
      </c>
      <c r="DM44" s="442"/>
      <c r="DN44" s="442"/>
    </row>
  </sheetData>
  <autoFilter ref="A4:DN44" xr:uid="{5698B266-CC37-443B-A244-21AFCE77DFD4}"/>
  <conditionalFormatting sqref="AA6:AA44 AB5:AJ44 CV5:DF44">
    <cfRule type="cellIs" dxfId="2155" priority="62" operator="equal">
      <formula>"Behind Schedule"</formula>
    </cfRule>
    <cfRule type="cellIs" dxfId="2154" priority="63" operator="equal">
      <formula>"TBD"</formula>
    </cfRule>
    <cfRule type="cellIs" dxfId="2153" priority="64" operator="equal">
      <formula>"In Progress"</formula>
    </cfRule>
    <cfRule type="cellIs" dxfId="2152" priority="65" operator="equal">
      <formula>"Completed"</formula>
    </cfRule>
  </conditionalFormatting>
  <conditionalFormatting sqref="F13:F16 F5:F6 F8:F11 F25:F29 F31:F44">
    <cfRule type="containsText" dxfId="2151" priority="61" operator="containsText" text="OK">
      <formula>NOT(ISERROR(SEARCH("OK",F5)))</formula>
    </cfRule>
  </conditionalFormatting>
  <conditionalFormatting sqref="X5:X44">
    <cfRule type="containsText" dxfId="2150" priority="53" operator="containsText" text="In Study">
      <formula>NOT(ISERROR(SEARCH("In Study",X5)))</formula>
    </cfRule>
    <cfRule type="containsText" dxfId="2149" priority="54" operator="containsText" text="In Approval">
      <formula>NOT(ISERROR(SEARCH("In Approval",X5)))</formula>
    </cfRule>
    <cfRule type="containsText" dxfId="2148" priority="55" operator="containsText" text="Planning">
      <formula>NOT(ISERROR(SEARCH("Planning",X5)))</formula>
    </cfRule>
    <cfRule type="containsText" dxfId="2147" priority="56" operator="containsText" text="Installation">
      <formula>NOT(ISERROR(SEARCH("Installation",X5)))</formula>
    </cfRule>
    <cfRule type="containsText" dxfId="2146" priority="57" operator="containsText" text="Comissioning">
      <formula>NOT(ISERROR(SEARCH("Comissioning",X5)))</formula>
    </cfRule>
    <cfRule type="containsText" dxfId="2145" priority="58" operator="containsText" text="Production">
      <formula>NOT(ISERROR(SEARCH("Production",X5)))</formula>
    </cfRule>
    <cfRule type="containsText" dxfId="2144" priority="59" operator="containsText" text="Canceled">
      <formula>NOT(ISERROR(SEARCH("Canceled",X5)))</formula>
    </cfRule>
    <cfRule type="containsText" dxfId="2143" priority="60" operator="containsText" text="Closed">
      <formula>NOT(ISERROR(SEARCH("Closed",X5)))</formula>
    </cfRule>
  </conditionalFormatting>
  <conditionalFormatting sqref="AA5">
    <cfRule type="cellIs" dxfId="2142" priority="45" operator="equal">
      <formula>"Behind Schedule"</formula>
    </cfRule>
    <cfRule type="cellIs" dxfId="2141" priority="46" operator="equal">
      <formula>"TBD"</formula>
    </cfRule>
    <cfRule type="cellIs" dxfId="2140" priority="47" operator="equal">
      <formula>"In Progress"</formula>
    </cfRule>
    <cfRule type="cellIs" dxfId="2139" priority="48" operator="equal">
      <formula>"Completed"</formula>
    </cfRule>
  </conditionalFormatting>
  <conditionalFormatting sqref="F19">
    <cfRule type="containsText" dxfId="2138" priority="44" operator="containsText" text="OK">
      <formula>NOT(ISERROR(SEARCH("OK",F19)))</formula>
    </cfRule>
  </conditionalFormatting>
  <conditionalFormatting sqref="F20:F21">
    <cfRule type="containsText" dxfId="2137" priority="43" operator="containsText" text="OK">
      <formula>NOT(ISERROR(SEARCH("OK",F20)))</formula>
    </cfRule>
  </conditionalFormatting>
  <conditionalFormatting sqref="F22:F23">
    <cfRule type="containsText" dxfId="2136" priority="42" operator="containsText" text="OK">
      <formula>NOT(ISERROR(SEARCH("OK",F22)))</formula>
    </cfRule>
  </conditionalFormatting>
  <conditionalFormatting sqref="F24">
    <cfRule type="containsText" dxfId="2135" priority="41" operator="containsText" text="OK">
      <formula>NOT(ISERROR(SEARCH("OK",F24)))</formula>
    </cfRule>
  </conditionalFormatting>
  <conditionalFormatting sqref="F17">
    <cfRule type="containsText" dxfId="2134" priority="40" operator="containsText" text="OK">
      <formula>NOT(ISERROR(SEARCH("OK",F17)))</formula>
    </cfRule>
  </conditionalFormatting>
  <conditionalFormatting sqref="F30">
    <cfRule type="containsText" dxfId="2133" priority="39" operator="containsText" text="OK">
      <formula>NOT(ISERROR(SEARCH("OK",F30)))</formula>
    </cfRule>
  </conditionalFormatting>
  <conditionalFormatting sqref="S5:S44">
    <cfRule type="cellIs" dxfId="2132" priority="35" operator="equal">
      <formula>"CLSD"</formula>
    </cfRule>
    <cfRule type="cellIs" dxfId="2131" priority="36" operator="equal">
      <formula>"TECO"</formula>
    </cfRule>
    <cfRule type="cellIs" dxfId="2130" priority="37" operator="equal">
      <formula>"REL "</formula>
    </cfRule>
    <cfRule type="cellIs" dxfId="2129" priority="38" operator="equal">
      <formula>"CRTD"</formula>
    </cfRule>
  </conditionalFormatting>
  <conditionalFormatting sqref="R5:R6 R8:R28 R30:R34">
    <cfRule type="cellIs" dxfId="2128" priority="31" operator="equal">
      <formula>"CLSD"</formula>
    </cfRule>
    <cfRule type="cellIs" dxfId="2127" priority="32" operator="equal">
      <formula>"TECO"</formula>
    </cfRule>
    <cfRule type="cellIs" dxfId="2126" priority="33" operator="equal">
      <formula>"REL"</formula>
    </cfRule>
    <cfRule type="cellIs" dxfId="2125" priority="34" operator="equal">
      <formula>"CRTD"</formula>
    </cfRule>
  </conditionalFormatting>
  <conditionalFormatting sqref="U5:U44">
    <cfRule type="cellIs" dxfId="2124" priority="27" operator="equal">
      <formula>"CLSD"</formula>
    </cfRule>
    <cfRule type="cellIs" dxfId="2123" priority="28" operator="equal">
      <formula>"TECO"</formula>
    </cfRule>
    <cfRule type="cellIs" dxfId="2122" priority="29" operator="equal">
      <formula>"REL "</formula>
    </cfRule>
    <cfRule type="cellIs" dxfId="2121" priority="30" operator="equal">
      <formula>"CRTD"</formula>
    </cfRule>
  </conditionalFormatting>
  <conditionalFormatting sqref="R7">
    <cfRule type="cellIs" dxfId="2120" priority="21" operator="equal">
      <formula>"CLSD"</formula>
    </cfRule>
    <cfRule type="cellIs" dxfId="2119" priority="22" operator="equal">
      <formula>"TECO"</formula>
    </cfRule>
    <cfRule type="cellIs" dxfId="2118" priority="23" operator="equal">
      <formula>"REL "</formula>
    </cfRule>
    <cfRule type="cellIs" dxfId="2117" priority="24" operator="equal">
      <formula>"CRTD"</formula>
    </cfRule>
  </conditionalFormatting>
  <conditionalFormatting sqref="R29">
    <cfRule type="cellIs" dxfId="2116" priority="15" operator="equal">
      <formula>"CLSD"</formula>
    </cfRule>
    <cfRule type="cellIs" dxfId="2115" priority="16" operator="equal">
      <formula>"TECO"</formula>
    </cfRule>
    <cfRule type="cellIs" dxfId="2114" priority="17" operator="equal">
      <formula>"REL "</formula>
    </cfRule>
    <cfRule type="cellIs" dxfId="2113" priority="18" operator="equal">
      <formula>"CRTD"</formula>
    </cfRule>
  </conditionalFormatting>
  <conditionalFormatting sqref="R35:R43">
    <cfRule type="cellIs" dxfId="2112" priority="9" operator="equal">
      <formula>"CLSD"</formula>
    </cfRule>
    <cfRule type="cellIs" dxfId="2111" priority="10" operator="equal">
      <formula>"TECO"</formula>
    </cfRule>
    <cfRule type="cellIs" dxfId="2110" priority="11" operator="equal">
      <formula>"REL "</formula>
    </cfRule>
    <cfRule type="cellIs" dxfId="2109" priority="12" operator="equal">
      <formula>"CRTD"</formula>
    </cfRule>
  </conditionalFormatting>
  <conditionalFormatting sqref="R44">
    <cfRule type="cellIs" dxfId="2108" priority="3" operator="equal">
      <formula>"CLSD"</formula>
    </cfRule>
    <cfRule type="cellIs" dxfId="2107" priority="4" operator="equal">
      <formula>"TECO"</formula>
    </cfRule>
    <cfRule type="cellIs" dxfId="2106" priority="5" operator="equal">
      <formula>"REL "</formula>
    </cfRule>
    <cfRule type="cellIs" dxfId="2105" priority="6" operator="equal">
      <formula>"CRTD"</formula>
    </cfRule>
  </conditionalFormatting>
  <dataValidations count="3">
    <dataValidation type="list" allowBlank="1" showInputMessage="1" showErrorMessage="1" sqref="X5:X44" xr:uid="{17F22A8A-DE7A-44E3-BF8E-B870FF2432A9}">
      <formula1>"In Study,In Approval,Planning,Installation,Comissioning,Production,Closed,Canceled"</formula1>
    </dataValidation>
    <dataValidation type="list" allowBlank="1" showInputMessage="1" showErrorMessage="1" sqref="R5:R6 R8:R28 R30:R34" xr:uid="{94E5B8D1-00DA-40BA-9AC7-86B13177C28C}">
      <formula1>"CRTD, CLSD, REL, TECO"</formula1>
    </dataValidation>
    <dataValidation type="list" allowBlank="1" showInputMessage="1" showErrorMessage="1" sqref="M5:M24" xr:uid="{F07C5C0F-B666-4E60-9D98-37531080D692}">
      <formula1>"A,B1,B2,UTIL,FACIL,STAFF,"</formula1>
    </dataValidation>
  </dataValidations>
  <printOptions horizontalCentered="1" verticalCentered="1"/>
  <pageMargins left="0.25" right="0.25" top="0.75" bottom="0.75" header="0.3" footer="0.3"/>
  <pageSetup scale="69" orientation="landscape" r:id="rId1"/>
  <extLst>
    <ext xmlns:x14="http://schemas.microsoft.com/office/spreadsheetml/2009/9/main" uri="{78C0D931-6437-407d-A8EE-F0AAD7539E65}">
      <x14:conditionalFormattings>
        <x14:conditionalFormatting xmlns:xm="http://schemas.microsoft.com/office/excel/2006/main">
          <x14:cfRule type="containsText" priority="26" operator="containsText" id="{818D2800-86DE-49D0-B767-C6352645F6C4}">
            <xm:f>NOT(ISERROR(SEARCH("NO BUDGET",U5)))</xm:f>
            <xm:f>"NO BUDGET"</xm:f>
            <x14:dxf>
              <font>
                <b val="0"/>
                <i val="0"/>
              </font>
              <fill>
                <patternFill>
                  <bgColor theme="0" tint="-0.14996795556505021"/>
                </patternFill>
              </fill>
            </x14:dxf>
          </x14:cfRule>
          <xm:sqref>U5:U44</xm:sqref>
        </x14:conditionalFormatting>
        <x14:conditionalFormatting xmlns:xm="http://schemas.microsoft.com/office/excel/2006/main">
          <x14:cfRule type="containsText" priority="25" operator="containsText" id="{0959F0A0-C1C5-41F2-87C1-B1A0E75CB6F0}">
            <xm:f>NOT(ISERROR(SEARCH("NO BUDGET",U5)))</xm:f>
            <xm:f>"NO BUDGET"</xm:f>
            <x14:dxf>
              <fill>
                <patternFill>
                  <bgColor theme="0" tint="-0.14996795556505021"/>
                </patternFill>
              </fill>
            </x14:dxf>
          </x14:cfRule>
          <xm:sqref>U5:U44</xm:sqref>
        </x14:conditionalFormatting>
        <x14:conditionalFormatting xmlns:xm="http://schemas.microsoft.com/office/excel/2006/main">
          <x14:cfRule type="containsText" priority="20" operator="containsText" id="{E12F959F-576C-4E95-8F17-D628C7DB6468}">
            <xm:f>NOT(ISERROR(SEARCH("NO BUDGET",R7)))</xm:f>
            <xm:f>"NO BUDGET"</xm:f>
            <x14:dxf>
              <font>
                <b val="0"/>
                <i val="0"/>
              </font>
              <fill>
                <patternFill>
                  <bgColor theme="0" tint="-0.14996795556505021"/>
                </patternFill>
              </fill>
            </x14:dxf>
          </x14:cfRule>
          <xm:sqref>R7</xm:sqref>
        </x14:conditionalFormatting>
        <x14:conditionalFormatting xmlns:xm="http://schemas.microsoft.com/office/excel/2006/main">
          <x14:cfRule type="containsText" priority="19" operator="containsText" id="{843187EB-171A-4D87-9BDC-F56143135F09}">
            <xm:f>NOT(ISERROR(SEARCH("NO BUDGET",R7)))</xm:f>
            <xm:f>"NO BUDGET"</xm:f>
            <x14:dxf>
              <fill>
                <patternFill>
                  <bgColor theme="0" tint="-0.14996795556505021"/>
                </patternFill>
              </fill>
            </x14:dxf>
          </x14:cfRule>
          <xm:sqref>R7</xm:sqref>
        </x14:conditionalFormatting>
        <x14:conditionalFormatting xmlns:xm="http://schemas.microsoft.com/office/excel/2006/main">
          <x14:cfRule type="containsText" priority="14" operator="containsText" id="{683D4208-E94F-4B9D-A718-82EE1574C89C}">
            <xm:f>NOT(ISERROR(SEARCH("NO BUDGET",R29)))</xm:f>
            <xm:f>"NO BUDGET"</xm:f>
            <x14:dxf>
              <font>
                <b val="0"/>
                <i val="0"/>
              </font>
              <fill>
                <patternFill>
                  <bgColor theme="0" tint="-0.14996795556505021"/>
                </patternFill>
              </fill>
            </x14:dxf>
          </x14:cfRule>
          <xm:sqref>R29</xm:sqref>
        </x14:conditionalFormatting>
        <x14:conditionalFormatting xmlns:xm="http://schemas.microsoft.com/office/excel/2006/main">
          <x14:cfRule type="containsText" priority="13" operator="containsText" id="{B92C3FC2-5F41-447E-A33F-B8B303FBEBBA}">
            <xm:f>NOT(ISERROR(SEARCH("NO BUDGET",R29)))</xm:f>
            <xm:f>"NO BUDGET"</xm:f>
            <x14:dxf>
              <fill>
                <patternFill>
                  <bgColor theme="0" tint="-0.14996795556505021"/>
                </patternFill>
              </fill>
            </x14:dxf>
          </x14:cfRule>
          <xm:sqref>R29</xm:sqref>
        </x14:conditionalFormatting>
        <x14:conditionalFormatting xmlns:xm="http://schemas.microsoft.com/office/excel/2006/main">
          <x14:cfRule type="containsText" priority="8" operator="containsText" id="{30359E6E-FA3B-479F-BACA-8E687D58F59E}">
            <xm:f>NOT(ISERROR(SEARCH("NO BUDGET",R35)))</xm:f>
            <xm:f>"NO BUDGET"</xm:f>
            <x14:dxf>
              <font>
                <b val="0"/>
                <i val="0"/>
              </font>
              <fill>
                <patternFill>
                  <bgColor theme="0" tint="-0.14996795556505021"/>
                </patternFill>
              </fill>
            </x14:dxf>
          </x14:cfRule>
          <xm:sqref>R35:R43</xm:sqref>
        </x14:conditionalFormatting>
        <x14:conditionalFormatting xmlns:xm="http://schemas.microsoft.com/office/excel/2006/main">
          <x14:cfRule type="containsText" priority="7" operator="containsText" id="{B6B7C9BB-2DB5-486D-8450-CCCB52BD43CE}">
            <xm:f>NOT(ISERROR(SEARCH("NO BUDGET",R35)))</xm:f>
            <xm:f>"NO BUDGET"</xm:f>
            <x14:dxf>
              <fill>
                <patternFill>
                  <bgColor theme="0" tint="-0.14996795556505021"/>
                </patternFill>
              </fill>
            </x14:dxf>
          </x14:cfRule>
          <xm:sqref>R35:R43</xm:sqref>
        </x14:conditionalFormatting>
        <x14:conditionalFormatting xmlns:xm="http://schemas.microsoft.com/office/excel/2006/main">
          <x14:cfRule type="containsText" priority="2" operator="containsText" id="{3923E291-05D0-4B64-B474-6D704C1367D8}">
            <xm:f>NOT(ISERROR(SEARCH("NO BUDGET",R44)))</xm:f>
            <xm:f>"NO BUDGET"</xm:f>
            <x14:dxf>
              <font>
                <b val="0"/>
                <i val="0"/>
              </font>
              <fill>
                <patternFill>
                  <bgColor theme="0" tint="-0.14996795556505021"/>
                </patternFill>
              </fill>
            </x14:dxf>
          </x14:cfRule>
          <xm:sqref>R44</xm:sqref>
        </x14:conditionalFormatting>
        <x14:conditionalFormatting xmlns:xm="http://schemas.microsoft.com/office/excel/2006/main">
          <x14:cfRule type="containsText" priority="1" operator="containsText" id="{FE89AEAE-A719-4C17-9DBC-DB33C5362DAC}">
            <xm:f>NOT(ISERROR(SEARCH("NO BUDGET",R44)))</xm:f>
            <xm:f>"NO BUDGET"</xm:f>
            <x14:dxf>
              <fill>
                <patternFill>
                  <bgColor theme="0" tint="-0.14996795556505021"/>
                </patternFill>
              </fill>
            </x14:dxf>
          </x14:cfRule>
          <xm:sqref>R44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63A9A-7E7E-4550-A238-B3718FCABEF5}">
  <sheetPr codeName="Planilha3">
    <tabColor theme="4" tint="0.39997558519241921"/>
    <pageSetUpPr fitToPage="1"/>
  </sheetPr>
  <dimension ref="A1:CD200"/>
  <sheetViews>
    <sheetView showGridLines="0" zoomScale="70" zoomScaleNormal="70" zoomScaleSheetLayoutView="25" workbookViewId="0">
      <pane xSplit="11" ySplit="7" topLeftCell="T8" activePane="bottomRight" state="frozen"/>
      <selection pane="topRight" activeCell="U1" sqref="U1"/>
      <selection pane="bottomLeft" activeCell="A8" sqref="A8"/>
      <selection pane="bottomRight" activeCell="K15" sqref="K15"/>
    </sheetView>
  </sheetViews>
  <sheetFormatPr defaultColWidth="9.453125" defaultRowHeight="13"/>
  <cols>
    <col min="1" max="1" width="17.26953125" style="31" customWidth="1"/>
    <col min="2" max="2" width="11.7265625" style="31" hidden="1" customWidth="1"/>
    <col min="3" max="3" width="16" style="31" hidden="1" customWidth="1"/>
    <col min="4" max="4" width="21.26953125" style="31" hidden="1" customWidth="1"/>
    <col min="5" max="5" width="16.1796875" style="31" customWidth="1"/>
    <col min="6" max="6" width="10.453125" style="31" customWidth="1"/>
    <col min="7" max="7" width="40.453125" style="32" customWidth="1"/>
    <col min="8" max="8" width="16.54296875" style="32" customWidth="1"/>
    <col min="9" max="9" width="14" style="31" customWidth="1"/>
    <col min="10" max="10" width="17.81640625" style="31" customWidth="1"/>
    <col min="11" max="11" width="38.26953125" style="31" customWidth="1"/>
    <col min="12" max="12" width="10.1796875" style="34" hidden="1" customWidth="1"/>
    <col min="13" max="19" width="10.1796875" style="31" hidden="1" customWidth="1"/>
    <col min="20" max="20" width="11.54296875" style="31" customWidth="1"/>
    <col min="21" max="21" width="15.1796875" style="31" customWidth="1"/>
    <col min="22" max="24" width="10.26953125" style="31" hidden="1" customWidth="1"/>
    <col min="25" max="25" width="10.26953125" style="31" customWidth="1"/>
    <col min="26" max="28" width="10.26953125" style="31" hidden="1" customWidth="1"/>
    <col min="29" max="29" width="10.26953125" style="31" customWidth="1"/>
    <col min="30" max="32" width="10.26953125" style="31" hidden="1" customWidth="1"/>
    <col min="33" max="33" width="10.26953125" style="31" customWidth="1"/>
    <col min="34" max="36" width="10.26953125" style="31" hidden="1" customWidth="1"/>
    <col min="37" max="37" width="9.26953125" style="31" customWidth="1"/>
    <col min="38" max="40" width="10.26953125" style="31" hidden="1" customWidth="1"/>
    <col min="41" max="42" width="10.26953125" style="31" customWidth="1"/>
    <col min="43" max="43" width="10.26953125" style="31" hidden="1" customWidth="1"/>
    <col min="44" max="45" width="10.26953125" style="31" customWidth="1"/>
    <col min="46" max="48" width="10.26953125" style="31" hidden="1" customWidth="1"/>
    <col min="49" max="49" width="10.26953125" style="31" customWidth="1"/>
    <col min="50" max="52" width="10.26953125" style="31" hidden="1" customWidth="1"/>
    <col min="53" max="53" width="10.26953125" style="31" customWidth="1"/>
    <col min="54" max="56" width="10.26953125" style="31" hidden="1" customWidth="1"/>
    <col min="57" max="57" width="10.26953125" style="31" customWidth="1"/>
    <col min="58" max="60" width="10.26953125" style="31" hidden="1" customWidth="1"/>
    <col min="61" max="61" width="10.26953125" style="31" customWidth="1"/>
    <col min="62" max="64" width="10.26953125" style="31" hidden="1" customWidth="1"/>
    <col min="65" max="65" width="10.26953125" style="31" customWidth="1"/>
    <col min="66" max="68" width="10.26953125" style="31" hidden="1" customWidth="1"/>
    <col min="69" max="69" width="10.26953125" style="31" customWidth="1"/>
    <col min="70" max="70" width="10.81640625" style="31" customWidth="1"/>
    <col min="71" max="71" width="13.26953125" style="31" customWidth="1"/>
    <col min="72" max="72" width="14.26953125" style="31" customWidth="1"/>
    <col min="73" max="73" width="20" style="31" customWidth="1"/>
    <col min="74" max="74" width="12.453125" style="31" customWidth="1"/>
    <col min="75" max="82" width="18.1796875" style="31" customWidth="1"/>
    <col min="83" max="16384" width="9.453125" style="31"/>
  </cols>
  <sheetData>
    <row r="1" spans="1:82" ht="18.649999999999999" customHeight="1">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row>
    <row r="2" spans="1:82" s="23" customFormat="1" ht="18.75" customHeight="1">
      <c r="A2" s="25"/>
      <c r="B2" s="25"/>
      <c r="E2" s="24"/>
      <c r="G2" s="26"/>
      <c r="H2" s="26"/>
      <c r="I2" s="27"/>
      <c r="J2" s="17"/>
      <c r="K2" s="17"/>
      <c r="L2" s="54"/>
      <c r="M2" s="54"/>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row>
    <row r="3" spans="1:82" s="17" customFormat="1" ht="18.75" customHeight="1" thickBot="1">
      <c r="A3" s="180" t="s">
        <v>8421</v>
      </c>
      <c r="B3" s="180"/>
      <c r="G3" s="180"/>
      <c r="H3" s="180"/>
      <c r="K3" s="31"/>
      <c r="L3" s="54"/>
      <c r="M3" s="54"/>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415"/>
      <c r="CC3" s="17" t="s">
        <v>7239</v>
      </c>
    </row>
    <row r="4" spans="1:82" s="23" customFormat="1" ht="9.75" customHeight="1" thickTop="1">
      <c r="A4" s="59"/>
      <c r="B4" s="59"/>
      <c r="C4" s="59"/>
      <c r="D4" s="59"/>
      <c r="E4" s="59"/>
      <c r="F4" s="59"/>
      <c r="G4" s="59"/>
      <c r="H4" s="336"/>
      <c r="I4" s="36"/>
      <c r="J4" s="29"/>
      <c r="K4" s="26"/>
      <c r="L4" s="54"/>
      <c r="M4" s="54"/>
    </row>
    <row r="5" spans="1:82" s="23" customFormat="1" ht="20.9" customHeight="1">
      <c r="A5" s="24"/>
      <c r="B5" s="24"/>
      <c r="C5" s="22"/>
      <c r="D5" s="22"/>
      <c r="F5" s="22"/>
      <c r="G5" s="24"/>
      <c r="H5" s="24"/>
      <c r="I5" s="25"/>
      <c r="J5" s="26"/>
      <c r="K5" s="203"/>
      <c r="L5" s="60">
        <f t="shared" ref="L5:AQ5" si="0">SUBTOTAL(9,L8:L2242)</f>
        <v>217233.49</v>
      </c>
      <c r="M5" s="60">
        <f t="shared" si="0"/>
        <v>834995.1399999999</v>
      </c>
      <c r="N5" s="60">
        <f t="shared" si="0"/>
        <v>1120661.5999999994</v>
      </c>
      <c r="O5" s="60">
        <f t="shared" si="0"/>
        <v>1532721.24</v>
      </c>
      <c r="P5" s="60">
        <f t="shared" si="0"/>
        <v>982928.79</v>
      </c>
      <c r="Q5" s="60">
        <f t="shared" si="0"/>
        <v>2039174.7845111494</v>
      </c>
      <c r="R5" s="60">
        <f t="shared" si="0"/>
        <v>0</v>
      </c>
      <c r="S5" s="60">
        <f t="shared" si="0"/>
        <v>0</v>
      </c>
      <c r="T5" s="60">
        <f t="shared" si="0"/>
        <v>0</v>
      </c>
      <c r="U5" s="60">
        <f t="shared" si="0"/>
        <v>2155567.22690053</v>
      </c>
      <c r="V5" s="60">
        <f t="shared" si="0"/>
        <v>33640.69</v>
      </c>
      <c r="W5" s="60">
        <f t="shared" si="0"/>
        <v>33640.69</v>
      </c>
      <c r="X5" s="60">
        <f t="shared" si="0"/>
        <v>33640.69</v>
      </c>
      <c r="Y5" s="60">
        <f t="shared" si="0"/>
        <v>33640.69</v>
      </c>
      <c r="Z5" s="60">
        <f t="shared" si="0"/>
        <v>58063.160000000011</v>
      </c>
      <c r="AA5" s="60">
        <f t="shared" si="0"/>
        <v>76272.55</v>
      </c>
      <c r="AB5" s="60">
        <f t="shared" si="0"/>
        <v>76272.550000000017</v>
      </c>
      <c r="AC5" s="60">
        <f t="shared" si="0"/>
        <v>76272.550000000017</v>
      </c>
      <c r="AD5" s="60">
        <f t="shared" si="0"/>
        <v>92681.14</v>
      </c>
      <c r="AE5" s="60">
        <f t="shared" si="0"/>
        <v>107517.07</v>
      </c>
      <c r="AF5" s="60">
        <f t="shared" si="0"/>
        <v>107517.06999999998</v>
      </c>
      <c r="AG5" s="60">
        <f t="shared" si="0"/>
        <v>107517.06999999998</v>
      </c>
      <c r="AH5" s="60">
        <f t="shared" si="0"/>
        <v>182906.23725557461</v>
      </c>
      <c r="AI5" s="60">
        <f t="shared" si="0"/>
        <v>125529.75</v>
      </c>
      <c r="AJ5" s="60">
        <f t="shared" si="0"/>
        <v>125529.74999999999</v>
      </c>
      <c r="AK5" s="60">
        <f t="shared" si="0"/>
        <v>125529.74999999999</v>
      </c>
      <c r="AL5" s="60">
        <f t="shared" si="0"/>
        <v>191105.0972555746</v>
      </c>
      <c r="AM5" s="60">
        <f t="shared" si="0"/>
        <v>183526.19</v>
      </c>
      <c r="AN5" s="60">
        <f t="shared" si="0"/>
        <v>183526.19000000006</v>
      </c>
      <c r="AO5" s="60">
        <f t="shared" si="0"/>
        <v>183526.19000000006</v>
      </c>
      <c r="AP5" s="60">
        <f t="shared" si="0"/>
        <v>217260.0972555746</v>
      </c>
      <c r="AQ5" s="60">
        <f t="shared" si="0"/>
        <v>109031.3</v>
      </c>
      <c r="AR5" s="60">
        <f t="shared" ref="AR5:BW5" si="1">SUBTOTAL(9,AR8:AR2242)</f>
        <v>109031.3</v>
      </c>
      <c r="AS5" s="60">
        <f t="shared" si="1"/>
        <v>109031.3</v>
      </c>
      <c r="AT5" s="60">
        <f t="shared" si="1"/>
        <v>0</v>
      </c>
      <c r="AU5" s="60">
        <f t="shared" si="1"/>
        <v>0</v>
      </c>
      <c r="AV5" s="60">
        <f t="shared" si="1"/>
        <v>2104.7199999999998</v>
      </c>
      <c r="AW5" s="60">
        <f t="shared" si="1"/>
        <v>203326.0972555746</v>
      </c>
      <c r="AX5" s="60">
        <f t="shared" si="1"/>
        <v>0</v>
      </c>
      <c r="AY5" s="60">
        <f t="shared" si="1"/>
        <v>0</v>
      </c>
      <c r="AZ5" s="60">
        <f t="shared" si="1"/>
        <v>0</v>
      </c>
      <c r="BA5" s="60">
        <f t="shared" si="1"/>
        <v>351468.36725557462</v>
      </c>
      <c r="BB5" s="60">
        <f t="shared" si="1"/>
        <v>0</v>
      </c>
      <c r="BC5" s="60">
        <f t="shared" si="1"/>
        <v>0</v>
      </c>
      <c r="BD5" s="60">
        <f t="shared" si="1"/>
        <v>0</v>
      </c>
      <c r="BE5" s="60">
        <f t="shared" si="1"/>
        <v>317851.67256637168</v>
      </c>
      <c r="BF5" s="60">
        <f t="shared" si="1"/>
        <v>0</v>
      </c>
      <c r="BG5" s="60">
        <f t="shared" si="1"/>
        <v>0</v>
      </c>
      <c r="BH5" s="60">
        <f t="shared" si="1"/>
        <v>0</v>
      </c>
      <c r="BI5" s="60">
        <f t="shared" si="1"/>
        <v>288734.51327433629</v>
      </c>
      <c r="BJ5" s="60">
        <f t="shared" si="1"/>
        <v>0</v>
      </c>
      <c r="BK5" s="60">
        <f t="shared" si="1"/>
        <v>0</v>
      </c>
      <c r="BL5" s="60">
        <f t="shared" si="1"/>
        <v>0</v>
      </c>
      <c r="BM5" s="60">
        <f t="shared" si="1"/>
        <v>232934.51327433629</v>
      </c>
      <c r="BN5" s="60">
        <f t="shared" si="1"/>
        <v>0</v>
      </c>
      <c r="BO5" s="60">
        <f t="shared" si="1"/>
        <v>0</v>
      </c>
      <c r="BP5" s="60">
        <f t="shared" si="1"/>
        <v>0</v>
      </c>
      <c r="BQ5" s="60">
        <f t="shared" si="1"/>
        <v>125734.51327433628</v>
      </c>
      <c r="BR5" s="60">
        <f t="shared" si="1"/>
        <v>2318107.0796460174</v>
      </c>
      <c r="BS5" s="60">
        <f t="shared" si="1"/>
        <v>-108228.79725557459</v>
      </c>
      <c r="BT5" s="60">
        <f t="shared" si="1"/>
        <v>0</v>
      </c>
      <c r="BU5" s="60" t="e">
        <f t="shared" si="1"/>
        <v>#REF!</v>
      </c>
      <c r="BV5" s="60">
        <f t="shared" si="1"/>
        <v>2155567.22690053</v>
      </c>
      <c r="BW5" s="60">
        <f t="shared" si="1"/>
        <v>0</v>
      </c>
      <c r="BX5" s="60">
        <f t="shared" ref="BX5:CD5" si="2">SUBTOTAL(9,BX8:BX2242)</f>
        <v>0</v>
      </c>
      <c r="BY5" s="60">
        <f t="shared" si="2"/>
        <v>0</v>
      </c>
      <c r="BZ5" s="60">
        <f t="shared" si="2"/>
        <v>0</v>
      </c>
      <c r="CA5" s="60">
        <f t="shared" si="2"/>
        <v>136474.98922999998</v>
      </c>
      <c r="CB5" s="60">
        <f t="shared" si="2"/>
        <v>0</v>
      </c>
      <c r="CC5" s="60">
        <f t="shared" si="2"/>
        <v>0</v>
      </c>
      <c r="CD5" s="60">
        <f t="shared" si="2"/>
        <v>0</v>
      </c>
    </row>
    <row r="6" spans="1:82" s="23" customFormat="1" ht="15.75" customHeight="1" thickBot="1">
      <c r="A6" s="24"/>
      <c r="B6" s="24"/>
      <c r="C6" s="22"/>
      <c r="D6" s="22"/>
      <c r="F6" s="22"/>
      <c r="G6" s="24"/>
      <c r="H6" s="24"/>
      <c r="I6" s="25"/>
      <c r="J6" s="203"/>
      <c r="K6" s="203"/>
      <c r="L6" s="54"/>
      <c r="T6" s="51">
        <v>982928.79</v>
      </c>
      <c r="U6" s="51">
        <f>U5-T6</f>
        <v>1172638.43690053</v>
      </c>
      <c r="BX6" s="23">
        <v>4099.3890399999991</v>
      </c>
      <c r="BY6" s="23">
        <v>440.33203000000003</v>
      </c>
      <c r="BZ6" s="23">
        <v>74.978949999999998</v>
      </c>
      <c r="CA6" s="23">
        <v>103435.94036000002</v>
      </c>
      <c r="CB6" s="23">
        <v>0</v>
      </c>
    </row>
    <row r="7" spans="1:82" s="30" customFormat="1" ht="57" customHeight="1" thickTop="1" thickBot="1">
      <c r="A7" s="1" t="s">
        <v>3336</v>
      </c>
      <c r="B7" s="306" t="s">
        <v>758</v>
      </c>
      <c r="C7" s="1" t="s">
        <v>458</v>
      </c>
      <c r="D7" s="305" t="s">
        <v>650</v>
      </c>
      <c r="E7" s="1" t="s">
        <v>1123</v>
      </c>
      <c r="F7" s="1" t="s">
        <v>193</v>
      </c>
      <c r="G7" s="1" t="s">
        <v>3</v>
      </c>
      <c r="H7" s="1" t="s">
        <v>488</v>
      </c>
      <c r="I7" s="1" t="s">
        <v>455</v>
      </c>
      <c r="J7" s="1" t="s">
        <v>456</v>
      </c>
      <c r="K7" s="1" t="s">
        <v>457</v>
      </c>
      <c r="L7" s="1" t="s">
        <v>216</v>
      </c>
      <c r="M7" s="1" t="s">
        <v>334</v>
      </c>
      <c r="N7" s="1" t="s">
        <v>1534</v>
      </c>
      <c r="O7" s="1" t="s">
        <v>1827</v>
      </c>
      <c r="P7" s="1" t="s">
        <v>2721</v>
      </c>
      <c r="Q7" s="1" t="s">
        <v>6979</v>
      </c>
      <c r="R7" s="1" t="s">
        <v>6980</v>
      </c>
      <c r="S7" s="1" t="s">
        <v>7082</v>
      </c>
      <c r="T7" s="430" t="s">
        <v>7081</v>
      </c>
      <c r="U7" s="168" t="s">
        <v>6996</v>
      </c>
      <c r="V7" s="368" t="s">
        <v>1533</v>
      </c>
      <c r="W7" s="369" t="s">
        <v>2745</v>
      </c>
      <c r="X7" s="370" t="s">
        <v>2740</v>
      </c>
      <c r="Y7" s="371" t="s">
        <v>2741</v>
      </c>
      <c r="Z7" s="368" t="s">
        <v>1583</v>
      </c>
      <c r="AA7" s="369" t="s">
        <v>2746</v>
      </c>
      <c r="AB7" s="370" t="s">
        <v>2563</v>
      </c>
      <c r="AC7" s="371" t="s">
        <v>2742</v>
      </c>
      <c r="AD7" s="368" t="s">
        <v>1592</v>
      </c>
      <c r="AE7" s="369" t="s">
        <v>2747</v>
      </c>
      <c r="AF7" s="370" t="s">
        <v>2618</v>
      </c>
      <c r="AG7" s="371" t="s">
        <v>2743</v>
      </c>
      <c r="AH7" s="368" t="s">
        <v>1618</v>
      </c>
      <c r="AI7" s="369" t="s">
        <v>2752</v>
      </c>
      <c r="AJ7" s="370" t="s">
        <v>2893</v>
      </c>
      <c r="AK7" s="371" t="s">
        <v>2744</v>
      </c>
      <c r="AL7" s="368" t="s">
        <v>1629</v>
      </c>
      <c r="AM7" s="369" t="s">
        <v>2753</v>
      </c>
      <c r="AN7" s="370" t="s">
        <v>2726</v>
      </c>
      <c r="AO7" s="371" t="s">
        <v>2727</v>
      </c>
      <c r="AP7" s="368" t="s">
        <v>1646</v>
      </c>
      <c r="AQ7" s="369" t="s">
        <v>2754</v>
      </c>
      <c r="AR7" s="370" t="s">
        <v>2755</v>
      </c>
      <c r="AS7" s="371" t="s">
        <v>2734</v>
      </c>
      <c r="AT7" s="368" t="s">
        <v>1669</v>
      </c>
      <c r="AU7" s="369" t="s">
        <v>2756</v>
      </c>
      <c r="AV7" s="370" t="s">
        <v>2728</v>
      </c>
      <c r="AW7" s="371" t="s">
        <v>2735</v>
      </c>
      <c r="AX7" s="368" t="s">
        <v>1680</v>
      </c>
      <c r="AY7" s="369" t="s">
        <v>2757</v>
      </c>
      <c r="AZ7" s="370" t="s">
        <v>2729</v>
      </c>
      <c r="BA7" s="371" t="s">
        <v>2736</v>
      </c>
      <c r="BB7" s="368" t="s">
        <v>1709</v>
      </c>
      <c r="BC7" s="369" t="s">
        <v>2758</v>
      </c>
      <c r="BD7" s="370" t="s">
        <v>2730</v>
      </c>
      <c r="BE7" s="371" t="s">
        <v>2737</v>
      </c>
      <c r="BF7" s="368" t="s">
        <v>1764</v>
      </c>
      <c r="BG7" s="369" t="s">
        <v>2759</v>
      </c>
      <c r="BH7" s="370" t="s">
        <v>2731</v>
      </c>
      <c r="BI7" s="371" t="s">
        <v>2738</v>
      </c>
      <c r="BJ7" s="368" t="s">
        <v>1763</v>
      </c>
      <c r="BK7" s="369" t="s">
        <v>2760</v>
      </c>
      <c r="BL7" s="370" t="s">
        <v>2732</v>
      </c>
      <c r="BM7" s="371" t="s">
        <v>2739</v>
      </c>
      <c r="BN7" s="368" t="s">
        <v>1804</v>
      </c>
      <c r="BO7" s="369" t="s">
        <v>2761</v>
      </c>
      <c r="BP7" s="370" t="s">
        <v>2733</v>
      </c>
      <c r="BQ7" s="371" t="s">
        <v>1373</v>
      </c>
      <c r="BR7" s="451" t="s">
        <v>7010</v>
      </c>
      <c r="BS7" s="92" t="s">
        <v>1157</v>
      </c>
      <c r="BT7" s="315" t="s">
        <v>1158</v>
      </c>
      <c r="BU7" s="240" t="s">
        <v>2503</v>
      </c>
      <c r="BV7" s="348" t="s">
        <v>2595</v>
      </c>
      <c r="BW7" s="159" t="s">
        <v>596</v>
      </c>
      <c r="BX7" s="159" t="s">
        <v>597</v>
      </c>
      <c r="BY7" s="159" t="s">
        <v>598</v>
      </c>
      <c r="BZ7" s="159" t="s">
        <v>599</v>
      </c>
      <c r="CA7" s="159" t="s">
        <v>600</v>
      </c>
      <c r="CB7" s="159" t="s">
        <v>601</v>
      </c>
      <c r="CC7" s="443" t="s">
        <v>6994</v>
      </c>
      <c r="CD7" s="443" t="s">
        <v>7031</v>
      </c>
    </row>
    <row r="8" spans="1:82" s="23" customFormat="1" ht="25.4" customHeight="1">
      <c r="A8" s="309" t="s">
        <v>2704</v>
      </c>
      <c r="B8" s="309" t="s">
        <v>1923</v>
      </c>
      <c r="C8" s="187"/>
      <c r="D8" s="309" t="s">
        <v>2208</v>
      </c>
      <c r="E8" s="309" t="s">
        <v>2208</v>
      </c>
      <c r="F8" s="309" t="s">
        <v>2208</v>
      </c>
      <c r="G8" s="339" t="s">
        <v>2558</v>
      </c>
      <c r="H8" s="339" t="s">
        <v>9112</v>
      </c>
      <c r="I8" s="6" t="s">
        <v>733</v>
      </c>
      <c r="J8" s="83" t="s">
        <v>573</v>
      </c>
      <c r="K8" s="7"/>
      <c r="L8" s="206"/>
      <c r="M8" s="206">
        <v>0</v>
      </c>
      <c r="N8" s="206">
        <v>0</v>
      </c>
      <c r="O8" s="206">
        <v>0</v>
      </c>
      <c r="P8" s="206"/>
      <c r="Q8" s="206">
        <f t="shared" ref="Q8:Q39" si="3">U8</f>
        <v>0</v>
      </c>
      <c r="R8" s="206"/>
      <c r="S8" s="206"/>
      <c r="T8" s="223"/>
      <c r="U8" s="169">
        <f t="shared" ref="U8:U39" si="4">SUM(Y8,AC8,AG8,AK8,AO8,AS8,AW8,BA8,BE8,BI8,BM8,BQ8)</f>
        <v>0</v>
      </c>
      <c r="V8" s="372">
        <v>0</v>
      </c>
      <c r="W8" s="343"/>
      <c r="X8" s="332">
        <f>SUMIFS(BASE_EX!$J:$J,BASE_EX!$B:$B,'Direct Charge'!$A8,BASE_EX!$C:$C,"janeiro")</f>
        <v>0</v>
      </c>
      <c r="Y8" s="373"/>
      <c r="Z8" s="372">
        <v>0</v>
      </c>
      <c r="AA8" s="343"/>
      <c r="AB8" s="332">
        <f>SUMIFS(BASE_EX!$J:$J,BASE_EX!$B:$B,'Direct Charge'!$A8,BASE_EX!$C:$C,"fevereiro")</f>
        <v>0</v>
      </c>
      <c r="AC8" s="373"/>
      <c r="AD8" s="372"/>
      <c r="AE8" s="343"/>
      <c r="AF8" s="332">
        <f>SUMIFS(BASE_EX!$J:$J,BASE_EX!$B:$B,'Direct Charge'!$A8,BASE_EX!$C:$C,"março")</f>
        <v>0</v>
      </c>
      <c r="AG8" s="373"/>
      <c r="AH8" s="372"/>
      <c r="AI8" s="343"/>
      <c r="AJ8" s="332">
        <f>SUMIFS(BASE_EX!$J:$J,BASE_EX!$B:$B,'Direct Charge'!$A8,BASE_EX!$C:$C,"abril")</f>
        <v>0</v>
      </c>
      <c r="AK8" s="373"/>
      <c r="AL8" s="372"/>
      <c r="AM8" s="343"/>
      <c r="AN8" s="332">
        <f>SUMIFS(BASE_EX!$J:$J,BASE_EX!$B:$B,'Direct Charge'!$A8,BASE_EX!$C:$C,"maio")</f>
        <v>0</v>
      </c>
      <c r="AO8" s="373"/>
      <c r="AP8" s="372"/>
      <c r="AQ8" s="343"/>
      <c r="AR8" s="332">
        <f>SUMIFS(BASE_EX!$J:$J,BASE_EX!$B:$B,'Direct Charge'!$A8,BASE_EX!$C:$C,"junho")</f>
        <v>0</v>
      </c>
      <c r="AS8" s="373"/>
      <c r="AT8" s="372"/>
      <c r="AU8" s="343"/>
      <c r="AV8" s="332">
        <f>SUMIFS(BASE_EX!$J:$J,BASE_EX!$B:$B,'Direct Charge'!$A8,BASE_EX!$C:$C,"julho")</f>
        <v>0</v>
      </c>
      <c r="AW8" s="373"/>
      <c r="AX8" s="372"/>
      <c r="AY8" s="343"/>
      <c r="AZ8" s="332">
        <f>SUMIFS(BASE_EX!$J:$J,BASE_EX!$B:$B,'Direct Charge'!$A8,BASE_EX!$C:$C,"agosto")</f>
        <v>0</v>
      </c>
      <c r="BA8" s="373"/>
      <c r="BB8" s="372"/>
      <c r="BC8" s="343"/>
      <c r="BD8" s="332">
        <f>SUMIFS(BASE_EX!$J:$J,BASE_EX!$B:$B,'Direct Charge'!$A8,BASE_EX!$C:$C,"setembro")</f>
        <v>0</v>
      </c>
      <c r="BE8" s="373"/>
      <c r="BF8" s="372"/>
      <c r="BG8" s="343"/>
      <c r="BH8" s="332">
        <f>SUMIFS(BASE_EX!$J:$J,BASE_EX!$B:$B,'Direct Charge'!$A8,BASE_EX!$C:$C,"outubro")</f>
        <v>0</v>
      </c>
      <c r="BI8" s="373"/>
      <c r="BJ8" s="372"/>
      <c r="BK8" s="343"/>
      <c r="BL8" s="332">
        <f>SUMIFS(BASE_EX!$J:$J,BASE_EX!$B:$B,'Direct Charge'!$A8,BASE_EX!$C:$C,"novembro")</f>
        <v>0</v>
      </c>
      <c r="BM8" s="373"/>
      <c r="BN8" s="372"/>
      <c r="BO8" s="343"/>
      <c r="BP8" s="332">
        <f>SUMIFS(BASE_EX!$J:$J,BASE_EX!$B:$B,'Direct Charge'!$A8,BASE_EX!$C:$C,"dezembro")</f>
        <v>0</v>
      </c>
      <c r="BQ8" s="373"/>
      <c r="BR8" s="452"/>
      <c r="BS8" s="156">
        <f t="shared" ref="BS8:BS39" si="5">AS8-AP8</f>
        <v>0</v>
      </c>
      <c r="BT8" s="320">
        <f t="shared" ref="BT8:BT39" si="6">AS8-AR8</f>
        <v>0</v>
      </c>
      <c r="BU8" s="157" t="e">
        <f>SUM(L8,M8,N8,O8,U8)-#REF!</f>
        <v>#REF!</v>
      </c>
      <c r="BV8" s="346">
        <f t="shared" ref="BV8:BV39" si="7">U8-T8</f>
        <v>0</v>
      </c>
      <c r="BW8" s="344" t="str">
        <f>IFERROR(VLOOKUP($A8,'BASE_558 EX'!$D:$R,8,FALSE),"")</f>
        <v/>
      </c>
      <c r="BX8" s="344" t="str">
        <f>IFERROR(VLOOKUP($A8,'BASE_558 EX'!$D:$R,9,FALSE),"")</f>
        <v/>
      </c>
      <c r="BY8" s="344" t="str">
        <f>IFERROR(VLOOKUP($A8,'BASE_558 EX'!$D:$R,10,FALSE),"")</f>
        <v/>
      </c>
      <c r="BZ8" s="344" t="str">
        <f>IFERROR(VLOOKUP($A8,'BASE_558 EX'!$D:$R,11,FALSE),"")</f>
        <v/>
      </c>
      <c r="CA8" s="344" t="str">
        <f>IFERROR(IF(BASE_558!$P$14="RemOrdPla",(VLOOKUP(A8,BASE_558!D:R,14)/1000),(VLOOKUP(A8,BASE_558!D:R,13)/1000)),"")</f>
        <v/>
      </c>
      <c r="CB8" s="344" t="str">
        <f>IFERROR(VLOOKUP($A8,'BASE_558 EX'!$D:$R,15,FALSE),"")</f>
        <v/>
      </c>
      <c r="CC8" s="442"/>
      <c r="CD8" s="442">
        <f t="shared" ref="CD8:CD39" si="8">AR8-AQ8</f>
        <v>0</v>
      </c>
    </row>
    <row r="9" spans="1:82" s="23" customFormat="1" ht="25.4" customHeight="1">
      <c r="A9" s="309" t="s">
        <v>587</v>
      </c>
      <c r="B9" s="309" t="s">
        <v>1923</v>
      </c>
      <c r="C9" s="310">
        <v>44060</v>
      </c>
      <c r="D9" s="310" t="s">
        <v>2845</v>
      </c>
      <c r="E9" s="309" t="s">
        <v>2297</v>
      </c>
      <c r="F9" s="309" t="s">
        <v>176</v>
      </c>
      <c r="G9" s="339" t="s">
        <v>948</v>
      </c>
      <c r="H9" s="339" t="s">
        <v>8877</v>
      </c>
      <c r="I9" s="6" t="s">
        <v>195</v>
      </c>
      <c r="J9" s="83" t="s">
        <v>462</v>
      </c>
      <c r="K9" s="469" t="s">
        <v>2751</v>
      </c>
      <c r="L9" s="206">
        <v>0</v>
      </c>
      <c r="M9" s="206">
        <v>30478.720000000001</v>
      </c>
      <c r="N9" s="206">
        <v>12492.83</v>
      </c>
      <c r="O9" s="206">
        <v>636.22</v>
      </c>
      <c r="P9" s="206"/>
      <c r="Q9" s="206">
        <f t="shared" si="3"/>
        <v>0</v>
      </c>
      <c r="R9" s="206"/>
      <c r="S9" s="206"/>
      <c r="T9" s="223"/>
      <c r="U9" s="169">
        <f t="shared" si="4"/>
        <v>0</v>
      </c>
      <c r="V9" s="372">
        <v>0</v>
      </c>
      <c r="W9" s="343"/>
      <c r="X9" s="332">
        <f>SUMIFS(BASE_EX!$J:$J,BASE_EX!$B:$B,'Direct Charge'!$A9,BASE_EX!$C:$C,"janeiro")</f>
        <v>0</v>
      </c>
      <c r="Y9" s="373"/>
      <c r="Z9" s="372">
        <v>0</v>
      </c>
      <c r="AA9" s="343"/>
      <c r="AB9" s="332">
        <f>SUMIFS(BASE_EX!$J:$J,BASE_EX!$B:$B,'Direct Charge'!$A9,BASE_EX!$C:$C,"fevereiro")</f>
        <v>0</v>
      </c>
      <c r="AC9" s="373"/>
      <c r="AD9" s="372"/>
      <c r="AE9" s="343"/>
      <c r="AF9" s="332">
        <f>SUMIFS(BASE_EX!$J:$J,BASE_EX!$B:$B,'Direct Charge'!$A9,BASE_EX!$C:$C,"março")</f>
        <v>0</v>
      </c>
      <c r="AG9" s="373"/>
      <c r="AH9" s="372"/>
      <c r="AI9" s="343"/>
      <c r="AJ9" s="332">
        <f>SUMIFS(BASE_EX!$J:$J,BASE_EX!$B:$B,'Direct Charge'!$A9,BASE_EX!$C:$C,"abril")</f>
        <v>0</v>
      </c>
      <c r="AK9" s="373"/>
      <c r="AL9" s="372"/>
      <c r="AM9" s="343"/>
      <c r="AN9" s="332">
        <f>SUMIFS(BASE_EX!$J:$J,BASE_EX!$B:$B,'Direct Charge'!$A9,BASE_EX!$C:$C,"maio")</f>
        <v>0</v>
      </c>
      <c r="AO9" s="373"/>
      <c r="AP9" s="372"/>
      <c r="AQ9" s="343"/>
      <c r="AR9" s="332">
        <f>SUMIFS(BASE_EX!$J:$J,BASE_EX!$B:$B,'Direct Charge'!$A9,BASE_EX!$C:$C,"junho")</f>
        <v>0</v>
      </c>
      <c r="AS9" s="373"/>
      <c r="AT9" s="372"/>
      <c r="AU9" s="343"/>
      <c r="AV9" s="332">
        <f>SUMIFS(BASE_EX!$J:$J,BASE_EX!$B:$B,'Direct Charge'!$A9,BASE_EX!$C:$C,"julho")</f>
        <v>0</v>
      </c>
      <c r="AW9" s="373"/>
      <c r="AX9" s="372"/>
      <c r="AY9" s="343"/>
      <c r="AZ9" s="332">
        <f>SUMIFS(BASE_EX!$J:$J,BASE_EX!$B:$B,'Direct Charge'!$A9,BASE_EX!$C:$C,"agosto")</f>
        <v>0</v>
      </c>
      <c r="BA9" s="373"/>
      <c r="BB9" s="372"/>
      <c r="BC9" s="343"/>
      <c r="BD9" s="332">
        <f>SUMIFS(BASE_EX!$J:$J,BASE_EX!$B:$B,'Direct Charge'!$A9,BASE_EX!$C:$C,"setembro")</f>
        <v>0</v>
      </c>
      <c r="BE9" s="373"/>
      <c r="BF9" s="372"/>
      <c r="BG9" s="343"/>
      <c r="BH9" s="332">
        <f>SUMIFS(BASE_EX!$J:$J,BASE_EX!$B:$B,'Direct Charge'!$A9,BASE_EX!$C:$C,"outubro")</f>
        <v>0</v>
      </c>
      <c r="BI9" s="373"/>
      <c r="BJ9" s="372"/>
      <c r="BK9" s="343"/>
      <c r="BL9" s="332">
        <f>SUMIFS(BASE_EX!$J:$J,BASE_EX!$B:$B,'Direct Charge'!$A9,BASE_EX!$C:$C,"novembro")</f>
        <v>0</v>
      </c>
      <c r="BM9" s="373"/>
      <c r="BN9" s="372"/>
      <c r="BO9" s="343"/>
      <c r="BP9" s="332">
        <f>SUMIFS(BASE_EX!$J:$J,BASE_EX!$B:$B,'Direct Charge'!$A9,BASE_EX!$C:$C,"dezembro")</f>
        <v>0</v>
      </c>
      <c r="BQ9" s="373"/>
      <c r="BR9" s="452"/>
      <c r="BS9" s="156">
        <f t="shared" si="5"/>
        <v>0</v>
      </c>
      <c r="BT9" s="320">
        <f t="shared" si="6"/>
        <v>0</v>
      </c>
      <c r="BU9" s="157" t="e">
        <f>SUM(L9,M9,N9,O9,U9)-#REF!</f>
        <v>#REF!</v>
      </c>
      <c r="BV9" s="346">
        <f t="shared" si="7"/>
        <v>0</v>
      </c>
      <c r="BW9" s="344" t="str">
        <f>IFERROR(VLOOKUP($A9,'BASE_558 EX'!$D:$R,8,FALSE),"")</f>
        <v xml:space="preserve">           62.032,50</v>
      </c>
      <c r="BX9" s="344" t="str">
        <f>IFERROR(VLOOKUP($A9,'BASE_558 EX'!$D:$R,9,FALSE),"")</f>
        <v xml:space="preserve">           43.607,77</v>
      </c>
      <c r="BY9" s="344" t="str">
        <f>IFERROR(VLOOKUP($A9,'BASE_558 EX'!$D:$R,10,FALSE),"")</f>
        <v xml:space="preserve">              723,76</v>
      </c>
      <c r="BZ9" s="344" t="str">
        <f>IFERROR(VLOOKUP($A9,'BASE_558 EX'!$D:$R,11,FALSE),"")</f>
        <v xml:space="preserve">                0,00</v>
      </c>
      <c r="CA9" s="344" t="str">
        <f>IFERROR(IF(BASE_558!$P$14="RemOrdPla",(VLOOKUP(A9,BASE_558!D:R,14)/1000),(VLOOKUP(A9,BASE_558!D:R,13)/1000)),"")</f>
        <v/>
      </c>
      <c r="CB9" s="344" t="str">
        <f>IFERROR(VLOOKUP($A9,'BASE_558 EX'!$D:$R,15,FALSE),"")</f>
        <v xml:space="preserve">           17.700,97</v>
      </c>
      <c r="CC9" s="442"/>
      <c r="CD9" s="442">
        <f t="shared" si="8"/>
        <v>0</v>
      </c>
    </row>
    <row r="10" spans="1:82" s="23" customFormat="1" ht="25.4" customHeight="1">
      <c r="A10" s="309" t="s">
        <v>1004</v>
      </c>
      <c r="B10" s="309" t="s">
        <v>1923</v>
      </c>
      <c r="C10" s="187">
        <v>44361</v>
      </c>
      <c r="D10" s="309" t="s">
        <v>478</v>
      </c>
      <c r="E10" s="309" t="s">
        <v>478</v>
      </c>
      <c r="F10" s="309" t="s">
        <v>176</v>
      </c>
      <c r="G10" s="339" t="s">
        <v>1005</v>
      </c>
      <c r="H10" s="339" t="s">
        <v>8877</v>
      </c>
      <c r="I10" s="6" t="s">
        <v>218</v>
      </c>
      <c r="J10" s="83" t="s">
        <v>462</v>
      </c>
      <c r="K10" s="7" t="s">
        <v>1600</v>
      </c>
      <c r="L10" s="206"/>
      <c r="M10" s="206">
        <v>4300.5200000000004</v>
      </c>
      <c r="N10" s="206">
        <v>0</v>
      </c>
      <c r="O10" s="206">
        <v>0</v>
      </c>
      <c r="P10" s="206"/>
      <c r="Q10" s="206">
        <f t="shared" si="3"/>
        <v>0</v>
      </c>
      <c r="R10" s="206"/>
      <c r="S10" s="206"/>
      <c r="T10" s="223"/>
      <c r="U10" s="169">
        <f t="shared" si="4"/>
        <v>0</v>
      </c>
      <c r="V10" s="372">
        <v>0</v>
      </c>
      <c r="W10" s="343"/>
      <c r="X10" s="332">
        <f>SUMIFS(BASE_EX!$J:$J,BASE_EX!$B:$B,'Direct Charge'!$A10,BASE_EX!$C:$C,"janeiro")</f>
        <v>0</v>
      </c>
      <c r="Y10" s="373"/>
      <c r="Z10" s="372">
        <v>0</v>
      </c>
      <c r="AA10" s="343"/>
      <c r="AB10" s="332">
        <f>SUMIFS(BASE_EX!$J:$J,BASE_EX!$B:$B,'Direct Charge'!$A10,BASE_EX!$C:$C,"fevereiro")</f>
        <v>0</v>
      </c>
      <c r="AC10" s="373"/>
      <c r="AD10" s="372"/>
      <c r="AE10" s="343"/>
      <c r="AF10" s="332">
        <f>SUMIFS(BASE_EX!$J:$J,BASE_EX!$B:$B,'Direct Charge'!$A10,BASE_EX!$C:$C,"março")</f>
        <v>0</v>
      </c>
      <c r="AG10" s="373"/>
      <c r="AH10" s="372"/>
      <c r="AI10" s="343"/>
      <c r="AJ10" s="332">
        <f>SUMIFS(BASE_EX!$J:$J,BASE_EX!$B:$B,'Direct Charge'!$A10,BASE_EX!$C:$C,"abril")</f>
        <v>0</v>
      </c>
      <c r="AK10" s="373"/>
      <c r="AL10" s="372"/>
      <c r="AM10" s="343"/>
      <c r="AN10" s="332">
        <f>SUMIFS(BASE_EX!$J:$J,BASE_EX!$B:$B,'Direct Charge'!$A10,BASE_EX!$C:$C,"maio")</f>
        <v>0</v>
      </c>
      <c r="AO10" s="373"/>
      <c r="AP10" s="372"/>
      <c r="AQ10" s="343"/>
      <c r="AR10" s="332">
        <f>SUMIFS(BASE_EX!$J:$J,BASE_EX!$B:$B,'Direct Charge'!$A10,BASE_EX!$C:$C,"junho")</f>
        <v>0</v>
      </c>
      <c r="AS10" s="373"/>
      <c r="AT10" s="372"/>
      <c r="AU10" s="343"/>
      <c r="AV10" s="332">
        <f>SUMIFS(BASE_EX!$J:$J,BASE_EX!$B:$B,'Direct Charge'!$A10,BASE_EX!$C:$C,"julho")</f>
        <v>0</v>
      </c>
      <c r="AW10" s="373"/>
      <c r="AX10" s="372"/>
      <c r="AY10" s="343"/>
      <c r="AZ10" s="332">
        <f>SUMIFS(BASE_EX!$J:$J,BASE_EX!$B:$B,'Direct Charge'!$A10,BASE_EX!$C:$C,"agosto")</f>
        <v>0</v>
      </c>
      <c r="BA10" s="373"/>
      <c r="BB10" s="372"/>
      <c r="BC10" s="343"/>
      <c r="BD10" s="332">
        <f>SUMIFS(BASE_EX!$J:$J,BASE_EX!$B:$B,'Direct Charge'!$A10,BASE_EX!$C:$C,"setembro")</f>
        <v>0</v>
      </c>
      <c r="BE10" s="373"/>
      <c r="BF10" s="372"/>
      <c r="BG10" s="343"/>
      <c r="BH10" s="332">
        <f>SUMIFS(BASE_EX!$J:$J,BASE_EX!$B:$B,'Direct Charge'!$A10,BASE_EX!$C:$C,"outubro")</f>
        <v>0</v>
      </c>
      <c r="BI10" s="373"/>
      <c r="BJ10" s="372"/>
      <c r="BK10" s="343"/>
      <c r="BL10" s="332">
        <f>SUMIFS(BASE_EX!$J:$J,BASE_EX!$B:$B,'Direct Charge'!$A10,BASE_EX!$C:$C,"novembro")</f>
        <v>0</v>
      </c>
      <c r="BM10" s="373"/>
      <c r="BN10" s="372"/>
      <c r="BO10" s="343"/>
      <c r="BP10" s="332">
        <f>SUMIFS(BASE_EX!$J:$J,BASE_EX!$B:$B,'Direct Charge'!$A10,BASE_EX!$C:$C,"dezembro")</f>
        <v>0</v>
      </c>
      <c r="BQ10" s="373"/>
      <c r="BR10" s="452"/>
      <c r="BS10" s="156">
        <f t="shared" si="5"/>
        <v>0</v>
      </c>
      <c r="BT10" s="320">
        <f t="shared" si="6"/>
        <v>0</v>
      </c>
      <c r="BU10" s="157" t="e">
        <f>SUM(L10,M10,N10,O10,U10)-#REF!</f>
        <v>#REF!</v>
      </c>
      <c r="BV10" s="346">
        <f t="shared" si="7"/>
        <v>0</v>
      </c>
      <c r="BW10" s="344" t="str">
        <f>IFERROR(VLOOKUP($A10,'BASE_558 EX'!$D:$R,8,FALSE),"")</f>
        <v xml:space="preserve">            5.388,60</v>
      </c>
      <c r="BX10" s="344" t="str">
        <f>IFERROR(VLOOKUP($A10,'BASE_558 EX'!$D:$R,9,FALSE),"")</f>
        <v xml:space="preserve">            4.300,52</v>
      </c>
      <c r="BY10" s="344" t="str">
        <f>IFERROR(VLOOKUP($A10,'BASE_558 EX'!$D:$R,10,FALSE),"")</f>
        <v xml:space="preserve">                0,00</v>
      </c>
      <c r="BZ10" s="344" t="str">
        <f>IFERROR(VLOOKUP($A10,'BASE_558 EX'!$D:$R,11,FALSE),"")</f>
        <v xml:space="preserve">                0,00</v>
      </c>
      <c r="CA10" s="344" t="str">
        <f>IFERROR(IF(BASE_558!$P$14="RemOrdPla",(VLOOKUP(A10,BASE_558!D:R,14)/1000),(VLOOKUP(A10,BASE_558!D:R,13)/1000)),"")</f>
        <v/>
      </c>
      <c r="CB10" s="344" t="str">
        <f>IFERROR(VLOOKUP($A10,'BASE_558 EX'!$D:$R,15,FALSE),"")</f>
        <v xml:space="preserve">            1.088,08</v>
      </c>
      <c r="CC10" s="442"/>
      <c r="CD10" s="442">
        <f t="shared" si="8"/>
        <v>0</v>
      </c>
    </row>
    <row r="11" spans="1:82" s="23" customFormat="1" ht="25.4" customHeight="1">
      <c r="A11" s="309" t="s">
        <v>1021</v>
      </c>
      <c r="B11" s="309" t="s">
        <v>1923</v>
      </c>
      <c r="C11" s="187">
        <v>44377</v>
      </c>
      <c r="D11" s="309" t="s">
        <v>477</v>
      </c>
      <c r="E11" s="309" t="s">
        <v>2297</v>
      </c>
      <c r="F11" s="309" t="s">
        <v>176</v>
      </c>
      <c r="G11" s="339" t="s">
        <v>1023</v>
      </c>
      <c r="H11" s="339" t="s">
        <v>8877</v>
      </c>
      <c r="I11" s="6" t="s">
        <v>218</v>
      </c>
      <c r="J11" s="83" t="s">
        <v>462</v>
      </c>
      <c r="K11" s="469" t="s">
        <v>2651</v>
      </c>
      <c r="L11" s="206"/>
      <c r="M11" s="206">
        <v>4954.91</v>
      </c>
      <c r="N11" s="206">
        <v>150881.96</v>
      </c>
      <c r="O11" s="206">
        <v>16551.72</v>
      </c>
      <c r="P11" s="206"/>
      <c r="Q11" s="206">
        <f t="shared" si="3"/>
        <v>0</v>
      </c>
      <c r="R11" s="206"/>
      <c r="S11" s="206"/>
      <c r="T11" s="223"/>
      <c r="U11" s="169">
        <f t="shared" si="4"/>
        <v>0</v>
      </c>
      <c r="V11" s="372">
        <v>0</v>
      </c>
      <c r="W11" s="343"/>
      <c r="X11" s="332">
        <f>SUMIFS(BASE_EX!$J:$J,BASE_EX!$B:$B,'Direct Charge'!$A11,BASE_EX!$C:$C,"janeiro")</f>
        <v>0</v>
      </c>
      <c r="Y11" s="373"/>
      <c r="Z11" s="372">
        <v>0</v>
      </c>
      <c r="AA11" s="343"/>
      <c r="AB11" s="332">
        <f>SUMIFS(BASE_EX!$J:$J,BASE_EX!$B:$B,'Direct Charge'!$A11,BASE_EX!$C:$C,"fevereiro")</f>
        <v>0</v>
      </c>
      <c r="AC11" s="373"/>
      <c r="AD11" s="372"/>
      <c r="AE11" s="343"/>
      <c r="AF11" s="332">
        <f>SUMIFS(BASE_EX!$J:$J,BASE_EX!$B:$B,'Direct Charge'!$A11,BASE_EX!$C:$C,"março")</f>
        <v>0</v>
      </c>
      <c r="AG11" s="373"/>
      <c r="AH11" s="372"/>
      <c r="AI11" s="343"/>
      <c r="AJ11" s="332">
        <f>SUMIFS(BASE_EX!$J:$J,BASE_EX!$B:$B,'Direct Charge'!$A11,BASE_EX!$C:$C,"abril")</f>
        <v>0</v>
      </c>
      <c r="AK11" s="373"/>
      <c r="AL11" s="372"/>
      <c r="AM11" s="343"/>
      <c r="AN11" s="332">
        <f>SUMIFS(BASE_EX!$J:$J,BASE_EX!$B:$B,'Direct Charge'!$A11,BASE_EX!$C:$C,"maio")</f>
        <v>0</v>
      </c>
      <c r="AO11" s="373"/>
      <c r="AP11" s="372"/>
      <c r="AQ11" s="343"/>
      <c r="AR11" s="332">
        <f>SUMIFS(BASE_EX!$J:$J,BASE_EX!$B:$B,'Direct Charge'!$A11,BASE_EX!$C:$C,"junho")</f>
        <v>0</v>
      </c>
      <c r="AS11" s="373"/>
      <c r="AT11" s="372"/>
      <c r="AU11" s="343"/>
      <c r="AV11" s="332">
        <f>SUMIFS(BASE_EX!$J:$J,BASE_EX!$B:$B,'Direct Charge'!$A11,BASE_EX!$C:$C,"julho")</f>
        <v>0</v>
      </c>
      <c r="AW11" s="373"/>
      <c r="AX11" s="372"/>
      <c r="AY11" s="343"/>
      <c r="AZ11" s="332">
        <f>SUMIFS(BASE_EX!$J:$J,BASE_EX!$B:$B,'Direct Charge'!$A11,BASE_EX!$C:$C,"agosto")</f>
        <v>0</v>
      </c>
      <c r="BA11" s="373"/>
      <c r="BB11" s="372"/>
      <c r="BC11" s="343"/>
      <c r="BD11" s="332">
        <f>SUMIFS(BASE_EX!$J:$J,BASE_EX!$B:$B,'Direct Charge'!$A11,BASE_EX!$C:$C,"setembro")</f>
        <v>0</v>
      </c>
      <c r="BE11" s="373"/>
      <c r="BF11" s="372"/>
      <c r="BG11" s="343"/>
      <c r="BH11" s="332">
        <f>SUMIFS(BASE_EX!$J:$J,BASE_EX!$B:$B,'Direct Charge'!$A11,BASE_EX!$C:$C,"outubro")</f>
        <v>0</v>
      </c>
      <c r="BI11" s="373"/>
      <c r="BJ11" s="372"/>
      <c r="BK11" s="343"/>
      <c r="BL11" s="332">
        <f>SUMIFS(BASE_EX!$J:$J,BASE_EX!$B:$B,'Direct Charge'!$A11,BASE_EX!$C:$C,"novembro")</f>
        <v>0</v>
      </c>
      <c r="BM11" s="373"/>
      <c r="BN11" s="372"/>
      <c r="BO11" s="343"/>
      <c r="BP11" s="332">
        <f>SUMIFS(BASE_EX!$J:$J,BASE_EX!$B:$B,'Direct Charge'!$A11,BASE_EX!$C:$C,"dezembro")</f>
        <v>0</v>
      </c>
      <c r="BQ11" s="373"/>
      <c r="BR11" s="452"/>
      <c r="BS11" s="156">
        <f t="shared" si="5"/>
        <v>0</v>
      </c>
      <c r="BT11" s="320">
        <f t="shared" si="6"/>
        <v>0</v>
      </c>
      <c r="BU11" s="157" t="e">
        <f>SUM(L11,M11,N11,O11,U11)-#REF!</f>
        <v>#REF!</v>
      </c>
      <c r="BV11" s="346">
        <f t="shared" si="7"/>
        <v>0</v>
      </c>
      <c r="BW11" s="344" t="str">
        <f>IFERROR(VLOOKUP($A11,'BASE_558 EX'!$D:$R,8,FALSE),"")</f>
        <v xml:space="preserve">          262.491,10</v>
      </c>
      <c r="BX11" s="344" t="str">
        <f>IFERROR(VLOOKUP($A11,'BASE_558 EX'!$D:$R,9,FALSE),"")</f>
        <v xml:space="preserve">          172.388,99</v>
      </c>
      <c r="BY11" s="344" t="str">
        <f>IFERROR(VLOOKUP($A11,'BASE_558 EX'!$D:$R,10,FALSE),"")</f>
        <v xml:space="preserve">                0,00</v>
      </c>
      <c r="BZ11" s="344" t="str">
        <f>IFERROR(VLOOKUP($A11,'BASE_558 EX'!$D:$R,11,FALSE),"")</f>
        <v xml:space="preserve">                0,00</v>
      </c>
      <c r="CA11" s="344" t="str">
        <f>IFERROR(IF(BASE_558!$P$14="RemOrdPla",(VLOOKUP(A11,BASE_558!D:R,14)/1000),(VLOOKUP(A11,BASE_558!D:R,13)/1000)),"")</f>
        <v/>
      </c>
      <c r="CB11" s="344" t="str">
        <f>IFERROR(VLOOKUP($A11,'BASE_558 EX'!$D:$R,15,FALSE),"")</f>
        <v xml:space="preserve">           90.102,11</v>
      </c>
      <c r="CC11" s="442"/>
      <c r="CD11" s="442">
        <f t="shared" si="8"/>
        <v>0</v>
      </c>
    </row>
    <row r="12" spans="1:82" s="23" customFormat="1" ht="25.4" customHeight="1">
      <c r="A12" s="309" t="s">
        <v>1022</v>
      </c>
      <c r="B12" s="309" t="s">
        <v>1915</v>
      </c>
      <c r="C12" s="187">
        <v>44384</v>
      </c>
      <c r="D12" s="309" t="s">
        <v>477</v>
      </c>
      <c r="E12" s="309" t="s">
        <v>2846</v>
      </c>
      <c r="F12" s="309" t="s">
        <v>176</v>
      </c>
      <c r="G12" s="339" t="s">
        <v>1144</v>
      </c>
      <c r="H12" s="339" t="s">
        <v>9112</v>
      </c>
      <c r="I12" s="6" t="s">
        <v>218</v>
      </c>
      <c r="J12" s="83" t="s">
        <v>557</v>
      </c>
      <c r="K12" s="7" t="s">
        <v>1600</v>
      </c>
      <c r="L12" s="206"/>
      <c r="M12" s="206">
        <v>0</v>
      </c>
      <c r="N12" s="206">
        <v>0</v>
      </c>
      <c r="O12" s="206">
        <v>0</v>
      </c>
      <c r="P12" s="206"/>
      <c r="Q12" s="206">
        <f t="shared" si="3"/>
        <v>0</v>
      </c>
      <c r="R12" s="206"/>
      <c r="S12" s="206"/>
      <c r="T12" s="223"/>
      <c r="U12" s="169">
        <f t="shared" si="4"/>
        <v>0</v>
      </c>
      <c r="V12" s="372">
        <v>0</v>
      </c>
      <c r="W12" s="343"/>
      <c r="X12" s="332">
        <f>SUMIFS(BASE_EX!$J:$J,BASE_EX!$B:$B,'Direct Charge'!$A12,BASE_EX!$C:$C,"janeiro")</f>
        <v>0</v>
      </c>
      <c r="Y12" s="373"/>
      <c r="Z12" s="372">
        <v>0</v>
      </c>
      <c r="AA12" s="343"/>
      <c r="AB12" s="332">
        <f>SUMIFS(BASE_EX!$J:$J,BASE_EX!$B:$B,'Direct Charge'!$A12,BASE_EX!$C:$C,"fevereiro")</f>
        <v>0</v>
      </c>
      <c r="AC12" s="373"/>
      <c r="AD12" s="372"/>
      <c r="AE12" s="343"/>
      <c r="AF12" s="332">
        <f>SUMIFS(BASE_EX!$J:$J,BASE_EX!$B:$B,'Direct Charge'!$A12,BASE_EX!$C:$C,"março")</f>
        <v>0</v>
      </c>
      <c r="AG12" s="373"/>
      <c r="AH12" s="372"/>
      <c r="AI12" s="343"/>
      <c r="AJ12" s="332">
        <f>SUMIFS(BASE_EX!$J:$J,BASE_EX!$B:$B,'Direct Charge'!$A12,BASE_EX!$C:$C,"abril")</f>
        <v>0</v>
      </c>
      <c r="AK12" s="373"/>
      <c r="AL12" s="372"/>
      <c r="AM12" s="343"/>
      <c r="AN12" s="332">
        <f>SUMIFS(BASE_EX!$J:$J,BASE_EX!$B:$B,'Direct Charge'!$A12,BASE_EX!$C:$C,"maio")</f>
        <v>0</v>
      </c>
      <c r="AO12" s="373"/>
      <c r="AP12" s="372"/>
      <c r="AQ12" s="343"/>
      <c r="AR12" s="332">
        <f>SUMIFS(BASE_EX!$J:$J,BASE_EX!$B:$B,'Direct Charge'!$A12,BASE_EX!$C:$C,"junho")</f>
        <v>0</v>
      </c>
      <c r="AS12" s="373"/>
      <c r="AT12" s="372"/>
      <c r="AU12" s="343"/>
      <c r="AV12" s="332">
        <f>SUMIFS(BASE_EX!$J:$J,BASE_EX!$B:$B,'Direct Charge'!$A12,BASE_EX!$C:$C,"julho")</f>
        <v>0</v>
      </c>
      <c r="AW12" s="373"/>
      <c r="AX12" s="372"/>
      <c r="AY12" s="343"/>
      <c r="AZ12" s="332">
        <f>SUMIFS(BASE_EX!$J:$J,BASE_EX!$B:$B,'Direct Charge'!$A12,BASE_EX!$C:$C,"agosto")</f>
        <v>0</v>
      </c>
      <c r="BA12" s="373"/>
      <c r="BB12" s="372"/>
      <c r="BC12" s="343"/>
      <c r="BD12" s="332">
        <f>SUMIFS(BASE_EX!$J:$J,BASE_EX!$B:$B,'Direct Charge'!$A12,BASE_EX!$C:$C,"setembro")</f>
        <v>0</v>
      </c>
      <c r="BE12" s="373"/>
      <c r="BF12" s="372"/>
      <c r="BG12" s="343"/>
      <c r="BH12" s="332">
        <f>SUMIFS(BASE_EX!$J:$J,BASE_EX!$B:$B,'Direct Charge'!$A12,BASE_EX!$C:$C,"outubro")</f>
        <v>0</v>
      </c>
      <c r="BI12" s="373"/>
      <c r="BJ12" s="372"/>
      <c r="BK12" s="343"/>
      <c r="BL12" s="332">
        <f>SUMIFS(BASE_EX!$J:$J,BASE_EX!$B:$B,'Direct Charge'!$A12,BASE_EX!$C:$C,"novembro")</f>
        <v>0</v>
      </c>
      <c r="BM12" s="373"/>
      <c r="BN12" s="372"/>
      <c r="BO12" s="343"/>
      <c r="BP12" s="332">
        <f>SUMIFS(BASE_EX!$J:$J,BASE_EX!$B:$B,'Direct Charge'!$A12,BASE_EX!$C:$C,"dezembro")</f>
        <v>0</v>
      </c>
      <c r="BQ12" s="373"/>
      <c r="BR12" s="452"/>
      <c r="BS12" s="156">
        <f t="shared" si="5"/>
        <v>0</v>
      </c>
      <c r="BT12" s="320">
        <f t="shared" si="6"/>
        <v>0</v>
      </c>
      <c r="BU12" s="157" t="e">
        <f>SUM(L12,M12,N12,O12,U12)-#REF!</f>
        <v>#REF!</v>
      </c>
      <c r="BV12" s="346">
        <f t="shared" si="7"/>
        <v>0</v>
      </c>
      <c r="BW12" s="344" t="str">
        <f>IFERROR(VLOOKUP($A12,'BASE_558 EX'!$D:$R,8,FALSE),"")</f>
        <v xml:space="preserve">              769,80</v>
      </c>
      <c r="BX12" s="344" t="str">
        <f>IFERROR(VLOOKUP($A12,'BASE_558 EX'!$D:$R,9,FALSE),"")</f>
        <v xml:space="preserve">                0,00</v>
      </c>
      <c r="BY12" s="344" t="str">
        <f>IFERROR(VLOOKUP($A12,'BASE_558 EX'!$D:$R,10,FALSE),"")</f>
        <v xml:space="preserve">                0,00</v>
      </c>
      <c r="BZ12" s="344" t="str">
        <f>IFERROR(VLOOKUP($A12,'BASE_558 EX'!$D:$R,11,FALSE),"")</f>
        <v xml:space="preserve">                0,00</v>
      </c>
      <c r="CA12" s="344" t="str">
        <f>IFERROR(IF(BASE_558!$P$14="RemOrdPla",(VLOOKUP(A12,BASE_558!D:R,14)/1000),(VLOOKUP(A12,BASE_558!D:R,13)/1000)),"")</f>
        <v/>
      </c>
      <c r="CB12" s="344" t="str">
        <f>IFERROR(VLOOKUP($A12,'BASE_558 EX'!$D:$R,15,FALSE),"")</f>
        <v xml:space="preserve">              769,80</v>
      </c>
      <c r="CC12" s="442"/>
      <c r="CD12" s="442">
        <f t="shared" si="8"/>
        <v>0</v>
      </c>
    </row>
    <row r="13" spans="1:82" s="23" customFormat="1" ht="25.4" customHeight="1">
      <c r="A13" s="309" t="s">
        <v>1063</v>
      </c>
      <c r="B13" s="309" t="s">
        <v>1923</v>
      </c>
      <c r="C13" s="187">
        <v>44389</v>
      </c>
      <c r="D13" s="309" t="s">
        <v>475</v>
      </c>
      <c r="E13" s="309" t="s">
        <v>475</v>
      </c>
      <c r="F13" s="309" t="s">
        <v>176</v>
      </c>
      <c r="G13" s="339" t="s">
        <v>1062</v>
      </c>
      <c r="H13" s="339" t="s">
        <v>8877</v>
      </c>
      <c r="I13" s="6" t="s">
        <v>218</v>
      </c>
      <c r="J13" s="83" t="s">
        <v>462</v>
      </c>
      <c r="K13" s="7" t="s">
        <v>1600</v>
      </c>
      <c r="L13" s="206"/>
      <c r="M13" s="206">
        <v>797.09</v>
      </c>
      <c r="N13" s="206">
        <v>-22.08</v>
      </c>
      <c r="O13" s="206">
        <v>0</v>
      </c>
      <c r="P13" s="206"/>
      <c r="Q13" s="206">
        <f t="shared" si="3"/>
        <v>0</v>
      </c>
      <c r="R13" s="206"/>
      <c r="S13" s="206"/>
      <c r="T13" s="223"/>
      <c r="U13" s="169">
        <f t="shared" si="4"/>
        <v>0</v>
      </c>
      <c r="V13" s="372">
        <v>0</v>
      </c>
      <c r="W13" s="343"/>
      <c r="X13" s="332">
        <f>SUMIFS(BASE_EX!$J:$J,BASE_EX!$B:$B,'Direct Charge'!$A13,BASE_EX!$C:$C,"janeiro")</f>
        <v>0</v>
      </c>
      <c r="Y13" s="373"/>
      <c r="Z13" s="372">
        <v>0</v>
      </c>
      <c r="AA13" s="343"/>
      <c r="AB13" s="332">
        <f>SUMIFS(BASE_EX!$J:$J,BASE_EX!$B:$B,'Direct Charge'!$A13,BASE_EX!$C:$C,"fevereiro")</f>
        <v>0</v>
      </c>
      <c r="AC13" s="373"/>
      <c r="AD13" s="372"/>
      <c r="AE13" s="343"/>
      <c r="AF13" s="332">
        <f>SUMIFS(BASE_EX!$J:$J,BASE_EX!$B:$B,'Direct Charge'!$A13,BASE_EX!$C:$C,"março")</f>
        <v>0</v>
      </c>
      <c r="AG13" s="373"/>
      <c r="AH13" s="372"/>
      <c r="AI13" s="343"/>
      <c r="AJ13" s="332">
        <f>SUMIFS(BASE_EX!$J:$J,BASE_EX!$B:$B,'Direct Charge'!$A13,BASE_EX!$C:$C,"abril")</f>
        <v>0</v>
      </c>
      <c r="AK13" s="373"/>
      <c r="AL13" s="372"/>
      <c r="AM13" s="343"/>
      <c r="AN13" s="332">
        <f>SUMIFS(BASE_EX!$J:$J,BASE_EX!$B:$B,'Direct Charge'!$A13,BASE_EX!$C:$C,"maio")</f>
        <v>0</v>
      </c>
      <c r="AO13" s="373"/>
      <c r="AP13" s="372"/>
      <c r="AQ13" s="343"/>
      <c r="AR13" s="332">
        <f>SUMIFS(BASE_EX!$J:$J,BASE_EX!$B:$B,'Direct Charge'!$A13,BASE_EX!$C:$C,"junho")</f>
        <v>0</v>
      </c>
      <c r="AS13" s="373"/>
      <c r="AT13" s="372"/>
      <c r="AU13" s="343"/>
      <c r="AV13" s="332">
        <f>SUMIFS(BASE_EX!$J:$J,BASE_EX!$B:$B,'Direct Charge'!$A13,BASE_EX!$C:$C,"julho")</f>
        <v>0</v>
      </c>
      <c r="AW13" s="373"/>
      <c r="AX13" s="372"/>
      <c r="AY13" s="343"/>
      <c r="AZ13" s="332">
        <f>SUMIFS(BASE_EX!$J:$J,BASE_EX!$B:$B,'Direct Charge'!$A13,BASE_EX!$C:$C,"agosto")</f>
        <v>0</v>
      </c>
      <c r="BA13" s="373"/>
      <c r="BB13" s="372"/>
      <c r="BC13" s="343"/>
      <c r="BD13" s="332">
        <f>SUMIFS(BASE_EX!$J:$J,BASE_EX!$B:$B,'Direct Charge'!$A13,BASE_EX!$C:$C,"setembro")</f>
        <v>0</v>
      </c>
      <c r="BE13" s="373"/>
      <c r="BF13" s="372"/>
      <c r="BG13" s="343"/>
      <c r="BH13" s="332">
        <f>SUMIFS(BASE_EX!$J:$J,BASE_EX!$B:$B,'Direct Charge'!$A13,BASE_EX!$C:$C,"outubro")</f>
        <v>0</v>
      </c>
      <c r="BI13" s="373"/>
      <c r="BJ13" s="372"/>
      <c r="BK13" s="343"/>
      <c r="BL13" s="332">
        <f>SUMIFS(BASE_EX!$J:$J,BASE_EX!$B:$B,'Direct Charge'!$A13,BASE_EX!$C:$C,"novembro")</f>
        <v>0</v>
      </c>
      <c r="BM13" s="373"/>
      <c r="BN13" s="372"/>
      <c r="BO13" s="343"/>
      <c r="BP13" s="332">
        <f>SUMIFS(BASE_EX!$J:$J,BASE_EX!$B:$B,'Direct Charge'!$A13,BASE_EX!$C:$C,"dezembro")</f>
        <v>0</v>
      </c>
      <c r="BQ13" s="373"/>
      <c r="BR13" s="452"/>
      <c r="BS13" s="156">
        <f t="shared" si="5"/>
        <v>0</v>
      </c>
      <c r="BT13" s="320">
        <f t="shared" si="6"/>
        <v>0</v>
      </c>
      <c r="BU13" s="157" t="e">
        <f>SUM(L13,M13,N13,O13,U13)-#REF!</f>
        <v>#REF!</v>
      </c>
      <c r="BV13" s="346">
        <f t="shared" si="7"/>
        <v>0</v>
      </c>
      <c r="BW13" s="344" t="str">
        <f>IFERROR(VLOOKUP($A13,'BASE_558 EX'!$D:$R,8,FALSE),"")</f>
        <v xml:space="preserve">              866,03</v>
      </c>
      <c r="BX13" s="344" t="str">
        <f>IFERROR(VLOOKUP($A13,'BASE_558 EX'!$D:$R,9,FALSE),"")</f>
        <v xml:space="preserve">              775,01</v>
      </c>
      <c r="BY13" s="344" t="str">
        <f>IFERROR(VLOOKUP($A13,'BASE_558 EX'!$D:$R,10,FALSE),"")</f>
        <v xml:space="preserve">                0,00</v>
      </c>
      <c r="BZ13" s="344" t="str">
        <f>IFERROR(VLOOKUP($A13,'BASE_558 EX'!$D:$R,11,FALSE),"")</f>
        <v xml:space="preserve">                0,00</v>
      </c>
      <c r="CA13" s="344" t="str">
        <f>IFERROR(IF(BASE_558!$P$14="RemOrdPla",(VLOOKUP(A13,BASE_558!D:R,14)/1000),(VLOOKUP(A13,BASE_558!D:R,13)/1000)),"")</f>
        <v/>
      </c>
      <c r="CB13" s="344" t="str">
        <f>IFERROR(VLOOKUP($A13,'BASE_558 EX'!$D:$R,15,FALSE),"")</f>
        <v xml:space="preserve">               91,02</v>
      </c>
      <c r="CC13" s="442"/>
      <c r="CD13" s="442">
        <f t="shared" si="8"/>
        <v>0</v>
      </c>
    </row>
    <row r="14" spans="1:82" s="23" customFormat="1" ht="25.4" customHeight="1">
      <c r="A14" s="309" t="s">
        <v>1104</v>
      </c>
      <c r="B14" s="309" t="s">
        <v>1923</v>
      </c>
      <c r="C14" s="187">
        <v>44418</v>
      </c>
      <c r="D14" s="309" t="s">
        <v>478</v>
      </c>
      <c r="E14" s="309" t="s">
        <v>478</v>
      </c>
      <c r="F14" s="309" t="s">
        <v>176</v>
      </c>
      <c r="G14" s="339" t="s">
        <v>1106</v>
      </c>
      <c r="H14" s="339" t="s">
        <v>9112</v>
      </c>
      <c r="I14" s="6" t="s">
        <v>218</v>
      </c>
      <c r="J14" s="83" t="s">
        <v>462</v>
      </c>
      <c r="K14" s="7" t="s">
        <v>1600</v>
      </c>
      <c r="L14" s="206"/>
      <c r="M14" s="206">
        <v>1356.23</v>
      </c>
      <c r="N14" s="206">
        <v>0</v>
      </c>
      <c r="O14" s="206">
        <v>0</v>
      </c>
      <c r="P14" s="206"/>
      <c r="Q14" s="206">
        <f t="shared" si="3"/>
        <v>0</v>
      </c>
      <c r="R14" s="206"/>
      <c r="S14" s="206"/>
      <c r="T14" s="223"/>
      <c r="U14" s="169">
        <f t="shared" si="4"/>
        <v>0</v>
      </c>
      <c r="V14" s="372">
        <v>0</v>
      </c>
      <c r="W14" s="343"/>
      <c r="X14" s="332">
        <f>SUMIFS(BASE_EX!$J:$J,BASE_EX!$B:$B,'Direct Charge'!$A14,BASE_EX!$C:$C,"janeiro")</f>
        <v>0</v>
      </c>
      <c r="Y14" s="373"/>
      <c r="Z14" s="372">
        <v>0</v>
      </c>
      <c r="AA14" s="343"/>
      <c r="AB14" s="332">
        <f>SUMIFS(BASE_EX!$J:$J,BASE_EX!$B:$B,'Direct Charge'!$A14,BASE_EX!$C:$C,"fevereiro")</f>
        <v>0</v>
      </c>
      <c r="AC14" s="373"/>
      <c r="AD14" s="372"/>
      <c r="AE14" s="343"/>
      <c r="AF14" s="332">
        <f>SUMIFS(BASE_EX!$J:$J,BASE_EX!$B:$B,'Direct Charge'!$A14,BASE_EX!$C:$C,"março")</f>
        <v>0</v>
      </c>
      <c r="AG14" s="373"/>
      <c r="AH14" s="372"/>
      <c r="AI14" s="343"/>
      <c r="AJ14" s="332">
        <f>SUMIFS(BASE_EX!$J:$J,BASE_EX!$B:$B,'Direct Charge'!$A14,BASE_EX!$C:$C,"abril")</f>
        <v>0</v>
      </c>
      <c r="AK14" s="373"/>
      <c r="AL14" s="372"/>
      <c r="AM14" s="343"/>
      <c r="AN14" s="332">
        <f>SUMIFS(BASE_EX!$J:$J,BASE_EX!$B:$B,'Direct Charge'!$A14,BASE_EX!$C:$C,"maio")</f>
        <v>0</v>
      </c>
      <c r="AO14" s="373"/>
      <c r="AP14" s="372"/>
      <c r="AQ14" s="343"/>
      <c r="AR14" s="332">
        <f>SUMIFS(BASE_EX!$J:$J,BASE_EX!$B:$B,'Direct Charge'!$A14,BASE_EX!$C:$C,"junho")</f>
        <v>0</v>
      </c>
      <c r="AS14" s="373"/>
      <c r="AT14" s="372"/>
      <c r="AU14" s="343"/>
      <c r="AV14" s="332">
        <f>SUMIFS(BASE_EX!$J:$J,BASE_EX!$B:$B,'Direct Charge'!$A14,BASE_EX!$C:$C,"julho")</f>
        <v>0</v>
      </c>
      <c r="AW14" s="373"/>
      <c r="AX14" s="372"/>
      <c r="AY14" s="343"/>
      <c r="AZ14" s="332">
        <f>SUMIFS(BASE_EX!$J:$J,BASE_EX!$B:$B,'Direct Charge'!$A14,BASE_EX!$C:$C,"agosto")</f>
        <v>0</v>
      </c>
      <c r="BA14" s="373"/>
      <c r="BB14" s="372"/>
      <c r="BC14" s="343"/>
      <c r="BD14" s="332">
        <f>SUMIFS(BASE_EX!$J:$J,BASE_EX!$B:$B,'Direct Charge'!$A14,BASE_EX!$C:$C,"setembro")</f>
        <v>0</v>
      </c>
      <c r="BE14" s="373"/>
      <c r="BF14" s="372"/>
      <c r="BG14" s="343"/>
      <c r="BH14" s="332">
        <f>SUMIFS(BASE_EX!$J:$J,BASE_EX!$B:$B,'Direct Charge'!$A14,BASE_EX!$C:$C,"outubro")</f>
        <v>0</v>
      </c>
      <c r="BI14" s="373"/>
      <c r="BJ14" s="372"/>
      <c r="BK14" s="343"/>
      <c r="BL14" s="332">
        <f>SUMIFS(BASE_EX!$J:$J,BASE_EX!$B:$B,'Direct Charge'!$A14,BASE_EX!$C:$C,"novembro")</f>
        <v>0</v>
      </c>
      <c r="BM14" s="373"/>
      <c r="BN14" s="372"/>
      <c r="BO14" s="343"/>
      <c r="BP14" s="332">
        <f>SUMIFS(BASE_EX!$J:$J,BASE_EX!$B:$B,'Direct Charge'!$A14,BASE_EX!$C:$C,"dezembro")</f>
        <v>0</v>
      </c>
      <c r="BQ14" s="373"/>
      <c r="BR14" s="452"/>
      <c r="BS14" s="156">
        <f t="shared" si="5"/>
        <v>0</v>
      </c>
      <c r="BT14" s="320">
        <f t="shared" si="6"/>
        <v>0</v>
      </c>
      <c r="BU14" s="157" t="e">
        <f>SUM(L14,M14,N14,O14,U14)-#REF!</f>
        <v>#REF!</v>
      </c>
      <c r="BV14" s="346">
        <f t="shared" si="7"/>
        <v>0</v>
      </c>
      <c r="BW14" s="344" t="str">
        <f>IFERROR(VLOOKUP($A14,'BASE_558 EX'!$D:$R,8,FALSE),"")</f>
        <v xml:space="preserve">            2.886,75</v>
      </c>
      <c r="BX14" s="344" t="str">
        <f>IFERROR(VLOOKUP($A14,'BASE_558 EX'!$D:$R,9,FALSE),"")</f>
        <v xml:space="preserve">            1.356,23</v>
      </c>
      <c r="BY14" s="344" t="str">
        <f>IFERROR(VLOOKUP($A14,'BASE_558 EX'!$D:$R,10,FALSE),"")</f>
        <v xml:space="preserve">                0,00</v>
      </c>
      <c r="BZ14" s="344" t="str">
        <f>IFERROR(VLOOKUP($A14,'BASE_558 EX'!$D:$R,11,FALSE),"")</f>
        <v xml:space="preserve">                0,00</v>
      </c>
      <c r="CA14" s="344" t="str">
        <f>IFERROR(IF(BASE_558!$P$14="RemOrdPla",(VLOOKUP(A14,BASE_558!D:R,14)/1000),(VLOOKUP(A14,BASE_558!D:R,13)/1000)),"")</f>
        <v/>
      </c>
      <c r="CB14" s="344" t="str">
        <f>IFERROR(VLOOKUP($A14,'BASE_558 EX'!$D:$R,15,FALSE),"")</f>
        <v xml:space="preserve">            1.530,52</v>
      </c>
      <c r="CC14" s="442"/>
      <c r="CD14" s="442">
        <f t="shared" si="8"/>
        <v>0</v>
      </c>
    </row>
    <row r="15" spans="1:82" s="23" customFormat="1" ht="25.4" customHeight="1">
      <c r="A15" s="309" t="s">
        <v>1107</v>
      </c>
      <c r="B15" s="309" t="s">
        <v>1264</v>
      </c>
      <c r="C15" s="187">
        <v>44419</v>
      </c>
      <c r="D15" s="309" t="s">
        <v>2847</v>
      </c>
      <c r="E15" s="309" t="s">
        <v>2847</v>
      </c>
      <c r="F15" s="309" t="s">
        <v>176</v>
      </c>
      <c r="G15" s="339" t="s">
        <v>1145</v>
      </c>
      <c r="H15" s="339" t="s">
        <v>9112</v>
      </c>
      <c r="I15" s="6" t="s">
        <v>218</v>
      </c>
      <c r="J15" s="83" t="s">
        <v>462</v>
      </c>
      <c r="K15" s="7" t="s">
        <v>1600</v>
      </c>
      <c r="L15" s="206"/>
      <c r="M15" s="206">
        <v>0</v>
      </c>
      <c r="N15" s="206">
        <v>0</v>
      </c>
      <c r="O15" s="206">
        <v>0</v>
      </c>
      <c r="P15" s="206"/>
      <c r="Q15" s="206">
        <f t="shared" si="3"/>
        <v>0</v>
      </c>
      <c r="R15" s="206"/>
      <c r="S15" s="206"/>
      <c r="T15" s="223"/>
      <c r="U15" s="169">
        <f t="shared" si="4"/>
        <v>0</v>
      </c>
      <c r="V15" s="372">
        <v>0</v>
      </c>
      <c r="W15" s="343"/>
      <c r="X15" s="332">
        <f>SUMIFS(BASE_EX!$J:$J,BASE_EX!$B:$B,'Direct Charge'!$A15,BASE_EX!$C:$C,"janeiro")</f>
        <v>0</v>
      </c>
      <c r="Y15" s="373"/>
      <c r="Z15" s="372">
        <v>0</v>
      </c>
      <c r="AA15" s="343"/>
      <c r="AB15" s="332">
        <f>SUMIFS(BASE_EX!$J:$J,BASE_EX!$B:$B,'Direct Charge'!$A15,BASE_EX!$C:$C,"fevereiro")</f>
        <v>0</v>
      </c>
      <c r="AC15" s="373"/>
      <c r="AD15" s="372"/>
      <c r="AE15" s="343"/>
      <c r="AF15" s="332">
        <f>SUMIFS(BASE_EX!$J:$J,BASE_EX!$B:$B,'Direct Charge'!$A15,BASE_EX!$C:$C,"março")</f>
        <v>0</v>
      </c>
      <c r="AG15" s="373"/>
      <c r="AH15" s="372"/>
      <c r="AI15" s="343"/>
      <c r="AJ15" s="332">
        <f>SUMIFS(BASE_EX!$J:$J,BASE_EX!$B:$B,'Direct Charge'!$A15,BASE_EX!$C:$C,"abril")</f>
        <v>0</v>
      </c>
      <c r="AK15" s="373"/>
      <c r="AL15" s="372"/>
      <c r="AM15" s="343"/>
      <c r="AN15" s="332">
        <f>SUMIFS(BASE_EX!$J:$J,BASE_EX!$B:$B,'Direct Charge'!$A15,BASE_EX!$C:$C,"maio")</f>
        <v>0</v>
      </c>
      <c r="AO15" s="373"/>
      <c r="AP15" s="372"/>
      <c r="AQ15" s="343"/>
      <c r="AR15" s="332">
        <f>SUMIFS(BASE_EX!$J:$J,BASE_EX!$B:$B,'Direct Charge'!$A15,BASE_EX!$C:$C,"junho")</f>
        <v>0</v>
      </c>
      <c r="AS15" s="373"/>
      <c r="AT15" s="372"/>
      <c r="AU15" s="343"/>
      <c r="AV15" s="332">
        <f>SUMIFS(BASE_EX!$J:$J,BASE_EX!$B:$B,'Direct Charge'!$A15,BASE_EX!$C:$C,"julho")</f>
        <v>0</v>
      </c>
      <c r="AW15" s="373"/>
      <c r="AX15" s="372"/>
      <c r="AY15" s="343"/>
      <c r="AZ15" s="332">
        <f>SUMIFS(BASE_EX!$J:$J,BASE_EX!$B:$B,'Direct Charge'!$A15,BASE_EX!$C:$C,"agosto")</f>
        <v>0</v>
      </c>
      <c r="BA15" s="373"/>
      <c r="BB15" s="372"/>
      <c r="BC15" s="343"/>
      <c r="BD15" s="332">
        <f>SUMIFS(BASE_EX!$J:$J,BASE_EX!$B:$B,'Direct Charge'!$A15,BASE_EX!$C:$C,"setembro")</f>
        <v>0</v>
      </c>
      <c r="BE15" s="373"/>
      <c r="BF15" s="372"/>
      <c r="BG15" s="343"/>
      <c r="BH15" s="332">
        <f>SUMIFS(BASE_EX!$J:$J,BASE_EX!$B:$B,'Direct Charge'!$A15,BASE_EX!$C:$C,"outubro")</f>
        <v>0</v>
      </c>
      <c r="BI15" s="373"/>
      <c r="BJ15" s="372"/>
      <c r="BK15" s="343"/>
      <c r="BL15" s="332">
        <f>SUMIFS(BASE_EX!$J:$J,BASE_EX!$B:$B,'Direct Charge'!$A15,BASE_EX!$C:$C,"novembro")</f>
        <v>0</v>
      </c>
      <c r="BM15" s="373"/>
      <c r="BN15" s="372"/>
      <c r="BO15" s="343"/>
      <c r="BP15" s="332">
        <f>SUMIFS(BASE_EX!$J:$J,BASE_EX!$B:$B,'Direct Charge'!$A15,BASE_EX!$C:$C,"dezembro")</f>
        <v>0</v>
      </c>
      <c r="BQ15" s="373"/>
      <c r="BR15" s="452"/>
      <c r="BS15" s="156">
        <f t="shared" si="5"/>
        <v>0</v>
      </c>
      <c r="BT15" s="320">
        <f t="shared" si="6"/>
        <v>0</v>
      </c>
      <c r="BU15" s="157" t="e">
        <f>SUM(L15,M15,N15,O15,U15)-#REF!</f>
        <v>#REF!</v>
      </c>
      <c r="BV15" s="346">
        <f t="shared" si="7"/>
        <v>0</v>
      </c>
      <c r="BW15" s="344" t="str">
        <f>IFERROR(VLOOKUP($A15,'BASE_558 EX'!$D:$R,8,FALSE),"")</f>
        <v xml:space="preserve">            1.924,50</v>
      </c>
      <c r="BX15" s="344" t="str">
        <f>IFERROR(VLOOKUP($A15,'BASE_558 EX'!$D:$R,9,FALSE),"")</f>
        <v xml:space="preserve">                0,00</v>
      </c>
      <c r="BY15" s="344" t="str">
        <f>IFERROR(VLOOKUP($A15,'BASE_558 EX'!$D:$R,10,FALSE),"")</f>
        <v xml:space="preserve">                0,00</v>
      </c>
      <c r="BZ15" s="344" t="str">
        <f>IFERROR(VLOOKUP($A15,'BASE_558 EX'!$D:$R,11,FALSE),"")</f>
        <v xml:space="preserve">                0,00</v>
      </c>
      <c r="CA15" s="344" t="str">
        <f>IFERROR(IF(BASE_558!$P$14="RemOrdPla",(VLOOKUP(A15,BASE_558!D:R,14)/1000),(VLOOKUP(A15,BASE_558!D:R,13)/1000)),"")</f>
        <v/>
      </c>
      <c r="CB15" s="344" t="str">
        <f>IFERROR(VLOOKUP($A15,'BASE_558 EX'!$D:$R,15,FALSE),"")</f>
        <v xml:space="preserve">            1.924,50</v>
      </c>
      <c r="CC15" s="442"/>
      <c r="CD15" s="442">
        <f t="shared" si="8"/>
        <v>0</v>
      </c>
    </row>
    <row r="16" spans="1:82" s="23" customFormat="1" ht="25.4" customHeight="1">
      <c r="A16" s="309" t="s">
        <v>1117</v>
      </c>
      <c r="B16" s="309" t="s">
        <v>1923</v>
      </c>
      <c r="C16" s="187">
        <v>44427</v>
      </c>
      <c r="D16" s="309" t="s">
        <v>2297</v>
      </c>
      <c r="E16" s="309" t="s">
        <v>2297</v>
      </c>
      <c r="F16" s="309" t="s">
        <v>176</v>
      </c>
      <c r="G16" s="339" t="s">
        <v>1118</v>
      </c>
      <c r="H16" s="339" t="s">
        <v>8877</v>
      </c>
      <c r="I16" s="6" t="s">
        <v>195</v>
      </c>
      <c r="J16" s="83" t="s">
        <v>462</v>
      </c>
      <c r="K16" s="469" t="s">
        <v>2751</v>
      </c>
      <c r="L16" s="206"/>
      <c r="M16" s="206">
        <v>17324.63</v>
      </c>
      <c r="N16" s="206">
        <v>50665.240000000005</v>
      </c>
      <c r="O16" s="206">
        <v>242.56</v>
      </c>
      <c r="P16" s="206"/>
      <c r="Q16" s="206">
        <f t="shared" si="3"/>
        <v>0</v>
      </c>
      <c r="R16" s="206"/>
      <c r="S16" s="206"/>
      <c r="T16" s="223"/>
      <c r="U16" s="169">
        <f t="shared" si="4"/>
        <v>0</v>
      </c>
      <c r="V16" s="372">
        <v>0</v>
      </c>
      <c r="W16" s="343"/>
      <c r="X16" s="332">
        <f>SUMIFS(BASE_EX!$J:$J,BASE_EX!$B:$B,'Direct Charge'!$A16,BASE_EX!$C:$C,"janeiro")</f>
        <v>0</v>
      </c>
      <c r="Y16" s="373"/>
      <c r="Z16" s="372">
        <v>0</v>
      </c>
      <c r="AA16" s="343"/>
      <c r="AB16" s="332">
        <f>SUMIFS(BASE_EX!$J:$J,BASE_EX!$B:$B,'Direct Charge'!$A16,BASE_EX!$C:$C,"fevereiro")</f>
        <v>0</v>
      </c>
      <c r="AC16" s="373"/>
      <c r="AD16" s="372"/>
      <c r="AE16" s="343"/>
      <c r="AF16" s="332">
        <f>SUMIFS(BASE_EX!$J:$J,BASE_EX!$B:$B,'Direct Charge'!$A16,BASE_EX!$C:$C,"março")</f>
        <v>0</v>
      </c>
      <c r="AG16" s="373"/>
      <c r="AH16" s="372"/>
      <c r="AI16" s="343"/>
      <c r="AJ16" s="332">
        <f>SUMIFS(BASE_EX!$J:$J,BASE_EX!$B:$B,'Direct Charge'!$A16,BASE_EX!$C:$C,"abril")</f>
        <v>0</v>
      </c>
      <c r="AK16" s="373"/>
      <c r="AL16" s="372"/>
      <c r="AM16" s="343"/>
      <c r="AN16" s="332">
        <f>SUMIFS(BASE_EX!$J:$J,BASE_EX!$B:$B,'Direct Charge'!$A16,BASE_EX!$C:$C,"maio")</f>
        <v>0</v>
      </c>
      <c r="AO16" s="373"/>
      <c r="AP16" s="372"/>
      <c r="AQ16" s="343"/>
      <c r="AR16" s="332">
        <f>SUMIFS(BASE_EX!$J:$J,BASE_EX!$B:$B,'Direct Charge'!$A16,BASE_EX!$C:$C,"junho")</f>
        <v>0</v>
      </c>
      <c r="AS16" s="373"/>
      <c r="AT16" s="372"/>
      <c r="AU16" s="343"/>
      <c r="AV16" s="332">
        <f>SUMIFS(BASE_EX!$J:$J,BASE_EX!$B:$B,'Direct Charge'!$A16,BASE_EX!$C:$C,"julho")</f>
        <v>0</v>
      </c>
      <c r="AW16" s="373"/>
      <c r="AX16" s="372"/>
      <c r="AY16" s="343"/>
      <c r="AZ16" s="332">
        <f>SUMIFS(BASE_EX!$J:$J,BASE_EX!$B:$B,'Direct Charge'!$A16,BASE_EX!$C:$C,"agosto")</f>
        <v>0</v>
      </c>
      <c r="BA16" s="373"/>
      <c r="BB16" s="372"/>
      <c r="BC16" s="343"/>
      <c r="BD16" s="332">
        <f>SUMIFS(BASE_EX!$J:$J,BASE_EX!$B:$B,'Direct Charge'!$A16,BASE_EX!$C:$C,"setembro")</f>
        <v>0</v>
      </c>
      <c r="BE16" s="373"/>
      <c r="BF16" s="372"/>
      <c r="BG16" s="343"/>
      <c r="BH16" s="332">
        <f>SUMIFS(BASE_EX!$J:$J,BASE_EX!$B:$B,'Direct Charge'!$A16,BASE_EX!$C:$C,"outubro")</f>
        <v>0</v>
      </c>
      <c r="BI16" s="373"/>
      <c r="BJ16" s="372"/>
      <c r="BK16" s="343"/>
      <c r="BL16" s="332">
        <f>SUMIFS(BASE_EX!$J:$J,BASE_EX!$B:$B,'Direct Charge'!$A16,BASE_EX!$C:$C,"novembro")</f>
        <v>0</v>
      </c>
      <c r="BM16" s="373"/>
      <c r="BN16" s="372"/>
      <c r="BO16" s="343"/>
      <c r="BP16" s="332">
        <f>SUMIFS(BASE_EX!$J:$J,BASE_EX!$B:$B,'Direct Charge'!$A16,BASE_EX!$C:$C,"dezembro")</f>
        <v>0</v>
      </c>
      <c r="BQ16" s="373"/>
      <c r="BR16" s="452"/>
      <c r="BS16" s="156">
        <f t="shared" si="5"/>
        <v>0</v>
      </c>
      <c r="BT16" s="320">
        <f t="shared" si="6"/>
        <v>0</v>
      </c>
      <c r="BU16" s="157" t="e">
        <f>SUM(L16,M16,N16,O16,U16)-#REF!</f>
        <v>#REF!</v>
      </c>
      <c r="BV16" s="346">
        <f t="shared" si="7"/>
        <v>0</v>
      </c>
      <c r="BW16" s="344" t="str">
        <f>IFERROR(VLOOKUP($A16,'BASE_558 EX'!$D:$R,8,FALSE),"")</f>
        <v xml:space="preserve">           91.967,70</v>
      </c>
      <c r="BX16" s="344" t="str">
        <f>IFERROR(VLOOKUP($A16,'BASE_558 EX'!$D:$R,9,FALSE),"")</f>
        <v xml:space="preserve">           68.232,43</v>
      </c>
      <c r="BY16" s="344" t="str">
        <f>IFERROR(VLOOKUP($A16,'BASE_558 EX'!$D:$R,10,FALSE),"")</f>
        <v xml:space="preserve">            6.029,93</v>
      </c>
      <c r="BZ16" s="344" t="str">
        <f>IFERROR(VLOOKUP($A16,'BASE_558 EX'!$D:$R,11,FALSE),"")</f>
        <v xml:space="preserve">                0,00</v>
      </c>
      <c r="CA16" s="344" t="str">
        <f>IFERROR(IF(BASE_558!$P$14="RemOrdPla",(VLOOKUP(A16,BASE_558!D:R,14)/1000),(VLOOKUP(A16,BASE_558!D:R,13)/1000)),"")</f>
        <v/>
      </c>
      <c r="CB16" s="344" t="str">
        <f>IFERROR(VLOOKUP($A16,'BASE_558 EX'!$D:$R,15,FALSE),"")</f>
        <v xml:space="preserve">           17.705,34</v>
      </c>
      <c r="CC16" s="442"/>
      <c r="CD16" s="442">
        <f t="shared" si="8"/>
        <v>0</v>
      </c>
    </row>
    <row r="17" spans="1:82" s="23" customFormat="1" ht="25.4" customHeight="1">
      <c r="A17" s="309" t="s">
        <v>1141</v>
      </c>
      <c r="B17" s="309" t="s">
        <v>1264</v>
      </c>
      <c r="C17" s="187">
        <v>44438</v>
      </c>
      <c r="D17" s="309" t="s">
        <v>480</v>
      </c>
      <c r="E17" s="309" t="s">
        <v>704</v>
      </c>
      <c r="F17" s="309" t="s">
        <v>176</v>
      </c>
      <c r="G17" s="339" t="s">
        <v>1140</v>
      </c>
      <c r="H17" s="339" t="s">
        <v>9112</v>
      </c>
      <c r="I17" s="6" t="s">
        <v>218</v>
      </c>
      <c r="J17" s="83" t="s">
        <v>462</v>
      </c>
      <c r="K17" s="10" t="s">
        <v>2651</v>
      </c>
      <c r="L17" s="206"/>
      <c r="M17" s="206">
        <v>0</v>
      </c>
      <c r="N17" s="206">
        <v>22795.220000000005</v>
      </c>
      <c r="O17" s="206">
        <v>0</v>
      </c>
      <c r="P17" s="206"/>
      <c r="Q17" s="206">
        <f t="shared" si="3"/>
        <v>0</v>
      </c>
      <c r="R17" s="206"/>
      <c r="S17" s="206"/>
      <c r="T17" s="223"/>
      <c r="U17" s="169">
        <f t="shared" si="4"/>
        <v>0</v>
      </c>
      <c r="V17" s="372">
        <v>0</v>
      </c>
      <c r="W17" s="343"/>
      <c r="X17" s="332">
        <f>SUMIFS(BASE_EX!$J:$J,BASE_EX!$B:$B,'Direct Charge'!$A17,BASE_EX!$C:$C,"janeiro")</f>
        <v>0</v>
      </c>
      <c r="Y17" s="373"/>
      <c r="Z17" s="372">
        <v>0</v>
      </c>
      <c r="AA17" s="343"/>
      <c r="AB17" s="332">
        <f>SUMIFS(BASE_EX!$J:$J,BASE_EX!$B:$B,'Direct Charge'!$A17,BASE_EX!$C:$C,"fevereiro")</f>
        <v>0</v>
      </c>
      <c r="AC17" s="373"/>
      <c r="AD17" s="372"/>
      <c r="AE17" s="343"/>
      <c r="AF17" s="332">
        <f>SUMIFS(BASE_EX!$J:$J,BASE_EX!$B:$B,'Direct Charge'!$A17,BASE_EX!$C:$C,"março")</f>
        <v>0</v>
      </c>
      <c r="AG17" s="373"/>
      <c r="AH17" s="372"/>
      <c r="AI17" s="343"/>
      <c r="AJ17" s="332">
        <f>SUMIFS(BASE_EX!$J:$J,BASE_EX!$B:$B,'Direct Charge'!$A17,BASE_EX!$C:$C,"abril")</f>
        <v>0</v>
      </c>
      <c r="AK17" s="373"/>
      <c r="AL17" s="372"/>
      <c r="AM17" s="343"/>
      <c r="AN17" s="332">
        <f>SUMIFS(BASE_EX!$J:$J,BASE_EX!$B:$B,'Direct Charge'!$A17,BASE_EX!$C:$C,"maio")</f>
        <v>0</v>
      </c>
      <c r="AO17" s="373"/>
      <c r="AP17" s="372"/>
      <c r="AQ17" s="343"/>
      <c r="AR17" s="332">
        <f>SUMIFS(BASE_EX!$J:$J,BASE_EX!$B:$B,'Direct Charge'!$A17,BASE_EX!$C:$C,"junho")</f>
        <v>0</v>
      </c>
      <c r="AS17" s="373"/>
      <c r="AT17" s="372"/>
      <c r="AU17" s="343"/>
      <c r="AV17" s="332">
        <f>SUMIFS(BASE_EX!$J:$J,BASE_EX!$B:$B,'Direct Charge'!$A17,BASE_EX!$C:$C,"julho")</f>
        <v>0</v>
      </c>
      <c r="AW17" s="373"/>
      <c r="AX17" s="372"/>
      <c r="AY17" s="343"/>
      <c r="AZ17" s="332">
        <f>SUMIFS(BASE_EX!$J:$J,BASE_EX!$B:$B,'Direct Charge'!$A17,BASE_EX!$C:$C,"agosto")</f>
        <v>0</v>
      </c>
      <c r="BA17" s="373"/>
      <c r="BB17" s="372"/>
      <c r="BC17" s="343"/>
      <c r="BD17" s="332">
        <f>SUMIFS(BASE_EX!$J:$J,BASE_EX!$B:$B,'Direct Charge'!$A17,BASE_EX!$C:$C,"setembro")</f>
        <v>0</v>
      </c>
      <c r="BE17" s="373"/>
      <c r="BF17" s="372"/>
      <c r="BG17" s="343"/>
      <c r="BH17" s="332">
        <f>SUMIFS(BASE_EX!$J:$J,BASE_EX!$B:$B,'Direct Charge'!$A17,BASE_EX!$C:$C,"outubro")</f>
        <v>0</v>
      </c>
      <c r="BI17" s="373"/>
      <c r="BJ17" s="372"/>
      <c r="BK17" s="343"/>
      <c r="BL17" s="332">
        <f>SUMIFS(BASE_EX!$J:$J,BASE_EX!$B:$B,'Direct Charge'!$A17,BASE_EX!$C:$C,"novembro")</f>
        <v>0</v>
      </c>
      <c r="BM17" s="373"/>
      <c r="BN17" s="372"/>
      <c r="BO17" s="343"/>
      <c r="BP17" s="332">
        <f>SUMIFS(BASE_EX!$J:$J,BASE_EX!$B:$B,'Direct Charge'!$A17,BASE_EX!$C:$C,"dezembro")</f>
        <v>0</v>
      </c>
      <c r="BQ17" s="373"/>
      <c r="BR17" s="452"/>
      <c r="BS17" s="156">
        <f t="shared" si="5"/>
        <v>0</v>
      </c>
      <c r="BT17" s="320">
        <f t="shared" si="6"/>
        <v>0</v>
      </c>
      <c r="BU17" s="157" t="e">
        <f>SUM(L17,M17,N17,O17,U17)-#REF!</f>
        <v>#REF!</v>
      </c>
      <c r="BV17" s="346">
        <f t="shared" si="7"/>
        <v>0</v>
      </c>
      <c r="BW17" s="344" t="str">
        <f>IFERROR(VLOOKUP($A17,'BASE_558 EX'!$D:$R,8,FALSE),"")</f>
        <v xml:space="preserve">          283.226,74</v>
      </c>
      <c r="BX17" s="344" t="str">
        <f>IFERROR(VLOOKUP($A17,'BASE_558 EX'!$D:$R,9,FALSE),"")</f>
        <v xml:space="preserve">           22.795,22</v>
      </c>
      <c r="BY17" s="344" t="str">
        <f>IFERROR(VLOOKUP($A17,'BASE_558 EX'!$D:$R,10,FALSE),"")</f>
        <v xml:space="preserve">                0,00</v>
      </c>
      <c r="BZ17" s="344" t="str">
        <f>IFERROR(VLOOKUP($A17,'BASE_558 EX'!$D:$R,11,FALSE),"")</f>
        <v xml:space="preserve">                0,00</v>
      </c>
      <c r="CA17" s="344" t="str">
        <f>IFERROR(IF(BASE_558!$P$14="RemOrdPla",(VLOOKUP(A17,BASE_558!D:R,14)/1000),(VLOOKUP(A17,BASE_558!D:R,13)/1000)),"")</f>
        <v/>
      </c>
      <c r="CB17" s="344" t="str">
        <f>IFERROR(VLOOKUP($A17,'BASE_558 EX'!$D:$R,15,FALSE),"")</f>
        <v xml:space="preserve">          260.431,52</v>
      </c>
      <c r="CC17" s="442"/>
      <c r="CD17" s="442">
        <f t="shared" si="8"/>
        <v>0</v>
      </c>
    </row>
    <row r="18" spans="1:82" s="23" customFormat="1" ht="24.75" customHeight="1">
      <c r="A18" s="309" t="s">
        <v>1148</v>
      </c>
      <c r="B18" s="309" t="s">
        <v>1904</v>
      </c>
      <c r="C18" s="187">
        <v>44447</v>
      </c>
      <c r="D18" s="309" t="s">
        <v>2848</v>
      </c>
      <c r="E18" s="309" t="s">
        <v>481</v>
      </c>
      <c r="F18" s="309" t="s">
        <v>176</v>
      </c>
      <c r="G18" s="339" t="s">
        <v>1149</v>
      </c>
      <c r="H18" s="339" t="s">
        <v>9112</v>
      </c>
      <c r="I18" s="6" t="s">
        <v>218</v>
      </c>
      <c r="J18" s="83" t="s">
        <v>462</v>
      </c>
      <c r="K18" s="7" t="s">
        <v>1600</v>
      </c>
      <c r="L18" s="206"/>
      <c r="M18" s="206">
        <v>0</v>
      </c>
      <c r="N18" s="206">
        <v>11107.21</v>
      </c>
      <c r="O18" s="206">
        <v>0</v>
      </c>
      <c r="P18" s="206"/>
      <c r="Q18" s="206">
        <f t="shared" si="3"/>
        <v>0</v>
      </c>
      <c r="R18" s="206"/>
      <c r="S18" s="206"/>
      <c r="T18" s="223"/>
      <c r="U18" s="169">
        <f t="shared" si="4"/>
        <v>0</v>
      </c>
      <c r="V18" s="372">
        <v>0</v>
      </c>
      <c r="W18" s="343"/>
      <c r="X18" s="332">
        <f>SUMIFS(BASE_EX!$J:$J,BASE_EX!$B:$B,'Direct Charge'!$A18,BASE_EX!$C:$C,"janeiro")</f>
        <v>0</v>
      </c>
      <c r="Y18" s="373"/>
      <c r="Z18" s="372">
        <v>0</v>
      </c>
      <c r="AA18" s="343"/>
      <c r="AB18" s="332">
        <f>SUMIFS(BASE_EX!$J:$J,BASE_EX!$B:$B,'Direct Charge'!$A18,BASE_EX!$C:$C,"fevereiro")</f>
        <v>0</v>
      </c>
      <c r="AC18" s="373"/>
      <c r="AD18" s="372"/>
      <c r="AE18" s="343"/>
      <c r="AF18" s="332">
        <f>SUMIFS(BASE_EX!$J:$J,BASE_EX!$B:$B,'Direct Charge'!$A18,BASE_EX!$C:$C,"março")</f>
        <v>0</v>
      </c>
      <c r="AG18" s="373"/>
      <c r="AH18" s="372"/>
      <c r="AI18" s="343"/>
      <c r="AJ18" s="332">
        <f>SUMIFS(BASE_EX!$J:$J,BASE_EX!$B:$B,'Direct Charge'!$A18,BASE_EX!$C:$C,"abril")</f>
        <v>0</v>
      </c>
      <c r="AK18" s="373"/>
      <c r="AL18" s="372"/>
      <c r="AM18" s="343"/>
      <c r="AN18" s="332">
        <f>SUMIFS(BASE_EX!$J:$J,BASE_EX!$B:$B,'Direct Charge'!$A18,BASE_EX!$C:$C,"maio")</f>
        <v>0</v>
      </c>
      <c r="AO18" s="373"/>
      <c r="AP18" s="372"/>
      <c r="AQ18" s="343"/>
      <c r="AR18" s="332">
        <f>SUMIFS(BASE_EX!$J:$J,BASE_EX!$B:$B,'Direct Charge'!$A18,BASE_EX!$C:$C,"junho")</f>
        <v>0</v>
      </c>
      <c r="AS18" s="373"/>
      <c r="AT18" s="372"/>
      <c r="AU18" s="343"/>
      <c r="AV18" s="332">
        <f>SUMIFS(BASE_EX!$J:$J,BASE_EX!$B:$B,'Direct Charge'!$A18,BASE_EX!$C:$C,"julho")</f>
        <v>0</v>
      </c>
      <c r="AW18" s="373"/>
      <c r="AX18" s="372"/>
      <c r="AY18" s="343"/>
      <c r="AZ18" s="332">
        <f>SUMIFS(BASE_EX!$J:$J,BASE_EX!$B:$B,'Direct Charge'!$A18,BASE_EX!$C:$C,"agosto")</f>
        <v>0</v>
      </c>
      <c r="BA18" s="373"/>
      <c r="BB18" s="372"/>
      <c r="BC18" s="343"/>
      <c r="BD18" s="332">
        <f>SUMIFS(BASE_EX!$J:$J,BASE_EX!$B:$B,'Direct Charge'!$A18,BASE_EX!$C:$C,"setembro")</f>
        <v>0</v>
      </c>
      <c r="BE18" s="373"/>
      <c r="BF18" s="372"/>
      <c r="BG18" s="343"/>
      <c r="BH18" s="332">
        <f>SUMIFS(BASE_EX!$J:$J,BASE_EX!$B:$B,'Direct Charge'!$A18,BASE_EX!$C:$C,"outubro")</f>
        <v>0</v>
      </c>
      <c r="BI18" s="373"/>
      <c r="BJ18" s="372"/>
      <c r="BK18" s="343"/>
      <c r="BL18" s="332">
        <f>SUMIFS(BASE_EX!$J:$J,BASE_EX!$B:$B,'Direct Charge'!$A18,BASE_EX!$C:$C,"novembro")</f>
        <v>0</v>
      </c>
      <c r="BM18" s="373"/>
      <c r="BN18" s="372"/>
      <c r="BO18" s="343"/>
      <c r="BP18" s="332">
        <f>SUMIFS(BASE_EX!$J:$J,BASE_EX!$B:$B,'Direct Charge'!$A18,BASE_EX!$C:$C,"dezembro")</f>
        <v>0</v>
      </c>
      <c r="BQ18" s="373"/>
      <c r="BR18" s="452"/>
      <c r="BS18" s="156">
        <f t="shared" si="5"/>
        <v>0</v>
      </c>
      <c r="BT18" s="320">
        <f t="shared" si="6"/>
        <v>0</v>
      </c>
      <c r="BU18" s="157" t="e">
        <f>SUM(L18,M18,N18,O18,U18)-#REF!</f>
        <v>#REF!</v>
      </c>
      <c r="BV18" s="346">
        <f t="shared" si="7"/>
        <v>0</v>
      </c>
      <c r="BW18" s="344" t="str">
        <f>IFERROR(VLOOKUP($A18,'BASE_558 EX'!$D:$R,8,FALSE),"")</f>
        <v xml:space="preserve">           11.931,90</v>
      </c>
      <c r="BX18" s="344" t="str">
        <f>IFERROR(VLOOKUP($A18,'BASE_558 EX'!$D:$R,9,FALSE),"")</f>
        <v xml:space="preserve">           11.107,21</v>
      </c>
      <c r="BY18" s="344" t="str">
        <f>IFERROR(VLOOKUP($A18,'BASE_558 EX'!$D:$R,10,FALSE),"")</f>
        <v xml:space="preserve">                0,00</v>
      </c>
      <c r="BZ18" s="344" t="str">
        <f>IFERROR(VLOOKUP($A18,'BASE_558 EX'!$D:$R,11,FALSE),"")</f>
        <v xml:space="preserve">                0,00</v>
      </c>
      <c r="CA18" s="344" t="str">
        <f>IFERROR(IF(BASE_558!$P$14="RemOrdPla",(VLOOKUP(A18,BASE_558!D:R,14)/1000),(VLOOKUP(A18,BASE_558!D:R,13)/1000)),"")</f>
        <v/>
      </c>
      <c r="CB18" s="344" t="str">
        <f>IFERROR(VLOOKUP($A18,'BASE_558 EX'!$D:$R,15,FALSE),"")</f>
        <v xml:space="preserve">              824,69</v>
      </c>
      <c r="CC18" s="442"/>
      <c r="CD18" s="442">
        <f t="shared" si="8"/>
        <v>0</v>
      </c>
    </row>
    <row r="19" spans="1:82" s="23" customFormat="1" ht="24.75" customHeight="1">
      <c r="A19" s="309" t="s">
        <v>2511</v>
      </c>
      <c r="B19" s="309" t="s">
        <v>1923</v>
      </c>
      <c r="C19" s="187">
        <v>44468</v>
      </c>
      <c r="D19" s="309" t="s">
        <v>2200</v>
      </c>
      <c r="E19" s="309" t="s">
        <v>2200</v>
      </c>
      <c r="F19" s="309" t="s">
        <v>176</v>
      </c>
      <c r="G19" s="339" t="s">
        <v>1177</v>
      </c>
      <c r="H19" s="339" t="s">
        <v>8877</v>
      </c>
      <c r="I19" s="6" t="s">
        <v>218</v>
      </c>
      <c r="J19" s="83" t="s">
        <v>462</v>
      </c>
      <c r="K19" s="7" t="s">
        <v>1600</v>
      </c>
      <c r="L19" s="206"/>
      <c r="M19" s="206">
        <v>0</v>
      </c>
      <c r="N19" s="206">
        <v>0</v>
      </c>
      <c r="O19" s="206">
        <v>0</v>
      </c>
      <c r="P19" s="206"/>
      <c r="Q19" s="206">
        <f t="shared" si="3"/>
        <v>0</v>
      </c>
      <c r="R19" s="206"/>
      <c r="S19" s="206"/>
      <c r="T19" s="223"/>
      <c r="U19" s="169">
        <f t="shared" si="4"/>
        <v>0</v>
      </c>
      <c r="V19" s="372">
        <v>0</v>
      </c>
      <c r="W19" s="343"/>
      <c r="X19" s="332">
        <f>SUMIFS(BASE_EX!$J:$J,BASE_EX!$B:$B,'Direct Charge'!$A19,BASE_EX!$C:$C,"janeiro")</f>
        <v>0</v>
      </c>
      <c r="Y19" s="373"/>
      <c r="Z19" s="372">
        <v>0</v>
      </c>
      <c r="AA19" s="343"/>
      <c r="AB19" s="332">
        <f>SUMIFS(BASE_EX!$J:$J,BASE_EX!$B:$B,'Direct Charge'!$A19,BASE_EX!$C:$C,"fevereiro")</f>
        <v>0</v>
      </c>
      <c r="AC19" s="373"/>
      <c r="AD19" s="372"/>
      <c r="AE19" s="343"/>
      <c r="AF19" s="332">
        <f>SUMIFS(BASE_EX!$J:$J,BASE_EX!$B:$B,'Direct Charge'!$A19,BASE_EX!$C:$C,"março")</f>
        <v>0</v>
      </c>
      <c r="AG19" s="373"/>
      <c r="AH19" s="372"/>
      <c r="AI19" s="343"/>
      <c r="AJ19" s="332">
        <f>SUMIFS(BASE_EX!$J:$J,BASE_EX!$B:$B,'Direct Charge'!$A19,BASE_EX!$C:$C,"abril")</f>
        <v>0</v>
      </c>
      <c r="AK19" s="373"/>
      <c r="AL19" s="372"/>
      <c r="AM19" s="343"/>
      <c r="AN19" s="332">
        <f>SUMIFS(BASE_EX!$J:$J,BASE_EX!$B:$B,'Direct Charge'!$A19,BASE_EX!$C:$C,"maio")</f>
        <v>0</v>
      </c>
      <c r="AO19" s="373"/>
      <c r="AP19" s="372"/>
      <c r="AQ19" s="343"/>
      <c r="AR19" s="332">
        <f>SUMIFS(BASE_EX!$J:$J,BASE_EX!$B:$B,'Direct Charge'!$A19,BASE_EX!$C:$C,"junho")</f>
        <v>0</v>
      </c>
      <c r="AS19" s="373"/>
      <c r="AT19" s="372"/>
      <c r="AU19" s="343"/>
      <c r="AV19" s="332">
        <f>SUMIFS(BASE_EX!$J:$J,BASE_EX!$B:$B,'Direct Charge'!$A19,BASE_EX!$C:$C,"julho")</f>
        <v>0</v>
      </c>
      <c r="AW19" s="373"/>
      <c r="AX19" s="372"/>
      <c r="AY19" s="343"/>
      <c r="AZ19" s="332">
        <f>SUMIFS(BASE_EX!$J:$J,BASE_EX!$B:$B,'Direct Charge'!$A19,BASE_EX!$C:$C,"agosto")</f>
        <v>0</v>
      </c>
      <c r="BA19" s="373"/>
      <c r="BB19" s="372"/>
      <c r="BC19" s="343"/>
      <c r="BD19" s="332">
        <f>SUMIFS(BASE_EX!$J:$J,BASE_EX!$B:$B,'Direct Charge'!$A19,BASE_EX!$C:$C,"setembro")</f>
        <v>0</v>
      </c>
      <c r="BE19" s="373"/>
      <c r="BF19" s="372"/>
      <c r="BG19" s="343"/>
      <c r="BH19" s="332">
        <f>SUMIFS(BASE_EX!$J:$J,BASE_EX!$B:$B,'Direct Charge'!$A19,BASE_EX!$C:$C,"outubro")</f>
        <v>0</v>
      </c>
      <c r="BI19" s="373"/>
      <c r="BJ19" s="372"/>
      <c r="BK19" s="343"/>
      <c r="BL19" s="332">
        <f>SUMIFS(BASE_EX!$J:$J,BASE_EX!$B:$B,'Direct Charge'!$A19,BASE_EX!$C:$C,"novembro")</f>
        <v>0</v>
      </c>
      <c r="BM19" s="373"/>
      <c r="BN19" s="372"/>
      <c r="BO19" s="343"/>
      <c r="BP19" s="332">
        <f>SUMIFS(BASE_EX!$J:$J,BASE_EX!$B:$B,'Direct Charge'!$A19,BASE_EX!$C:$C,"dezembro")</f>
        <v>0</v>
      </c>
      <c r="BQ19" s="373"/>
      <c r="BR19" s="452"/>
      <c r="BS19" s="156">
        <f t="shared" si="5"/>
        <v>0</v>
      </c>
      <c r="BT19" s="320">
        <f t="shared" si="6"/>
        <v>0</v>
      </c>
      <c r="BU19" s="157" t="e">
        <f>SUM(L19,M19,N19,O19,U19)-#REF!</f>
        <v>#REF!</v>
      </c>
      <c r="BV19" s="346">
        <f t="shared" si="7"/>
        <v>0</v>
      </c>
      <c r="BW19" s="344" t="str">
        <f>IFERROR(VLOOKUP($A19,'BASE_558 EX'!$D:$R,8,FALSE),"")</f>
        <v/>
      </c>
      <c r="BX19" s="344" t="str">
        <f>IFERROR(VLOOKUP($A19,'BASE_558 EX'!$D:$R,9,FALSE),"")</f>
        <v/>
      </c>
      <c r="BY19" s="344" t="str">
        <f>IFERROR(VLOOKUP($A19,'BASE_558 EX'!$D:$R,10,FALSE),"")</f>
        <v/>
      </c>
      <c r="BZ19" s="344" t="str">
        <f>IFERROR(VLOOKUP($A19,'BASE_558 EX'!$D:$R,11,FALSE),"")</f>
        <v/>
      </c>
      <c r="CA19" s="344" t="str">
        <f>IFERROR(IF(BASE_558!$P$14="RemOrdPla",(VLOOKUP(A19,BASE_558!D:R,14)/1000),(VLOOKUP(A19,BASE_558!D:R,13)/1000)),"")</f>
        <v/>
      </c>
      <c r="CB19" s="344" t="str">
        <f>IFERROR(VLOOKUP($A19,'BASE_558 EX'!$D:$R,15,FALSE),"")</f>
        <v/>
      </c>
      <c r="CC19" s="442"/>
      <c r="CD19" s="442">
        <f t="shared" si="8"/>
        <v>0</v>
      </c>
    </row>
    <row r="20" spans="1:82" s="23" customFormat="1" ht="24.75" customHeight="1">
      <c r="A20" s="309" t="s">
        <v>1176</v>
      </c>
      <c r="B20" s="309" t="s">
        <v>1923</v>
      </c>
      <c r="C20" s="187">
        <v>44469</v>
      </c>
      <c r="D20" s="309" t="s">
        <v>2200</v>
      </c>
      <c r="E20" s="309" t="s">
        <v>2200</v>
      </c>
      <c r="F20" s="309" t="s">
        <v>176</v>
      </c>
      <c r="G20" s="339" t="s">
        <v>1178</v>
      </c>
      <c r="H20" s="339" t="s">
        <v>8877</v>
      </c>
      <c r="I20" s="6" t="s">
        <v>218</v>
      </c>
      <c r="J20" s="83" t="s">
        <v>462</v>
      </c>
      <c r="K20" s="7" t="s">
        <v>1600</v>
      </c>
      <c r="L20" s="206"/>
      <c r="M20" s="206">
        <v>0</v>
      </c>
      <c r="N20" s="206">
        <v>0</v>
      </c>
      <c r="O20" s="206">
        <v>0</v>
      </c>
      <c r="P20" s="206"/>
      <c r="Q20" s="206">
        <f t="shared" si="3"/>
        <v>0</v>
      </c>
      <c r="R20" s="206"/>
      <c r="S20" s="206"/>
      <c r="T20" s="223"/>
      <c r="U20" s="169">
        <f t="shared" si="4"/>
        <v>0</v>
      </c>
      <c r="V20" s="372">
        <v>0</v>
      </c>
      <c r="W20" s="343"/>
      <c r="X20" s="332">
        <f>SUMIFS(BASE_EX!$J:$J,BASE_EX!$B:$B,'Direct Charge'!$A20,BASE_EX!$C:$C,"janeiro")</f>
        <v>0</v>
      </c>
      <c r="Y20" s="373"/>
      <c r="Z20" s="372">
        <v>0</v>
      </c>
      <c r="AA20" s="343"/>
      <c r="AB20" s="332">
        <f>SUMIFS(BASE_EX!$J:$J,BASE_EX!$B:$B,'Direct Charge'!$A20,BASE_EX!$C:$C,"fevereiro")</f>
        <v>0</v>
      </c>
      <c r="AC20" s="373"/>
      <c r="AD20" s="372"/>
      <c r="AE20" s="343"/>
      <c r="AF20" s="332">
        <f>SUMIFS(BASE_EX!$J:$J,BASE_EX!$B:$B,'Direct Charge'!$A20,BASE_EX!$C:$C,"março")</f>
        <v>0</v>
      </c>
      <c r="AG20" s="373"/>
      <c r="AH20" s="372"/>
      <c r="AI20" s="343"/>
      <c r="AJ20" s="332">
        <f>SUMIFS(BASE_EX!$J:$J,BASE_EX!$B:$B,'Direct Charge'!$A20,BASE_EX!$C:$C,"abril")</f>
        <v>0</v>
      </c>
      <c r="AK20" s="373"/>
      <c r="AL20" s="372"/>
      <c r="AM20" s="343"/>
      <c r="AN20" s="332">
        <f>SUMIFS(BASE_EX!$J:$J,BASE_EX!$B:$B,'Direct Charge'!$A20,BASE_EX!$C:$C,"maio")</f>
        <v>0</v>
      </c>
      <c r="AO20" s="373"/>
      <c r="AP20" s="372"/>
      <c r="AQ20" s="343"/>
      <c r="AR20" s="332">
        <f>SUMIFS(BASE_EX!$J:$J,BASE_EX!$B:$B,'Direct Charge'!$A20,BASE_EX!$C:$C,"junho")</f>
        <v>0</v>
      </c>
      <c r="AS20" s="373"/>
      <c r="AT20" s="372"/>
      <c r="AU20" s="343"/>
      <c r="AV20" s="332">
        <f>SUMIFS(BASE_EX!$J:$J,BASE_EX!$B:$B,'Direct Charge'!$A20,BASE_EX!$C:$C,"julho")</f>
        <v>0</v>
      </c>
      <c r="AW20" s="373"/>
      <c r="AX20" s="372"/>
      <c r="AY20" s="343"/>
      <c r="AZ20" s="332">
        <f>SUMIFS(BASE_EX!$J:$J,BASE_EX!$B:$B,'Direct Charge'!$A20,BASE_EX!$C:$C,"agosto")</f>
        <v>0</v>
      </c>
      <c r="BA20" s="373"/>
      <c r="BB20" s="372"/>
      <c r="BC20" s="343"/>
      <c r="BD20" s="332">
        <f>SUMIFS(BASE_EX!$J:$J,BASE_EX!$B:$B,'Direct Charge'!$A20,BASE_EX!$C:$C,"setembro")</f>
        <v>0</v>
      </c>
      <c r="BE20" s="373"/>
      <c r="BF20" s="372"/>
      <c r="BG20" s="343"/>
      <c r="BH20" s="332">
        <f>SUMIFS(BASE_EX!$J:$J,BASE_EX!$B:$B,'Direct Charge'!$A20,BASE_EX!$C:$C,"outubro")</f>
        <v>0</v>
      </c>
      <c r="BI20" s="373"/>
      <c r="BJ20" s="372"/>
      <c r="BK20" s="343"/>
      <c r="BL20" s="332">
        <f>SUMIFS(BASE_EX!$J:$J,BASE_EX!$B:$B,'Direct Charge'!$A20,BASE_EX!$C:$C,"novembro")</f>
        <v>0</v>
      </c>
      <c r="BM20" s="373"/>
      <c r="BN20" s="372"/>
      <c r="BO20" s="343"/>
      <c r="BP20" s="332">
        <f>SUMIFS(BASE_EX!$J:$J,BASE_EX!$B:$B,'Direct Charge'!$A20,BASE_EX!$C:$C,"dezembro")</f>
        <v>0</v>
      </c>
      <c r="BQ20" s="373"/>
      <c r="BR20" s="452"/>
      <c r="BS20" s="156">
        <f t="shared" si="5"/>
        <v>0</v>
      </c>
      <c r="BT20" s="320">
        <f t="shared" si="6"/>
        <v>0</v>
      </c>
      <c r="BU20" s="157" t="e">
        <f>SUM(L20,M20,N20,O20,U20)-#REF!</f>
        <v>#REF!</v>
      </c>
      <c r="BV20" s="346">
        <f t="shared" si="7"/>
        <v>0</v>
      </c>
      <c r="BW20" s="344" t="str">
        <f>IFERROR(VLOOKUP($A20,'BASE_558 EX'!$D:$R,8,FALSE),"")</f>
        <v/>
      </c>
      <c r="BX20" s="344" t="str">
        <f>IFERROR(VLOOKUP($A20,'BASE_558 EX'!$D:$R,9,FALSE),"")</f>
        <v/>
      </c>
      <c r="BY20" s="344" t="str">
        <f>IFERROR(VLOOKUP($A20,'BASE_558 EX'!$D:$R,10,FALSE),"")</f>
        <v/>
      </c>
      <c r="BZ20" s="344" t="str">
        <f>IFERROR(VLOOKUP($A20,'BASE_558 EX'!$D:$R,11,FALSE),"")</f>
        <v/>
      </c>
      <c r="CA20" s="344" t="str">
        <f>IFERROR(IF(BASE_558!$P$14="RemOrdPla",(VLOOKUP(A20,BASE_558!D:R,14)/1000),(VLOOKUP(A20,BASE_558!D:R,13)/1000)),"")</f>
        <v/>
      </c>
      <c r="CB20" s="344" t="str">
        <f>IFERROR(VLOOKUP($A20,'BASE_558 EX'!$D:$R,15,FALSE),"")</f>
        <v/>
      </c>
      <c r="CC20" s="442"/>
      <c r="CD20" s="442">
        <f t="shared" si="8"/>
        <v>0</v>
      </c>
    </row>
    <row r="21" spans="1:82" s="23" customFormat="1" ht="24.75" customHeight="1">
      <c r="A21" s="309" t="s">
        <v>1179</v>
      </c>
      <c r="B21" s="309" t="s">
        <v>1923</v>
      </c>
      <c r="C21" s="187">
        <v>44470</v>
      </c>
      <c r="D21" s="309" t="s">
        <v>477</v>
      </c>
      <c r="E21" s="309" t="s">
        <v>2849</v>
      </c>
      <c r="F21" s="309" t="s">
        <v>176</v>
      </c>
      <c r="G21" s="339" t="s">
        <v>1180</v>
      </c>
      <c r="H21" s="339" t="s">
        <v>8877</v>
      </c>
      <c r="I21" s="6" t="s">
        <v>195</v>
      </c>
      <c r="J21" s="83" t="s">
        <v>219</v>
      </c>
      <c r="K21" s="507" t="s">
        <v>11267</v>
      </c>
      <c r="L21" s="206"/>
      <c r="M21" s="206">
        <v>4187.18</v>
      </c>
      <c r="N21" s="206">
        <v>0</v>
      </c>
      <c r="O21" s="206">
        <v>0</v>
      </c>
      <c r="P21" s="206"/>
      <c r="Q21" s="206">
        <f t="shared" si="3"/>
        <v>6605.54</v>
      </c>
      <c r="R21" s="206"/>
      <c r="S21" s="206"/>
      <c r="T21" s="223"/>
      <c r="U21" s="169">
        <f t="shared" si="4"/>
        <v>6605.54</v>
      </c>
      <c r="V21" s="372">
        <v>0</v>
      </c>
      <c r="W21" s="343"/>
      <c r="X21" s="332">
        <f>SUMIFS(BASE_EX!$J:$J,BASE_EX!$B:$B,'Direct Charge'!$A21,BASE_EX!$C:$C,"janeiro")</f>
        <v>0</v>
      </c>
      <c r="Y21" s="373"/>
      <c r="Z21" s="372">
        <v>0</v>
      </c>
      <c r="AA21" s="343"/>
      <c r="AB21" s="332">
        <f>SUMIFS(BASE_EX!$J:$J,BASE_EX!$B:$B,'Direct Charge'!$A21,BASE_EX!$C:$C,"fevereiro")</f>
        <v>0</v>
      </c>
      <c r="AC21" s="373">
        <v>0</v>
      </c>
      <c r="AD21" s="372">
        <v>6700</v>
      </c>
      <c r="AE21" s="343"/>
      <c r="AF21" s="332">
        <f>SUMIFS(BASE_EX!$J:$J,BASE_EX!$B:$B,'Direct Charge'!$A21,BASE_EX!$C:$C,"março")</f>
        <v>0</v>
      </c>
      <c r="AG21" s="373">
        <v>0</v>
      </c>
      <c r="AH21" s="372">
        <v>6700</v>
      </c>
      <c r="AI21" s="343">
        <v>1205.54</v>
      </c>
      <c r="AJ21" s="332">
        <f>SUMIFS(BASE_EX!$J:$J,BASE_EX!$B:$B,'Direct Charge'!$A21,BASE_EX!$C:$C,"abril")</f>
        <v>1205.54</v>
      </c>
      <c r="AK21" s="373">
        <v>1205.54</v>
      </c>
      <c r="AL21" s="372">
        <v>5400</v>
      </c>
      <c r="AM21" s="343"/>
      <c r="AN21" s="332">
        <f>SUMIFS(BASE_EX!$J:$J,BASE_EX!$B:$B,'Direct Charge'!$A21,BASE_EX!$C:$C,"maio")</f>
        <v>0</v>
      </c>
      <c r="AO21" s="373"/>
      <c r="AP21" s="372">
        <v>5400</v>
      </c>
      <c r="AQ21" s="343"/>
      <c r="AR21" s="332">
        <f>SUMIFS(BASE_EX!$J:$J,BASE_EX!$B:$B,'Direct Charge'!$A21,BASE_EX!$C:$C,"junho")</f>
        <v>0</v>
      </c>
      <c r="AS21" s="373">
        <v>0</v>
      </c>
      <c r="AT21" s="372"/>
      <c r="AU21" s="343"/>
      <c r="AV21" s="332">
        <f>SUMIFS(BASE_EX!$J:$J,BASE_EX!$B:$B,'Direct Charge'!$A21,BASE_EX!$C:$C,"julho")</f>
        <v>0</v>
      </c>
      <c r="AW21" s="373">
        <v>5400</v>
      </c>
      <c r="AX21" s="372"/>
      <c r="AY21" s="343"/>
      <c r="AZ21" s="332">
        <f>SUMIFS(BASE_EX!$J:$J,BASE_EX!$B:$B,'Direct Charge'!$A21,BASE_EX!$C:$C,"agosto")</f>
        <v>0</v>
      </c>
      <c r="BA21" s="373"/>
      <c r="BB21" s="372"/>
      <c r="BC21" s="343"/>
      <c r="BD21" s="332">
        <f>SUMIFS(BASE_EX!$J:$J,BASE_EX!$B:$B,'Direct Charge'!$A21,BASE_EX!$C:$C,"setembro")</f>
        <v>0</v>
      </c>
      <c r="BE21" s="373"/>
      <c r="BF21" s="372"/>
      <c r="BG21" s="343"/>
      <c r="BH21" s="332">
        <f>SUMIFS(BASE_EX!$J:$J,BASE_EX!$B:$B,'Direct Charge'!$A21,BASE_EX!$C:$C,"outubro")</f>
        <v>0</v>
      </c>
      <c r="BI21" s="373"/>
      <c r="BJ21" s="372"/>
      <c r="BK21" s="343"/>
      <c r="BL21" s="332">
        <f>SUMIFS(BASE_EX!$J:$J,BASE_EX!$B:$B,'Direct Charge'!$A21,BASE_EX!$C:$C,"novembro")</f>
        <v>0</v>
      </c>
      <c r="BM21" s="373"/>
      <c r="BN21" s="372"/>
      <c r="BO21" s="343"/>
      <c r="BP21" s="332">
        <f>SUMIFS(BASE_EX!$J:$J,BASE_EX!$B:$B,'Direct Charge'!$A21,BASE_EX!$C:$C,"dezembro")</f>
        <v>0</v>
      </c>
      <c r="BQ21" s="373"/>
      <c r="BR21" s="452">
        <v>4600</v>
      </c>
      <c r="BS21" s="156">
        <f t="shared" si="5"/>
        <v>-5400</v>
      </c>
      <c r="BT21" s="320">
        <f t="shared" si="6"/>
        <v>0</v>
      </c>
      <c r="BU21" s="157" t="e">
        <f>SUM(L21,M21,N21,O21,U21)-#REF!</f>
        <v>#REF!</v>
      </c>
      <c r="BV21" s="346">
        <f t="shared" si="7"/>
        <v>6605.54</v>
      </c>
      <c r="BW21" s="344" t="str">
        <f>IFERROR(VLOOKUP($A21,'BASE_558 EX'!$D:$R,8,FALSE),"")</f>
        <v xml:space="preserve">           12.509,25</v>
      </c>
      <c r="BX21" s="344" t="str">
        <f>IFERROR(VLOOKUP($A21,'BASE_558 EX'!$D:$R,9,FALSE),"")</f>
        <v xml:space="preserve">            5.392,72</v>
      </c>
      <c r="BY21" s="344" t="str">
        <f>IFERROR(VLOOKUP($A21,'BASE_558 EX'!$D:$R,10,FALSE),"")</f>
        <v xml:space="preserve">            5.466,76</v>
      </c>
      <c r="BZ21" s="344" t="str">
        <f>IFERROR(VLOOKUP($A21,'BASE_558 EX'!$D:$R,11,FALSE),"")</f>
        <v xml:space="preserve">                0,00</v>
      </c>
      <c r="CA21" s="344" t="str">
        <f>IFERROR(IF(BASE_558!$P$14="RemOrdPla",(VLOOKUP(A21,BASE_558!D:R,14)/1000),(VLOOKUP(A21,BASE_558!D:R,13)/1000)),"")</f>
        <v/>
      </c>
      <c r="CB21" s="344" t="str">
        <f>IFERROR(VLOOKUP($A21,'BASE_558 EX'!$D:$R,15,FALSE),"")</f>
        <v xml:space="preserve">            1.649,77</v>
      </c>
      <c r="CC21" s="442"/>
      <c r="CD21" s="442">
        <f t="shared" si="8"/>
        <v>0</v>
      </c>
    </row>
    <row r="22" spans="1:82" s="23" customFormat="1" ht="25.4" customHeight="1">
      <c r="A22" s="309" t="s">
        <v>1297</v>
      </c>
      <c r="B22" s="309" t="s">
        <v>1923</v>
      </c>
      <c r="C22" s="187">
        <v>44484</v>
      </c>
      <c r="D22" s="309" t="s">
        <v>481</v>
      </c>
      <c r="E22" s="309" t="s">
        <v>481</v>
      </c>
      <c r="F22" s="309" t="s">
        <v>176</v>
      </c>
      <c r="G22" s="339" t="s">
        <v>1298</v>
      </c>
      <c r="H22" s="339" t="s">
        <v>8877</v>
      </c>
      <c r="I22" s="6" t="s">
        <v>218</v>
      </c>
      <c r="J22" s="83" t="s">
        <v>462</v>
      </c>
      <c r="K22" s="7" t="s">
        <v>1600</v>
      </c>
      <c r="L22" s="206"/>
      <c r="M22" s="206">
        <v>0</v>
      </c>
      <c r="N22" s="206">
        <v>14102.83</v>
      </c>
      <c r="O22" s="206">
        <v>0</v>
      </c>
      <c r="P22" s="206"/>
      <c r="Q22" s="206">
        <f t="shared" si="3"/>
        <v>0</v>
      </c>
      <c r="R22" s="206"/>
      <c r="S22" s="206"/>
      <c r="T22" s="223"/>
      <c r="U22" s="169">
        <f t="shared" si="4"/>
        <v>0</v>
      </c>
      <c r="V22" s="372">
        <v>0</v>
      </c>
      <c r="W22" s="343"/>
      <c r="X22" s="332">
        <f>SUMIFS(BASE_EX!$J:$J,BASE_EX!$B:$B,'Direct Charge'!$A22,BASE_EX!$C:$C,"janeiro")</f>
        <v>0</v>
      </c>
      <c r="Y22" s="373"/>
      <c r="Z22" s="372">
        <v>0</v>
      </c>
      <c r="AA22" s="343"/>
      <c r="AB22" s="332">
        <f>SUMIFS(BASE_EX!$J:$J,BASE_EX!$B:$B,'Direct Charge'!$A22,BASE_EX!$C:$C,"fevereiro")</f>
        <v>0</v>
      </c>
      <c r="AC22" s="373"/>
      <c r="AD22" s="372"/>
      <c r="AE22" s="343"/>
      <c r="AF22" s="332">
        <f>SUMIFS(BASE_EX!$J:$J,BASE_EX!$B:$B,'Direct Charge'!$A22,BASE_EX!$C:$C,"março")</f>
        <v>0</v>
      </c>
      <c r="AG22" s="373"/>
      <c r="AH22" s="372"/>
      <c r="AI22" s="343"/>
      <c r="AJ22" s="332">
        <f>SUMIFS(BASE_EX!$J:$J,BASE_EX!$B:$B,'Direct Charge'!$A22,BASE_EX!$C:$C,"abril")</f>
        <v>0</v>
      </c>
      <c r="AK22" s="373"/>
      <c r="AL22" s="372"/>
      <c r="AM22" s="343"/>
      <c r="AN22" s="332">
        <f>SUMIFS(BASE_EX!$J:$J,BASE_EX!$B:$B,'Direct Charge'!$A22,BASE_EX!$C:$C,"maio")</f>
        <v>0</v>
      </c>
      <c r="AO22" s="373"/>
      <c r="AP22" s="372"/>
      <c r="AQ22" s="343"/>
      <c r="AR22" s="332">
        <f>SUMIFS(BASE_EX!$J:$J,BASE_EX!$B:$B,'Direct Charge'!$A22,BASE_EX!$C:$C,"junho")</f>
        <v>0</v>
      </c>
      <c r="AS22" s="373"/>
      <c r="AT22" s="372"/>
      <c r="AU22" s="343"/>
      <c r="AV22" s="332">
        <f>SUMIFS(BASE_EX!$J:$J,BASE_EX!$B:$B,'Direct Charge'!$A22,BASE_EX!$C:$C,"julho")</f>
        <v>0</v>
      </c>
      <c r="AW22" s="373"/>
      <c r="AX22" s="372"/>
      <c r="AY22" s="343"/>
      <c r="AZ22" s="332">
        <f>SUMIFS(BASE_EX!$J:$J,BASE_EX!$B:$B,'Direct Charge'!$A22,BASE_EX!$C:$C,"agosto")</f>
        <v>0</v>
      </c>
      <c r="BA22" s="373"/>
      <c r="BB22" s="372"/>
      <c r="BC22" s="343"/>
      <c r="BD22" s="332">
        <f>SUMIFS(BASE_EX!$J:$J,BASE_EX!$B:$B,'Direct Charge'!$A22,BASE_EX!$C:$C,"setembro")</f>
        <v>0</v>
      </c>
      <c r="BE22" s="373"/>
      <c r="BF22" s="372"/>
      <c r="BG22" s="343"/>
      <c r="BH22" s="332">
        <f>SUMIFS(BASE_EX!$J:$J,BASE_EX!$B:$B,'Direct Charge'!$A22,BASE_EX!$C:$C,"outubro")</f>
        <v>0</v>
      </c>
      <c r="BI22" s="373"/>
      <c r="BJ22" s="372"/>
      <c r="BK22" s="343"/>
      <c r="BL22" s="332">
        <f>SUMIFS(BASE_EX!$J:$J,BASE_EX!$B:$B,'Direct Charge'!$A22,BASE_EX!$C:$C,"novembro")</f>
        <v>0</v>
      </c>
      <c r="BM22" s="373"/>
      <c r="BN22" s="372"/>
      <c r="BO22" s="343"/>
      <c r="BP22" s="332">
        <f>SUMIFS(BASE_EX!$J:$J,BASE_EX!$B:$B,'Direct Charge'!$A22,BASE_EX!$C:$C,"dezembro")</f>
        <v>0</v>
      </c>
      <c r="BQ22" s="373"/>
      <c r="BR22" s="452"/>
      <c r="BS22" s="156">
        <f t="shared" si="5"/>
        <v>0</v>
      </c>
      <c r="BT22" s="320">
        <f t="shared" si="6"/>
        <v>0</v>
      </c>
      <c r="BU22" s="157" t="e">
        <f>SUM(L22,M22,N22,O22,U22)-#REF!</f>
        <v>#REF!</v>
      </c>
      <c r="BV22" s="346">
        <f t="shared" si="7"/>
        <v>0</v>
      </c>
      <c r="BW22" s="344" t="str">
        <f>IFERROR(VLOOKUP($A22,'BASE_558 EX'!$D:$R,8,FALSE),"")</f>
        <v xml:space="preserve">           13.105,85</v>
      </c>
      <c r="BX22" s="344" t="str">
        <f>IFERROR(VLOOKUP($A22,'BASE_558 EX'!$D:$R,9,FALSE),"")</f>
        <v xml:space="preserve">           14.102,83</v>
      </c>
      <c r="BY22" s="344" t="str">
        <f>IFERROR(VLOOKUP($A22,'BASE_558 EX'!$D:$R,10,FALSE),"")</f>
        <v xml:space="preserve">                0,00</v>
      </c>
      <c r="BZ22" s="344" t="str">
        <f>IFERROR(VLOOKUP($A22,'BASE_558 EX'!$D:$R,11,FALSE),"")</f>
        <v xml:space="preserve">                0,00</v>
      </c>
      <c r="CA22" s="344" t="str">
        <f>IFERROR(IF(BASE_558!$P$14="RemOrdPla",(VLOOKUP(A22,BASE_558!D:R,14)/1000),(VLOOKUP(A22,BASE_558!D:R,13)/1000)),"")</f>
        <v/>
      </c>
      <c r="CB22" s="344" t="str">
        <f>IFERROR(VLOOKUP($A22,'BASE_558 EX'!$D:$R,15,FALSE),"")</f>
        <v>-996,98</v>
      </c>
      <c r="CC22" s="442"/>
      <c r="CD22" s="442">
        <f t="shared" si="8"/>
        <v>0</v>
      </c>
    </row>
    <row r="23" spans="1:82" s="23" customFormat="1" ht="25.4" customHeight="1">
      <c r="A23" s="309" t="s">
        <v>1341</v>
      </c>
      <c r="B23" s="309" t="s">
        <v>1264</v>
      </c>
      <c r="C23" s="187"/>
      <c r="D23" s="309" t="s">
        <v>2208</v>
      </c>
      <c r="E23" s="309" t="s">
        <v>2850</v>
      </c>
      <c r="F23" s="309" t="s">
        <v>176</v>
      </c>
      <c r="G23" s="339" t="s">
        <v>1342</v>
      </c>
      <c r="H23" s="339" t="s">
        <v>9112</v>
      </c>
      <c r="I23" s="6" t="s">
        <v>218</v>
      </c>
      <c r="J23" s="83" t="s">
        <v>462</v>
      </c>
      <c r="K23" s="7" t="s">
        <v>1600</v>
      </c>
      <c r="L23" s="206"/>
      <c r="M23" s="206">
        <v>0</v>
      </c>
      <c r="N23" s="206">
        <v>10377.08</v>
      </c>
      <c r="O23" s="206">
        <v>0</v>
      </c>
      <c r="P23" s="206"/>
      <c r="Q23" s="206">
        <f t="shared" si="3"/>
        <v>0</v>
      </c>
      <c r="R23" s="206"/>
      <c r="S23" s="206"/>
      <c r="T23" s="223"/>
      <c r="U23" s="169">
        <f t="shared" si="4"/>
        <v>0</v>
      </c>
      <c r="V23" s="372">
        <v>0</v>
      </c>
      <c r="W23" s="343"/>
      <c r="X23" s="332">
        <f>SUMIFS(BASE_EX!$J:$J,BASE_EX!$B:$B,'Direct Charge'!$A23,BASE_EX!$C:$C,"janeiro")</f>
        <v>0</v>
      </c>
      <c r="Y23" s="373"/>
      <c r="Z23" s="372">
        <v>0</v>
      </c>
      <c r="AA23" s="343"/>
      <c r="AB23" s="332">
        <f>SUMIFS(BASE_EX!$J:$J,BASE_EX!$B:$B,'Direct Charge'!$A23,BASE_EX!$C:$C,"fevereiro")</f>
        <v>0</v>
      </c>
      <c r="AC23" s="373"/>
      <c r="AD23" s="372"/>
      <c r="AE23" s="343"/>
      <c r="AF23" s="332">
        <f>SUMIFS(BASE_EX!$J:$J,BASE_EX!$B:$B,'Direct Charge'!$A23,BASE_EX!$C:$C,"março")</f>
        <v>0</v>
      </c>
      <c r="AG23" s="373"/>
      <c r="AH23" s="372"/>
      <c r="AI23" s="343"/>
      <c r="AJ23" s="332">
        <f>SUMIFS(BASE_EX!$J:$J,BASE_EX!$B:$B,'Direct Charge'!$A23,BASE_EX!$C:$C,"abril")</f>
        <v>0</v>
      </c>
      <c r="AK23" s="373"/>
      <c r="AL23" s="372"/>
      <c r="AM23" s="343"/>
      <c r="AN23" s="332">
        <f>SUMIFS(BASE_EX!$J:$J,BASE_EX!$B:$B,'Direct Charge'!$A23,BASE_EX!$C:$C,"maio")</f>
        <v>0</v>
      </c>
      <c r="AO23" s="373"/>
      <c r="AP23" s="372"/>
      <c r="AQ23" s="343"/>
      <c r="AR23" s="332">
        <f>SUMIFS(BASE_EX!$J:$J,BASE_EX!$B:$B,'Direct Charge'!$A23,BASE_EX!$C:$C,"junho")</f>
        <v>0</v>
      </c>
      <c r="AS23" s="373"/>
      <c r="AT23" s="372"/>
      <c r="AU23" s="343"/>
      <c r="AV23" s="332">
        <f>SUMIFS(BASE_EX!$J:$J,BASE_EX!$B:$B,'Direct Charge'!$A23,BASE_EX!$C:$C,"julho")</f>
        <v>0</v>
      </c>
      <c r="AW23" s="373"/>
      <c r="AX23" s="372"/>
      <c r="AY23" s="343"/>
      <c r="AZ23" s="332">
        <f>SUMIFS(BASE_EX!$J:$J,BASE_EX!$B:$B,'Direct Charge'!$A23,BASE_EX!$C:$C,"agosto")</f>
        <v>0</v>
      </c>
      <c r="BA23" s="373"/>
      <c r="BB23" s="372"/>
      <c r="BC23" s="343"/>
      <c r="BD23" s="332">
        <f>SUMIFS(BASE_EX!$J:$J,BASE_EX!$B:$B,'Direct Charge'!$A23,BASE_EX!$C:$C,"setembro")</f>
        <v>0</v>
      </c>
      <c r="BE23" s="373"/>
      <c r="BF23" s="372"/>
      <c r="BG23" s="343"/>
      <c r="BH23" s="332">
        <f>SUMIFS(BASE_EX!$J:$J,BASE_EX!$B:$B,'Direct Charge'!$A23,BASE_EX!$C:$C,"outubro")</f>
        <v>0</v>
      </c>
      <c r="BI23" s="373"/>
      <c r="BJ23" s="372"/>
      <c r="BK23" s="343"/>
      <c r="BL23" s="332">
        <f>SUMIFS(BASE_EX!$J:$J,BASE_EX!$B:$B,'Direct Charge'!$A23,BASE_EX!$C:$C,"novembro")</f>
        <v>0</v>
      </c>
      <c r="BM23" s="373"/>
      <c r="BN23" s="372"/>
      <c r="BO23" s="343"/>
      <c r="BP23" s="332">
        <f>SUMIFS(BASE_EX!$J:$J,BASE_EX!$B:$B,'Direct Charge'!$A23,BASE_EX!$C:$C,"dezembro")</f>
        <v>0</v>
      </c>
      <c r="BQ23" s="373"/>
      <c r="BR23" s="452"/>
      <c r="BS23" s="156">
        <f t="shared" si="5"/>
        <v>0</v>
      </c>
      <c r="BT23" s="320">
        <f t="shared" si="6"/>
        <v>0</v>
      </c>
      <c r="BU23" s="157" t="e">
        <f>SUM(L23,M23,N23,O23,U23)-#REF!</f>
        <v>#REF!</v>
      </c>
      <c r="BV23" s="346">
        <f t="shared" si="7"/>
        <v>0</v>
      </c>
      <c r="BW23" s="344" t="str">
        <f>IFERROR(VLOOKUP($A23,'BASE_558 EX'!$D:$R,8,FALSE),"")</f>
        <v xml:space="preserve">           12.518,87</v>
      </c>
      <c r="BX23" s="344" t="str">
        <f>IFERROR(VLOOKUP($A23,'BASE_558 EX'!$D:$R,9,FALSE),"")</f>
        <v xml:space="preserve">           10.377,08</v>
      </c>
      <c r="BY23" s="344" t="str">
        <f>IFERROR(VLOOKUP($A23,'BASE_558 EX'!$D:$R,10,FALSE),"")</f>
        <v xml:space="preserve">                0,00</v>
      </c>
      <c r="BZ23" s="344" t="str">
        <f>IFERROR(VLOOKUP($A23,'BASE_558 EX'!$D:$R,11,FALSE),"")</f>
        <v xml:space="preserve">                0,00</v>
      </c>
      <c r="CA23" s="344" t="str">
        <f>IFERROR(IF(BASE_558!$P$14="RemOrdPla",(VLOOKUP(A23,BASE_558!D:R,14)/1000),(VLOOKUP(A23,BASE_558!D:R,13)/1000)),"")</f>
        <v/>
      </c>
      <c r="CB23" s="344" t="str">
        <f>IFERROR(VLOOKUP($A23,'BASE_558 EX'!$D:$R,15,FALSE),"")</f>
        <v xml:space="preserve">            2.141,79</v>
      </c>
      <c r="CC23" s="442"/>
      <c r="CD23" s="442">
        <f t="shared" si="8"/>
        <v>0</v>
      </c>
    </row>
    <row r="24" spans="1:82" s="23" customFormat="1" ht="25.4" customHeight="1">
      <c r="A24" s="309" t="s">
        <v>1330</v>
      </c>
      <c r="B24" s="309" t="s">
        <v>1264</v>
      </c>
      <c r="C24" s="310"/>
      <c r="D24" s="309" t="s">
        <v>2208</v>
      </c>
      <c r="E24" s="310" t="s">
        <v>2849</v>
      </c>
      <c r="F24" s="309" t="s">
        <v>176</v>
      </c>
      <c r="G24" s="339" t="s">
        <v>1331</v>
      </c>
      <c r="H24" s="339" t="s">
        <v>9112</v>
      </c>
      <c r="I24" s="6" t="s">
        <v>218</v>
      </c>
      <c r="J24" s="83" t="s">
        <v>462</v>
      </c>
      <c r="K24" s="10" t="s">
        <v>2651</v>
      </c>
      <c r="L24" s="206"/>
      <c r="M24" s="206">
        <v>0</v>
      </c>
      <c r="N24" s="206">
        <v>20466.289999999997</v>
      </c>
      <c r="O24" s="206">
        <v>0</v>
      </c>
      <c r="P24" s="206"/>
      <c r="Q24" s="206">
        <f t="shared" si="3"/>
        <v>0</v>
      </c>
      <c r="R24" s="206"/>
      <c r="S24" s="206"/>
      <c r="T24" s="223"/>
      <c r="U24" s="169">
        <f t="shared" si="4"/>
        <v>0</v>
      </c>
      <c r="V24" s="372">
        <v>0</v>
      </c>
      <c r="W24" s="343"/>
      <c r="X24" s="332">
        <f>SUMIFS(BASE_EX!$J:$J,BASE_EX!$B:$B,'Direct Charge'!$A24,BASE_EX!$C:$C,"janeiro")</f>
        <v>0</v>
      </c>
      <c r="Y24" s="373"/>
      <c r="Z24" s="372">
        <v>0</v>
      </c>
      <c r="AA24" s="343"/>
      <c r="AB24" s="332">
        <f>SUMIFS(BASE_EX!$J:$J,BASE_EX!$B:$B,'Direct Charge'!$A24,BASE_EX!$C:$C,"fevereiro")</f>
        <v>0</v>
      </c>
      <c r="AC24" s="373"/>
      <c r="AD24" s="372"/>
      <c r="AE24" s="343"/>
      <c r="AF24" s="332">
        <f>SUMIFS(BASE_EX!$J:$J,BASE_EX!$B:$B,'Direct Charge'!$A24,BASE_EX!$C:$C,"março")</f>
        <v>0</v>
      </c>
      <c r="AG24" s="373"/>
      <c r="AH24" s="372"/>
      <c r="AI24" s="343"/>
      <c r="AJ24" s="332">
        <f>SUMIFS(BASE_EX!$J:$J,BASE_EX!$B:$B,'Direct Charge'!$A24,BASE_EX!$C:$C,"abril")</f>
        <v>0</v>
      </c>
      <c r="AK24" s="373"/>
      <c r="AL24" s="372"/>
      <c r="AM24" s="343"/>
      <c r="AN24" s="332">
        <f>SUMIFS(BASE_EX!$J:$J,BASE_EX!$B:$B,'Direct Charge'!$A24,BASE_EX!$C:$C,"maio")</f>
        <v>0</v>
      </c>
      <c r="AO24" s="373"/>
      <c r="AP24" s="372"/>
      <c r="AQ24" s="343"/>
      <c r="AR24" s="332">
        <f>SUMIFS(BASE_EX!$J:$J,BASE_EX!$B:$B,'Direct Charge'!$A24,BASE_EX!$C:$C,"junho")</f>
        <v>0</v>
      </c>
      <c r="AS24" s="373"/>
      <c r="AT24" s="372"/>
      <c r="AU24" s="343"/>
      <c r="AV24" s="332">
        <f>SUMIFS(BASE_EX!$J:$J,BASE_EX!$B:$B,'Direct Charge'!$A24,BASE_EX!$C:$C,"julho")</f>
        <v>0</v>
      </c>
      <c r="AW24" s="373"/>
      <c r="AX24" s="372"/>
      <c r="AY24" s="343"/>
      <c r="AZ24" s="332">
        <f>SUMIFS(BASE_EX!$J:$J,BASE_EX!$B:$B,'Direct Charge'!$A24,BASE_EX!$C:$C,"agosto")</f>
        <v>0</v>
      </c>
      <c r="BA24" s="373"/>
      <c r="BB24" s="372"/>
      <c r="BC24" s="343"/>
      <c r="BD24" s="332">
        <f>SUMIFS(BASE_EX!$J:$J,BASE_EX!$B:$B,'Direct Charge'!$A24,BASE_EX!$C:$C,"setembro")</f>
        <v>0</v>
      </c>
      <c r="BE24" s="373"/>
      <c r="BF24" s="372"/>
      <c r="BG24" s="343"/>
      <c r="BH24" s="332">
        <f>SUMIFS(BASE_EX!$J:$J,BASE_EX!$B:$B,'Direct Charge'!$A24,BASE_EX!$C:$C,"outubro")</f>
        <v>0</v>
      </c>
      <c r="BI24" s="373"/>
      <c r="BJ24" s="372"/>
      <c r="BK24" s="343"/>
      <c r="BL24" s="332">
        <f>SUMIFS(BASE_EX!$J:$J,BASE_EX!$B:$B,'Direct Charge'!$A24,BASE_EX!$C:$C,"novembro")</f>
        <v>0</v>
      </c>
      <c r="BM24" s="373"/>
      <c r="BN24" s="372"/>
      <c r="BO24" s="343"/>
      <c r="BP24" s="332">
        <f>SUMIFS(BASE_EX!$J:$J,BASE_EX!$B:$B,'Direct Charge'!$A24,BASE_EX!$C:$C,"dezembro")</f>
        <v>0</v>
      </c>
      <c r="BQ24" s="373"/>
      <c r="BR24" s="452"/>
      <c r="BS24" s="156">
        <f t="shared" si="5"/>
        <v>0</v>
      </c>
      <c r="BT24" s="320">
        <f t="shared" si="6"/>
        <v>0</v>
      </c>
      <c r="BU24" s="157" t="e">
        <f>SUM(L24,M24,N24,O24,U24)-#REF!</f>
        <v>#REF!</v>
      </c>
      <c r="BV24" s="346">
        <f t="shared" si="7"/>
        <v>0</v>
      </c>
      <c r="BW24" s="344" t="str">
        <f>IFERROR(VLOOKUP($A24,'BASE_558 EX'!$D:$R,8,FALSE),"")</f>
        <v xml:space="preserve">           22.383,86</v>
      </c>
      <c r="BX24" s="344" t="str">
        <f>IFERROR(VLOOKUP($A24,'BASE_558 EX'!$D:$R,9,FALSE),"")</f>
        <v xml:space="preserve">           20.466,29</v>
      </c>
      <c r="BY24" s="344" t="str">
        <f>IFERROR(VLOOKUP($A24,'BASE_558 EX'!$D:$R,10,FALSE),"")</f>
        <v xml:space="preserve">                0,00</v>
      </c>
      <c r="BZ24" s="344" t="str">
        <f>IFERROR(VLOOKUP($A24,'BASE_558 EX'!$D:$R,11,FALSE),"")</f>
        <v xml:space="preserve">                0,00</v>
      </c>
      <c r="CA24" s="344" t="str">
        <f>IFERROR(IF(BASE_558!$P$14="RemOrdPla",(VLOOKUP(A24,BASE_558!D:R,14)/1000),(VLOOKUP(A24,BASE_558!D:R,13)/1000)),"")</f>
        <v/>
      </c>
      <c r="CB24" s="344" t="str">
        <f>IFERROR(VLOOKUP($A24,'BASE_558 EX'!$D:$R,15,FALSE),"")</f>
        <v xml:space="preserve">            1.917,57</v>
      </c>
      <c r="CC24" s="442"/>
      <c r="CD24" s="442">
        <f t="shared" si="8"/>
        <v>0</v>
      </c>
    </row>
    <row r="25" spans="1:82" s="23" customFormat="1" ht="25.4" customHeight="1">
      <c r="A25" s="309" t="s">
        <v>1366</v>
      </c>
      <c r="B25" s="309" t="s">
        <v>1923</v>
      </c>
      <c r="C25" s="310"/>
      <c r="D25" s="309" t="s">
        <v>2208</v>
      </c>
      <c r="E25" s="310" t="s">
        <v>2845</v>
      </c>
      <c r="F25" s="309" t="s">
        <v>176</v>
      </c>
      <c r="G25" s="339" t="s">
        <v>1368</v>
      </c>
      <c r="H25" s="339" t="s">
        <v>8877</v>
      </c>
      <c r="I25" s="6" t="s">
        <v>218</v>
      </c>
      <c r="J25" s="83" t="s">
        <v>462</v>
      </c>
      <c r="K25" s="7" t="s">
        <v>1600</v>
      </c>
      <c r="L25" s="206"/>
      <c r="M25" s="206">
        <v>0</v>
      </c>
      <c r="N25" s="206">
        <v>19063.489999999998</v>
      </c>
      <c r="O25" s="206">
        <v>0</v>
      </c>
      <c r="P25" s="206"/>
      <c r="Q25" s="206">
        <f t="shared" si="3"/>
        <v>0</v>
      </c>
      <c r="R25" s="206"/>
      <c r="S25" s="206"/>
      <c r="T25" s="223"/>
      <c r="U25" s="169">
        <f t="shared" si="4"/>
        <v>0</v>
      </c>
      <c r="V25" s="372">
        <v>0</v>
      </c>
      <c r="W25" s="343"/>
      <c r="X25" s="332">
        <f>SUMIFS(BASE_EX!$J:$J,BASE_EX!$B:$B,'Direct Charge'!$A25,BASE_EX!$C:$C,"janeiro")</f>
        <v>0</v>
      </c>
      <c r="Y25" s="373"/>
      <c r="Z25" s="372">
        <v>0</v>
      </c>
      <c r="AA25" s="343"/>
      <c r="AB25" s="332">
        <f>SUMIFS(BASE_EX!$J:$J,BASE_EX!$B:$B,'Direct Charge'!$A25,BASE_EX!$C:$C,"fevereiro")</f>
        <v>0</v>
      </c>
      <c r="AC25" s="373"/>
      <c r="AD25" s="372"/>
      <c r="AE25" s="343"/>
      <c r="AF25" s="332">
        <f>SUMIFS(BASE_EX!$J:$J,BASE_EX!$B:$B,'Direct Charge'!$A25,BASE_EX!$C:$C,"março")</f>
        <v>0</v>
      </c>
      <c r="AG25" s="373"/>
      <c r="AH25" s="372"/>
      <c r="AI25" s="343"/>
      <c r="AJ25" s="332">
        <f>SUMIFS(BASE_EX!$J:$J,BASE_EX!$B:$B,'Direct Charge'!$A25,BASE_EX!$C:$C,"abril")</f>
        <v>0</v>
      </c>
      <c r="AK25" s="373"/>
      <c r="AL25" s="372"/>
      <c r="AM25" s="343"/>
      <c r="AN25" s="332">
        <f>SUMIFS(BASE_EX!$J:$J,BASE_EX!$B:$B,'Direct Charge'!$A25,BASE_EX!$C:$C,"maio")</f>
        <v>0</v>
      </c>
      <c r="AO25" s="373"/>
      <c r="AP25" s="372"/>
      <c r="AQ25" s="343"/>
      <c r="AR25" s="332">
        <f>SUMIFS(BASE_EX!$J:$J,BASE_EX!$B:$B,'Direct Charge'!$A25,BASE_EX!$C:$C,"junho")</f>
        <v>0</v>
      </c>
      <c r="AS25" s="373"/>
      <c r="AT25" s="372"/>
      <c r="AU25" s="343"/>
      <c r="AV25" s="332">
        <f>SUMIFS(BASE_EX!$J:$J,BASE_EX!$B:$B,'Direct Charge'!$A25,BASE_EX!$C:$C,"julho")</f>
        <v>0</v>
      </c>
      <c r="AW25" s="373"/>
      <c r="AX25" s="372"/>
      <c r="AY25" s="343"/>
      <c r="AZ25" s="332">
        <f>SUMIFS(BASE_EX!$J:$J,BASE_EX!$B:$B,'Direct Charge'!$A25,BASE_EX!$C:$C,"agosto")</f>
        <v>0</v>
      </c>
      <c r="BA25" s="373"/>
      <c r="BB25" s="372"/>
      <c r="BC25" s="343"/>
      <c r="BD25" s="332">
        <f>SUMIFS(BASE_EX!$J:$J,BASE_EX!$B:$B,'Direct Charge'!$A25,BASE_EX!$C:$C,"setembro")</f>
        <v>0</v>
      </c>
      <c r="BE25" s="373"/>
      <c r="BF25" s="372"/>
      <c r="BG25" s="343"/>
      <c r="BH25" s="332">
        <f>SUMIFS(BASE_EX!$J:$J,BASE_EX!$B:$B,'Direct Charge'!$A25,BASE_EX!$C:$C,"outubro")</f>
        <v>0</v>
      </c>
      <c r="BI25" s="373"/>
      <c r="BJ25" s="372"/>
      <c r="BK25" s="343"/>
      <c r="BL25" s="332">
        <f>SUMIFS(BASE_EX!$J:$J,BASE_EX!$B:$B,'Direct Charge'!$A25,BASE_EX!$C:$C,"novembro")</f>
        <v>0</v>
      </c>
      <c r="BM25" s="373"/>
      <c r="BN25" s="372"/>
      <c r="BO25" s="343"/>
      <c r="BP25" s="332">
        <f>SUMIFS(BASE_EX!$J:$J,BASE_EX!$B:$B,'Direct Charge'!$A25,BASE_EX!$C:$C,"dezembro")</f>
        <v>0</v>
      </c>
      <c r="BQ25" s="373"/>
      <c r="BR25" s="452"/>
      <c r="BS25" s="156">
        <f t="shared" si="5"/>
        <v>0</v>
      </c>
      <c r="BT25" s="320">
        <f t="shared" si="6"/>
        <v>0</v>
      </c>
      <c r="BU25" s="157" t="e">
        <f>SUM(L25,M25,N25,O25,U25)-#REF!</f>
        <v>#REF!</v>
      </c>
      <c r="BV25" s="346">
        <f t="shared" si="7"/>
        <v>0</v>
      </c>
      <c r="BW25" s="344" t="str">
        <f>IFERROR(VLOOKUP($A25,'BASE_558 EX'!$D:$R,8,FALSE),"")</f>
        <v xml:space="preserve">           21.970,48</v>
      </c>
      <c r="BX25" s="344" t="str">
        <f>IFERROR(VLOOKUP($A25,'BASE_558 EX'!$D:$R,9,FALSE),"")</f>
        <v xml:space="preserve">           19.063,49</v>
      </c>
      <c r="BY25" s="344" t="str">
        <f>IFERROR(VLOOKUP($A25,'BASE_558 EX'!$D:$R,10,FALSE),"")</f>
        <v xml:space="preserve">                0,00</v>
      </c>
      <c r="BZ25" s="344" t="str">
        <f>IFERROR(VLOOKUP($A25,'BASE_558 EX'!$D:$R,11,FALSE),"")</f>
        <v xml:space="preserve">                0,00</v>
      </c>
      <c r="CA25" s="344" t="str">
        <f>IFERROR(IF(BASE_558!$P$14="RemOrdPla",(VLOOKUP(A25,BASE_558!D:R,14)/1000),(VLOOKUP(A25,BASE_558!D:R,13)/1000)),"")</f>
        <v/>
      </c>
      <c r="CB25" s="344" t="str">
        <f>IFERROR(VLOOKUP($A25,'BASE_558 EX'!$D:$R,15,FALSE),"")</f>
        <v xml:space="preserve">            2.906,99</v>
      </c>
      <c r="CC25" s="442"/>
      <c r="CD25" s="442">
        <f t="shared" si="8"/>
        <v>0</v>
      </c>
    </row>
    <row r="26" spans="1:82" s="23" customFormat="1" ht="25.4" customHeight="1">
      <c r="A26" s="309" t="s">
        <v>1367</v>
      </c>
      <c r="B26" s="309" t="s">
        <v>1923</v>
      </c>
      <c r="C26" s="310"/>
      <c r="D26" s="309" t="s">
        <v>2208</v>
      </c>
      <c r="E26" s="310" t="s">
        <v>2845</v>
      </c>
      <c r="F26" s="309" t="s">
        <v>176</v>
      </c>
      <c r="G26" s="339" t="s">
        <v>1369</v>
      </c>
      <c r="H26" s="339" t="s">
        <v>8877</v>
      </c>
      <c r="I26" s="6" t="s">
        <v>218</v>
      </c>
      <c r="J26" s="83" t="s">
        <v>462</v>
      </c>
      <c r="K26" s="7" t="s">
        <v>1600</v>
      </c>
      <c r="L26" s="206"/>
      <c r="M26" s="206">
        <v>0</v>
      </c>
      <c r="N26" s="206">
        <v>12778.570000000002</v>
      </c>
      <c r="O26" s="206">
        <v>0</v>
      </c>
      <c r="P26" s="206"/>
      <c r="Q26" s="206">
        <f t="shared" si="3"/>
        <v>0</v>
      </c>
      <c r="R26" s="206"/>
      <c r="S26" s="206"/>
      <c r="T26" s="223"/>
      <c r="U26" s="169">
        <f t="shared" si="4"/>
        <v>0</v>
      </c>
      <c r="V26" s="372">
        <v>0</v>
      </c>
      <c r="W26" s="343"/>
      <c r="X26" s="332">
        <f>SUMIFS(BASE_EX!$J:$J,BASE_EX!$B:$B,'Direct Charge'!$A26,BASE_EX!$C:$C,"janeiro")</f>
        <v>0</v>
      </c>
      <c r="Y26" s="373"/>
      <c r="Z26" s="372">
        <v>0</v>
      </c>
      <c r="AA26" s="343"/>
      <c r="AB26" s="332">
        <f>SUMIFS(BASE_EX!$J:$J,BASE_EX!$B:$B,'Direct Charge'!$A26,BASE_EX!$C:$C,"fevereiro")</f>
        <v>0</v>
      </c>
      <c r="AC26" s="373"/>
      <c r="AD26" s="372"/>
      <c r="AE26" s="343"/>
      <c r="AF26" s="332">
        <f>SUMIFS(BASE_EX!$J:$J,BASE_EX!$B:$B,'Direct Charge'!$A26,BASE_EX!$C:$C,"março")</f>
        <v>0</v>
      </c>
      <c r="AG26" s="373"/>
      <c r="AH26" s="372"/>
      <c r="AI26" s="343"/>
      <c r="AJ26" s="332">
        <f>SUMIFS(BASE_EX!$J:$J,BASE_EX!$B:$B,'Direct Charge'!$A26,BASE_EX!$C:$C,"abril")</f>
        <v>0</v>
      </c>
      <c r="AK26" s="373"/>
      <c r="AL26" s="372"/>
      <c r="AM26" s="343"/>
      <c r="AN26" s="332">
        <f>SUMIFS(BASE_EX!$J:$J,BASE_EX!$B:$B,'Direct Charge'!$A26,BASE_EX!$C:$C,"maio")</f>
        <v>0</v>
      </c>
      <c r="AO26" s="373"/>
      <c r="AP26" s="372"/>
      <c r="AQ26" s="343"/>
      <c r="AR26" s="332">
        <f>SUMIFS(BASE_EX!$J:$J,BASE_EX!$B:$B,'Direct Charge'!$A26,BASE_EX!$C:$C,"junho")</f>
        <v>0</v>
      </c>
      <c r="AS26" s="373"/>
      <c r="AT26" s="372"/>
      <c r="AU26" s="343"/>
      <c r="AV26" s="332">
        <f>SUMIFS(BASE_EX!$J:$J,BASE_EX!$B:$B,'Direct Charge'!$A26,BASE_EX!$C:$C,"julho")</f>
        <v>0</v>
      </c>
      <c r="AW26" s="373"/>
      <c r="AX26" s="372"/>
      <c r="AY26" s="343"/>
      <c r="AZ26" s="332">
        <f>SUMIFS(BASE_EX!$J:$J,BASE_EX!$B:$B,'Direct Charge'!$A26,BASE_EX!$C:$C,"agosto")</f>
        <v>0</v>
      </c>
      <c r="BA26" s="373"/>
      <c r="BB26" s="372"/>
      <c r="BC26" s="343"/>
      <c r="BD26" s="332">
        <f>SUMIFS(BASE_EX!$J:$J,BASE_EX!$B:$B,'Direct Charge'!$A26,BASE_EX!$C:$C,"setembro")</f>
        <v>0</v>
      </c>
      <c r="BE26" s="373"/>
      <c r="BF26" s="372"/>
      <c r="BG26" s="343"/>
      <c r="BH26" s="332">
        <f>SUMIFS(BASE_EX!$J:$J,BASE_EX!$B:$B,'Direct Charge'!$A26,BASE_EX!$C:$C,"outubro")</f>
        <v>0</v>
      </c>
      <c r="BI26" s="373"/>
      <c r="BJ26" s="372"/>
      <c r="BK26" s="343"/>
      <c r="BL26" s="332">
        <f>SUMIFS(BASE_EX!$J:$J,BASE_EX!$B:$B,'Direct Charge'!$A26,BASE_EX!$C:$C,"novembro")</f>
        <v>0</v>
      </c>
      <c r="BM26" s="373"/>
      <c r="BN26" s="372"/>
      <c r="BO26" s="343"/>
      <c r="BP26" s="332">
        <f>SUMIFS(BASE_EX!$J:$J,BASE_EX!$B:$B,'Direct Charge'!$A26,BASE_EX!$C:$C,"dezembro")</f>
        <v>0</v>
      </c>
      <c r="BQ26" s="373"/>
      <c r="BR26" s="452"/>
      <c r="BS26" s="156">
        <f t="shared" si="5"/>
        <v>0</v>
      </c>
      <c r="BT26" s="320">
        <f t="shared" si="6"/>
        <v>0</v>
      </c>
      <c r="BU26" s="157" t="e">
        <f>SUM(L26,M26,N26,O26,U26)-#REF!</f>
        <v>#REF!</v>
      </c>
      <c r="BV26" s="346">
        <f t="shared" si="7"/>
        <v>0</v>
      </c>
      <c r="BW26" s="344" t="str">
        <f>IFERROR(VLOOKUP($A26,'BASE_558 EX'!$D:$R,8,FALSE),"")</f>
        <v xml:space="preserve">           13.497,39</v>
      </c>
      <c r="BX26" s="344" t="str">
        <f>IFERROR(VLOOKUP($A26,'BASE_558 EX'!$D:$R,9,FALSE),"")</f>
        <v xml:space="preserve">           12.778,57</v>
      </c>
      <c r="BY26" s="344" t="str">
        <f>IFERROR(VLOOKUP($A26,'BASE_558 EX'!$D:$R,10,FALSE),"")</f>
        <v xml:space="preserve">                0,00</v>
      </c>
      <c r="BZ26" s="344" t="str">
        <f>IFERROR(VLOOKUP($A26,'BASE_558 EX'!$D:$R,11,FALSE),"")</f>
        <v xml:space="preserve">                0,00</v>
      </c>
      <c r="CA26" s="344" t="str">
        <f>IFERROR(IF(BASE_558!$P$14="RemOrdPla",(VLOOKUP(A26,BASE_558!D:R,14)/1000),(VLOOKUP(A26,BASE_558!D:R,13)/1000)),"")</f>
        <v/>
      </c>
      <c r="CB26" s="344" t="str">
        <f>IFERROR(VLOOKUP($A26,'BASE_558 EX'!$D:$R,15,FALSE),"")</f>
        <v xml:space="preserve">              718,82</v>
      </c>
      <c r="CC26" s="442"/>
      <c r="CD26" s="442">
        <f t="shared" si="8"/>
        <v>0</v>
      </c>
    </row>
    <row r="27" spans="1:82" s="23" customFormat="1" ht="25.4" customHeight="1">
      <c r="A27" s="309" t="s">
        <v>1370</v>
      </c>
      <c r="B27" s="309" t="s">
        <v>1916</v>
      </c>
      <c r="C27" s="310"/>
      <c r="D27" s="309" t="s">
        <v>2208</v>
      </c>
      <c r="E27" s="310" t="s">
        <v>2846</v>
      </c>
      <c r="F27" s="309" t="s">
        <v>176</v>
      </c>
      <c r="G27" s="339" t="s">
        <v>1371</v>
      </c>
      <c r="H27" s="339" t="s">
        <v>9112</v>
      </c>
      <c r="I27" s="6" t="s">
        <v>218</v>
      </c>
      <c r="J27" s="83" t="s">
        <v>462</v>
      </c>
      <c r="K27" s="7" t="s">
        <v>1600</v>
      </c>
      <c r="L27" s="206"/>
      <c r="M27" s="206">
        <v>0</v>
      </c>
      <c r="N27" s="206">
        <v>15829.619999999999</v>
      </c>
      <c r="O27" s="206">
        <v>0</v>
      </c>
      <c r="P27" s="206"/>
      <c r="Q27" s="206">
        <f t="shared" si="3"/>
        <v>0</v>
      </c>
      <c r="R27" s="206"/>
      <c r="S27" s="206"/>
      <c r="T27" s="223"/>
      <c r="U27" s="169">
        <f t="shared" si="4"/>
        <v>0</v>
      </c>
      <c r="V27" s="372">
        <v>0</v>
      </c>
      <c r="W27" s="343"/>
      <c r="X27" s="332">
        <f>SUMIFS(BASE_EX!$J:$J,BASE_EX!$B:$B,'Direct Charge'!$A27,BASE_EX!$C:$C,"janeiro")</f>
        <v>0</v>
      </c>
      <c r="Y27" s="373"/>
      <c r="Z27" s="372">
        <v>0</v>
      </c>
      <c r="AA27" s="343"/>
      <c r="AB27" s="332">
        <f>SUMIFS(BASE_EX!$J:$J,BASE_EX!$B:$B,'Direct Charge'!$A27,BASE_EX!$C:$C,"fevereiro")</f>
        <v>0</v>
      </c>
      <c r="AC27" s="373"/>
      <c r="AD27" s="372"/>
      <c r="AE27" s="343"/>
      <c r="AF27" s="332">
        <f>SUMIFS(BASE_EX!$J:$J,BASE_EX!$B:$B,'Direct Charge'!$A27,BASE_EX!$C:$C,"março")</f>
        <v>0</v>
      </c>
      <c r="AG27" s="373"/>
      <c r="AH27" s="372"/>
      <c r="AI27" s="343"/>
      <c r="AJ27" s="332">
        <f>SUMIFS(BASE_EX!$J:$J,BASE_EX!$B:$B,'Direct Charge'!$A27,BASE_EX!$C:$C,"abril")</f>
        <v>0</v>
      </c>
      <c r="AK27" s="373"/>
      <c r="AL27" s="372"/>
      <c r="AM27" s="343"/>
      <c r="AN27" s="332">
        <f>SUMIFS(BASE_EX!$J:$J,BASE_EX!$B:$B,'Direct Charge'!$A27,BASE_EX!$C:$C,"maio")</f>
        <v>0</v>
      </c>
      <c r="AO27" s="373"/>
      <c r="AP27" s="372"/>
      <c r="AQ27" s="343"/>
      <c r="AR27" s="332">
        <f>SUMIFS(BASE_EX!$J:$J,BASE_EX!$B:$B,'Direct Charge'!$A27,BASE_EX!$C:$C,"junho")</f>
        <v>0</v>
      </c>
      <c r="AS27" s="373"/>
      <c r="AT27" s="372"/>
      <c r="AU27" s="343"/>
      <c r="AV27" s="332">
        <f>SUMIFS(BASE_EX!$J:$J,BASE_EX!$B:$B,'Direct Charge'!$A27,BASE_EX!$C:$C,"julho")</f>
        <v>0</v>
      </c>
      <c r="AW27" s="373"/>
      <c r="AX27" s="372"/>
      <c r="AY27" s="343"/>
      <c r="AZ27" s="332">
        <f>SUMIFS(BASE_EX!$J:$J,BASE_EX!$B:$B,'Direct Charge'!$A27,BASE_EX!$C:$C,"agosto")</f>
        <v>0</v>
      </c>
      <c r="BA27" s="373"/>
      <c r="BB27" s="372"/>
      <c r="BC27" s="343"/>
      <c r="BD27" s="332">
        <f>SUMIFS(BASE_EX!$J:$J,BASE_EX!$B:$B,'Direct Charge'!$A27,BASE_EX!$C:$C,"setembro")</f>
        <v>0</v>
      </c>
      <c r="BE27" s="373"/>
      <c r="BF27" s="372"/>
      <c r="BG27" s="343"/>
      <c r="BH27" s="332">
        <f>SUMIFS(BASE_EX!$J:$J,BASE_EX!$B:$B,'Direct Charge'!$A27,BASE_EX!$C:$C,"outubro")</f>
        <v>0</v>
      </c>
      <c r="BI27" s="373"/>
      <c r="BJ27" s="372"/>
      <c r="BK27" s="343"/>
      <c r="BL27" s="332">
        <f>SUMIFS(BASE_EX!$J:$J,BASE_EX!$B:$B,'Direct Charge'!$A27,BASE_EX!$C:$C,"novembro")</f>
        <v>0</v>
      </c>
      <c r="BM27" s="373"/>
      <c r="BN27" s="372"/>
      <c r="BO27" s="343"/>
      <c r="BP27" s="332">
        <f>SUMIFS(BASE_EX!$J:$J,BASE_EX!$B:$B,'Direct Charge'!$A27,BASE_EX!$C:$C,"dezembro")</f>
        <v>0</v>
      </c>
      <c r="BQ27" s="373"/>
      <c r="BR27" s="452"/>
      <c r="BS27" s="156">
        <f t="shared" si="5"/>
        <v>0</v>
      </c>
      <c r="BT27" s="320">
        <f t="shared" si="6"/>
        <v>0</v>
      </c>
      <c r="BU27" s="157" t="e">
        <f>SUM(L27,M27,N27,O27,U27)-#REF!</f>
        <v>#REF!</v>
      </c>
      <c r="BV27" s="346">
        <f t="shared" si="7"/>
        <v>0</v>
      </c>
      <c r="BW27" s="344" t="str">
        <f>IFERROR(VLOOKUP($A27,'BASE_558 EX'!$D:$R,8,FALSE),"")</f>
        <v xml:space="preserve">           15.203,55</v>
      </c>
      <c r="BX27" s="344" t="str">
        <f>IFERROR(VLOOKUP($A27,'BASE_558 EX'!$D:$R,9,FALSE),"")</f>
        <v xml:space="preserve">           15.829,62</v>
      </c>
      <c r="BY27" s="344" t="str">
        <f>IFERROR(VLOOKUP($A27,'BASE_558 EX'!$D:$R,10,FALSE),"")</f>
        <v xml:space="preserve">                0,00</v>
      </c>
      <c r="BZ27" s="344" t="str">
        <f>IFERROR(VLOOKUP($A27,'BASE_558 EX'!$D:$R,11,FALSE),"")</f>
        <v xml:space="preserve">                0,00</v>
      </c>
      <c r="CA27" s="344" t="str">
        <f>IFERROR(IF(BASE_558!$P$14="RemOrdPla",(VLOOKUP(A27,BASE_558!D:R,14)/1000),(VLOOKUP(A27,BASE_558!D:R,13)/1000)),"")</f>
        <v/>
      </c>
      <c r="CB27" s="344" t="str">
        <f>IFERROR(VLOOKUP($A27,'BASE_558 EX'!$D:$R,15,FALSE),"")</f>
        <v>-626,07</v>
      </c>
      <c r="CC27" s="442"/>
      <c r="CD27" s="442">
        <f t="shared" si="8"/>
        <v>0</v>
      </c>
    </row>
    <row r="28" spans="1:82" s="23" customFormat="1" ht="25.4" customHeight="1">
      <c r="A28" s="309" t="s">
        <v>1548</v>
      </c>
      <c r="B28" s="309" t="s">
        <v>1264</v>
      </c>
      <c r="C28" s="310"/>
      <c r="D28" s="310" t="s">
        <v>478</v>
      </c>
      <c r="E28" s="310" t="s">
        <v>478</v>
      </c>
      <c r="F28" s="309" t="s">
        <v>176</v>
      </c>
      <c r="G28" s="339" t="s">
        <v>1550</v>
      </c>
      <c r="H28" s="339" t="s">
        <v>9112</v>
      </c>
      <c r="I28" s="6" t="s">
        <v>218</v>
      </c>
      <c r="J28" s="83" t="s">
        <v>462</v>
      </c>
      <c r="K28" s="46" t="s">
        <v>1600</v>
      </c>
      <c r="L28" s="206"/>
      <c r="M28" s="206"/>
      <c r="N28" s="206">
        <v>3433.1299999999997</v>
      </c>
      <c r="O28" s="206">
        <v>0</v>
      </c>
      <c r="P28" s="206"/>
      <c r="Q28" s="206">
        <f t="shared" si="3"/>
        <v>0</v>
      </c>
      <c r="R28" s="206"/>
      <c r="S28" s="206"/>
      <c r="T28" s="223"/>
      <c r="U28" s="169">
        <f t="shared" si="4"/>
        <v>0</v>
      </c>
      <c r="V28" s="372">
        <v>0</v>
      </c>
      <c r="W28" s="343"/>
      <c r="X28" s="332">
        <f>SUMIFS(BASE_EX!$J:$J,BASE_EX!$B:$B,'Direct Charge'!$A28,BASE_EX!$C:$C,"janeiro")</f>
        <v>0</v>
      </c>
      <c r="Y28" s="373"/>
      <c r="Z28" s="372">
        <v>0</v>
      </c>
      <c r="AA28" s="343"/>
      <c r="AB28" s="332">
        <f>SUMIFS(BASE_EX!$J:$J,BASE_EX!$B:$B,'Direct Charge'!$A28,BASE_EX!$C:$C,"fevereiro")</f>
        <v>0</v>
      </c>
      <c r="AC28" s="373"/>
      <c r="AD28" s="372"/>
      <c r="AE28" s="343"/>
      <c r="AF28" s="332">
        <f>SUMIFS(BASE_EX!$J:$J,BASE_EX!$B:$B,'Direct Charge'!$A28,BASE_EX!$C:$C,"março")</f>
        <v>0</v>
      </c>
      <c r="AG28" s="373"/>
      <c r="AH28" s="372"/>
      <c r="AI28" s="343"/>
      <c r="AJ28" s="332">
        <f>SUMIFS(BASE_EX!$J:$J,BASE_EX!$B:$B,'Direct Charge'!$A28,BASE_EX!$C:$C,"abril")</f>
        <v>0</v>
      </c>
      <c r="AK28" s="373"/>
      <c r="AL28" s="372"/>
      <c r="AM28" s="343"/>
      <c r="AN28" s="332">
        <f>SUMIFS(BASE_EX!$J:$J,BASE_EX!$B:$B,'Direct Charge'!$A28,BASE_EX!$C:$C,"maio")</f>
        <v>0</v>
      </c>
      <c r="AO28" s="373"/>
      <c r="AP28" s="372"/>
      <c r="AQ28" s="343"/>
      <c r="AR28" s="332">
        <f>SUMIFS(BASE_EX!$J:$J,BASE_EX!$B:$B,'Direct Charge'!$A28,BASE_EX!$C:$C,"junho")</f>
        <v>0</v>
      </c>
      <c r="AS28" s="373"/>
      <c r="AT28" s="372"/>
      <c r="AU28" s="343"/>
      <c r="AV28" s="332">
        <f>SUMIFS(BASE_EX!$J:$J,BASE_EX!$B:$B,'Direct Charge'!$A28,BASE_EX!$C:$C,"julho")</f>
        <v>0</v>
      </c>
      <c r="AW28" s="373"/>
      <c r="AX28" s="372"/>
      <c r="AY28" s="343"/>
      <c r="AZ28" s="332">
        <f>SUMIFS(BASE_EX!$J:$J,BASE_EX!$B:$B,'Direct Charge'!$A28,BASE_EX!$C:$C,"agosto")</f>
        <v>0</v>
      </c>
      <c r="BA28" s="373"/>
      <c r="BB28" s="372"/>
      <c r="BC28" s="343"/>
      <c r="BD28" s="332">
        <f>SUMIFS(BASE_EX!$J:$J,BASE_EX!$B:$B,'Direct Charge'!$A28,BASE_EX!$C:$C,"setembro")</f>
        <v>0</v>
      </c>
      <c r="BE28" s="373"/>
      <c r="BF28" s="372"/>
      <c r="BG28" s="343"/>
      <c r="BH28" s="332">
        <f>SUMIFS(BASE_EX!$J:$J,BASE_EX!$B:$B,'Direct Charge'!$A28,BASE_EX!$C:$C,"outubro")</f>
        <v>0</v>
      </c>
      <c r="BI28" s="373"/>
      <c r="BJ28" s="372"/>
      <c r="BK28" s="343"/>
      <c r="BL28" s="332">
        <f>SUMIFS(BASE_EX!$J:$J,BASE_EX!$B:$B,'Direct Charge'!$A28,BASE_EX!$C:$C,"novembro")</f>
        <v>0</v>
      </c>
      <c r="BM28" s="373"/>
      <c r="BN28" s="372"/>
      <c r="BO28" s="343"/>
      <c r="BP28" s="332">
        <f>SUMIFS(BASE_EX!$J:$J,BASE_EX!$B:$B,'Direct Charge'!$A28,BASE_EX!$C:$C,"dezembro")</f>
        <v>0</v>
      </c>
      <c r="BQ28" s="373"/>
      <c r="BR28" s="452"/>
      <c r="BS28" s="156">
        <f t="shared" si="5"/>
        <v>0</v>
      </c>
      <c r="BT28" s="320">
        <f t="shared" si="6"/>
        <v>0</v>
      </c>
      <c r="BU28" s="157" t="e">
        <f>SUM(L28,M28,N28,O28,U28)-#REF!</f>
        <v>#REF!</v>
      </c>
      <c r="BV28" s="346">
        <f t="shared" si="7"/>
        <v>0</v>
      </c>
      <c r="BW28" s="344" t="str">
        <f>IFERROR(VLOOKUP($A28,'BASE_558 EX'!$D:$R,8,FALSE),"")</f>
        <v xml:space="preserve">            5.783,89</v>
      </c>
      <c r="BX28" s="344" t="str">
        <f>IFERROR(VLOOKUP($A28,'BASE_558 EX'!$D:$R,9,FALSE),"")</f>
        <v xml:space="preserve">            3.433,13</v>
      </c>
      <c r="BY28" s="344" t="str">
        <f>IFERROR(VLOOKUP($A28,'BASE_558 EX'!$D:$R,10,FALSE),"")</f>
        <v xml:space="preserve">                0,00</v>
      </c>
      <c r="BZ28" s="344" t="str">
        <f>IFERROR(VLOOKUP($A28,'BASE_558 EX'!$D:$R,11,FALSE),"")</f>
        <v xml:space="preserve">                0,00</v>
      </c>
      <c r="CA28" s="344" t="str">
        <f>IFERROR(IF(BASE_558!$P$14="RemOrdPla",(VLOOKUP(A28,BASE_558!D:R,14)/1000),(VLOOKUP(A28,BASE_558!D:R,13)/1000)),"")</f>
        <v/>
      </c>
      <c r="CB28" s="344" t="str">
        <f>IFERROR(VLOOKUP($A28,'BASE_558 EX'!$D:$R,15,FALSE),"")</f>
        <v xml:space="preserve">            2.350,76</v>
      </c>
      <c r="CC28" s="442"/>
      <c r="CD28" s="442">
        <f t="shared" si="8"/>
        <v>0</v>
      </c>
    </row>
    <row r="29" spans="1:82" s="23" customFormat="1" ht="25.4" customHeight="1">
      <c r="A29" s="309" t="s">
        <v>1549</v>
      </c>
      <c r="B29" s="309" t="s">
        <v>1923</v>
      </c>
      <c r="C29" s="310"/>
      <c r="D29" s="310" t="s">
        <v>479</v>
      </c>
      <c r="E29" s="310" t="s">
        <v>2851</v>
      </c>
      <c r="F29" s="309" t="s">
        <v>176</v>
      </c>
      <c r="G29" s="339" t="s">
        <v>1551</v>
      </c>
      <c r="H29" s="339" t="s">
        <v>8877</v>
      </c>
      <c r="I29" s="6" t="s">
        <v>218</v>
      </c>
      <c r="J29" s="83" t="s">
        <v>557</v>
      </c>
      <c r="K29" s="308" t="s">
        <v>6797</v>
      </c>
      <c r="L29" s="206"/>
      <c r="M29" s="206"/>
      <c r="N29" s="206">
        <v>0</v>
      </c>
      <c r="O29" s="206">
        <v>0</v>
      </c>
      <c r="P29" s="206"/>
      <c r="Q29" s="206">
        <f t="shared" si="3"/>
        <v>0</v>
      </c>
      <c r="R29" s="206"/>
      <c r="S29" s="206"/>
      <c r="T29" s="223"/>
      <c r="U29" s="169">
        <f t="shared" si="4"/>
        <v>0</v>
      </c>
      <c r="V29" s="372">
        <v>0</v>
      </c>
      <c r="W29" s="343"/>
      <c r="X29" s="332">
        <f>SUMIFS(BASE_EX!$J:$J,BASE_EX!$B:$B,'Direct Charge'!$A29,BASE_EX!$C:$C,"janeiro")</f>
        <v>0</v>
      </c>
      <c r="Y29" s="373"/>
      <c r="Z29" s="372">
        <v>0</v>
      </c>
      <c r="AA29" s="343"/>
      <c r="AB29" s="332">
        <f>SUMIFS(BASE_EX!$J:$J,BASE_EX!$B:$B,'Direct Charge'!$A29,BASE_EX!$C:$C,"fevereiro")</f>
        <v>0</v>
      </c>
      <c r="AC29" s="373"/>
      <c r="AD29" s="372"/>
      <c r="AE29" s="343"/>
      <c r="AF29" s="332">
        <f>SUMIFS(BASE_EX!$J:$J,BASE_EX!$B:$B,'Direct Charge'!$A29,BASE_EX!$C:$C,"março")</f>
        <v>0</v>
      </c>
      <c r="AG29" s="373"/>
      <c r="AH29" s="372"/>
      <c r="AI29" s="343"/>
      <c r="AJ29" s="332">
        <f>SUMIFS(BASE_EX!$J:$J,BASE_EX!$B:$B,'Direct Charge'!$A29,BASE_EX!$C:$C,"abril")</f>
        <v>0</v>
      </c>
      <c r="AK29" s="373"/>
      <c r="AL29" s="372"/>
      <c r="AM29" s="343"/>
      <c r="AN29" s="332">
        <f>SUMIFS(BASE_EX!$J:$J,BASE_EX!$B:$B,'Direct Charge'!$A29,BASE_EX!$C:$C,"maio")</f>
        <v>0</v>
      </c>
      <c r="AO29" s="373"/>
      <c r="AP29" s="372"/>
      <c r="AQ29" s="343"/>
      <c r="AR29" s="332">
        <f>SUMIFS(BASE_EX!$J:$J,BASE_EX!$B:$B,'Direct Charge'!$A29,BASE_EX!$C:$C,"junho")</f>
        <v>0</v>
      </c>
      <c r="AS29" s="373"/>
      <c r="AT29" s="372"/>
      <c r="AU29" s="343"/>
      <c r="AV29" s="332">
        <f>SUMIFS(BASE_EX!$J:$J,BASE_EX!$B:$B,'Direct Charge'!$A29,BASE_EX!$C:$C,"julho")</f>
        <v>0</v>
      </c>
      <c r="AW29" s="373"/>
      <c r="AX29" s="372"/>
      <c r="AY29" s="343"/>
      <c r="AZ29" s="332">
        <f>SUMIFS(BASE_EX!$J:$J,BASE_EX!$B:$B,'Direct Charge'!$A29,BASE_EX!$C:$C,"agosto")</f>
        <v>0</v>
      </c>
      <c r="BA29" s="373"/>
      <c r="BB29" s="372"/>
      <c r="BC29" s="343"/>
      <c r="BD29" s="332">
        <f>SUMIFS(BASE_EX!$J:$J,BASE_EX!$B:$B,'Direct Charge'!$A29,BASE_EX!$C:$C,"setembro")</f>
        <v>0</v>
      </c>
      <c r="BE29" s="373"/>
      <c r="BF29" s="372"/>
      <c r="BG29" s="343"/>
      <c r="BH29" s="332">
        <f>SUMIFS(BASE_EX!$J:$J,BASE_EX!$B:$B,'Direct Charge'!$A29,BASE_EX!$C:$C,"outubro")</f>
        <v>0</v>
      </c>
      <c r="BI29" s="373"/>
      <c r="BJ29" s="372"/>
      <c r="BK29" s="343"/>
      <c r="BL29" s="332">
        <f>SUMIFS(BASE_EX!$J:$J,BASE_EX!$B:$B,'Direct Charge'!$A29,BASE_EX!$C:$C,"novembro")</f>
        <v>0</v>
      </c>
      <c r="BM29" s="373"/>
      <c r="BN29" s="372"/>
      <c r="BO29" s="343"/>
      <c r="BP29" s="332">
        <f>SUMIFS(BASE_EX!$J:$J,BASE_EX!$B:$B,'Direct Charge'!$A29,BASE_EX!$C:$C,"dezembro")</f>
        <v>0</v>
      </c>
      <c r="BQ29" s="373"/>
      <c r="BR29" s="452"/>
      <c r="BS29" s="156">
        <f t="shared" si="5"/>
        <v>0</v>
      </c>
      <c r="BT29" s="320">
        <f t="shared" si="6"/>
        <v>0</v>
      </c>
      <c r="BU29" s="157" t="e">
        <f>SUM(L29,M29,N29,O29,U29)-#REF!</f>
        <v>#REF!</v>
      </c>
      <c r="BV29" s="346">
        <f t="shared" si="7"/>
        <v>0</v>
      </c>
      <c r="BW29" s="344" t="str">
        <f>IFERROR(VLOOKUP($A29,'BASE_558 EX'!$D:$R,8,FALSE),"")</f>
        <v xml:space="preserve">            9.622,50</v>
      </c>
      <c r="BX29" s="344" t="str">
        <f>IFERROR(VLOOKUP($A29,'BASE_558 EX'!$D:$R,9,FALSE),"")</f>
        <v xml:space="preserve">                0,00</v>
      </c>
      <c r="BY29" s="344" t="str">
        <f>IFERROR(VLOOKUP($A29,'BASE_558 EX'!$D:$R,10,FALSE),"")</f>
        <v xml:space="preserve">                0,00</v>
      </c>
      <c r="BZ29" s="344" t="str">
        <f>IFERROR(VLOOKUP($A29,'BASE_558 EX'!$D:$R,11,FALSE),"")</f>
        <v xml:space="preserve">                0,00</v>
      </c>
      <c r="CA29" s="344" t="str">
        <f>IFERROR(IF(BASE_558!$P$14="RemOrdPla",(VLOOKUP(A29,BASE_558!D:R,14)/1000),(VLOOKUP(A29,BASE_558!D:R,13)/1000)),"")</f>
        <v/>
      </c>
      <c r="CB29" s="344" t="str">
        <f>IFERROR(VLOOKUP($A29,'BASE_558 EX'!$D:$R,15,FALSE),"")</f>
        <v xml:space="preserve">            9.622,50</v>
      </c>
      <c r="CC29" s="442"/>
      <c r="CD29" s="442">
        <f t="shared" si="8"/>
        <v>0</v>
      </c>
    </row>
    <row r="30" spans="1:82" s="23" customFormat="1" ht="25.4" customHeight="1">
      <c r="A30" s="309" t="s">
        <v>1540</v>
      </c>
      <c r="B30" s="309" t="s">
        <v>1917</v>
      </c>
      <c r="C30" s="187">
        <v>44566</v>
      </c>
      <c r="D30" s="309" t="s">
        <v>481</v>
      </c>
      <c r="E30" s="309" t="s">
        <v>481</v>
      </c>
      <c r="F30" s="309" t="s">
        <v>179</v>
      </c>
      <c r="G30" s="339" t="s">
        <v>1541</v>
      </c>
      <c r="H30" s="339" t="s">
        <v>9112</v>
      </c>
      <c r="I30" s="6" t="s">
        <v>218</v>
      </c>
      <c r="J30" s="83" t="s">
        <v>462</v>
      </c>
      <c r="K30" s="7" t="s">
        <v>6809</v>
      </c>
      <c r="L30" s="206"/>
      <c r="M30" s="206">
        <v>0</v>
      </c>
      <c r="N30" s="206">
        <v>27210.3</v>
      </c>
      <c r="O30" s="206">
        <v>0</v>
      </c>
      <c r="P30" s="206"/>
      <c r="Q30" s="206">
        <f t="shared" si="3"/>
        <v>0</v>
      </c>
      <c r="R30" s="206"/>
      <c r="S30" s="206"/>
      <c r="T30" s="223"/>
      <c r="U30" s="169">
        <f t="shared" si="4"/>
        <v>0</v>
      </c>
      <c r="V30" s="372">
        <v>0</v>
      </c>
      <c r="W30" s="343"/>
      <c r="X30" s="332">
        <f>SUMIFS(BASE_EX!$J:$J,BASE_EX!$B:$B,'Direct Charge'!$A30,BASE_EX!$C:$C,"janeiro")</f>
        <v>0</v>
      </c>
      <c r="Y30" s="373"/>
      <c r="Z30" s="372">
        <v>0</v>
      </c>
      <c r="AA30" s="343"/>
      <c r="AB30" s="332">
        <f>SUMIFS(BASE_EX!$J:$J,BASE_EX!$B:$B,'Direct Charge'!$A30,BASE_EX!$C:$C,"fevereiro")</f>
        <v>0</v>
      </c>
      <c r="AC30" s="373"/>
      <c r="AD30" s="372"/>
      <c r="AE30" s="343"/>
      <c r="AF30" s="332">
        <f>SUMIFS(BASE_EX!$J:$J,BASE_EX!$B:$B,'Direct Charge'!$A30,BASE_EX!$C:$C,"março")</f>
        <v>0</v>
      </c>
      <c r="AG30" s="373"/>
      <c r="AH30" s="372"/>
      <c r="AI30" s="343"/>
      <c r="AJ30" s="332">
        <f>SUMIFS(BASE_EX!$J:$J,BASE_EX!$B:$B,'Direct Charge'!$A30,BASE_EX!$C:$C,"abril")</f>
        <v>0</v>
      </c>
      <c r="AK30" s="373"/>
      <c r="AL30" s="372"/>
      <c r="AM30" s="343"/>
      <c r="AN30" s="332">
        <f>SUMIFS(BASE_EX!$J:$J,BASE_EX!$B:$B,'Direct Charge'!$A30,BASE_EX!$C:$C,"maio")</f>
        <v>0</v>
      </c>
      <c r="AO30" s="373"/>
      <c r="AP30" s="372"/>
      <c r="AQ30" s="343"/>
      <c r="AR30" s="332">
        <f>SUMIFS(BASE_EX!$J:$J,BASE_EX!$B:$B,'Direct Charge'!$A30,BASE_EX!$C:$C,"junho")</f>
        <v>0</v>
      </c>
      <c r="AS30" s="373"/>
      <c r="AT30" s="372"/>
      <c r="AU30" s="343"/>
      <c r="AV30" s="332">
        <f>SUMIFS(BASE_EX!$J:$J,BASE_EX!$B:$B,'Direct Charge'!$A30,BASE_EX!$C:$C,"julho")</f>
        <v>0</v>
      </c>
      <c r="AW30" s="373"/>
      <c r="AX30" s="372"/>
      <c r="AY30" s="343"/>
      <c r="AZ30" s="332">
        <f>SUMIFS(BASE_EX!$J:$J,BASE_EX!$B:$B,'Direct Charge'!$A30,BASE_EX!$C:$C,"agosto")</f>
        <v>0</v>
      </c>
      <c r="BA30" s="373"/>
      <c r="BB30" s="372"/>
      <c r="BC30" s="343"/>
      <c r="BD30" s="332">
        <f>SUMIFS(BASE_EX!$J:$J,BASE_EX!$B:$B,'Direct Charge'!$A30,BASE_EX!$C:$C,"setembro")</f>
        <v>0</v>
      </c>
      <c r="BE30" s="373"/>
      <c r="BF30" s="372"/>
      <c r="BG30" s="343"/>
      <c r="BH30" s="332">
        <f>SUMIFS(BASE_EX!$J:$J,BASE_EX!$B:$B,'Direct Charge'!$A30,BASE_EX!$C:$C,"outubro")</f>
        <v>0</v>
      </c>
      <c r="BI30" s="373"/>
      <c r="BJ30" s="372"/>
      <c r="BK30" s="343"/>
      <c r="BL30" s="332">
        <f>SUMIFS(BASE_EX!$J:$J,BASE_EX!$B:$B,'Direct Charge'!$A30,BASE_EX!$C:$C,"novembro")</f>
        <v>0</v>
      </c>
      <c r="BM30" s="373"/>
      <c r="BN30" s="372"/>
      <c r="BO30" s="343"/>
      <c r="BP30" s="332">
        <f>SUMIFS(BASE_EX!$J:$J,BASE_EX!$B:$B,'Direct Charge'!$A30,BASE_EX!$C:$C,"dezembro")</f>
        <v>0</v>
      </c>
      <c r="BQ30" s="373"/>
      <c r="BR30" s="452"/>
      <c r="BS30" s="156">
        <f t="shared" si="5"/>
        <v>0</v>
      </c>
      <c r="BT30" s="320">
        <f t="shared" si="6"/>
        <v>0</v>
      </c>
      <c r="BU30" s="157" t="e">
        <f>SUM(L30,M30,N30,O30,U30)-#REF!</f>
        <v>#REF!</v>
      </c>
      <c r="BV30" s="346">
        <f t="shared" si="7"/>
        <v>0</v>
      </c>
      <c r="BW30" s="344" t="str">
        <f>IFERROR(VLOOKUP($A30,'BASE_558 EX'!$D:$R,8,FALSE),"")</f>
        <v xml:space="preserve">           27.920,92</v>
      </c>
      <c r="BX30" s="344" t="str">
        <f>IFERROR(VLOOKUP($A30,'BASE_558 EX'!$D:$R,9,FALSE),"")</f>
        <v xml:space="preserve">           27.210,30</v>
      </c>
      <c r="BY30" s="344" t="str">
        <f>IFERROR(VLOOKUP($A30,'BASE_558 EX'!$D:$R,10,FALSE),"")</f>
        <v xml:space="preserve">                0,00</v>
      </c>
      <c r="BZ30" s="344" t="str">
        <f>IFERROR(VLOOKUP($A30,'BASE_558 EX'!$D:$R,11,FALSE),"")</f>
        <v xml:space="preserve">                0,00</v>
      </c>
      <c r="CA30" s="344" t="str">
        <f>IFERROR(IF(BASE_558!$P$14="RemOrdPla",(VLOOKUP(A30,BASE_558!D:R,14)/1000),(VLOOKUP(A30,BASE_558!D:R,13)/1000)),"")</f>
        <v/>
      </c>
      <c r="CB30" s="344" t="str">
        <f>IFERROR(VLOOKUP($A30,'BASE_558 EX'!$D:$R,15,FALSE),"")</f>
        <v xml:space="preserve">              710,62</v>
      </c>
      <c r="CC30" s="442"/>
      <c r="CD30" s="442">
        <f t="shared" si="8"/>
        <v>0</v>
      </c>
    </row>
    <row r="31" spans="1:82" s="23" customFormat="1" ht="25.4" customHeight="1">
      <c r="A31" s="309" t="s">
        <v>1542</v>
      </c>
      <c r="B31" s="309" t="s">
        <v>1918</v>
      </c>
      <c r="C31" s="187">
        <v>44580</v>
      </c>
      <c r="D31" s="309" t="s">
        <v>2038</v>
      </c>
      <c r="E31" s="309" t="s">
        <v>1125</v>
      </c>
      <c r="F31" s="309" t="s">
        <v>176</v>
      </c>
      <c r="G31" s="339" t="s">
        <v>1543</v>
      </c>
      <c r="H31" s="339" t="s">
        <v>9112</v>
      </c>
      <c r="I31" s="6" t="s">
        <v>218</v>
      </c>
      <c r="J31" s="83" t="s">
        <v>462</v>
      </c>
      <c r="K31" s="7" t="s">
        <v>1600</v>
      </c>
      <c r="L31" s="206"/>
      <c r="M31" s="206">
        <v>0</v>
      </c>
      <c r="N31" s="206">
        <v>15795.470000000001</v>
      </c>
      <c r="O31" s="206">
        <v>0</v>
      </c>
      <c r="P31" s="206"/>
      <c r="Q31" s="206">
        <f t="shared" si="3"/>
        <v>0</v>
      </c>
      <c r="R31" s="206"/>
      <c r="S31" s="206"/>
      <c r="T31" s="223"/>
      <c r="U31" s="169">
        <f t="shared" si="4"/>
        <v>0</v>
      </c>
      <c r="V31" s="372">
        <v>0</v>
      </c>
      <c r="W31" s="343"/>
      <c r="X31" s="332">
        <f>SUMIFS(BASE_EX!$J:$J,BASE_EX!$B:$B,'Direct Charge'!$A31,BASE_EX!$C:$C,"janeiro")</f>
        <v>0</v>
      </c>
      <c r="Y31" s="373"/>
      <c r="Z31" s="372">
        <v>0</v>
      </c>
      <c r="AA31" s="343"/>
      <c r="AB31" s="332">
        <f>SUMIFS(BASE_EX!$J:$J,BASE_EX!$B:$B,'Direct Charge'!$A31,BASE_EX!$C:$C,"fevereiro")</f>
        <v>0</v>
      </c>
      <c r="AC31" s="373"/>
      <c r="AD31" s="372"/>
      <c r="AE31" s="343"/>
      <c r="AF31" s="332">
        <f>SUMIFS(BASE_EX!$J:$J,BASE_EX!$B:$B,'Direct Charge'!$A31,BASE_EX!$C:$C,"março")</f>
        <v>0</v>
      </c>
      <c r="AG31" s="373"/>
      <c r="AH31" s="372"/>
      <c r="AI31" s="343"/>
      <c r="AJ31" s="332">
        <f>SUMIFS(BASE_EX!$J:$J,BASE_EX!$B:$B,'Direct Charge'!$A31,BASE_EX!$C:$C,"abril")</f>
        <v>0</v>
      </c>
      <c r="AK31" s="373"/>
      <c r="AL31" s="372"/>
      <c r="AM31" s="343"/>
      <c r="AN31" s="332">
        <f>SUMIFS(BASE_EX!$J:$J,BASE_EX!$B:$B,'Direct Charge'!$A31,BASE_EX!$C:$C,"maio")</f>
        <v>0</v>
      </c>
      <c r="AO31" s="373"/>
      <c r="AP31" s="372"/>
      <c r="AQ31" s="343"/>
      <c r="AR31" s="332">
        <f>SUMIFS(BASE_EX!$J:$J,BASE_EX!$B:$B,'Direct Charge'!$A31,BASE_EX!$C:$C,"junho")</f>
        <v>0</v>
      </c>
      <c r="AS31" s="373"/>
      <c r="AT31" s="372"/>
      <c r="AU31" s="343"/>
      <c r="AV31" s="332">
        <f>SUMIFS(BASE_EX!$J:$J,BASE_EX!$B:$B,'Direct Charge'!$A31,BASE_EX!$C:$C,"julho")</f>
        <v>0</v>
      </c>
      <c r="AW31" s="373"/>
      <c r="AX31" s="372"/>
      <c r="AY31" s="343"/>
      <c r="AZ31" s="332">
        <f>SUMIFS(BASE_EX!$J:$J,BASE_EX!$B:$B,'Direct Charge'!$A31,BASE_EX!$C:$C,"agosto")</f>
        <v>0</v>
      </c>
      <c r="BA31" s="373"/>
      <c r="BB31" s="372"/>
      <c r="BC31" s="343"/>
      <c r="BD31" s="332">
        <f>SUMIFS(BASE_EX!$J:$J,BASE_EX!$B:$B,'Direct Charge'!$A31,BASE_EX!$C:$C,"setembro")</f>
        <v>0</v>
      </c>
      <c r="BE31" s="373"/>
      <c r="BF31" s="372"/>
      <c r="BG31" s="343"/>
      <c r="BH31" s="332">
        <f>SUMIFS(BASE_EX!$J:$J,BASE_EX!$B:$B,'Direct Charge'!$A31,BASE_EX!$C:$C,"outubro")</f>
        <v>0</v>
      </c>
      <c r="BI31" s="373"/>
      <c r="BJ31" s="372"/>
      <c r="BK31" s="343"/>
      <c r="BL31" s="332">
        <f>SUMIFS(BASE_EX!$J:$J,BASE_EX!$B:$B,'Direct Charge'!$A31,BASE_EX!$C:$C,"novembro")</f>
        <v>0</v>
      </c>
      <c r="BM31" s="373"/>
      <c r="BN31" s="372"/>
      <c r="BO31" s="343"/>
      <c r="BP31" s="332">
        <f>SUMIFS(BASE_EX!$J:$J,BASE_EX!$B:$B,'Direct Charge'!$A31,BASE_EX!$C:$C,"dezembro")</f>
        <v>0</v>
      </c>
      <c r="BQ31" s="373"/>
      <c r="BR31" s="452"/>
      <c r="BS31" s="156">
        <f t="shared" si="5"/>
        <v>0</v>
      </c>
      <c r="BT31" s="320">
        <f t="shared" si="6"/>
        <v>0</v>
      </c>
      <c r="BU31" s="157" t="e">
        <f>SUM(L31,M31,N31,O31,U31)-#REF!</f>
        <v>#REF!</v>
      </c>
      <c r="BV31" s="346">
        <f t="shared" si="7"/>
        <v>0</v>
      </c>
      <c r="BW31" s="344" t="str">
        <f>IFERROR(VLOOKUP($A31,'BASE_558 EX'!$D:$R,8,FALSE),"")</f>
        <v xml:space="preserve">           15.975,21</v>
      </c>
      <c r="BX31" s="344" t="str">
        <f>IFERROR(VLOOKUP($A31,'BASE_558 EX'!$D:$R,9,FALSE),"")</f>
        <v xml:space="preserve">           15.795,47</v>
      </c>
      <c r="BY31" s="344" t="str">
        <f>IFERROR(VLOOKUP($A31,'BASE_558 EX'!$D:$R,10,FALSE),"")</f>
        <v xml:space="preserve">                0,00</v>
      </c>
      <c r="BZ31" s="344" t="str">
        <f>IFERROR(VLOOKUP($A31,'BASE_558 EX'!$D:$R,11,FALSE),"")</f>
        <v xml:space="preserve">                0,00</v>
      </c>
      <c r="CA31" s="344" t="str">
        <f>IFERROR(IF(BASE_558!$P$14="RemOrdPla",(VLOOKUP(A31,BASE_558!D:R,14)/1000),(VLOOKUP(A31,BASE_558!D:R,13)/1000)),"")</f>
        <v/>
      </c>
      <c r="CB31" s="344" t="str">
        <f>IFERROR(VLOOKUP($A31,'BASE_558 EX'!$D:$R,15,FALSE),"")</f>
        <v xml:space="preserve">              179,74</v>
      </c>
      <c r="CC31" s="442"/>
      <c r="CD31" s="442">
        <f t="shared" si="8"/>
        <v>0</v>
      </c>
    </row>
    <row r="32" spans="1:82" s="23" customFormat="1" ht="25.4" customHeight="1">
      <c r="A32" s="309" t="s">
        <v>1544</v>
      </c>
      <c r="B32" s="309" t="s">
        <v>1923</v>
      </c>
      <c r="C32" s="187">
        <v>44580</v>
      </c>
      <c r="D32" s="309" t="s">
        <v>3263</v>
      </c>
      <c r="E32" s="309" t="s">
        <v>7469</v>
      </c>
      <c r="F32" s="309" t="s">
        <v>176</v>
      </c>
      <c r="G32" s="339" t="s">
        <v>1545</v>
      </c>
      <c r="H32" s="339" t="s">
        <v>8877</v>
      </c>
      <c r="I32" s="6" t="s">
        <v>218</v>
      </c>
      <c r="J32" s="83" t="s">
        <v>462</v>
      </c>
      <c r="K32" s="308" t="s">
        <v>6797</v>
      </c>
      <c r="L32" s="206"/>
      <c r="M32" s="206">
        <v>0</v>
      </c>
      <c r="N32" s="206">
        <v>0</v>
      </c>
      <c r="O32" s="206">
        <v>0</v>
      </c>
      <c r="P32" s="206"/>
      <c r="Q32" s="206">
        <f t="shared" si="3"/>
        <v>0</v>
      </c>
      <c r="R32" s="206"/>
      <c r="S32" s="206"/>
      <c r="T32" s="223"/>
      <c r="U32" s="169">
        <f t="shared" si="4"/>
        <v>0</v>
      </c>
      <c r="V32" s="372">
        <v>0</v>
      </c>
      <c r="W32" s="343"/>
      <c r="X32" s="332">
        <f>SUMIFS(BASE_EX!$J:$J,BASE_EX!$B:$B,'Direct Charge'!$A32,BASE_EX!$C:$C,"janeiro")</f>
        <v>0</v>
      </c>
      <c r="Y32" s="373"/>
      <c r="Z32" s="372">
        <v>0</v>
      </c>
      <c r="AA32" s="343"/>
      <c r="AB32" s="332">
        <f>SUMIFS(BASE_EX!$J:$J,BASE_EX!$B:$B,'Direct Charge'!$A32,BASE_EX!$C:$C,"fevereiro")</f>
        <v>0</v>
      </c>
      <c r="AC32" s="373"/>
      <c r="AD32" s="372"/>
      <c r="AE32" s="343"/>
      <c r="AF32" s="332">
        <f>SUMIFS(BASE_EX!$J:$J,BASE_EX!$B:$B,'Direct Charge'!$A32,BASE_EX!$C:$C,"março")</f>
        <v>0</v>
      </c>
      <c r="AG32" s="373"/>
      <c r="AH32" s="372"/>
      <c r="AI32" s="343"/>
      <c r="AJ32" s="332">
        <f>SUMIFS(BASE_EX!$J:$J,BASE_EX!$B:$B,'Direct Charge'!$A32,BASE_EX!$C:$C,"abril")</f>
        <v>0</v>
      </c>
      <c r="AK32" s="373"/>
      <c r="AL32" s="372"/>
      <c r="AM32" s="343"/>
      <c r="AN32" s="332">
        <f>SUMIFS(BASE_EX!$J:$J,BASE_EX!$B:$B,'Direct Charge'!$A32,BASE_EX!$C:$C,"maio")</f>
        <v>0</v>
      </c>
      <c r="AO32" s="373"/>
      <c r="AP32" s="372"/>
      <c r="AQ32" s="343"/>
      <c r="AR32" s="332">
        <f>SUMIFS(BASE_EX!$J:$J,BASE_EX!$B:$B,'Direct Charge'!$A32,BASE_EX!$C:$C,"junho")</f>
        <v>0</v>
      </c>
      <c r="AS32" s="373"/>
      <c r="AT32" s="372"/>
      <c r="AU32" s="343"/>
      <c r="AV32" s="332">
        <f>SUMIFS(BASE_EX!$J:$J,BASE_EX!$B:$B,'Direct Charge'!$A32,BASE_EX!$C:$C,"julho")</f>
        <v>0</v>
      </c>
      <c r="AW32" s="373"/>
      <c r="AX32" s="372"/>
      <c r="AY32" s="343"/>
      <c r="AZ32" s="332">
        <f>SUMIFS(BASE_EX!$J:$J,BASE_EX!$B:$B,'Direct Charge'!$A32,BASE_EX!$C:$C,"agosto")</f>
        <v>0</v>
      </c>
      <c r="BA32" s="373"/>
      <c r="BB32" s="372"/>
      <c r="BC32" s="343"/>
      <c r="BD32" s="332">
        <f>SUMIFS(BASE_EX!$J:$J,BASE_EX!$B:$B,'Direct Charge'!$A32,BASE_EX!$C:$C,"setembro")</f>
        <v>0</v>
      </c>
      <c r="BE32" s="373"/>
      <c r="BF32" s="372"/>
      <c r="BG32" s="343"/>
      <c r="BH32" s="332">
        <f>SUMIFS(BASE_EX!$J:$J,BASE_EX!$B:$B,'Direct Charge'!$A32,BASE_EX!$C:$C,"outubro")</f>
        <v>0</v>
      </c>
      <c r="BI32" s="373"/>
      <c r="BJ32" s="372"/>
      <c r="BK32" s="343"/>
      <c r="BL32" s="332">
        <f>SUMIFS(BASE_EX!$J:$J,BASE_EX!$B:$B,'Direct Charge'!$A32,BASE_EX!$C:$C,"novembro")</f>
        <v>0</v>
      </c>
      <c r="BM32" s="373"/>
      <c r="BN32" s="372"/>
      <c r="BO32" s="343"/>
      <c r="BP32" s="332">
        <f>SUMIFS(BASE_EX!$J:$J,BASE_EX!$B:$B,'Direct Charge'!$A32,BASE_EX!$C:$C,"dezembro")</f>
        <v>0</v>
      </c>
      <c r="BQ32" s="373"/>
      <c r="BR32" s="452"/>
      <c r="BS32" s="156">
        <f t="shared" si="5"/>
        <v>0</v>
      </c>
      <c r="BT32" s="320">
        <f t="shared" si="6"/>
        <v>0</v>
      </c>
      <c r="BU32" s="157" t="e">
        <f>SUM(L32,M32,N32,O32,U32)-#REF!</f>
        <v>#REF!</v>
      </c>
      <c r="BV32" s="346">
        <f t="shared" si="7"/>
        <v>0</v>
      </c>
      <c r="BW32" s="344" t="str">
        <f>IFERROR(VLOOKUP($A32,'BASE_558 EX'!$D:$R,8,FALSE),"")</f>
        <v xml:space="preserve">            3.584,20</v>
      </c>
      <c r="BX32" s="344" t="str">
        <f>IFERROR(VLOOKUP($A32,'BASE_558 EX'!$D:$R,9,FALSE),"")</f>
        <v xml:space="preserve">                0,00</v>
      </c>
      <c r="BY32" s="344" t="str">
        <f>IFERROR(VLOOKUP($A32,'BASE_558 EX'!$D:$R,10,FALSE),"")</f>
        <v xml:space="preserve">                0,00</v>
      </c>
      <c r="BZ32" s="344" t="str">
        <f>IFERROR(VLOOKUP($A32,'BASE_558 EX'!$D:$R,11,FALSE),"")</f>
        <v xml:space="preserve">                0,00</v>
      </c>
      <c r="CA32" s="344" t="str">
        <f>IFERROR(IF(BASE_558!$P$14="RemOrdPla",(VLOOKUP(A32,BASE_558!D:R,14)/1000),(VLOOKUP(A32,BASE_558!D:R,13)/1000)),"")</f>
        <v/>
      </c>
      <c r="CB32" s="344" t="str">
        <f>IFERROR(VLOOKUP($A32,'BASE_558 EX'!$D:$R,15,FALSE),"")</f>
        <v xml:space="preserve">            3.584,20</v>
      </c>
      <c r="CC32" s="442"/>
      <c r="CD32" s="442">
        <f t="shared" si="8"/>
        <v>0</v>
      </c>
    </row>
    <row r="33" spans="1:82" s="23" customFormat="1" ht="25.4" customHeight="1">
      <c r="A33" s="309" t="s">
        <v>1546</v>
      </c>
      <c r="B33" s="309" t="s">
        <v>1923</v>
      </c>
      <c r="C33" s="187">
        <v>44581</v>
      </c>
      <c r="D33" s="309" t="s">
        <v>1125</v>
      </c>
      <c r="E33" s="309" t="s">
        <v>2849</v>
      </c>
      <c r="F33" s="309" t="s">
        <v>176</v>
      </c>
      <c r="G33" s="339" t="s">
        <v>1547</v>
      </c>
      <c r="H33" s="339" t="s">
        <v>8877</v>
      </c>
      <c r="I33" s="6" t="s">
        <v>218</v>
      </c>
      <c r="J33" s="83" t="s">
        <v>462</v>
      </c>
      <c r="K33" s="10" t="s">
        <v>2651</v>
      </c>
      <c r="L33" s="206"/>
      <c r="M33" s="206">
        <v>0</v>
      </c>
      <c r="N33" s="206">
        <v>1545.13</v>
      </c>
      <c r="O33" s="206">
        <v>0</v>
      </c>
      <c r="P33" s="206"/>
      <c r="Q33" s="206">
        <f t="shared" si="3"/>
        <v>0</v>
      </c>
      <c r="R33" s="206"/>
      <c r="S33" s="206"/>
      <c r="T33" s="223"/>
      <c r="U33" s="169">
        <f t="shared" si="4"/>
        <v>0</v>
      </c>
      <c r="V33" s="372">
        <v>0</v>
      </c>
      <c r="W33" s="343"/>
      <c r="X33" s="332">
        <f>SUMIFS(BASE_EX!$J:$J,BASE_EX!$B:$B,'Direct Charge'!$A33,BASE_EX!$C:$C,"janeiro")</f>
        <v>0</v>
      </c>
      <c r="Y33" s="373"/>
      <c r="Z33" s="372">
        <v>0</v>
      </c>
      <c r="AA33" s="343"/>
      <c r="AB33" s="332">
        <f>SUMIFS(BASE_EX!$J:$J,BASE_EX!$B:$B,'Direct Charge'!$A33,BASE_EX!$C:$C,"fevereiro")</f>
        <v>0</v>
      </c>
      <c r="AC33" s="373"/>
      <c r="AD33" s="372"/>
      <c r="AE33" s="343"/>
      <c r="AF33" s="332">
        <f>SUMIFS(BASE_EX!$J:$J,BASE_EX!$B:$B,'Direct Charge'!$A33,BASE_EX!$C:$C,"março")</f>
        <v>0</v>
      </c>
      <c r="AG33" s="373"/>
      <c r="AH33" s="372"/>
      <c r="AI33" s="343"/>
      <c r="AJ33" s="332">
        <f>SUMIFS(BASE_EX!$J:$J,BASE_EX!$B:$B,'Direct Charge'!$A33,BASE_EX!$C:$C,"abril")</f>
        <v>0</v>
      </c>
      <c r="AK33" s="373"/>
      <c r="AL33" s="372"/>
      <c r="AM33" s="343"/>
      <c r="AN33" s="332">
        <f>SUMIFS(BASE_EX!$J:$J,BASE_EX!$B:$B,'Direct Charge'!$A33,BASE_EX!$C:$C,"maio")</f>
        <v>0</v>
      </c>
      <c r="AO33" s="373"/>
      <c r="AP33" s="372"/>
      <c r="AQ33" s="343"/>
      <c r="AR33" s="332">
        <f>SUMIFS(BASE_EX!$J:$J,BASE_EX!$B:$B,'Direct Charge'!$A33,BASE_EX!$C:$C,"junho")</f>
        <v>0</v>
      </c>
      <c r="AS33" s="373"/>
      <c r="AT33" s="372"/>
      <c r="AU33" s="343"/>
      <c r="AV33" s="332">
        <f>SUMIFS(BASE_EX!$J:$J,BASE_EX!$B:$B,'Direct Charge'!$A33,BASE_EX!$C:$C,"julho")</f>
        <v>0</v>
      </c>
      <c r="AW33" s="373"/>
      <c r="AX33" s="372"/>
      <c r="AY33" s="343"/>
      <c r="AZ33" s="332">
        <f>SUMIFS(BASE_EX!$J:$J,BASE_EX!$B:$B,'Direct Charge'!$A33,BASE_EX!$C:$C,"agosto")</f>
        <v>0</v>
      </c>
      <c r="BA33" s="373"/>
      <c r="BB33" s="372"/>
      <c r="BC33" s="343"/>
      <c r="BD33" s="332">
        <f>SUMIFS(BASE_EX!$J:$J,BASE_EX!$B:$B,'Direct Charge'!$A33,BASE_EX!$C:$C,"setembro")</f>
        <v>0</v>
      </c>
      <c r="BE33" s="373"/>
      <c r="BF33" s="372"/>
      <c r="BG33" s="343"/>
      <c r="BH33" s="332">
        <f>SUMIFS(BASE_EX!$J:$J,BASE_EX!$B:$B,'Direct Charge'!$A33,BASE_EX!$C:$C,"outubro")</f>
        <v>0</v>
      </c>
      <c r="BI33" s="373"/>
      <c r="BJ33" s="372"/>
      <c r="BK33" s="343"/>
      <c r="BL33" s="332">
        <f>SUMIFS(BASE_EX!$J:$J,BASE_EX!$B:$B,'Direct Charge'!$A33,BASE_EX!$C:$C,"novembro")</f>
        <v>0</v>
      </c>
      <c r="BM33" s="373"/>
      <c r="BN33" s="372"/>
      <c r="BO33" s="343"/>
      <c r="BP33" s="332">
        <f>SUMIFS(BASE_EX!$J:$J,BASE_EX!$B:$B,'Direct Charge'!$A33,BASE_EX!$C:$C,"dezembro")</f>
        <v>0</v>
      </c>
      <c r="BQ33" s="373"/>
      <c r="BR33" s="452"/>
      <c r="BS33" s="156">
        <f t="shared" si="5"/>
        <v>0</v>
      </c>
      <c r="BT33" s="320">
        <f t="shared" si="6"/>
        <v>0</v>
      </c>
      <c r="BU33" s="157" t="e">
        <f>SUM(L33,M33,N33,O33,U33)-#REF!</f>
        <v>#REF!</v>
      </c>
      <c r="BV33" s="346">
        <f t="shared" si="7"/>
        <v>0</v>
      </c>
      <c r="BW33" s="344" t="str">
        <f>IFERROR(VLOOKUP($A33,'BASE_558 EX'!$D:$R,8,FALSE),"")</f>
        <v xml:space="preserve">            6.809,98</v>
      </c>
      <c r="BX33" s="344" t="str">
        <f>IFERROR(VLOOKUP($A33,'BASE_558 EX'!$D:$R,9,FALSE),"")</f>
        <v xml:space="preserve">            1.545,13</v>
      </c>
      <c r="BY33" s="344" t="str">
        <f>IFERROR(VLOOKUP($A33,'BASE_558 EX'!$D:$R,10,FALSE),"")</f>
        <v xml:space="preserve">                0,00</v>
      </c>
      <c r="BZ33" s="344" t="str">
        <f>IFERROR(VLOOKUP($A33,'BASE_558 EX'!$D:$R,11,FALSE),"")</f>
        <v xml:space="preserve">                0,00</v>
      </c>
      <c r="CA33" s="344" t="str">
        <f>IFERROR(IF(BASE_558!$P$14="RemOrdPla",(VLOOKUP(A33,BASE_558!D:R,14)/1000),(VLOOKUP(A33,BASE_558!D:R,13)/1000)),"")</f>
        <v/>
      </c>
      <c r="CB33" s="344" t="str">
        <f>IFERROR(VLOOKUP($A33,'BASE_558 EX'!$D:$R,15,FALSE),"")</f>
        <v xml:space="preserve">            5.264,85</v>
      </c>
      <c r="CC33" s="442"/>
      <c r="CD33" s="442">
        <f t="shared" si="8"/>
        <v>0</v>
      </c>
    </row>
    <row r="34" spans="1:82" s="23" customFormat="1" ht="23.25" customHeight="1">
      <c r="A34" s="309" t="s">
        <v>1586</v>
      </c>
      <c r="B34" s="309" t="s">
        <v>1923</v>
      </c>
      <c r="C34" s="187">
        <v>44614</v>
      </c>
      <c r="D34" s="309" t="s">
        <v>1708</v>
      </c>
      <c r="E34" s="309" t="s">
        <v>2200</v>
      </c>
      <c r="F34" s="309" t="s">
        <v>176</v>
      </c>
      <c r="G34" s="339" t="s">
        <v>1589</v>
      </c>
      <c r="H34" s="339" t="s">
        <v>8877</v>
      </c>
      <c r="I34" s="6" t="s">
        <v>218</v>
      </c>
      <c r="J34" s="83" t="s">
        <v>462</v>
      </c>
      <c r="K34" s="7" t="s">
        <v>1600</v>
      </c>
      <c r="L34" s="206"/>
      <c r="M34" s="206">
        <v>0</v>
      </c>
      <c r="N34" s="206">
        <v>0</v>
      </c>
      <c r="O34" s="206">
        <v>0</v>
      </c>
      <c r="P34" s="206"/>
      <c r="Q34" s="206">
        <f t="shared" si="3"/>
        <v>0</v>
      </c>
      <c r="R34" s="206"/>
      <c r="S34" s="206"/>
      <c r="T34" s="223"/>
      <c r="U34" s="169">
        <f t="shared" si="4"/>
        <v>0</v>
      </c>
      <c r="V34" s="372">
        <v>0</v>
      </c>
      <c r="W34" s="343"/>
      <c r="X34" s="332">
        <f>SUMIFS(BASE_EX!$J:$J,BASE_EX!$B:$B,'Direct Charge'!$A34,BASE_EX!$C:$C,"janeiro")</f>
        <v>0</v>
      </c>
      <c r="Y34" s="373"/>
      <c r="Z34" s="372">
        <v>0</v>
      </c>
      <c r="AA34" s="343"/>
      <c r="AB34" s="332">
        <f>SUMIFS(BASE_EX!$J:$J,BASE_EX!$B:$B,'Direct Charge'!$A34,BASE_EX!$C:$C,"fevereiro")</f>
        <v>0</v>
      </c>
      <c r="AC34" s="373"/>
      <c r="AD34" s="372"/>
      <c r="AE34" s="343"/>
      <c r="AF34" s="332">
        <f>SUMIFS(BASE_EX!$J:$J,BASE_EX!$B:$B,'Direct Charge'!$A34,BASE_EX!$C:$C,"março")</f>
        <v>0</v>
      </c>
      <c r="AG34" s="373"/>
      <c r="AH34" s="372"/>
      <c r="AI34" s="343"/>
      <c r="AJ34" s="332">
        <f>SUMIFS(BASE_EX!$J:$J,BASE_EX!$B:$B,'Direct Charge'!$A34,BASE_EX!$C:$C,"abril")</f>
        <v>0</v>
      </c>
      <c r="AK34" s="373"/>
      <c r="AL34" s="372"/>
      <c r="AM34" s="343"/>
      <c r="AN34" s="332">
        <f>SUMIFS(BASE_EX!$J:$J,BASE_EX!$B:$B,'Direct Charge'!$A34,BASE_EX!$C:$C,"maio")</f>
        <v>0</v>
      </c>
      <c r="AO34" s="373"/>
      <c r="AP34" s="372"/>
      <c r="AQ34" s="343"/>
      <c r="AR34" s="332">
        <f>SUMIFS(BASE_EX!$J:$J,BASE_EX!$B:$B,'Direct Charge'!$A34,BASE_EX!$C:$C,"junho")</f>
        <v>0</v>
      </c>
      <c r="AS34" s="373"/>
      <c r="AT34" s="372"/>
      <c r="AU34" s="343"/>
      <c r="AV34" s="332">
        <f>SUMIFS(BASE_EX!$J:$J,BASE_EX!$B:$B,'Direct Charge'!$A34,BASE_EX!$C:$C,"julho")</f>
        <v>0</v>
      </c>
      <c r="AW34" s="373"/>
      <c r="AX34" s="372"/>
      <c r="AY34" s="343"/>
      <c r="AZ34" s="332">
        <f>SUMIFS(BASE_EX!$J:$J,BASE_EX!$B:$B,'Direct Charge'!$A34,BASE_EX!$C:$C,"agosto")</f>
        <v>0</v>
      </c>
      <c r="BA34" s="373"/>
      <c r="BB34" s="372"/>
      <c r="BC34" s="343"/>
      <c r="BD34" s="332">
        <f>SUMIFS(BASE_EX!$J:$J,BASE_EX!$B:$B,'Direct Charge'!$A34,BASE_EX!$C:$C,"setembro")</f>
        <v>0</v>
      </c>
      <c r="BE34" s="373"/>
      <c r="BF34" s="372"/>
      <c r="BG34" s="343"/>
      <c r="BH34" s="332">
        <f>SUMIFS(BASE_EX!$J:$J,BASE_EX!$B:$B,'Direct Charge'!$A34,BASE_EX!$C:$C,"outubro")</f>
        <v>0</v>
      </c>
      <c r="BI34" s="373"/>
      <c r="BJ34" s="372"/>
      <c r="BK34" s="343"/>
      <c r="BL34" s="332">
        <f>SUMIFS(BASE_EX!$J:$J,BASE_EX!$B:$B,'Direct Charge'!$A34,BASE_EX!$C:$C,"novembro")</f>
        <v>0</v>
      </c>
      <c r="BM34" s="373"/>
      <c r="BN34" s="372"/>
      <c r="BO34" s="343"/>
      <c r="BP34" s="332">
        <f>SUMIFS(BASE_EX!$J:$J,BASE_EX!$B:$B,'Direct Charge'!$A34,BASE_EX!$C:$C,"dezembro")</f>
        <v>0</v>
      </c>
      <c r="BQ34" s="373"/>
      <c r="BR34" s="452"/>
      <c r="BS34" s="156">
        <f t="shared" si="5"/>
        <v>0</v>
      </c>
      <c r="BT34" s="320">
        <f t="shared" si="6"/>
        <v>0</v>
      </c>
      <c r="BU34" s="157" t="e">
        <f>SUM(L34,M34,N34,O34,U34)-#REF!</f>
        <v>#REF!</v>
      </c>
      <c r="BV34" s="346">
        <f t="shared" si="7"/>
        <v>0</v>
      </c>
      <c r="BW34" s="344" t="str">
        <f>IFERROR(VLOOKUP($A34,'BASE_558 EX'!$D:$R,8,FALSE),"")</f>
        <v xml:space="preserve">            3.942,62</v>
      </c>
      <c r="BX34" s="344" t="str">
        <f>IFERROR(VLOOKUP($A34,'BASE_558 EX'!$D:$R,9,FALSE),"")</f>
        <v xml:space="preserve">                0,00</v>
      </c>
      <c r="BY34" s="344" t="str">
        <f>IFERROR(VLOOKUP($A34,'BASE_558 EX'!$D:$R,10,FALSE),"")</f>
        <v xml:space="preserve">                0,00</v>
      </c>
      <c r="BZ34" s="344" t="str">
        <f>IFERROR(VLOOKUP($A34,'BASE_558 EX'!$D:$R,11,FALSE),"")</f>
        <v xml:space="preserve">                0,00</v>
      </c>
      <c r="CA34" s="344" t="str">
        <f>IFERROR(IF(BASE_558!$P$14="RemOrdPla",(VLOOKUP(A34,BASE_558!D:R,14)/1000),(VLOOKUP(A34,BASE_558!D:R,13)/1000)),"")</f>
        <v/>
      </c>
      <c r="CB34" s="344" t="str">
        <f>IFERROR(VLOOKUP($A34,'BASE_558 EX'!$D:$R,15,FALSE),"")</f>
        <v xml:space="preserve">            3.942,62</v>
      </c>
      <c r="CC34" s="442"/>
      <c r="CD34" s="442">
        <f t="shared" si="8"/>
        <v>0</v>
      </c>
    </row>
    <row r="35" spans="1:82" s="23" customFormat="1" ht="25.4" customHeight="1">
      <c r="A35" s="309" t="s">
        <v>1587</v>
      </c>
      <c r="B35" s="309" t="s">
        <v>1923</v>
      </c>
      <c r="C35" s="187">
        <v>44614</v>
      </c>
      <c r="D35" s="309" t="s">
        <v>785</v>
      </c>
      <c r="E35" s="309" t="s">
        <v>785</v>
      </c>
      <c r="F35" s="309" t="s">
        <v>176</v>
      </c>
      <c r="G35" s="339" t="s">
        <v>1590</v>
      </c>
      <c r="H35" s="339" t="s">
        <v>8877</v>
      </c>
      <c r="I35" s="6" t="s">
        <v>218</v>
      </c>
      <c r="J35" s="83" t="s">
        <v>462</v>
      </c>
      <c r="K35" s="7" t="s">
        <v>1600</v>
      </c>
      <c r="L35" s="206"/>
      <c r="M35" s="206">
        <v>0</v>
      </c>
      <c r="N35" s="206">
        <v>11764.07</v>
      </c>
      <c r="O35" s="206">
        <v>0</v>
      </c>
      <c r="P35" s="206"/>
      <c r="Q35" s="206">
        <f t="shared" si="3"/>
        <v>0</v>
      </c>
      <c r="R35" s="206"/>
      <c r="S35" s="206"/>
      <c r="T35" s="223"/>
      <c r="U35" s="169">
        <f t="shared" si="4"/>
        <v>0</v>
      </c>
      <c r="V35" s="372">
        <v>0</v>
      </c>
      <c r="W35" s="343"/>
      <c r="X35" s="332">
        <f>SUMIFS(BASE_EX!$J:$J,BASE_EX!$B:$B,'Direct Charge'!$A35,BASE_EX!$C:$C,"janeiro")</f>
        <v>0</v>
      </c>
      <c r="Y35" s="373"/>
      <c r="Z35" s="372">
        <v>0</v>
      </c>
      <c r="AA35" s="343"/>
      <c r="AB35" s="332">
        <f>SUMIFS(BASE_EX!$J:$J,BASE_EX!$B:$B,'Direct Charge'!$A35,BASE_EX!$C:$C,"fevereiro")</f>
        <v>0</v>
      </c>
      <c r="AC35" s="373"/>
      <c r="AD35" s="372"/>
      <c r="AE35" s="343"/>
      <c r="AF35" s="332">
        <f>SUMIFS(BASE_EX!$J:$J,BASE_EX!$B:$B,'Direct Charge'!$A35,BASE_EX!$C:$C,"março")</f>
        <v>0</v>
      </c>
      <c r="AG35" s="373"/>
      <c r="AH35" s="372"/>
      <c r="AI35" s="343"/>
      <c r="AJ35" s="332">
        <f>SUMIFS(BASE_EX!$J:$J,BASE_EX!$B:$B,'Direct Charge'!$A35,BASE_EX!$C:$C,"abril")</f>
        <v>0</v>
      </c>
      <c r="AK35" s="373"/>
      <c r="AL35" s="372"/>
      <c r="AM35" s="343"/>
      <c r="AN35" s="332">
        <f>SUMIFS(BASE_EX!$J:$J,BASE_EX!$B:$B,'Direct Charge'!$A35,BASE_EX!$C:$C,"maio")</f>
        <v>0</v>
      </c>
      <c r="AO35" s="373"/>
      <c r="AP35" s="372"/>
      <c r="AQ35" s="343"/>
      <c r="AR35" s="332">
        <f>SUMIFS(BASE_EX!$J:$J,BASE_EX!$B:$B,'Direct Charge'!$A35,BASE_EX!$C:$C,"junho")</f>
        <v>0</v>
      </c>
      <c r="AS35" s="373"/>
      <c r="AT35" s="372"/>
      <c r="AU35" s="343"/>
      <c r="AV35" s="332">
        <f>SUMIFS(BASE_EX!$J:$J,BASE_EX!$B:$B,'Direct Charge'!$A35,BASE_EX!$C:$C,"julho")</f>
        <v>0</v>
      </c>
      <c r="AW35" s="373"/>
      <c r="AX35" s="372"/>
      <c r="AY35" s="343"/>
      <c r="AZ35" s="332">
        <f>SUMIFS(BASE_EX!$J:$J,BASE_EX!$B:$B,'Direct Charge'!$A35,BASE_EX!$C:$C,"agosto")</f>
        <v>0</v>
      </c>
      <c r="BA35" s="373"/>
      <c r="BB35" s="372"/>
      <c r="BC35" s="343"/>
      <c r="BD35" s="332">
        <f>SUMIFS(BASE_EX!$J:$J,BASE_EX!$B:$B,'Direct Charge'!$A35,BASE_EX!$C:$C,"setembro")</f>
        <v>0</v>
      </c>
      <c r="BE35" s="373"/>
      <c r="BF35" s="372"/>
      <c r="BG35" s="343"/>
      <c r="BH35" s="332">
        <f>SUMIFS(BASE_EX!$J:$J,BASE_EX!$B:$B,'Direct Charge'!$A35,BASE_EX!$C:$C,"outubro")</f>
        <v>0</v>
      </c>
      <c r="BI35" s="373"/>
      <c r="BJ35" s="372"/>
      <c r="BK35" s="343"/>
      <c r="BL35" s="332">
        <f>SUMIFS(BASE_EX!$J:$J,BASE_EX!$B:$B,'Direct Charge'!$A35,BASE_EX!$C:$C,"novembro")</f>
        <v>0</v>
      </c>
      <c r="BM35" s="373"/>
      <c r="BN35" s="372"/>
      <c r="BO35" s="343"/>
      <c r="BP35" s="332">
        <f>SUMIFS(BASE_EX!$J:$J,BASE_EX!$B:$B,'Direct Charge'!$A35,BASE_EX!$C:$C,"dezembro")</f>
        <v>0</v>
      </c>
      <c r="BQ35" s="373"/>
      <c r="BR35" s="452"/>
      <c r="BS35" s="156">
        <f t="shared" si="5"/>
        <v>0</v>
      </c>
      <c r="BT35" s="320">
        <f t="shared" si="6"/>
        <v>0</v>
      </c>
      <c r="BU35" s="157" t="e">
        <f>SUM(L35,M35,N35,O35,U35)-#REF!</f>
        <v>#REF!</v>
      </c>
      <c r="BV35" s="346">
        <f t="shared" si="7"/>
        <v>0</v>
      </c>
      <c r="BW35" s="344" t="str">
        <f>IFERROR(VLOOKUP($A35,'BASE_558 EX'!$D:$R,8,FALSE),"")</f>
        <v xml:space="preserve">           13.143,32</v>
      </c>
      <c r="BX35" s="344" t="str">
        <f>IFERROR(VLOOKUP($A35,'BASE_558 EX'!$D:$R,9,FALSE),"")</f>
        <v xml:space="preserve">           11.764,07</v>
      </c>
      <c r="BY35" s="344" t="str">
        <f>IFERROR(VLOOKUP($A35,'BASE_558 EX'!$D:$R,10,FALSE),"")</f>
        <v xml:space="preserve">                0,00</v>
      </c>
      <c r="BZ35" s="344" t="str">
        <f>IFERROR(VLOOKUP($A35,'BASE_558 EX'!$D:$R,11,FALSE),"")</f>
        <v xml:space="preserve">                0,00</v>
      </c>
      <c r="CA35" s="344" t="str">
        <f>IFERROR(IF(BASE_558!$P$14="RemOrdPla",(VLOOKUP(A35,BASE_558!D:R,14)/1000),(VLOOKUP(A35,BASE_558!D:R,13)/1000)),"")</f>
        <v/>
      </c>
      <c r="CB35" s="344" t="str">
        <f>IFERROR(VLOOKUP($A35,'BASE_558 EX'!$D:$R,15,FALSE),"")</f>
        <v xml:space="preserve">            1.379,25</v>
      </c>
      <c r="CC35" s="442"/>
      <c r="CD35" s="442">
        <f t="shared" si="8"/>
        <v>0</v>
      </c>
    </row>
    <row r="36" spans="1:82" s="23" customFormat="1" ht="25.4" customHeight="1">
      <c r="A36" s="309" t="s">
        <v>1588</v>
      </c>
      <c r="B36" s="309" t="s">
        <v>1923</v>
      </c>
      <c r="C36" s="187">
        <v>44614</v>
      </c>
      <c r="D36" s="309" t="s">
        <v>2852</v>
      </c>
      <c r="E36" s="309" t="s">
        <v>7469</v>
      </c>
      <c r="F36" s="309" t="s">
        <v>176</v>
      </c>
      <c r="G36" s="339" t="s">
        <v>1591</v>
      </c>
      <c r="H36" s="339" t="s">
        <v>8877</v>
      </c>
      <c r="I36" s="6" t="s">
        <v>218</v>
      </c>
      <c r="J36" s="83" t="s">
        <v>462</v>
      </c>
      <c r="K36" s="7" t="s">
        <v>1600</v>
      </c>
      <c r="L36" s="206"/>
      <c r="M36" s="206">
        <v>0</v>
      </c>
      <c r="N36" s="206">
        <v>25430.5</v>
      </c>
      <c r="O36" s="206">
        <v>0</v>
      </c>
      <c r="P36" s="206"/>
      <c r="Q36" s="206">
        <f t="shared" si="3"/>
        <v>0</v>
      </c>
      <c r="R36" s="206"/>
      <c r="S36" s="206"/>
      <c r="T36" s="223"/>
      <c r="U36" s="169">
        <f t="shared" si="4"/>
        <v>0</v>
      </c>
      <c r="V36" s="372">
        <v>0</v>
      </c>
      <c r="W36" s="343"/>
      <c r="X36" s="332">
        <f>SUMIFS(BASE_EX!$J:$J,BASE_EX!$B:$B,'Direct Charge'!$A36,BASE_EX!$C:$C,"janeiro")</f>
        <v>0</v>
      </c>
      <c r="Y36" s="373"/>
      <c r="Z36" s="372">
        <v>0</v>
      </c>
      <c r="AA36" s="343"/>
      <c r="AB36" s="332">
        <f>SUMIFS(BASE_EX!$J:$J,BASE_EX!$B:$B,'Direct Charge'!$A36,BASE_EX!$C:$C,"fevereiro")</f>
        <v>0</v>
      </c>
      <c r="AC36" s="373"/>
      <c r="AD36" s="372"/>
      <c r="AE36" s="343"/>
      <c r="AF36" s="332">
        <f>SUMIFS(BASE_EX!$J:$J,BASE_EX!$B:$B,'Direct Charge'!$A36,BASE_EX!$C:$C,"março")</f>
        <v>0</v>
      </c>
      <c r="AG36" s="373"/>
      <c r="AH36" s="372"/>
      <c r="AI36" s="343"/>
      <c r="AJ36" s="332">
        <f>SUMIFS(BASE_EX!$J:$J,BASE_EX!$B:$B,'Direct Charge'!$A36,BASE_EX!$C:$C,"abril")</f>
        <v>0</v>
      </c>
      <c r="AK36" s="373"/>
      <c r="AL36" s="372"/>
      <c r="AM36" s="343"/>
      <c r="AN36" s="332">
        <f>SUMIFS(BASE_EX!$J:$J,BASE_EX!$B:$B,'Direct Charge'!$A36,BASE_EX!$C:$C,"maio")</f>
        <v>0</v>
      </c>
      <c r="AO36" s="373"/>
      <c r="AP36" s="372"/>
      <c r="AQ36" s="343"/>
      <c r="AR36" s="332">
        <f>SUMIFS(BASE_EX!$J:$J,BASE_EX!$B:$B,'Direct Charge'!$A36,BASE_EX!$C:$C,"junho")</f>
        <v>0</v>
      </c>
      <c r="AS36" s="373"/>
      <c r="AT36" s="372"/>
      <c r="AU36" s="343"/>
      <c r="AV36" s="332">
        <f>SUMIFS(BASE_EX!$J:$J,BASE_EX!$B:$B,'Direct Charge'!$A36,BASE_EX!$C:$C,"julho")</f>
        <v>0</v>
      </c>
      <c r="AW36" s="373"/>
      <c r="AX36" s="372"/>
      <c r="AY36" s="343"/>
      <c r="AZ36" s="332">
        <f>SUMIFS(BASE_EX!$J:$J,BASE_EX!$B:$B,'Direct Charge'!$A36,BASE_EX!$C:$C,"agosto")</f>
        <v>0</v>
      </c>
      <c r="BA36" s="373"/>
      <c r="BB36" s="372"/>
      <c r="BC36" s="343"/>
      <c r="BD36" s="332">
        <f>SUMIFS(BASE_EX!$J:$J,BASE_EX!$B:$B,'Direct Charge'!$A36,BASE_EX!$C:$C,"setembro")</f>
        <v>0</v>
      </c>
      <c r="BE36" s="373"/>
      <c r="BF36" s="372"/>
      <c r="BG36" s="343"/>
      <c r="BH36" s="332">
        <f>SUMIFS(BASE_EX!$J:$J,BASE_EX!$B:$B,'Direct Charge'!$A36,BASE_EX!$C:$C,"outubro")</f>
        <v>0</v>
      </c>
      <c r="BI36" s="373"/>
      <c r="BJ36" s="372"/>
      <c r="BK36" s="343"/>
      <c r="BL36" s="332">
        <f>SUMIFS(BASE_EX!$J:$J,BASE_EX!$B:$B,'Direct Charge'!$A36,BASE_EX!$C:$C,"novembro")</f>
        <v>0</v>
      </c>
      <c r="BM36" s="373"/>
      <c r="BN36" s="372"/>
      <c r="BO36" s="343"/>
      <c r="BP36" s="332">
        <f>SUMIFS(BASE_EX!$J:$J,BASE_EX!$B:$B,'Direct Charge'!$A36,BASE_EX!$C:$C,"dezembro")</f>
        <v>0</v>
      </c>
      <c r="BQ36" s="373"/>
      <c r="BR36" s="452"/>
      <c r="BS36" s="156">
        <f t="shared" si="5"/>
        <v>0</v>
      </c>
      <c r="BT36" s="320">
        <f t="shared" si="6"/>
        <v>0</v>
      </c>
      <c r="BU36" s="157" t="e">
        <f>SUM(L36,M36,N36,O36,U36)-#REF!</f>
        <v>#REF!</v>
      </c>
      <c r="BV36" s="346">
        <f t="shared" si="7"/>
        <v>0</v>
      </c>
      <c r="BW36" s="344" t="str">
        <f>IFERROR(VLOOKUP($A36,'BASE_558 EX'!$D:$R,8,FALSE),"")</f>
        <v xml:space="preserve">           40.644,83</v>
      </c>
      <c r="BX36" s="344" t="str">
        <f>IFERROR(VLOOKUP($A36,'BASE_558 EX'!$D:$R,9,FALSE),"")</f>
        <v xml:space="preserve">           25.430,50</v>
      </c>
      <c r="BY36" s="344" t="str">
        <f>IFERROR(VLOOKUP($A36,'BASE_558 EX'!$D:$R,10,FALSE),"")</f>
        <v xml:space="preserve">                0,00</v>
      </c>
      <c r="BZ36" s="344" t="str">
        <f>IFERROR(VLOOKUP($A36,'BASE_558 EX'!$D:$R,11,FALSE),"")</f>
        <v xml:space="preserve">                0,00</v>
      </c>
      <c r="CA36" s="344" t="str">
        <f>IFERROR(IF(BASE_558!$P$14="RemOrdPla",(VLOOKUP(A36,BASE_558!D:R,14)/1000),(VLOOKUP(A36,BASE_558!D:R,13)/1000)),"")</f>
        <v/>
      </c>
      <c r="CB36" s="344" t="str">
        <f>IFERROR(VLOOKUP($A36,'BASE_558 EX'!$D:$R,15,FALSE),"")</f>
        <v xml:space="preserve">           15.214,33</v>
      </c>
      <c r="CC36" s="442"/>
      <c r="CD36" s="442">
        <f t="shared" si="8"/>
        <v>0</v>
      </c>
    </row>
    <row r="37" spans="1:82" s="23" customFormat="1" ht="25.4" customHeight="1">
      <c r="A37" s="309" t="s">
        <v>1627</v>
      </c>
      <c r="B37" s="309" t="s">
        <v>1910</v>
      </c>
      <c r="C37" s="187">
        <v>44686</v>
      </c>
      <c r="D37" s="309" t="s">
        <v>2853</v>
      </c>
      <c r="E37" s="309" t="s">
        <v>2849</v>
      </c>
      <c r="F37" s="309" t="s">
        <v>176</v>
      </c>
      <c r="G37" s="339" t="s">
        <v>1628</v>
      </c>
      <c r="H37" s="339" t="s">
        <v>9112</v>
      </c>
      <c r="I37" s="6" t="s">
        <v>218</v>
      </c>
      <c r="J37" s="83" t="s">
        <v>557</v>
      </c>
      <c r="K37" s="7" t="s">
        <v>2560</v>
      </c>
      <c r="L37" s="206"/>
      <c r="M37" s="206">
        <v>0</v>
      </c>
      <c r="N37" s="206">
        <v>0</v>
      </c>
      <c r="O37" s="206">
        <v>0</v>
      </c>
      <c r="P37" s="206"/>
      <c r="Q37" s="206">
        <f t="shared" si="3"/>
        <v>0</v>
      </c>
      <c r="R37" s="206"/>
      <c r="S37" s="206"/>
      <c r="T37" s="223"/>
      <c r="U37" s="169">
        <f t="shared" si="4"/>
        <v>0</v>
      </c>
      <c r="V37" s="372">
        <v>0</v>
      </c>
      <c r="W37" s="343"/>
      <c r="X37" s="332">
        <f>SUMIFS(BASE_EX!$J:$J,BASE_EX!$B:$B,'Direct Charge'!$A37,BASE_EX!$C:$C,"janeiro")</f>
        <v>0</v>
      </c>
      <c r="Y37" s="373"/>
      <c r="Z37" s="372">
        <v>0</v>
      </c>
      <c r="AA37" s="343"/>
      <c r="AB37" s="332">
        <f>SUMIFS(BASE_EX!$J:$J,BASE_EX!$B:$B,'Direct Charge'!$A37,BASE_EX!$C:$C,"fevereiro")</f>
        <v>0</v>
      </c>
      <c r="AC37" s="373"/>
      <c r="AD37" s="372"/>
      <c r="AE37" s="343"/>
      <c r="AF37" s="332">
        <f>SUMIFS(BASE_EX!$J:$J,BASE_EX!$B:$B,'Direct Charge'!$A37,BASE_EX!$C:$C,"março")</f>
        <v>0</v>
      </c>
      <c r="AG37" s="373"/>
      <c r="AH37" s="372"/>
      <c r="AI37" s="343"/>
      <c r="AJ37" s="332">
        <f>SUMIFS(BASE_EX!$J:$J,BASE_EX!$B:$B,'Direct Charge'!$A37,BASE_EX!$C:$C,"abril")</f>
        <v>0</v>
      </c>
      <c r="AK37" s="373"/>
      <c r="AL37" s="372"/>
      <c r="AM37" s="343"/>
      <c r="AN37" s="332">
        <f>SUMIFS(BASE_EX!$J:$J,BASE_EX!$B:$B,'Direct Charge'!$A37,BASE_EX!$C:$C,"maio")</f>
        <v>0</v>
      </c>
      <c r="AO37" s="373"/>
      <c r="AP37" s="372"/>
      <c r="AQ37" s="343"/>
      <c r="AR37" s="332">
        <f>SUMIFS(BASE_EX!$J:$J,BASE_EX!$B:$B,'Direct Charge'!$A37,BASE_EX!$C:$C,"junho")</f>
        <v>0</v>
      </c>
      <c r="AS37" s="373"/>
      <c r="AT37" s="372"/>
      <c r="AU37" s="343"/>
      <c r="AV37" s="332">
        <f>SUMIFS(BASE_EX!$J:$J,BASE_EX!$B:$B,'Direct Charge'!$A37,BASE_EX!$C:$C,"julho")</f>
        <v>0</v>
      </c>
      <c r="AW37" s="373"/>
      <c r="AX37" s="372"/>
      <c r="AY37" s="343"/>
      <c r="AZ37" s="332">
        <f>SUMIFS(BASE_EX!$J:$J,BASE_EX!$B:$B,'Direct Charge'!$A37,BASE_EX!$C:$C,"agosto")</f>
        <v>0</v>
      </c>
      <c r="BA37" s="373"/>
      <c r="BB37" s="372"/>
      <c r="BC37" s="343"/>
      <c r="BD37" s="332">
        <f>SUMIFS(BASE_EX!$J:$J,BASE_EX!$B:$B,'Direct Charge'!$A37,BASE_EX!$C:$C,"setembro")</f>
        <v>0</v>
      </c>
      <c r="BE37" s="373"/>
      <c r="BF37" s="372"/>
      <c r="BG37" s="343"/>
      <c r="BH37" s="332">
        <f>SUMIFS(BASE_EX!$J:$J,BASE_EX!$B:$B,'Direct Charge'!$A37,BASE_EX!$C:$C,"outubro")</f>
        <v>0</v>
      </c>
      <c r="BI37" s="373"/>
      <c r="BJ37" s="372"/>
      <c r="BK37" s="343"/>
      <c r="BL37" s="332">
        <f>SUMIFS(BASE_EX!$J:$J,BASE_EX!$B:$B,'Direct Charge'!$A37,BASE_EX!$C:$C,"novembro")</f>
        <v>0</v>
      </c>
      <c r="BM37" s="373"/>
      <c r="BN37" s="372"/>
      <c r="BO37" s="343"/>
      <c r="BP37" s="332">
        <f>SUMIFS(BASE_EX!$J:$J,BASE_EX!$B:$B,'Direct Charge'!$A37,BASE_EX!$C:$C,"dezembro")</f>
        <v>0</v>
      </c>
      <c r="BQ37" s="373"/>
      <c r="BR37" s="452"/>
      <c r="BS37" s="156">
        <f t="shared" si="5"/>
        <v>0</v>
      </c>
      <c r="BT37" s="320">
        <f t="shared" si="6"/>
        <v>0</v>
      </c>
      <c r="BU37" s="157" t="e">
        <f>SUM(L37,M37,N37,O37,U37)-#REF!</f>
        <v>#REF!</v>
      </c>
      <c r="BV37" s="346">
        <f t="shared" si="7"/>
        <v>0</v>
      </c>
      <c r="BW37" s="344" t="str">
        <f>IFERROR(VLOOKUP($A37,'BASE_558 EX'!$D:$R,8,FALSE),"")</f>
        <v xml:space="preserve">            2.150,52</v>
      </c>
      <c r="BX37" s="344" t="str">
        <f>IFERROR(VLOOKUP($A37,'BASE_558 EX'!$D:$R,9,FALSE),"")</f>
        <v xml:space="preserve">                0,00</v>
      </c>
      <c r="BY37" s="344" t="str">
        <f>IFERROR(VLOOKUP($A37,'BASE_558 EX'!$D:$R,10,FALSE),"")</f>
        <v xml:space="preserve">                0,00</v>
      </c>
      <c r="BZ37" s="344" t="str">
        <f>IFERROR(VLOOKUP($A37,'BASE_558 EX'!$D:$R,11,FALSE),"")</f>
        <v xml:space="preserve">                0,00</v>
      </c>
      <c r="CA37" s="344" t="str">
        <f>IFERROR(IF(BASE_558!$P$14="RemOrdPla",(VLOOKUP(A37,BASE_558!D:R,14)/1000),(VLOOKUP(A37,BASE_558!D:R,13)/1000)),"")</f>
        <v/>
      </c>
      <c r="CB37" s="344" t="str">
        <f>IFERROR(VLOOKUP($A37,'BASE_558 EX'!$D:$R,15,FALSE),"")</f>
        <v xml:space="preserve">            2.150,52</v>
      </c>
      <c r="CC37" s="442"/>
      <c r="CD37" s="442">
        <f t="shared" si="8"/>
        <v>0</v>
      </c>
    </row>
    <row r="38" spans="1:82" s="23" customFormat="1" ht="25.4" customHeight="1">
      <c r="A38" s="309" t="s">
        <v>1642</v>
      </c>
      <c r="B38" s="309" t="s">
        <v>1923</v>
      </c>
      <c r="C38" s="187">
        <v>44711</v>
      </c>
      <c r="D38" s="309" t="s">
        <v>1045</v>
      </c>
      <c r="E38" s="309" t="s">
        <v>704</v>
      </c>
      <c r="F38" s="309" t="s">
        <v>176</v>
      </c>
      <c r="G38" s="360" t="s">
        <v>1643</v>
      </c>
      <c r="H38" s="339" t="s">
        <v>8877</v>
      </c>
      <c r="I38" s="6" t="s">
        <v>195</v>
      </c>
      <c r="J38" s="83" t="s">
        <v>219</v>
      </c>
      <c r="K38" s="512" t="s">
        <v>11313</v>
      </c>
      <c r="L38" s="206"/>
      <c r="M38" s="206">
        <v>0</v>
      </c>
      <c r="N38" s="206">
        <v>0</v>
      </c>
      <c r="O38" s="206">
        <v>28625.16</v>
      </c>
      <c r="P38" s="206"/>
      <c r="Q38" s="206">
        <f t="shared" si="3"/>
        <v>2696.69</v>
      </c>
      <c r="R38" s="206"/>
      <c r="S38" s="206"/>
      <c r="T38" s="223"/>
      <c r="U38" s="169">
        <f t="shared" si="4"/>
        <v>2696.69</v>
      </c>
      <c r="V38" s="372">
        <v>0</v>
      </c>
      <c r="W38" s="343"/>
      <c r="X38" s="332">
        <f>SUMIFS(BASE_EX!$J:$J,BASE_EX!$B:$B,'Direct Charge'!$A38,BASE_EX!$C:$C,"janeiro")</f>
        <v>0</v>
      </c>
      <c r="Y38" s="373"/>
      <c r="Z38" s="372">
        <v>0</v>
      </c>
      <c r="AA38" s="343"/>
      <c r="AB38" s="332">
        <f>SUMIFS(BASE_EX!$J:$J,BASE_EX!$B:$B,'Direct Charge'!$A38,BASE_EX!$C:$C,"fevereiro")</f>
        <v>0</v>
      </c>
      <c r="AC38" s="373"/>
      <c r="AD38" s="372"/>
      <c r="AE38" s="343">
        <v>2696.69</v>
      </c>
      <c r="AF38" s="332">
        <f>SUMIFS(BASE_EX!$J:$J,BASE_EX!$B:$B,'Direct Charge'!$A38,BASE_EX!$C:$C,"março")</f>
        <v>2696.69</v>
      </c>
      <c r="AG38" s="373">
        <v>2696.69</v>
      </c>
      <c r="AH38" s="372">
        <v>0</v>
      </c>
      <c r="AI38" s="343"/>
      <c r="AJ38" s="332">
        <f>SUMIFS(BASE_EX!$J:$J,BASE_EX!$B:$B,'Direct Charge'!$A38,BASE_EX!$C:$C,"abril")</f>
        <v>0</v>
      </c>
      <c r="AK38" s="373">
        <v>0</v>
      </c>
      <c r="AL38" s="372"/>
      <c r="AM38" s="343"/>
      <c r="AN38" s="332">
        <f>SUMIFS(BASE_EX!$J:$J,BASE_EX!$B:$B,'Direct Charge'!$A38,BASE_EX!$C:$C,"maio")</f>
        <v>0</v>
      </c>
      <c r="AO38" s="373"/>
      <c r="AP38" s="372"/>
      <c r="AQ38" s="343"/>
      <c r="AR38" s="332">
        <f>SUMIFS(BASE_EX!$J:$J,BASE_EX!$B:$B,'Direct Charge'!$A38,BASE_EX!$C:$C,"junho")</f>
        <v>0</v>
      </c>
      <c r="AS38" s="373"/>
      <c r="AT38" s="372"/>
      <c r="AU38" s="343"/>
      <c r="AV38" s="332">
        <f>SUMIFS(BASE_EX!$J:$J,BASE_EX!$B:$B,'Direct Charge'!$A38,BASE_EX!$C:$C,"julho")</f>
        <v>0</v>
      </c>
      <c r="AW38" s="373"/>
      <c r="AX38" s="372"/>
      <c r="AY38" s="343"/>
      <c r="AZ38" s="332">
        <f>SUMIFS(BASE_EX!$J:$J,BASE_EX!$B:$B,'Direct Charge'!$A38,BASE_EX!$C:$C,"agosto")</f>
        <v>0</v>
      </c>
      <c r="BA38" s="373"/>
      <c r="BB38" s="372"/>
      <c r="BC38" s="343"/>
      <c r="BD38" s="332">
        <f>SUMIFS(BASE_EX!$J:$J,BASE_EX!$B:$B,'Direct Charge'!$A38,BASE_EX!$C:$C,"setembro")</f>
        <v>0</v>
      </c>
      <c r="BE38" s="373"/>
      <c r="BF38" s="372"/>
      <c r="BG38" s="343"/>
      <c r="BH38" s="332">
        <f>SUMIFS(BASE_EX!$J:$J,BASE_EX!$B:$B,'Direct Charge'!$A38,BASE_EX!$C:$C,"outubro")</f>
        <v>0</v>
      </c>
      <c r="BI38" s="373"/>
      <c r="BJ38" s="372"/>
      <c r="BK38" s="343"/>
      <c r="BL38" s="332">
        <f>SUMIFS(BASE_EX!$J:$J,BASE_EX!$B:$B,'Direct Charge'!$A38,BASE_EX!$C:$C,"novembro")</f>
        <v>0</v>
      </c>
      <c r="BM38" s="373"/>
      <c r="BN38" s="372"/>
      <c r="BO38" s="343"/>
      <c r="BP38" s="332">
        <f>SUMIFS(BASE_EX!$J:$J,BASE_EX!$B:$B,'Direct Charge'!$A38,BASE_EX!$C:$C,"dezembro")</f>
        <v>0</v>
      </c>
      <c r="BQ38" s="373"/>
      <c r="BR38" s="452"/>
      <c r="BS38" s="156">
        <f t="shared" si="5"/>
        <v>0</v>
      </c>
      <c r="BT38" s="320">
        <f t="shared" si="6"/>
        <v>0</v>
      </c>
      <c r="BU38" s="157" t="e">
        <f>SUM(L38,M38,N38,O38,U38)-#REF!</f>
        <v>#REF!</v>
      </c>
      <c r="BV38" s="346">
        <f t="shared" si="7"/>
        <v>2696.69</v>
      </c>
      <c r="BW38" s="344" t="str">
        <f>IFERROR(VLOOKUP($A38,'BASE_558 EX'!$D:$R,8,FALSE),"")</f>
        <v xml:space="preserve">           32.705,83</v>
      </c>
      <c r="BX38" s="344" t="str">
        <f>IFERROR(VLOOKUP($A38,'BASE_558 EX'!$D:$R,9,FALSE),"")</f>
        <v xml:space="preserve">           31.321,85</v>
      </c>
      <c r="BY38" s="344" t="str">
        <f>IFERROR(VLOOKUP($A38,'BASE_558 EX'!$D:$R,10,FALSE),"")</f>
        <v xml:space="preserve">                0,00</v>
      </c>
      <c r="BZ38" s="344" t="str">
        <f>IFERROR(VLOOKUP($A38,'BASE_558 EX'!$D:$R,11,FALSE),"")</f>
        <v xml:space="preserve">                0,00</v>
      </c>
      <c r="CA38" s="344" t="str">
        <f>IFERROR(IF(BASE_558!$P$14="RemOrdPla",(VLOOKUP(A38,BASE_558!D:R,14)/1000),(VLOOKUP(A38,BASE_558!D:R,13)/1000)),"")</f>
        <v/>
      </c>
      <c r="CB38" s="344" t="str">
        <f>IFERROR(VLOOKUP($A38,'BASE_558 EX'!$D:$R,15,FALSE),"")</f>
        <v xml:space="preserve">            1.383,98</v>
      </c>
      <c r="CC38" s="442"/>
      <c r="CD38" s="442">
        <f t="shared" si="8"/>
        <v>0</v>
      </c>
    </row>
    <row r="39" spans="1:82" s="23" customFormat="1" ht="25.4" customHeight="1">
      <c r="A39" s="309" t="s">
        <v>1647</v>
      </c>
      <c r="B39" s="309" t="s">
        <v>1923</v>
      </c>
      <c r="C39" s="187">
        <v>44727</v>
      </c>
      <c r="D39" s="309" t="s">
        <v>2854</v>
      </c>
      <c r="E39" s="309" t="s">
        <v>2854</v>
      </c>
      <c r="F39" s="309" t="s">
        <v>176</v>
      </c>
      <c r="G39" s="339" t="s">
        <v>1648</v>
      </c>
      <c r="H39" s="339" t="s">
        <v>8877</v>
      </c>
      <c r="I39" s="6" t="s">
        <v>218</v>
      </c>
      <c r="J39" s="83" t="s">
        <v>462</v>
      </c>
      <c r="K39" s="7" t="s">
        <v>1600</v>
      </c>
      <c r="L39" s="206"/>
      <c r="M39" s="206">
        <v>0</v>
      </c>
      <c r="N39" s="206">
        <v>3621.5</v>
      </c>
      <c r="O39" s="206">
        <v>0</v>
      </c>
      <c r="P39" s="206"/>
      <c r="Q39" s="206">
        <f t="shared" si="3"/>
        <v>0</v>
      </c>
      <c r="R39" s="206"/>
      <c r="S39" s="206"/>
      <c r="T39" s="223"/>
      <c r="U39" s="169">
        <f t="shared" si="4"/>
        <v>0</v>
      </c>
      <c r="V39" s="372">
        <v>0</v>
      </c>
      <c r="W39" s="343"/>
      <c r="X39" s="332">
        <f>SUMIFS(BASE_EX!$J:$J,BASE_EX!$B:$B,'Direct Charge'!$A39,BASE_EX!$C:$C,"janeiro")</f>
        <v>0</v>
      </c>
      <c r="Y39" s="373"/>
      <c r="Z39" s="372">
        <v>0</v>
      </c>
      <c r="AA39" s="343"/>
      <c r="AB39" s="332">
        <f>SUMIFS(BASE_EX!$J:$J,BASE_EX!$B:$B,'Direct Charge'!$A39,BASE_EX!$C:$C,"fevereiro")</f>
        <v>0</v>
      </c>
      <c r="AC39" s="373"/>
      <c r="AD39" s="372"/>
      <c r="AE39" s="343"/>
      <c r="AF39" s="332">
        <f>SUMIFS(BASE_EX!$J:$J,BASE_EX!$B:$B,'Direct Charge'!$A39,BASE_EX!$C:$C,"março")</f>
        <v>0</v>
      </c>
      <c r="AG39" s="373"/>
      <c r="AH39" s="372"/>
      <c r="AI39" s="343"/>
      <c r="AJ39" s="332">
        <f>SUMIFS(BASE_EX!$J:$J,BASE_EX!$B:$B,'Direct Charge'!$A39,BASE_EX!$C:$C,"abril")</f>
        <v>0</v>
      </c>
      <c r="AK39" s="373"/>
      <c r="AL39" s="372"/>
      <c r="AM39" s="343"/>
      <c r="AN39" s="332">
        <f>SUMIFS(BASE_EX!$J:$J,BASE_EX!$B:$B,'Direct Charge'!$A39,BASE_EX!$C:$C,"maio")</f>
        <v>0</v>
      </c>
      <c r="AO39" s="373"/>
      <c r="AP39" s="372"/>
      <c r="AQ39" s="343"/>
      <c r="AR39" s="332">
        <f>SUMIFS(BASE_EX!$J:$J,BASE_EX!$B:$B,'Direct Charge'!$A39,BASE_EX!$C:$C,"junho")</f>
        <v>0</v>
      </c>
      <c r="AS39" s="373"/>
      <c r="AT39" s="372"/>
      <c r="AU39" s="343"/>
      <c r="AV39" s="332">
        <f>SUMIFS(BASE_EX!$J:$J,BASE_EX!$B:$B,'Direct Charge'!$A39,BASE_EX!$C:$C,"julho")</f>
        <v>0</v>
      </c>
      <c r="AW39" s="373"/>
      <c r="AX39" s="372"/>
      <c r="AY39" s="343"/>
      <c r="AZ39" s="332">
        <f>SUMIFS(BASE_EX!$J:$J,BASE_EX!$B:$B,'Direct Charge'!$A39,BASE_EX!$C:$C,"agosto")</f>
        <v>0</v>
      </c>
      <c r="BA39" s="373"/>
      <c r="BB39" s="372"/>
      <c r="BC39" s="343"/>
      <c r="BD39" s="332">
        <f>SUMIFS(BASE_EX!$J:$J,BASE_EX!$B:$B,'Direct Charge'!$A39,BASE_EX!$C:$C,"setembro")</f>
        <v>0</v>
      </c>
      <c r="BE39" s="373"/>
      <c r="BF39" s="372"/>
      <c r="BG39" s="343"/>
      <c r="BH39" s="332">
        <f>SUMIFS(BASE_EX!$J:$J,BASE_EX!$B:$B,'Direct Charge'!$A39,BASE_EX!$C:$C,"outubro")</f>
        <v>0</v>
      </c>
      <c r="BI39" s="373"/>
      <c r="BJ39" s="372"/>
      <c r="BK39" s="343"/>
      <c r="BL39" s="332">
        <f>SUMIFS(BASE_EX!$J:$J,BASE_EX!$B:$B,'Direct Charge'!$A39,BASE_EX!$C:$C,"novembro")</f>
        <v>0</v>
      </c>
      <c r="BM39" s="373"/>
      <c r="BN39" s="372"/>
      <c r="BO39" s="343"/>
      <c r="BP39" s="332">
        <f>SUMIFS(BASE_EX!$J:$J,BASE_EX!$B:$B,'Direct Charge'!$A39,BASE_EX!$C:$C,"dezembro")</f>
        <v>0</v>
      </c>
      <c r="BQ39" s="373"/>
      <c r="BR39" s="452"/>
      <c r="BS39" s="156">
        <f t="shared" si="5"/>
        <v>0</v>
      </c>
      <c r="BT39" s="320">
        <f t="shared" si="6"/>
        <v>0</v>
      </c>
      <c r="BU39" s="157" t="e">
        <f>SUM(L39,M39,N39,O39,U39)-#REF!</f>
        <v>#REF!</v>
      </c>
      <c r="BV39" s="346">
        <f t="shared" si="7"/>
        <v>0</v>
      </c>
      <c r="BW39" s="344" t="str">
        <f>IFERROR(VLOOKUP($A39,'BASE_558 EX'!$D:$R,8,FALSE),"")</f>
        <v xml:space="preserve">            3.449,79</v>
      </c>
      <c r="BX39" s="344" t="str">
        <f>IFERROR(VLOOKUP($A39,'BASE_558 EX'!$D:$R,9,FALSE),"")</f>
        <v xml:space="preserve">            3.621,50</v>
      </c>
      <c r="BY39" s="344" t="str">
        <f>IFERROR(VLOOKUP($A39,'BASE_558 EX'!$D:$R,10,FALSE),"")</f>
        <v xml:space="preserve">                0,00</v>
      </c>
      <c r="BZ39" s="344" t="str">
        <f>IFERROR(VLOOKUP($A39,'BASE_558 EX'!$D:$R,11,FALSE),"")</f>
        <v xml:space="preserve">                0,00</v>
      </c>
      <c r="CA39" s="344" t="str">
        <f>IFERROR(IF(BASE_558!$P$14="RemOrdPla",(VLOOKUP(A39,BASE_558!D:R,14)/1000),(VLOOKUP(A39,BASE_558!D:R,13)/1000)),"")</f>
        <v/>
      </c>
      <c r="CB39" s="344" t="str">
        <f>IFERROR(VLOOKUP($A39,'BASE_558 EX'!$D:$R,15,FALSE),"")</f>
        <v>-171,71</v>
      </c>
      <c r="CC39" s="442"/>
      <c r="CD39" s="442">
        <f t="shared" si="8"/>
        <v>0</v>
      </c>
    </row>
    <row r="40" spans="1:82" s="23" customFormat="1" ht="25.4" customHeight="1">
      <c r="A40" s="309" t="s">
        <v>1667</v>
      </c>
      <c r="B40" s="309" t="s">
        <v>1264</v>
      </c>
      <c r="C40" s="187">
        <v>44746</v>
      </c>
      <c r="D40" s="309" t="s">
        <v>477</v>
      </c>
      <c r="E40" s="309" t="s">
        <v>475</v>
      </c>
      <c r="F40" s="309" t="s">
        <v>176</v>
      </c>
      <c r="G40" s="339" t="s">
        <v>1668</v>
      </c>
      <c r="H40" s="339" t="s">
        <v>9112</v>
      </c>
      <c r="I40" s="6" t="s">
        <v>218</v>
      </c>
      <c r="J40" s="83" t="s">
        <v>462</v>
      </c>
      <c r="K40" s="7" t="s">
        <v>1600</v>
      </c>
      <c r="L40" s="206"/>
      <c r="M40" s="206">
        <v>0</v>
      </c>
      <c r="N40" s="206">
        <v>11574.97</v>
      </c>
      <c r="O40" s="206">
        <v>0</v>
      </c>
      <c r="P40" s="206"/>
      <c r="Q40" s="206">
        <f t="shared" ref="Q40:Q71" si="9">U40</f>
        <v>0</v>
      </c>
      <c r="R40" s="206"/>
      <c r="S40" s="206"/>
      <c r="T40" s="223"/>
      <c r="U40" s="169">
        <f t="shared" ref="U40:U71" si="10">SUM(Y40,AC40,AG40,AK40,AO40,AS40,AW40,BA40,BE40,BI40,BM40,BQ40)</f>
        <v>0</v>
      </c>
      <c r="V40" s="372">
        <v>0</v>
      </c>
      <c r="W40" s="343"/>
      <c r="X40" s="332">
        <f>SUMIFS(BASE_EX!$J:$J,BASE_EX!$B:$B,'Direct Charge'!$A40,BASE_EX!$C:$C,"janeiro")</f>
        <v>0</v>
      </c>
      <c r="Y40" s="373"/>
      <c r="Z40" s="372">
        <v>0</v>
      </c>
      <c r="AA40" s="343"/>
      <c r="AB40" s="332">
        <f>SUMIFS(BASE_EX!$J:$J,BASE_EX!$B:$B,'Direct Charge'!$A40,BASE_EX!$C:$C,"fevereiro")</f>
        <v>0</v>
      </c>
      <c r="AC40" s="373"/>
      <c r="AD40" s="372"/>
      <c r="AE40" s="343"/>
      <c r="AF40" s="332">
        <f>SUMIFS(BASE_EX!$J:$J,BASE_EX!$B:$B,'Direct Charge'!$A40,BASE_EX!$C:$C,"março")</f>
        <v>0</v>
      </c>
      <c r="AG40" s="373"/>
      <c r="AH40" s="372"/>
      <c r="AI40" s="343"/>
      <c r="AJ40" s="332">
        <f>SUMIFS(BASE_EX!$J:$J,BASE_EX!$B:$B,'Direct Charge'!$A40,BASE_EX!$C:$C,"abril")</f>
        <v>0</v>
      </c>
      <c r="AK40" s="373"/>
      <c r="AL40" s="372"/>
      <c r="AM40" s="343"/>
      <c r="AN40" s="332">
        <f>SUMIFS(BASE_EX!$J:$J,BASE_EX!$B:$B,'Direct Charge'!$A40,BASE_EX!$C:$C,"maio")</f>
        <v>0</v>
      </c>
      <c r="AO40" s="373"/>
      <c r="AP40" s="372"/>
      <c r="AQ40" s="343"/>
      <c r="AR40" s="332">
        <f>SUMIFS(BASE_EX!$J:$J,BASE_EX!$B:$B,'Direct Charge'!$A40,BASE_EX!$C:$C,"junho")</f>
        <v>0</v>
      </c>
      <c r="AS40" s="373"/>
      <c r="AT40" s="372"/>
      <c r="AU40" s="343"/>
      <c r="AV40" s="332">
        <f>SUMIFS(BASE_EX!$J:$J,BASE_EX!$B:$B,'Direct Charge'!$A40,BASE_EX!$C:$C,"julho")</f>
        <v>0</v>
      </c>
      <c r="AW40" s="373"/>
      <c r="AX40" s="372"/>
      <c r="AY40" s="343"/>
      <c r="AZ40" s="332">
        <f>SUMIFS(BASE_EX!$J:$J,BASE_EX!$B:$B,'Direct Charge'!$A40,BASE_EX!$C:$C,"agosto")</f>
        <v>0</v>
      </c>
      <c r="BA40" s="373"/>
      <c r="BB40" s="372"/>
      <c r="BC40" s="343"/>
      <c r="BD40" s="332">
        <f>SUMIFS(BASE_EX!$J:$J,BASE_EX!$B:$B,'Direct Charge'!$A40,BASE_EX!$C:$C,"setembro")</f>
        <v>0</v>
      </c>
      <c r="BE40" s="373"/>
      <c r="BF40" s="372"/>
      <c r="BG40" s="343"/>
      <c r="BH40" s="332">
        <f>SUMIFS(BASE_EX!$J:$J,BASE_EX!$B:$B,'Direct Charge'!$A40,BASE_EX!$C:$C,"outubro")</f>
        <v>0</v>
      </c>
      <c r="BI40" s="373"/>
      <c r="BJ40" s="372"/>
      <c r="BK40" s="343"/>
      <c r="BL40" s="332">
        <f>SUMIFS(BASE_EX!$J:$J,BASE_EX!$B:$B,'Direct Charge'!$A40,BASE_EX!$C:$C,"novembro")</f>
        <v>0</v>
      </c>
      <c r="BM40" s="373"/>
      <c r="BN40" s="372"/>
      <c r="BO40" s="343"/>
      <c r="BP40" s="332">
        <f>SUMIFS(BASE_EX!$J:$J,BASE_EX!$B:$B,'Direct Charge'!$A40,BASE_EX!$C:$C,"dezembro")</f>
        <v>0</v>
      </c>
      <c r="BQ40" s="373"/>
      <c r="BR40" s="452"/>
      <c r="BS40" s="156">
        <f t="shared" ref="BS40:BS71" si="11">AS40-AP40</f>
        <v>0</v>
      </c>
      <c r="BT40" s="320">
        <f t="shared" ref="BT40:BT71" si="12">AS40-AR40</f>
        <v>0</v>
      </c>
      <c r="BU40" s="157" t="e">
        <f>SUM(L40,M40,N40,O40,U40)-#REF!</f>
        <v>#REF!</v>
      </c>
      <c r="BV40" s="346">
        <f t="shared" ref="BV40:BV71" si="13">U40-T40</f>
        <v>0</v>
      </c>
      <c r="BW40" s="344" t="str">
        <f>IFERROR(VLOOKUP($A40,'BASE_558 EX'!$D:$R,8,FALSE),"")</f>
        <v xml:space="preserve">           15.412,06</v>
      </c>
      <c r="BX40" s="344" t="str">
        <f>IFERROR(VLOOKUP($A40,'BASE_558 EX'!$D:$R,9,FALSE),"")</f>
        <v xml:space="preserve">           11.574,97</v>
      </c>
      <c r="BY40" s="344" t="str">
        <f>IFERROR(VLOOKUP($A40,'BASE_558 EX'!$D:$R,10,FALSE),"")</f>
        <v xml:space="preserve">                0,00</v>
      </c>
      <c r="BZ40" s="344" t="str">
        <f>IFERROR(VLOOKUP($A40,'BASE_558 EX'!$D:$R,11,FALSE),"")</f>
        <v xml:space="preserve">                0,00</v>
      </c>
      <c r="CA40" s="344" t="str">
        <f>IFERROR(IF(BASE_558!$P$14="RemOrdPla",(VLOOKUP(A40,BASE_558!D:R,14)/1000),(VLOOKUP(A40,BASE_558!D:R,13)/1000)),"")</f>
        <v/>
      </c>
      <c r="CB40" s="344" t="str">
        <f>IFERROR(VLOOKUP($A40,'BASE_558 EX'!$D:$R,15,FALSE),"")</f>
        <v xml:space="preserve">            3.837,09</v>
      </c>
      <c r="CC40" s="442"/>
      <c r="CD40" s="442">
        <f t="shared" ref="CD40:CD71" si="14">AR40-AQ40</f>
        <v>0</v>
      </c>
    </row>
    <row r="41" spans="1:82" s="23" customFormat="1" ht="25.4" customHeight="1">
      <c r="A41" s="309" t="s">
        <v>1673</v>
      </c>
      <c r="B41" s="309" t="s">
        <v>1264</v>
      </c>
      <c r="C41" s="187">
        <v>44750</v>
      </c>
      <c r="D41" s="309" t="s">
        <v>763</v>
      </c>
      <c r="E41" s="309" t="s">
        <v>704</v>
      </c>
      <c r="F41" s="309" t="s">
        <v>176</v>
      </c>
      <c r="G41" s="339" t="s">
        <v>1674</v>
      </c>
      <c r="H41" s="339" t="s">
        <v>9112</v>
      </c>
      <c r="I41" s="6" t="s">
        <v>218</v>
      </c>
      <c r="J41" s="83" t="s">
        <v>462</v>
      </c>
      <c r="K41" s="308" t="s">
        <v>10773</v>
      </c>
      <c r="L41" s="206"/>
      <c r="M41" s="206">
        <v>0</v>
      </c>
      <c r="N41" s="206">
        <v>12891.18</v>
      </c>
      <c r="O41" s="206">
        <v>0</v>
      </c>
      <c r="P41" s="206">
        <v>281.42</v>
      </c>
      <c r="Q41" s="206">
        <f t="shared" si="9"/>
        <v>0</v>
      </c>
      <c r="R41" s="206"/>
      <c r="S41" s="206"/>
      <c r="T41" s="223"/>
      <c r="U41" s="169">
        <f t="shared" si="10"/>
        <v>0</v>
      </c>
      <c r="V41" s="372">
        <v>0</v>
      </c>
      <c r="W41" s="343"/>
      <c r="X41" s="332">
        <f>SUMIFS(BASE_EX!$J:$J,BASE_EX!$B:$B,'Direct Charge'!$A41,BASE_EX!$C:$C,"janeiro")</f>
        <v>0</v>
      </c>
      <c r="Y41" s="373"/>
      <c r="Z41" s="372">
        <v>0</v>
      </c>
      <c r="AA41" s="343"/>
      <c r="AB41" s="332">
        <f>SUMIFS(BASE_EX!$J:$J,BASE_EX!$B:$B,'Direct Charge'!$A41,BASE_EX!$C:$C,"fevereiro")</f>
        <v>0</v>
      </c>
      <c r="AC41" s="373"/>
      <c r="AD41" s="372"/>
      <c r="AE41" s="343"/>
      <c r="AF41" s="332">
        <f>SUMIFS(BASE_EX!$J:$J,BASE_EX!$B:$B,'Direct Charge'!$A41,BASE_EX!$C:$C,"março")</f>
        <v>0</v>
      </c>
      <c r="AG41" s="373"/>
      <c r="AH41" s="372"/>
      <c r="AI41" s="343"/>
      <c r="AJ41" s="332">
        <f>SUMIFS(BASE_EX!$J:$J,BASE_EX!$B:$B,'Direct Charge'!$A41,BASE_EX!$C:$C,"abril")</f>
        <v>0</v>
      </c>
      <c r="AK41" s="373"/>
      <c r="AL41" s="372"/>
      <c r="AM41" s="343"/>
      <c r="AN41" s="332">
        <f>SUMIFS(BASE_EX!$J:$J,BASE_EX!$B:$B,'Direct Charge'!$A41,BASE_EX!$C:$C,"maio")</f>
        <v>0</v>
      </c>
      <c r="AO41" s="373"/>
      <c r="AP41" s="372"/>
      <c r="AQ41" s="343"/>
      <c r="AR41" s="332">
        <f>SUMIFS(BASE_EX!$J:$J,BASE_EX!$B:$B,'Direct Charge'!$A41,BASE_EX!$C:$C,"junho")</f>
        <v>0</v>
      </c>
      <c r="AS41" s="373"/>
      <c r="AT41" s="372"/>
      <c r="AU41" s="343"/>
      <c r="AV41" s="332">
        <f>SUMIFS(BASE_EX!$J:$J,BASE_EX!$B:$B,'Direct Charge'!$A41,BASE_EX!$C:$C,"julho")</f>
        <v>0</v>
      </c>
      <c r="AW41" s="373"/>
      <c r="AX41" s="372"/>
      <c r="AY41" s="343"/>
      <c r="AZ41" s="332">
        <f>SUMIFS(BASE_EX!$J:$J,BASE_EX!$B:$B,'Direct Charge'!$A41,BASE_EX!$C:$C,"agosto")</f>
        <v>0</v>
      </c>
      <c r="BA41" s="373"/>
      <c r="BB41" s="372"/>
      <c r="BC41" s="343"/>
      <c r="BD41" s="332">
        <f>SUMIFS(BASE_EX!$J:$J,BASE_EX!$B:$B,'Direct Charge'!$A41,BASE_EX!$C:$C,"setembro")</f>
        <v>0</v>
      </c>
      <c r="BE41" s="373"/>
      <c r="BF41" s="372"/>
      <c r="BG41" s="343"/>
      <c r="BH41" s="332">
        <f>SUMIFS(BASE_EX!$J:$J,BASE_EX!$B:$B,'Direct Charge'!$A41,BASE_EX!$C:$C,"outubro")</f>
        <v>0</v>
      </c>
      <c r="BI41" s="373"/>
      <c r="BJ41" s="372"/>
      <c r="BK41" s="343"/>
      <c r="BL41" s="332">
        <f>SUMIFS(BASE_EX!$J:$J,BASE_EX!$B:$B,'Direct Charge'!$A41,BASE_EX!$C:$C,"novembro")</f>
        <v>0</v>
      </c>
      <c r="BM41" s="373"/>
      <c r="BN41" s="372"/>
      <c r="BO41" s="343"/>
      <c r="BP41" s="332">
        <f>SUMIFS(BASE_EX!$J:$J,BASE_EX!$B:$B,'Direct Charge'!$A41,BASE_EX!$C:$C,"dezembro")</f>
        <v>0</v>
      </c>
      <c r="BQ41" s="373"/>
      <c r="BR41" s="452"/>
      <c r="BS41" s="156">
        <f t="shared" si="11"/>
        <v>0</v>
      </c>
      <c r="BT41" s="320">
        <f t="shared" si="12"/>
        <v>0</v>
      </c>
      <c r="BU41" s="157" t="e">
        <f>SUM(L41,M41,N41,O41,U41)-#REF!</f>
        <v>#REF!</v>
      </c>
      <c r="BV41" s="346">
        <f t="shared" si="13"/>
        <v>0</v>
      </c>
      <c r="BW41" s="344" t="str">
        <f>IFERROR(VLOOKUP($A41,'BASE_558 EX'!$D:$R,8,FALSE),"")</f>
        <v xml:space="preserve">           13.978,38</v>
      </c>
      <c r="BX41" s="344" t="str">
        <f>IFERROR(VLOOKUP($A41,'BASE_558 EX'!$D:$R,9,FALSE),"")</f>
        <v xml:space="preserve">           13.172,60</v>
      </c>
      <c r="BY41" s="344" t="str">
        <f>IFERROR(VLOOKUP($A41,'BASE_558 EX'!$D:$R,10,FALSE),"")</f>
        <v xml:space="preserve">                0,00</v>
      </c>
      <c r="BZ41" s="344" t="str">
        <f>IFERROR(VLOOKUP($A41,'BASE_558 EX'!$D:$R,11,FALSE),"")</f>
        <v xml:space="preserve">                0,00</v>
      </c>
      <c r="CA41" s="344" t="str">
        <f>IFERROR(IF(BASE_558!$P$14="RemOrdPla",(VLOOKUP(A41,BASE_558!D:R,14)/1000),(VLOOKUP(A41,BASE_558!D:R,13)/1000)),"")</f>
        <v/>
      </c>
      <c r="CB41" s="344" t="str">
        <f>IFERROR(VLOOKUP($A41,'BASE_558 EX'!$D:$R,15,FALSE),"")</f>
        <v xml:space="preserve">              805,78</v>
      </c>
      <c r="CC41" s="442"/>
      <c r="CD41" s="442">
        <f t="shared" si="14"/>
        <v>0</v>
      </c>
    </row>
    <row r="42" spans="1:82" s="23" customFormat="1" ht="25.4" customHeight="1">
      <c r="A42" s="309" t="s">
        <v>1690</v>
      </c>
      <c r="B42" s="309" t="s">
        <v>1264</v>
      </c>
      <c r="C42" s="187">
        <v>44792</v>
      </c>
      <c r="D42" s="309" t="s">
        <v>665</v>
      </c>
      <c r="E42" s="309" t="s">
        <v>704</v>
      </c>
      <c r="F42" s="309" t="s">
        <v>176</v>
      </c>
      <c r="G42" s="339" t="s">
        <v>1691</v>
      </c>
      <c r="H42" s="339" t="s">
        <v>9112</v>
      </c>
      <c r="I42" s="6" t="s">
        <v>218</v>
      </c>
      <c r="J42" s="83" t="s">
        <v>462</v>
      </c>
      <c r="K42" s="7" t="s">
        <v>1600</v>
      </c>
      <c r="L42" s="206"/>
      <c r="M42" s="206"/>
      <c r="N42" s="206">
        <v>4885.08</v>
      </c>
      <c r="O42" s="206">
        <v>3763.13</v>
      </c>
      <c r="P42" s="206"/>
      <c r="Q42" s="206">
        <f t="shared" si="9"/>
        <v>0</v>
      </c>
      <c r="R42" s="206"/>
      <c r="S42" s="206"/>
      <c r="T42" s="223"/>
      <c r="U42" s="169">
        <f t="shared" si="10"/>
        <v>0</v>
      </c>
      <c r="V42" s="372">
        <v>0</v>
      </c>
      <c r="W42" s="343"/>
      <c r="X42" s="332">
        <f>SUMIFS(BASE_EX!$J:$J,BASE_EX!$B:$B,'Direct Charge'!$A42,BASE_EX!$C:$C,"janeiro")</f>
        <v>0</v>
      </c>
      <c r="Y42" s="373"/>
      <c r="Z42" s="372">
        <v>0</v>
      </c>
      <c r="AA42" s="343"/>
      <c r="AB42" s="332">
        <f>SUMIFS(BASE_EX!$J:$J,BASE_EX!$B:$B,'Direct Charge'!$A42,BASE_EX!$C:$C,"fevereiro")</f>
        <v>0</v>
      </c>
      <c r="AC42" s="373"/>
      <c r="AD42" s="372"/>
      <c r="AE42" s="343"/>
      <c r="AF42" s="332">
        <f>SUMIFS(BASE_EX!$J:$J,BASE_EX!$B:$B,'Direct Charge'!$A42,BASE_EX!$C:$C,"março")</f>
        <v>0</v>
      </c>
      <c r="AG42" s="373"/>
      <c r="AH42" s="372"/>
      <c r="AI42" s="343"/>
      <c r="AJ42" s="332">
        <f>SUMIFS(BASE_EX!$J:$J,BASE_EX!$B:$B,'Direct Charge'!$A42,BASE_EX!$C:$C,"abril")</f>
        <v>0</v>
      </c>
      <c r="AK42" s="373"/>
      <c r="AL42" s="372"/>
      <c r="AM42" s="343"/>
      <c r="AN42" s="332">
        <f>SUMIFS(BASE_EX!$J:$J,BASE_EX!$B:$B,'Direct Charge'!$A42,BASE_EX!$C:$C,"maio")</f>
        <v>0</v>
      </c>
      <c r="AO42" s="373"/>
      <c r="AP42" s="372"/>
      <c r="AQ42" s="343"/>
      <c r="AR42" s="332">
        <f>SUMIFS(BASE_EX!$J:$J,BASE_EX!$B:$B,'Direct Charge'!$A42,BASE_EX!$C:$C,"junho")</f>
        <v>0</v>
      </c>
      <c r="AS42" s="373"/>
      <c r="AT42" s="372"/>
      <c r="AU42" s="343"/>
      <c r="AV42" s="332">
        <f>SUMIFS(BASE_EX!$J:$J,BASE_EX!$B:$B,'Direct Charge'!$A42,BASE_EX!$C:$C,"julho")</f>
        <v>0</v>
      </c>
      <c r="AW42" s="373"/>
      <c r="AX42" s="372"/>
      <c r="AY42" s="343"/>
      <c r="AZ42" s="332">
        <f>SUMIFS(BASE_EX!$J:$J,BASE_EX!$B:$B,'Direct Charge'!$A42,BASE_EX!$C:$C,"agosto")</f>
        <v>0</v>
      </c>
      <c r="BA42" s="373"/>
      <c r="BB42" s="372"/>
      <c r="BC42" s="343"/>
      <c r="BD42" s="332">
        <f>SUMIFS(BASE_EX!$J:$J,BASE_EX!$B:$B,'Direct Charge'!$A42,BASE_EX!$C:$C,"setembro")</f>
        <v>0</v>
      </c>
      <c r="BE42" s="373"/>
      <c r="BF42" s="372"/>
      <c r="BG42" s="343"/>
      <c r="BH42" s="332">
        <f>SUMIFS(BASE_EX!$J:$J,BASE_EX!$B:$B,'Direct Charge'!$A42,BASE_EX!$C:$C,"outubro")</f>
        <v>0</v>
      </c>
      <c r="BI42" s="373"/>
      <c r="BJ42" s="372"/>
      <c r="BK42" s="343"/>
      <c r="BL42" s="332">
        <f>SUMIFS(BASE_EX!$J:$J,BASE_EX!$B:$B,'Direct Charge'!$A42,BASE_EX!$C:$C,"novembro")</f>
        <v>0</v>
      </c>
      <c r="BM42" s="373"/>
      <c r="BN42" s="372"/>
      <c r="BO42" s="343"/>
      <c r="BP42" s="332">
        <f>SUMIFS(BASE_EX!$J:$J,BASE_EX!$B:$B,'Direct Charge'!$A42,BASE_EX!$C:$C,"dezembro")</f>
        <v>0</v>
      </c>
      <c r="BQ42" s="373"/>
      <c r="BR42" s="452"/>
      <c r="BS42" s="156">
        <f t="shared" si="11"/>
        <v>0</v>
      </c>
      <c r="BT42" s="320">
        <f t="shared" si="12"/>
        <v>0</v>
      </c>
      <c r="BU42" s="157" t="e">
        <f>SUM(L42,M42,N42,O42,U42)-#REF!</f>
        <v>#REF!</v>
      </c>
      <c r="BV42" s="346">
        <f t="shared" si="13"/>
        <v>0</v>
      </c>
      <c r="BW42" s="344" t="str">
        <f>IFERROR(VLOOKUP($A42,'BASE_558 EX'!$D:$R,8,FALSE),"")</f>
        <v xml:space="preserve">           10.394,18</v>
      </c>
      <c r="BX42" s="344" t="str">
        <f>IFERROR(VLOOKUP($A42,'BASE_558 EX'!$D:$R,9,FALSE),"")</f>
        <v xml:space="preserve">            8.648,21</v>
      </c>
      <c r="BY42" s="344" t="str">
        <f>IFERROR(VLOOKUP($A42,'BASE_558 EX'!$D:$R,10,FALSE),"")</f>
        <v xml:space="preserve">                0,00</v>
      </c>
      <c r="BZ42" s="344" t="str">
        <f>IFERROR(VLOOKUP($A42,'BASE_558 EX'!$D:$R,11,FALSE),"")</f>
        <v xml:space="preserve">                0,00</v>
      </c>
      <c r="CA42" s="344" t="str">
        <f>IFERROR(IF(BASE_558!$P$14="RemOrdPla",(VLOOKUP(A42,BASE_558!D:R,14)/1000),(VLOOKUP(A42,BASE_558!D:R,13)/1000)),"")</f>
        <v/>
      </c>
      <c r="CB42" s="344" t="str">
        <f>IFERROR(VLOOKUP($A42,'BASE_558 EX'!$D:$R,15,FALSE),"")</f>
        <v xml:space="preserve">            1.745,97</v>
      </c>
      <c r="CC42" s="442"/>
      <c r="CD42" s="442">
        <f t="shared" si="14"/>
        <v>0</v>
      </c>
    </row>
    <row r="43" spans="1:82" s="23" customFormat="1" ht="25.4" customHeight="1">
      <c r="A43" s="309" t="s">
        <v>1698</v>
      </c>
      <c r="B43" s="309" t="s">
        <v>1264</v>
      </c>
      <c r="C43" s="187">
        <v>44799</v>
      </c>
      <c r="D43" s="309" t="s">
        <v>704</v>
      </c>
      <c r="E43" s="309" t="s">
        <v>704</v>
      </c>
      <c r="F43" s="309" t="s">
        <v>176</v>
      </c>
      <c r="G43" s="339" t="s">
        <v>1699</v>
      </c>
      <c r="H43" s="339" t="s">
        <v>9112</v>
      </c>
      <c r="I43" s="6" t="s">
        <v>195</v>
      </c>
      <c r="J43" s="83" t="s">
        <v>462</v>
      </c>
      <c r="K43" s="507" t="s">
        <v>19510</v>
      </c>
      <c r="L43" s="206"/>
      <c r="M43" s="206">
        <v>0</v>
      </c>
      <c r="N43" s="206">
        <v>0</v>
      </c>
      <c r="O43" s="206">
        <v>46215.249999999993</v>
      </c>
      <c r="P43" s="206"/>
      <c r="Q43" s="206">
        <f t="shared" si="9"/>
        <v>2500</v>
      </c>
      <c r="R43" s="206"/>
      <c r="S43" s="206"/>
      <c r="T43" s="223"/>
      <c r="U43" s="169">
        <f t="shared" si="10"/>
        <v>2500</v>
      </c>
      <c r="V43" s="372">
        <v>0</v>
      </c>
      <c r="W43" s="343"/>
      <c r="X43" s="332">
        <f>SUMIFS(BASE_EX!$J:$J,BASE_EX!$B:$B,'Direct Charge'!$A43,BASE_EX!$C:$C,"janeiro")</f>
        <v>0</v>
      </c>
      <c r="Y43" s="373"/>
      <c r="Z43" s="372">
        <v>0</v>
      </c>
      <c r="AA43" s="343"/>
      <c r="AB43" s="332">
        <f>SUMIFS(BASE_EX!$J:$J,BASE_EX!$B:$B,'Direct Charge'!$A43,BASE_EX!$C:$C,"fevereiro")</f>
        <v>0</v>
      </c>
      <c r="AC43" s="373"/>
      <c r="AD43" s="372"/>
      <c r="AE43" s="343"/>
      <c r="AF43" s="332">
        <f>SUMIFS(BASE_EX!$J:$J,BASE_EX!$B:$B,'Direct Charge'!$A43,BASE_EX!$C:$C,"março")</f>
        <v>0</v>
      </c>
      <c r="AG43" s="373"/>
      <c r="AH43" s="372"/>
      <c r="AI43" s="343"/>
      <c r="AJ43" s="332">
        <f>SUMIFS(BASE_EX!$J:$J,BASE_EX!$B:$B,'Direct Charge'!$A43,BASE_EX!$C:$C,"abril")</f>
        <v>0</v>
      </c>
      <c r="AK43" s="373"/>
      <c r="AL43" s="372">
        <v>2500</v>
      </c>
      <c r="AM43" s="343"/>
      <c r="AN43" s="332">
        <f>SUMIFS(BASE_EX!$J:$J,BASE_EX!$B:$B,'Direct Charge'!$A43,BASE_EX!$C:$C,"maio")</f>
        <v>0</v>
      </c>
      <c r="AO43" s="373"/>
      <c r="AP43" s="372">
        <v>2500</v>
      </c>
      <c r="AQ43" s="343"/>
      <c r="AR43" s="332">
        <f>SUMIFS(BASE_EX!$J:$J,BASE_EX!$B:$B,'Direct Charge'!$A43,BASE_EX!$C:$C,"junho")</f>
        <v>0</v>
      </c>
      <c r="AS43" s="373">
        <v>0</v>
      </c>
      <c r="AT43" s="372"/>
      <c r="AU43" s="343"/>
      <c r="AV43" s="332">
        <f>SUMIFS(BASE_EX!$J:$J,BASE_EX!$B:$B,'Direct Charge'!$A43,BASE_EX!$C:$C,"julho")</f>
        <v>0</v>
      </c>
      <c r="AW43" s="373">
        <v>2500</v>
      </c>
      <c r="AX43" s="372"/>
      <c r="AY43" s="343"/>
      <c r="AZ43" s="332">
        <f>SUMIFS(BASE_EX!$J:$J,BASE_EX!$B:$B,'Direct Charge'!$A43,BASE_EX!$C:$C,"agosto")</f>
        <v>0</v>
      </c>
      <c r="BA43" s="373"/>
      <c r="BB43" s="372"/>
      <c r="BC43" s="343"/>
      <c r="BD43" s="332">
        <f>SUMIFS(BASE_EX!$J:$J,BASE_EX!$B:$B,'Direct Charge'!$A43,BASE_EX!$C:$C,"setembro")</f>
        <v>0</v>
      </c>
      <c r="BE43" s="373"/>
      <c r="BF43" s="372"/>
      <c r="BG43" s="343"/>
      <c r="BH43" s="332">
        <f>SUMIFS(BASE_EX!$J:$J,BASE_EX!$B:$B,'Direct Charge'!$A43,BASE_EX!$C:$C,"outubro")</f>
        <v>0</v>
      </c>
      <c r="BI43" s="373"/>
      <c r="BJ43" s="372"/>
      <c r="BK43" s="343"/>
      <c r="BL43" s="332">
        <f>SUMIFS(BASE_EX!$J:$J,BASE_EX!$B:$B,'Direct Charge'!$A43,BASE_EX!$C:$C,"novembro")</f>
        <v>0</v>
      </c>
      <c r="BM43" s="373"/>
      <c r="BN43" s="372"/>
      <c r="BO43" s="343"/>
      <c r="BP43" s="332">
        <f>SUMIFS(BASE_EX!$J:$J,BASE_EX!$B:$B,'Direct Charge'!$A43,BASE_EX!$C:$C,"dezembro")</f>
        <v>0</v>
      </c>
      <c r="BQ43" s="373"/>
      <c r="BR43" s="452"/>
      <c r="BS43" s="156">
        <f t="shared" si="11"/>
        <v>-2500</v>
      </c>
      <c r="BT43" s="320">
        <f t="shared" si="12"/>
        <v>0</v>
      </c>
      <c r="BU43" s="157" t="e">
        <f>SUM(L43,M43,N43,O43,U43)-#REF!</f>
        <v>#REF!</v>
      </c>
      <c r="BV43" s="346">
        <f t="shared" si="13"/>
        <v>2500</v>
      </c>
      <c r="BW43" s="344" t="str">
        <f>IFERROR(VLOOKUP($A43,'BASE_558 EX'!$D:$R,8,FALSE),"")</f>
        <v xml:space="preserve">           51.970,90</v>
      </c>
      <c r="BX43" s="344" t="str">
        <f>IFERROR(VLOOKUP($A43,'BASE_558 EX'!$D:$R,9,FALSE),"")</f>
        <v xml:space="preserve">           46.215,25</v>
      </c>
      <c r="BY43" s="344" t="str">
        <f>IFERROR(VLOOKUP($A43,'BASE_558 EX'!$D:$R,10,FALSE),"")</f>
        <v xml:space="preserve">            2.515,24</v>
      </c>
      <c r="BZ43" s="344" t="str">
        <f>IFERROR(VLOOKUP($A43,'BASE_558 EX'!$D:$R,11,FALSE),"")</f>
        <v xml:space="preserve">                0,00</v>
      </c>
      <c r="CA43" s="344" t="str">
        <f>IFERROR(IF(BASE_558!$P$14="RemOrdPla",(VLOOKUP(A43,BASE_558!D:R,14)/1000),(VLOOKUP(A43,BASE_558!D:R,13)/1000)),"")</f>
        <v/>
      </c>
      <c r="CB43" s="344" t="str">
        <f>IFERROR(VLOOKUP($A43,'BASE_558 EX'!$D:$R,15,FALSE),"")</f>
        <v xml:space="preserve">            3.240,41</v>
      </c>
      <c r="CC43" s="442"/>
      <c r="CD43" s="442">
        <f t="shared" si="14"/>
        <v>0</v>
      </c>
    </row>
    <row r="44" spans="1:82" s="23" customFormat="1" ht="25.4" customHeight="1">
      <c r="A44" s="309" t="s">
        <v>1716</v>
      </c>
      <c r="B44" s="309" t="s">
        <v>1923</v>
      </c>
      <c r="C44" s="187">
        <v>44831</v>
      </c>
      <c r="D44" s="309" t="s">
        <v>481</v>
      </c>
      <c r="E44" s="309" t="s">
        <v>2238</v>
      </c>
      <c r="F44" s="309" t="s">
        <v>176</v>
      </c>
      <c r="G44" s="339" t="s">
        <v>1718</v>
      </c>
      <c r="H44" s="339" t="s">
        <v>8877</v>
      </c>
      <c r="I44" s="6" t="s">
        <v>218</v>
      </c>
      <c r="J44" s="83" t="s">
        <v>462</v>
      </c>
      <c r="K44" s="7" t="s">
        <v>1600</v>
      </c>
      <c r="L44" s="206"/>
      <c r="M44" s="206">
        <v>0</v>
      </c>
      <c r="N44" s="206">
        <v>0</v>
      </c>
      <c r="O44" s="206">
        <v>5371.3</v>
      </c>
      <c r="P44" s="206">
        <v>5512.1</v>
      </c>
      <c r="Q44" s="206">
        <f t="shared" si="9"/>
        <v>0</v>
      </c>
      <c r="R44" s="206"/>
      <c r="S44" s="206"/>
      <c r="T44" s="223"/>
      <c r="U44" s="169">
        <f t="shared" si="10"/>
        <v>0</v>
      </c>
      <c r="V44" s="372">
        <v>0</v>
      </c>
      <c r="W44" s="343"/>
      <c r="X44" s="332">
        <f>SUMIFS(BASE_EX!$J:$J,BASE_EX!$B:$B,'Direct Charge'!$A44,BASE_EX!$C:$C,"janeiro")</f>
        <v>0</v>
      </c>
      <c r="Y44" s="373"/>
      <c r="Z44" s="372">
        <v>0</v>
      </c>
      <c r="AA44" s="343"/>
      <c r="AB44" s="332">
        <f>SUMIFS(BASE_EX!$J:$J,BASE_EX!$B:$B,'Direct Charge'!$A44,BASE_EX!$C:$C,"fevereiro")</f>
        <v>0</v>
      </c>
      <c r="AC44" s="373"/>
      <c r="AD44" s="372"/>
      <c r="AE44" s="343"/>
      <c r="AF44" s="332">
        <f>SUMIFS(BASE_EX!$J:$J,BASE_EX!$B:$B,'Direct Charge'!$A44,BASE_EX!$C:$C,"março")</f>
        <v>0</v>
      </c>
      <c r="AG44" s="373"/>
      <c r="AH44" s="372"/>
      <c r="AI44" s="343"/>
      <c r="AJ44" s="332">
        <f>SUMIFS(BASE_EX!$J:$J,BASE_EX!$B:$B,'Direct Charge'!$A44,BASE_EX!$C:$C,"abril")</f>
        <v>0</v>
      </c>
      <c r="AK44" s="373"/>
      <c r="AL44" s="372"/>
      <c r="AM44" s="343"/>
      <c r="AN44" s="332">
        <f>SUMIFS(BASE_EX!$J:$J,BASE_EX!$B:$B,'Direct Charge'!$A44,BASE_EX!$C:$C,"maio")</f>
        <v>0</v>
      </c>
      <c r="AO44" s="373"/>
      <c r="AP44" s="372"/>
      <c r="AQ44" s="343"/>
      <c r="AR44" s="332">
        <f>SUMIFS(BASE_EX!$J:$J,BASE_EX!$B:$B,'Direct Charge'!$A44,BASE_EX!$C:$C,"junho")</f>
        <v>0</v>
      </c>
      <c r="AS44" s="373"/>
      <c r="AT44" s="372"/>
      <c r="AU44" s="343"/>
      <c r="AV44" s="332">
        <f>SUMIFS(BASE_EX!$J:$J,BASE_EX!$B:$B,'Direct Charge'!$A44,BASE_EX!$C:$C,"julho")</f>
        <v>0</v>
      </c>
      <c r="AW44" s="373"/>
      <c r="AX44" s="372"/>
      <c r="AY44" s="343"/>
      <c r="AZ44" s="332">
        <f>SUMIFS(BASE_EX!$J:$J,BASE_EX!$B:$B,'Direct Charge'!$A44,BASE_EX!$C:$C,"agosto")</f>
        <v>0</v>
      </c>
      <c r="BA44" s="373"/>
      <c r="BB44" s="372"/>
      <c r="BC44" s="343"/>
      <c r="BD44" s="332">
        <f>SUMIFS(BASE_EX!$J:$J,BASE_EX!$B:$B,'Direct Charge'!$A44,BASE_EX!$C:$C,"setembro")</f>
        <v>0</v>
      </c>
      <c r="BE44" s="373"/>
      <c r="BF44" s="372"/>
      <c r="BG44" s="343"/>
      <c r="BH44" s="332">
        <f>SUMIFS(BASE_EX!$J:$J,BASE_EX!$B:$B,'Direct Charge'!$A44,BASE_EX!$C:$C,"outubro")</f>
        <v>0</v>
      </c>
      <c r="BI44" s="373"/>
      <c r="BJ44" s="372"/>
      <c r="BK44" s="343"/>
      <c r="BL44" s="332">
        <f>SUMIFS(BASE_EX!$J:$J,BASE_EX!$B:$B,'Direct Charge'!$A44,BASE_EX!$C:$C,"novembro")</f>
        <v>0</v>
      </c>
      <c r="BM44" s="373"/>
      <c r="BN44" s="372"/>
      <c r="BO44" s="343"/>
      <c r="BP44" s="332">
        <f>SUMIFS(BASE_EX!$J:$J,BASE_EX!$B:$B,'Direct Charge'!$A44,BASE_EX!$C:$C,"dezembro")</f>
        <v>0</v>
      </c>
      <c r="BQ44" s="373"/>
      <c r="BR44" s="452"/>
      <c r="BS44" s="156">
        <f t="shared" si="11"/>
        <v>0</v>
      </c>
      <c r="BT44" s="320">
        <f t="shared" si="12"/>
        <v>0</v>
      </c>
      <c r="BU44" s="157" t="e">
        <f>SUM(L44,M44,N44,O44,U44)-#REF!</f>
        <v>#REF!</v>
      </c>
      <c r="BV44" s="346">
        <f t="shared" si="13"/>
        <v>0</v>
      </c>
      <c r="BW44" s="344" t="str">
        <f>IFERROR(VLOOKUP($A44,'BASE_558 EX'!$D:$R,8,FALSE),"")</f>
        <v xml:space="preserve">            9.856,55</v>
      </c>
      <c r="BX44" s="344" t="str">
        <f>IFERROR(VLOOKUP($A44,'BASE_558 EX'!$D:$R,9,FALSE),"")</f>
        <v xml:space="preserve">           10.883,40</v>
      </c>
      <c r="BY44" s="344" t="str">
        <f>IFERROR(VLOOKUP($A44,'BASE_558 EX'!$D:$R,10,FALSE),"")</f>
        <v xml:space="preserve">                0,00</v>
      </c>
      <c r="BZ44" s="344" t="str">
        <f>IFERROR(VLOOKUP($A44,'BASE_558 EX'!$D:$R,11,FALSE),"")</f>
        <v xml:space="preserve">                0,00</v>
      </c>
      <c r="CA44" s="344" t="str">
        <f>IFERROR(IF(BASE_558!$P$14="RemOrdPla",(VLOOKUP(A44,BASE_558!D:R,14)/1000),(VLOOKUP(A44,BASE_558!D:R,13)/1000)),"")</f>
        <v/>
      </c>
      <c r="CB44" s="344" t="str">
        <f>IFERROR(VLOOKUP($A44,'BASE_558 EX'!$D:$R,15,FALSE),"")</f>
        <v>-1.026,85</v>
      </c>
      <c r="CC44" s="442"/>
      <c r="CD44" s="442">
        <f t="shared" si="14"/>
        <v>0</v>
      </c>
    </row>
    <row r="45" spans="1:82" s="23" customFormat="1" ht="25.4" customHeight="1">
      <c r="A45" s="309" t="s">
        <v>1717</v>
      </c>
      <c r="B45" s="309" t="s">
        <v>1923</v>
      </c>
      <c r="C45" s="187">
        <v>44838</v>
      </c>
      <c r="D45" s="309" t="s">
        <v>1125</v>
      </c>
      <c r="E45" s="309" t="s">
        <v>1125</v>
      </c>
      <c r="F45" s="309" t="s">
        <v>176</v>
      </c>
      <c r="G45" s="339" t="s">
        <v>2855</v>
      </c>
      <c r="H45" s="339" t="s">
        <v>8877</v>
      </c>
      <c r="I45" s="6" t="s">
        <v>218</v>
      </c>
      <c r="J45" s="83" t="s">
        <v>462</v>
      </c>
      <c r="K45" s="308" t="s">
        <v>6797</v>
      </c>
      <c r="L45" s="206"/>
      <c r="M45" s="206">
        <v>0</v>
      </c>
      <c r="N45" s="206">
        <v>0</v>
      </c>
      <c r="O45" s="206">
        <v>0</v>
      </c>
      <c r="P45" s="206">
        <v>10218.19</v>
      </c>
      <c r="Q45" s="206">
        <f t="shared" si="9"/>
        <v>0</v>
      </c>
      <c r="R45" s="206"/>
      <c r="S45" s="206"/>
      <c r="T45" s="223"/>
      <c r="U45" s="169">
        <f t="shared" si="10"/>
        <v>0</v>
      </c>
      <c r="V45" s="372">
        <v>0</v>
      </c>
      <c r="W45" s="343"/>
      <c r="X45" s="332">
        <f>SUMIFS(BASE_EX!$J:$J,BASE_EX!$B:$B,'Direct Charge'!$A45,BASE_EX!$C:$C,"janeiro")</f>
        <v>0</v>
      </c>
      <c r="Y45" s="373"/>
      <c r="Z45" s="372">
        <v>0</v>
      </c>
      <c r="AA45" s="343"/>
      <c r="AB45" s="332">
        <f>SUMIFS(BASE_EX!$J:$J,BASE_EX!$B:$B,'Direct Charge'!$A45,BASE_EX!$C:$C,"fevereiro")</f>
        <v>0</v>
      </c>
      <c r="AC45" s="373"/>
      <c r="AD45" s="372"/>
      <c r="AE45" s="343"/>
      <c r="AF45" s="332">
        <f>SUMIFS(BASE_EX!$J:$J,BASE_EX!$B:$B,'Direct Charge'!$A45,BASE_EX!$C:$C,"março")</f>
        <v>0</v>
      </c>
      <c r="AG45" s="373"/>
      <c r="AH45" s="372"/>
      <c r="AI45" s="343"/>
      <c r="AJ45" s="332">
        <f>SUMIFS(BASE_EX!$J:$J,BASE_EX!$B:$B,'Direct Charge'!$A45,BASE_EX!$C:$C,"abril")</f>
        <v>0</v>
      </c>
      <c r="AK45" s="373"/>
      <c r="AL45" s="372"/>
      <c r="AM45" s="343"/>
      <c r="AN45" s="332">
        <f>SUMIFS(BASE_EX!$J:$J,BASE_EX!$B:$B,'Direct Charge'!$A45,BASE_EX!$C:$C,"maio")</f>
        <v>0</v>
      </c>
      <c r="AO45" s="373"/>
      <c r="AP45" s="372"/>
      <c r="AQ45" s="343"/>
      <c r="AR45" s="332">
        <f>SUMIFS(BASE_EX!$J:$J,BASE_EX!$B:$B,'Direct Charge'!$A45,BASE_EX!$C:$C,"junho")</f>
        <v>0</v>
      </c>
      <c r="AS45" s="373"/>
      <c r="AT45" s="372"/>
      <c r="AU45" s="343"/>
      <c r="AV45" s="332">
        <f>SUMIFS(BASE_EX!$J:$J,BASE_EX!$B:$B,'Direct Charge'!$A45,BASE_EX!$C:$C,"julho")</f>
        <v>0</v>
      </c>
      <c r="AW45" s="373"/>
      <c r="AX45" s="372"/>
      <c r="AY45" s="343"/>
      <c r="AZ45" s="332">
        <f>SUMIFS(BASE_EX!$J:$J,BASE_EX!$B:$B,'Direct Charge'!$A45,BASE_EX!$C:$C,"agosto")</f>
        <v>0</v>
      </c>
      <c r="BA45" s="373"/>
      <c r="BB45" s="372"/>
      <c r="BC45" s="343"/>
      <c r="BD45" s="332">
        <f>SUMIFS(BASE_EX!$J:$J,BASE_EX!$B:$B,'Direct Charge'!$A45,BASE_EX!$C:$C,"setembro")</f>
        <v>0</v>
      </c>
      <c r="BE45" s="373"/>
      <c r="BF45" s="372"/>
      <c r="BG45" s="343"/>
      <c r="BH45" s="332">
        <f>SUMIFS(BASE_EX!$J:$J,BASE_EX!$B:$B,'Direct Charge'!$A45,BASE_EX!$C:$C,"outubro")</f>
        <v>0</v>
      </c>
      <c r="BI45" s="373"/>
      <c r="BJ45" s="372"/>
      <c r="BK45" s="343"/>
      <c r="BL45" s="332">
        <f>SUMIFS(BASE_EX!$J:$J,BASE_EX!$B:$B,'Direct Charge'!$A45,BASE_EX!$C:$C,"novembro")</f>
        <v>0</v>
      </c>
      <c r="BM45" s="373"/>
      <c r="BN45" s="372"/>
      <c r="BO45" s="343"/>
      <c r="BP45" s="332">
        <f>SUMIFS(BASE_EX!$J:$J,BASE_EX!$B:$B,'Direct Charge'!$A45,BASE_EX!$C:$C,"dezembro")</f>
        <v>0</v>
      </c>
      <c r="BQ45" s="373"/>
      <c r="BR45" s="452"/>
      <c r="BS45" s="156">
        <f t="shared" si="11"/>
        <v>0</v>
      </c>
      <c r="BT45" s="320">
        <f t="shared" si="12"/>
        <v>0</v>
      </c>
      <c r="BU45" s="157" t="e">
        <f>SUM(L45,M45,N45,O45,U45)-#REF!</f>
        <v>#REF!</v>
      </c>
      <c r="BV45" s="346">
        <f t="shared" si="13"/>
        <v>0</v>
      </c>
      <c r="BW45" s="344" t="str">
        <f>IFERROR(VLOOKUP($A45,'BASE_558 EX'!$D:$R,8,FALSE),"")</f>
        <v xml:space="preserve">            9.014,26</v>
      </c>
      <c r="BX45" s="344" t="str">
        <f>IFERROR(VLOOKUP($A45,'BASE_558 EX'!$D:$R,9,FALSE),"")</f>
        <v xml:space="preserve">           10.218,19</v>
      </c>
      <c r="BY45" s="344" t="str">
        <f>IFERROR(VLOOKUP($A45,'BASE_558 EX'!$D:$R,10,FALSE),"")</f>
        <v xml:space="preserve">                0,00</v>
      </c>
      <c r="BZ45" s="344" t="str">
        <f>IFERROR(VLOOKUP($A45,'BASE_558 EX'!$D:$R,11,FALSE),"")</f>
        <v xml:space="preserve">                0,00</v>
      </c>
      <c r="CA45" s="344" t="str">
        <f>IFERROR(IF(BASE_558!$P$14="RemOrdPla",(VLOOKUP(A45,BASE_558!D:R,14)/1000),(VLOOKUP(A45,BASE_558!D:R,13)/1000)),"")</f>
        <v/>
      </c>
      <c r="CB45" s="344" t="str">
        <f>IFERROR(VLOOKUP($A45,'BASE_558 EX'!$D:$R,15,FALSE),"")</f>
        <v>-1.203,93</v>
      </c>
      <c r="CC45" s="442"/>
      <c r="CD45" s="442">
        <f t="shared" si="14"/>
        <v>0</v>
      </c>
    </row>
    <row r="46" spans="1:82" s="23" customFormat="1" ht="25.4" customHeight="1">
      <c r="A46" s="309" t="s">
        <v>1719</v>
      </c>
      <c r="B46" s="309" t="s">
        <v>1919</v>
      </c>
      <c r="C46" s="187">
        <v>44839</v>
      </c>
      <c r="D46" s="309" t="s">
        <v>474</v>
      </c>
      <c r="E46" s="309" t="s">
        <v>474</v>
      </c>
      <c r="F46" s="309" t="s">
        <v>176</v>
      </c>
      <c r="G46" s="339" t="s">
        <v>1720</v>
      </c>
      <c r="H46" s="339" t="s">
        <v>8877</v>
      </c>
      <c r="I46" s="6" t="s">
        <v>218</v>
      </c>
      <c r="J46" s="83" t="s">
        <v>462</v>
      </c>
      <c r="K46" s="7" t="s">
        <v>1600</v>
      </c>
      <c r="L46" s="206"/>
      <c r="M46" s="206">
        <v>0</v>
      </c>
      <c r="N46" s="206">
        <v>0</v>
      </c>
      <c r="O46" s="206">
        <v>5304.61</v>
      </c>
      <c r="P46" s="206"/>
      <c r="Q46" s="206">
        <f t="shared" si="9"/>
        <v>0</v>
      </c>
      <c r="R46" s="206"/>
      <c r="S46" s="206"/>
      <c r="T46" s="223"/>
      <c r="U46" s="169">
        <f t="shared" si="10"/>
        <v>0</v>
      </c>
      <c r="V46" s="372">
        <v>0</v>
      </c>
      <c r="W46" s="343"/>
      <c r="X46" s="332">
        <f>SUMIFS(BASE_EX!$J:$J,BASE_EX!$B:$B,'Direct Charge'!$A46,BASE_EX!$C:$C,"janeiro")</f>
        <v>0</v>
      </c>
      <c r="Y46" s="373"/>
      <c r="Z46" s="372">
        <v>0</v>
      </c>
      <c r="AA46" s="343"/>
      <c r="AB46" s="332">
        <f>SUMIFS(BASE_EX!$J:$J,BASE_EX!$B:$B,'Direct Charge'!$A46,BASE_EX!$C:$C,"fevereiro")</f>
        <v>0</v>
      </c>
      <c r="AC46" s="373"/>
      <c r="AD46" s="372"/>
      <c r="AE46" s="343"/>
      <c r="AF46" s="332">
        <f>SUMIFS(BASE_EX!$J:$J,BASE_EX!$B:$B,'Direct Charge'!$A46,BASE_EX!$C:$C,"março")</f>
        <v>0</v>
      </c>
      <c r="AG46" s="373"/>
      <c r="AH46" s="372"/>
      <c r="AI46" s="343"/>
      <c r="AJ46" s="332">
        <f>SUMIFS(BASE_EX!$J:$J,BASE_EX!$B:$B,'Direct Charge'!$A46,BASE_EX!$C:$C,"abril")</f>
        <v>0</v>
      </c>
      <c r="AK46" s="373"/>
      <c r="AL46" s="372"/>
      <c r="AM46" s="343"/>
      <c r="AN46" s="332">
        <f>SUMIFS(BASE_EX!$J:$J,BASE_EX!$B:$B,'Direct Charge'!$A46,BASE_EX!$C:$C,"maio")</f>
        <v>0</v>
      </c>
      <c r="AO46" s="373"/>
      <c r="AP46" s="372"/>
      <c r="AQ46" s="343"/>
      <c r="AR46" s="332">
        <f>SUMIFS(BASE_EX!$J:$J,BASE_EX!$B:$B,'Direct Charge'!$A46,BASE_EX!$C:$C,"junho")</f>
        <v>0</v>
      </c>
      <c r="AS46" s="373"/>
      <c r="AT46" s="372"/>
      <c r="AU46" s="343"/>
      <c r="AV46" s="332">
        <f>SUMIFS(BASE_EX!$J:$J,BASE_EX!$B:$B,'Direct Charge'!$A46,BASE_EX!$C:$C,"julho")</f>
        <v>0</v>
      </c>
      <c r="AW46" s="373"/>
      <c r="AX46" s="372"/>
      <c r="AY46" s="343"/>
      <c r="AZ46" s="332">
        <f>SUMIFS(BASE_EX!$J:$J,BASE_EX!$B:$B,'Direct Charge'!$A46,BASE_EX!$C:$C,"agosto")</f>
        <v>0</v>
      </c>
      <c r="BA46" s="373"/>
      <c r="BB46" s="372"/>
      <c r="BC46" s="343"/>
      <c r="BD46" s="332">
        <f>SUMIFS(BASE_EX!$J:$J,BASE_EX!$B:$B,'Direct Charge'!$A46,BASE_EX!$C:$C,"setembro")</f>
        <v>0</v>
      </c>
      <c r="BE46" s="373"/>
      <c r="BF46" s="372"/>
      <c r="BG46" s="343"/>
      <c r="BH46" s="332">
        <f>SUMIFS(BASE_EX!$J:$J,BASE_EX!$B:$B,'Direct Charge'!$A46,BASE_EX!$C:$C,"outubro")</f>
        <v>0</v>
      </c>
      <c r="BI46" s="373"/>
      <c r="BJ46" s="372"/>
      <c r="BK46" s="343"/>
      <c r="BL46" s="332">
        <f>SUMIFS(BASE_EX!$J:$J,BASE_EX!$B:$B,'Direct Charge'!$A46,BASE_EX!$C:$C,"novembro")</f>
        <v>0</v>
      </c>
      <c r="BM46" s="373"/>
      <c r="BN46" s="372"/>
      <c r="BO46" s="343"/>
      <c r="BP46" s="332">
        <f>SUMIFS(BASE_EX!$J:$J,BASE_EX!$B:$B,'Direct Charge'!$A46,BASE_EX!$C:$C,"dezembro")</f>
        <v>0</v>
      </c>
      <c r="BQ46" s="373"/>
      <c r="BR46" s="452"/>
      <c r="BS46" s="156">
        <f t="shared" si="11"/>
        <v>0</v>
      </c>
      <c r="BT46" s="320">
        <f t="shared" si="12"/>
        <v>0</v>
      </c>
      <c r="BU46" s="157" t="e">
        <f>SUM(L46,M46,N46,O46,U46)-#REF!</f>
        <v>#REF!</v>
      </c>
      <c r="BV46" s="346">
        <f t="shared" si="13"/>
        <v>0</v>
      </c>
      <c r="BW46" s="344" t="str">
        <f>IFERROR(VLOOKUP($A46,'BASE_558 EX'!$D:$R,8,FALSE),"")</f>
        <v xml:space="preserve">           11.648,65</v>
      </c>
      <c r="BX46" s="344" t="str">
        <f>IFERROR(VLOOKUP($A46,'BASE_558 EX'!$D:$R,9,FALSE),"")</f>
        <v xml:space="preserve">            5.304,61</v>
      </c>
      <c r="BY46" s="344" t="str">
        <f>IFERROR(VLOOKUP($A46,'BASE_558 EX'!$D:$R,10,FALSE),"")</f>
        <v xml:space="preserve">                0,00</v>
      </c>
      <c r="BZ46" s="344" t="str">
        <f>IFERROR(VLOOKUP($A46,'BASE_558 EX'!$D:$R,11,FALSE),"")</f>
        <v xml:space="preserve">                0,00</v>
      </c>
      <c r="CA46" s="344" t="str">
        <f>IFERROR(IF(BASE_558!$P$14="RemOrdPla",(VLOOKUP(A46,BASE_558!D:R,14)/1000),(VLOOKUP(A46,BASE_558!D:R,13)/1000)),"")</f>
        <v/>
      </c>
      <c r="CB46" s="344" t="str">
        <f>IFERROR(VLOOKUP($A46,'BASE_558 EX'!$D:$R,15,FALSE),"")</f>
        <v xml:space="preserve">            6.344,04</v>
      </c>
      <c r="CC46" s="442"/>
      <c r="CD46" s="442">
        <f t="shared" si="14"/>
        <v>0</v>
      </c>
    </row>
    <row r="47" spans="1:82" s="23" customFormat="1" ht="25.4" customHeight="1">
      <c r="A47" s="309" t="s">
        <v>1735</v>
      </c>
      <c r="B47" s="309" t="s">
        <v>1264</v>
      </c>
      <c r="C47" s="187">
        <v>44861</v>
      </c>
      <c r="D47" s="309" t="s">
        <v>1708</v>
      </c>
      <c r="E47" s="309" t="s">
        <v>2856</v>
      </c>
      <c r="F47" s="309" t="s">
        <v>176</v>
      </c>
      <c r="G47" s="339" t="s">
        <v>1736</v>
      </c>
      <c r="H47" s="339" t="s">
        <v>9112</v>
      </c>
      <c r="I47" s="6" t="s">
        <v>218</v>
      </c>
      <c r="J47" s="83" t="s">
        <v>462</v>
      </c>
      <c r="K47" s="7" t="s">
        <v>1600</v>
      </c>
      <c r="L47" s="206"/>
      <c r="M47" s="206">
        <v>0</v>
      </c>
      <c r="N47" s="206">
        <v>0</v>
      </c>
      <c r="O47" s="206">
        <v>1764.6399999999999</v>
      </c>
      <c r="P47" s="206"/>
      <c r="Q47" s="206">
        <f t="shared" si="9"/>
        <v>0</v>
      </c>
      <c r="R47" s="206"/>
      <c r="S47" s="206"/>
      <c r="T47" s="223"/>
      <c r="U47" s="169">
        <f t="shared" si="10"/>
        <v>0</v>
      </c>
      <c r="V47" s="372">
        <v>0</v>
      </c>
      <c r="W47" s="343"/>
      <c r="X47" s="332">
        <f>SUMIFS(BASE_EX!$J:$J,BASE_EX!$B:$B,'Direct Charge'!$A47,BASE_EX!$C:$C,"janeiro")</f>
        <v>0</v>
      </c>
      <c r="Y47" s="373"/>
      <c r="Z47" s="372">
        <v>0</v>
      </c>
      <c r="AA47" s="343"/>
      <c r="AB47" s="332">
        <f>SUMIFS(BASE_EX!$J:$J,BASE_EX!$B:$B,'Direct Charge'!$A47,BASE_EX!$C:$C,"fevereiro")</f>
        <v>0</v>
      </c>
      <c r="AC47" s="373"/>
      <c r="AD47" s="372"/>
      <c r="AE47" s="343"/>
      <c r="AF47" s="332">
        <f>SUMIFS(BASE_EX!$J:$J,BASE_EX!$B:$B,'Direct Charge'!$A47,BASE_EX!$C:$C,"março")</f>
        <v>0</v>
      </c>
      <c r="AG47" s="373"/>
      <c r="AH47" s="372"/>
      <c r="AI47" s="343"/>
      <c r="AJ47" s="332">
        <f>SUMIFS(BASE_EX!$J:$J,BASE_EX!$B:$B,'Direct Charge'!$A47,BASE_EX!$C:$C,"abril")</f>
        <v>0</v>
      </c>
      <c r="AK47" s="373"/>
      <c r="AL47" s="372"/>
      <c r="AM47" s="343"/>
      <c r="AN47" s="332">
        <f>SUMIFS(BASE_EX!$J:$J,BASE_EX!$B:$B,'Direct Charge'!$A47,BASE_EX!$C:$C,"maio")</f>
        <v>0</v>
      </c>
      <c r="AO47" s="373"/>
      <c r="AP47" s="372"/>
      <c r="AQ47" s="343"/>
      <c r="AR47" s="332">
        <f>SUMIFS(BASE_EX!$J:$J,BASE_EX!$B:$B,'Direct Charge'!$A47,BASE_EX!$C:$C,"junho")</f>
        <v>0</v>
      </c>
      <c r="AS47" s="373"/>
      <c r="AT47" s="372"/>
      <c r="AU47" s="343"/>
      <c r="AV47" s="332">
        <f>SUMIFS(BASE_EX!$J:$J,BASE_EX!$B:$B,'Direct Charge'!$A47,BASE_EX!$C:$C,"julho")</f>
        <v>0</v>
      </c>
      <c r="AW47" s="373"/>
      <c r="AX47" s="372"/>
      <c r="AY47" s="343"/>
      <c r="AZ47" s="332">
        <f>SUMIFS(BASE_EX!$J:$J,BASE_EX!$B:$B,'Direct Charge'!$A47,BASE_EX!$C:$C,"agosto")</f>
        <v>0</v>
      </c>
      <c r="BA47" s="373"/>
      <c r="BB47" s="372"/>
      <c r="BC47" s="343"/>
      <c r="BD47" s="332">
        <f>SUMIFS(BASE_EX!$J:$J,BASE_EX!$B:$B,'Direct Charge'!$A47,BASE_EX!$C:$C,"setembro")</f>
        <v>0</v>
      </c>
      <c r="BE47" s="373"/>
      <c r="BF47" s="372"/>
      <c r="BG47" s="343"/>
      <c r="BH47" s="332">
        <f>SUMIFS(BASE_EX!$J:$J,BASE_EX!$B:$B,'Direct Charge'!$A47,BASE_EX!$C:$C,"outubro")</f>
        <v>0</v>
      </c>
      <c r="BI47" s="373"/>
      <c r="BJ47" s="372"/>
      <c r="BK47" s="343"/>
      <c r="BL47" s="332">
        <f>SUMIFS(BASE_EX!$J:$J,BASE_EX!$B:$B,'Direct Charge'!$A47,BASE_EX!$C:$C,"novembro")</f>
        <v>0</v>
      </c>
      <c r="BM47" s="373"/>
      <c r="BN47" s="372"/>
      <c r="BO47" s="343"/>
      <c r="BP47" s="332">
        <f>SUMIFS(BASE_EX!$J:$J,BASE_EX!$B:$B,'Direct Charge'!$A47,BASE_EX!$C:$C,"dezembro")</f>
        <v>0</v>
      </c>
      <c r="BQ47" s="373"/>
      <c r="BR47" s="452"/>
      <c r="BS47" s="156">
        <f t="shared" si="11"/>
        <v>0</v>
      </c>
      <c r="BT47" s="320">
        <f t="shared" si="12"/>
        <v>0</v>
      </c>
      <c r="BU47" s="157" t="e">
        <f>SUM(L47,M47,N47,O47,U47)-#REF!</f>
        <v>#REF!</v>
      </c>
      <c r="BV47" s="346">
        <f t="shared" si="13"/>
        <v>0</v>
      </c>
      <c r="BW47" s="344" t="str">
        <f>IFERROR(VLOOKUP($A47,'BASE_558 EX'!$D:$R,8,FALSE),"")</f>
        <v xml:space="preserve">            5.930,06</v>
      </c>
      <c r="BX47" s="344" t="str">
        <f>IFERROR(VLOOKUP($A47,'BASE_558 EX'!$D:$R,9,FALSE),"")</f>
        <v xml:space="preserve">            1.764,64</v>
      </c>
      <c r="BY47" s="344" t="str">
        <f>IFERROR(VLOOKUP($A47,'BASE_558 EX'!$D:$R,10,FALSE),"")</f>
        <v xml:space="preserve">                0,00</v>
      </c>
      <c r="BZ47" s="344" t="str">
        <f>IFERROR(VLOOKUP($A47,'BASE_558 EX'!$D:$R,11,FALSE),"")</f>
        <v xml:space="preserve">                0,00</v>
      </c>
      <c r="CA47" s="344" t="str">
        <f>IFERROR(IF(BASE_558!$P$14="RemOrdPla",(VLOOKUP(A47,BASE_558!D:R,14)/1000),(VLOOKUP(A47,BASE_558!D:R,13)/1000)),"")</f>
        <v/>
      </c>
      <c r="CB47" s="344" t="str">
        <f>IFERROR(VLOOKUP($A47,'BASE_558 EX'!$D:$R,15,FALSE),"")</f>
        <v xml:space="preserve">            4.165,42</v>
      </c>
      <c r="CC47" s="442"/>
      <c r="CD47" s="442">
        <f t="shared" si="14"/>
        <v>0</v>
      </c>
    </row>
    <row r="48" spans="1:82" s="23" customFormat="1" ht="25.4" customHeight="1">
      <c r="A48" s="309" t="s">
        <v>1773</v>
      </c>
      <c r="B48" s="309" t="s">
        <v>1264</v>
      </c>
      <c r="C48" s="187">
        <v>44874</v>
      </c>
      <c r="D48" s="309" t="s">
        <v>477</v>
      </c>
      <c r="E48" s="309" t="s">
        <v>704</v>
      </c>
      <c r="F48" s="309" t="s">
        <v>176</v>
      </c>
      <c r="G48" s="339" t="s">
        <v>1774</v>
      </c>
      <c r="H48" s="339" t="s">
        <v>9112</v>
      </c>
      <c r="I48" s="6" t="s">
        <v>218</v>
      </c>
      <c r="J48" s="83" t="s">
        <v>462</v>
      </c>
      <c r="K48" s="7" t="s">
        <v>1600</v>
      </c>
      <c r="L48" s="206"/>
      <c r="M48" s="206">
        <v>0</v>
      </c>
      <c r="N48" s="206">
        <v>0</v>
      </c>
      <c r="O48" s="206">
        <v>45305.01</v>
      </c>
      <c r="P48" s="206"/>
      <c r="Q48" s="206">
        <f t="shared" si="9"/>
        <v>0</v>
      </c>
      <c r="R48" s="206"/>
      <c r="S48" s="206"/>
      <c r="T48" s="223"/>
      <c r="U48" s="169">
        <f t="shared" si="10"/>
        <v>0</v>
      </c>
      <c r="V48" s="372">
        <v>0</v>
      </c>
      <c r="W48" s="343"/>
      <c r="X48" s="332">
        <f>SUMIFS(BASE_EX!$J:$J,BASE_EX!$B:$B,'Direct Charge'!$A48,BASE_EX!$C:$C,"janeiro")</f>
        <v>0</v>
      </c>
      <c r="Y48" s="373"/>
      <c r="Z48" s="372">
        <v>0</v>
      </c>
      <c r="AA48" s="343"/>
      <c r="AB48" s="332">
        <f>SUMIFS(BASE_EX!$J:$J,BASE_EX!$B:$B,'Direct Charge'!$A48,BASE_EX!$C:$C,"fevereiro")</f>
        <v>0</v>
      </c>
      <c r="AC48" s="373"/>
      <c r="AD48" s="372"/>
      <c r="AE48" s="343"/>
      <c r="AF48" s="332">
        <f>SUMIFS(BASE_EX!$J:$J,BASE_EX!$B:$B,'Direct Charge'!$A48,BASE_EX!$C:$C,"março")</f>
        <v>0</v>
      </c>
      <c r="AG48" s="373"/>
      <c r="AH48" s="372"/>
      <c r="AI48" s="343"/>
      <c r="AJ48" s="332">
        <f>SUMIFS(BASE_EX!$J:$J,BASE_EX!$B:$B,'Direct Charge'!$A48,BASE_EX!$C:$C,"abril")</f>
        <v>0</v>
      </c>
      <c r="AK48" s="373"/>
      <c r="AL48" s="372"/>
      <c r="AM48" s="343"/>
      <c r="AN48" s="332">
        <f>SUMIFS(BASE_EX!$J:$J,BASE_EX!$B:$B,'Direct Charge'!$A48,BASE_EX!$C:$C,"maio")</f>
        <v>0</v>
      </c>
      <c r="AO48" s="373"/>
      <c r="AP48" s="372"/>
      <c r="AQ48" s="343"/>
      <c r="AR48" s="332">
        <f>SUMIFS(BASE_EX!$J:$J,BASE_EX!$B:$B,'Direct Charge'!$A48,BASE_EX!$C:$C,"junho")</f>
        <v>0</v>
      </c>
      <c r="AS48" s="373"/>
      <c r="AT48" s="372"/>
      <c r="AU48" s="343"/>
      <c r="AV48" s="332">
        <f>SUMIFS(BASE_EX!$J:$J,BASE_EX!$B:$B,'Direct Charge'!$A48,BASE_EX!$C:$C,"julho")</f>
        <v>0</v>
      </c>
      <c r="AW48" s="373"/>
      <c r="AX48" s="372"/>
      <c r="AY48" s="343"/>
      <c r="AZ48" s="332">
        <f>SUMIFS(BASE_EX!$J:$J,BASE_EX!$B:$B,'Direct Charge'!$A48,BASE_EX!$C:$C,"agosto")</f>
        <v>0</v>
      </c>
      <c r="BA48" s="373"/>
      <c r="BB48" s="372"/>
      <c r="BC48" s="343"/>
      <c r="BD48" s="332">
        <f>SUMIFS(BASE_EX!$J:$J,BASE_EX!$B:$B,'Direct Charge'!$A48,BASE_EX!$C:$C,"setembro")</f>
        <v>0</v>
      </c>
      <c r="BE48" s="373"/>
      <c r="BF48" s="372"/>
      <c r="BG48" s="343"/>
      <c r="BH48" s="332">
        <f>SUMIFS(BASE_EX!$J:$J,BASE_EX!$B:$B,'Direct Charge'!$A48,BASE_EX!$C:$C,"outubro")</f>
        <v>0</v>
      </c>
      <c r="BI48" s="373"/>
      <c r="BJ48" s="372"/>
      <c r="BK48" s="343"/>
      <c r="BL48" s="332">
        <f>SUMIFS(BASE_EX!$J:$J,BASE_EX!$B:$B,'Direct Charge'!$A48,BASE_EX!$C:$C,"novembro")</f>
        <v>0</v>
      </c>
      <c r="BM48" s="373"/>
      <c r="BN48" s="372"/>
      <c r="BO48" s="343"/>
      <c r="BP48" s="332">
        <f>SUMIFS(BASE_EX!$J:$J,BASE_EX!$B:$B,'Direct Charge'!$A48,BASE_EX!$C:$C,"dezembro")</f>
        <v>0</v>
      </c>
      <c r="BQ48" s="373"/>
      <c r="BR48" s="452"/>
      <c r="BS48" s="156">
        <f t="shared" si="11"/>
        <v>0</v>
      </c>
      <c r="BT48" s="320">
        <f t="shared" si="12"/>
        <v>0</v>
      </c>
      <c r="BU48" s="157" t="e">
        <f>SUM(L48,M48,N48,O48,U48)-#REF!</f>
        <v>#REF!</v>
      </c>
      <c r="BV48" s="346">
        <f t="shared" si="13"/>
        <v>0</v>
      </c>
      <c r="BW48" s="344" t="str">
        <f>IFERROR(VLOOKUP($A48,'BASE_558 EX'!$D:$R,8,FALSE),"")</f>
        <v xml:space="preserve">           45.698,55</v>
      </c>
      <c r="BX48" s="344" t="str">
        <f>IFERROR(VLOOKUP($A48,'BASE_558 EX'!$D:$R,9,FALSE),"")</f>
        <v xml:space="preserve">           45.305,01</v>
      </c>
      <c r="BY48" s="344" t="str">
        <f>IFERROR(VLOOKUP($A48,'BASE_558 EX'!$D:$R,10,FALSE),"")</f>
        <v xml:space="preserve">                0,00</v>
      </c>
      <c r="BZ48" s="344" t="str">
        <f>IFERROR(VLOOKUP($A48,'BASE_558 EX'!$D:$R,11,FALSE),"")</f>
        <v xml:space="preserve">                0,00</v>
      </c>
      <c r="CA48" s="344" t="str">
        <f>IFERROR(IF(BASE_558!$P$14="RemOrdPla",(VLOOKUP(A48,BASE_558!D:R,14)/1000),(VLOOKUP(A48,BASE_558!D:R,13)/1000)),"")</f>
        <v/>
      </c>
      <c r="CB48" s="344" t="str">
        <f>IFERROR(VLOOKUP($A48,'BASE_558 EX'!$D:$R,15,FALSE),"")</f>
        <v xml:space="preserve">              393,54</v>
      </c>
      <c r="CC48" s="442"/>
      <c r="CD48" s="442">
        <f t="shared" si="14"/>
        <v>0</v>
      </c>
    </row>
    <row r="49" spans="1:82" s="23" customFormat="1" ht="25.4" customHeight="1">
      <c r="A49" s="309" t="s">
        <v>1761</v>
      </c>
      <c r="B49" s="309" t="s">
        <v>1264</v>
      </c>
      <c r="C49" s="187">
        <v>44876</v>
      </c>
      <c r="D49" s="309" t="s">
        <v>704</v>
      </c>
      <c r="E49" s="309" t="s">
        <v>704</v>
      </c>
      <c r="F49" s="309" t="s">
        <v>176</v>
      </c>
      <c r="G49" s="339" t="s">
        <v>1762</v>
      </c>
      <c r="H49" s="339" t="s">
        <v>9112</v>
      </c>
      <c r="I49" s="6" t="s">
        <v>218</v>
      </c>
      <c r="J49" s="83" t="s">
        <v>462</v>
      </c>
      <c r="K49" s="7" t="s">
        <v>1600</v>
      </c>
      <c r="L49" s="206"/>
      <c r="M49" s="206">
        <v>0</v>
      </c>
      <c r="N49" s="206">
        <v>0</v>
      </c>
      <c r="O49" s="206">
        <v>20176.400000000001</v>
      </c>
      <c r="P49" s="206"/>
      <c r="Q49" s="206">
        <f t="shared" si="9"/>
        <v>0</v>
      </c>
      <c r="R49" s="206"/>
      <c r="S49" s="206"/>
      <c r="T49" s="223"/>
      <c r="U49" s="169">
        <f t="shared" si="10"/>
        <v>0</v>
      </c>
      <c r="V49" s="372">
        <v>0</v>
      </c>
      <c r="W49" s="343"/>
      <c r="X49" s="332">
        <f>SUMIFS(BASE_EX!$J:$J,BASE_EX!$B:$B,'Direct Charge'!$A49,BASE_EX!$C:$C,"janeiro")</f>
        <v>0</v>
      </c>
      <c r="Y49" s="373"/>
      <c r="Z49" s="372">
        <v>0</v>
      </c>
      <c r="AA49" s="343"/>
      <c r="AB49" s="332">
        <f>SUMIFS(BASE_EX!$J:$J,BASE_EX!$B:$B,'Direct Charge'!$A49,BASE_EX!$C:$C,"fevereiro")</f>
        <v>0</v>
      </c>
      <c r="AC49" s="373"/>
      <c r="AD49" s="372"/>
      <c r="AE49" s="343"/>
      <c r="AF49" s="332">
        <f>SUMIFS(BASE_EX!$J:$J,BASE_EX!$B:$B,'Direct Charge'!$A49,BASE_EX!$C:$C,"março")</f>
        <v>0</v>
      </c>
      <c r="AG49" s="373"/>
      <c r="AH49" s="372"/>
      <c r="AI49" s="343"/>
      <c r="AJ49" s="332">
        <f>SUMIFS(BASE_EX!$J:$J,BASE_EX!$B:$B,'Direct Charge'!$A49,BASE_EX!$C:$C,"abril")</f>
        <v>0</v>
      </c>
      <c r="AK49" s="373"/>
      <c r="AL49" s="372"/>
      <c r="AM49" s="343"/>
      <c r="AN49" s="332">
        <f>SUMIFS(BASE_EX!$J:$J,BASE_EX!$B:$B,'Direct Charge'!$A49,BASE_EX!$C:$C,"maio")</f>
        <v>0</v>
      </c>
      <c r="AO49" s="373"/>
      <c r="AP49" s="372"/>
      <c r="AQ49" s="343"/>
      <c r="AR49" s="332">
        <f>SUMIFS(BASE_EX!$J:$J,BASE_EX!$B:$B,'Direct Charge'!$A49,BASE_EX!$C:$C,"junho")</f>
        <v>0</v>
      </c>
      <c r="AS49" s="373"/>
      <c r="AT49" s="372"/>
      <c r="AU49" s="343"/>
      <c r="AV49" s="332">
        <f>SUMIFS(BASE_EX!$J:$J,BASE_EX!$B:$B,'Direct Charge'!$A49,BASE_EX!$C:$C,"julho")</f>
        <v>0</v>
      </c>
      <c r="AW49" s="373"/>
      <c r="AX49" s="372"/>
      <c r="AY49" s="343"/>
      <c r="AZ49" s="332">
        <f>SUMIFS(BASE_EX!$J:$J,BASE_EX!$B:$B,'Direct Charge'!$A49,BASE_EX!$C:$C,"agosto")</f>
        <v>0</v>
      </c>
      <c r="BA49" s="373"/>
      <c r="BB49" s="372"/>
      <c r="BC49" s="343"/>
      <c r="BD49" s="332">
        <f>SUMIFS(BASE_EX!$J:$J,BASE_EX!$B:$B,'Direct Charge'!$A49,BASE_EX!$C:$C,"setembro")</f>
        <v>0</v>
      </c>
      <c r="BE49" s="373"/>
      <c r="BF49" s="372"/>
      <c r="BG49" s="343"/>
      <c r="BH49" s="332">
        <f>SUMIFS(BASE_EX!$J:$J,BASE_EX!$B:$B,'Direct Charge'!$A49,BASE_EX!$C:$C,"outubro")</f>
        <v>0</v>
      </c>
      <c r="BI49" s="373"/>
      <c r="BJ49" s="372"/>
      <c r="BK49" s="343"/>
      <c r="BL49" s="332">
        <f>SUMIFS(BASE_EX!$J:$J,BASE_EX!$B:$B,'Direct Charge'!$A49,BASE_EX!$C:$C,"novembro")</f>
        <v>0</v>
      </c>
      <c r="BM49" s="373"/>
      <c r="BN49" s="372"/>
      <c r="BO49" s="343"/>
      <c r="BP49" s="332">
        <f>SUMIFS(BASE_EX!$J:$J,BASE_EX!$B:$B,'Direct Charge'!$A49,BASE_EX!$C:$C,"dezembro")</f>
        <v>0</v>
      </c>
      <c r="BQ49" s="373"/>
      <c r="BR49" s="452"/>
      <c r="BS49" s="156">
        <f t="shared" si="11"/>
        <v>0</v>
      </c>
      <c r="BT49" s="320">
        <f t="shared" si="12"/>
        <v>0</v>
      </c>
      <c r="BU49" s="157" t="e">
        <f>SUM(L49,M49,N49,O49,U49)-#REF!</f>
        <v>#REF!</v>
      </c>
      <c r="BV49" s="346">
        <f t="shared" si="13"/>
        <v>0</v>
      </c>
      <c r="BW49" s="344" t="str">
        <f>IFERROR(VLOOKUP($A49,'BASE_558 EX'!$D:$R,8,FALSE),"")</f>
        <v xml:space="preserve">           20.609,15</v>
      </c>
      <c r="BX49" s="344" t="str">
        <f>IFERROR(VLOOKUP($A49,'BASE_558 EX'!$D:$R,9,FALSE),"")</f>
        <v xml:space="preserve">           20.176,40</v>
      </c>
      <c r="BY49" s="344" t="str">
        <f>IFERROR(VLOOKUP($A49,'BASE_558 EX'!$D:$R,10,FALSE),"")</f>
        <v xml:space="preserve">                0,00</v>
      </c>
      <c r="BZ49" s="344" t="str">
        <f>IFERROR(VLOOKUP($A49,'BASE_558 EX'!$D:$R,11,FALSE),"")</f>
        <v xml:space="preserve">                0,00</v>
      </c>
      <c r="CA49" s="344" t="str">
        <f>IFERROR(IF(BASE_558!$P$14="RemOrdPla",(VLOOKUP(A49,BASE_558!D:R,14)/1000),(VLOOKUP(A49,BASE_558!D:R,13)/1000)),"")</f>
        <v/>
      </c>
      <c r="CB49" s="344" t="str">
        <f>IFERROR(VLOOKUP($A49,'BASE_558 EX'!$D:$R,15,FALSE),"")</f>
        <v xml:space="preserve">              432,75</v>
      </c>
      <c r="CC49" s="442"/>
      <c r="CD49" s="442">
        <f t="shared" si="14"/>
        <v>0</v>
      </c>
    </row>
    <row r="50" spans="1:82" s="23" customFormat="1" ht="25.4" customHeight="1">
      <c r="A50" s="309" t="s">
        <v>1765</v>
      </c>
      <c r="B50" s="309" t="s">
        <v>1923</v>
      </c>
      <c r="C50" s="187">
        <v>44883</v>
      </c>
      <c r="D50" s="309" t="s">
        <v>2297</v>
      </c>
      <c r="E50" s="309" t="s">
        <v>2845</v>
      </c>
      <c r="F50" s="309" t="s">
        <v>176</v>
      </c>
      <c r="G50" s="339" t="s">
        <v>1769</v>
      </c>
      <c r="H50" s="339" t="s">
        <v>8877</v>
      </c>
      <c r="I50" s="6" t="s">
        <v>218</v>
      </c>
      <c r="J50" s="83" t="s">
        <v>462</v>
      </c>
      <c r="K50" s="507" t="s">
        <v>10772</v>
      </c>
      <c r="L50" s="206"/>
      <c r="M50" s="206">
        <v>0</v>
      </c>
      <c r="N50" s="206">
        <v>0</v>
      </c>
      <c r="O50" s="206">
        <v>19560.34</v>
      </c>
      <c r="P50" s="206">
        <v>8845.91</v>
      </c>
      <c r="Q50" s="206">
        <f t="shared" si="9"/>
        <v>3498.71</v>
      </c>
      <c r="R50" s="206"/>
      <c r="S50" s="206"/>
      <c r="T50" s="223"/>
      <c r="U50" s="169">
        <f t="shared" si="10"/>
        <v>3498.71</v>
      </c>
      <c r="V50" s="372">
        <v>3498.71</v>
      </c>
      <c r="W50" s="343">
        <v>3498.71</v>
      </c>
      <c r="X50" s="332">
        <f>SUMIFS(BASE_EX!$J:$J,BASE_EX!$B:$B,'Direct Charge'!$A50,BASE_EX!$C:$C,"janeiro")</f>
        <v>3498.71</v>
      </c>
      <c r="Y50" s="373">
        <v>3498.71</v>
      </c>
      <c r="Z50" s="372">
        <v>0</v>
      </c>
      <c r="AA50" s="343"/>
      <c r="AB50" s="332">
        <f>SUMIFS(BASE_EX!$J:$J,BASE_EX!$B:$B,'Direct Charge'!$A50,BASE_EX!$C:$C,"fevereiro")</f>
        <v>0</v>
      </c>
      <c r="AC50" s="373"/>
      <c r="AD50" s="372"/>
      <c r="AE50" s="343"/>
      <c r="AF50" s="332">
        <f>SUMIFS(BASE_EX!$J:$J,BASE_EX!$B:$B,'Direct Charge'!$A50,BASE_EX!$C:$C,"março")</f>
        <v>0</v>
      </c>
      <c r="AG50" s="373"/>
      <c r="AH50" s="372"/>
      <c r="AI50" s="343"/>
      <c r="AJ50" s="332">
        <f>SUMIFS(BASE_EX!$J:$J,BASE_EX!$B:$B,'Direct Charge'!$A50,BASE_EX!$C:$C,"abril")</f>
        <v>0</v>
      </c>
      <c r="AK50" s="373"/>
      <c r="AL50" s="372"/>
      <c r="AM50" s="343"/>
      <c r="AN50" s="332">
        <f>SUMIFS(BASE_EX!$J:$J,BASE_EX!$B:$B,'Direct Charge'!$A50,BASE_EX!$C:$C,"maio")</f>
        <v>0</v>
      </c>
      <c r="AO50" s="373"/>
      <c r="AP50" s="372"/>
      <c r="AQ50" s="343"/>
      <c r="AR50" s="332">
        <f>SUMIFS(BASE_EX!$J:$J,BASE_EX!$B:$B,'Direct Charge'!$A50,BASE_EX!$C:$C,"junho")</f>
        <v>0</v>
      </c>
      <c r="AS50" s="373"/>
      <c r="AT50" s="372"/>
      <c r="AU50" s="343"/>
      <c r="AV50" s="332">
        <f>SUMIFS(BASE_EX!$J:$J,BASE_EX!$B:$B,'Direct Charge'!$A50,BASE_EX!$C:$C,"julho")</f>
        <v>0</v>
      </c>
      <c r="AW50" s="373"/>
      <c r="AX50" s="372"/>
      <c r="AY50" s="343"/>
      <c r="AZ50" s="332">
        <f>SUMIFS(BASE_EX!$J:$J,BASE_EX!$B:$B,'Direct Charge'!$A50,BASE_EX!$C:$C,"agosto")</f>
        <v>0</v>
      </c>
      <c r="BA50" s="373"/>
      <c r="BB50" s="372"/>
      <c r="BC50" s="343"/>
      <c r="BD50" s="332">
        <f>SUMIFS(BASE_EX!$J:$J,BASE_EX!$B:$B,'Direct Charge'!$A50,BASE_EX!$C:$C,"setembro")</f>
        <v>0</v>
      </c>
      <c r="BE50" s="373"/>
      <c r="BF50" s="372"/>
      <c r="BG50" s="343"/>
      <c r="BH50" s="332">
        <f>SUMIFS(BASE_EX!$J:$J,BASE_EX!$B:$B,'Direct Charge'!$A50,BASE_EX!$C:$C,"outubro")</f>
        <v>0</v>
      </c>
      <c r="BI50" s="373"/>
      <c r="BJ50" s="372"/>
      <c r="BK50" s="343"/>
      <c r="BL50" s="332">
        <f>SUMIFS(BASE_EX!$J:$J,BASE_EX!$B:$B,'Direct Charge'!$A50,BASE_EX!$C:$C,"novembro")</f>
        <v>0</v>
      </c>
      <c r="BM50" s="373"/>
      <c r="BN50" s="372"/>
      <c r="BO50" s="343"/>
      <c r="BP50" s="332">
        <f>SUMIFS(BASE_EX!$J:$J,BASE_EX!$B:$B,'Direct Charge'!$A50,BASE_EX!$C:$C,"dezembro")</f>
        <v>0</v>
      </c>
      <c r="BQ50" s="373"/>
      <c r="BR50" s="452"/>
      <c r="BS50" s="156">
        <f t="shared" si="11"/>
        <v>0</v>
      </c>
      <c r="BT50" s="320">
        <f t="shared" si="12"/>
        <v>0</v>
      </c>
      <c r="BU50" s="157" t="e">
        <f>SUM(L50,M50,N50,O50,U50)-#REF!</f>
        <v>#REF!</v>
      </c>
      <c r="BV50" s="346">
        <f t="shared" si="13"/>
        <v>3498.71</v>
      </c>
      <c r="BW50" s="344" t="str">
        <f>IFERROR(VLOOKUP($A50,'BASE_558 EX'!$D:$R,8,FALSE),"")</f>
        <v xml:space="preserve">           41.218,30</v>
      </c>
      <c r="BX50" s="344" t="str">
        <f>IFERROR(VLOOKUP($A50,'BASE_558 EX'!$D:$R,9,FALSE),"")</f>
        <v xml:space="preserve">           31.904,96</v>
      </c>
      <c r="BY50" s="344" t="str">
        <f>IFERROR(VLOOKUP($A50,'BASE_558 EX'!$D:$R,10,FALSE),"")</f>
        <v xml:space="preserve">                0,00</v>
      </c>
      <c r="BZ50" s="344" t="str">
        <f>IFERROR(VLOOKUP($A50,'BASE_558 EX'!$D:$R,11,FALSE),"")</f>
        <v xml:space="preserve">                0,00</v>
      </c>
      <c r="CA50" s="344" t="str">
        <f>IFERROR(IF(BASE_558!$P$14="RemOrdPla",(VLOOKUP(A50,BASE_558!D:R,14)/1000),(VLOOKUP(A50,BASE_558!D:R,13)/1000)),"")</f>
        <v/>
      </c>
      <c r="CB50" s="344" t="str">
        <f>IFERROR(VLOOKUP($A50,'BASE_558 EX'!$D:$R,15,FALSE),"")</f>
        <v xml:space="preserve">            9.313,34</v>
      </c>
      <c r="CC50" s="442"/>
      <c r="CD50" s="442">
        <f t="shared" si="14"/>
        <v>0</v>
      </c>
    </row>
    <row r="51" spans="1:82" s="23" customFormat="1" ht="25.4" customHeight="1">
      <c r="A51" s="309" t="s">
        <v>1766</v>
      </c>
      <c r="B51" s="309" t="s">
        <v>1920</v>
      </c>
      <c r="C51" s="187">
        <v>44883</v>
      </c>
      <c r="D51" s="309" t="s">
        <v>1125</v>
      </c>
      <c r="E51" s="309" t="s">
        <v>1125</v>
      </c>
      <c r="F51" s="309" t="s">
        <v>176</v>
      </c>
      <c r="G51" s="339" t="s">
        <v>1802</v>
      </c>
      <c r="H51" s="339" t="s">
        <v>9112</v>
      </c>
      <c r="I51" s="6" t="s">
        <v>218</v>
      </c>
      <c r="J51" s="83" t="s">
        <v>462</v>
      </c>
      <c r="K51" s="7" t="s">
        <v>1600</v>
      </c>
      <c r="L51" s="206"/>
      <c r="M51" s="206">
        <v>0</v>
      </c>
      <c r="N51" s="206">
        <v>0</v>
      </c>
      <c r="O51" s="206">
        <v>27370.49</v>
      </c>
      <c r="P51" s="206">
        <v>8159.34</v>
      </c>
      <c r="Q51" s="206">
        <f t="shared" si="9"/>
        <v>0</v>
      </c>
      <c r="R51" s="206"/>
      <c r="S51" s="206"/>
      <c r="T51" s="223"/>
      <c r="U51" s="169">
        <f t="shared" si="10"/>
        <v>0</v>
      </c>
      <c r="V51" s="372">
        <v>0</v>
      </c>
      <c r="W51" s="343"/>
      <c r="X51" s="332">
        <f>SUMIFS(BASE_EX!$J:$J,BASE_EX!$B:$B,'Direct Charge'!$A51,BASE_EX!$C:$C,"janeiro")</f>
        <v>0</v>
      </c>
      <c r="Y51" s="373"/>
      <c r="Z51" s="372">
        <v>0</v>
      </c>
      <c r="AA51" s="343"/>
      <c r="AB51" s="332">
        <f>SUMIFS(BASE_EX!$J:$J,BASE_EX!$B:$B,'Direct Charge'!$A51,BASE_EX!$C:$C,"fevereiro")</f>
        <v>0</v>
      </c>
      <c r="AC51" s="373"/>
      <c r="AD51" s="372"/>
      <c r="AE51" s="343"/>
      <c r="AF51" s="332">
        <f>SUMIFS(BASE_EX!$J:$J,BASE_EX!$B:$B,'Direct Charge'!$A51,BASE_EX!$C:$C,"março")</f>
        <v>0</v>
      </c>
      <c r="AG51" s="373"/>
      <c r="AH51" s="372"/>
      <c r="AI51" s="343"/>
      <c r="AJ51" s="332">
        <f>SUMIFS(BASE_EX!$J:$J,BASE_EX!$B:$B,'Direct Charge'!$A51,BASE_EX!$C:$C,"abril")</f>
        <v>0</v>
      </c>
      <c r="AK51" s="373"/>
      <c r="AL51" s="372"/>
      <c r="AM51" s="343"/>
      <c r="AN51" s="332">
        <f>SUMIFS(BASE_EX!$J:$J,BASE_EX!$B:$B,'Direct Charge'!$A51,BASE_EX!$C:$C,"maio")</f>
        <v>0</v>
      </c>
      <c r="AO51" s="373"/>
      <c r="AP51" s="372"/>
      <c r="AQ51" s="343"/>
      <c r="AR51" s="332">
        <f>SUMIFS(BASE_EX!$J:$J,BASE_EX!$B:$B,'Direct Charge'!$A51,BASE_EX!$C:$C,"junho")</f>
        <v>0</v>
      </c>
      <c r="AS51" s="373"/>
      <c r="AT51" s="372"/>
      <c r="AU51" s="343"/>
      <c r="AV51" s="332">
        <f>SUMIFS(BASE_EX!$J:$J,BASE_EX!$B:$B,'Direct Charge'!$A51,BASE_EX!$C:$C,"julho")</f>
        <v>0</v>
      </c>
      <c r="AW51" s="373"/>
      <c r="AX51" s="372"/>
      <c r="AY51" s="343"/>
      <c r="AZ51" s="332">
        <f>SUMIFS(BASE_EX!$J:$J,BASE_EX!$B:$B,'Direct Charge'!$A51,BASE_EX!$C:$C,"agosto")</f>
        <v>0</v>
      </c>
      <c r="BA51" s="373"/>
      <c r="BB51" s="372"/>
      <c r="BC51" s="343"/>
      <c r="BD51" s="332">
        <f>SUMIFS(BASE_EX!$J:$J,BASE_EX!$B:$B,'Direct Charge'!$A51,BASE_EX!$C:$C,"setembro")</f>
        <v>0</v>
      </c>
      <c r="BE51" s="373"/>
      <c r="BF51" s="372"/>
      <c r="BG51" s="343"/>
      <c r="BH51" s="332">
        <f>SUMIFS(BASE_EX!$J:$J,BASE_EX!$B:$B,'Direct Charge'!$A51,BASE_EX!$C:$C,"outubro")</f>
        <v>0</v>
      </c>
      <c r="BI51" s="373"/>
      <c r="BJ51" s="372"/>
      <c r="BK51" s="343"/>
      <c r="BL51" s="332">
        <f>SUMIFS(BASE_EX!$J:$J,BASE_EX!$B:$B,'Direct Charge'!$A51,BASE_EX!$C:$C,"novembro")</f>
        <v>0</v>
      </c>
      <c r="BM51" s="373"/>
      <c r="BN51" s="372"/>
      <c r="BO51" s="343"/>
      <c r="BP51" s="332">
        <f>SUMIFS(BASE_EX!$J:$J,BASE_EX!$B:$B,'Direct Charge'!$A51,BASE_EX!$C:$C,"dezembro")</f>
        <v>0</v>
      </c>
      <c r="BQ51" s="373"/>
      <c r="BR51" s="452"/>
      <c r="BS51" s="156">
        <f t="shared" si="11"/>
        <v>0</v>
      </c>
      <c r="BT51" s="320">
        <f t="shared" si="12"/>
        <v>0</v>
      </c>
      <c r="BU51" s="157" t="e">
        <f>SUM(L51,M51,N51,O51,U51)-#REF!</f>
        <v>#REF!</v>
      </c>
      <c r="BV51" s="346">
        <f t="shared" si="13"/>
        <v>0</v>
      </c>
      <c r="BW51" s="344" t="str">
        <f>IFERROR(VLOOKUP($A51,'BASE_558 EX'!$D:$R,8,FALSE),"")</f>
        <v xml:space="preserve">           32.974,64</v>
      </c>
      <c r="BX51" s="344" t="str">
        <f>IFERROR(VLOOKUP($A51,'BASE_558 EX'!$D:$R,9,FALSE),"")</f>
        <v xml:space="preserve">           35.529,83</v>
      </c>
      <c r="BY51" s="344" t="str">
        <f>IFERROR(VLOOKUP($A51,'BASE_558 EX'!$D:$R,10,FALSE),"")</f>
        <v xml:space="preserve">                0,00</v>
      </c>
      <c r="BZ51" s="344" t="str">
        <f>IFERROR(VLOOKUP($A51,'BASE_558 EX'!$D:$R,11,FALSE),"")</f>
        <v xml:space="preserve">                0,00</v>
      </c>
      <c r="CA51" s="344" t="str">
        <f>IFERROR(IF(BASE_558!$P$14="RemOrdPla",(VLOOKUP(A51,BASE_558!D:R,14)/1000),(VLOOKUP(A51,BASE_558!D:R,13)/1000)),"")</f>
        <v/>
      </c>
      <c r="CB51" s="344" t="str">
        <f>IFERROR(VLOOKUP($A51,'BASE_558 EX'!$D:$R,15,FALSE),"")</f>
        <v>-2.555,19</v>
      </c>
      <c r="CC51" s="442"/>
      <c r="CD51" s="442">
        <f t="shared" si="14"/>
        <v>0</v>
      </c>
    </row>
    <row r="52" spans="1:82" s="23" customFormat="1" ht="25.4" customHeight="1">
      <c r="A52" s="309" t="s">
        <v>1767</v>
      </c>
      <c r="B52" s="309" t="s">
        <v>1921</v>
      </c>
      <c r="C52" s="187">
        <v>44883</v>
      </c>
      <c r="D52" s="309" t="s">
        <v>1125</v>
      </c>
      <c r="E52" s="309" t="s">
        <v>1125</v>
      </c>
      <c r="F52" s="309" t="s">
        <v>176</v>
      </c>
      <c r="G52" s="339" t="s">
        <v>1770</v>
      </c>
      <c r="H52" s="339" t="s">
        <v>9112</v>
      </c>
      <c r="I52" s="6" t="s">
        <v>218</v>
      </c>
      <c r="J52" s="83" t="s">
        <v>462</v>
      </c>
      <c r="K52" s="7" t="s">
        <v>1600</v>
      </c>
      <c r="L52" s="206"/>
      <c r="M52" s="206">
        <v>0</v>
      </c>
      <c r="N52" s="206">
        <v>0</v>
      </c>
      <c r="O52" s="206">
        <v>23896.789999999997</v>
      </c>
      <c r="P52" s="206">
        <v>6034.61</v>
      </c>
      <c r="Q52" s="206">
        <f t="shared" si="9"/>
        <v>0</v>
      </c>
      <c r="R52" s="206"/>
      <c r="S52" s="206"/>
      <c r="T52" s="223"/>
      <c r="U52" s="169">
        <f t="shared" si="10"/>
        <v>0</v>
      </c>
      <c r="V52" s="372">
        <v>0</v>
      </c>
      <c r="W52" s="343"/>
      <c r="X52" s="332">
        <f>SUMIFS(BASE_EX!$J:$J,BASE_EX!$B:$B,'Direct Charge'!$A52,BASE_EX!$C:$C,"janeiro")</f>
        <v>0</v>
      </c>
      <c r="Y52" s="373"/>
      <c r="Z52" s="372">
        <v>0</v>
      </c>
      <c r="AA52" s="343"/>
      <c r="AB52" s="332">
        <f>SUMIFS(BASE_EX!$J:$J,BASE_EX!$B:$B,'Direct Charge'!$A52,BASE_EX!$C:$C,"fevereiro")</f>
        <v>0</v>
      </c>
      <c r="AC52" s="373"/>
      <c r="AD52" s="372"/>
      <c r="AE52" s="343"/>
      <c r="AF52" s="332">
        <f>SUMIFS(BASE_EX!$J:$J,BASE_EX!$B:$B,'Direct Charge'!$A52,BASE_EX!$C:$C,"março")</f>
        <v>0</v>
      </c>
      <c r="AG52" s="373"/>
      <c r="AH52" s="372"/>
      <c r="AI52" s="343"/>
      <c r="AJ52" s="332">
        <f>SUMIFS(BASE_EX!$J:$J,BASE_EX!$B:$B,'Direct Charge'!$A52,BASE_EX!$C:$C,"abril")</f>
        <v>0</v>
      </c>
      <c r="AK52" s="373"/>
      <c r="AL52" s="372"/>
      <c r="AM52" s="343"/>
      <c r="AN52" s="332">
        <f>SUMIFS(BASE_EX!$J:$J,BASE_EX!$B:$B,'Direct Charge'!$A52,BASE_EX!$C:$C,"maio")</f>
        <v>0</v>
      </c>
      <c r="AO52" s="373"/>
      <c r="AP52" s="372"/>
      <c r="AQ52" s="343"/>
      <c r="AR52" s="332">
        <f>SUMIFS(BASE_EX!$J:$J,BASE_EX!$B:$B,'Direct Charge'!$A52,BASE_EX!$C:$C,"junho")</f>
        <v>0</v>
      </c>
      <c r="AS52" s="373"/>
      <c r="AT52" s="372"/>
      <c r="AU52" s="343"/>
      <c r="AV52" s="332">
        <f>SUMIFS(BASE_EX!$J:$J,BASE_EX!$B:$B,'Direct Charge'!$A52,BASE_EX!$C:$C,"julho")</f>
        <v>0</v>
      </c>
      <c r="AW52" s="373"/>
      <c r="AX52" s="372"/>
      <c r="AY52" s="343"/>
      <c r="AZ52" s="332">
        <f>SUMIFS(BASE_EX!$J:$J,BASE_EX!$B:$B,'Direct Charge'!$A52,BASE_EX!$C:$C,"agosto")</f>
        <v>0</v>
      </c>
      <c r="BA52" s="373"/>
      <c r="BB52" s="372"/>
      <c r="BC52" s="343"/>
      <c r="BD52" s="332">
        <f>SUMIFS(BASE_EX!$J:$J,BASE_EX!$B:$B,'Direct Charge'!$A52,BASE_EX!$C:$C,"setembro")</f>
        <v>0</v>
      </c>
      <c r="BE52" s="373"/>
      <c r="BF52" s="372"/>
      <c r="BG52" s="343"/>
      <c r="BH52" s="332">
        <f>SUMIFS(BASE_EX!$J:$J,BASE_EX!$B:$B,'Direct Charge'!$A52,BASE_EX!$C:$C,"outubro")</f>
        <v>0</v>
      </c>
      <c r="BI52" s="373"/>
      <c r="BJ52" s="372"/>
      <c r="BK52" s="343"/>
      <c r="BL52" s="332">
        <f>SUMIFS(BASE_EX!$J:$J,BASE_EX!$B:$B,'Direct Charge'!$A52,BASE_EX!$C:$C,"novembro")</f>
        <v>0</v>
      </c>
      <c r="BM52" s="373"/>
      <c r="BN52" s="372"/>
      <c r="BO52" s="343"/>
      <c r="BP52" s="332">
        <f>SUMIFS(BASE_EX!$J:$J,BASE_EX!$B:$B,'Direct Charge'!$A52,BASE_EX!$C:$C,"dezembro")</f>
        <v>0</v>
      </c>
      <c r="BQ52" s="373"/>
      <c r="BR52" s="452"/>
      <c r="BS52" s="156">
        <f t="shared" si="11"/>
        <v>0</v>
      </c>
      <c r="BT52" s="320">
        <f t="shared" si="12"/>
        <v>0</v>
      </c>
      <c r="BU52" s="157" t="e">
        <f>SUM(L52,M52,N52,O52,U52)-#REF!</f>
        <v>#REF!</v>
      </c>
      <c r="BV52" s="346">
        <f t="shared" si="13"/>
        <v>0</v>
      </c>
      <c r="BW52" s="344" t="str">
        <f>IFERROR(VLOOKUP($A52,'BASE_558 EX'!$D:$R,8,FALSE),"")</f>
        <v xml:space="preserve">           46.594,60</v>
      </c>
      <c r="BX52" s="344" t="str">
        <f>IFERROR(VLOOKUP($A52,'BASE_558 EX'!$D:$R,9,FALSE),"")</f>
        <v xml:space="preserve">           29.931,40</v>
      </c>
      <c r="BY52" s="344" t="str">
        <f>IFERROR(VLOOKUP($A52,'BASE_558 EX'!$D:$R,10,FALSE),"")</f>
        <v xml:space="preserve">                0,00</v>
      </c>
      <c r="BZ52" s="344" t="str">
        <f>IFERROR(VLOOKUP($A52,'BASE_558 EX'!$D:$R,11,FALSE),"")</f>
        <v xml:space="preserve">                0,00</v>
      </c>
      <c r="CA52" s="344" t="str">
        <f>IFERROR(IF(BASE_558!$P$14="RemOrdPla",(VLOOKUP(A52,BASE_558!D:R,14)/1000),(VLOOKUP(A52,BASE_558!D:R,13)/1000)),"")</f>
        <v/>
      </c>
      <c r="CB52" s="344" t="str">
        <f>IFERROR(VLOOKUP($A52,'BASE_558 EX'!$D:$R,15,FALSE),"")</f>
        <v xml:space="preserve">           16.663,20</v>
      </c>
      <c r="CC52" s="442"/>
      <c r="CD52" s="442">
        <f t="shared" si="14"/>
        <v>0</v>
      </c>
    </row>
    <row r="53" spans="1:82" s="23" customFormat="1" ht="25.4" customHeight="1">
      <c r="A53" s="309" t="s">
        <v>1768</v>
      </c>
      <c r="B53" s="309" t="s">
        <v>1922</v>
      </c>
      <c r="C53" s="187">
        <v>44883</v>
      </c>
      <c r="D53" s="309" t="s">
        <v>481</v>
      </c>
      <c r="E53" s="309" t="s">
        <v>2186</v>
      </c>
      <c r="F53" s="309" t="s">
        <v>176</v>
      </c>
      <c r="G53" s="339" t="s">
        <v>1803</v>
      </c>
      <c r="H53" s="339" t="s">
        <v>9112</v>
      </c>
      <c r="I53" s="6" t="s">
        <v>218</v>
      </c>
      <c r="J53" s="83" t="s">
        <v>462</v>
      </c>
      <c r="K53" s="308" t="s">
        <v>10773</v>
      </c>
      <c r="L53" s="206"/>
      <c r="M53" s="206">
        <v>0</v>
      </c>
      <c r="N53" s="206">
        <v>0</v>
      </c>
      <c r="O53" s="206">
        <v>8615.11</v>
      </c>
      <c r="P53" s="206"/>
      <c r="Q53" s="206">
        <f t="shared" si="9"/>
        <v>0</v>
      </c>
      <c r="R53" s="206"/>
      <c r="S53" s="206"/>
      <c r="T53" s="223"/>
      <c r="U53" s="169">
        <f t="shared" si="10"/>
        <v>0</v>
      </c>
      <c r="V53" s="372">
        <v>0</v>
      </c>
      <c r="W53" s="343"/>
      <c r="X53" s="332">
        <f>SUMIFS(BASE_EX!$J:$J,BASE_EX!$B:$B,'Direct Charge'!$A53,BASE_EX!$C:$C,"janeiro")</f>
        <v>0</v>
      </c>
      <c r="Y53" s="373"/>
      <c r="Z53" s="372">
        <v>0</v>
      </c>
      <c r="AA53" s="343"/>
      <c r="AB53" s="332">
        <f>SUMIFS(BASE_EX!$J:$J,BASE_EX!$B:$B,'Direct Charge'!$A53,BASE_EX!$C:$C,"fevereiro")</f>
        <v>0</v>
      </c>
      <c r="AC53" s="373"/>
      <c r="AD53" s="372"/>
      <c r="AE53" s="343"/>
      <c r="AF53" s="332">
        <f>SUMIFS(BASE_EX!$J:$J,BASE_EX!$B:$B,'Direct Charge'!$A53,BASE_EX!$C:$C,"março")</f>
        <v>0</v>
      </c>
      <c r="AG53" s="373"/>
      <c r="AH53" s="372"/>
      <c r="AI53" s="343"/>
      <c r="AJ53" s="332">
        <f>SUMIFS(BASE_EX!$J:$J,BASE_EX!$B:$B,'Direct Charge'!$A53,BASE_EX!$C:$C,"abril")</f>
        <v>0</v>
      </c>
      <c r="AK53" s="373"/>
      <c r="AL53" s="372"/>
      <c r="AM53" s="343"/>
      <c r="AN53" s="332">
        <f>SUMIFS(BASE_EX!$J:$J,BASE_EX!$B:$B,'Direct Charge'!$A53,BASE_EX!$C:$C,"maio")</f>
        <v>0</v>
      </c>
      <c r="AO53" s="373"/>
      <c r="AP53" s="372"/>
      <c r="AQ53" s="343"/>
      <c r="AR53" s="332">
        <f>SUMIFS(BASE_EX!$J:$J,BASE_EX!$B:$B,'Direct Charge'!$A53,BASE_EX!$C:$C,"junho")</f>
        <v>0</v>
      </c>
      <c r="AS53" s="373"/>
      <c r="AT53" s="372"/>
      <c r="AU53" s="343"/>
      <c r="AV53" s="332">
        <f>SUMIFS(BASE_EX!$J:$J,BASE_EX!$B:$B,'Direct Charge'!$A53,BASE_EX!$C:$C,"julho")</f>
        <v>0</v>
      </c>
      <c r="AW53" s="373"/>
      <c r="AX53" s="372"/>
      <c r="AY53" s="343"/>
      <c r="AZ53" s="332">
        <f>SUMIFS(BASE_EX!$J:$J,BASE_EX!$B:$B,'Direct Charge'!$A53,BASE_EX!$C:$C,"agosto")</f>
        <v>0</v>
      </c>
      <c r="BA53" s="373"/>
      <c r="BB53" s="372"/>
      <c r="BC53" s="343"/>
      <c r="BD53" s="332">
        <f>SUMIFS(BASE_EX!$J:$J,BASE_EX!$B:$B,'Direct Charge'!$A53,BASE_EX!$C:$C,"setembro")</f>
        <v>0</v>
      </c>
      <c r="BE53" s="373"/>
      <c r="BF53" s="372"/>
      <c r="BG53" s="343"/>
      <c r="BH53" s="332">
        <f>SUMIFS(BASE_EX!$J:$J,BASE_EX!$B:$B,'Direct Charge'!$A53,BASE_EX!$C:$C,"outubro")</f>
        <v>0</v>
      </c>
      <c r="BI53" s="373"/>
      <c r="BJ53" s="372"/>
      <c r="BK53" s="343"/>
      <c r="BL53" s="332">
        <f>SUMIFS(BASE_EX!$J:$J,BASE_EX!$B:$B,'Direct Charge'!$A53,BASE_EX!$C:$C,"novembro")</f>
        <v>0</v>
      </c>
      <c r="BM53" s="373"/>
      <c r="BN53" s="372"/>
      <c r="BO53" s="343"/>
      <c r="BP53" s="332">
        <f>SUMIFS(BASE_EX!$J:$J,BASE_EX!$B:$B,'Direct Charge'!$A53,BASE_EX!$C:$C,"dezembro")</f>
        <v>0</v>
      </c>
      <c r="BQ53" s="373"/>
      <c r="BR53" s="452"/>
      <c r="BS53" s="156">
        <f t="shared" si="11"/>
        <v>0</v>
      </c>
      <c r="BT53" s="320">
        <f t="shared" si="12"/>
        <v>0</v>
      </c>
      <c r="BU53" s="157" t="e">
        <f>SUM(L53,M53,N53,O53,U53)-#REF!</f>
        <v>#REF!</v>
      </c>
      <c r="BV53" s="346">
        <f t="shared" si="13"/>
        <v>0</v>
      </c>
      <c r="BW53" s="344" t="str">
        <f>IFERROR(VLOOKUP($A53,'BASE_558 EX'!$D:$R,8,FALSE),"")</f>
        <v xml:space="preserve">           46.029,34</v>
      </c>
      <c r="BX53" s="344" t="str">
        <f>IFERROR(VLOOKUP($A53,'BASE_558 EX'!$D:$R,9,FALSE),"")</f>
        <v xml:space="preserve">            8.615,11</v>
      </c>
      <c r="BY53" s="344" t="str">
        <f>IFERROR(VLOOKUP($A53,'BASE_558 EX'!$D:$R,10,FALSE),"")</f>
        <v xml:space="preserve">                0,00</v>
      </c>
      <c r="BZ53" s="344" t="str">
        <f>IFERROR(VLOOKUP($A53,'BASE_558 EX'!$D:$R,11,FALSE),"")</f>
        <v xml:space="preserve">                0,00</v>
      </c>
      <c r="CA53" s="344" t="str">
        <f>IFERROR(IF(BASE_558!$P$14="RemOrdPla",(VLOOKUP(A53,BASE_558!D:R,14)/1000),(VLOOKUP(A53,BASE_558!D:R,13)/1000)),"")</f>
        <v/>
      </c>
      <c r="CB53" s="344" t="str">
        <f>IFERROR(VLOOKUP($A53,'BASE_558 EX'!$D:$R,15,FALSE),"")</f>
        <v xml:space="preserve">           37.414,23</v>
      </c>
      <c r="CC53" s="442"/>
      <c r="CD53" s="442">
        <f t="shared" si="14"/>
        <v>0</v>
      </c>
    </row>
    <row r="54" spans="1:82" s="23" customFormat="1" ht="25.4" customHeight="1">
      <c r="A54" s="309" t="s">
        <v>1794</v>
      </c>
      <c r="B54" s="309" t="s">
        <v>1264</v>
      </c>
      <c r="C54" s="187">
        <v>44887</v>
      </c>
      <c r="D54" s="309" t="s">
        <v>2857</v>
      </c>
      <c r="E54" s="309" t="s">
        <v>475</v>
      </c>
      <c r="F54" s="309" t="s">
        <v>176</v>
      </c>
      <c r="G54" s="339" t="s">
        <v>1795</v>
      </c>
      <c r="H54" s="339" t="s">
        <v>9112</v>
      </c>
      <c r="I54" s="6" t="s">
        <v>218</v>
      </c>
      <c r="J54" s="83" t="s">
        <v>462</v>
      </c>
      <c r="K54" s="7" t="s">
        <v>2615</v>
      </c>
      <c r="L54" s="206"/>
      <c r="M54" s="206">
        <v>0</v>
      </c>
      <c r="N54" s="206">
        <v>0</v>
      </c>
      <c r="O54" s="206">
        <v>32379.460000000003</v>
      </c>
      <c r="P54" s="206"/>
      <c r="Q54" s="206">
        <f t="shared" si="9"/>
        <v>0</v>
      </c>
      <c r="R54" s="206"/>
      <c r="S54" s="206"/>
      <c r="T54" s="223"/>
      <c r="U54" s="169">
        <f t="shared" si="10"/>
        <v>0</v>
      </c>
      <c r="V54" s="372">
        <v>0</v>
      </c>
      <c r="W54" s="343"/>
      <c r="X54" s="332">
        <f>SUMIFS(BASE_EX!$J:$J,BASE_EX!$B:$B,'Direct Charge'!$A54,BASE_EX!$C:$C,"janeiro")</f>
        <v>0</v>
      </c>
      <c r="Y54" s="373"/>
      <c r="Z54" s="372">
        <v>0</v>
      </c>
      <c r="AA54" s="343"/>
      <c r="AB54" s="332">
        <f>SUMIFS(BASE_EX!$J:$J,BASE_EX!$B:$B,'Direct Charge'!$A54,BASE_EX!$C:$C,"fevereiro")</f>
        <v>0</v>
      </c>
      <c r="AC54" s="373"/>
      <c r="AD54" s="372"/>
      <c r="AE54" s="343"/>
      <c r="AF54" s="332">
        <f>SUMIFS(BASE_EX!$J:$J,BASE_EX!$B:$B,'Direct Charge'!$A54,BASE_EX!$C:$C,"março")</f>
        <v>0</v>
      </c>
      <c r="AG54" s="373"/>
      <c r="AH54" s="372"/>
      <c r="AI54" s="343"/>
      <c r="AJ54" s="332">
        <f>SUMIFS(BASE_EX!$J:$J,BASE_EX!$B:$B,'Direct Charge'!$A54,BASE_EX!$C:$C,"abril")</f>
        <v>0</v>
      </c>
      <c r="AK54" s="373"/>
      <c r="AL54" s="372"/>
      <c r="AM54" s="343"/>
      <c r="AN54" s="332">
        <f>SUMIFS(BASE_EX!$J:$J,BASE_EX!$B:$B,'Direct Charge'!$A54,BASE_EX!$C:$C,"maio")</f>
        <v>0</v>
      </c>
      <c r="AO54" s="373"/>
      <c r="AP54" s="372"/>
      <c r="AQ54" s="343"/>
      <c r="AR54" s="332">
        <f>SUMIFS(BASE_EX!$J:$J,BASE_EX!$B:$B,'Direct Charge'!$A54,BASE_EX!$C:$C,"junho")</f>
        <v>0</v>
      </c>
      <c r="AS54" s="373"/>
      <c r="AT54" s="372"/>
      <c r="AU54" s="343"/>
      <c r="AV54" s="332">
        <f>SUMIFS(BASE_EX!$J:$J,BASE_EX!$B:$B,'Direct Charge'!$A54,BASE_EX!$C:$C,"julho")</f>
        <v>0</v>
      </c>
      <c r="AW54" s="373"/>
      <c r="AX54" s="372"/>
      <c r="AY54" s="343"/>
      <c r="AZ54" s="332">
        <f>SUMIFS(BASE_EX!$J:$J,BASE_EX!$B:$B,'Direct Charge'!$A54,BASE_EX!$C:$C,"agosto")</f>
        <v>0</v>
      </c>
      <c r="BA54" s="373"/>
      <c r="BB54" s="372"/>
      <c r="BC54" s="343"/>
      <c r="BD54" s="332">
        <f>SUMIFS(BASE_EX!$J:$J,BASE_EX!$B:$B,'Direct Charge'!$A54,BASE_EX!$C:$C,"setembro")</f>
        <v>0</v>
      </c>
      <c r="BE54" s="373"/>
      <c r="BF54" s="372"/>
      <c r="BG54" s="343"/>
      <c r="BH54" s="332">
        <f>SUMIFS(BASE_EX!$J:$J,BASE_EX!$B:$B,'Direct Charge'!$A54,BASE_EX!$C:$C,"outubro")</f>
        <v>0</v>
      </c>
      <c r="BI54" s="373"/>
      <c r="BJ54" s="372"/>
      <c r="BK54" s="343"/>
      <c r="BL54" s="332">
        <f>SUMIFS(BASE_EX!$J:$J,BASE_EX!$B:$B,'Direct Charge'!$A54,BASE_EX!$C:$C,"novembro")</f>
        <v>0</v>
      </c>
      <c r="BM54" s="373"/>
      <c r="BN54" s="372"/>
      <c r="BO54" s="343"/>
      <c r="BP54" s="332">
        <f>SUMIFS(BASE_EX!$J:$J,BASE_EX!$B:$B,'Direct Charge'!$A54,BASE_EX!$C:$C,"dezembro")</f>
        <v>0</v>
      </c>
      <c r="BQ54" s="373"/>
      <c r="BR54" s="452"/>
      <c r="BS54" s="156">
        <f t="shared" si="11"/>
        <v>0</v>
      </c>
      <c r="BT54" s="320">
        <f t="shared" si="12"/>
        <v>0</v>
      </c>
      <c r="BU54" s="157" t="e">
        <f>SUM(L54,M54,N54,O54,U54)-#REF!</f>
        <v>#REF!</v>
      </c>
      <c r="BV54" s="346">
        <f t="shared" si="13"/>
        <v>0</v>
      </c>
      <c r="BW54" s="344" t="str">
        <f>IFERROR(VLOOKUP($A54,'BASE_558 EX'!$D:$R,8,FALSE),"")</f>
        <v xml:space="preserve">           53.225,37</v>
      </c>
      <c r="BX54" s="344" t="str">
        <f>IFERROR(VLOOKUP($A54,'BASE_558 EX'!$D:$R,9,FALSE),"")</f>
        <v xml:space="preserve">           32.379,46</v>
      </c>
      <c r="BY54" s="344" t="str">
        <f>IFERROR(VLOOKUP($A54,'BASE_558 EX'!$D:$R,10,FALSE),"")</f>
        <v xml:space="preserve">                0,00</v>
      </c>
      <c r="BZ54" s="344" t="str">
        <f>IFERROR(VLOOKUP($A54,'BASE_558 EX'!$D:$R,11,FALSE),"")</f>
        <v xml:space="preserve">                0,00</v>
      </c>
      <c r="CA54" s="344" t="str">
        <f>IFERROR(IF(BASE_558!$P$14="RemOrdPla",(VLOOKUP(A54,BASE_558!D:R,14)/1000),(VLOOKUP(A54,BASE_558!D:R,13)/1000)),"")</f>
        <v/>
      </c>
      <c r="CB54" s="344" t="str">
        <f>IFERROR(VLOOKUP($A54,'BASE_558 EX'!$D:$R,15,FALSE),"")</f>
        <v xml:space="preserve">           20.845,91</v>
      </c>
      <c r="CC54" s="442"/>
      <c r="CD54" s="442">
        <f t="shared" si="14"/>
        <v>0</v>
      </c>
    </row>
    <row r="55" spans="1:82" s="23" customFormat="1" ht="25.4" customHeight="1">
      <c r="A55" s="309" t="s">
        <v>1800</v>
      </c>
      <c r="B55" s="309" t="s">
        <v>1264</v>
      </c>
      <c r="C55" s="187">
        <v>44897</v>
      </c>
      <c r="D55" s="309" t="s">
        <v>2849</v>
      </c>
      <c r="E55" s="309" t="s">
        <v>2849</v>
      </c>
      <c r="F55" s="309" t="s">
        <v>176</v>
      </c>
      <c r="G55" s="339" t="s">
        <v>1801</v>
      </c>
      <c r="H55" s="339" t="s">
        <v>8877</v>
      </c>
      <c r="I55" s="6" t="s">
        <v>195</v>
      </c>
      <c r="J55" s="83" t="s">
        <v>462</v>
      </c>
      <c r="K55" s="507" t="s">
        <v>10768</v>
      </c>
      <c r="L55" s="206"/>
      <c r="M55" s="206">
        <v>0</v>
      </c>
      <c r="N55" s="206">
        <v>0</v>
      </c>
      <c r="O55" s="206">
        <v>7432.63</v>
      </c>
      <c r="P55" s="206"/>
      <c r="Q55" s="206">
        <f t="shared" si="9"/>
        <v>0</v>
      </c>
      <c r="R55" s="206"/>
      <c r="S55" s="206"/>
      <c r="T55" s="223"/>
      <c r="U55" s="169">
        <f t="shared" si="10"/>
        <v>0</v>
      </c>
      <c r="V55" s="372">
        <v>0</v>
      </c>
      <c r="W55" s="343"/>
      <c r="X55" s="332">
        <f>SUMIFS(BASE_EX!$J:$J,BASE_EX!$B:$B,'Direct Charge'!$A55,BASE_EX!$C:$C,"janeiro")</f>
        <v>0</v>
      </c>
      <c r="Y55" s="373"/>
      <c r="Z55" s="372">
        <v>0</v>
      </c>
      <c r="AA55" s="343"/>
      <c r="AB55" s="332">
        <f>SUMIFS(BASE_EX!$J:$J,BASE_EX!$B:$B,'Direct Charge'!$A55,BASE_EX!$C:$C,"fevereiro")</f>
        <v>0</v>
      </c>
      <c r="AC55" s="373"/>
      <c r="AD55" s="372"/>
      <c r="AE55" s="343"/>
      <c r="AF55" s="332">
        <f>SUMIFS(BASE_EX!$J:$J,BASE_EX!$B:$B,'Direct Charge'!$A55,BASE_EX!$C:$C,"março")</f>
        <v>0</v>
      </c>
      <c r="AG55" s="373"/>
      <c r="AH55" s="372"/>
      <c r="AI55" s="343"/>
      <c r="AJ55" s="332">
        <f>SUMIFS(BASE_EX!$J:$J,BASE_EX!$B:$B,'Direct Charge'!$A55,BASE_EX!$C:$C,"abril")</f>
        <v>0</v>
      </c>
      <c r="AK55" s="373"/>
      <c r="AL55" s="372"/>
      <c r="AM55" s="343"/>
      <c r="AN55" s="332">
        <f>SUMIFS(BASE_EX!$J:$J,BASE_EX!$B:$B,'Direct Charge'!$A55,BASE_EX!$C:$C,"maio")</f>
        <v>0</v>
      </c>
      <c r="AO55" s="373"/>
      <c r="AP55" s="372"/>
      <c r="AQ55" s="343"/>
      <c r="AR55" s="332">
        <f>SUMIFS(BASE_EX!$J:$J,BASE_EX!$B:$B,'Direct Charge'!$A55,BASE_EX!$C:$C,"junho")</f>
        <v>0</v>
      </c>
      <c r="AS55" s="373"/>
      <c r="AT55" s="372"/>
      <c r="AU55" s="343"/>
      <c r="AV55" s="332">
        <f>SUMIFS(BASE_EX!$J:$J,BASE_EX!$B:$B,'Direct Charge'!$A55,BASE_EX!$C:$C,"julho")</f>
        <v>0</v>
      </c>
      <c r="AW55" s="373"/>
      <c r="AX55" s="372"/>
      <c r="AY55" s="343"/>
      <c r="AZ55" s="332">
        <f>SUMIFS(BASE_EX!$J:$J,BASE_EX!$B:$B,'Direct Charge'!$A55,BASE_EX!$C:$C,"agosto")</f>
        <v>0</v>
      </c>
      <c r="BA55" s="373"/>
      <c r="BB55" s="372"/>
      <c r="BC55" s="343"/>
      <c r="BD55" s="332">
        <f>SUMIFS(BASE_EX!$J:$J,BASE_EX!$B:$B,'Direct Charge'!$A55,BASE_EX!$C:$C,"setembro")</f>
        <v>0</v>
      </c>
      <c r="BE55" s="373"/>
      <c r="BF55" s="372"/>
      <c r="BG55" s="343"/>
      <c r="BH55" s="332">
        <f>SUMIFS(BASE_EX!$J:$J,BASE_EX!$B:$B,'Direct Charge'!$A55,BASE_EX!$C:$C,"outubro")</f>
        <v>0</v>
      </c>
      <c r="BI55" s="373"/>
      <c r="BJ55" s="372"/>
      <c r="BK55" s="343"/>
      <c r="BL55" s="332">
        <f>SUMIFS(BASE_EX!$J:$J,BASE_EX!$B:$B,'Direct Charge'!$A55,BASE_EX!$C:$C,"novembro")</f>
        <v>0</v>
      </c>
      <c r="BM55" s="373"/>
      <c r="BN55" s="372"/>
      <c r="BO55" s="343"/>
      <c r="BP55" s="332">
        <f>SUMIFS(BASE_EX!$J:$J,BASE_EX!$B:$B,'Direct Charge'!$A55,BASE_EX!$C:$C,"dezembro")</f>
        <v>0</v>
      </c>
      <c r="BQ55" s="373"/>
      <c r="BR55" s="452"/>
      <c r="BS55" s="156">
        <f t="shared" si="11"/>
        <v>0</v>
      </c>
      <c r="BT55" s="320">
        <f t="shared" si="12"/>
        <v>0</v>
      </c>
      <c r="BU55" s="157" t="e">
        <f>SUM(L55,M55,N55,O55,U55)-#REF!</f>
        <v>#REF!</v>
      </c>
      <c r="BV55" s="346">
        <f t="shared" si="13"/>
        <v>0</v>
      </c>
      <c r="BW55" s="344" t="str">
        <f>IFERROR(VLOOKUP($A55,'BASE_558 EX'!$D:$R,8,FALSE),"")</f>
        <v xml:space="preserve">            9.677,34</v>
      </c>
      <c r="BX55" s="344" t="str">
        <f>IFERROR(VLOOKUP($A55,'BASE_558 EX'!$D:$R,9,FALSE),"")</f>
        <v xml:space="preserve">            7.432,63</v>
      </c>
      <c r="BY55" s="344" t="str">
        <f>IFERROR(VLOOKUP($A55,'BASE_558 EX'!$D:$R,10,FALSE),"")</f>
        <v xml:space="preserve">                0,00</v>
      </c>
      <c r="BZ55" s="344" t="str">
        <f>IFERROR(VLOOKUP($A55,'BASE_558 EX'!$D:$R,11,FALSE),"")</f>
        <v xml:space="preserve">                0,00</v>
      </c>
      <c r="CA55" s="344" t="str">
        <f>IFERROR(IF(BASE_558!$P$14="RemOrdPla",(VLOOKUP(A55,BASE_558!D:R,14)/1000),(VLOOKUP(A55,BASE_558!D:R,13)/1000)),"")</f>
        <v/>
      </c>
      <c r="CB55" s="344" t="str">
        <f>IFERROR(VLOOKUP($A55,'BASE_558 EX'!$D:$R,15,FALSE),"")</f>
        <v xml:space="preserve">            2.244,71</v>
      </c>
      <c r="CC55" s="442"/>
      <c r="CD55" s="442">
        <f t="shared" si="14"/>
        <v>0</v>
      </c>
    </row>
    <row r="56" spans="1:82" s="23" customFormat="1" ht="25.4" customHeight="1">
      <c r="A56" s="309" t="s">
        <v>1815</v>
      </c>
      <c r="B56" s="309" t="s">
        <v>1264</v>
      </c>
      <c r="C56" s="187">
        <v>44916</v>
      </c>
      <c r="D56" s="309" t="s">
        <v>2849</v>
      </c>
      <c r="E56" s="309" t="s">
        <v>704</v>
      </c>
      <c r="F56" s="309" t="s">
        <v>176</v>
      </c>
      <c r="G56" s="339" t="s">
        <v>1816</v>
      </c>
      <c r="H56" s="339" t="s">
        <v>9112</v>
      </c>
      <c r="I56" s="6" t="s">
        <v>218</v>
      </c>
      <c r="J56" s="83" t="s">
        <v>462</v>
      </c>
      <c r="K56" s="7" t="s">
        <v>1600</v>
      </c>
      <c r="L56" s="206"/>
      <c r="M56" s="206">
        <v>0</v>
      </c>
      <c r="N56" s="206">
        <v>0</v>
      </c>
      <c r="O56" s="206">
        <v>16269.14</v>
      </c>
      <c r="P56" s="206"/>
      <c r="Q56" s="206">
        <f t="shared" si="9"/>
        <v>0</v>
      </c>
      <c r="R56" s="206"/>
      <c r="S56" s="206"/>
      <c r="T56" s="223"/>
      <c r="U56" s="169">
        <f t="shared" si="10"/>
        <v>0</v>
      </c>
      <c r="V56" s="372">
        <v>0</v>
      </c>
      <c r="W56" s="343"/>
      <c r="X56" s="332">
        <f>SUMIFS(BASE_EX!$J:$J,BASE_EX!$B:$B,'Direct Charge'!$A56,BASE_EX!$C:$C,"janeiro")</f>
        <v>0</v>
      </c>
      <c r="Y56" s="373"/>
      <c r="Z56" s="372">
        <v>0</v>
      </c>
      <c r="AA56" s="343"/>
      <c r="AB56" s="332">
        <f>SUMIFS(BASE_EX!$J:$J,BASE_EX!$B:$B,'Direct Charge'!$A56,BASE_EX!$C:$C,"fevereiro")</f>
        <v>0</v>
      </c>
      <c r="AC56" s="373"/>
      <c r="AD56" s="372"/>
      <c r="AE56" s="343"/>
      <c r="AF56" s="332">
        <f>SUMIFS(BASE_EX!$J:$J,BASE_EX!$B:$B,'Direct Charge'!$A56,BASE_EX!$C:$C,"março")</f>
        <v>0</v>
      </c>
      <c r="AG56" s="373"/>
      <c r="AH56" s="372"/>
      <c r="AI56" s="343"/>
      <c r="AJ56" s="332">
        <f>SUMIFS(BASE_EX!$J:$J,BASE_EX!$B:$B,'Direct Charge'!$A56,BASE_EX!$C:$C,"abril")</f>
        <v>0</v>
      </c>
      <c r="AK56" s="373"/>
      <c r="AL56" s="372"/>
      <c r="AM56" s="343"/>
      <c r="AN56" s="332">
        <f>SUMIFS(BASE_EX!$J:$J,BASE_EX!$B:$B,'Direct Charge'!$A56,BASE_EX!$C:$C,"maio")</f>
        <v>0</v>
      </c>
      <c r="AO56" s="373"/>
      <c r="AP56" s="372"/>
      <c r="AQ56" s="343"/>
      <c r="AR56" s="332">
        <f>SUMIFS(BASE_EX!$J:$J,BASE_EX!$B:$B,'Direct Charge'!$A56,BASE_EX!$C:$C,"junho")</f>
        <v>0</v>
      </c>
      <c r="AS56" s="373"/>
      <c r="AT56" s="372"/>
      <c r="AU56" s="343"/>
      <c r="AV56" s="332">
        <f>SUMIFS(BASE_EX!$J:$J,BASE_EX!$B:$B,'Direct Charge'!$A56,BASE_EX!$C:$C,"julho")</f>
        <v>0</v>
      </c>
      <c r="AW56" s="373"/>
      <c r="AX56" s="372"/>
      <c r="AY56" s="343"/>
      <c r="AZ56" s="332">
        <f>SUMIFS(BASE_EX!$J:$J,BASE_EX!$B:$B,'Direct Charge'!$A56,BASE_EX!$C:$C,"agosto")</f>
        <v>0</v>
      </c>
      <c r="BA56" s="373"/>
      <c r="BB56" s="372"/>
      <c r="BC56" s="343"/>
      <c r="BD56" s="332">
        <f>SUMIFS(BASE_EX!$J:$J,BASE_EX!$B:$B,'Direct Charge'!$A56,BASE_EX!$C:$C,"setembro")</f>
        <v>0</v>
      </c>
      <c r="BE56" s="373"/>
      <c r="BF56" s="372"/>
      <c r="BG56" s="343"/>
      <c r="BH56" s="332">
        <f>SUMIFS(BASE_EX!$J:$J,BASE_EX!$B:$B,'Direct Charge'!$A56,BASE_EX!$C:$C,"outubro")</f>
        <v>0</v>
      </c>
      <c r="BI56" s="373"/>
      <c r="BJ56" s="372"/>
      <c r="BK56" s="343"/>
      <c r="BL56" s="332">
        <f>SUMIFS(BASE_EX!$J:$J,BASE_EX!$B:$B,'Direct Charge'!$A56,BASE_EX!$C:$C,"novembro")</f>
        <v>0</v>
      </c>
      <c r="BM56" s="373"/>
      <c r="BN56" s="372"/>
      <c r="BO56" s="343"/>
      <c r="BP56" s="332">
        <f>SUMIFS(BASE_EX!$J:$J,BASE_EX!$B:$B,'Direct Charge'!$A56,BASE_EX!$C:$C,"dezembro")</f>
        <v>0</v>
      </c>
      <c r="BQ56" s="373"/>
      <c r="BR56" s="452"/>
      <c r="BS56" s="156">
        <f t="shared" si="11"/>
        <v>0</v>
      </c>
      <c r="BT56" s="320">
        <f t="shared" si="12"/>
        <v>0</v>
      </c>
      <c r="BU56" s="157" t="e">
        <f>SUM(L56,M56,N56,O56,U56)-#REF!</f>
        <v>#REF!</v>
      </c>
      <c r="BV56" s="346">
        <f t="shared" si="13"/>
        <v>0</v>
      </c>
      <c r="BW56" s="344" t="str">
        <f>IFERROR(VLOOKUP($A56,'BASE_558 EX'!$D:$R,8,FALSE),"")</f>
        <v xml:space="preserve">           15.232,85</v>
      </c>
      <c r="BX56" s="344" t="str">
        <f>IFERROR(VLOOKUP($A56,'BASE_558 EX'!$D:$R,9,FALSE),"")</f>
        <v xml:space="preserve">           16.269,14</v>
      </c>
      <c r="BY56" s="344" t="str">
        <f>IFERROR(VLOOKUP($A56,'BASE_558 EX'!$D:$R,10,FALSE),"")</f>
        <v xml:space="preserve">                0,00</v>
      </c>
      <c r="BZ56" s="344" t="str">
        <f>IFERROR(VLOOKUP($A56,'BASE_558 EX'!$D:$R,11,FALSE),"")</f>
        <v xml:space="preserve">                0,00</v>
      </c>
      <c r="CA56" s="344" t="str">
        <f>IFERROR(IF(BASE_558!$P$14="RemOrdPla",(VLOOKUP(A56,BASE_558!D:R,14)/1000),(VLOOKUP(A56,BASE_558!D:R,13)/1000)),"")</f>
        <v/>
      </c>
      <c r="CB56" s="344" t="str">
        <f>IFERROR(VLOOKUP($A56,'BASE_558 EX'!$D:$R,15,FALSE),"")</f>
        <v>-1.036,29</v>
      </c>
      <c r="CC56" s="442"/>
      <c r="CD56" s="442">
        <f t="shared" si="14"/>
        <v>0</v>
      </c>
    </row>
    <row r="57" spans="1:82" s="23" customFormat="1" ht="25.4" customHeight="1">
      <c r="A57" s="309" t="s">
        <v>1822</v>
      </c>
      <c r="B57" s="309" t="s">
        <v>1923</v>
      </c>
      <c r="C57" s="187">
        <v>44918</v>
      </c>
      <c r="D57" s="309" t="s">
        <v>2849</v>
      </c>
      <c r="E57" s="309" t="s">
        <v>2849</v>
      </c>
      <c r="F57" s="309" t="s">
        <v>176</v>
      </c>
      <c r="G57" s="339" t="s">
        <v>1824</v>
      </c>
      <c r="H57" s="339" t="s">
        <v>8877</v>
      </c>
      <c r="I57" s="6" t="s">
        <v>218</v>
      </c>
      <c r="J57" s="83" t="s">
        <v>462</v>
      </c>
      <c r="K57" s="7" t="s">
        <v>1600</v>
      </c>
      <c r="L57" s="206"/>
      <c r="M57" s="206">
        <v>0</v>
      </c>
      <c r="N57" s="206">
        <v>0</v>
      </c>
      <c r="O57" s="206">
        <v>3250.04</v>
      </c>
      <c r="P57" s="206">
        <v>1909.31</v>
      </c>
      <c r="Q57" s="206">
        <f t="shared" si="9"/>
        <v>0</v>
      </c>
      <c r="R57" s="206"/>
      <c r="S57" s="206"/>
      <c r="T57" s="223"/>
      <c r="U57" s="169">
        <f t="shared" si="10"/>
        <v>0</v>
      </c>
      <c r="V57" s="372">
        <v>0</v>
      </c>
      <c r="W57" s="343"/>
      <c r="X57" s="332">
        <f>SUMIFS(BASE_EX!$J:$J,BASE_EX!$B:$B,'Direct Charge'!$A57,BASE_EX!$C:$C,"janeiro")</f>
        <v>0</v>
      </c>
      <c r="Y57" s="373"/>
      <c r="Z57" s="372">
        <v>0</v>
      </c>
      <c r="AA57" s="343"/>
      <c r="AB57" s="332">
        <f>SUMIFS(BASE_EX!$J:$J,BASE_EX!$B:$B,'Direct Charge'!$A57,BASE_EX!$C:$C,"fevereiro")</f>
        <v>0</v>
      </c>
      <c r="AC57" s="373"/>
      <c r="AD57" s="372"/>
      <c r="AE57" s="343"/>
      <c r="AF57" s="332">
        <f>SUMIFS(BASE_EX!$J:$J,BASE_EX!$B:$B,'Direct Charge'!$A57,BASE_EX!$C:$C,"março")</f>
        <v>0</v>
      </c>
      <c r="AG57" s="373"/>
      <c r="AH57" s="372"/>
      <c r="AI57" s="343"/>
      <c r="AJ57" s="332">
        <f>SUMIFS(BASE_EX!$J:$J,BASE_EX!$B:$B,'Direct Charge'!$A57,BASE_EX!$C:$C,"abril")</f>
        <v>0</v>
      </c>
      <c r="AK57" s="373"/>
      <c r="AL57" s="372"/>
      <c r="AM57" s="343"/>
      <c r="AN57" s="332">
        <f>SUMIFS(BASE_EX!$J:$J,BASE_EX!$B:$B,'Direct Charge'!$A57,BASE_EX!$C:$C,"maio")</f>
        <v>0</v>
      </c>
      <c r="AO57" s="373"/>
      <c r="AP57" s="372"/>
      <c r="AQ57" s="343"/>
      <c r="AR57" s="332">
        <f>SUMIFS(BASE_EX!$J:$J,BASE_EX!$B:$B,'Direct Charge'!$A57,BASE_EX!$C:$C,"junho")</f>
        <v>0</v>
      </c>
      <c r="AS57" s="373"/>
      <c r="AT57" s="372"/>
      <c r="AU57" s="343"/>
      <c r="AV57" s="332">
        <f>SUMIFS(BASE_EX!$J:$J,BASE_EX!$B:$B,'Direct Charge'!$A57,BASE_EX!$C:$C,"julho")</f>
        <v>0</v>
      </c>
      <c r="AW57" s="373"/>
      <c r="AX57" s="372"/>
      <c r="AY57" s="343"/>
      <c r="AZ57" s="332">
        <f>SUMIFS(BASE_EX!$J:$J,BASE_EX!$B:$B,'Direct Charge'!$A57,BASE_EX!$C:$C,"agosto")</f>
        <v>0</v>
      </c>
      <c r="BA57" s="373"/>
      <c r="BB57" s="372"/>
      <c r="BC57" s="343"/>
      <c r="BD57" s="332">
        <f>SUMIFS(BASE_EX!$J:$J,BASE_EX!$B:$B,'Direct Charge'!$A57,BASE_EX!$C:$C,"setembro")</f>
        <v>0</v>
      </c>
      <c r="BE57" s="373"/>
      <c r="BF57" s="372"/>
      <c r="BG57" s="343"/>
      <c r="BH57" s="332">
        <f>SUMIFS(BASE_EX!$J:$J,BASE_EX!$B:$B,'Direct Charge'!$A57,BASE_EX!$C:$C,"outubro")</f>
        <v>0</v>
      </c>
      <c r="BI57" s="373"/>
      <c r="BJ57" s="372"/>
      <c r="BK57" s="343"/>
      <c r="BL57" s="332">
        <f>SUMIFS(BASE_EX!$J:$J,BASE_EX!$B:$B,'Direct Charge'!$A57,BASE_EX!$C:$C,"novembro")</f>
        <v>0</v>
      </c>
      <c r="BM57" s="373"/>
      <c r="BN57" s="372"/>
      <c r="BO57" s="343"/>
      <c r="BP57" s="332">
        <f>SUMIFS(BASE_EX!$J:$J,BASE_EX!$B:$B,'Direct Charge'!$A57,BASE_EX!$C:$C,"dezembro")</f>
        <v>0</v>
      </c>
      <c r="BQ57" s="373"/>
      <c r="BR57" s="452"/>
      <c r="BS57" s="156">
        <f t="shared" si="11"/>
        <v>0</v>
      </c>
      <c r="BT57" s="320">
        <f t="shared" si="12"/>
        <v>0</v>
      </c>
      <c r="BU57" s="157" t="e">
        <f>SUM(L57,M57,N57,O57,U57)-#REF!</f>
        <v>#REF!</v>
      </c>
      <c r="BV57" s="346">
        <f t="shared" si="13"/>
        <v>0</v>
      </c>
      <c r="BW57" s="344" t="str">
        <f>IFERROR(VLOOKUP($A57,'BASE_558 EX'!$D:$R,8,FALSE),"")</f>
        <v xml:space="preserve">            5.376,30</v>
      </c>
      <c r="BX57" s="344" t="str">
        <f>IFERROR(VLOOKUP($A57,'BASE_558 EX'!$D:$R,9,FALSE),"")</f>
        <v xml:space="preserve">            5.159,35</v>
      </c>
      <c r="BY57" s="344" t="str">
        <f>IFERROR(VLOOKUP($A57,'BASE_558 EX'!$D:$R,10,FALSE),"")</f>
        <v xml:space="preserve">                0,00</v>
      </c>
      <c r="BZ57" s="344" t="str">
        <f>IFERROR(VLOOKUP($A57,'BASE_558 EX'!$D:$R,11,FALSE),"")</f>
        <v xml:space="preserve">                0,00</v>
      </c>
      <c r="CA57" s="344" t="str">
        <f>IFERROR(IF(BASE_558!$P$14="RemOrdPla",(VLOOKUP(A57,BASE_558!D:R,14)/1000),(VLOOKUP(A57,BASE_558!D:R,13)/1000)),"")</f>
        <v/>
      </c>
      <c r="CB57" s="344" t="str">
        <f>IFERROR(VLOOKUP($A57,'BASE_558 EX'!$D:$R,15,FALSE),"")</f>
        <v xml:space="preserve">              216,95</v>
      </c>
      <c r="CC57" s="442"/>
      <c r="CD57" s="442">
        <f t="shared" si="14"/>
        <v>0</v>
      </c>
    </row>
    <row r="58" spans="1:82" s="23" customFormat="1" ht="25.4" customHeight="1">
      <c r="A58" s="309" t="s">
        <v>1823</v>
      </c>
      <c r="B58" s="309" t="s">
        <v>1923</v>
      </c>
      <c r="C58" s="187">
        <v>44918</v>
      </c>
      <c r="D58" s="381" t="s">
        <v>2849</v>
      </c>
      <c r="E58" s="381" t="s">
        <v>2849</v>
      </c>
      <c r="F58" s="381" t="s">
        <v>176</v>
      </c>
      <c r="G58" s="340" t="s">
        <v>1825</v>
      </c>
      <c r="H58" s="339" t="s">
        <v>8877</v>
      </c>
      <c r="I58" s="6" t="s">
        <v>195</v>
      </c>
      <c r="J58" s="125" t="s">
        <v>462</v>
      </c>
      <c r="K58" s="507" t="s">
        <v>10769</v>
      </c>
      <c r="L58" s="206"/>
      <c r="M58" s="206">
        <v>0</v>
      </c>
      <c r="N58" s="206">
        <v>0</v>
      </c>
      <c r="O58" s="206">
        <v>5831.23</v>
      </c>
      <c r="P58" s="206"/>
      <c r="Q58" s="206">
        <f t="shared" si="9"/>
        <v>0</v>
      </c>
      <c r="R58" s="206"/>
      <c r="S58" s="206"/>
      <c r="T58" s="223"/>
      <c r="U58" s="169">
        <f t="shared" si="10"/>
        <v>0</v>
      </c>
      <c r="V58" s="372">
        <v>0</v>
      </c>
      <c r="W58" s="343"/>
      <c r="X58" s="332">
        <f>SUMIFS(BASE_EX!$J:$J,BASE_EX!$B:$B,'Direct Charge'!$A58,BASE_EX!$C:$C,"janeiro")</f>
        <v>0</v>
      </c>
      <c r="Y58" s="373"/>
      <c r="Z58" s="372">
        <v>0</v>
      </c>
      <c r="AA58" s="343"/>
      <c r="AB58" s="332">
        <f>SUMIFS(BASE_EX!$J:$J,BASE_EX!$B:$B,'Direct Charge'!$A58,BASE_EX!$C:$C,"fevereiro")</f>
        <v>0</v>
      </c>
      <c r="AC58" s="373"/>
      <c r="AD58" s="372"/>
      <c r="AE58" s="343"/>
      <c r="AF58" s="332">
        <f>SUMIFS(BASE_EX!$J:$J,BASE_EX!$B:$B,'Direct Charge'!$A58,BASE_EX!$C:$C,"março")</f>
        <v>0</v>
      </c>
      <c r="AG58" s="373"/>
      <c r="AH58" s="372"/>
      <c r="AI58" s="343"/>
      <c r="AJ58" s="332">
        <f>SUMIFS(BASE_EX!$J:$J,BASE_EX!$B:$B,'Direct Charge'!$A58,BASE_EX!$C:$C,"abril")</f>
        <v>0</v>
      </c>
      <c r="AK58" s="373"/>
      <c r="AL58" s="372"/>
      <c r="AM58" s="343"/>
      <c r="AN58" s="332">
        <f>SUMIFS(BASE_EX!$J:$J,BASE_EX!$B:$B,'Direct Charge'!$A58,BASE_EX!$C:$C,"maio")</f>
        <v>0</v>
      </c>
      <c r="AO58" s="373"/>
      <c r="AP58" s="372"/>
      <c r="AQ58" s="343"/>
      <c r="AR58" s="332">
        <f>SUMIFS(BASE_EX!$J:$J,BASE_EX!$B:$B,'Direct Charge'!$A58,BASE_EX!$C:$C,"junho")</f>
        <v>0</v>
      </c>
      <c r="AS58" s="373"/>
      <c r="AT58" s="372"/>
      <c r="AU58" s="343"/>
      <c r="AV58" s="332">
        <f>SUMIFS(BASE_EX!$J:$J,BASE_EX!$B:$B,'Direct Charge'!$A58,BASE_EX!$C:$C,"julho")</f>
        <v>0</v>
      </c>
      <c r="AW58" s="373"/>
      <c r="AX58" s="372"/>
      <c r="AY58" s="343"/>
      <c r="AZ58" s="332">
        <f>SUMIFS(BASE_EX!$J:$J,BASE_EX!$B:$B,'Direct Charge'!$A58,BASE_EX!$C:$C,"agosto")</f>
        <v>0</v>
      </c>
      <c r="BA58" s="373"/>
      <c r="BB58" s="372"/>
      <c r="BC58" s="343"/>
      <c r="BD58" s="332">
        <f>SUMIFS(BASE_EX!$J:$J,BASE_EX!$B:$B,'Direct Charge'!$A58,BASE_EX!$C:$C,"setembro")</f>
        <v>0</v>
      </c>
      <c r="BE58" s="373"/>
      <c r="BF58" s="372"/>
      <c r="BG58" s="343"/>
      <c r="BH58" s="332">
        <f>SUMIFS(BASE_EX!$J:$J,BASE_EX!$B:$B,'Direct Charge'!$A58,BASE_EX!$C:$C,"outubro")</f>
        <v>0</v>
      </c>
      <c r="BI58" s="373"/>
      <c r="BJ58" s="372"/>
      <c r="BK58" s="343"/>
      <c r="BL58" s="332">
        <f>SUMIFS(BASE_EX!$J:$J,BASE_EX!$B:$B,'Direct Charge'!$A58,BASE_EX!$C:$C,"novembro")</f>
        <v>0</v>
      </c>
      <c r="BM58" s="373"/>
      <c r="BN58" s="372"/>
      <c r="BO58" s="343"/>
      <c r="BP58" s="332">
        <f>SUMIFS(BASE_EX!$J:$J,BASE_EX!$B:$B,'Direct Charge'!$A58,BASE_EX!$C:$C,"dezembro")</f>
        <v>0</v>
      </c>
      <c r="BQ58" s="373"/>
      <c r="BR58" s="452"/>
      <c r="BS58" s="156">
        <f t="shared" si="11"/>
        <v>0</v>
      </c>
      <c r="BT58" s="320">
        <f t="shared" si="12"/>
        <v>0</v>
      </c>
      <c r="BU58" s="157" t="e">
        <f>SUM(L58,M58,N58,O58,U58)-#REF!</f>
        <v>#REF!</v>
      </c>
      <c r="BV58" s="346">
        <f t="shared" si="13"/>
        <v>0</v>
      </c>
      <c r="BW58" s="344" t="str">
        <f>IFERROR(VLOOKUP($A58,'BASE_558 EX'!$D:$R,8,FALSE),"")</f>
        <v xml:space="preserve">           10.394,18</v>
      </c>
      <c r="BX58" s="344" t="str">
        <f>IFERROR(VLOOKUP($A58,'BASE_558 EX'!$D:$R,9,FALSE),"")</f>
        <v xml:space="preserve">            5.831,23</v>
      </c>
      <c r="BY58" s="344" t="str">
        <f>IFERROR(VLOOKUP($A58,'BASE_558 EX'!$D:$R,10,FALSE),"")</f>
        <v xml:space="preserve">                0,00</v>
      </c>
      <c r="BZ58" s="344" t="str">
        <f>IFERROR(VLOOKUP($A58,'BASE_558 EX'!$D:$R,11,FALSE),"")</f>
        <v xml:space="preserve">                0,00</v>
      </c>
      <c r="CA58" s="344" t="str">
        <f>IFERROR(IF(BASE_558!$P$14="RemOrdPla",(VLOOKUP(A58,BASE_558!D:R,14)/1000),(VLOOKUP(A58,BASE_558!D:R,13)/1000)),"")</f>
        <v/>
      </c>
      <c r="CB58" s="344" t="str">
        <f>IFERROR(VLOOKUP($A58,'BASE_558 EX'!$D:$R,15,FALSE),"")</f>
        <v xml:space="preserve">            4.562,95</v>
      </c>
      <c r="CC58" s="442"/>
      <c r="CD58" s="442">
        <f t="shared" si="14"/>
        <v>0</v>
      </c>
    </row>
    <row r="59" spans="1:82" s="23" customFormat="1" ht="25.4" customHeight="1">
      <c r="A59" s="309" t="s">
        <v>1838</v>
      </c>
      <c r="B59" s="309" t="s">
        <v>1923</v>
      </c>
      <c r="C59" s="187">
        <v>44937</v>
      </c>
      <c r="D59" s="381" t="s">
        <v>477</v>
      </c>
      <c r="E59" s="309" t="s">
        <v>2849</v>
      </c>
      <c r="F59" s="381" t="s">
        <v>176</v>
      </c>
      <c r="G59" s="340" t="s">
        <v>1842</v>
      </c>
      <c r="H59" s="339" t="s">
        <v>8877</v>
      </c>
      <c r="I59" s="6" t="s">
        <v>195</v>
      </c>
      <c r="J59" s="125" t="s">
        <v>462</v>
      </c>
      <c r="K59" s="508" t="s">
        <v>10770</v>
      </c>
      <c r="L59" s="206"/>
      <c r="M59" s="206"/>
      <c r="N59" s="206"/>
      <c r="O59" s="206">
        <v>25757.1</v>
      </c>
      <c r="P59" s="206">
        <v>624.66999999999996</v>
      </c>
      <c r="Q59" s="206">
        <f t="shared" si="9"/>
        <v>0</v>
      </c>
      <c r="R59" s="206"/>
      <c r="S59" s="206"/>
      <c r="T59" s="223"/>
      <c r="U59" s="169">
        <f t="shared" si="10"/>
        <v>0</v>
      </c>
      <c r="V59" s="372">
        <v>0</v>
      </c>
      <c r="W59" s="343"/>
      <c r="X59" s="332">
        <f>SUMIFS(BASE_EX!$J:$J,BASE_EX!$B:$B,'Direct Charge'!$A59,BASE_EX!$C:$C,"janeiro")</f>
        <v>0</v>
      </c>
      <c r="Y59" s="373"/>
      <c r="Z59" s="372">
        <v>0</v>
      </c>
      <c r="AA59" s="343"/>
      <c r="AB59" s="332">
        <f>SUMIFS(BASE_EX!$J:$J,BASE_EX!$B:$B,'Direct Charge'!$A59,BASE_EX!$C:$C,"fevereiro")</f>
        <v>0</v>
      </c>
      <c r="AC59" s="373"/>
      <c r="AD59" s="372">
        <v>1115</v>
      </c>
      <c r="AE59" s="343"/>
      <c r="AF59" s="332">
        <f>SUMIFS(BASE_EX!$J:$J,BASE_EX!$B:$B,'Direct Charge'!$A59,BASE_EX!$C:$C,"março")</f>
        <v>0</v>
      </c>
      <c r="AG59" s="373"/>
      <c r="AH59" s="372"/>
      <c r="AI59" s="343"/>
      <c r="AJ59" s="332">
        <f>SUMIFS(BASE_EX!$J:$J,BASE_EX!$B:$B,'Direct Charge'!$A59,BASE_EX!$C:$C,"abril")</f>
        <v>0</v>
      </c>
      <c r="AK59" s="373"/>
      <c r="AL59" s="372"/>
      <c r="AM59" s="343"/>
      <c r="AN59" s="332">
        <f>SUMIFS(BASE_EX!$J:$J,BASE_EX!$B:$B,'Direct Charge'!$A59,BASE_EX!$C:$C,"maio")</f>
        <v>0</v>
      </c>
      <c r="AO59" s="373"/>
      <c r="AP59" s="372"/>
      <c r="AQ59" s="343"/>
      <c r="AR59" s="332">
        <f>SUMIFS(BASE_EX!$J:$J,BASE_EX!$B:$B,'Direct Charge'!$A59,BASE_EX!$C:$C,"junho")</f>
        <v>0</v>
      </c>
      <c r="AS59" s="373"/>
      <c r="AT59" s="372"/>
      <c r="AU59" s="343"/>
      <c r="AV59" s="332">
        <f>SUMIFS(BASE_EX!$J:$J,BASE_EX!$B:$B,'Direct Charge'!$A59,BASE_EX!$C:$C,"julho")</f>
        <v>0</v>
      </c>
      <c r="AW59" s="373"/>
      <c r="AX59" s="372"/>
      <c r="AY59" s="343"/>
      <c r="AZ59" s="332">
        <f>SUMIFS(BASE_EX!$J:$J,BASE_EX!$B:$B,'Direct Charge'!$A59,BASE_EX!$C:$C,"agosto")</f>
        <v>0</v>
      </c>
      <c r="BA59" s="373"/>
      <c r="BB59" s="372"/>
      <c r="BC59" s="343"/>
      <c r="BD59" s="332">
        <f>SUMIFS(BASE_EX!$J:$J,BASE_EX!$B:$B,'Direct Charge'!$A59,BASE_EX!$C:$C,"setembro")</f>
        <v>0</v>
      </c>
      <c r="BE59" s="373"/>
      <c r="BF59" s="372"/>
      <c r="BG59" s="343"/>
      <c r="BH59" s="332">
        <f>SUMIFS(BASE_EX!$J:$J,BASE_EX!$B:$B,'Direct Charge'!$A59,BASE_EX!$C:$C,"outubro")</f>
        <v>0</v>
      </c>
      <c r="BI59" s="373"/>
      <c r="BJ59" s="372"/>
      <c r="BK59" s="343"/>
      <c r="BL59" s="332">
        <f>SUMIFS(BASE_EX!$J:$J,BASE_EX!$B:$B,'Direct Charge'!$A59,BASE_EX!$C:$C,"novembro")</f>
        <v>0</v>
      </c>
      <c r="BM59" s="373"/>
      <c r="BN59" s="372"/>
      <c r="BO59" s="343"/>
      <c r="BP59" s="332">
        <f>SUMIFS(BASE_EX!$J:$J,BASE_EX!$B:$B,'Direct Charge'!$A59,BASE_EX!$C:$C,"dezembro")</f>
        <v>0</v>
      </c>
      <c r="BQ59" s="373"/>
      <c r="BR59" s="452"/>
      <c r="BS59" s="156">
        <f t="shared" si="11"/>
        <v>0</v>
      </c>
      <c r="BT59" s="320">
        <f t="shared" si="12"/>
        <v>0</v>
      </c>
      <c r="BU59" s="157" t="e">
        <f>SUM(L59,M59,N59,O59,U59)-#REF!</f>
        <v>#REF!</v>
      </c>
      <c r="BV59" s="346">
        <f t="shared" si="13"/>
        <v>0</v>
      </c>
      <c r="BW59" s="344" t="str">
        <f>IFERROR(VLOOKUP($A59,'BASE_558 EX'!$D:$R,8,FALSE),"")</f>
        <v xml:space="preserve">           47.292,50</v>
      </c>
      <c r="BX59" s="344" t="str">
        <f>IFERROR(VLOOKUP($A59,'BASE_558 EX'!$D:$R,9,FALSE),"")</f>
        <v xml:space="preserve">           26.381,77</v>
      </c>
      <c r="BY59" s="344" t="str">
        <f>IFERROR(VLOOKUP($A59,'BASE_558 EX'!$D:$R,10,FALSE),"")</f>
        <v xml:space="preserve">                0,00</v>
      </c>
      <c r="BZ59" s="344" t="str">
        <f>IFERROR(VLOOKUP($A59,'BASE_558 EX'!$D:$R,11,FALSE),"")</f>
        <v xml:space="preserve">                0,00</v>
      </c>
      <c r="CA59" s="344" t="str">
        <f>IFERROR(IF(BASE_558!$P$14="RemOrdPla",(VLOOKUP(A59,BASE_558!D:R,14)/1000),(VLOOKUP(A59,BASE_558!D:R,13)/1000)),"")</f>
        <v/>
      </c>
      <c r="CB59" s="344" t="str">
        <f>IFERROR(VLOOKUP($A59,'BASE_558 EX'!$D:$R,15,FALSE),"")</f>
        <v xml:space="preserve">           20.910,73</v>
      </c>
      <c r="CC59" s="442"/>
      <c r="CD59" s="442">
        <f t="shared" si="14"/>
        <v>0</v>
      </c>
    </row>
    <row r="60" spans="1:82" s="23" customFormat="1" ht="25.4" customHeight="1">
      <c r="A60" s="309" t="s">
        <v>1839</v>
      </c>
      <c r="B60" s="309" t="s">
        <v>1923</v>
      </c>
      <c r="C60" s="187">
        <v>44943</v>
      </c>
      <c r="D60" s="381" t="s">
        <v>479</v>
      </c>
      <c r="E60" s="310" t="s">
        <v>2851</v>
      </c>
      <c r="F60" s="381" t="s">
        <v>176</v>
      </c>
      <c r="G60" s="340" t="s">
        <v>1845</v>
      </c>
      <c r="H60" s="339" t="s">
        <v>8877</v>
      </c>
      <c r="I60" s="6" t="s">
        <v>218</v>
      </c>
      <c r="J60" s="125" t="s">
        <v>462</v>
      </c>
      <c r="K60" s="308" t="s">
        <v>6797</v>
      </c>
      <c r="L60" s="206"/>
      <c r="M60" s="206"/>
      <c r="N60" s="206"/>
      <c r="O60" s="206">
        <v>5808.42</v>
      </c>
      <c r="P60" s="206"/>
      <c r="Q60" s="206">
        <f t="shared" si="9"/>
        <v>0</v>
      </c>
      <c r="R60" s="206"/>
      <c r="S60" s="206"/>
      <c r="T60" s="223"/>
      <c r="U60" s="169">
        <f t="shared" si="10"/>
        <v>0</v>
      </c>
      <c r="V60" s="372">
        <v>0</v>
      </c>
      <c r="W60" s="343"/>
      <c r="X60" s="332">
        <f>SUMIFS(BASE_EX!$J:$J,BASE_EX!$B:$B,'Direct Charge'!$A60,BASE_EX!$C:$C,"janeiro")</f>
        <v>0</v>
      </c>
      <c r="Y60" s="373"/>
      <c r="Z60" s="372">
        <v>0</v>
      </c>
      <c r="AA60" s="343"/>
      <c r="AB60" s="332">
        <f>SUMIFS(BASE_EX!$J:$J,BASE_EX!$B:$B,'Direct Charge'!$A60,BASE_EX!$C:$C,"fevereiro")</f>
        <v>0</v>
      </c>
      <c r="AC60" s="373"/>
      <c r="AD60" s="372"/>
      <c r="AE60" s="343"/>
      <c r="AF60" s="332">
        <f>SUMIFS(BASE_EX!$J:$J,BASE_EX!$B:$B,'Direct Charge'!$A60,BASE_EX!$C:$C,"março")</f>
        <v>0</v>
      </c>
      <c r="AG60" s="373"/>
      <c r="AH60" s="372"/>
      <c r="AI60" s="343"/>
      <c r="AJ60" s="332">
        <f>SUMIFS(BASE_EX!$J:$J,BASE_EX!$B:$B,'Direct Charge'!$A60,BASE_EX!$C:$C,"abril")</f>
        <v>0</v>
      </c>
      <c r="AK60" s="373"/>
      <c r="AL60" s="372"/>
      <c r="AM60" s="343"/>
      <c r="AN60" s="332">
        <f>SUMIFS(BASE_EX!$J:$J,BASE_EX!$B:$B,'Direct Charge'!$A60,BASE_EX!$C:$C,"maio")</f>
        <v>0</v>
      </c>
      <c r="AO60" s="373"/>
      <c r="AP60" s="372"/>
      <c r="AQ60" s="343"/>
      <c r="AR60" s="332">
        <f>SUMIFS(BASE_EX!$J:$J,BASE_EX!$B:$B,'Direct Charge'!$A60,BASE_EX!$C:$C,"junho")</f>
        <v>0</v>
      </c>
      <c r="AS60" s="373"/>
      <c r="AT60" s="372"/>
      <c r="AU60" s="343"/>
      <c r="AV60" s="332">
        <f>SUMIFS(BASE_EX!$J:$J,BASE_EX!$B:$B,'Direct Charge'!$A60,BASE_EX!$C:$C,"julho")</f>
        <v>0</v>
      </c>
      <c r="AW60" s="373"/>
      <c r="AX60" s="372"/>
      <c r="AY60" s="343"/>
      <c r="AZ60" s="332">
        <f>SUMIFS(BASE_EX!$J:$J,BASE_EX!$B:$B,'Direct Charge'!$A60,BASE_EX!$C:$C,"agosto")</f>
        <v>0</v>
      </c>
      <c r="BA60" s="373"/>
      <c r="BB60" s="372"/>
      <c r="BC60" s="343"/>
      <c r="BD60" s="332">
        <f>SUMIFS(BASE_EX!$J:$J,BASE_EX!$B:$B,'Direct Charge'!$A60,BASE_EX!$C:$C,"setembro")</f>
        <v>0</v>
      </c>
      <c r="BE60" s="373"/>
      <c r="BF60" s="372"/>
      <c r="BG60" s="343"/>
      <c r="BH60" s="332">
        <f>SUMIFS(BASE_EX!$J:$J,BASE_EX!$B:$B,'Direct Charge'!$A60,BASE_EX!$C:$C,"outubro")</f>
        <v>0</v>
      </c>
      <c r="BI60" s="373"/>
      <c r="BJ60" s="372"/>
      <c r="BK60" s="343"/>
      <c r="BL60" s="332">
        <f>SUMIFS(BASE_EX!$J:$J,BASE_EX!$B:$B,'Direct Charge'!$A60,BASE_EX!$C:$C,"novembro")</f>
        <v>0</v>
      </c>
      <c r="BM60" s="373"/>
      <c r="BN60" s="372"/>
      <c r="BO60" s="343"/>
      <c r="BP60" s="332">
        <f>SUMIFS(BASE_EX!$J:$J,BASE_EX!$B:$B,'Direct Charge'!$A60,BASE_EX!$C:$C,"dezembro")</f>
        <v>0</v>
      </c>
      <c r="BQ60" s="373"/>
      <c r="BR60" s="452"/>
      <c r="BS60" s="156">
        <f t="shared" si="11"/>
        <v>0</v>
      </c>
      <c r="BT60" s="320">
        <f t="shared" si="12"/>
        <v>0</v>
      </c>
      <c r="BU60" s="157" t="e">
        <f>SUM(L60,M60,N60,O60,U60)-#REF!</f>
        <v>#REF!</v>
      </c>
      <c r="BV60" s="346">
        <f t="shared" si="13"/>
        <v>0</v>
      </c>
      <c r="BW60" s="344" t="str">
        <f>IFERROR(VLOOKUP($A60,'BASE_558 EX'!$D:$R,8,FALSE),"")</f>
        <v xml:space="preserve">            5.413,10</v>
      </c>
      <c r="BX60" s="344" t="str">
        <f>IFERROR(VLOOKUP($A60,'BASE_558 EX'!$D:$R,9,FALSE),"")</f>
        <v xml:space="preserve">            5.808,42</v>
      </c>
      <c r="BY60" s="344" t="str">
        <f>IFERROR(VLOOKUP($A60,'BASE_558 EX'!$D:$R,10,FALSE),"")</f>
        <v xml:space="preserve">                0,00</v>
      </c>
      <c r="BZ60" s="344" t="str">
        <f>IFERROR(VLOOKUP($A60,'BASE_558 EX'!$D:$R,11,FALSE),"")</f>
        <v xml:space="preserve">                0,00</v>
      </c>
      <c r="CA60" s="344" t="str">
        <f>IFERROR(IF(BASE_558!$P$14="RemOrdPla",(VLOOKUP(A60,BASE_558!D:R,14)/1000),(VLOOKUP(A60,BASE_558!D:R,13)/1000)),"")</f>
        <v/>
      </c>
      <c r="CB60" s="344" t="str">
        <f>IFERROR(VLOOKUP($A60,'BASE_558 EX'!$D:$R,15,FALSE),"")</f>
        <v>-395,32</v>
      </c>
      <c r="CC60" s="442"/>
      <c r="CD60" s="442">
        <f t="shared" si="14"/>
        <v>0</v>
      </c>
    </row>
    <row r="61" spans="1:82" s="23" customFormat="1" ht="25.4" customHeight="1">
      <c r="A61" s="309" t="s">
        <v>1840</v>
      </c>
      <c r="B61" s="309" t="s">
        <v>1923</v>
      </c>
      <c r="C61" s="187">
        <v>44943</v>
      </c>
      <c r="D61" s="309" t="s">
        <v>479</v>
      </c>
      <c r="E61" s="310" t="s">
        <v>2851</v>
      </c>
      <c r="F61" s="309" t="s">
        <v>176</v>
      </c>
      <c r="G61" s="339" t="s">
        <v>1843</v>
      </c>
      <c r="H61" s="339" t="s">
        <v>8877</v>
      </c>
      <c r="I61" s="45" t="s">
        <v>218</v>
      </c>
      <c r="J61" s="125" t="s">
        <v>462</v>
      </c>
      <c r="K61" s="308" t="s">
        <v>6797</v>
      </c>
      <c r="L61" s="206"/>
      <c r="M61" s="206"/>
      <c r="N61" s="206"/>
      <c r="O61" s="206">
        <v>4156.37</v>
      </c>
      <c r="P61" s="206"/>
      <c r="Q61" s="206">
        <f t="shared" si="9"/>
        <v>0</v>
      </c>
      <c r="R61" s="206"/>
      <c r="S61" s="206"/>
      <c r="T61" s="223"/>
      <c r="U61" s="169">
        <f t="shared" si="10"/>
        <v>0</v>
      </c>
      <c r="V61" s="372">
        <v>0</v>
      </c>
      <c r="W61" s="343"/>
      <c r="X61" s="332">
        <f>SUMIFS(BASE_EX!$J:$J,BASE_EX!$B:$B,'Direct Charge'!$A61,BASE_EX!$C:$C,"janeiro")</f>
        <v>0</v>
      </c>
      <c r="Y61" s="373"/>
      <c r="Z61" s="372">
        <v>0</v>
      </c>
      <c r="AA61" s="343"/>
      <c r="AB61" s="332">
        <f>SUMIFS(BASE_EX!$J:$J,BASE_EX!$B:$B,'Direct Charge'!$A61,BASE_EX!$C:$C,"fevereiro")</f>
        <v>0</v>
      </c>
      <c r="AC61" s="373"/>
      <c r="AD61" s="372"/>
      <c r="AE61" s="343"/>
      <c r="AF61" s="332">
        <f>SUMIFS(BASE_EX!$J:$J,BASE_EX!$B:$B,'Direct Charge'!$A61,BASE_EX!$C:$C,"março")</f>
        <v>0</v>
      </c>
      <c r="AG61" s="373"/>
      <c r="AH61" s="372"/>
      <c r="AI61" s="343"/>
      <c r="AJ61" s="332">
        <f>SUMIFS(BASE_EX!$J:$J,BASE_EX!$B:$B,'Direct Charge'!$A61,BASE_EX!$C:$C,"abril")</f>
        <v>0</v>
      </c>
      <c r="AK61" s="373"/>
      <c r="AL61" s="372"/>
      <c r="AM61" s="343"/>
      <c r="AN61" s="332">
        <f>SUMIFS(BASE_EX!$J:$J,BASE_EX!$B:$B,'Direct Charge'!$A61,BASE_EX!$C:$C,"maio")</f>
        <v>0</v>
      </c>
      <c r="AO61" s="373"/>
      <c r="AP61" s="372"/>
      <c r="AQ61" s="343"/>
      <c r="AR61" s="332">
        <f>SUMIFS(BASE_EX!$J:$J,BASE_EX!$B:$B,'Direct Charge'!$A61,BASE_EX!$C:$C,"junho")</f>
        <v>0</v>
      </c>
      <c r="AS61" s="373"/>
      <c r="AT61" s="372"/>
      <c r="AU61" s="343"/>
      <c r="AV61" s="332">
        <f>SUMIFS(BASE_EX!$J:$J,BASE_EX!$B:$B,'Direct Charge'!$A61,BASE_EX!$C:$C,"julho")</f>
        <v>0</v>
      </c>
      <c r="AW61" s="373"/>
      <c r="AX61" s="372"/>
      <c r="AY61" s="343"/>
      <c r="AZ61" s="332">
        <f>SUMIFS(BASE_EX!$J:$J,BASE_EX!$B:$B,'Direct Charge'!$A61,BASE_EX!$C:$C,"agosto")</f>
        <v>0</v>
      </c>
      <c r="BA61" s="373"/>
      <c r="BB61" s="372"/>
      <c r="BC61" s="343"/>
      <c r="BD61" s="332">
        <f>SUMIFS(BASE_EX!$J:$J,BASE_EX!$B:$B,'Direct Charge'!$A61,BASE_EX!$C:$C,"setembro")</f>
        <v>0</v>
      </c>
      <c r="BE61" s="373"/>
      <c r="BF61" s="372"/>
      <c r="BG61" s="343"/>
      <c r="BH61" s="332">
        <f>SUMIFS(BASE_EX!$J:$J,BASE_EX!$B:$B,'Direct Charge'!$A61,BASE_EX!$C:$C,"outubro")</f>
        <v>0</v>
      </c>
      <c r="BI61" s="373"/>
      <c r="BJ61" s="372"/>
      <c r="BK61" s="343"/>
      <c r="BL61" s="332">
        <f>SUMIFS(BASE_EX!$J:$J,BASE_EX!$B:$B,'Direct Charge'!$A61,BASE_EX!$C:$C,"novembro")</f>
        <v>0</v>
      </c>
      <c r="BM61" s="373"/>
      <c r="BN61" s="372"/>
      <c r="BO61" s="343"/>
      <c r="BP61" s="332">
        <f>SUMIFS(BASE_EX!$J:$J,BASE_EX!$B:$B,'Direct Charge'!$A61,BASE_EX!$C:$C,"dezembro")</f>
        <v>0</v>
      </c>
      <c r="BQ61" s="373"/>
      <c r="BR61" s="452"/>
      <c r="BS61" s="156">
        <f t="shared" si="11"/>
        <v>0</v>
      </c>
      <c r="BT61" s="320">
        <f t="shared" si="12"/>
        <v>0</v>
      </c>
      <c r="BU61" s="157" t="e">
        <f>SUM(L61,M61,N61,O61,U61)-#REF!</f>
        <v>#REF!</v>
      </c>
      <c r="BV61" s="346">
        <f t="shared" si="13"/>
        <v>0</v>
      </c>
      <c r="BW61" s="344" t="str">
        <f>IFERROR(VLOOKUP($A61,'BASE_558 EX'!$D:$R,8,FALSE),"")</f>
        <v xml:space="preserve">            5.107,59</v>
      </c>
      <c r="BX61" s="344" t="str">
        <f>IFERROR(VLOOKUP($A61,'BASE_558 EX'!$D:$R,9,FALSE),"")</f>
        <v xml:space="preserve">            4.156,37</v>
      </c>
      <c r="BY61" s="344" t="str">
        <f>IFERROR(VLOOKUP($A61,'BASE_558 EX'!$D:$R,10,FALSE),"")</f>
        <v xml:space="preserve">                0,00</v>
      </c>
      <c r="BZ61" s="344" t="str">
        <f>IFERROR(VLOOKUP($A61,'BASE_558 EX'!$D:$R,11,FALSE),"")</f>
        <v xml:space="preserve">                0,00</v>
      </c>
      <c r="CA61" s="344" t="str">
        <f>IFERROR(IF(BASE_558!$P$14="RemOrdPla",(VLOOKUP(A61,BASE_558!D:R,14)/1000),(VLOOKUP(A61,BASE_558!D:R,13)/1000)),"")</f>
        <v/>
      </c>
      <c r="CB61" s="344" t="str">
        <f>IFERROR(VLOOKUP($A61,'BASE_558 EX'!$D:$R,15,FALSE),"")</f>
        <v xml:space="preserve">              951,22</v>
      </c>
      <c r="CC61" s="442"/>
      <c r="CD61" s="442">
        <f t="shared" si="14"/>
        <v>0</v>
      </c>
    </row>
    <row r="62" spans="1:82" s="23" customFormat="1" ht="25.4" customHeight="1">
      <c r="A62" s="309" t="s">
        <v>1841</v>
      </c>
      <c r="B62" s="309" t="s">
        <v>1923</v>
      </c>
      <c r="C62" s="187">
        <v>44943</v>
      </c>
      <c r="D62" s="381" t="s">
        <v>479</v>
      </c>
      <c r="E62" s="361" t="s">
        <v>2851</v>
      </c>
      <c r="F62" s="381" t="s">
        <v>176</v>
      </c>
      <c r="G62" s="340" t="s">
        <v>1844</v>
      </c>
      <c r="H62" s="339" t="s">
        <v>8877</v>
      </c>
      <c r="I62" s="45" t="s">
        <v>218</v>
      </c>
      <c r="J62" s="125" t="s">
        <v>557</v>
      </c>
      <c r="K62" s="308" t="s">
        <v>6797</v>
      </c>
      <c r="L62" s="206"/>
      <c r="M62" s="206"/>
      <c r="N62" s="206"/>
      <c r="O62" s="206">
        <v>0</v>
      </c>
      <c r="P62" s="206"/>
      <c r="Q62" s="206">
        <f t="shared" si="9"/>
        <v>0</v>
      </c>
      <c r="R62" s="206"/>
      <c r="S62" s="206"/>
      <c r="T62" s="223"/>
      <c r="U62" s="169">
        <f t="shared" si="10"/>
        <v>0</v>
      </c>
      <c r="V62" s="372">
        <v>0</v>
      </c>
      <c r="W62" s="343"/>
      <c r="X62" s="332">
        <f>SUMIFS(BASE_EX!$J:$J,BASE_EX!$B:$B,'Direct Charge'!$A62,BASE_EX!$C:$C,"janeiro")</f>
        <v>0</v>
      </c>
      <c r="Y62" s="373"/>
      <c r="Z62" s="372">
        <v>0</v>
      </c>
      <c r="AA62" s="343"/>
      <c r="AB62" s="332">
        <f>SUMIFS(BASE_EX!$J:$J,BASE_EX!$B:$B,'Direct Charge'!$A62,BASE_EX!$C:$C,"fevereiro")</f>
        <v>0</v>
      </c>
      <c r="AC62" s="373"/>
      <c r="AD62" s="372"/>
      <c r="AE62" s="343"/>
      <c r="AF62" s="332">
        <f>SUMIFS(BASE_EX!$J:$J,BASE_EX!$B:$B,'Direct Charge'!$A62,BASE_EX!$C:$C,"março")</f>
        <v>0</v>
      </c>
      <c r="AG62" s="373"/>
      <c r="AH62" s="372"/>
      <c r="AI62" s="343"/>
      <c r="AJ62" s="332">
        <f>SUMIFS(BASE_EX!$J:$J,BASE_EX!$B:$B,'Direct Charge'!$A62,BASE_EX!$C:$C,"abril")</f>
        <v>0</v>
      </c>
      <c r="AK62" s="373"/>
      <c r="AL62" s="372"/>
      <c r="AM62" s="343"/>
      <c r="AN62" s="332">
        <f>SUMIFS(BASE_EX!$J:$J,BASE_EX!$B:$B,'Direct Charge'!$A62,BASE_EX!$C:$C,"maio")</f>
        <v>0</v>
      </c>
      <c r="AO62" s="373"/>
      <c r="AP62" s="372"/>
      <c r="AQ62" s="343"/>
      <c r="AR62" s="332">
        <f>SUMIFS(BASE_EX!$J:$J,BASE_EX!$B:$B,'Direct Charge'!$A62,BASE_EX!$C:$C,"junho")</f>
        <v>0</v>
      </c>
      <c r="AS62" s="373"/>
      <c r="AT62" s="372"/>
      <c r="AU62" s="343"/>
      <c r="AV62" s="332">
        <f>SUMIFS(BASE_EX!$J:$J,BASE_EX!$B:$B,'Direct Charge'!$A62,BASE_EX!$C:$C,"julho")</f>
        <v>0</v>
      </c>
      <c r="AW62" s="373"/>
      <c r="AX62" s="372"/>
      <c r="AY62" s="343"/>
      <c r="AZ62" s="332">
        <f>SUMIFS(BASE_EX!$J:$J,BASE_EX!$B:$B,'Direct Charge'!$A62,BASE_EX!$C:$C,"agosto")</f>
        <v>0</v>
      </c>
      <c r="BA62" s="373"/>
      <c r="BB62" s="372"/>
      <c r="BC62" s="343"/>
      <c r="BD62" s="332">
        <f>SUMIFS(BASE_EX!$J:$J,BASE_EX!$B:$B,'Direct Charge'!$A62,BASE_EX!$C:$C,"setembro")</f>
        <v>0</v>
      </c>
      <c r="BE62" s="373"/>
      <c r="BF62" s="372"/>
      <c r="BG62" s="343"/>
      <c r="BH62" s="332">
        <f>SUMIFS(BASE_EX!$J:$J,BASE_EX!$B:$B,'Direct Charge'!$A62,BASE_EX!$C:$C,"outubro")</f>
        <v>0</v>
      </c>
      <c r="BI62" s="373"/>
      <c r="BJ62" s="372"/>
      <c r="BK62" s="343"/>
      <c r="BL62" s="332">
        <f>SUMIFS(BASE_EX!$J:$J,BASE_EX!$B:$B,'Direct Charge'!$A62,BASE_EX!$C:$C,"novembro")</f>
        <v>0</v>
      </c>
      <c r="BM62" s="373"/>
      <c r="BN62" s="372"/>
      <c r="BO62" s="343"/>
      <c r="BP62" s="332">
        <f>SUMIFS(BASE_EX!$J:$J,BASE_EX!$B:$B,'Direct Charge'!$A62,BASE_EX!$C:$C,"dezembro")</f>
        <v>0</v>
      </c>
      <c r="BQ62" s="373"/>
      <c r="BR62" s="452"/>
      <c r="BS62" s="156">
        <f t="shared" si="11"/>
        <v>0</v>
      </c>
      <c r="BT62" s="320">
        <f t="shared" si="12"/>
        <v>0</v>
      </c>
      <c r="BU62" s="157" t="e">
        <f>SUM(L62,M62,N62,O62,U62)-#REF!</f>
        <v>#REF!</v>
      </c>
      <c r="BV62" s="346">
        <f t="shared" si="13"/>
        <v>0</v>
      </c>
      <c r="BW62" s="344" t="str">
        <f>IFERROR(VLOOKUP($A62,'BASE_558 EX'!$D:$R,8,FALSE),"")</f>
        <v xml:space="preserve">            9.458,50</v>
      </c>
      <c r="BX62" s="344" t="str">
        <f>IFERROR(VLOOKUP($A62,'BASE_558 EX'!$D:$R,9,FALSE),"")</f>
        <v xml:space="preserve">                0,00</v>
      </c>
      <c r="BY62" s="344" t="str">
        <f>IFERROR(VLOOKUP($A62,'BASE_558 EX'!$D:$R,10,FALSE),"")</f>
        <v xml:space="preserve">                0,00</v>
      </c>
      <c r="BZ62" s="344" t="str">
        <f>IFERROR(VLOOKUP($A62,'BASE_558 EX'!$D:$R,11,FALSE),"")</f>
        <v xml:space="preserve">                0,00</v>
      </c>
      <c r="CA62" s="344" t="str">
        <f>IFERROR(IF(BASE_558!$P$14="RemOrdPla",(VLOOKUP(A62,BASE_558!D:R,14)/1000),(VLOOKUP(A62,BASE_558!D:R,13)/1000)),"")</f>
        <v/>
      </c>
      <c r="CB62" s="344" t="str">
        <f>IFERROR(VLOOKUP($A62,'BASE_558 EX'!$D:$R,15,FALSE),"")</f>
        <v xml:space="preserve">            9.458,50</v>
      </c>
      <c r="CC62" s="442"/>
      <c r="CD62" s="442">
        <f t="shared" si="14"/>
        <v>0</v>
      </c>
    </row>
    <row r="63" spans="1:82" s="23" customFormat="1" ht="25.4" customHeight="1">
      <c r="A63" s="309" t="s">
        <v>1847</v>
      </c>
      <c r="B63" s="309" t="s">
        <v>1923</v>
      </c>
      <c r="C63" s="187">
        <v>44946</v>
      </c>
      <c r="D63" s="381" t="s">
        <v>476</v>
      </c>
      <c r="E63" s="381" t="s">
        <v>476</v>
      </c>
      <c r="F63" s="309" t="s">
        <v>2508</v>
      </c>
      <c r="G63" s="340" t="s">
        <v>1846</v>
      </c>
      <c r="H63" s="339" t="s">
        <v>8877</v>
      </c>
      <c r="I63" s="6" t="s">
        <v>218</v>
      </c>
      <c r="J63" s="83" t="s">
        <v>462</v>
      </c>
      <c r="K63" s="7" t="s">
        <v>1600</v>
      </c>
      <c r="L63" s="206"/>
      <c r="M63" s="206"/>
      <c r="N63" s="206">
        <v>0</v>
      </c>
      <c r="O63" s="206">
        <v>9610.09</v>
      </c>
      <c r="P63" s="206"/>
      <c r="Q63" s="206">
        <f t="shared" si="9"/>
        <v>0</v>
      </c>
      <c r="R63" s="206"/>
      <c r="S63" s="206"/>
      <c r="T63" s="223"/>
      <c r="U63" s="169">
        <f t="shared" si="10"/>
        <v>0</v>
      </c>
      <c r="V63" s="372">
        <v>0</v>
      </c>
      <c r="W63" s="343"/>
      <c r="X63" s="332">
        <f>SUMIFS(BASE_EX!$J:$J,BASE_EX!$B:$B,'Direct Charge'!$A63,BASE_EX!$C:$C,"janeiro")</f>
        <v>0</v>
      </c>
      <c r="Y63" s="373"/>
      <c r="Z63" s="372">
        <v>0</v>
      </c>
      <c r="AA63" s="343"/>
      <c r="AB63" s="332">
        <f>SUMIFS(BASE_EX!$J:$J,BASE_EX!$B:$B,'Direct Charge'!$A63,BASE_EX!$C:$C,"fevereiro")</f>
        <v>0</v>
      </c>
      <c r="AC63" s="373"/>
      <c r="AD63" s="372"/>
      <c r="AE63" s="343"/>
      <c r="AF63" s="332">
        <f>SUMIFS(BASE_EX!$J:$J,BASE_EX!$B:$B,'Direct Charge'!$A63,BASE_EX!$C:$C,"março")</f>
        <v>0</v>
      </c>
      <c r="AG63" s="373"/>
      <c r="AH63" s="372"/>
      <c r="AI63" s="343"/>
      <c r="AJ63" s="332">
        <f>SUMIFS(BASE_EX!$J:$J,BASE_EX!$B:$B,'Direct Charge'!$A63,BASE_EX!$C:$C,"abril")</f>
        <v>0</v>
      </c>
      <c r="AK63" s="373"/>
      <c r="AL63" s="372"/>
      <c r="AM63" s="343"/>
      <c r="AN63" s="332">
        <f>SUMIFS(BASE_EX!$J:$J,BASE_EX!$B:$B,'Direct Charge'!$A63,BASE_EX!$C:$C,"maio")</f>
        <v>0</v>
      </c>
      <c r="AO63" s="373"/>
      <c r="AP63" s="372"/>
      <c r="AQ63" s="343"/>
      <c r="AR63" s="332">
        <f>SUMIFS(BASE_EX!$J:$J,BASE_EX!$B:$B,'Direct Charge'!$A63,BASE_EX!$C:$C,"junho")</f>
        <v>0</v>
      </c>
      <c r="AS63" s="373"/>
      <c r="AT63" s="372"/>
      <c r="AU63" s="343"/>
      <c r="AV63" s="332">
        <f>SUMIFS(BASE_EX!$J:$J,BASE_EX!$B:$B,'Direct Charge'!$A63,BASE_EX!$C:$C,"julho")</f>
        <v>0</v>
      </c>
      <c r="AW63" s="373"/>
      <c r="AX63" s="372"/>
      <c r="AY63" s="343"/>
      <c r="AZ63" s="332">
        <f>SUMIFS(BASE_EX!$J:$J,BASE_EX!$B:$B,'Direct Charge'!$A63,BASE_EX!$C:$C,"agosto")</f>
        <v>0</v>
      </c>
      <c r="BA63" s="373"/>
      <c r="BB63" s="372"/>
      <c r="BC63" s="343"/>
      <c r="BD63" s="332">
        <f>SUMIFS(BASE_EX!$J:$J,BASE_EX!$B:$B,'Direct Charge'!$A63,BASE_EX!$C:$C,"setembro")</f>
        <v>0</v>
      </c>
      <c r="BE63" s="373"/>
      <c r="BF63" s="372"/>
      <c r="BG63" s="343"/>
      <c r="BH63" s="332">
        <f>SUMIFS(BASE_EX!$J:$J,BASE_EX!$B:$B,'Direct Charge'!$A63,BASE_EX!$C:$C,"outubro")</f>
        <v>0</v>
      </c>
      <c r="BI63" s="373"/>
      <c r="BJ63" s="372"/>
      <c r="BK63" s="343"/>
      <c r="BL63" s="332">
        <f>SUMIFS(BASE_EX!$J:$J,BASE_EX!$B:$B,'Direct Charge'!$A63,BASE_EX!$C:$C,"novembro")</f>
        <v>0</v>
      </c>
      <c r="BM63" s="373"/>
      <c r="BN63" s="372"/>
      <c r="BO63" s="343"/>
      <c r="BP63" s="332">
        <f>SUMIFS(BASE_EX!$J:$J,BASE_EX!$B:$B,'Direct Charge'!$A63,BASE_EX!$C:$C,"dezembro")</f>
        <v>0</v>
      </c>
      <c r="BQ63" s="373"/>
      <c r="BR63" s="452"/>
      <c r="BS63" s="156">
        <f t="shared" si="11"/>
        <v>0</v>
      </c>
      <c r="BT63" s="320">
        <f t="shared" si="12"/>
        <v>0</v>
      </c>
      <c r="BU63" s="157" t="e">
        <f>SUM(L63,M63,N63,O63,U63)-#REF!</f>
        <v>#REF!</v>
      </c>
      <c r="BV63" s="346">
        <f t="shared" si="13"/>
        <v>0</v>
      </c>
      <c r="BW63" s="344" t="str">
        <f>IFERROR(VLOOKUP($A63,'BASE_558 EX'!$D:$R,8,FALSE),"")</f>
        <v xml:space="preserve">            9.836,84</v>
      </c>
      <c r="BX63" s="344" t="str">
        <f>IFERROR(VLOOKUP($A63,'BASE_558 EX'!$D:$R,9,FALSE),"")</f>
        <v xml:space="preserve">            9.610,09</v>
      </c>
      <c r="BY63" s="344" t="str">
        <f>IFERROR(VLOOKUP($A63,'BASE_558 EX'!$D:$R,10,FALSE),"")</f>
        <v xml:space="preserve">                0,00</v>
      </c>
      <c r="BZ63" s="344" t="str">
        <f>IFERROR(VLOOKUP($A63,'BASE_558 EX'!$D:$R,11,FALSE),"")</f>
        <v xml:space="preserve">                0,00</v>
      </c>
      <c r="CA63" s="344" t="str">
        <f>IFERROR(IF(BASE_558!$P$14="RemOrdPla",(VLOOKUP(A63,BASE_558!D:R,14)/1000),(VLOOKUP(A63,BASE_558!D:R,13)/1000)),"")</f>
        <v/>
      </c>
      <c r="CB63" s="344" t="str">
        <f>IFERROR(VLOOKUP($A63,'BASE_558 EX'!$D:$R,15,FALSE),"")</f>
        <v xml:space="preserve">              226,75</v>
      </c>
      <c r="CC63" s="442"/>
      <c r="CD63" s="442">
        <f t="shared" si="14"/>
        <v>0</v>
      </c>
    </row>
    <row r="64" spans="1:82" s="23" customFormat="1" ht="25.4" customHeight="1">
      <c r="A64" s="309" t="s">
        <v>1968</v>
      </c>
      <c r="B64" s="309"/>
      <c r="C64" s="187">
        <v>44992</v>
      </c>
      <c r="D64" s="309" t="s">
        <v>704</v>
      </c>
      <c r="E64" s="381" t="s">
        <v>704</v>
      </c>
      <c r="F64" s="309" t="s">
        <v>176</v>
      </c>
      <c r="G64" s="339" t="s">
        <v>1969</v>
      </c>
      <c r="H64" s="339" t="s">
        <v>8877</v>
      </c>
      <c r="I64" s="6" t="s">
        <v>218</v>
      </c>
      <c r="J64" s="83" t="s">
        <v>462</v>
      </c>
      <c r="K64" s="308" t="s">
        <v>6797</v>
      </c>
      <c r="L64" s="206"/>
      <c r="M64" s="206">
        <v>0</v>
      </c>
      <c r="N64" s="206">
        <v>0</v>
      </c>
      <c r="O64" s="206">
        <v>6883.2</v>
      </c>
      <c r="P64" s="206"/>
      <c r="Q64" s="206">
        <f t="shared" si="9"/>
        <v>0</v>
      </c>
      <c r="R64" s="206"/>
      <c r="S64" s="206"/>
      <c r="T64" s="223"/>
      <c r="U64" s="169">
        <f t="shared" si="10"/>
        <v>0</v>
      </c>
      <c r="V64" s="372">
        <v>0</v>
      </c>
      <c r="W64" s="343"/>
      <c r="X64" s="332">
        <f>SUMIFS(BASE_EX!$J:$J,BASE_EX!$B:$B,'Direct Charge'!$A64,BASE_EX!$C:$C,"janeiro")</f>
        <v>0</v>
      </c>
      <c r="Y64" s="373"/>
      <c r="Z64" s="372">
        <v>0</v>
      </c>
      <c r="AA64" s="343"/>
      <c r="AB64" s="332">
        <f>SUMIFS(BASE_EX!$J:$J,BASE_EX!$B:$B,'Direct Charge'!$A64,BASE_EX!$C:$C,"fevereiro")</f>
        <v>0</v>
      </c>
      <c r="AC64" s="373"/>
      <c r="AD64" s="372"/>
      <c r="AE64" s="343"/>
      <c r="AF64" s="332">
        <f>SUMIFS(BASE_EX!$J:$J,BASE_EX!$B:$B,'Direct Charge'!$A64,BASE_EX!$C:$C,"março")</f>
        <v>0</v>
      </c>
      <c r="AG64" s="373"/>
      <c r="AH64" s="372"/>
      <c r="AI64" s="343"/>
      <c r="AJ64" s="332">
        <f>SUMIFS(BASE_EX!$J:$J,BASE_EX!$B:$B,'Direct Charge'!$A64,BASE_EX!$C:$C,"abril")</f>
        <v>0</v>
      </c>
      <c r="AK64" s="373"/>
      <c r="AL64" s="372"/>
      <c r="AM64" s="343"/>
      <c r="AN64" s="332">
        <f>SUMIFS(BASE_EX!$J:$J,BASE_EX!$B:$B,'Direct Charge'!$A64,BASE_EX!$C:$C,"maio")</f>
        <v>0</v>
      </c>
      <c r="AO64" s="373"/>
      <c r="AP64" s="372"/>
      <c r="AQ64" s="343"/>
      <c r="AR64" s="332">
        <f>SUMIFS(BASE_EX!$J:$J,BASE_EX!$B:$B,'Direct Charge'!$A64,BASE_EX!$C:$C,"junho")</f>
        <v>0</v>
      </c>
      <c r="AS64" s="373"/>
      <c r="AT64" s="372"/>
      <c r="AU64" s="343"/>
      <c r="AV64" s="332">
        <f>SUMIFS(BASE_EX!$J:$J,BASE_EX!$B:$B,'Direct Charge'!$A64,BASE_EX!$C:$C,"julho")</f>
        <v>0</v>
      </c>
      <c r="AW64" s="373"/>
      <c r="AX64" s="372"/>
      <c r="AY64" s="343"/>
      <c r="AZ64" s="332">
        <f>SUMIFS(BASE_EX!$J:$J,BASE_EX!$B:$B,'Direct Charge'!$A64,BASE_EX!$C:$C,"agosto")</f>
        <v>0</v>
      </c>
      <c r="BA64" s="373"/>
      <c r="BB64" s="372"/>
      <c r="BC64" s="343"/>
      <c r="BD64" s="332">
        <f>SUMIFS(BASE_EX!$J:$J,BASE_EX!$B:$B,'Direct Charge'!$A64,BASE_EX!$C:$C,"setembro")</f>
        <v>0</v>
      </c>
      <c r="BE64" s="373"/>
      <c r="BF64" s="372"/>
      <c r="BG64" s="343"/>
      <c r="BH64" s="332">
        <f>SUMIFS(BASE_EX!$J:$J,BASE_EX!$B:$B,'Direct Charge'!$A64,BASE_EX!$C:$C,"outubro")</f>
        <v>0</v>
      </c>
      <c r="BI64" s="373"/>
      <c r="BJ64" s="372"/>
      <c r="BK64" s="343"/>
      <c r="BL64" s="332">
        <f>SUMIFS(BASE_EX!$J:$J,BASE_EX!$B:$B,'Direct Charge'!$A64,BASE_EX!$C:$C,"novembro")</f>
        <v>0</v>
      </c>
      <c r="BM64" s="373"/>
      <c r="BN64" s="372"/>
      <c r="BO64" s="343"/>
      <c r="BP64" s="332">
        <f>SUMIFS(BASE_EX!$J:$J,BASE_EX!$B:$B,'Direct Charge'!$A64,BASE_EX!$C:$C,"dezembro")</f>
        <v>0</v>
      </c>
      <c r="BQ64" s="373"/>
      <c r="BR64" s="452"/>
      <c r="BS64" s="156">
        <f t="shared" si="11"/>
        <v>0</v>
      </c>
      <c r="BT64" s="320">
        <f t="shared" si="12"/>
        <v>0</v>
      </c>
      <c r="BU64" s="157" t="e">
        <f>SUM(L64,M64,N64,O64,U64)-#REF!</f>
        <v>#REF!</v>
      </c>
      <c r="BV64" s="346">
        <f t="shared" si="13"/>
        <v>0</v>
      </c>
      <c r="BW64" s="344" t="str">
        <f>IFERROR(VLOOKUP($A64,'BASE_558 EX'!$D:$R,8,FALSE),"")</f>
        <v xml:space="preserve">           12.296,05</v>
      </c>
      <c r="BX64" s="344" t="str">
        <f>IFERROR(VLOOKUP($A64,'BASE_558 EX'!$D:$R,9,FALSE),"")</f>
        <v xml:space="preserve">            6.883,20</v>
      </c>
      <c r="BY64" s="344" t="str">
        <f>IFERROR(VLOOKUP($A64,'BASE_558 EX'!$D:$R,10,FALSE),"")</f>
        <v xml:space="preserve">                0,00</v>
      </c>
      <c r="BZ64" s="344" t="str">
        <f>IFERROR(VLOOKUP($A64,'BASE_558 EX'!$D:$R,11,FALSE),"")</f>
        <v xml:space="preserve">                0,00</v>
      </c>
      <c r="CA64" s="344" t="str">
        <f>IFERROR(IF(BASE_558!$P$14="RemOrdPla",(VLOOKUP(A64,BASE_558!D:R,14)/1000),(VLOOKUP(A64,BASE_558!D:R,13)/1000)),"")</f>
        <v/>
      </c>
      <c r="CB64" s="344" t="str">
        <f>IFERROR(VLOOKUP($A64,'BASE_558 EX'!$D:$R,15,FALSE),"")</f>
        <v xml:space="preserve">            5.412,85</v>
      </c>
      <c r="CC64" s="442"/>
      <c r="CD64" s="442">
        <f t="shared" si="14"/>
        <v>0</v>
      </c>
    </row>
    <row r="65" spans="1:82" s="23" customFormat="1" ht="25.4" customHeight="1">
      <c r="A65" s="309" t="s">
        <v>1987</v>
      </c>
      <c r="B65" s="309"/>
      <c r="C65" s="187">
        <v>45016</v>
      </c>
      <c r="D65" s="309" t="s">
        <v>704</v>
      </c>
      <c r="E65" s="381" t="s">
        <v>704</v>
      </c>
      <c r="F65" s="309" t="s">
        <v>176</v>
      </c>
      <c r="G65" s="339" t="s">
        <v>1986</v>
      </c>
      <c r="H65" s="339" t="s">
        <v>9112</v>
      </c>
      <c r="I65" s="6" t="s">
        <v>218</v>
      </c>
      <c r="J65" s="83" t="s">
        <v>462</v>
      </c>
      <c r="K65" s="308" t="s">
        <v>10778</v>
      </c>
      <c r="L65" s="206"/>
      <c r="M65" s="206"/>
      <c r="N65" s="206"/>
      <c r="O65" s="206">
        <v>15835.35</v>
      </c>
      <c r="P65" s="206"/>
      <c r="Q65" s="206">
        <f t="shared" si="9"/>
        <v>0</v>
      </c>
      <c r="R65" s="206"/>
      <c r="S65" s="206"/>
      <c r="T65" s="223"/>
      <c r="U65" s="169">
        <f t="shared" si="10"/>
        <v>0</v>
      </c>
      <c r="V65" s="372">
        <v>0</v>
      </c>
      <c r="W65" s="343"/>
      <c r="X65" s="332">
        <f>SUMIFS(BASE_EX!$J:$J,BASE_EX!$B:$B,'Direct Charge'!$A65,BASE_EX!$C:$C,"janeiro")</f>
        <v>0</v>
      </c>
      <c r="Y65" s="373"/>
      <c r="Z65" s="372">
        <v>0</v>
      </c>
      <c r="AA65" s="343"/>
      <c r="AB65" s="332">
        <f>SUMIFS(BASE_EX!$J:$J,BASE_EX!$B:$B,'Direct Charge'!$A65,BASE_EX!$C:$C,"fevereiro")</f>
        <v>0</v>
      </c>
      <c r="AC65" s="373"/>
      <c r="AD65" s="372"/>
      <c r="AE65" s="343"/>
      <c r="AF65" s="332">
        <f>SUMIFS(BASE_EX!$J:$J,BASE_EX!$B:$B,'Direct Charge'!$A65,BASE_EX!$C:$C,"março")</f>
        <v>0</v>
      </c>
      <c r="AG65" s="373"/>
      <c r="AH65" s="372"/>
      <c r="AI65" s="343"/>
      <c r="AJ65" s="332">
        <f>SUMIFS(BASE_EX!$J:$J,BASE_EX!$B:$B,'Direct Charge'!$A65,BASE_EX!$C:$C,"abril")</f>
        <v>0</v>
      </c>
      <c r="AK65" s="373"/>
      <c r="AL65" s="372"/>
      <c r="AM65" s="343"/>
      <c r="AN65" s="332">
        <f>SUMIFS(BASE_EX!$J:$J,BASE_EX!$B:$B,'Direct Charge'!$A65,BASE_EX!$C:$C,"maio")</f>
        <v>0</v>
      </c>
      <c r="AO65" s="373"/>
      <c r="AP65" s="372"/>
      <c r="AQ65" s="343"/>
      <c r="AR65" s="332">
        <f>SUMIFS(BASE_EX!$J:$J,BASE_EX!$B:$B,'Direct Charge'!$A65,BASE_EX!$C:$C,"junho")</f>
        <v>0</v>
      </c>
      <c r="AS65" s="373"/>
      <c r="AT65" s="372"/>
      <c r="AU65" s="343"/>
      <c r="AV65" s="332">
        <f>SUMIFS(BASE_EX!$J:$J,BASE_EX!$B:$B,'Direct Charge'!$A65,BASE_EX!$C:$C,"julho")</f>
        <v>0</v>
      </c>
      <c r="AW65" s="373"/>
      <c r="AX65" s="372"/>
      <c r="AY65" s="343"/>
      <c r="AZ65" s="332">
        <f>SUMIFS(BASE_EX!$J:$J,BASE_EX!$B:$B,'Direct Charge'!$A65,BASE_EX!$C:$C,"agosto")</f>
        <v>0</v>
      </c>
      <c r="BA65" s="373"/>
      <c r="BB65" s="372"/>
      <c r="BC65" s="343"/>
      <c r="BD65" s="332">
        <f>SUMIFS(BASE_EX!$J:$J,BASE_EX!$B:$B,'Direct Charge'!$A65,BASE_EX!$C:$C,"setembro")</f>
        <v>0</v>
      </c>
      <c r="BE65" s="373"/>
      <c r="BF65" s="372"/>
      <c r="BG65" s="343"/>
      <c r="BH65" s="332">
        <f>SUMIFS(BASE_EX!$J:$J,BASE_EX!$B:$B,'Direct Charge'!$A65,BASE_EX!$C:$C,"outubro")</f>
        <v>0</v>
      </c>
      <c r="BI65" s="373"/>
      <c r="BJ65" s="372"/>
      <c r="BK65" s="343"/>
      <c r="BL65" s="332">
        <f>SUMIFS(BASE_EX!$J:$J,BASE_EX!$B:$B,'Direct Charge'!$A65,BASE_EX!$C:$C,"novembro")</f>
        <v>0</v>
      </c>
      <c r="BM65" s="373"/>
      <c r="BN65" s="372"/>
      <c r="BO65" s="343"/>
      <c r="BP65" s="332">
        <f>SUMIFS(BASE_EX!$J:$J,BASE_EX!$B:$B,'Direct Charge'!$A65,BASE_EX!$C:$C,"dezembro")</f>
        <v>0</v>
      </c>
      <c r="BQ65" s="373"/>
      <c r="BR65" s="452"/>
      <c r="BS65" s="156">
        <f t="shared" si="11"/>
        <v>0</v>
      </c>
      <c r="BT65" s="320">
        <f t="shared" si="12"/>
        <v>0</v>
      </c>
      <c r="BU65" s="157" t="e">
        <f>SUM(L65,M65,N65,O65,U65)-#REF!</f>
        <v>#REF!</v>
      </c>
      <c r="BV65" s="346">
        <f t="shared" si="13"/>
        <v>0</v>
      </c>
      <c r="BW65" s="344" t="str">
        <f>IFERROR(VLOOKUP($A65,'BASE_558 EX'!$D:$R,8,FALSE),"")</f>
        <v xml:space="preserve">           17.025,30</v>
      </c>
      <c r="BX65" s="344" t="str">
        <f>IFERROR(VLOOKUP($A65,'BASE_558 EX'!$D:$R,9,FALSE),"")</f>
        <v xml:space="preserve">           15.835,35</v>
      </c>
      <c r="BY65" s="344" t="str">
        <f>IFERROR(VLOOKUP($A65,'BASE_558 EX'!$D:$R,10,FALSE),"")</f>
        <v xml:space="preserve">                0,00</v>
      </c>
      <c r="BZ65" s="344" t="str">
        <f>IFERROR(VLOOKUP($A65,'BASE_558 EX'!$D:$R,11,FALSE),"")</f>
        <v xml:space="preserve">                0,00</v>
      </c>
      <c r="CA65" s="344" t="str">
        <f>IFERROR(IF(BASE_558!$P$14="RemOrdPla",(VLOOKUP(A65,BASE_558!D:R,14)/1000),(VLOOKUP(A65,BASE_558!D:R,13)/1000)),"")</f>
        <v/>
      </c>
      <c r="CB65" s="344" t="str">
        <f>IFERROR(VLOOKUP($A65,'BASE_558 EX'!$D:$R,15,FALSE),"")</f>
        <v xml:space="preserve">            1.189,95</v>
      </c>
      <c r="CC65" s="442"/>
      <c r="CD65" s="442">
        <f t="shared" si="14"/>
        <v>0</v>
      </c>
    </row>
    <row r="66" spans="1:82" s="23" customFormat="1" ht="25.4" customHeight="1">
      <c r="A66" s="309" t="s">
        <v>1988</v>
      </c>
      <c r="B66" s="309"/>
      <c r="C66" s="187">
        <v>45016</v>
      </c>
      <c r="D66" s="309" t="s">
        <v>704</v>
      </c>
      <c r="E66" s="381" t="s">
        <v>704</v>
      </c>
      <c r="F66" s="309" t="s">
        <v>176</v>
      </c>
      <c r="G66" s="339" t="s">
        <v>3264</v>
      </c>
      <c r="H66" s="339" t="s">
        <v>9112</v>
      </c>
      <c r="I66" s="6" t="s">
        <v>218</v>
      </c>
      <c r="J66" s="83" t="s">
        <v>462</v>
      </c>
      <c r="K66" s="308" t="s">
        <v>10773</v>
      </c>
      <c r="L66" s="206"/>
      <c r="M66" s="206"/>
      <c r="N66" s="206"/>
      <c r="O66" s="206">
        <v>0</v>
      </c>
      <c r="P66" s="206">
        <v>49476.480000000003</v>
      </c>
      <c r="Q66" s="206">
        <f t="shared" si="9"/>
        <v>0</v>
      </c>
      <c r="R66" s="206"/>
      <c r="S66" s="206"/>
      <c r="T66" s="223"/>
      <c r="U66" s="169">
        <f t="shared" si="10"/>
        <v>0</v>
      </c>
      <c r="V66" s="372">
        <v>0</v>
      </c>
      <c r="W66" s="343"/>
      <c r="X66" s="332">
        <f>SUMIFS(BASE_EX!$J:$J,BASE_EX!$B:$B,'Direct Charge'!$A66,BASE_EX!$C:$C,"janeiro")</f>
        <v>0</v>
      </c>
      <c r="Y66" s="373"/>
      <c r="Z66" s="372">
        <v>0</v>
      </c>
      <c r="AA66" s="343"/>
      <c r="AB66" s="332">
        <f>SUMIFS(BASE_EX!$J:$J,BASE_EX!$B:$B,'Direct Charge'!$A66,BASE_EX!$C:$C,"fevereiro")</f>
        <v>0</v>
      </c>
      <c r="AC66" s="373"/>
      <c r="AD66" s="372"/>
      <c r="AE66" s="343"/>
      <c r="AF66" s="332">
        <f>SUMIFS(BASE_EX!$J:$J,BASE_EX!$B:$B,'Direct Charge'!$A66,BASE_EX!$C:$C,"março")</f>
        <v>0</v>
      </c>
      <c r="AG66" s="373"/>
      <c r="AH66" s="372"/>
      <c r="AI66" s="343"/>
      <c r="AJ66" s="332">
        <f>SUMIFS(BASE_EX!$J:$J,BASE_EX!$B:$B,'Direct Charge'!$A66,BASE_EX!$C:$C,"abril")</f>
        <v>0</v>
      </c>
      <c r="AK66" s="373"/>
      <c r="AL66" s="372"/>
      <c r="AM66" s="343"/>
      <c r="AN66" s="332">
        <f>SUMIFS(BASE_EX!$J:$J,BASE_EX!$B:$B,'Direct Charge'!$A66,BASE_EX!$C:$C,"maio")</f>
        <v>0</v>
      </c>
      <c r="AO66" s="373"/>
      <c r="AP66" s="372"/>
      <c r="AQ66" s="343"/>
      <c r="AR66" s="332">
        <f>SUMIFS(BASE_EX!$J:$J,BASE_EX!$B:$B,'Direct Charge'!$A66,BASE_EX!$C:$C,"junho")</f>
        <v>0</v>
      </c>
      <c r="AS66" s="373"/>
      <c r="AT66" s="372"/>
      <c r="AU66" s="343"/>
      <c r="AV66" s="332">
        <f>SUMIFS(BASE_EX!$J:$J,BASE_EX!$B:$B,'Direct Charge'!$A66,BASE_EX!$C:$C,"julho")</f>
        <v>0</v>
      </c>
      <c r="AW66" s="373"/>
      <c r="AX66" s="372"/>
      <c r="AY66" s="343"/>
      <c r="AZ66" s="332">
        <f>SUMIFS(BASE_EX!$J:$J,BASE_EX!$B:$B,'Direct Charge'!$A66,BASE_EX!$C:$C,"agosto")</f>
        <v>0</v>
      </c>
      <c r="BA66" s="373"/>
      <c r="BB66" s="372"/>
      <c r="BC66" s="343"/>
      <c r="BD66" s="332">
        <f>SUMIFS(BASE_EX!$J:$J,BASE_EX!$B:$B,'Direct Charge'!$A66,BASE_EX!$C:$C,"setembro")</f>
        <v>0</v>
      </c>
      <c r="BE66" s="373"/>
      <c r="BF66" s="372"/>
      <c r="BG66" s="343"/>
      <c r="BH66" s="332">
        <f>SUMIFS(BASE_EX!$J:$J,BASE_EX!$B:$B,'Direct Charge'!$A66,BASE_EX!$C:$C,"outubro")</f>
        <v>0</v>
      </c>
      <c r="BI66" s="373"/>
      <c r="BJ66" s="372"/>
      <c r="BK66" s="343"/>
      <c r="BL66" s="332">
        <f>SUMIFS(BASE_EX!$J:$J,BASE_EX!$B:$B,'Direct Charge'!$A66,BASE_EX!$C:$C,"novembro")</f>
        <v>0</v>
      </c>
      <c r="BM66" s="373"/>
      <c r="BN66" s="372"/>
      <c r="BO66" s="343"/>
      <c r="BP66" s="332">
        <f>SUMIFS(BASE_EX!$J:$J,BASE_EX!$B:$B,'Direct Charge'!$A66,BASE_EX!$C:$C,"dezembro")</f>
        <v>0</v>
      </c>
      <c r="BQ66" s="373"/>
      <c r="BR66" s="452"/>
      <c r="BS66" s="156">
        <f t="shared" si="11"/>
        <v>0</v>
      </c>
      <c r="BT66" s="320">
        <f t="shared" si="12"/>
        <v>0</v>
      </c>
      <c r="BU66" s="157" t="e">
        <f>SUM(L66,M66,N66,O66,U66)-#REF!</f>
        <v>#REF!</v>
      </c>
      <c r="BV66" s="346">
        <f t="shared" si="13"/>
        <v>0</v>
      </c>
      <c r="BW66" s="344" t="str">
        <f>IFERROR(VLOOKUP($A66,'BASE_558 EX'!$D:$R,8,FALSE),"")</f>
        <v xml:space="preserve">          119.177,10</v>
      </c>
      <c r="BX66" s="344" t="str">
        <f>IFERROR(VLOOKUP($A66,'BASE_558 EX'!$D:$R,9,FALSE),"")</f>
        <v xml:space="preserve">           49.476,48</v>
      </c>
      <c r="BY66" s="344" t="str">
        <f>IFERROR(VLOOKUP($A66,'BASE_558 EX'!$D:$R,10,FALSE),"")</f>
        <v xml:space="preserve">                0,00</v>
      </c>
      <c r="BZ66" s="344" t="str">
        <f>IFERROR(VLOOKUP($A66,'BASE_558 EX'!$D:$R,11,FALSE),"")</f>
        <v xml:space="preserve">                0,00</v>
      </c>
      <c r="CA66" s="344" t="str">
        <f>IFERROR(IF(BASE_558!$P$14="RemOrdPla",(VLOOKUP(A66,BASE_558!D:R,14)/1000),(VLOOKUP(A66,BASE_558!D:R,13)/1000)),"")</f>
        <v/>
      </c>
      <c r="CB66" s="344" t="str">
        <f>IFERROR(VLOOKUP($A66,'BASE_558 EX'!$D:$R,15,FALSE),"")</f>
        <v xml:space="preserve">           69.700,62</v>
      </c>
      <c r="CC66" s="442"/>
      <c r="CD66" s="442">
        <f t="shared" si="14"/>
        <v>0</v>
      </c>
    </row>
    <row r="67" spans="1:82" s="23" customFormat="1" ht="25.4" customHeight="1">
      <c r="A67" s="309" t="s">
        <v>2021</v>
      </c>
      <c r="B67" s="309"/>
      <c r="C67" s="187">
        <v>45022</v>
      </c>
      <c r="D67" s="309" t="s">
        <v>1125</v>
      </c>
      <c r="E67" s="309" t="s">
        <v>1125</v>
      </c>
      <c r="F67" s="309" t="s">
        <v>176</v>
      </c>
      <c r="G67" s="339" t="s">
        <v>3265</v>
      </c>
      <c r="H67" s="339" t="s">
        <v>9112</v>
      </c>
      <c r="I67" s="6" t="s">
        <v>218</v>
      </c>
      <c r="J67" s="83" t="s">
        <v>462</v>
      </c>
      <c r="K67" s="308" t="s">
        <v>10773</v>
      </c>
      <c r="L67" s="206"/>
      <c r="M67" s="206">
        <v>0</v>
      </c>
      <c r="N67" s="206">
        <v>0</v>
      </c>
      <c r="O67" s="206">
        <v>0</v>
      </c>
      <c r="P67" s="206"/>
      <c r="Q67" s="206">
        <f t="shared" si="9"/>
        <v>0</v>
      </c>
      <c r="R67" s="206"/>
      <c r="S67" s="206"/>
      <c r="T67" s="223"/>
      <c r="U67" s="169">
        <f t="shared" si="10"/>
        <v>0</v>
      </c>
      <c r="V67" s="372">
        <v>0</v>
      </c>
      <c r="W67" s="343"/>
      <c r="X67" s="332">
        <f>SUMIFS(BASE_EX!$J:$J,BASE_EX!$B:$B,'Direct Charge'!$A67,BASE_EX!$C:$C,"janeiro")</f>
        <v>0</v>
      </c>
      <c r="Y67" s="373"/>
      <c r="Z67" s="372">
        <v>0</v>
      </c>
      <c r="AA67" s="343"/>
      <c r="AB67" s="332">
        <f>SUMIFS(BASE_EX!$J:$J,BASE_EX!$B:$B,'Direct Charge'!$A67,BASE_EX!$C:$C,"fevereiro")</f>
        <v>0</v>
      </c>
      <c r="AC67" s="373"/>
      <c r="AD67" s="372"/>
      <c r="AE67" s="343"/>
      <c r="AF67" s="332">
        <f>SUMIFS(BASE_EX!$J:$J,BASE_EX!$B:$B,'Direct Charge'!$A67,BASE_EX!$C:$C,"março")</f>
        <v>0</v>
      </c>
      <c r="AG67" s="373"/>
      <c r="AH67" s="372"/>
      <c r="AI67" s="343"/>
      <c r="AJ67" s="332">
        <f>SUMIFS(BASE_EX!$J:$J,BASE_EX!$B:$B,'Direct Charge'!$A67,BASE_EX!$C:$C,"abril")</f>
        <v>0</v>
      </c>
      <c r="AK67" s="373"/>
      <c r="AL67" s="372"/>
      <c r="AM67" s="343"/>
      <c r="AN67" s="332">
        <f>SUMIFS(BASE_EX!$J:$J,BASE_EX!$B:$B,'Direct Charge'!$A67,BASE_EX!$C:$C,"maio")</f>
        <v>0</v>
      </c>
      <c r="AO67" s="373"/>
      <c r="AP67" s="372"/>
      <c r="AQ67" s="343"/>
      <c r="AR67" s="332">
        <f>SUMIFS(BASE_EX!$J:$J,BASE_EX!$B:$B,'Direct Charge'!$A67,BASE_EX!$C:$C,"junho")</f>
        <v>0</v>
      </c>
      <c r="AS67" s="373"/>
      <c r="AT67" s="372"/>
      <c r="AU67" s="343"/>
      <c r="AV67" s="332">
        <f>SUMIFS(BASE_EX!$J:$J,BASE_EX!$B:$B,'Direct Charge'!$A67,BASE_EX!$C:$C,"julho")</f>
        <v>0</v>
      </c>
      <c r="AW67" s="373"/>
      <c r="AX67" s="372"/>
      <c r="AY67" s="343"/>
      <c r="AZ67" s="332">
        <f>SUMIFS(BASE_EX!$J:$J,BASE_EX!$B:$B,'Direct Charge'!$A67,BASE_EX!$C:$C,"agosto")</f>
        <v>0</v>
      </c>
      <c r="BA67" s="373"/>
      <c r="BB67" s="372"/>
      <c r="BC67" s="343"/>
      <c r="BD67" s="332">
        <f>SUMIFS(BASE_EX!$J:$J,BASE_EX!$B:$B,'Direct Charge'!$A67,BASE_EX!$C:$C,"setembro")</f>
        <v>0</v>
      </c>
      <c r="BE67" s="373"/>
      <c r="BF67" s="372"/>
      <c r="BG67" s="343"/>
      <c r="BH67" s="332">
        <f>SUMIFS(BASE_EX!$J:$J,BASE_EX!$B:$B,'Direct Charge'!$A67,BASE_EX!$C:$C,"outubro")</f>
        <v>0</v>
      </c>
      <c r="BI67" s="373"/>
      <c r="BJ67" s="372"/>
      <c r="BK67" s="343"/>
      <c r="BL67" s="332">
        <f>SUMIFS(BASE_EX!$J:$J,BASE_EX!$B:$B,'Direct Charge'!$A67,BASE_EX!$C:$C,"novembro")</f>
        <v>0</v>
      </c>
      <c r="BM67" s="373"/>
      <c r="BN67" s="372"/>
      <c r="BO67" s="343"/>
      <c r="BP67" s="332">
        <f>SUMIFS(BASE_EX!$J:$J,BASE_EX!$B:$B,'Direct Charge'!$A67,BASE_EX!$C:$C,"dezembro")</f>
        <v>0</v>
      </c>
      <c r="BQ67" s="373"/>
      <c r="BR67" s="452"/>
      <c r="BS67" s="156">
        <f t="shared" si="11"/>
        <v>0</v>
      </c>
      <c r="BT67" s="320">
        <f t="shared" si="12"/>
        <v>0</v>
      </c>
      <c r="BU67" s="157" t="e">
        <f>SUM(L67,M67,N67,O67,U67)-#REF!</f>
        <v>#REF!</v>
      </c>
      <c r="BV67" s="346">
        <f t="shared" si="13"/>
        <v>0</v>
      </c>
      <c r="BW67" s="344" t="str">
        <f>IFERROR(VLOOKUP($A67,'BASE_558 EX'!$D:$R,8,FALSE),"")</f>
        <v xml:space="preserve">            5.675,10</v>
      </c>
      <c r="BX67" s="344" t="str">
        <f>IFERROR(VLOOKUP($A67,'BASE_558 EX'!$D:$R,9,FALSE),"")</f>
        <v xml:space="preserve">                0,00</v>
      </c>
      <c r="BY67" s="344" t="str">
        <f>IFERROR(VLOOKUP($A67,'BASE_558 EX'!$D:$R,10,FALSE),"")</f>
        <v xml:space="preserve">                0,00</v>
      </c>
      <c r="BZ67" s="344" t="str">
        <f>IFERROR(VLOOKUP($A67,'BASE_558 EX'!$D:$R,11,FALSE),"")</f>
        <v xml:space="preserve">                0,00</v>
      </c>
      <c r="CA67" s="344" t="str">
        <f>IFERROR(IF(BASE_558!$P$14="RemOrdPla",(VLOOKUP(A67,BASE_558!D:R,14)/1000),(VLOOKUP(A67,BASE_558!D:R,13)/1000)),"")</f>
        <v/>
      </c>
      <c r="CB67" s="344" t="str">
        <f>IFERROR(VLOOKUP($A67,'BASE_558 EX'!$D:$R,15,FALSE),"")</f>
        <v xml:space="preserve">            5.675,10</v>
      </c>
      <c r="CC67" s="442"/>
      <c r="CD67" s="442">
        <f t="shared" si="14"/>
        <v>0</v>
      </c>
    </row>
    <row r="68" spans="1:82" s="23" customFormat="1" ht="25.4" customHeight="1">
      <c r="A68" s="309" t="s">
        <v>2022</v>
      </c>
      <c r="B68" s="309"/>
      <c r="C68" s="187">
        <v>45034</v>
      </c>
      <c r="D68" s="309" t="s">
        <v>2849</v>
      </c>
      <c r="E68" s="381" t="s">
        <v>2849</v>
      </c>
      <c r="F68" s="309" t="s">
        <v>176</v>
      </c>
      <c r="G68" s="339" t="s">
        <v>2023</v>
      </c>
      <c r="H68" s="339" t="s">
        <v>8877</v>
      </c>
      <c r="I68" s="6" t="s">
        <v>218</v>
      </c>
      <c r="J68" s="83" t="s">
        <v>557</v>
      </c>
      <c r="K68" s="507" t="s">
        <v>10772</v>
      </c>
      <c r="L68" s="206"/>
      <c r="M68" s="206">
        <v>0</v>
      </c>
      <c r="N68" s="206"/>
      <c r="O68" s="206">
        <v>0</v>
      </c>
      <c r="P68" s="206"/>
      <c r="Q68" s="206">
        <f t="shared" si="9"/>
        <v>0</v>
      </c>
      <c r="R68" s="206"/>
      <c r="S68" s="206"/>
      <c r="T68" s="223"/>
      <c r="U68" s="169">
        <f t="shared" si="10"/>
        <v>0</v>
      </c>
      <c r="V68" s="372">
        <v>0</v>
      </c>
      <c r="W68" s="343"/>
      <c r="X68" s="332">
        <f>SUMIFS(BASE_EX!$J:$J,BASE_EX!$B:$B,'Direct Charge'!$A68,BASE_EX!$C:$C,"janeiro")</f>
        <v>0</v>
      </c>
      <c r="Y68" s="373"/>
      <c r="Z68" s="372">
        <v>0</v>
      </c>
      <c r="AA68" s="343"/>
      <c r="AB68" s="332">
        <f>SUMIFS(BASE_EX!$J:$J,BASE_EX!$B:$B,'Direct Charge'!$A68,BASE_EX!$C:$C,"fevereiro")</f>
        <v>0</v>
      </c>
      <c r="AC68" s="373"/>
      <c r="AD68" s="372"/>
      <c r="AE68" s="343"/>
      <c r="AF68" s="332">
        <f>SUMIFS(BASE_EX!$J:$J,BASE_EX!$B:$B,'Direct Charge'!$A68,BASE_EX!$C:$C,"março")</f>
        <v>0</v>
      </c>
      <c r="AG68" s="373"/>
      <c r="AH68" s="372"/>
      <c r="AI68" s="343"/>
      <c r="AJ68" s="332">
        <f>SUMIFS(BASE_EX!$J:$J,BASE_EX!$B:$B,'Direct Charge'!$A68,BASE_EX!$C:$C,"abril")</f>
        <v>0</v>
      </c>
      <c r="AK68" s="373"/>
      <c r="AL68" s="372"/>
      <c r="AM68" s="343"/>
      <c r="AN68" s="332">
        <f>SUMIFS(BASE_EX!$J:$J,BASE_EX!$B:$B,'Direct Charge'!$A68,BASE_EX!$C:$C,"maio")</f>
        <v>0</v>
      </c>
      <c r="AO68" s="373"/>
      <c r="AP68" s="372"/>
      <c r="AQ68" s="343"/>
      <c r="AR68" s="332">
        <f>SUMIFS(BASE_EX!$J:$J,BASE_EX!$B:$B,'Direct Charge'!$A68,BASE_EX!$C:$C,"junho")</f>
        <v>0</v>
      </c>
      <c r="AS68" s="373"/>
      <c r="AT68" s="372"/>
      <c r="AU68" s="343"/>
      <c r="AV68" s="332">
        <f>SUMIFS(BASE_EX!$J:$J,BASE_EX!$B:$B,'Direct Charge'!$A68,BASE_EX!$C:$C,"julho")</f>
        <v>0</v>
      </c>
      <c r="AW68" s="373"/>
      <c r="AX68" s="372"/>
      <c r="AY68" s="343"/>
      <c r="AZ68" s="332">
        <f>SUMIFS(BASE_EX!$J:$J,BASE_EX!$B:$B,'Direct Charge'!$A68,BASE_EX!$C:$C,"agosto")</f>
        <v>0</v>
      </c>
      <c r="BA68" s="373"/>
      <c r="BB68" s="372"/>
      <c r="BC68" s="343"/>
      <c r="BD68" s="332">
        <f>SUMIFS(BASE_EX!$J:$J,BASE_EX!$B:$B,'Direct Charge'!$A68,BASE_EX!$C:$C,"setembro")</f>
        <v>0</v>
      </c>
      <c r="BE68" s="373"/>
      <c r="BF68" s="372"/>
      <c r="BG68" s="343"/>
      <c r="BH68" s="332">
        <f>SUMIFS(BASE_EX!$J:$J,BASE_EX!$B:$B,'Direct Charge'!$A68,BASE_EX!$C:$C,"outubro")</f>
        <v>0</v>
      </c>
      <c r="BI68" s="373"/>
      <c r="BJ68" s="372"/>
      <c r="BK68" s="343"/>
      <c r="BL68" s="332">
        <f>SUMIFS(BASE_EX!$J:$J,BASE_EX!$B:$B,'Direct Charge'!$A68,BASE_EX!$C:$C,"novembro")</f>
        <v>0</v>
      </c>
      <c r="BM68" s="373"/>
      <c r="BN68" s="372"/>
      <c r="BO68" s="343"/>
      <c r="BP68" s="332">
        <f>SUMIFS(BASE_EX!$J:$J,BASE_EX!$B:$B,'Direct Charge'!$A68,BASE_EX!$C:$C,"dezembro")</f>
        <v>0</v>
      </c>
      <c r="BQ68" s="373"/>
      <c r="BR68" s="452"/>
      <c r="BS68" s="156">
        <f t="shared" si="11"/>
        <v>0</v>
      </c>
      <c r="BT68" s="320">
        <f t="shared" si="12"/>
        <v>0</v>
      </c>
      <c r="BU68" s="157" t="e">
        <f>SUM(L68,M68,N68,O68,U68)-#REF!</f>
        <v>#REF!</v>
      </c>
      <c r="BV68" s="346">
        <f t="shared" si="13"/>
        <v>0</v>
      </c>
      <c r="BW68" s="344" t="str">
        <f>IFERROR(VLOOKUP($A68,'BASE_558 EX'!$D:$R,8,FALSE),"")</f>
        <v xml:space="preserve">            4.729,25</v>
      </c>
      <c r="BX68" s="344" t="str">
        <f>IFERROR(VLOOKUP($A68,'BASE_558 EX'!$D:$R,9,FALSE),"")</f>
        <v xml:space="preserve">                0,00</v>
      </c>
      <c r="BY68" s="344" t="str">
        <f>IFERROR(VLOOKUP($A68,'BASE_558 EX'!$D:$R,10,FALSE),"")</f>
        <v xml:space="preserve">                0,00</v>
      </c>
      <c r="BZ68" s="344" t="str">
        <f>IFERROR(VLOOKUP($A68,'BASE_558 EX'!$D:$R,11,FALSE),"")</f>
        <v xml:space="preserve">                0,00</v>
      </c>
      <c r="CA68" s="344" t="str">
        <f>IFERROR(IF(BASE_558!$P$14="RemOrdPla",(VLOOKUP(A68,BASE_558!D:R,14)/1000),(VLOOKUP(A68,BASE_558!D:R,13)/1000)),"")</f>
        <v/>
      </c>
      <c r="CB68" s="344" t="str">
        <f>IFERROR(VLOOKUP($A68,'BASE_558 EX'!$D:$R,15,FALSE),"")</f>
        <v xml:space="preserve">            4.729,25</v>
      </c>
      <c r="CC68" s="442"/>
      <c r="CD68" s="442">
        <f t="shared" si="14"/>
        <v>0</v>
      </c>
    </row>
    <row r="69" spans="1:82" s="23" customFormat="1" ht="25.4" customHeight="1">
      <c r="A69" s="309" t="s">
        <v>2024</v>
      </c>
      <c r="B69" s="309"/>
      <c r="C69" s="187">
        <v>45044</v>
      </c>
      <c r="D69" s="309" t="s">
        <v>2858</v>
      </c>
      <c r="E69" s="309" t="s">
        <v>2856</v>
      </c>
      <c r="F69" s="309" t="s">
        <v>176</v>
      </c>
      <c r="G69" s="339" t="s">
        <v>3266</v>
      </c>
      <c r="H69" s="339" t="s">
        <v>8877</v>
      </c>
      <c r="I69" s="6" t="s">
        <v>218</v>
      </c>
      <c r="J69" s="83" t="s">
        <v>462</v>
      </c>
      <c r="K69" s="308" t="s">
        <v>6797</v>
      </c>
      <c r="L69" s="206"/>
      <c r="M69" s="206">
        <v>0</v>
      </c>
      <c r="N69" s="206"/>
      <c r="O69" s="206">
        <v>9196.2000000000007</v>
      </c>
      <c r="P69" s="206"/>
      <c r="Q69" s="206">
        <f t="shared" si="9"/>
        <v>0</v>
      </c>
      <c r="R69" s="206"/>
      <c r="S69" s="206"/>
      <c r="T69" s="223"/>
      <c r="U69" s="169">
        <f t="shared" si="10"/>
        <v>0</v>
      </c>
      <c r="V69" s="372">
        <v>0</v>
      </c>
      <c r="W69" s="343"/>
      <c r="X69" s="332">
        <f>SUMIFS(BASE_EX!$J:$J,BASE_EX!$B:$B,'Direct Charge'!$A69,BASE_EX!$C:$C,"janeiro")</f>
        <v>0</v>
      </c>
      <c r="Y69" s="373"/>
      <c r="Z69" s="372">
        <v>0</v>
      </c>
      <c r="AA69" s="343"/>
      <c r="AB69" s="332">
        <f>SUMIFS(BASE_EX!$J:$J,BASE_EX!$B:$B,'Direct Charge'!$A69,BASE_EX!$C:$C,"fevereiro")</f>
        <v>0</v>
      </c>
      <c r="AC69" s="373"/>
      <c r="AD69" s="372"/>
      <c r="AE69" s="343"/>
      <c r="AF69" s="332">
        <f>SUMIFS(BASE_EX!$J:$J,BASE_EX!$B:$B,'Direct Charge'!$A69,BASE_EX!$C:$C,"março")</f>
        <v>0</v>
      </c>
      <c r="AG69" s="373"/>
      <c r="AH69" s="372"/>
      <c r="AI69" s="343"/>
      <c r="AJ69" s="332">
        <f>SUMIFS(BASE_EX!$J:$J,BASE_EX!$B:$B,'Direct Charge'!$A69,BASE_EX!$C:$C,"abril")</f>
        <v>0</v>
      </c>
      <c r="AK69" s="373"/>
      <c r="AL69" s="372"/>
      <c r="AM69" s="343"/>
      <c r="AN69" s="332">
        <f>SUMIFS(BASE_EX!$J:$J,BASE_EX!$B:$B,'Direct Charge'!$A69,BASE_EX!$C:$C,"maio")</f>
        <v>0</v>
      </c>
      <c r="AO69" s="373"/>
      <c r="AP69" s="372"/>
      <c r="AQ69" s="343"/>
      <c r="AR69" s="332">
        <f>SUMIFS(BASE_EX!$J:$J,BASE_EX!$B:$B,'Direct Charge'!$A69,BASE_EX!$C:$C,"junho")</f>
        <v>0</v>
      </c>
      <c r="AS69" s="373"/>
      <c r="AT69" s="372"/>
      <c r="AU69" s="343"/>
      <c r="AV69" s="332">
        <f>SUMIFS(BASE_EX!$J:$J,BASE_EX!$B:$B,'Direct Charge'!$A69,BASE_EX!$C:$C,"julho")</f>
        <v>0</v>
      </c>
      <c r="AW69" s="373"/>
      <c r="AX69" s="372"/>
      <c r="AY69" s="343"/>
      <c r="AZ69" s="332">
        <f>SUMIFS(BASE_EX!$J:$J,BASE_EX!$B:$B,'Direct Charge'!$A69,BASE_EX!$C:$C,"agosto")</f>
        <v>0</v>
      </c>
      <c r="BA69" s="373"/>
      <c r="BB69" s="372"/>
      <c r="BC69" s="343"/>
      <c r="BD69" s="332">
        <f>SUMIFS(BASE_EX!$J:$J,BASE_EX!$B:$B,'Direct Charge'!$A69,BASE_EX!$C:$C,"setembro")</f>
        <v>0</v>
      </c>
      <c r="BE69" s="373"/>
      <c r="BF69" s="372"/>
      <c r="BG69" s="343"/>
      <c r="BH69" s="332">
        <f>SUMIFS(BASE_EX!$J:$J,BASE_EX!$B:$B,'Direct Charge'!$A69,BASE_EX!$C:$C,"outubro")</f>
        <v>0</v>
      </c>
      <c r="BI69" s="373"/>
      <c r="BJ69" s="372"/>
      <c r="BK69" s="343"/>
      <c r="BL69" s="332">
        <f>SUMIFS(BASE_EX!$J:$J,BASE_EX!$B:$B,'Direct Charge'!$A69,BASE_EX!$C:$C,"novembro")</f>
        <v>0</v>
      </c>
      <c r="BM69" s="373"/>
      <c r="BN69" s="372"/>
      <c r="BO69" s="343"/>
      <c r="BP69" s="332">
        <f>SUMIFS(BASE_EX!$J:$J,BASE_EX!$B:$B,'Direct Charge'!$A69,BASE_EX!$C:$C,"dezembro")</f>
        <v>0</v>
      </c>
      <c r="BQ69" s="373"/>
      <c r="BR69" s="452"/>
      <c r="BS69" s="156">
        <f t="shared" si="11"/>
        <v>0</v>
      </c>
      <c r="BT69" s="320">
        <f t="shared" si="12"/>
        <v>0</v>
      </c>
      <c r="BU69" s="157" t="e">
        <f>SUM(L69,M69,N69,O69,U69)-#REF!</f>
        <v>#REF!</v>
      </c>
      <c r="BV69" s="346">
        <f t="shared" si="13"/>
        <v>0</v>
      </c>
      <c r="BW69" s="344" t="str">
        <f>IFERROR(VLOOKUP($A69,'BASE_558 EX'!$D:$R,8,FALSE),"")</f>
        <v xml:space="preserve">           10.091,17</v>
      </c>
      <c r="BX69" s="344" t="str">
        <f>IFERROR(VLOOKUP($A69,'BASE_558 EX'!$D:$R,9,FALSE),"")</f>
        <v xml:space="preserve">            9.196,20</v>
      </c>
      <c r="BY69" s="344" t="str">
        <f>IFERROR(VLOOKUP($A69,'BASE_558 EX'!$D:$R,10,FALSE),"")</f>
        <v xml:space="preserve">                0,00</v>
      </c>
      <c r="BZ69" s="344" t="str">
        <f>IFERROR(VLOOKUP($A69,'BASE_558 EX'!$D:$R,11,FALSE),"")</f>
        <v xml:space="preserve">                0,00</v>
      </c>
      <c r="CA69" s="344" t="str">
        <f>IFERROR(IF(BASE_558!$P$14="RemOrdPla",(VLOOKUP(A69,BASE_558!D:R,14)/1000),(VLOOKUP(A69,BASE_558!D:R,13)/1000)),"")</f>
        <v/>
      </c>
      <c r="CB69" s="344" t="str">
        <f>IFERROR(VLOOKUP($A69,'BASE_558 EX'!$D:$R,15,FALSE),"")</f>
        <v xml:space="preserve">              894,97</v>
      </c>
      <c r="CC69" s="442"/>
      <c r="CD69" s="442">
        <f t="shared" si="14"/>
        <v>0</v>
      </c>
    </row>
    <row r="70" spans="1:82" s="23" customFormat="1" ht="25.4" customHeight="1">
      <c r="A70" s="309" t="s">
        <v>2039</v>
      </c>
      <c r="B70" s="309"/>
      <c r="C70" s="187">
        <v>45044</v>
      </c>
      <c r="D70" s="309" t="s">
        <v>481</v>
      </c>
      <c r="E70" s="309" t="s">
        <v>2485</v>
      </c>
      <c r="F70" s="309" t="s">
        <v>176</v>
      </c>
      <c r="G70" s="339" t="s">
        <v>3267</v>
      </c>
      <c r="H70" s="339" t="s">
        <v>8877</v>
      </c>
      <c r="I70" s="6" t="s">
        <v>218</v>
      </c>
      <c r="J70" s="83" t="s">
        <v>462</v>
      </c>
      <c r="K70" s="308" t="s">
        <v>6797</v>
      </c>
      <c r="L70" s="206"/>
      <c r="M70" s="206">
        <v>0</v>
      </c>
      <c r="N70" s="206"/>
      <c r="O70" s="206">
        <v>4556.37</v>
      </c>
      <c r="P70" s="206"/>
      <c r="Q70" s="206">
        <f t="shared" si="9"/>
        <v>0</v>
      </c>
      <c r="R70" s="206"/>
      <c r="S70" s="206"/>
      <c r="T70" s="223"/>
      <c r="U70" s="169">
        <f t="shared" si="10"/>
        <v>0</v>
      </c>
      <c r="V70" s="372">
        <v>0</v>
      </c>
      <c r="W70" s="343"/>
      <c r="X70" s="332">
        <f>SUMIFS(BASE_EX!$J:$J,BASE_EX!$B:$B,'Direct Charge'!$A70,BASE_EX!$C:$C,"janeiro")</f>
        <v>0</v>
      </c>
      <c r="Y70" s="373"/>
      <c r="Z70" s="372">
        <v>0</v>
      </c>
      <c r="AA70" s="343"/>
      <c r="AB70" s="332">
        <f>SUMIFS(BASE_EX!$J:$J,BASE_EX!$B:$B,'Direct Charge'!$A70,BASE_EX!$C:$C,"fevereiro")</f>
        <v>0</v>
      </c>
      <c r="AC70" s="373"/>
      <c r="AD70" s="372"/>
      <c r="AE70" s="343"/>
      <c r="AF70" s="332">
        <f>SUMIFS(BASE_EX!$J:$J,BASE_EX!$B:$B,'Direct Charge'!$A70,BASE_EX!$C:$C,"março")</f>
        <v>0</v>
      </c>
      <c r="AG70" s="373"/>
      <c r="AH70" s="372"/>
      <c r="AI70" s="343"/>
      <c r="AJ70" s="332">
        <f>SUMIFS(BASE_EX!$J:$J,BASE_EX!$B:$B,'Direct Charge'!$A70,BASE_EX!$C:$C,"abril")</f>
        <v>0</v>
      </c>
      <c r="AK70" s="373"/>
      <c r="AL70" s="372"/>
      <c r="AM70" s="343"/>
      <c r="AN70" s="332">
        <f>SUMIFS(BASE_EX!$J:$J,BASE_EX!$B:$B,'Direct Charge'!$A70,BASE_EX!$C:$C,"maio")</f>
        <v>0</v>
      </c>
      <c r="AO70" s="373"/>
      <c r="AP70" s="372"/>
      <c r="AQ70" s="343"/>
      <c r="AR70" s="332">
        <f>SUMIFS(BASE_EX!$J:$J,BASE_EX!$B:$B,'Direct Charge'!$A70,BASE_EX!$C:$C,"junho")</f>
        <v>0</v>
      </c>
      <c r="AS70" s="373"/>
      <c r="AT70" s="372"/>
      <c r="AU70" s="343"/>
      <c r="AV70" s="332">
        <f>SUMIFS(BASE_EX!$J:$J,BASE_EX!$B:$B,'Direct Charge'!$A70,BASE_EX!$C:$C,"julho")</f>
        <v>0</v>
      </c>
      <c r="AW70" s="373"/>
      <c r="AX70" s="372"/>
      <c r="AY70" s="343"/>
      <c r="AZ70" s="332">
        <f>SUMIFS(BASE_EX!$J:$J,BASE_EX!$B:$B,'Direct Charge'!$A70,BASE_EX!$C:$C,"agosto")</f>
        <v>0</v>
      </c>
      <c r="BA70" s="373"/>
      <c r="BB70" s="372"/>
      <c r="BC70" s="343"/>
      <c r="BD70" s="332">
        <f>SUMIFS(BASE_EX!$J:$J,BASE_EX!$B:$B,'Direct Charge'!$A70,BASE_EX!$C:$C,"setembro")</f>
        <v>0</v>
      </c>
      <c r="BE70" s="373"/>
      <c r="BF70" s="372"/>
      <c r="BG70" s="343"/>
      <c r="BH70" s="332">
        <f>SUMIFS(BASE_EX!$J:$J,BASE_EX!$B:$B,'Direct Charge'!$A70,BASE_EX!$C:$C,"outubro")</f>
        <v>0</v>
      </c>
      <c r="BI70" s="373"/>
      <c r="BJ70" s="372"/>
      <c r="BK70" s="343"/>
      <c r="BL70" s="332">
        <f>SUMIFS(BASE_EX!$J:$J,BASE_EX!$B:$B,'Direct Charge'!$A70,BASE_EX!$C:$C,"novembro")</f>
        <v>0</v>
      </c>
      <c r="BM70" s="373"/>
      <c r="BN70" s="372"/>
      <c r="BO70" s="343"/>
      <c r="BP70" s="332">
        <f>SUMIFS(BASE_EX!$J:$J,BASE_EX!$B:$B,'Direct Charge'!$A70,BASE_EX!$C:$C,"dezembro")</f>
        <v>0</v>
      </c>
      <c r="BQ70" s="373"/>
      <c r="BR70" s="452"/>
      <c r="BS70" s="156">
        <f t="shared" si="11"/>
        <v>0</v>
      </c>
      <c r="BT70" s="320">
        <f t="shared" si="12"/>
        <v>0</v>
      </c>
      <c r="BU70" s="157" t="e">
        <f>SUM(L70,M70,N70,O70,U70)-#REF!</f>
        <v>#REF!</v>
      </c>
      <c r="BV70" s="346">
        <f t="shared" si="13"/>
        <v>0</v>
      </c>
      <c r="BW70" s="344" t="str">
        <f>IFERROR(VLOOKUP($A70,'BASE_558 EX'!$D:$R,8,FALSE),"")</f>
        <v xml:space="preserve">           14.187,75</v>
      </c>
      <c r="BX70" s="344" t="str">
        <f>IFERROR(VLOOKUP($A70,'BASE_558 EX'!$D:$R,9,FALSE),"")</f>
        <v xml:space="preserve">            4.556,37</v>
      </c>
      <c r="BY70" s="344" t="str">
        <f>IFERROR(VLOOKUP($A70,'BASE_558 EX'!$D:$R,10,FALSE),"")</f>
        <v xml:space="preserve">                0,00</v>
      </c>
      <c r="BZ70" s="344" t="str">
        <f>IFERROR(VLOOKUP($A70,'BASE_558 EX'!$D:$R,11,FALSE),"")</f>
        <v xml:space="preserve">                0,00</v>
      </c>
      <c r="CA70" s="344" t="str">
        <f>IFERROR(IF(BASE_558!$P$14="RemOrdPla",(VLOOKUP(A70,BASE_558!D:R,14)/1000),(VLOOKUP(A70,BASE_558!D:R,13)/1000)),"")</f>
        <v/>
      </c>
      <c r="CB70" s="344" t="str">
        <f>IFERROR(VLOOKUP($A70,'BASE_558 EX'!$D:$R,15,FALSE),"")</f>
        <v xml:space="preserve">            9.631,38</v>
      </c>
      <c r="CC70" s="442"/>
      <c r="CD70" s="442">
        <f t="shared" si="14"/>
        <v>0</v>
      </c>
    </row>
    <row r="71" spans="1:82" s="23" customFormat="1" ht="25.4" customHeight="1">
      <c r="A71" s="309" t="s">
        <v>2054</v>
      </c>
      <c r="B71" s="309"/>
      <c r="C71" s="187">
        <v>45057</v>
      </c>
      <c r="D71" s="309" t="s">
        <v>2124</v>
      </c>
      <c r="E71" s="309" t="s">
        <v>2124</v>
      </c>
      <c r="F71" s="309" t="s">
        <v>176</v>
      </c>
      <c r="G71" s="360" t="s">
        <v>2055</v>
      </c>
      <c r="H71" s="339" t="s">
        <v>8877</v>
      </c>
      <c r="I71" s="6" t="s">
        <v>195</v>
      </c>
      <c r="J71" s="83" t="s">
        <v>219</v>
      </c>
      <c r="K71" s="507" t="s">
        <v>17700</v>
      </c>
      <c r="L71" s="206"/>
      <c r="M71" s="206">
        <v>0</v>
      </c>
      <c r="N71" s="206">
        <v>0</v>
      </c>
      <c r="O71" s="206">
        <v>0</v>
      </c>
      <c r="P71" s="206">
        <v>12270.8</v>
      </c>
      <c r="Q71" s="206">
        <f t="shared" si="9"/>
        <v>7800</v>
      </c>
      <c r="R71" s="206"/>
      <c r="S71" s="206"/>
      <c r="T71" s="223"/>
      <c r="U71" s="169">
        <f t="shared" si="10"/>
        <v>7800</v>
      </c>
      <c r="V71" s="372">
        <v>0</v>
      </c>
      <c r="W71" s="343"/>
      <c r="X71" s="332">
        <f>SUMIFS(BASE_EX!$J:$J,BASE_EX!$B:$B,'Direct Charge'!$A71,BASE_EX!$C:$C,"janeiro")</f>
        <v>0</v>
      </c>
      <c r="Y71" s="373"/>
      <c r="Z71" s="372">
        <v>0</v>
      </c>
      <c r="AA71" s="343"/>
      <c r="AB71" s="332">
        <f>SUMIFS(BASE_EX!$J:$J,BASE_EX!$B:$B,'Direct Charge'!$A71,BASE_EX!$C:$C,"fevereiro")</f>
        <v>0</v>
      </c>
      <c r="AC71" s="373"/>
      <c r="AD71" s="372">
        <v>2800</v>
      </c>
      <c r="AE71" s="343"/>
      <c r="AF71" s="332">
        <f>SUMIFS(BASE_EX!$J:$J,BASE_EX!$B:$B,'Direct Charge'!$A71,BASE_EX!$C:$C,"março")</f>
        <v>0</v>
      </c>
      <c r="AG71" s="373">
        <v>0</v>
      </c>
      <c r="AH71" s="372">
        <v>7800</v>
      </c>
      <c r="AI71" s="343"/>
      <c r="AJ71" s="332">
        <f>SUMIFS(BASE_EX!$J:$J,BASE_EX!$B:$B,'Direct Charge'!$A71,BASE_EX!$C:$C,"abril")</f>
        <v>0</v>
      </c>
      <c r="AK71" s="373">
        <v>0</v>
      </c>
      <c r="AL71" s="372">
        <v>7800</v>
      </c>
      <c r="AM71" s="343"/>
      <c r="AN71" s="332">
        <f>SUMIFS(BASE_EX!$J:$J,BASE_EX!$B:$B,'Direct Charge'!$A71,BASE_EX!$C:$C,"maio")</f>
        <v>0</v>
      </c>
      <c r="AO71" s="373"/>
      <c r="AP71" s="372">
        <v>7800</v>
      </c>
      <c r="AQ71" s="343"/>
      <c r="AR71" s="332">
        <f>SUMIFS(BASE_EX!$J:$J,BASE_EX!$B:$B,'Direct Charge'!$A71,BASE_EX!$C:$C,"junho")</f>
        <v>0</v>
      </c>
      <c r="AS71" s="373">
        <v>0</v>
      </c>
      <c r="AT71" s="372"/>
      <c r="AU71" s="343"/>
      <c r="AV71" s="332">
        <f>SUMIFS(BASE_EX!$J:$J,BASE_EX!$B:$B,'Direct Charge'!$A71,BASE_EX!$C:$C,"julho")</f>
        <v>0</v>
      </c>
      <c r="AW71" s="373">
        <v>0</v>
      </c>
      <c r="AX71" s="372"/>
      <c r="AY71" s="343"/>
      <c r="AZ71" s="332">
        <f>SUMIFS(BASE_EX!$J:$J,BASE_EX!$B:$B,'Direct Charge'!$A71,BASE_EX!$C:$C,"agosto")</f>
        <v>0</v>
      </c>
      <c r="BA71" s="373">
        <v>7800</v>
      </c>
      <c r="BB71" s="372"/>
      <c r="BC71" s="343"/>
      <c r="BD71" s="332">
        <f>SUMIFS(BASE_EX!$J:$J,BASE_EX!$B:$B,'Direct Charge'!$A71,BASE_EX!$C:$C,"setembro")</f>
        <v>0</v>
      </c>
      <c r="BE71" s="373"/>
      <c r="BF71" s="372"/>
      <c r="BG71" s="343"/>
      <c r="BH71" s="332">
        <f>SUMIFS(BASE_EX!$J:$J,BASE_EX!$B:$B,'Direct Charge'!$A71,BASE_EX!$C:$C,"outubro")</f>
        <v>0</v>
      </c>
      <c r="BI71" s="373"/>
      <c r="BJ71" s="372"/>
      <c r="BK71" s="343"/>
      <c r="BL71" s="332">
        <f>SUMIFS(BASE_EX!$J:$J,BASE_EX!$B:$B,'Direct Charge'!$A71,BASE_EX!$C:$C,"novembro")</f>
        <v>0</v>
      </c>
      <c r="BM71" s="373"/>
      <c r="BN71" s="372"/>
      <c r="BO71" s="343"/>
      <c r="BP71" s="332">
        <f>SUMIFS(BASE_EX!$J:$J,BASE_EX!$B:$B,'Direct Charge'!$A71,BASE_EX!$C:$C,"dezembro")</f>
        <v>0</v>
      </c>
      <c r="BQ71" s="373"/>
      <c r="BR71" s="452"/>
      <c r="BS71" s="156">
        <f t="shared" si="11"/>
        <v>-7800</v>
      </c>
      <c r="BT71" s="320">
        <f t="shared" si="12"/>
        <v>0</v>
      </c>
      <c r="BU71" s="157" t="e">
        <f>SUM(L71,M71,N71,O71,U71)-#REF!</f>
        <v>#REF!</v>
      </c>
      <c r="BV71" s="346">
        <f t="shared" si="13"/>
        <v>7800</v>
      </c>
      <c r="BW71" s="344" t="str">
        <f>IFERROR(VLOOKUP($A71,'BASE_558 EX'!$D:$R,8,FALSE),"")</f>
        <v xml:space="preserve">           22.653,11</v>
      </c>
      <c r="BX71" s="344" t="str">
        <f>IFERROR(VLOOKUP($A71,'BASE_558 EX'!$D:$R,9,FALSE),"")</f>
        <v xml:space="preserve">           12.270,80</v>
      </c>
      <c r="BY71" s="344" t="str">
        <f>IFERROR(VLOOKUP($A71,'BASE_558 EX'!$D:$R,10,FALSE),"")</f>
        <v xml:space="preserve">            7.880,11</v>
      </c>
      <c r="BZ71" s="344" t="str">
        <f>IFERROR(VLOOKUP($A71,'BASE_558 EX'!$D:$R,11,FALSE),"")</f>
        <v xml:space="preserve">                0,00</v>
      </c>
      <c r="CA71" s="344" t="str">
        <f>IFERROR(IF(BASE_558!$P$14="RemOrdPla",(VLOOKUP(A71,BASE_558!D:R,14)/1000),(VLOOKUP(A71,BASE_558!D:R,13)/1000)),"")</f>
        <v/>
      </c>
      <c r="CB71" s="344" t="str">
        <f>IFERROR(VLOOKUP($A71,'BASE_558 EX'!$D:$R,15,FALSE),"")</f>
        <v xml:space="preserve">            2.502,20</v>
      </c>
      <c r="CC71" s="442"/>
      <c r="CD71" s="442">
        <f t="shared" si="14"/>
        <v>0</v>
      </c>
    </row>
    <row r="72" spans="1:82" s="23" customFormat="1" ht="25.4" customHeight="1">
      <c r="A72" s="309" t="s">
        <v>2066</v>
      </c>
      <c r="B72" s="309"/>
      <c r="C72" s="187">
        <v>45064</v>
      </c>
      <c r="D72" s="309" t="s">
        <v>2849</v>
      </c>
      <c r="E72" s="309" t="s">
        <v>2849</v>
      </c>
      <c r="F72" s="309" t="s">
        <v>176</v>
      </c>
      <c r="G72" s="339" t="s">
        <v>2067</v>
      </c>
      <c r="H72" s="339" t="s">
        <v>8877</v>
      </c>
      <c r="I72" s="6" t="s">
        <v>218</v>
      </c>
      <c r="J72" s="83" t="s">
        <v>557</v>
      </c>
      <c r="K72" s="7" t="s">
        <v>2573</v>
      </c>
      <c r="L72" s="206"/>
      <c r="M72" s="206"/>
      <c r="N72" s="206"/>
      <c r="O72" s="206">
        <v>0</v>
      </c>
      <c r="P72" s="206"/>
      <c r="Q72" s="206">
        <f t="shared" ref="Q72:Q94" si="15">U72</f>
        <v>0</v>
      </c>
      <c r="R72" s="206"/>
      <c r="S72" s="206"/>
      <c r="T72" s="223"/>
      <c r="U72" s="169">
        <f t="shared" ref="U72:U103" si="16">SUM(Y72,AC72,AG72,AK72,AO72,AS72,AW72,BA72,BE72,BI72,BM72,BQ72)</f>
        <v>0</v>
      </c>
      <c r="V72" s="372">
        <v>0</v>
      </c>
      <c r="W72" s="343"/>
      <c r="X72" s="332">
        <f>SUMIFS(BASE_EX!$J:$J,BASE_EX!$B:$B,'Direct Charge'!$A72,BASE_EX!$C:$C,"janeiro")</f>
        <v>0</v>
      </c>
      <c r="Y72" s="373"/>
      <c r="Z72" s="372">
        <v>0</v>
      </c>
      <c r="AA72" s="343"/>
      <c r="AB72" s="332">
        <f>SUMIFS(BASE_EX!$J:$J,BASE_EX!$B:$B,'Direct Charge'!$A72,BASE_EX!$C:$C,"fevereiro")</f>
        <v>0</v>
      </c>
      <c r="AC72" s="373"/>
      <c r="AD72" s="372"/>
      <c r="AE72" s="343"/>
      <c r="AF72" s="332">
        <f>SUMIFS(BASE_EX!$J:$J,BASE_EX!$B:$B,'Direct Charge'!$A72,BASE_EX!$C:$C,"março")</f>
        <v>0</v>
      </c>
      <c r="AG72" s="373"/>
      <c r="AH72" s="372"/>
      <c r="AI72" s="343"/>
      <c r="AJ72" s="332">
        <f>SUMIFS(BASE_EX!$J:$J,BASE_EX!$B:$B,'Direct Charge'!$A72,BASE_EX!$C:$C,"abril")</f>
        <v>0</v>
      </c>
      <c r="AK72" s="373"/>
      <c r="AL72" s="372"/>
      <c r="AM72" s="343"/>
      <c r="AN72" s="332">
        <f>SUMIFS(BASE_EX!$J:$J,BASE_EX!$B:$B,'Direct Charge'!$A72,BASE_EX!$C:$C,"maio")</f>
        <v>0</v>
      </c>
      <c r="AO72" s="373"/>
      <c r="AP72" s="372"/>
      <c r="AQ72" s="343"/>
      <c r="AR72" s="332">
        <f>SUMIFS(BASE_EX!$J:$J,BASE_EX!$B:$B,'Direct Charge'!$A72,BASE_EX!$C:$C,"junho")</f>
        <v>0</v>
      </c>
      <c r="AS72" s="373"/>
      <c r="AT72" s="372"/>
      <c r="AU72" s="343"/>
      <c r="AV72" s="332">
        <f>SUMIFS(BASE_EX!$J:$J,BASE_EX!$B:$B,'Direct Charge'!$A72,BASE_EX!$C:$C,"julho")</f>
        <v>0</v>
      </c>
      <c r="AW72" s="373"/>
      <c r="AX72" s="372"/>
      <c r="AY72" s="343"/>
      <c r="AZ72" s="332">
        <f>SUMIFS(BASE_EX!$J:$J,BASE_EX!$B:$B,'Direct Charge'!$A72,BASE_EX!$C:$C,"agosto")</f>
        <v>0</v>
      </c>
      <c r="BA72" s="373"/>
      <c r="BB72" s="372"/>
      <c r="BC72" s="343"/>
      <c r="BD72" s="332">
        <f>SUMIFS(BASE_EX!$J:$J,BASE_EX!$B:$B,'Direct Charge'!$A72,BASE_EX!$C:$C,"setembro")</f>
        <v>0</v>
      </c>
      <c r="BE72" s="373"/>
      <c r="BF72" s="372"/>
      <c r="BG72" s="343"/>
      <c r="BH72" s="332">
        <f>SUMIFS(BASE_EX!$J:$J,BASE_EX!$B:$B,'Direct Charge'!$A72,BASE_EX!$C:$C,"outubro")</f>
        <v>0</v>
      </c>
      <c r="BI72" s="373"/>
      <c r="BJ72" s="372"/>
      <c r="BK72" s="343"/>
      <c r="BL72" s="332">
        <f>SUMIFS(BASE_EX!$J:$J,BASE_EX!$B:$B,'Direct Charge'!$A72,BASE_EX!$C:$C,"novembro")</f>
        <v>0</v>
      </c>
      <c r="BM72" s="373"/>
      <c r="BN72" s="372"/>
      <c r="BO72" s="343"/>
      <c r="BP72" s="332">
        <f>SUMIFS(BASE_EX!$J:$J,BASE_EX!$B:$B,'Direct Charge'!$A72,BASE_EX!$C:$C,"dezembro")</f>
        <v>0</v>
      </c>
      <c r="BQ72" s="373"/>
      <c r="BR72" s="452"/>
      <c r="BS72" s="156">
        <f t="shared" ref="BS72:BS103" si="17">AS72-AP72</f>
        <v>0</v>
      </c>
      <c r="BT72" s="320">
        <f t="shared" ref="BT72:BT103" si="18">AS72-AR72</f>
        <v>0</v>
      </c>
      <c r="BU72" s="157" t="e">
        <f>SUM(L72,M72,N72,O72,U72)-#REF!</f>
        <v>#REF!</v>
      </c>
      <c r="BV72" s="346">
        <f t="shared" ref="BV72:BV103" si="19">U72-T72</f>
        <v>0</v>
      </c>
      <c r="BW72" s="344" t="str">
        <f>IFERROR(VLOOKUP($A72,'BASE_558 EX'!$D:$R,8,FALSE),"")</f>
        <v xml:space="preserve">           31.213,05</v>
      </c>
      <c r="BX72" s="344" t="str">
        <f>IFERROR(VLOOKUP($A72,'BASE_558 EX'!$D:$R,9,FALSE),"")</f>
        <v xml:space="preserve">                0,00</v>
      </c>
      <c r="BY72" s="344" t="str">
        <f>IFERROR(VLOOKUP($A72,'BASE_558 EX'!$D:$R,10,FALSE),"")</f>
        <v xml:space="preserve">                0,00</v>
      </c>
      <c r="BZ72" s="344" t="str">
        <f>IFERROR(VLOOKUP($A72,'BASE_558 EX'!$D:$R,11,FALSE),"")</f>
        <v xml:space="preserve">                0,00</v>
      </c>
      <c r="CA72" s="344" t="str">
        <f>IFERROR(IF(BASE_558!$P$14="RemOrdPla",(VLOOKUP(A72,BASE_558!D:R,14)/1000),(VLOOKUP(A72,BASE_558!D:R,13)/1000)),"")</f>
        <v/>
      </c>
      <c r="CB72" s="344" t="str">
        <f>IFERROR(VLOOKUP($A72,'BASE_558 EX'!$D:$R,15,FALSE),"")</f>
        <v xml:space="preserve">           31.213,05</v>
      </c>
      <c r="CC72" s="442"/>
      <c r="CD72" s="442">
        <f t="shared" ref="CD72:CD103" si="20">AR72-AQ72</f>
        <v>0</v>
      </c>
    </row>
    <row r="73" spans="1:82" s="23" customFormat="1" ht="25.4" customHeight="1">
      <c r="A73" s="309" t="s">
        <v>2084</v>
      </c>
      <c r="B73" s="309"/>
      <c r="C73" s="187">
        <v>45069</v>
      </c>
      <c r="D73" s="309" t="s">
        <v>2124</v>
      </c>
      <c r="E73" s="309" t="s">
        <v>2124</v>
      </c>
      <c r="F73" s="309" t="s">
        <v>176</v>
      </c>
      <c r="G73" s="339" t="s">
        <v>2083</v>
      </c>
      <c r="H73" s="339" t="s">
        <v>8877</v>
      </c>
      <c r="I73" s="6" t="s">
        <v>218</v>
      </c>
      <c r="J73" s="83" t="s">
        <v>462</v>
      </c>
      <c r="K73" s="7" t="s">
        <v>2636</v>
      </c>
      <c r="L73" s="206"/>
      <c r="M73" s="206"/>
      <c r="N73" s="206"/>
      <c r="O73" s="206">
        <v>3583.5499999999997</v>
      </c>
      <c r="P73" s="206">
        <v>1086.32</v>
      </c>
      <c r="Q73" s="206">
        <f t="shared" si="15"/>
        <v>0</v>
      </c>
      <c r="R73" s="206"/>
      <c r="S73" s="206"/>
      <c r="T73" s="223"/>
      <c r="U73" s="169">
        <f t="shared" si="16"/>
        <v>0</v>
      </c>
      <c r="V73" s="372">
        <v>0</v>
      </c>
      <c r="W73" s="343"/>
      <c r="X73" s="332">
        <f>SUMIFS(BASE_EX!$J:$J,BASE_EX!$B:$B,'Direct Charge'!$A73,BASE_EX!$C:$C,"janeiro")</f>
        <v>0</v>
      </c>
      <c r="Y73" s="373"/>
      <c r="Z73" s="372">
        <v>0</v>
      </c>
      <c r="AA73" s="343"/>
      <c r="AB73" s="332">
        <f>SUMIFS(BASE_EX!$J:$J,BASE_EX!$B:$B,'Direct Charge'!$A73,BASE_EX!$C:$C,"fevereiro")</f>
        <v>0</v>
      </c>
      <c r="AC73" s="373"/>
      <c r="AD73" s="372"/>
      <c r="AE73" s="343"/>
      <c r="AF73" s="332">
        <f>SUMIFS(BASE_EX!$J:$J,BASE_EX!$B:$B,'Direct Charge'!$A73,BASE_EX!$C:$C,"março")</f>
        <v>0</v>
      </c>
      <c r="AG73" s="373"/>
      <c r="AH73" s="372"/>
      <c r="AI73" s="343"/>
      <c r="AJ73" s="332">
        <f>SUMIFS(BASE_EX!$J:$J,BASE_EX!$B:$B,'Direct Charge'!$A73,BASE_EX!$C:$C,"abril")</f>
        <v>0</v>
      </c>
      <c r="AK73" s="373"/>
      <c r="AL73" s="372"/>
      <c r="AM73" s="343"/>
      <c r="AN73" s="332">
        <f>SUMIFS(BASE_EX!$J:$J,BASE_EX!$B:$B,'Direct Charge'!$A73,BASE_EX!$C:$C,"maio")</f>
        <v>0</v>
      </c>
      <c r="AO73" s="373"/>
      <c r="AP73" s="372"/>
      <c r="AQ73" s="343"/>
      <c r="AR73" s="332">
        <f>SUMIFS(BASE_EX!$J:$J,BASE_EX!$B:$B,'Direct Charge'!$A73,BASE_EX!$C:$C,"junho")</f>
        <v>0</v>
      </c>
      <c r="AS73" s="373"/>
      <c r="AT73" s="372"/>
      <c r="AU73" s="343"/>
      <c r="AV73" s="332">
        <f>SUMIFS(BASE_EX!$J:$J,BASE_EX!$B:$B,'Direct Charge'!$A73,BASE_EX!$C:$C,"julho")</f>
        <v>0</v>
      </c>
      <c r="AW73" s="373"/>
      <c r="AX73" s="372"/>
      <c r="AY73" s="343"/>
      <c r="AZ73" s="332">
        <f>SUMIFS(BASE_EX!$J:$J,BASE_EX!$B:$B,'Direct Charge'!$A73,BASE_EX!$C:$C,"agosto")</f>
        <v>0</v>
      </c>
      <c r="BA73" s="373"/>
      <c r="BB73" s="372"/>
      <c r="BC73" s="343"/>
      <c r="BD73" s="332">
        <f>SUMIFS(BASE_EX!$J:$J,BASE_EX!$B:$B,'Direct Charge'!$A73,BASE_EX!$C:$C,"setembro")</f>
        <v>0</v>
      </c>
      <c r="BE73" s="373"/>
      <c r="BF73" s="372"/>
      <c r="BG73" s="343"/>
      <c r="BH73" s="332">
        <f>SUMIFS(BASE_EX!$J:$J,BASE_EX!$B:$B,'Direct Charge'!$A73,BASE_EX!$C:$C,"outubro")</f>
        <v>0</v>
      </c>
      <c r="BI73" s="373"/>
      <c r="BJ73" s="372"/>
      <c r="BK73" s="343"/>
      <c r="BL73" s="332">
        <f>SUMIFS(BASE_EX!$J:$J,BASE_EX!$B:$B,'Direct Charge'!$A73,BASE_EX!$C:$C,"novembro")</f>
        <v>0</v>
      </c>
      <c r="BM73" s="373"/>
      <c r="BN73" s="372"/>
      <c r="BO73" s="343"/>
      <c r="BP73" s="332">
        <f>SUMIFS(BASE_EX!$J:$J,BASE_EX!$B:$B,'Direct Charge'!$A73,BASE_EX!$C:$C,"dezembro")</f>
        <v>0</v>
      </c>
      <c r="BQ73" s="373"/>
      <c r="BR73" s="452"/>
      <c r="BS73" s="156">
        <f t="shared" si="17"/>
        <v>0</v>
      </c>
      <c r="BT73" s="320">
        <f t="shared" si="18"/>
        <v>0</v>
      </c>
      <c r="BU73" s="157" t="e">
        <f>SUM(L73,M73,N73,O73,U73)-#REF!</f>
        <v>#REF!</v>
      </c>
      <c r="BV73" s="346">
        <f t="shared" si="19"/>
        <v>0</v>
      </c>
      <c r="BW73" s="344" t="str">
        <f>IFERROR(VLOOKUP($A73,'BASE_558 EX'!$D:$R,8,FALSE),"")</f>
        <v xml:space="preserve">            4.729,25</v>
      </c>
      <c r="BX73" s="344" t="str">
        <f>IFERROR(VLOOKUP($A73,'BASE_558 EX'!$D:$R,9,FALSE),"")</f>
        <v xml:space="preserve">            4.669,87</v>
      </c>
      <c r="BY73" s="344" t="str">
        <f>IFERROR(VLOOKUP($A73,'BASE_558 EX'!$D:$R,10,FALSE),"")</f>
        <v xml:space="preserve">                0,00</v>
      </c>
      <c r="BZ73" s="344" t="str">
        <f>IFERROR(VLOOKUP($A73,'BASE_558 EX'!$D:$R,11,FALSE),"")</f>
        <v xml:space="preserve">                0,00</v>
      </c>
      <c r="CA73" s="344" t="str">
        <f>IFERROR(IF(BASE_558!$P$14="RemOrdPla",(VLOOKUP(A73,BASE_558!D:R,14)/1000),(VLOOKUP(A73,BASE_558!D:R,13)/1000)),"")</f>
        <v/>
      </c>
      <c r="CB73" s="344" t="str">
        <f>IFERROR(VLOOKUP($A73,'BASE_558 EX'!$D:$R,15,FALSE),"")</f>
        <v xml:space="preserve">               59,38</v>
      </c>
      <c r="CC73" s="442"/>
      <c r="CD73" s="442">
        <f t="shared" si="20"/>
        <v>0</v>
      </c>
    </row>
    <row r="74" spans="1:82" s="23" customFormat="1" ht="25.4" customHeight="1">
      <c r="A74" s="309" t="s">
        <v>2096</v>
      </c>
      <c r="B74" s="309"/>
      <c r="C74" s="187">
        <v>45077</v>
      </c>
      <c r="D74" s="309" t="s">
        <v>704</v>
      </c>
      <c r="E74" s="309" t="s">
        <v>704</v>
      </c>
      <c r="F74" s="309" t="s">
        <v>176</v>
      </c>
      <c r="G74" s="339" t="s">
        <v>2097</v>
      </c>
      <c r="H74" s="339" t="s">
        <v>8877</v>
      </c>
      <c r="I74" s="6" t="s">
        <v>195</v>
      </c>
      <c r="J74" s="83" t="s">
        <v>219</v>
      </c>
      <c r="K74" s="512" t="s">
        <v>11313</v>
      </c>
      <c r="L74" s="206"/>
      <c r="M74" s="206"/>
      <c r="N74" s="206"/>
      <c r="O74" s="206">
        <v>0</v>
      </c>
      <c r="P74" s="206"/>
      <c r="Q74" s="206">
        <f t="shared" si="15"/>
        <v>308.89000000000004</v>
      </c>
      <c r="R74" s="206"/>
      <c r="S74" s="206"/>
      <c r="T74" s="223"/>
      <c r="U74" s="169">
        <f t="shared" si="16"/>
        <v>308.89000000000004</v>
      </c>
      <c r="V74" s="372">
        <v>0</v>
      </c>
      <c r="W74" s="343"/>
      <c r="X74" s="332">
        <f>SUMIFS(BASE_EX!$J:$J,BASE_EX!$B:$B,'Direct Charge'!$A74,BASE_EX!$C:$C,"janeiro")</f>
        <v>0</v>
      </c>
      <c r="Y74" s="373"/>
      <c r="Z74" s="372">
        <v>0</v>
      </c>
      <c r="AA74" s="343"/>
      <c r="AB74" s="332">
        <f>SUMIFS(BASE_EX!$J:$J,BASE_EX!$B:$B,'Direct Charge'!$A74,BASE_EX!$C:$C,"fevereiro")</f>
        <v>0</v>
      </c>
      <c r="AC74" s="373"/>
      <c r="AD74" s="372"/>
      <c r="AE74" s="343">
        <v>279.97000000000003</v>
      </c>
      <c r="AF74" s="332">
        <f>SUMIFS(BASE_EX!$J:$J,BASE_EX!$B:$B,'Direct Charge'!$A74,BASE_EX!$C:$C,"março")</f>
        <v>279.97000000000003</v>
      </c>
      <c r="AG74" s="373">
        <v>279.97000000000003</v>
      </c>
      <c r="AH74" s="372"/>
      <c r="AI74" s="343">
        <v>28.92</v>
      </c>
      <c r="AJ74" s="332">
        <f>SUMIFS(BASE_EX!$J:$J,BASE_EX!$B:$B,'Direct Charge'!$A74,BASE_EX!$C:$C,"abril")</f>
        <v>28.92</v>
      </c>
      <c r="AK74" s="373">
        <v>28.92</v>
      </c>
      <c r="AL74" s="372"/>
      <c r="AM74" s="343"/>
      <c r="AN74" s="332">
        <f>SUMIFS(BASE_EX!$J:$J,BASE_EX!$B:$B,'Direct Charge'!$A74,BASE_EX!$C:$C,"maio")</f>
        <v>0</v>
      </c>
      <c r="AO74" s="373"/>
      <c r="AP74" s="372"/>
      <c r="AQ74" s="343"/>
      <c r="AR74" s="332">
        <f>SUMIFS(BASE_EX!$J:$J,BASE_EX!$B:$B,'Direct Charge'!$A74,BASE_EX!$C:$C,"junho")</f>
        <v>0</v>
      </c>
      <c r="AS74" s="373"/>
      <c r="AT74" s="372"/>
      <c r="AU74" s="343"/>
      <c r="AV74" s="332">
        <f>SUMIFS(BASE_EX!$J:$J,BASE_EX!$B:$B,'Direct Charge'!$A74,BASE_EX!$C:$C,"julho")</f>
        <v>0</v>
      </c>
      <c r="AW74" s="373"/>
      <c r="AX74" s="372"/>
      <c r="AY74" s="343"/>
      <c r="AZ74" s="332">
        <f>SUMIFS(BASE_EX!$J:$J,BASE_EX!$B:$B,'Direct Charge'!$A74,BASE_EX!$C:$C,"agosto")</f>
        <v>0</v>
      </c>
      <c r="BA74" s="373"/>
      <c r="BB74" s="372"/>
      <c r="BC74" s="343"/>
      <c r="BD74" s="332">
        <f>SUMIFS(BASE_EX!$J:$J,BASE_EX!$B:$B,'Direct Charge'!$A74,BASE_EX!$C:$C,"setembro")</f>
        <v>0</v>
      </c>
      <c r="BE74" s="373"/>
      <c r="BF74" s="372"/>
      <c r="BG74" s="343"/>
      <c r="BH74" s="332">
        <f>SUMIFS(BASE_EX!$J:$J,BASE_EX!$B:$B,'Direct Charge'!$A74,BASE_EX!$C:$C,"outubro")</f>
        <v>0</v>
      </c>
      <c r="BI74" s="373"/>
      <c r="BJ74" s="372"/>
      <c r="BK74" s="343"/>
      <c r="BL74" s="332">
        <f>SUMIFS(BASE_EX!$J:$J,BASE_EX!$B:$B,'Direct Charge'!$A74,BASE_EX!$C:$C,"novembro")</f>
        <v>0</v>
      </c>
      <c r="BM74" s="373"/>
      <c r="BN74" s="372"/>
      <c r="BO74" s="343"/>
      <c r="BP74" s="332">
        <f>SUMIFS(BASE_EX!$J:$J,BASE_EX!$B:$B,'Direct Charge'!$A74,BASE_EX!$C:$C,"dezembro")</f>
        <v>0</v>
      </c>
      <c r="BQ74" s="373"/>
      <c r="BR74" s="452"/>
      <c r="BS74" s="156">
        <f t="shared" si="17"/>
        <v>0</v>
      </c>
      <c r="BT74" s="320">
        <f t="shared" si="18"/>
        <v>0</v>
      </c>
      <c r="BU74" s="157" t="e">
        <f>SUM(L74,M74,N74,O74,U74)-#REF!</f>
        <v>#REF!</v>
      </c>
      <c r="BV74" s="346">
        <f t="shared" si="19"/>
        <v>308.89000000000004</v>
      </c>
      <c r="BW74" s="344" t="str">
        <f>IFERROR(VLOOKUP($A74,'BASE_558 EX'!$D:$R,8,FALSE),"")</f>
        <v xml:space="preserve">              340,51</v>
      </c>
      <c r="BX74" s="344" t="str">
        <f>IFERROR(VLOOKUP($A74,'BASE_558 EX'!$D:$R,9,FALSE),"")</f>
        <v xml:space="preserve">              308,89</v>
      </c>
      <c r="BY74" s="344" t="str">
        <f>IFERROR(VLOOKUP($A74,'BASE_558 EX'!$D:$R,10,FALSE),"")</f>
        <v xml:space="preserve">                0,00</v>
      </c>
      <c r="BZ74" s="344" t="str">
        <f>IFERROR(VLOOKUP($A74,'BASE_558 EX'!$D:$R,11,FALSE),"")</f>
        <v xml:space="preserve">                0,00</v>
      </c>
      <c r="CA74" s="344" t="str">
        <f>IFERROR(IF(BASE_558!$P$14="RemOrdPla",(VLOOKUP(A74,BASE_558!D:R,14)/1000),(VLOOKUP(A74,BASE_558!D:R,13)/1000)),"")</f>
        <v/>
      </c>
      <c r="CB74" s="344" t="str">
        <f>IFERROR(VLOOKUP($A74,'BASE_558 EX'!$D:$R,15,FALSE),"")</f>
        <v xml:space="preserve">               31,62</v>
      </c>
      <c r="CC74" s="442"/>
      <c r="CD74" s="442">
        <f t="shared" si="20"/>
        <v>0</v>
      </c>
    </row>
    <row r="75" spans="1:82" s="23" customFormat="1" ht="25.4" customHeight="1">
      <c r="A75" s="309" t="s">
        <v>2122</v>
      </c>
      <c r="B75" s="309"/>
      <c r="C75" s="187">
        <v>45105</v>
      </c>
      <c r="D75" s="309" t="s">
        <v>704</v>
      </c>
      <c r="E75" s="309" t="s">
        <v>704</v>
      </c>
      <c r="F75" s="309" t="s">
        <v>176</v>
      </c>
      <c r="G75" s="339" t="s">
        <v>2123</v>
      </c>
      <c r="H75" s="339" t="s">
        <v>8877</v>
      </c>
      <c r="I75" s="6" t="s">
        <v>218</v>
      </c>
      <c r="J75" s="83" t="s">
        <v>462</v>
      </c>
      <c r="K75" s="7" t="s">
        <v>1600</v>
      </c>
      <c r="L75" s="206"/>
      <c r="M75" s="206"/>
      <c r="N75" s="206"/>
      <c r="O75" s="206">
        <v>0</v>
      </c>
      <c r="P75" s="206">
        <v>5841.98</v>
      </c>
      <c r="Q75" s="206">
        <f t="shared" si="15"/>
        <v>0</v>
      </c>
      <c r="R75" s="206"/>
      <c r="S75" s="206"/>
      <c r="T75" s="223"/>
      <c r="U75" s="169">
        <f t="shared" si="16"/>
        <v>0</v>
      </c>
      <c r="V75" s="372">
        <v>0</v>
      </c>
      <c r="W75" s="343"/>
      <c r="X75" s="332">
        <f>SUMIFS(BASE_EX!$J:$J,BASE_EX!$B:$B,'Direct Charge'!$A75,BASE_EX!$C:$C,"janeiro")</f>
        <v>0</v>
      </c>
      <c r="Y75" s="373"/>
      <c r="Z75" s="372">
        <v>0</v>
      </c>
      <c r="AA75" s="343"/>
      <c r="AB75" s="332">
        <f>SUMIFS(BASE_EX!$J:$J,BASE_EX!$B:$B,'Direct Charge'!$A75,BASE_EX!$C:$C,"fevereiro")</f>
        <v>0</v>
      </c>
      <c r="AC75" s="373"/>
      <c r="AD75" s="372"/>
      <c r="AE75" s="343"/>
      <c r="AF75" s="332">
        <f>SUMIFS(BASE_EX!$J:$J,BASE_EX!$B:$B,'Direct Charge'!$A75,BASE_EX!$C:$C,"março")</f>
        <v>0</v>
      </c>
      <c r="AG75" s="373"/>
      <c r="AH75" s="372"/>
      <c r="AI75" s="343"/>
      <c r="AJ75" s="332">
        <f>SUMIFS(BASE_EX!$J:$J,BASE_EX!$B:$B,'Direct Charge'!$A75,BASE_EX!$C:$C,"abril")</f>
        <v>0</v>
      </c>
      <c r="AK75" s="373"/>
      <c r="AL75" s="372"/>
      <c r="AM75" s="343"/>
      <c r="AN75" s="332">
        <f>SUMIFS(BASE_EX!$J:$J,BASE_EX!$B:$B,'Direct Charge'!$A75,BASE_EX!$C:$C,"maio")</f>
        <v>0</v>
      </c>
      <c r="AO75" s="373"/>
      <c r="AP75" s="372"/>
      <c r="AQ75" s="343"/>
      <c r="AR75" s="332">
        <f>SUMIFS(BASE_EX!$J:$J,BASE_EX!$B:$B,'Direct Charge'!$A75,BASE_EX!$C:$C,"junho")</f>
        <v>0</v>
      </c>
      <c r="AS75" s="373"/>
      <c r="AT75" s="372"/>
      <c r="AU75" s="343"/>
      <c r="AV75" s="332">
        <f>SUMIFS(BASE_EX!$J:$J,BASE_EX!$B:$B,'Direct Charge'!$A75,BASE_EX!$C:$C,"julho")</f>
        <v>0</v>
      </c>
      <c r="AW75" s="373"/>
      <c r="AX75" s="372"/>
      <c r="AY75" s="343"/>
      <c r="AZ75" s="332">
        <f>SUMIFS(BASE_EX!$J:$J,BASE_EX!$B:$B,'Direct Charge'!$A75,BASE_EX!$C:$C,"agosto")</f>
        <v>0</v>
      </c>
      <c r="BA75" s="373"/>
      <c r="BB75" s="372"/>
      <c r="BC75" s="343"/>
      <c r="BD75" s="332">
        <f>SUMIFS(BASE_EX!$J:$J,BASE_EX!$B:$B,'Direct Charge'!$A75,BASE_EX!$C:$C,"setembro")</f>
        <v>0</v>
      </c>
      <c r="BE75" s="373"/>
      <c r="BF75" s="372"/>
      <c r="BG75" s="343"/>
      <c r="BH75" s="332">
        <f>SUMIFS(BASE_EX!$J:$J,BASE_EX!$B:$B,'Direct Charge'!$A75,BASE_EX!$C:$C,"outubro")</f>
        <v>0</v>
      </c>
      <c r="BI75" s="373"/>
      <c r="BJ75" s="372"/>
      <c r="BK75" s="343"/>
      <c r="BL75" s="332">
        <f>SUMIFS(BASE_EX!$J:$J,BASE_EX!$B:$B,'Direct Charge'!$A75,BASE_EX!$C:$C,"novembro")</f>
        <v>0</v>
      </c>
      <c r="BM75" s="373"/>
      <c r="BN75" s="372"/>
      <c r="BO75" s="343"/>
      <c r="BP75" s="332">
        <f>SUMIFS(BASE_EX!$J:$J,BASE_EX!$B:$B,'Direct Charge'!$A75,BASE_EX!$C:$C,"dezembro")</f>
        <v>0</v>
      </c>
      <c r="BQ75" s="373"/>
      <c r="BR75" s="452"/>
      <c r="BS75" s="156">
        <f t="shared" si="17"/>
        <v>0</v>
      </c>
      <c r="BT75" s="320">
        <f t="shared" si="18"/>
        <v>0</v>
      </c>
      <c r="BU75" s="157" t="e">
        <f>SUM(L75,M75,N75,O75,U75)-#REF!</f>
        <v>#REF!</v>
      </c>
      <c r="BV75" s="346">
        <f t="shared" si="19"/>
        <v>0</v>
      </c>
      <c r="BW75" s="344" t="str">
        <f>IFERROR(VLOOKUP($A75,'BASE_558 EX'!$D:$R,8,FALSE),"")</f>
        <v xml:space="preserve">            6.810,12</v>
      </c>
      <c r="BX75" s="344" t="str">
        <f>IFERROR(VLOOKUP($A75,'BASE_558 EX'!$D:$R,9,FALSE),"")</f>
        <v xml:space="preserve">            5.841,98</v>
      </c>
      <c r="BY75" s="344" t="str">
        <f>IFERROR(VLOOKUP($A75,'BASE_558 EX'!$D:$R,10,FALSE),"")</f>
        <v xml:space="preserve">                0,00</v>
      </c>
      <c r="BZ75" s="344" t="str">
        <f>IFERROR(VLOOKUP($A75,'BASE_558 EX'!$D:$R,11,FALSE),"")</f>
        <v xml:space="preserve">                0,00</v>
      </c>
      <c r="CA75" s="344" t="str">
        <f>IFERROR(IF(BASE_558!$P$14="RemOrdPla",(VLOOKUP(A75,BASE_558!D:R,14)/1000),(VLOOKUP(A75,BASE_558!D:R,13)/1000)),"")</f>
        <v/>
      </c>
      <c r="CB75" s="344" t="str">
        <f>IFERROR(VLOOKUP($A75,'BASE_558 EX'!$D:$R,15,FALSE),"")</f>
        <v xml:space="preserve">              968,14</v>
      </c>
      <c r="CC75" s="442"/>
      <c r="CD75" s="442">
        <f t="shared" si="20"/>
        <v>0</v>
      </c>
    </row>
    <row r="76" spans="1:82" s="23" customFormat="1" ht="25.4" customHeight="1">
      <c r="A76" s="309" t="s">
        <v>2131</v>
      </c>
      <c r="B76" s="309"/>
      <c r="C76" s="187">
        <v>45106</v>
      </c>
      <c r="D76" s="309" t="s">
        <v>1125</v>
      </c>
      <c r="E76" s="309" t="s">
        <v>1125</v>
      </c>
      <c r="F76" s="309" t="s">
        <v>176</v>
      </c>
      <c r="G76" s="339" t="s">
        <v>2132</v>
      </c>
      <c r="H76" s="339" t="s">
        <v>9112</v>
      </c>
      <c r="I76" s="6" t="s">
        <v>195</v>
      </c>
      <c r="J76" s="83" t="s">
        <v>557</v>
      </c>
      <c r="K76" s="7" t="s">
        <v>6811</v>
      </c>
      <c r="L76" s="206"/>
      <c r="M76" s="206"/>
      <c r="N76" s="206"/>
      <c r="O76" s="206">
        <v>0</v>
      </c>
      <c r="P76" s="206"/>
      <c r="Q76" s="206">
        <f t="shared" si="15"/>
        <v>0</v>
      </c>
      <c r="R76" s="206"/>
      <c r="S76" s="206"/>
      <c r="T76" s="223"/>
      <c r="U76" s="169">
        <f t="shared" si="16"/>
        <v>0</v>
      </c>
      <c r="V76" s="372">
        <v>0</v>
      </c>
      <c r="W76" s="343"/>
      <c r="X76" s="332">
        <f>SUMIFS(BASE_EX!$J:$J,BASE_EX!$B:$B,'Direct Charge'!$A76,BASE_EX!$C:$C,"janeiro")</f>
        <v>0</v>
      </c>
      <c r="Y76" s="373"/>
      <c r="Z76" s="372">
        <v>0</v>
      </c>
      <c r="AA76" s="343"/>
      <c r="AB76" s="332">
        <f>SUMIFS(BASE_EX!$J:$J,BASE_EX!$B:$B,'Direct Charge'!$A76,BASE_EX!$C:$C,"fevereiro")</f>
        <v>0</v>
      </c>
      <c r="AC76" s="373"/>
      <c r="AD76" s="372"/>
      <c r="AE76" s="343"/>
      <c r="AF76" s="332">
        <f>SUMIFS(BASE_EX!$J:$J,BASE_EX!$B:$B,'Direct Charge'!$A76,BASE_EX!$C:$C,"março")</f>
        <v>0</v>
      </c>
      <c r="AG76" s="373"/>
      <c r="AH76" s="372"/>
      <c r="AI76" s="343"/>
      <c r="AJ76" s="332">
        <f>SUMIFS(BASE_EX!$J:$J,BASE_EX!$B:$B,'Direct Charge'!$A76,BASE_EX!$C:$C,"abril")</f>
        <v>0</v>
      </c>
      <c r="AK76" s="373"/>
      <c r="AL76" s="372"/>
      <c r="AM76" s="343"/>
      <c r="AN76" s="332">
        <f>SUMIFS(BASE_EX!$J:$J,BASE_EX!$B:$B,'Direct Charge'!$A76,BASE_EX!$C:$C,"maio")</f>
        <v>0</v>
      </c>
      <c r="AO76" s="373"/>
      <c r="AP76" s="372"/>
      <c r="AQ76" s="343"/>
      <c r="AR76" s="332">
        <f>SUMIFS(BASE_EX!$J:$J,BASE_EX!$B:$B,'Direct Charge'!$A76,BASE_EX!$C:$C,"junho")</f>
        <v>0</v>
      </c>
      <c r="AS76" s="373"/>
      <c r="AT76" s="372"/>
      <c r="AU76" s="343"/>
      <c r="AV76" s="332">
        <f>SUMIFS(BASE_EX!$J:$J,BASE_EX!$B:$B,'Direct Charge'!$A76,BASE_EX!$C:$C,"julho")</f>
        <v>0</v>
      </c>
      <c r="AW76" s="373"/>
      <c r="AX76" s="372"/>
      <c r="AY76" s="343"/>
      <c r="AZ76" s="332">
        <f>SUMIFS(BASE_EX!$J:$J,BASE_EX!$B:$B,'Direct Charge'!$A76,BASE_EX!$C:$C,"agosto")</f>
        <v>0</v>
      </c>
      <c r="BA76" s="373"/>
      <c r="BB76" s="372"/>
      <c r="BC76" s="343"/>
      <c r="BD76" s="332">
        <f>SUMIFS(BASE_EX!$J:$J,BASE_EX!$B:$B,'Direct Charge'!$A76,BASE_EX!$C:$C,"setembro")</f>
        <v>0</v>
      </c>
      <c r="BE76" s="373"/>
      <c r="BF76" s="372"/>
      <c r="BG76" s="343"/>
      <c r="BH76" s="332">
        <f>SUMIFS(BASE_EX!$J:$J,BASE_EX!$B:$B,'Direct Charge'!$A76,BASE_EX!$C:$C,"outubro")</f>
        <v>0</v>
      </c>
      <c r="BI76" s="373"/>
      <c r="BJ76" s="372"/>
      <c r="BK76" s="343"/>
      <c r="BL76" s="332">
        <f>SUMIFS(BASE_EX!$J:$J,BASE_EX!$B:$B,'Direct Charge'!$A76,BASE_EX!$C:$C,"novembro")</f>
        <v>0</v>
      </c>
      <c r="BM76" s="373"/>
      <c r="BN76" s="372"/>
      <c r="BO76" s="343"/>
      <c r="BP76" s="332">
        <f>SUMIFS(BASE_EX!$J:$J,BASE_EX!$B:$B,'Direct Charge'!$A76,BASE_EX!$C:$C,"dezembro")</f>
        <v>0</v>
      </c>
      <c r="BQ76" s="373"/>
      <c r="BR76" s="452"/>
      <c r="BS76" s="156">
        <f t="shared" si="17"/>
        <v>0</v>
      </c>
      <c r="BT76" s="320">
        <f t="shared" si="18"/>
        <v>0</v>
      </c>
      <c r="BU76" s="157" t="e">
        <f>SUM(L76,M76,N76,O76,U76)-#REF!</f>
        <v>#REF!</v>
      </c>
      <c r="BV76" s="346">
        <f t="shared" si="19"/>
        <v>0</v>
      </c>
      <c r="BW76" s="344" t="str">
        <f>IFERROR(VLOOKUP($A76,'BASE_558 EX'!$D:$R,8,FALSE),"")</f>
        <v xml:space="preserve">           90.900,06</v>
      </c>
      <c r="BX76" s="344" t="str">
        <f>IFERROR(VLOOKUP($A76,'BASE_558 EX'!$D:$R,9,FALSE),"")</f>
        <v xml:space="preserve">                0,00</v>
      </c>
      <c r="BY76" s="344" t="str">
        <f>IFERROR(VLOOKUP($A76,'BASE_558 EX'!$D:$R,10,FALSE),"")</f>
        <v xml:space="preserve">                0,00</v>
      </c>
      <c r="BZ76" s="344" t="str">
        <f>IFERROR(VLOOKUP($A76,'BASE_558 EX'!$D:$R,11,FALSE),"")</f>
        <v xml:space="preserve">                0,00</v>
      </c>
      <c r="CA76" s="344" t="str">
        <f>IFERROR(IF(BASE_558!$P$14="RemOrdPla",(VLOOKUP(A76,BASE_558!D:R,14)/1000),(VLOOKUP(A76,BASE_558!D:R,13)/1000)),"")</f>
        <v/>
      </c>
      <c r="CB76" s="344" t="str">
        <f>IFERROR(VLOOKUP($A76,'BASE_558 EX'!$D:$R,15,FALSE),"")</f>
        <v xml:space="preserve">           90.900,06</v>
      </c>
      <c r="CC76" s="442"/>
      <c r="CD76" s="442">
        <f t="shared" si="20"/>
        <v>0</v>
      </c>
    </row>
    <row r="77" spans="1:82" s="23" customFormat="1" ht="25.4" customHeight="1">
      <c r="A77" s="309" t="s">
        <v>2133</v>
      </c>
      <c r="B77" s="309"/>
      <c r="C77" s="187">
        <v>45111</v>
      </c>
      <c r="D77" s="309" t="s">
        <v>2859</v>
      </c>
      <c r="E77" s="381" t="s">
        <v>2859</v>
      </c>
      <c r="F77" s="309" t="s">
        <v>176</v>
      </c>
      <c r="G77" s="339" t="s">
        <v>2134</v>
      </c>
      <c r="H77" s="339" t="s">
        <v>9112</v>
      </c>
      <c r="I77" s="6" t="s">
        <v>218</v>
      </c>
      <c r="J77" s="83" t="s">
        <v>557</v>
      </c>
      <c r="K77" s="7" t="s">
        <v>2572</v>
      </c>
      <c r="L77" s="206"/>
      <c r="M77" s="206"/>
      <c r="N77" s="206"/>
      <c r="O77" s="206">
        <v>0</v>
      </c>
      <c r="P77" s="206"/>
      <c r="Q77" s="206">
        <f t="shared" si="15"/>
        <v>0</v>
      </c>
      <c r="R77" s="206"/>
      <c r="S77" s="206"/>
      <c r="T77" s="223"/>
      <c r="U77" s="169">
        <f t="shared" si="16"/>
        <v>0</v>
      </c>
      <c r="V77" s="372">
        <v>0</v>
      </c>
      <c r="W77" s="343"/>
      <c r="X77" s="332">
        <f>SUMIFS(BASE_EX!$J:$J,BASE_EX!$B:$B,'Direct Charge'!$A77,BASE_EX!$C:$C,"janeiro")</f>
        <v>0</v>
      </c>
      <c r="Y77" s="373"/>
      <c r="Z77" s="372">
        <v>0</v>
      </c>
      <c r="AA77" s="343"/>
      <c r="AB77" s="332">
        <f>SUMIFS(BASE_EX!$J:$J,BASE_EX!$B:$B,'Direct Charge'!$A77,BASE_EX!$C:$C,"fevereiro")</f>
        <v>0</v>
      </c>
      <c r="AC77" s="373"/>
      <c r="AD77" s="372"/>
      <c r="AE77" s="343"/>
      <c r="AF77" s="332">
        <f>SUMIFS(BASE_EX!$J:$J,BASE_EX!$B:$B,'Direct Charge'!$A77,BASE_EX!$C:$C,"março")</f>
        <v>0</v>
      </c>
      <c r="AG77" s="373"/>
      <c r="AH77" s="372"/>
      <c r="AI77" s="343"/>
      <c r="AJ77" s="332">
        <f>SUMIFS(BASE_EX!$J:$J,BASE_EX!$B:$B,'Direct Charge'!$A77,BASE_EX!$C:$C,"abril")</f>
        <v>0</v>
      </c>
      <c r="AK77" s="373"/>
      <c r="AL77" s="372"/>
      <c r="AM77" s="343"/>
      <c r="AN77" s="332">
        <f>SUMIFS(BASE_EX!$J:$J,BASE_EX!$B:$B,'Direct Charge'!$A77,BASE_EX!$C:$C,"maio")</f>
        <v>0</v>
      </c>
      <c r="AO77" s="373"/>
      <c r="AP77" s="372"/>
      <c r="AQ77" s="343"/>
      <c r="AR77" s="332">
        <f>SUMIFS(BASE_EX!$J:$J,BASE_EX!$B:$B,'Direct Charge'!$A77,BASE_EX!$C:$C,"junho")</f>
        <v>0</v>
      </c>
      <c r="AS77" s="373"/>
      <c r="AT77" s="372"/>
      <c r="AU77" s="343"/>
      <c r="AV77" s="332">
        <f>SUMIFS(BASE_EX!$J:$J,BASE_EX!$B:$B,'Direct Charge'!$A77,BASE_EX!$C:$C,"julho")</f>
        <v>0</v>
      </c>
      <c r="AW77" s="373"/>
      <c r="AX77" s="372"/>
      <c r="AY77" s="343"/>
      <c r="AZ77" s="332">
        <f>SUMIFS(BASE_EX!$J:$J,BASE_EX!$B:$B,'Direct Charge'!$A77,BASE_EX!$C:$C,"agosto")</f>
        <v>0</v>
      </c>
      <c r="BA77" s="373"/>
      <c r="BB77" s="372"/>
      <c r="BC77" s="343"/>
      <c r="BD77" s="332">
        <f>SUMIFS(BASE_EX!$J:$J,BASE_EX!$B:$B,'Direct Charge'!$A77,BASE_EX!$C:$C,"setembro")</f>
        <v>0</v>
      </c>
      <c r="BE77" s="373"/>
      <c r="BF77" s="372"/>
      <c r="BG77" s="343"/>
      <c r="BH77" s="332">
        <f>SUMIFS(BASE_EX!$J:$J,BASE_EX!$B:$B,'Direct Charge'!$A77,BASE_EX!$C:$C,"outubro")</f>
        <v>0</v>
      </c>
      <c r="BI77" s="373"/>
      <c r="BJ77" s="372"/>
      <c r="BK77" s="343"/>
      <c r="BL77" s="332">
        <f>SUMIFS(BASE_EX!$J:$J,BASE_EX!$B:$B,'Direct Charge'!$A77,BASE_EX!$C:$C,"novembro")</f>
        <v>0</v>
      </c>
      <c r="BM77" s="373"/>
      <c r="BN77" s="372"/>
      <c r="BO77" s="343"/>
      <c r="BP77" s="332">
        <f>SUMIFS(BASE_EX!$J:$J,BASE_EX!$B:$B,'Direct Charge'!$A77,BASE_EX!$C:$C,"dezembro")</f>
        <v>0</v>
      </c>
      <c r="BQ77" s="373"/>
      <c r="BR77" s="452"/>
      <c r="BS77" s="156">
        <f t="shared" si="17"/>
        <v>0</v>
      </c>
      <c r="BT77" s="320">
        <f t="shared" si="18"/>
        <v>0</v>
      </c>
      <c r="BU77" s="157" t="e">
        <f>SUM(L77,M77,N77,O77,U77)-#REF!</f>
        <v>#REF!</v>
      </c>
      <c r="BV77" s="346">
        <f t="shared" si="19"/>
        <v>0</v>
      </c>
      <c r="BW77" s="344" t="str">
        <f>IFERROR(VLOOKUP($A77,'BASE_558 EX'!$D:$R,8,FALSE),"")</f>
        <v xml:space="preserve">           37.834,00</v>
      </c>
      <c r="BX77" s="344" t="str">
        <f>IFERROR(VLOOKUP($A77,'BASE_558 EX'!$D:$R,9,FALSE),"")</f>
        <v xml:space="preserve">                0,00</v>
      </c>
      <c r="BY77" s="344" t="str">
        <f>IFERROR(VLOOKUP($A77,'BASE_558 EX'!$D:$R,10,FALSE),"")</f>
        <v xml:space="preserve">                0,00</v>
      </c>
      <c r="BZ77" s="344" t="str">
        <f>IFERROR(VLOOKUP($A77,'BASE_558 EX'!$D:$R,11,FALSE),"")</f>
        <v xml:space="preserve">                0,00</v>
      </c>
      <c r="CA77" s="344" t="str">
        <f>IFERROR(IF(BASE_558!$P$14="RemOrdPla",(VLOOKUP(A77,BASE_558!D:R,14)/1000),(VLOOKUP(A77,BASE_558!D:R,13)/1000)),"")</f>
        <v/>
      </c>
      <c r="CB77" s="344" t="str">
        <f>IFERROR(VLOOKUP($A77,'BASE_558 EX'!$D:$R,15,FALSE),"")</f>
        <v xml:space="preserve">           37.834,00</v>
      </c>
      <c r="CC77" s="442"/>
      <c r="CD77" s="442">
        <f t="shared" si="20"/>
        <v>0</v>
      </c>
    </row>
    <row r="78" spans="1:82" s="23" customFormat="1" ht="25.4" customHeight="1">
      <c r="A78" s="309" t="s">
        <v>2157</v>
      </c>
      <c r="B78" s="309"/>
      <c r="C78" s="187">
        <v>45126</v>
      </c>
      <c r="D78" s="309" t="s">
        <v>2858</v>
      </c>
      <c r="E78" s="309" t="s">
        <v>3811</v>
      </c>
      <c r="F78" s="309" t="s">
        <v>176</v>
      </c>
      <c r="G78" s="339" t="s">
        <v>2158</v>
      </c>
      <c r="H78" s="339" t="s">
        <v>9112</v>
      </c>
      <c r="I78" s="6" t="s">
        <v>218</v>
      </c>
      <c r="J78" s="83" t="s">
        <v>462</v>
      </c>
      <c r="K78" s="7" t="s">
        <v>1600</v>
      </c>
      <c r="L78" s="206"/>
      <c r="M78" s="206"/>
      <c r="N78" s="206"/>
      <c r="O78" s="206">
        <v>22789.829999999998</v>
      </c>
      <c r="P78" s="206">
        <v>15413.44</v>
      </c>
      <c r="Q78" s="206">
        <f t="shared" si="15"/>
        <v>0</v>
      </c>
      <c r="R78" s="206"/>
      <c r="S78" s="206"/>
      <c r="T78" s="223"/>
      <c r="U78" s="169">
        <f t="shared" si="16"/>
        <v>0</v>
      </c>
      <c r="V78" s="372">
        <v>0</v>
      </c>
      <c r="W78" s="343"/>
      <c r="X78" s="332">
        <f>SUMIFS(BASE_EX!$J:$J,BASE_EX!$B:$B,'Direct Charge'!$A78,BASE_EX!$C:$C,"janeiro")</f>
        <v>0</v>
      </c>
      <c r="Y78" s="373"/>
      <c r="Z78" s="372">
        <v>0</v>
      </c>
      <c r="AA78" s="343"/>
      <c r="AB78" s="332">
        <f>SUMIFS(BASE_EX!$J:$J,BASE_EX!$B:$B,'Direct Charge'!$A78,BASE_EX!$C:$C,"fevereiro")</f>
        <v>0</v>
      </c>
      <c r="AC78" s="373"/>
      <c r="AD78" s="372"/>
      <c r="AE78" s="343"/>
      <c r="AF78" s="332">
        <f>SUMIFS(BASE_EX!$J:$J,BASE_EX!$B:$B,'Direct Charge'!$A78,BASE_EX!$C:$C,"março")</f>
        <v>0</v>
      </c>
      <c r="AG78" s="373"/>
      <c r="AH78" s="372"/>
      <c r="AI78" s="343"/>
      <c r="AJ78" s="332">
        <f>SUMIFS(BASE_EX!$J:$J,BASE_EX!$B:$B,'Direct Charge'!$A78,BASE_EX!$C:$C,"abril")</f>
        <v>0</v>
      </c>
      <c r="AK78" s="373"/>
      <c r="AL78" s="372"/>
      <c r="AM78" s="343"/>
      <c r="AN78" s="332">
        <f>SUMIFS(BASE_EX!$J:$J,BASE_EX!$B:$B,'Direct Charge'!$A78,BASE_EX!$C:$C,"maio")</f>
        <v>0</v>
      </c>
      <c r="AO78" s="373"/>
      <c r="AP78" s="372"/>
      <c r="AQ78" s="343"/>
      <c r="AR78" s="332">
        <f>SUMIFS(BASE_EX!$J:$J,BASE_EX!$B:$B,'Direct Charge'!$A78,BASE_EX!$C:$C,"junho")</f>
        <v>0</v>
      </c>
      <c r="AS78" s="373"/>
      <c r="AT78" s="372"/>
      <c r="AU78" s="343"/>
      <c r="AV78" s="332">
        <f>SUMIFS(BASE_EX!$J:$J,BASE_EX!$B:$B,'Direct Charge'!$A78,BASE_EX!$C:$C,"julho")</f>
        <v>0</v>
      </c>
      <c r="AW78" s="373"/>
      <c r="AX78" s="372"/>
      <c r="AY78" s="343"/>
      <c r="AZ78" s="332">
        <f>SUMIFS(BASE_EX!$J:$J,BASE_EX!$B:$B,'Direct Charge'!$A78,BASE_EX!$C:$C,"agosto")</f>
        <v>0</v>
      </c>
      <c r="BA78" s="373"/>
      <c r="BB78" s="372"/>
      <c r="BC78" s="343"/>
      <c r="BD78" s="332">
        <f>SUMIFS(BASE_EX!$J:$J,BASE_EX!$B:$B,'Direct Charge'!$A78,BASE_EX!$C:$C,"setembro")</f>
        <v>0</v>
      </c>
      <c r="BE78" s="373"/>
      <c r="BF78" s="372"/>
      <c r="BG78" s="343"/>
      <c r="BH78" s="332">
        <f>SUMIFS(BASE_EX!$J:$J,BASE_EX!$B:$B,'Direct Charge'!$A78,BASE_EX!$C:$C,"outubro")</f>
        <v>0</v>
      </c>
      <c r="BI78" s="373"/>
      <c r="BJ78" s="372"/>
      <c r="BK78" s="343"/>
      <c r="BL78" s="332">
        <f>SUMIFS(BASE_EX!$J:$J,BASE_EX!$B:$B,'Direct Charge'!$A78,BASE_EX!$C:$C,"novembro")</f>
        <v>0</v>
      </c>
      <c r="BM78" s="373"/>
      <c r="BN78" s="372"/>
      <c r="BO78" s="343"/>
      <c r="BP78" s="332">
        <f>SUMIFS(BASE_EX!$J:$J,BASE_EX!$B:$B,'Direct Charge'!$A78,BASE_EX!$C:$C,"dezembro")</f>
        <v>0</v>
      </c>
      <c r="BQ78" s="373"/>
      <c r="BR78" s="452"/>
      <c r="BS78" s="156">
        <f t="shared" si="17"/>
        <v>0</v>
      </c>
      <c r="BT78" s="320">
        <f t="shared" si="18"/>
        <v>0</v>
      </c>
      <c r="BU78" s="157" t="e">
        <f>SUM(L78,M78,N78,O78,U78)-#REF!</f>
        <v>#REF!</v>
      </c>
      <c r="BV78" s="346">
        <f t="shared" si="19"/>
        <v>0</v>
      </c>
      <c r="BW78" s="344" t="str">
        <f>IFERROR(VLOOKUP($A78,'BASE_558 EX'!$D:$R,8,FALSE),"")</f>
        <v xml:space="preserve">           95.341,68</v>
      </c>
      <c r="BX78" s="344" t="str">
        <f>IFERROR(VLOOKUP($A78,'BASE_558 EX'!$D:$R,9,FALSE),"")</f>
        <v xml:space="preserve">           38.203,27</v>
      </c>
      <c r="BY78" s="344" t="str">
        <f>IFERROR(VLOOKUP($A78,'BASE_558 EX'!$D:$R,10,FALSE),"")</f>
        <v xml:space="preserve">                0,00</v>
      </c>
      <c r="BZ78" s="344" t="str">
        <f>IFERROR(VLOOKUP($A78,'BASE_558 EX'!$D:$R,11,FALSE),"")</f>
        <v xml:space="preserve">                0,00</v>
      </c>
      <c r="CA78" s="344" t="str">
        <f>IFERROR(IF(BASE_558!$P$14="RemOrdPla",(VLOOKUP(A78,BASE_558!D:R,14)/1000),(VLOOKUP(A78,BASE_558!D:R,13)/1000)),"")</f>
        <v/>
      </c>
      <c r="CB78" s="344" t="str">
        <f>IFERROR(VLOOKUP($A78,'BASE_558 EX'!$D:$R,15,FALSE),"")</f>
        <v xml:space="preserve">           57.138,41</v>
      </c>
      <c r="CC78" s="442"/>
      <c r="CD78" s="442">
        <f t="shared" si="20"/>
        <v>0</v>
      </c>
    </row>
    <row r="79" spans="1:82" s="23" customFormat="1" ht="25.4" customHeight="1">
      <c r="A79" s="309" t="s">
        <v>2162</v>
      </c>
      <c r="B79" s="309"/>
      <c r="C79" s="187">
        <v>45145</v>
      </c>
      <c r="D79" s="309" t="s">
        <v>2845</v>
      </c>
      <c r="E79" s="309" t="s">
        <v>2845</v>
      </c>
      <c r="F79" s="309" t="s">
        <v>176</v>
      </c>
      <c r="G79" s="339" t="s">
        <v>2163</v>
      </c>
      <c r="H79" s="339" t="s">
        <v>8877</v>
      </c>
      <c r="I79" s="6" t="s">
        <v>218</v>
      </c>
      <c r="J79" s="83" t="s">
        <v>462</v>
      </c>
      <c r="K79" s="507" t="s">
        <v>10772</v>
      </c>
      <c r="L79" s="206"/>
      <c r="M79" s="206"/>
      <c r="N79" s="206"/>
      <c r="O79" s="206">
        <v>0</v>
      </c>
      <c r="P79" s="206">
        <v>25276.239999999998</v>
      </c>
      <c r="Q79" s="206">
        <f t="shared" si="15"/>
        <v>0</v>
      </c>
      <c r="R79" s="206"/>
      <c r="S79" s="206"/>
      <c r="T79" s="223"/>
      <c r="U79" s="169">
        <f t="shared" si="16"/>
        <v>0</v>
      </c>
      <c r="V79" s="372">
        <v>0</v>
      </c>
      <c r="W79" s="343"/>
      <c r="X79" s="332">
        <f>SUMIFS(BASE_EX!$J:$J,BASE_EX!$B:$B,'Direct Charge'!$A79,BASE_EX!$C:$C,"janeiro")</f>
        <v>0</v>
      </c>
      <c r="Y79" s="373"/>
      <c r="Z79" s="372">
        <v>0</v>
      </c>
      <c r="AA79" s="343"/>
      <c r="AB79" s="332">
        <f>SUMIFS(BASE_EX!$J:$J,BASE_EX!$B:$B,'Direct Charge'!$A79,BASE_EX!$C:$C,"fevereiro")</f>
        <v>0</v>
      </c>
      <c r="AC79" s="373"/>
      <c r="AD79" s="372"/>
      <c r="AE79" s="343"/>
      <c r="AF79" s="332">
        <f>SUMIFS(BASE_EX!$J:$J,BASE_EX!$B:$B,'Direct Charge'!$A79,BASE_EX!$C:$C,"março")</f>
        <v>0</v>
      </c>
      <c r="AG79" s="373"/>
      <c r="AH79" s="372"/>
      <c r="AI79" s="343"/>
      <c r="AJ79" s="332">
        <f>SUMIFS(BASE_EX!$J:$J,BASE_EX!$B:$B,'Direct Charge'!$A79,BASE_EX!$C:$C,"abril")</f>
        <v>0</v>
      </c>
      <c r="AK79" s="373"/>
      <c r="AL79" s="372"/>
      <c r="AM79" s="343"/>
      <c r="AN79" s="332">
        <f>SUMIFS(BASE_EX!$J:$J,BASE_EX!$B:$B,'Direct Charge'!$A79,BASE_EX!$C:$C,"maio")</f>
        <v>0</v>
      </c>
      <c r="AO79" s="373"/>
      <c r="AP79" s="372"/>
      <c r="AQ79" s="343"/>
      <c r="AR79" s="332">
        <f>SUMIFS(BASE_EX!$J:$J,BASE_EX!$B:$B,'Direct Charge'!$A79,BASE_EX!$C:$C,"junho")</f>
        <v>0</v>
      </c>
      <c r="AS79" s="373"/>
      <c r="AT79" s="372"/>
      <c r="AU79" s="343"/>
      <c r="AV79" s="332">
        <f>SUMIFS(BASE_EX!$J:$J,BASE_EX!$B:$B,'Direct Charge'!$A79,BASE_EX!$C:$C,"julho")</f>
        <v>0</v>
      </c>
      <c r="AW79" s="373"/>
      <c r="AX79" s="372"/>
      <c r="AY79" s="343"/>
      <c r="AZ79" s="332">
        <f>SUMIFS(BASE_EX!$J:$J,BASE_EX!$B:$B,'Direct Charge'!$A79,BASE_EX!$C:$C,"agosto")</f>
        <v>0</v>
      </c>
      <c r="BA79" s="373"/>
      <c r="BB79" s="372"/>
      <c r="BC79" s="343"/>
      <c r="BD79" s="332">
        <f>SUMIFS(BASE_EX!$J:$J,BASE_EX!$B:$B,'Direct Charge'!$A79,BASE_EX!$C:$C,"setembro")</f>
        <v>0</v>
      </c>
      <c r="BE79" s="373"/>
      <c r="BF79" s="372"/>
      <c r="BG79" s="343"/>
      <c r="BH79" s="332">
        <f>SUMIFS(BASE_EX!$J:$J,BASE_EX!$B:$B,'Direct Charge'!$A79,BASE_EX!$C:$C,"outubro")</f>
        <v>0</v>
      </c>
      <c r="BI79" s="373"/>
      <c r="BJ79" s="372"/>
      <c r="BK79" s="343"/>
      <c r="BL79" s="332">
        <f>SUMIFS(BASE_EX!$J:$J,BASE_EX!$B:$B,'Direct Charge'!$A79,BASE_EX!$C:$C,"novembro")</f>
        <v>0</v>
      </c>
      <c r="BM79" s="373"/>
      <c r="BN79" s="372"/>
      <c r="BO79" s="343"/>
      <c r="BP79" s="332">
        <f>SUMIFS(BASE_EX!$J:$J,BASE_EX!$B:$B,'Direct Charge'!$A79,BASE_EX!$C:$C,"dezembro")</f>
        <v>0</v>
      </c>
      <c r="BQ79" s="373"/>
      <c r="BR79" s="452"/>
      <c r="BS79" s="156">
        <f t="shared" si="17"/>
        <v>0</v>
      </c>
      <c r="BT79" s="320">
        <f t="shared" si="18"/>
        <v>0</v>
      </c>
      <c r="BU79" s="157" t="e">
        <f>SUM(L79,M79,N79,O79,U79)-#REF!</f>
        <v>#REF!</v>
      </c>
      <c r="BV79" s="346">
        <f t="shared" si="19"/>
        <v>0</v>
      </c>
      <c r="BW79" s="344" t="str">
        <f>IFERROR(VLOOKUP($A79,'BASE_558 EX'!$D:$R,8,FALSE),"")</f>
        <v xml:space="preserve">           47.292,50</v>
      </c>
      <c r="BX79" s="344" t="str">
        <f>IFERROR(VLOOKUP($A79,'BASE_558 EX'!$D:$R,9,FALSE),"")</f>
        <v xml:space="preserve">           25.276,24</v>
      </c>
      <c r="BY79" s="344" t="str">
        <f>IFERROR(VLOOKUP($A79,'BASE_558 EX'!$D:$R,10,FALSE),"")</f>
        <v xml:space="preserve">                0,00</v>
      </c>
      <c r="BZ79" s="344" t="str">
        <f>IFERROR(VLOOKUP($A79,'BASE_558 EX'!$D:$R,11,FALSE),"")</f>
        <v xml:space="preserve">                0,00</v>
      </c>
      <c r="CA79" s="344" t="str">
        <f>IFERROR(IF(BASE_558!$P$14="RemOrdPla",(VLOOKUP(A79,BASE_558!D:R,14)/1000),(VLOOKUP(A79,BASE_558!D:R,13)/1000)),"")</f>
        <v/>
      </c>
      <c r="CB79" s="344" t="str">
        <f>IFERROR(VLOOKUP($A79,'BASE_558 EX'!$D:$R,15,FALSE),"")</f>
        <v xml:space="preserve">           22.016,26</v>
      </c>
      <c r="CC79" s="442"/>
      <c r="CD79" s="442">
        <f t="shared" si="20"/>
        <v>0</v>
      </c>
    </row>
    <row r="80" spans="1:82" s="23" customFormat="1" ht="25.4" customHeight="1">
      <c r="A80" s="309" t="s">
        <v>2164</v>
      </c>
      <c r="B80" s="309"/>
      <c r="C80" s="187">
        <v>45146</v>
      </c>
      <c r="D80" s="309" t="s">
        <v>2259</v>
      </c>
      <c r="E80" s="309" t="s">
        <v>2259</v>
      </c>
      <c r="F80" s="309" t="s">
        <v>176</v>
      </c>
      <c r="G80" s="339" t="s">
        <v>2165</v>
      </c>
      <c r="H80" s="339" t="s">
        <v>8877</v>
      </c>
      <c r="I80" s="6" t="s">
        <v>218</v>
      </c>
      <c r="J80" s="83" t="s">
        <v>462</v>
      </c>
      <c r="K80" s="7" t="s">
        <v>1600</v>
      </c>
      <c r="L80" s="206"/>
      <c r="M80" s="206"/>
      <c r="N80" s="206"/>
      <c r="O80" s="206">
        <v>2449.4299999999998</v>
      </c>
      <c r="P80" s="206">
        <v>3592.49</v>
      </c>
      <c r="Q80" s="206">
        <f t="shared" si="15"/>
        <v>0</v>
      </c>
      <c r="R80" s="206"/>
      <c r="S80" s="206"/>
      <c r="T80" s="223"/>
      <c r="U80" s="169">
        <f t="shared" si="16"/>
        <v>0</v>
      </c>
      <c r="V80" s="372">
        <v>0</v>
      </c>
      <c r="W80" s="343"/>
      <c r="X80" s="332">
        <f>SUMIFS(BASE_EX!$J:$J,BASE_EX!$B:$B,'Direct Charge'!$A80,BASE_EX!$C:$C,"janeiro")</f>
        <v>0</v>
      </c>
      <c r="Y80" s="373"/>
      <c r="Z80" s="372">
        <v>0</v>
      </c>
      <c r="AA80" s="343"/>
      <c r="AB80" s="332">
        <f>SUMIFS(BASE_EX!$J:$J,BASE_EX!$B:$B,'Direct Charge'!$A80,BASE_EX!$C:$C,"fevereiro")</f>
        <v>0</v>
      </c>
      <c r="AC80" s="373"/>
      <c r="AD80" s="372"/>
      <c r="AE80" s="343"/>
      <c r="AF80" s="332">
        <f>SUMIFS(BASE_EX!$J:$J,BASE_EX!$B:$B,'Direct Charge'!$A80,BASE_EX!$C:$C,"março")</f>
        <v>0</v>
      </c>
      <c r="AG80" s="373"/>
      <c r="AH80" s="372"/>
      <c r="AI80" s="343"/>
      <c r="AJ80" s="332">
        <f>SUMIFS(BASE_EX!$J:$J,BASE_EX!$B:$B,'Direct Charge'!$A80,BASE_EX!$C:$C,"abril")</f>
        <v>0</v>
      </c>
      <c r="AK80" s="373"/>
      <c r="AL80" s="372"/>
      <c r="AM80" s="343"/>
      <c r="AN80" s="332">
        <f>SUMIFS(BASE_EX!$J:$J,BASE_EX!$B:$B,'Direct Charge'!$A80,BASE_EX!$C:$C,"maio")</f>
        <v>0</v>
      </c>
      <c r="AO80" s="373"/>
      <c r="AP80" s="372"/>
      <c r="AQ80" s="343"/>
      <c r="AR80" s="332">
        <f>SUMIFS(BASE_EX!$J:$J,BASE_EX!$B:$B,'Direct Charge'!$A80,BASE_EX!$C:$C,"junho")</f>
        <v>0</v>
      </c>
      <c r="AS80" s="373"/>
      <c r="AT80" s="372"/>
      <c r="AU80" s="343"/>
      <c r="AV80" s="332">
        <f>SUMIFS(BASE_EX!$J:$J,BASE_EX!$B:$B,'Direct Charge'!$A80,BASE_EX!$C:$C,"julho")</f>
        <v>0</v>
      </c>
      <c r="AW80" s="373"/>
      <c r="AX80" s="372"/>
      <c r="AY80" s="343"/>
      <c r="AZ80" s="332">
        <f>SUMIFS(BASE_EX!$J:$J,BASE_EX!$B:$B,'Direct Charge'!$A80,BASE_EX!$C:$C,"agosto")</f>
        <v>0</v>
      </c>
      <c r="BA80" s="373"/>
      <c r="BB80" s="372"/>
      <c r="BC80" s="343"/>
      <c r="BD80" s="332">
        <f>SUMIFS(BASE_EX!$J:$J,BASE_EX!$B:$B,'Direct Charge'!$A80,BASE_EX!$C:$C,"setembro")</f>
        <v>0</v>
      </c>
      <c r="BE80" s="373"/>
      <c r="BF80" s="372"/>
      <c r="BG80" s="343"/>
      <c r="BH80" s="332">
        <f>SUMIFS(BASE_EX!$J:$J,BASE_EX!$B:$B,'Direct Charge'!$A80,BASE_EX!$C:$C,"outubro")</f>
        <v>0</v>
      </c>
      <c r="BI80" s="373"/>
      <c r="BJ80" s="372"/>
      <c r="BK80" s="343"/>
      <c r="BL80" s="332">
        <f>SUMIFS(BASE_EX!$J:$J,BASE_EX!$B:$B,'Direct Charge'!$A80,BASE_EX!$C:$C,"novembro")</f>
        <v>0</v>
      </c>
      <c r="BM80" s="373"/>
      <c r="BN80" s="372"/>
      <c r="BO80" s="343"/>
      <c r="BP80" s="332">
        <f>SUMIFS(BASE_EX!$J:$J,BASE_EX!$B:$B,'Direct Charge'!$A80,BASE_EX!$C:$C,"dezembro")</f>
        <v>0</v>
      </c>
      <c r="BQ80" s="373"/>
      <c r="BR80" s="452"/>
      <c r="BS80" s="156">
        <f t="shared" si="17"/>
        <v>0</v>
      </c>
      <c r="BT80" s="320">
        <f t="shared" si="18"/>
        <v>0</v>
      </c>
      <c r="BU80" s="157" t="e">
        <f>SUM(L80,M80,N80,O80,U80)-#REF!</f>
        <v>#REF!</v>
      </c>
      <c r="BV80" s="346">
        <f t="shared" si="19"/>
        <v>0</v>
      </c>
      <c r="BW80" s="344" t="str">
        <f>IFERROR(VLOOKUP($A80,'BASE_558 EX'!$D:$R,8,FALSE),"")</f>
        <v xml:space="preserve">           37.834,00</v>
      </c>
      <c r="BX80" s="344" t="str">
        <f>IFERROR(VLOOKUP($A80,'BASE_558 EX'!$D:$R,9,FALSE),"")</f>
        <v xml:space="preserve">            6.041,92</v>
      </c>
      <c r="BY80" s="344" t="str">
        <f>IFERROR(VLOOKUP($A80,'BASE_558 EX'!$D:$R,10,FALSE),"")</f>
        <v xml:space="preserve">                0,00</v>
      </c>
      <c r="BZ80" s="344" t="str">
        <f>IFERROR(VLOOKUP($A80,'BASE_558 EX'!$D:$R,11,FALSE),"")</f>
        <v xml:space="preserve">                0,00</v>
      </c>
      <c r="CA80" s="344" t="str">
        <f>IFERROR(IF(BASE_558!$P$14="RemOrdPla",(VLOOKUP(A80,BASE_558!D:R,14)/1000),(VLOOKUP(A80,BASE_558!D:R,13)/1000)),"")</f>
        <v/>
      </c>
      <c r="CB80" s="344" t="str">
        <f>IFERROR(VLOOKUP($A80,'BASE_558 EX'!$D:$R,15,FALSE),"")</f>
        <v xml:space="preserve">           31.792,08</v>
      </c>
      <c r="CC80" s="442"/>
      <c r="CD80" s="442">
        <f t="shared" si="20"/>
        <v>0</v>
      </c>
    </row>
    <row r="81" spans="1:82" s="23" customFormat="1" ht="25.4" customHeight="1">
      <c r="A81" s="309" t="s">
        <v>2433</v>
      </c>
      <c r="B81" s="309"/>
      <c r="C81" s="187">
        <v>45229</v>
      </c>
      <c r="D81" s="309" t="s">
        <v>2860</v>
      </c>
      <c r="E81" s="309" t="s">
        <v>2860</v>
      </c>
      <c r="F81" s="309" t="s">
        <v>176</v>
      </c>
      <c r="G81" s="339" t="s">
        <v>2434</v>
      </c>
      <c r="H81" s="339" t="s">
        <v>8877</v>
      </c>
      <c r="I81" s="6" t="s">
        <v>218</v>
      </c>
      <c r="J81" s="83" t="s">
        <v>462</v>
      </c>
      <c r="K81" s="7" t="s">
        <v>1600</v>
      </c>
      <c r="L81" s="206"/>
      <c r="M81" s="206"/>
      <c r="N81" s="206"/>
      <c r="O81" s="206">
        <v>0</v>
      </c>
      <c r="P81" s="206">
        <v>3947.6099999999997</v>
      </c>
      <c r="Q81" s="206">
        <f t="shared" si="15"/>
        <v>0</v>
      </c>
      <c r="R81" s="206"/>
      <c r="S81" s="206"/>
      <c r="T81" s="223"/>
      <c r="U81" s="169">
        <f t="shared" si="16"/>
        <v>0</v>
      </c>
      <c r="V81" s="372">
        <v>0</v>
      </c>
      <c r="W81" s="343"/>
      <c r="X81" s="332">
        <f>SUMIFS(BASE_EX!$J:$J,BASE_EX!$B:$B,'Direct Charge'!$A81,BASE_EX!$C:$C,"janeiro")</f>
        <v>0</v>
      </c>
      <c r="Y81" s="373"/>
      <c r="Z81" s="372">
        <v>0</v>
      </c>
      <c r="AA81" s="343"/>
      <c r="AB81" s="332">
        <f>SUMIFS(BASE_EX!$J:$J,BASE_EX!$B:$B,'Direct Charge'!$A81,BASE_EX!$C:$C,"fevereiro")</f>
        <v>0</v>
      </c>
      <c r="AC81" s="373"/>
      <c r="AD81" s="372"/>
      <c r="AE81" s="343"/>
      <c r="AF81" s="332">
        <f>SUMIFS(BASE_EX!$J:$J,BASE_EX!$B:$B,'Direct Charge'!$A81,BASE_EX!$C:$C,"março")</f>
        <v>0</v>
      </c>
      <c r="AG81" s="373"/>
      <c r="AH81" s="372"/>
      <c r="AI81" s="343"/>
      <c r="AJ81" s="332">
        <f>SUMIFS(BASE_EX!$J:$J,BASE_EX!$B:$B,'Direct Charge'!$A81,BASE_EX!$C:$C,"abril")</f>
        <v>0</v>
      </c>
      <c r="AK81" s="373"/>
      <c r="AL81" s="372"/>
      <c r="AM81" s="343"/>
      <c r="AN81" s="332">
        <f>SUMIFS(BASE_EX!$J:$J,BASE_EX!$B:$B,'Direct Charge'!$A81,BASE_EX!$C:$C,"maio")</f>
        <v>0</v>
      </c>
      <c r="AO81" s="373"/>
      <c r="AP81" s="372"/>
      <c r="AQ81" s="343"/>
      <c r="AR81" s="332">
        <f>SUMIFS(BASE_EX!$J:$J,BASE_EX!$B:$B,'Direct Charge'!$A81,BASE_EX!$C:$C,"junho")</f>
        <v>0</v>
      </c>
      <c r="AS81" s="373"/>
      <c r="AT81" s="372"/>
      <c r="AU81" s="343"/>
      <c r="AV81" s="332">
        <f>SUMIFS(BASE_EX!$J:$J,BASE_EX!$B:$B,'Direct Charge'!$A81,BASE_EX!$C:$C,"julho")</f>
        <v>0</v>
      </c>
      <c r="AW81" s="373"/>
      <c r="AX81" s="372"/>
      <c r="AY81" s="343"/>
      <c r="AZ81" s="332">
        <f>SUMIFS(BASE_EX!$J:$J,BASE_EX!$B:$B,'Direct Charge'!$A81,BASE_EX!$C:$C,"agosto")</f>
        <v>0</v>
      </c>
      <c r="BA81" s="373"/>
      <c r="BB81" s="372"/>
      <c r="BC81" s="343"/>
      <c r="BD81" s="332">
        <f>SUMIFS(BASE_EX!$J:$J,BASE_EX!$B:$B,'Direct Charge'!$A81,BASE_EX!$C:$C,"setembro")</f>
        <v>0</v>
      </c>
      <c r="BE81" s="373"/>
      <c r="BF81" s="372"/>
      <c r="BG81" s="343"/>
      <c r="BH81" s="332">
        <f>SUMIFS(BASE_EX!$J:$J,BASE_EX!$B:$B,'Direct Charge'!$A81,BASE_EX!$C:$C,"outubro")</f>
        <v>0</v>
      </c>
      <c r="BI81" s="373"/>
      <c r="BJ81" s="372"/>
      <c r="BK81" s="343"/>
      <c r="BL81" s="332">
        <f>SUMIFS(BASE_EX!$J:$J,BASE_EX!$B:$B,'Direct Charge'!$A81,BASE_EX!$C:$C,"novembro")</f>
        <v>0</v>
      </c>
      <c r="BM81" s="373"/>
      <c r="BN81" s="372"/>
      <c r="BO81" s="343"/>
      <c r="BP81" s="332">
        <f>SUMIFS(BASE_EX!$J:$J,BASE_EX!$B:$B,'Direct Charge'!$A81,BASE_EX!$C:$C,"dezembro")</f>
        <v>0</v>
      </c>
      <c r="BQ81" s="373"/>
      <c r="BR81" s="452"/>
      <c r="BS81" s="156">
        <f t="shared" si="17"/>
        <v>0</v>
      </c>
      <c r="BT81" s="320">
        <f t="shared" si="18"/>
        <v>0</v>
      </c>
      <c r="BU81" s="157" t="e">
        <f>SUM(L81,M81,N81,O81,U81)-#REF!</f>
        <v>#REF!</v>
      </c>
      <c r="BV81" s="346">
        <f t="shared" si="19"/>
        <v>0</v>
      </c>
      <c r="BW81" s="344" t="str">
        <f>IFERROR(VLOOKUP($A81,'BASE_558 EX'!$D:$R,8,FALSE),"")</f>
        <v xml:space="preserve">            4.729,25</v>
      </c>
      <c r="BX81" s="344" t="str">
        <f>IFERROR(VLOOKUP($A81,'BASE_558 EX'!$D:$R,9,FALSE),"")</f>
        <v xml:space="preserve">            3.947,61</v>
      </c>
      <c r="BY81" s="344" t="str">
        <f>IFERROR(VLOOKUP($A81,'BASE_558 EX'!$D:$R,10,FALSE),"")</f>
        <v xml:space="preserve">                0,00</v>
      </c>
      <c r="BZ81" s="344" t="str">
        <f>IFERROR(VLOOKUP($A81,'BASE_558 EX'!$D:$R,11,FALSE),"")</f>
        <v xml:space="preserve">                0,00</v>
      </c>
      <c r="CA81" s="344" t="str">
        <f>IFERROR(IF(BASE_558!$P$14="RemOrdPla",(VLOOKUP(A81,BASE_558!D:R,14)/1000),(VLOOKUP(A81,BASE_558!D:R,13)/1000)),"")</f>
        <v/>
      </c>
      <c r="CB81" s="344" t="str">
        <f>IFERROR(VLOOKUP($A81,'BASE_558 EX'!$D:$R,15,FALSE),"")</f>
        <v xml:space="preserve">              781,64</v>
      </c>
      <c r="CC81" s="442"/>
      <c r="CD81" s="442">
        <f t="shared" si="20"/>
        <v>0</v>
      </c>
    </row>
    <row r="82" spans="1:82" s="23" customFormat="1" ht="25.4" customHeight="1">
      <c r="A82" s="309" t="s">
        <v>2486</v>
      </c>
      <c r="B82" s="309"/>
      <c r="C82" s="187">
        <v>45254</v>
      </c>
      <c r="D82" s="309" t="s">
        <v>2079</v>
      </c>
      <c r="E82" s="309" t="s">
        <v>2079</v>
      </c>
      <c r="F82" s="309" t="s">
        <v>176</v>
      </c>
      <c r="G82" s="339" t="s">
        <v>3268</v>
      </c>
      <c r="H82" s="339" t="s">
        <v>9112</v>
      </c>
      <c r="I82" s="6" t="s">
        <v>218</v>
      </c>
      <c r="J82" s="83" t="s">
        <v>462</v>
      </c>
      <c r="K82" s="308" t="s">
        <v>10773</v>
      </c>
      <c r="L82" s="206"/>
      <c r="M82" s="206"/>
      <c r="N82" s="206"/>
      <c r="O82" s="206">
        <v>0</v>
      </c>
      <c r="P82" s="206">
        <v>40578.79</v>
      </c>
      <c r="Q82" s="206">
        <f t="shared" si="15"/>
        <v>0</v>
      </c>
      <c r="R82" s="206"/>
      <c r="S82" s="206"/>
      <c r="T82" s="223"/>
      <c r="U82" s="169">
        <f t="shared" si="16"/>
        <v>0</v>
      </c>
      <c r="V82" s="372">
        <v>0</v>
      </c>
      <c r="W82" s="343"/>
      <c r="X82" s="332">
        <f>SUMIFS(BASE_EX!$J:$J,BASE_EX!$B:$B,'Direct Charge'!$A82,BASE_EX!$C:$C,"janeiro")</f>
        <v>0</v>
      </c>
      <c r="Y82" s="373"/>
      <c r="Z82" s="372">
        <v>0</v>
      </c>
      <c r="AA82" s="343"/>
      <c r="AB82" s="332">
        <f>SUMIFS(BASE_EX!$J:$J,BASE_EX!$B:$B,'Direct Charge'!$A82,BASE_EX!$C:$C,"fevereiro")</f>
        <v>0</v>
      </c>
      <c r="AC82" s="373"/>
      <c r="AD82" s="372"/>
      <c r="AE82" s="343"/>
      <c r="AF82" s="332">
        <f>SUMIFS(BASE_EX!$J:$J,BASE_EX!$B:$B,'Direct Charge'!$A82,BASE_EX!$C:$C,"março")</f>
        <v>0</v>
      </c>
      <c r="AG82" s="373"/>
      <c r="AH82" s="372"/>
      <c r="AI82" s="343"/>
      <c r="AJ82" s="332">
        <f>SUMIFS(BASE_EX!$J:$J,BASE_EX!$B:$B,'Direct Charge'!$A82,BASE_EX!$C:$C,"abril")</f>
        <v>0</v>
      </c>
      <c r="AK82" s="373"/>
      <c r="AL82" s="372"/>
      <c r="AM82" s="343"/>
      <c r="AN82" s="332">
        <f>SUMIFS(BASE_EX!$J:$J,BASE_EX!$B:$B,'Direct Charge'!$A82,BASE_EX!$C:$C,"maio")</f>
        <v>0</v>
      </c>
      <c r="AO82" s="373"/>
      <c r="AP82" s="372">
        <v>0</v>
      </c>
      <c r="AQ82" s="343"/>
      <c r="AR82" s="332">
        <f>SUMIFS(BASE_EX!$J:$J,BASE_EX!$B:$B,'Direct Charge'!$A82,BASE_EX!$C:$C,"junho")</f>
        <v>0</v>
      </c>
      <c r="AS82" s="373">
        <v>0</v>
      </c>
      <c r="AT82" s="372"/>
      <c r="AU82" s="343"/>
      <c r="AV82" s="332">
        <f>SUMIFS(BASE_EX!$J:$J,BASE_EX!$B:$B,'Direct Charge'!$A82,BASE_EX!$C:$C,"julho")</f>
        <v>0</v>
      </c>
      <c r="AW82" s="373">
        <v>0</v>
      </c>
      <c r="AX82" s="372"/>
      <c r="AY82" s="343"/>
      <c r="AZ82" s="332">
        <f>SUMIFS(BASE_EX!$J:$J,BASE_EX!$B:$B,'Direct Charge'!$A82,BASE_EX!$C:$C,"agosto")</f>
        <v>0</v>
      </c>
      <c r="BA82" s="373"/>
      <c r="BB82" s="372"/>
      <c r="BC82" s="343"/>
      <c r="BD82" s="332">
        <f>SUMIFS(BASE_EX!$J:$J,BASE_EX!$B:$B,'Direct Charge'!$A82,BASE_EX!$C:$C,"setembro")</f>
        <v>0</v>
      </c>
      <c r="BE82" s="373"/>
      <c r="BF82" s="372"/>
      <c r="BG82" s="343"/>
      <c r="BH82" s="332">
        <f>SUMIFS(BASE_EX!$J:$J,BASE_EX!$B:$B,'Direct Charge'!$A82,BASE_EX!$C:$C,"outubro")</f>
        <v>0</v>
      </c>
      <c r="BI82" s="373"/>
      <c r="BJ82" s="372"/>
      <c r="BK82" s="343"/>
      <c r="BL82" s="332">
        <f>SUMIFS(BASE_EX!$J:$J,BASE_EX!$B:$B,'Direct Charge'!$A82,BASE_EX!$C:$C,"novembro")</f>
        <v>0</v>
      </c>
      <c r="BM82" s="373"/>
      <c r="BN82" s="372"/>
      <c r="BO82" s="343"/>
      <c r="BP82" s="332">
        <f>SUMIFS(BASE_EX!$J:$J,BASE_EX!$B:$B,'Direct Charge'!$A82,BASE_EX!$C:$C,"dezembro")</f>
        <v>0</v>
      </c>
      <c r="BQ82" s="373"/>
      <c r="BR82" s="452"/>
      <c r="BS82" s="156">
        <f t="shared" si="17"/>
        <v>0</v>
      </c>
      <c r="BT82" s="320">
        <f t="shared" si="18"/>
        <v>0</v>
      </c>
      <c r="BU82" s="157" t="e">
        <f>SUM(L82,M82,N82,O82,U82)-#REF!</f>
        <v>#REF!</v>
      </c>
      <c r="BV82" s="346">
        <f t="shared" si="19"/>
        <v>0</v>
      </c>
      <c r="BW82" s="344" t="str">
        <f>IFERROR(VLOOKUP($A82,'BASE_558 EX'!$D:$R,8,FALSE),"")</f>
        <v xml:space="preserve">           70.543,66</v>
      </c>
      <c r="BX82" s="344" t="str">
        <f>IFERROR(VLOOKUP($A82,'BASE_558 EX'!$D:$R,9,FALSE),"")</f>
        <v xml:space="preserve">           40.578,79</v>
      </c>
      <c r="BY82" s="344" t="str">
        <f>IFERROR(VLOOKUP($A82,'BASE_558 EX'!$D:$R,10,FALSE),"")</f>
        <v xml:space="preserve">                0,00</v>
      </c>
      <c r="BZ82" s="344" t="str">
        <f>IFERROR(VLOOKUP($A82,'BASE_558 EX'!$D:$R,11,FALSE),"")</f>
        <v xml:space="preserve">                0,00</v>
      </c>
      <c r="CA82" s="344" t="str">
        <f>IFERROR(IF(BASE_558!$P$14="RemOrdPla",(VLOOKUP(A82,BASE_558!D:R,14)/1000),(VLOOKUP(A82,BASE_558!D:R,13)/1000)),"")</f>
        <v/>
      </c>
      <c r="CB82" s="344" t="str">
        <f>IFERROR(VLOOKUP($A82,'BASE_558 EX'!$D:$R,15,FALSE),"")</f>
        <v xml:space="preserve">           29.964,87</v>
      </c>
      <c r="CC82" s="442"/>
      <c r="CD82" s="442">
        <f t="shared" si="20"/>
        <v>0</v>
      </c>
    </row>
    <row r="83" spans="1:82" s="23" customFormat="1" ht="25.4" customHeight="1">
      <c r="A83" s="309" t="s">
        <v>2628</v>
      </c>
      <c r="B83" s="309"/>
      <c r="C83" s="187">
        <v>45371</v>
      </c>
      <c r="D83" s="309" t="s">
        <v>2845</v>
      </c>
      <c r="E83" s="309" t="s">
        <v>2845</v>
      </c>
      <c r="F83" s="309" t="s">
        <v>176</v>
      </c>
      <c r="G83" s="339" t="s">
        <v>2630</v>
      </c>
      <c r="H83" s="339" t="s">
        <v>8877</v>
      </c>
      <c r="I83" s="6" t="s">
        <v>218</v>
      </c>
      <c r="J83" s="83" t="s">
        <v>462</v>
      </c>
      <c r="K83" s="7" t="s">
        <v>1600</v>
      </c>
      <c r="L83" s="206"/>
      <c r="M83" s="206"/>
      <c r="N83" s="206"/>
      <c r="O83" s="206"/>
      <c r="P83" s="206">
        <v>1573.9099999999999</v>
      </c>
      <c r="Q83" s="206">
        <f t="shared" si="15"/>
        <v>0</v>
      </c>
      <c r="R83" s="206"/>
      <c r="S83" s="206"/>
      <c r="T83" s="223"/>
      <c r="U83" s="169">
        <f t="shared" si="16"/>
        <v>0</v>
      </c>
      <c r="V83" s="372">
        <v>0</v>
      </c>
      <c r="W83" s="343"/>
      <c r="X83" s="332">
        <f>SUMIFS(BASE_EX!$J:$J,BASE_EX!$B:$B,'Direct Charge'!$A83,BASE_EX!$C:$C,"janeiro")</f>
        <v>0</v>
      </c>
      <c r="Y83" s="373"/>
      <c r="Z83" s="372">
        <v>0</v>
      </c>
      <c r="AA83" s="343"/>
      <c r="AB83" s="332">
        <f>SUMIFS(BASE_EX!$J:$J,BASE_EX!$B:$B,'Direct Charge'!$A83,BASE_EX!$C:$C,"fevereiro")</f>
        <v>0</v>
      </c>
      <c r="AC83" s="373"/>
      <c r="AD83" s="372"/>
      <c r="AE83" s="343"/>
      <c r="AF83" s="332">
        <f>SUMIFS(BASE_EX!$J:$J,BASE_EX!$B:$B,'Direct Charge'!$A83,BASE_EX!$C:$C,"março")</f>
        <v>0</v>
      </c>
      <c r="AG83" s="373"/>
      <c r="AH83" s="372"/>
      <c r="AI83" s="343"/>
      <c r="AJ83" s="332">
        <f>SUMIFS(BASE_EX!$J:$J,BASE_EX!$B:$B,'Direct Charge'!$A83,BASE_EX!$C:$C,"abril")</f>
        <v>0</v>
      </c>
      <c r="AK83" s="373"/>
      <c r="AL83" s="372"/>
      <c r="AM83" s="343"/>
      <c r="AN83" s="332">
        <f>SUMIFS(BASE_EX!$J:$J,BASE_EX!$B:$B,'Direct Charge'!$A83,BASE_EX!$C:$C,"maio")</f>
        <v>0</v>
      </c>
      <c r="AO83" s="373"/>
      <c r="AP83" s="372"/>
      <c r="AQ83" s="343"/>
      <c r="AR83" s="332">
        <f>SUMIFS(BASE_EX!$J:$J,BASE_EX!$B:$B,'Direct Charge'!$A83,BASE_EX!$C:$C,"junho")</f>
        <v>0</v>
      </c>
      <c r="AS83" s="373"/>
      <c r="AT83" s="372"/>
      <c r="AU83" s="343"/>
      <c r="AV83" s="332">
        <f>SUMIFS(BASE_EX!$J:$J,BASE_EX!$B:$B,'Direct Charge'!$A83,BASE_EX!$C:$C,"julho")</f>
        <v>0</v>
      </c>
      <c r="AW83" s="373"/>
      <c r="AX83" s="372"/>
      <c r="AY83" s="343"/>
      <c r="AZ83" s="332">
        <f>SUMIFS(BASE_EX!$J:$J,BASE_EX!$B:$B,'Direct Charge'!$A83,BASE_EX!$C:$C,"agosto")</f>
        <v>0</v>
      </c>
      <c r="BA83" s="373"/>
      <c r="BB83" s="372"/>
      <c r="BC83" s="343"/>
      <c r="BD83" s="332">
        <f>SUMIFS(BASE_EX!$J:$J,BASE_EX!$B:$B,'Direct Charge'!$A83,BASE_EX!$C:$C,"setembro")</f>
        <v>0</v>
      </c>
      <c r="BE83" s="373"/>
      <c r="BF83" s="372"/>
      <c r="BG83" s="343"/>
      <c r="BH83" s="332">
        <f>SUMIFS(BASE_EX!$J:$J,BASE_EX!$B:$B,'Direct Charge'!$A83,BASE_EX!$C:$C,"outubro")</f>
        <v>0</v>
      </c>
      <c r="BI83" s="373"/>
      <c r="BJ83" s="372"/>
      <c r="BK83" s="343"/>
      <c r="BL83" s="332">
        <f>SUMIFS(BASE_EX!$J:$J,BASE_EX!$B:$B,'Direct Charge'!$A83,BASE_EX!$C:$C,"novembro")</f>
        <v>0</v>
      </c>
      <c r="BM83" s="373"/>
      <c r="BN83" s="372"/>
      <c r="BO83" s="343"/>
      <c r="BP83" s="332">
        <f>SUMIFS(BASE_EX!$J:$J,BASE_EX!$B:$B,'Direct Charge'!$A83,BASE_EX!$C:$C,"dezembro")</f>
        <v>0</v>
      </c>
      <c r="BQ83" s="373"/>
      <c r="BR83" s="452"/>
      <c r="BS83" s="156">
        <f t="shared" si="17"/>
        <v>0</v>
      </c>
      <c r="BT83" s="320">
        <f t="shared" si="18"/>
        <v>0</v>
      </c>
      <c r="BU83" s="157" t="e">
        <f>SUM(L83,M83,N83,O83,U83)-#REF!</f>
        <v>#REF!</v>
      </c>
      <c r="BV83" s="346">
        <f t="shared" si="19"/>
        <v>0</v>
      </c>
      <c r="BW83" s="344" t="str">
        <f>IFERROR(VLOOKUP($A83,'BASE_558 EX'!$D:$R,8,FALSE),"")</f>
        <v xml:space="preserve">            5.151,75</v>
      </c>
      <c r="BX83" s="344" t="str">
        <f>IFERROR(VLOOKUP($A83,'BASE_558 EX'!$D:$R,9,FALSE),"")</f>
        <v xml:space="preserve">            1.573,91</v>
      </c>
      <c r="BY83" s="344" t="str">
        <f>IFERROR(VLOOKUP($A83,'BASE_558 EX'!$D:$R,10,FALSE),"")</f>
        <v xml:space="preserve">                0,00</v>
      </c>
      <c r="BZ83" s="344" t="str">
        <f>IFERROR(VLOOKUP($A83,'BASE_558 EX'!$D:$R,11,FALSE),"")</f>
        <v xml:space="preserve">                0,00</v>
      </c>
      <c r="CA83" s="344" t="str">
        <f>IFERROR(IF(BASE_558!$P$14="RemOrdPla",(VLOOKUP(A83,BASE_558!D:R,14)/1000),(VLOOKUP(A83,BASE_558!D:R,13)/1000)),"")</f>
        <v/>
      </c>
      <c r="CB83" s="344" t="str">
        <f>IFERROR(VLOOKUP($A83,'BASE_558 EX'!$D:$R,15,FALSE),"")</f>
        <v xml:space="preserve">            3.577,84</v>
      </c>
      <c r="CC83" s="442"/>
      <c r="CD83" s="442">
        <f t="shared" si="20"/>
        <v>0</v>
      </c>
    </row>
    <row r="84" spans="1:82" s="23" customFormat="1" ht="25.4" customHeight="1">
      <c r="A84" s="309" t="s">
        <v>2629</v>
      </c>
      <c r="B84" s="309"/>
      <c r="C84" s="187">
        <v>45371</v>
      </c>
      <c r="D84" s="309" t="s">
        <v>2845</v>
      </c>
      <c r="E84" s="309" t="s">
        <v>2845</v>
      </c>
      <c r="F84" s="309" t="s">
        <v>176</v>
      </c>
      <c r="G84" s="339" t="s">
        <v>2631</v>
      </c>
      <c r="H84" s="339" t="s">
        <v>8877</v>
      </c>
      <c r="I84" s="6" t="s">
        <v>218</v>
      </c>
      <c r="J84" s="83" t="s">
        <v>462</v>
      </c>
      <c r="K84" s="7" t="s">
        <v>1600</v>
      </c>
      <c r="L84" s="206"/>
      <c r="M84" s="206"/>
      <c r="N84" s="206"/>
      <c r="O84" s="206"/>
      <c r="P84" s="206">
        <v>2232.6600000000003</v>
      </c>
      <c r="Q84" s="206">
        <f t="shared" si="15"/>
        <v>0</v>
      </c>
      <c r="R84" s="206"/>
      <c r="S84" s="206"/>
      <c r="T84" s="223"/>
      <c r="U84" s="169">
        <f t="shared" si="16"/>
        <v>0</v>
      </c>
      <c r="V84" s="372">
        <v>0</v>
      </c>
      <c r="W84" s="343"/>
      <c r="X84" s="332">
        <f>SUMIFS(BASE_EX!$J:$J,BASE_EX!$B:$B,'Direct Charge'!$A84,BASE_EX!$C:$C,"janeiro")</f>
        <v>0</v>
      </c>
      <c r="Y84" s="373"/>
      <c r="Z84" s="372">
        <v>0</v>
      </c>
      <c r="AA84" s="343"/>
      <c r="AB84" s="332">
        <f>SUMIFS(BASE_EX!$J:$J,BASE_EX!$B:$B,'Direct Charge'!$A84,BASE_EX!$C:$C,"fevereiro")</f>
        <v>0</v>
      </c>
      <c r="AC84" s="373"/>
      <c r="AD84" s="372"/>
      <c r="AE84" s="343"/>
      <c r="AF84" s="332">
        <f>SUMIFS(BASE_EX!$J:$J,BASE_EX!$B:$B,'Direct Charge'!$A84,BASE_EX!$C:$C,"março")</f>
        <v>0</v>
      </c>
      <c r="AG84" s="373"/>
      <c r="AH84" s="372"/>
      <c r="AI84" s="343"/>
      <c r="AJ84" s="332">
        <f>SUMIFS(BASE_EX!$J:$J,BASE_EX!$B:$B,'Direct Charge'!$A84,BASE_EX!$C:$C,"abril")</f>
        <v>0</v>
      </c>
      <c r="AK84" s="373"/>
      <c r="AL84" s="372"/>
      <c r="AM84" s="343"/>
      <c r="AN84" s="332">
        <f>SUMIFS(BASE_EX!$J:$J,BASE_EX!$B:$B,'Direct Charge'!$A84,BASE_EX!$C:$C,"maio")</f>
        <v>0</v>
      </c>
      <c r="AO84" s="373"/>
      <c r="AP84" s="372"/>
      <c r="AQ84" s="343"/>
      <c r="AR84" s="332">
        <f>SUMIFS(BASE_EX!$J:$J,BASE_EX!$B:$B,'Direct Charge'!$A84,BASE_EX!$C:$C,"junho")</f>
        <v>0</v>
      </c>
      <c r="AS84" s="373"/>
      <c r="AT84" s="372"/>
      <c r="AU84" s="343"/>
      <c r="AV84" s="332">
        <f>SUMIFS(BASE_EX!$J:$J,BASE_EX!$B:$B,'Direct Charge'!$A84,BASE_EX!$C:$C,"julho")</f>
        <v>0</v>
      </c>
      <c r="AW84" s="373"/>
      <c r="AX84" s="372"/>
      <c r="AY84" s="343"/>
      <c r="AZ84" s="332">
        <f>SUMIFS(BASE_EX!$J:$J,BASE_EX!$B:$B,'Direct Charge'!$A84,BASE_EX!$C:$C,"agosto")</f>
        <v>0</v>
      </c>
      <c r="BA84" s="373"/>
      <c r="BB84" s="372"/>
      <c r="BC84" s="343"/>
      <c r="BD84" s="332">
        <f>SUMIFS(BASE_EX!$J:$J,BASE_EX!$B:$B,'Direct Charge'!$A84,BASE_EX!$C:$C,"setembro")</f>
        <v>0</v>
      </c>
      <c r="BE84" s="373"/>
      <c r="BF84" s="372"/>
      <c r="BG84" s="343"/>
      <c r="BH84" s="332">
        <f>SUMIFS(BASE_EX!$J:$J,BASE_EX!$B:$B,'Direct Charge'!$A84,BASE_EX!$C:$C,"outubro")</f>
        <v>0</v>
      </c>
      <c r="BI84" s="373"/>
      <c r="BJ84" s="372"/>
      <c r="BK84" s="343"/>
      <c r="BL84" s="332">
        <f>SUMIFS(BASE_EX!$J:$J,BASE_EX!$B:$B,'Direct Charge'!$A84,BASE_EX!$C:$C,"novembro")</f>
        <v>0</v>
      </c>
      <c r="BM84" s="373"/>
      <c r="BN84" s="372"/>
      <c r="BO84" s="343"/>
      <c r="BP84" s="332">
        <f>SUMIFS(BASE_EX!$J:$J,BASE_EX!$B:$B,'Direct Charge'!$A84,BASE_EX!$C:$C,"dezembro")</f>
        <v>0</v>
      </c>
      <c r="BQ84" s="373"/>
      <c r="BR84" s="452"/>
      <c r="BS84" s="156">
        <f t="shared" si="17"/>
        <v>0</v>
      </c>
      <c r="BT84" s="320">
        <f t="shared" si="18"/>
        <v>0</v>
      </c>
      <c r="BU84" s="157" t="e">
        <f>SUM(L84,M84,N84,O84,U84)-#REF!</f>
        <v>#REF!</v>
      </c>
      <c r="BV84" s="346">
        <f t="shared" si="19"/>
        <v>0</v>
      </c>
      <c r="BW84" s="344" t="str">
        <f>IFERROR(VLOOKUP($A84,'BASE_558 EX'!$D:$R,8,FALSE),"")</f>
        <v xml:space="preserve">            3.503,19</v>
      </c>
      <c r="BX84" s="344" t="str">
        <f>IFERROR(VLOOKUP($A84,'BASE_558 EX'!$D:$R,9,FALSE),"")</f>
        <v xml:space="preserve">            2.232,66</v>
      </c>
      <c r="BY84" s="344" t="str">
        <f>IFERROR(VLOOKUP($A84,'BASE_558 EX'!$D:$R,10,FALSE),"")</f>
        <v xml:space="preserve">                0,00</v>
      </c>
      <c r="BZ84" s="344" t="str">
        <f>IFERROR(VLOOKUP($A84,'BASE_558 EX'!$D:$R,11,FALSE),"")</f>
        <v xml:space="preserve">                0,00</v>
      </c>
      <c r="CA84" s="344" t="str">
        <f>IFERROR(IF(BASE_558!$P$14="RemOrdPla",(VLOOKUP(A84,BASE_558!D:R,14)/1000),(VLOOKUP(A84,BASE_558!D:R,13)/1000)),"")</f>
        <v/>
      </c>
      <c r="CB84" s="344" t="str">
        <f>IFERROR(VLOOKUP($A84,'BASE_558 EX'!$D:$R,15,FALSE),"")</f>
        <v xml:space="preserve">            1.270,53</v>
      </c>
      <c r="CC84" s="442"/>
      <c r="CD84" s="442">
        <f t="shared" si="20"/>
        <v>0</v>
      </c>
    </row>
    <row r="85" spans="1:82" s="23" customFormat="1" ht="25.4" customHeight="1">
      <c r="A85" s="309" t="s">
        <v>2883</v>
      </c>
      <c r="B85" s="309"/>
      <c r="C85" s="187">
        <v>45455</v>
      </c>
      <c r="D85" s="309" t="s">
        <v>2884</v>
      </c>
      <c r="E85" s="309" t="s">
        <v>2485</v>
      </c>
      <c r="F85" s="309" t="s">
        <v>176</v>
      </c>
      <c r="G85" s="339" t="s">
        <v>2885</v>
      </c>
      <c r="H85" s="339" t="s">
        <v>8877</v>
      </c>
      <c r="I85" s="6" t="s">
        <v>218</v>
      </c>
      <c r="J85" s="83" t="s">
        <v>462</v>
      </c>
      <c r="K85" s="308" t="s">
        <v>6797</v>
      </c>
      <c r="L85" s="206"/>
      <c r="M85" s="206"/>
      <c r="N85" s="206"/>
      <c r="O85" s="206"/>
      <c r="P85" s="206">
        <v>1491.46</v>
      </c>
      <c r="Q85" s="206">
        <f t="shared" si="15"/>
        <v>0</v>
      </c>
      <c r="R85" s="206"/>
      <c r="S85" s="206"/>
      <c r="T85" s="223"/>
      <c r="U85" s="169">
        <f t="shared" si="16"/>
        <v>0</v>
      </c>
      <c r="V85" s="372">
        <v>0</v>
      </c>
      <c r="W85" s="343"/>
      <c r="X85" s="332">
        <f>SUMIFS(BASE_EX!$J:$J,BASE_EX!$B:$B,'Direct Charge'!$A85,BASE_EX!$C:$C,"janeiro")</f>
        <v>0</v>
      </c>
      <c r="Y85" s="373"/>
      <c r="Z85" s="372">
        <v>0</v>
      </c>
      <c r="AA85" s="343"/>
      <c r="AB85" s="332">
        <f>SUMIFS(BASE_EX!$J:$J,BASE_EX!$B:$B,'Direct Charge'!$A85,BASE_EX!$C:$C,"fevereiro")</f>
        <v>0</v>
      </c>
      <c r="AC85" s="373"/>
      <c r="AD85" s="372"/>
      <c r="AE85" s="343"/>
      <c r="AF85" s="332">
        <f>SUMIFS(BASE_EX!$J:$J,BASE_EX!$B:$B,'Direct Charge'!$A85,BASE_EX!$C:$C,"março")</f>
        <v>0</v>
      </c>
      <c r="AG85" s="373"/>
      <c r="AH85" s="372"/>
      <c r="AI85" s="343"/>
      <c r="AJ85" s="332">
        <f>SUMIFS(BASE_EX!$J:$J,BASE_EX!$B:$B,'Direct Charge'!$A85,BASE_EX!$C:$C,"abril")</f>
        <v>0</v>
      </c>
      <c r="AK85" s="373"/>
      <c r="AL85" s="372"/>
      <c r="AM85" s="343"/>
      <c r="AN85" s="332">
        <f>SUMIFS(BASE_EX!$J:$J,BASE_EX!$B:$B,'Direct Charge'!$A85,BASE_EX!$C:$C,"maio")</f>
        <v>0</v>
      </c>
      <c r="AO85" s="373"/>
      <c r="AP85" s="372"/>
      <c r="AQ85" s="343"/>
      <c r="AR85" s="332">
        <f>SUMIFS(BASE_EX!$J:$J,BASE_EX!$B:$B,'Direct Charge'!$A85,BASE_EX!$C:$C,"junho")</f>
        <v>0</v>
      </c>
      <c r="AS85" s="373"/>
      <c r="AT85" s="372"/>
      <c r="AU85" s="343"/>
      <c r="AV85" s="332">
        <f>SUMIFS(BASE_EX!$J:$J,BASE_EX!$B:$B,'Direct Charge'!$A85,BASE_EX!$C:$C,"julho")</f>
        <v>0</v>
      </c>
      <c r="AW85" s="373"/>
      <c r="AX85" s="372"/>
      <c r="AY85" s="343"/>
      <c r="AZ85" s="332">
        <f>SUMIFS(BASE_EX!$J:$J,BASE_EX!$B:$B,'Direct Charge'!$A85,BASE_EX!$C:$C,"agosto")</f>
        <v>0</v>
      </c>
      <c r="BA85" s="373"/>
      <c r="BB85" s="372"/>
      <c r="BC85" s="343"/>
      <c r="BD85" s="332">
        <f>SUMIFS(BASE_EX!$J:$J,BASE_EX!$B:$B,'Direct Charge'!$A85,BASE_EX!$C:$C,"setembro")</f>
        <v>0</v>
      </c>
      <c r="BE85" s="373"/>
      <c r="BF85" s="372"/>
      <c r="BG85" s="343"/>
      <c r="BH85" s="332">
        <f>SUMIFS(BASE_EX!$J:$J,BASE_EX!$B:$B,'Direct Charge'!$A85,BASE_EX!$C:$C,"outubro")</f>
        <v>0</v>
      </c>
      <c r="BI85" s="373"/>
      <c r="BJ85" s="372"/>
      <c r="BK85" s="343"/>
      <c r="BL85" s="332">
        <f>SUMIFS(BASE_EX!$J:$J,BASE_EX!$B:$B,'Direct Charge'!$A85,BASE_EX!$C:$C,"novembro")</f>
        <v>0</v>
      </c>
      <c r="BM85" s="373"/>
      <c r="BN85" s="372"/>
      <c r="BO85" s="343"/>
      <c r="BP85" s="332">
        <f>SUMIFS(BASE_EX!$J:$J,BASE_EX!$B:$B,'Direct Charge'!$A85,BASE_EX!$C:$C,"dezembro")</f>
        <v>0</v>
      </c>
      <c r="BQ85" s="373"/>
      <c r="BR85" s="452"/>
      <c r="BS85" s="156">
        <f t="shared" si="17"/>
        <v>0</v>
      </c>
      <c r="BT85" s="320">
        <f t="shared" si="18"/>
        <v>0</v>
      </c>
      <c r="BU85" s="157" t="e">
        <f>SUM(L85,M85,N85,O85,U85)-#REF!</f>
        <v>#REF!</v>
      </c>
      <c r="BV85" s="346">
        <f t="shared" si="19"/>
        <v>0</v>
      </c>
      <c r="BW85" s="344" t="str">
        <f>IFERROR(VLOOKUP($A85,'BASE_558 EX'!$D:$R,8,FALSE),"")</f>
        <v xml:space="preserve">            4.121,40</v>
      </c>
      <c r="BX85" s="344" t="str">
        <f>IFERROR(VLOOKUP($A85,'BASE_558 EX'!$D:$R,9,FALSE),"")</f>
        <v xml:space="preserve">            1.491,46</v>
      </c>
      <c r="BY85" s="344" t="str">
        <f>IFERROR(VLOOKUP($A85,'BASE_558 EX'!$D:$R,10,FALSE),"")</f>
        <v xml:space="preserve">                0,00</v>
      </c>
      <c r="BZ85" s="344" t="str">
        <f>IFERROR(VLOOKUP($A85,'BASE_558 EX'!$D:$R,11,FALSE),"")</f>
        <v xml:space="preserve">                0,00</v>
      </c>
      <c r="CA85" s="344" t="str">
        <f>IFERROR(IF(BASE_558!$P$14="RemOrdPla",(VLOOKUP(A85,BASE_558!D:R,14)/1000),(VLOOKUP(A85,BASE_558!D:R,13)/1000)),"")</f>
        <v/>
      </c>
      <c r="CB85" s="344" t="str">
        <f>IFERROR(VLOOKUP($A85,'BASE_558 EX'!$D:$R,15,FALSE),"")</f>
        <v xml:space="preserve">            2.629,94</v>
      </c>
      <c r="CC85" s="442"/>
      <c r="CD85" s="442">
        <f t="shared" si="20"/>
        <v>0</v>
      </c>
    </row>
    <row r="86" spans="1:82" s="23" customFormat="1" ht="25.4" customHeight="1">
      <c r="A86" s="309" t="s">
        <v>2891</v>
      </c>
      <c r="B86" s="309"/>
      <c r="C86" s="187">
        <v>45469</v>
      </c>
      <c r="D86" s="309" t="s">
        <v>475</v>
      </c>
      <c r="E86" s="309" t="s">
        <v>2079</v>
      </c>
      <c r="F86" s="309" t="s">
        <v>176</v>
      </c>
      <c r="G86" s="339" t="s">
        <v>2892</v>
      </c>
      <c r="H86" s="339" t="s">
        <v>8877</v>
      </c>
      <c r="I86" s="6" t="s">
        <v>218</v>
      </c>
      <c r="J86" s="83" t="s">
        <v>557</v>
      </c>
      <c r="K86" s="507" t="s">
        <v>10772</v>
      </c>
      <c r="L86" s="206"/>
      <c r="M86" s="206"/>
      <c r="N86" s="206"/>
      <c r="O86" s="206"/>
      <c r="P86" s="206"/>
      <c r="Q86" s="206">
        <f t="shared" si="15"/>
        <v>0</v>
      </c>
      <c r="R86" s="206"/>
      <c r="S86" s="206"/>
      <c r="T86" s="223"/>
      <c r="U86" s="169">
        <f t="shared" si="16"/>
        <v>0</v>
      </c>
      <c r="V86" s="372">
        <v>0</v>
      </c>
      <c r="W86" s="343"/>
      <c r="X86" s="332">
        <f>SUMIFS(BASE_EX!$J:$J,BASE_EX!$B:$B,'Direct Charge'!$A86,BASE_EX!$C:$C,"janeiro")</f>
        <v>0</v>
      </c>
      <c r="Y86" s="373"/>
      <c r="Z86" s="372">
        <v>0</v>
      </c>
      <c r="AA86" s="343"/>
      <c r="AB86" s="332">
        <f>SUMIFS(BASE_EX!$J:$J,BASE_EX!$B:$B,'Direct Charge'!$A86,BASE_EX!$C:$C,"fevereiro")</f>
        <v>0</v>
      </c>
      <c r="AC86" s="373"/>
      <c r="AD86" s="372"/>
      <c r="AE86" s="343"/>
      <c r="AF86" s="332">
        <f>SUMIFS(BASE_EX!$J:$J,BASE_EX!$B:$B,'Direct Charge'!$A86,BASE_EX!$C:$C,"março")</f>
        <v>0</v>
      </c>
      <c r="AG86" s="373"/>
      <c r="AH86" s="372"/>
      <c r="AI86" s="343"/>
      <c r="AJ86" s="332">
        <f>SUMIFS(BASE_EX!$J:$J,BASE_EX!$B:$B,'Direct Charge'!$A86,BASE_EX!$C:$C,"abril")</f>
        <v>0</v>
      </c>
      <c r="AK86" s="373"/>
      <c r="AL86" s="372"/>
      <c r="AM86" s="343"/>
      <c r="AN86" s="332">
        <f>SUMIFS(BASE_EX!$J:$J,BASE_EX!$B:$B,'Direct Charge'!$A86,BASE_EX!$C:$C,"maio")</f>
        <v>0</v>
      </c>
      <c r="AO86" s="373"/>
      <c r="AP86" s="372"/>
      <c r="AQ86" s="343"/>
      <c r="AR86" s="332">
        <f>SUMIFS(BASE_EX!$J:$J,BASE_EX!$B:$B,'Direct Charge'!$A86,BASE_EX!$C:$C,"junho")</f>
        <v>0</v>
      </c>
      <c r="AS86" s="373"/>
      <c r="AT86" s="372"/>
      <c r="AU86" s="343"/>
      <c r="AV86" s="332">
        <f>SUMIFS(BASE_EX!$J:$J,BASE_EX!$B:$B,'Direct Charge'!$A86,BASE_EX!$C:$C,"julho")</f>
        <v>0</v>
      </c>
      <c r="AW86" s="373"/>
      <c r="AX86" s="372"/>
      <c r="AY86" s="343"/>
      <c r="AZ86" s="332">
        <f>SUMIFS(BASE_EX!$J:$J,BASE_EX!$B:$B,'Direct Charge'!$A86,BASE_EX!$C:$C,"agosto")</f>
        <v>0</v>
      </c>
      <c r="BA86" s="373"/>
      <c r="BB86" s="372"/>
      <c r="BC86" s="343"/>
      <c r="BD86" s="332">
        <f>SUMIFS(BASE_EX!$J:$J,BASE_EX!$B:$B,'Direct Charge'!$A86,BASE_EX!$C:$C,"setembro")</f>
        <v>0</v>
      </c>
      <c r="BE86" s="373"/>
      <c r="BF86" s="372"/>
      <c r="BG86" s="343"/>
      <c r="BH86" s="332">
        <f>SUMIFS(BASE_EX!$J:$J,BASE_EX!$B:$B,'Direct Charge'!$A86,BASE_EX!$C:$C,"outubro")</f>
        <v>0</v>
      </c>
      <c r="BI86" s="373"/>
      <c r="BJ86" s="372"/>
      <c r="BK86" s="343"/>
      <c r="BL86" s="332">
        <f>SUMIFS(BASE_EX!$J:$J,BASE_EX!$B:$B,'Direct Charge'!$A86,BASE_EX!$C:$C,"novembro")</f>
        <v>0</v>
      </c>
      <c r="BM86" s="373"/>
      <c r="BN86" s="372"/>
      <c r="BO86" s="343"/>
      <c r="BP86" s="332">
        <f>SUMIFS(BASE_EX!$J:$J,BASE_EX!$B:$B,'Direct Charge'!$A86,BASE_EX!$C:$C,"dezembro")</f>
        <v>0</v>
      </c>
      <c r="BQ86" s="373"/>
      <c r="BR86" s="452"/>
      <c r="BS86" s="156">
        <f t="shared" si="17"/>
        <v>0</v>
      </c>
      <c r="BT86" s="320">
        <f t="shared" si="18"/>
        <v>0</v>
      </c>
      <c r="BU86" s="157" t="e">
        <f>SUM(L86,M86,N86,O86,U86)-#REF!</f>
        <v>#REF!</v>
      </c>
      <c r="BV86" s="346">
        <f t="shared" si="19"/>
        <v>0</v>
      </c>
      <c r="BW86" s="344" t="str">
        <f>IFERROR(VLOOKUP($A86,'BASE_558 EX'!$D:$R,8,FALSE),"")</f>
        <v xml:space="preserve">           96.852,90</v>
      </c>
      <c r="BX86" s="344" t="str">
        <f>IFERROR(VLOOKUP($A86,'BASE_558 EX'!$D:$R,9,FALSE),"")</f>
        <v xml:space="preserve">                0,00</v>
      </c>
      <c r="BY86" s="344" t="str">
        <f>IFERROR(VLOOKUP($A86,'BASE_558 EX'!$D:$R,10,FALSE),"")</f>
        <v xml:space="preserve">                0,00</v>
      </c>
      <c r="BZ86" s="344" t="str">
        <f>IFERROR(VLOOKUP($A86,'BASE_558 EX'!$D:$R,11,FALSE),"")</f>
        <v xml:space="preserve">                0,00</v>
      </c>
      <c r="CA86" s="344" t="str">
        <f>IFERROR(IF(BASE_558!$P$14="RemOrdPla",(VLOOKUP(A86,BASE_558!D:R,14)/1000),(VLOOKUP(A86,BASE_558!D:R,13)/1000)),"")</f>
        <v/>
      </c>
      <c r="CB86" s="344" t="str">
        <f>IFERROR(VLOOKUP($A86,'BASE_558 EX'!$D:$R,15,FALSE),"")</f>
        <v xml:space="preserve">           96.852,90</v>
      </c>
      <c r="CC86" s="442"/>
      <c r="CD86" s="442">
        <f t="shared" si="20"/>
        <v>0</v>
      </c>
    </row>
    <row r="87" spans="1:82" s="23" customFormat="1" ht="25.4" customHeight="1">
      <c r="A87" s="309" t="s">
        <v>3807</v>
      </c>
      <c r="B87" s="309"/>
      <c r="C87" s="187"/>
      <c r="D87" s="309" t="s">
        <v>2845</v>
      </c>
      <c r="E87" s="309" t="s">
        <v>2845</v>
      </c>
      <c r="F87" s="309" t="s">
        <v>176</v>
      </c>
      <c r="G87" s="339" t="s">
        <v>3809</v>
      </c>
      <c r="H87" s="339" t="s">
        <v>8877</v>
      </c>
      <c r="I87" s="6" t="s">
        <v>218</v>
      </c>
      <c r="J87" s="83" t="s">
        <v>557</v>
      </c>
      <c r="K87" s="507" t="s">
        <v>10772</v>
      </c>
      <c r="L87" s="206"/>
      <c r="M87" s="206"/>
      <c r="N87" s="206"/>
      <c r="O87" s="206"/>
      <c r="P87" s="206"/>
      <c r="Q87" s="206">
        <f t="shared" si="15"/>
        <v>0</v>
      </c>
      <c r="R87" s="206"/>
      <c r="S87" s="206"/>
      <c r="T87" s="223"/>
      <c r="U87" s="169">
        <f t="shared" si="16"/>
        <v>0</v>
      </c>
      <c r="V87" s="372">
        <v>0</v>
      </c>
      <c r="W87" s="343"/>
      <c r="X87" s="332">
        <f>SUMIFS(BASE_EX!$J:$J,BASE_EX!$B:$B,'Direct Charge'!$A87,BASE_EX!$C:$C,"janeiro")</f>
        <v>0</v>
      </c>
      <c r="Y87" s="373"/>
      <c r="Z87" s="372">
        <v>0</v>
      </c>
      <c r="AA87" s="343"/>
      <c r="AB87" s="332">
        <f>SUMIFS(BASE_EX!$J:$J,BASE_EX!$B:$B,'Direct Charge'!$A87,BASE_EX!$C:$C,"fevereiro")</f>
        <v>0</v>
      </c>
      <c r="AC87" s="373"/>
      <c r="AD87" s="372"/>
      <c r="AE87" s="343"/>
      <c r="AF87" s="332">
        <f>SUMIFS(BASE_EX!$J:$J,BASE_EX!$B:$B,'Direct Charge'!$A87,BASE_EX!$C:$C,"março")</f>
        <v>0</v>
      </c>
      <c r="AG87" s="373"/>
      <c r="AH87" s="372"/>
      <c r="AI87" s="343"/>
      <c r="AJ87" s="332">
        <f>SUMIFS(BASE_EX!$J:$J,BASE_EX!$B:$B,'Direct Charge'!$A87,BASE_EX!$C:$C,"abril")</f>
        <v>0</v>
      </c>
      <c r="AK87" s="373"/>
      <c r="AL87" s="372"/>
      <c r="AM87" s="343"/>
      <c r="AN87" s="332">
        <f>SUMIFS(BASE_EX!$J:$J,BASE_EX!$B:$B,'Direct Charge'!$A87,BASE_EX!$C:$C,"maio")</f>
        <v>0</v>
      </c>
      <c r="AO87" s="373"/>
      <c r="AP87" s="372"/>
      <c r="AQ87" s="343"/>
      <c r="AR87" s="332">
        <f>SUMIFS(BASE_EX!$J:$J,BASE_EX!$B:$B,'Direct Charge'!$A87,BASE_EX!$C:$C,"junho")</f>
        <v>0</v>
      </c>
      <c r="AS87" s="373"/>
      <c r="AT87" s="372"/>
      <c r="AU87" s="343"/>
      <c r="AV87" s="332">
        <f>SUMIFS(BASE_EX!$J:$J,BASE_EX!$B:$B,'Direct Charge'!$A87,BASE_EX!$C:$C,"julho")</f>
        <v>0</v>
      </c>
      <c r="AW87" s="373"/>
      <c r="AX87" s="372"/>
      <c r="AY87" s="343"/>
      <c r="AZ87" s="332">
        <f>SUMIFS(BASE_EX!$J:$J,BASE_EX!$B:$B,'Direct Charge'!$A87,BASE_EX!$C:$C,"agosto")</f>
        <v>0</v>
      </c>
      <c r="BA87" s="373"/>
      <c r="BB87" s="372"/>
      <c r="BC87" s="343"/>
      <c r="BD87" s="332">
        <f>SUMIFS(BASE_EX!$J:$J,BASE_EX!$B:$B,'Direct Charge'!$A87,BASE_EX!$C:$C,"setembro")</f>
        <v>0</v>
      </c>
      <c r="BE87" s="373"/>
      <c r="BF87" s="372"/>
      <c r="BG87" s="343"/>
      <c r="BH87" s="332">
        <f>SUMIFS(BASE_EX!$J:$J,BASE_EX!$B:$B,'Direct Charge'!$A87,BASE_EX!$C:$C,"outubro")</f>
        <v>0</v>
      </c>
      <c r="BI87" s="373"/>
      <c r="BJ87" s="372"/>
      <c r="BK87" s="343"/>
      <c r="BL87" s="332">
        <f>SUMIFS(BASE_EX!$J:$J,BASE_EX!$B:$B,'Direct Charge'!$A87,BASE_EX!$C:$C,"novembro")</f>
        <v>0</v>
      </c>
      <c r="BM87" s="373"/>
      <c r="BN87" s="372"/>
      <c r="BO87" s="343"/>
      <c r="BP87" s="332">
        <f>SUMIFS(BASE_EX!$J:$J,BASE_EX!$B:$B,'Direct Charge'!$A87,BASE_EX!$C:$C,"dezembro")</f>
        <v>0</v>
      </c>
      <c r="BQ87" s="373"/>
      <c r="BR87" s="452"/>
      <c r="BS87" s="156">
        <f t="shared" si="17"/>
        <v>0</v>
      </c>
      <c r="BT87" s="320">
        <f t="shared" si="18"/>
        <v>0</v>
      </c>
      <c r="BU87" s="157" t="e">
        <f>SUM(L87,M87,N87,O87,U87)-#REF!</f>
        <v>#REF!</v>
      </c>
      <c r="BV87" s="346">
        <f t="shared" si="19"/>
        <v>0</v>
      </c>
      <c r="BW87" s="344" t="str">
        <f>IFERROR(VLOOKUP($A87,'BASE_558 EX'!$D:$R,8,FALSE),"")</f>
        <v xml:space="preserve">           20.607,00</v>
      </c>
      <c r="BX87" s="344" t="str">
        <f>IFERROR(VLOOKUP($A87,'BASE_558 EX'!$D:$R,9,FALSE),"")</f>
        <v xml:space="preserve">                0,00</v>
      </c>
      <c r="BY87" s="344" t="str">
        <f>IFERROR(VLOOKUP($A87,'BASE_558 EX'!$D:$R,10,FALSE),"")</f>
        <v xml:space="preserve">                0,00</v>
      </c>
      <c r="BZ87" s="344" t="str">
        <f>IFERROR(VLOOKUP($A87,'BASE_558 EX'!$D:$R,11,FALSE),"")</f>
        <v xml:space="preserve">                0,17</v>
      </c>
      <c r="CA87" s="344" t="str">
        <f>IFERROR(IF(BASE_558!$P$14="RemOrdPla",(VLOOKUP(A87,BASE_558!D:R,14)/1000),(VLOOKUP(A87,BASE_558!D:R,13)/1000)),"")</f>
        <v/>
      </c>
      <c r="CB87" s="344" t="str">
        <f>IFERROR(VLOOKUP($A87,'BASE_558 EX'!$D:$R,15,FALSE),"")</f>
        <v xml:space="preserve">           20.606,83</v>
      </c>
      <c r="CC87" s="442"/>
      <c r="CD87" s="442">
        <f t="shared" si="20"/>
        <v>0</v>
      </c>
    </row>
    <row r="88" spans="1:82" s="23" customFormat="1" ht="25.4" customHeight="1">
      <c r="A88" s="309" t="s">
        <v>3808</v>
      </c>
      <c r="B88" s="309"/>
      <c r="C88" s="187"/>
      <c r="D88" s="309" t="s">
        <v>3810</v>
      </c>
      <c r="E88" s="309" t="s">
        <v>3810</v>
      </c>
      <c r="F88" s="309" t="s">
        <v>176</v>
      </c>
      <c r="G88" s="360" t="s">
        <v>1023</v>
      </c>
      <c r="H88" s="339" t="s">
        <v>8877</v>
      </c>
      <c r="I88" s="6" t="s">
        <v>195</v>
      </c>
      <c r="J88" s="83" t="s">
        <v>219</v>
      </c>
      <c r="K88" s="507" t="s">
        <v>10771</v>
      </c>
      <c r="L88" s="206"/>
      <c r="M88" s="206"/>
      <c r="N88" s="206"/>
      <c r="O88" s="206"/>
      <c r="P88" s="206">
        <v>12338.57</v>
      </c>
      <c r="Q88" s="206">
        <f t="shared" si="15"/>
        <v>277604.07</v>
      </c>
      <c r="R88" s="206"/>
      <c r="S88" s="206"/>
      <c r="T88" s="223"/>
      <c r="U88" s="169">
        <f t="shared" si="16"/>
        <v>277604.07</v>
      </c>
      <c r="V88" s="372">
        <v>3184.84</v>
      </c>
      <c r="W88" s="343">
        <v>3184.84</v>
      </c>
      <c r="X88" s="332">
        <f>SUMIFS(BASE_EX!$J:$J,BASE_EX!$B:$B,'Direct Charge'!$A88,BASE_EX!$C:$C,"janeiro")</f>
        <v>3184.84</v>
      </c>
      <c r="Y88" s="373">
        <v>3184.84</v>
      </c>
      <c r="Z88" s="372">
        <v>0</v>
      </c>
      <c r="AA88" s="343"/>
      <c r="AB88" s="332">
        <f>SUMIFS(BASE_EX!$J:$J,BASE_EX!$B:$B,'Direct Charge'!$A88,BASE_EX!$C:$C,"fevereiro")</f>
        <v>0</v>
      </c>
      <c r="AC88" s="373"/>
      <c r="AD88" s="372">
        <v>50000</v>
      </c>
      <c r="AE88" s="343">
        <v>21781.15</v>
      </c>
      <c r="AF88" s="332">
        <f>SUMIFS(BASE_EX!$J:$J,BASE_EX!$B:$B,'Direct Charge'!$A88,BASE_EX!$C:$C,"março")</f>
        <v>21781.15</v>
      </c>
      <c r="AG88" s="373">
        <v>21781.15</v>
      </c>
      <c r="AH88" s="372">
        <v>50000</v>
      </c>
      <c r="AI88" s="343">
        <v>43799.92</v>
      </c>
      <c r="AJ88" s="332">
        <f>SUMIFS(BASE_EX!$J:$J,BASE_EX!$B:$B,'Direct Charge'!$A88,BASE_EX!$C:$C,"abril")</f>
        <v>43799.92</v>
      </c>
      <c r="AK88" s="373">
        <v>43799.92</v>
      </c>
      <c r="AL88" s="372">
        <v>56200</v>
      </c>
      <c r="AM88" s="343">
        <v>63644.99</v>
      </c>
      <c r="AN88" s="332">
        <f>SUMIFS(BASE_EX!$J:$J,BASE_EX!$B:$B,'Direct Charge'!$A88,BASE_EX!$C:$C,"maio")</f>
        <v>63644.99</v>
      </c>
      <c r="AO88" s="373">
        <v>63644.99</v>
      </c>
      <c r="AP88" s="372">
        <v>42555</v>
      </c>
      <c r="AQ88" s="343">
        <v>62379.17</v>
      </c>
      <c r="AR88" s="332">
        <f>SUMIFS(BASE_EX!$J:$J,BASE_EX!$B:$B,'Direct Charge'!$A88,BASE_EX!$C:$C,"junho")</f>
        <v>62379.17</v>
      </c>
      <c r="AS88" s="373">
        <v>62379.17</v>
      </c>
      <c r="AT88" s="372"/>
      <c r="AU88" s="343"/>
      <c r="AV88" s="332">
        <f>SUMIFS(BASE_EX!$J:$J,BASE_EX!$B:$B,'Direct Charge'!$A88,BASE_EX!$C:$C,"julho")</f>
        <v>0</v>
      </c>
      <c r="AW88" s="373">
        <v>32814</v>
      </c>
      <c r="AX88" s="372"/>
      <c r="AY88" s="343"/>
      <c r="AZ88" s="332">
        <f>SUMIFS(BASE_EX!$J:$J,BASE_EX!$B:$B,'Direct Charge'!$A88,BASE_EX!$C:$C,"agosto")</f>
        <v>0</v>
      </c>
      <c r="BA88" s="373">
        <v>50000</v>
      </c>
      <c r="BB88" s="372"/>
      <c r="BC88" s="343"/>
      <c r="BD88" s="332">
        <f>SUMIFS(BASE_EX!$J:$J,BASE_EX!$B:$B,'Direct Charge'!$A88,BASE_EX!$C:$C,"setembro")</f>
        <v>0</v>
      </c>
      <c r="BE88" s="373"/>
      <c r="BF88" s="372"/>
      <c r="BG88" s="343"/>
      <c r="BH88" s="332">
        <f>SUMIFS(BASE_EX!$J:$J,BASE_EX!$B:$B,'Direct Charge'!$A88,BASE_EX!$C:$C,"outubro")</f>
        <v>0</v>
      </c>
      <c r="BI88" s="373"/>
      <c r="BJ88" s="372"/>
      <c r="BK88" s="343"/>
      <c r="BL88" s="332">
        <f>SUMIFS(BASE_EX!$J:$J,BASE_EX!$B:$B,'Direct Charge'!$A88,BASE_EX!$C:$C,"novembro")</f>
        <v>0</v>
      </c>
      <c r="BM88" s="373"/>
      <c r="BN88" s="372"/>
      <c r="BO88" s="343"/>
      <c r="BP88" s="332">
        <f>SUMIFS(BASE_EX!$J:$J,BASE_EX!$B:$B,'Direct Charge'!$A88,BASE_EX!$C:$C,"dezembro")</f>
        <v>0</v>
      </c>
      <c r="BQ88" s="373"/>
      <c r="BR88" s="452">
        <v>0</v>
      </c>
      <c r="BS88" s="156">
        <f t="shared" si="17"/>
        <v>19824.169999999998</v>
      </c>
      <c r="BT88" s="320">
        <f t="shared" si="18"/>
        <v>0</v>
      </c>
      <c r="BU88" s="157" t="e">
        <f>SUM(L88,M88,N88,O88,U88)-#REF!</f>
        <v>#REF!</v>
      </c>
      <c r="BV88" s="346">
        <f t="shared" si="19"/>
        <v>277604.07</v>
      </c>
      <c r="BW88" s="344" t="str">
        <f>IFERROR(VLOOKUP($A88,'BASE_558 EX'!$D:$R,8,FALSE),"")</f>
        <v xml:space="preserve">          339.644,57</v>
      </c>
      <c r="BX88" s="344" t="str">
        <f>IFERROR(VLOOKUP($A88,'BASE_558 EX'!$D:$R,9,FALSE),"")</f>
        <v xml:space="preserve">          207.128,64</v>
      </c>
      <c r="BY88" s="344" t="str">
        <f>IFERROR(VLOOKUP($A88,'BASE_558 EX'!$D:$R,10,FALSE),"")</f>
        <v xml:space="preserve">           82.814,63</v>
      </c>
      <c r="BZ88" s="344" t="str">
        <f>IFERROR(VLOOKUP($A88,'BASE_558 EX'!$D:$R,11,FALSE),"")</f>
        <v xml:space="preserve">                0,00</v>
      </c>
      <c r="CA88" s="344" t="str">
        <f>IFERROR(IF(BASE_558!$P$14="RemOrdPla",(VLOOKUP(A88,BASE_558!D:R,14)/1000),(VLOOKUP(A88,BASE_558!D:R,13)/1000)),"")</f>
        <v/>
      </c>
      <c r="CB88" s="344" t="str">
        <f>IFERROR(VLOOKUP($A88,'BASE_558 EX'!$D:$R,15,FALSE),"")</f>
        <v xml:space="preserve">           49.701,30</v>
      </c>
      <c r="CC88" s="442"/>
      <c r="CD88" s="442">
        <f t="shared" si="20"/>
        <v>0</v>
      </c>
    </row>
    <row r="89" spans="1:82" s="23" customFormat="1" ht="25.4" customHeight="1">
      <c r="A89" s="309" t="s">
        <v>7023</v>
      </c>
      <c r="B89" s="309"/>
      <c r="C89" s="187">
        <v>45594</v>
      </c>
      <c r="D89" s="309" t="s">
        <v>3810</v>
      </c>
      <c r="E89" s="309" t="s">
        <v>3810</v>
      </c>
      <c r="F89" s="309" t="s">
        <v>176</v>
      </c>
      <c r="G89" s="360" t="s">
        <v>7026</v>
      </c>
      <c r="H89" s="339" t="s">
        <v>8877</v>
      </c>
      <c r="I89" s="6" t="s">
        <v>195</v>
      </c>
      <c r="J89" s="83" t="s">
        <v>219</v>
      </c>
      <c r="K89" s="507" t="s">
        <v>10771</v>
      </c>
      <c r="L89" s="206"/>
      <c r="M89" s="206"/>
      <c r="N89" s="206"/>
      <c r="O89" s="206"/>
      <c r="P89" s="206">
        <v>64202.400000000001</v>
      </c>
      <c r="Q89" s="206">
        <f t="shared" si="15"/>
        <v>13000</v>
      </c>
      <c r="R89" s="206"/>
      <c r="S89" s="206"/>
      <c r="T89" s="223"/>
      <c r="U89" s="169">
        <f t="shared" si="16"/>
        <v>13000</v>
      </c>
      <c r="V89" s="372">
        <v>0</v>
      </c>
      <c r="W89" s="343"/>
      <c r="X89" s="332">
        <f>SUMIFS(BASE_EX!$J:$J,BASE_EX!$B:$B,'Direct Charge'!$A89,BASE_EX!$C:$C,"janeiro")</f>
        <v>0</v>
      </c>
      <c r="Y89" s="373"/>
      <c r="Z89" s="372">
        <v>0</v>
      </c>
      <c r="AA89" s="343"/>
      <c r="AB89" s="332">
        <f>SUMIFS(BASE_EX!$J:$J,BASE_EX!$B:$B,'Direct Charge'!$A89,BASE_EX!$C:$C,"fevereiro")</f>
        <v>0</v>
      </c>
      <c r="AC89" s="373"/>
      <c r="AD89" s="372">
        <v>6000</v>
      </c>
      <c r="AE89" s="343"/>
      <c r="AF89" s="332">
        <f>SUMIFS(BASE_EX!$J:$J,BASE_EX!$B:$B,'Direct Charge'!$A89,BASE_EX!$C:$C,"março")</f>
        <v>0</v>
      </c>
      <c r="AG89" s="373">
        <v>0</v>
      </c>
      <c r="AH89" s="372">
        <v>6000</v>
      </c>
      <c r="AI89" s="343"/>
      <c r="AJ89" s="332">
        <f>SUMIFS(BASE_EX!$J:$J,BASE_EX!$B:$B,'Direct Charge'!$A89,BASE_EX!$C:$C,"abril")</f>
        <v>0</v>
      </c>
      <c r="AK89" s="373">
        <v>0</v>
      </c>
      <c r="AL89" s="372">
        <v>6000</v>
      </c>
      <c r="AM89" s="343"/>
      <c r="AN89" s="332">
        <f>SUMIFS(BASE_EX!$J:$J,BASE_EX!$B:$B,'Direct Charge'!$A89,BASE_EX!$C:$C,"maio")</f>
        <v>0</v>
      </c>
      <c r="AO89" s="373"/>
      <c r="AP89" s="372">
        <v>6000</v>
      </c>
      <c r="AQ89" s="343"/>
      <c r="AR89" s="332">
        <f>SUMIFS(BASE_EX!$J:$J,BASE_EX!$B:$B,'Direct Charge'!$A89,BASE_EX!$C:$C,"junho")</f>
        <v>0</v>
      </c>
      <c r="AS89" s="373">
        <v>0</v>
      </c>
      <c r="AT89" s="372"/>
      <c r="AU89" s="343"/>
      <c r="AV89" s="332">
        <f>SUMIFS(BASE_EX!$J:$J,BASE_EX!$B:$B,'Direct Charge'!$A89,BASE_EX!$C:$C,"julho")</f>
        <v>0</v>
      </c>
      <c r="AW89" s="373">
        <v>6000</v>
      </c>
      <c r="AX89" s="372"/>
      <c r="AY89" s="343"/>
      <c r="AZ89" s="332">
        <f>SUMIFS(BASE_EX!$J:$J,BASE_EX!$B:$B,'Direct Charge'!$A89,BASE_EX!$C:$C,"agosto")</f>
        <v>0</v>
      </c>
      <c r="BA89" s="373">
        <v>7000</v>
      </c>
      <c r="BB89" s="372"/>
      <c r="BC89" s="343"/>
      <c r="BD89" s="332">
        <f>SUMIFS(BASE_EX!$J:$J,BASE_EX!$B:$B,'Direct Charge'!$A89,BASE_EX!$C:$C,"setembro")</f>
        <v>0</v>
      </c>
      <c r="BE89" s="373"/>
      <c r="BF89" s="372"/>
      <c r="BG89" s="343"/>
      <c r="BH89" s="332">
        <f>SUMIFS(BASE_EX!$J:$J,BASE_EX!$B:$B,'Direct Charge'!$A89,BASE_EX!$C:$C,"outubro")</f>
        <v>0</v>
      </c>
      <c r="BI89" s="373"/>
      <c r="BJ89" s="372"/>
      <c r="BK89" s="343"/>
      <c r="BL89" s="332">
        <f>SUMIFS(BASE_EX!$J:$J,BASE_EX!$B:$B,'Direct Charge'!$A89,BASE_EX!$C:$C,"novembro")</f>
        <v>0</v>
      </c>
      <c r="BM89" s="373"/>
      <c r="BN89" s="372"/>
      <c r="BO89" s="343"/>
      <c r="BP89" s="332">
        <f>SUMIFS(BASE_EX!$J:$J,BASE_EX!$B:$B,'Direct Charge'!$A89,BASE_EX!$C:$C,"dezembro")</f>
        <v>0</v>
      </c>
      <c r="BQ89" s="373"/>
      <c r="BR89" s="452">
        <v>0</v>
      </c>
      <c r="BS89" s="156">
        <f t="shared" si="17"/>
        <v>-6000</v>
      </c>
      <c r="BT89" s="320">
        <f t="shared" si="18"/>
        <v>0</v>
      </c>
      <c r="BU89" s="157" t="e">
        <f>SUM(L89,M89,N89,O89,U89)-#REF!</f>
        <v>#REF!</v>
      </c>
      <c r="BV89" s="346">
        <f t="shared" si="19"/>
        <v>13000</v>
      </c>
      <c r="BW89" s="344" t="str">
        <f>IFERROR(VLOOKUP($A89,'BASE_558 EX'!$D:$R,8,FALSE),"")</f>
        <v xml:space="preserve">          153.972,30</v>
      </c>
      <c r="BX89" s="344" t="str">
        <f>IFERROR(VLOOKUP($A89,'BASE_558 EX'!$D:$R,9,FALSE),"")</f>
        <v xml:space="preserve">           64.202,40</v>
      </c>
      <c r="BY89" s="344" t="str">
        <f>IFERROR(VLOOKUP($A89,'BASE_558 EX'!$D:$R,10,FALSE),"")</f>
        <v xml:space="preserve">           13.503,60</v>
      </c>
      <c r="BZ89" s="344" t="str">
        <f>IFERROR(VLOOKUP($A89,'BASE_558 EX'!$D:$R,11,FALSE),"")</f>
        <v xml:space="preserve">                0,00</v>
      </c>
      <c r="CA89" s="344" t="str">
        <f>IFERROR(IF(BASE_558!$P$14="RemOrdPla",(VLOOKUP(A89,BASE_558!D:R,14)/1000),(VLOOKUP(A89,BASE_558!D:R,13)/1000)),"")</f>
        <v/>
      </c>
      <c r="CB89" s="344" t="str">
        <f>IFERROR(VLOOKUP($A89,'BASE_558 EX'!$D:$R,15,FALSE),"")</f>
        <v xml:space="preserve">           76.266,30</v>
      </c>
      <c r="CC89" s="442"/>
      <c r="CD89" s="442">
        <f t="shared" si="20"/>
        <v>0</v>
      </c>
    </row>
    <row r="90" spans="1:82" s="23" customFormat="1" ht="25.4" customHeight="1">
      <c r="A90" s="309" t="s">
        <v>7024</v>
      </c>
      <c r="B90" s="309"/>
      <c r="C90" s="187">
        <v>45594</v>
      </c>
      <c r="D90" s="309" t="s">
        <v>3810</v>
      </c>
      <c r="E90" s="309" t="s">
        <v>2259</v>
      </c>
      <c r="F90" s="309" t="s">
        <v>176</v>
      </c>
      <c r="G90" s="339" t="s">
        <v>7025</v>
      </c>
      <c r="H90" s="339" t="s">
        <v>9112</v>
      </c>
      <c r="I90" s="6" t="s">
        <v>195</v>
      </c>
      <c r="J90" s="83" t="s">
        <v>219</v>
      </c>
      <c r="K90" s="507" t="s">
        <v>19151</v>
      </c>
      <c r="L90" s="206"/>
      <c r="M90" s="206"/>
      <c r="N90" s="206"/>
      <c r="O90" s="206"/>
      <c r="P90" s="206"/>
      <c r="Q90" s="206">
        <f t="shared" si="15"/>
        <v>21592.080000000002</v>
      </c>
      <c r="R90" s="206"/>
      <c r="S90" s="206"/>
      <c r="T90" s="223"/>
      <c r="U90" s="169">
        <f t="shared" si="16"/>
        <v>21592.080000000002</v>
      </c>
      <c r="V90" s="372">
        <v>0</v>
      </c>
      <c r="W90" s="343"/>
      <c r="X90" s="332">
        <f>SUMIFS(BASE_EX!$J:$J,BASE_EX!$B:$B,'Direct Charge'!$A90,BASE_EX!$C:$C,"janeiro")</f>
        <v>0</v>
      </c>
      <c r="Y90" s="373"/>
      <c r="Z90" s="372">
        <v>0</v>
      </c>
      <c r="AA90" s="343"/>
      <c r="AB90" s="332">
        <f>SUMIFS(BASE_EX!$J:$J,BASE_EX!$B:$B,'Direct Charge'!$A90,BASE_EX!$C:$C,"fevereiro")</f>
        <v>0</v>
      </c>
      <c r="AC90" s="373"/>
      <c r="AD90" s="372">
        <v>0</v>
      </c>
      <c r="AE90" s="343"/>
      <c r="AF90" s="332">
        <f>SUMIFS(BASE_EX!$J:$J,BASE_EX!$B:$B,'Direct Charge'!$A90,BASE_EX!$C:$C,"março")</f>
        <v>0</v>
      </c>
      <c r="AG90" s="373">
        <v>0</v>
      </c>
      <c r="AH90" s="372">
        <v>5000</v>
      </c>
      <c r="AI90" s="343">
        <v>14592.08</v>
      </c>
      <c r="AJ90" s="332">
        <f>SUMIFS(BASE_EX!$J:$J,BASE_EX!$B:$B,'Direct Charge'!$A90,BASE_EX!$C:$C,"abril")</f>
        <v>14592.08</v>
      </c>
      <c r="AK90" s="373">
        <v>14592.08</v>
      </c>
      <c r="AL90" s="372"/>
      <c r="AM90" s="343"/>
      <c r="AN90" s="332">
        <f>SUMIFS(BASE_EX!$J:$J,BASE_EX!$B:$B,'Direct Charge'!$A90,BASE_EX!$C:$C,"maio")</f>
        <v>0</v>
      </c>
      <c r="AO90" s="373"/>
      <c r="AP90" s="372">
        <v>7000</v>
      </c>
      <c r="AQ90" s="343"/>
      <c r="AR90" s="332">
        <f>SUMIFS(BASE_EX!$J:$J,BASE_EX!$B:$B,'Direct Charge'!$A90,BASE_EX!$C:$C,"junho")</f>
        <v>0</v>
      </c>
      <c r="AS90" s="373">
        <v>0</v>
      </c>
      <c r="AT90" s="372"/>
      <c r="AU90" s="343"/>
      <c r="AV90" s="332">
        <f>SUMIFS(BASE_EX!$J:$J,BASE_EX!$B:$B,'Direct Charge'!$A90,BASE_EX!$C:$C,"julho")</f>
        <v>0</v>
      </c>
      <c r="AW90" s="373">
        <v>7000</v>
      </c>
      <c r="AX90" s="372"/>
      <c r="AY90" s="343"/>
      <c r="AZ90" s="332">
        <f>SUMIFS(BASE_EX!$J:$J,BASE_EX!$B:$B,'Direct Charge'!$A90,BASE_EX!$C:$C,"agosto")</f>
        <v>0</v>
      </c>
      <c r="BA90" s="373"/>
      <c r="BB90" s="372"/>
      <c r="BC90" s="343"/>
      <c r="BD90" s="332">
        <f>SUMIFS(BASE_EX!$J:$J,BASE_EX!$B:$B,'Direct Charge'!$A90,BASE_EX!$C:$C,"setembro")</f>
        <v>0</v>
      </c>
      <c r="BE90" s="373"/>
      <c r="BF90" s="372"/>
      <c r="BG90" s="343"/>
      <c r="BH90" s="332">
        <f>SUMIFS(BASE_EX!$J:$J,BASE_EX!$B:$B,'Direct Charge'!$A90,BASE_EX!$C:$C,"outubro")</f>
        <v>0</v>
      </c>
      <c r="BI90" s="373"/>
      <c r="BJ90" s="372"/>
      <c r="BK90" s="343"/>
      <c r="BL90" s="332">
        <f>SUMIFS(BASE_EX!$J:$J,BASE_EX!$B:$B,'Direct Charge'!$A90,BASE_EX!$C:$C,"novembro")</f>
        <v>0</v>
      </c>
      <c r="BM90" s="373"/>
      <c r="BN90" s="372"/>
      <c r="BO90" s="343"/>
      <c r="BP90" s="332">
        <f>SUMIFS(BASE_EX!$J:$J,BASE_EX!$B:$B,'Direct Charge'!$A90,BASE_EX!$C:$C,"dezembro")</f>
        <v>0</v>
      </c>
      <c r="BQ90" s="373"/>
      <c r="BR90" s="452"/>
      <c r="BS90" s="156">
        <f t="shared" si="17"/>
        <v>-7000</v>
      </c>
      <c r="BT90" s="320">
        <f t="shared" si="18"/>
        <v>0</v>
      </c>
      <c r="BU90" s="157" t="e">
        <f>SUM(L90,M90,N90,O90,U90)-#REF!</f>
        <v>#REF!</v>
      </c>
      <c r="BV90" s="346">
        <f t="shared" si="19"/>
        <v>21592.080000000002</v>
      </c>
      <c r="BW90" s="344" t="str">
        <f>IFERROR(VLOOKUP($A90,'BASE_558 EX'!$D:$R,8,FALSE),"")</f>
        <v xml:space="preserve">           39.604,39</v>
      </c>
      <c r="BX90" s="344" t="str">
        <f>IFERROR(VLOOKUP($A90,'BASE_558 EX'!$D:$R,9,FALSE),"")</f>
        <v xml:space="preserve">           14.592,08</v>
      </c>
      <c r="BY90" s="344" t="str">
        <f>IFERROR(VLOOKUP($A90,'BASE_558 EX'!$D:$R,10,FALSE),"")</f>
        <v xml:space="preserve">            7.450,08</v>
      </c>
      <c r="BZ90" s="344" t="str">
        <f>IFERROR(VLOOKUP($A90,'BASE_558 EX'!$D:$R,11,FALSE),"")</f>
        <v xml:space="preserve">                0,18</v>
      </c>
      <c r="CA90" s="344" t="str">
        <f>IFERROR(IF(BASE_558!$P$14="RemOrdPla",(VLOOKUP(A90,BASE_558!D:R,14)/1000),(VLOOKUP(A90,BASE_558!D:R,13)/1000)),"")</f>
        <v/>
      </c>
      <c r="CB90" s="344" t="str">
        <f>IFERROR(VLOOKUP($A90,'BASE_558 EX'!$D:$R,15,FALSE),"")</f>
        <v xml:space="preserve">           17.562,05</v>
      </c>
      <c r="CC90" s="442"/>
      <c r="CD90" s="442">
        <f t="shared" si="20"/>
        <v>0</v>
      </c>
    </row>
    <row r="91" spans="1:82" s="23" customFormat="1" ht="25.4" customHeight="1">
      <c r="A91" s="309" t="s">
        <v>7068</v>
      </c>
      <c r="B91" s="309"/>
      <c r="C91" s="187">
        <v>45609</v>
      </c>
      <c r="D91" s="309" t="s">
        <v>3810</v>
      </c>
      <c r="E91" s="309" t="s">
        <v>3810</v>
      </c>
      <c r="F91" s="309" t="s">
        <v>176</v>
      </c>
      <c r="G91" s="339" t="s">
        <v>7069</v>
      </c>
      <c r="H91" s="339" t="s">
        <v>8877</v>
      </c>
      <c r="I91" s="6" t="s">
        <v>218</v>
      </c>
      <c r="J91" s="83" t="s">
        <v>462</v>
      </c>
      <c r="K91" s="507" t="s">
        <v>10772</v>
      </c>
      <c r="L91" s="206"/>
      <c r="M91" s="206"/>
      <c r="N91" s="206"/>
      <c r="O91" s="206"/>
      <c r="P91" s="206">
        <v>24567.99</v>
      </c>
      <c r="Q91" s="206">
        <f t="shared" si="15"/>
        <v>0</v>
      </c>
      <c r="R91" s="206"/>
      <c r="S91" s="206"/>
      <c r="T91" s="223"/>
      <c r="U91" s="169">
        <f t="shared" si="16"/>
        <v>0</v>
      </c>
      <c r="V91" s="372">
        <v>0</v>
      </c>
      <c r="W91" s="343"/>
      <c r="X91" s="332">
        <f>SUMIFS(BASE_EX!$J:$J,BASE_EX!$B:$B,'Direct Charge'!$A91,BASE_EX!$C:$C,"janeiro")</f>
        <v>0</v>
      </c>
      <c r="Y91" s="373"/>
      <c r="Z91" s="372">
        <v>0</v>
      </c>
      <c r="AA91" s="343"/>
      <c r="AB91" s="332">
        <f>SUMIFS(BASE_EX!$J:$J,BASE_EX!$B:$B,'Direct Charge'!$A91,BASE_EX!$C:$C,"fevereiro")</f>
        <v>0</v>
      </c>
      <c r="AC91" s="373"/>
      <c r="AD91" s="372"/>
      <c r="AE91" s="343"/>
      <c r="AF91" s="332">
        <f>SUMIFS(BASE_EX!$J:$J,BASE_EX!$B:$B,'Direct Charge'!$A91,BASE_EX!$C:$C,"março")</f>
        <v>0</v>
      </c>
      <c r="AG91" s="373"/>
      <c r="AH91" s="372"/>
      <c r="AI91" s="343"/>
      <c r="AJ91" s="332">
        <f>SUMIFS(BASE_EX!$J:$J,BASE_EX!$B:$B,'Direct Charge'!$A91,BASE_EX!$C:$C,"abril")</f>
        <v>0</v>
      </c>
      <c r="AK91" s="373"/>
      <c r="AL91" s="372"/>
      <c r="AM91" s="343"/>
      <c r="AN91" s="332">
        <f>SUMIFS(BASE_EX!$J:$J,BASE_EX!$B:$B,'Direct Charge'!$A91,BASE_EX!$C:$C,"maio")</f>
        <v>0</v>
      </c>
      <c r="AO91" s="373"/>
      <c r="AP91" s="372"/>
      <c r="AQ91" s="343"/>
      <c r="AR91" s="332">
        <f>SUMIFS(BASE_EX!$J:$J,BASE_EX!$B:$B,'Direct Charge'!$A91,BASE_EX!$C:$C,"junho")</f>
        <v>0</v>
      </c>
      <c r="AS91" s="373"/>
      <c r="AT91" s="372"/>
      <c r="AU91" s="343"/>
      <c r="AV91" s="332">
        <f>SUMIFS(BASE_EX!$J:$J,BASE_EX!$B:$B,'Direct Charge'!$A91,BASE_EX!$C:$C,"julho")</f>
        <v>0</v>
      </c>
      <c r="AW91" s="373"/>
      <c r="AX91" s="372"/>
      <c r="AY91" s="343"/>
      <c r="AZ91" s="332">
        <f>SUMIFS(BASE_EX!$J:$J,BASE_EX!$B:$B,'Direct Charge'!$A91,BASE_EX!$C:$C,"agosto")</f>
        <v>0</v>
      </c>
      <c r="BA91" s="373"/>
      <c r="BB91" s="372"/>
      <c r="BC91" s="343"/>
      <c r="BD91" s="332">
        <f>SUMIFS(BASE_EX!$J:$J,BASE_EX!$B:$B,'Direct Charge'!$A91,BASE_EX!$C:$C,"setembro")</f>
        <v>0</v>
      </c>
      <c r="BE91" s="373"/>
      <c r="BF91" s="372"/>
      <c r="BG91" s="343"/>
      <c r="BH91" s="332">
        <f>SUMIFS(BASE_EX!$J:$J,BASE_EX!$B:$B,'Direct Charge'!$A91,BASE_EX!$C:$C,"outubro")</f>
        <v>0</v>
      </c>
      <c r="BI91" s="373"/>
      <c r="BJ91" s="372"/>
      <c r="BK91" s="343"/>
      <c r="BL91" s="332">
        <f>SUMIFS(BASE_EX!$J:$J,BASE_EX!$B:$B,'Direct Charge'!$A91,BASE_EX!$C:$C,"novembro")</f>
        <v>0</v>
      </c>
      <c r="BM91" s="373"/>
      <c r="BN91" s="372"/>
      <c r="BO91" s="343"/>
      <c r="BP91" s="332">
        <f>SUMIFS(BASE_EX!$J:$J,BASE_EX!$B:$B,'Direct Charge'!$A91,BASE_EX!$C:$C,"dezembro")</f>
        <v>0</v>
      </c>
      <c r="BQ91" s="373"/>
      <c r="BR91" s="452"/>
      <c r="BS91" s="156">
        <f t="shared" si="17"/>
        <v>0</v>
      </c>
      <c r="BT91" s="320">
        <f t="shared" si="18"/>
        <v>0</v>
      </c>
      <c r="BU91" s="157" t="e">
        <f>SUM(L91,M91,N91,O91,U91)-#REF!</f>
        <v>#REF!</v>
      </c>
      <c r="BV91" s="346">
        <f t="shared" si="19"/>
        <v>0</v>
      </c>
      <c r="BW91" s="344" t="str">
        <f>IFERROR(VLOOKUP($A91,'BASE_558 EX'!$D:$R,8,FALSE),"")</f>
        <v xml:space="preserve">           34.001,55</v>
      </c>
      <c r="BX91" s="344" t="str">
        <f>IFERROR(VLOOKUP($A91,'BASE_558 EX'!$D:$R,9,FALSE),"")</f>
        <v xml:space="preserve">           24.567,99</v>
      </c>
      <c r="BY91" s="344" t="str">
        <f>IFERROR(VLOOKUP($A91,'BASE_558 EX'!$D:$R,10,FALSE),"")</f>
        <v xml:space="preserve">                0,00</v>
      </c>
      <c r="BZ91" s="344" t="str">
        <f>IFERROR(VLOOKUP($A91,'BASE_558 EX'!$D:$R,11,FALSE),"")</f>
        <v xml:space="preserve">                0,00</v>
      </c>
      <c r="CA91" s="344" t="str">
        <f>IFERROR(IF(BASE_558!$P$14="RemOrdPla",(VLOOKUP(A91,BASE_558!D:R,14)/1000),(VLOOKUP(A91,BASE_558!D:R,13)/1000)),"")</f>
        <v/>
      </c>
      <c r="CB91" s="344" t="str">
        <f>IFERROR(VLOOKUP($A91,'BASE_558 EX'!$D:$R,15,FALSE),"")</f>
        <v xml:space="preserve">            9.433,56</v>
      </c>
      <c r="CC91" s="442"/>
      <c r="CD91" s="442">
        <f t="shared" si="20"/>
        <v>0</v>
      </c>
    </row>
    <row r="92" spans="1:82" s="23" customFormat="1" ht="25.4" customHeight="1">
      <c r="A92" s="309" t="s">
        <v>7237</v>
      </c>
      <c r="B92" s="309"/>
      <c r="C92" s="187">
        <v>45656</v>
      </c>
      <c r="D92" s="309" t="s">
        <v>2708</v>
      </c>
      <c r="E92" s="309" t="s">
        <v>2708</v>
      </c>
      <c r="F92" s="309" t="s">
        <v>176</v>
      </c>
      <c r="G92" s="339" t="s">
        <v>7238</v>
      </c>
      <c r="H92" s="339" t="s">
        <v>8877</v>
      </c>
      <c r="I92" s="6" t="s">
        <v>218</v>
      </c>
      <c r="J92" s="83" t="s">
        <v>557</v>
      </c>
      <c r="K92" s="507" t="s">
        <v>10772</v>
      </c>
      <c r="L92" s="206"/>
      <c r="M92" s="206"/>
      <c r="N92" s="206"/>
      <c r="O92" s="206"/>
      <c r="P92" s="206"/>
      <c r="Q92" s="206">
        <f t="shared" si="15"/>
        <v>0</v>
      </c>
      <c r="R92" s="206"/>
      <c r="S92" s="206"/>
      <c r="T92" s="223"/>
      <c r="U92" s="169">
        <f t="shared" si="16"/>
        <v>0</v>
      </c>
      <c r="V92" s="372">
        <v>0</v>
      </c>
      <c r="W92" s="343"/>
      <c r="X92" s="332">
        <f>SUMIFS(BASE_EX!$J:$J,BASE_EX!$B:$B,'Direct Charge'!$A92,BASE_EX!$C:$C,"janeiro")</f>
        <v>0</v>
      </c>
      <c r="Y92" s="373"/>
      <c r="Z92" s="372">
        <v>0</v>
      </c>
      <c r="AA92" s="343"/>
      <c r="AB92" s="332">
        <f>SUMIFS(BASE_EX!$J:$J,BASE_EX!$B:$B,'Direct Charge'!$A92,BASE_EX!$C:$C,"fevereiro")</f>
        <v>0</v>
      </c>
      <c r="AC92" s="373"/>
      <c r="AD92" s="372"/>
      <c r="AE92" s="343"/>
      <c r="AF92" s="332">
        <f>SUMIFS(BASE_EX!$J:$J,BASE_EX!$B:$B,'Direct Charge'!$A92,BASE_EX!$C:$C,"março")</f>
        <v>0</v>
      </c>
      <c r="AG92" s="373"/>
      <c r="AH92" s="372"/>
      <c r="AI92" s="343"/>
      <c r="AJ92" s="332">
        <f>SUMIFS(BASE_EX!$J:$J,BASE_EX!$B:$B,'Direct Charge'!$A92,BASE_EX!$C:$C,"abril")</f>
        <v>0</v>
      </c>
      <c r="AK92" s="373"/>
      <c r="AL92" s="372"/>
      <c r="AM92" s="343"/>
      <c r="AN92" s="332">
        <f>SUMIFS(BASE_EX!$J:$J,BASE_EX!$B:$B,'Direct Charge'!$A92,BASE_EX!$C:$C,"maio")</f>
        <v>0</v>
      </c>
      <c r="AO92" s="373"/>
      <c r="AP92" s="372"/>
      <c r="AQ92" s="343"/>
      <c r="AR92" s="332">
        <f>SUMIFS(BASE_EX!$J:$J,BASE_EX!$B:$B,'Direct Charge'!$A92,BASE_EX!$C:$C,"junho")</f>
        <v>0</v>
      </c>
      <c r="AS92" s="373"/>
      <c r="AT92" s="372"/>
      <c r="AU92" s="343"/>
      <c r="AV92" s="332">
        <f>SUMIFS(BASE_EX!$J:$J,BASE_EX!$B:$B,'Direct Charge'!$A92,BASE_EX!$C:$C,"julho")</f>
        <v>0</v>
      </c>
      <c r="AW92" s="373"/>
      <c r="AX92" s="372"/>
      <c r="AY92" s="343"/>
      <c r="AZ92" s="332">
        <f>SUMIFS(BASE_EX!$J:$J,BASE_EX!$B:$B,'Direct Charge'!$A92,BASE_EX!$C:$C,"agosto")</f>
        <v>0</v>
      </c>
      <c r="BA92" s="373"/>
      <c r="BB92" s="372"/>
      <c r="BC92" s="343"/>
      <c r="BD92" s="332">
        <f>SUMIFS(BASE_EX!$J:$J,BASE_EX!$B:$B,'Direct Charge'!$A92,BASE_EX!$C:$C,"setembro")</f>
        <v>0</v>
      </c>
      <c r="BE92" s="373"/>
      <c r="BF92" s="372"/>
      <c r="BG92" s="343"/>
      <c r="BH92" s="332">
        <f>SUMIFS(BASE_EX!$J:$J,BASE_EX!$B:$B,'Direct Charge'!$A92,BASE_EX!$C:$C,"outubro")</f>
        <v>0</v>
      </c>
      <c r="BI92" s="373"/>
      <c r="BJ92" s="372"/>
      <c r="BK92" s="343"/>
      <c r="BL92" s="332">
        <f>SUMIFS(BASE_EX!$J:$J,BASE_EX!$B:$B,'Direct Charge'!$A92,BASE_EX!$C:$C,"novembro")</f>
        <v>0</v>
      </c>
      <c r="BM92" s="373"/>
      <c r="BN92" s="372"/>
      <c r="BO92" s="343"/>
      <c r="BP92" s="332">
        <f>SUMIFS(BASE_EX!$J:$J,BASE_EX!$B:$B,'Direct Charge'!$A92,BASE_EX!$C:$C,"dezembro")</f>
        <v>0</v>
      </c>
      <c r="BQ92" s="373"/>
      <c r="BR92" s="452"/>
      <c r="BS92" s="156">
        <f t="shared" si="17"/>
        <v>0</v>
      </c>
      <c r="BT92" s="320">
        <f t="shared" si="18"/>
        <v>0</v>
      </c>
      <c r="BU92" s="157" t="e">
        <f>SUM(L92,M92,N92,O92,U92)-#REF!</f>
        <v>#REF!</v>
      </c>
      <c r="BV92" s="346">
        <f t="shared" si="19"/>
        <v>0</v>
      </c>
      <c r="BW92" s="344" t="str">
        <f>IFERROR(VLOOKUP($A92,'BASE_558 EX'!$D:$R,8,FALSE),"")</f>
        <v xml:space="preserve">           77.276,25</v>
      </c>
      <c r="BX92" s="344" t="str">
        <f>IFERROR(VLOOKUP($A92,'BASE_558 EX'!$D:$R,9,FALSE),"")</f>
        <v xml:space="preserve">                0,00</v>
      </c>
      <c r="BY92" s="344" t="str">
        <f>IFERROR(VLOOKUP($A92,'BASE_558 EX'!$D:$R,10,FALSE),"")</f>
        <v xml:space="preserve">                0,00</v>
      </c>
      <c r="BZ92" s="344" t="str">
        <f>IFERROR(VLOOKUP($A92,'BASE_558 EX'!$D:$R,11,FALSE),"")</f>
        <v xml:space="preserve">                0,00</v>
      </c>
      <c r="CA92" s="344" t="str">
        <f>IFERROR(IF(BASE_558!$P$14="RemOrdPla",(VLOOKUP(A92,BASE_558!D:R,14)/1000),(VLOOKUP(A92,BASE_558!D:R,13)/1000)),"")</f>
        <v/>
      </c>
      <c r="CB92" s="344" t="str">
        <f>IFERROR(VLOOKUP($A92,'BASE_558 EX'!$D:$R,15,FALSE),"")</f>
        <v xml:space="preserve">           77.276,25</v>
      </c>
      <c r="CC92" s="442"/>
      <c r="CD92" s="442">
        <f t="shared" si="20"/>
        <v>0</v>
      </c>
    </row>
    <row r="93" spans="1:82" s="23" customFormat="1" ht="25.4" customHeight="1">
      <c r="A93" s="309" t="s">
        <v>7468</v>
      </c>
      <c r="B93" s="309"/>
      <c r="C93" s="187">
        <v>45691</v>
      </c>
      <c r="D93" s="309" t="s">
        <v>7469</v>
      </c>
      <c r="E93" s="309" t="s">
        <v>7469</v>
      </c>
      <c r="F93" s="309" t="s">
        <v>176</v>
      </c>
      <c r="G93" s="339" t="s">
        <v>7470</v>
      </c>
      <c r="H93" s="339" t="s">
        <v>8877</v>
      </c>
      <c r="I93" s="6" t="s">
        <v>463</v>
      </c>
      <c r="J93" s="83" t="s">
        <v>219</v>
      </c>
      <c r="K93" s="10" t="s">
        <v>8420</v>
      </c>
      <c r="L93" s="206"/>
      <c r="M93" s="206"/>
      <c r="N93" s="206"/>
      <c r="O93" s="206"/>
      <c r="P93" s="206"/>
      <c r="Q93" s="206">
        <f t="shared" si="15"/>
        <v>15702.98</v>
      </c>
      <c r="R93" s="206"/>
      <c r="S93" s="206"/>
      <c r="T93" s="223"/>
      <c r="U93" s="169">
        <f t="shared" si="16"/>
        <v>15702.98</v>
      </c>
      <c r="V93" s="372">
        <v>0</v>
      </c>
      <c r="W93" s="343"/>
      <c r="X93" s="332">
        <f>SUMIFS(BASE_EX!$J:$J,BASE_EX!$B:$B,'Direct Charge'!$A93,BASE_EX!$C:$C,"janeiro")</f>
        <v>0</v>
      </c>
      <c r="Y93" s="373"/>
      <c r="Z93" s="372">
        <v>0</v>
      </c>
      <c r="AA93" s="343"/>
      <c r="AB93" s="332">
        <f>SUMIFS(BASE_EX!$J:$J,BASE_EX!$B:$B,'Direct Charge'!$A93,BASE_EX!$C:$C,"fevereiro")</f>
        <v>0</v>
      </c>
      <c r="AC93" s="373"/>
      <c r="AD93" s="372"/>
      <c r="AE93" s="343"/>
      <c r="AF93" s="332">
        <f>SUMIFS(BASE_EX!$J:$J,BASE_EX!$B:$B,'Direct Charge'!$A93,BASE_EX!$C:$C,"março")</f>
        <v>0</v>
      </c>
      <c r="AG93" s="373"/>
      <c r="AH93" s="372">
        <v>10000</v>
      </c>
      <c r="AI93" s="343"/>
      <c r="AJ93" s="332">
        <f>SUMIFS(BASE_EX!$J:$J,BASE_EX!$B:$B,'Direct Charge'!$A93,BASE_EX!$C:$C,"abril")</f>
        <v>0</v>
      </c>
      <c r="AK93" s="373">
        <v>0</v>
      </c>
      <c r="AL93" s="372">
        <v>10000</v>
      </c>
      <c r="AM93" s="343"/>
      <c r="AN93" s="332">
        <f>SUMIFS(BASE_EX!$J:$J,BASE_EX!$B:$B,'Direct Charge'!$A93,BASE_EX!$C:$C,"maio")</f>
        <v>0</v>
      </c>
      <c r="AO93" s="373"/>
      <c r="AP93" s="372">
        <v>10000</v>
      </c>
      <c r="AQ93" s="343">
        <v>3150.98</v>
      </c>
      <c r="AR93" s="332">
        <f>SUMIFS(BASE_EX!$J:$J,BASE_EX!$B:$B,'Direct Charge'!$A93,BASE_EX!$C:$C,"junho")</f>
        <v>3150.98</v>
      </c>
      <c r="AS93" s="373">
        <v>3150.98</v>
      </c>
      <c r="AT93" s="372"/>
      <c r="AU93" s="343"/>
      <c r="AV93" s="332">
        <f>SUMIFS(BASE_EX!$J:$J,BASE_EX!$B:$B,'Direct Charge'!$A93,BASE_EX!$C:$C,"julho")</f>
        <v>0</v>
      </c>
      <c r="AW93" s="373">
        <v>6552</v>
      </c>
      <c r="AX93" s="372"/>
      <c r="AY93" s="343"/>
      <c r="AZ93" s="332">
        <f>SUMIFS(BASE_EX!$J:$J,BASE_EX!$B:$B,'Direct Charge'!$A93,BASE_EX!$C:$C,"agosto")</f>
        <v>0</v>
      </c>
      <c r="BA93" s="373">
        <v>6000</v>
      </c>
      <c r="BB93" s="372"/>
      <c r="BC93" s="343"/>
      <c r="BD93" s="332">
        <f>SUMIFS(BASE_EX!$J:$J,BASE_EX!$B:$B,'Direct Charge'!$A93,BASE_EX!$C:$C,"setembro")</f>
        <v>0</v>
      </c>
      <c r="BE93" s="373">
        <v>0</v>
      </c>
      <c r="BF93" s="372"/>
      <c r="BG93" s="343"/>
      <c r="BH93" s="332">
        <f>SUMIFS(BASE_EX!$J:$J,BASE_EX!$B:$B,'Direct Charge'!$A93,BASE_EX!$C:$C,"outubro")</f>
        <v>0</v>
      </c>
      <c r="BI93" s="373"/>
      <c r="BJ93" s="372"/>
      <c r="BK93" s="343"/>
      <c r="BL93" s="332">
        <f>SUMIFS(BASE_EX!$J:$J,BASE_EX!$B:$B,'Direct Charge'!$A93,BASE_EX!$C:$C,"novembro")</f>
        <v>0</v>
      </c>
      <c r="BM93" s="373"/>
      <c r="BN93" s="372"/>
      <c r="BO93" s="343"/>
      <c r="BP93" s="332">
        <f>SUMIFS(BASE_EX!$J:$J,BASE_EX!$B:$B,'Direct Charge'!$A93,BASE_EX!$C:$C,"dezembro")</f>
        <v>0</v>
      </c>
      <c r="BQ93" s="373"/>
      <c r="BR93" s="452"/>
      <c r="BS93" s="156">
        <f t="shared" si="17"/>
        <v>-6849.02</v>
      </c>
      <c r="BT93" s="320">
        <f t="shared" si="18"/>
        <v>0</v>
      </c>
      <c r="BU93" s="157" t="e">
        <f>SUM(L93,M93,N93,O93,U93)-#REF!</f>
        <v>#REF!</v>
      </c>
      <c r="BV93" s="346">
        <f t="shared" si="19"/>
        <v>15702.98</v>
      </c>
      <c r="BW93" s="344" t="str">
        <f>IFERROR(VLOOKUP($A93,'BASE_558 EX'!$D:$R,8,FALSE),"")</f>
        <v xml:space="preserve">           29.072,91</v>
      </c>
      <c r="BX93" s="344" t="str">
        <f>IFERROR(VLOOKUP($A93,'BASE_558 EX'!$D:$R,9,FALSE),"")</f>
        <v xml:space="preserve">            3.150,98</v>
      </c>
      <c r="BY93" s="344" t="str">
        <f>IFERROR(VLOOKUP($A93,'BASE_558 EX'!$D:$R,10,FALSE),"")</f>
        <v xml:space="preserve">           12.552,61</v>
      </c>
      <c r="BZ93" s="344" t="str">
        <f>IFERROR(VLOOKUP($A93,'BASE_558 EX'!$D:$R,11,FALSE),"")</f>
        <v xml:space="preserve">                0,00</v>
      </c>
      <c r="CA93" s="344" t="str">
        <f>IFERROR(IF(BASE_558!$P$14="RemOrdPla",(VLOOKUP(A93,BASE_558!D:R,14)/1000),(VLOOKUP(A93,BASE_558!D:R,13)/1000)),"")</f>
        <v/>
      </c>
      <c r="CB93" s="344" t="str">
        <f>IFERROR(VLOOKUP($A93,'BASE_558 EX'!$D:$R,15,FALSE),"")</f>
        <v xml:space="preserve">           13.369,32</v>
      </c>
      <c r="CC93" s="442"/>
      <c r="CD93" s="442">
        <f t="shared" si="20"/>
        <v>0</v>
      </c>
    </row>
    <row r="94" spans="1:82" s="23" customFormat="1" ht="25.4" customHeight="1">
      <c r="A94" s="309" t="s">
        <v>8480</v>
      </c>
      <c r="B94" s="309"/>
      <c r="C94" s="187">
        <v>45705</v>
      </c>
      <c r="D94" s="309" t="s">
        <v>3810</v>
      </c>
      <c r="E94" s="309" t="s">
        <v>3810</v>
      </c>
      <c r="F94" s="309" t="s">
        <v>176</v>
      </c>
      <c r="G94" s="360" t="s">
        <v>8481</v>
      </c>
      <c r="H94" s="339" t="s">
        <v>8877</v>
      </c>
      <c r="I94" s="6" t="s">
        <v>463</v>
      </c>
      <c r="J94" s="83" t="s">
        <v>219</v>
      </c>
      <c r="K94" s="10" t="s">
        <v>8482</v>
      </c>
      <c r="L94" s="206"/>
      <c r="M94" s="206"/>
      <c r="N94" s="206"/>
      <c r="O94" s="206"/>
      <c r="P94" s="206"/>
      <c r="Q94" s="206">
        <f t="shared" si="15"/>
        <v>83190.414511149211</v>
      </c>
      <c r="R94" s="206"/>
      <c r="S94" s="206"/>
      <c r="T94" s="223"/>
      <c r="U94" s="169">
        <f t="shared" si="16"/>
        <v>83190.414511149211</v>
      </c>
      <c r="V94" s="372">
        <v>0</v>
      </c>
      <c r="W94" s="343"/>
      <c r="X94" s="332">
        <f>SUMIFS(BASE_EX!$J:$J,BASE_EX!$B:$B,'Direct Charge'!$A94,BASE_EX!$C:$C,"janeiro")</f>
        <v>0</v>
      </c>
      <c r="Y94" s="373"/>
      <c r="Z94" s="372">
        <v>0</v>
      </c>
      <c r="AA94" s="343"/>
      <c r="AB94" s="332">
        <f>SUMIFS(BASE_EX!$J:$J,BASE_EX!$B:$B,'Direct Charge'!$A94,BASE_EX!$C:$C,"fevereiro")</f>
        <v>0</v>
      </c>
      <c r="AC94" s="373"/>
      <c r="AD94" s="372"/>
      <c r="AE94" s="343">
        <v>13188.12</v>
      </c>
      <c r="AF94" s="332">
        <f>SUMIFS(BASE_EX!$J:$J,BASE_EX!$B:$B,'Direct Charge'!$A94,BASE_EX!$C:$C,"março")</f>
        <v>13188.12</v>
      </c>
      <c r="AG94" s="373">
        <v>13188.12</v>
      </c>
      <c r="AH94" s="372">
        <v>28407.097255574605</v>
      </c>
      <c r="AI94" s="343"/>
      <c r="AJ94" s="332">
        <f>SUMIFS(BASE_EX!$J:$J,BASE_EX!$B:$B,'Direct Charge'!$A94,BASE_EX!$C:$C,"abril")</f>
        <v>0</v>
      </c>
      <c r="AK94" s="373">
        <v>0</v>
      </c>
      <c r="AL94" s="372">
        <v>28407.097255574605</v>
      </c>
      <c r="AM94" s="343"/>
      <c r="AN94" s="332">
        <f>SUMIFS(BASE_EX!$J:$J,BASE_EX!$B:$B,'Direct Charge'!$A94,BASE_EX!$C:$C,"maio")</f>
        <v>0</v>
      </c>
      <c r="AO94" s="373"/>
      <c r="AP94" s="372">
        <v>28407.097255574605</v>
      </c>
      <c r="AQ94" s="343"/>
      <c r="AR94" s="332">
        <f>SUMIFS(BASE_EX!$J:$J,BASE_EX!$B:$B,'Direct Charge'!$A94,BASE_EX!$C:$C,"junho")</f>
        <v>0</v>
      </c>
      <c r="AS94" s="373">
        <v>0</v>
      </c>
      <c r="AT94" s="372"/>
      <c r="AU94" s="343"/>
      <c r="AV94" s="332">
        <f>SUMIFS(BASE_EX!$J:$J,BASE_EX!$B:$B,'Direct Charge'!$A94,BASE_EX!$C:$C,"julho")</f>
        <v>0</v>
      </c>
      <c r="AW94" s="373">
        <f>83190.3945111492/2-13188.1</f>
        <v>28407.097255574605</v>
      </c>
      <c r="AX94" s="372"/>
      <c r="AY94" s="343"/>
      <c r="AZ94" s="332">
        <f>SUMIFS(BASE_EX!$J:$J,BASE_EX!$B:$B,'Direct Charge'!$A94,BASE_EX!$C:$C,"agosto")</f>
        <v>0</v>
      </c>
      <c r="BA94" s="373">
        <f>83190.3945111492/2</f>
        <v>41595.197255574603</v>
      </c>
      <c r="BB94" s="372"/>
      <c r="BC94" s="343"/>
      <c r="BD94" s="332">
        <f>SUMIFS(BASE_EX!$J:$J,BASE_EX!$B:$B,'Direct Charge'!$A94,BASE_EX!$C:$C,"setembro")</f>
        <v>0</v>
      </c>
      <c r="BE94" s="373"/>
      <c r="BF94" s="372"/>
      <c r="BG94" s="343"/>
      <c r="BH94" s="332">
        <f>SUMIFS(BASE_EX!$J:$J,BASE_EX!$B:$B,'Direct Charge'!$A94,BASE_EX!$C:$C,"outubro")</f>
        <v>0</v>
      </c>
      <c r="BI94" s="373"/>
      <c r="BJ94" s="372"/>
      <c r="BK94" s="343"/>
      <c r="BL94" s="332">
        <f>SUMIFS(BASE_EX!$J:$J,BASE_EX!$B:$B,'Direct Charge'!$A94,BASE_EX!$C:$C,"novembro")</f>
        <v>0</v>
      </c>
      <c r="BM94" s="373"/>
      <c r="BN94" s="372"/>
      <c r="BO94" s="343"/>
      <c r="BP94" s="332">
        <f>SUMIFS(BASE_EX!$J:$J,BASE_EX!$B:$B,'Direct Charge'!$A94,BASE_EX!$C:$C,"dezembro")</f>
        <v>0</v>
      </c>
      <c r="BQ94" s="373"/>
      <c r="BR94" s="452"/>
      <c r="BS94" s="156">
        <f t="shared" si="17"/>
        <v>-28407.097255574605</v>
      </c>
      <c r="BT94" s="320">
        <f t="shared" si="18"/>
        <v>0</v>
      </c>
      <c r="BU94" s="157" t="e">
        <f>SUM(L94,M94,N94,O94,U94)-#REF!</f>
        <v>#REF!</v>
      </c>
      <c r="BV94" s="346">
        <f t="shared" si="19"/>
        <v>83190.414511149211</v>
      </c>
      <c r="BW94" s="344" t="str">
        <f>IFERROR(VLOOKUP($A94,'BASE_558 EX'!$D:$R,8,FALSE),"")</f>
        <v xml:space="preserve">           78.536,05</v>
      </c>
      <c r="BX94" s="344" t="str">
        <f>IFERROR(VLOOKUP($A94,'BASE_558 EX'!$D:$R,9,FALSE),"")</f>
        <v xml:space="preserve">           13.188,12</v>
      </c>
      <c r="BY94" s="344" t="str">
        <f>IFERROR(VLOOKUP($A94,'BASE_558 EX'!$D:$R,10,FALSE),"")</f>
        <v xml:space="preserve">           70.539,84</v>
      </c>
      <c r="BZ94" s="344" t="str">
        <f>IFERROR(VLOOKUP($A94,'BASE_558 EX'!$D:$R,11,FALSE),"")</f>
        <v xml:space="preserve">                0,00</v>
      </c>
      <c r="CA94" s="344" t="str">
        <f>IFERROR(IF(BASE_558!$P$14="RemOrdPla",(VLOOKUP(A94,BASE_558!D:R,14)/1000),(VLOOKUP(A94,BASE_558!D:R,13)/1000)),"")</f>
        <v/>
      </c>
      <c r="CB94" s="344" t="str">
        <f>IFERROR(VLOOKUP($A94,'BASE_558 EX'!$D:$R,15,FALSE),"")</f>
        <v>-5.191,91</v>
      </c>
      <c r="CC94" s="442"/>
      <c r="CD94" s="442">
        <f t="shared" si="20"/>
        <v>0</v>
      </c>
    </row>
    <row r="95" spans="1:82" s="23" customFormat="1" ht="25.4" customHeight="1">
      <c r="A95" s="309" t="s">
        <v>10865</v>
      </c>
      <c r="B95" s="309"/>
      <c r="C95" s="187">
        <v>45733</v>
      </c>
      <c r="D95" s="309" t="s">
        <v>7469</v>
      </c>
      <c r="E95" s="309" t="s">
        <v>7469</v>
      </c>
      <c r="F95" s="309" t="s">
        <v>176</v>
      </c>
      <c r="G95" s="339" t="s">
        <v>10866</v>
      </c>
      <c r="H95" s="339" t="s">
        <v>8877</v>
      </c>
      <c r="I95" s="6" t="s">
        <v>463</v>
      </c>
      <c r="J95" s="83" t="s">
        <v>219</v>
      </c>
      <c r="K95" s="10" t="s">
        <v>10868</v>
      </c>
      <c r="L95" s="206"/>
      <c r="M95" s="206"/>
      <c r="N95" s="206"/>
      <c r="O95" s="206"/>
      <c r="P95" s="206"/>
      <c r="Q95" s="206"/>
      <c r="R95" s="206"/>
      <c r="S95" s="206"/>
      <c r="T95" s="223"/>
      <c r="U95" s="169">
        <f t="shared" si="16"/>
        <v>26000</v>
      </c>
      <c r="V95" s="372"/>
      <c r="W95" s="343"/>
      <c r="X95" s="332">
        <f>SUMIFS(BASE_EX!$J:$J,BASE_EX!$B:$B,'Direct Charge'!$A95,BASE_EX!$C:$C,"janeiro")</f>
        <v>0</v>
      </c>
      <c r="Y95" s="373"/>
      <c r="Z95" s="372"/>
      <c r="AA95" s="343"/>
      <c r="AB95" s="332">
        <f>SUMIFS(BASE_EX!$J:$J,BASE_EX!$B:$B,'Direct Charge'!$A95,BASE_EX!$C:$C,"fevereiro")</f>
        <v>0</v>
      </c>
      <c r="AC95" s="373"/>
      <c r="AD95" s="372"/>
      <c r="AE95" s="343"/>
      <c r="AF95" s="332">
        <f>SUMIFS(BASE_EX!$J:$J,BASE_EX!$B:$B,'Direct Charge'!$A95,BASE_EX!$C:$C,"março")</f>
        <v>0</v>
      </c>
      <c r="AG95" s="373"/>
      <c r="AH95" s="372">
        <v>13000</v>
      </c>
      <c r="AI95" s="343"/>
      <c r="AJ95" s="332">
        <f>SUMIFS(BASE_EX!$J:$J,BASE_EX!$B:$B,'Direct Charge'!$A95,BASE_EX!$C:$C,"abril")</f>
        <v>0</v>
      </c>
      <c r="AK95" s="373">
        <v>0</v>
      </c>
      <c r="AL95" s="372">
        <v>0</v>
      </c>
      <c r="AM95" s="343"/>
      <c r="AN95" s="332">
        <f>SUMIFS(BASE_EX!$J:$J,BASE_EX!$B:$B,'Direct Charge'!$A95,BASE_EX!$C:$C,"maio")</f>
        <v>0</v>
      </c>
      <c r="AO95" s="373">
        <v>0</v>
      </c>
      <c r="AP95" s="372">
        <v>13000</v>
      </c>
      <c r="AQ95" s="343"/>
      <c r="AR95" s="332">
        <f>SUMIFS(BASE_EX!$J:$J,BASE_EX!$B:$B,'Direct Charge'!$A95,BASE_EX!$C:$C,"junho")</f>
        <v>0</v>
      </c>
      <c r="AS95" s="373">
        <v>0</v>
      </c>
      <c r="AT95" s="372"/>
      <c r="AU95" s="343"/>
      <c r="AV95" s="332">
        <f>SUMIFS(BASE_EX!$J:$J,BASE_EX!$B:$B,'Direct Charge'!$A95,BASE_EX!$C:$C,"julho")</f>
        <v>0</v>
      </c>
      <c r="AW95" s="373">
        <v>0</v>
      </c>
      <c r="AX95" s="372"/>
      <c r="AY95" s="343"/>
      <c r="AZ95" s="332">
        <f>SUMIFS(BASE_EX!$J:$J,BASE_EX!$B:$B,'Direct Charge'!$A95,BASE_EX!$C:$C,"agosto")</f>
        <v>0</v>
      </c>
      <c r="BA95" s="373">
        <f>26000/2</f>
        <v>13000</v>
      </c>
      <c r="BB95" s="372"/>
      <c r="BC95" s="343"/>
      <c r="BD95" s="332">
        <f>SUMIFS(BASE_EX!$J:$J,BASE_EX!$B:$B,'Direct Charge'!$A95,BASE_EX!$C:$C,"setembro")</f>
        <v>0</v>
      </c>
      <c r="BE95" s="373">
        <f>26000/2</f>
        <v>13000</v>
      </c>
      <c r="BF95" s="372"/>
      <c r="BG95" s="343"/>
      <c r="BH95" s="332">
        <f>SUMIFS(BASE_EX!$J:$J,BASE_EX!$B:$B,'Direct Charge'!$A95,BASE_EX!$C:$C,"outubro")</f>
        <v>0</v>
      </c>
      <c r="BI95" s="373"/>
      <c r="BJ95" s="372"/>
      <c r="BK95" s="343"/>
      <c r="BL95" s="332">
        <f>SUMIFS(BASE_EX!$J:$J,BASE_EX!$B:$B,'Direct Charge'!$A95,BASE_EX!$C:$C,"novembro")</f>
        <v>0</v>
      </c>
      <c r="BM95" s="373"/>
      <c r="BN95" s="372"/>
      <c r="BO95" s="343"/>
      <c r="BP95" s="332">
        <f>SUMIFS(BASE_EX!$J:$J,BASE_EX!$B:$B,'Direct Charge'!$A95,BASE_EX!$C:$C,"dezembro")</f>
        <v>0</v>
      </c>
      <c r="BQ95" s="373"/>
      <c r="BR95" s="452"/>
      <c r="BS95" s="156">
        <f t="shared" si="17"/>
        <v>-13000</v>
      </c>
      <c r="BT95" s="320">
        <f t="shared" si="18"/>
        <v>0</v>
      </c>
      <c r="BU95" s="157" t="e">
        <f>SUM(L95,M95,N95,O95,U95)-#REF!</f>
        <v>#REF!</v>
      </c>
      <c r="BV95" s="346">
        <f t="shared" si="19"/>
        <v>26000</v>
      </c>
      <c r="BW95" s="344" t="str">
        <f>IFERROR(VLOOKUP($A95,'BASE_558 EX'!$D:$R,8,FALSE),"")</f>
        <v xml:space="preserve">           25.377,67</v>
      </c>
      <c r="BX95" s="344" t="str">
        <f>IFERROR(VLOOKUP($A95,'BASE_558 EX'!$D:$R,9,FALSE),"")</f>
        <v xml:space="preserve">                0,00</v>
      </c>
      <c r="BY95" s="344" t="str">
        <f>IFERROR(VLOOKUP($A95,'BASE_558 EX'!$D:$R,10,FALSE),"")</f>
        <v xml:space="preserve">                0,00</v>
      </c>
      <c r="BZ95" s="344" t="str">
        <f>IFERROR(VLOOKUP($A95,'BASE_558 EX'!$D:$R,11,FALSE),"")</f>
        <v xml:space="preserve">           17.394,00</v>
      </c>
      <c r="CA95" s="344" t="str">
        <f>IFERROR(IF(BASE_558!$P$14="RemOrdPla",(VLOOKUP(A95,BASE_558!D:R,14)/1000),(VLOOKUP(A95,BASE_558!D:R,13)/1000)),"")</f>
        <v/>
      </c>
      <c r="CB95" s="344" t="str">
        <f>IFERROR(VLOOKUP($A95,'BASE_558 EX'!$D:$R,15,FALSE),"")</f>
        <v xml:space="preserve">            7.983,67</v>
      </c>
      <c r="CC95" s="442"/>
      <c r="CD95" s="442">
        <f t="shared" si="20"/>
        <v>0</v>
      </c>
    </row>
    <row r="96" spans="1:82" s="23" customFormat="1" ht="25.4" customHeight="1">
      <c r="A96" s="309" t="s">
        <v>10952</v>
      </c>
      <c r="B96" s="309"/>
      <c r="C96" s="187">
        <v>45734</v>
      </c>
      <c r="D96" s="309" t="s">
        <v>1045</v>
      </c>
      <c r="E96" s="309" t="s">
        <v>2079</v>
      </c>
      <c r="F96" s="309" t="s">
        <v>176</v>
      </c>
      <c r="G96" s="360" t="s">
        <v>2892</v>
      </c>
      <c r="H96" s="339" t="s">
        <v>8877</v>
      </c>
      <c r="I96" s="6" t="s">
        <v>463</v>
      </c>
      <c r="J96" s="83" t="s">
        <v>219</v>
      </c>
      <c r="K96" s="10" t="s">
        <v>10867</v>
      </c>
      <c r="L96" s="206"/>
      <c r="M96" s="206"/>
      <c r="N96" s="206"/>
      <c r="O96" s="206"/>
      <c r="P96" s="206"/>
      <c r="Q96" s="206"/>
      <c r="R96" s="206"/>
      <c r="S96" s="206"/>
      <c r="T96" s="223"/>
      <c r="U96" s="169">
        <f t="shared" si="16"/>
        <v>50640.229999999996</v>
      </c>
      <c r="V96" s="372"/>
      <c r="W96" s="343"/>
      <c r="X96" s="332">
        <f>SUMIFS(BASE_EX!$J:$J,BASE_EX!$B:$B,'Direct Charge'!$A96,BASE_EX!$C:$C,"janeiro")</f>
        <v>0</v>
      </c>
      <c r="Y96" s="373"/>
      <c r="Z96" s="372"/>
      <c r="AA96" s="343"/>
      <c r="AB96" s="332">
        <f>SUMIFS(BASE_EX!$J:$J,BASE_EX!$B:$B,'Direct Charge'!$A96,BASE_EX!$C:$C,"fevereiro")</f>
        <v>0</v>
      </c>
      <c r="AC96" s="373"/>
      <c r="AD96" s="372"/>
      <c r="AE96" s="343"/>
      <c r="AF96" s="332">
        <f>SUMIFS(BASE_EX!$J:$J,BASE_EX!$B:$B,'Direct Charge'!$A96,BASE_EX!$C:$C,"março")</f>
        <v>0</v>
      </c>
      <c r="AG96" s="373"/>
      <c r="AH96" s="372">
        <v>20000</v>
      </c>
      <c r="AI96" s="343"/>
      <c r="AJ96" s="332">
        <f>SUMIFS(BASE_EX!$J:$J,BASE_EX!$B:$B,'Direct Charge'!$A96,BASE_EX!$C:$C,"abril")</f>
        <v>0</v>
      </c>
      <c r="AK96" s="373"/>
      <c r="AL96" s="372"/>
      <c r="AM96" s="343">
        <v>13823.7</v>
      </c>
      <c r="AN96" s="332">
        <f>SUMIFS(BASE_EX!$J:$J,BASE_EX!$B:$B,'Direct Charge'!$A96,BASE_EX!$C:$C,"maio")</f>
        <v>13823.7</v>
      </c>
      <c r="AO96" s="373">
        <v>13823.7</v>
      </c>
      <c r="AP96" s="372">
        <v>17000</v>
      </c>
      <c r="AQ96" s="343">
        <v>16816.53</v>
      </c>
      <c r="AR96" s="332">
        <f>SUMIFS(BASE_EX!$J:$J,BASE_EX!$B:$B,'Direct Charge'!$A96,BASE_EX!$C:$C,"junho")</f>
        <v>16816.53</v>
      </c>
      <c r="AS96" s="373">
        <v>16816.53</v>
      </c>
      <c r="AT96" s="372"/>
      <c r="AU96" s="343"/>
      <c r="AV96" s="332">
        <f>SUMIFS(BASE_EX!$J:$J,BASE_EX!$B:$B,'Direct Charge'!$A96,BASE_EX!$C:$C,"julho")</f>
        <v>0</v>
      </c>
      <c r="AW96" s="373">
        <f>60000/3</f>
        <v>20000</v>
      </c>
      <c r="AX96" s="372"/>
      <c r="AY96" s="343"/>
      <c r="AZ96" s="332">
        <f>SUMIFS(BASE_EX!$J:$J,BASE_EX!$B:$B,'Direct Charge'!$A96,BASE_EX!$C:$C,"agosto")</f>
        <v>0</v>
      </c>
      <c r="BA96" s="373"/>
      <c r="BB96" s="372"/>
      <c r="BC96" s="343"/>
      <c r="BD96" s="332">
        <f>SUMIFS(BASE_EX!$J:$J,BASE_EX!$B:$B,'Direct Charge'!$A96,BASE_EX!$C:$C,"setembro")</f>
        <v>0</v>
      </c>
      <c r="BE96" s="373"/>
      <c r="BF96" s="372"/>
      <c r="BG96" s="343"/>
      <c r="BH96" s="332">
        <f>SUMIFS(BASE_EX!$J:$J,BASE_EX!$B:$B,'Direct Charge'!$A96,BASE_EX!$C:$C,"outubro")</f>
        <v>0</v>
      </c>
      <c r="BI96" s="373"/>
      <c r="BJ96" s="372"/>
      <c r="BK96" s="343"/>
      <c r="BL96" s="332">
        <f>SUMIFS(BASE_EX!$J:$J,BASE_EX!$B:$B,'Direct Charge'!$A96,BASE_EX!$C:$C,"novembro")</f>
        <v>0</v>
      </c>
      <c r="BM96" s="373"/>
      <c r="BN96" s="372"/>
      <c r="BO96" s="343"/>
      <c r="BP96" s="332">
        <f>SUMIFS(BASE_EX!$J:$J,BASE_EX!$B:$B,'Direct Charge'!$A96,BASE_EX!$C:$C,"dezembro")</f>
        <v>0</v>
      </c>
      <c r="BQ96" s="373"/>
      <c r="BR96" s="452"/>
      <c r="BS96" s="156">
        <f t="shared" si="17"/>
        <v>-183.47000000000116</v>
      </c>
      <c r="BT96" s="320">
        <f t="shared" si="18"/>
        <v>0</v>
      </c>
      <c r="BU96" s="157" t="e">
        <f>SUM(L96,M96,N96,O96,U96)-#REF!</f>
        <v>#REF!</v>
      </c>
      <c r="BV96" s="346">
        <f t="shared" si="19"/>
        <v>50640.229999999996</v>
      </c>
      <c r="BW96" s="344" t="str">
        <f>IFERROR(VLOOKUP($A96,'BASE_558 EX'!$D:$R,8,FALSE),"")</f>
        <v xml:space="preserve">           56.675,50</v>
      </c>
      <c r="BX96" s="344" t="str">
        <f>IFERROR(VLOOKUP($A96,'BASE_558 EX'!$D:$R,9,FALSE),"")</f>
        <v xml:space="preserve">           30.640,23</v>
      </c>
      <c r="BY96" s="344" t="str">
        <f>IFERROR(VLOOKUP($A96,'BASE_558 EX'!$D:$R,10,FALSE),"")</f>
        <v xml:space="preserve">           20.747,31</v>
      </c>
      <c r="BZ96" s="344" t="str">
        <f>IFERROR(VLOOKUP($A96,'BASE_558 EX'!$D:$R,11,FALSE),"")</f>
        <v xml:space="preserve">                0,00</v>
      </c>
      <c r="CA96" s="344" t="str">
        <f>IFERROR(IF(BASE_558!$P$14="RemOrdPla",(VLOOKUP(A96,BASE_558!D:R,14)/1000),(VLOOKUP(A96,BASE_558!D:R,13)/1000)),"")</f>
        <v/>
      </c>
      <c r="CB96" s="344" t="str">
        <f>IFERROR(VLOOKUP($A96,'BASE_558 EX'!$D:$R,15,FALSE),"")</f>
        <v xml:space="preserve">            5.287,96</v>
      </c>
      <c r="CC96" s="442"/>
      <c r="CD96" s="442">
        <f t="shared" si="20"/>
        <v>0</v>
      </c>
    </row>
    <row r="97" spans="1:82" s="23" customFormat="1" ht="25.4" customHeight="1">
      <c r="A97" s="309" t="s">
        <v>17816</v>
      </c>
      <c r="B97" s="309"/>
      <c r="C97" s="187">
        <v>45806</v>
      </c>
      <c r="D97" s="309" t="s">
        <v>1810</v>
      </c>
      <c r="E97" s="309" t="s">
        <v>1810</v>
      </c>
      <c r="F97" s="309" t="s">
        <v>176</v>
      </c>
      <c r="G97" s="339" t="s">
        <v>17817</v>
      </c>
      <c r="H97" s="339" t="s">
        <v>8877</v>
      </c>
      <c r="I97" s="6" t="s">
        <v>463</v>
      </c>
      <c r="J97" s="83" t="s">
        <v>219</v>
      </c>
      <c r="K97" s="10" t="s">
        <v>17818</v>
      </c>
      <c r="L97" s="206"/>
      <c r="M97" s="206"/>
      <c r="N97" s="206"/>
      <c r="O97" s="206"/>
      <c r="P97" s="206"/>
      <c r="Q97" s="206"/>
      <c r="R97" s="206"/>
      <c r="S97" s="206"/>
      <c r="T97" s="223"/>
      <c r="U97" s="169">
        <f t="shared" si="16"/>
        <v>22938.053097345131</v>
      </c>
      <c r="V97" s="372"/>
      <c r="W97" s="343"/>
      <c r="X97" s="332">
        <f>SUMIFS(BASE_EX!$J:$J,BASE_EX!$B:$B,'Direct Charge'!$A97,BASE_EX!$C:$C,"janeiro")</f>
        <v>0</v>
      </c>
      <c r="Y97" s="373"/>
      <c r="Z97" s="372"/>
      <c r="AA97" s="343"/>
      <c r="AB97" s="332">
        <f>SUMIFS(BASE_EX!$J:$J,BASE_EX!$B:$B,'Direct Charge'!$A97,BASE_EX!$C:$C,"fevereiro")</f>
        <v>0</v>
      </c>
      <c r="AC97" s="373"/>
      <c r="AD97" s="372"/>
      <c r="AE97" s="343"/>
      <c r="AF97" s="332">
        <f>SUMIFS(BASE_EX!$J:$J,BASE_EX!$B:$B,'Direct Charge'!$A97,BASE_EX!$C:$C,"março")</f>
        <v>0</v>
      </c>
      <c r="AG97" s="373"/>
      <c r="AH97" s="372"/>
      <c r="AI97" s="343"/>
      <c r="AJ97" s="332">
        <f>SUMIFS(BASE_EX!$J:$J,BASE_EX!$B:$B,'Direct Charge'!$A97,BASE_EX!$C:$C,"abril")</f>
        <v>0</v>
      </c>
      <c r="AK97" s="373"/>
      <c r="AL97" s="372"/>
      <c r="AM97" s="343"/>
      <c r="AN97" s="332">
        <f>SUMIFS(BASE_EX!$J:$J,BASE_EX!$B:$B,'Direct Charge'!$A97,BASE_EX!$C:$C,"maio")</f>
        <v>0</v>
      </c>
      <c r="AO97" s="373"/>
      <c r="AP97" s="372"/>
      <c r="AQ97" s="343"/>
      <c r="AR97" s="332">
        <f>SUMIFS(BASE_EX!$J:$J,BASE_EX!$B:$B,'Direct Charge'!$A97,BASE_EX!$C:$C,"junho")</f>
        <v>0</v>
      </c>
      <c r="AS97" s="373"/>
      <c r="AT97" s="372"/>
      <c r="AU97" s="343"/>
      <c r="AV97" s="332">
        <f>SUMIFS(BASE_EX!$J:$J,BASE_EX!$B:$B,'Direct Charge'!$A97,BASE_EX!$C:$C,"julho")</f>
        <v>0</v>
      </c>
      <c r="AW97" s="373"/>
      <c r="AX97" s="372"/>
      <c r="AY97" s="343"/>
      <c r="AZ97" s="332">
        <f>SUMIFS(BASE_EX!$J:$J,BASE_EX!$B:$B,'Direct Charge'!$A97,BASE_EX!$C:$C,"agosto")</f>
        <v>0</v>
      </c>
      <c r="BA97" s="373"/>
      <c r="BB97" s="372"/>
      <c r="BC97" s="343"/>
      <c r="BD97" s="332">
        <f>SUMIFS(BASE_EX!$J:$J,BASE_EX!$B:$B,'Direct Charge'!$A97,BASE_EX!$C:$C,"setembro")</f>
        <v>0</v>
      </c>
      <c r="BE97" s="373">
        <f>(324000/5.65)/10</f>
        <v>5734.5132743362828</v>
      </c>
      <c r="BF97" s="372"/>
      <c r="BG97" s="343"/>
      <c r="BH97" s="332">
        <f>SUMIFS(BASE_EX!$J:$J,BASE_EX!$B:$B,'Direct Charge'!$A97,BASE_EX!$C:$C,"outubro")</f>
        <v>0</v>
      </c>
      <c r="BI97" s="373">
        <f>(324000/5.65)/10</f>
        <v>5734.5132743362828</v>
      </c>
      <c r="BJ97" s="372"/>
      <c r="BK97" s="343"/>
      <c r="BL97" s="332">
        <f>SUMIFS(BASE_EX!$J:$J,BASE_EX!$B:$B,'Direct Charge'!$A97,BASE_EX!$C:$C,"novembro")</f>
        <v>0</v>
      </c>
      <c r="BM97" s="373">
        <f>(324000/5.65)/10</f>
        <v>5734.5132743362828</v>
      </c>
      <c r="BN97" s="372"/>
      <c r="BO97" s="343"/>
      <c r="BP97" s="332">
        <f>SUMIFS(BASE_EX!$J:$J,BASE_EX!$B:$B,'Direct Charge'!$A97,BASE_EX!$C:$C,"dezembro")</f>
        <v>0</v>
      </c>
      <c r="BQ97" s="373">
        <f>(324000/5.65)/10</f>
        <v>5734.5132743362828</v>
      </c>
      <c r="BR97" s="373">
        <f>((324000/5.65)/10)*6</f>
        <v>34407.079646017693</v>
      </c>
      <c r="BS97" s="156">
        <f t="shared" si="17"/>
        <v>0</v>
      </c>
      <c r="BT97" s="320">
        <f t="shared" si="18"/>
        <v>0</v>
      </c>
      <c r="BU97" s="157" t="e">
        <f>SUM(L97,M97,N97,O97,U97)-#REF!</f>
        <v>#REF!</v>
      </c>
      <c r="BV97" s="346">
        <f t="shared" si="19"/>
        <v>22938.053097345131</v>
      </c>
      <c r="BW97" s="344" t="str">
        <f>IFERROR(VLOOKUP($A97,'BASE_558 EX'!$D:$R,8,FALSE),"")</f>
        <v xml:space="preserve">           52.533,72</v>
      </c>
      <c r="BX97" s="344" t="str">
        <f>IFERROR(VLOOKUP($A97,'BASE_558 EX'!$D:$R,9,FALSE),"")</f>
        <v xml:space="preserve">                0,00</v>
      </c>
      <c r="BY97" s="344" t="str">
        <f>IFERROR(VLOOKUP($A97,'BASE_558 EX'!$D:$R,10,FALSE),"")</f>
        <v xml:space="preserve">           46.739,21</v>
      </c>
      <c r="BZ97" s="344" t="str">
        <f>IFERROR(VLOOKUP($A97,'BASE_558 EX'!$D:$R,11,FALSE),"")</f>
        <v xml:space="preserve">                0,00</v>
      </c>
      <c r="CA97" s="344" t="str">
        <f>IFERROR(IF(BASE_558!$P$14="RemOrdPla",(VLOOKUP(A97,BASE_558!D:R,14)/1000),(VLOOKUP(A97,BASE_558!D:R,13)/1000)),"")</f>
        <v/>
      </c>
      <c r="CB97" s="344" t="str">
        <f>IFERROR(VLOOKUP($A97,'BASE_558 EX'!$D:$R,15,FALSE),"")</f>
        <v xml:space="preserve">            5.794,51</v>
      </c>
      <c r="CC97" s="442"/>
      <c r="CD97" s="442">
        <f t="shared" si="20"/>
        <v>0</v>
      </c>
    </row>
    <row r="98" spans="1:82" s="23" customFormat="1" ht="25.4" customHeight="1">
      <c r="A98" s="309" t="s">
        <v>18531</v>
      </c>
      <c r="B98" s="309"/>
      <c r="C98" s="187">
        <v>45826</v>
      </c>
      <c r="D98" s="309" t="s">
        <v>2297</v>
      </c>
      <c r="E98" s="309" t="s">
        <v>2297</v>
      </c>
      <c r="F98" s="309" t="s">
        <v>176</v>
      </c>
      <c r="G98" s="339" t="s">
        <v>18532</v>
      </c>
      <c r="H98" s="339" t="s">
        <v>8877</v>
      </c>
      <c r="I98" s="6" t="s">
        <v>463</v>
      </c>
      <c r="J98" s="83" t="s">
        <v>219</v>
      </c>
      <c r="K98" s="10" t="s">
        <v>18533</v>
      </c>
      <c r="L98" s="206"/>
      <c r="M98" s="206"/>
      <c r="N98" s="206"/>
      <c r="O98" s="206"/>
      <c r="P98" s="206"/>
      <c r="Q98" s="206"/>
      <c r="R98" s="206"/>
      <c r="S98" s="206"/>
      <c r="T98" s="223"/>
      <c r="U98" s="169">
        <f t="shared" si="16"/>
        <v>16814.159292035398</v>
      </c>
      <c r="V98" s="372"/>
      <c r="W98" s="343"/>
      <c r="X98" s="332">
        <f>SUMIFS(BASE_EX!$J:$J,BASE_EX!$B:$B,'Direct Charge'!$A98,BASE_EX!$C:$C,"janeiro")</f>
        <v>0</v>
      </c>
      <c r="Y98" s="373"/>
      <c r="Z98" s="372"/>
      <c r="AA98" s="343"/>
      <c r="AB98" s="332">
        <f>SUMIFS(BASE_EX!$J:$J,BASE_EX!$B:$B,'Direct Charge'!$A98,BASE_EX!$C:$C,"fevereiro")</f>
        <v>0</v>
      </c>
      <c r="AC98" s="373"/>
      <c r="AD98" s="372"/>
      <c r="AE98" s="343"/>
      <c r="AF98" s="332">
        <f>SUMIFS(BASE_EX!$J:$J,BASE_EX!$B:$B,'Direct Charge'!$A98,BASE_EX!$C:$C,"março")</f>
        <v>0</v>
      </c>
      <c r="AG98" s="373"/>
      <c r="AH98" s="372"/>
      <c r="AI98" s="343"/>
      <c r="AJ98" s="332">
        <f>SUMIFS(BASE_EX!$J:$J,BASE_EX!$B:$B,'Direct Charge'!$A98,BASE_EX!$C:$C,"abril")</f>
        <v>0</v>
      </c>
      <c r="AK98" s="373"/>
      <c r="AL98" s="372"/>
      <c r="AM98" s="343"/>
      <c r="AN98" s="332">
        <f>SUMIFS(BASE_EX!$J:$J,BASE_EX!$B:$B,'Direct Charge'!$A98,BASE_EX!$C:$C,"maio")</f>
        <v>0</v>
      </c>
      <c r="AO98" s="373"/>
      <c r="AP98" s="372"/>
      <c r="AQ98" s="343"/>
      <c r="AR98" s="332">
        <f>SUMIFS(BASE_EX!$J:$J,BASE_EX!$B:$B,'Direct Charge'!$A98,BASE_EX!$C:$C,"junho")</f>
        <v>0</v>
      </c>
      <c r="AS98" s="373"/>
      <c r="AT98" s="372"/>
      <c r="AU98" s="343"/>
      <c r="AV98" s="332">
        <f>SUMIFS(BASE_EX!$J:$J,BASE_EX!$B:$B,'Direct Charge'!$A98,BASE_EX!$C:$C,"julho")</f>
        <v>0</v>
      </c>
      <c r="AW98" s="373"/>
      <c r="AX98" s="372"/>
      <c r="AY98" s="343"/>
      <c r="AZ98" s="332">
        <f>SUMIFS(BASE_EX!$J:$J,BASE_EX!$B:$B,'Direct Charge'!$A98,BASE_EX!$C:$C,"agosto")</f>
        <v>0</v>
      </c>
      <c r="BA98" s="373"/>
      <c r="BB98" s="372"/>
      <c r="BC98" s="343"/>
      <c r="BD98" s="332">
        <f>SUMIFS(BASE_EX!$J:$J,BASE_EX!$B:$B,'Direct Charge'!$A98,BASE_EX!$C:$C,"setembro")</f>
        <v>0</v>
      </c>
      <c r="BE98" s="373">
        <f>95000/5.65</f>
        <v>16814.159292035398</v>
      </c>
      <c r="BF98" s="372"/>
      <c r="BG98" s="343"/>
      <c r="BH98" s="332">
        <f>SUMIFS(BASE_EX!$J:$J,BASE_EX!$B:$B,'Direct Charge'!$A98,BASE_EX!$C:$C,"outubro")</f>
        <v>0</v>
      </c>
      <c r="BI98" s="373"/>
      <c r="BJ98" s="372"/>
      <c r="BK98" s="343"/>
      <c r="BL98" s="332">
        <f>SUMIFS(BASE_EX!$J:$J,BASE_EX!$B:$B,'Direct Charge'!$A98,BASE_EX!$C:$C,"novembro")</f>
        <v>0</v>
      </c>
      <c r="BM98" s="373"/>
      <c r="BN98" s="372"/>
      <c r="BO98" s="343"/>
      <c r="BP98" s="332">
        <f>SUMIFS(BASE_EX!$J:$J,BASE_EX!$B:$B,'Direct Charge'!$A98,BASE_EX!$C:$C,"dezembro")</f>
        <v>0</v>
      </c>
      <c r="BQ98" s="373"/>
      <c r="BR98" s="452"/>
      <c r="BS98" s="156">
        <f t="shared" si="17"/>
        <v>0</v>
      </c>
      <c r="BT98" s="320">
        <f t="shared" si="18"/>
        <v>0</v>
      </c>
      <c r="BU98" s="157" t="e">
        <f>SUM(L98,M98,N98,O98,U98)-#REF!</f>
        <v>#REF!</v>
      </c>
      <c r="BV98" s="346">
        <f t="shared" si="19"/>
        <v>16814.159292035398</v>
      </c>
      <c r="BW98" s="344" t="str">
        <f>IFERROR(VLOOKUP($A98,'BASE_558 EX'!$D:$R,8,FALSE),"")</f>
        <v xml:space="preserve">           15.383,35</v>
      </c>
      <c r="BX98" s="344" t="str">
        <f>IFERROR(VLOOKUP($A98,'BASE_558 EX'!$D:$R,9,FALSE),"")</f>
        <v xml:space="preserve">                0,00</v>
      </c>
      <c r="BY98" s="344" t="str">
        <f>IFERROR(VLOOKUP($A98,'BASE_558 EX'!$D:$R,10,FALSE),"")</f>
        <v xml:space="preserve">                0,00</v>
      </c>
      <c r="BZ98" s="344" t="str">
        <f>IFERROR(VLOOKUP($A98,'BASE_558 EX'!$D:$R,11,FALSE),"")</f>
        <v xml:space="preserve">                0,00</v>
      </c>
      <c r="CA98" s="344" t="str">
        <f>IFERROR(IF(BASE_558!$P$14="RemOrdPla",(VLOOKUP(A98,BASE_558!D:R,14)/1000),(VLOOKUP(A98,BASE_558!D:R,13)/1000)),"")</f>
        <v/>
      </c>
      <c r="CB98" s="344" t="str">
        <f>IFERROR(VLOOKUP($A98,'BASE_558 EX'!$D:$R,15,FALSE),"")</f>
        <v xml:space="preserve">           15.383,35</v>
      </c>
      <c r="CC98" s="442"/>
      <c r="CD98" s="442">
        <f t="shared" si="20"/>
        <v>0</v>
      </c>
    </row>
    <row r="99" spans="1:82" s="23" customFormat="1" ht="25.4" customHeight="1">
      <c r="A99" s="309" t="s">
        <v>2705</v>
      </c>
      <c r="B99" s="309"/>
      <c r="C99" s="187"/>
      <c r="D99" s="309" t="s">
        <v>2208</v>
      </c>
      <c r="E99" s="309" t="s">
        <v>1050</v>
      </c>
      <c r="F99" s="309" t="s">
        <v>2208</v>
      </c>
      <c r="G99" s="339" t="s">
        <v>2861</v>
      </c>
      <c r="H99" s="339" t="s">
        <v>614</v>
      </c>
      <c r="I99" s="6" t="s">
        <v>733</v>
      </c>
      <c r="J99" s="83" t="s">
        <v>573</v>
      </c>
      <c r="K99" s="7"/>
      <c r="L99" s="206"/>
      <c r="M99" s="206">
        <v>0</v>
      </c>
      <c r="N99" s="206">
        <v>0</v>
      </c>
      <c r="O99" s="206">
        <v>0</v>
      </c>
      <c r="P99" s="206"/>
      <c r="Q99" s="206">
        <f t="shared" ref="Q99:Q130" si="21">U99</f>
        <v>0</v>
      </c>
      <c r="R99" s="206"/>
      <c r="S99" s="206"/>
      <c r="T99" s="223"/>
      <c r="U99" s="169">
        <f t="shared" si="16"/>
        <v>0</v>
      </c>
      <c r="V99" s="372">
        <v>0</v>
      </c>
      <c r="W99" s="343"/>
      <c r="X99" s="332">
        <f>SUMIFS(BASE_EX!$J:$J,BASE_EX!$B:$B,'Direct Charge'!$A99,BASE_EX!$C:$C,"janeiro")</f>
        <v>0</v>
      </c>
      <c r="Y99" s="373"/>
      <c r="Z99" s="372">
        <v>0</v>
      </c>
      <c r="AA99" s="343"/>
      <c r="AB99" s="332">
        <f>SUMIFS(BASE_EX!$J:$J,BASE_EX!$B:$B,'Direct Charge'!$A99,BASE_EX!$C:$C,"fevereiro")</f>
        <v>0</v>
      </c>
      <c r="AC99" s="373"/>
      <c r="AD99" s="372"/>
      <c r="AE99" s="343"/>
      <c r="AF99" s="332">
        <f>SUMIFS(BASE_EX!$J:$J,BASE_EX!$B:$B,'Direct Charge'!$A99,BASE_EX!$C:$C,"março")</f>
        <v>0</v>
      </c>
      <c r="AG99" s="373"/>
      <c r="AH99" s="372"/>
      <c r="AI99" s="343"/>
      <c r="AJ99" s="332">
        <f>SUMIFS(BASE_EX!$J:$J,BASE_EX!$B:$B,'Direct Charge'!$A99,BASE_EX!$C:$C,"abril")</f>
        <v>0</v>
      </c>
      <c r="AK99" s="373"/>
      <c r="AL99" s="372"/>
      <c r="AM99" s="343"/>
      <c r="AN99" s="332">
        <f>SUMIFS(BASE_EX!$J:$J,BASE_EX!$B:$B,'Direct Charge'!$A99,BASE_EX!$C:$C,"maio")</f>
        <v>0</v>
      </c>
      <c r="AO99" s="373"/>
      <c r="AP99" s="372"/>
      <c r="AQ99" s="343"/>
      <c r="AR99" s="332">
        <f>SUMIFS(BASE_EX!$J:$J,BASE_EX!$B:$B,'Direct Charge'!$A99,BASE_EX!$C:$C,"junho")</f>
        <v>0</v>
      </c>
      <c r="AS99" s="373"/>
      <c r="AT99" s="372"/>
      <c r="AU99" s="343"/>
      <c r="AV99" s="332">
        <f>SUMIFS(BASE_EX!$J:$J,BASE_EX!$B:$B,'Direct Charge'!$A99,BASE_EX!$C:$C,"julho")</f>
        <v>0</v>
      </c>
      <c r="AW99" s="373"/>
      <c r="AX99" s="372"/>
      <c r="AY99" s="343"/>
      <c r="AZ99" s="332">
        <f>SUMIFS(BASE_EX!$J:$J,BASE_EX!$B:$B,'Direct Charge'!$A99,BASE_EX!$C:$C,"agosto")</f>
        <v>0</v>
      </c>
      <c r="BA99" s="373"/>
      <c r="BB99" s="372"/>
      <c r="BC99" s="343"/>
      <c r="BD99" s="332">
        <f>SUMIFS(BASE_EX!$J:$J,BASE_EX!$B:$B,'Direct Charge'!$A99,BASE_EX!$C:$C,"setembro")</f>
        <v>0</v>
      </c>
      <c r="BE99" s="373"/>
      <c r="BF99" s="372"/>
      <c r="BG99" s="343"/>
      <c r="BH99" s="332">
        <f>SUMIFS(BASE_EX!$J:$J,BASE_EX!$B:$B,'Direct Charge'!$A99,BASE_EX!$C:$C,"outubro")</f>
        <v>0</v>
      </c>
      <c r="BI99" s="373"/>
      <c r="BJ99" s="372"/>
      <c r="BK99" s="343"/>
      <c r="BL99" s="332">
        <f>SUMIFS(BASE_EX!$J:$J,BASE_EX!$B:$B,'Direct Charge'!$A99,BASE_EX!$C:$C,"novembro")</f>
        <v>0</v>
      </c>
      <c r="BM99" s="373"/>
      <c r="BN99" s="372"/>
      <c r="BO99" s="343"/>
      <c r="BP99" s="332">
        <f>SUMIFS(BASE_EX!$J:$J,BASE_EX!$B:$B,'Direct Charge'!$A99,BASE_EX!$C:$C,"dezembro")</f>
        <v>0</v>
      </c>
      <c r="BQ99" s="373"/>
      <c r="BR99" s="452"/>
      <c r="BS99" s="156">
        <f t="shared" si="17"/>
        <v>0</v>
      </c>
      <c r="BT99" s="320">
        <f t="shared" si="18"/>
        <v>0</v>
      </c>
      <c r="BU99" s="157" t="e">
        <f>SUM(L99,M99,N99,O99,U99)-#REF!</f>
        <v>#REF!</v>
      </c>
      <c r="BV99" s="346">
        <f t="shared" si="19"/>
        <v>0</v>
      </c>
      <c r="BW99" s="344" t="str">
        <f>IFERROR(VLOOKUP($A99,'BASE_558 EX'!$D:$R,8,FALSE),"")</f>
        <v/>
      </c>
      <c r="BX99" s="344" t="str">
        <f>IFERROR(VLOOKUP($A99,'BASE_558 EX'!$D:$R,9,FALSE),"")</f>
        <v/>
      </c>
      <c r="BY99" s="344" t="str">
        <f>IFERROR(VLOOKUP($A99,'BASE_558 EX'!$D:$R,10,FALSE),"")</f>
        <v/>
      </c>
      <c r="BZ99" s="344" t="str">
        <f>IFERROR(VLOOKUP($A99,'BASE_558 EX'!$D:$R,11,FALSE),"")</f>
        <v/>
      </c>
      <c r="CA99" s="344" t="str">
        <f>IFERROR(IF(BASE_558!$P$14="RemOrdPla",(VLOOKUP(A99,BASE_558!D:R,14)/1000),(VLOOKUP(A99,BASE_558!D:R,13)/1000)),"")</f>
        <v/>
      </c>
      <c r="CB99" s="344" t="str">
        <f>IFERROR(VLOOKUP($A99,'BASE_558 EX'!$D:$R,15,FALSE),"")</f>
        <v/>
      </c>
      <c r="CC99" s="442"/>
      <c r="CD99" s="442">
        <f t="shared" si="20"/>
        <v>0</v>
      </c>
    </row>
    <row r="100" spans="1:82" s="23" customFormat="1" ht="25.4" customHeight="1">
      <c r="A100" s="309" t="s">
        <v>588</v>
      </c>
      <c r="B100" s="309" t="s">
        <v>876</v>
      </c>
      <c r="C100" s="187">
        <v>43551</v>
      </c>
      <c r="D100" s="309" t="s">
        <v>478</v>
      </c>
      <c r="E100" s="310" t="s">
        <v>2259</v>
      </c>
      <c r="F100" s="309" t="s">
        <v>176</v>
      </c>
      <c r="G100" s="339" t="s">
        <v>78</v>
      </c>
      <c r="H100" s="339" t="s">
        <v>614</v>
      </c>
      <c r="I100" s="6" t="s">
        <v>463</v>
      </c>
      <c r="J100" s="83" t="s">
        <v>219</v>
      </c>
      <c r="K100" s="7" t="s">
        <v>2506</v>
      </c>
      <c r="L100" s="206">
        <v>28140.870000000003</v>
      </c>
      <c r="M100" s="206">
        <v>22826.42</v>
      </c>
      <c r="N100" s="206">
        <v>3623.88</v>
      </c>
      <c r="O100" s="206">
        <v>0</v>
      </c>
      <c r="P100" s="206"/>
      <c r="Q100" s="206">
        <f t="shared" si="21"/>
        <v>0</v>
      </c>
      <c r="R100" s="206"/>
      <c r="S100" s="206"/>
      <c r="T100" s="223"/>
      <c r="U100" s="169">
        <f t="shared" si="16"/>
        <v>0</v>
      </c>
      <c r="V100" s="372">
        <v>0</v>
      </c>
      <c r="W100" s="343"/>
      <c r="X100" s="332">
        <f>SUMIFS(BASE_EX!$J:$J,BASE_EX!$B:$B,'Direct Charge'!$A100,BASE_EX!$C:$C,"janeiro")</f>
        <v>0</v>
      </c>
      <c r="Y100" s="373"/>
      <c r="Z100" s="372">
        <v>0</v>
      </c>
      <c r="AA100" s="343"/>
      <c r="AB100" s="332">
        <f>SUMIFS(BASE_EX!$J:$J,BASE_EX!$B:$B,'Direct Charge'!$A100,BASE_EX!$C:$C,"fevereiro")</f>
        <v>0</v>
      </c>
      <c r="AC100" s="373"/>
      <c r="AD100" s="372"/>
      <c r="AE100" s="343"/>
      <c r="AF100" s="332">
        <f>SUMIFS(BASE_EX!$J:$J,BASE_EX!$B:$B,'Direct Charge'!$A100,BASE_EX!$C:$C,"março")</f>
        <v>0</v>
      </c>
      <c r="AG100" s="373"/>
      <c r="AH100" s="372"/>
      <c r="AI100" s="343"/>
      <c r="AJ100" s="332">
        <f>SUMIFS(BASE_EX!$J:$J,BASE_EX!$B:$B,'Direct Charge'!$A100,BASE_EX!$C:$C,"abril")</f>
        <v>0</v>
      </c>
      <c r="AK100" s="373"/>
      <c r="AL100" s="372"/>
      <c r="AM100" s="343"/>
      <c r="AN100" s="332">
        <f>SUMIFS(BASE_EX!$J:$J,BASE_EX!$B:$B,'Direct Charge'!$A100,BASE_EX!$C:$C,"maio")</f>
        <v>0</v>
      </c>
      <c r="AO100" s="373"/>
      <c r="AP100" s="372"/>
      <c r="AQ100" s="343"/>
      <c r="AR100" s="332">
        <f>SUMIFS(BASE_EX!$J:$J,BASE_EX!$B:$B,'Direct Charge'!$A100,BASE_EX!$C:$C,"junho")</f>
        <v>0</v>
      </c>
      <c r="AS100" s="373"/>
      <c r="AT100" s="372"/>
      <c r="AU100" s="343"/>
      <c r="AV100" s="332">
        <f>SUMIFS(BASE_EX!$J:$J,BASE_EX!$B:$B,'Direct Charge'!$A100,BASE_EX!$C:$C,"julho")</f>
        <v>0</v>
      </c>
      <c r="AW100" s="373"/>
      <c r="AX100" s="372"/>
      <c r="AY100" s="343"/>
      <c r="AZ100" s="332">
        <f>SUMIFS(BASE_EX!$J:$J,BASE_EX!$B:$B,'Direct Charge'!$A100,BASE_EX!$C:$C,"agosto")</f>
        <v>0</v>
      </c>
      <c r="BA100" s="373"/>
      <c r="BB100" s="372"/>
      <c r="BC100" s="343"/>
      <c r="BD100" s="332">
        <f>SUMIFS(BASE_EX!$J:$J,BASE_EX!$B:$B,'Direct Charge'!$A100,BASE_EX!$C:$C,"setembro")</f>
        <v>0</v>
      </c>
      <c r="BE100" s="373"/>
      <c r="BF100" s="372"/>
      <c r="BG100" s="343"/>
      <c r="BH100" s="332">
        <f>SUMIFS(BASE_EX!$J:$J,BASE_EX!$B:$B,'Direct Charge'!$A100,BASE_EX!$C:$C,"outubro")</f>
        <v>0</v>
      </c>
      <c r="BI100" s="373"/>
      <c r="BJ100" s="372"/>
      <c r="BK100" s="343"/>
      <c r="BL100" s="332">
        <f>SUMIFS(BASE_EX!$J:$J,BASE_EX!$B:$B,'Direct Charge'!$A100,BASE_EX!$C:$C,"novembro")</f>
        <v>0</v>
      </c>
      <c r="BM100" s="373"/>
      <c r="BN100" s="372"/>
      <c r="BO100" s="343"/>
      <c r="BP100" s="332">
        <f>SUMIFS(BASE_EX!$J:$J,BASE_EX!$B:$B,'Direct Charge'!$A100,BASE_EX!$C:$C,"dezembro")</f>
        <v>0</v>
      </c>
      <c r="BQ100" s="373"/>
      <c r="BR100" s="452">
        <v>5000</v>
      </c>
      <c r="BS100" s="156">
        <f t="shared" si="17"/>
        <v>0</v>
      </c>
      <c r="BT100" s="320">
        <f t="shared" si="18"/>
        <v>0</v>
      </c>
      <c r="BU100" s="157" t="e">
        <f>SUM(L100,M100,N100,O100,U100)-#REF!</f>
        <v>#REF!</v>
      </c>
      <c r="BV100" s="346">
        <f t="shared" si="19"/>
        <v>0</v>
      </c>
      <c r="BW100" s="344" t="str">
        <f>IFERROR(VLOOKUP($A100,'BASE_558 EX'!$D:$R,8,FALSE),"")</f>
        <v xml:space="preserve">           81.053,00</v>
      </c>
      <c r="BX100" s="344" t="str">
        <f>IFERROR(VLOOKUP($A100,'BASE_558 EX'!$D:$R,9,FALSE),"")</f>
        <v xml:space="preserve">           55.887,47</v>
      </c>
      <c r="BY100" s="344" t="str">
        <f>IFERROR(VLOOKUP($A100,'BASE_558 EX'!$D:$R,10,FALSE),"")</f>
        <v xml:space="preserve">                0,00</v>
      </c>
      <c r="BZ100" s="344" t="str">
        <f>IFERROR(VLOOKUP($A100,'BASE_558 EX'!$D:$R,11,FALSE),"")</f>
        <v xml:space="preserve">                0,00</v>
      </c>
      <c r="CA100" s="344">
        <f>IFERROR(IF(BASE_558!$P$14="RemOrdPla",(VLOOKUP(A100,BASE_558!D:R,14)/1000),(VLOOKUP(A100,BASE_558!D:R,13)/1000)),"")</f>
        <v>319.56376</v>
      </c>
      <c r="CB100" s="344" t="str">
        <f>IFERROR(VLOOKUP($A100,'BASE_558 EX'!$D:$R,15,FALSE),"")</f>
        <v xml:space="preserve">           25.165,53</v>
      </c>
      <c r="CC100" s="442"/>
      <c r="CD100" s="442">
        <f t="shared" si="20"/>
        <v>0</v>
      </c>
    </row>
    <row r="101" spans="1:82" s="23" customFormat="1" ht="25.4" customHeight="1">
      <c r="A101" s="309" t="s">
        <v>607</v>
      </c>
      <c r="B101" s="309" t="s">
        <v>861</v>
      </c>
      <c r="C101" s="187">
        <v>43868</v>
      </c>
      <c r="D101" s="309" t="s">
        <v>478</v>
      </c>
      <c r="E101" s="310" t="s">
        <v>475</v>
      </c>
      <c r="F101" s="309" t="s">
        <v>176</v>
      </c>
      <c r="G101" s="339" t="s">
        <v>608</v>
      </c>
      <c r="H101" s="339" t="s">
        <v>614</v>
      </c>
      <c r="I101" s="6" t="s">
        <v>218</v>
      </c>
      <c r="J101" s="83" t="s">
        <v>462</v>
      </c>
      <c r="K101" s="7" t="s">
        <v>1600</v>
      </c>
      <c r="L101" s="206">
        <v>0</v>
      </c>
      <c r="M101" s="206">
        <v>19006.64</v>
      </c>
      <c r="N101" s="206">
        <v>1394.85</v>
      </c>
      <c r="O101" s="206">
        <v>0</v>
      </c>
      <c r="P101" s="206"/>
      <c r="Q101" s="206">
        <f t="shared" si="21"/>
        <v>0</v>
      </c>
      <c r="R101" s="206"/>
      <c r="S101" s="206"/>
      <c r="T101" s="223"/>
      <c r="U101" s="169">
        <f t="shared" si="16"/>
        <v>0</v>
      </c>
      <c r="V101" s="372">
        <v>0</v>
      </c>
      <c r="W101" s="343"/>
      <c r="X101" s="332">
        <f>SUMIFS(BASE_EX!$J:$J,BASE_EX!$B:$B,'Direct Charge'!$A101,BASE_EX!$C:$C,"janeiro")</f>
        <v>0</v>
      </c>
      <c r="Y101" s="373"/>
      <c r="Z101" s="372">
        <v>0</v>
      </c>
      <c r="AA101" s="343"/>
      <c r="AB101" s="332">
        <f>SUMIFS(BASE_EX!$J:$J,BASE_EX!$B:$B,'Direct Charge'!$A101,BASE_EX!$C:$C,"fevereiro")</f>
        <v>0</v>
      </c>
      <c r="AC101" s="373"/>
      <c r="AD101" s="372"/>
      <c r="AE101" s="343"/>
      <c r="AF101" s="332">
        <f>SUMIFS(BASE_EX!$J:$J,BASE_EX!$B:$B,'Direct Charge'!$A101,BASE_EX!$C:$C,"março")</f>
        <v>0</v>
      </c>
      <c r="AG101" s="373"/>
      <c r="AH101" s="372"/>
      <c r="AI101" s="343"/>
      <c r="AJ101" s="332">
        <f>SUMIFS(BASE_EX!$J:$J,BASE_EX!$B:$B,'Direct Charge'!$A101,BASE_EX!$C:$C,"abril")</f>
        <v>0</v>
      </c>
      <c r="AK101" s="373"/>
      <c r="AL101" s="372"/>
      <c r="AM101" s="343"/>
      <c r="AN101" s="332">
        <f>SUMIFS(BASE_EX!$J:$J,BASE_EX!$B:$B,'Direct Charge'!$A101,BASE_EX!$C:$C,"maio")</f>
        <v>0</v>
      </c>
      <c r="AO101" s="373"/>
      <c r="AP101" s="372"/>
      <c r="AQ101" s="343"/>
      <c r="AR101" s="332">
        <f>SUMIFS(BASE_EX!$J:$J,BASE_EX!$B:$B,'Direct Charge'!$A101,BASE_EX!$C:$C,"junho")</f>
        <v>0</v>
      </c>
      <c r="AS101" s="373"/>
      <c r="AT101" s="372"/>
      <c r="AU101" s="343"/>
      <c r="AV101" s="332">
        <f>SUMIFS(BASE_EX!$J:$J,BASE_EX!$B:$B,'Direct Charge'!$A101,BASE_EX!$C:$C,"julho")</f>
        <v>0</v>
      </c>
      <c r="AW101" s="373"/>
      <c r="AX101" s="372"/>
      <c r="AY101" s="343"/>
      <c r="AZ101" s="332">
        <f>SUMIFS(BASE_EX!$J:$J,BASE_EX!$B:$B,'Direct Charge'!$A101,BASE_EX!$C:$C,"agosto")</f>
        <v>0</v>
      </c>
      <c r="BA101" s="373"/>
      <c r="BB101" s="372"/>
      <c r="BC101" s="343"/>
      <c r="BD101" s="332">
        <f>SUMIFS(BASE_EX!$J:$J,BASE_EX!$B:$B,'Direct Charge'!$A101,BASE_EX!$C:$C,"setembro")</f>
        <v>0</v>
      </c>
      <c r="BE101" s="373"/>
      <c r="BF101" s="372"/>
      <c r="BG101" s="343"/>
      <c r="BH101" s="332">
        <f>SUMIFS(BASE_EX!$J:$J,BASE_EX!$B:$B,'Direct Charge'!$A101,BASE_EX!$C:$C,"outubro")</f>
        <v>0</v>
      </c>
      <c r="BI101" s="373"/>
      <c r="BJ101" s="372"/>
      <c r="BK101" s="343"/>
      <c r="BL101" s="332">
        <f>SUMIFS(BASE_EX!$J:$J,BASE_EX!$B:$B,'Direct Charge'!$A101,BASE_EX!$C:$C,"novembro")</f>
        <v>0</v>
      </c>
      <c r="BM101" s="373"/>
      <c r="BN101" s="372"/>
      <c r="BO101" s="343"/>
      <c r="BP101" s="332">
        <f>SUMIFS(BASE_EX!$J:$J,BASE_EX!$B:$B,'Direct Charge'!$A101,BASE_EX!$C:$C,"dezembro")</f>
        <v>0</v>
      </c>
      <c r="BQ101" s="373"/>
      <c r="BR101" s="452"/>
      <c r="BS101" s="156">
        <f t="shared" si="17"/>
        <v>0</v>
      </c>
      <c r="BT101" s="320">
        <f t="shared" si="18"/>
        <v>0</v>
      </c>
      <c r="BU101" s="157" t="e">
        <f>SUM(L101,M101,N101,O101,U101)-#REF!</f>
        <v>#REF!</v>
      </c>
      <c r="BV101" s="346">
        <f t="shared" si="19"/>
        <v>0</v>
      </c>
      <c r="BW101" s="344" t="str">
        <f>IFERROR(VLOOKUP($A101,'BASE_558 EX'!$D:$R,8,FALSE),"")</f>
        <v xml:space="preserve">           42.000,00</v>
      </c>
      <c r="BX101" s="344" t="str">
        <f>IFERROR(VLOOKUP($A101,'BASE_558 EX'!$D:$R,9,FALSE),"")</f>
        <v xml:space="preserve">           20.401,49</v>
      </c>
      <c r="BY101" s="344" t="str">
        <f>IFERROR(VLOOKUP($A101,'BASE_558 EX'!$D:$R,10,FALSE),"")</f>
        <v xml:space="preserve">                0,00</v>
      </c>
      <c r="BZ101" s="344" t="str">
        <f>IFERROR(VLOOKUP($A101,'BASE_558 EX'!$D:$R,11,FALSE),"")</f>
        <v xml:space="preserve">                0,00</v>
      </c>
      <c r="CA101" s="344">
        <f>IFERROR(IF(BASE_558!$P$14="RemOrdPla",(VLOOKUP(A101,BASE_558!D:R,14)/1000),(VLOOKUP(A101,BASE_558!D:R,13)/1000)),"")</f>
        <v>1468.7583500000001</v>
      </c>
      <c r="CB101" s="344" t="str">
        <f>IFERROR(VLOOKUP($A101,'BASE_558 EX'!$D:$R,15,FALSE),"")</f>
        <v xml:space="preserve">           21.598,51</v>
      </c>
      <c r="CC101" s="442"/>
      <c r="CD101" s="442">
        <f t="shared" si="20"/>
        <v>0</v>
      </c>
    </row>
    <row r="102" spans="1:82" s="23" customFormat="1" ht="25.4" customHeight="1">
      <c r="A102" s="309" t="s">
        <v>594</v>
      </c>
      <c r="B102" s="309" t="s">
        <v>884</v>
      </c>
      <c r="C102" s="187">
        <v>44013</v>
      </c>
      <c r="D102" s="309" t="s">
        <v>478</v>
      </c>
      <c r="E102" s="309" t="s">
        <v>2238</v>
      </c>
      <c r="F102" s="309" t="s">
        <v>176</v>
      </c>
      <c r="G102" s="339" t="s">
        <v>544</v>
      </c>
      <c r="H102" s="339" t="s">
        <v>614</v>
      </c>
      <c r="I102" s="6" t="s">
        <v>218</v>
      </c>
      <c r="J102" s="83" t="s">
        <v>462</v>
      </c>
      <c r="K102" s="7" t="s">
        <v>1600</v>
      </c>
      <c r="L102" s="206">
        <v>0</v>
      </c>
      <c r="M102" s="206">
        <v>0</v>
      </c>
      <c r="N102" s="206">
        <v>0</v>
      </c>
      <c r="O102" s="206">
        <v>0</v>
      </c>
      <c r="P102" s="206"/>
      <c r="Q102" s="206">
        <f t="shared" si="21"/>
        <v>0</v>
      </c>
      <c r="R102" s="206"/>
      <c r="S102" s="206"/>
      <c r="T102" s="223"/>
      <c r="U102" s="169">
        <f t="shared" si="16"/>
        <v>0</v>
      </c>
      <c r="V102" s="372">
        <v>0</v>
      </c>
      <c r="W102" s="343"/>
      <c r="X102" s="332">
        <f>SUMIFS(BASE_EX!$J:$J,BASE_EX!$B:$B,'Direct Charge'!$A102,BASE_EX!$C:$C,"janeiro")</f>
        <v>0</v>
      </c>
      <c r="Y102" s="373"/>
      <c r="Z102" s="372">
        <v>0</v>
      </c>
      <c r="AA102" s="343"/>
      <c r="AB102" s="332">
        <f>SUMIFS(BASE_EX!$J:$J,BASE_EX!$B:$B,'Direct Charge'!$A102,BASE_EX!$C:$C,"fevereiro")</f>
        <v>0</v>
      </c>
      <c r="AC102" s="373"/>
      <c r="AD102" s="372"/>
      <c r="AE102" s="343"/>
      <c r="AF102" s="332">
        <f>SUMIFS(BASE_EX!$J:$J,BASE_EX!$B:$B,'Direct Charge'!$A102,BASE_EX!$C:$C,"março")</f>
        <v>0</v>
      </c>
      <c r="AG102" s="373"/>
      <c r="AH102" s="372"/>
      <c r="AI102" s="343"/>
      <c r="AJ102" s="332">
        <f>SUMIFS(BASE_EX!$J:$J,BASE_EX!$B:$B,'Direct Charge'!$A102,BASE_EX!$C:$C,"abril")</f>
        <v>0</v>
      </c>
      <c r="AK102" s="373"/>
      <c r="AL102" s="372"/>
      <c r="AM102" s="343"/>
      <c r="AN102" s="332">
        <f>SUMIFS(BASE_EX!$J:$J,BASE_EX!$B:$B,'Direct Charge'!$A102,BASE_EX!$C:$C,"maio")</f>
        <v>0</v>
      </c>
      <c r="AO102" s="373"/>
      <c r="AP102" s="372"/>
      <c r="AQ102" s="343"/>
      <c r="AR102" s="332">
        <f>SUMIFS(BASE_EX!$J:$J,BASE_EX!$B:$B,'Direct Charge'!$A102,BASE_EX!$C:$C,"junho")</f>
        <v>0</v>
      </c>
      <c r="AS102" s="373"/>
      <c r="AT102" s="372"/>
      <c r="AU102" s="343"/>
      <c r="AV102" s="332">
        <f>SUMIFS(BASE_EX!$J:$J,BASE_EX!$B:$B,'Direct Charge'!$A102,BASE_EX!$C:$C,"julho")</f>
        <v>0</v>
      </c>
      <c r="AW102" s="373"/>
      <c r="AX102" s="372"/>
      <c r="AY102" s="343"/>
      <c r="AZ102" s="332">
        <f>SUMIFS(BASE_EX!$J:$J,BASE_EX!$B:$B,'Direct Charge'!$A102,BASE_EX!$C:$C,"agosto")</f>
        <v>0</v>
      </c>
      <c r="BA102" s="373"/>
      <c r="BB102" s="372"/>
      <c r="BC102" s="343"/>
      <c r="BD102" s="332">
        <f>SUMIFS(BASE_EX!$J:$J,BASE_EX!$B:$B,'Direct Charge'!$A102,BASE_EX!$C:$C,"setembro")</f>
        <v>0</v>
      </c>
      <c r="BE102" s="373"/>
      <c r="BF102" s="372"/>
      <c r="BG102" s="343"/>
      <c r="BH102" s="332">
        <f>SUMIFS(BASE_EX!$J:$J,BASE_EX!$B:$B,'Direct Charge'!$A102,BASE_EX!$C:$C,"outubro")</f>
        <v>0</v>
      </c>
      <c r="BI102" s="373"/>
      <c r="BJ102" s="372"/>
      <c r="BK102" s="343"/>
      <c r="BL102" s="332">
        <f>SUMIFS(BASE_EX!$J:$J,BASE_EX!$B:$B,'Direct Charge'!$A102,BASE_EX!$C:$C,"novembro")</f>
        <v>0</v>
      </c>
      <c r="BM102" s="373"/>
      <c r="BN102" s="372"/>
      <c r="BO102" s="343"/>
      <c r="BP102" s="332">
        <f>SUMIFS(BASE_EX!$J:$J,BASE_EX!$B:$B,'Direct Charge'!$A102,BASE_EX!$C:$C,"dezembro")</f>
        <v>0</v>
      </c>
      <c r="BQ102" s="373"/>
      <c r="BR102" s="452"/>
      <c r="BS102" s="156">
        <f t="shared" si="17"/>
        <v>0</v>
      </c>
      <c r="BT102" s="320">
        <f t="shared" si="18"/>
        <v>0</v>
      </c>
      <c r="BU102" s="157" t="e">
        <f>SUM(L102,M102,N102,O102,U102)-#REF!</f>
        <v>#REF!</v>
      </c>
      <c r="BV102" s="346">
        <f t="shared" si="19"/>
        <v>0</v>
      </c>
      <c r="BW102" s="344" t="str">
        <f>IFERROR(VLOOKUP($A102,'BASE_558 EX'!$D:$R,8,FALSE),"")</f>
        <v xml:space="preserve">           40.000,00</v>
      </c>
      <c r="BX102" s="344" t="str">
        <f>IFERROR(VLOOKUP($A102,'BASE_558 EX'!$D:$R,9,FALSE),"")</f>
        <v xml:space="preserve">                0,00</v>
      </c>
      <c r="BY102" s="344" t="str">
        <f>IFERROR(VLOOKUP($A102,'BASE_558 EX'!$D:$R,10,FALSE),"")</f>
        <v xml:space="preserve">                0,00</v>
      </c>
      <c r="BZ102" s="344" t="str">
        <f>IFERROR(VLOOKUP($A102,'BASE_558 EX'!$D:$R,11,FALSE),"")</f>
        <v xml:space="preserve">                0,00</v>
      </c>
      <c r="CA102" s="344">
        <f>IFERROR(IF(BASE_558!$P$14="RemOrdPla",(VLOOKUP(A102,BASE_558!D:R,14)/1000),(VLOOKUP(A102,BASE_558!D:R,13)/1000)),"")</f>
        <v>288.33588000000003</v>
      </c>
      <c r="CB102" s="344" t="str">
        <f>IFERROR(VLOOKUP($A102,'BASE_558 EX'!$D:$R,15,FALSE),"")</f>
        <v xml:space="preserve">           40.000,00</v>
      </c>
      <c r="CC102" s="442"/>
      <c r="CD102" s="442">
        <f t="shared" si="20"/>
        <v>0</v>
      </c>
    </row>
    <row r="103" spans="1:82" s="23" customFormat="1" ht="25.4" customHeight="1">
      <c r="A103" s="309" t="s">
        <v>595</v>
      </c>
      <c r="B103" s="309" t="s">
        <v>868</v>
      </c>
      <c r="C103" s="187">
        <v>44044</v>
      </c>
      <c r="D103" s="310" t="s">
        <v>474</v>
      </c>
      <c r="E103" s="310" t="s">
        <v>2251</v>
      </c>
      <c r="F103" s="309" t="s">
        <v>176</v>
      </c>
      <c r="G103" s="308" t="s">
        <v>550</v>
      </c>
      <c r="H103" s="339" t="s">
        <v>614</v>
      </c>
      <c r="I103" s="6" t="s">
        <v>195</v>
      </c>
      <c r="J103" s="83" t="s">
        <v>219</v>
      </c>
      <c r="K103" s="7"/>
      <c r="L103" s="206">
        <v>0</v>
      </c>
      <c r="M103" s="206">
        <v>10502.32</v>
      </c>
      <c r="N103" s="206">
        <v>0</v>
      </c>
      <c r="O103" s="206">
        <v>0</v>
      </c>
      <c r="P103" s="206"/>
      <c r="Q103" s="206">
        <f t="shared" si="21"/>
        <v>0</v>
      </c>
      <c r="R103" s="206"/>
      <c r="S103" s="206"/>
      <c r="T103" s="223"/>
      <c r="U103" s="169">
        <f t="shared" si="16"/>
        <v>0</v>
      </c>
      <c r="V103" s="372">
        <v>0</v>
      </c>
      <c r="W103" s="343"/>
      <c r="X103" s="332">
        <f>SUMIFS(BASE_EX!$J:$J,BASE_EX!$B:$B,'Direct Charge'!$A103,BASE_EX!$C:$C,"janeiro")</f>
        <v>0</v>
      </c>
      <c r="Y103" s="373"/>
      <c r="Z103" s="372">
        <v>0</v>
      </c>
      <c r="AA103" s="343"/>
      <c r="AB103" s="332">
        <f>SUMIFS(BASE_EX!$J:$J,BASE_EX!$B:$B,'Direct Charge'!$A103,BASE_EX!$C:$C,"fevereiro")</f>
        <v>0</v>
      </c>
      <c r="AC103" s="373"/>
      <c r="AD103" s="372"/>
      <c r="AE103" s="343"/>
      <c r="AF103" s="332">
        <f>SUMIFS(BASE_EX!$J:$J,BASE_EX!$B:$B,'Direct Charge'!$A103,BASE_EX!$C:$C,"março")</f>
        <v>0</v>
      </c>
      <c r="AG103" s="373"/>
      <c r="AH103" s="372"/>
      <c r="AI103" s="343"/>
      <c r="AJ103" s="332">
        <f>SUMIFS(BASE_EX!$J:$J,BASE_EX!$B:$B,'Direct Charge'!$A103,BASE_EX!$C:$C,"abril")</f>
        <v>0</v>
      </c>
      <c r="AK103" s="373"/>
      <c r="AL103" s="372"/>
      <c r="AM103" s="343"/>
      <c r="AN103" s="332">
        <f>SUMIFS(BASE_EX!$J:$J,BASE_EX!$B:$B,'Direct Charge'!$A103,BASE_EX!$C:$C,"maio")</f>
        <v>0</v>
      </c>
      <c r="AO103" s="373"/>
      <c r="AP103" s="372"/>
      <c r="AQ103" s="343"/>
      <c r="AR103" s="332">
        <f>SUMIFS(BASE_EX!$J:$J,BASE_EX!$B:$B,'Direct Charge'!$A103,BASE_EX!$C:$C,"junho")</f>
        <v>0</v>
      </c>
      <c r="AS103" s="373"/>
      <c r="AT103" s="372"/>
      <c r="AU103" s="343"/>
      <c r="AV103" s="332">
        <f>SUMIFS(BASE_EX!$J:$J,BASE_EX!$B:$B,'Direct Charge'!$A103,BASE_EX!$C:$C,"julho")</f>
        <v>0</v>
      </c>
      <c r="AW103" s="373"/>
      <c r="AX103" s="372"/>
      <c r="AY103" s="343"/>
      <c r="AZ103" s="332">
        <f>SUMIFS(BASE_EX!$J:$J,BASE_EX!$B:$B,'Direct Charge'!$A103,BASE_EX!$C:$C,"agosto")</f>
        <v>0</v>
      </c>
      <c r="BA103" s="373"/>
      <c r="BB103" s="372"/>
      <c r="BC103" s="343"/>
      <c r="BD103" s="332">
        <f>SUMIFS(BASE_EX!$J:$J,BASE_EX!$B:$B,'Direct Charge'!$A103,BASE_EX!$C:$C,"setembro")</f>
        <v>0</v>
      </c>
      <c r="BE103" s="373"/>
      <c r="BF103" s="372"/>
      <c r="BG103" s="343"/>
      <c r="BH103" s="332">
        <f>SUMIFS(BASE_EX!$J:$J,BASE_EX!$B:$B,'Direct Charge'!$A103,BASE_EX!$C:$C,"outubro")</f>
        <v>0</v>
      </c>
      <c r="BI103" s="373"/>
      <c r="BJ103" s="372"/>
      <c r="BK103" s="343"/>
      <c r="BL103" s="332">
        <f>SUMIFS(BASE_EX!$J:$J,BASE_EX!$B:$B,'Direct Charge'!$A103,BASE_EX!$C:$C,"novembro")</f>
        <v>0</v>
      </c>
      <c r="BM103" s="373"/>
      <c r="BN103" s="372"/>
      <c r="BO103" s="343"/>
      <c r="BP103" s="332">
        <f>SUMIFS(BASE_EX!$J:$J,BASE_EX!$B:$B,'Direct Charge'!$A103,BASE_EX!$C:$C,"dezembro")</f>
        <v>0</v>
      </c>
      <c r="BQ103" s="373"/>
      <c r="BR103" s="452"/>
      <c r="BS103" s="156">
        <f t="shared" si="17"/>
        <v>0</v>
      </c>
      <c r="BT103" s="320">
        <f t="shared" si="18"/>
        <v>0</v>
      </c>
      <c r="BU103" s="157" t="e">
        <f>SUM(L103,M103,N103,O103,U103)-#REF!</f>
        <v>#REF!</v>
      </c>
      <c r="BV103" s="346">
        <f t="shared" si="19"/>
        <v>0</v>
      </c>
      <c r="BW103" s="344" t="str">
        <f>IFERROR(VLOOKUP($A103,'BASE_558 EX'!$D:$R,8,FALSE),"")</f>
        <v xml:space="preserve">           12.000,00</v>
      </c>
      <c r="BX103" s="344" t="str">
        <f>IFERROR(VLOOKUP($A103,'BASE_558 EX'!$D:$R,9,FALSE),"")</f>
        <v xml:space="preserve">           10.502,32</v>
      </c>
      <c r="BY103" s="344" t="str">
        <f>IFERROR(VLOOKUP($A103,'BASE_558 EX'!$D:$R,10,FALSE),"")</f>
        <v xml:space="preserve">                0,00</v>
      </c>
      <c r="BZ103" s="344" t="str">
        <f>IFERROR(VLOOKUP($A103,'BASE_558 EX'!$D:$R,11,FALSE),"")</f>
        <v xml:space="preserve">                0,00</v>
      </c>
      <c r="CA103" s="344">
        <f>IFERROR(IF(BASE_558!$P$14="RemOrdPla",(VLOOKUP(A103,BASE_558!D:R,14)/1000),(VLOOKUP(A103,BASE_558!D:R,13)/1000)),"")</f>
        <v>1042.0361800000001</v>
      </c>
      <c r="CB103" s="344" t="str">
        <f>IFERROR(VLOOKUP($A103,'BASE_558 EX'!$D:$R,15,FALSE),"")</f>
        <v xml:space="preserve">            1.497,68</v>
      </c>
      <c r="CC103" s="442"/>
      <c r="CD103" s="442">
        <f t="shared" si="20"/>
        <v>0</v>
      </c>
    </row>
    <row r="104" spans="1:82" s="23" customFormat="1" ht="25.4" customHeight="1">
      <c r="A104" s="309" t="s">
        <v>672</v>
      </c>
      <c r="B104" s="309" t="s">
        <v>1905</v>
      </c>
      <c r="C104" s="187">
        <v>44076</v>
      </c>
      <c r="D104" s="309" t="s">
        <v>475</v>
      </c>
      <c r="E104" s="309" t="s">
        <v>475</v>
      </c>
      <c r="F104" s="309" t="s">
        <v>176</v>
      </c>
      <c r="G104" s="339" t="s">
        <v>548</v>
      </c>
      <c r="H104" s="339" t="s">
        <v>614</v>
      </c>
      <c r="I104" s="6" t="s">
        <v>218</v>
      </c>
      <c r="J104" s="83" t="s">
        <v>462</v>
      </c>
      <c r="K104" s="7" t="s">
        <v>1600</v>
      </c>
      <c r="L104" s="206">
        <v>0</v>
      </c>
      <c r="M104" s="206">
        <v>0</v>
      </c>
      <c r="N104" s="206">
        <v>0</v>
      </c>
      <c r="O104" s="206">
        <v>0</v>
      </c>
      <c r="P104" s="206"/>
      <c r="Q104" s="206">
        <f t="shared" si="21"/>
        <v>0</v>
      </c>
      <c r="R104" s="206"/>
      <c r="S104" s="206"/>
      <c r="T104" s="223"/>
      <c r="U104" s="169">
        <f t="shared" ref="U104:U135" si="22">SUM(Y104,AC104,AG104,AK104,AO104,AS104,AW104,BA104,BE104,BI104,BM104,BQ104)</f>
        <v>0</v>
      </c>
      <c r="V104" s="372">
        <v>0</v>
      </c>
      <c r="W104" s="343"/>
      <c r="X104" s="332">
        <f>SUMIFS(BASE_EX!$J:$J,BASE_EX!$B:$B,'Direct Charge'!$A104,BASE_EX!$C:$C,"janeiro")</f>
        <v>0</v>
      </c>
      <c r="Y104" s="373"/>
      <c r="Z104" s="372">
        <v>0</v>
      </c>
      <c r="AA104" s="343"/>
      <c r="AB104" s="332">
        <f>SUMIFS(BASE_EX!$J:$J,BASE_EX!$B:$B,'Direct Charge'!$A104,BASE_EX!$C:$C,"fevereiro")</f>
        <v>0</v>
      </c>
      <c r="AC104" s="373"/>
      <c r="AD104" s="372"/>
      <c r="AE104" s="343"/>
      <c r="AF104" s="332">
        <f>SUMIFS(BASE_EX!$J:$J,BASE_EX!$B:$B,'Direct Charge'!$A104,BASE_EX!$C:$C,"março")</f>
        <v>0</v>
      </c>
      <c r="AG104" s="373"/>
      <c r="AH104" s="372"/>
      <c r="AI104" s="343"/>
      <c r="AJ104" s="332">
        <f>SUMIFS(BASE_EX!$J:$J,BASE_EX!$B:$B,'Direct Charge'!$A104,BASE_EX!$C:$C,"abril")</f>
        <v>0</v>
      </c>
      <c r="AK104" s="373"/>
      <c r="AL104" s="372"/>
      <c r="AM104" s="343"/>
      <c r="AN104" s="332">
        <f>SUMIFS(BASE_EX!$J:$J,BASE_EX!$B:$B,'Direct Charge'!$A104,BASE_EX!$C:$C,"maio")</f>
        <v>0</v>
      </c>
      <c r="AO104" s="373"/>
      <c r="AP104" s="372"/>
      <c r="AQ104" s="343"/>
      <c r="AR104" s="332">
        <f>SUMIFS(BASE_EX!$J:$J,BASE_EX!$B:$B,'Direct Charge'!$A104,BASE_EX!$C:$C,"junho")</f>
        <v>0</v>
      </c>
      <c r="AS104" s="373"/>
      <c r="AT104" s="372"/>
      <c r="AU104" s="343"/>
      <c r="AV104" s="332">
        <f>SUMIFS(BASE_EX!$J:$J,BASE_EX!$B:$B,'Direct Charge'!$A104,BASE_EX!$C:$C,"julho")</f>
        <v>0</v>
      </c>
      <c r="AW104" s="373"/>
      <c r="AX104" s="372"/>
      <c r="AY104" s="343"/>
      <c r="AZ104" s="332">
        <f>SUMIFS(BASE_EX!$J:$J,BASE_EX!$B:$B,'Direct Charge'!$A104,BASE_EX!$C:$C,"agosto")</f>
        <v>0</v>
      </c>
      <c r="BA104" s="373"/>
      <c r="BB104" s="372"/>
      <c r="BC104" s="343"/>
      <c r="BD104" s="332">
        <f>SUMIFS(BASE_EX!$J:$J,BASE_EX!$B:$B,'Direct Charge'!$A104,BASE_EX!$C:$C,"setembro")</f>
        <v>0</v>
      </c>
      <c r="BE104" s="373"/>
      <c r="BF104" s="372"/>
      <c r="BG104" s="343"/>
      <c r="BH104" s="332">
        <f>SUMIFS(BASE_EX!$J:$J,BASE_EX!$B:$B,'Direct Charge'!$A104,BASE_EX!$C:$C,"outubro")</f>
        <v>0</v>
      </c>
      <c r="BI104" s="373"/>
      <c r="BJ104" s="372"/>
      <c r="BK104" s="343"/>
      <c r="BL104" s="332">
        <f>SUMIFS(BASE_EX!$J:$J,BASE_EX!$B:$B,'Direct Charge'!$A104,BASE_EX!$C:$C,"novembro")</f>
        <v>0</v>
      </c>
      <c r="BM104" s="373"/>
      <c r="BN104" s="372"/>
      <c r="BO104" s="343"/>
      <c r="BP104" s="332">
        <f>SUMIFS(BASE_EX!$J:$J,BASE_EX!$B:$B,'Direct Charge'!$A104,BASE_EX!$C:$C,"dezembro")</f>
        <v>0</v>
      </c>
      <c r="BQ104" s="373"/>
      <c r="BR104" s="452"/>
      <c r="BS104" s="156">
        <f t="shared" ref="BS104:BS135" si="23">AS104-AP104</f>
        <v>0</v>
      </c>
      <c r="BT104" s="320">
        <f t="shared" ref="BT104:BT135" si="24">AS104-AR104</f>
        <v>0</v>
      </c>
      <c r="BU104" s="157" t="e">
        <f>SUM(L104,M104,N104,O104,U104)-#REF!</f>
        <v>#REF!</v>
      </c>
      <c r="BV104" s="346">
        <f t="shared" ref="BV104:BV135" si="25">U104-T104</f>
        <v>0</v>
      </c>
      <c r="BW104" s="344" t="str">
        <f>IFERROR(VLOOKUP($A104,'BASE_558 EX'!$D:$R,8,FALSE),"")</f>
        <v xml:space="preserve">           15.000,00</v>
      </c>
      <c r="BX104" s="344" t="str">
        <f>IFERROR(VLOOKUP($A104,'BASE_558 EX'!$D:$R,9,FALSE),"")</f>
        <v xml:space="preserve">                0,00</v>
      </c>
      <c r="BY104" s="344" t="str">
        <f>IFERROR(VLOOKUP($A104,'BASE_558 EX'!$D:$R,10,FALSE),"")</f>
        <v xml:space="preserve">                0,00</v>
      </c>
      <c r="BZ104" s="344" t="str">
        <f>IFERROR(VLOOKUP($A104,'BASE_558 EX'!$D:$R,11,FALSE),"")</f>
        <v xml:space="preserve">                0,00</v>
      </c>
      <c r="CA104" s="344">
        <f>IFERROR(IF(BASE_558!$P$14="RemOrdPla",(VLOOKUP(A104,BASE_558!D:R,14)/1000),(VLOOKUP(A104,BASE_558!D:R,13)/1000)),"")</f>
        <v>293.20690999999999</v>
      </c>
      <c r="CB104" s="344" t="str">
        <f>IFERROR(VLOOKUP($A104,'BASE_558 EX'!$D:$R,15,FALSE),"")</f>
        <v xml:space="preserve">           15.000,00</v>
      </c>
      <c r="CC104" s="442"/>
      <c r="CD104" s="442">
        <f t="shared" ref="CD104:CD135" si="26">AR104-AQ104</f>
        <v>0</v>
      </c>
    </row>
    <row r="105" spans="1:82" s="23" customFormat="1" ht="25.4" customHeight="1">
      <c r="A105" s="309" t="s">
        <v>660</v>
      </c>
      <c r="B105" s="309" t="s">
        <v>1924</v>
      </c>
      <c r="C105" s="187"/>
      <c r="D105" s="309" t="s">
        <v>1707</v>
      </c>
      <c r="E105" s="309" t="s">
        <v>1707</v>
      </c>
      <c r="F105" s="309" t="s">
        <v>176</v>
      </c>
      <c r="G105" s="339" t="s">
        <v>701</v>
      </c>
      <c r="H105" s="339" t="s">
        <v>8878</v>
      </c>
      <c r="I105" s="6" t="s">
        <v>218</v>
      </c>
      <c r="J105" s="83" t="s">
        <v>462</v>
      </c>
      <c r="K105" s="7" t="s">
        <v>1600</v>
      </c>
      <c r="L105" s="206">
        <v>189092.62</v>
      </c>
      <c r="M105" s="206">
        <v>31704.25</v>
      </c>
      <c r="N105" s="206">
        <v>0</v>
      </c>
      <c r="O105" s="206">
        <v>0</v>
      </c>
      <c r="P105" s="206"/>
      <c r="Q105" s="206">
        <f t="shared" si="21"/>
        <v>0</v>
      </c>
      <c r="R105" s="206"/>
      <c r="S105" s="206"/>
      <c r="T105" s="223"/>
      <c r="U105" s="169">
        <f t="shared" si="22"/>
        <v>0</v>
      </c>
      <c r="V105" s="372">
        <v>0</v>
      </c>
      <c r="W105" s="343"/>
      <c r="X105" s="332">
        <f>SUMIFS(BASE_EX!$J:$J,BASE_EX!$B:$B,'Direct Charge'!$A105,BASE_EX!$C:$C,"janeiro")</f>
        <v>0</v>
      </c>
      <c r="Y105" s="373"/>
      <c r="Z105" s="372">
        <v>0</v>
      </c>
      <c r="AA105" s="343"/>
      <c r="AB105" s="332">
        <f>SUMIFS(BASE_EX!$J:$J,BASE_EX!$B:$B,'Direct Charge'!$A105,BASE_EX!$C:$C,"fevereiro")</f>
        <v>0</v>
      </c>
      <c r="AC105" s="373"/>
      <c r="AD105" s="372"/>
      <c r="AE105" s="343"/>
      <c r="AF105" s="332">
        <f>SUMIFS(BASE_EX!$J:$J,BASE_EX!$B:$B,'Direct Charge'!$A105,BASE_EX!$C:$C,"março")</f>
        <v>0</v>
      </c>
      <c r="AG105" s="373"/>
      <c r="AH105" s="372"/>
      <c r="AI105" s="343"/>
      <c r="AJ105" s="332">
        <f>SUMIFS(BASE_EX!$J:$J,BASE_EX!$B:$B,'Direct Charge'!$A105,BASE_EX!$C:$C,"abril")</f>
        <v>0</v>
      </c>
      <c r="AK105" s="373"/>
      <c r="AL105" s="372"/>
      <c r="AM105" s="343"/>
      <c r="AN105" s="332">
        <f>SUMIFS(BASE_EX!$J:$J,BASE_EX!$B:$B,'Direct Charge'!$A105,BASE_EX!$C:$C,"maio")</f>
        <v>0</v>
      </c>
      <c r="AO105" s="373"/>
      <c r="AP105" s="372"/>
      <c r="AQ105" s="343"/>
      <c r="AR105" s="332">
        <f>SUMIFS(BASE_EX!$J:$J,BASE_EX!$B:$B,'Direct Charge'!$A105,BASE_EX!$C:$C,"junho")</f>
        <v>0</v>
      </c>
      <c r="AS105" s="373"/>
      <c r="AT105" s="372"/>
      <c r="AU105" s="343"/>
      <c r="AV105" s="332">
        <f>SUMIFS(BASE_EX!$J:$J,BASE_EX!$B:$B,'Direct Charge'!$A105,BASE_EX!$C:$C,"julho")</f>
        <v>0</v>
      </c>
      <c r="AW105" s="373"/>
      <c r="AX105" s="372"/>
      <c r="AY105" s="343"/>
      <c r="AZ105" s="332">
        <f>SUMIFS(BASE_EX!$J:$J,BASE_EX!$B:$B,'Direct Charge'!$A105,BASE_EX!$C:$C,"agosto")</f>
        <v>0</v>
      </c>
      <c r="BA105" s="373"/>
      <c r="BB105" s="372"/>
      <c r="BC105" s="343"/>
      <c r="BD105" s="332">
        <f>SUMIFS(BASE_EX!$J:$J,BASE_EX!$B:$B,'Direct Charge'!$A105,BASE_EX!$C:$C,"setembro")</f>
        <v>0</v>
      </c>
      <c r="BE105" s="373"/>
      <c r="BF105" s="372"/>
      <c r="BG105" s="343"/>
      <c r="BH105" s="332">
        <f>SUMIFS(BASE_EX!$J:$J,BASE_EX!$B:$B,'Direct Charge'!$A105,BASE_EX!$C:$C,"outubro")</f>
        <v>0</v>
      </c>
      <c r="BI105" s="373"/>
      <c r="BJ105" s="372"/>
      <c r="BK105" s="343"/>
      <c r="BL105" s="332">
        <f>SUMIFS(BASE_EX!$J:$J,BASE_EX!$B:$B,'Direct Charge'!$A105,BASE_EX!$C:$C,"novembro")</f>
        <v>0</v>
      </c>
      <c r="BM105" s="373"/>
      <c r="BN105" s="372"/>
      <c r="BO105" s="343"/>
      <c r="BP105" s="332">
        <f>SUMIFS(BASE_EX!$J:$J,BASE_EX!$B:$B,'Direct Charge'!$A105,BASE_EX!$C:$C,"dezembro")</f>
        <v>0</v>
      </c>
      <c r="BQ105" s="373"/>
      <c r="BR105" s="452"/>
      <c r="BS105" s="156">
        <f t="shared" si="23"/>
        <v>0</v>
      </c>
      <c r="BT105" s="320">
        <f t="shared" si="24"/>
        <v>0</v>
      </c>
      <c r="BU105" s="157" t="e">
        <f>SUM(L105,M105,N105,O105,U105)-#REF!</f>
        <v>#REF!</v>
      </c>
      <c r="BV105" s="346">
        <f t="shared" si="25"/>
        <v>0</v>
      </c>
      <c r="BW105" s="344" t="str">
        <f>IFERROR(VLOOKUP($A105,'BASE_558 EX'!$D:$R,8,FALSE),"")</f>
        <v xml:space="preserve">          540.000,00</v>
      </c>
      <c r="BX105" s="344" t="str">
        <f>IFERROR(VLOOKUP($A105,'BASE_558 EX'!$D:$R,9,FALSE),"")</f>
        <v xml:space="preserve">          220.796,87</v>
      </c>
      <c r="BY105" s="344" t="str">
        <f>IFERROR(VLOOKUP($A105,'BASE_558 EX'!$D:$R,10,FALSE),"")</f>
        <v xml:space="preserve">                0,00</v>
      </c>
      <c r="BZ105" s="344" t="str">
        <f>IFERROR(VLOOKUP($A105,'BASE_558 EX'!$D:$R,11,FALSE),"")</f>
        <v xml:space="preserve">                0,00</v>
      </c>
      <c r="CA105" s="344">
        <f>IFERROR(IF(BASE_558!$P$14="RemOrdPla",(VLOOKUP(A105,BASE_558!D:R,14)/1000),(VLOOKUP(A105,BASE_558!D:R,13)/1000)),"")</f>
        <v>64.558849999999993</v>
      </c>
      <c r="CB105" s="344" t="str">
        <f>IFERROR(VLOOKUP($A105,'BASE_558 EX'!$D:$R,15,FALSE),"")</f>
        <v xml:space="preserve">          319.203,13</v>
      </c>
      <c r="CC105" s="442"/>
      <c r="CD105" s="442">
        <f t="shared" si="26"/>
        <v>0</v>
      </c>
    </row>
    <row r="106" spans="1:82" s="23" customFormat="1" ht="25.4" customHeight="1">
      <c r="A106" s="309" t="s">
        <v>1537</v>
      </c>
      <c r="B106" s="309" t="s">
        <v>1924</v>
      </c>
      <c r="C106" s="187"/>
      <c r="D106" s="309" t="s">
        <v>1707</v>
      </c>
      <c r="E106" s="309" t="s">
        <v>1707</v>
      </c>
      <c r="F106" s="309" t="s">
        <v>176</v>
      </c>
      <c r="G106" s="339" t="s">
        <v>1538</v>
      </c>
      <c r="H106" s="339" t="s">
        <v>8878</v>
      </c>
      <c r="I106" s="6" t="s">
        <v>218</v>
      </c>
      <c r="J106" s="83" t="s">
        <v>462</v>
      </c>
      <c r="K106" s="7" t="s">
        <v>1600</v>
      </c>
      <c r="L106" s="206">
        <v>0</v>
      </c>
      <c r="M106" s="206">
        <v>4112.3599999999997</v>
      </c>
      <c r="N106" s="206">
        <v>0</v>
      </c>
      <c r="O106" s="206">
        <v>0</v>
      </c>
      <c r="P106" s="206"/>
      <c r="Q106" s="206">
        <f t="shared" si="21"/>
        <v>0</v>
      </c>
      <c r="R106" s="206"/>
      <c r="S106" s="206"/>
      <c r="T106" s="223"/>
      <c r="U106" s="169">
        <f t="shared" si="22"/>
        <v>0</v>
      </c>
      <c r="V106" s="372">
        <v>0</v>
      </c>
      <c r="W106" s="343"/>
      <c r="X106" s="332">
        <f>SUMIFS(BASE_EX!$J:$J,BASE_EX!$B:$B,'Direct Charge'!$A106,BASE_EX!$C:$C,"janeiro")</f>
        <v>0</v>
      </c>
      <c r="Y106" s="373"/>
      <c r="Z106" s="372">
        <v>0</v>
      </c>
      <c r="AA106" s="343"/>
      <c r="AB106" s="332">
        <f>SUMIFS(BASE_EX!$J:$J,BASE_EX!$B:$B,'Direct Charge'!$A106,BASE_EX!$C:$C,"fevereiro")</f>
        <v>0</v>
      </c>
      <c r="AC106" s="373"/>
      <c r="AD106" s="372"/>
      <c r="AE106" s="343"/>
      <c r="AF106" s="332">
        <f>SUMIFS(BASE_EX!$J:$J,BASE_EX!$B:$B,'Direct Charge'!$A106,BASE_EX!$C:$C,"março")</f>
        <v>0</v>
      </c>
      <c r="AG106" s="373"/>
      <c r="AH106" s="372"/>
      <c r="AI106" s="343"/>
      <c r="AJ106" s="332">
        <f>SUMIFS(BASE_EX!$J:$J,BASE_EX!$B:$B,'Direct Charge'!$A106,BASE_EX!$C:$C,"abril")</f>
        <v>0</v>
      </c>
      <c r="AK106" s="373"/>
      <c r="AL106" s="372"/>
      <c r="AM106" s="343"/>
      <c r="AN106" s="332">
        <f>SUMIFS(BASE_EX!$J:$J,BASE_EX!$B:$B,'Direct Charge'!$A106,BASE_EX!$C:$C,"maio")</f>
        <v>0</v>
      </c>
      <c r="AO106" s="373"/>
      <c r="AP106" s="372"/>
      <c r="AQ106" s="343"/>
      <c r="AR106" s="332">
        <f>SUMIFS(BASE_EX!$J:$J,BASE_EX!$B:$B,'Direct Charge'!$A106,BASE_EX!$C:$C,"junho")</f>
        <v>0</v>
      </c>
      <c r="AS106" s="373"/>
      <c r="AT106" s="372"/>
      <c r="AU106" s="343"/>
      <c r="AV106" s="332">
        <f>SUMIFS(BASE_EX!$J:$J,BASE_EX!$B:$B,'Direct Charge'!$A106,BASE_EX!$C:$C,"julho")</f>
        <v>0</v>
      </c>
      <c r="AW106" s="373"/>
      <c r="AX106" s="372"/>
      <c r="AY106" s="343"/>
      <c r="AZ106" s="332">
        <f>SUMIFS(BASE_EX!$J:$J,BASE_EX!$B:$B,'Direct Charge'!$A106,BASE_EX!$C:$C,"agosto")</f>
        <v>0</v>
      </c>
      <c r="BA106" s="373"/>
      <c r="BB106" s="372"/>
      <c r="BC106" s="343"/>
      <c r="BD106" s="332">
        <f>SUMIFS(BASE_EX!$J:$J,BASE_EX!$B:$B,'Direct Charge'!$A106,BASE_EX!$C:$C,"setembro")</f>
        <v>0</v>
      </c>
      <c r="BE106" s="373"/>
      <c r="BF106" s="372"/>
      <c r="BG106" s="343"/>
      <c r="BH106" s="332">
        <f>SUMIFS(BASE_EX!$J:$J,BASE_EX!$B:$B,'Direct Charge'!$A106,BASE_EX!$C:$C,"outubro")</f>
        <v>0</v>
      </c>
      <c r="BI106" s="373"/>
      <c r="BJ106" s="372"/>
      <c r="BK106" s="343"/>
      <c r="BL106" s="332">
        <f>SUMIFS(BASE_EX!$J:$J,BASE_EX!$B:$B,'Direct Charge'!$A106,BASE_EX!$C:$C,"novembro")</f>
        <v>0</v>
      </c>
      <c r="BM106" s="373"/>
      <c r="BN106" s="372"/>
      <c r="BO106" s="343"/>
      <c r="BP106" s="332">
        <f>SUMIFS(BASE_EX!$J:$J,BASE_EX!$B:$B,'Direct Charge'!$A106,BASE_EX!$C:$C,"dezembro")</f>
        <v>0</v>
      </c>
      <c r="BQ106" s="373"/>
      <c r="BR106" s="452"/>
      <c r="BS106" s="156">
        <f t="shared" si="23"/>
        <v>0</v>
      </c>
      <c r="BT106" s="320">
        <f t="shared" si="24"/>
        <v>0</v>
      </c>
      <c r="BU106" s="157" t="e">
        <f>SUM(L106,M106,N106,O106,U106)-#REF!</f>
        <v>#REF!</v>
      </c>
      <c r="BV106" s="346">
        <f t="shared" si="25"/>
        <v>0</v>
      </c>
      <c r="BW106" s="344" t="str">
        <f>IFERROR(VLOOKUP($A106,'BASE_558 EX'!$D:$R,8,FALSE),"")</f>
        <v xml:space="preserve">            5.000,00</v>
      </c>
      <c r="BX106" s="344" t="str">
        <f>IFERROR(VLOOKUP($A106,'BASE_558 EX'!$D:$R,9,FALSE),"")</f>
        <v xml:space="preserve">            4.112,36</v>
      </c>
      <c r="BY106" s="344" t="str">
        <f>IFERROR(VLOOKUP($A106,'BASE_558 EX'!$D:$R,10,FALSE),"")</f>
        <v xml:space="preserve">                0,00</v>
      </c>
      <c r="BZ106" s="344" t="str">
        <f>IFERROR(VLOOKUP($A106,'BASE_558 EX'!$D:$R,11,FALSE),"")</f>
        <v xml:space="preserve">                0,00</v>
      </c>
      <c r="CA106" s="344">
        <f>IFERROR(IF(BASE_558!$P$14="RemOrdPla",(VLOOKUP(A106,BASE_558!D:R,14)/1000),(VLOOKUP(A106,BASE_558!D:R,13)/1000)),"")</f>
        <v>385.55496999999997</v>
      </c>
      <c r="CB106" s="344" t="str">
        <f>IFERROR(VLOOKUP($A106,'BASE_558 EX'!$D:$R,15,FALSE),"")</f>
        <v xml:space="preserve">              887,64</v>
      </c>
      <c r="CC106" s="442"/>
      <c r="CD106" s="442">
        <f t="shared" si="26"/>
        <v>0</v>
      </c>
    </row>
    <row r="107" spans="1:82" s="23" customFormat="1" ht="25.4" customHeight="1">
      <c r="A107" s="309" t="s">
        <v>706</v>
      </c>
      <c r="B107" s="309" t="s">
        <v>869</v>
      </c>
      <c r="C107" s="187">
        <v>44159</v>
      </c>
      <c r="D107" s="309" t="s">
        <v>704</v>
      </c>
      <c r="E107" s="309" t="s">
        <v>704</v>
      </c>
      <c r="F107" s="309" t="s">
        <v>176</v>
      </c>
      <c r="G107" s="339" t="s">
        <v>705</v>
      </c>
      <c r="H107" s="339" t="s">
        <v>614</v>
      </c>
      <c r="I107" s="6" t="s">
        <v>218</v>
      </c>
      <c r="J107" s="83" t="s">
        <v>462</v>
      </c>
      <c r="K107" s="7" t="s">
        <v>1600</v>
      </c>
      <c r="L107" s="206">
        <v>0</v>
      </c>
      <c r="M107" s="206">
        <v>11221.03</v>
      </c>
      <c r="N107" s="206">
        <v>-6685.2899999999991</v>
      </c>
      <c r="O107" s="206">
        <v>371.29</v>
      </c>
      <c r="P107" s="206"/>
      <c r="Q107" s="206">
        <f t="shared" si="21"/>
        <v>0</v>
      </c>
      <c r="R107" s="206"/>
      <c r="S107" s="206"/>
      <c r="T107" s="223"/>
      <c r="U107" s="169">
        <f t="shared" si="22"/>
        <v>0</v>
      </c>
      <c r="V107" s="372">
        <v>0</v>
      </c>
      <c r="W107" s="343"/>
      <c r="X107" s="332">
        <f>SUMIFS(BASE_EX!$J:$J,BASE_EX!$B:$B,'Direct Charge'!$A107,BASE_EX!$C:$C,"janeiro")</f>
        <v>0</v>
      </c>
      <c r="Y107" s="373"/>
      <c r="Z107" s="372">
        <v>0</v>
      </c>
      <c r="AA107" s="343"/>
      <c r="AB107" s="332">
        <f>SUMIFS(BASE_EX!$J:$J,BASE_EX!$B:$B,'Direct Charge'!$A107,BASE_EX!$C:$C,"fevereiro")</f>
        <v>0</v>
      </c>
      <c r="AC107" s="373"/>
      <c r="AD107" s="372"/>
      <c r="AE107" s="343"/>
      <c r="AF107" s="332">
        <f>SUMIFS(BASE_EX!$J:$J,BASE_EX!$B:$B,'Direct Charge'!$A107,BASE_EX!$C:$C,"março")</f>
        <v>0</v>
      </c>
      <c r="AG107" s="373"/>
      <c r="AH107" s="372"/>
      <c r="AI107" s="343"/>
      <c r="AJ107" s="332">
        <f>SUMIFS(BASE_EX!$J:$J,BASE_EX!$B:$B,'Direct Charge'!$A107,BASE_EX!$C:$C,"abril")</f>
        <v>0</v>
      </c>
      <c r="AK107" s="373"/>
      <c r="AL107" s="372"/>
      <c r="AM107" s="343"/>
      <c r="AN107" s="332">
        <f>SUMIFS(BASE_EX!$J:$J,BASE_EX!$B:$B,'Direct Charge'!$A107,BASE_EX!$C:$C,"maio")</f>
        <v>0</v>
      </c>
      <c r="AO107" s="373"/>
      <c r="AP107" s="372"/>
      <c r="AQ107" s="343"/>
      <c r="AR107" s="332">
        <f>SUMIFS(BASE_EX!$J:$J,BASE_EX!$B:$B,'Direct Charge'!$A107,BASE_EX!$C:$C,"junho")</f>
        <v>0</v>
      </c>
      <c r="AS107" s="373"/>
      <c r="AT107" s="372"/>
      <c r="AU107" s="343"/>
      <c r="AV107" s="332">
        <f>SUMIFS(BASE_EX!$J:$J,BASE_EX!$B:$B,'Direct Charge'!$A107,BASE_EX!$C:$C,"julho")</f>
        <v>0</v>
      </c>
      <c r="AW107" s="373"/>
      <c r="AX107" s="372"/>
      <c r="AY107" s="343"/>
      <c r="AZ107" s="332">
        <f>SUMIFS(BASE_EX!$J:$J,BASE_EX!$B:$B,'Direct Charge'!$A107,BASE_EX!$C:$C,"agosto")</f>
        <v>0</v>
      </c>
      <c r="BA107" s="373"/>
      <c r="BB107" s="372"/>
      <c r="BC107" s="343"/>
      <c r="BD107" s="332">
        <f>SUMIFS(BASE_EX!$J:$J,BASE_EX!$B:$B,'Direct Charge'!$A107,BASE_EX!$C:$C,"setembro")</f>
        <v>0</v>
      </c>
      <c r="BE107" s="373"/>
      <c r="BF107" s="372"/>
      <c r="BG107" s="343"/>
      <c r="BH107" s="332">
        <f>SUMIFS(BASE_EX!$J:$J,BASE_EX!$B:$B,'Direct Charge'!$A107,BASE_EX!$C:$C,"outubro")</f>
        <v>0</v>
      </c>
      <c r="BI107" s="373"/>
      <c r="BJ107" s="372"/>
      <c r="BK107" s="343"/>
      <c r="BL107" s="332">
        <f>SUMIFS(BASE_EX!$J:$J,BASE_EX!$B:$B,'Direct Charge'!$A107,BASE_EX!$C:$C,"novembro")</f>
        <v>0</v>
      </c>
      <c r="BM107" s="373"/>
      <c r="BN107" s="372"/>
      <c r="BO107" s="343"/>
      <c r="BP107" s="332">
        <f>SUMIFS(BASE_EX!$J:$J,BASE_EX!$B:$B,'Direct Charge'!$A107,BASE_EX!$C:$C,"dezembro")</f>
        <v>0</v>
      </c>
      <c r="BQ107" s="373"/>
      <c r="BR107" s="452"/>
      <c r="BS107" s="156">
        <f t="shared" si="23"/>
        <v>0</v>
      </c>
      <c r="BT107" s="320">
        <f t="shared" si="24"/>
        <v>0</v>
      </c>
      <c r="BU107" s="157" t="e">
        <f>SUM(L107,M107,N107,O107,U107)-#REF!</f>
        <v>#REF!</v>
      </c>
      <c r="BV107" s="346">
        <f t="shared" si="25"/>
        <v>0</v>
      </c>
      <c r="BW107" s="344" t="str">
        <f>IFERROR(VLOOKUP($A107,'BASE_558 EX'!$D:$R,8,FALSE),"")</f>
        <v xml:space="preserve">           25.936,40</v>
      </c>
      <c r="BX107" s="344" t="str">
        <f>IFERROR(VLOOKUP($A107,'BASE_558 EX'!$D:$R,9,FALSE),"")</f>
        <v xml:space="preserve">            4.907,03</v>
      </c>
      <c r="BY107" s="344" t="str">
        <f>IFERROR(VLOOKUP($A107,'BASE_558 EX'!$D:$R,10,FALSE),"")</f>
        <v xml:space="preserve">                0,00</v>
      </c>
      <c r="BZ107" s="344" t="str">
        <f>IFERROR(VLOOKUP($A107,'BASE_558 EX'!$D:$R,11,FALSE),"")</f>
        <v xml:space="preserve">                0,00</v>
      </c>
      <c r="CA107" s="344">
        <f>IFERROR(IF(BASE_558!$P$14="RemOrdPla",(VLOOKUP(A107,BASE_558!D:R,14)/1000),(VLOOKUP(A107,BASE_558!D:R,13)/1000)),"")</f>
        <v>188.43559999999999</v>
      </c>
      <c r="CB107" s="344" t="str">
        <f>IFERROR(VLOOKUP($A107,'BASE_558 EX'!$D:$R,15,FALSE),"")</f>
        <v xml:space="preserve">           21.029,37</v>
      </c>
      <c r="CC107" s="442"/>
      <c r="CD107" s="442">
        <f t="shared" si="26"/>
        <v>0</v>
      </c>
    </row>
    <row r="108" spans="1:82" s="23" customFormat="1" ht="25.4" customHeight="1">
      <c r="A108" s="309" t="s">
        <v>656</v>
      </c>
      <c r="B108" s="309" t="s">
        <v>867</v>
      </c>
      <c r="C108" s="187"/>
      <c r="D108" s="309" t="s">
        <v>478</v>
      </c>
      <c r="E108" s="310" t="s">
        <v>2259</v>
      </c>
      <c r="F108" s="309" t="s">
        <v>176</v>
      </c>
      <c r="G108" s="339" t="s">
        <v>657</v>
      </c>
      <c r="H108" s="339" t="s">
        <v>614</v>
      </c>
      <c r="I108" s="6" t="s">
        <v>463</v>
      </c>
      <c r="J108" s="83" t="s">
        <v>219</v>
      </c>
      <c r="K108" s="10"/>
      <c r="L108" s="206">
        <v>0</v>
      </c>
      <c r="M108" s="206">
        <v>0</v>
      </c>
      <c r="N108" s="206">
        <v>0</v>
      </c>
      <c r="O108" s="206">
        <v>0</v>
      </c>
      <c r="P108" s="206"/>
      <c r="Q108" s="206">
        <f t="shared" si="21"/>
        <v>9664.8799999999992</v>
      </c>
      <c r="R108" s="206"/>
      <c r="S108" s="206"/>
      <c r="T108" s="223"/>
      <c r="U108" s="169">
        <f t="shared" si="22"/>
        <v>9664.8799999999992</v>
      </c>
      <c r="V108" s="372">
        <v>0</v>
      </c>
      <c r="W108" s="343"/>
      <c r="X108" s="332">
        <f>SUMIFS(BASE_EX!$J:$J,BASE_EX!$B:$B,'Direct Charge'!$A108,BASE_EX!$C:$C,"janeiro")</f>
        <v>0</v>
      </c>
      <c r="Y108" s="373"/>
      <c r="Z108" s="372">
        <v>0</v>
      </c>
      <c r="AA108" s="343"/>
      <c r="AB108" s="332">
        <f>SUMIFS(BASE_EX!$J:$J,BASE_EX!$B:$B,'Direct Charge'!$A108,BASE_EX!$C:$C,"fevereiro")</f>
        <v>0</v>
      </c>
      <c r="AC108" s="373"/>
      <c r="AD108" s="372"/>
      <c r="AE108" s="343"/>
      <c r="AF108" s="332">
        <f>SUMIFS(BASE_EX!$J:$J,BASE_EX!$B:$B,'Direct Charge'!$A108,BASE_EX!$C:$C,"março")</f>
        <v>0</v>
      </c>
      <c r="AG108" s="373"/>
      <c r="AH108" s="372"/>
      <c r="AI108" s="343"/>
      <c r="AJ108" s="332">
        <f>SUMIFS(BASE_EX!$J:$J,BASE_EX!$B:$B,'Direct Charge'!$A108,BASE_EX!$C:$C,"abril")</f>
        <v>0</v>
      </c>
      <c r="AK108" s="373"/>
      <c r="AL108" s="372">
        <v>12000</v>
      </c>
      <c r="AM108" s="343">
        <v>9664.8799999999992</v>
      </c>
      <c r="AN108" s="332">
        <f>SUMIFS(BASE_EX!$J:$J,BASE_EX!$B:$B,'Direct Charge'!$A108,BASE_EX!$C:$C,"maio")</f>
        <v>9664.8799999999992</v>
      </c>
      <c r="AO108" s="373">
        <v>9664.8799999999992</v>
      </c>
      <c r="AP108" s="372"/>
      <c r="AQ108" s="343"/>
      <c r="AR108" s="332">
        <f>SUMIFS(BASE_EX!$J:$J,BASE_EX!$B:$B,'Direct Charge'!$A108,BASE_EX!$C:$C,"junho")</f>
        <v>0</v>
      </c>
      <c r="AS108" s="373"/>
      <c r="AT108" s="372"/>
      <c r="AU108" s="343"/>
      <c r="AV108" s="332">
        <f>SUMIFS(BASE_EX!$J:$J,BASE_EX!$B:$B,'Direct Charge'!$A108,BASE_EX!$C:$C,"julho")</f>
        <v>0</v>
      </c>
      <c r="AW108" s="373"/>
      <c r="AX108" s="372"/>
      <c r="AY108" s="343"/>
      <c r="AZ108" s="332">
        <f>SUMIFS(BASE_EX!$J:$J,BASE_EX!$B:$B,'Direct Charge'!$A108,BASE_EX!$C:$C,"agosto")</f>
        <v>0</v>
      </c>
      <c r="BA108" s="373"/>
      <c r="BB108" s="372"/>
      <c r="BC108" s="343"/>
      <c r="BD108" s="332">
        <f>SUMIFS(BASE_EX!$J:$J,BASE_EX!$B:$B,'Direct Charge'!$A108,BASE_EX!$C:$C,"setembro")</f>
        <v>0</v>
      </c>
      <c r="BE108" s="373"/>
      <c r="BF108" s="372"/>
      <c r="BG108" s="343"/>
      <c r="BH108" s="332">
        <f>SUMIFS(BASE_EX!$J:$J,BASE_EX!$B:$B,'Direct Charge'!$A108,BASE_EX!$C:$C,"outubro")</f>
        <v>0</v>
      </c>
      <c r="BI108" s="373"/>
      <c r="BJ108" s="372"/>
      <c r="BK108" s="343"/>
      <c r="BL108" s="332">
        <f>SUMIFS(BASE_EX!$J:$J,BASE_EX!$B:$B,'Direct Charge'!$A108,BASE_EX!$C:$C,"novembro")</f>
        <v>0</v>
      </c>
      <c r="BM108" s="373"/>
      <c r="BN108" s="372"/>
      <c r="BO108" s="343"/>
      <c r="BP108" s="332">
        <f>SUMIFS(BASE_EX!$J:$J,BASE_EX!$B:$B,'Direct Charge'!$A108,BASE_EX!$C:$C,"dezembro")</f>
        <v>0</v>
      </c>
      <c r="BQ108" s="373"/>
      <c r="BR108" s="452"/>
      <c r="BS108" s="156">
        <f t="shared" si="23"/>
        <v>0</v>
      </c>
      <c r="BT108" s="320">
        <f t="shared" si="24"/>
        <v>0</v>
      </c>
      <c r="BU108" s="157" t="e">
        <f>SUM(L108,M108,N108,O108,U108)-#REF!</f>
        <v>#REF!</v>
      </c>
      <c r="BV108" s="346">
        <f t="shared" si="25"/>
        <v>9664.8799999999992</v>
      </c>
      <c r="BW108" s="344" t="str">
        <f>IFERROR(VLOOKUP($A108,'BASE_558 EX'!$D:$R,8,FALSE),"")</f>
        <v xml:space="preserve">           12.389,38</v>
      </c>
      <c r="BX108" s="344" t="str">
        <f>IFERROR(VLOOKUP($A108,'BASE_558 EX'!$D:$R,9,FALSE),"")</f>
        <v xml:space="preserve">            9.664,88</v>
      </c>
      <c r="BY108" s="344" t="str">
        <f>IFERROR(VLOOKUP($A108,'BASE_558 EX'!$D:$R,10,FALSE),"")</f>
        <v xml:space="preserve">                0,00</v>
      </c>
      <c r="BZ108" s="344" t="str">
        <f>IFERROR(VLOOKUP($A108,'BASE_558 EX'!$D:$R,11,FALSE),"")</f>
        <v xml:space="preserve">                0,00</v>
      </c>
      <c r="CA108" s="344">
        <f>IFERROR(IF(BASE_558!$P$14="RemOrdPla",(VLOOKUP(A108,BASE_558!D:R,14)/1000),(VLOOKUP(A108,BASE_558!D:R,13)/1000)),"")</f>
        <v>274.76365000000004</v>
      </c>
      <c r="CB108" s="344" t="str">
        <f>IFERROR(VLOOKUP($A108,'BASE_558 EX'!$D:$R,15,FALSE),"")</f>
        <v xml:space="preserve">            2.724,50</v>
      </c>
      <c r="CC108" s="442"/>
      <c r="CD108" s="442">
        <f t="shared" si="26"/>
        <v>0</v>
      </c>
    </row>
    <row r="109" spans="1:82" s="23" customFormat="1" ht="25.4" customHeight="1">
      <c r="A109" s="309" t="s">
        <v>675</v>
      </c>
      <c r="B109" s="309" t="s">
        <v>1904</v>
      </c>
      <c r="C109" s="187">
        <v>44159</v>
      </c>
      <c r="D109" s="309" t="s">
        <v>2862</v>
      </c>
      <c r="E109" s="310" t="s">
        <v>2862</v>
      </c>
      <c r="F109" s="309" t="s">
        <v>178</v>
      </c>
      <c r="G109" s="339" t="s">
        <v>3269</v>
      </c>
      <c r="H109" s="339" t="s">
        <v>614</v>
      </c>
      <c r="I109" s="6" t="s">
        <v>218</v>
      </c>
      <c r="J109" s="83" t="s">
        <v>462</v>
      </c>
      <c r="K109" s="7" t="s">
        <v>1600</v>
      </c>
      <c r="L109" s="206">
        <v>0</v>
      </c>
      <c r="M109" s="206">
        <v>15977.800000000001</v>
      </c>
      <c r="N109" s="206">
        <v>0</v>
      </c>
      <c r="O109" s="206">
        <v>0</v>
      </c>
      <c r="P109" s="206"/>
      <c r="Q109" s="206">
        <f t="shared" si="21"/>
        <v>0</v>
      </c>
      <c r="R109" s="206"/>
      <c r="S109" s="206"/>
      <c r="T109" s="223"/>
      <c r="U109" s="169">
        <f t="shared" si="22"/>
        <v>0</v>
      </c>
      <c r="V109" s="372">
        <v>0</v>
      </c>
      <c r="W109" s="343"/>
      <c r="X109" s="332">
        <f>SUMIFS(BASE_EX!$J:$J,BASE_EX!$B:$B,'Direct Charge'!$A109,BASE_EX!$C:$C,"janeiro")</f>
        <v>0</v>
      </c>
      <c r="Y109" s="373"/>
      <c r="Z109" s="372">
        <v>0</v>
      </c>
      <c r="AA109" s="343"/>
      <c r="AB109" s="332">
        <f>SUMIFS(BASE_EX!$J:$J,BASE_EX!$B:$B,'Direct Charge'!$A109,BASE_EX!$C:$C,"fevereiro")</f>
        <v>0</v>
      </c>
      <c r="AC109" s="373"/>
      <c r="AD109" s="372"/>
      <c r="AE109" s="343"/>
      <c r="AF109" s="332">
        <f>SUMIFS(BASE_EX!$J:$J,BASE_EX!$B:$B,'Direct Charge'!$A109,BASE_EX!$C:$C,"março")</f>
        <v>0</v>
      </c>
      <c r="AG109" s="373"/>
      <c r="AH109" s="372"/>
      <c r="AI109" s="343"/>
      <c r="AJ109" s="332">
        <f>SUMIFS(BASE_EX!$J:$J,BASE_EX!$B:$B,'Direct Charge'!$A109,BASE_EX!$C:$C,"abril")</f>
        <v>0</v>
      </c>
      <c r="AK109" s="373"/>
      <c r="AL109" s="372"/>
      <c r="AM109" s="343"/>
      <c r="AN109" s="332">
        <f>SUMIFS(BASE_EX!$J:$J,BASE_EX!$B:$B,'Direct Charge'!$A109,BASE_EX!$C:$C,"maio")</f>
        <v>0</v>
      </c>
      <c r="AO109" s="373"/>
      <c r="AP109" s="372"/>
      <c r="AQ109" s="343"/>
      <c r="AR109" s="332">
        <f>SUMIFS(BASE_EX!$J:$J,BASE_EX!$B:$B,'Direct Charge'!$A109,BASE_EX!$C:$C,"junho")</f>
        <v>0</v>
      </c>
      <c r="AS109" s="373"/>
      <c r="AT109" s="372"/>
      <c r="AU109" s="343"/>
      <c r="AV109" s="332">
        <f>SUMIFS(BASE_EX!$J:$J,BASE_EX!$B:$B,'Direct Charge'!$A109,BASE_EX!$C:$C,"julho")</f>
        <v>0</v>
      </c>
      <c r="AW109" s="373"/>
      <c r="AX109" s="372"/>
      <c r="AY109" s="343"/>
      <c r="AZ109" s="332">
        <f>SUMIFS(BASE_EX!$J:$J,BASE_EX!$B:$B,'Direct Charge'!$A109,BASE_EX!$C:$C,"agosto")</f>
        <v>0</v>
      </c>
      <c r="BA109" s="373"/>
      <c r="BB109" s="372"/>
      <c r="BC109" s="343"/>
      <c r="BD109" s="332">
        <f>SUMIFS(BASE_EX!$J:$J,BASE_EX!$B:$B,'Direct Charge'!$A109,BASE_EX!$C:$C,"setembro")</f>
        <v>0</v>
      </c>
      <c r="BE109" s="373"/>
      <c r="BF109" s="372"/>
      <c r="BG109" s="343"/>
      <c r="BH109" s="332">
        <f>SUMIFS(BASE_EX!$J:$J,BASE_EX!$B:$B,'Direct Charge'!$A109,BASE_EX!$C:$C,"outubro")</f>
        <v>0</v>
      </c>
      <c r="BI109" s="373"/>
      <c r="BJ109" s="372"/>
      <c r="BK109" s="343"/>
      <c r="BL109" s="332">
        <f>SUMIFS(BASE_EX!$J:$J,BASE_EX!$B:$B,'Direct Charge'!$A109,BASE_EX!$C:$C,"novembro")</f>
        <v>0</v>
      </c>
      <c r="BM109" s="373"/>
      <c r="BN109" s="372"/>
      <c r="BO109" s="343"/>
      <c r="BP109" s="332">
        <f>SUMIFS(BASE_EX!$J:$J,BASE_EX!$B:$B,'Direct Charge'!$A109,BASE_EX!$C:$C,"dezembro")</f>
        <v>0</v>
      </c>
      <c r="BQ109" s="373"/>
      <c r="BR109" s="452"/>
      <c r="BS109" s="156">
        <f t="shared" si="23"/>
        <v>0</v>
      </c>
      <c r="BT109" s="320">
        <f t="shared" si="24"/>
        <v>0</v>
      </c>
      <c r="BU109" s="157" t="e">
        <f>SUM(L109,M109,N109,O109,U109)-#REF!</f>
        <v>#REF!</v>
      </c>
      <c r="BV109" s="346">
        <f t="shared" si="25"/>
        <v>0</v>
      </c>
      <c r="BW109" s="344" t="str">
        <f>IFERROR(VLOOKUP($A109,'BASE_558 EX'!$D:$R,8,FALSE),"")</f>
        <v xml:space="preserve">           15.986,61</v>
      </c>
      <c r="BX109" s="344" t="str">
        <f>IFERROR(VLOOKUP($A109,'BASE_558 EX'!$D:$R,9,FALSE),"")</f>
        <v xml:space="preserve">           15.977,80</v>
      </c>
      <c r="BY109" s="344" t="str">
        <f>IFERROR(VLOOKUP($A109,'BASE_558 EX'!$D:$R,10,FALSE),"")</f>
        <v xml:space="preserve">                0,00</v>
      </c>
      <c r="BZ109" s="344" t="str">
        <f>IFERROR(VLOOKUP($A109,'BASE_558 EX'!$D:$R,11,FALSE),"")</f>
        <v xml:space="preserve">                0,00</v>
      </c>
      <c r="CA109" s="344">
        <f>IFERROR(IF(BASE_558!$P$14="RemOrdPla",(VLOOKUP(A109,BASE_558!D:R,14)/1000),(VLOOKUP(A109,BASE_558!D:R,13)/1000)),"")</f>
        <v>49.774949999999997</v>
      </c>
      <c r="CB109" s="344" t="str">
        <f>IFERROR(VLOOKUP($A109,'BASE_558 EX'!$D:$R,15,FALSE),"")</f>
        <v xml:space="preserve">                8,81</v>
      </c>
      <c r="CC109" s="442"/>
      <c r="CD109" s="442">
        <f t="shared" si="26"/>
        <v>0</v>
      </c>
    </row>
    <row r="110" spans="1:82" s="23" customFormat="1" ht="25.4" customHeight="1">
      <c r="A110" s="309" t="s">
        <v>710</v>
      </c>
      <c r="B110" s="309" t="s">
        <v>1299</v>
      </c>
      <c r="C110" s="187">
        <v>44179</v>
      </c>
      <c r="D110" s="309" t="s">
        <v>475</v>
      </c>
      <c r="E110" s="361" t="s">
        <v>2079</v>
      </c>
      <c r="F110" s="309" t="s">
        <v>176</v>
      </c>
      <c r="G110" s="339" t="s">
        <v>674</v>
      </c>
      <c r="H110" s="339" t="s">
        <v>614</v>
      </c>
      <c r="I110" s="6" t="s">
        <v>463</v>
      </c>
      <c r="J110" s="83" t="s">
        <v>219</v>
      </c>
      <c r="K110" s="10" t="s">
        <v>8977</v>
      </c>
      <c r="L110" s="206">
        <v>0</v>
      </c>
      <c r="M110" s="206">
        <v>314489.07</v>
      </c>
      <c r="N110" s="206">
        <v>107234.42000000001</v>
      </c>
      <c r="O110" s="206">
        <v>540781.43999999994</v>
      </c>
      <c r="P110" s="206">
        <v>133561.61000000002</v>
      </c>
      <c r="Q110" s="206">
        <f t="shared" si="21"/>
        <v>61790.69</v>
      </c>
      <c r="R110" s="206"/>
      <c r="S110" s="206"/>
      <c r="T110" s="223"/>
      <c r="U110" s="169">
        <f t="shared" si="22"/>
        <v>61790.69</v>
      </c>
      <c r="V110" s="372">
        <v>7416.5599999999995</v>
      </c>
      <c r="W110" s="343">
        <v>7416.5599999999995</v>
      </c>
      <c r="X110" s="332">
        <f>SUMIFS(BASE_EX!$J:$J,BASE_EX!$B:$B,'Direct Charge'!$A110,BASE_EX!$C:$C,"janeiro")</f>
        <v>7416.5599999999995</v>
      </c>
      <c r="Y110" s="373">
        <v>7416.5599999999995</v>
      </c>
      <c r="Z110" s="372">
        <v>3962.42</v>
      </c>
      <c r="AA110" s="343">
        <v>3595.82</v>
      </c>
      <c r="AB110" s="332">
        <f>SUMIFS(BASE_EX!$J:$J,BASE_EX!$B:$B,'Direct Charge'!$A110,BASE_EX!$C:$C,"fevereiro")</f>
        <v>3595.8199999999997</v>
      </c>
      <c r="AC110" s="373">
        <v>3595.8199999999997</v>
      </c>
      <c r="AD110" s="372">
        <v>5000</v>
      </c>
      <c r="AE110" s="343">
        <v>9346.92</v>
      </c>
      <c r="AF110" s="332">
        <f>SUMIFS(BASE_EX!$J:$J,BASE_EX!$B:$B,'Direct Charge'!$A110,BASE_EX!$C:$C,"março")</f>
        <v>9346.92</v>
      </c>
      <c r="AG110" s="373">
        <v>9346.92</v>
      </c>
      <c r="AH110" s="372">
        <v>3800</v>
      </c>
      <c r="AI110" s="343"/>
      <c r="AJ110" s="332">
        <f>SUMIFS(BASE_EX!$J:$J,BASE_EX!$B:$B,'Direct Charge'!$A110,BASE_EX!$C:$C,"abril")</f>
        <v>0</v>
      </c>
      <c r="AK110" s="373"/>
      <c r="AL110" s="372"/>
      <c r="AM110" s="343">
        <v>7431.39</v>
      </c>
      <c r="AN110" s="332">
        <f>SUMIFS(BASE_EX!$J:$J,BASE_EX!$B:$B,'Direct Charge'!$A110,BASE_EX!$C:$C,"maio")</f>
        <v>7431.3899999999994</v>
      </c>
      <c r="AO110" s="373">
        <v>7431.3899999999994</v>
      </c>
      <c r="AP110" s="372">
        <v>14000</v>
      </c>
      <c r="AQ110" s="343"/>
      <c r="AR110" s="332">
        <f>SUMIFS(BASE_EX!$J:$J,BASE_EX!$B:$B,'Direct Charge'!$A110,BASE_EX!$C:$C,"junho")</f>
        <v>0</v>
      </c>
      <c r="AS110" s="373">
        <v>0</v>
      </c>
      <c r="AT110" s="372"/>
      <c r="AU110" s="343"/>
      <c r="AV110" s="332">
        <f>SUMIFS(BASE_EX!$J:$J,BASE_EX!$B:$B,'Direct Charge'!$A110,BASE_EX!$C:$C,"julho")</f>
        <v>0</v>
      </c>
      <c r="AW110" s="373">
        <v>14000</v>
      </c>
      <c r="AX110" s="372"/>
      <c r="AY110" s="343"/>
      <c r="AZ110" s="332">
        <f>SUMIFS(BASE_EX!$J:$J,BASE_EX!$B:$B,'Direct Charge'!$A110,BASE_EX!$C:$C,"agosto")</f>
        <v>0</v>
      </c>
      <c r="BA110" s="373">
        <v>20000</v>
      </c>
      <c r="BB110" s="372"/>
      <c r="BC110" s="343"/>
      <c r="BD110" s="332">
        <f>SUMIFS(BASE_EX!$J:$J,BASE_EX!$B:$B,'Direct Charge'!$A110,BASE_EX!$C:$C,"setembro")</f>
        <v>0</v>
      </c>
      <c r="BE110" s="373"/>
      <c r="BF110" s="372"/>
      <c r="BG110" s="343"/>
      <c r="BH110" s="332">
        <f>SUMIFS(BASE_EX!$J:$J,BASE_EX!$B:$B,'Direct Charge'!$A110,BASE_EX!$C:$C,"outubro")</f>
        <v>0</v>
      </c>
      <c r="BI110" s="373"/>
      <c r="BJ110" s="372"/>
      <c r="BK110" s="343"/>
      <c r="BL110" s="332">
        <f>SUMIFS(BASE_EX!$J:$J,BASE_EX!$B:$B,'Direct Charge'!$A110,BASE_EX!$C:$C,"novembro")</f>
        <v>0</v>
      </c>
      <c r="BM110" s="373"/>
      <c r="BN110" s="372"/>
      <c r="BO110" s="343"/>
      <c r="BP110" s="332">
        <f>SUMIFS(BASE_EX!$J:$J,BASE_EX!$B:$B,'Direct Charge'!$A110,BASE_EX!$C:$C,"dezembro")</f>
        <v>0</v>
      </c>
      <c r="BQ110" s="373"/>
      <c r="BR110" s="452"/>
      <c r="BS110" s="156">
        <f t="shared" si="23"/>
        <v>-14000</v>
      </c>
      <c r="BT110" s="320">
        <f t="shared" si="24"/>
        <v>0</v>
      </c>
      <c r="BU110" s="157" t="e">
        <f>SUM(L110,M110,N110,O110,U110)-#REF!</f>
        <v>#REF!</v>
      </c>
      <c r="BV110" s="346">
        <f t="shared" si="25"/>
        <v>61790.69</v>
      </c>
      <c r="BW110" s="344" t="str">
        <f>IFERROR(VLOOKUP($A110,'BASE_558 EX'!$D:$R,8,FALSE),"")</f>
        <v xml:space="preserve">        3.655.624,00</v>
      </c>
      <c r="BX110" s="344" t="str">
        <f>IFERROR(VLOOKUP($A110,'BASE_558 EX'!$D:$R,9,FALSE),"")</f>
        <v xml:space="preserve">        1.123.857,23</v>
      </c>
      <c r="BY110" s="344" t="str">
        <f>IFERROR(VLOOKUP($A110,'BASE_558 EX'!$D:$R,10,FALSE),"")</f>
        <v xml:space="preserve">           33.287,72</v>
      </c>
      <c r="BZ110" s="344" t="str">
        <f>IFERROR(VLOOKUP($A110,'BASE_558 EX'!$D:$R,11,FALSE),"")</f>
        <v xml:space="preserve">                0,00</v>
      </c>
      <c r="CA110" s="344">
        <f>IFERROR(IF(BASE_558!$P$14="RemOrdPla",(VLOOKUP(A110,BASE_558!D:R,14)/1000),(VLOOKUP(A110,BASE_558!D:R,13)/1000)),"")</f>
        <v>23268.929920000002</v>
      </c>
      <c r="CB110" s="344" t="str">
        <f>IFERROR(VLOOKUP($A110,'BASE_558 EX'!$D:$R,15,FALSE),"")</f>
        <v xml:space="preserve">        2.498.479,05</v>
      </c>
      <c r="CC110" s="442"/>
      <c r="CD110" s="442">
        <f t="shared" si="26"/>
        <v>0</v>
      </c>
    </row>
    <row r="111" spans="1:82" s="23" customFormat="1" ht="25.4" customHeight="1">
      <c r="A111" s="309" t="s">
        <v>1052</v>
      </c>
      <c r="B111" s="309" t="s">
        <v>1924</v>
      </c>
      <c r="C111" s="187">
        <v>44153</v>
      </c>
      <c r="D111" s="309" t="s">
        <v>2863</v>
      </c>
      <c r="E111" s="309" t="s">
        <v>1707</v>
      </c>
      <c r="F111" s="309" t="s">
        <v>176</v>
      </c>
      <c r="G111" s="339" t="s">
        <v>2864</v>
      </c>
      <c r="H111" s="339" t="s">
        <v>8878</v>
      </c>
      <c r="I111" s="6" t="s">
        <v>218</v>
      </c>
      <c r="J111" s="83" t="s">
        <v>462</v>
      </c>
      <c r="K111" s="7"/>
      <c r="L111" s="206"/>
      <c r="M111" s="206"/>
      <c r="N111" s="206">
        <v>3418.98</v>
      </c>
      <c r="O111" s="206">
        <v>0</v>
      </c>
      <c r="P111" s="206"/>
      <c r="Q111" s="206">
        <f t="shared" si="21"/>
        <v>0</v>
      </c>
      <c r="R111" s="206"/>
      <c r="S111" s="206"/>
      <c r="T111" s="223"/>
      <c r="U111" s="169">
        <f t="shared" si="22"/>
        <v>0</v>
      </c>
      <c r="V111" s="372">
        <v>0</v>
      </c>
      <c r="W111" s="343"/>
      <c r="X111" s="332">
        <f>SUMIFS(BASE_EX!$J:$J,BASE_EX!$B:$B,'Direct Charge'!$A111,BASE_EX!$C:$C,"janeiro")</f>
        <v>0</v>
      </c>
      <c r="Y111" s="373"/>
      <c r="Z111" s="372">
        <v>0</v>
      </c>
      <c r="AA111" s="343"/>
      <c r="AB111" s="332">
        <f>SUMIFS(BASE_EX!$J:$J,BASE_EX!$B:$B,'Direct Charge'!$A111,BASE_EX!$C:$C,"fevereiro")</f>
        <v>0</v>
      </c>
      <c r="AC111" s="373"/>
      <c r="AD111" s="372"/>
      <c r="AE111" s="343"/>
      <c r="AF111" s="332">
        <f>SUMIFS(BASE_EX!$J:$J,BASE_EX!$B:$B,'Direct Charge'!$A111,BASE_EX!$C:$C,"março")</f>
        <v>0</v>
      </c>
      <c r="AG111" s="373"/>
      <c r="AH111" s="372"/>
      <c r="AI111" s="343"/>
      <c r="AJ111" s="332">
        <f>SUMIFS(BASE_EX!$J:$J,BASE_EX!$B:$B,'Direct Charge'!$A111,BASE_EX!$C:$C,"abril")</f>
        <v>0</v>
      </c>
      <c r="AK111" s="373"/>
      <c r="AL111" s="372"/>
      <c r="AM111" s="343"/>
      <c r="AN111" s="332">
        <f>SUMIFS(BASE_EX!$J:$J,BASE_EX!$B:$B,'Direct Charge'!$A111,BASE_EX!$C:$C,"maio")</f>
        <v>0</v>
      </c>
      <c r="AO111" s="373"/>
      <c r="AP111" s="372"/>
      <c r="AQ111" s="343"/>
      <c r="AR111" s="332">
        <f>SUMIFS(BASE_EX!$J:$J,BASE_EX!$B:$B,'Direct Charge'!$A111,BASE_EX!$C:$C,"junho")</f>
        <v>0</v>
      </c>
      <c r="AS111" s="373"/>
      <c r="AT111" s="372"/>
      <c r="AU111" s="343"/>
      <c r="AV111" s="332">
        <f>SUMIFS(BASE_EX!$J:$J,BASE_EX!$B:$B,'Direct Charge'!$A111,BASE_EX!$C:$C,"julho")</f>
        <v>0</v>
      </c>
      <c r="AW111" s="373"/>
      <c r="AX111" s="372"/>
      <c r="AY111" s="343"/>
      <c r="AZ111" s="332">
        <f>SUMIFS(BASE_EX!$J:$J,BASE_EX!$B:$B,'Direct Charge'!$A111,BASE_EX!$C:$C,"agosto")</f>
        <v>0</v>
      </c>
      <c r="BA111" s="373"/>
      <c r="BB111" s="372"/>
      <c r="BC111" s="343"/>
      <c r="BD111" s="332">
        <f>SUMIFS(BASE_EX!$J:$J,BASE_EX!$B:$B,'Direct Charge'!$A111,BASE_EX!$C:$C,"setembro")</f>
        <v>0</v>
      </c>
      <c r="BE111" s="373"/>
      <c r="BF111" s="372"/>
      <c r="BG111" s="343"/>
      <c r="BH111" s="332">
        <f>SUMIFS(BASE_EX!$J:$J,BASE_EX!$B:$B,'Direct Charge'!$A111,BASE_EX!$C:$C,"outubro")</f>
        <v>0</v>
      </c>
      <c r="BI111" s="373"/>
      <c r="BJ111" s="372"/>
      <c r="BK111" s="343"/>
      <c r="BL111" s="332">
        <f>SUMIFS(BASE_EX!$J:$J,BASE_EX!$B:$B,'Direct Charge'!$A111,BASE_EX!$C:$C,"novembro")</f>
        <v>0</v>
      </c>
      <c r="BM111" s="373"/>
      <c r="BN111" s="372"/>
      <c r="BO111" s="343"/>
      <c r="BP111" s="332">
        <f>SUMIFS(BASE_EX!$J:$J,BASE_EX!$B:$B,'Direct Charge'!$A111,BASE_EX!$C:$C,"dezembro")</f>
        <v>0</v>
      </c>
      <c r="BQ111" s="373"/>
      <c r="BR111" s="452"/>
      <c r="BS111" s="156">
        <f t="shared" si="23"/>
        <v>0</v>
      </c>
      <c r="BT111" s="320">
        <f t="shared" si="24"/>
        <v>0</v>
      </c>
      <c r="BU111" s="157" t="e">
        <f>SUM(L111,M111,N111,O111,U111)-#REF!</f>
        <v>#REF!</v>
      </c>
      <c r="BV111" s="346">
        <f t="shared" si="25"/>
        <v>0</v>
      </c>
      <c r="BW111" s="344" t="str">
        <f>IFERROR(VLOOKUP($A111,'BASE_558 EX'!$D:$R,8,FALSE),"")</f>
        <v xml:space="preserve">            5.000,00</v>
      </c>
      <c r="BX111" s="344" t="str">
        <f>IFERROR(VLOOKUP($A111,'BASE_558 EX'!$D:$R,9,FALSE),"")</f>
        <v xml:space="preserve">            3.509,61</v>
      </c>
      <c r="BY111" s="344" t="str">
        <f>IFERROR(VLOOKUP($A111,'BASE_558 EX'!$D:$R,10,FALSE),"")</f>
        <v xml:space="preserve">                0,00</v>
      </c>
      <c r="BZ111" s="344" t="str">
        <f>IFERROR(VLOOKUP($A111,'BASE_558 EX'!$D:$R,11,FALSE),"")</f>
        <v xml:space="preserve">                0,00</v>
      </c>
      <c r="CA111" s="344">
        <f>IFERROR(IF(BASE_558!$P$14="RemOrdPla",(VLOOKUP(A111,BASE_558!D:R,14)/1000),(VLOOKUP(A111,BASE_558!D:R,13)/1000)),"")</f>
        <v>23268.929920000002</v>
      </c>
      <c r="CB111" s="344" t="str">
        <f>IFERROR(VLOOKUP($A111,'BASE_558 EX'!$D:$R,15,FALSE),"")</f>
        <v xml:space="preserve">            1.490,39</v>
      </c>
      <c r="CC111" s="442"/>
      <c r="CD111" s="442">
        <f t="shared" si="26"/>
        <v>0</v>
      </c>
    </row>
    <row r="112" spans="1:82" s="23" customFormat="1" ht="25.4" customHeight="1">
      <c r="A112" s="309" t="s">
        <v>1692</v>
      </c>
      <c r="B112" s="309" t="s">
        <v>874</v>
      </c>
      <c r="C112" s="187">
        <v>44795</v>
      </c>
      <c r="D112" s="309" t="s">
        <v>704</v>
      </c>
      <c r="E112" s="309" t="s">
        <v>704</v>
      </c>
      <c r="F112" s="309" t="s">
        <v>176</v>
      </c>
      <c r="G112" s="340" t="s">
        <v>1693</v>
      </c>
      <c r="H112" s="339" t="s">
        <v>614</v>
      </c>
      <c r="I112" s="6" t="s">
        <v>218</v>
      </c>
      <c r="J112" s="83" t="s">
        <v>462</v>
      </c>
      <c r="K112" s="7" t="s">
        <v>2569</v>
      </c>
      <c r="L112" s="206">
        <v>0</v>
      </c>
      <c r="M112" s="206">
        <v>0</v>
      </c>
      <c r="N112" s="206">
        <v>0</v>
      </c>
      <c r="O112" s="206">
        <v>3558.67</v>
      </c>
      <c r="P112" s="206"/>
      <c r="Q112" s="206">
        <f t="shared" si="21"/>
        <v>0</v>
      </c>
      <c r="R112" s="206"/>
      <c r="S112" s="206"/>
      <c r="T112" s="223"/>
      <c r="U112" s="169">
        <f t="shared" si="22"/>
        <v>0</v>
      </c>
      <c r="V112" s="372">
        <v>0</v>
      </c>
      <c r="W112" s="343"/>
      <c r="X112" s="332">
        <f>SUMIFS(BASE_EX!$J:$J,BASE_EX!$B:$B,'Direct Charge'!$A112,BASE_EX!$C:$C,"janeiro")</f>
        <v>0</v>
      </c>
      <c r="Y112" s="373"/>
      <c r="Z112" s="372">
        <v>0</v>
      </c>
      <c r="AA112" s="343"/>
      <c r="AB112" s="332">
        <f>SUMIFS(BASE_EX!$J:$J,BASE_EX!$B:$B,'Direct Charge'!$A112,BASE_EX!$C:$C,"fevereiro")</f>
        <v>0</v>
      </c>
      <c r="AC112" s="373"/>
      <c r="AD112" s="372"/>
      <c r="AE112" s="343"/>
      <c r="AF112" s="332">
        <f>SUMIFS(BASE_EX!$J:$J,BASE_EX!$B:$B,'Direct Charge'!$A112,BASE_EX!$C:$C,"março")</f>
        <v>0</v>
      </c>
      <c r="AG112" s="373"/>
      <c r="AH112" s="372"/>
      <c r="AI112" s="343"/>
      <c r="AJ112" s="332">
        <f>SUMIFS(BASE_EX!$J:$J,BASE_EX!$B:$B,'Direct Charge'!$A112,BASE_EX!$C:$C,"abril")</f>
        <v>0</v>
      </c>
      <c r="AK112" s="373"/>
      <c r="AL112" s="372"/>
      <c r="AM112" s="343"/>
      <c r="AN112" s="332">
        <f>SUMIFS(BASE_EX!$J:$J,BASE_EX!$B:$B,'Direct Charge'!$A112,BASE_EX!$C:$C,"maio")</f>
        <v>0</v>
      </c>
      <c r="AO112" s="373"/>
      <c r="AP112" s="372"/>
      <c r="AQ112" s="343"/>
      <c r="AR112" s="332">
        <f>SUMIFS(BASE_EX!$J:$J,BASE_EX!$B:$B,'Direct Charge'!$A112,BASE_EX!$C:$C,"junho")</f>
        <v>0</v>
      </c>
      <c r="AS112" s="373"/>
      <c r="AT112" s="372"/>
      <c r="AU112" s="343"/>
      <c r="AV112" s="332">
        <f>SUMIFS(BASE_EX!$J:$J,BASE_EX!$B:$B,'Direct Charge'!$A112,BASE_EX!$C:$C,"julho")</f>
        <v>0</v>
      </c>
      <c r="AW112" s="373"/>
      <c r="AX112" s="372"/>
      <c r="AY112" s="343"/>
      <c r="AZ112" s="332">
        <f>SUMIFS(BASE_EX!$J:$J,BASE_EX!$B:$B,'Direct Charge'!$A112,BASE_EX!$C:$C,"agosto")</f>
        <v>0</v>
      </c>
      <c r="BA112" s="373"/>
      <c r="BB112" s="372"/>
      <c r="BC112" s="343"/>
      <c r="BD112" s="332">
        <f>SUMIFS(BASE_EX!$J:$J,BASE_EX!$B:$B,'Direct Charge'!$A112,BASE_EX!$C:$C,"setembro")</f>
        <v>0</v>
      </c>
      <c r="BE112" s="373"/>
      <c r="BF112" s="372"/>
      <c r="BG112" s="343"/>
      <c r="BH112" s="332">
        <f>SUMIFS(BASE_EX!$J:$J,BASE_EX!$B:$B,'Direct Charge'!$A112,BASE_EX!$C:$C,"outubro")</f>
        <v>0</v>
      </c>
      <c r="BI112" s="373"/>
      <c r="BJ112" s="372"/>
      <c r="BK112" s="343"/>
      <c r="BL112" s="332">
        <f>SUMIFS(BASE_EX!$J:$J,BASE_EX!$B:$B,'Direct Charge'!$A112,BASE_EX!$C:$C,"novembro")</f>
        <v>0</v>
      </c>
      <c r="BM112" s="373"/>
      <c r="BN112" s="372"/>
      <c r="BO112" s="343"/>
      <c r="BP112" s="332">
        <f>SUMIFS(BASE_EX!$J:$J,BASE_EX!$B:$B,'Direct Charge'!$A112,BASE_EX!$C:$C,"dezembro")</f>
        <v>0</v>
      </c>
      <c r="BQ112" s="373"/>
      <c r="BR112" s="452"/>
      <c r="BS112" s="156">
        <f t="shared" si="23"/>
        <v>0</v>
      </c>
      <c r="BT112" s="320">
        <f t="shared" si="24"/>
        <v>0</v>
      </c>
      <c r="BU112" s="157" t="e">
        <f>SUM(L112,M112,N112,O112,U112)-#REF!</f>
        <v>#REF!</v>
      </c>
      <c r="BV112" s="346">
        <f t="shared" si="25"/>
        <v>0</v>
      </c>
      <c r="BW112" s="344" t="str">
        <f>IFERROR(VLOOKUP($A112,'BASE_558 EX'!$D:$R,8,FALSE),"")</f>
        <v xml:space="preserve">            9.800,00</v>
      </c>
      <c r="BX112" s="344" t="str">
        <f>IFERROR(VLOOKUP($A112,'BASE_558 EX'!$D:$R,9,FALSE),"")</f>
        <v xml:space="preserve">            3.558,67</v>
      </c>
      <c r="BY112" s="344" t="str">
        <f>IFERROR(VLOOKUP($A112,'BASE_558 EX'!$D:$R,10,FALSE),"")</f>
        <v xml:space="preserve">                0,00</v>
      </c>
      <c r="BZ112" s="344" t="str">
        <f>IFERROR(VLOOKUP($A112,'BASE_558 EX'!$D:$R,11,FALSE),"")</f>
        <v xml:space="preserve">                0,00</v>
      </c>
      <c r="CA112" s="344">
        <f>IFERROR(IF(BASE_558!$P$14="RemOrdPla",(VLOOKUP(A112,BASE_558!D:R,14)/1000),(VLOOKUP(A112,BASE_558!D:R,13)/1000)),"")</f>
        <v>0</v>
      </c>
      <c r="CB112" s="344" t="str">
        <f>IFERROR(VLOOKUP($A112,'BASE_558 EX'!$D:$R,15,FALSE),"")</f>
        <v xml:space="preserve">            6.241,33</v>
      </c>
      <c r="CC112" s="442"/>
      <c r="CD112" s="442">
        <f t="shared" si="26"/>
        <v>0</v>
      </c>
    </row>
    <row r="113" spans="1:82" s="23" customFormat="1" ht="25.4" customHeight="1">
      <c r="A113" s="309" t="s">
        <v>812</v>
      </c>
      <c r="B113" s="309" t="s">
        <v>1883</v>
      </c>
      <c r="C113" s="187">
        <v>44295</v>
      </c>
      <c r="D113" s="309" t="s">
        <v>474</v>
      </c>
      <c r="E113" s="309" t="s">
        <v>2259</v>
      </c>
      <c r="F113" s="309" t="s">
        <v>176</v>
      </c>
      <c r="G113" s="340" t="s">
        <v>728</v>
      </c>
      <c r="H113" s="339" t="s">
        <v>614</v>
      </c>
      <c r="I113" s="6" t="s">
        <v>463</v>
      </c>
      <c r="J113" s="83" t="s">
        <v>219</v>
      </c>
      <c r="K113" s="10"/>
      <c r="L113" s="206"/>
      <c r="M113" s="206">
        <v>246.78</v>
      </c>
      <c r="N113" s="206">
        <v>0</v>
      </c>
      <c r="O113" s="206">
        <v>0</v>
      </c>
      <c r="P113" s="206"/>
      <c r="Q113" s="206">
        <f t="shared" si="21"/>
        <v>0</v>
      </c>
      <c r="R113" s="206"/>
      <c r="S113" s="206"/>
      <c r="T113" s="223"/>
      <c r="U113" s="169">
        <f t="shared" si="22"/>
        <v>0</v>
      </c>
      <c r="V113" s="372">
        <v>0</v>
      </c>
      <c r="W113" s="343"/>
      <c r="X113" s="332">
        <f>SUMIFS(BASE_EX!$J:$J,BASE_EX!$B:$B,'Direct Charge'!$A113,BASE_EX!$C:$C,"janeiro")</f>
        <v>0</v>
      </c>
      <c r="Y113" s="373"/>
      <c r="Z113" s="372">
        <v>0</v>
      </c>
      <c r="AA113" s="343"/>
      <c r="AB113" s="332">
        <f>SUMIFS(BASE_EX!$J:$J,BASE_EX!$B:$B,'Direct Charge'!$A113,BASE_EX!$C:$C,"fevereiro")</f>
        <v>0</v>
      </c>
      <c r="AC113" s="373"/>
      <c r="AD113" s="372"/>
      <c r="AE113" s="343"/>
      <c r="AF113" s="332">
        <f>SUMIFS(BASE_EX!$J:$J,BASE_EX!$B:$B,'Direct Charge'!$A113,BASE_EX!$C:$C,"março")</f>
        <v>0</v>
      </c>
      <c r="AG113" s="373"/>
      <c r="AH113" s="372"/>
      <c r="AI113" s="343"/>
      <c r="AJ113" s="332">
        <f>SUMIFS(BASE_EX!$J:$J,BASE_EX!$B:$B,'Direct Charge'!$A113,BASE_EX!$C:$C,"abril")</f>
        <v>0</v>
      </c>
      <c r="AK113" s="373"/>
      <c r="AL113" s="372"/>
      <c r="AM113" s="343"/>
      <c r="AN113" s="332">
        <f>SUMIFS(BASE_EX!$J:$J,BASE_EX!$B:$B,'Direct Charge'!$A113,BASE_EX!$C:$C,"maio")</f>
        <v>0</v>
      </c>
      <c r="AO113" s="373"/>
      <c r="AP113" s="372"/>
      <c r="AQ113" s="343"/>
      <c r="AR113" s="332">
        <f>SUMIFS(BASE_EX!$J:$J,BASE_EX!$B:$B,'Direct Charge'!$A113,BASE_EX!$C:$C,"junho")</f>
        <v>0</v>
      </c>
      <c r="AS113" s="373"/>
      <c r="AT113" s="372"/>
      <c r="AU113" s="343"/>
      <c r="AV113" s="332">
        <f>SUMIFS(BASE_EX!$J:$J,BASE_EX!$B:$B,'Direct Charge'!$A113,BASE_EX!$C:$C,"julho")</f>
        <v>0</v>
      </c>
      <c r="AW113" s="373"/>
      <c r="AX113" s="372"/>
      <c r="AY113" s="343"/>
      <c r="AZ113" s="332">
        <f>SUMIFS(BASE_EX!$J:$J,BASE_EX!$B:$B,'Direct Charge'!$A113,BASE_EX!$C:$C,"agosto")</f>
        <v>0</v>
      </c>
      <c r="BA113" s="373"/>
      <c r="BB113" s="372"/>
      <c r="BC113" s="343"/>
      <c r="BD113" s="332">
        <f>SUMIFS(BASE_EX!$J:$J,BASE_EX!$B:$B,'Direct Charge'!$A113,BASE_EX!$C:$C,"setembro")</f>
        <v>0</v>
      </c>
      <c r="BE113" s="373"/>
      <c r="BF113" s="372"/>
      <c r="BG113" s="343"/>
      <c r="BH113" s="332">
        <f>SUMIFS(BASE_EX!$J:$J,BASE_EX!$B:$B,'Direct Charge'!$A113,BASE_EX!$C:$C,"outubro")</f>
        <v>0</v>
      </c>
      <c r="BI113" s="373"/>
      <c r="BJ113" s="372"/>
      <c r="BK113" s="343"/>
      <c r="BL113" s="332">
        <f>SUMIFS(BASE_EX!$J:$J,BASE_EX!$B:$B,'Direct Charge'!$A113,BASE_EX!$C:$C,"novembro")</f>
        <v>0</v>
      </c>
      <c r="BM113" s="373"/>
      <c r="BN113" s="372"/>
      <c r="BO113" s="343"/>
      <c r="BP113" s="332">
        <f>SUMIFS(BASE_EX!$J:$J,BASE_EX!$B:$B,'Direct Charge'!$A113,BASE_EX!$C:$C,"dezembro")</f>
        <v>0</v>
      </c>
      <c r="BQ113" s="373"/>
      <c r="BR113" s="452">
        <v>8000</v>
      </c>
      <c r="BS113" s="156">
        <f t="shared" si="23"/>
        <v>0</v>
      </c>
      <c r="BT113" s="320">
        <f t="shared" si="24"/>
        <v>0</v>
      </c>
      <c r="BU113" s="157" t="e">
        <f>SUM(L113,M113,N113,O113,U113)-#REF!</f>
        <v>#REF!</v>
      </c>
      <c r="BV113" s="346">
        <f t="shared" si="25"/>
        <v>0</v>
      </c>
      <c r="BW113" s="344" t="str">
        <f>IFERROR(VLOOKUP($A113,'BASE_558 EX'!$D:$R,8,FALSE),"")</f>
        <v xml:space="preserve">           13.207,55</v>
      </c>
      <c r="BX113" s="344" t="str">
        <f>IFERROR(VLOOKUP($A113,'BASE_558 EX'!$D:$R,9,FALSE),"")</f>
        <v xml:space="preserve">              246,78</v>
      </c>
      <c r="BY113" s="344" t="str">
        <f>IFERROR(VLOOKUP($A113,'BASE_558 EX'!$D:$R,10,FALSE),"")</f>
        <v xml:space="preserve">                0,00</v>
      </c>
      <c r="BZ113" s="344" t="str">
        <f>IFERROR(VLOOKUP($A113,'BASE_558 EX'!$D:$R,11,FALSE),"")</f>
        <v xml:space="preserve">                0,00</v>
      </c>
      <c r="CA113" s="344">
        <f>IFERROR(IF(BASE_558!$P$14="RemOrdPla",(VLOOKUP(A113,BASE_558!D:R,14)/1000),(VLOOKUP(A113,BASE_558!D:R,13)/1000)),"")</f>
        <v>337.03510999999997</v>
      </c>
      <c r="CB113" s="344" t="str">
        <f>IFERROR(VLOOKUP($A113,'BASE_558 EX'!$D:$R,15,FALSE),"")</f>
        <v xml:space="preserve">           12.960,77</v>
      </c>
      <c r="CC113" s="442"/>
      <c r="CD113" s="442">
        <f t="shared" si="26"/>
        <v>0</v>
      </c>
    </row>
    <row r="114" spans="1:82" s="23" customFormat="1" ht="25.4" customHeight="1">
      <c r="A114" s="309" t="s">
        <v>854</v>
      </c>
      <c r="B114" s="309" t="s">
        <v>1878</v>
      </c>
      <c r="C114" s="187"/>
      <c r="D114" s="309" t="s">
        <v>479</v>
      </c>
      <c r="E114" s="310" t="s">
        <v>2186</v>
      </c>
      <c r="F114" s="309" t="s">
        <v>176</v>
      </c>
      <c r="G114" s="340" t="s">
        <v>6760</v>
      </c>
      <c r="H114" s="339" t="s">
        <v>614</v>
      </c>
      <c r="I114" s="6" t="s">
        <v>463</v>
      </c>
      <c r="J114" s="83" t="s">
        <v>219</v>
      </c>
      <c r="K114" s="7" t="s">
        <v>6764</v>
      </c>
      <c r="L114" s="206"/>
      <c r="M114" s="206">
        <v>14680.91</v>
      </c>
      <c r="N114" s="206">
        <v>18314.28</v>
      </c>
      <c r="O114" s="206">
        <v>5272.67</v>
      </c>
      <c r="P114" s="206"/>
      <c r="Q114" s="206">
        <f t="shared" si="21"/>
        <v>0</v>
      </c>
      <c r="R114" s="206"/>
      <c r="S114" s="206"/>
      <c r="T114" s="223"/>
      <c r="U114" s="169">
        <f t="shared" si="22"/>
        <v>0</v>
      </c>
      <c r="V114" s="372">
        <v>0</v>
      </c>
      <c r="W114" s="343"/>
      <c r="X114" s="332">
        <f>SUMIFS(BASE_EX!$J:$J,BASE_EX!$B:$B,'Direct Charge'!$A114,BASE_EX!$C:$C,"janeiro")</f>
        <v>0</v>
      </c>
      <c r="Y114" s="373"/>
      <c r="Z114" s="372">
        <v>0</v>
      </c>
      <c r="AA114" s="343"/>
      <c r="AB114" s="332">
        <f>SUMIFS(BASE_EX!$J:$J,BASE_EX!$B:$B,'Direct Charge'!$A114,BASE_EX!$C:$C,"fevereiro")</f>
        <v>0</v>
      </c>
      <c r="AC114" s="373"/>
      <c r="AD114" s="372"/>
      <c r="AE114" s="343"/>
      <c r="AF114" s="332">
        <f>SUMIFS(BASE_EX!$J:$J,BASE_EX!$B:$B,'Direct Charge'!$A114,BASE_EX!$C:$C,"março")</f>
        <v>0</v>
      </c>
      <c r="AG114" s="373"/>
      <c r="AH114" s="372"/>
      <c r="AI114" s="343"/>
      <c r="AJ114" s="332">
        <f>SUMIFS(BASE_EX!$J:$J,BASE_EX!$B:$B,'Direct Charge'!$A114,BASE_EX!$C:$C,"abril")</f>
        <v>0</v>
      </c>
      <c r="AK114" s="373"/>
      <c r="AL114" s="372"/>
      <c r="AM114" s="343"/>
      <c r="AN114" s="332">
        <f>SUMIFS(BASE_EX!$J:$J,BASE_EX!$B:$B,'Direct Charge'!$A114,BASE_EX!$C:$C,"maio")</f>
        <v>0</v>
      </c>
      <c r="AO114" s="373"/>
      <c r="AP114" s="372"/>
      <c r="AQ114" s="343"/>
      <c r="AR114" s="332">
        <f>SUMIFS(BASE_EX!$J:$J,BASE_EX!$B:$B,'Direct Charge'!$A114,BASE_EX!$C:$C,"junho")</f>
        <v>0</v>
      </c>
      <c r="AS114" s="373"/>
      <c r="AT114" s="372"/>
      <c r="AU114" s="343"/>
      <c r="AV114" s="332">
        <f>SUMIFS(BASE_EX!$J:$J,BASE_EX!$B:$B,'Direct Charge'!$A114,BASE_EX!$C:$C,"julho")</f>
        <v>0</v>
      </c>
      <c r="AW114" s="373"/>
      <c r="AX114" s="372"/>
      <c r="AY114" s="343"/>
      <c r="AZ114" s="332">
        <f>SUMIFS(BASE_EX!$J:$J,BASE_EX!$B:$B,'Direct Charge'!$A114,BASE_EX!$C:$C,"agosto")</f>
        <v>0</v>
      </c>
      <c r="BA114" s="373"/>
      <c r="BB114" s="372"/>
      <c r="BC114" s="343"/>
      <c r="BD114" s="332">
        <f>SUMIFS(BASE_EX!$J:$J,BASE_EX!$B:$B,'Direct Charge'!$A114,BASE_EX!$C:$C,"setembro")</f>
        <v>0</v>
      </c>
      <c r="BE114" s="373"/>
      <c r="BF114" s="372"/>
      <c r="BG114" s="343"/>
      <c r="BH114" s="332">
        <f>SUMIFS(BASE_EX!$J:$J,BASE_EX!$B:$B,'Direct Charge'!$A114,BASE_EX!$C:$C,"outubro")</f>
        <v>0</v>
      </c>
      <c r="BI114" s="373"/>
      <c r="BJ114" s="372"/>
      <c r="BK114" s="343"/>
      <c r="BL114" s="332">
        <f>SUMIFS(BASE_EX!$J:$J,BASE_EX!$B:$B,'Direct Charge'!$A114,BASE_EX!$C:$C,"novembro")</f>
        <v>0</v>
      </c>
      <c r="BM114" s="373"/>
      <c r="BN114" s="372"/>
      <c r="BO114" s="343"/>
      <c r="BP114" s="332">
        <f>SUMIFS(BASE_EX!$J:$J,BASE_EX!$B:$B,'Direct Charge'!$A114,BASE_EX!$C:$C,"dezembro")</f>
        <v>0</v>
      </c>
      <c r="BQ114" s="373"/>
      <c r="BR114" s="452"/>
      <c r="BS114" s="156">
        <f t="shared" si="23"/>
        <v>0</v>
      </c>
      <c r="BT114" s="320">
        <f t="shared" si="24"/>
        <v>0</v>
      </c>
      <c r="BU114" s="157" t="e">
        <f>SUM(L114,M114,N114,O114,U114)-#REF!</f>
        <v>#REF!</v>
      </c>
      <c r="BV114" s="346">
        <f t="shared" si="25"/>
        <v>0</v>
      </c>
      <c r="BW114" s="344" t="str">
        <f>IFERROR(VLOOKUP($A114,'BASE_558 EX'!$D:$R,8,FALSE),"")</f>
        <v xml:space="preserve">           64.500,00</v>
      </c>
      <c r="BX114" s="344" t="str">
        <f>IFERROR(VLOOKUP($A114,'BASE_558 EX'!$D:$R,9,FALSE),"")</f>
        <v xml:space="preserve">           38.267,86</v>
      </c>
      <c r="BY114" s="344" t="str">
        <f>IFERROR(VLOOKUP($A114,'BASE_558 EX'!$D:$R,10,FALSE),"")</f>
        <v xml:space="preserve">                0,00</v>
      </c>
      <c r="BZ114" s="344" t="str">
        <f>IFERROR(VLOOKUP($A114,'BASE_558 EX'!$D:$R,11,FALSE),"")</f>
        <v xml:space="preserve">                0,00</v>
      </c>
      <c r="CA114" s="344">
        <f>IFERROR(IF(BASE_558!$P$14="RemOrdPla",(VLOOKUP(A114,BASE_558!D:R,14)/1000),(VLOOKUP(A114,BASE_558!D:R,13)/1000)),"")</f>
        <v>962.33152000000007</v>
      </c>
      <c r="CB114" s="344" t="str">
        <f>IFERROR(VLOOKUP($A114,'BASE_558 EX'!$D:$R,15,FALSE),"")</f>
        <v xml:space="preserve">           26.232,14</v>
      </c>
      <c r="CC114" s="442"/>
      <c r="CD114" s="442">
        <f t="shared" si="26"/>
        <v>0</v>
      </c>
    </row>
    <row r="115" spans="1:82" s="23" customFormat="1" ht="25.4" customHeight="1">
      <c r="A115" s="309" t="s">
        <v>723</v>
      </c>
      <c r="B115" s="309" t="s">
        <v>1874</v>
      </c>
      <c r="C115" s="187">
        <v>44227</v>
      </c>
      <c r="D115" s="309" t="s">
        <v>2865</v>
      </c>
      <c r="E115" s="309" t="s">
        <v>481</v>
      </c>
      <c r="F115" s="309" t="s">
        <v>178</v>
      </c>
      <c r="G115" s="340" t="s">
        <v>722</v>
      </c>
      <c r="H115" s="339" t="s">
        <v>614</v>
      </c>
      <c r="I115" s="6" t="s">
        <v>218</v>
      </c>
      <c r="J115" s="83" t="s">
        <v>462</v>
      </c>
      <c r="K115" s="7" t="s">
        <v>1600</v>
      </c>
      <c r="L115" s="206"/>
      <c r="M115" s="206">
        <v>143474.47999999998</v>
      </c>
      <c r="N115" s="206">
        <v>0</v>
      </c>
      <c r="O115" s="206">
        <v>0</v>
      </c>
      <c r="P115" s="206"/>
      <c r="Q115" s="206">
        <f t="shared" si="21"/>
        <v>0</v>
      </c>
      <c r="R115" s="206"/>
      <c r="S115" s="206"/>
      <c r="T115" s="223"/>
      <c r="U115" s="169">
        <f t="shared" si="22"/>
        <v>0</v>
      </c>
      <c r="V115" s="372">
        <v>0</v>
      </c>
      <c r="W115" s="343"/>
      <c r="X115" s="332">
        <f>SUMIFS(BASE_EX!$J:$J,BASE_EX!$B:$B,'Direct Charge'!$A115,BASE_EX!$C:$C,"janeiro")</f>
        <v>0</v>
      </c>
      <c r="Y115" s="373"/>
      <c r="Z115" s="372">
        <v>0</v>
      </c>
      <c r="AA115" s="343"/>
      <c r="AB115" s="332">
        <f>SUMIFS(BASE_EX!$J:$J,BASE_EX!$B:$B,'Direct Charge'!$A115,BASE_EX!$C:$C,"fevereiro")</f>
        <v>0</v>
      </c>
      <c r="AC115" s="373"/>
      <c r="AD115" s="372"/>
      <c r="AE115" s="343"/>
      <c r="AF115" s="332">
        <f>SUMIFS(BASE_EX!$J:$J,BASE_EX!$B:$B,'Direct Charge'!$A115,BASE_EX!$C:$C,"março")</f>
        <v>0</v>
      </c>
      <c r="AG115" s="373"/>
      <c r="AH115" s="372"/>
      <c r="AI115" s="343"/>
      <c r="AJ115" s="332">
        <f>SUMIFS(BASE_EX!$J:$J,BASE_EX!$B:$B,'Direct Charge'!$A115,BASE_EX!$C:$C,"abril")</f>
        <v>0</v>
      </c>
      <c r="AK115" s="373"/>
      <c r="AL115" s="372"/>
      <c r="AM115" s="343"/>
      <c r="AN115" s="332">
        <f>SUMIFS(BASE_EX!$J:$J,BASE_EX!$B:$B,'Direct Charge'!$A115,BASE_EX!$C:$C,"maio")</f>
        <v>0</v>
      </c>
      <c r="AO115" s="373"/>
      <c r="AP115" s="372"/>
      <c r="AQ115" s="343"/>
      <c r="AR115" s="332">
        <f>SUMIFS(BASE_EX!$J:$J,BASE_EX!$B:$B,'Direct Charge'!$A115,BASE_EX!$C:$C,"junho")</f>
        <v>0</v>
      </c>
      <c r="AS115" s="373"/>
      <c r="AT115" s="372"/>
      <c r="AU115" s="343"/>
      <c r="AV115" s="332">
        <f>SUMIFS(BASE_EX!$J:$J,BASE_EX!$B:$B,'Direct Charge'!$A115,BASE_EX!$C:$C,"julho")</f>
        <v>0</v>
      </c>
      <c r="AW115" s="373"/>
      <c r="AX115" s="372"/>
      <c r="AY115" s="343"/>
      <c r="AZ115" s="332">
        <f>SUMIFS(BASE_EX!$J:$J,BASE_EX!$B:$B,'Direct Charge'!$A115,BASE_EX!$C:$C,"agosto")</f>
        <v>0</v>
      </c>
      <c r="BA115" s="373"/>
      <c r="BB115" s="372"/>
      <c r="BC115" s="343"/>
      <c r="BD115" s="332">
        <f>SUMIFS(BASE_EX!$J:$J,BASE_EX!$B:$B,'Direct Charge'!$A115,BASE_EX!$C:$C,"setembro")</f>
        <v>0</v>
      </c>
      <c r="BE115" s="373"/>
      <c r="BF115" s="372"/>
      <c r="BG115" s="343"/>
      <c r="BH115" s="332">
        <f>SUMIFS(BASE_EX!$J:$J,BASE_EX!$B:$B,'Direct Charge'!$A115,BASE_EX!$C:$C,"outubro")</f>
        <v>0</v>
      </c>
      <c r="BI115" s="373"/>
      <c r="BJ115" s="372"/>
      <c r="BK115" s="343"/>
      <c r="BL115" s="332">
        <f>SUMIFS(BASE_EX!$J:$J,BASE_EX!$B:$B,'Direct Charge'!$A115,BASE_EX!$C:$C,"novembro")</f>
        <v>0</v>
      </c>
      <c r="BM115" s="373"/>
      <c r="BN115" s="372"/>
      <c r="BO115" s="343"/>
      <c r="BP115" s="332">
        <f>SUMIFS(BASE_EX!$J:$J,BASE_EX!$B:$B,'Direct Charge'!$A115,BASE_EX!$C:$C,"dezembro")</f>
        <v>0</v>
      </c>
      <c r="BQ115" s="373"/>
      <c r="BR115" s="452"/>
      <c r="BS115" s="156">
        <f t="shared" si="23"/>
        <v>0</v>
      </c>
      <c r="BT115" s="320">
        <f t="shared" si="24"/>
        <v>0</v>
      </c>
      <c r="BU115" s="157" t="e">
        <f>SUM(L115,M115,N115,O115,U115)-#REF!</f>
        <v>#REF!</v>
      </c>
      <c r="BV115" s="346">
        <f t="shared" si="25"/>
        <v>0</v>
      </c>
      <c r="BW115" s="344" t="str">
        <f>IFERROR(VLOOKUP($A115,'BASE_558 EX'!$D:$R,8,FALSE),"")</f>
        <v xml:space="preserve">          551.635,00</v>
      </c>
      <c r="BX115" s="344" t="str">
        <f>IFERROR(VLOOKUP($A115,'BASE_558 EX'!$D:$R,9,FALSE),"")</f>
        <v xml:space="preserve">          143.474,48</v>
      </c>
      <c r="BY115" s="344" t="str">
        <f>IFERROR(VLOOKUP($A115,'BASE_558 EX'!$D:$R,10,FALSE),"")</f>
        <v xml:space="preserve">                0,00</v>
      </c>
      <c r="BZ115" s="344" t="str">
        <f>IFERROR(VLOOKUP($A115,'BASE_558 EX'!$D:$R,11,FALSE),"")</f>
        <v xml:space="preserve">                0,00</v>
      </c>
      <c r="CA115" s="344">
        <f>IFERROR(IF(BASE_558!$P$14="RemOrdPla",(VLOOKUP(A115,BASE_558!D:R,14)/1000),(VLOOKUP(A115,BASE_558!D:R,13)/1000)),"")</f>
        <v>587.59379000000001</v>
      </c>
      <c r="CB115" s="344" t="str">
        <f>IFERROR(VLOOKUP($A115,'BASE_558 EX'!$D:$R,15,FALSE),"")</f>
        <v xml:space="preserve">          408.160,52</v>
      </c>
      <c r="CC115" s="442"/>
      <c r="CD115" s="442">
        <f t="shared" si="26"/>
        <v>0</v>
      </c>
    </row>
    <row r="116" spans="1:82" s="23" customFormat="1" ht="25.4" customHeight="1">
      <c r="A116" s="309" t="s">
        <v>757</v>
      </c>
      <c r="B116" s="309" t="s">
        <v>1879</v>
      </c>
      <c r="C116" s="187">
        <v>44266</v>
      </c>
      <c r="D116" s="309" t="s">
        <v>946</v>
      </c>
      <c r="E116" s="309" t="s">
        <v>946</v>
      </c>
      <c r="F116" s="309" t="s">
        <v>176</v>
      </c>
      <c r="G116" s="340" t="s">
        <v>3254</v>
      </c>
      <c r="H116" s="340" t="s">
        <v>614</v>
      </c>
      <c r="I116" s="6" t="s">
        <v>218</v>
      </c>
      <c r="J116" s="83" t="s">
        <v>462</v>
      </c>
      <c r="K116" s="7" t="s">
        <v>1600</v>
      </c>
      <c r="L116" s="206"/>
      <c r="M116" s="206">
        <v>0</v>
      </c>
      <c r="N116" s="206">
        <v>0</v>
      </c>
      <c r="O116" s="206">
        <v>0</v>
      </c>
      <c r="P116" s="206"/>
      <c r="Q116" s="206">
        <f t="shared" si="21"/>
        <v>0</v>
      </c>
      <c r="R116" s="206"/>
      <c r="S116" s="206"/>
      <c r="T116" s="223"/>
      <c r="U116" s="169">
        <f t="shared" si="22"/>
        <v>0</v>
      </c>
      <c r="V116" s="372">
        <v>0</v>
      </c>
      <c r="W116" s="343"/>
      <c r="X116" s="332">
        <f>SUMIFS(BASE_EX!$J:$J,BASE_EX!$B:$B,'Direct Charge'!$A116,BASE_EX!$C:$C,"janeiro")</f>
        <v>0</v>
      </c>
      <c r="Y116" s="373"/>
      <c r="Z116" s="372">
        <v>0</v>
      </c>
      <c r="AA116" s="343"/>
      <c r="AB116" s="332">
        <f>SUMIFS(BASE_EX!$J:$J,BASE_EX!$B:$B,'Direct Charge'!$A116,BASE_EX!$C:$C,"fevereiro")</f>
        <v>0</v>
      </c>
      <c r="AC116" s="373"/>
      <c r="AD116" s="372"/>
      <c r="AE116" s="343"/>
      <c r="AF116" s="332">
        <f>SUMIFS(BASE_EX!$J:$J,BASE_EX!$B:$B,'Direct Charge'!$A116,BASE_EX!$C:$C,"março")</f>
        <v>0</v>
      </c>
      <c r="AG116" s="373"/>
      <c r="AH116" s="372"/>
      <c r="AI116" s="343"/>
      <c r="AJ116" s="332">
        <f>SUMIFS(BASE_EX!$J:$J,BASE_EX!$B:$B,'Direct Charge'!$A116,BASE_EX!$C:$C,"abril")</f>
        <v>0</v>
      </c>
      <c r="AK116" s="373"/>
      <c r="AL116" s="372"/>
      <c r="AM116" s="343"/>
      <c r="AN116" s="332">
        <f>SUMIFS(BASE_EX!$J:$J,BASE_EX!$B:$B,'Direct Charge'!$A116,BASE_EX!$C:$C,"maio")</f>
        <v>0</v>
      </c>
      <c r="AO116" s="373"/>
      <c r="AP116" s="372"/>
      <c r="AQ116" s="343"/>
      <c r="AR116" s="332">
        <f>SUMIFS(BASE_EX!$J:$J,BASE_EX!$B:$B,'Direct Charge'!$A116,BASE_EX!$C:$C,"junho")</f>
        <v>0</v>
      </c>
      <c r="AS116" s="373"/>
      <c r="AT116" s="372"/>
      <c r="AU116" s="343"/>
      <c r="AV116" s="332">
        <f>SUMIFS(BASE_EX!$J:$J,BASE_EX!$B:$B,'Direct Charge'!$A116,BASE_EX!$C:$C,"julho")</f>
        <v>0</v>
      </c>
      <c r="AW116" s="373"/>
      <c r="AX116" s="372"/>
      <c r="AY116" s="343"/>
      <c r="AZ116" s="332">
        <f>SUMIFS(BASE_EX!$J:$J,BASE_EX!$B:$B,'Direct Charge'!$A116,BASE_EX!$C:$C,"agosto")</f>
        <v>0</v>
      </c>
      <c r="BA116" s="373"/>
      <c r="BB116" s="372"/>
      <c r="BC116" s="343"/>
      <c r="BD116" s="332">
        <f>SUMIFS(BASE_EX!$J:$J,BASE_EX!$B:$B,'Direct Charge'!$A116,BASE_EX!$C:$C,"setembro")</f>
        <v>0</v>
      </c>
      <c r="BE116" s="373"/>
      <c r="BF116" s="372"/>
      <c r="BG116" s="343"/>
      <c r="BH116" s="332">
        <f>SUMIFS(BASE_EX!$J:$J,BASE_EX!$B:$B,'Direct Charge'!$A116,BASE_EX!$C:$C,"outubro")</f>
        <v>0</v>
      </c>
      <c r="BI116" s="373"/>
      <c r="BJ116" s="372"/>
      <c r="BK116" s="343"/>
      <c r="BL116" s="332">
        <f>SUMIFS(BASE_EX!$J:$J,BASE_EX!$B:$B,'Direct Charge'!$A116,BASE_EX!$C:$C,"novembro")</f>
        <v>0</v>
      </c>
      <c r="BM116" s="373"/>
      <c r="BN116" s="372"/>
      <c r="BO116" s="343"/>
      <c r="BP116" s="332">
        <f>SUMIFS(BASE_EX!$J:$J,BASE_EX!$B:$B,'Direct Charge'!$A116,BASE_EX!$C:$C,"dezembro")</f>
        <v>0</v>
      </c>
      <c r="BQ116" s="373"/>
      <c r="BR116" s="452"/>
      <c r="BS116" s="156">
        <f t="shared" si="23"/>
        <v>0</v>
      </c>
      <c r="BT116" s="320">
        <f t="shared" si="24"/>
        <v>0</v>
      </c>
      <c r="BU116" s="157" t="e">
        <f>SUM(L116,M116,N116,O116,U116)-#REF!</f>
        <v>#REF!</v>
      </c>
      <c r="BV116" s="346">
        <f t="shared" si="25"/>
        <v>0</v>
      </c>
      <c r="BW116" s="344" t="str">
        <f>IFERROR(VLOOKUP($A116,'BASE_558 EX'!$D:$R,8,FALSE),"")</f>
        <v xml:space="preserve">            8.500,00</v>
      </c>
      <c r="BX116" s="344" t="str">
        <f>IFERROR(VLOOKUP($A116,'BASE_558 EX'!$D:$R,9,FALSE),"")</f>
        <v xml:space="preserve">                0,00</v>
      </c>
      <c r="BY116" s="344" t="str">
        <f>IFERROR(VLOOKUP($A116,'BASE_558 EX'!$D:$R,10,FALSE),"")</f>
        <v xml:space="preserve">                0,00</v>
      </c>
      <c r="BZ116" s="344" t="str">
        <f>IFERROR(VLOOKUP($A116,'BASE_558 EX'!$D:$R,11,FALSE),"")</f>
        <v xml:space="preserve">                0,00</v>
      </c>
      <c r="CA116" s="344">
        <f>IFERROR(IF(BASE_558!$P$14="RemOrdPla",(VLOOKUP(A116,BASE_558!D:R,14)/1000),(VLOOKUP(A116,BASE_558!D:R,13)/1000)),"")</f>
        <v>204.56872000000001</v>
      </c>
      <c r="CB116" s="344" t="str">
        <f>IFERROR(VLOOKUP($A116,'BASE_558 EX'!$D:$R,15,FALSE),"")</f>
        <v xml:space="preserve">            8.500,00</v>
      </c>
      <c r="CC116" s="442"/>
      <c r="CD116" s="442">
        <f t="shared" si="26"/>
        <v>0</v>
      </c>
    </row>
    <row r="117" spans="1:82" s="23" customFormat="1" ht="25.4" customHeight="1">
      <c r="A117" s="309" t="s">
        <v>800</v>
      </c>
      <c r="B117" s="309" t="s">
        <v>1884</v>
      </c>
      <c r="C117" s="187">
        <v>44286</v>
      </c>
      <c r="D117" s="309" t="s">
        <v>474</v>
      </c>
      <c r="E117" s="310" t="s">
        <v>2259</v>
      </c>
      <c r="F117" s="309" t="s">
        <v>176</v>
      </c>
      <c r="G117" s="340" t="s">
        <v>737</v>
      </c>
      <c r="H117" s="339" t="s">
        <v>614</v>
      </c>
      <c r="I117" s="6" t="s">
        <v>463</v>
      </c>
      <c r="J117" s="83" t="s">
        <v>219</v>
      </c>
      <c r="K117" s="7" t="s">
        <v>7152</v>
      </c>
      <c r="L117" s="206"/>
      <c r="M117" s="206">
        <v>9379.3700000000008</v>
      </c>
      <c r="N117" s="206">
        <v>-479.42</v>
      </c>
      <c r="O117" s="206">
        <v>0</v>
      </c>
      <c r="P117" s="206"/>
      <c r="Q117" s="206">
        <f t="shared" si="21"/>
        <v>0</v>
      </c>
      <c r="R117" s="206"/>
      <c r="S117" s="206"/>
      <c r="T117" s="223"/>
      <c r="U117" s="169">
        <f t="shared" si="22"/>
        <v>0</v>
      </c>
      <c r="V117" s="372">
        <v>0</v>
      </c>
      <c r="W117" s="343"/>
      <c r="X117" s="332">
        <f>SUMIFS(BASE_EX!$J:$J,BASE_EX!$B:$B,'Direct Charge'!$A117,BASE_EX!$C:$C,"janeiro")</f>
        <v>0</v>
      </c>
      <c r="Y117" s="373"/>
      <c r="Z117" s="372">
        <v>0</v>
      </c>
      <c r="AA117" s="343"/>
      <c r="AB117" s="332">
        <f>SUMIFS(BASE_EX!$J:$J,BASE_EX!$B:$B,'Direct Charge'!$A117,BASE_EX!$C:$C,"fevereiro")</f>
        <v>0</v>
      </c>
      <c r="AC117" s="373"/>
      <c r="AD117" s="372"/>
      <c r="AE117" s="343"/>
      <c r="AF117" s="332">
        <f>SUMIFS(BASE_EX!$J:$J,BASE_EX!$B:$B,'Direct Charge'!$A117,BASE_EX!$C:$C,"março")</f>
        <v>0</v>
      </c>
      <c r="AG117" s="373"/>
      <c r="AH117" s="372"/>
      <c r="AI117" s="343"/>
      <c r="AJ117" s="332">
        <f>SUMIFS(BASE_EX!$J:$J,BASE_EX!$B:$B,'Direct Charge'!$A117,BASE_EX!$C:$C,"abril")</f>
        <v>0</v>
      </c>
      <c r="AK117" s="373"/>
      <c r="AL117" s="372"/>
      <c r="AM117" s="343"/>
      <c r="AN117" s="332">
        <f>SUMIFS(BASE_EX!$J:$J,BASE_EX!$B:$B,'Direct Charge'!$A117,BASE_EX!$C:$C,"maio")</f>
        <v>0</v>
      </c>
      <c r="AO117" s="373"/>
      <c r="AP117" s="372"/>
      <c r="AQ117" s="343"/>
      <c r="AR117" s="332">
        <f>SUMIFS(BASE_EX!$J:$J,BASE_EX!$B:$B,'Direct Charge'!$A117,BASE_EX!$C:$C,"junho")</f>
        <v>0</v>
      </c>
      <c r="AS117" s="373"/>
      <c r="AT117" s="372"/>
      <c r="AU117" s="343"/>
      <c r="AV117" s="332">
        <f>SUMIFS(BASE_EX!$J:$J,BASE_EX!$B:$B,'Direct Charge'!$A117,BASE_EX!$C:$C,"julho")</f>
        <v>0</v>
      </c>
      <c r="AW117" s="373"/>
      <c r="AX117" s="372"/>
      <c r="AY117" s="343"/>
      <c r="AZ117" s="332">
        <f>SUMIFS(BASE_EX!$J:$J,BASE_EX!$B:$B,'Direct Charge'!$A117,BASE_EX!$C:$C,"agosto")</f>
        <v>0</v>
      </c>
      <c r="BA117" s="373"/>
      <c r="BB117" s="372"/>
      <c r="BC117" s="343"/>
      <c r="BD117" s="332">
        <f>SUMIFS(BASE_EX!$J:$J,BASE_EX!$B:$B,'Direct Charge'!$A117,BASE_EX!$C:$C,"setembro")</f>
        <v>0</v>
      </c>
      <c r="BE117" s="373"/>
      <c r="BF117" s="372"/>
      <c r="BG117" s="343"/>
      <c r="BH117" s="332">
        <f>SUMIFS(BASE_EX!$J:$J,BASE_EX!$B:$B,'Direct Charge'!$A117,BASE_EX!$C:$C,"outubro")</f>
        <v>0</v>
      </c>
      <c r="BI117" s="373"/>
      <c r="BJ117" s="372"/>
      <c r="BK117" s="343"/>
      <c r="BL117" s="332">
        <f>SUMIFS(BASE_EX!$J:$J,BASE_EX!$B:$B,'Direct Charge'!$A117,BASE_EX!$C:$C,"novembro")</f>
        <v>0</v>
      </c>
      <c r="BM117" s="373"/>
      <c r="BN117" s="372"/>
      <c r="BO117" s="343"/>
      <c r="BP117" s="332">
        <f>SUMIFS(BASE_EX!$J:$J,BASE_EX!$B:$B,'Direct Charge'!$A117,BASE_EX!$C:$C,"dezembro")</f>
        <v>0</v>
      </c>
      <c r="BQ117" s="373"/>
      <c r="BR117" s="452"/>
      <c r="BS117" s="156">
        <f t="shared" si="23"/>
        <v>0</v>
      </c>
      <c r="BT117" s="320">
        <f t="shared" si="24"/>
        <v>0</v>
      </c>
      <c r="BU117" s="157" t="e">
        <f>SUM(L117,M117,N117,O117,U117)-#REF!</f>
        <v>#REF!</v>
      </c>
      <c r="BV117" s="346">
        <f t="shared" si="25"/>
        <v>0</v>
      </c>
      <c r="BW117" s="344" t="str">
        <f>IFERROR(VLOOKUP($A117,'BASE_558 EX'!$D:$R,8,FALSE),"")</f>
        <v xml:space="preserve">           15.000,00</v>
      </c>
      <c r="BX117" s="344" t="str">
        <f>IFERROR(VLOOKUP($A117,'BASE_558 EX'!$D:$R,9,FALSE),"")</f>
        <v xml:space="preserve">            8.899,95</v>
      </c>
      <c r="BY117" s="344" t="str">
        <f>IFERROR(VLOOKUP($A117,'BASE_558 EX'!$D:$R,10,FALSE),"")</f>
        <v xml:space="preserve">                0,00</v>
      </c>
      <c r="BZ117" s="344" t="str">
        <f>IFERROR(VLOOKUP($A117,'BASE_558 EX'!$D:$R,11,FALSE),"")</f>
        <v xml:space="preserve">                0,00</v>
      </c>
      <c r="CA117" s="344">
        <f>IFERROR(IF(BASE_558!$P$14="RemOrdPla",(VLOOKUP(A117,BASE_558!D:R,14)/1000),(VLOOKUP(A117,BASE_558!D:R,13)/1000)),"")</f>
        <v>159.24534</v>
      </c>
      <c r="CB117" s="344" t="str">
        <f>IFERROR(VLOOKUP($A117,'BASE_558 EX'!$D:$R,15,FALSE),"")</f>
        <v xml:space="preserve">            6.100,05</v>
      </c>
      <c r="CC117" s="442"/>
      <c r="CD117" s="442">
        <f t="shared" si="26"/>
        <v>0</v>
      </c>
    </row>
    <row r="118" spans="1:82" s="23" customFormat="1" ht="25.4" customHeight="1">
      <c r="A118" s="309" t="s">
        <v>745</v>
      </c>
      <c r="B118" s="309" t="s">
        <v>1880</v>
      </c>
      <c r="C118" s="187">
        <v>44363</v>
      </c>
      <c r="D118" s="381" t="s">
        <v>946</v>
      </c>
      <c r="E118" s="309" t="s">
        <v>2238</v>
      </c>
      <c r="F118" s="381" t="s">
        <v>176</v>
      </c>
      <c r="G118" s="340" t="s">
        <v>744</v>
      </c>
      <c r="H118" s="339" t="s">
        <v>614</v>
      </c>
      <c r="I118" s="6" t="s">
        <v>195</v>
      </c>
      <c r="J118" s="83" t="s">
        <v>219</v>
      </c>
      <c r="K118" s="7" t="s">
        <v>2588</v>
      </c>
      <c r="L118" s="206">
        <v>0</v>
      </c>
      <c r="M118" s="206">
        <v>0</v>
      </c>
      <c r="N118" s="206">
        <v>-14.180000000000064</v>
      </c>
      <c r="O118" s="206">
        <v>1285.6600000000001</v>
      </c>
      <c r="P118" s="206">
        <v>14446.38</v>
      </c>
      <c r="Q118" s="206">
        <f t="shared" si="21"/>
        <v>0</v>
      </c>
      <c r="R118" s="206"/>
      <c r="S118" s="206"/>
      <c r="T118" s="223"/>
      <c r="U118" s="169">
        <f t="shared" si="22"/>
        <v>0</v>
      </c>
      <c r="V118" s="372">
        <v>0</v>
      </c>
      <c r="W118" s="343"/>
      <c r="X118" s="332">
        <f>SUMIFS(BASE_EX!$J:$J,BASE_EX!$B:$B,'Direct Charge'!$A118,BASE_EX!$C:$C,"janeiro")</f>
        <v>0</v>
      </c>
      <c r="Y118" s="373"/>
      <c r="Z118" s="372">
        <v>0</v>
      </c>
      <c r="AA118" s="343"/>
      <c r="AB118" s="332">
        <f>SUMIFS(BASE_EX!$J:$J,BASE_EX!$B:$B,'Direct Charge'!$A118,BASE_EX!$C:$C,"fevereiro")</f>
        <v>0</v>
      </c>
      <c r="AC118" s="373"/>
      <c r="AD118" s="372"/>
      <c r="AE118" s="343"/>
      <c r="AF118" s="332">
        <f>SUMIFS(BASE_EX!$J:$J,BASE_EX!$B:$B,'Direct Charge'!$A118,BASE_EX!$C:$C,"março")</f>
        <v>0</v>
      </c>
      <c r="AG118" s="373"/>
      <c r="AH118" s="372"/>
      <c r="AI118" s="343"/>
      <c r="AJ118" s="332">
        <f>SUMIFS(BASE_EX!$J:$J,BASE_EX!$B:$B,'Direct Charge'!$A118,BASE_EX!$C:$C,"abril")</f>
        <v>0</v>
      </c>
      <c r="AK118" s="373"/>
      <c r="AL118" s="372"/>
      <c r="AM118" s="343"/>
      <c r="AN118" s="332">
        <f>SUMIFS(BASE_EX!$J:$J,BASE_EX!$B:$B,'Direct Charge'!$A118,BASE_EX!$C:$C,"maio")</f>
        <v>0</v>
      </c>
      <c r="AO118" s="373"/>
      <c r="AP118" s="372"/>
      <c r="AQ118" s="343"/>
      <c r="AR118" s="332">
        <f>SUMIFS(BASE_EX!$J:$J,BASE_EX!$B:$B,'Direct Charge'!$A118,BASE_EX!$C:$C,"junho")</f>
        <v>0</v>
      </c>
      <c r="AS118" s="373"/>
      <c r="AT118" s="372"/>
      <c r="AU118" s="343"/>
      <c r="AV118" s="332">
        <f>SUMIFS(BASE_EX!$J:$J,BASE_EX!$B:$B,'Direct Charge'!$A118,BASE_EX!$C:$C,"julho")</f>
        <v>0</v>
      </c>
      <c r="AW118" s="373"/>
      <c r="AX118" s="372"/>
      <c r="AY118" s="343"/>
      <c r="AZ118" s="332">
        <f>SUMIFS(BASE_EX!$J:$J,BASE_EX!$B:$B,'Direct Charge'!$A118,BASE_EX!$C:$C,"agosto")</f>
        <v>0</v>
      </c>
      <c r="BA118" s="373"/>
      <c r="BB118" s="372"/>
      <c r="BC118" s="343"/>
      <c r="BD118" s="332">
        <f>SUMIFS(BASE_EX!$J:$J,BASE_EX!$B:$B,'Direct Charge'!$A118,BASE_EX!$C:$C,"setembro")</f>
        <v>0</v>
      </c>
      <c r="BE118" s="373"/>
      <c r="BF118" s="372"/>
      <c r="BG118" s="343"/>
      <c r="BH118" s="332">
        <f>SUMIFS(BASE_EX!$J:$J,BASE_EX!$B:$B,'Direct Charge'!$A118,BASE_EX!$C:$C,"outubro")</f>
        <v>0</v>
      </c>
      <c r="BI118" s="373"/>
      <c r="BJ118" s="372"/>
      <c r="BK118" s="343"/>
      <c r="BL118" s="332">
        <f>SUMIFS(BASE_EX!$J:$J,BASE_EX!$B:$B,'Direct Charge'!$A118,BASE_EX!$C:$C,"novembro")</f>
        <v>0</v>
      </c>
      <c r="BM118" s="373"/>
      <c r="BN118" s="372"/>
      <c r="BO118" s="343"/>
      <c r="BP118" s="332">
        <f>SUMIFS(BASE_EX!$J:$J,BASE_EX!$B:$B,'Direct Charge'!$A118,BASE_EX!$C:$C,"dezembro")</f>
        <v>0</v>
      </c>
      <c r="BQ118" s="373"/>
      <c r="BR118" s="452"/>
      <c r="BS118" s="156">
        <f t="shared" si="23"/>
        <v>0</v>
      </c>
      <c r="BT118" s="320">
        <f t="shared" si="24"/>
        <v>0</v>
      </c>
      <c r="BU118" s="157" t="e">
        <f>SUM(L118,M118,N118,O118,U118)-#REF!</f>
        <v>#REF!</v>
      </c>
      <c r="BV118" s="346">
        <f t="shared" si="25"/>
        <v>0</v>
      </c>
      <c r="BW118" s="344" t="str">
        <f>IFERROR(VLOOKUP($A118,'BASE_558 EX'!$D:$R,8,FALSE),"")</f>
        <v xml:space="preserve">          105.770,00</v>
      </c>
      <c r="BX118" s="344" t="str">
        <f>IFERROR(VLOOKUP($A118,'BASE_558 EX'!$D:$R,9,FALSE),"")</f>
        <v xml:space="preserve">           15.717,86</v>
      </c>
      <c r="BY118" s="344" t="str">
        <f>IFERROR(VLOOKUP($A118,'BASE_558 EX'!$D:$R,10,FALSE),"")</f>
        <v xml:space="preserve">           42.412,94</v>
      </c>
      <c r="BZ118" s="344" t="str">
        <f>IFERROR(VLOOKUP($A118,'BASE_558 EX'!$D:$R,11,FALSE),"")</f>
        <v xml:space="preserve">                0,00</v>
      </c>
      <c r="CA118" s="344">
        <f>IFERROR(IF(BASE_558!$P$14="RemOrdPla",(VLOOKUP(A118,BASE_558!D:R,14)/1000),(VLOOKUP(A118,BASE_558!D:R,13)/1000)),"")</f>
        <v>515.92328999999995</v>
      </c>
      <c r="CB118" s="344" t="str">
        <f>IFERROR(VLOOKUP($A118,'BASE_558 EX'!$D:$R,15,FALSE),"")</f>
        <v xml:space="preserve">           47.639,20</v>
      </c>
      <c r="CC118" s="442"/>
      <c r="CD118" s="442">
        <f t="shared" si="26"/>
        <v>0</v>
      </c>
    </row>
    <row r="119" spans="1:82" s="23" customFormat="1" ht="25.4" customHeight="1">
      <c r="A119" s="309" t="s">
        <v>798</v>
      </c>
      <c r="B119" s="309" t="s">
        <v>1881</v>
      </c>
      <c r="C119" s="187">
        <v>44286</v>
      </c>
      <c r="D119" s="381" t="s">
        <v>474</v>
      </c>
      <c r="E119" s="309" t="s">
        <v>474</v>
      </c>
      <c r="F119" s="381" t="s">
        <v>176</v>
      </c>
      <c r="G119" s="340" t="s">
        <v>799</v>
      </c>
      <c r="H119" s="339" t="s">
        <v>614</v>
      </c>
      <c r="I119" s="45" t="s">
        <v>218</v>
      </c>
      <c r="J119" s="83" t="s">
        <v>462</v>
      </c>
      <c r="K119" s="46" t="s">
        <v>1600</v>
      </c>
      <c r="L119" s="206"/>
      <c r="M119" s="206">
        <v>16366.39</v>
      </c>
      <c r="N119" s="206">
        <v>1631.1599999999999</v>
      </c>
      <c r="O119" s="206">
        <v>0</v>
      </c>
      <c r="P119" s="206"/>
      <c r="Q119" s="206">
        <f t="shared" si="21"/>
        <v>0</v>
      </c>
      <c r="R119" s="206"/>
      <c r="S119" s="206"/>
      <c r="T119" s="223"/>
      <c r="U119" s="169">
        <f t="shared" si="22"/>
        <v>0</v>
      </c>
      <c r="V119" s="372">
        <v>0</v>
      </c>
      <c r="W119" s="343"/>
      <c r="X119" s="332">
        <f>SUMIFS(BASE_EX!$J:$J,BASE_EX!$B:$B,'Direct Charge'!$A119,BASE_EX!$C:$C,"janeiro")</f>
        <v>0</v>
      </c>
      <c r="Y119" s="373"/>
      <c r="Z119" s="372">
        <v>0</v>
      </c>
      <c r="AA119" s="343"/>
      <c r="AB119" s="332">
        <f>SUMIFS(BASE_EX!$J:$J,BASE_EX!$B:$B,'Direct Charge'!$A119,BASE_EX!$C:$C,"fevereiro")</f>
        <v>0</v>
      </c>
      <c r="AC119" s="373"/>
      <c r="AD119" s="372"/>
      <c r="AE119" s="343"/>
      <c r="AF119" s="332">
        <f>SUMIFS(BASE_EX!$J:$J,BASE_EX!$B:$B,'Direct Charge'!$A119,BASE_EX!$C:$C,"março")</f>
        <v>0</v>
      </c>
      <c r="AG119" s="373"/>
      <c r="AH119" s="372"/>
      <c r="AI119" s="343"/>
      <c r="AJ119" s="332">
        <f>SUMIFS(BASE_EX!$J:$J,BASE_EX!$B:$B,'Direct Charge'!$A119,BASE_EX!$C:$C,"abril")</f>
        <v>0</v>
      </c>
      <c r="AK119" s="373"/>
      <c r="AL119" s="372"/>
      <c r="AM119" s="343"/>
      <c r="AN119" s="332">
        <f>SUMIFS(BASE_EX!$J:$J,BASE_EX!$B:$B,'Direct Charge'!$A119,BASE_EX!$C:$C,"maio")</f>
        <v>0</v>
      </c>
      <c r="AO119" s="373"/>
      <c r="AP119" s="372"/>
      <c r="AQ119" s="343"/>
      <c r="AR119" s="332">
        <f>SUMIFS(BASE_EX!$J:$J,BASE_EX!$B:$B,'Direct Charge'!$A119,BASE_EX!$C:$C,"junho")</f>
        <v>0</v>
      </c>
      <c r="AS119" s="373"/>
      <c r="AT119" s="372"/>
      <c r="AU119" s="343"/>
      <c r="AV119" s="332">
        <f>SUMIFS(BASE_EX!$J:$J,BASE_EX!$B:$B,'Direct Charge'!$A119,BASE_EX!$C:$C,"julho")</f>
        <v>0</v>
      </c>
      <c r="AW119" s="373"/>
      <c r="AX119" s="372"/>
      <c r="AY119" s="343"/>
      <c r="AZ119" s="332">
        <f>SUMIFS(BASE_EX!$J:$J,BASE_EX!$B:$B,'Direct Charge'!$A119,BASE_EX!$C:$C,"agosto")</f>
        <v>0</v>
      </c>
      <c r="BA119" s="373"/>
      <c r="BB119" s="372"/>
      <c r="BC119" s="343"/>
      <c r="BD119" s="332">
        <f>SUMIFS(BASE_EX!$J:$J,BASE_EX!$B:$B,'Direct Charge'!$A119,BASE_EX!$C:$C,"setembro")</f>
        <v>0</v>
      </c>
      <c r="BE119" s="373"/>
      <c r="BF119" s="372"/>
      <c r="BG119" s="343"/>
      <c r="BH119" s="332">
        <f>SUMIFS(BASE_EX!$J:$J,BASE_EX!$B:$B,'Direct Charge'!$A119,BASE_EX!$C:$C,"outubro")</f>
        <v>0</v>
      </c>
      <c r="BI119" s="373"/>
      <c r="BJ119" s="372"/>
      <c r="BK119" s="343"/>
      <c r="BL119" s="332">
        <f>SUMIFS(BASE_EX!$J:$J,BASE_EX!$B:$B,'Direct Charge'!$A119,BASE_EX!$C:$C,"novembro")</f>
        <v>0</v>
      </c>
      <c r="BM119" s="373"/>
      <c r="BN119" s="372"/>
      <c r="BO119" s="343"/>
      <c r="BP119" s="332">
        <f>SUMIFS(BASE_EX!$J:$J,BASE_EX!$B:$B,'Direct Charge'!$A119,BASE_EX!$C:$C,"dezembro")</f>
        <v>0</v>
      </c>
      <c r="BQ119" s="373"/>
      <c r="BR119" s="452"/>
      <c r="BS119" s="156">
        <f t="shared" si="23"/>
        <v>0</v>
      </c>
      <c r="BT119" s="320">
        <f t="shared" si="24"/>
        <v>0</v>
      </c>
      <c r="BU119" s="157" t="e">
        <f>SUM(L119,M119,N119,O119,U119)-#REF!</f>
        <v>#REF!</v>
      </c>
      <c r="BV119" s="346">
        <f t="shared" si="25"/>
        <v>0</v>
      </c>
      <c r="BW119" s="344" t="str">
        <f>IFERROR(VLOOKUP($A119,'BASE_558 EX'!$D:$R,8,FALSE),"")</f>
        <v xml:space="preserve">           23.800,00</v>
      </c>
      <c r="BX119" s="344" t="str">
        <f>IFERROR(VLOOKUP($A119,'BASE_558 EX'!$D:$R,9,FALSE),"")</f>
        <v xml:space="preserve">           17.997,55</v>
      </c>
      <c r="BY119" s="344" t="str">
        <f>IFERROR(VLOOKUP($A119,'BASE_558 EX'!$D:$R,10,FALSE),"")</f>
        <v xml:space="preserve">                0,00</v>
      </c>
      <c r="BZ119" s="344" t="str">
        <f>IFERROR(VLOOKUP($A119,'BASE_558 EX'!$D:$R,11,FALSE),"")</f>
        <v xml:space="preserve">                0,00</v>
      </c>
      <c r="CA119" s="344">
        <f>IFERROR(IF(BASE_558!$P$14="RemOrdPla",(VLOOKUP(A119,BASE_558!D:R,14)/1000),(VLOOKUP(A119,BASE_558!D:R,13)/1000)),"")</f>
        <v>71.999449999999996</v>
      </c>
      <c r="CB119" s="344" t="str">
        <f>IFERROR(VLOOKUP($A119,'BASE_558 EX'!$D:$R,15,FALSE),"")</f>
        <v xml:space="preserve">            5.802,45</v>
      </c>
      <c r="CC119" s="442"/>
      <c r="CD119" s="442">
        <f t="shared" si="26"/>
        <v>0</v>
      </c>
    </row>
    <row r="120" spans="1:82" s="23" customFormat="1" ht="25.4" customHeight="1">
      <c r="A120" s="309" t="s">
        <v>845</v>
      </c>
      <c r="B120" s="309" t="s">
        <v>1885</v>
      </c>
      <c r="C120" s="187">
        <v>44305</v>
      </c>
      <c r="D120" s="381" t="s">
        <v>946</v>
      </c>
      <c r="E120" s="310" t="s">
        <v>2251</v>
      </c>
      <c r="F120" s="381" t="s">
        <v>176</v>
      </c>
      <c r="G120" s="342" t="s">
        <v>1073</v>
      </c>
      <c r="H120" s="339" t="s">
        <v>614</v>
      </c>
      <c r="I120" s="45" t="s">
        <v>463</v>
      </c>
      <c r="J120" s="83" t="s">
        <v>219</v>
      </c>
      <c r="K120" s="428" t="s">
        <v>12249</v>
      </c>
      <c r="L120" s="206"/>
      <c r="M120" s="206">
        <v>0</v>
      </c>
      <c r="N120" s="206">
        <v>0</v>
      </c>
      <c r="O120" s="206">
        <v>0</v>
      </c>
      <c r="P120" s="206"/>
      <c r="Q120" s="206">
        <f t="shared" si="21"/>
        <v>0</v>
      </c>
      <c r="R120" s="206"/>
      <c r="S120" s="206"/>
      <c r="T120" s="223"/>
      <c r="U120" s="169">
        <f t="shared" si="22"/>
        <v>0</v>
      </c>
      <c r="V120" s="372">
        <v>0</v>
      </c>
      <c r="W120" s="343"/>
      <c r="X120" s="332">
        <f>SUMIFS(BASE_EX!$J:$J,BASE_EX!$B:$B,'Direct Charge'!$A120,BASE_EX!$C:$C,"janeiro")</f>
        <v>0</v>
      </c>
      <c r="Y120" s="373"/>
      <c r="Z120" s="372">
        <v>0</v>
      </c>
      <c r="AA120" s="343"/>
      <c r="AB120" s="332">
        <f>SUMIFS(BASE_EX!$J:$J,BASE_EX!$B:$B,'Direct Charge'!$A120,BASE_EX!$C:$C,"fevereiro")</f>
        <v>0</v>
      </c>
      <c r="AC120" s="373"/>
      <c r="AD120" s="372"/>
      <c r="AE120" s="343"/>
      <c r="AF120" s="332">
        <f>SUMIFS(BASE_EX!$J:$J,BASE_EX!$B:$B,'Direct Charge'!$A120,BASE_EX!$C:$C,"março")</f>
        <v>0</v>
      </c>
      <c r="AG120" s="373"/>
      <c r="AH120" s="372"/>
      <c r="AI120" s="343"/>
      <c r="AJ120" s="332">
        <f>SUMIFS(BASE_EX!$J:$J,BASE_EX!$B:$B,'Direct Charge'!$A120,BASE_EX!$C:$C,"abril")</f>
        <v>0</v>
      </c>
      <c r="AK120" s="373"/>
      <c r="AL120" s="372"/>
      <c r="AM120" s="343"/>
      <c r="AN120" s="332">
        <f>SUMIFS(BASE_EX!$J:$J,BASE_EX!$B:$B,'Direct Charge'!$A120,BASE_EX!$C:$C,"maio")</f>
        <v>0</v>
      </c>
      <c r="AO120" s="373"/>
      <c r="AP120" s="372"/>
      <c r="AQ120" s="343"/>
      <c r="AR120" s="332">
        <f>SUMIFS(BASE_EX!$J:$J,BASE_EX!$B:$B,'Direct Charge'!$A120,BASE_EX!$C:$C,"junho")</f>
        <v>0</v>
      </c>
      <c r="AS120" s="373"/>
      <c r="AT120" s="372"/>
      <c r="AU120" s="343"/>
      <c r="AV120" s="332">
        <f>SUMIFS(BASE_EX!$J:$J,BASE_EX!$B:$B,'Direct Charge'!$A120,BASE_EX!$C:$C,"julho")</f>
        <v>0</v>
      </c>
      <c r="AW120" s="373"/>
      <c r="AX120" s="372"/>
      <c r="AY120" s="343"/>
      <c r="AZ120" s="332">
        <f>SUMIFS(BASE_EX!$J:$J,BASE_EX!$B:$B,'Direct Charge'!$A120,BASE_EX!$C:$C,"agosto")</f>
        <v>0</v>
      </c>
      <c r="BA120" s="373"/>
      <c r="BB120" s="372"/>
      <c r="BC120" s="343"/>
      <c r="BD120" s="332">
        <f>SUMIFS(BASE_EX!$J:$J,BASE_EX!$B:$B,'Direct Charge'!$A120,BASE_EX!$C:$C,"setembro")</f>
        <v>0</v>
      </c>
      <c r="BE120" s="373"/>
      <c r="BF120" s="372"/>
      <c r="BG120" s="343"/>
      <c r="BH120" s="332">
        <f>SUMIFS(BASE_EX!$J:$J,BASE_EX!$B:$B,'Direct Charge'!$A120,BASE_EX!$C:$C,"outubro")</f>
        <v>0</v>
      </c>
      <c r="BI120" s="373"/>
      <c r="BJ120" s="372"/>
      <c r="BK120" s="343"/>
      <c r="BL120" s="332">
        <f>SUMIFS(BASE_EX!$J:$J,BASE_EX!$B:$B,'Direct Charge'!$A120,BASE_EX!$C:$C,"novembro")</f>
        <v>0</v>
      </c>
      <c r="BM120" s="373"/>
      <c r="BN120" s="372"/>
      <c r="BO120" s="343"/>
      <c r="BP120" s="332">
        <f>SUMIFS(BASE_EX!$J:$J,BASE_EX!$B:$B,'Direct Charge'!$A120,BASE_EX!$C:$C,"dezembro")</f>
        <v>0</v>
      </c>
      <c r="BQ120" s="373"/>
      <c r="BR120" s="452"/>
      <c r="BS120" s="156">
        <f t="shared" si="23"/>
        <v>0</v>
      </c>
      <c r="BT120" s="320">
        <f t="shared" si="24"/>
        <v>0</v>
      </c>
      <c r="BU120" s="157" t="e">
        <f>SUM(L120,M120,N120,O120,U120)-#REF!</f>
        <v>#REF!</v>
      </c>
      <c r="BV120" s="346">
        <f t="shared" si="25"/>
        <v>0</v>
      </c>
      <c r="BW120" s="344" t="str">
        <f>IFERROR(VLOOKUP($A120,'BASE_558 EX'!$D:$R,8,FALSE),"")</f>
        <v xml:space="preserve">            9.850,00</v>
      </c>
      <c r="BX120" s="344" t="str">
        <f>IFERROR(VLOOKUP($A120,'BASE_558 EX'!$D:$R,9,FALSE),"")</f>
        <v xml:space="preserve">                0,00</v>
      </c>
      <c r="BY120" s="344" t="str">
        <f>IFERROR(VLOOKUP($A120,'BASE_558 EX'!$D:$R,10,FALSE),"")</f>
        <v xml:space="preserve">                0,00</v>
      </c>
      <c r="BZ120" s="344" t="str">
        <f>IFERROR(VLOOKUP($A120,'BASE_558 EX'!$D:$R,11,FALSE),"")</f>
        <v xml:space="preserve">                0,00</v>
      </c>
      <c r="CA120" s="344">
        <f>IFERROR(IF(BASE_558!$P$14="RemOrdPla",(VLOOKUP(A120,BASE_558!D:R,14)/1000),(VLOOKUP(A120,BASE_558!D:R,13)/1000)),"")</f>
        <v>95.824789999999993</v>
      </c>
      <c r="CB120" s="344" t="str">
        <f>IFERROR(VLOOKUP($A120,'BASE_558 EX'!$D:$R,15,FALSE),"")</f>
        <v xml:space="preserve">            9.850,00</v>
      </c>
      <c r="CC120" s="442"/>
      <c r="CD120" s="442">
        <f t="shared" si="26"/>
        <v>0</v>
      </c>
    </row>
    <row r="121" spans="1:82" s="23" customFormat="1" ht="25.4" customHeight="1">
      <c r="A121" s="309" t="s">
        <v>855</v>
      </c>
      <c r="B121" s="309" t="s">
        <v>1898</v>
      </c>
      <c r="C121" s="187"/>
      <c r="D121" s="381" t="s">
        <v>946</v>
      </c>
      <c r="E121" s="361" t="s">
        <v>2079</v>
      </c>
      <c r="F121" s="381" t="s">
        <v>176</v>
      </c>
      <c r="G121" s="340" t="s">
        <v>856</v>
      </c>
      <c r="H121" s="339" t="s">
        <v>614</v>
      </c>
      <c r="I121" s="45" t="s">
        <v>195</v>
      </c>
      <c r="J121" s="125" t="s">
        <v>462</v>
      </c>
      <c r="K121" s="46" t="s">
        <v>3270</v>
      </c>
      <c r="L121" s="206"/>
      <c r="M121" s="206">
        <v>0</v>
      </c>
      <c r="N121" s="206">
        <v>0</v>
      </c>
      <c r="O121" s="206">
        <v>0</v>
      </c>
      <c r="P121" s="206"/>
      <c r="Q121" s="206">
        <f t="shared" si="21"/>
        <v>0</v>
      </c>
      <c r="R121" s="206"/>
      <c r="S121" s="206"/>
      <c r="T121" s="223"/>
      <c r="U121" s="169">
        <f t="shared" si="22"/>
        <v>0</v>
      </c>
      <c r="V121" s="372">
        <v>0</v>
      </c>
      <c r="W121" s="343"/>
      <c r="X121" s="332">
        <f>SUMIFS(BASE_EX!$J:$J,BASE_EX!$B:$B,'Direct Charge'!$A121,BASE_EX!$C:$C,"janeiro")</f>
        <v>0</v>
      </c>
      <c r="Y121" s="373"/>
      <c r="Z121" s="372">
        <v>0</v>
      </c>
      <c r="AA121" s="343"/>
      <c r="AB121" s="332">
        <f>SUMIFS(BASE_EX!$J:$J,BASE_EX!$B:$B,'Direct Charge'!$A121,BASE_EX!$C:$C,"fevereiro")</f>
        <v>0</v>
      </c>
      <c r="AC121" s="373"/>
      <c r="AD121" s="372"/>
      <c r="AE121" s="343"/>
      <c r="AF121" s="332">
        <f>SUMIFS(BASE_EX!$J:$J,BASE_EX!$B:$B,'Direct Charge'!$A121,BASE_EX!$C:$C,"março")</f>
        <v>0</v>
      </c>
      <c r="AG121" s="373"/>
      <c r="AH121" s="372"/>
      <c r="AI121" s="343"/>
      <c r="AJ121" s="332">
        <f>SUMIFS(BASE_EX!$J:$J,BASE_EX!$B:$B,'Direct Charge'!$A121,BASE_EX!$C:$C,"abril")</f>
        <v>0</v>
      </c>
      <c r="AK121" s="373"/>
      <c r="AL121" s="372"/>
      <c r="AM121" s="343"/>
      <c r="AN121" s="332">
        <f>SUMIFS(BASE_EX!$J:$J,BASE_EX!$B:$B,'Direct Charge'!$A121,BASE_EX!$C:$C,"maio")</f>
        <v>0</v>
      </c>
      <c r="AO121" s="373"/>
      <c r="AP121" s="372"/>
      <c r="AQ121" s="343"/>
      <c r="AR121" s="332">
        <f>SUMIFS(BASE_EX!$J:$J,BASE_EX!$B:$B,'Direct Charge'!$A121,BASE_EX!$C:$C,"junho")</f>
        <v>0</v>
      </c>
      <c r="AS121" s="373"/>
      <c r="AT121" s="372"/>
      <c r="AU121" s="343"/>
      <c r="AV121" s="332">
        <f>SUMIFS(BASE_EX!$J:$J,BASE_EX!$B:$B,'Direct Charge'!$A121,BASE_EX!$C:$C,"julho")</f>
        <v>0</v>
      </c>
      <c r="AW121" s="373"/>
      <c r="AX121" s="372"/>
      <c r="AY121" s="343"/>
      <c r="AZ121" s="332">
        <f>SUMIFS(BASE_EX!$J:$J,BASE_EX!$B:$B,'Direct Charge'!$A121,BASE_EX!$C:$C,"agosto")</f>
        <v>0</v>
      </c>
      <c r="BA121" s="373"/>
      <c r="BB121" s="372"/>
      <c r="BC121" s="343"/>
      <c r="BD121" s="332">
        <f>SUMIFS(BASE_EX!$J:$J,BASE_EX!$B:$B,'Direct Charge'!$A121,BASE_EX!$C:$C,"setembro")</f>
        <v>0</v>
      </c>
      <c r="BE121" s="373"/>
      <c r="BF121" s="372"/>
      <c r="BG121" s="343"/>
      <c r="BH121" s="332">
        <f>SUMIFS(BASE_EX!$J:$J,BASE_EX!$B:$B,'Direct Charge'!$A121,BASE_EX!$C:$C,"outubro")</f>
        <v>0</v>
      </c>
      <c r="BI121" s="373"/>
      <c r="BJ121" s="372"/>
      <c r="BK121" s="343"/>
      <c r="BL121" s="332">
        <f>SUMIFS(BASE_EX!$J:$J,BASE_EX!$B:$B,'Direct Charge'!$A121,BASE_EX!$C:$C,"novembro")</f>
        <v>0</v>
      </c>
      <c r="BM121" s="373"/>
      <c r="BN121" s="372"/>
      <c r="BO121" s="343"/>
      <c r="BP121" s="332">
        <f>SUMIFS(BASE_EX!$J:$J,BASE_EX!$B:$B,'Direct Charge'!$A121,BASE_EX!$C:$C,"dezembro")</f>
        <v>0</v>
      </c>
      <c r="BQ121" s="373"/>
      <c r="BR121" s="452"/>
      <c r="BS121" s="156">
        <f t="shared" si="23"/>
        <v>0</v>
      </c>
      <c r="BT121" s="320">
        <f t="shared" si="24"/>
        <v>0</v>
      </c>
      <c r="BU121" s="157" t="e">
        <f>SUM(L121,M121,N121,O121,U121)-#REF!</f>
        <v>#REF!</v>
      </c>
      <c r="BV121" s="346">
        <f t="shared" si="25"/>
        <v>0</v>
      </c>
      <c r="BW121" s="344" t="str">
        <f>IFERROR(VLOOKUP($A121,'BASE_558 EX'!$D:$R,8,FALSE),"")</f>
        <v xml:space="preserve">           25.000,00</v>
      </c>
      <c r="BX121" s="344" t="str">
        <f>IFERROR(VLOOKUP($A121,'BASE_558 EX'!$D:$R,9,FALSE),"")</f>
        <v xml:space="preserve">                0,00</v>
      </c>
      <c r="BY121" s="344" t="str">
        <f>IFERROR(VLOOKUP($A121,'BASE_558 EX'!$D:$R,10,FALSE),"")</f>
        <v xml:space="preserve">                0,00</v>
      </c>
      <c r="BZ121" s="344" t="str">
        <f>IFERROR(VLOOKUP($A121,'BASE_558 EX'!$D:$R,11,FALSE),"")</f>
        <v xml:space="preserve">                0,00</v>
      </c>
      <c r="CA121" s="344">
        <f>IFERROR(IF(BASE_558!$P$14="RemOrdPla",(VLOOKUP(A121,BASE_558!D:R,14)/1000),(VLOOKUP(A121,BASE_558!D:R,13)/1000)),"")</f>
        <v>969.67870999999991</v>
      </c>
      <c r="CB121" s="344" t="str">
        <f>IFERROR(VLOOKUP($A121,'BASE_558 EX'!$D:$R,15,FALSE),"")</f>
        <v xml:space="preserve">           25.000,00</v>
      </c>
      <c r="CC121" s="442"/>
      <c r="CD121" s="442">
        <f t="shared" si="26"/>
        <v>0</v>
      </c>
    </row>
    <row r="122" spans="1:82" s="23" customFormat="1" ht="25.4" customHeight="1">
      <c r="A122" s="309" t="s">
        <v>852</v>
      </c>
      <c r="B122" s="309" t="s">
        <v>1907</v>
      </c>
      <c r="C122" s="187">
        <v>44357</v>
      </c>
      <c r="D122" s="381" t="s">
        <v>476</v>
      </c>
      <c r="E122" s="309" t="s">
        <v>6882</v>
      </c>
      <c r="F122" s="309" t="s">
        <v>2508</v>
      </c>
      <c r="G122" s="340" t="s">
        <v>836</v>
      </c>
      <c r="H122" s="340" t="s">
        <v>614</v>
      </c>
      <c r="I122" s="45" t="s">
        <v>218</v>
      </c>
      <c r="J122" s="83" t="s">
        <v>462</v>
      </c>
      <c r="K122" s="46" t="s">
        <v>2651</v>
      </c>
      <c r="L122" s="206"/>
      <c r="M122" s="206">
        <v>31770.21</v>
      </c>
      <c r="N122" s="206">
        <v>247687.15</v>
      </c>
      <c r="O122" s="206">
        <v>118198.87999999999</v>
      </c>
      <c r="P122" s="206">
        <v>1449.01</v>
      </c>
      <c r="Q122" s="206">
        <f t="shared" si="21"/>
        <v>0</v>
      </c>
      <c r="R122" s="206"/>
      <c r="S122" s="206"/>
      <c r="T122" s="223"/>
      <c r="U122" s="169">
        <f t="shared" si="22"/>
        <v>0</v>
      </c>
      <c r="V122" s="372">
        <v>0</v>
      </c>
      <c r="W122" s="343"/>
      <c r="X122" s="332">
        <f>SUMIFS(BASE_EX!$J:$J,BASE_EX!$B:$B,'Direct Charge'!$A122,BASE_EX!$C:$C,"janeiro")</f>
        <v>0</v>
      </c>
      <c r="Y122" s="373"/>
      <c r="Z122" s="372">
        <v>0</v>
      </c>
      <c r="AA122" s="343"/>
      <c r="AB122" s="332">
        <f>SUMIFS(BASE_EX!$J:$J,BASE_EX!$B:$B,'Direct Charge'!$A122,BASE_EX!$C:$C,"fevereiro")</f>
        <v>0</v>
      </c>
      <c r="AC122" s="373"/>
      <c r="AD122" s="372"/>
      <c r="AE122" s="343"/>
      <c r="AF122" s="332">
        <f>SUMIFS(BASE_EX!$J:$J,BASE_EX!$B:$B,'Direct Charge'!$A122,BASE_EX!$C:$C,"março")</f>
        <v>0</v>
      </c>
      <c r="AG122" s="373"/>
      <c r="AH122" s="372"/>
      <c r="AI122" s="343"/>
      <c r="AJ122" s="332">
        <f>SUMIFS(BASE_EX!$J:$J,BASE_EX!$B:$B,'Direct Charge'!$A122,BASE_EX!$C:$C,"abril")</f>
        <v>0</v>
      </c>
      <c r="AK122" s="373"/>
      <c r="AL122" s="372"/>
      <c r="AM122" s="343"/>
      <c r="AN122" s="332">
        <f>SUMIFS(BASE_EX!$J:$J,BASE_EX!$B:$B,'Direct Charge'!$A122,BASE_EX!$C:$C,"maio")</f>
        <v>0</v>
      </c>
      <c r="AO122" s="373"/>
      <c r="AP122" s="372"/>
      <c r="AQ122" s="343"/>
      <c r="AR122" s="332">
        <f>SUMIFS(BASE_EX!$J:$J,BASE_EX!$B:$B,'Direct Charge'!$A122,BASE_EX!$C:$C,"junho")</f>
        <v>0</v>
      </c>
      <c r="AS122" s="373"/>
      <c r="AT122" s="372"/>
      <c r="AU122" s="343"/>
      <c r="AV122" s="332">
        <f>SUMIFS(BASE_EX!$J:$J,BASE_EX!$B:$B,'Direct Charge'!$A122,BASE_EX!$C:$C,"julho")</f>
        <v>0</v>
      </c>
      <c r="AW122" s="373"/>
      <c r="AX122" s="372"/>
      <c r="AY122" s="343"/>
      <c r="AZ122" s="332">
        <f>SUMIFS(BASE_EX!$J:$J,BASE_EX!$B:$B,'Direct Charge'!$A122,BASE_EX!$C:$C,"agosto")</f>
        <v>0</v>
      </c>
      <c r="BA122" s="373"/>
      <c r="BB122" s="372"/>
      <c r="BC122" s="343"/>
      <c r="BD122" s="332">
        <f>SUMIFS(BASE_EX!$J:$J,BASE_EX!$B:$B,'Direct Charge'!$A122,BASE_EX!$C:$C,"setembro")</f>
        <v>0</v>
      </c>
      <c r="BE122" s="373"/>
      <c r="BF122" s="372"/>
      <c r="BG122" s="343"/>
      <c r="BH122" s="332">
        <f>SUMIFS(BASE_EX!$J:$J,BASE_EX!$B:$B,'Direct Charge'!$A122,BASE_EX!$C:$C,"outubro")</f>
        <v>0</v>
      </c>
      <c r="BI122" s="373"/>
      <c r="BJ122" s="372"/>
      <c r="BK122" s="343"/>
      <c r="BL122" s="332">
        <f>SUMIFS(BASE_EX!$J:$J,BASE_EX!$B:$B,'Direct Charge'!$A122,BASE_EX!$C:$C,"novembro")</f>
        <v>0</v>
      </c>
      <c r="BM122" s="373"/>
      <c r="BN122" s="372"/>
      <c r="BO122" s="343"/>
      <c r="BP122" s="332">
        <f>SUMIFS(BASE_EX!$J:$J,BASE_EX!$B:$B,'Direct Charge'!$A122,BASE_EX!$C:$C,"dezembro")</f>
        <v>0</v>
      </c>
      <c r="BQ122" s="373"/>
      <c r="BR122" s="452"/>
      <c r="BS122" s="156">
        <f t="shared" si="23"/>
        <v>0</v>
      </c>
      <c r="BT122" s="320">
        <f t="shared" si="24"/>
        <v>0</v>
      </c>
      <c r="BU122" s="157" t="e">
        <f>SUM(L122,M122,N122,O122,U122)-#REF!</f>
        <v>#REF!</v>
      </c>
      <c r="BV122" s="346">
        <f t="shared" si="25"/>
        <v>0</v>
      </c>
      <c r="BW122" s="344" t="str">
        <f>IFERROR(VLOOKUP($A122,'BASE_558 EX'!$D:$R,8,FALSE),"")</f>
        <v xml:space="preserve">          508.000,00</v>
      </c>
      <c r="BX122" s="344" t="str">
        <f>IFERROR(VLOOKUP($A122,'BASE_558 EX'!$D:$R,9,FALSE),"")</f>
        <v xml:space="preserve">          399.105,46</v>
      </c>
      <c r="BY122" s="344" t="str">
        <f>IFERROR(VLOOKUP($A122,'BASE_558 EX'!$D:$R,10,FALSE),"")</f>
        <v xml:space="preserve">                0,00</v>
      </c>
      <c r="BZ122" s="344" t="str">
        <f>IFERROR(VLOOKUP($A122,'BASE_558 EX'!$D:$R,11,FALSE),"")</f>
        <v xml:space="preserve">                0,00</v>
      </c>
      <c r="CA122" s="344">
        <f>IFERROR(IF(BASE_558!$P$14="RemOrdPla",(VLOOKUP(A122,BASE_558!D:R,14)/1000),(VLOOKUP(A122,BASE_558!D:R,13)/1000)),"")</f>
        <v>5322.2808700000005</v>
      </c>
      <c r="CB122" s="344" t="str">
        <f>IFERROR(VLOOKUP($A122,'BASE_558 EX'!$D:$R,15,FALSE),"")</f>
        <v xml:space="preserve">          108.894,54</v>
      </c>
      <c r="CC122" s="442"/>
      <c r="CD122" s="442">
        <f t="shared" si="26"/>
        <v>0</v>
      </c>
    </row>
    <row r="123" spans="1:82" s="23" customFormat="1" ht="25.4" customHeight="1">
      <c r="A123" s="309" t="s">
        <v>1075</v>
      </c>
      <c r="B123" s="309" t="s">
        <v>1882</v>
      </c>
      <c r="C123" s="187">
        <v>44391</v>
      </c>
      <c r="D123" s="381" t="s">
        <v>946</v>
      </c>
      <c r="E123" s="361" t="s">
        <v>2186</v>
      </c>
      <c r="F123" s="381" t="s">
        <v>176</v>
      </c>
      <c r="G123" s="340" t="s">
        <v>1076</v>
      </c>
      <c r="H123" s="339" t="s">
        <v>614</v>
      </c>
      <c r="I123" s="45" t="s">
        <v>463</v>
      </c>
      <c r="J123" s="83" t="s">
        <v>219</v>
      </c>
      <c r="K123" s="10" t="s">
        <v>16153</v>
      </c>
      <c r="L123" s="206"/>
      <c r="M123" s="206">
        <v>0</v>
      </c>
      <c r="N123" s="206">
        <v>0</v>
      </c>
      <c r="O123" s="206">
        <v>1487.58</v>
      </c>
      <c r="P123" s="206"/>
      <c r="Q123" s="206">
        <f t="shared" si="21"/>
        <v>83336.320000000007</v>
      </c>
      <c r="R123" s="206"/>
      <c r="S123" s="206"/>
      <c r="T123" s="223"/>
      <c r="U123" s="169">
        <f t="shared" si="22"/>
        <v>83336.320000000007</v>
      </c>
      <c r="V123" s="372">
        <v>0</v>
      </c>
      <c r="W123" s="343"/>
      <c r="X123" s="332">
        <f>SUMIFS(BASE_EX!$J:$J,BASE_EX!$B:$B,'Direct Charge'!$A123,BASE_EX!$C:$C,"janeiro")</f>
        <v>0</v>
      </c>
      <c r="Y123" s="373"/>
      <c r="Z123" s="372">
        <v>0</v>
      </c>
      <c r="AA123" s="343"/>
      <c r="AB123" s="332">
        <f>SUMIFS(BASE_EX!$J:$J,BASE_EX!$B:$B,'Direct Charge'!$A123,BASE_EX!$C:$C,"fevereiro")</f>
        <v>0</v>
      </c>
      <c r="AC123" s="373"/>
      <c r="AD123" s="372"/>
      <c r="AE123" s="343"/>
      <c r="AF123" s="332">
        <f>SUMIFS(BASE_EX!$J:$J,BASE_EX!$B:$B,'Direct Charge'!$A123,BASE_EX!$C:$C,"março")</f>
        <v>0</v>
      </c>
      <c r="AG123" s="373"/>
      <c r="AH123" s="372"/>
      <c r="AI123" s="343"/>
      <c r="AJ123" s="332">
        <f>SUMIFS(BASE_EX!$J:$J,BASE_EX!$B:$B,'Direct Charge'!$A123,BASE_EX!$C:$C,"abril")</f>
        <v>0</v>
      </c>
      <c r="AK123" s="373"/>
      <c r="AL123" s="372">
        <v>15000</v>
      </c>
      <c r="AM123" s="343">
        <v>14336.32</v>
      </c>
      <c r="AN123" s="332">
        <f>SUMIFS(BASE_EX!$J:$J,BASE_EX!$B:$B,'Direct Charge'!$A123,BASE_EX!$C:$C,"maio")</f>
        <v>14336.32</v>
      </c>
      <c r="AO123" s="373">
        <v>14336.32</v>
      </c>
      <c r="AP123" s="372">
        <v>4000</v>
      </c>
      <c r="AQ123" s="343"/>
      <c r="AR123" s="332">
        <f>SUMIFS(BASE_EX!$J:$J,BASE_EX!$B:$B,'Direct Charge'!$A123,BASE_EX!$C:$C,"junho")</f>
        <v>0</v>
      </c>
      <c r="AS123" s="373">
        <v>0</v>
      </c>
      <c r="AT123" s="372"/>
      <c r="AU123" s="343"/>
      <c r="AV123" s="332">
        <f>SUMIFS(BASE_EX!$J:$J,BASE_EX!$B:$B,'Direct Charge'!$A123,BASE_EX!$C:$C,"julho")</f>
        <v>0</v>
      </c>
      <c r="AW123" s="373"/>
      <c r="AX123" s="372"/>
      <c r="AY123" s="343"/>
      <c r="AZ123" s="332">
        <f>SUMIFS(BASE_EX!$J:$J,BASE_EX!$B:$B,'Direct Charge'!$A123,BASE_EX!$C:$C,"agosto")</f>
        <v>0</v>
      </c>
      <c r="BA123" s="373">
        <v>4000</v>
      </c>
      <c r="BB123" s="372"/>
      <c r="BC123" s="343"/>
      <c r="BD123" s="332">
        <f>SUMIFS(BASE_EX!$J:$J,BASE_EX!$B:$B,'Direct Charge'!$A123,BASE_EX!$C:$C,"setembro")</f>
        <v>0</v>
      </c>
      <c r="BE123" s="373">
        <v>23000</v>
      </c>
      <c r="BF123" s="372"/>
      <c r="BG123" s="343"/>
      <c r="BH123" s="332">
        <f>SUMIFS(BASE_EX!$J:$J,BASE_EX!$B:$B,'Direct Charge'!$A123,BASE_EX!$C:$C,"outubro")</f>
        <v>0</v>
      </c>
      <c r="BI123" s="373">
        <v>42000</v>
      </c>
      <c r="BJ123" s="372"/>
      <c r="BK123" s="343"/>
      <c r="BL123" s="332">
        <f>SUMIFS(BASE_EX!$J:$J,BASE_EX!$B:$B,'Direct Charge'!$A123,BASE_EX!$C:$C,"novembro")</f>
        <v>0</v>
      </c>
      <c r="BM123" s="373"/>
      <c r="BN123" s="372"/>
      <c r="BO123" s="343"/>
      <c r="BP123" s="332">
        <f>SUMIFS(BASE_EX!$J:$J,BASE_EX!$B:$B,'Direct Charge'!$A123,BASE_EX!$C:$C,"dezembro")</f>
        <v>0</v>
      </c>
      <c r="BQ123" s="373"/>
      <c r="BR123" s="452"/>
      <c r="BS123" s="156">
        <f t="shared" si="23"/>
        <v>-4000</v>
      </c>
      <c r="BT123" s="320">
        <f t="shared" si="24"/>
        <v>0</v>
      </c>
      <c r="BU123" s="157" t="e">
        <f>SUM(L123,M123,N123,O123,U123)-#REF!</f>
        <v>#REF!</v>
      </c>
      <c r="BV123" s="346">
        <f t="shared" si="25"/>
        <v>83336.320000000007</v>
      </c>
      <c r="BW123" s="344" t="str">
        <f>IFERROR(VLOOKUP($A123,'BASE_558 EX'!$D:$R,8,FALSE),"")</f>
        <v xml:space="preserve">          112.278,00</v>
      </c>
      <c r="BX123" s="344" t="str">
        <f>IFERROR(VLOOKUP($A123,'BASE_558 EX'!$D:$R,9,FALSE),"")</f>
        <v xml:space="preserve">           15.823,90</v>
      </c>
      <c r="BY123" s="344" t="str">
        <f>IFERROR(VLOOKUP($A123,'BASE_558 EX'!$D:$R,10,FALSE),"")</f>
        <v xml:space="preserve">           30.353,31</v>
      </c>
      <c r="BZ123" s="344" t="str">
        <f>IFERROR(VLOOKUP($A123,'BASE_558 EX'!$D:$R,11,FALSE),"")</f>
        <v xml:space="preserve">                0,00</v>
      </c>
      <c r="CA123" s="344">
        <f>IFERROR(IF(BASE_558!$P$14="RemOrdPla",(VLOOKUP(A123,BASE_558!D:R,14)/1000),(VLOOKUP(A123,BASE_558!D:R,13)/1000)),"")</f>
        <v>2390.06853</v>
      </c>
      <c r="CB123" s="344" t="str">
        <f>IFERROR(VLOOKUP($A123,'BASE_558 EX'!$D:$R,15,FALSE),"")</f>
        <v xml:space="preserve">           66.100,79</v>
      </c>
      <c r="CC123" s="442"/>
      <c r="CD123" s="442">
        <f t="shared" si="26"/>
        <v>0</v>
      </c>
    </row>
    <row r="124" spans="1:82" s="23" customFormat="1" ht="25.4" customHeight="1">
      <c r="A124" s="309" t="s">
        <v>1041</v>
      </c>
      <c r="B124" s="309" t="s">
        <v>1875</v>
      </c>
      <c r="C124" s="187">
        <v>44377</v>
      </c>
      <c r="D124" s="381" t="s">
        <v>478</v>
      </c>
      <c r="E124" s="309" t="s">
        <v>2238</v>
      </c>
      <c r="F124" s="381" t="s">
        <v>176</v>
      </c>
      <c r="G124" s="340" t="s">
        <v>2823</v>
      </c>
      <c r="H124" s="339" t="s">
        <v>614</v>
      </c>
      <c r="I124" s="45" t="s">
        <v>195</v>
      </c>
      <c r="J124" s="125" t="s">
        <v>219</v>
      </c>
      <c r="K124" s="46"/>
      <c r="L124" s="206"/>
      <c r="M124" s="206">
        <v>0</v>
      </c>
      <c r="N124" s="206">
        <v>41134.870000000003</v>
      </c>
      <c r="O124" s="206">
        <v>0</v>
      </c>
      <c r="P124" s="206"/>
      <c r="Q124" s="206">
        <f t="shared" si="21"/>
        <v>0</v>
      </c>
      <c r="R124" s="206"/>
      <c r="S124" s="206"/>
      <c r="T124" s="223"/>
      <c r="U124" s="169">
        <f t="shared" si="22"/>
        <v>0</v>
      </c>
      <c r="V124" s="372">
        <v>0</v>
      </c>
      <c r="W124" s="343"/>
      <c r="X124" s="332">
        <f>SUMIFS(BASE_EX!$J:$J,BASE_EX!$B:$B,'Direct Charge'!$A124,BASE_EX!$C:$C,"janeiro")</f>
        <v>0</v>
      </c>
      <c r="Y124" s="373"/>
      <c r="Z124" s="372">
        <v>0</v>
      </c>
      <c r="AA124" s="343"/>
      <c r="AB124" s="332">
        <f>SUMIFS(BASE_EX!$J:$J,BASE_EX!$B:$B,'Direct Charge'!$A124,BASE_EX!$C:$C,"fevereiro")</f>
        <v>0</v>
      </c>
      <c r="AC124" s="373"/>
      <c r="AD124" s="372"/>
      <c r="AE124" s="343"/>
      <c r="AF124" s="332">
        <f>SUMIFS(BASE_EX!$J:$J,BASE_EX!$B:$B,'Direct Charge'!$A124,BASE_EX!$C:$C,"março")</f>
        <v>0</v>
      </c>
      <c r="AG124" s="373"/>
      <c r="AH124" s="372"/>
      <c r="AI124" s="343"/>
      <c r="AJ124" s="332">
        <f>SUMIFS(BASE_EX!$J:$J,BASE_EX!$B:$B,'Direct Charge'!$A124,BASE_EX!$C:$C,"abril")</f>
        <v>0</v>
      </c>
      <c r="AK124" s="373"/>
      <c r="AL124" s="372"/>
      <c r="AM124" s="343"/>
      <c r="AN124" s="332">
        <f>SUMIFS(BASE_EX!$J:$J,BASE_EX!$B:$B,'Direct Charge'!$A124,BASE_EX!$C:$C,"maio")</f>
        <v>0</v>
      </c>
      <c r="AO124" s="373"/>
      <c r="AP124" s="372"/>
      <c r="AQ124" s="343"/>
      <c r="AR124" s="332">
        <f>SUMIFS(BASE_EX!$J:$J,BASE_EX!$B:$B,'Direct Charge'!$A124,BASE_EX!$C:$C,"junho")</f>
        <v>0</v>
      </c>
      <c r="AS124" s="373"/>
      <c r="AT124" s="372"/>
      <c r="AU124" s="343"/>
      <c r="AV124" s="332">
        <f>SUMIFS(BASE_EX!$J:$J,BASE_EX!$B:$B,'Direct Charge'!$A124,BASE_EX!$C:$C,"julho")</f>
        <v>0</v>
      </c>
      <c r="AW124" s="373"/>
      <c r="AX124" s="372"/>
      <c r="AY124" s="343"/>
      <c r="AZ124" s="332">
        <f>SUMIFS(BASE_EX!$J:$J,BASE_EX!$B:$B,'Direct Charge'!$A124,BASE_EX!$C:$C,"agosto")</f>
        <v>0</v>
      </c>
      <c r="BA124" s="373"/>
      <c r="BB124" s="372"/>
      <c r="BC124" s="343"/>
      <c r="BD124" s="332">
        <f>SUMIFS(BASE_EX!$J:$J,BASE_EX!$B:$B,'Direct Charge'!$A124,BASE_EX!$C:$C,"setembro")</f>
        <v>0</v>
      </c>
      <c r="BE124" s="373"/>
      <c r="BF124" s="372"/>
      <c r="BG124" s="343"/>
      <c r="BH124" s="332">
        <f>SUMIFS(BASE_EX!$J:$J,BASE_EX!$B:$B,'Direct Charge'!$A124,BASE_EX!$C:$C,"outubro")</f>
        <v>0</v>
      </c>
      <c r="BI124" s="373"/>
      <c r="BJ124" s="372"/>
      <c r="BK124" s="343"/>
      <c r="BL124" s="332">
        <f>SUMIFS(BASE_EX!$J:$J,BASE_EX!$B:$B,'Direct Charge'!$A124,BASE_EX!$C:$C,"novembro")</f>
        <v>0</v>
      </c>
      <c r="BM124" s="373"/>
      <c r="BN124" s="372"/>
      <c r="BO124" s="343"/>
      <c r="BP124" s="332">
        <f>SUMIFS(BASE_EX!$J:$J,BASE_EX!$B:$B,'Direct Charge'!$A124,BASE_EX!$C:$C,"dezembro")</f>
        <v>0</v>
      </c>
      <c r="BQ124" s="373"/>
      <c r="BR124" s="452"/>
      <c r="BS124" s="156">
        <f t="shared" si="23"/>
        <v>0</v>
      </c>
      <c r="BT124" s="320">
        <f t="shared" si="24"/>
        <v>0</v>
      </c>
      <c r="BU124" s="157" t="e">
        <f>SUM(L124,M124,N124,O124,U124)-#REF!</f>
        <v>#REF!</v>
      </c>
      <c r="BV124" s="346">
        <f t="shared" si="25"/>
        <v>0</v>
      </c>
      <c r="BW124" s="344" t="str">
        <f>IFERROR(VLOOKUP($A124,'BASE_558 EX'!$D:$R,8,FALSE),"")</f>
        <v xml:space="preserve">           50.000,00</v>
      </c>
      <c r="BX124" s="344" t="str">
        <f>IFERROR(VLOOKUP($A124,'BASE_558 EX'!$D:$R,9,FALSE),"")</f>
        <v xml:space="preserve">           41.134,87</v>
      </c>
      <c r="BY124" s="344" t="str">
        <f>IFERROR(VLOOKUP($A124,'BASE_558 EX'!$D:$R,10,FALSE),"")</f>
        <v xml:space="preserve">                0,00</v>
      </c>
      <c r="BZ124" s="344" t="str">
        <f>IFERROR(VLOOKUP($A124,'BASE_558 EX'!$D:$R,11,FALSE),"")</f>
        <v xml:space="preserve">                0,00</v>
      </c>
      <c r="CA124" s="344">
        <f>IFERROR(IF(BASE_558!$P$14="RemOrdPla",(VLOOKUP(A124,BASE_558!D:R,14)/1000),(VLOOKUP(A124,BASE_558!D:R,13)/1000)),"")</f>
        <v>103.24843</v>
      </c>
      <c r="CB124" s="344" t="str">
        <f>IFERROR(VLOOKUP($A124,'BASE_558 EX'!$D:$R,15,FALSE),"")</f>
        <v xml:space="preserve">            8.865,13</v>
      </c>
      <c r="CC124" s="442"/>
      <c r="CD124" s="442">
        <f t="shared" si="26"/>
        <v>0</v>
      </c>
    </row>
    <row r="125" spans="1:82" s="23" customFormat="1" ht="25.4" customHeight="1">
      <c r="A125" s="309" t="s">
        <v>1127</v>
      </c>
      <c r="B125" s="309" t="s">
        <v>1887</v>
      </c>
      <c r="C125" s="187">
        <v>44434</v>
      </c>
      <c r="D125" s="381" t="s">
        <v>474</v>
      </c>
      <c r="E125" s="361" t="s">
        <v>2259</v>
      </c>
      <c r="F125" s="381" t="s">
        <v>176</v>
      </c>
      <c r="G125" s="340" t="s">
        <v>1083</v>
      </c>
      <c r="H125" s="339" t="s">
        <v>614</v>
      </c>
      <c r="I125" s="45" t="s">
        <v>218</v>
      </c>
      <c r="J125" s="83" t="s">
        <v>462</v>
      </c>
      <c r="K125" s="7" t="s">
        <v>2722</v>
      </c>
      <c r="L125" s="206"/>
      <c r="M125" s="206">
        <v>9284.07</v>
      </c>
      <c r="N125" s="206">
        <v>135045.5</v>
      </c>
      <c r="O125" s="206">
        <v>0</v>
      </c>
      <c r="P125" s="206">
        <v>63315.05</v>
      </c>
      <c r="Q125" s="206">
        <f t="shared" si="21"/>
        <v>0</v>
      </c>
      <c r="R125" s="206"/>
      <c r="S125" s="206"/>
      <c r="T125" s="223"/>
      <c r="U125" s="169">
        <f t="shared" si="22"/>
        <v>0</v>
      </c>
      <c r="V125" s="372">
        <v>0</v>
      </c>
      <c r="W125" s="343"/>
      <c r="X125" s="332">
        <f>SUMIFS(BASE_EX!$J:$J,BASE_EX!$B:$B,'Direct Charge'!$A125,BASE_EX!$C:$C,"janeiro")</f>
        <v>0</v>
      </c>
      <c r="Y125" s="373"/>
      <c r="Z125" s="372">
        <v>0</v>
      </c>
      <c r="AA125" s="343"/>
      <c r="AB125" s="332">
        <f>SUMIFS(BASE_EX!$J:$J,BASE_EX!$B:$B,'Direct Charge'!$A125,BASE_EX!$C:$C,"fevereiro")</f>
        <v>0</v>
      </c>
      <c r="AC125" s="373"/>
      <c r="AD125" s="372"/>
      <c r="AE125" s="343"/>
      <c r="AF125" s="332">
        <f>SUMIFS(BASE_EX!$J:$J,BASE_EX!$B:$B,'Direct Charge'!$A125,BASE_EX!$C:$C,"março")</f>
        <v>0</v>
      </c>
      <c r="AG125" s="373"/>
      <c r="AH125" s="372"/>
      <c r="AI125" s="343"/>
      <c r="AJ125" s="332">
        <f>SUMIFS(BASE_EX!$J:$J,BASE_EX!$B:$B,'Direct Charge'!$A125,BASE_EX!$C:$C,"abril")</f>
        <v>0</v>
      </c>
      <c r="AK125" s="373"/>
      <c r="AL125" s="372"/>
      <c r="AM125" s="343"/>
      <c r="AN125" s="332">
        <f>SUMIFS(BASE_EX!$J:$J,BASE_EX!$B:$B,'Direct Charge'!$A125,BASE_EX!$C:$C,"maio")</f>
        <v>0</v>
      </c>
      <c r="AO125" s="373"/>
      <c r="AP125" s="372"/>
      <c r="AQ125" s="343"/>
      <c r="AR125" s="332">
        <f>SUMIFS(BASE_EX!$J:$J,BASE_EX!$B:$B,'Direct Charge'!$A125,BASE_EX!$C:$C,"junho")</f>
        <v>0</v>
      </c>
      <c r="AS125" s="373"/>
      <c r="AT125" s="372"/>
      <c r="AU125" s="343"/>
      <c r="AV125" s="332">
        <f>SUMIFS(BASE_EX!$J:$J,BASE_EX!$B:$B,'Direct Charge'!$A125,BASE_EX!$C:$C,"julho")</f>
        <v>0</v>
      </c>
      <c r="AW125" s="373"/>
      <c r="AX125" s="372"/>
      <c r="AY125" s="343"/>
      <c r="AZ125" s="332">
        <f>SUMIFS(BASE_EX!$J:$J,BASE_EX!$B:$B,'Direct Charge'!$A125,BASE_EX!$C:$C,"agosto")</f>
        <v>0</v>
      </c>
      <c r="BA125" s="373"/>
      <c r="BB125" s="372"/>
      <c r="BC125" s="343"/>
      <c r="BD125" s="332">
        <f>SUMIFS(BASE_EX!$J:$J,BASE_EX!$B:$B,'Direct Charge'!$A125,BASE_EX!$C:$C,"setembro")</f>
        <v>0</v>
      </c>
      <c r="BE125" s="373"/>
      <c r="BF125" s="372"/>
      <c r="BG125" s="343"/>
      <c r="BH125" s="332">
        <f>SUMIFS(BASE_EX!$J:$J,BASE_EX!$B:$B,'Direct Charge'!$A125,BASE_EX!$C:$C,"outubro")</f>
        <v>0</v>
      </c>
      <c r="BI125" s="373"/>
      <c r="BJ125" s="372"/>
      <c r="BK125" s="343"/>
      <c r="BL125" s="332">
        <f>SUMIFS(BASE_EX!$J:$J,BASE_EX!$B:$B,'Direct Charge'!$A125,BASE_EX!$C:$C,"novembro")</f>
        <v>0</v>
      </c>
      <c r="BM125" s="373"/>
      <c r="BN125" s="372"/>
      <c r="BO125" s="343"/>
      <c r="BP125" s="332">
        <f>SUMIFS(BASE_EX!$J:$J,BASE_EX!$B:$B,'Direct Charge'!$A125,BASE_EX!$C:$C,"dezembro")</f>
        <v>0</v>
      </c>
      <c r="BQ125" s="373"/>
      <c r="BR125" s="452"/>
      <c r="BS125" s="156">
        <f t="shared" si="23"/>
        <v>0</v>
      </c>
      <c r="BT125" s="320">
        <f t="shared" si="24"/>
        <v>0</v>
      </c>
      <c r="BU125" s="157" t="e">
        <f>SUM(L125,M125,N125,O125,U125)-#REF!</f>
        <v>#REF!</v>
      </c>
      <c r="BV125" s="346">
        <f t="shared" si="25"/>
        <v>0</v>
      </c>
      <c r="BW125" s="344" t="str">
        <f>IFERROR(VLOOKUP($A125,'BASE_558 EX'!$D:$R,8,FALSE),"")</f>
        <v xml:space="preserve">          213.521,24</v>
      </c>
      <c r="BX125" s="344" t="str">
        <f>IFERROR(VLOOKUP($A125,'BASE_558 EX'!$D:$R,9,FALSE),"")</f>
        <v xml:space="preserve">          207.644,62</v>
      </c>
      <c r="BY125" s="344" t="str">
        <f>IFERROR(VLOOKUP($A125,'BASE_558 EX'!$D:$R,10,FALSE),"")</f>
        <v xml:space="preserve">                0,00</v>
      </c>
      <c r="BZ125" s="344" t="str">
        <f>IFERROR(VLOOKUP($A125,'BASE_558 EX'!$D:$R,11,FALSE),"")</f>
        <v xml:space="preserve">                0,00</v>
      </c>
      <c r="CA125" s="344">
        <f>IFERROR(IF(BASE_558!$P$14="RemOrdPla",(VLOOKUP(A125,BASE_558!D:R,14)/1000),(VLOOKUP(A125,BASE_558!D:R,13)/1000)),"")</f>
        <v>327.54237000000001</v>
      </c>
      <c r="CB125" s="344" t="str">
        <f>IFERROR(VLOOKUP($A125,'BASE_558 EX'!$D:$R,15,FALSE),"")</f>
        <v xml:space="preserve">            5.876,62</v>
      </c>
      <c r="CC125" s="442"/>
      <c r="CD125" s="442">
        <f t="shared" si="26"/>
        <v>0</v>
      </c>
    </row>
    <row r="126" spans="1:82" s="23" customFormat="1" ht="25.4" customHeight="1">
      <c r="A126" s="309" t="s">
        <v>1015</v>
      </c>
      <c r="B126" s="309" t="s">
        <v>1888</v>
      </c>
      <c r="C126" s="187">
        <v>44354</v>
      </c>
      <c r="D126" s="381" t="s">
        <v>474</v>
      </c>
      <c r="E126" s="309" t="s">
        <v>474</v>
      </c>
      <c r="F126" s="381" t="s">
        <v>176</v>
      </c>
      <c r="G126" s="340" t="s">
        <v>947</v>
      </c>
      <c r="H126" s="339" t="s">
        <v>614</v>
      </c>
      <c r="I126" s="45" t="s">
        <v>218</v>
      </c>
      <c r="J126" s="83" t="s">
        <v>462</v>
      </c>
      <c r="K126" s="46" t="s">
        <v>1600</v>
      </c>
      <c r="L126" s="206"/>
      <c r="M126" s="206">
        <v>29206.97</v>
      </c>
      <c r="N126" s="206">
        <v>6942.27</v>
      </c>
      <c r="O126" s="206">
        <v>0</v>
      </c>
      <c r="P126" s="206"/>
      <c r="Q126" s="206">
        <f t="shared" si="21"/>
        <v>0</v>
      </c>
      <c r="R126" s="206"/>
      <c r="S126" s="206"/>
      <c r="T126" s="223"/>
      <c r="U126" s="169">
        <f t="shared" si="22"/>
        <v>0</v>
      </c>
      <c r="V126" s="372">
        <v>0</v>
      </c>
      <c r="W126" s="343"/>
      <c r="X126" s="332">
        <f>SUMIFS(BASE_EX!$J:$J,BASE_EX!$B:$B,'Direct Charge'!$A126,BASE_EX!$C:$C,"janeiro")</f>
        <v>0</v>
      </c>
      <c r="Y126" s="373"/>
      <c r="Z126" s="372">
        <v>0</v>
      </c>
      <c r="AA126" s="343"/>
      <c r="AB126" s="332">
        <f>SUMIFS(BASE_EX!$J:$J,BASE_EX!$B:$B,'Direct Charge'!$A126,BASE_EX!$C:$C,"fevereiro")</f>
        <v>0</v>
      </c>
      <c r="AC126" s="373"/>
      <c r="AD126" s="372"/>
      <c r="AE126" s="343"/>
      <c r="AF126" s="332">
        <f>SUMIFS(BASE_EX!$J:$J,BASE_EX!$B:$B,'Direct Charge'!$A126,BASE_EX!$C:$C,"março")</f>
        <v>0</v>
      </c>
      <c r="AG126" s="373"/>
      <c r="AH126" s="372"/>
      <c r="AI126" s="343"/>
      <c r="AJ126" s="332">
        <f>SUMIFS(BASE_EX!$J:$J,BASE_EX!$B:$B,'Direct Charge'!$A126,BASE_EX!$C:$C,"abril")</f>
        <v>0</v>
      </c>
      <c r="AK126" s="373"/>
      <c r="AL126" s="372"/>
      <c r="AM126" s="343"/>
      <c r="AN126" s="332">
        <f>SUMIFS(BASE_EX!$J:$J,BASE_EX!$B:$B,'Direct Charge'!$A126,BASE_EX!$C:$C,"maio")</f>
        <v>0</v>
      </c>
      <c r="AO126" s="373"/>
      <c r="AP126" s="372"/>
      <c r="AQ126" s="343"/>
      <c r="AR126" s="332">
        <f>SUMIFS(BASE_EX!$J:$J,BASE_EX!$B:$B,'Direct Charge'!$A126,BASE_EX!$C:$C,"junho")</f>
        <v>0</v>
      </c>
      <c r="AS126" s="373"/>
      <c r="AT126" s="372"/>
      <c r="AU126" s="343"/>
      <c r="AV126" s="332">
        <f>SUMIFS(BASE_EX!$J:$J,BASE_EX!$B:$B,'Direct Charge'!$A126,BASE_EX!$C:$C,"julho")</f>
        <v>0</v>
      </c>
      <c r="AW126" s="373"/>
      <c r="AX126" s="372"/>
      <c r="AY126" s="343"/>
      <c r="AZ126" s="332">
        <f>SUMIFS(BASE_EX!$J:$J,BASE_EX!$B:$B,'Direct Charge'!$A126,BASE_EX!$C:$C,"agosto")</f>
        <v>0</v>
      </c>
      <c r="BA126" s="373"/>
      <c r="BB126" s="372"/>
      <c r="BC126" s="343"/>
      <c r="BD126" s="332">
        <f>SUMIFS(BASE_EX!$J:$J,BASE_EX!$B:$B,'Direct Charge'!$A126,BASE_EX!$C:$C,"setembro")</f>
        <v>0</v>
      </c>
      <c r="BE126" s="373"/>
      <c r="BF126" s="372"/>
      <c r="BG126" s="343"/>
      <c r="BH126" s="332">
        <f>SUMIFS(BASE_EX!$J:$J,BASE_EX!$B:$B,'Direct Charge'!$A126,BASE_EX!$C:$C,"outubro")</f>
        <v>0</v>
      </c>
      <c r="BI126" s="373"/>
      <c r="BJ126" s="372"/>
      <c r="BK126" s="343"/>
      <c r="BL126" s="332">
        <f>SUMIFS(BASE_EX!$J:$J,BASE_EX!$B:$B,'Direct Charge'!$A126,BASE_EX!$C:$C,"novembro")</f>
        <v>0</v>
      </c>
      <c r="BM126" s="373"/>
      <c r="BN126" s="372"/>
      <c r="BO126" s="343"/>
      <c r="BP126" s="332">
        <f>SUMIFS(BASE_EX!$J:$J,BASE_EX!$B:$B,'Direct Charge'!$A126,BASE_EX!$C:$C,"dezembro")</f>
        <v>0</v>
      </c>
      <c r="BQ126" s="373"/>
      <c r="BR126" s="452"/>
      <c r="BS126" s="156">
        <f t="shared" si="23"/>
        <v>0</v>
      </c>
      <c r="BT126" s="320">
        <f t="shared" si="24"/>
        <v>0</v>
      </c>
      <c r="BU126" s="157" t="e">
        <f>SUM(L126,M126,N126,O126,U126)-#REF!</f>
        <v>#REF!</v>
      </c>
      <c r="BV126" s="346">
        <f t="shared" si="25"/>
        <v>0</v>
      </c>
      <c r="BW126" s="344" t="str">
        <f>IFERROR(VLOOKUP($A126,'BASE_558 EX'!$D:$R,8,FALSE),"")</f>
        <v xml:space="preserve">           35.952,00</v>
      </c>
      <c r="BX126" s="344" t="str">
        <f>IFERROR(VLOOKUP($A126,'BASE_558 EX'!$D:$R,9,FALSE),"")</f>
        <v xml:space="preserve">           36.149,24</v>
      </c>
      <c r="BY126" s="344" t="str">
        <f>IFERROR(VLOOKUP($A126,'BASE_558 EX'!$D:$R,10,FALSE),"")</f>
        <v xml:space="preserve">                0,00</v>
      </c>
      <c r="BZ126" s="344" t="str">
        <f>IFERROR(VLOOKUP($A126,'BASE_558 EX'!$D:$R,11,FALSE),"")</f>
        <v xml:space="preserve">                0,00</v>
      </c>
      <c r="CA126" s="344">
        <f>IFERROR(IF(BASE_558!$P$14="RemOrdPla",(VLOOKUP(A126,BASE_558!D:R,14)/1000),(VLOOKUP(A126,BASE_558!D:R,13)/1000)),"")</f>
        <v>95.603030000000004</v>
      </c>
      <c r="CB126" s="344" t="str">
        <f>IFERROR(VLOOKUP($A126,'BASE_558 EX'!$D:$R,15,FALSE),"")</f>
        <v>-197,24</v>
      </c>
      <c r="CC126" s="442"/>
      <c r="CD126" s="442">
        <f t="shared" si="26"/>
        <v>0</v>
      </c>
    </row>
    <row r="127" spans="1:82" s="23" customFormat="1" ht="25.4" customHeight="1">
      <c r="A127" s="309" t="s">
        <v>1038</v>
      </c>
      <c r="B127" s="309" t="s">
        <v>1889</v>
      </c>
      <c r="C127" s="187">
        <v>44369</v>
      </c>
      <c r="D127" s="381" t="s">
        <v>946</v>
      </c>
      <c r="E127" s="361" t="s">
        <v>2251</v>
      </c>
      <c r="F127" s="381" t="s">
        <v>176</v>
      </c>
      <c r="G127" s="342" t="s">
        <v>1074</v>
      </c>
      <c r="H127" s="339" t="s">
        <v>614</v>
      </c>
      <c r="I127" s="45" t="s">
        <v>195</v>
      </c>
      <c r="J127" s="83" t="s">
        <v>219</v>
      </c>
      <c r="K127" s="523" t="s">
        <v>12250</v>
      </c>
      <c r="L127" s="206"/>
      <c r="M127" s="206">
        <v>0</v>
      </c>
      <c r="N127" s="206">
        <v>0</v>
      </c>
      <c r="O127" s="206">
        <v>0</v>
      </c>
      <c r="P127" s="206"/>
      <c r="Q127" s="206">
        <f t="shared" si="21"/>
        <v>0</v>
      </c>
      <c r="R127" s="206"/>
      <c r="S127" s="206"/>
      <c r="T127" s="223"/>
      <c r="U127" s="169">
        <f t="shared" si="22"/>
        <v>0</v>
      </c>
      <c r="V127" s="372">
        <v>0</v>
      </c>
      <c r="W127" s="343"/>
      <c r="X127" s="332">
        <f>SUMIFS(BASE_EX!$J:$J,BASE_EX!$B:$B,'Direct Charge'!$A127,BASE_EX!$C:$C,"janeiro")</f>
        <v>0</v>
      </c>
      <c r="Y127" s="373"/>
      <c r="Z127" s="372">
        <v>0</v>
      </c>
      <c r="AA127" s="343"/>
      <c r="AB127" s="332">
        <f>SUMIFS(BASE_EX!$J:$J,BASE_EX!$B:$B,'Direct Charge'!$A127,BASE_EX!$C:$C,"fevereiro")</f>
        <v>0</v>
      </c>
      <c r="AC127" s="373"/>
      <c r="AD127" s="372"/>
      <c r="AE127" s="343"/>
      <c r="AF127" s="332">
        <f>SUMIFS(BASE_EX!$J:$J,BASE_EX!$B:$B,'Direct Charge'!$A127,BASE_EX!$C:$C,"março")</f>
        <v>0</v>
      </c>
      <c r="AG127" s="373"/>
      <c r="AH127" s="372"/>
      <c r="AI127" s="343"/>
      <c r="AJ127" s="332">
        <f>SUMIFS(BASE_EX!$J:$J,BASE_EX!$B:$B,'Direct Charge'!$A127,BASE_EX!$C:$C,"abril")</f>
        <v>0</v>
      </c>
      <c r="AK127" s="373"/>
      <c r="AL127" s="372"/>
      <c r="AM127" s="343"/>
      <c r="AN127" s="332">
        <f>SUMIFS(BASE_EX!$J:$J,BASE_EX!$B:$B,'Direct Charge'!$A127,BASE_EX!$C:$C,"maio")</f>
        <v>0</v>
      </c>
      <c r="AO127" s="373"/>
      <c r="AP127" s="372"/>
      <c r="AQ127" s="343"/>
      <c r="AR127" s="332">
        <f>SUMIFS(BASE_EX!$J:$J,BASE_EX!$B:$B,'Direct Charge'!$A127,BASE_EX!$C:$C,"junho")</f>
        <v>0</v>
      </c>
      <c r="AS127" s="373"/>
      <c r="AT127" s="372"/>
      <c r="AU127" s="343"/>
      <c r="AV127" s="332">
        <f>SUMIFS(BASE_EX!$J:$J,BASE_EX!$B:$B,'Direct Charge'!$A127,BASE_EX!$C:$C,"julho")</f>
        <v>0</v>
      </c>
      <c r="AW127" s="373"/>
      <c r="AX127" s="372"/>
      <c r="AY127" s="343"/>
      <c r="AZ127" s="332">
        <f>SUMIFS(BASE_EX!$J:$J,BASE_EX!$B:$B,'Direct Charge'!$A127,BASE_EX!$C:$C,"agosto")</f>
        <v>0</v>
      </c>
      <c r="BA127" s="373"/>
      <c r="BB127" s="372"/>
      <c r="BC127" s="343"/>
      <c r="BD127" s="332">
        <f>SUMIFS(BASE_EX!$J:$J,BASE_EX!$B:$B,'Direct Charge'!$A127,BASE_EX!$C:$C,"setembro")</f>
        <v>0</v>
      </c>
      <c r="BE127" s="373"/>
      <c r="BF127" s="372"/>
      <c r="BG127" s="343"/>
      <c r="BH127" s="332">
        <f>SUMIFS(BASE_EX!$J:$J,BASE_EX!$B:$B,'Direct Charge'!$A127,BASE_EX!$C:$C,"outubro")</f>
        <v>0</v>
      </c>
      <c r="BI127" s="373"/>
      <c r="BJ127" s="372"/>
      <c r="BK127" s="343"/>
      <c r="BL127" s="332">
        <f>SUMIFS(BASE_EX!$J:$J,BASE_EX!$B:$B,'Direct Charge'!$A127,BASE_EX!$C:$C,"novembro")</f>
        <v>0</v>
      </c>
      <c r="BM127" s="373"/>
      <c r="BN127" s="372"/>
      <c r="BO127" s="343"/>
      <c r="BP127" s="332">
        <f>SUMIFS(BASE_EX!$J:$J,BASE_EX!$B:$B,'Direct Charge'!$A127,BASE_EX!$C:$C,"dezembro")</f>
        <v>0</v>
      </c>
      <c r="BQ127" s="373"/>
      <c r="BR127" s="452"/>
      <c r="BS127" s="156">
        <f t="shared" si="23"/>
        <v>0</v>
      </c>
      <c r="BT127" s="320">
        <f t="shared" si="24"/>
        <v>0</v>
      </c>
      <c r="BU127" s="157" t="e">
        <f>SUM(L127,M127,N127,O127,U127)-#REF!</f>
        <v>#REF!</v>
      </c>
      <c r="BV127" s="346">
        <f t="shared" si="25"/>
        <v>0</v>
      </c>
      <c r="BW127" s="344" t="str">
        <f>IFERROR(VLOOKUP($A127,'BASE_558 EX'!$D:$R,8,FALSE),"")</f>
        <v xml:space="preserve">           10.000,00</v>
      </c>
      <c r="BX127" s="344" t="str">
        <f>IFERROR(VLOOKUP($A127,'BASE_558 EX'!$D:$R,9,FALSE),"")</f>
        <v xml:space="preserve">                0,00</v>
      </c>
      <c r="BY127" s="344" t="str">
        <f>IFERROR(VLOOKUP($A127,'BASE_558 EX'!$D:$R,10,FALSE),"")</f>
        <v xml:space="preserve">                0,00</v>
      </c>
      <c r="BZ127" s="344" t="str">
        <f>IFERROR(VLOOKUP($A127,'BASE_558 EX'!$D:$R,11,FALSE),"")</f>
        <v xml:space="preserve">                0,00</v>
      </c>
      <c r="CA127" s="344">
        <f>IFERROR(IF(BASE_558!$P$14="RemOrdPla",(VLOOKUP(A127,BASE_558!D:R,14)/1000),(VLOOKUP(A127,BASE_558!D:R,13)/1000)),"")</f>
        <v>56.943449999999999</v>
      </c>
      <c r="CB127" s="344" t="str">
        <f>IFERROR(VLOOKUP($A127,'BASE_558 EX'!$D:$R,15,FALSE),"")</f>
        <v xml:space="preserve">           10.000,00</v>
      </c>
      <c r="CC127" s="442"/>
      <c r="CD127" s="442">
        <f t="shared" si="26"/>
        <v>0</v>
      </c>
    </row>
    <row r="128" spans="1:82" s="23" customFormat="1" ht="25.4" customHeight="1">
      <c r="A128" s="309" t="s">
        <v>1317</v>
      </c>
      <c r="B128" s="309" t="s">
        <v>1924</v>
      </c>
      <c r="C128" s="187">
        <v>44357</v>
      </c>
      <c r="D128" s="381" t="s">
        <v>2863</v>
      </c>
      <c r="E128" s="309" t="s">
        <v>1707</v>
      </c>
      <c r="F128" s="381" t="s">
        <v>176</v>
      </c>
      <c r="G128" s="340" t="s">
        <v>1318</v>
      </c>
      <c r="H128" s="339" t="s">
        <v>8878</v>
      </c>
      <c r="I128" s="45" t="s">
        <v>218</v>
      </c>
      <c r="J128" s="125" t="s">
        <v>462</v>
      </c>
      <c r="K128" s="7" t="s">
        <v>1600</v>
      </c>
      <c r="L128" s="206"/>
      <c r="M128" s="206">
        <v>10345.019999999999</v>
      </c>
      <c r="N128" s="206">
        <v>6790.38</v>
      </c>
      <c r="O128" s="206">
        <v>0</v>
      </c>
      <c r="P128" s="206"/>
      <c r="Q128" s="206">
        <f t="shared" si="21"/>
        <v>0</v>
      </c>
      <c r="R128" s="206"/>
      <c r="S128" s="206"/>
      <c r="T128" s="223"/>
      <c r="U128" s="169">
        <f t="shared" si="22"/>
        <v>0</v>
      </c>
      <c r="V128" s="372">
        <v>0</v>
      </c>
      <c r="W128" s="343"/>
      <c r="X128" s="332">
        <f>SUMIFS(BASE_EX!$J:$J,BASE_EX!$B:$B,'Direct Charge'!$A128,BASE_EX!$C:$C,"janeiro")</f>
        <v>0</v>
      </c>
      <c r="Y128" s="373"/>
      <c r="Z128" s="372">
        <v>0</v>
      </c>
      <c r="AA128" s="343"/>
      <c r="AB128" s="332">
        <f>SUMIFS(BASE_EX!$J:$J,BASE_EX!$B:$B,'Direct Charge'!$A128,BASE_EX!$C:$C,"fevereiro")</f>
        <v>0</v>
      </c>
      <c r="AC128" s="373"/>
      <c r="AD128" s="372"/>
      <c r="AE128" s="343"/>
      <c r="AF128" s="332">
        <f>SUMIFS(BASE_EX!$J:$J,BASE_EX!$B:$B,'Direct Charge'!$A128,BASE_EX!$C:$C,"março")</f>
        <v>0</v>
      </c>
      <c r="AG128" s="373"/>
      <c r="AH128" s="372"/>
      <c r="AI128" s="343"/>
      <c r="AJ128" s="332">
        <f>SUMIFS(BASE_EX!$J:$J,BASE_EX!$B:$B,'Direct Charge'!$A128,BASE_EX!$C:$C,"abril")</f>
        <v>0</v>
      </c>
      <c r="AK128" s="373"/>
      <c r="AL128" s="372"/>
      <c r="AM128" s="343"/>
      <c r="AN128" s="332">
        <f>SUMIFS(BASE_EX!$J:$J,BASE_EX!$B:$B,'Direct Charge'!$A128,BASE_EX!$C:$C,"maio")</f>
        <v>0</v>
      </c>
      <c r="AO128" s="373"/>
      <c r="AP128" s="372"/>
      <c r="AQ128" s="343"/>
      <c r="AR128" s="332">
        <f>SUMIFS(BASE_EX!$J:$J,BASE_EX!$B:$B,'Direct Charge'!$A128,BASE_EX!$C:$C,"junho")</f>
        <v>0</v>
      </c>
      <c r="AS128" s="373"/>
      <c r="AT128" s="372"/>
      <c r="AU128" s="343"/>
      <c r="AV128" s="332">
        <f>SUMIFS(BASE_EX!$J:$J,BASE_EX!$B:$B,'Direct Charge'!$A128,BASE_EX!$C:$C,"julho")</f>
        <v>0</v>
      </c>
      <c r="AW128" s="373"/>
      <c r="AX128" s="372"/>
      <c r="AY128" s="343"/>
      <c r="AZ128" s="332">
        <f>SUMIFS(BASE_EX!$J:$J,BASE_EX!$B:$B,'Direct Charge'!$A128,BASE_EX!$C:$C,"agosto")</f>
        <v>0</v>
      </c>
      <c r="BA128" s="373"/>
      <c r="BB128" s="372"/>
      <c r="BC128" s="343"/>
      <c r="BD128" s="332">
        <f>SUMIFS(BASE_EX!$J:$J,BASE_EX!$B:$B,'Direct Charge'!$A128,BASE_EX!$C:$C,"setembro")</f>
        <v>0</v>
      </c>
      <c r="BE128" s="373"/>
      <c r="BF128" s="372"/>
      <c r="BG128" s="343"/>
      <c r="BH128" s="332">
        <f>SUMIFS(BASE_EX!$J:$J,BASE_EX!$B:$B,'Direct Charge'!$A128,BASE_EX!$C:$C,"outubro")</f>
        <v>0</v>
      </c>
      <c r="BI128" s="373"/>
      <c r="BJ128" s="372"/>
      <c r="BK128" s="343"/>
      <c r="BL128" s="332">
        <f>SUMIFS(BASE_EX!$J:$J,BASE_EX!$B:$B,'Direct Charge'!$A128,BASE_EX!$C:$C,"novembro")</f>
        <v>0</v>
      </c>
      <c r="BM128" s="373"/>
      <c r="BN128" s="372"/>
      <c r="BO128" s="343"/>
      <c r="BP128" s="332">
        <f>SUMIFS(BASE_EX!$J:$J,BASE_EX!$B:$B,'Direct Charge'!$A128,BASE_EX!$C:$C,"dezembro")</f>
        <v>0</v>
      </c>
      <c r="BQ128" s="373"/>
      <c r="BR128" s="452"/>
      <c r="BS128" s="156">
        <f t="shared" si="23"/>
        <v>0</v>
      </c>
      <c r="BT128" s="320">
        <f t="shared" si="24"/>
        <v>0</v>
      </c>
      <c r="BU128" s="157" t="e">
        <f>SUM(L128,M128,N128,O128,U128)-#REF!</f>
        <v>#REF!</v>
      </c>
      <c r="BV128" s="346">
        <f t="shared" si="25"/>
        <v>0</v>
      </c>
      <c r="BW128" s="344" t="str">
        <f>IFERROR(VLOOKUP($A128,'BASE_558 EX'!$D:$R,8,FALSE),"")</f>
        <v xml:space="preserve">          312.000,00</v>
      </c>
      <c r="BX128" s="344" t="str">
        <f>IFERROR(VLOOKUP($A128,'BASE_558 EX'!$D:$R,9,FALSE),"")</f>
        <v xml:space="preserve">           17.135,40</v>
      </c>
      <c r="BY128" s="344" t="str">
        <f>IFERROR(VLOOKUP($A128,'BASE_558 EX'!$D:$R,10,FALSE),"")</f>
        <v xml:space="preserve">                0,00</v>
      </c>
      <c r="BZ128" s="344" t="str">
        <f>IFERROR(VLOOKUP($A128,'BASE_558 EX'!$D:$R,11,FALSE),"")</f>
        <v xml:space="preserve">                0,00</v>
      </c>
      <c r="CA128" s="344">
        <f>IFERROR(IF(BASE_558!$P$14="RemOrdPla",(VLOOKUP(A128,BASE_558!D:R,14)/1000),(VLOOKUP(A128,BASE_558!D:R,13)/1000)),"")</f>
        <v>183.27967999999998</v>
      </c>
      <c r="CB128" s="344" t="str">
        <f>IFERROR(VLOOKUP($A128,'BASE_558 EX'!$D:$R,15,FALSE),"")</f>
        <v xml:space="preserve">          294.864,60</v>
      </c>
      <c r="CC128" s="442"/>
      <c r="CD128" s="442">
        <f t="shared" si="26"/>
        <v>0</v>
      </c>
    </row>
    <row r="129" spans="1:82" s="23" customFormat="1" ht="25.4" customHeight="1">
      <c r="A129" s="309" t="s">
        <v>1082</v>
      </c>
      <c r="B129" s="309" t="s">
        <v>1890</v>
      </c>
      <c r="C129" s="187">
        <v>44397</v>
      </c>
      <c r="D129" s="381" t="s">
        <v>2866</v>
      </c>
      <c r="E129" s="381" t="s">
        <v>704</v>
      </c>
      <c r="F129" s="381" t="s">
        <v>176</v>
      </c>
      <c r="G129" s="340" t="s">
        <v>1034</v>
      </c>
      <c r="H129" s="339" t="s">
        <v>614</v>
      </c>
      <c r="I129" s="6" t="s">
        <v>463</v>
      </c>
      <c r="J129" s="83" t="s">
        <v>219</v>
      </c>
      <c r="K129" s="7" t="s">
        <v>738</v>
      </c>
      <c r="L129" s="206"/>
      <c r="M129" s="206">
        <v>4536.21</v>
      </c>
      <c r="N129" s="206">
        <v>3600.1000000000004</v>
      </c>
      <c r="O129" s="206">
        <v>0</v>
      </c>
      <c r="P129" s="206"/>
      <c r="Q129" s="206">
        <f t="shared" si="21"/>
        <v>0</v>
      </c>
      <c r="R129" s="206"/>
      <c r="S129" s="206"/>
      <c r="T129" s="223"/>
      <c r="U129" s="169">
        <f t="shared" si="22"/>
        <v>0</v>
      </c>
      <c r="V129" s="372">
        <v>0</v>
      </c>
      <c r="W129" s="343"/>
      <c r="X129" s="332">
        <f>SUMIFS(BASE_EX!$J:$J,BASE_EX!$B:$B,'Direct Charge'!$A129,BASE_EX!$C:$C,"janeiro")</f>
        <v>0</v>
      </c>
      <c r="Y129" s="373"/>
      <c r="Z129" s="372">
        <v>0</v>
      </c>
      <c r="AA129" s="343"/>
      <c r="AB129" s="332">
        <f>SUMIFS(BASE_EX!$J:$J,BASE_EX!$B:$B,'Direct Charge'!$A129,BASE_EX!$C:$C,"fevereiro")</f>
        <v>0</v>
      </c>
      <c r="AC129" s="373"/>
      <c r="AD129" s="372"/>
      <c r="AE129" s="343"/>
      <c r="AF129" s="332">
        <f>SUMIFS(BASE_EX!$J:$J,BASE_EX!$B:$B,'Direct Charge'!$A129,BASE_EX!$C:$C,"março")</f>
        <v>0</v>
      </c>
      <c r="AG129" s="373"/>
      <c r="AH129" s="372"/>
      <c r="AI129" s="343"/>
      <c r="AJ129" s="332">
        <f>SUMIFS(BASE_EX!$J:$J,BASE_EX!$B:$B,'Direct Charge'!$A129,BASE_EX!$C:$C,"abril")</f>
        <v>0</v>
      </c>
      <c r="AK129" s="373"/>
      <c r="AL129" s="372"/>
      <c r="AM129" s="343"/>
      <c r="AN129" s="332">
        <f>SUMIFS(BASE_EX!$J:$J,BASE_EX!$B:$B,'Direct Charge'!$A129,BASE_EX!$C:$C,"maio")</f>
        <v>0</v>
      </c>
      <c r="AO129" s="373"/>
      <c r="AP129" s="372"/>
      <c r="AQ129" s="343"/>
      <c r="AR129" s="332">
        <f>SUMIFS(BASE_EX!$J:$J,BASE_EX!$B:$B,'Direct Charge'!$A129,BASE_EX!$C:$C,"junho")</f>
        <v>0</v>
      </c>
      <c r="AS129" s="373"/>
      <c r="AT129" s="372"/>
      <c r="AU129" s="343"/>
      <c r="AV129" s="332">
        <f>SUMIFS(BASE_EX!$J:$J,BASE_EX!$B:$B,'Direct Charge'!$A129,BASE_EX!$C:$C,"julho")</f>
        <v>0</v>
      </c>
      <c r="AW129" s="373"/>
      <c r="AX129" s="372"/>
      <c r="AY129" s="343"/>
      <c r="AZ129" s="332">
        <f>SUMIFS(BASE_EX!$J:$J,BASE_EX!$B:$B,'Direct Charge'!$A129,BASE_EX!$C:$C,"agosto")</f>
        <v>0</v>
      </c>
      <c r="BA129" s="373"/>
      <c r="BB129" s="372"/>
      <c r="BC129" s="343"/>
      <c r="BD129" s="332">
        <f>SUMIFS(BASE_EX!$J:$J,BASE_EX!$B:$B,'Direct Charge'!$A129,BASE_EX!$C:$C,"setembro")</f>
        <v>0</v>
      </c>
      <c r="BE129" s="373"/>
      <c r="BF129" s="372"/>
      <c r="BG129" s="343"/>
      <c r="BH129" s="332">
        <f>SUMIFS(BASE_EX!$J:$J,BASE_EX!$B:$B,'Direct Charge'!$A129,BASE_EX!$C:$C,"outubro")</f>
        <v>0</v>
      </c>
      <c r="BI129" s="373"/>
      <c r="BJ129" s="372"/>
      <c r="BK129" s="343"/>
      <c r="BL129" s="332">
        <f>SUMIFS(BASE_EX!$J:$J,BASE_EX!$B:$B,'Direct Charge'!$A129,BASE_EX!$C:$C,"novembro")</f>
        <v>0</v>
      </c>
      <c r="BM129" s="373"/>
      <c r="BN129" s="372"/>
      <c r="BO129" s="343"/>
      <c r="BP129" s="332">
        <f>SUMIFS(BASE_EX!$J:$J,BASE_EX!$B:$B,'Direct Charge'!$A129,BASE_EX!$C:$C,"dezembro")</f>
        <v>0</v>
      </c>
      <c r="BQ129" s="373"/>
      <c r="BR129" s="452"/>
      <c r="BS129" s="156">
        <f t="shared" si="23"/>
        <v>0</v>
      </c>
      <c r="BT129" s="320">
        <f t="shared" si="24"/>
        <v>0</v>
      </c>
      <c r="BU129" s="157" t="e">
        <f>SUM(L129,M129,N129,O129,U129)-#REF!</f>
        <v>#REF!</v>
      </c>
      <c r="BV129" s="346">
        <f t="shared" si="25"/>
        <v>0</v>
      </c>
      <c r="BW129" s="344" t="str">
        <f>IFERROR(VLOOKUP($A129,'BASE_558 EX'!$D:$R,8,FALSE),"")</f>
        <v xml:space="preserve">           12.500,00</v>
      </c>
      <c r="BX129" s="344" t="str">
        <f>IFERROR(VLOOKUP($A129,'BASE_558 EX'!$D:$R,9,FALSE),"")</f>
        <v xml:space="preserve">            8.136,31</v>
      </c>
      <c r="BY129" s="344" t="str">
        <f>IFERROR(VLOOKUP($A129,'BASE_558 EX'!$D:$R,10,FALSE),"")</f>
        <v xml:space="preserve">                0,00</v>
      </c>
      <c r="BZ129" s="344" t="str">
        <f>IFERROR(VLOOKUP($A129,'BASE_558 EX'!$D:$R,11,FALSE),"")</f>
        <v xml:space="preserve">                0,00</v>
      </c>
      <c r="CA129" s="344">
        <f>IFERROR(IF(BASE_558!$P$14="RemOrdPla",(VLOOKUP(A129,BASE_558!D:R,14)/1000),(VLOOKUP(A129,BASE_558!D:R,13)/1000)),"")</f>
        <v>276.69410999999997</v>
      </c>
      <c r="CB129" s="344" t="str">
        <f>IFERROR(VLOOKUP($A129,'BASE_558 EX'!$D:$R,15,FALSE),"")</f>
        <v xml:space="preserve">            4.363,69</v>
      </c>
      <c r="CC129" s="442"/>
      <c r="CD129" s="442">
        <f t="shared" si="26"/>
        <v>0</v>
      </c>
    </row>
    <row r="130" spans="1:82" s="23" customFormat="1" ht="25.4" customHeight="1">
      <c r="A130" s="309" t="s">
        <v>1061</v>
      </c>
      <c r="B130" s="309" t="s">
        <v>1876</v>
      </c>
      <c r="C130" s="187">
        <v>44386</v>
      </c>
      <c r="D130" s="381" t="s">
        <v>2866</v>
      </c>
      <c r="E130" s="381" t="s">
        <v>2251</v>
      </c>
      <c r="F130" s="381" t="s">
        <v>176</v>
      </c>
      <c r="G130" s="342" t="s">
        <v>1028</v>
      </c>
      <c r="H130" s="339" t="s">
        <v>614</v>
      </c>
      <c r="I130" s="45" t="s">
        <v>218</v>
      </c>
      <c r="J130" s="125" t="s">
        <v>557</v>
      </c>
      <c r="K130" s="308" t="s">
        <v>2569</v>
      </c>
      <c r="L130" s="206"/>
      <c r="M130" s="206">
        <v>3174.81</v>
      </c>
      <c r="N130" s="206">
        <v>0</v>
      </c>
      <c r="O130" s="206">
        <v>0</v>
      </c>
      <c r="P130" s="206"/>
      <c r="Q130" s="206">
        <f t="shared" si="21"/>
        <v>0</v>
      </c>
      <c r="R130" s="206"/>
      <c r="S130" s="206"/>
      <c r="T130" s="223"/>
      <c r="U130" s="169">
        <f t="shared" si="22"/>
        <v>0</v>
      </c>
      <c r="V130" s="372">
        <v>0</v>
      </c>
      <c r="W130" s="343"/>
      <c r="X130" s="332">
        <f>SUMIFS(BASE_EX!$J:$J,BASE_EX!$B:$B,'Direct Charge'!$A130,BASE_EX!$C:$C,"janeiro")</f>
        <v>0</v>
      </c>
      <c r="Y130" s="373"/>
      <c r="Z130" s="372">
        <v>0</v>
      </c>
      <c r="AA130" s="343"/>
      <c r="AB130" s="332">
        <f>SUMIFS(BASE_EX!$J:$J,BASE_EX!$B:$B,'Direct Charge'!$A130,BASE_EX!$C:$C,"fevereiro")</f>
        <v>0</v>
      </c>
      <c r="AC130" s="373"/>
      <c r="AD130" s="372"/>
      <c r="AE130" s="343"/>
      <c r="AF130" s="332">
        <f>SUMIFS(BASE_EX!$J:$J,BASE_EX!$B:$B,'Direct Charge'!$A130,BASE_EX!$C:$C,"março")</f>
        <v>0</v>
      </c>
      <c r="AG130" s="373"/>
      <c r="AH130" s="372"/>
      <c r="AI130" s="343"/>
      <c r="AJ130" s="332">
        <f>SUMIFS(BASE_EX!$J:$J,BASE_EX!$B:$B,'Direct Charge'!$A130,BASE_EX!$C:$C,"abril")</f>
        <v>0</v>
      </c>
      <c r="AK130" s="373"/>
      <c r="AL130" s="372"/>
      <c r="AM130" s="343"/>
      <c r="AN130" s="332">
        <f>SUMIFS(BASE_EX!$J:$J,BASE_EX!$B:$B,'Direct Charge'!$A130,BASE_EX!$C:$C,"maio")</f>
        <v>0</v>
      </c>
      <c r="AO130" s="373"/>
      <c r="AP130" s="372"/>
      <c r="AQ130" s="343"/>
      <c r="AR130" s="332">
        <f>SUMIFS(BASE_EX!$J:$J,BASE_EX!$B:$B,'Direct Charge'!$A130,BASE_EX!$C:$C,"junho")</f>
        <v>0</v>
      </c>
      <c r="AS130" s="373"/>
      <c r="AT130" s="372"/>
      <c r="AU130" s="343"/>
      <c r="AV130" s="332">
        <f>SUMIFS(BASE_EX!$J:$J,BASE_EX!$B:$B,'Direct Charge'!$A130,BASE_EX!$C:$C,"julho")</f>
        <v>0</v>
      </c>
      <c r="AW130" s="373"/>
      <c r="AX130" s="372"/>
      <c r="AY130" s="343"/>
      <c r="AZ130" s="332">
        <f>SUMIFS(BASE_EX!$J:$J,BASE_EX!$B:$B,'Direct Charge'!$A130,BASE_EX!$C:$C,"agosto")</f>
        <v>0</v>
      </c>
      <c r="BA130" s="373"/>
      <c r="BB130" s="372"/>
      <c r="BC130" s="343"/>
      <c r="BD130" s="332">
        <f>SUMIFS(BASE_EX!$J:$J,BASE_EX!$B:$B,'Direct Charge'!$A130,BASE_EX!$C:$C,"setembro")</f>
        <v>0</v>
      </c>
      <c r="BE130" s="373"/>
      <c r="BF130" s="372"/>
      <c r="BG130" s="343"/>
      <c r="BH130" s="332">
        <f>SUMIFS(BASE_EX!$J:$J,BASE_EX!$B:$B,'Direct Charge'!$A130,BASE_EX!$C:$C,"outubro")</f>
        <v>0</v>
      </c>
      <c r="BI130" s="373"/>
      <c r="BJ130" s="372"/>
      <c r="BK130" s="343"/>
      <c r="BL130" s="332">
        <f>SUMIFS(BASE_EX!$J:$J,BASE_EX!$B:$B,'Direct Charge'!$A130,BASE_EX!$C:$C,"novembro")</f>
        <v>0</v>
      </c>
      <c r="BM130" s="373"/>
      <c r="BN130" s="372"/>
      <c r="BO130" s="343"/>
      <c r="BP130" s="332">
        <f>SUMIFS(BASE_EX!$J:$J,BASE_EX!$B:$B,'Direct Charge'!$A130,BASE_EX!$C:$C,"dezembro")</f>
        <v>0</v>
      </c>
      <c r="BQ130" s="373"/>
      <c r="BR130" s="452"/>
      <c r="BS130" s="156">
        <f t="shared" si="23"/>
        <v>0</v>
      </c>
      <c r="BT130" s="320">
        <f t="shared" si="24"/>
        <v>0</v>
      </c>
      <c r="BU130" s="157" t="e">
        <f>SUM(L130,M130,N130,O130,U130)-#REF!</f>
        <v>#REF!</v>
      </c>
      <c r="BV130" s="346">
        <f t="shared" si="25"/>
        <v>0</v>
      </c>
      <c r="BW130" s="344" t="str">
        <f>IFERROR(VLOOKUP($A130,'BASE_558 EX'!$D:$R,8,FALSE),"")</f>
        <v xml:space="preserve">           22.973,98</v>
      </c>
      <c r="BX130" s="344" t="str">
        <f>IFERROR(VLOOKUP($A130,'BASE_558 EX'!$D:$R,9,FALSE),"")</f>
        <v xml:space="preserve">            3.174,81</v>
      </c>
      <c r="BY130" s="344" t="str">
        <f>IFERROR(VLOOKUP($A130,'BASE_558 EX'!$D:$R,10,FALSE),"")</f>
        <v xml:space="preserve">                0,00</v>
      </c>
      <c r="BZ130" s="344" t="str">
        <f>IFERROR(VLOOKUP($A130,'BASE_558 EX'!$D:$R,11,FALSE),"")</f>
        <v xml:space="preserve">                0,00</v>
      </c>
      <c r="CA130" s="344">
        <f>IFERROR(IF(BASE_558!$P$14="RemOrdPla",(VLOOKUP(A130,BASE_558!D:R,14)/1000),(VLOOKUP(A130,BASE_558!D:R,13)/1000)),"")</f>
        <v>0</v>
      </c>
      <c r="CB130" s="344" t="str">
        <f>IFERROR(VLOOKUP($A130,'BASE_558 EX'!$D:$R,15,FALSE),"")</f>
        <v xml:space="preserve">           19.799,17</v>
      </c>
      <c r="CC130" s="442"/>
      <c r="CD130" s="442">
        <f t="shared" si="26"/>
        <v>0</v>
      </c>
    </row>
    <row r="131" spans="1:82" s="23" customFormat="1" ht="25.4" customHeight="1">
      <c r="A131" s="309" t="s">
        <v>1103</v>
      </c>
      <c r="B131" s="309" t="s">
        <v>1886</v>
      </c>
      <c r="C131" s="187">
        <v>44418</v>
      </c>
      <c r="D131" s="381" t="s">
        <v>2866</v>
      </c>
      <c r="E131" s="381" t="s">
        <v>474</v>
      </c>
      <c r="F131" s="381" t="s">
        <v>176</v>
      </c>
      <c r="G131" s="340" t="s">
        <v>3255</v>
      </c>
      <c r="H131" s="339" t="s">
        <v>614</v>
      </c>
      <c r="I131" s="45" t="s">
        <v>218</v>
      </c>
      <c r="J131" s="83" t="s">
        <v>462</v>
      </c>
      <c r="K131" s="7" t="s">
        <v>1600</v>
      </c>
      <c r="L131" s="206"/>
      <c r="M131" s="206">
        <v>10078.02</v>
      </c>
      <c r="N131" s="206">
        <v>16604.150000000001</v>
      </c>
      <c r="O131" s="206">
        <v>0</v>
      </c>
      <c r="P131" s="206"/>
      <c r="Q131" s="206">
        <f t="shared" ref="Q131:Q162" si="27">U131</f>
        <v>0</v>
      </c>
      <c r="R131" s="206"/>
      <c r="S131" s="206"/>
      <c r="T131" s="223"/>
      <c r="U131" s="169">
        <f t="shared" si="22"/>
        <v>0</v>
      </c>
      <c r="V131" s="372">
        <v>0</v>
      </c>
      <c r="W131" s="343"/>
      <c r="X131" s="332">
        <f>SUMIFS(BASE_EX!$J:$J,BASE_EX!$B:$B,'Direct Charge'!$A131,BASE_EX!$C:$C,"janeiro")</f>
        <v>0</v>
      </c>
      <c r="Y131" s="373"/>
      <c r="Z131" s="372">
        <v>0</v>
      </c>
      <c r="AA131" s="343"/>
      <c r="AB131" s="332">
        <f>SUMIFS(BASE_EX!$J:$J,BASE_EX!$B:$B,'Direct Charge'!$A131,BASE_EX!$C:$C,"fevereiro")</f>
        <v>0</v>
      </c>
      <c r="AC131" s="373"/>
      <c r="AD131" s="372"/>
      <c r="AE131" s="343"/>
      <c r="AF131" s="332">
        <f>SUMIFS(BASE_EX!$J:$J,BASE_EX!$B:$B,'Direct Charge'!$A131,BASE_EX!$C:$C,"março")</f>
        <v>0</v>
      </c>
      <c r="AG131" s="373"/>
      <c r="AH131" s="372"/>
      <c r="AI131" s="343"/>
      <c r="AJ131" s="332">
        <f>SUMIFS(BASE_EX!$J:$J,BASE_EX!$B:$B,'Direct Charge'!$A131,BASE_EX!$C:$C,"abril")</f>
        <v>0</v>
      </c>
      <c r="AK131" s="373"/>
      <c r="AL131" s="372"/>
      <c r="AM131" s="343"/>
      <c r="AN131" s="332">
        <f>SUMIFS(BASE_EX!$J:$J,BASE_EX!$B:$B,'Direct Charge'!$A131,BASE_EX!$C:$C,"maio")</f>
        <v>0</v>
      </c>
      <c r="AO131" s="373"/>
      <c r="AP131" s="372"/>
      <c r="AQ131" s="343"/>
      <c r="AR131" s="332">
        <f>SUMIFS(BASE_EX!$J:$J,BASE_EX!$B:$B,'Direct Charge'!$A131,BASE_EX!$C:$C,"junho")</f>
        <v>0</v>
      </c>
      <c r="AS131" s="373"/>
      <c r="AT131" s="372"/>
      <c r="AU131" s="343"/>
      <c r="AV131" s="332">
        <f>SUMIFS(BASE_EX!$J:$J,BASE_EX!$B:$B,'Direct Charge'!$A131,BASE_EX!$C:$C,"julho")</f>
        <v>0</v>
      </c>
      <c r="AW131" s="373"/>
      <c r="AX131" s="372"/>
      <c r="AY131" s="343"/>
      <c r="AZ131" s="332">
        <f>SUMIFS(BASE_EX!$J:$J,BASE_EX!$B:$B,'Direct Charge'!$A131,BASE_EX!$C:$C,"agosto")</f>
        <v>0</v>
      </c>
      <c r="BA131" s="373"/>
      <c r="BB131" s="372"/>
      <c r="BC131" s="343"/>
      <c r="BD131" s="332">
        <f>SUMIFS(BASE_EX!$J:$J,BASE_EX!$B:$B,'Direct Charge'!$A131,BASE_EX!$C:$C,"setembro")</f>
        <v>0</v>
      </c>
      <c r="BE131" s="373"/>
      <c r="BF131" s="372"/>
      <c r="BG131" s="343"/>
      <c r="BH131" s="332">
        <f>SUMIFS(BASE_EX!$J:$J,BASE_EX!$B:$B,'Direct Charge'!$A131,BASE_EX!$C:$C,"outubro")</f>
        <v>0</v>
      </c>
      <c r="BI131" s="373"/>
      <c r="BJ131" s="372"/>
      <c r="BK131" s="343"/>
      <c r="BL131" s="332">
        <f>SUMIFS(BASE_EX!$J:$J,BASE_EX!$B:$B,'Direct Charge'!$A131,BASE_EX!$C:$C,"novembro")</f>
        <v>0</v>
      </c>
      <c r="BM131" s="373"/>
      <c r="BN131" s="372"/>
      <c r="BO131" s="343"/>
      <c r="BP131" s="332">
        <f>SUMIFS(BASE_EX!$J:$J,BASE_EX!$B:$B,'Direct Charge'!$A131,BASE_EX!$C:$C,"dezembro")</f>
        <v>0</v>
      </c>
      <c r="BQ131" s="373"/>
      <c r="BR131" s="452"/>
      <c r="BS131" s="156">
        <f t="shared" si="23"/>
        <v>0</v>
      </c>
      <c r="BT131" s="320">
        <f t="shared" si="24"/>
        <v>0</v>
      </c>
      <c r="BU131" s="157" t="e">
        <f>SUM(L131,M131,N131,O131,U131)-#REF!</f>
        <v>#REF!</v>
      </c>
      <c r="BV131" s="346">
        <f t="shared" si="25"/>
        <v>0</v>
      </c>
      <c r="BW131" s="344" t="str">
        <f>IFERROR(VLOOKUP($A131,'BASE_558 EX'!$D:$R,8,FALSE),"")</f>
        <v xml:space="preserve">           32.359,54</v>
      </c>
      <c r="BX131" s="344" t="str">
        <f>IFERROR(VLOOKUP($A131,'BASE_558 EX'!$D:$R,9,FALSE),"")</f>
        <v xml:space="preserve">           26.682,17</v>
      </c>
      <c r="BY131" s="344" t="str">
        <f>IFERROR(VLOOKUP($A131,'BASE_558 EX'!$D:$R,10,FALSE),"")</f>
        <v xml:space="preserve">                0,00</v>
      </c>
      <c r="BZ131" s="344" t="str">
        <f>IFERROR(VLOOKUP($A131,'BASE_558 EX'!$D:$R,11,FALSE),"")</f>
        <v xml:space="preserve">                0,00</v>
      </c>
      <c r="CA131" s="344">
        <f>IFERROR(IF(BASE_558!$P$14="RemOrdPla",(VLOOKUP(A131,BASE_558!D:R,14)/1000),(VLOOKUP(A131,BASE_558!D:R,13)/1000)),"")</f>
        <v>172.90917000000002</v>
      </c>
      <c r="CB131" s="344" t="str">
        <f>IFERROR(VLOOKUP($A131,'BASE_558 EX'!$D:$R,15,FALSE),"")</f>
        <v xml:space="preserve">            5.677,37</v>
      </c>
      <c r="CC131" s="442"/>
      <c r="CD131" s="442">
        <f t="shared" si="26"/>
        <v>0</v>
      </c>
    </row>
    <row r="132" spans="1:82" s="23" customFormat="1" ht="25.4" customHeight="1">
      <c r="A132" s="309" t="s">
        <v>1058</v>
      </c>
      <c r="B132" s="309" t="s">
        <v>1891</v>
      </c>
      <c r="C132" s="187">
        <v>44386</v>
      </c>
      <c r="D132" s="381" t="s">
        <v>2867</v>
      </c>
      <c r="E132" s="309" t="s">
        <v>2485</v>
      </c>
      <c r="F132" s="381" t="s">
        <v>176</v>
      </c>
      <c r="G132" s="340" t="s">
        <v>1036</v>
      </c>
      <c r="H132" s="339" t="s">
        <v>614</v>
      </c>
      <c r="I132" s="45" t="s">
        <v>218</v>
      </c>
      <c r="J132" s="83" t="s">
        <v>462</v>
      </c>
      <c r="K132" s="46"/>
      <c r="L132" s="206"/>
      <c r="M132" s="206">
        <v>11039.27</v>
      </c>
      <c r="N132" s="206">
        <v>-92.5</v>
      </c>
      <c r="O132" s="206">
        <v>0</v>
      </c>
      <c r="P132" s="206"/>
      <c r="Q132" s="206">
        <f t="shared" si="27"/>
        <v>0</v>
      </c>
      <c r="R132" s="206"/>
      <c r="S132" s="206"/>
      <c r="T132" s="223"/>
      <c r="U132" s="169">
        <f t="shared" si="22"/>
        <v>0</v>
      </c>
      <c r="V132" s="372">
        <v>0</v>
      </c>
      <c r="W132" s="343"/>
      <c r="X132" s="332">
        <f>SUMIFS(BASE_EX!$J:$J,BASE_EX!$B:$B,'Direct Charge'!$A132,BASE_EX!$C:$C,"janeiro")</f>
        <v>0</v>
      </c>
      <c r="Y132" s="373"/>
      <c r="Z132" s="372">
        <v>0</v>
      </c>
      <c r="AA132" s="343"/>
      <c r="AB132" s="332">
        <f>SUMIFS(BASE_EX!$J:$J,BASE_EX!$B:$B,'Direct Charge'!$A132,BASE_EX!$C:$C,"fevereiro")</f>
        <v>0</v>
      </c>
      <c r="AC132" s="373"/>
      <c r="AD132" s="372"/>
      <c r="AE132" s="343"/>
      <c r="AF132" s="332">
        <f>SUMIFS(BASE_EX!$J:$J,BASE_EX!$B:$B,'Direct Charge'!$A132,BASE_EX!$C:$C,"março")</f>
        <v>0</v>
      </c>
      <c r="AG132" s="373"/>
      <c r="AH132" s="372"/>
      <c r="AI132" s="343"/>
      <c r="AJ132" s="332">
        <f>SUMIFS(BASE_EX!$J:$J,BASE_EX!$B:$B,'Direct Charge'!$A132,BASE_EX!$C:$C,"abril")</f>
        <v>0</v>
      </c>
      <c r="AK132" s="373"/>
      <c r="AL132" s="372"/>
      <c r="AM132" s="343"/>
      <c r="AN132" s="332">
        <f>SUMIFS(BASE_EX!$J:$J,BASE_EX!$B:$B,'Direct Charge'!$A132,BASE_EX!$C:$C,"maio")</f>
        <v>0</v>
      </c>
      <c r="AO132" s="373"/>
      <c r="AP132" s="372"/>
      <c r="AQ132" s="343"/>
      <c r="AR132" s="332">
        <f>SUMIFS(BASE_EX!$J:$J,BASE_EX!$B:$B,'Direct Charge'!$A132,BASE_EX!$C:$C,"junho")</f>
        <v>0</v>
      </c>
      <c r="AS132" s="373"/>
      <c r="AT132" s="372"/>
      <c r="AU132" s="343"/>
      <c r="AV132" s="332">
        <f>SUMIFS(BASE_EX!$J:$J,BASE_EX!$B:$B,'Direct Charge'!$A132,BASE_EX!$C:$C,"julho")</f>
        <v>0</v>
      </c>
      <c r="AW132" s="373"/>
      <c r="AX132" s="372"/>
      <c r="AY132" s="343"/>
      <c r="AZ132" s="332">
        <f>SUMIFS(BASE_EX!$J:$J,BASE_EX!$B:$B,'Direct Charge'!$A132,BASE_EX!$C:$C,"agosto")</f>
        <v>0</v>
      </c>
      <c r="BA132" s="373"/>
      <c r="BB132" s="372"/>
      <c r="BC132" s="343"/>
      <c r="BD132" s="332">
        <f>SUMIFS(BASE_EX!$J:$J,BASE_EX!$B:$B,'Direct Charge'!$A132,BASE_EX!$C:$C,"setembro")</f>
        <v>0</v>
      </c>
      <c r="BE132" s="373"/>
      <c r="BF132" s="372"/>
      <c r="BG132" s="343"/>
      <c r="BH132" s="332">
        <f>SUMIFS(BASE_EX!$J:$J,BASE_EX!$B:$B,'Direct Charge'!$A132,BASE_EX!$C:$C,"outubro")</f>
        <v>0</v>
      </c>
      <c r="BI132" s="373"/>
      <c r="BJ132" s="372"/>
      <c r="BK132" s="343"/>
      <c r="BL132" s="332">
        <f>SUMIFS(BASE_EX!$J:$J,BASE_EX!$B:$B,'Direct Charge'!$A132,BASE_EX!$C:$C,"novembro")</f>
        <v>0</v>
      </c>
      <c r="BM132" s="373"/>
      <c r="BN132" s="372"/>
      <c r="BO132" s="343"/>
      <c r="BP132" s="332">
        <f>SUMIFS(BASE_EX!$J:$J,BASE_EX!$B:$B,'Direct Charge'!$A132,BASE_EX!$C:$C,"dezembro")</f>
        <v>0</v>
      </c>
      <c r="BQ132" s="373"/>
      <c r="BR132" s="452"/>
      <c r="BS132" s="156">
        <f t="shared" si="23"/>
        <v>0</v>
      </c>
      <c r="BT132" s="320">
        <f t="shared" si="24"/>
        <v>0</v>
      </c>
      <c r="BU132" s="157" t="e">
        <f>SUM(L132,M132,N132,O132,U132)-#REF!</f>
        <v>#REF!</v>
      </c>
      <c r="BV132" s="346">
        <f t="shared" si="25"/>
        <v>0</v>
      </c>
      <c r="BW132" s="344" t="str">
        <f>IFERROR(VLOOKUP($A132,'BASE_558 EX'!$D:$R,8,FALSE),"")</f>
        <v xml:space="preserve">           15.000,00</v>
      </c>
      <c r="BX132" s="344" t="str">
        <f>IFERROR(VLOOKUP($A132,'BASE_558 EX'!$D:$R,9,FALSE),"")</f>
        <v xml:space="preserve">           10.946,77</v>
      </c>
      <c r="BY132" s="344" t="str">
        <f>IFERROR(VLOOKUP($A132,'BASE_558 EX'!$D:$R,10,FALSE),"")</f>
        <v xml:space="preserve">                0,00</v>
      </c>
      <c r="BZ132" s="344" t="str">
        <f>IFERROR(VLOOKUP($A132,'BASE_558 EX'!$D:$R,11,FALSE),"")</f>
        <v xml:space="preserve">                0,00</v>
      </c>
      <c r="CA132" s="344">
        <f>IFERROR(IF(BASE_558!$P$14="RemOrdPla",(VLOOKUP(A132,BASE_558!D:R,14)/1000),(VLOOKUP(A132,BASE_558!D:R,13)/1000)),"")</f>
        <v>249.04894000000002</v>
      </c>
      <c r="CB132" s="344" t="str">
        <f>IFERROR(VLOOKUP($A132,'BASE_558 EX'!$D:$R,15,FALSE),"")</f>
        <v xml:space="preserve">            4.053,23</v>
      </c>
      <c r="CC132" s="442"/>
      <c r="CD132" s="442">
        <f t="shared" si="26"/>
        <v>0</v>
      </c>
    </row>
    <row r="133" spans="1:82" s="23" customFormat="1" ht="25.4" customHeight="1">
      <c r="A133" s="309" t="s">
        <v>1060</v>
      </c>
      <c r="B133" s="309" t="s">
        <v>1900</v>
      </c>
      <c r="C133" s="187">
        <v>44386</v>
      </c>
      <c r="D133" s="381" t="s">
        <v>477</v>
      </c>
      <c r="E133" s="361" t="s">
        <v>2251</v>
      </c>
      <c r="F133" s="381" t="s">
        <v>176</v>
      </c>
      <c r="G133" s="342" t="s">
        <v>1029</v>
      </c>
      <c r="H133" s="339" t="s">
        <v>614</v>
      </c>
      <c r="I133" s="45" t="s">
        <v>218</v>
      </c>
      <c r="J133" s="83" t="s">
        <v>557</v>
      </c>
      <c r="K133" s="308" t="s">
        <v>2569</v>
      </c>
      <c r="L133" s="206"/>
      <c r="M133" s="206">
        <v>10246.390000000001</v>
      </c>
      <c r="N133" s="206">
        <v>3042.96</v>
      </c>
      <c r="O133" s="206">
        <v>9584.5299999999988</v>
      </c>
      <c r="P133" s="206"/>
      <c r="Q133" s="206">
        <f t="shared" si="27"/>
        <v>0</v>
      </c>
      <c r="R133" s="206"/>
      <c r="S133" s="206"/>
      <c r="T133" s="223"/>
      <c r="U133" s="169">
        <f t="shared" si="22"/>
        <v>0</v>
      </c>
      <c r="V133" s="372">
        <v>0</v>
      </c>
      <c r="W133" s="343"/>
      <c r="X133" s="332">
        <f>SUMIFS(BASE_EX!$J:$J,BASE_EX!$B:$B,'Direct Charge'!$A133,BASE_EX!$C:$C,"janeiro")</f>
        <v>0</v>
      </c>
      <c r="Y133" s="373"/>
      <c r="Z133" s="372">
        <v>0</v>
      </c>
      <c r="AA133" s="343"/>
      <c r="AB133" s="332">
        <f>SUMIFS(BASE_EX!$J:$J,BASE_EX!$B:$B,'Direct Charge'!$A133,BASE_EX!$C:$C,"fevereiro")</f>
        <v>0</v>
      </c>
      <c r="AC133" s="373"/>
      <c r="AD133" s="372"/>
      <c r="AE133" s="343"/>
      <c r="AF133" s="332">
        <f>SUMIFS(BASE_EX!$J:$J,BASE_EX!$B:$B,'Direct Charge'!$A133,BASE_EX!$C:$C,"março")</f>
        <v>0</v>
      </c>
      <c r="AG133" s="373"/>
      <c r="AH133" s="372"/>
      <c r="AI133" s="343"/>
      <c r="AJ133" s="332">
        <f>SUMIFS(BASE_EX!$J:$J,BASE_EX!$B:$B,'Direct Charge'!$A133,BASE_EX!$C:$C,"abril")</f>
        <v>0</v>
      </c>
      <c r="AK133" s="373"/>
      <c r="AL133" s="372"/>
      <c r="AM133" s="343"/>
      <c r="AN133" s="332">
        <f>SUMIFS(BASE_EX!$J:$J,BASE_EX!$B:$B,'Direct Charge'!$A133,BASE_EX!$C:$C,"maio")</f>
        <v>0</v>
      </c>
      <c r="AO133" s="373"/>
      <c r="AP133" s="372"/>
      <c r="AQ133" s="343"/>
      <c r="AR133" s="332">
        <f>SUMIFS(BASE_EX!$J:$J,BASE_EX!$B:$B,'Direct Charge'!$A133,BASE_EX!$C:$C,"junho")</f>
        <v>0</v>
      </c>
      <c r="AS133" s="373"/>
      <c r="AT133" s="372"/>
      <c r="AU133" s="343"/>
      <c r="AV133" s="332">
        <f>SUMIFS(BASE_EX!$J:$J,BASE_EX!$B:$B,'Direct Charge'!$A133,BASE_EX!$C:$C,"julho")</f>
        <v>0</v>
      </c>
      <c r="AW133" s="373"/>
      <c r="AX133" s="372"/>
      <c r="AY133" s="343"/>
      <c r="AZ133" s="332">
        <f>SUMIFS(BASE_EX!$J:$J,BASE_EX!$B:$B,'Direct Charge'!$A133,BASE_EX!$C:$C,"agosto")</f>
        <v>0</v>
      </c>
      <c r="BA133" s="373"/>
      <c r="BB133" s="372"/>
      <c r="BC133" s="343"/>
      <c r="BD133" s="332">
        <f>SUMIFS(BASE_EX!$J:$J,BASE_EX!$B:$B,'Direct Charge'!$A133,BASE_EX!$C:$C,"setembro")</f>
        <v>0</v>
      </c>
      <c r="BE133" s="373"/>
      <c r="BF133" s="372"/>
      <c r="BG133" s="343"/>
      <c r="BH133" s="332">
        <f>SUMIFS(BASE_EX!$J:$J,BASE_EX!$B:$B,'Direct Charge'!$A133,BASE_EX!$C:$C,"outubro")</f>
        <v>0</v>
      </c>
      <c r="BI133" s="373"/>
      <c r="BJ133" s="372"/>
      <c r="BK133" s="343"/>
      <c r="BL133" s="332">
        <f>SUMIFS(BASE_EX!$J:$J,BASE_EX!$B:$B,'Direct Charge'!$A133,BASE_EX!$C:$C,"novembro")</f>
        <v>0</v>
      </c>
      <c r="BM133" s="373"/>
      <c r="BN133" s="372"/>
      <c r="BO133" s="343"/>
      <c r="BP133" s="332">
        <f>SUMIFS(BASE_EX!$J:$J,BASE_EX!$B:$B,'Direct Charge'!$A133,BASE_EX!$C:$C,"dezembro")</f>
        <v>0</v>
      </c>
      <c r="BQ133" s="373"/>
      <c r="BR133" s="452"/>
      <c r="BS133" s="156">
        <f t="shared" si="23"/>
        <v>0</v>
      </c>
      <c r="BT133" s="320">
        <f t="shared" si="24"/>
        <v>0</v>
      </c>
      <c r="BU133" s="157" t="e">
        <f>SUM(L133,M133,N133,O133,U133)-#REF!</f>
        <v>#REF!</v>
      </c>
      <c r="BV133" s="346">
        <f t="shared" si="25"/>
        <v>0</v>
      </c>
      <c r="BW133" s="344" t="str">
        <f>IFERROR(VLOOKUP($A133,'BASE_558 EX'!$D:$R,8,FALSE),"")</f>
        <v xml:space="preserve">           34.272,66</v>
      </c>
      <c r="BX133" s="344" t="str">
        <f>IFERROR(VLOOKUP($A133,'BASE_558 EX'!$D:$R,9,FALSE),"")</f>
        <v xml:space="preserve">           22.873,88</v>
      </c>
      <c r="BY133" s="344" t="str">
        <f>IFERROR(VLOOKUP($A133,'BASE_558 EX'!$D:$R,10,FALSE),"")</f>
        <v xml:space="preserve">                0,00</v>
      </c>
      <c r="BZ133" s="344" t="str">
        <f>IFERROR(VLOOKUP($A133,'BASE_558 EX'!$D:$R,11,FALSE),"")</f>
        <v xml:space="preserve">                0,00</v>
      </c>
      <c r="CA133" s="344">
        <f>IFERROR(IF(BASE_558!$P$14="RemOrdPla",(VLOOKUP(A133,BASE_558!D:R,14)/1000),(VLOOKUP(A133,BASE_558!D:R,13)/1000)),"")</f>
        <v>0</v>
      </c>
      <c r="CB133" s="344" t="str">
        <f>IFERROR(VLOOKUP($A133,'BASE_558 EX'!$D:$R,15,FALSE),"")</f>
        <v xml:space="preserve">           11.398,78</v>
      </c>
      <c r="CC133" s="442"/>
      <c r="CD133" s="442">
        <f t="shared" si="26"/>
        <v>0</v>
      </c>
    </row>
    <row r="134" spans="1:82" s="23" customFormat="1" ht="25.4" customHeight="1">
      <c r="A134" s="309" t="s">
        <v>1078</v>
      </c>
      <c r="B134" s="309" t="s">
        <v>1899</v>
      </c>
      <c r="C134" s="187">
        <v>44392</v>
      </c>
      <c r="D134" s="381" t="s">
        <v>2868</v>
      </c>
      <c r="E134" s="309" t="s">
        <v>474</v>
      </c>
      <c r="F134" s="381" t="s">
        <v>176</v>
      </c>
      <c r="G134" s="339" t="s">
        <v>1030</v>
      </c>
      <c r="H134" s="339" t="s">
        <v>614</v>
      </c>
      <c r="I134" s="45" t="s">
        <v>218</v>
      </c>
      <c r="J134" s="125" t="s">
        <v>462</v>
      </c>
      <c r="K134" s="7" t="s">
        <v>1600</v>
      </c>
      <c r="L134" s="206"/>
      <c r="M134" s="206">
        <v>5755.57</v>
      </c>
      <c r="N134" s="206">
        <v>1164.3900000000001</v>
      </c>
      <c r="O134" s="206">
        <v>0</v>
      </c>
      <c r="P134" s="206"/>
      <c r="Q134" s="206">
        <f t="shared" si="27"/>
        <v>0</v>
      </c>
      <c r="R134" s="206"/>
      <c r="S134" s="206"/>
      <c r="T134" s="223"/>
      <c r="U134" s="169">
        <f t="shared" si="22"/>
        <v>0</v>
      </c>
      <c r="V134" s="372">
        <v>0</v>
      </c>
      <c r="W134" s="343"/>
      <c r="X134" s="332">
        <f>SUMIFS(BASE_EX!$J:$J,BASE_EX!$B:$B,'Direct Charge'!$A134,BASE_EX!$C:$C,"janeiro")</f>
        <v>0</v>
      </c>
      <c r="Y134" s="373"/>
      <c r="Z134" s="372">
        <v>0</v>
      </c>
      <c r="AA134" s="343"/>
      <c r="AB134" s="332">
        <f>SUMIFS(BASE_EX!$J:$J,BASE_EX!$B:$B,'Direct Charge'!$A134,BASE_EX!$C:$C,"fevereiro")</f>
        <v>0</v>
      </c>
      <c r="AC134" s="373"/>
      <c r="AD134" s="372"/>
      <c r="AE134" s="343"/>
      <c r="AF134" s="332">
        <f>SUMIFS(BASE_EX!$J:$J,BASE_EX!$B:$B,'Direct Charge'!$A134,BASE_EX!$C:$C,"março")</f>
        <v>0</v>
      </c>
      <c r="AG134" s="373"/>
      <c r="AH134" s="372"/>
      <c r="AI134" s="343"/>
      <c r="AJ134" s="332">
        <f>SUMIFS(BASE_EX!$J:$J,BASE_EX!$B:$B,'Direct Charge'!$A134,BASE_EX!$C:$C,"abril")</f>
        <v>0</v>
      </c>
      <c r="AK134" s="373"/>
      <c r="AL134" s="372"/>
      <c r="AM134" s="343"/>
      <c r="AN134" s="332">
        <f>SUMIFS(BASE_EX!$J:$J,BASE_EX!$B:$B,'Direct Charge'!$A134,BASE_EX!$C:$C,"maio")</f>
        <v>0</v>
      </c>
      <c r="AO134" s="373"/>
      <c r="AP134" s="372"/>
      <c r="AQ134" s="343"/>
      <c r="AR134" s="332">
        <f>SUMIFS(BASE_EX!$J:$J,BASE_EX!$B:$B,'Direct Charge'!$A134,BASE_EX!$C:$C,"junho")</f>
        <v>0</v>
      </c>
      <c r="AS134" s="373"/>
      <c r="AT134" s="372"/>
      <c r="AU134" s="343"/>
      <c r="AV134" s="332">
        <f>SUMIFS(BASE_EX!$J:$J,BASE_EX!$B:$B,'Direct Charge'!$A134,BASE_EX!$C:$C,"julho")</f>
        <v>0</v>
      </c>
      <c r="AW134" s="373"/>
      <c r="AX134" s="372"/>
      <c r="AY134" s="343"/>
      <c r="AZ134" s="332">
        <f>SUMIFS(BASE_EX!$J:$J,BASE_EX!$B:$B,'Direct Charge'!$A134,BASE_EX!$C:$C,"agosto")</f>
        <v>0</v>
      </c>
      <c r="BA134" s="373"/>
      <c r="BB134" s="372"/>
      <c r="BC134" s="343"/>
      <c r="BD134" s="332">
        <f>SUMIFS(BASE_EX!$J:$J,BASE_EX!$B:$B,'Direct Charge'!$A134,BASE_EX!$C:$C,"setembro")</f>
        <v>0</v>
      </c>
      <c r="BE134" s="373"/>
      <c r="BF134" s="372"/>
      <c r="BG134" s="343"/>
      <c r="BH134" s="332">
        <f>SUMIFS(BASE_EX!$J:$J,BASE_EX!$B:$B,'Direct Charge'!$A134,BASE_EX!$C:$C,"outubro")</f>
        <v>0</v>
      </c>
      <c r="BI134" s="373"/>
      <c r="BJ134" s="372"/>
      <c r="BK134" s="343"/>
      <c r="BL134" s="332">
        <f>SUMIFS(BASE_EX!$J:$J,BASE_EX!$B:$B,'Direct Charge'!$A134,BASE_EX!$C:$C,"novembro")</f>
        <v>0</v>
      </c>
      <c r="BM134" s="373"/>
      <c r="BN134" s="372"/>
      <c r="BO134" s="343"/>
      <c r="BP134" s="332">
        <f>SUMIFS(BASE_EX!$J:$J,BASE_EX!$B:$B,'Direct Charge'!$A134,BASE_EX!$C:$C,"dezembro")</f>
        <v>0</v>
      </c>
      <c r="BQ134" s="373"/>
      <c r="BR134" s="452"/>
      <c r="BS134" s="156">
        <f t="shared" si="23"/>
        <v>0</v>
      </c>
      <c r="BT134" s="320">
        <f t="shared" si="24"/>
        <v>0</v>
      </c>
      <c r="BU134" s="157" t="e">
        <f>SUM(L134,M134,N134,O134,U134)-#REF!</f>
        <v>#REF!</v>
      </c>
      <c r="BV134" s="346">
        <f t="shared" si="25"/>
        <v>0</v>
      </c>
      <c r="BW134" s="344" t="str">
        <f>IFERROR(VLOOKUP($A134,'BASE_558 EX'!$D:$R,8,FALSE),"")</f>
        <v xml:space="preserve">            7.800,00</v>
      </c>
      <c r="BX134" s="344" t="str">
        <f>IFERROR(VLOOKUP($A134,'BASE_558 EX'!$D:$R,9,FALSE),"")</f>
        <v xml:space="preserve">            6.919,96</v>
      </c>
      <c r="BY134" s="344" t="str">
        <f>IFERROR(VLOOKUP($A134,'BASE_558 EX'!$D:$R,10,FALSE),"")</f>
        <v xml:space="preserve">                0,00</v>
      </c>
      <c r="BZ134" s="344" t="str">
        <f>IFERROR(VLOOKUP($A134,'BASE_558 EX'!$D:$R,11,FALSE),"")</f>
        <v xml:space="preserve">                0,00</v>
      </c>
      <c r="CA134" s="344">
        <f>IFERROR(IF(BASE_558!$P$14="RemOrdPla",(VLOOKUP(A134,BASE_558!D:R,14)/1000),(VLOOKUP(A134,BASE_558!D:R,13)/1000)),"")</f>
        <v>130.18135000000001</v>
      </c>
      <c r="CB134" s="344" t="str">
        <f>IFERROR(VLOOKUP($A134,'BASE_558 EX'!$D:$R,15,FALSE),"")</f>
        <v xml:space="preserve">              880,04</v>
      </c>
      <c r="CC134" s="442"/>
      <c r="CD134" s="442">
        <f t="shared" si="26"/>
        <v>0</v>
      </c>
    </row>
    <row r="135" spans="1:82" s="23" customFormat="1" ht="25.4" customHeight="1">
      <c r="A135" s="309" t="s">
        <v>1059</v>
      </c>
      <c r="B135" s="309" t="s">
        <v>1892</v>
      </c>
      <c r="C135" s="192">
        <v>44383</v>
      </c>
      <c r="D135" s="381" t="s">
        <v>2866</v>
      </c>
      <c r="E135" s="361" t="s">
        <v>2251</v>
      </c>
      <c r="F135" s="381" t="s">
        <v>176</v>
      </c>
      <c r="G135" s="341" t="s">
        <v>1051</v>
      </c>
      <c r="H135" s="339" t="s">
        <v>614</v>
      </c>
      <c r="I135" s="45" t="s">
        <v>463</v>
      </c>
      <c r="J135" s="125" t="s">
        <v>219</v>
      </c>
      <c r="K135" s="298"/>
      <c r="L135" s="206"/>
      <c r="M135" s="206">
        <v>0</v>
      </c>
      <c r="N135" s="206">
        <v>0</v>
      </c>
      <c r="O135" s="206">
        <v>0</v>
      </c>
      <c r="P135" s="206"/>
      <c r="Q135" s="206">
        <f t="shared" si="27"/>
        <v>32000</v>
      </c>
      <c r="R135" s="206"/>
      <c r="S135" s="206"/>
      <c r="T135" s="223"/>
      <c r="U135" s="169">
        <f t="shared" si="22"/>
        <v>32000</v>
      </c>
      <c r="V135" s="372">
        <v>0</v>
      </c>
      <c r="W135" s="343"/>
      <c r="X135" s="332">
        <f>SUMIFS(BASE_EX!$J:$J,BASE_EX!$B:$B,'Direct Charge'!$A135,BASE_EX!$C:$C,"janeiro")</f>
        <v>0</v>
      </c>
      <c r="Y135" s="373"/>
      <c r="Z135" s="372">
        <v>0</v>
      </c>
      <c r="AA135" s="343"/>
      <c r="AB135" s="332">
        <f>SUMIFS(BASE_EX!$J:$J,BASE_EX!$B:$B,'Direct Charge'!$A135,BASE_EX!$C:$C,"fevereiro")</f>
        <v>0</v>
      </c>
      <c r="AC135" s="373"/>
      <c r="AD135" s="372"/>
      <c r="AE135" s="343"/>
      <c r="AF135" s="332">
        <f>SUMIFS(BASE_EX!$J:$J,BASE_EX!$B:$B,'Direct Charge'!$A135,BASE_EX!$C:$C,"março")</f>
        <v>0</v>
      </c>
      <c r="AG135" s="373"/>
      <c r="AH135" s="372"/>
      <c r="AI135" s="343"/>
      <c r="AJ135" s="332">
        <f>SUMIFS(BASE_EX!$J:$J,BASE_EX!$B:$B,'Direct Charge'!$A135,BASE_EX!$C:$C,"abril")</f>
        <v>0</v>
      </c>
      <c r="AK135" s="373"/>
      <c r="AL135" s="372"/>
      <c r="AM135" s="343"/>
      <c r="AN135" s="332">
        <f>SUMIFS(BASE_EX!$J:$J,BASE_EX!$B:$B,'Direct Charge'!$A135,BASE_EX!$C:$C,"maio")</f>
        <v>0</v>
      </c>
      <c r="AO135" s="373"/>
      <c r="AP135" s="372"/>
      <c r="AQ135" s="343"/>
      <c r="AR135" s="332">
        <f>SUMIFS(BASE_EX!$J:$J,BASE_EX!$B:$B,'Direct Charge'!$A135,BASE_EX!$C:$C,"junho")</f>
        <v>0</v>
      </c>
      <c r="AS135" s="373"/>
      <c r="AT135" s="372"/>
      <c r="AU135" s="343"/>
      <c r="AV135" s="332">
        <f>SUMIFS(BASE_EX!$J:$J,BASE_EX!$B:$B,'Direct Charge'!$A135,BASE_EX!$C:$C,"julho")</f>
        <v>0</v>
      </c>
      <c r="AW135" s="373"/>
      <c r="AX135" s="372"/>
      <c r="AY135" s="343"/>
      <c r="AZ135" s="332">
        <f>SUMIFS(BASE_EX!$J:$J,BASE_EX!$B:$B,'Direct Charge'!$A135,BASE_EX!$C:$C,"agosto")</f>
        <v>0</v>
      </c>
      <c r="BA135" s="373"/>
      <c r="BB135" s="372"/>
      <c r="BC135" s="343"/>
      <c r="BD135" s="332">
        <f>SUMIFS(BASE_EX!$J:$J,BASE_EX!$B:$B,'Direct Charge'!$A135,BASE_EX!$C:$C,"setembro")</f>
        <v>0</v>
      </c>
      <c r="BE135" s="373">
        <v>16000</v>
      </c>
      <c r="BF135" s="372"/>
      <c r="BG135" s="343"/>
      <c r="BH135" s="332">
        <f>SUMIFS(BASE_EX!$J:$J,BASE_EX!$B:$B,'Direct Charge'!$A135,BASE_EX!$C:$C,"outubro")</f>
        <v>0</v>
      </c>
      <c r="BI135" s="373">
        <v>16000</v>
      </c>
      <c r="BJ135" s="372"/>
      <c r="BK135" s="343"/>
      <c r="BL135" s="332">
        <f>SUMIFS(BASE_EX!$J:$J,BASE_EX!$B:$B,'Direct Charge'!$A135,BASE_EX!$C:$C,"novembro")</f>
        <v>0</v>
      </c>
      <c r="BM135" s="373"/>
      <c r="BN135" s="372"/>
      <c r="BO135" s="343"/>
      <c r="BP135" s="332">
        <f>SUMIFS(BASE_EX!$J:$J,BASE_EX!$B:$B,'Direct Charge'!$A135,BASE_EX!$C:$C,"dezembro")</f>
        <v>0</v>
      </c>
      <c r="BQ135" s="373"/>
      <c r="BR135" s="452"/>
      <c r="BS135" s="156">
        <f t="shared" si="23"/>
        <v>0</v>
      </c>
      <c r="BT135" s="320">
        <f t="shared" si="24"/>
        <v>0</v>
      </c>
      <c r="BU135" s="157" t="e">
        <f>SUM(L135,M135,N135,O135,U135)-#REF!</f>
        <v>#REF!</v>
      </c>
      <c r="BV135" s="346">
        <f t="shared" si="25"/>
        <v>32000</v>
      </c>
      <c r="BW135" s="344" t="str">
        <f>IFERROR(VLOOKUP($A135,'BASE_558 EX'!$D:$R,8,FALSE),"")</f>
        <v xml:space="preserve">           80.000,00</v>
      </c>
      <c r="BX135" s="344" t="str">
        <f>IFERROR(VLOOKUP($A135,'BASE_558 EX'!$D:$R,9,FALSE),"")</f>
        <v xml:space="preserve">                0,00</v>
      </c>
      <c r="BY135" s="344" t="str">
        <f>IFERROR(VLOOKUP($A135,'BASE_558 EX'!$D:$R,10,FALSE),"")</f>
        <v xml:space="preserve">                0,00</v>
      </c>
      <c r="BZ135" s="344" t="str">
        <f>IFERROR(VLOOKUP($A135,'BASE_558 EX'!$D:$R,11,FALSE),"")</f>
        <v xml:space="preserve">                0,00</v>
      </c>
      <c r="CA135" s="344">
        <f>IFERROR(IF(BASE_558!$P$14="RemOrdPla",(VLOOKUP(A135,BASE_558!D:R,14)/1000),(VLOOKUP(A135,BASE_558!D:R,13)/1000)),"")</f>
        <v>227.90762000000001</v>
      </c>
      <c r="CB135" s="344" t="str">
        <f>IFERROR(VLOOKUP($A135,'BASE_558 EX'!$D:$R,15,FALSE),"")</f>
        <v xml:space="preserve">           80.000,00</v>
      </c>
      <c r="CC135" s="442"/>
      <c r="CD135" s="442">
        <f t="shared" si="26"/>
        <v>0</v>
      </c>
    </row>
    <row r="136" spans="1:82" s="23" customFormat="1" ht="25.4" customHeight="1">
      <c r="A136" s="309" t="s">
        <v>1187</v>
      </c>
      <c r="B136" s="309" t="s">
        <v>1924</v>
      </c>
      <c r="C136" s="192"/>
      <c r="D136" s="381" t="s">
        <v>1707</v>
      </c>
      <c r="E136" s="381" t="s">
        <v>1707</v>
      </c>
      <c r="F136" s="381" t="s">
        <v>176</v>
      </c>
      <c r="G136" s="340" t="s">
        <v>2869</v>
      </c>
      <c r="H136" s="339" t="s">
        <v>8878</v>
      </c>
      <c r="I136" s="45" t="s">
        <v>218</v>
      </c>
      <c r="J136" s="125" t="s">
        <v>462</v>
      </c>
      <c r="K136" s="7" t="s">
        <v>1600</v>
      </c>
      <c r="L136" s="206"/>
      <c r="M136" s="206">
        <v>30752.15</v>
      </c>
      <c r="N136" s="206">
        <v>7105.63</v>
      </c>
      <c r="O136" s="206">
        <v>0</v>
      </c>
      <c r="P136" s="206"/>
      <c r="Q136" s="206">
        <f t="shared" si="27"/>
        <v>0</v>
      </c>
      <c r="R136" s="206"/>
      <c r="S136" s="206"/>
      <c r="T136" s="223"/>
      <c r="U136" s="169">
        <f t="shared" ref="U136:U167" si="28">SUM(Y136,AC136,AG136,AK136,AO136,AS136,AW136,BA136,BE136,BI136,BM136,BQ136)</f>
        <v>0</v>
      </c>
      <c r="V136" s="372">
        <v>0</v>
      </c>
      <c r="W136" s="343"/>
      <c r="X136" s="332">
        <f>SUMIFS(BASE_EX!$J:$J,BASE_EX!$B:$B,'Direct Charge'!$A136,BASE_EX!$C:$C,"janeiro")</f>
        <v>0</v>
      </c>
      <c r="Y136" s="373"/>
      <c r="Z136" s="372">
        <v>0</v>
      </c>
      <c r="AA136" s="343"/>
      <c r="AB136" s="332">
        <f>SUMIFS(BASE_EX!$J:$J,BASE_EX!$B:$B,'Direct Charge'!$A136,BASE_EX!$C:$C,"fevereiro")</f>
        <v>0</v>
      </c>
      <c r="AC136" s="373"/>
      <c r="AD136" s="372"/>
      <c r="AE136" s="343"/>
      <c r="AF136" s="332">
        <f>SUMIFS(BASE_EX!$J:$J,BASE_EX!$B:$B,'Direct Charge'!$A136,BASE_EX!$C:$C,"março")</f>
        <v>0</v>
      </c>
      <c r="AG136" s="373"/>
      <c r="AH136" s="372"/>
      <c r="AI136" s="343"/>
      <c r="AJ136" s="332">
        <f>SUMIFS(BASE_EX!$J:$J,BASE_EX!$B:$B,'Direct Charge'!$A136,BASE_EX!$C:$C,"abril")</f>
        <v>0</v>
      </c>
      <c r="AK136" s="373"/>
      <c r="AL136" s="372"/>
      <c r="AM136" s="343"/>
      <c r="AN136" s="332">
        <f>SUMIFS(BASE_EX!$J:$J,BASE_EX!$B:$B,'Direct Charge'!$A136,BASE_EX!$C:$C,"maio")</f>
        <v>0</v>
      </c>
      <c r="AO136" s="373"/>
      <c r="AP136" s="372"/>
      <c r="AQ136" s="343"/>
      <c r="AR136" s="332">
        <f>SUMIFS(BASE_EX!$J:$J,BASE_EX!$B:$B,'Direct Charge'!$A136,BASE_EX!$C:$C,"junho")</f>
        <v>0</v>
      </c>
      <c r="AS136" s="373"/>
      <c r="AT136" s="372"/>
      <c r="AU136" s="343"/>
      <c r="AV136" s="332">
        <f>SUMIFS(BASE_EX!$J:$J,BASE_EX!$B:$B,'Direct Charge'!$A136,BASE_EX!$C:$C,"julho")</f>
        <v>0</v>
      </c>
      <c r="AW136" s="373"/>
      <c r="AX136" s="372"/>
      <c r="AY136" s="343"/>
      <c r="AZ136" s="332">
        <f>SUMIFS(BASE_EX!$J:$J,BASE_EX!$B:$B,'Direct Charge'!$A136,BASE_EX!$C:$C,"agosto")</f>
        <v>0</v>
      </c>
      <c r="BA136" s="373"/>
      <c r="BB136" s="372"/>
      <c r="BC136" s="343"/>
      <c r="BD136" s="332">
        <f>SUMIFS(BASE_EX!$J:$J,BASE_EX!$B:$B,'Direct Charge'!$A136,BASE_EX!$C:$C,"setembro")</f>
        <v>0</v>
      </c>
      <c r="BE136" s="373"/>
      <c r="BF136" s="372"/>
      <c r="BG136" s="343"/>
      <c r="BH136" s="332">
        <f>SUMIFS(BASE_EX!$J:$J,BASE_EX!$B:$B,'Direct Charge'!$A136,BASE_EX!$C:$C,"outubro")</f>
        <v>0</v>
      </c>
      <c r="BI136" s="373"/>
      <c r="BJ136" s="372"/>
      <c r="BK136" s="343"/>
      <c r="BL136" s="332">
        <f>SUMIFS(BASE_EX!$J:$J,BASE_EX!$B:$B,'Direct Charge'!$A136,BASE_EX!$C:$C,"novembro")</f>
        <v>0</v>
      </c>
      <c r="BM136" s="373"/>
      <c r="BN136" s="372"/>
      <c r="BO136" s="343"/>
      <c r="BP136" s="332">
        <f>SUMIFS(BASE_EX!$J:$J,BASE_EX!$B:$B,'Direct Charge'!$A136,BASE_EX!$C:$C,"dezembro")</f>
        <v>0</v>
      </c>
      <c r="BQ136" s="373"/>
      <c r="BR136" s="452"/>
      <c r="BS136" s="156">
        <f t="shared" ref="BS136:BS167" si="29">AS136-AP136</f>
        <v>0</v>
      </c>
      <c r="BT136" s="320">
        <f t="shared" ref="BT136:BT167" si="30">AS136-AR136</f>
        <v>0</v>
      </c>
      <c r="BU136" s="157" t="e">
        <f>SUM(L136,M136,N136,O136,U136)-#REF!</f>
        <v>#REF!</v>
      </c>
      <c r="BV136" s="346">
        <f t="shared" ref="BV136:BV167" si="31">U136-T136</f>
        <v>0</v>
      </c>
      <c r="BW136" s="344" t="str">
        <f>IFERROR(VLOOKUP($A136,'BASE_558 EX'!$D:$R,8,FALSE),"")</f>
        <v xml:space="preserve">           42.000,00</v>
      </c>
      <c r="BX136" s="344" t="str">
        <f>IFERROR(VLOOKUP($A136,'BASE_558 EX'!$D:$R,9,FALSE),"")</f>
        <v xml:space="preserve">           37.857,78</v>
      </c>
      <c r="BY136" s="344" t="str">
        <f>IFERROR(VLOOKUP($A136,'BASE_558 EX'!$D:$R,10,FALSE),"")</f>
        <v xml:space="preserve">                0,00</v>
      </c>
      <c r="BZ136" s="344" t="str">
        <f>IFERROR(VLOOKUP($A136,'BASE_558 EX'!$D:$R,11,FALSE),"")</f>
        <v xml:space="preserve">                0,00</v>
      </c>
      <c r="CA136" s="344">
        <f>IFERROR(IF(BASE_558!$P$14="RemOrdPla",(VLOOKUP(A136,BASE_558!D:R,14)/1000),(VLOOKUP(A136,BASE_558!D:R,13)/1000)),"")</f>
        <v>1112.3277499999999</v>
      </c>
      <c r="CB136" s="344" t="str">
        <f>IFERROR(VLOOKUP($A136,'BASE_558 EX'!$D:$R,15,FALSE),"")</f>
        <v xml:space="preserve">            4.142,22</v>
      </c>
      <c r="CC136" s="442"/>
      <c r="CD136" s="442">
        <f t="shared" ref="CD136:CD167" si="32">AR136-AQ136</f>
        <v>0</v>
      </c>
    </row>
    <row r="137" spans="1:82" s="23" customFormat="1" ht="25.4" customHeight="1">
      <c r="A137" s="309" t="s">
        <v>1173</v>
      </c>
      <c r="B137" s="309" t="s">
        <v>1873</v>
      </c>
      <c r="C137" s="192">
        <v>44461</v>
      </c>
      <c r="D137" s="381" t="s">
        <v>2870</v>
      </c>
      <c r="E137" s="381" t="s">
        <v>481</v>
      </c>
      <c r="F137" s="381" t="s">
        <v>178</v>
      </c>
      <c r="G137" s="340" t="s">
        <v>1143</v>
      </c>
      <c r="H137" s="339" t="s">
        <v>614</v>
      </c>
      <c r="I137" s="45" t="s">
        <v>218</v>
      </c>
      <c r="J137" s="125" t="s">
        <v>462</v>
      </c>
      <c r="K137" s="46" t="s">
        <v>1600</v>
      </c>
      <c r="L137" s="206"/>
      <c r="M137" s="206">
        <v>1419.35</v>
      </c>
      <c r="N137" s="206">
        <v>31.890000000000128</v>
      </c>
      <c r="O137" s="206">
        <v>0</v>
      </c>
      <c r="P137" s="206"/>
      <c r="Q137" s="206">
        <f t="shared" si="27"/>
        <v>0</v>
      </c>
      <c r="R137" s="206"/>
      <c r="S137" s="206"/>
      <c r="T137" s="223"/>
      <c r="U137" s="169">
        <f t="shared" si="28"/>
        <v>0</v>
      </c>
      <c r="V137" s="372">
        <v>0</v>
      </c>
      <c r="W137" s="343"/>
      <c r="X137" s="332">
        <f>SUMIFS(BASE_EX!$J:$J,BASE_EX!$B:$B,'Direct Charge'!$A137,BASE_EX!$C:$C,"janeiro")</f>
        <v>0</v>
      </c>
      <c r="Y137" s="373"/>
      <c r="Z137" s="372">
        <v>0</v>
      </c>
      <c r="AA137" s="343"/>
      <c r="AB137" s="332">
        <f>SUMIFS(BASE_EX!$J:$J,BASE_EX!$B:$B,'Direct Charge'!$A137,BASE_EX!$C:$C,"fevereiro")</f>
        <v>0</v>
      </c>
      <c r="AC137" s="373"/>
      <c r="AD137" s="372"/>
      <c r="AE137" s="343"/>
      <c r="AF137" s="332">
        <f>SUMIFS(BASE_EX!$J:$J,BASE_EX!$B:$B,'Direct Charge'!$A137,BASE_EX!$C:$C,"março")</f>
        <v>0</v>
      </c>
      <c r="AG137" s="373"/>
      <c r="AH137" s="372"/>
      <c r="AI137" s="343"/>
      <c r="AJ137" s="332">
        <f>SUMIFS(BASE_EX!$J:$J,BASE_EX!$B:$B,'Direct Charge'!$A137,BASE_EX!$C:$C,"abril")</f>
        <v>0</v>
      </c>
      <c r="AK137" s="373"/>
      <c r="AL137" s="372"/>
      <c r="AM137" s="343"/>
      <c r="AN137" s="332">
        <f>SUMIFS(BASE_EX!$J:$J,BASE_EX!$B:$B,'Direct Charge'!$A137,BASE_EX!$C:$C,"maio")</f>
        <v>0</v>
      </c>
      <c r="AO137" s="373"/>
      <c r="AP137" s="372"/>
      <c r="AQ137" s="343"/>
      <c r="AR137" s="332">
        <f>SUMIFS(BASE_EX!$J:$J,BASE_EX!$B:$B,'Direct Charge'!$A137,BASE_EX!$C:$C,"junho")</f>
        <v>0</v>
      </c>
      <c r="AS137" s="373"/>
      <c r="AT137" s="372"/>
      <c r="AU137" s="343"/>
      <c r="AV137" s="332">
        <f>SUMIFS(BASE_EX!$J:$J,BASE_EX!$B:$B,'Direct Charge'!$A137,BASE_EX!$C:$C,"julho")</f>
        <v>0</v>
      </c>
      <c r="AW137" s="373"/>
      <c r="AX137" s="372"/>
      <c r="AY137" s="343"/>
      <c r="AZ137" s="332">
        <f>SUMIFS(BASE_EX!$J:$J,BASE_EX!$B:$B,'Direct Charge'!$A137,BASE_EX!$C:$C,"agosto")</f>
        <v>0</v>
      </c>
      <c r="BA137" s="373"/>
      <c r="BB137" s="372"/>
      <c r="BC137" s="343"/>
      <c r="BD137" s="332">
        <f>SUMIFS(BASE_EX!$J:$J,BASE_EX!$B:$B,'Direct Charge'!$A137,BASE_EX!$C:$C,"setembro")</f>
        <v>0</v>
      </c>
      <c r="BE137" s="373"/>
      <c r="BF137" s="372"/>
      <c r="BG137" s="343"/>
      <c r="BH137" s="332">
        <f>SUMIFS(BASE_EX!$J:$J,BASE_EX!$B:$B,'Direct Charge'!$A137,BASE_EX!$C:$C,"outubro")</f>
        <v>0</v>
      </c>
      <c r="BI137" s="373"/>
      <c r="BJ137" s="372"/>
      <c r="BK137" s="343"/>
      <c r="BL137" s="332">
        <f>SUMIFS(BASE_EX!$J:$J,BASE_EX!$B:$B,'Direct Charge'!$A137,BASE_EX!$C:$C,"novembro")</f>
        <v>0</v>
      </c>
      <c r="BM137" s="373"/>
      <c r="BN137" s="372"/>
      <c r="BO137" s="343"/>
      <c r="BP137" s="332">
        <f>SUMIFS(BASE_EX!$J:$J,BASE_EX!$B:$B,'Direct Charge'!$A137,BASE_EX!$C:$C,"dezembro")</f>
        <v>0</v>
      </c>
      <c r="BQ137" s="373"/>
      <c r="BR137" s="452"/>
      <c r="BS137" s="156">
        <f t="shared" si="29"/>
        <v>0</v>
      </c>
      <c r="BT137" s="320">
        <f t="shared" si="30"/>
        <v>0</v>
      </c>
      <c r="BU137" s="157" t="e">
        <f>SUM(L137,M137,N137,O137,U137)-#REF!</f>
        <v>#REF!</v>
      </c>
      <c r="BV137" s="346">
        <f t="shared" si="31"/>
        <v>0</v>
      </c>
      <c r="BW137" s="344" t="str">
        <f>IFERROR(VLOOKUP($A137,'BASE_558 EX'!$D:$R,8,FALSE),"")</f>
        <v xml:space="preserve">            2.144,00</v>
      </c>
      <c r="BX137" s="344" t="str">
        <f>IFERROR(VLOOKUP($A137,'BASE_558 EX'!$D:$R,9,FALSE),"")</f>
        <v xml:space="preserve">            1.451,24</v>
      </c>
      <c r="BY137" s="344" t="str">
        <f>IFERROR(VLOOKUP($A137,'BASE_558 EX'!$D:$R,10,FALSE),"")</f>
        <v xml:space="preserve">                0,00</v>
      </c>
      <c r="BZ137" s="344" t="str">
        <f>IFERROR(VLOOKUP($A137,'BASE_558 EX'!$D:$R,11,FALSE),"")</f>
        <v xml:space="preserve">                0,00</v>
      </c>
      <c r="CA137" s="344">
        <f>IFERROR(IF(BASE_558!$P$14="RemOrdPla",(VLOOKUP(A137,BASE_558!D:R,14)/1000),(VLOOKUP(A137,BASE_558!D:R,13)/1000)),"")</f>
        <v>30.854509999999998</v>
      </c>
      <c r="CB137" s="344" t="str">
        <f>IFERROR(VLOOKUP($A137,'BASE_558 EX'!$D:$R,15,FALSE),"")</f>
        <v xml:space="preserve">              692,76</v>
      </c>
      <c r="CC137" s="442"/>
      <c r="CD137" s="442">
        <f t="shared" si="32"/>
        <v>0</v>
      </c>
    </row>
    <row r="138" spans="1:82" s="23" customFormat="1" ht="25.4" customHeight="1">
      <c r="A138" s="309" t="s">
        <v>1284</v>
      </c>
      <c r="B138" s="309" t="s">
        <v>1704</v>
      </c>
      <c r="C138" s="192">
        <v>44483</v>
      </c>
      <c r="D138" s="381" t="s">
        <v>946</v>
      </c>
      <c r="E138" s="381" t="s">
        <v>2079</v>
      </c>
      <c r="F138" s="381" t="s">
        <v>176</v>
      </c>
      <c r="G138" s="339" t="s">
        <v>2871</v>
      </c>
      <c r="H138" s="339" t="s">
        <v>614</v>
      </c>
      <c r="I138" s="45" t="s">
        <v>463</v>
      </c>
      <c r="J138" s="125" t="s">
        <v>219</v>
      </c>
      <c r="K138" s="46" t="s">
        <v>1285</v>
      </c>
      <c r="L138" s="206"/>
      <c r="M138" s="206">
        <v>0</v>
      </c>
      <c r="N138" s="206">
        <v>0</v>
      </c>
      <c r="O138" s="206">
        <v>0</v>
      </c>
      <c r="P138" s="206"/>
      <c r="Q138" s="206">
        <f t="shared" si="27"/>
        <v>0</v>
      </c>
      <c r="R138" s="206"/>
      <c r="S138" s="206"/>
      <c r="T138" s="223"/>
      <c r="U138" s="169">
        <f t="shared" si="28"/>
        <v>0</v>
      </c>
      <c r="V138" s="372">
        <v>0</v>
      </c>
      <c r="W138" s="343"/>
      <c r="X138" s="332">
        <f>SUMIFS(BASE_EX!$J:$J,BASE_EX!$B:$B,'Direct Charge'!$A138,BASE_EX!$C:$C,"janeiro")</f>
        <v>0</v>
      </c>
      <c r="Y138" s="373"/>
      <c r="Z138" s="372">
        <v>0</v>
      </c>
      <c r="AA138" s="343"/>
      <c r="AB138" s="332">
        <f>SUMIFS(BASE_EX!$J:$J,BASE_EX!$B:$B,'Direct Charge'!$A138,BASE_EX!$C:$C,"fevereiro")</f>
        <v>0</v>
      </c>
      <c r="AC138" s="373"/>
      <c r="AD138" s="372"/>
      <c r="AE138" s="343"/>
      <c r="AF138" s="332">
        <f>SUMIFS(BASE_EX!$J:$J,BASE_EX!$B:$B,'Direct Charge'!$A138,BASE_EX!$C:$C,"março")</f>
        <v>0</v>
      </c>
      <c r="AG138" s="373"/>
      <c r="AH138" s="372"/>
      <c r="AI138" s="343"/>
      <c r="AJ138" s="332">
        <f>SUMIFS(BASE_EX!$J:$J,BASE_EX!$B:$B,'Direct Charge'!$A138,BASE_EX!$C:$C,"abril")</f>
        <v>0</v>
      </c>
      <c r="AK138" s="373"/>
      <c r="AL138" s="372"/>
      <c r="AM138" s="343"/>
      <c r="AN138" s="332">
        <f>SUMIFS(BASE_EX!$J:$J,BASE_EX!$B:$B,'Direct Charge'!$A138,BASE_EX!$C:$C,"maio")</f>
        <v>0</v>
      </c>
      <c r="AO138" s="373"/>
      <c r="AP138" s="372"/>
      <c r="AQ138" s="343"/>
      <c r="AR138" s="332">
        <f>SUMIFS(BASE_EX!$J:$J,BASE_EX!$B:$B,'Direct Charge'!$A138,BASE_EX!$C:$C,"junho")</f>
        <v>0</v>
      </c>
      <c r="AS138" s="373"/>
      <c r="AT138" s="372"/>
      <c r="AU138" s="343"/>
      <c r="AV138" s="332">
        <f>SUMIFS(BASE_EX!$J:$J,BASE_EX!$B:$B,'Direct Charge'!$A138,BASE_EX!$C:$C,"julho")</f>
        <v>0</v>
      </c>
      <c r="AW138" s="373"/>
      <c r="AX138" s="372"/>
      <c r="AY138" s="343"/>
      <c r="AZ138" s="332">
        <f>SUMIFS(BASE_EX!$J:$J,BASE_EX!$B:$B,'Direct Charge'!$A138,BASE_EX!$C:$C,"agosto")</f>
        <v>0</v>
      </c>
      <c r="BA138" s="373"/>
      <c r="BB138" s="372"/>
      <c r="BC138" s="343"/>
      <c r="BD138" s="332">
        <f>SUMIFS(BASE_EX!$J:$J,BASE_EX!$B:$B,'Direct Charge'!$A138,BASE_EX!$C:$C,"setembro")</f>
        <v>0</v>
      </c>
      <c r="BE138" s="373"/>
      <c r="BF138" s="372"/>
      <c r="BG138" s="343"/>
      <c r="BH138" s="332">
        <f>SUMIFS(BASE_EX!$J:$J,BASE_EX!$B:$B,'Direct Charge'!$A138,BASE_EX!$C:$C,"outubro")</f>
        <v>0</v>
      </c>
      <c r="BI138" s="373"/>
      <c r="BJ138" s="372"/>
      <c r="BK138" s="343"/>
      <c r="BL138" s="332">
        <f>SUMIFS(BASE_EX!$J:$J,BASE_EX!$B:$B,'Direct Charge'!$A138,BASE_EX!$C:$C,"novembro")</f>
        <v>0</v>
      </c>
      <c r="BM138" s="373"/>
      <c r="BN138" s="372"/>
      <c r="BO138" s="343"/>
      <c r="BP138" s="332">
        <f>SUMIFS(BASE_EX!$J:$J,BASE_EX!$B:$B,'Direct Charge'!$A138,BASE_EX!$C:$C,"dezembro")</f>
        <v>0</v>
      </c>
      <c r="BQ138" s="373"/>
      <c r="BR138" s="452"/>
      <c r="BS138" s="156">
        <f t="shared" si="29"/>
        <v>0</v>
      </c>
      <c r="BT138" s="320">
        <f t="shared" si="30"/>
        <v>0</v>
      </c>
      <c r="BU138" s="157" t="e">
        <f>SUM(L138,M138,N138,O138,U138)-#REF!</f>
        <v>#REF!</v>
      </c>
      <c r="BV138" s="346">
        <f t="shared" si="31"/>
        <v>0</v>
      </c>
      <c r="BW138" s="344" t="str">
        <f>IFERROR(VLOOKUP($A138,'BASE_558 EX'!$D:$R,8,FALSE),"")</f>
        <v xml:space="preserve">            8.200,00</v>
      </c>
      <c r="BX138" s="344" t="str">
        <f>IFERROR(VLOOKUP($A138,'BASE_558 EX'!$D:$R,9,FALSE),"")</f>
        <v xml:space="preserve">                0,00</v>
      </c>
      <c r="BY138" s="344" t="str">
        <f>IFERROR(VLOOKUP($A138,'BASE_558 EX'!$D:$R,10,FALSE),"")</f>
        <v xml:space="preserve">                0,00</v>
      </c>
      <c r="BZ138" s="344" t="str">
        <f>IFERROR(VLOOKUP($A138,'BASE_558 EX'!$D:$R,11,FALSE),"")</f>
        <v xml:space="preserve">                0,00</v>
      </c>
      <c r="CA138" s="344">
        <f>IFERROR(IF(BASE_558!$P$14="RemOrdPla",(VLOOKUP(A138,BASE_558!D:R,14)/1000),(VLOOKUP(A138,BASE_558!D:R,13)/1000)),"")</f>
        <v>648.22996999999998</v>
      </c>
      <c r="CB138" s="344" t="str">
        <f>IFERROR(VLOOKUP($A138,'BASE_558 EX'!$D:$R,15,FALSE),"")</f>
        <v xml:space="preserve">            8.200,00</v>
      </c>
      <c r="CC138" s="442"/>
      <c r="CD138" s="442">
        <f t="shared" si="32"/>
        <v>0</v>
      </c>
    </row>
    <row r="139" spans="1:82" s="23" customFormat="1" ht="25.4" customHeight="1">
      <c r="A139" s="309" t="s">
        <v>1322</v>
      </c>
      <c r="B139" s="309" t="s">
        <v>1908</v>
      </c>
      <c r="C139" s="187">
        <v>44504</v>
      </c>
      <c r="D139" s="381" t="s">
        <v>478</v>
      </c>
      <c r="E139" s="309" t="s">
        <v>2186</v>
      </c>
      <c r="F139" s="381" t="s">
        <v>176</v>
      </c>
      <c r="G139" s="340" t="s">
        <v>1163</v>
      </c>
      <c r="H139" s="339" t="s">
        <v>614</v>
      </c>
      <c r="I139" s="45" t="s">
        <v>463</v>
      </c>
      <c r="J139" s="125" t="s">
        <v>219</v>
      </c>
      <c r="K139" s="46" t="s">
        <v>6794</v>
      </c>
      <c r="L139" s="206"/>
      <c r="M139" s="206">
        <v>0</v>
      </c>
      <c r="N139" s="206">
        <v>8413.65</v>
      </c>
      <c r="O139" s="206">
        <v>0</v>
      </c>
      <c r="P139" s="206">
        <v>15134.49</v>
      </c>
      <c r="Q139" s="206">
        <f t="shared" si="27"/>
        <v>0</v>
      </c>
      <c r="R139" s="206"/>
      <c r="S139" s="206"/>
      <c r="T139" s="223"/>
      <c r="U139" s="169">
        <f t="shared" si="28"/>
        <v>0</v>
      </c>
      <c r="V139" s="372">
        <v>0</v>
      </c>
      <c r="W139" s="343"/>
      <c r="X139" s="332">
        <f>SUMIFS(BASE_EX!$J:$J,BASE_EX!$B:$B,'Direct Charge'!$A139,BASE_EX!$C:$C,"janeiro")</f>
        <v>0</v>
      </c>
      <c r="Y139" s="373"/>
      <c r="Z139" s="372">
        <v>0</v>
      </c>
      <c r="AA139" s="343"/>
      <c r="AB139" s="332">
        <f>SUMIFS(BASE_EX!$J:$J,BASE_EX!$B:$B,'Direct Charge'!$A139,BASE_EX!$C:$C,"fevereiro")</f>
        <v>0</v>
      </c>
      <c r="AC139" s="373"/>
      <c r="AD139" s="372"/>
      <c r="AE139" s="343"/>
      <c r="AF139" s="332">
        <f>SUMIFS(BASE_EX!$J:$J,BASE_EX!$B:$B,'Direct Charge'!$A139,BASE_EX!$C:$C,"março")</f>
        <v>0</v>
      </c>
      <c r="AG139" s="373"/>
      <c r="AH139" s="372"/>
      <c r="AI139" s="343"/>
      <c r="AJ139" s="332">
        <f>SUMIFS(BASE_EX!$J:$J,BASE_EX!$B:$B,'Direct Charge'!$A139,BASE_EX!$C:$C,"abril")</f>
        <v>0</v>
      </c>
      <c r="AK139" s="373"/>
      <c r="AL139" s="372"/>
      <c r="AM139" s="343"/>
      <c r="AN139" s="332">
        <f>SUMIFS(BASE_EX!$J:$J,BASE_EX!$B:$B,'Direct Charge'!$A139,BASE_EX!$C:$C,"maio")</f>
        <v>0</v>
      </c>
      <c r="AO139" s="373"/>
      <c r="AP139" s="372"/>
      <c r="AQ139" s="343"/>
      <c r="AR139" s="332">
        <f>SUMIFS(BASE_EX!$J:$J,BASE_EX!$B:$B,'Direct Charge'!$A139,BASE_EX!$C:$C,"junho")</f>
        <v>0</v>
      </c>
      <c r="AS139" s="373"/>
      <c r="AT139" s="372"/>
      <c r="AU139" s="343"/>
      <c r="AV139" s="332">
        <f>SUMIFS(BASE_EX!$J:$J,BASE_EX!$B:$B,'Direct Charge'!$A139,BASE_EX!$C:$C,"julho")</f>
        <v>0</v>
      </c>
      <c r="AW139" s="373"/>
      <c r="AX139" s="372"/>
      <c r="AY139" s="343"/>
      <c r="AZ139" s="332">
        <f>SUMIFS(BASE_EX!$J:$J,BASE_EX!$B:$B,'Direct Charge'!$A139,BASE_EX!$C:$C,"agosto")</f>
        <v>0</v>
      </c>
      <c r="BA139" s="373"/>
      <c r="BB139" s="372"/>
      <c r="BC139" s="343"/>
      <c r="BD139" s="332">
        <f>SUMIFS(BASE_EX!$J:$J,BASE_EX!$B:$B,'Direct Charge'!$A139,BASE_EX!$C:$C,"setembro")</f>
        <v>0</v>
      </c>
      <c r="BE139" s="373"/>
      <c r="BF139" s="372"/>
      <c r="BG139" s="343"/>
      <c r="BH139" s="332">
        <f>SUMIFS(BASE_EX!$J:$J,BASE_EX!$B:$B,'Direct Charge'!$A139,BASE_EX!$C:$C,"outubro")</f>
        <v>0</v>
      </c>
      <c r="BI139" s="373"/>
      <c r="BJ139" s="372"/>
      <c r="BK139" s="343"/>
      <c r="BL139" s="332">
        <f>SUMIFS(BASE_EX!$J:$J,BASE_EX!$B:$B,'Direct Charge'!$A139,BASE_EX!$C:$C,"novembro")</f>
        <v>0</v>
      </c>
      <c r="BM139" s="373"/>
      <c r="BN139" s="372"/>
      <c r="BO139" s="343"/>
      <c r="BP139" s="332">
        <f>SUMIFS(BASE_EX!$J:$J,BASE_EX!$B:$B,'Direct Charge'!$A139,BASE_EX!$C:$C,"dezembro")</f>
        <v>0</v>
      </c>
      <c r="BQ139" s="373"/>
      <c r="BR139" s="452"/>
      <c r="BS139" s="156">
        <f t="shared" si="29"/>
        <v>0</v>
      </c>
      <c r="BT139" s="320">
        <f t="shared" si="30"/>
        <v>0</v>
      </c>
      <c r="BU139" s="157" t="e">
        <f>SUM(L139,M139,N139,O139,U139)-#REF!</f>
        <v>#REF!</v>
      </c>
      <c r="BV139" s="346">
        <f t="shared" si="31"/>
        <v>0</v>
      </c>
      <c r="BW139" s="344" t="str">
        <f>IFERROR(VLOOKUP($A139,'BASE_558 EX'!$D:$R,8,FALSE),"")</f>
        <v xml:space="preserve">          104.000,00</v>
      </c>
      <c r="BX139" s="344" t="str">
        <f>IFERROR(VLOOKUP($A139,'BASE_558 EX'!$D:$R,9,FALSE),"")</f>
        <v xml:space="preserve">           23.548,14</v>
      </c>
      <c r="BY139" s="344" t="str">
        <f>IFERROR(VLOOKUP($A139,'BASE_558 EX'!$D:$R,10,FALSE),"")</f>
        <v xml:space="preserve">                0,00</v>
      </c>
      <c r="BZ139" s="344" t="str">
        <f>IFERROR(VLOOKUP($A139,'BASE_558 EX'!$D:$R,11,FALSE),"")</f>
        <v xml:space="preserve">                0,00</v>
      </c>
      <c r="CA139" s="344">
        <f>IFERROR(IF(BASE_558!$P$14="RemOrdPla",(VLOOKUP(A139,BASE_558!D:R,14)/1000),(VLOOKUP(A139,BASE_558!D:R,13)/1000)),"")</f>
        <v>1902.48884</v>
      </c>
      <c r="CB139" s="344" t="str">
        <f>IFERROR(VLOOKUP($A139,'BASE_558 EX'!$D:$R,15,FALSE),"")</f>
        <v xml:space="preserve">           80.451,86</v>
      </c>
      <c r="CC139" s="442"/>
      <c r="CD139" s="442">
        <f t="shared" si="32"/>
        <v>0</v>
      </c>
    </row>
    <row r="140" spans="1:82" s="23" customFormat="1" ht="25.4" customHeight="1">
      <c r="A140" s="309" t="s">
        <v>1353</v>
      </c>
      <c r="B140" s="309" t="s">
        <v>1909</v>
      </c>
      <c r="C140" s="187">
        <v>44517</v>
      </c>
      <c r="D140" s="381" t="s">
        <v>478</v>
      </c>
      <c r="E140" s="310" t="s">
        <v>3215</v>
      </c>
      <c r="F140" s="381" t="s">
        <v>176</v>
      </c>
      <c r="G140" s="340" t="s">
        <v>1352</v>
      </c>
      <c r="H140" s="340" t="s">
        <v>614</v>
      </c>
      <c r="I140" s="45" t="s">
        <v>195</v>
      </c>
      <c r="J140" s="125" t="s">
        <v>219</v>
      </c>
      <c r="K140" s="46"/>
      <c r="L140" s="206"/>
      <c r="M140" s="206">
        <v>0</v>
      </c>
      <c r="N140" s="206">
        <v>0</v>
      </c>
      <c r="O140" s="206">
        <v>0</v>
      </c>
      <c r="P140" s="206"/>
      <c r="Q140" s="206">
        <f t="shared" si="27"/>
        <v>0</v>
      </c>
      <c r="R140" s="206"/>
      <c r="S140" s="206"/>
      <c r="T140" s="223"/>
      <c r="U140" s="169">
        <f t="shared" si="28"/>
        <v>0</v>
      </c>
      <c r="V140" s="372">
        <v>0</v>
      </c>
      <c r="W140" s="343"/>
      <c r="X140" s="332">
        <f>SUMIFS(BASE_EX!$J:$J,BASE_EX!$B:$B,'Direct Charge'!$A140,BASE_EX!$C:$C,"janeiro")</f>
        <v>0</v>
      </c>
      <c r="Y140" s="373"/>
      <c r="Z140" s="372">
        <v>0</v>
      </c>
      <c r="AA140" s="343"/>
      <c r="AB140" s="332">
        <f>SUMIFS(BASE_EX!$J:$J,BASE_EX!$B:$B,'Direct Charge'!$A140,BASE_EX!$C:$C,"fevereiro")</f>
        <v>0</v>
      </c>
      <c r="AC140" s="373"/>
      <c r="AD140" s="372"/>
      <c r="AE140" s="343"/>
      <c r="AF140" s="332">
        <f>SUMIFS(BASE_EX!$J:$J,BASE_EX!$B:$B,'Direct Charge'!$A140,BASE_EX!$C:$C,"março")</f>
        <v>0</v>
      </c>
      <c r="AG140" s="373"/>
      <c r="AH140" s="372"/>
      <c r="AI140" s="343"/>
      <c r="AJ140" s="332">
        <f>SUMIFS(BASE_EX!$J:$J,BASE_EX!$B:$B,'Direct Charge'!$A140,BASE_EX!$C:$C,"abril")</f>
        <v>0</v>
      </c>
      <c r="AK140" s="373"/>
      <c r="AL140" s="372"/>
      <c r="AM140" s="343"/>
      <c r="AN140" s="332">
        <f>SUMIFS(BASE_EX!$J:$J,BASE_EX!$B:$B,'Direct Charge'!$A140,BASE_EX!$C:$C,"maio")</f>
        <v>0</v>
      </c>
      <c r="AO140" s="373"/>
      <c r="AP140" s="372"/>
      <c r="AQ140" s="343"/>
      <c r="AR140" s="332">
        <f>SUMIFS(BASE_EX!$J:$J,BASE_EX!$B:$B,'Direct Charge'!$A140,BASE_EX!$C:$C,"junho")</f>
        <v>0</v>
      </c>
      <c r="AS140" s="373"/>
      <c r="AT140" s="372"/>
      <c r="AU140" s="343"/>
      <c r="AV140" s="332">
        <f>SUMIFS(BASE_EX!$J:$J,BASE_EX!$B:$B,'Direct Charge'!$A140,BASE_EX!$C:$C,"julho")</f>
        <v>0</v>
      </c>
      <c r="AW140" s="373"/>
      <c r="AX140" s="372"/>
      <c r="AY140" s="343"/>
      <c r="AZ140" s="332">
        <f>SUMIFS(BASE_EX!$J:$J,BASE_EX!$B:$B,'Direct Charge'!$A140,BASE_EX!$C:$C,"agosto")</f>
        <v>0</v>
      </c>
      <c r="BA140" s="373"/>
      <c r="BB140" s="372"/>
      <c r="BC140" s="343"/>
      <c r="BD140" s="332">
        <f>SUMIFS(BASE_EX!$J:$J,BASE_EX!$B:$B,'Direct Charge'!$A140,BASE_EX!$C:$C,"setembro")</f>
        <v>0</v>
      </c>
      <c r="BE140" s="373"/>
      <c r="BF140" s="372"/>
      <c r="BG140" s="343"/>
      <c r="BH140" s="332">
        <f>SUMIFS(BASE_EX!$J:$J,BASE_EX!$B:$B,'Direct Charge'!$A140,BASE_EX!$C:$C,"outubro")</f>
        <v>0</v>
      </c>
      <c r="BI140" s="373"/>
      <c r="BJ140" s="372"/>
      <c r="BK140" s="343"/>
      <c r="BL140" s="332">
        <f>SUMIFS(BASE_EX!$J:$J,BASE_EX!$B:$B,'Direct Charge'!$A140,BASE_EX!$C:$C,"novembro")</f>
        <v>0</v>
      </c>
      <c r="BM140" s="373"/>
      <c r="BN140" s="372"/>
      <c r="BO140" s="343"/>
      <c r="BP140" s="332">
        <f>SUMIFS(BASE_EX!$J:$J,BASE_EX!$B:$B,'Direct Charge'!$A140,BASE_EX!$C:$C,"dezembro")</f>
        <v>0</v>
      </c>
      <c r="BQ140" s="373"/>
      <c r="BR140" s="452"/>
      <c r="BS140" s="156">
        <f t="shared" si="29"/>
        <v>0</v>
      </c>
      <c r="BT140" s="320">
        <f t="shared" si="30"/>
        <v>0</v>
      </c>
      <c r="BU140" s="157" t="e">
        <f>SUM(L140,M140,N140,O140,U140)-#REF!</f>
        <v>#REF!</v>
      </c>
      <c r="BV140" s="346">
        <f t="shared" si="31"/>
        <v>0</v>
      </c>
      <c r="BW140" s="344" t="str">
        <f>IFERROR(VLOOKUP($A140,'BASE_558 EX'!$D:$R,8,FALSE),"")</f>
        <v xml:space="preserve">           18.000,00</v>
      </c>
      <c r="BX140" s="344" t="str">
        <f>IFERROR(VLOOKUP($A140,'BASE_558 EX'!$D:$R,9,FALSE),"")</f>
        <v xml:space="preserve">                0,00</v>
      </c>
      <c r="BY140" s="344" t="str">
        <f>IFERROR(VLOOKUP($A140,'BASE_558 EX'!$D:$R,10,FALSE),"")</f>
        <v xml:space="preserve">                0,00</v>
      </c>
      <c r="BZ140" s="344" t="str">
        <f>IFERROR(VLOOKUP($A140,'BASE_558 EX'!$D:$R,11,FALSE),"")</f>
        <v xml:space="preserve">                0,00</v>
      </c>
      <c r="CA140" s="344">
        <f>IFERROR(IF(BASE_558!$P$14="RemOrdPla",(VLOOKUP(A140,BASE_558!D:R,14)/1000),(VLOOKUP(A140,BASE_558!D:R,13)/1000)),"")</f>
        <v>226.96199999999999</v>
      </c>
      <c r="CB140" s="344" t="str">
        <f>IFERROR(VLOOKUP($A140,'BASE_558 EX'!$D:$R,15,FALSE),"")</f>
        <v xml:space="preserve">           18.000,00</v>
      </c>
      <c r="CC140" s="442"/>
      <c r="CD140" s="442">
        <f t="shared" si="32"/>
        <v>0</v>
      </c>
    </row>
    <row r="141" spans="1:82" s="23" customFormat="1" ht="25.4" customHeight="1">
      <c r="A141" s="309" t="s">
        <v>1354</v>
      </c>
      <c r="B141" s="309" t="s">
        <v>1316</v>
      </c>
      <c r="C141" s="187">
        <v>44510</v>
      </c>
      <c r="D141" s="381" t="s">
        <v>2872</v>
      </c>
      <c r="E141" s="309" t="s">
        <v>1125</v>
      </c>
      <c r="F141" s="381" t="s">
        <v>178</v>
      </c>
      <c r="G141" s="340" t="s">
        <v>1263</v>
      </c>
      <c r="H141" s="339" t="s">
        <v>614</v>
      </c>
      <c r="I141" s="6" t="s">
        <v>463</v>
      </c>
      <c r="J141" s="83" t="s">
        <v>219</v>
      </c>
      <c r="K141" s="7" t="s">
        <v>2592</v>
      </c>
      <c r="L141" s="206"/>
      <c r="M141" s="206">
        <v>0</v>
      </c>
      <c r="N141" s="206">
        <v>3757.3999999999996</v>
      </c>
      <c r="O141" s="206">
        <v>0</v>
      </c>
      <c r="P141" s="206"/>
      <c r="Q141" s="206">
        <f t="shared" si="27"/>
        <v>0</v>
      </c>
      <c r="R141" s="206"/>
      <c r="S141" s="206"/>
      <c r="T141" s="223"/>
      <c r="U141" s="169">
        <f t="shared" si="28"/>
        <v>0</v>
      </c>
      <c r="V141" s="372">
        <v>0</v>
      </c>
      <c r="W141" s="343"/>
      <c r="X141" s="332">
        <f>SUMIFS(BASE_EX!$J:$J,BASE_EX!$B:$B,'Direct Charge'!$A141,BASE_EX!$C:$C,"janeiro")</f>
        <v>0</v>
      </c>
      <c r="Y141" s="373"/>
      <c r="Z141" s="372">
        <v>0</v>
      </c>
      <c r="AA141" s="343"/>
      <c r="AB141" s="332">
        <f>SUMIFS(BASE_EX!$J:$J,BASE_EX!$B:$B,'Direct Charge'!$A141,BASE_EX!$C:$C,"fevereiro")</f>
        <v>0</v>
      </c>
      <c r="AC141" s="373"/>
      <c r="AD141" s="372"/>
      <c r="AE141" s="343"/>
      <c r="AF141" s="332">
        <f>SUMIFS(BASE_EX!$J:$J,BASE_EX!$B:$B,'Direct Charge'!$A141,BASE_EX!$C:$C,"março")</f>
        <v>0</v>
      </c>
      <c r="AG141" s="373"/>
      <c r="AH141" s="372"/>
      <c r="AI141" s="343"/>
      <c r="AJ141" s="332">
        <f>SUMIFS(BASE_EX!$J:$J,BASE_EX!$B:$B,'Direct Charge'!$A141,BASE_EX!$C:$C,"abril")</f>
        <v>0</v>
      </c>
      <c r="AK141" s="373"/>
      <c r="AL141" s="372"/>
      <c r="AM141" s="343"/>
      <c r="AN141" s="332">
        <f>SUMIFS(BASE_EX!$J:$J,BASE_EX!$B:$B,'Direct Charge'!$A141,BASE_EX!$C:$C,"maio")</f>
        <v>0</v>
      </c>
      <c r="AO141" s="373"/>
      <c r="AP141" s="372"/>
      <c r="AQ141" s="343"/>
      <c r="AR141" s="332">
        <f>SUMIFS(BASE_EX!$J:$J,BASE_EX!$B:$B,'Direct Charge'!$A141,BASE_EX!$C:$C,"junho")</f>
        <v>0</v>
      </c>
      <c r="AS141" s="373"/>
      <c r="AT141" s="372"/>
      <c r="AU141" s="343"/>
      <c r="AV141" s="332">
        <f>SUMIFS(BASE_EX!$J:$J,BASE_EX!$B:$B,'Direct Charge'!$A141,BASE_EX!$C:$C,"julho")</f>
        <v>0</v>
      </c>
      <c r="AW141" s="373"/>
      <c r="AX141" s="372"/>
      <c r="AY141" s="343"/>
      <c r="AZ141" s="332">
        <f>SUMIFS(BASE_EX!$J:$J,BASE_EX!$B:$B,'Direct Charge'!$A141,BASE_EX!$C:$C,"agosto")</f>
        <v>0</v>
      </c>
      <c r="BA141" s="373"/>
      <c r="BB141" s="372"/>
      <c r="BC141" s="343"/>
      <c r="BD141" s="332">
        <f>SUMIFS(BASE_EX!$J:$J,BASE_EX!$B:$B,'Direct Charge'!$A141,BASE_EX!$C:$C,"setembro")</f>
        <v>0</v>
      </c>
      <c r="BE141" s="373"/>
      <c r="BF141" s="372"/>
      <c r="BG141" s="343"/>
      <c r="BH141" s="332">
        <f>SUMIFS(BASE_EX!$J:$J,BASE_EX!$B:$B,'Direct Charge'!$A141,BASE_EX!$C:$C,"outubro")</f>
        <v>0</v>
      </c>
      <c r="BI141" s="373"/>
      <c r="BJ141" s="372"/>
      <c r="BK141" s="343"/>
      <c r="BL141" s="332">
        <f>SUMIFS(BASE_EX!$J:$J,BASE_EX!$B:$B,'Direct Charge'!$A141,BASE_EX!$C:$C,"novembro")</f>
        <v>0</v>
      </c>
      <c r="BM141" s="373"/>
      <c r="BN141" s="372"/>
      <c r="BO141" s="343"/>
      <c r="BP141" s="332">
        <f>SUMIFS(BASE_EX!$J:$J,BASE_EX!$B:$B,'Direct Charge'!$A141,BASE_EX!$C:$C,"dezembro")</f>
        <v>0</v>
      </c>
      <c r="BQ141" s="373"/>
      <c r="BR141" s="452"/>
      <c r="BS141" s="156">
        <f t="shared" si="29"/>
        <v>0</v>
      </c>
      <c r="BT141" s="320">
        <f t="shared" si="30"/>
        <v>0</v>
      </c>
      <c r="BU141" s="157" t="e">
        <f>SUM(L141,M141,N141,O141,U141)-#REF!</f>
        <v>#REF!</v>
      </c>
      <c r="BV141" s="346">
        <f t="shared" si="31"/>
        <v>0</v>
      </c>
      <c r="BW141" s="344" t="str">
        <f>IFERROR(VLOOKUP($A141,'BASE_558 EX'!$D:$R,8,FALSE),"")</f>
        <v xml:space="preserve">           10.257,20</v>
      </c>
      <c r="BX141" s="344" t="str">
        <f>IFERROR(VLOOKUP($A141,'BASE_558 EX'!$D:$R,9,FALSE),"")</f>
        <v xml:space="preserve">            3.757,40</v>
      </c>
      <c r="BY141" s="344" t="str">
        <f>IFERROR(VLOOKUP($A141,'BASE_558 EX'!$D:$R,10,FALSE),"")</f>
        <v xml:space="preserve">                0,00</v>
      </c>
      <c r="BZ141" s="344" t="str">
        <f>IFERROR(VLOOKUP($A141,'BASE_558 EX'!$D:$R,11,FALSE),"")</f>
        <v xml:space="preserve">                0,00</v>
      </c>
      <c r="CA141" s="344">
        <f>IFERROR(IF(BASE_558!$P$14="RemOrdPla",(VLOOKUP(A141,BASE_558!D:R,14)/1000),(VLOOKUP(A141,BASE_558!D:R,13)/1000)),"")</f>
        <v>116.85507000000001</v>
      </c>
      <c r="CB141" s="344" t="str">
        <f>IFERROR(VLOOKUP($A141,'BASE_558 EX'!$D:$R,15,FALSE),"")</f>
        <v xml:space="preserve">            6.499,80</v>
      </c>
      <c r="CC141" s="442"/>
      <c r="CD141" s="442">
        <f t="shared" si="32"/>
        <v>0</v>
      </c>
    </row>
    <row r="142" spans="1:82" s="23" customFormat="1" ht="25.4" customHeight="1">
      <c r="A142" s="309" t="s">
        <v>1697</v>
      </c>
      <c r="B142" s="309" t="s">
        <v>1705</v>
      </c>
      <c r="C142" s="187">
        <v>44799</v>
      </c>
      <c r="D142" s="381" t="s">
        <v>1125</v>
      </c>
      <c r="E142" s="309" t="s">
        <v>1125</v>
      </c>
      <c r="F142" s="381" t="s">
        <v>176</v>
      </c>
      <c r="G142" s="340" t="s">
        <v>1448</v>
      </c>
      <c r="H142" s="339" t="s">
        <v>614</v>
      </c>
      <c r="I142" s="45" t="s">
        <v>218</v>
      </c>
      <c r="J142" s="125" t="s">
        <v>462</v>
      </c>
      <c r="K142" s="46" t="s">
        <v>1600</v>
      </c>
      <c r="L142" s="206"/>
      <c r="M142" s="206">
        <v>0</v>
      </c>
      <c r="N142" s="206">
        <v>36105.380000000005</v>
      </c>
      <c r="O142" s="206">
        <v>15705.72</v>
      </c>
      <c r="P142" s="206"/>
      <c r="Q142" s="206">
        <f t="shared" si="27"/>
        <v>0</v>
      </c>
      <c r="R142" s="206"/>
      <c r="S142" s="206"/>
      <c r="T142" s="223"/>
      <c r="U142" s="169">
        <f t="shared" si="28"/>
        <v>0</v>
      </c>
      <c r="V142" s="372">
        <v>0</v>
      </c>
      <c r="W142" s="343"/>
      <c r="X142" s="332">
        <f>SUMIFS(BASE_EX!$J:$J,BASE_EX!$B:$B,'Direct Charge'!$A142,BASE_EX!$C:$C,"janeiro")</f>
        <v>0</v>
      </c>
      <c r="Y142" s="373"/>
      <c r="Z142" s="372">
        <v>0</v>
      </c>
      <c r="AA142" s="343"/>
      <c r="AB142" s="332">
        <f>SUMIFS(BASE_EX!$J:$J,BASE_EX!$B:$B,'Direct Charge'!$A142,BASE_EX!$C:$C,"fevereiro")</f>
        <v>0</v>
      </c>
      <c r="AC142" s="373"/>
      <c r="AD142" s="372"/>
      <c r="AE142" s="343"/>
      <c r="AF142" s="332">
        <f>SUMIFS(BASE_EX!$J:$J,BASE_EX!$B:$B,'Direct Charge'!$A142,BASE_EX!$C:$C,"março")</f>
        <v>0</v>
      </c>
      <c r="AG142" s="373"/>
      <c r="AH142" s="372"/>
      <c r="AI142" s="343"/>
      <c r="AJ142" s="332">
        <f>SUMIFS(BASE_EX!$J:$J,BASE_EX!$B:$B,'Direct Charge'!$A142,BASE_EX!$C:$C,"abril")</f>
        <v>0</v>
      </c>
      <c r="AK142" s="373"/>
      <c r="AL142" s="372"/>
      <c r="AM142" s="343"/>
      <c r="AN142" s="332">
        <f>SUMIFS(BASE_EX!$J:$J,BASE_EX!$B:$B,'Direct Charge'!$A142,BASE_EX!$C:$C,"maio")</f>
        <v>0</v>
      </c>
      <c r="AO142" s="373"/>
      <c r="AP142" s="372"/>
      <c r="AQ142" s="343"/>
      <c r="AR142" s="332">
        <f>SUMIFS(BASE_EX!$J:$J,BASE_EX!$B:$B,'Direct Charge'!$A142,BASE_EX!$C:$C,"junho")</f>
        <v>0</v>
      </c>
      <c r="AS142" s="373"/>
      <c r="AT142" s="372"/>
      <c r="AU142" s="343"/>
      <c r="AV142" s="332">
        <f>SUMIFS(BASE_EX!$J:$J,BASE_EX!$B:$B,'Direct Charge'!$A142,BASE_EX!$C:$C,"julho")</f>
        <v>0</v>
      </c>
      <c r="AW142" s="373"/>
      <c r="AX142" s="372"/>
      <c r="AY142" s="343"/>
      <c r="AZ142" s="332">
        <f>SUMIFS(BASE_EX!$J:$J,BASE_EX!$B:$B,'Direct Charge'!$A142,BASE_EX!$C:$C,"agosto")</f>
        <v>0</v>
      </c>
      <c r="BA142" s="373"/>
      <c r="BB142" s="372"/>
      <c r="BC142" s="343"/>
      <c r="BD142" s="332">
        <f>SUMIFS(BASE_EX!$J:$J,BASE_EX!$B:$B,'Direct Charge'!$A142,BASE_EX!$C:$C,"setembro")</f>
        <v>0</v>
      </c>
      <c r="BE142" s="373"/>
      <c r="BF142" s="372"/>
      <c r="BG142" s="343"/>
      <c r="BH142" s="332">
        <f>SUMIFS(BASE_EX!$J:$J,BASE_EX!$B:$B,'Direct Charge'!$A142,BASE_EX!$C:$C,"outubro")</f>
        <v>0</v>
      </c>
      <c r="BI142" s="373"/>
      <c r="BJ142" s="372"/>
      <c r="BK142" s="343"/>
      <c r="BL142" s="332">
        <f>SUMIFS(BASE_EX!$J:$J,BASE_EX!$B:$B,'Direct Charge'!$A142,BASE_EX!$C:$C,"novembro")</f>
        <v>0</v>
      </c>
      <c r="BM142" s="373"/>
      <c r="BN142" s="372"/>
      <c r="BO142" s="343"/>
      <c r="BP142" s="332">
        <f>SUMIFS(BASE_EX!$J:$J,BASE_EX!$B:$B,'Direct Charge'!$A142,BASE_EX!$C:$C,"dezembro")</f>
        <v>0</v>
      </c>
      <c r="BQ142" s="373"/>
      <c r="BR142" s="452"/>
      <c r="BS142" s="156">
        <f t="shared" si="29"/>
        <v>0</v>
      </c>
      <c r="BT142" s="320">
        <f t="shared" si="30"/>
        <v>0</v>
      </c>
      <c r="BU142" s="157" t="e">
        <f>SUM(L142,M142,N142,O142,U142)-#REF!</f>
        <v>#REF!</v>
      </c>
      <c r="BV142" s="346">
        <f t="shared" si="31"/>
        <v>0</v>
      </c>
      <c r="BW142" s="344" t="str">
        <f>IFERROR(VLOOKUP($A142,'BASE_558 EX'!$D:$R,8,FALSE),"")</f>
        <v xml:space="preserve">           55.000,00</v>
      </c>
      <c r="BX142" s="344" t="str">
        <f>IFERROR(VLOOKUP($A142,'BASE_558 EX'!$D:$R,9,FALSE),"")</f>
        <v xml:space="preserve">           51.811,10</v>
      </c>
      <c r="BY142" s="344" t="str">
        <f>IFERROR(VLOOKUP($A142,'BASE_558 EX'!$D:$R,10,FALSE),"")</f>
        <v xml:space="preserve">                0,00</v>
      </c>
      <c r="BZ142" s="344" t="str">
        <f>IFERROR(VLOOKUP($A142,'BASE_558 EX'!$D:$R,11,FALSE),"")</f>
        <v xml:space="preserve">                0,00</v>
      </c>
      <c r="CA142" s="344">
        <f>IFERROR(IF(BASE_558!$P$14="RemOrdPla",(VLOOKUP(A142,BASE_558!D:R,14)/1000),(VLOOKUP(A142,BASE_558!D:R,13)/1000)),"")</f>
        <v>225.06791000000001</v>
      </c>
      <c r="CB142" s="344" t="str">
        <f>IFERROR(VLOOKUP($A142,'BASE_558 EX'!$D:$R,15,FALSE),"")</f>
        <v xml:space="preserve">            3.188,90</v>
      </c>
      <c r="CC142" s="442"/>
      <c r="CD142" s="442">
        <f t="shared" si="32"/>
        <v>0</v>
      </c>
    </row>
    <row r="143" spans="1:82" s="23" customFormat="1" ht="25.4" customHeight="1">
      <c r="A143" s="309" t="s">
        <v>1509</v>
      </c>
      <c r="B143" s="309" t="s">
        <v>1877</v>
      </c>
      <c r="C143" s="187">
        <v>44518</v>
      </c>
      <c r="D143" s="381" t="s">
        <v>2870</v>
      </c>
      <c r="E143" s="309" t="s">
        <v>2485</v>
      </c>
      <c r="F143" s="381" t="s">
        <v>176</v>
      </c>
      <c r="G143" s="340" t="s">
        <v>1487</v>
      </c>
      <c r="H143" s="339" t="s">
        <v>614</v>
      </c>
      <c r="I143" s="45" t="s">
        <v>218</v>
      </c>
      <c r="J143" s="83" t="s">
        <v>462</v>
      </c>
      <c r="K143" s="46"/>
      <c r="L143" s="206"/>
      <c r="M143" s="206">
        <v>0</v>
      </c>
      <c r="N143" s="206">
        <v>0</v>
      </c>
      <c r="O143" s="206">
        <v>17566.78</v>
      </c>
      <c r="P143" s="206">
        <v>1599.2</v>
      </c>
      <c r="Q143" s="206">
        <f t="shared" si="27"/>
        <v>0</v>
      </c>
      <c r="R143" s="206"/>
      <c r="S143" s="206"/>
      <c r="T143" s="223"/>
      <c r="U143" s="169">
        <f t="shared" si="28"/>
        <v>0</v>
      </c>
      <c r="V143" s="372">
        <v>0</v>
      </c>
      <c r="W143" s="343"/>
      <c r="X143" s="332">
        <f>SUMIFS(BASE_EX!$J:$J,BASE_EX!$B:$B,'Direct Charge'!$A143,BASE_EX!$C:$C,"janeiro")</f>
        <v>0</v>
      </c>
      <c r="Y143" s="373"/>
      <c r="Z143" s="372">
        <v>0</v>
      </c>
      <c r="AA143" s="343"/>
      <c r="AB143" s="332">
        <f>SUMIFS(BASE_EX!$J:$J,BASE_EX!$B:$B,'Direct Charge'!$A143,BASE_EX!$C:$C,"fevereiro")</f>
        <v>0</v>
      </c>
      <c r="AC143" s="373"/>
      <c r="AD143" s="372"/>
      <c r="AE143" s="343"/>
      <c r="AF143" s="332">
        <f>SUMIFS(BASE_EX!$J:$J,BASE_EX!$B:$B,'Direct Charge'!$A143,BASE_EX!$C:$C,"março")</f>
        <v>0</v>
      </c>
      <c r="AG143" s="373"/>
      <c r="AH143" s="372"/>
      <c r="AI143" s="343"/>
      <c r="AJ143" s="332">
        <f>SUMIFS(BASE_EX!$J:$J,BASE_EX!$B:$B,'Direct Charge'!$A143,BASE_EX!$C:$C,"abril")</f>
        <v>0</v>
      </c>
      <c r="AK143" s="373"/>
      <c r="AL143" s="372"/>
      <c r="AM143" s="343"/>
      <c r="AN143" s="332">
        <f>SUMIFS(BASE_EX!$J:$J,BASE_EX!$B:$B,'Direct Charge'!$A143,BASE_EX!$C:$C,"maio")</f>
        <v>0</v>
      </c>
      <c r="AO143" s="373"/>
      <c r="AP143" s="372"/>
      <c r="AQ143" s="343"/>
      <c r="AR143" s="332">
        <f>SUMIFS(BASE_EX!$J:$J,BASE_EX!$B:$B,'Direct Charge'!$A143,BASE_EX!$C:$C,"junho")</f>
        <v>0</v>
      </c>
      <c r="AS143" s="373"/>
      <c r="AT143" s="372"/>
      <c r="AU143" s="343"/>
      <c r="AV143" s="332">
        <f>SUMIFS(BASE_EX!$J:$J,BASE_EX!$B:$B,'Direct Charge'!$A143,BASE_EX!$C:$C,"julho")</f>
        <v>0</v>
      </c>
      <c r="AW143" s="373"/>
      <c r="AX143" s="372"/>
      <c r="AY143" s="343"/>
      <c r="AZ143" s="332">
        <f>SUMIFS(BASE_EX!$J:$J,BASE_EX!$B:$B,'Direct Charge'!$A143,BASE_EX!$C:$C,"agosto")</f>
        <v>0</v>
      </c>
      <c r="BA143" s="373"/>
      <c r="BB143" s="372"/>
      <c r="BC143" s="343"/>
      <c r="BD143" s="332">
        <f>SUMIFS(BASE_EX!$J:$J,BASE_EX!$B:$B,'Direct Charge'!$A143,BASE_EX!$C:$C,"setembro")</f>
        <v>0</v>
      </c>
      <c r="BE143" s="373"/>
      <c r="BF143" s="372"/>
      <c r="BG143" s="343"/>
      <c r="BH143" s="332">
        <f>SUMIFS(BASE_EX!$J:$J,BASE_EX!$B:$B,'Direct Charge'!$A143,BASE_EX!$C:$C,"outubro")</f>
        <v>0</v>
      </c>
      <c r="BI143" s="373"/>
      <c r="BJ143" s="372"/>
      <c r="BK143" s="343"/>
      <c r="BL143" s="332">
        <f>SUMIFS(BASE_EX!$J:$J,BASE_EX!$B:$B,'Direct Charge'!$A143,BASE_EX!$C:$C,"novembro")</f>
        <v>0</v>
      </c>
      <c r="BM143" s="373"/>
      <c r="BN143" s="372"/>
      <c r="BO143" s="343"/>
      <c r="BP143" s="332">
        <f>SUMIFS(BASE_EX!$J:$J,BASE_EX!$B:$B,'Direct Charge'!$A143,BASE_EX!$C:$C,"dezembro")</f>
        <v>0</v>
      </c>
      <c r="BQ143" s="373"/>
      <c r="BR143" s="452"/>
      <c r="BS143" s="156">
        <f t="shared" si="29"/>
        <v>0</v>
      </c>
      <c r="BT143" s="320">
        <f t="shared" si="30"/>
        <v>0</v>
      </c>
      <c r="BU143" s="157" t="e">
        <f>SUM(L143,M143,N143,O143,U143)-#REF!</f>
        <v>#REF!</v>
      </c>
      <c r="BV143" s="346">
        <f t="shared" si="31"/>
        <v>0</v>
      </c>
      <c r="BW143" s="344" t="str">
        <f>IFERROR(VLOOKUP($A143,'BASE_558 EX'!$D:$R,8,FALSE),"")</f>
        <v xml:space="preserve">           19.500,00</v>
      </c>
      <c r="BX143" s="344" t="str">
        <f>IFERROR(VLOOKUP($A143,'BASE_558 EX'!$D:$R,9,FALSE),"")</f>
        <v xml:space="preserve">           19.165,98</v>
      </c>
      <c r="BY143" s="344" t="str">
        <f>IFERROR(VLOOKUP($A143,'BASE_558 EX'!$D:$R,10,FALSE),"")</f>
        <v xml:space="preserve">                0,00</v>
      </c>
      <c r="BZ143" s="344" t="str">
        <f>IFERROR(VLOOKUP($A143,'BASE_558 EX'!$D:$R,11,FALSE),"")</f>
        <v xml:space="preserve">                0,00</v>
      </c>
      <c r="CA143" s="344">
        <f>IFERROR(IF(BASE_558!$P$14="RemOrdPla",(VLOOKUP(A143,BASE_558!D:R,14)/1000),(VLOOKUP(A143,BASE_558!D:R,13)/1000)),"")</f>
        <v>227.11977999999999</v>
      </c>
      <c r="CB143" s="344" t="str">
        <f>IFERROR(VLOOKUP($A143,'BASE_558 EX'!$D:$R,15,FALSE),"")</f>
        <v xml:space="preserve">              334,02</v>
      </c>
      <c r="CC143" s="442"/>
      <c r="CD143" s="442">
        <f t="shared" si="32"/>
        <v>0</v>
      </c>
    </row>
    <row r="144" spans="1:82" s="23" customFormat="1" ht="25.4" customHeight="1">
      <c r="A144" s="309" t="s">
        <v>1617</v>
      </c>
      <c r="B144" s="309" t="s">
        <v>1893</v>
      </c>
      <c r="C144" s="471">
        <v>44539</v>
      </c>
      <c r="D144" s="381" t="s">
        <v>479</v>
      </c>
      <c r="E144" s="361" t="s">
        <v>2251</v>
      </c>
      <c r="F144" s="381" t="s">
        <v>176</v>
      </c>
      <c r="G144" s="342" t="s">
        <v>1100</v>
      </c>
      <c r="H144" s="339" t="s">
        <v>614</v>
      </c>
      <c r="I144" s="45" t="s">
        <v>463</v>
      </c>
      <c r="J144" s="125" t="s">
        <v>219</v>
      </c>
      <c r="K144" s="7" t="s">
        <v>738</v>
      </c>
      <c r="L144" s="206"/>
      <c r="M144" s="206">
        <v>0</v>
      </c>
      <c r="N144" s="206">
        <v>0</v>
      </c>
      <c r="O144" s="206">
        <v>0</v>
      </c>
      <c r="P144" s="206"/>
      <c r="Q144" s="206">
        <f t="shared" si="27"/>
        <v>0</v>
      </c>
      <c r="R144" s="206"/>
      <c r="S144" s="206"/>
      <c r="T144" s="223"/>
      <c r="U144" s="169">
        <f t="shared" si="28"/>
        <v>0</v>
      </c>
      <c r="V144" s="372">
        <v>0</v>
      </c>
      <c r="W144" s="343"/>
      <c r="X144" s="332">
        <f>SUMIFS(BASE_EX!$J:$J,BASE_EX!$B:$B,'Direct Charge'!$A144,BASE_EX!$C:$C,"janeiro")</f>
        <v>0</v>
      </c>
      <c r="Y144" s="373"/>
      <c r="Z144" s="372">
        <v>0</v>
      </c>
      <c r="AA144" s="343"/>
      <c r="AB144" s="332">
        <f>SUMIFS(BASE_EX!$J:$J,BASE_EX!$B:$B,'Direct Charge'!$A144,BASE_EX!$C:$C,"fevereiro")</f>
        <v>0</v>
      </c>
      <c r="AC144" s="373"/>
      <c r="AD144" s="372"/>
      <c r="AE144" s="343"/>
      <c r="AF144" s="332">
        <f>SUMIFS(BASE_EX!$J:$J,BASE_EX!$B:$B,'Direct Charge'!$A144,BASE_EX!$C:$C,"março")</f>
        <v>0</v>
      </c>
      <c r="AG144" s="373"/>
      <c r="AH144" s="372"/>
      <c r="AI144" s="343"/>
      <c r="AJ144" s="332">
        <f>SUMIFS(BASE_EX!$J:$J,BASE_EX!$B:$B,'Direct Charge'!$A144,BASE_EX!$C:$C,"abril")</f>
        <v>0</v>
      </c>
      <c r="AK144" s="373"/>
      <c r="AL144" s="372"/>
      <c r="AM144" s="343"/>
      <c r="AN144" s="332">
        <f>SUMIFS(BASE_EX!$J:$J,BASE_EX!$B:$B,'Direct Charge'!$A144,BASE_EX!$C:$C,"maio")</f>
        <v>0</v>
      </c>
      <c r="AO144" s="373"/>
      <c r="AP144" s="372"/>
      <c r="AQ144" s="343"/>
      <c r="AR144" s="332">
        <f>SUMIFS(BASE_EX!$J:$J,BASE_EX!$B:$B,'Direct Charge'!$A144,BASE_EX!$C:$C,"junho")</f>
        <v>0</v>
      </c>
      <c r="AS144" s="373"/>
      <c r="AT144" s="372"/>
      <c r="AU144" s="343"/>
      <c r="AV144" s="332">
        <f>SUMIFS(BASE_EX!$J:$J,BASE_EX!$B:$B,'Direct Charge'!$A144,BASE_EX!$C:$C,"julho")</f>
        <v>0</v>
      </c>
      <c r="AW144" s="373"/>
      <c r="AX144" s="372"/>
      <c r="AY144" s="343"/>
      <c r="AZ144" s="332">
        <f>SUMIFS(BASE_EX!$J:$J,BASE_EX!$B:$B,'Direct Charge'!$A144,BASE_EX!$C:$C,"agosto")</f>
        <v>0</v>
      </c>
      <c r="BA144" s="373"/>
      <c r="BB144" s="372"/>
      <c r="BC144" s="343"/>
      <c r="BD144" s="332">
        <f>SUMIFS(BASE_EX!$J:$J,BASE_EX!$B:$B,'Direct Charge'!$A144,BASE_EX!$C:$C,"setembro")</f>
        <v>0</v>
      </c>
      <c r="BE144" s="373"/>
      <c r="BF144" s="372"/>
      <c r="BG144" s="343"/>
      <c r="BH144" s="332">
        <f>SUMIFS(BASE_EX!$J:$J,BASE_EX!$B:$B,'Direct Charge'!$A144,BASE_EX!$C:$C,"outubro")</f>
        <v>0</v>
      </c>
      <c r="BI144" s="373"/>
      <c r="BJ144" s="372"/>
      <c r="BK144" s="343"/>
      <c r="BL144" s="332">
        <f>SUMIFS(BASE_EX!$J:$J,BASE_EX!$B:$B,'Direct Charge'!$A144,BASE_EX!$C:$C,"novembro")</f>
        <v>0</v>
      </c>
      <c r="BM144" s="373"/>
      <c r="BN144" s="372"/>
      <c r="BO144" s="343"/>
      <c r="BP144" s="332">
        <f>SUMIFS(BASE_EX!$J:$J,BASE_EX!$B:$B,'Direct Charge'!$A144,BASE_EX!$C:$C,"dezembro")</f>
        <v>0</v>
      </c>
      <c r="BQ144" s="373"/>
      <c r="BR144" s="452"/>
      <c r="BS144" s="156">
        <f t="shared" si="29"/>
        <v>0</v>
      </c>
      <c r="BT144" s="320">
        <f t="shared" si="30"/>
        <v>0</v>
      </c>
      <c r="BU144" s="157" t="e">
        <f>SUM(L144,M144,N144,O144,U144)-#REF!</f>
        <v>#REF!</v>
      </c>
      <c r="BV144" s="346">
        <f t="shared" si="31"/>
        <v>0</v>
      </c>
      <c r="BW144" s="344" t="str">
        <f>IFERROR(VLOOKUP($A144,'BASE_558 EX'!$D:$R,8,FALSE),"")</f>
        <v xml:space="preserve">          110.000,00</v>
      </c>
      <c r="BX144" s="344" t="str">
        <f>IFERROR(VLOOKUP($A144,'BASE_558 EX'!$D:$R,9,FALSE),"")</f>
        <v xml:space="preserve">                0,00</v>
      </c>
      <c r="BY144" s="344" t="str">
        <f>IFERROR(VLOOKUP($A144,'BASE_558 EX'!$D:$R,10,FALSE),"")</f>
        <v xml:space="preserve">           62.139,00</v>
      </c>
      <c r="BZ144" s="344" t="str">
        <f>IFERROR(VLOOKUP($A144,'BASE_558 EX'!$D:$R,11,FALSE),"")</f>
        <v xml:space="preserve">                0,00</v>
      </c>
      <c r="CA144" s="344">
        <f>IFERROR(IF(BASE_558!$P$14="RemOrdPla",(VLOOKUP(A144,BASE_558!D:R,14)/1000),(VLOOKUP(A144,BASE_558!D:R,13)/1000)),"")</f>
        <v>4650.6853200000005</v>
      </c>
      <c r="CB144" s="344" t="str">
        <f>IFERROR(VLOOKUP($A144,'BASE_558 EX'!$D:$R,15,FALSE),"")</f>
        <v xml:space="preserve">           47.861,00</v>
      </c>
      <c r="CC144" s="442"/>
      <c r="CD144" s="442">
        <f t="shared" si="32"/>
        <v>0</v>
      </c>
    </row>
    <row r="145" spans="1:82" s="23" customFormat="1" ht="25.4" customHeight="1">
      <c r="A145" s="309" t="s">
        <v>1584</v>
      </c>
      <c r="B145" s="309" t="s">
        <v>1894</v>
      </c>
      <c r="C145" s="187">
        <v>44537</v>
      </c>
      <c r="D145" s="381" t="s">
        <v>2847</v>
      </c>
      <c r="E145" s="309" t="s">
        <v>474</v>
      </c>
      <c r="F145" s="381" t="s">
        <v>176</v>
      </c>
      <c r="G145" s="340" t="s">
        <v>1585</v>
      </c>
      <c r="H145" s="339" t="s">
        <v>614</v>
      </c>
      <c r="I145" s="45" t="s">
        <v>218</v>
      </c>
      <c r="J145" s="125" t="s">
        <v>462</v>
      </c>
      <c r="K145" s="46" t="s">
        <v>1600</v>
      </c>
      <c r="L145" s="206"/>
      <c r="M145" s="206">
        <v>0</v>
      </c>
      <c r="N145" s="206">
        <v>0</v>
      </c>
      <c r="O145" s="206">
        <v>0</v>
      </c>
      <c r="P145" s="206"/>
      <c r="Q145" s="206">
        <f t="shared" si="27"/>
        <v>0</v>
      </c>
      <c r="R145" s="206"/>
      <c r="S145" s="206"/>
      <c r="T145" s="223"/>
      <c r="U145" s="169">
        <f t="shared" si="28"/>
        <v>0</v>
      </c>
      <c r="V145" s="372">
        <v>0</v>
      </c>
      <c r="W145" s="343"/>
      <c r="X145" s="332">
        <f>SUMIFS(BASE_EX!$J:$J,BASE_EX!$B:$B,'Direct Charge'!$A145,BASE_EX!$C:$C,"janeiro")</f>
        <v>0</v>
      </c>
      <c r="Y145" s="373"/>
      <c r="Z145" s="372">
        <v>0</v>
      </c>
      <c r="AA145" s="343"/>
      <c r="AB145" s="332">
        <f>SUMIFS(BASE_EX!$J:$J,BASE_EX!$B:$B,'Direct Charge'!$A145,BASE_EX!$C:$C,"fevereiro")</f>
        <v>0</v>
      </c>
      <c r="AC145" s="373"/>
      <c r="AD145" s="372"/>
      <c r="AE145" s="343"/>
      <c r="AF145" s="332">
        <f>SUMIFS(BASE_EX!$J:$J,BASE_EX!$B:$B,'Direct Charge'!$A145,BASE_EX!$C:$C,"março")</f>
        <v>0</v>
      </c>
      <c r="AG145" s="373"/>
      <c r="AH145" s="372"/>
      <c r="AI145" s="343"/>
      <c r="AJ145" s="332">
        <f>SUMIFS(BASE_EX!$J:$J,BASE_EX!$B:$B,'Direct Charge'!$A145,BASE_EX!$C:$C,"abril")</f>
        <v>0</v>
      </c>
      <c r="AK145" s="373"/>
      <c r="AL145" s="372"/>
      <c r="AM145" s="343"/>
      <c r="AN145" s="332">
        <f>SUMIFS(BASE_EX!$J:$J,BASE_EX!$B:$B,'Direct Charge'!$A145,BASE_EX!$C:$C,"maio")</f>
        <v>0</v>
      </c>
      <c r="AO145" s="373"/>
      <c r="AP145" s="372"/>
      <c r="AQ145" s="343"/>
      <c r="AR145" s="332">
        <f>SUMIFS(BASE_EX!$J:$J,BASE_EX!$B:$B,'Direct Charge'!$A145,BASE_EX!$C:$C,"junho")</f>
        <v>0</v>
      </c>
      <c r="AS145" s="373"/>
      <c r="AT145" s="372"/>
      <c r="AU145" s="343"/>
      <c r="AV145" s="332">
        <f>SUMIFS(BASE_EX!$J:$J,BASE_EX!$B:$B,'Direct Charge'!$A145,BASE_EX!$C:$C,"julho")</f>
        <v>0</v>
      </c>
      <c r="AW145" s="373"/>
      <c r="AX145" s="372"/>
      <c r="AY145" s="343"/>
      <c r="AZ145" s="332">
        <f>SUMIFS(BASE_EX!$J:$J,BASE_EX!$B:$B,'Direct Charge'!$A145,BASE_EX!$C:$C,"agosto")</f>
        <v>0</v>
      </c>
      <c r="BA145" s="373"/>
      <c r="BB145" s="372"/>
      <c r="BC145" s="343"/>
      <c r="BD145" s="332">
        <f>SUMIFS(BASE_EX!$J:$J,BASE_EX!$B:$B,'Direct Charge'!$A145,BASE_EX!$C:$C,"setembro")</f>
        <v>0</v>
      </c>
      <c r="BE145" s="373"/>
      <c r="BF145" s="372"/>
      <c r="BG145" s="343"/>
      <c r="BH145" s="332">
        <f>SUMIFS(BASE_EX!$J:$J,BASE_EX!$B:$B,'Direct Charge'!$A145,BASE_EX!$C:$C,"outubro")</f>
        <v>0</v>
      </c>
      <c r="BI145" s="373"/>
      <c r="BJ145" s="372"/>
      <c r="BK145" s="343"/>
      <c r="BL145" s="332">
        <f>SUMIFS(BASE_EX!$J:$J,BASE_EX!$B:$B,'Direct Charge'!$A145,BASE_EX!$C:$C,"novembro")</f>
        <v>0</v>
      </c>
      <c r="BM145" s="373"/>
      <c r="BN145" s="372"/>
      <c r="BO145" s="343"/>
      <c r="BP145" s="332">
        <f>SUMIFS(BASE_EX!$J:$J,BASE_EX!$B:$B,'Direct Charge'!$A145,BASE_EX!$C:$C,"dezembro")</f>
        <v>0</v>
      </c>
      <c r="BQ145" s="373"/>
      <c r="BR145" s="452"/>
      <c r="BS145" s="156">
        <f t="shared" si="29"/>
        <v>0</v>
      </c>
      <c r="BT145" s="320">
        <f t="shared" si="30"/>
        <v>0</v>
      </c>
      <c r="BU145" s="157" t="e">
        <f>SUM(L145,M145,N145,O145,U145)-#REF!</f>
        <v>#REF!</v>
      </c>
      <c r="BV145" s="346">
        <f t="shared" si="31"/>
        <v>0</v>
      </c>
      <c r="BW145" s="344" t="str">
        <f>IFERROR(VLOOKUP($A145,'BASE_558 EX'!$D:$R,8,FALSE),"")</f>
        <v xml:space="preserve">            6.000,00</v>
      </c>
      <c r="BX145" s="344" t="str">
        <f>IFERROR(VLOOKUP($A145,'BASE_558 EX'!$D:$R,9,FALSE),"")</f>
        <v xml:space="preserve">                0,00</v>
      </c>
      <c r="BY145" s="344" t="str">
        <f>IFERROR(VLOOKUP($A145,'BASE_558 EX'!$D:$R,10,FALSE),"")</f>
        <v xml:space="preserve">                0,00</v>
      </c>
      <c r="BZ145" s="344" t="str">
        <f>IFERROR(VLOOKUP($A145,'BASE_558 EX'!$D:$R,11,FALSE),"")</f>
        <v xml:space="preserve">                0,00</v>
      </c>
      <c r="CA145" s="344">
        <f>IFERROR(IF(BASE_558!$P$14="RemOrdPla",(VLOOKUP(A145,BASE_558!D:R,14)/1000),(VLOOKUP(A145,BASE_558!D:R,13)/1000)),"")</f>
        <v>131.3895</v>
      </c>
      <c r="CB145" s="344" t="str">
        <f>IFERROR(VLOOKUP($A145,'BASE_558 EX'!$D:$R,15,FALSE),"")</f>
        <v xml:space="preserve">            6.000,00</v>
      </c>
      <c r="CC145" s="442"/>
      <c r="CD145" s="442">
        <f t="shared" si="32"/>
        <v>0</v>
      </c>
    </row>
    <row r="146" spans="1:82" s="23" customFormat="1" ht="25.4" customHeight="1">
      <c r="A146" s="309" t="s">
        <v>1594</v>
      </c>
      <c r="B146" s="309" t="s">
        <v>1264</v>
      </c>
      <c r="C146" s="187">
        <v>44581</v>
      </c>
      <c r="D146" s="381" t="s">
        <v>2873</v>
      </c>
      <c r="E146" s="361" t="s">
        <v>2251</v>
      </c>
      <c r="F146" s="381" t="s">
        <v>176</v>
      </c>
      <c r="G146" s="406" t="s">
        <v>6766</v>
      </c>
      <c r="H146" s="339" t="s">
        <v>614</v>
      </c>
      <c r="I146" s="45" t="s">
        <v>463</v>
      </c>
      <c r="J146" s="125" t="s">
        <v>219</v>
      </c>
      <c r="K146" s="10" t="s">
        <v>738</v>
      </c>
      <c r="L146" s="206">
        <v>0</v>
      </c>
      <c r="M146" s="206">
        <v>0</v>
      </c>
      <c r="N146" s="206">
        <v>0</v>
      </c>
      <c r="O146" s="206">
        <v>0</v>
      </c>
      <c r="P146" s="206"/>
      <c r="Q146" s="206">
        <f t="shared" si="27"/>
        <v>10000</v>
      </c>
      <c r="R146" s="206"/>
      <c r="S146" s="206"/>
      <c r="T146" s="223"/>
      <c r="U146" s="169">
        <f t="shared" si="28"/>
        <v>10000</v>
      </c>
      <c r="V146" s="372">
        <v>0</v>
      </c>
      <c r="W146" s="343"/>
      <c r="X146" s="332">
        <f>SUMIFS(BASE_EX!$J:$J,BASE_EX!$B:$B,'Direct Charge'!$A146,BASE_EX!$C:$C,"janeiro")</f>
        <v>0</v>
      </c>
      <c r="Y146" s="373"/>
      <c r="Z146" s="372">
        <v>0</v>
      </c>
      <c r="AA146" s="343"/>
      <c r="AB146" s="332">
        <f>SUMIFS(BASE_EX!$J:$J,BASE_EX!$B:$B,'Direct Charge'!$A146,BASE_EX!$C:$C,"fevereiro")</f>
        <v>0</v>
      </c>
      <c r="AC146" s="373"/>
      <c r="AD146" s="372"/>
      <c r="AE146" s="343"/>
      <c r="AF146" s="332">
        <f>SUMIFS(BASE_EX!$J:$J,BASE_EX!$B:$B,'Direct Charge'!$A146,BASE_EX!$C:$C,"março")</f>
        <v>0</v>
      </c>
      <c r="AG146" s="373"/>
      <c r="AH146" s="372"/>
      <c r="AI146" s="343"/>
      <c r="AJ146" s="332">
        <f>SUMIFS(BASE_EX!$J:$J,BASE_EX!$B:$B,'Direct Charge'!$A146,BASE_EX!$C:$C,"abril")</f>
        <v>0</v>
      </c>
      <c r="AK146" s="373"/>
      <c r="AL146" s="372"/>
      <c r="AM146" s="343"/>
      <c r="AN146" s="332">
        <f>SUMIFS(BASE_EX!$J:$J,BASE_EX!$B:$B,'Direct Charge'!$A146,BASE_EX!$C:$C,"maio")</f>
        <v>0</v>
      </c>
      <c r="AO146" s="373"/>
      <c r="AP146" s="372"/>
      <c r="AQ146" s="343"/>
      <c r="AR146" s="332">
        <f>SUMIFS(BASE_EX!$J:$J,BASE_EX!$B:$B,'Direct Charge'!$A146,BASE_EX!$C:$C,"junho")</f>
        <v>0</v>
      </c>
      <c r="AS146" s="373"/>
      <c r="AT146" s="372"/>
      <c r="AU146" s="343"/>
      <c r="AV146" s="332">
        <f>SUMIFS(BASE_EX!$J:$J,BASE_EX!$B:$B,'Direct Charge'!$A146,BASE_EX!$C:$C,"julho")</f>
        <v>0</v>
      </c>
      <c r="AW146" s="373"/>
      <c r="AX146" s="372"/>
      <c r="AY146" s="343"/>
      <c r="AZ146" s="332">
        <f>SUMIFS(BASE_EX!$J:$J,BASE_EX!$B:$B,'Direct Charge'!$A146,BASE_EX!$C:$C,"agosto")</f>
        <v>0</v>
      </c>
      <c r="BA146" s="373"/>
      <c r="BB146" s="372"/>
      <c r="BC146" s="343"/>
      <c r="BD146" s="332">
        <f>SUMIFS(BASE_EX!$J:$J,BASE_EX!$B:$B,'Direct Charge'!$A146,BASE_EX!$C:$C,"setembro")</f>
        <v>0</v>
      </c>
      <c r="BE146" s="373">
        <v>10000</v>
      </c>
      <c r="BF146" s="372"/>
      <c r="BG146" s="343"/>
      <c r="BH146" s="332">
        <f>SUMIFS(BASE_EX!$J:$J,BASE_EX!$B:$B,'Direct Charge'!$A146,BASE_EX!$C:$C,"outubro")</f>
        <v>0</v>
      </c>
      <c r="BI146" s="373"/>
      <c r="BJ146" s="372"/>
      <c r="BK146" s="343"/>
      <c r="BL146" s="332">
        <f>SUMIFS(BASE_EX!$J:$J,BASE_EX!$B:$B,'Direct Charge'!$A146,BASE_EX!$C:$C,"novembro")</f>
        <v>0</v>
      </c>
      <c r="BM146" s="373"/>
      <c r="BN146" s="372"/>
      <c r="BO146" s="343"/>
      <c r="BP146" s="332">
        <f>SUMIFS(BASE_EX!$J:$J,BASE_EX!$B:$B,'Direct Charge'!$A146,BASE_EX!$C:$C,"dezembro")</f>
        <v>0</v>
      </c>
      <c r="BQ146" s="373"/>
      <c r="BR146" s="452"/>
      <c r="BS146" s="156">
        <f t="shared" si="29"/>
        <v>0</v>
      </c>
      <c r="BT146" s="320">
        <f t="shared" si="30"/>
        <v>0</v>
      </c>
      <c r="BU146" s="157" t="e">
        <f>SUM(L146,M146,N146,O146,U146)-#REF!</f>
        <v>#REF!</v>
      </c>
      <c r="BV146" s="346">
        <f t="shared" si="31"/>
        <v>10000</v>
      </c>
      <c r="BW146" s="344" t="str">
        <f>IFERROR(VLOOKUP($A146,'BASE_558 EX'!$D:$R,8,FALSE),"")</f>
        <v xml:space="preserve">           50.000,00</v>
      </c>
      <c r="BX146" s="344" t="str">
        <f>IFERROR(VLOOKUP($A146,'BASE_558 EX'!$D:$R,9,FALSE),"")</f>
        <v xml:space="preserve">                0,00</v>
      </c>
      <c r="BY146" s="344" t="str">
        <f>IFERROR(VLOOKUP($A146,'BASE_558 EX'!$D:$R,10,FALSE),"")</f>
        <v xml:space="preserve">                0,00</v>
      </c>
      <c r="BZ146" s="344" t="str">
        <f>IFERROR(VLOOKUP($A146,'BASE_558 EX'!$D:$R,11,FALSE),"")</f>
        <v xml:space="preserve">                0,00</v>
      </c>
      <c r="CA146" s="344">
        <f>IFERROR(IF(BASE_558!$P$14="RemOrdPla",(VLOOKUP(A146,BASE_558!D:R,14)/1000),(VLOOKUP(A146,BASE_558!D:R,13)/1000)),"")</f>
        <v>12.92516</v>
      </c>
      <c r="CB146" s="344" t="str">
        <f>IFERROR(VLOOKUP($A146,'BASE_558 EX'!$D:$R,15,FALSE),"")</f>
        <v xml:space="preserve">           50.000,00</v>
      </c>
      <c r="CC146" s="442"/>
      <c r="CD146" s="442">
        <f t="shared" si="32"/>
        <v>0</v>
      </c>
    </row>
    <row r="147" spans="1:82" s="23" customFormat="1" ht="25.4" customHeight="1">
      <c r="A147" s="309" t="s">
        <v>1593</v>
      </c>
      <c r="B147" s="309" t="s">
        <v>1910</v>
      </c>
      <c r="C147" s="187">
        <v>44585</v>
      </c>
      <c r="D147" s="381" t="s">
        <v>478</v>
      </c>
      <c r="E147" s="309" t="s">
        <v>481</v>
      </c>
      <c r="F147" s="381" t="s">
        <v>176</v>
      </c>
      <c r="G147" s="341" t="s">
        <v>1554</v>
      </c>
      <c r="H147" s="339" t="s">
        <v>614</v>
      </c>
      <c r="I147" s="45" t="s">
        <v>218</v>
      </c>
      <c r="J147" s="83" t="s">
        <v>462</v>
      </c>
      <c r="K147" s="46" t="s">
        <v>1600</v>
      </c>
      <c r="L147" s="206"/>
      <c r="M147" s="206">
        <v>0</v>
      </c>
      <c r="N147" s="206">
        <v>0</v>
      </c>
      <c r="O147" s="206">
        <v>0</v>
      </c>
      <c r="P147" s="206"/>
      <c r="Q147" s="206">
        <f t="shared" si="27"/>
        <v>0</v>
      </c>
      <c r="R147" s="206"/>
      <c r="S147" s="206"/>
      <c r="T147" s="223"/>
      <c r="U147" s="169">
        <f t="shared" si="28"/>
        <v>0</v>
      </c>
      <c r="V147" s="372">
        <v>0</v>
      </c>
      <c r="W147" s="343"/>
      <c r="X147" s="332">
        <f>SUMIFS(BASE_EX!$J:$J,BASE_EX!$B:$B,'Direct Charge'!$A147,BASE_EX!$C:$C,"janeiro")</f>
        <v>0</v>
      </c>
      <c r="Y147" s="373"/>
      <c r="Z147" s="372">
        <v>0</v>
      </c>
      <c r="AA147" s="343"/>
      <c r="AB147" s="332">
        <f>SUMIFS(BASE_EX!$J:$J,BASE_EX!$B:$B,'Direct Charge'!$A147,BASE_EX!$C:$C,"fevereiro")</f>
        <v>0</v>
      </c>
      <c r="AC147" s="373"/>
      <c r="AD147" s="372"/>
      <c r="AE147" s="343"/>
      <c r="AF147" s="332">
        <f>SUMIFS(BASE_EX!$J:$J,BASE_EX!$B:$B,'Direct Charge'!$A147,BASE_EX!$C:$C,"março")</f>
        <v>0</v>
      </c>
      <c r="AG147" s="373"/>
      <c r="AH147" s="372"/>
      <c r="AI147" s="343"/>
      <c r="AJ147" s="332">
        <f>SUMIFS(BASE_EX!$J:$J,BASE_EX!$B:$B,'Direct Charge'!$A147,BASE_EX!$C:$C,"abril")</f>
        <v>0</v>
      </c>
      <c r="AK147" s="373"/>
      <c r="AL147" s="372"/>
      <c r="AM147" s="343"/>
      <c r="AN147" s="332">
        <f>SUMIFS(BASE_EX!$J:$J,BASE_EX!$B:$B,'Direct Charge'!$A147,BASE_EX!$C:$C,"maio")</f>
        <v>0</v>
      </c>
      <c r="AO147" s="373"/>
      <c r="AP147" s="372"/>
      <c r="AQ147" s="343"/>
      <c r="AR147" s="332">
        <f>SUMIFS(BASE_EX!$J:$J,BASE_EX!$B:$B,'Direct Charge'!$A147,BASE_EX!$C:$C,"junho")</f>
        <v>0</v>
      </c>
      <c r="AS147" s="373"/>
      <c r="AT147" s="372"/>
      <c r="AU147" s="343"/>
      <c r="AV147" s="332">
        <f>SUMIFS(BASE_EX!$J:$J,BASE_EX!$B:$B,'Direct Charge'!$A147,BASE_EX!$C:$C,"julho")</f>
        <v>0</v>
      </c>
      <c r="AW147" s="373"/>
      <c r="AX147" s="372"/>
      <c r="AY147" s="343"/>
      <c r="AZ147" s="332">
        <f>SUMIFS(BASE_EX!$J:$J,BASE_EX!$B:$B,'Direct Charge'!$A147,BASE_EX!$C:$C,"agosto")</f>
        <v>0</v>
      </c>
      <c r="BA147" s="373"/>
      <c r="BB147" s="372"/>
      <c r="BC147" s="343"/>
      <c r="BD147" s="332">
        <f>SUMIFS(BASE_EX!$J:$J,BASE_EX!$B:$B,'Direct Charge'!$A147,BASE_EX!$C:$C,"setembro")</f>
        <v>0</v>
      </c>
      <c r="BE147" s="373"/>
      <c r="BF147" s="372"/>
      <c r="BG147" s="343"/>
      <c r="BH147" s="332">
        <f>SUMIFS(BASE_EX!$J:$J,BASE_EX!$B:$B,'Direct Charge'!$A147,BASE_EX!$C:$C,"outubro")</f>
        <v>0</v>
      </c>
      <c r="BI147" s="373"/>
      <c r="BJ147" s="372"/>
      <c r="BK147" s="343"/>
      <c r="BL147" s="332">
        <f>SUMIFS(BASE_EX!$J:$J,BASE_EX!$B:$B,'Direct Charge'!$A147,BASE_EX!$C:$C,"novembro")</f>
        <v>0</v>
      </c>
      <c r="BM147" s="373"/>
      <c r="BN147" s="372"/>
      <c r="BO147" s="343"/>
      <c r="BP147" s="332">
        <f>SUMIFS(BASE_EX!$J:$J,BASE_EX!$B:$B,'Direct Charge'!$A147,BASE_EX!$C:$C,"dezembro")</f>
        <v>0</v>
      </c>
      <c r="BQ147" s="373"/>
      <c r="BR147" s="452"/>
      <c r="BS147" s="156">
        <f t="shared" si="29"/>
        <v>0</v>
      </c>
      <c r="BT147" s="320">
        <f t="shared" si="30"/>
        <v>0</v>
      </c>
      <c r="BU147" s="157" t="e">
        <f>SUM(L147,M147,N147,O147,U147)-#REF!</f>
        <v>#REF!</v>
      </c>
      <c r="BV147" s="346">
        <f t="shared" si="31"/>
        <v>0</v>
      </c>
      <c r="BW147" s="344" t="str">
        <f>IFERROR(VLOOKUP($A147,'BASE_558 EX'!$D:$R,8,FALSE),"")</f>
        <v xml:space="preserve">          170.000,00</v>
      </c>
      <c r="BX147" s="344" t="str">
        <f>IFERROR(VLOOKUP($A147,'BASE_558 EX'!$D:$R,9,FALSE),"")</f>
        <v xml:space="preserve">                0,00</v>
      </c>
      <c r="BY147" s="344" t="str">
        <f>IFERROR(VLOOKUP($A147,'BASE_558 EX'!$D:$R,10,FALSE),"")</f>
        <v xml:space="preserve">                0,00</v>
      </c>
      <c r="BZ147" s="344" t="str">
        <f>IFERROR(VLOOKUP($A147,'BASE_558 EX'!$D:$R,11,FALSE),"")</f>
        <v xml:space="preserve">                0,00</v>
      </c>
      <c r="CA147" s="344">
        <f>IFERROR(IF(BASE_558!$P$14="RemOrdPla",(VLOOKUP(A147,BASE_558!D:R,14)/1000),(VLOOKUP(A147,BASE_558!D:R,13)/1000)),"")</f>
        <v>0</v>
      </c>
      <c r="CB147" s="344" t="str">
        <f>IFERROR(VLOOKUP($A147,'BASE_558 EX'!$D:$R,15,FALSE),"")</f>
        <v xml:space="preserve">          170.000,00</v>
      </c>
      <c r="CC147" s="442"/>
      <c r="CD147" s="442">
        <f t="shared" si="32"/>
        <v>0</v>
      </c>
    </row>
    <row r="148" spans="1:82" s="23" customFormat="1" ht="25.4" customHeight="1">
      <c r="A148" s="309" t="s">
        <v>1672</v>
      </c>
      <c r="B148" s="309" t="s">
        <v>1911</v>
      </c>
      <c r="C148" s="187"/>
      <c r="D148" s="381" t="s">
        <v>474</v>
      </c>
      <c r="E148" s="361" t="s">
        <v>2186</v>
      </c>
      <c r="F148" s="381" t="s">
        <v>176</v>
      </c>
      <c r="G148" s="340" t="s">
        <v>1556</v>
      </c>
      <c r="H148" s="339" t="s">
        <v>614</v>
      </c>
      <c r="I148" s="6" t="s">
        <v>463</v>
      </c>
      <c r="J148" s="83" t="s">
        <v>219</v>
      </c>
      <c r="K148" s="10" t="s">
        <v>2559</v>
      </c>
      <c r="L148" s="206"/>
      <c r="M148" s="206">
        <v>0</v>
      </c>
      <c r="N148" s="206">
        <v>0</v>
      </c>
      <c r="O148" s="206">
        <v>0</v>
      </c>
      <c r="P148" s="206"/>
      <c r="Q148" s="206">
        <f t="shared" si="27"/>
        <v>1905.8200000000002</v>
      </c>
      <c r="R148" s="206"/>
      <c r="S148" s="206"/>
      <c r="T148" s="223"/>
      <c r="U148" s="169">
        <f t="shared" si="28"/>
        <v>1905.8200000000002</v>
      </c>
      <c r="V148" s="372">
        <v>1561.65</v>
      </c>
      <c r="W148" s="343">
        <v>1561.65</v>
      </c>
      <c r="X148" s="332">
        <f>SUMIFS(BASE_EX!$J:$J,BASE_EX!$B:$B,'Direct Charge'!$A148,BASE_EX!$C:$C,"janeiro")</f>
        <v>1561.65</v>
      </c>
      <c r="Y148" s="373">
        <v>1561.65</v>
      </c>
      <c r="Z148" s="372">
        <v>0</v>
      </c>
      <c r="AA148" s="343"/>
      <c r="AB148" s="332">
        <f>SUMIFS(BASE_EX!$J:$J,BASE_EX!$B:$B,'Direct Charge'!$A148,BASE_EX!$C:$C,"fevereiro")</f>
        <v>0</v>
      </c>
      <c r="AC148" s="373"/>
      <c r="AD148" s="372"/>
      <c r="AE148" s="343"/>
      <c r="AF148" s="332">
        <f>SUMIFS(BASE_EX!$J:$J,BASE_EX!$B:$B,'Direct Charge'!$A148,BASE_EX!$C:$C,"março")</f>
        <v>0</v>
      </c>
      <c r="AG148" s="373"/>
      <c r="AH148" s="372"/>
      <c r="AI148" s="343"/>
      <c r="AJ148" s="332">
        <f>SUMIFS(BASE_EX!$J:$J,BASE_EX!$B:$B,'Direct Charge'!$A148,BASE_EX!$C:$C,"abril")</f>
        <v>0</v>
      </c>
      <c r="AK148" s="373"/>
      <c r="AL148" s="372"/>
      <c r="AM148" s="343">
        <v>344.17</v>
      </c>
      <c r="AN148" s="332">
        <f>SUMIFS(BASE_EX!$J:$J,BASE_EX!$B:$B,'Direct Charge'!$A148,BASE_EX!$C:$C,"maio")</f>
        <v>344.17</v>
      </c>
      <c r="AO148" s="373">
        <v>344.17</v>
      </c>
      <c r="AP148" s="372"/>
      <c r="AQ148" s="343"/>
      <c r="AR148" s="332">
        <f>SUMIFS(BASE_EX!$J:$J,BASE_EX!$B:$B,'Direct Charge'!$A148,BASE_EX!$C:$C,"junho")</f>
        <v>0</v>
      </c>
      <c r="AS148" s="373"/>
      <c r="AT148" s="372"/>
      <c r="AU148" s="343"/>
      <c r="AV148" s="332">
        <f>SUMIFS(BASE_EX!$J:$J,BASE_EX!$B:$B,'Direct Charge'!$A148,BASE_EX!$C:$C,"julho")</f>
        <v>0</v>
      </c>
      <c r="AW148" s="373"/>
      <c r="AX148" s="372"/>
      <c r="AY148" s="343"/>
      <c r="AZ148" s="332">
        <f>SUMIFS(BASE_EX!$J:$J,BASE_EX!$B:$B,'Direct Charge'!$A148,BASE_EX!$C:$C,"agosto")</f>
        <v>0</v>
      </c>
      <c r="BA148" s="373"/>
      <c r="BB148" s="372"/>
      <c r="BC148" s="343"/>
      <c r="BD148" s="332">
        <f>SUMIFS(BASE_EX!$J:$J,BASE_EX!$B:$B,'Direct Charge'!$A148,BASE_EX!$C:$C,"setembro")</f>
        <v>0</v>
      </c>
      <c r="BE148" s="373"/>
      <c r="BF148" s="372"/>
      <c r="BG148" s="343"/>
      <c r="BH148" s="332">
        <f>SUMIFS(BASE_EX!$J:$J,BASE_EX!$B:$B,'Direct Charge'!$A148,BASE_EX!$C:$C,"outubro")</f>
        <v>0</v>
      </c>
      <c r="BI148" s="373"/>
      <c r="BJ148" s="372"/>
      <c r="BK148" s="343"/>
      <c r="BL148" s="332">
        <f>SUMIFS(BASE_EX!$J:$J,BASE_EX!$B:$B,'Direct Charge'!$A148,BASE_EX!$C:$C,"novembro")</f>
        <v>0</v>
      </c>
      <c r="BM148" s="373"/>
      <c r="BN148" s="372"/>
      <c r="BO148" s="343"/>
      <c r="BP148" s="332">
        <f>SUMIFS(BASE_EX!$J:$J,BASE_EX!$B:$B,'Direct Charge'!$A148,BASE_EX!$C:$C,"dezembro")</f>
        <v>0</v>
      </c>
      <c r="BQ148" s="373"/>
      <c r="BR148" s="452"/>
      <c r="BS148" s="156">
        <f t="shared" si="29"/>
        <v>0</v>
      </c>
      <c r="BT148" s="320">
        <f t="shared" si="30"/>
        <v>0</v>
      </c>
      <c r="BU148" s="157" t="e">
        <f>SUM(L148,M148,N148,O148,U148)-#REF!</f>
        <v>#REF!</v>
      </c>
      <c r="BV148" s="346">
        <f t="shared" si="31"/>
        <v>1905.8200000000002</v>
      </c>
      <c r="BW148" s="344" t="str">
        <f>IFERROR(VLOOKUP($A148,'BASE_558 EX'!$D:$R,8,FALSE),"")</f>
        <v xml:space="preserve">            8.600,00</v>
      </c>
      <c r="BX148" s="344" t="str">
        <f>IFERROR(VLOOKUP($A148,'BASE_558 EX'!$D:$R,9,FALSE),"")</f>
        <v xml:space="preserve">            1.905,82</v>
      </c>
      <c r="BY148" s="344" t="str">
        <f>IFERROR(VLOOKUP($A148,'BASE_558 EX'!$D:$R,10,FALSE),"")</f>
        <v xml:space="preserve">                0,00</v>
      </c>
      <c r="BZ148" s="344" t="str">
        <f>IFERROR(VLOOKUP($A148,'BASE_558 EX'!$D:$R,11,FALSE),"")</f>
        <v xml:space="preserve">                0,00</v>
      </c>
      <c r="CA148" s="344">
        <f>IFERROR(IF(BASE_558!$P$14="RemOrdPla",(VLOOKUP(A148,BASE_558!D:R,14)/1000),(VLOOKUP(A148,BASE_558!D:R,13)/1000)),"")</f>
        <v>143.09716</v>
      </c>
      <c r="CB148" s="344" t="str">
        <f>IFERROR(VLOOKUP($A148,'BASE_558 EX'!$D:$R,15,FALSE),"")</f>
        <v xml:space="preserve">            6.694,18</v>
      </c>
      <c r="CC148" s="442"/>
      <c r="CD148" s="442">
        <f t="shared" si="32"/>
        <v>0</v>
      </c>
    </row>
    <row r="149" spans="1:82" s="23" customFormat="1" ht="25.4" customHeight="1">
      <c r="A149" s="309" t="s">
        <v>1615</v>
      </c>
      <c r="B149" s="309" t="s">
        <v>1706</v>
      </c>
      <c r="C149" s="187">
        <v>44630</v>
      </c>
      <c r="D149" s="381" t="s">
        <v>1125</v>
      </c>
      <c r="E149" s="309" t="s">
        <v>1125</v>
      </c>
      <c r="F149" s="381" t="s">
        <v>176</v>
      </c>
      <c r="G149" s="340" t="s">
        <v>3271</v>
      </c>
      <c r="H149" s="339" t="s">
        <v>614</v>
      </c>
      <c r="I149" s="45" t="s">
        <v>218</v>
      </c>
      <c r="J149" s="125" t="s">
        <v>462</v>
      </c>
      <c r="K149" s="46" t="s">
        <v>1906</v>
      </c>
      <c r="L149" s="206"/>
      <c r="M149" s="206">
        <v>0</v>
      </c>
      <c r="N149" s="206">
        <v>0</v>
      </c>
      <c r="O149" s="206">
        <v>0</v>
      </c>
      <c r="P149" s="206"/>
      <c r="Q149" s="206">
        <f t="shared" si="27"/>
        <v>0</v>
      </c>
      <c r="R149" s="206"/>
      <c r="S149" s="206"/>
      <c r="T149" s="223"/>
      <c r="U149" s="169">
        <f t="shared" si="28"/>
        <v>0</v>
      </c>
      <c r="V149" s="372">
        <v>0</v>
      </c>
      <c r="W149" s="343"/>
      <c r="X149" s="332">
        <f>SUMIFS(BASE_EX!$J:$J,BASE_EX!$B:$B,'Direct Charge'!$A149,BASE_EX!$C:$C,"janeiro")</f>
        <v>0</v>
      </c>
      <c r="Y149" s="373"/>
      <c r="Z149" s="372">
        <v>0</v>
      </c>
      <c r="AA149" s="343"/>
      <c r="AB149" s="332">
        <f>SUMIFS(BASE_EX!$J:$J,BASE_EX!$B:$B,'Direct Charge'!$A149,BASE_EX!$C:$C,"fevereiro")</f>
        <v>0</v>
      </c>
      <c r="AC149" s="373"/>
      <c r="AD149" s="372"/>
      <c r="AE149" s="343"/>
      <c r="AF149" s="332">
        <f>SUMIFS(BASE_EX!$J:$J,BASE_EX!$B:$B,'Direct Charge'!$A149,BASE_EX!$C:$C,"março")</f>
        <v>0</v>
      </c>
      <c r="AG149" s="373"/>
      <c r="AH149" s="372"/>
      <c r="AI149" s="343"/>
      <c r="AJ149" s="332">
        <f>SUMIFS(BASE_EX!$J:$J,BASE_EX!$B:$B,'Direct Charge'!$A149,BASE_EX!$C:$C,"abril")</f>
        <v>0</v>
      </c>
      <c r="AK149" s="373"/>
      <c r="AL149" s="372"/>
      <c r="AM149" s="343"/>
      <c r="AN149" s="332">
        <f>SUMIFS(BASE_EX!$J:$J,BASE_EX!$B:$B,'Direct Charge'!$A149,BASE_EX!$C:$C,"maio")</f>
        <v>0</v>
      </c>
      <c r="AO149" s="373"/>
      <c r="AP149" s="372"/>
      <c r="AQ149" s="343"/>
      <c r="AR149" s="332">
        <f>SUMIFS(BASE_EX!$J:$J,BASE_EX!$B:$B,'Direct Charge'!$A149,BASE_EX!$C:$C,"junho")</f>
        <v>0</v>
      </c>
      <c r="AS149" s="373"/>
      <c r="AT149" s="372"/>
      <c r="AU149" s="343"/>
      <c r="AV149" s="332">
        <f>SUMIFS(BASE_EX!$J:$J,BASE_EX!$B:$B,'Direct Charge'!$A149,BASE_EX!$C:$C,"julho")</f>
        <v>0</v>
      </c>
      <c r="AW149" s="373"/>
      <c r="AX149" s="372"/>
      <c r="AY149" s="343"/>
      <c r="AZ149" s="332">
        <f>SUMIFS(BASE_EX!$J:$J,BASE_EX!$B:$B,'Direct Charge'!$A149,BASE_EX!$C:$C,"agosto")</f>
        <v>0</v>
      </c>
      <c r="BA149" s="373"/>
      <c r="BB149" s="372"/>
      <c r="BC149" s="343"/>
      <c r="BD149" s="332">
        <f>SUMIFS(BASE_EX!$J:$J,BASE_EX!$B:$B,'Direct Charge'!$A149,BASE_EX!$C:$C,"setembro")</f>
        <v>0</v>
      </c>
      <c r="BE149" s="373"/>
      <c r="BF149" s="372"/>
      <c r="BG149" s="343"/>
      <c r="BH149" s="332">
        <f>SUMIFS(BASE_EX!$J:$J,BASE_EX!$B:$B,'Direct Charge'!$A149,BASE_EX!$C:$C,"outubro")</f>
        <v>0</v>
      </c>
      <c r="BI149" s="373"/>
      <c r="BJ149" s="372"/>
      <c r="BK149" s="343"/>
      <c r="BL149" s="332">
        <f>SUMIFS(BASE_EX!$J:$J,BASE_EX!$B:$B,'Direct Charge'!$A149,BASE_EX!$C:$C,"novembro")</f>
        <v>0</v>
      </c>
      <c r="BM149" s="373"/>
      <c r="BN149" s="372"/>
      <c r="BO149" s="343"/>
      <c r="BP149" s="332">
        <f>SUMIFS(BASE_EX!$J:$J,BASE_EX!$B:$B,'Direct Charge'!$A149,BASE_EX!$C:$C,"dezembro")</f>
        <v>0</v>
      </c>
      <c r="BQ149" s="373"/>
      <c r="BR149" s="452"/>
      <c r="BS149" s="156">
        <f t="shared" si="29"/>
        <v>0</v>
      </c>
      <c r="BT149" s="320">
        <f t="shared" si="30"/>
        <v>0</v>
      </c>
      <c r="BU149" s="157" t="e">
        <f>SUM(L149,M149,N149,O149,U149)-#REF!</f>
        <v>#REF!</v>
      </c>
      <c r="BV149" s="346">
        <f t="shared" si="31"/>
        <v>0</v>
      </c>
      <c r="BW149" s="344" t="str">
        <f>IFERROR(VLOOKUP($A149,'BASE_558 EX'!$D:$R,8,FALSE),"")</f>
        <v xml:space="preserve">           60.000,00</v>
      </c>
      <c r="BX149" s="344" t="str">
        <f>IFERROR(VLOOKUP($A149,'BASE_558 EX'!$D:$R,9,FALSE),"")</f>
        <v xml:space="preserve">                0,00</v>
      </c>
      <c r="BY149" s="344" t="str">
        <f>IFERROR(VLOOKUP($A149,'BASE_558 EX'!$D:$R,10,FALSE),"")</f>
        <v xml:space="preserve">                0,00</v>
      </c>
      <c r="BZ149" s="344" t="str">
        <f>IFERROR(VLOOKUP($A149,'BASE_558 EX'!$D:$R,11,FALSE),"")</f>
        <v xml:space="preserve">                0,00</v>
      </c>
      <c r="CA149" s="344">
        <f>IFERROR(IF(BASE_558!$P$14="RemOrdPla",(VLOOKUP(A149,BASE_558!D:R,14)/1000),(VLOOKUP(A149,BASE_558!D:R,13)/1000)),"")</f>
        <v>0</v>
      </c>
      <c r="CB149" s="344" t="str">
        <f>IFERROR(VLOOKUP($A149,'BASE_558 EX'!$D:$R,15,FALSE),"")</f>
        <v xml:space="preserve">           60.000,00</v>
      </c>
      <c r="CC149" s="442"/>
      <c r="CD149" s="442">
        <f t="shared" si="32"/>
        <v>0</v>
      </c>
    </row>
    <row r="150" spans="1:82" s="23" customFormat="1" ht="25.4" customHeight="1">
      <c r="A150" s="309" t="s">
        <v>1624</v>
      </c>
      <c r="B150" s="309" t="s">
        <v>1901</v>
      </c>
      <c r="C150" s="310">
        <v>44647</v>
      </c>
      <c r="D150" s="381" t="s">
        <v>946</v>
      </c>
      <c r="E150" s="361" t="s">
        <v>2251</v>
      </c>
      <c r="F150" s="381" t="s">
        <v>176</v>
      </c>
      <c r="G150" s="342" t="s">
        <v>1609</v>
      </c>
      <c r="H150" s="339" t="s">
        <v>614</v>
      </c>
      <c r="I150" s="45" t="s">
        <v>463</v>
      </c>
      <c r="J150" s="83" t="s">
        <v>219</v>
      </c>
      <c r="K150" s="46" t="s">
        <v>6881</v>
      </c>
      <c r="L150" s="206"/>
      <c r="M150" s="206">
        <v>0</v>
      </c>
      <c r="N150" s="206">
        <v>16200.11</v>
      </c>
      <c r="O150" s="206">
        <v>112679.04999999999</v>
      </c>
      <c r="P150" s="206">
        <v>-154.20999999999998</v>
      </c>
      <c r="Q150" s="206">
        <f t="shared" si="27"/>
        <v>0</v>
      </c>
      <c r="R150" s="206"/>
      <c r="S150" s="206"/>
      <c r="T150" s="223"/>
      <c r="U150" s="169">
        <f t="shared" si="28"/>
        <v>0</v>
      </c>
      <c r="V150" s="372">
        <v>0</v>
      </c>
      <c r="W150" s="343"/>
      <c r="X150" s="332">
        <f>SUMIFS(BASE_EX!$J:$J,BASE_EX!$B:$B,'Direct Charge'!$A150,BASE_EX!$C:$C,"janeiro")</f>
        <v>0</v>
      </c>
      <c r="Y150" s="373"/>
      <c r="Z150" s="372">
        <v>0</v>
      </c>
      <c r="AA150" s="343"/>
      <c r="AB150" s="332">
        <f>SUMIFS(BASE_EX!$J:$J,BASE_EX!$B:$B,'Direct Charge'!$A150,BASE_EX!$C:$C,"fevereiro")</f>
        <v>0</v>
      </c>
      <c r="AC150" s="373"/>
      <c r="AD150" s="372"/>
      <c r="AE150" s="343"/>
      <c r="AF150" s="332">
        <f>SUMIFS(BASE_EX!$J:$J,BASE_EX!$B:$B,'Direct Charge'!$A150,BASE_EX!$C:$C,"março")</f>
        <v>0</v>
      </c>
      <c r="AG150" s="373"/>
      <c r="AH150" s="372"/>
      <c r="AI150" s="343"/>
      <c r="AJ150" s="332">
        <f>SUMIFS(BASE_EX!$J:$J,BASE_EX!$B:$B,'Direct Charge'!$A150,BASE_EX!$C:$C,"abril")</f>
        <v>0</v>
      </c>
      <c r="AK150" s="373"/>
      <c r="AL150" s="372"/>
      <c r="AM150" s="343"/>
      <c r="AN150" s="332">
        <f>SUMIFS(BASE_EX!$J:$J,BASE_EX!$B:$B,'Direct Charge'!$A150,BASE_EX!$C:$C,"maio")</f>
        <v>0</v>
      </c>
      <c r="AO150" s="373"/>
      <c r="AP150" s="372"/>
      <c r="AQ150" s="343"/>
      <c r="AR150" s="332">
        <f>SUMIFS(BASE_EX!$J:$J,BASE_EX!$B:$B,'Direct Charge'!$A150,BASE_EX!$C:$C,"junho")</f>
        <v>0</v>
      </c>
      <c r="AS150" s="373"/>
      <c r="AT150" s="372"/>
      <c r="AU150" s="343"/>
      <c r="AV150" s="332">
        <f>SUMIFS(BASE_EX!$J:$J,BASE_EX!$B:$B,'Direct Charge'!$A150,BASE_EX!$C:$C,"julho")</f>
        <v>0</v>
      </c>
      <c r="AW150" s="373"/>
      <c r="AX150" s="372"/>
      <c r="AY150" s="343"/>
      <c r="AZ150" s="332">
        <f>SUMIFS(BASE_EX!$J:$J,BASE_EX!$B:$B,'Direct Charge'!$A150,BASE_EX!$C:$C,"agosto")</f>
        <v>0</v>
      </c>
      <c r="BA150" s="373"/>
      <c r="BB150" s="372"/>
      <c r="BC150" s="343"/>
      <c r="BD150" s="332">
        <f>SUMIFS(BASE_EX!$J:$J,BASE_EX!$B:$B,'Direct Charge'!$A150,BASE_EX!$C:$C,"setembro")</f>
        <v>0</v>
      </c>
      <c r="BE150" s="373"/>
      <c r="BF150" s="372"/>
      <c r="BG150" s="343"/>
      <c r="BH150" s="332">
        <f>SUMIFS(BASE_EX!$J:$J,BASE_EX!$B:$B,'Direct Charge'!$A150,BASE_EX!$C:$C,"outubro")</f>
        <v>0</v>
      </c>
      <c r="BI150" s="373"/>
      <c r="BJ150" s="372"/>
      <c r="BK150" s="343"/>
      <c r="BL150" s="332">
        <f>SUMIFS(BASE_EX!$J:$J,BASE_EX!$B:$B,'Direct Charge'!$A150,BASE_EX!$C:$C,"novembro")</f>
        <v>0</v>
      </c>
      <c r="BM150" s="373"/>
      <c r="BN150" s="372"/>
      <c r="BO150" s="343"/>
      <c r="BP150" s="332">
        <f>SUMIFS(BASE_EX!$J:$J,BASE_EX!$B:$B,'Direct Charge'!$A150,BASE_EX!$C:$C,"dezembro")</f>
        <v>0</v>
      </c>
      <c r="BQ150" s="373"/>
      <c r="BR150" s="452"/>
      <c r="BS150" s="156">
        <f t="shared" si="29"/>
        <v>0</v>
      </c>
      <c r="BT150" s="320">
        <f t="shared" si="30"/>
        <v>0</v>
      </c>
      <c r="BU150" s="157" t="e">
        <f>SUM(L150,M150,N150,O150,U150)-#REF!</f>
        <v>#REF!</v>
      </c>
      <c r="BV150" s="346">
        <f t="shared" si="31"/>
        <v>0</v>
      </c>
      <c r="BW150" s="344" t="str">
        <f>IFERROR(VLOOKUP($A150,'BASE_558 EX'!$D:$R,8,FALSE),"")</f>
        <v xml:space="preserve">          133.004,32</v>
      </c>
      <c r="BX150" s="344" t="str">
        <f>IFERROR(VLOOKUP($A150,'BASE_558 EX'!$D:$R,9,FALSE),"")</f>
        <v xml:space="preserve">          128.724,95</v>
      </c>
      <c r="BY150" s="344" t="str">
        <f>IFERROR(VLOOKUP($A150,'BASE_558 EX'!$D:$R,10,FALSE),"")</f>
        <v xml:space="preserve">                0,00</v>
      </c>
      <c r="BZ150" s="344" t="str">
        <f>IFERROR(VLOOKUP($A150,'BASE_558 EX'!$D:$R,11,FALSE),"")</f>
        <v xml:space="preserve">                0,00</v>
      </c>
      <c r="CA150" s="344">
        <f>IFERROR(IF(BASE_558!$P$14="RemOrdPla",(VLOOKUP(A150,BASE_558!D:R,14)/1000),(VLOOKUP(A150,BASE_558!D:R,13)/1000)),"")</f>
        <v>607.94800999999995</v>
      </c>
      <c r="CB150" s="344" t="str">
        <f>IFERROR(VLOOKUP($A150,'BASE_558 EX'!$D:$R,15,FALSE),"")</f>
        <v xml:space="preserve">            4.279,37</v>
      </c>
      <c r="CC150" s="442"/>
      <c r="CD150" s="442">
        <f t="shared" si="32"/>
        <v>0</v>
      </c>
    </row>
    <row r="151" spans="1:82" s="23" customFormat="1" ht="25.4" customHeight="1">
      <c r="A151" s="309" t="s">
        <v>1742</v>
      </c>
      <c r="B151" s="309" t="s">
        <v>1897</v>
      </c>
      <c r="C151" s="310">
        <v>44664</v>
      </c>
      <c r="D151" s="381" t="s">
        <v>481</v>
      </c>
      <c r="E151" s="309" t="s">
        <v>2485</v>
      </c>
      <c r="F151" s="381" t="s">
        <v>176</v>
      </c>
      <c r="G151" s="340" t="s">
        <v>1741</v>
      </c>
      <c r="H151" s="339" t="s">
        <v>614</v>
      </c>
      <c r="I151" s="45" t="s">
        <v>463</v>
      </c>
      <c r="J151" s="125" t="s">
        <v>219</v>
      </c>
      <c r="K151" s="46" t="s">
        <v>2706</v>
      </c>
      <c r="L151" s="206"/>
      <c r="M151" s="206">
        <v>0</v>
      </c>
      <c r="N151" s="206">
        <v>0</v>
      </c>
      <c r="O151" s="206">
        <v>0</v>
      </c>
      <c r="P151" s="206"/>
      <c r="Q151" s="206">
        <f t="shared" si="27"/>
        <v>0</v>
      </c>
      <c r="R151" s="206"/>
      <c r="S151" s="206"/>
      <c r="T151" s="223"/>
      <c r="U151" s="169">
        <f t="shared" si="28"/>
        <v>0</v>
      </c>
      <c r="V151" s="372">
        <v>0</v>
      </c>
      <c r="W151" s="343"/>
      <c r="X151" s="332">
        <f>SUMIFS(BASE_EX!$J:$J,BASE_EX!$B:$B,'Direct Charge'!$A151,BASE_EX!$C:$C,"janeiro")</f>
        <v>0</v>
      </c>
      <c r="Y151" s="373"/>
      <c r="Z151" s="372">
        <v>0</v>
      </c>
      <c r="AA151" s="343"/>
      <c r="AB151" s="332">
        <f>SUMIFS(BASE_EX!$J:$J,BASE_EX!$B:$B,'Direct Charge'!$A151,BASE_EX!$C:$C,"fevereiro")</f>
        <v>0</v>
      </c>
      <c r="AC151" s="373"/>
      <c r="AD151" s="372"/>
      <c r="AE151" s="343"/>
      <c r="AF151" s="332">
        <f>SUMIFS(BASE_EX!$J:$J,BASE_EX!$B:$B,'Direct Charge'!$A151,BASE_EX!$C:$C,"março")</f>
        <v>0</v>
      </c>
      <c r="AG151" s="373"/>
      <c r="AH151" s="372"/>
      <c r="AI151" s="343"/>
      <c r="AJ151" s="332">
        <f>SUMIFS(BASE_EX!$J:$J,BASE_EX!$B:$B,'Direct Charge'!$A151,BASE_EX!$C:$C,"abril")</f>
        <v>0</v>
      </c>
      <c r="AK151" s="373"/>
      <c r="AL151" s="372"/>
      <c r="AM151" s="343"/>
      <c r="AN151" s="332">
        <f>SUMIFS(BASE_EX!$J:$J,BASE_EX!$B:$B,'Direct Charge'!$A151,BASE_EX!$C:$C,"maio")</f>
        <v>0</v>
      </c>
      <c r="AO151" s="373"/>
      <c r="AP151" s="372"/>
      <c r="AQ151" s="343"/>
      <c r="AR151" s="332">
        <f>SUMIFS(BASE_EX!$J:$J,BASE_EX!$B:$B,'Direct Charge'!$A151,BASE_EX!$C:$C,"junho")</f>
        <v>0</v>
      </c>
      <c r="AS151" s="373"/>
      <c r="AT151" s="372"/>
      <c r="AU151" s="343"/>
      <c r="AV151" s="332">
        <f>SUMIFS(BASE_EX!$J:$J,BASE_EX!$B:$B,'Direct Charge'!$A151,BASE_EX!$C:$C,"julho")</f>
        <v>0</v>
      </c>
      <c r="AW151" s="373"/>
      <c r="AX151" s="372"/>
      <c r="AY151" s="343"/>
      <c r="AZ151" s="332">
        <f>SUMIFS(BASE_EX!$J:$J,BASE_EX!$B:$B,'Direct Charge'!$A151,BASE_EX!$C:$C,"agosto")</f>
        <v>0</v>
      </c>
      <c r="BA151" s="373"/>
      <c r="BB151" s="372"/>
      <c r="BC151" s="343"/>
      <c r="BD151" s="332">
        <f>SUMIFS(BASE_EX!$J:$J,BASE_EX!$B:$B,'Direct Charge'!$A151,BASE_EX!$C:$C,"setembro")</f>
        <v>0</v>
      </c>
      <c r="BE151" s="373"/>
      <c r="BF151" s="372"/>
      <c r="BG151" s="343"/>
      <c r="BH151" s="332">
        <f>SUMIFS(BASE_EX!$J:$J,BASE_EX!$B:$B,'Direct Charge'!$A151,BASE_EX!$C:$C,"outubro")</f>
        <v>0</v>
      </c>
      <c r="BI151" s="373"/>
      <c r="BJ151" s="372"/>
      <c r="BK151" s="343"/>
      <c r="BL151" s="332">
        <f>SUMIFS(BASE_EX!$J:$J,BASE_EX!$B:$B,'Direct Charge'!$A151,BASE_EX!$C:$C,"novembro")</f>
        <v>0</v>
      </c>
      <c r="BM151" s="373"/>
      <c r="BN151" s="372"/>
      <c r="BO151" s="343"/>
      <c r="BP151" s="332">
        <f>SUMIFS(BASE_EX!$J:$J,BASE_EX!$B:$B,'Direct Charge'!$A151,BASE_EX!$C:$C,"dezembro")</f>
        <v>0</v>
      </c>
      <c r="BQ151" s="373"/>
      <c r="BR151" s="452"/>
      <c r="BS151" s="156">
        <f t="shared" si="29"/>
        <v>0</v>
      </c>
      <c r="BT151" s="320">
        <f t="shared" si="30"/>
        <v>0</v>
      </c>
      <c r="BU151" s="157" t="e">
        <f>SUM(L151,M151,N151,O151,U151)-#REF!</f>
        <v>#REF!</v>
      </c>
      <c r="BV151" s="346">
        <f t="shared" si="31"/>
        <v>0</v>
      </c>
      <c r="BW151" s="344" t="str">
        <f>IFERROR(VLOOKUP($A151,'BASE_558 EX'!$D:$R,8,FALSE),"")</f>
        <v xml:space="preserve">           17.400,00</v>
      </c>
      <c r="BX151" s="344" t="str">
        <f>IFERROR(VLOOKUP($A151,'BASE_558 EX'!$D:$R,9,FALSE),"")</f>
        <v xml:space="preserve">                0,00</v>
      </c>
      <c r="BY151" s="344" t="str">
        <f>IFERROR(VLOOKUP($A151,'BASE_558 EX'!$D:$R,10,FALSE),"")</f>
        <v xml:space="preserve">                0,00</v>
      </c>
      <c r="BZ151" s="344" t="str">
        <f>IFERROR(VLOOKUP($A151,'BASE_558 EX'!$D:$R,11,FALSE),"")</f>
        <v xml:space="preserve">                0,00</v>
      </c>
      <c r="CA151" s="344">
        <f>IFERROR(IF(BASE_558!$P$14="RemOrdPla",(VLOOKUP(A151,BASE_558!D:R,14)/1000),(VLOOKUP(A151,BASE_558!D:R,13)/1000)),"")</f>
        <v>104.41602</v>
      </c>
      <c r="CB151" s="344" t="str">
        <f>IFERROR(VLOOKUP($A151,'BASE_558 EX'!$D:$R,15,FALSE),"")</f>
        <v xml:space="preserve">           17.400,00</v>
      </c>
      <c r="CC151" s="442"/>
      <c r="CD151" s="442">
        <f t="shared" si="32"/>
        <v>0</v>
      </c>
    </row>
    <row r="152" spans="1:82" s="23" customFormat="1" ht="25.4" customHeight="1">
      <c r="A152" s="309" t="s">
        <v>1695</v>
      </c>
      <c r="B152" s="309" t="s">
        <v>1895</v>
      </c>
      <c r="C152" s="187">
        <v>44769</v>
      </c>
      <c r="D152" s="381" t="s">
        <v>476</v>
      </c>
      <c r="E152" s="381" t="s">
        <v>476</v>
      </c>
      <c r="F152" s="309" t="s">
        <v>2508</v>
      </c>
      <c r="G152" s="340" t="s">
        <v>1694</v>
      </c>
      <c r="H152" s="340" t="s">
        <v>614</v>
      </c>
      <c r="I152" s="45" t="s">
        <v>218</v>
      </c>
      <c r="J152" s="125" t="s">
        <v>462</v>
      </c>
      <c r="K152" s="46" t="s">
        <v>2592</v>
      </c>
      <c r="L152" s="206"/>
      <c r="M152" s="206">
        <v>0</v>
      </c>
      <c r="N152" s="206">
        <v>0</v>
      </c>
      <c r="O152" s="206">
        <v>54830.320000000007</v>
      </c>
      <c r="P152" s="206"/>
      <c r="Q152" s="206">
        <f t="shared" si="27"/>
        <v>0</v>
      </c>
      <c r="R152" s="206"/>
      <c r="S152" s="206"/>
      <c r="T152" s="223"/>
      <c r="U152" s="169">
        <f t="shared" si="28"/>
        <v>0</v>
      </c>
      <c r="V152" s="372">
        <v>0</v>
      </c>
      <c r="W152" s="343"/>
      <c r="X152" s="332">
        <f>SUMIFS(BASE_EX!$J:$J,BASE_EX!$B:$B,'Direct Charge'!$A152,BASE_EX!$C:$C,"janeiro")</f>
        <v>0</v>
      </c>
      <c r="Y152" s="373"/>
      <c r="Z152" s="372">
        <v>0</v>
      </c>
      <c r="AA152" s="343"/>
      <c r="AB152" s="332">
        <f>SUMIFS(BASE_EX!$J:$J,BASE_EX!$B:$B,'Direct Charge'!$A152,BASE_EX!$C:$C,"fevereiro")</f>
        <v>0</v>
      </c>
      <c r="AC152" s="373"/>
      <c r="AD152" s="372"/>
      <c r="AE152" s="343"/>
      <c r="AF152" s="332">
        <f>SUMIFS(BASE_EX!$J:$J,BASE_EX!$B:$B,'Direct Charge'!$A152,BASE_EX!$C:$C,"março")</f>
        <v>0</v>
      </c>
      <c r="AG152" s="373"/>
      <c r="AH152" s="372"/>
      <c r="AI152" s="343"/>
      <c r="AJ152" s="332">
        <f>SUMIFS(BASE_EX!$J:$J,BASE_EX!$B:$B,'Direct Charge'!$A152,BASE_EX!$C:$C,"abril")</f>
        <v>0</v>
      </c>
      <c r="AK152" s="373"/>
      <c r="AL152" s="372"/>
      <c r="AM152" s="343"/>
      <c r="AN152" s="332">
        <f>SUMIFS(BASE_EX!$J:$J,BASE_EX!$B:$B,'Direct Charge'!$A152,BASE_EX!$C:$C,"maio")</f>
        <v>0</v>
      </c>
      <c r="AO152" s="373"/>
      <c r="AP152" s="372"/>
      <c r="AQ152" s="343"/>
      <c r="AR152" s="332">
        <f>SUMIFS(BASE_EX!$J:$J,BASE_EX!$B:$B,'Direct Charge'!$A152,BASE_EX!$C:$C,"junho")</f>
        <v>0</v>
      </c>
      <c r="AS152" s="373"/>
      <c r="AT152" s="372"/>
      <c r="AU152" s="343"/>
      <c r="AV152" s="332">
        <f>SUMIFS(BASE_EX!$J:$J,BASE_EX!$B:$B,'Direct Charge'!$A152,BASE_EX!$C:$C,"julho")</f>
        <v>0</v>
      </c>
      <c r="AW152" s="373"/>
      <c r="AX152" s="372"/>
      <c r="AY152" s="343"/>
      <c r="AZ152" s="332">
        <f>SUMIFS(BASE_EX!$J:$J,BASE_EX!$B:$B,'Direct Charge'!$A152,BASE_EX!$C:$C,"agosto")</f>
        <v>0</v>
      </c>
      <c r="BA152" s="373"/>
      <c r="BB152" s="372"/>
      <c r="BC152" s="343"/>
      <c r="BD152" s="332">
        <f>SUMIFS(BASE_EX!$J:$J,BASE_EX!$B:$B,'Direct Charge'!$A152,BASE_EX!$C:$C,"setembro")</f>
        <v>0</v>
      </c>
      <c r="BE152" s="373"/>
      <c r="BF152" s="372"/>
      <c r="BG152" s="343"/>
      <c r="BH152" s="332">
        <f>SUMIFS(BASE_EX!$J:$J,BASE_EX!$B:$B,'Direct Charge'!$A152,BASE_EX!$C:$C,"outubro")</f>
        <v>0</v>
      </c>
      <c r="BI152" s="373"/>
      <c r="BJ152" s="372"/>
      <c r="BK152" s="343"/>
      <c r="BL152" s="332">
        <f>SUMIFS(BASE_EX!$J:$J,BASE_EX!$B:$B,'Direct Charge'!$A152,BASE_EX!$C:$C,"novembro")</f>
        <v>0</v>
      </c>
      <c r="BM152" s="373"/>
      <c r="BN152" s="372"/>
      <c r="BO152" s="343"/>
      <c r="BP152" s="332">
        <f>SUMIFS(BASE_EX!$J:$J,BASE_EX!$B:$B,'Direct Charge'!$A152,BASE_EX!$C:$C,"dezembro")</f>
        <v>0</v>
      </c>
      <c r="BQ152" s="373"/>
      <c r="BR152" s="452"/>
      <c r="BS152" s="156">
        <f t="shared" si="29"/>
        <v>0</v>
      </c>
      <c r="BT152" s="320">
        <f t="shared" si="30"/>
        <v>0</v>
      </c>
      <c r="BU152" s="157" t="e">
        <f>SUM(L152,M152,N152,O152,U152)-#REF!</f>
        <v>#REF!</v>
      </c>
      <c r="BV152" s="346">
        <f t="shared" si="31"/>
        <v>0</v>
      </c>
      <c r="BW152" s="344" t="str">
        <f>IFERROR(VLOOKUP($A152,'BASE_558 EX'!$D:$R,8,FALSE),"")</f>
        <v xml:space="preserve">           55.000,00</v>
      </c>
      <c r="BX152" s="344" t="str">
        <f>IFERROR(VLOOKUP($A152,'BASE_558 EX'!$D:$R,9,FALSE),"")</f>
        <v xml:space="preserve">           54.830,32</v>
      </c>
      <c r="BY152" s="344" t="str">
        <f>IFERROR(VLOOKUP($A152,'BASE_558 EX'!$D:$R,10,FALSE),"")</f>
        <v xml:space="preserve">                0,00</v>
      </c>
      <c r="BZ152" s="344" t="str">
        <f>IFERROR(VLOOKUP($A152,'BASE_558 EX'!$D:$R,11,FALSE),"")</f>
        <v xml:space="preserve">                0,00</v>
      </c>
      <c r="CA152" s="344">
        <f>IFERROR(IF(BASE_558!$P$14="RemOrdPla",(VLOOKUP(A152,BASE_558!D:R,14)/1000),(VLOOKUP(A152,BASE_558!D:R,13)/1000)),"")</f>
        <v>2245.9082200000003</v>
      </c>
      <c r="CB152" s="344" t="str">
        <f>IFERROR(VLOOKUP($A152,'BASE_558 EX'!$D:$R,15,FALSE),"")</f>
        <v xml:space="preserve">              169,68</v>
      </c>
      <c r="CC152" s="442"/>
      <c r="CD152" s="442">
        <f t="shared" si="32"/>
        <v>0</v>
      </c>
    </row>
    <row r="153" spans="1:82" s="23" customFormat="1" ht="25.4" customHeight="1">
      <c r="A153" s="309" t="s">
        <v>1712</v>
      </c>
      <c r="B153" s="309" t="s">
        <v>1912</v>
      </c>
      <c r="C153" s="187">
        <v>44789</v>
      </c>
      <c r="D153" s="381" t="s">
        <v>481</v>
      </c>
      <c r="E153" s="309" t="s">
        <v>2485</v>
      </c>
      <c r="F153" s="381" t="s">
        <v>176</v>
      </c>
      <c r="G153" s="340" t="s">
        <v>2830</v>
      </c>
      <c r="H153" s="339" t="s">
        <v>614</v>
      </c>
      <c r="I153" s="45" t="s">
        <v>218</v>
      </c>
      <c r="J153" s="125" t="s">
        <v>462</v>
      </c>
      <c r="K153" s="46"/>
      <c r="L153" s="206">
        <v>0</v>
      </c>
      <c r="M153" s="206">
        <v>0</v>
      </c>
      <c r="N153" s="206">
        <v>0</v>
      </c>
      <c r="O153" s="206">
        <v>10263.749999999998</v>
      </c>
      <c r="P153" s="206"/>
      <c r="Q153" s="206">
        <f t="shared" si="27"/>
        <v>0</v>
      </c>
      <c r="R153" s="206"/>
      <c r="S153" s="206"/>
      <c r="T153" s="223"/>
      <c r="U153" s="169">
        <f t="shared" si="28"/>
        <v>0</v>
      </c>
      <c r="V153" s="372">
        <v>0</v>
      </c>
      <c r="W153" s="343"/>
      <c r="X153" s="332">
        <f>SUMIFS(BASE_EX!$J:$J,BASE_EX!$B:$B,'Direct Charge'!$A153,BASE_EX!$C:$C,"janeiro")</f>
        <v>0</v>
      </c>
      <c r="Y153" s="373"/>
      <c r="Z153" s="372">
        <v>0</v>
      </c>
      <c r="AA153" s="343"/>
      <c r="AB153" s="332">
        <f>SUMIFS(BASE_EX!$J:$J,BASE_EX!$B:$B,'Direct Charge'!$A153,BASE_EX!$C:$C,"fevereiro")</f>
        <v>0</v>
      </c>
      <c r="AC153" s="373"/>
      <c r="AD153" s="372"/>
      <c r="AE153" s="343"/>
      <c r="AF153" s="332">
        <f>SUMIFS(BASE_EX!$J:$J,BASE_EX!$B:$B,'Direct Charge'!$A153,BASE_EX!$C:$C,"março")</f>
        <v>0</v>
      </c>
      <c r="AG153" s="373"/>
      <c r="AH153" s="372"/>
      <c r="AI153" s="343"/>
      <c r="AJ153" s="332">
        <f>SUMIFS(BASE_EX!$J:$J,BASE_EX!$B:$B,'Direct Charge'!$A153,BASE_EX!$C:$C,"abril")</f>
        <v>0</v>
      </c>
      <c r="AK153" s="373"/>
      <c r="AL153" s="372"/>
      <c r="AM153" s="343"/>
      <c r="AN153" s="332">
        <f>SUMIFS(BASE_EX!$J:$J,BASE_EX!$B:$B,'Direct Charge'!$A153,BASE_EX!$C:$C,"maio")</f>
        <v>0</v>
      </c>
      <c r="AO153" s="373"/>
      <c r="AP153" s="372"/>
      <c r="AQ153" s="343"/>
      <c r="AR153" s="332">
        <f>SUMIFS(BASE_EX!$J:$J,BASE_EX!$B:$B,'Direct Charge'!$A153,BASE_EX!$C:$C,"junho")</f>
        <v>0</v>
      </c>
      <c r="AS153" s="373"/>
      <c r="AT153" s="372"/>
      <c r="AU153" s="343"/>
      <c r="AV153" s="332">
        <f>SUMIFS(BASE_EX!$J:$J,BASE_EX!$B:$B,'Direct Charge'!$A153,BASE_EX!$C:$C,"julho")</f>
        <v>0</v>
      </c>
      <c r="AW153" s="373"/>
      <c r="AX153" s="372"/>
      <c r="AY153" s="343"/>
      <c r="AZ153" s="332">
        <f>SUMIFS(BASE_EX!$J:$J,BASE_EX!$B:$B,'Direct Charge'!$A153,BASE_EX!$C:$C,"agosto")</f>
        <v>0</v>
      </c>
      <c r="BA153" s="373"/>
      <c r="BB153" s="372"/>
      <c r="BC153" s="343"/>
      <c r="BD153" s="332">
        <f>SUMIFS(BASE_EX!$J:$J,BASE_EX!$B:$B,'Direct Charge'!$A153,BASE_EX!$C:$C,"setembro")</f>
        <v>0</v>
      </c>
      <c r="BE153" s="373"/>
      <c r="BF153" s="372"/>
      <c r="BG153" s="343"/>
      <c r="BH153" s="332">
        <f>SUMIFS(BASE_EX!$J:$J,BASE_EX!$B:$B,'Direct Charge'!$A153,BASE_EX!$C:$C,"outubro")</f>
        <v>0</v>
      </c>
      <c r="BI153" s="373"/>
      <c r="BJ153" s="372"/>
      <c r="BK153" s="343"/>
      <c r="BL153" s="332">
        <f>SUMIFS(BASE_EX!$J:$J,BASE_EX!$B:$B,'Direct Charge'!$A153,BASE_EX!$C:$C,"novembro")</f>
        <v>0</v>
      </c>
      <c r="BM153" s="373"/>
      <c r="BN153" s="372"/>
      <c r="BO153" s="343"/>
      <c r="BP153" s="332">
        <f>SUMIFS(BASE_EX!$J:$J,BASE_EX!$B:$B,'Direct Charge'!$A153,BASE_EX!$C:$C,"dezembro")</f>
        <v>0</v>
      </c>
      <c r="BQ153" s="373"/>
      <c r="BR153" s="452"/>
      <c r="BS153" s="156">
        <f t="shared" si="29"/>
        <v>0</v>
      </c>
      <c r="BT153" s="320">
        <f t="shared" si="30"/>
        <v>0</v>
      </c>
      <c r="BU153" s="157" t="e">
        <f>SUM(L153,M153,N153,O153,U153)-#REF!</f>
        <v>#REF!</v>
      </c>
      <c r="BV153" s="346">
        <f t="shared" si="31"/>
        <v>0</v>
      </c>
      <c r="BW153" s="344" t="str">
        <f>IFERROR(VLOOKUP($A153,'BASE_558 EX'!$D:$R,8,FALSE),"")</f>
        <v xml:space="preserve">           11.100,00</v>
      </c>
      <c r="BX153" s="344" t="str">
        <f>IFERROR(VLOOKUP($A153,'BASE_558 EX'!$D:$R,9,FALSE),"")</f>
        <v xml:space="preserve">           10.263,75</v>
      </c>
      <c r="BY153" s="344" t="str">
        <f>IFERROR(VLOOKUP($A153,'BASE_558 EX'!$D:$R,10,FALSE),"")</f>
        <v xml:space="preserve">                0,00</v>
      </c>
      <c r="BZ153" s="344" t="str">
        <f>IFERROR(VLOOKUP($A153,'BASE_558 EX'!$D:$R,11,FALSE),"")</f>
        <v xml:space="preserve">                0,00</v>
      </c>
      <c r="CA153" s="344">
        <f>IFERROR(IF(BASE_558!$P$14="RemOrdPla",(VLOOKUP(A153,BASE_558!D:R,14)/1000),(VLOOKUP(A153,BASE_558!D:R,13)/1000)),"")</f>
        <v>127.59744000000001</v>
      </c>
      <c r="CB153" s="344" t="str">
        <f>IFERROR(VLOOKUP($A153,'BASE_558 EX'!$D:$R,15,FALSE),"")</f>
        <v xml:space="preserve">              836,25</v>
      </c>
      <c r="CC153" s="442"/>
      <c r="CD153" s="442">
        <f t="shared" si="32"/>
        <v>0</v>
      </c>
    </row>
    <row r="154" spans="1:82" s="23" customFormat="1" ht="25.4" customHeight="1">
      <c r="A154" s="309" t="s">
        <v>2762</v>
      </c>
      <c r="B154" s="309"/>
      <c r="C154" s="187"/>
      <c r="D154" s="381" t="s">
        <v>2208</v>
      </c>
      <c r="E154" s="381" t="s">
        <v>481</v>
      </c>
      <c r="F154" s="381" t="s">
        <v>178</v>
      </c>
      <c r="G154" s="340" t="s">
        <v>2329</v>
      </c>
      <c r="H154" s="339" t="s">
        <v>614</v>
      </c>
      <c r="I154" s="45" t="s">
        <v>218</v>
      </c>
      <c r="J154" s="125" t="s">
        <v>462</v>
      </c>
      <c r="K154" s="46"/>
      <c r="L154" s="206"/>
      <c r="M154" s="206"/>
      <c r="N154" s="206"/>
      <c r="O154" s="206"/>
      <c r="P154" s="206"/>
      <c r="Q154" s="206">
        <f t="shared" si="27"/>
        <v>0</v>
      </c>
      <c r="R154" s="206"/>
      <c r="S154" s="206"/>
      <c r="T154" s="223"/>
      <c r="U154" s="169">
        <f t="shared" si="28"/>
        <v>0</v>
      </c>
      <c r="V154" s="372">
        <v>0</v>
      </c>
      <c r="W154" s="343"/>
      <c r="X154" s="332">
        <f>SUMIFS(BASE_EX!$J:$J,BASE_EX!$B:$B,'Direct Charge'!$A154,BASE_EX!$C:$C,"janeiro")</f>
        <v>0</v>
      </c>
      <c r="Y154" s="373"/>
      <c r="Z154" s="372">
        <v>0</v>
      </c>
      <c r="AA154" s="343"/>
      <c r="AB154" s="332">
        <f>SUMIFS(BASE_EX!$J:$J,BASE_EX!$B:$B,'Direct Charge'!$A154,BASE_EX!$C:$C,"fevereiro")</f>
        <v>0</v>
      </c>
      <c r="AC154" s="373"/>
      <c r="AD154" s="372"/>
      <c r="AE154" s="343"/>
      <c r="AF154" s="332">
        <f>SUMIFS(BASE_EX!$J:$J,BASE_EX!$B:$B,'Direct Charge'!$A154,BASE_EX!$C:$C,"março")</f>
        <v>0</v>
      </c>
      <c r="AG154" s="373"/>
      <c r="AH154" s="372"/>
      <c r="AI154" s="343"/>
      <c r="AJ154" s="332">
        <f>SUMIFS(BASE_EX!$J:$J,BASE_EX!$B:$B,'Direct Charge'!$A154,BASE_EX!$C:$C,"abril")</f>
        <v>0</v>
      </c>
      <c r="AK154" s="373"/>
      <c r="AL154" s="372"/>
      <c r="AM154" s="343"/>
      <c r="AN154" s="332">
        <f>SUMIFS(BASE_EX!$J:$J,BASE_EX!$B:$B,'Direct Charge'!$A154,BASE_EX!$C:$C,"maio")</f>
        <v>0</v>
      </c>
      <c r="AO154" s="373"/>
      <c r="AP154" s="372"/>
      <c r="AQ154" s="343"/>
      <c r="AR154" s="332">
        <f>SUMIFS(BASE_EX!$J:$J,BASE_EX!$B:$B,'Direct Charge'!$A154,BASE_EX!$C:$C,"junho")</f>
        <v>0</v>
      </c>
      <c r="AS154" s="373"/>
      <c r="AT154" s="372"/>
      <c r="AU154" s="343"/>
      <c r="AV154" s="332">
        <f>SUMIFS(BASE_EX!$J:$J,BASE_EX!$B:$B,'Direct Charge'!$A154,BASE_EX!$C:$C,"julho")</f>
        <v>0</v>
      </c>
      <c r="AW154" s="373"/>
      <c r="AX154" s="372"/>
      <c r="AY154" s="343"/>
      <c r="AZ154" s="332">
        <f>SUMIFS(BASE_EX!$J:$J,BASE_EX!$B:$B,'Direct Charge'!$A154,BASE_EX!$C:$C,"agosto")</f>
        <v>0</v>
      </c>
      <c r="BA154" s="373"/>
      <c r="BB154" s="372"/>
      <c r="BC154" s="343"/>
      <c r="BD154" s="332">
        <f>SUMIFS(BASE_EX!$J:$J,BASE_EX!$B:$B,'Direct Charge'!$A154,BASE_EX!$C:$C,"setembro")</f>
        <v>0</v>
      </c>
      <c r="BE154" s="373"/>
      <c r="BF154" s="372"/>
      <c r="BG154" s="343"/>
      <c r="BH154" s="332">
        <f>SUMIFS(BASE_EX!$J:$J,BASE_EX!$B:$B,'Direct Charge'!$A154,BASE_EX!$C:$C,"outubro")</f>
        <v>0</v>
      </c>
      <c r="BI154" s="373"/>
      <c r="BJ154" s="372"/>
      <c r="BK154" s="343"/>
      <c r="BL154" s="332">
        <f>SUMIFS(BASE_EX!$J:$J,BASE_EX!$B:$B,'Direct Charge'!$A154,BASE_EX!$C:$C,"novembro")</f>
        <v>0</v>
      </c>
      <c r="BM154" s="373"/>
      <c r="BN154" s="372"/>
      <c r="BO154" s="343"/>
      <c r="BP154" s="332">
        <f>SUMIFS(BASE_EX!$J:$J,BASE_EX!$B:$B,'Direct Charge'!$A154,BASE_EX!$C:$C,"dezembro")</f>
        <v>0</v>
      </c>
      <c r="BQ154" s="373"/>
      <c r="BR154" s="452"/>
      <c r="BS154" s="156">
        <f t="shared" si="29"/>
        <v>0</v>
      </c>
      <c r="BT154" s="320">
        <f t="shared" si="30"/>
        <v>0</v>
      </c>
      <c r="BU154" s="157" t="e">
        <f>SUM(L154,M154,N154,O154,U154)-#REF!</f>
        <v>#REF!</v>
      </c>
      <c r="BV154" s="346">
        <f t="shared" si="31"/>
        <v>0</v>
      </c>
      <c r="BW154" s="344" t="str">
        <f>IFERROR(VLOOKUP($A154,'BASE_558 EX'!$D:$R,8,FALSE),"")</f>
        <v xml:space="preserve">            6.350,00</v>
      </c>
      <c r="BX154" s="344" t="str">
        <f>IFERROR(VLOOKUP($A154,'BASE_558 EX'!$D:$R,9,FALSE),"")</f>
        <v xml:space="preserve">                0,00</v>
      </c>
      <c r="BY154" s="344" t="str">
        <f>IFERROR(VLOOKUP($A154,'BASE_558 EX'!$D:$R,10,FALSE),"")</f>
        <v xml:space="preserve">                0,00</v>
      </c>
      <c r="BZ154" s="344" t="str">
        <f>IFERROR(VLOOKUP($A154,'BASE_558 EX'!$D:$R,11,FALSE),"")</f>
        <v xml:space="preserve">                0,00</v>
      </c>
      <c r="CA154" s="344">
        <f>IFERROR(IF(BASE_558!$P$14="RemOrdPla",(VLOOKUP(A154,BASE_558!D:R,14)/1000),(VLOOKUP(A154,BASE_558!D:R,13)/1000)),"")</f>
        <v>116.35334</v>
      </c>
      <c r="CB154" s="344" t="str">
        <f>IFERROR(VLOOKUP($A154,'BASE_558 EX'!$D:$R,15,FALSE),"")</f>
        <v xml:space="preserve">            6.350,00</v>
      </c>
      <c r="CC154" s="442"/>
      <c r="CD154" s="442">
        <f t="shared" si="32"/>
        <v>0</v>
      </c>
    </row>
    <row r="155" spans="1:82" s="23" customFormat="1" ht="25.4" customHeight="1">
      <c r="A155" s="309" t="s">
        <v>1796</v>
      </c>
      <c r="B155" s="309" t="s">
        <v>1913</v>
      </c>
      <c r="C155" s="187">
        <v>44820</v>
      </c>
      <c r="D155" s="381" t="s">
        <v>2870</v>
      </c>
      <c r="E155" s="381" t="s">
        <v>2259</v>
      </c>
      <c r="F155" s="381" t="s">
        <v>176</v>
      </c>
      <c r="G155" s="340" t="s">
        <v>1744</v>
      </c>
      <c r="H155" s="339" t="s">
        <v>614</v>
      </c>
      <c r="I155" s="45" t="s">
        <v>195</v>
      </c>
      <c r="J155" s="125" t="s">
        <v>219</v>
      </c>
      <c r="K155" s="7" t="s">
        <v>3812</v>
      </c>
      <c r="L155" s="206"/>
      <c r="M155" s="206">
        <v>0</v>
      </c>
      <c r="N155" s="206">
        <v>0</v>
      </c>
      <c r="O155" s="206">
        <v>0</v>
      </c>
      <c r="P155" s="206"/>
      <c r="Q155" s="206">
        <f t="shared" si="27"/>
        <v>0</v>
      </c>
      <c r="R155" s="206"/>
      <c r="S155" s="206"/>
      <c r="T155" s="223"/>
      <c r="U155" s="169">
        <f t="shared" si="28"/>
        <v>0</v>
      </c>
      <c r="V155" s="372">
        <v>0</v>
      </c>
      <c r="W155" s="343"/>
      <c r="X155" s="332">
        <f>SUMIFS(BASE_EX!$J:$J,BASE_EX!$B:$B,'Direct Charge'!$A155,BASE_EX!$C:$C,"janeiro")</f>
        <v>0</v>
      </c>
      <c r="Y155" s="373"/>
      <c r="Z155" s="372">
        <v>0</v>
      </c>
      <c r="AA155" s="343"/>
      <c r="AB155" s="332">
        <f>SUMIFS(BASE_EX!$J:$J,BASE_EX!$B:$B,'Direct Charge'!$A155,BASE_EX!$C:$C,"fevereiro")</f>
        <v>0</v>
      </c>
      <c r="AC155" s="373"/>
      <c r="AD155" s="372"/>
      <c r="AE155" s="343"/>
      <c r="AF155" s="332">
        <f>SUMIFS(BASE_EX!$J:$J,BASE_EX!$B:$B,'Direct Charge'!$A155,BASE_EX!$C:$C,"março")</f>
        <v>0</v>
      </c>
      <c r="AG155" s="373"/>
      <c r="AH155" s="372"/>
      <c r="AI155" s="343"/>
      <c r="AJ155" s="332">
        <f>SUMIFS(BASE_EX!$J:$J,BASE_EX!$B:$B,'Direct Charge'!$A155,BASE_EX!$C:$C,"abril")</f>
        <v>0</v>
      </c>
      <c r="AK155" s="373"/>
      <c r="AL155" s="372"/>
      <c r="AM155" s="343"/>
      <c r="AN155" s="332">
        <f>SUMIFS(BASE_EX!$J:$J,BASE_EX!$B:$B,'Direct Charge'!$A155,BASE_EX!$C:$C,"maio")</f>
        <v>0</v>
      </c>
      <c r="AO155" s="373"/>
      <c r="AP155" s="372"/>
      <c r="AQ155" s="343"/>
      <c r="AR155" s="332">
        <f>SUMIFS(BASE_EX!$J:$J,BASE_EX!$B:$B,'Direct Charge'!$A155,BASE_EX!$C:$C,"junho")</f>
        <v>0</v>
      </c>
      <c r="AS155" s="373"/>
      <c r="AT155" s="372"/>
      <c r="AU155" s="343"/>
      <c r="AV155" s="332">
        <f>SUMIFS(BASE_EX!$J:$J,BASE_EX!$B:$B,'Direct Charge'!$A155,BASE_EX!$C:$C,"julho")</f>
        <v>0</v>
      </c>
      <c r="AW155" s="373"/>
      <c r="AX155" s="372"/>
      <c r="AY155" s="343"/>
      <c r="AZ155" s="332">
        <f>SUMIFS(BASE_EX!$J:$J,BASE_EX!$B:$B,'Direct Charge'!$A155,BASE_EX!$C:$C,"agosto")</f>
        <v>0</v>
      </c>
      <c r="BA155" s="373"/>
      <c r="BB155" s="372"/>
      <c r="BC155" s="343"/>
      <c r="BD155" s="332">
        <f>SUMIFS(BASE_EX!$J:$J,BASE_EX!$B:$B,'Direct Charge'!$A155,BASE_EX!$C:$C,"setembro")</f>
        <v>0</v>
      </c>
      <c r="BE155" s="373"/>
      <c r="BF155" s="372"/>
      <c r="BG155" s="343"/>
      <c r="BH155" s="332">
        <f>SUMIFS(BASE_EX!$J:$J,BASE_EX!$B:$B,'Direct Charge'!$A155,BASE_EX!$C:$C,"outubro")</f>
        <v>0</v>
      </c>
      <c r="BI155" s="373"/>
      <c r="BJ155" s="372"/>
      <c r="BK155" s="343"/>
      <c r="BL155" s="332">
        <f>SUMIFS(BASE_EX!$J:$J,BASE_EX!$B:$B,'Direct Charge'!$A155,BASE_EX!$C:$C,"novembro")</f>
        <v>0</v>
      </c>
      <c r="BM155" s="373"/>
      <c r="BN155" s="372"/>
      <c r="BO155" s="343"/>
      <c r="BP155" s="332">
        <f>SUMIFS(BASE_EX!$J:$J,BASE_EX!$B:$B,'Direct Charge'!$A155,BASE_EX!$C:$C,"dezembro")</f>
        <v>0</v>
      </c>
      <c r="BQ155" s="373"/>
      <c r="BR155" s="452">
        <v>18000</v>
      </c>
      <c r="BS155" s="156">
        <f t="shared" si="29"/>
        <v>0</v>
      </c>
      <c r="BT155" s="320">
        <f t="shared" si="30"/>
        <v>0</v>
      </c>
      <c r="BU155" s="157" t="e">
        <f>SUM(L155,M155,N155,O155,U155)-#REF!</f>
        <v>#REF!</v>
      </c>
      <c r="BV155" s="346">
        <f t="shared" si="31"/>
        <v>0</v>
      </c>
      <c r="BW155" s="344" t="str">
        <f>IFERROR(VLOOKUP($A155,'BASE_558 EX'!$D:$R,8,FALSE),"")</f>
        <v xml:space="preserve">           23.760,00</v>
      </c>
      <c r="BX155" s="344" t="str">
        <f>IFERROR(VLOOKUP($A155,'BASE_558 EX'!$D:$R,9,FALSE),"")</f>
        <v xml:space="preserve">                0,00</v>
      </c>
      <c r="BY155" s="344" t="str">
        <f>IFERROR(VLOOKUP($A155,'BASE_558 EX'!$D:$R,10,FALSE),"")</f>
        <v xml:space="preserve">                0,00</v>
      </c>
      <c r="BZ155" s="344" t="str">
        <f>IFERROR(VLOOKUP($A155,'BASE_558 EX'!$D:$R,11,FALSE),"")</f>
        <v xml:space="preserve">                0,00</v>
      </c>
      <c r="CA155" s="344">
        <f>IFERROR(IF(BASE_558!$P$14="RemOrdPla",(VLOOKUP(A155,BASE_558!D:R,14)/1000),(VLOOKUP(A155,BASE_558!D:R,13)/1000)),"")</f>
        <v>293.98165999999998</v>
      </c>
      <c r="CB155" s="344" t="str">
        <f>IFERROR(VLOOKUP($A155,'BASE_558 EX'!$D:$R,15,FALSE),"")</f>
        <v xml:space="preserve">           23.760,00</v>
      </c>
      <c r="CC155" s="442"/>
      <c r="CD155" s="442">
        <f t="shared" si="32"/>
        <v>0</v>
      </c>
    </row>
    <row r="156" spans="1:82" s="23" customFormat="1" ht="25.4" customHeight="1">
      <c r="A156" s="309" t="s">
        <v>1992</v>
      </c>
      <c r="B156" s="309"/>
      <c r="C156" s="187">
        <v>44834</v>
      </c>
      <c r="D156" s="381" t="s">
        <v>2863</v>
      </c>
      <c r="E156" s="309" t="s">
        <v>1707</v>
      </c>
      <c r="F156" s="381" t="s">
        <v>176</v>
      </c>
      <c r="G156" s="340" t="s">
        <v>2874</v>
      </c>
      <c r="H156" s="339" t="s">
        <v>8878</v>
      </c>
      <c r="I156" s="45" t="s">
        <v>218</v>
      </c>
      <c r="J156" s="83" t="s">
        <v>462</v>
      </c>
      <c r="K156" s="7" t="s">
        <v>1600</v>
      </c>
      <c r="L156" s="206"/>
      <c r="M156" s="206">
        <v>0</v>
      </c>
      <c r="N156" s="206"/>
      <c r="O156" s="206">
        <v>36799.119999999995</v>
      </c>
      <c r="P156" s="206"/>
      <c r="Q156" s="206">
        <f t="shared" si="27"/>
        <v>0</v>
      </c>
      <c r="R156" s="206"/>
      <c r="S156" s="206"/>
      <c r="T156" s="223"/>
      <c r="U156" s="169">
        <f t="shared" si="28"/>
        <v>0</v>
      </c>
      <c r="V156" s="372">
        <v>0</v>
      </c>
      <c r="W156" s="343"/>
      <c r="X156" s="332">
        <f>SUMIFS(BASE_EX!$J:$J,BASE_EX!$B:$B,'Direct Charge'!$A156,BASE_EX!$C:$C,"janeiro")</f>
        <v>0</v>
      </c>
      <c r="Y156" s="373"/>
      <c r="Z156" s="372">
        <v>0</v>
      </c>
      <c r="AA156" s="343"/>
      <c r="AB156" s="332">
        <f>SUMIFS(BASE_EX!$J:$J,BASE_EX!$B:$B,'Direct Charge'!$A156,BASE_EX!$C:$C,"fevereiro")</f>
        <v>0</v>
      </c>
      <c r="AC156" s="373"/>
      <c r="AD156" s="372"/>
      <c r="AE156" s="343"/>
      <c r="AF156" s="332">
        <f>SUMIFS(BASE_EX!$J:$J,BASE_EX!$B:$B,'Direct Charge'!$A156,BASE_EX!$C:$C,"março")</f>
        <v>0</v>
      </c>
      <c r="AG156" s="373"/>
      <c r="AH156" s="372"/>
      <c r="AI156" s="343"/>
      <c r="AJ156" s="332">
        <f>SUMIFS(BASE_EX!$J:$J,BASE_EX!$B:$B,'Direct Charge'!$A156,BASE_EX!$C:$C,"abril")</f>
        <v>0</v>
      </c>
      <c r="AK156" s="373"/>
      <c r="AL156" s="372"/>
      <c r="AM156" s="343"/>
      <c r="AN156" s="332">
        <f>SUMIFS(BASE_EX!$J:$J,BASE_EX!$B:$B,'Direct Charge'!$A156,BASE_EX!$C:$C,"maio")</f>
        <v>0</v>
      </c>
      <c r="AO156" s="373"/>
      <c r="AP156" s="372"/>
      <c r="AQ156" s="343"/>
      <c r="AR156" s="332">
        <f>SUMIFS(BASE_EX!$J:$J,BASE_EX!$B:$B,'Direct Charge'!$A156,BASE_EX!$C:$C,"junho")</f>
        <v>0</v>
      </c>
      <c r="AS156" s="373"/>
      <c r="AT156" s="372"/>
      <c r="AU156" s="343"/>
      <c r="AV156" s="332">
        <f>SUMIFS(BASE_EX!$J:$J,BASE_EX!$B:$B,'Direct Charge'!$A156,BASE_EX!$C:$C,"julho")</f>
        <v>0</v>
      </c>
      <c r="AW156" s="373"/>
      <c r="AX156" s="372"/>
      <c r="AY156" s="343"/>
      <c r="AZ156" s="332">
        <f>SUMIFS(BASE_EX!$J:$J,BASE_EX!$B:$B,'Direct Charge'!$A156,BASE_EX!$C:$C,"agosto")</f>
        <v>0</v>
      </c>
      <c r="BA156" s="373"/>
      <c r="BB156" s="372"/>
      <c r="BC156" s="343"/>
      <c r="BD156" s="332">
        <f>SUMIFS(BASE_EX!$J:$J,BASE_EX!$B:$B,'Direct Charge'!$A156,BASE_EX!$C:$C,"setembro")</f>
        <v>0</v>
      </c>
      <c r="BE156" s="373"/>
      <c r="BF156" s="372"/>
      <c r="BG156" s="343"/>
      <c r="BH156" s="332">
        <f>SUMIFS(BASE_EX!$J:$J,BASE_EX!$B:$B,'Direct Charge'!$A156,BASE_EX!$C:$C,"outubro")</f>
        <v>0</v>
      </c>
      <c r="BI156" s="373"/>
      <c r="BJ156" s="372"/>
      <c r="BK156" s="343"/>
      <c r="BL156" s="332">
        <f>SUMIFS(BASE_EX!$J:$J,BASE_EX!$B:$B,'Direct Charge'!$A156,BASE_EX!$C:$C,"novembro")</f>
        <v>0</v>
      </c>
      <c r="BM156" s="373"/>
      <c r="BN156" s="372"/>
      <c r="BO156" s="343"/>
      <c r="BP156" s="332">
        <f>SUMIFS(BASE_EX!$J:$J,BASE_EX!$B:$B,'Direct Charge'!$A156,BASE_EX!$C:$C,"dezembro")</f>
        <v>0</v>
      </c>
      <c r="BQ156" s="373"/>
      <c r="BR156" s="452"/>
      <c r="BS156" s="156">
        <f t="shared" si="29"/>
        <v>0</v>
      </c>
      <c r="BT156" s="320">
        <f t="shared" si="30"/>
        <v>0</v>
      </c>
      <c r="BU156" s="157" t="e">
        <f>SUM(L156,M156,N156,O156,U156)-#REF!</f>
        <v>#REF!</v>
      </c>
      <c r="BV156" s="346">
        <f t="shared" si="31"/>
        <v>0</v>
      </c>
      <c r="BW156" s="344" t="str">
        <f>IFERROR(VLOOKUP($A156,'BASE_558 EX'!$D:$R,8,FALSE),"")</f>
        <v xml:space="preserve">          100.000,00</v>
      </c>
      <c r="BX156" s="344" t="str">
        <f>IFERROR(VLOOKUP($A156,'BASE_558 EX'!$D:$R,9,FALSE),"")</f>
        <v xml:space="preserve">           36.799,12</v>
      </c>
      <c r="BY156" s="344" t="str">
        <f>IFERROR(VLOOKUP($A156,'BASE_558 EX'!$D:$R,10,FALSE),"")</f>
        <v xml:space="preserve">                0,00</v>
      </c>
      <c r="BZ156" s="344" t="str">
        <f>IFERROR(VLOOKUP($A156,'BASE_558 EX'!$D:$R,11,FALSE),"")</f>
        <v xml:space="preserve">                0,00</v>
      </c>
      <c r="CA156" s="344">
        <f>IFERROR(IF(BASE_558!$P$14="RemOrdPla",(VLOOKUP(A156,BASE_558!D:R,14)/1000),(VLOOKUP(A156,BASE_558!D:R,13)/1000)),"")</f>
        <v>293.98165999999998</v>
      </c>
      <c r="CB156" s="344" t="str">
        <f>IFERROR(VLOOKUP($A156,'BASE_558 EX'!$D:$R,15,FALSE),"")</f>
        <v xml:space="preserve">           63.200,88</v>
      </c>
      <c r="CC156" s="442"/>
      <c r="CD156" s="442">
        <f t="shared" si="32"/>
        <v>0</v>
      </c>
    </row>
    <row r="157" spans="1:82" s="23" customFormat="1" ht="25.4" customHeight="1">
      <c r="A157" s="309" t="s">
        <v>1830</v>
      </c>
      <c r="B157" s="309" t="s">
        <v>1896</v>
      </c>
      <c r="C157" s="192">
        <v>44845</v>
      </c>
      <c r="D157" s="381" t="s">
        <v>1125</v>
      </c>
      <c r="E157" s="309" t="s">
        <v>1125</v>
      </c>
      <c r="F157" s="381" t="s">
        <v>176</v>
      </c>
      <c r="G157" s="340" t="s">
        <v>1743</v>
      </c>
      <c r="H157" s="339" t="s">
        <v>614</v>
      </c>
      <c r="I157" s="45" t="s">
        <v>218</v>
      </c>
      <c r="J157" s="83" t="s">
        <v>462</v>
      </c>
      <c r="K157" s="46" t="s">
        <v>1600</v>
      </c>
      <c r="L157" s="206"/>
      <c r="M157" s="206"/>
      <c r="N157" s="206">
        <v>0</v>
      </c>
      <c r="O157" s="206">
        <v>0</v>
      </c>
      <c r="P157" s="206"/>
      <c r="Q157" s="206">
        <f t="shared" si="27"/>
        <v>0</v>
      </c>
      <c r="R157" s="206"/>
      <c r="S157" s="206"/>
      <c r="T157" s="223"/>
      <c r="U157" s="169">
        <f t="shared" si="28"/>
        <v>0</v>
      </c>
      <c r="V157" s="372">
        <v>0</v>
      </c>
      <c r="W157" s="343"/>
      <c r="X157" s="332">
        <f>SUMIFS(BASE_EX!$J:$J,BASE_EX!$B:$B,'Direct Charge'!$A157,BASE_EX!$C:$C,"janeiro")</f>
        <v>0</v>
      </c>
      <c r="Y157" s="373"/>
      <c r="Z157" s="372">
        <v>0</v>
      </c>
      <c r="AA157" s="343"/>
      <c r="AB157" s="332">
        <f>SUMIFS(BASE_EX!$J:$J,BASE_EX!$B:$B,'Direct Charge'!$A157,BASE_EX!$C:$C,"fevereiro")</f>
        <v>0</v>
      </c>
      <c r="AC157" s="373"/>
      <c r="AD157" s="372"/>
      <c r="AE157" s="343"/>
      <c r="AF157" s="332">
        <f>SUMIFS(BASE_EX!$J:$J,BASE_EX!$B:$B,'Direct Charge'!$A157,BASE_EX!$C:$C,"março")</f>
        <v>0</v>
      </c>
      <c r="AG157" s="373"/>
      <c r="AH157" s="372"/>
      <c r="AI157" s="343"/>
      <c r="AJ157" s="332">
        <f>SUMIFS(BASE_EX!$J:$J,BASE_EX!$B:$B,'Direct Charge'!$A157,BASE_EX!$C:$C,"abril")</f>
        <v>0</v>
      </c>
      <c r="AK157" s="373"/>
      <c r="AL157" s="372"/>
      <c r="AM157" s="343"/>
      <c r="AN157" s="332">
        <f>SUMIFS(BASE_EX!$J:$J,BASE_EX!$B:$B,'Direct Charge'!$A157,BASE_EX!$C:$C,"maio")</f>
        <v>0</v>
      </c>
      <c r="AO157" s="373"/>
      <c r="AP157" s="372"/>
      <c r="AQ157" s="343"/>
      <c r="AR157" s="332">
        <f>SUMIFS(BASE_EX!$J:$J,BASE_EX!$B:$B,'Direct Charge'!$A157,BASE_EX!$C:$C,"junho")</f>
        <v>0</v>
      </c>
      <c r="AS157" s="373"/>
      <c r="AT157" s="372"/>
      <c r="AU157" s="343"/>
      <c r="AV157" s="332">
        <f>SUMIFS(BASE_EX!$J:$J,BASE_EX!$B:$B,'Direct Charge'!$A157,BASE_EX!$C:$C,"julho")</f>
        <v>0</v>
      </c>
      <c r="AW157" s="373"/>
      <c r="AX157" s="372"/>
      <c r="AY157" s="343"/>
      <c r="AZ157" s="332">
        <f>SUMIFS(BASE_EX!$J:$J,BASE_EX!$B:$B,'Direct Charge'!$A157,BASE_EX!$C:$C,"agosto")</f>
        <v>0</v>
      </c>
      <c r="BA157" s="373"/>
      <c r="BB157" s="372"/>
      <c r="BC157" s="343"/>
      <c r="BD157" s="332">
        <f>SUMIFS(BASE_EX!$J:$J,BASE_EX!$B:$B,'Direct Charge'!$A157,BASE_EX!$C:$C,"setembro")</f>
        <v>0</v>
      </c>
      <c r="BE157" s="373"/>
      <c r="BF157" s="372"/>
      <c r="BG157" s="343"/>
      <c r="BH157" s="332">
        <f>SUMIFS(BASE_EX!$J:$J,BASE_EX!$B:$B,'Direct Charge'!$A157,BASE_EX!$C:$C,"outubro")</f>
        <v>0</v>
      </c>
      <c r="BI157" s="373"/>
      <c r="BJ157" s="372"/>
      <c r="BK157" s="343"/>
      <c r="BL157" s="332">
        <f>SUMIFS(BASE_EX!$J:$J,BASE_EX!$B:$B,'Direct Charge'!$A157,BASE_EX!$C:$C,"novembro")</f>
        <v>0</v>
      </c>
      <c r="BM157" s="373"/>
      <c r="BN157" s="372"/>
      <c r="BO157" s="343"/>
      <c r="BP157" s="332">
        <f>SUMIFS(BASE_EX!$J:$J,BASE_EX!$B:$B,'Direct Charge'!$A157,BASE_EX!$C:$C,"dezembro")</f>
        <v>0</v>
      </c>
      <c r="BQ157" s="373"/>
      <c r="BR157" s="452"/>
      <c r="BS157" s="156">
        <f t="shared" si="29"/>
        <v>0</v>
      </c>
      <c r="BT157" s="320">
        <f t="shared" si="30"/>
        <v>0</v>
      </c>
      <c r="BU157" s="157" t="e">
        <f>SUM(L157,M157,N157,O157,U157)-#REF!</f>
        <v>#REF!</v>
      </c>
      <c r="BV157" s="346">
        <f t="shared" si="31"/>
        <v>0</v>
      </c>
      <c r="BW157" s="344" t="str">
        <f>IFERROR(VLOOKUP($A157,'BASE_558 EX'!$D:$R,8,FALSE),"")</f>
        <v xml:space="preserve">            6.302,92</v>
      </c>
      <c r="BX157" s="344" t="str">
        <f>IFERROR(VLOOKUP($A157,'BASE_558 EX'!$D:$R,9,FALSE),"")</f>
        <v xml:space="preserve">                0,00</v>
      </c>
      <c r="BY157" s="344" t="str">
        <f>IFERROR(VLOOKUP($A157,'BASE_558 EX'!$D:$R,10,FALSE),"")</f>
        <v xml:space="preserve">                0,00</v>
      </c>
      <c r="BZ157" s="344" t="str">
        <f>IFERROR(VLOOKUP($A157,'BASE_558 EX'!$D:$R,11,FALSE),"")</f>
        <v xml:space="preserve">                0,00</v>
      </c>
      <c r="CA157" s="344">
        <f>IFERROR(IF(BASE_558!$P$14="RemOrdPla",(VLOOKUP(A157,BASE_558!D:R,14)/1000),(VLOOKUP(A157,BASE_558!D:R,13)/1000)),"")</f>
        <v>60.685089999999995</v>
      </c>
      <c r="CB157" s="344" t="str">
        <f>IFERROR(VLOOKUP($A157,'BASE_558 EX'!$D:$R,15,FALSE),"")</f>
        <v xml:space="preserve">            6.302,92</v>
      </c>
      <c r="CC157" s="442"/>
      <c r="CD157" s="442">
        <f t="shared" si="32"/>
        <v>0</v>
      </c>
    </row>
    <row r="158" spans="1:82" s="23" customFormat="1" ht="25.4" customHeight="1">
      <c r="A158" s="309" t="s">
        <v>1797</v>
      </c>
      <c r="B158" s="309" t="s">
        <v>1914</v>
      </c>
      <c r="C158" s="192">
        <v>44858</v>
      </c>
      <c r="D158" s="381" t="s">
        <v>475</v>
      </c>
      <c r="E158" s="309" t="s">
        <v>2238</v>
      </c>
      <c r="F158" s="381" t="s">
        <v>176</v>
      </c>
      <c r="G158" s="340" t="s">
        <v>3272</v>
      </c>
      <c r="H158" s="339" t="s">
        <v>614</v>
      </c>
      <c r="I158" s="45" t="s">
        <v>463</v>
      </c>
      <c r="J158" s="83" t="s">
        <v>219</v>
      </c>
      <c r="K158" s="10" t="s">
        <v>10954</v>
      </c>
      <c r="L158" s="206"/>
      <c r="M158" s="206">
        <v>0</v>
      </c>
      <c r="N158" s="206">
        <v>0</v>
      </c>
      <c r="O158" s="206">
        <v>55922.86</v>
      </c>
      <c r="P158" s="206">
        <v>59517.42</v>
      </c>
      <c r="Q158" s="206">
        <f t="shared" si="27"/>
        <v>530901.41</v>
      </c>
      <c r="R158" s="206"/>
      <c r="S158" s="206"/>
      <c r="T158" s="223"/>
      <c r="U158" s="169">
        <f t="shared" si="28"/>
        <v>530901.41</v>
      </c>
      <c r="V158" s="372">
        <v>599.14</v>
      </c>
      <c r="W158" s="343">
        <v>599.14</v>
      </c>
      <c r="X158" s="332">
        <f>SUMIFS(BASE_EX!$J:$J,BASE_EX!$B:$B,'Direct Charge'!$A158,BASE_EX!$C:$C,"janeiro")</f>
        <v>599.14</v>
      </c>
      <c r="Y158" s="373">
        <v>599.14</v>
      </c>
      <c r="Z158" s="372">
        <v>5472.25</v>
      </c>
      <c r="AA158" s="343">
        <v>5453.7400000000007</v>
      </c>
      <c r="AB158" s="332">
        <f>SUMIFS(BASE_EX!$J:$J,BASE_EX!$B:$B,'Direct Charge'!$A158,BASE_EX!$C:$C,"fevereiro")</f>
        <v>5453.74</v>
      </c>
      <c r="AC158" s="373">
        <v>5453.74</v>
      </c>
      <c r="AD158" s="372">
        <v>599.14</v>
      </c>
      <c r="AE158" s="343"/>
      <c r="AF158" s="332">
        <f>SUMIFS(BASE_EX!$J:$J,BASE_EX!$B:$B,'Direct Charge'!$A158,BASE_EX!$C:$C,"março")</f>
        <v>0</v>
      </c>
      <c r="AG158" s="373">
        <v>0</v>
      </c>
      <c r="AH158" s="372">
        <v>599.14</v>
      </c>
      <c r="AI158" s="343">
        <v>1815.68</v>
      </c>
      <c r="AJ158" s="332">
        <f>SUMIFS(BASE_EX!$J:$J,BASE_EX!$B:$B,'Direct Charge'!$A158,BASE_EX!$C:$C,"abril")</f>
        <v>1815.68</v>
      </c>
      <c r="AK158" s="373">
        <v>1815.68</v>
      </c>
      <c r="AL158" s="372">
        <v>0</v>
      </c>
      <c r="AM158" s="343">
        <v>390.5</v>
      </c>
      <c r="AN158" s="332">
        <f>SUMIFS(BASE_EX!$J:$J,BASE_EX!$B:$B,'Direct Charge'!$A158,BASE_EX!$C:$C,"maio")</f>
        <v>390.5</v>
      </c>
      <c r="AO158" s="373">
        <v>390.5</v>
      </c>
      <c r="AP158" s="372">
        <v>22800</v>
      </c>
      <c r="AQ158" s="343">
        <v>1842.35</v>
      </c>
      <c r="AR158" s="332">
        <f>SUMIFS(BASE_EX!$J:$J,BASE_EX!$B:$B,'Direct Charge'!$A158,BASE_EX!$C:$C,"junho")</f>
        <v>1842.35</v>
      </c>
      <c r="AS158" s="373">
        <v>1842.35</v>
      </c>
      <c r="AT158" s="372"/>
      <c r="AU158" s="343"/>
      <c r="AV158" s="332">
        <f>SUMIFS(BASE_EX!$J:$J,BASE_EX!$B:$B,'Direct Charge'!$A158,BASE_EX!$C:$C,"julho")</f>
        <v>1052.3599999999999</v>
      </c>
      <c r="AW158" s="373">
        <v>20800</v>
      </c>
      <c r="AX158" s="372"/>
      <c r="AY158" s="343"/>
      <c r="AZ158" s="332">
        <f>SUMIFS(BASE_EX!$J:$J,BASE_EX!$B:$B,'Direct Charge'!$A158,BASE_EX!$C:$C,"agosto")</f>
        <v>0</v>
      </c>
      <c r="BA158" s="373">
        <v>100000</v>
      </c>
      <c r="BB158" s="372"/>
      <c r="BC158" s="343"/>
      <c r="BD158" s="332">
        <f>SUMIFS(BASE_EX!$J:$J,BASE_EX!$B:$B,'Direct Charge'!$A158,BASE_EX!$C:$C,"setembro")</f>
        <v>0</v>
      </c>
      <c r="BE158" s="373">
        <v>100000</v>
      </c>
      <c r="BF158" s="372"/>
      <c r="BG158" s="343"/>
      <c r="BH158" s="332">
        <f>SUMIFS(BASE_EX!$J:$J,BASE_EX!$B:$B,'Direct Charge'!$A158,BASE_EX!$C:$C,"outubro")</f>
        <v>0</v>
      </c>
      <c r="BI158" s="373">
        <v>100000</v>
      </c>
      <c r="BJ158" s="372"/>
      <c r="BK158" s="343"/>
      <c r="BL158" s="332">
        <f>SUMIFS(BASE_EX!$J:$J,BASE_EX!$B:$B,'Direct Charge'!$A158,BASE_EX!$C:$C,"novembro")</f>
        <v>0</v>
      </c>
      <c r="BM158" s="373">
        <v>100000</v>
      </c>
      <c r="BN158" s="372"/>
      <c r="BO158" s="343"/>
      <c r="BP158" s="332">
        <f>SUMIFS(BASE_EX!$J:$J,BASE_EX!$B:$B,'Direct Charge'!$A158,BASE_EX!$C:$C,"dezembro")</f>
        <v>0</v>
      </c>
      <c r="BQ158" s="373">
        <v>100000</v>
      </c>
      <c r="BR158" s="452"/>
      <c r="BS158" s="156">
        <f t="shared" si="29"/>
        <v>-20957.650000000001</v>
      </c>
      <c r="BT158" s="320">
        <f t="shared" si="30"/>
        <v>0</v>
      </c>
      <c r="BU158" s="157" t="e">
        <f>SUM(L158,M158,N158,O158,U158)-#REF!</f>
        <v>#REF!</v>
      </c>
      <c r="BV158" s="346">
        <f t="shared" si="31"/>
        <v>530901.41</v>
      </c>
      <c r="BW158" s="344" t="str">
        <f>IFERROR(VLOOKUP($A158,'BASE_558 EX'!$D:$R,8,FALSE),"")</f>
        <v xml:space="preserve">          700.000,00</v>
      </c>
      <c r="BX158" s="344" t="str">
        <f>IFERROR(VLOOKUP($A158,'BASE_558 EX'!$D:$R,9,FALSE),"")</f>
        <v xml:space="preserve">          126.594,05</v>
      </c>
      <c r="BY158" s="344" t="str">
        <f>IFERROR(VLOOKUP($A158,'BASE_558 EX'!$D:$R,10,FALSE),"")</f>
        <v xml:space="preserve">           28.188,07</v>
      </c>
      <c r="BZ158" s="344" t="str">
        <f>IFERROR(VLOOKUP($A158,'BASE_558 EX'!$D:$R,11,FALSE),"")</f>
        <v xml:space="preserve">                0,00</v>
      </c>
      <c r="CA158" s="344">
        <f>IFERROR(IF(BASE_558!$P$14="RemOrdPla",(VLOOKUP(A158,BASE_558!D:R,14)/1000),(VLOOKUP(A158,BASE_558!D:R,13)/1000)),"")</f>
        <v>18843.094799999999</v>
      </c>
      <c r="CB158" s="344" t="str">
        <f>IFERROR(VLOOKUP($A158,'BASE_558 EX'!$D:$R,15,FALSE),"")</f>
        <v xml:space="preserve">          545.217,88</v>
      </c>
      <c r="CC158" s="442"/>
      <c r="CD158" s="442">
        <f t="shared" si="32"/>
        <v>0</v>
      </c>
    </row>
    <row r="159" spans="1:82" s="23" customFormat="1" ht="25.4" customHeight="1">
      <c r="A159" s="309" t="s">
        <v>1941</v>
      </c>
      <c r="B159" s="309"/>
      <c r="C159" s="187">
        <v>44922</v>
      </c>
      <c r="D159" s="381" t="s">
        <v>475</v>
      </c>
      <c r="E159" s="310" t="s">
        <v>2079</v>
      </c>
      <c r="F159" s="381" t="s">
        <v>176</v>
      </c>
      <c r="G159" s="340" t="s">
        <v>1828</v>
      </c>
      <c r="H159" s="339" t="s">
        <v>614</v>
      </c>
      <c r="I159" s="45" t="s">
        <v>463</v>
      </c>
      <c r="J159" s="125" t="s">
        <v>219</v>
      </c>
      <c r="K159" s="46" t="s">
        <v>3270</v>
      </c>
      <c r="L159" s="206"/>
      <c r="M159" s="206">
        <v>0</v>
      </c>
      <c r="N159" s="206">
        <v>0</v>
      </c>
      <c r="O159" s="206">
        <v>38959.480000000003</v>
      </c>
      <c r="P159" s="206"/>
      <c r="Q159" s="206">
        <f t="shared" si="27"/>
        <v>0</v>
      </c>
      <c r="R159" s="206"/>
      <c r="S159" s="206"/>
      <c r="T159" s="223"/>
      <c r="U159" s="169">
        <f t="shared" si="28"/>
        <v>0</v>
      </c>
      <c r="V159" s="372">
        <v>0</v>
      </c>
      <c r="W159" s="343"/>
      <c r="X159" s="332">
        <f>SUMIFS(BASE_EX!$J:$J,BASE_EX!$B:$B,'Direct Charge'!$A159,BASE_EX!$C:$C,"janeiro")</f>
        <v>0</v>
      </c>
      <c r="Y159" s="373"/>
      <c r="Z159" s="372">
        <v>0</v>
      </c>
      <c r="AA159" s="343"/>
      <c r="AB159" s="332">
        <f>SUMIFS(BASE_EX!$J:$J,BASE_EX!$B:$B,'Direct Charge'!$A159,BASE_EX!$C:$C,"fevereiro")</f>
        <v>0</v>
      </c>
      <c r="AC159" s="373"/>
      <c r="AD159" s="372"/>
      <c r="AE159" s="343"/>
      <c r="AF159" s="332">
        <f>SUMIFS(BASE_EX!$J:$J,BASE_EX!$B:$B,'Direct Charge'!$A159,BASE_EX!$C:$C,"março")</f>
        <v>0</v>
      </c>
      <c r="AG159" s="373"/>
      <c r="AH159" s="372"/>
      <c r="AI159" s="343"/>
      <c r="AJ159" s="332">
        <f>SUMIFS(BASE_EX!$J:$J,BASE_EX!$B:$B,'Direct Charge'!$A159,BASE_EX!$C:$C,"abril")</f>
        <v>0</v>
      </c>
      <c r="AK159" s="373"/>
      <c r="AL159" s="372"/>
      <c r="AM159" s="343"/>
      <c r="AN159" s="332">
        <f>SUMIFS(BASE_EX!$J:$J,BASE_EX!$B:$B,'Direct Charge'!$A159,BASE_EX!$C:$C,"maio")</f>
        <v>0</v>
      </c>
      <c r="AO159" s="373"/>
      <c r="AP159" s="372"/>
      <c r="AQ159" s="343"/>
      <c r="AR159" s="332">
        <f>SUMIFS(BASE_EX!$J:$J,BASE_EX!$B:$B,'Direct Charge'!$A159,BASE_EX!$C:$C,"junho")</f>
        <v>0</v>
      </c>
      <c r="AS159" s="373"/>
      <c r="AT159" s="372"/>
      <c r="AU159" s="343"/>
      <c r="AV159" s="332">
        <f>SUMIFS(BASE_EX!$J:$J,BASE_EX!$B:$B,'Direct Charge'!$A159,BASE_EX!$C:$C,"julho")</f>
        <v>0</v>
      </c>
      <c r="AW159" s="373"/>
      <c r="AX159" s="372"/>
      <c r="AY159" s="343"/>
      <c r="AZ159" s="332">
        <f>SUMIFS(BASE_EX!$J:$J,BASE_EX!$B:$B,'Direct Charge'!$A159,BASE_EX!$C:$C,"agosto")</f>
        <v>0</v>
      </c>
      <c r="BA159" s="373"/>
      <c r="BB159" s="372"/>
      <c r="BC159" s="343"/>
      <c r="BD159" s="332">
        <f>SUMIFS(BASE_EX!$J:$J,BASE_EX!$B:$B,'Direct Charge'!$A159,BASE_EX!$C:$C,"setembro")</f>
        <v>0</v>
      </c>
      <c r="BE159" s="373"/>
      <c r="BF159" s="372"/>
      <c r="BG159" s="343"/>
      <c r="BH159" s="332">
        <f>SUMIFS(BASE_EX!$J:$J,BASE_EX!$B:$B,'Direct Charge'!$A159,BASE_EX!$C:$C,"outubro")</f>
        <v>0</v>
      </c>
      <c r="BI159" s="373"/>
      <c r="BJ159" s="372"/>
      <c r="BK159" s="343"/>
      <c r="BL159" s="332">
        <f>SUMIFS(BASE_EX!$J:$J,BASE_EX!$B:$B,'Direct Charge'!$A159,BASE_EX!$C:$C,"novembro")</f>
        <v>0</v>
      </c>
      <c r="BM159" s="373"/>
      <c r="BN159" s="372"/>
      <c r="BO159" s="343"/>
      <c r="BP159" s="332">
        <f>SUMIFS(BASE_EX!$J:$J,BASE_EX!$B:$B,'Direct Charge'!$A159,BASE_EX!$C:$C,"dezembro")</f>
        <v>0</v>
      </c>
      <c r="BQ159" s="373"/>
      <c r="BR159" s="452"/>
      <c r="BS159" s="156">
        <f t="shared" si="29"/>
        <v>0</v>
      </c>
      <c r="BT159" s="320">
        <f t="shared" si="30"/>
        <v>0</v>
      </c>
      <c r="BU159" s="157" t="e">
        <f>SUM(L159,M159,N159,O159,U159)-#REF!</f>
        <v>#REF!</v>
      </c>
      <c r="BV159" s="346">
        <f t="shared" si="31"/>
        <v>0</v>
      </c>
      <c r="BW159" s="344" t="str">
        <f>IFERROR(VLOOKUP($A159,'BASE_558 EX'!$D:$R,8,FALSE),"")</f>
        <v xml:space="preserve">          104.345,43</v>
      </c>
      <c r="BX159" s="344" t="str">
        <f>IFERROR(VLOOKUP($A159,'BASE_558 EX'!$D:$R,9,FALSE),"")</f>
        <v xml:space="preserve">           38.959,48</v>
      </c>
      <c r="BY159" s="344" t="str">
        <f>IFERROR(VLOOKUP($A159,'BASE_558 EX'!$D:$R,10,FALSE),"")</f>
        <v xml:space="preserve">                0,00</v>
      </c>
      <c r="BZ159" s="344" t="str">
        <f>IFERROR(VLOOKUP($A159,'BASE_558 EX'!$D:$R,11,FALSE),"")</f>
        <v xml:space="preserve">                0,00</v>
      </c>
      <c r="CA159" s="344">
        <f>IFERROR(IF(BASE_558!$P$14="RemOrdPla",(VLOOKUP(A159,BASE_558!D:R,14)/1000),(VLOOKUP(A159,BASE_558!D:R,13)/1000)),"")</f>
        <v>2328.5315099999998</v>
      </c>
      <c r="CB159" s="344" t="str">
        <f>IFERROR(VLOOKUP($A159,'BASE_558 EX'!$D:$R,15,FALSE),"")</f>
        <v xml:space="preserve">           65.385,95</v>
      </c>
      <c r="CC159" s="442"/>
      <c r="CD159" s="442">
        <f t="shared" si="32"/>
        <v>0</v>
      </c>
    </row>
    <row r="160" spans="1:82" s="23" customFormat="1" ht="25.4" customHeight="1">
      <c r="A160" s="309" t="s">
        <v>2160</v>
      </c>
      <c r="B160" s="309"/>
      <c r="C160" s="187">
        <v>44911</v>
      </c>
      <c r="D160" s="381" t="s">
        <v>2863</v>
      </c>
      <c r="E160" s="381" t="s">
        <v>6791</v>
      </c>
      <c r="F160" s="309" t="s">
        <v>2508</v>
      </c>
      <c r="G160" s="340" t="s">
        <v>2875</v>
      </c>
      <c r="H160" s="340" t="s">
        <v>8878</v>
      </c>
      <c r="I160" s="45" t="s">
        <v>195</v>
      </c>
      <c r="J160" s="125" t="s">
        <v>219</v>
      </c>
      <c r="K160" s="46" t="s">
        <v>6793</v>
      </c>
      <c r="L160" s="206"/>
      <c r="M160" s="206"/>
      <c r="N160" s="206"/>
      <c r="O160" s="206">
        <v>25360.890000000003</v>
      </c>
      <c r="P160" s="206"/>
      <c r="Q160" s="206">
        <f t="shared" si="27"/>
        <v>0</v>
      </c>
      <c r="R160" s="206"/>
      <c r="S160" s="206"/>
      <c r="T160" s="223"/>
      <c r="U160" s="169">
        <f t="shared" si="28"/>
        <v>0</v>
      </c>
      <c r="V160" s="372">
        <v>0</v>
      </c>
      <c r="W160" s="343"/>
      <c r="X160" s="332">
        <f>SUMIFS(BASE_EX!$J:$J,BASE_EX!$B:$B,'Direct Charge'!$A160,BASE_EX!$C:$C,"janeiro")</f>
        <v>0</v>
      </c>
      <c r="Y160" s="373"/>
      <c r="Z160" s="372">
        <v>0</v>
      </c>
      <c r="AA160" s="343"/>
      <c r="AB160" s="332">
        <f>SUMIFS(BASE_EX!$J:$J,BASE_EX!$B:$B,'Direct Charge'!$A160,BASE_EX!$C:$C,"fevereiro")</f>
        <v>0</v>
      </c>
      <c r="AC160" s="373"/>
      <c r="AD160" s="372"/>
      <c r="AE160" s="343"/>
      <c r="AF160" s="332">
        <f>SUMIFS(BASE_EX!$J:$J,BASE_EX!$B:$B,'Direct Charge'!$A160,BASE_EX!$C:$C,"março")</f>
        <v>0</v>
      </c>
      <c r="AG160" s="373"/>
      <c r="AH160" s="372"/>
      <c r="AI160" s="343"/>
      <c r="AJ160" s="332">
        <f>SUMIFS(BASE_EX!$J:$J,BASE_EX!$B:$B,'Direct Charge'!$A160,BASE_EX!$C:$C,"abril")</f>
        <v>0</v>
      </c>
      <c r="AK160" s="373"/>
      <c r="AL160" s="372"/>
      <c r="AM160" s="343"/>
      <c r="AN160" s="332">
        <f>SUMIFS(BASE_EX!$J:$J,BASE_EX!$B:$B,'Direct Charge'!$A160,BASE_EX!$C:$C,"maio")</f>
        <v>0</v>
      </c>
      <c r="AO160" s="373"/>
      <c r="AP160" s="372"/>
      <c r="AQ160" s="343"/>
      <c r="AR160" s="332">
        <f>SUMIFS(BASE_EX!$J:$J,BASE_EX!$B:$B,'Direct Charge'!$A160,BASE_EX!$C:$C,"junho")</f>
        <v>0</v>
      </c>
      <c r="AS160" s="373"/>
      <c r="AT160" s="372"/>
      <c r="AU160" s="343"/>
      <c r="AV160" s="332">
        <f>SUMIFS(BASE_EX!$J:$J,BASE_EX!$B:$B,'Direct Charge'!$A160,BASE_EX!$C:$C,"julho")</f>
        <v>0</v>
      </c>
      <c r="AW160" s="373"/>
      <c r="AX160" s="372"/>
      <c r="AY160" s="343"/>
      <c r="AZ160" s="332">
        <f>SUMIFS(BASE_EX!$J:$J,BASE_EX!$B:$B,'Direct Charge'!$A160,BASE_EX!$C:$C,"agosto")</f>
        <v>0</v>
      </c>
      <c r="BA160" s="373"/>
      <c r="BB160" s="372"/>
      <c r="BC160" s="343"/>
      <c r="BD160" s="332">
        <f>SUMIFS(BASE_EX!$J:$J,BASE_EX!$B:$B,'Direct Charge'!$A160,BASE_EX!$C:$C,"setembro")</f>
        <v>0</v>
      </c>
      <c r="BE160" s="373"/>
      <c r="BF160" s="372"/>
      <c r="BG160" s="343"/>
      <c r="BH160" s="332">
        <f>SUMIFS(BASE_EX!$J:$J,BASE_EX!$B:$B,'Direct Charge'!$A160,BASE_EX!$C:$C,"outubro")</f>
        <v>0</v>
      </c>
      <c r="BI160" s="373"/>
      <c r="BJ160" s="372"/>
      <c r="BK160" s="343"/>
      <c r="BL160" s="332">
        <f>SUMIFS(BASE_EX!$J:$J,BASE_EX!$B:$B,'Direct Charge'!$A160,BASE_EX!$C:$C,"novembro")</f>
        <v>0</v>
      </c>
      <c r="BM160" s="373"/>
      <c r="BN160" s="372"/>
      <c r="BO160" s="343"/>
      <c r="BP160" s="332">
        <f>SUMIFS(BASE_EX!$J:$J,BASE_EX!$B:$B,'Direct Charge'!$A160,BASE_EX!$C:$C,"dezembro")</f>
        <v>0</v>
      </c>
      <c r="BQ160" s="373"/>
      <c r="BR160" s="452"/>
      <c r="BS160" s="156">
        <f t="shared" si="29"/>
        <v>0</v>
      </c>
      <c r="BT160" s="320">
        <f t="shared" si="30"/>
        <v>0</v>
      </c>
      <c r="BU160" s="157" t="e">
        <f>SUM(L160,M160,N160,O160,U160)-#REF!</f>
        <v>#REF!</v>
      </c>
      <c r="BV160" s="346">
        <f t="shared" si="31"/>
        <v>0</v>
      </c>
      <c r="BW160" s="344" t="str">
        <f>IFERROR(VLOOKUP($A160,'BASE_558 EX'!$D:$R,8,FALSE),"")</f>
        <v xml:space="preserve">           31.000,00</v>
      </c>
      <c r="BX160" s="344" t="str">
        <f>IFERROR(VLOOKUP($A160,'BASE_558 EX'!$D:$R,9,FALSE),"")</f>
        <v xml:space="preserve">           25.360,89</v>
      </c>
      <c r="BY160" s="344" t="str">
        <f>IFERROR(VLOOKUP($A160,'BASE_558 EX'!$D:$R,10,FALSE),"")</f>
        <v xml:space="preserve">                0,00</v>
      </c>
      <c r="BZ160" s="344" t="str">
        <f>IFERROR(VLOOKUP($A160,'BASE_558 EX'!$D:$R,11,FALSE),"")</f>
        <v xml:space="preserve">                0,00</v>
      </c>
      <c r="CA160" s="344">
        <f>IFERROR(IF(BASE_558!$P$14="RemOrdPla",(VLOOKUP(A160,BASE_558!D:R,14)/1000),(VLOOKUP(A160,BASE_558!D:R,13)/1000)),"")</f>
        <v>0</v>
      </c>
      <c r="CB160" s="344" t="str">
        <f>IFERROR(VLOOKUP($A160,'BASE_558 EX'!$D:$R,15,FALSE),"")</f>
        <v xml:space="preserve">            5.639,11</v>
      </c>
      <c r="CC160" s="442"/>
      <c r="CD160" s="442">
        <f t="shared" si="32"/>
        <v>0</v>
      </c>
    </row>
    <row r="161" spans="1:82" s="23" customFormat="1" ht="25.4" customHeight="1">
      <c r="A161" s="309" t="s">
        <v>1942</v>
      </c>
      <c r="B161" s="309"/>
      <c r="C161" s="187">
        <v>44965</v>
      </c>
      <c r="D161" s="381" t="s">
        <v>946</v>
      </c>
      <c r="E161" s="309" t="s">
        <v>17007</v>
      </c>
      <c r="F161" s="309" t="s">
        <v>176</v>
      </c>
      <c r="G161" s="340" t="s">
        <v>2834</v>
      </c>
      <c r="H161" s="339" t="s">
        <v>614</v>
      </c>
      <c r="I161" s="6" t="s">
        <v>463</v>
      </c>
      <c r="J161" s="83" t="s">
        <v>219</v>
      </c>
      <c r="K161" s="46"/>
      <c r="L161" s="206"/>
      <c r="M161" s="206"/>
      <c r="N161" s="206"/>
      <c r="O161" s="206">
        <v>0</v>
      </c>
      <c r="P161" s="206"/>
      <c r="Q161" s="206">
        <f t="shared" si="27"/>
        <v>0</v>
      </c>
      <c r="R161" s="206"/>
      <c r="S161" s="206"/>
      <c r="T161" s="223"/>
      <c r="U161" s="169">
        <f t="shared" si="28"/>
        <v>0</v>
      </c>
      <c r="V161" s="372">
        <v>0</v>
      </c>
      <c r="W161" s="343"/>
      <c r="X161" s="332">
        <f>SUMIFS(BASE_EX!$J:$J,BASE_EX!$B:$B,'Direct Charge'!$A161,BASE_EX!$C:$C,"janeiro")</f>
        <v>0</v>
      </c>
      <c r="Y161" s="373"/>
      <c r="Z161" s="372">
        <v>0</v>
      </c>
      <c r="AA161" s="343"/>
      <c r="AB161" s="332">
        <f>SUMIFS(BASE_EX!$J:$J,BASE_EX!$B:$B,'Direct Charge'!$A161,BASE_EX!$C:$C,"fevereiro")</f>
        <v>0</v>
      </c>
      <c r="AC161" s="373"/>
      <c r="AD161" s="372"/>
      <c r="AE161" s="343"/>
      <c r="AF161" s="332">
        <f>SUMIFS(BASE_EX!$J:$J,BASE_EX!$B:$B,'Direct Charge'!$A161,BASE_EX!$C:$C,"março")</f>
        <v>0</v>
      </c>
      <c r="AG161" s="373"/>
      <c r="AH161" s="372"/>
      <c r="AI161" s="343"/>
      <c r="AJ161" s="332">
        <f>SUMIFS(BASE_EX!$J:$J,BASE_EX!$B:$B,'Direct Charge'!$A161,BASE_EX!$C:$C,"abril")</f>
        <v>0</v>
      </c>
      <c r="AK161" s="373"/>
      <c r="AL161" s="372"/>
      <c r="AM161" s="343"/>
      <c r="AN161" s="332">
        <f>SUMIFS(BASE_EX!$J:$J,BASE_EX!$B:$B,'Direct Charge'!$A161,BASE_EX!$C:$C,"maio")</f>
        <v>0</v>
      </c>
      <c r="AO161" s="373"/>
      <c r="AP161" s="372"/>
      <c r="AQ161" s="343"/>
      <c r="AR161" s="332">
        <f>SUMIFS(BASE_EX!$J:$J,BASE_EX!$B:$B,'Direct Charge'!$A161,BASE_EX!$C:$C,"junho")</f>
        <v>0</v>
      </c>
      <c r="AS161" s="373"/>
      <c r="AT161" s="372"/>
      <c r="AU161" s="343"/>
      <c r="AV161" s="332">
        <f>SUMIFS(BASE_EX!$J:$J,BASE_EX!$B:$B,'Direct Charge'!$A161,BASE_EX!$C:$C,"julho")</f>
        <v>0</v>
      </c>
      <c r="AW161" s="373"/>
      <c r="AX161" s="372"/>
      <c r="AY161" s="343"/>
      <c r="AZ161" s="332">
        <f>SUMIFS(BASE_EX!$J:$J,BASE_EX!$B:$B,'Direct Charge'!$A161,BASE_EX!$C:$C,"agosto")</f>
        <v>0</v>
      </c>
      <c r="BA161" s="373"/>
      <c r="BB161" s="372"/>
      <c r="BC161" s="343"/>
      <c r="BD161" s="332">
        <f>SUMIFS(BASE_EX!$J:$J,BASE_EX!$B:$B,'Direct Charge'!$A161,BASE_EX!$C:$C,"setembro")</f>
        <v>0</v>
      </c>
      <c r="BE161" s="373"/>
      <c r="BF161" s="372"/>
      <c r="BG161" s="343"/>
      <c r="BH161" s="332">
        <f>SUMIFS(BASE_EX!$J:$J,BASE_EX!$B:$B,'Direct Charge'!$A161,BASE_EX!$C:$C,"outubro")</f>
        <v>0</v>
      </c>
      <c r="BI161" s="373"/>
      <c r="BJ161" s="372"/>
      <c r="BK161" s="343"/>
      <c r="BL161" s="332">
        <f>SUMIFS(BASE_EX!$J:$J,BASE_EX!$B:$B,'Direct Charge'!$A161,BASE_EX!$C:$C,"novembro")</f>
        <v>0</v>
      </c>
      <c r="BM161" s="373"/>
      <c r="BN161" s="372"/>
      <c r="BO161" s="343"/>
      <c r="BP161" s="332">
        <f>SUMIFS(BASE_EX!$J:$J,BASE_EX!$B:$B,'Direct Charge'!$A161,BASE_EX!$C:$C,"dezembro")</f>
        <v>0</v>
      </c>
      <c r="BQ161" s="373"/>
      <c r="BR161" s="452"/>
      <c r="BS161" s="156">
        <f t="shared" si="29"/>
        <v>0</v>
      </c>
      <c r="BT161" s="320">
        <f t="shared" si="30"/>
        <v>0</v>
      </c>
      <c r="BU161" s="157" t="e">
        <f>SUM(L161,M161,N161,O161,U161)-#REF!</f>
        <v>#REF!</v>
      </c>
      <c r="BV161" s="346">
        <f t="shared" si="31"/>
        <v>0</v>
      </c>
      <c r="BW161" s="344" t="str">
        <f>IFERROR(VLOOKUP($A161,'BASE_558 EX'!$D:$R,8,FALSE),"")</f>
        <v xml:space="preserve">           12.000,00</v>
      </c>
      <c r="BX161" s="344" t="str">
        <f>IFERROR(VLOOKUP($A161,'BASE_558 EX'!$D:$R,9,FALSE),"")</f>
        <v xml:space="preserve">                0,00</v>
      </c>
      <c r="BY161" s="344" t="str">
        <f>IFERROR(VLOOKUP($A161,'BASE_558 EX'!$D:$R,10,FALSE),"")</f>
        <v xml:space="preserve">                0,00</v>
      </c>
      <c r="BZ161" s="344" t="str">
        <f>IFERROR(VLOOKUP($A161,'BASE_558 EX'!$D:$R,11,FALSE),"")</f>
        <v xml:space="preserve">                0,00</v>
      </c>
      <c r="CA161" s="344">
        <f>IFERROR(IF(BASE_558!$P$14="RemOrdPla",(VLOOKUP(A161,BASE_558!D:R,14)/1000),(VLOOKUP(A161,BASE_558!D:R,13)/1000)),"")</f>
        <v>261.94049999999999</v>
      </c>
      <c r="CB161" s="344" t="str">
        <f>IFERROR(VLOOKUP($A161,'BASE_558 EX'!$D:$R,15,FALSE),"")</f>
        <v xml:space="preserve">           12.000,00</v>
      </c>
      <c r="CC161" s="442"/>
      <c r="CD161" s="442">
        <f t="shared" si="32"/>
        <v>0</v>
      </c>
    </row>
    <row r="162" spans="1:82" s="23" customFormat="1" ht="25.4" customHeight="1">
      <c r="A162" s="309" t="s">
        <v>1943</v>
      </c>
      <c r="B162" s="309"/>
      <c r="C162" s="187">
        <v>44970</v>
      </c>
      <c r="D162" s="381" t="s">
        <v>704</v>
      </c>
      <c r="E162" s="309" t="s">
        <v>17007</v>
      </c>
      <c r="F162" s="309" t="s">
        <v>176</v>
      </c>
      <c r="G162" s="340" t="s">
        <v>2835</v>
      </c>
      <c r="H162" s="339" t="s">
        <v>614</v>
      </c>
      <c r="I162" s="6" t="s">
        <v>195</v>
      </c>
      <c r="J162" s="125" t="s">
        <v>219</v>
      </c>
      <c r="K162" s="46"/>
      <c r="L162" s="206"/>
      <c r="M162" s="206"/>
      <c r="N162" s="206"/>
      <c r="O162" s="206">
        <v>0</v>
      </c>
      <c r="P162" s="206"/>
      <c r="Q162" s="206">
        <f t="shared" si="27"/>
        <v>0</v>
      </c>
      <c r="R162" s="206"/>
      <c r="S162" s="206"/>
      <c r="T162" s="223"/>
      <c r="U162" s="169">
        <f t="shared" si="28"/>
        <v>0</v>
      </c>
      <c r="V162" s="372">
        <v>0</v>
      </c>
      <c r="W162" s="343"/>
      <c r="X162" s="332">
        <f>SUMIFS(BASE_EX!$J:$J,BASE_EX!$B:$B,'Direct Charge'!$A162,BASE_EX!$C:$C,"janeiro")</f>
        <v>0</v>
      </c>
      <c r="Y162" s="373"/>
      <c r="Z162" s="372">
        <v>0</v>
      </c>
      <c r="AA162" s="343"/>
      <c r="AB162" s="332">
        <f>SUMIFS(BASE_EX!$J:$J,BASE_EX!$B:$B,'Direct Charge'!$A162,BASE_EX!$C:$C,"fevereiro")</f>
        <v>0</v>
      </c>
      <c r="AC162" s="373"/>
      <c r="AD162" s="372"/>
      <c r="AE162" s="343"/>
      <c r="AF162" s="332">
        <f>SUMIFS(BASE_EX!$J:$J,BASE_EX!$B:$B,'Direct Charge'!$A162,BASE_EX!$C:$C,"março")</f>
        <v>0</v>
      </c>
      <c r="AG162" s="373"/>
      <c r="AH162" s="372"/>
      <c r="AI162" s="343"/>
      <c r="AJ162" s="332">
        <f>SUMIFS(BASE_EX!$J:$J,BASE_EX!$B:$B,'Direct Charge'!$A162,BASE_EX!$C:$C,"abril")</f>
        <v>0</v>
      </c>
      <c r="AK162" s="373"/>
      <c r="AL162" s="372"/>
      <c r="AM162" s="343"/>
      <c r="AN162" s="332">
        <f>SUMIFS(BASE_EX!$J:$J,BASE_EX!$B:$B,'Direct Charge'!$A162,BASE_EX!$C:$C,"maio")</f>
        <v>0</v>
      </c>
      <c r="AO162" s="373"/>
      <c r="AP162" s="372"/>
      <c r="AQ162" s="343"/>
      <c r="AR162" s="332">
        <f>SUMIFS(BASE_EX!$J:$J,BASE_EX!$B:$B,'Direct Charge'!$A162,BASE_EX!$C:$C,"junho")</f>
        <v>0</v>
      </c>
      <c r="AS162" s="373"/>
      <c r="AT162" s="372"/>
      <c r="AU162" s="343"/>
      <c r="AV162" s="332">
        <f>SUMIFS(BASE_EX!$J:$J,BASE_EX!$B:$B,'Direct Charge'!$A162,BASE_EX!$C:$C,"julho")</f>
        <v>0</v>
      </c>
      <c r="AW162" s="373"/>
      <c r="AX162" s="372"/>
      <c r="AY162" s="343"/>
      <c r="AZ162" s="332">
        <f>SUMIFS(BASE_EX!$J:$J,BASE_EX!$B:$B,'Direct Charge'!$A162,BASE_EX!$C:$C,"agosto")</f>
        <v>0</v>
      </c>
      <c r="BA162" s="373"/>
      <c r="BB162" s="372"/>
      <c r="BC162" s="343"/>
      <c r="BD162" s="332">
        <f>SUMIFS(BASE_EX!$J:$J,BASE_EX!$B:$B,'Direct Charge'!$A162,BASE_EX!$C:$C,"setembro")</f>
        <v>0</v>
      </c>
      <c r="BE162" s="373"/>
      <c r="BF162" s="372"/>
      <c r="BG162" s="343"/>
      <c r="BH162" s="332">
        <f>SUMIFS(BASE_EX!$J:$J,BASE_EX!$B:$B,'Direct Charge'!$A162,BASE_EX!$C:$C,"outubro")</f>
        <v>0</v>
      </c>
      <c r="BI162" s="373"/>
      <c r="BJ162" s="372"/>
      <c r="BK162" s="343"/>
      <c r="BL162" s="332">
        <f>SUMIFS(BASE_EX!$J:$J,BASE_EX!$B:$B,'Direct Charge'!$A162,BASE_EX!$C:$C,"novembro")</f>
        <v>0</v>
      </c>
      <c r="BM162" s="373"/>
      <c r="BN162" s="372"/>
      <c r="BO162" s="343"/>
      <c r="BP162" s="332">
        <f>SUMIFS(BASE_EX!$J:$J,BASE_EX!$B:$B,'Direct Charge'!$A162,BASE_EX!$C:$C,"dezembro")</f>
        <v>0</v>
      </c>
      <c r="BQ162" s="373"/>
      <c r="BR162" s="452">
        <v>20000</v>
      </c>
      <c r="BS162" s="156">
        <f t="shared" si="29"/>
        <v>0</v>
      </c>
      <c r="BT162" s="320">
        <f t="shared" si="30"/>
        <v>0</v>
      </c>
      <c r="BU162" s="157" t="e">
        <f>SUM(L162,M162,N162,O162,U162)-#REF!</f>
        <v>#REF!</v>
      </c>
      <c r="BV162" s="346">
        <f t="shared" si="31"/>
        <v>0</v>
      </c>
      <c r="BW162" s="344" t="str">
        <f>IFERROR(VLOOKUP($A162,'BASE_558 EX'!$D:$R,8,FALSE),"")</f>
        <v xml:space="preserve">           50.561,00</v>
      </c>
      <c r="BX162" s="344" t="str">
        <f>IFERROR(VLOOKUP($A162,'BASE_558 EX'!$D:$R,9,FALSE),"")</f>
        <v xml:space="preserve">                0,00</v>
      </c>
      <c r="BY162" s="344" t="str">
        <f>IFERROR(VLOOKUP($A162,'BASE_558 EX'!$D:$R,10,FALSE),"")</f>
        <v xml:space="preserve">                0,00</v>
      </c>
      <c r="BZ162" s="344" t="str">
        <f>IFERROR(VLOOKUP($A162,'BASE_558 EX'!$D:$R,11,FALSE),"")</f>
        <v xml:space="preserve">                0,00</v>
      </c>
      <c r="CA162" s="344">
        <f>IFERROR(IF(BASE_558!$P$14="RemOrdPla",(VLOOKUP(A162,BASE_558!D:R,14)/1000),(VLOOKUP(A162,BASE_558!D:R,13)/1000)),"")</f>
        <v>0</v>
      </c>
      <c r="CB162" s="344" t="str">
        <f>IFERROR(VLOOKUP($A162,'BASE_558 EX'!$D:$R,15,FALSE),"")</f>
        <v xml:space="preserve">           50.561,00</v>
      </c>
      <c r="CC162" s="442"/>
      <c r="CD162" s="442">
        <f t="shared" si="32"/>
        <v>0</v>
      </c>
    </row>
    <row r="163" spans="1:82" s="23" customFormat="1" ht="25.5" customHeight="1">
      <c r="A163" s="309" t="s">
        <v>1944</v>
      </c>
      <c r="B163" s="309"/>
      <c r="C163" s="187">
        <v>44972</v>
      </c>
      <c r="D163" s="381" t="s">
        <v>946</v>
      </c>
      <c r="E163" s="309" t="s">
        <v>2186</v>
      </c>
      <c r="F163" s="309" t="s">
        <v>176</v>
      </c>
      <c r="G163" s="340" t="s">
        <v>1940</v>
      </c>
      <c r="H163" s="339" t="s">
        <v>614</v>
      </c>
      <c r="I163" s="6" t="s">
        <v>463</v>
      </c>
      <c r="J163" s="125" t="s">
        <v>219</v>
      </c>
      <c r="K163" s="46"/>
      <c r="L163" s="206"/>
      <c r="M163" s="206"/>
      <c r="N163" s="206"/>
      <c r="O163" s="206">
        <v>26274.99</v>
      </c>
      <c r="P163" s="206"/>
      <c r="Q163" s="206">
        <f t="shared" ref="Q163:Q196" si="33">U163</f>
        <v>0</v>
      </c>
      <c r="R163" s="206"/>
      <c r="S163" s="206"/>
      <c r="T163" s="223"/>
      <c r="U163" s="169">
        <f t="shared" si="28"/>
        <v>0</v>
      </c>
      <c r="V163" s="372">
        <v>0</v>
      </c>
      <c r="W163" s="343"/>
      <c r="X163" s="332">
        <f>SUMIFS(BASE_EX!$J:$J,BASE_EX!$B:$B,'Direct Charge'!$A163,BASE_EX!$C:$C,"janeiro")</f>
        <v>0</v>
      </c>
      <c r="Y163" s="373"/>
      <c r="Z163" s="372">
        <v>0</v>
      </c>
      <c r="AA163" s="343"/>
      <c r="AB163" s="332">
        <f>SUMIFS(BASE_EX!$J:$J,BASE_EX!$B:$B,'Direct Charge'!$A163,BASE_EX!$C:$C,"fevereiro")</f>
        <v>0</v>
      </c>
      <c r="AC163" s="373"/>
      <c r="AD163" s="372"/>
      <c r="AE163" s="343"/>
      <c r="AF163" s="332">
        <f>SUMIFS(BASE_EX!$J:$J,BASE_EX!$B:$B,'Direct Charge'!$A163,BASE_EX!$C:$C,"março")</f>
        <v>0</v>
      </c>
      <c r="AG163" s="373"/>
      <c r="AH163" s="372"/>
      <c r="AI163" s="343"/>
      <c r="AJ163" s="332">
        <f>SUMIFS(BASE_EX!$J:$J,BASE_EX!$B:$B,'Direct Charge'!$A163,BASE_EX!$C:$C,"abril")</f>
        <v>0</v>
      </c>
      <c r="AK163" s="373"/>
      <c r="AL163" s="372"/>
      <c r="AM163" s="343"/>
      <c r="AN163" s="332">
        <f>SUMIFS(BASE_EX!$J:$J,BASE_EX!$B:$B,'Direct Charge'!$A163,BASE_EX!$C:$C,"maio")</f>
        <v>0</v>
      </c>
      <c r="AO163" s="373"/>
      <c r="AP163" s="372"/>
      <c r="AQ163" s="343"/>
      <c r="AR163" s="332">
        <f>SUMIFS(BASE_EX!$J:$J,BASE_EX!$B:$B,'Direct Charge'!$A163,BASE_EX!$C:$C,"junho")</f>
        <v>0</v>
      </c>
      <c r="AS163" s="373"/>
      <c r="AT163" s="372"/>
      <c r="AU163" s="343"/>
      <c r="AV163" s="332">
        <f>SUMIFS(BASE_EX!$J:$J,BASE_EX!$B:$B,'Direct Charge'!$A163,BASE_EX!$C:$C,"julho")</f>
        <v>0</v>
      </c>
      <c r="AW163" s="373"/>
      <c r="AX163" s="372"/>
      <c r="AY163" s="343"/>
      <c r="AZ163" s="332">
        <f>SUMIFS(BASE_EX!$J:$J,BASE_EX!$B:$B,'Direct Charge'!$A163,BASE_EX!$C:$C,"agosto")</f>
        <v>0</v>
      </c>
      <c r="BA163" s="373"/>
      <c r="BB163" s="372"/>
      <c r="BC163" s="343"/>
      <c r="BD163" s="332">
        <f>SUMIFS(BASE_EX!$J:$J,BASE_EX!$B:$B,'Direct Charge'!$A163,BASE_EX!$C:$C,"setembro")</f>
        <v>0</v>
      </c>
      <c r="BE163" s="373"/>
      <c r="BF163" s="372"/>
      <c r="BG163" s="343"/>
      <c r="BH163" s="332">
        <f>SUMIFS(BASE_EX!$J:$J,BASE_EX!$B:$B,'Direct Charge'!$A163,BASE_EX!$C:$C,"outubro")</f>
        <v>0</v>
      </c>
      <c r="BI163" s="373"/>
      <c r="BJ163" s="372"/>
      <c r="BK163" s="343"/>
      <c r="BL163" s="332">
        <f>SUMIFS(BASE_EX!$J:$J,BASE_EX!$B:$B,'Direct Charge'!$A163,BASE_EX!$C:$C,"novembro")</f>
        <v>0</v>
      </c>
      <c r="BM163" s="373"/>
      <c r="BN163" s="372"/>
      <c r="BO163" s="343"/>
      <c r="BP163" s="332">
        <f>SUMIFS(BASE_EX!$J:$J,BASE_EX!$B:$B,'Direct Charge'!$A163,BASE_EX!$C:$C,"dezembro")</f>
        <v>0</v>
      </c>
      <c r="BQ163" s="373"/>
      <c r="BR163" s="452"/>
      <c r="BS163" s="156">
        <f t="shared" si="29"/>
        <v>0</v>
      </c>
      <c r="BT163" s="320">
        <f t="shared" si="30"/>
        <v>0</v>
      </c>
      <c r="BU163" s="157" t="e">
        <f>SUM(L163,M163,N163,O163,U163)-#REF!</f>
        <v>#REF!</v>
      </c>
      <c r="BV163" s="346">
        <f t="shared" si="31"/>
        <v>0</v>
      </c>
      <c r="BW163" s="344" t="str">
        <f>IFERROR(VLOOKUP($A163,'BASE_558 EX'!$D:$R,8,FALSE),"")</f>
        <v xml:space="preserve">           30.000,00</v>
      </c>
      <c r="BX163" s="344" t="str">
        <f>IFERROR(VLOOKUP($A163,'BASE_558 EX'!$D:$R,9,FALSE),"")</f>
        <v xml:space="preserve">           26.274,99</v>
      </c>
      <c r="BY163" s="344" t="str">
        <f>IFERROR(VLOOKUP($A163,'BASE_558 EX'!$D:$R,10,FALSE),"")</f>
        <v xml:space="preserve">                0,00</v>
      </c>
      <c r="BZ163" s="344" t="str">
        <f>IFERROR(VLOOKUP($A163,'BASE_558 EX'!$D:$R,11,FALSE),"")</f>
        <v xml:space="preserve">                0,00</v>
      </c>
      <c r="CA163" s="344">
        <f>IFERROR(IF(BASE_558!$P$14="RemOrdPla",(VLOOKUP(A163,BASE_558!D:R,14)/1000),(VLOOKUP(A163,BASE_558!D:R,13)/1000)),"")</f>
        <v>1078.7216000000001</v>
      </c>
      <c r="CB163" s="344" t="str">
        <f>IFERROR(VLOOKUP($A163,'BASE_558 EX'!$D:$R,15,FALSE),"")</f>
        <v xml:space="preserve">            3.725,01</v>
      </c>
      <c r="CC163" s="442"/>
      <c r="CD163" s="442">
        <f t="shared" si="32"/>
        <v>0</v>
      </c>
    </row>
    <row r="164" spans="1:82" s="23" customFormat="1" ht="25.5" customHeight="1">
      <c r="A164" s="309" t="s">
        <v>1945</v>
      </c>
      <c r="B164" s="309"/>
      <c r="C164" s="187">
        <v>44981</v>
      </c>
      <c r="D164" s="381" t="s">
        <v>481</v>
      </c>
      <c r="E164" s="381" t="s">
        <v>17007</v>
      </c>
      <c r="F164" s="309" t="s">
        <v>176</v>
      </c>
      <c r="G164" s="340" t="s">
        <v>1848</v>
      </c>
      <c r="H164" s="339" t="s">
        <v>614</v>
      </c>
      <c r="I164" s="45" t="s">
        <v>463</v>
      </c>
      <c r="J164" s="125" t="s">
        <v>219</v>
      </c>
      <c r="K164" s="46" t="s">
        <v>2591</v>
      </c>
      <c r="L164" s="206"/>
      <c r="M164" s="206"/>
      <c r="N164" s="206"/>
      <c r="O164" s="206">
        <v>0</v>
      </c>
      <c r="P164" s="206"/>
      <c r="Q164" s="206">
        <f t="shared" si="33"/>
        <v>1659.92</v>
      </c>
      <c r="R164" s="206"/>
      <c r="S164" s="206"/>
      <c r="T164" s="223"/>
      <c r="U164" s="169">
        <f t="shared" si="28"/>
        <v>1659.92</v>
      </c>
      <c r="V164" s="372">
        <v>0</v>
      </c>
      <c r="W164" s="343"/>
      <c r="X164" s="332">
        <f>SUMIFS(BASE_EX!$J:$J,BASE_EX!$B:$B,'Direct Charge'!$A164,BASE_EX!$C:$C,"janeiro")</f>
        <v>0</v>
      </c>
      <c r="Y164" s="373"/>
      <c r="Z164" s="372">
        <v>0</v>
      </c>
      <c r="AA164" s="343"/>
      <c r="AB164" s="332">
        <f>SUMIFS(BASE_EX!$J:$J,BASE_EX!$B:$B,'Direct Charge'!$A164,BASE_EX!$C:$C,"fevereiro")</f>
        <v>0</v>
      </c>
      <c r="AC164" s="373"/>
      <c r="AD164" s="372"/>
      <c r="AE164" s="343"/>
      <c r="AF164" s="332">
        <f>SUMIFS(BASE_EX!$J:$J,BASE_EX!$B:$B,'Direct Charge'!$A164,BASE_EX!$C:$C,"março")</f>
        <v>0</v>
      </c>
      <c r="AG164" s="373"/>
      <c r="AH164" s="372"/>
      <c r="AI164" s="343">
        <v>1659.92</v>
      </c>
      <c r="AJ164" s="332">
        <f>SUMIFS(BASE_EX!$J:$J,BASE_EX!$B:$B,'Direct Charge'!$A164,BASE_EX!$C:$C,"abril")</f>
        <v>1659.92</v>
      </c>
      <c r="AK164" s="373">
        <v>1659.92</v>
      </c>
      <c r="AL164" s="372"/>
      <c r="AM164" s="343"/>
      <c r="AN164" s="332">
        <f>SUMIFS(BASE_EX!$J:$J,BASE_EX!$B:$B,'Direct Charge'!$A164,BASE_EX!$C:$C,"maio")</f>
        <v>0</v>
      </c>
      <c r="AO164" s="373"/>
      <c r="AP164" s="372"/>
      <c r="AQ164" s="343"/>
      <c r="AR164" s="332">
        <f>SUMIFS(BASE_EX!$J:$J,BASE_EX!$B:$B,'Direct Charge'!$A164,BASE_EX!$C:$C,"junho")</f>
        <v>0</v>
      </c>
      <c r="AS164" s="373"/>
      <c r="AT164" s="372"/>
      <c r="AU164" s="343"/>
      <c r="AV164" s="332">
        <f>SUMIFS(BASE_EX!$J:$J,BASE_EX!$B:$B,'Direct Charge'!$A164,BASE_EX!$C:$C,"julho")</f>
        <v>0</v>
      </c>
      <c r="AW164" s="373"/>
      <c r="AX164" s="372"/>
      <c r="AY164" s="343"/>
      <c r="AZ164" s="332">
        <f>SUMIFS(BASE_EX!$J:$J,BASE_EX!$B:$B,'Direct Charge'!$A164,BASE_EX!$C:$C,"agosto")</f>
        <v>0</v>
      </c>
      <c r="BA164" s="373"/>
      <c r="BB164" s="372"/>
      <c r="BC164" s="343"/>
      <c r="BD164" s="332">
        <f>SUMIFS(BASE_EX!$J:$J,BASE_EX!$B:$B,'Direct Charge'!$A164,BASE_EX!$C:$C,"setembro")</f>
        <v>0</v>
      </c>
      <c r="BE164" s="373"/>
      <c r="BF164" s="372"/>
      <c r="BG164" s="343"/>
      <c r="BH164" s="332">
        <f>SUMIFS(BASE_EX!$J:$J,BASE_EX!$B:$B,'Direct Charge'!$A164,BASE_EX!$C:$C,"outubro")</f>
        <v>0</v>
      </c>
      <c r="BI164" s="373"/>
      <c r="BJ164" s="372"/>
      <c r="BK164" s="343"/>
      <c r="BL164" s="332">
        <f>SUMIFS(BASE_EX!$J:$J,BASE_EX!$B:$B,'Direct Charge'!$A164,BASE_EX!$C:$C,"novembro")</f>
        <v>0</v>
      </c>
      <c r="BM164" s="373"/>
      <c r="BN164" s="372"/>
      <c r="BO164" s="343"/>
      <c r="BP164" s="332">
        <f>SUMIFS(BASE_EX!$J:$J,BASE_EX!$B:$B,'Direct Charge'!$A164,BASE_EX!$C:$C,"dezembro")</f>
        <v>0</v>
      </c>
      <c r="BQ164" s="373"/>
      <c r="BR164" s="452">
        <f>79700+14000</f>
        <v>93700</v>
      </c>
      <c r="BS164" s="156">
        <f t="shared" si="29"/>
        <v>0</v>
      </c>
      <c r="BT164" s="320">
        <f t="shared" si="30"/>
        <v>0</v>
      </c>
      <c r="BU164" s="157" t="e">
        <f>SUM(L164,M164,N164,O164,U164)-#REF!</f>
        <v>#REF!</v>
      </c>
      <c r="BV164" s="346">
        <f t="shared" si="31"/>
        <v>1659.92</v>
      </c>
      <c r="BW164" s="344" t="str">
        <f>IFERROR(VLOOKUP($A164,'BASE_558 EX'!$D:$R,8,FALSE),"")</f>
        <v xml:space="preserve">           79.700,00</v>
      </c>
      <c r="BX164" s="344" t="str">
        <f>IFERROR(VLOOKUP($A164,'BASE_558 EX'!$D:$R,9,FALSE),"")</f>
        <v xml:space="preserve">            1.659,92</v>
      </c>
      <c r="BY164" s="344" t="str">
        <f>IFERROR(VLOOKUP($A164,'BASE_558 EX'!$D:$R,10,FALSE),"")</f>
        <v xml:space="preserve">           14.699,99</v>
      </c>
      <c r="BZ164" s="344" t="str">
        <f>IFERROR(VLOOKUP($A164,'BASE_558 EX'!$D:$R,11,FALSE),"")</f>
        <v xml:space="preserve">                0,00</v>
      </c>
      <c r="CA164" s="344">
        <f>IFERROR(IF(BASE_558!$P$14="RemOrdPla",(VLOOKUP(A164,BASE_558!D:R,14)/1000),(VLOOKUP(A164,BASE_558!D:R,13)/1000)),"")</f>
        <v>847.87662999999998</v>
      </c>
      <c r="CB164" s="344" t="str">
        <f>IFERROR(VLOOKUP($A164,'BASE_558 EX'!$D:$R,15,FALSE),"")</f>
        <v xml:space="preserve">           63.340,09</v>
      </c>
      <c r="CC164" s="442"/>
      <c r="CD164" s="442">
        <f t="shared" si="32"/>
        <v>0</v>
      </c>
    </row>
    <row r="165" spans="1:82" s="23" customFormat="1" ht="25.5" customHeight="1">
      <c r="A165" s="309" t="s">
        <v>1991</v>
      </c>
      <c r="B165" s="309"/>
      <c r="C165" s="187">
        <v>44985</v>
      </c>
      <c r="D165" s="381" t="s">
        <v>475</v>
      </c>
      <c r="E165" s="309" t="s">
        <v>2238</v>
      </c>
      <c r="F165" s="309" t="s">
        <v>176</v>
      </c>
      <c r="G165" s="339" t="s">
        <v>2842</v>
      </c>
      <c r="H165" s="339" t="s">
        <v>614</v>
      </c>
      <c r="I165" s="45" t="s">
        <v>463</v>
      </c>
      <c r="J165" s="125" t="s">
        <v>219</v>
      </c>
      <c r="K165" s="298" t="s">
        <v>10953</v>
      </c>
      <c r="L165" s="206"/>
      <c r="M165" s="206"/>
      <c r="N165" s="206"/>
      <c r="O165" s="206">
        <v>0</v>
      </c>
      <c r="P165" s="206">
        <v>126497.5</v>
      </c>
      <c r="Q165" s="206">
        <f t="shared" si="33"/>
        <v>418302.24</v>
      </c>
      <c r="R165" s="206"/>
      <c r="S165" s="206"/>
      <c r="T165" s="223"/>
      <c r="U165" s="169">
        <f t="shared" si="28"/>
        <v>418302.24</v>
      </c>
      <c r="V165" s="372">
        <v>0</v>
      </c>
      <c r="W165" s="343"/>
      <c r="X165" s="332">
        <f>SUMIFS(BASE_EX!$J:$J,BASE_EX!$B:$B,'Direct Charge'!$A165,BASE_EX!$C:$C,"janeiro")</f>
        <v>0</v>
      </c>
      <c r="Y165" s="373"/>
      <c r="Z165" s="372">
        <v>0</v>
      </c>
      <c r="AA165" s="343">
        <v>14064.31</v>
      </c>
      <c r="AB165" s="332">
        <f>SUMIFS(BASE_EX!$J:$J,BASE_EX!$B:$B,'Direct Charge'!$A165,BASE_EX!$C:$C,"fevereiro")</f>
        <v>14064.310000000001</v>
      </c>
      <c r="AC165" s="373">
        <v>14064.310000000001</v>
      </c>
      <c r="AD165" s="372"/>
      <c r="AE165" s="343">
        <v>2018.12</v>
      </c>
      <c r="AF165" s="332">
        <f>SUMIFS(BASE_EX!$J:$J,BASE_EX!$B:$B,'Direct Charge'!$A165,BASE_EX!$C:$C,"março")</f>
        <v>2018.12</v>
      </c>
      <c r="AG165" s="373">
        <v>2018.12</v>
      </c>
      <c r="AH165" s="372"/>
      <c r="AI165" s="343">
        <v>5936.57</v>
      </c>
      <c r="AJ165" s="332">
        <f>SUMIFS(BASE_EX!$J:$J,BASE_EX!$B:$B,'Direct Charge'!$A165,BASE_EX!$C:$C,"abril")</f>
        <v>5936.57</v>
      </c>
      <c r="AK165" s="373">
        <v>5936.57</v>
      </c>
      <c r="AL165" s="372"/>
      <c r="AM165" s="343">
        <v>3550</v>
      </c>
      <c r="AN165" s="332">
        <f>SUMIFS(BASE_EX!$J:$J,BASE_EX!$B:$B,'Direct Charge'!$A165,BASE_EX!$C:$C,"maio")</f>
        <v>3550</v>
      </c>
      <c r="AO165" s="373">
        <v>3550</v>
      </c>
      <c r="AP165" s="372"/>
      <c r="AQ165" s="343">
        <v>7160.07</v>
      </c>
      <c r="AR165" s="332">
        <f>SUMIFS(BASE_EX!$J:$J,BASE_EX!$B:$B,'Direct Charge'!$A165,BASE_EX!$C:$C,"junho")</f>
        <v>7160.0700000000015</v>
      </c>
      <c r="AS165" s="373">
        <v>7160.0700000000015</v>
      </c>
      <c r="AT165" s="372"/>
      <c r="AU165" s="343"/>
      <c r="AV165" s="332">
        <f>SUMIFS(BASE_EX!$J:$J,BASE_EX!$B:$B,'Direct Charge'!$A165,BASE_EX!$C:$C,"julho")</f>
        <v>1052.3599999999999</v>
      </c>
      <c r="AW165" s="373">
        <v>6000</v>
      </c>
      <c r="AX165" s="372"/>
      <c r="AY165" s="343"/>
      <c r="AZ165" s="332">
        <f>SUMIFS(BASE_EX!$J:$J,BASE_EX!$B:$B,'Direct Charge'!$A165,BASE_EX!$C:$C,"agosto")</f>
        <v>0</v>
      </c>
      <c r="BA165" s="373">
        <f>82502.17-6300-3500-2000-5129-6000</f>
        <v>59573.17</v>
      </c>
      <c r="BB165" s="372"/>
      <c r="BC165" s="343"/>
      <c r="BD165" s="332">
        <f>SUMIFS(BASE_EX!$J:$J,BASE_EX!$B:$B,'Direct Charge'!$A165,BASE_EX!$C:$C,"setembro")</f>
        <v>0</v>
      </c>
      <c r="BE165" s="373">
        <v>100000</v>
      </c>
      <c r="BF165" s="372"/>
      <c r="BG165" s="343"/>
      <c r="BH165" s="332">
        <f>SUMIFS(BASE_EX!$J:$J,BASE_EX!$B:$B,'Direct Charge'!$A165,BASE_EX!$C:$C,"outubro")</f>
        <v>0</v>
      </c>
      <c r="BI165" s="373">
        <v>100000</v>
      </c>
      <c r="BJ165" s="372"/>
      <c r="BK165" s="343"/>
      <c r="BL165" s="332">
        <f>SUMIFS(BASE_EX!$J:$J,BASE_EX!$B:$B,'Direct Charge'!$A165,BASE_EX!$C:$C,"novembro")</f>
        <v>0</v>
      </c>
      <c r="BM165" s="373">
        <v>100000</v>
      </c>
      <c r="BN165" s="372"/>
      <c r="BO165" s="343"/>
      <c r="BP165" s="332">
        <f>SUMIFS(BASE_EX!$J:$J,BASE_EX!$B:$B,'Direct Charge'!$A165,BASE_EX!$C:$C,"dezembro")</f>
        <v>0</v>
      </c>
      <c r="BQ165" s="373">
        <v>20000</v>
      </c>
      <c r="BR165" s="452">
        <v>800000</v>
      </c>
      <c r="BS165" s="156">
        <f t="shared" si="29"/>
        <v>7160.0700000000015</v>
      </c>
      <c r="BT165" s="320">
        <f t="shared" si="30"/>
        <v>0</v>
      </c>
      <c r="BU165" s="157" t="e">
        <f>SUM(L165,M165,N165,O165,U165)-#REF!</f>
        <v>#REF!</v>
      </c>
      <c r="BV165" s="346">
        <f t="shared" si="31"/>
        <v>418302.24</v>
      </c>
      <c r="BW165" s="344" t="str">
        <f>IFERROR(VLOOKUP($A165,'BASE_558 EX'!$D:$R,8,FALSE),"")</f>
        <v xml:space="preserve">        2.100.000,00</v>
      </c>
      <c r="BX165" s="344" t="str">
        <f>IFERROR(VLOOKUP($A165,'BASE_558 EX'!$D:$R,9,FALSE),"")</f>
        <v xml:space="preserve">          160.278,93</v>
      </c>
      <c r="BY165" s="344" t="str">
        <f>IFERROR(VLOOKUP($A165,'BASE_558 EX'!$D:$R,10,FALSE),"")</f>
        <v xml:space="preserve">           26.187,98</v>
      </c>
      <c r="BZ165" s="344" t="str">
        <f>IFERROR(VLOOKUP($A165,'BASE_558 EX'!$D:$R,11,FALSE),"")</f>
        <v xml:space="preserve">           87.884,66</v>
      </c>
      <c r="CA165" s="344">
        <f>IFERROR(IF(BASE_558!$P$14="RemOrdPla",(VLOOKUP(A165,BASE_558!D:R,14)/1000),(VLOOKUP(A165,BASE_558!D:R,13)/1000)),"")</f>
        <v>12620.148039999998</v>
      </c>
      <c r="CB165" s="344" t="str">
        <f>IFERROR(VLOOKUP($A165,'BASE_558 EX'!$D:$R,15,FALSE),"")</f>
        <v xml:space="preserve">        1.825.648,43</v>
      </c>
      <c r="CC165" s="442"/>
      <c r="CD165" s="442">
        <f t="shared" si="32"/>
        <v>0</v>
      </c>
    </row>
    <row r="166" spans="1:82" s="23" customFormat="1" ht="25.5" customHeight="1">
      <c r="A166" s="309" t="s">
        <v>1990</v>
      </c>
      <c r="B166" s="309"/>
      <c r="C166" s="187">
        <v>45014</v>
      </c>
      <c r="D166" s="381" t="s">
        <v>481</v>
      </c>
      <c r="E166" s="381" t="s">
        <v>2485</v>
      </c>
      <c r="F166" s="309" t="s">
        <v>179</v>
      </c>
      <c r="G166" s="340" t="s">
        <v>2837</v>
      </c>
      <c r="H166" s="339" t="s">
        <v>614</v>
      </c>
      <c r="I166" s="45" t="s">
        <v>463</v>
      </c>
      <c r="J166" s="125" t="s">
        <v>219</v>
      </c>
      <c r="K166" s="298" t="s">
        <v>2589</v>
      </c>
      <c r="L166" s="206"/>
      <c r="M166" s="206"/>
      <c r="N166" s="206"/>
      <c r="O166" s="206">
        <v>0</v>
      </c>
      <c r="P166" s="206"/>
      <c r="Q166" s="206">
        <f t="shared" si="33"/>
        <v>9000</v>
      </c>
      <c r="R166" s="206"/>
      <c r="S166" s="206"/>
      <c r="T166" s="223"/>
      <c r="U166" s="169">
        <f t="shared" si="28"/>
        <v>9000</v>
      </c>
      <c r="V166" s="372">
        <v>0</v>
      </c>
      <c r="W166" s="343"/>
      <c r="X166" s="332">
        <f>SUMIFS(BASE_EX!$J:$J,BASE_EX!$B:$B,'Direct Charge'!$A166,BASE_EX!$C:$C,"janeiro")</f>
        <v>0</v>
      </c>
      <c r="Y166" s="373"/>
      <c r="Z166" s="372">
        <v>0</v>
      </c>
      <c r="AA166" s="343"/>
      <c r="AB166" s="332">
        <f>SUMIFS(BASE_EX!$J:$J,BASE_EX!$B:$B,'Direct Charge'!$A166,BASE_EX!$C:$C,"fevereiro")</f>
        <v>0</v>
      </c>
      <c r="AC166" s="373"/>
      <c r="AD166" s="372"/>
      <c r="AE166" s="343"/>
      <c r="AF166" s="332">
        <f>SUMIFS(BASE_EX!$J:$J,BASE_EX!$B:$B,'Direct Charge'!$A166,BASE_EX!$C:$C,"março")</f>
        <v>0</v>
      </c>
      <c r="AG166" s="373"/>
      <c r="AH166" s="372"/>
      <c r="AI166" s="343"/>
      <c r="AJ166" s="332">
        <f>SUMIFS(BASE_EX!$J:$J,BASE_EX!$B:$B,'Direct Charge'!$A166,BASE_EX!$C:$C,"abril")</f>
        <v>0</v>
      </c>
      <c r="AK166" s="373"/>
      <c r="AL166" s="372"/>
      <c r="AM166" s="343"/>
      <c r="AN166" s="332">
        <f>SUMIFS(BASE_EX!$J:$J,BASE_EX!$B:$B,'Direct Charge'!$A166,BASE_EX!$C:$C,"maio")</f>
        <v>0</v>
      </c>
      <c r="AO166" s="373"/>
      <c r="AP166" s="372"/>
      <c r="AQ166" s="343"/>
      <c r="AR166" s="332">
        <f>SUMIFS(BASE_EX!$J:$J,BASE_EX!$B:$B,'Direct Charge'!$A166,BASE_EX!$C:$C,"junho")</f>
        <v>0</v>
      </c>
      <c r="AS166" s="373"/>
      <c r="AT166" s="372"/>
      <c r="AU166" s="343"/>
      <c r="AV166" s="332">
        <f>SUMIFS(BASE_EX!$J:$J,BASE_EX!$B:$B,'Direct Charge'!$A166,BASE_EX!$C:$C,"julho")</f>
        <v>0</v>
      </c>
      <c r="AW166" s="373">
        <v>4500</v>
      </c>
      <c r="AX166" s="372"/>
      <c r="AY166" s="343"/>
      <c r="AZ166" s="332">
        <f>SUMIFS(BASE_EX!$J:$J,BASE_EX!$B:$B,'Direct Charge'!$A166,BASE_EX!$C:$C,"agosto")</f>
        <v>0</v>
      </c>
      <c r="BA166" s="373">
        <v>4500</v>
      </c>
      <c r="BB166" s="372"/>
      <c r="BC166" s="343"/>
      <c r="BD166" s="332">
        <f>SUMIFS(BASE_EX!$J:$J,BASE_EX!$B:$B,'Direct Charge'!$A166,BASE_EX!$C:$C,"setembro")</f>
        <v>0</v>
      </c>
      <c r="BE166" s="373"/>
      <c r="BF166" s="372"/>
      <c r="BG166" s="343"/>
      <c r="BH166" s="332">
        <f>SUMIFS(BASE_EX!$J:$J,BASE_EX!$B:$B,'Direct Charge'!$A166,BASE_EX!$C:$C,"outubro")</f>
        <v>0</v>
      </c>
      <c r="BI166" s="373"/>
      <c r="BJ166" s="372"/>
      <c r="BK166" s="343"/>
      <c r="BL166" s="332">
        <f>SUMIFS(BASE_EX!$J:$J,BASE_EX!$B:$B,'Direct Charge'!$A166,BASE_EX!$C:$C,"novembro")</f>
        <v>0</v>
      </c>
      <c r="BM166" s="373"/>
      <c r="BN166" s="372"/>
      <c r="BO166" s="343"/>
      <c r="BP166" s="332">
        <f>SUMIFS(BASE_EX!$J:$J,BASE_EX!$B:$B,'Direct Charge'!$A166,BASE_EX!$C:$C,"dezembro")</f>
        <v>0</v>
      </c>
      <c r="BQ166" s="373"/>
      <c r="BR166" s="452"/>
      <c r="BS166" s="156">
        <f t="shared" si="29"/>
        <v>0</v>
      </c>
      <c r="BT166" s="320">
        <f t="shared" si="30"/>
        <v>0</v>
      </c>
      <c r="BU166" s="157" t="e">
        <f>SUM(L166,M166,N166,O166,U166)-#REF!</f>
        <v>#REF!</v>
      </c>
      <c r="BV166" s="346">
        <f t="shared" si="31"/>
        <v>9000</v>
      </c>
      <c r="BW166" s="344" t="str">
        <f>IFERROR(VLOOKUP($A166,'BASE_558 EX'!$D:$R,8,FALSE),"")</f>
        <v xml:space="preserve">           16.800,00</v>
      </c>
      <c r="BX166" s="344" t="str">
        <f>IFERROR(VLOOKUP($A166,'BASE_558 EX'!$D:$R,9,FALSE),"")</f>
        <v xml:space="preserve">                0,00</v>
      </c>
      <c r="BY166" s="344" t="str">
        <f>IFERROR(VLOOKUP($A166,'BASE_558 EX'!$D:$R,10,FALSE),"")</f>
        <v xml:space="preserve">                0,00</v>
      </c>
      <c r="BZ166" s="344" t="str">
        <f>IFERROR(VLOOKUP($A166,'BASE_558 EX'!$D:$R,11,FALSE),"")</f>
        <v xml:space="preserve">                0,00</v>
      </c>
      <c r="CA166" s="344">
        <f>IFERROR(IF(BASE_558!$P$14="RemOrdPla",(VLOOKUP(A166,BASE_558!D:R,14)/1000),(VLOOKUP(A166,BASE_558!D:R,13)/1000)),"")</f>
        <v>144.16120999999998</v>
      </c>
      <c r="CB166" s="344" t="str">
        <f>IFERROR(VLOOKUP($A166,'BASE_558 EX'!$D:$R,15,FALSE),"")</f>
        <v xml:space="preserve">           16.800,00</v>
      </c>
      <c r="CC166" s="442"/>
      <c r="CD166" s="442">
        <f t="shared" si="32"/>
        <v>0</v>
      </c>
    </row>
    <row r="167" spans="1:82" s="23" customFormat="1" ht="25.5" customHeight="1">
      <c r="A167" s="309" t="s">
        <v>1989</v>
      </c>
      <c r="B167" s="309"/>
      <c r="C167" s="187">
        <v>45020</v>
      </c>
      <c r="D167" s="381" t="s">
        <v>476</v>
      </c>
      <c r="E167" s="309" t="s">
        <v>6882</v>
      </c>
      <c r="F167" s="309" t="s">
        <v>2508</v>
      </c>
      <c r="G167" s="361" t="s">
        <v>1560</v>
      </c>
      <c r="H167" s="340" t="s">
        <v>614</v>
      </c>
      <c r="I167" s="45" t="s">
        <v>463</v>
      </c>
      <c r="J167" s="125" t="s">
        <v>219</v>
      </c>
      <c r="K167" s="298" t="s">
        <v>2593</v>
      </c>
      <c r="L167" s="206"/>
      <c r="M167" s="206"/>
      <c r="N167" s="206"/>
      <c r="O167" s="206">
        <v>9931.7800000000007</v>
      </c>
      <c r="P167" s="206"/>
      <c r="Q167" s="206">
        <f t="shared" si="33"/>
        <v>29999.72</v>
      </c>
      <c r="R167" s="206"/>
      <c r="S167" s="206"/>
      <c r="T167" s="223"/>
      <c r="U167" s="169">
        <f t="shared" si="28"/>
        <v>29999.72</v>
      </c>
      <c r="V167" s="372">
        <v>0</v>
      </c>
      <c r="W167" s="343"/>
      <c r="X167" s="332">
        <f>SUMIFS(BASE_EX!$J:$J,BASE_EX!$B:$B,'Direct Charge'!$A167,BASE_EX!$C:$C,"janeiro")</f>
        <v>0</v>
      </c>
      <c r="Y167" s="373"/>
      <c r="Z167" s="372">
        <v>0</v>
      </c>
      <c r="AA167" s="343"/>
      <c r="AB167" s="332">
        <f>SUMIFS(BASE_EX!$J:$J,BASE_EX!$B:$B,'Direct Charge'!$A167,BASE_EX!$C:$C,"fevereiro")</f>
        <v>0</v>
      </c>
      <c r="AC167" s="373"/>
      <c r="AD167" s="372"/>
      <c r="AE167" s="343"/>
      <c r="AF167" s="332">
        <f>SUMIFS(BASE_EX!$J:$J,BASE_EX!$B:$B,'Direct Charge'!$A167,BASE_EX!$C:$C,"março")</f>
        <v>0</v>
      </c>
      <c r="AG167" s="373"/>
      <c r="AH167" s="372"/>
      <c r="AI167" s="343"/>
      <c r="AJ167" s="332">
        <f>SUMIFS(BASE_EX!$J:$J,BASE_EX!$B:$B,'Direct Charge'!$A167,BASE_EX!$C:$C,"abril")</f>
        <v>0</v>
      </c>
      <c r="AK167" s="373"/>
      <c r="AL167" s="372">
        <v>10000</v>
      </c>
      <c r="AM167" s="343">
        <v>1696.72</v>
      </c>
      <c r="AN167" s="332">
        <f>SUMIFS(BASE_EX!$J:$J,BASE_EX!$B:$B,'Direct Charge'!$A167,BASE_EX!$C:$C,"maio")</f>
        <v>1696.72</v>
      </c>
      <c r="AO167" s="373">
        <v>1696.72</v>
      </c>
      <c r="AP167" s="372"/>
      <c r="AQ167" s="343"/>
      <c r="AR167" s="332">
        <f>SUMIFS(BASE_EX!$J:$J,BASE_EX!$B:$B,'Direct Charge'!$A167,BASE_EX!$C:$C,"junho")</f>
        <v>0</v>
      </c>
      <c r="AS167" s="373"/>
      <c r="AT167" s="372"/>
      <c r="AU167" s="343"/>
      <c r="AV167" s="332">
        <f>SUMIFS(BASE_EX!$J:$J,BASE_EX!$B:$B,'Direct Charge'!$A167,BASE_EX!$C:$C,"julho")</f>
        <v>0</v>
      </c>
      <c r="AW167" s="373">
        <v>10000</v>
      </c>
      <c r="AX167" s="372"/>
      <c r="AY167" s="343"/>
      <c r="AZ167" s="332">
        <f>SUMIFS(BASE_EX!$J:$J,BASE_EX!$B:$B,'Direct Charge'!$A167,BASE_EX!$C:$C,"agosto")</f>
        <v>0</v>
      </c>
      <c r="BA167" s="373">
        <v>10000</v>
      </c>
      <c r="BB167" s="372"/>
      <c r="BC167" s="343"/>
      <c r="BD167" s="332">
        <f>SUMIFS(BASE_EX!$J:$J,BASE_EX!$B:$B,'Direct Charge'!$A167,BASE_EX!$C:$C,"setembro")</f>
        <v>0</v>
      </c>
      <c r="BE167" s="373">
        <v>8303</v>
      </c>
      <c r="BF167" s="372"/>
      <c r="BG167" s="343"/>
      <c r="BH167" s="332">
        <f>SUMIFS(BASE_EX!$J:$J,BASE_EX!$B:$B,'Direct Charge'!$A167,BASE_EX!$C:$C,"outubro")</f>
        <v>0</v>
      </c>
      <c r="BI167" s="373"/>
      <c r="BJ167" s="372"/>
      <c r="BK167" s="343"/>
      <c r="BL167" s="332">
        <f>SUMIFS(BASE_EX!$J:$J,BASE_EX!$B:$B,'Direct Charge'!$A167,BASE_EX!$C:$C,"novembro")</f>
        <v>0</v>
      </c>
      <c r="BM167" s="373"/>
      <c r="BN167" s="372"/>
      <c r="BO167" s="343"/>
      <c r="BP167" s="332">
        <f>SUMIFS(BASE_EX!$J:$J,BASE_EX!$B:$B,'Direct Charge'!$A167,BASE_EX!$C:$C,"dezembro")</f>
        <v>0</v>
      </c>
      <c r="BQ167" s="373"/>
      <c r="BR167" s="452">
        <v>0</v>
      </c>
      <c r="BS167" s="156">
        <f t="shared" si="29"/>
        <v>0</v>
      </c>
      <c r="BT167" s="320">
        <f t="shared" si="30"/>
        <v>0</v>
      </c>
      <c r="BU167" s="157" t="e">
        <f>SUM(L167,M167,N167,O167,U167)-#REF!</f>
        <v>#REF!</v>
      </c>
      <c r="BV167" s="346">
        <f t="shared" si="31"/>
        <v>29999.72</v>
      </c>
      <c r="BW167" s="344" t="str">
        <f>IFERROR(VLOOKUP($A167,'BASE_558 EX'!$D:$R,8,FALSE),"")</f>
        <v xml:space="preserve">           40.313,00</v>
      </c>
      <c r="BX167" s="344" t="str">
        <f>IFERROR(VLOOKUP($A167,'BASE_558 EX'!$D:$R,9,FALSE),"")</f>
        <v xml:space="preserve">           11.628,50</v>
      </c>
      <c r="BY167" s="344" t="str">
        <f>IFERROR(VLOOKUP($A167,'BASE_558 EX'!$D:$R,10,FALSE),"")</f>
        <v xml:space="preserve">                0,00</v>
      </c>
      <c r="BZ167" s="344" t="str">
        <f>IFERROR(VLOOKUP($A167,'BASE_558 EX'!$D:$R,11,FALSE),"")</f>
        <v xml:space="preserve">                0,00</v>
      </c>
      <c r="CA167" s="344">
        <f>IFERROR(IF(BASE_558!$P$14="RemOrdPla",(VLOOKUP(A167,BASE_558!D:R,14)/1000),(VLOOKUP(A167,BASE_558!D:R,13)/1000)),"")</f>
        <v>453.79207000000002</v>
      </c>
      <c r="CB167" s="344" t="str">
        <f>IFERROR(VLOOKUP($A167,'BASE_558 EX'!$D:$R,15,FALSE),"")</f>
        <v xml:space="preserve">           28.684,50</v>
      </c>
      <c r="CC167" s="442"/>
      <c r="CD167" s="442">
        <f t="shared" si="32"/>
        <v>0</v>
      </c>
    </row>
    <row r="168" spans="1:82" s="23" customFormat="1" ht="25.5" customHeight="1">
      <c r="A168" s="309" t="s">
        <v>2056</v>
      </c>
      <c r="B168" s="309"/>
      <c r="C168" s="187">
        <v>45020</v>
      </c>
      <c r="D168" s="381" t="s">
        <v>481</v>
      </c>
      <c r="E168" s="381" t="s">
        <v>481</v>
      </c>
      <c r="F168" s="309" t="s">
        <v>178</v>
      </c>
      <c r="G168" s="340" t="s">
        <v>2876</v>
      </c>
      <c r="H168" s="339" t="s">
        <v>614</v>
      </c>
      <c r="I168" s="6" t="s">
        <v>218</v>
      </c>
      <c r="J168" s="83" t="s">
        <v>557</v>
      </c>
      <c r="K168" s="46" t="s">
        <v>1906</v>
      </c>
      <c r="L168" s="206"/>
      <c r="M168" s="206"/>
      <c r="N168" s="206"/>
      <c r="O168" s="206">
        <v>0</v>
      </c>
      <c r="P168" s="206"/>
      <c r="Q168" s="206">
        <f t="shared" si="33"/>
        <v>0</v>
      </c>
      <c r="R168" s="206"/>
      <c r="S168" s="206"/>
      <c r="T168" s="223"/>
      <c r="U168" s="169">
        <f t="shared" ref="U168:U200" si="34">SUM(Y168,AC168,AG168,AK168,AO168,AS168,AW168,BA168,BE168,BI168,BM168,BQ168)</f>
        <v>0</v>
      </c>
      <c r="V168" s="372">
        <v>0</v>
      </c>
      <c r="W168" s="343"/>
      <c r="X168" s="332">
        <f>SUMIFS(BASE_EX!$J:$J,BASE_EX!$B:$B,'Direct Charge'!$A168,BASE_EX!$C:$C,"janeiro")</f>
        <v>0</v>
      </c>
      <c r="Y168" s="373"/>
      <c r="Z168" s="372">
        <v>0</v>
      </c>
      <c r="AA168" s="343"/>
      <c r="AB168" s="332">
        <f>SUMIFS(BASE_EX!$J:$J,BASE_EX!$B:$B,'Direct Charge'!$A168,BASE_EX!$C:$C,"fevereiro")</f>
        <v>0</v>
      </c>
      <c r="AC168" s="373"/>
      <c r="AD168" s="372"/>
      <c r="AE168" s="343"/>
      <c r="AF168" s="332">
        <f>SUMIFS(BASE_EX!$J:$J,BASE_EX!$B:$B,'Direct Charge'!$A168,BASE_EX!$C:$C,"março")</f>
        <v>0</v>
      </c>
      <c r="AG168" s="373"/>
      <c r="AH168" s="372"/>
      <c r="AI168" s="343"/>
      <c r="AJ168" s="332">
        <f>SUMIFS(BASE_EX!$J:$J,BASE_EX!$B:$B,'Direct Charge'!$A168,BASE_EX!$C:$C,"abril")</f>
        <v>0</v>
      </c>
      <c r="AK168" s="373"/>
      <c r="AL168" s="372"/>
      <c r="AM168" s="343"/>
      <c r="AN168" s="332">
        <f>SUMIFS(BASE_EX!$J:$J,BASE_EX!$B:$B,'Direct Charge'!$A168,BASE_EX!$C:$C,"maio")</f>
        <v>0</v>
      </c>
      <c r="AO168" s="373"/>
      <c r="AP168" s="372"/>
      <c r="AQ168" s="343"/>
      <c r="AR168" s="332">
        <f>SUMIFS(BASE_EX!$J:$J,BASE_EX!$B:$B,'Direct Charge'!$A168,BASE_EX!$C:$C,"junho")</f>
        <v>0</v>
      </c>
      <c r="AS168" s="373"/>
      <c r="AT168" s="372"/>
      <c r="AU168" s="343"/>
      <c r="AV168" s="332">
        <f>SUMIFS(BASE_EX!$J:$J,BASE_EX!$B:$B,'Direct Charge'!$A168,BASE_EX!$C:$C,"julho")</f>
        <v>0</v>
      </c>
      <c r="AW168" s="373"/>
      <c r="AX168" s="372"/>
      <c r="AY168" s="343"/>
      <c r="AZ168" s="332">
        <f>SUMIFS(BASE_EX!$J:$J,BASE_EX!$B:$B,'Direct Charge'!$A168,BASE_EX!$C:$C,"agosto")</f>
        <v>0</v>
      </c>
      <c r="BA168" s="373"/>
      <c r="BB168" s="372"/>
      <c r="BC168" s="343"/>
      <c r="BD168" s="332">
        <f>SUMIFS(BASE_EX!$J:$J,BASE_EX!$B:$B,'Direct Charge'!$A168,BASE_EX!$C:$C,"setembro")</f>
        <v>0</v>
      </c>
      <c r="BE168" s="373"/>
      <c r="BF168" s="372"/>
      <c r="BG168" s="343"/>
      <c r="BH168" s="332">
        <f>SUMIFS(BASE_EX!$J:$J,BASE_EX!$B:$B,'Direct Charge'!$A168,BASE_EX!$C:$C,"outubro")</f>
        <v>0</v>
      </c>
      <c r="BI168" s="373"/>
      <c r="BJ168" s="372"/>
      <c r="BK168" s="343"/>
      <c r="BL168" s="332">
        <f>SUMIFS(BASE_EX!$J:$J,BASE_EX!$B:$B,'Direct Charge'!$A168,BASE_EX!$C:$C,"novembro")</f>
        <v>0</v>
      </c>
      <c r="BM168" s="373"/>
      <c r="BN168" s="372"/>
      <c r="BO168" s="343"/>
      <c r="BP168" s="332">
        <f>SUMIFS(BASE_EX!$J:$J,BASE_EX!$B:$B,'Direct Charge'!$A168,BASE_EX!$C:$C,"dezembro")</f>
        <v>0</v>
      </c>
      <c r="BQ168" s="373"/>
      <c r="BR168" s="452"/>
      <c r="BS168" s="156">
        <f t="shared" ref="BS168:BS200" si="35">AS168-AP168</f>
        <v>0</v>
      </c>
      <c r="BT168" s="320">
        <f t="shared" ref="BT168:BT200" si="36">AS168-AR168</f>
        <v>0</v>
      </c>
      <c r="BU168" s="157" t="e">
        <f>SUM(L168,M168,N168,O168,U168)-#REF!</f>
        <v>#REF!</v>
      </c>
      <c r="BV168" s="346">
        <f t="shared" ref="BV168:BV200" si="37">U168-T168</f>
        <v>0</v>
      </c>
      <c r="BW168" s="344" t="str">
        <f>IFERROR(VLOOKUP($A168,'BASE_558 EX'!$D:$R,8,FALSE),"")</f>
        <v xml:space="preserve">                0,00</v>
      </c>
      <c r="BX168" s="344" t="str">
        <f>IFERROR(VLOOKUP($A168,'BASE_558 EX'!$D:$R,9,FALSE),"")</f>
        <v xml:space="preserve">                0,00</v>
      </c>
      <c r="BY168" s="344" t="str">
        <f>IFERROR(VLOOKUP($A168,'BASE_558 EX'!$D:$R,10,FALSE),"")</f>
        <v xml:space="preserve">                0,00</v>
      </c>
      <c r="BZ168" s="344" t="str">
        <f>IFERROR(VLOOKUP($A168,'BASE_558 EX'!$D:$R,11,FALSE),"")</f>
        <v xml:space="preserve">                0,00</v>
      </c>
      <c r="CA168" s="344">
        <f>IFERROR(IF(BASE_558!$P$14="RemOrdPla",(VLOOKUP(A168,BASE_558!D:R,14)/1000),(VLOOKUP(A168,BASE_558!D:R,13)/1000)),"")</f>
        <v>0</v>
      </c>
      <c r="CB168" s="344" t="str">
        <f>IFERROR(VLOOKUP($A168,'BASE_558 EX'!$D:$R,15,FALSE),"")</f>
        <v xml:space="preserve">                0,00</v>
      </c>
      <c r="CC168" s="442"/>
      <c r="CD168" s="442">
        <f t="shared" ref="CD168:CD200" si="38">AR168-AQ168</f>
        <v>0</v>
      </c>
    </row>
    <row r="169" spans="1:82" s="23" customFormat="1" ht="25.5" customHeight="1">
      <c r="A169" s="309" t="s">
        <v>2057</v>
      </c>
      <c r="B169" s="309"/>
      <c r="C169" s="187">
        <v>45020</v>
      </c>
      <c r="D169" s="381" t="s">
        <v>481</v>
      </c>
      <c r="E169" s="381" t="s">
        <v>481</v>
      </c>
      <c r="F169" s="309" t="s">
        <v>179</v>
      </c>
      <c r="G169" s="340" t="s">
        <v>3273</v>
      </c>
      <c r="H169" s="339" t="s">
        <v>614</v>
      </c>
      <c r="I169" s="6" t="s">
        <v>218</v>
      </c>
      <c r="J169" s="83" t="s">
        <v>557</v>
      </c>
      <c r="K169" s="46" t="s">
        <v>1906</v>
      </c>
      <c r="L169" s="206"/>
      <c r="M169" s="206"/>
      <c r="N169" s="206"/>
      <c r="O169" s="206">
        <v>0</v>
      </c>
      <c r="P169" s="206"/>
      <c r="Q169" s="206">
        <f t="shared" si="33"/>
        <v>0</v>
      </c>
      <c r="R169" s="206"/>
      <c r="S169" s="206"/>
      <c r="T169" s="223"/>
      <c r="U169" s="169">
        <f t="shared" si="34"/>
        <v>0</v>
      </c>
      <c r="V169" s="372">
        <v>0</v>
      </c>
      <c r="W169" s="343"/>
      <c r="X169" s="332">
        <f>SUMIFS(BASE_EX!$J:$J,BASE_EX!$B:$B,'Direct Charge'!$A169,BASE_EX!$C:$C,"janeiro")</f>
        <v>0</v>
      </c>
      <c r="Y169" s="373"/>
      <c r="Z169" s="372">
        <v>0</v>
      </c>
      <c r="AA169" s="343"/>
      <c r="AB169" s="332">
        <f>SUMIFS(BASE_EX!$J:$J,BASE_EX!$B:$B,'Direct Charge'!$A169,BASE_EX!$C:$C,"fevereiro")</f>
        <v>0</v>
      </c>
      <c r="AC169" s="373"/>
      <c r="AD169" s="372"/>
      <c r="AE169" s="343"/>
      <c r="AF169" s="332">
        <f>SUMIFS(BASE_EX!$J:$J,BASE_EX!$B:$B,'Direct Charge'!$A169,BASE_EX!$C:$C,"março")</f>
        <v>0</v>
      </c>
      <c r="AG169" s="373"/>
      <c r="AH169" s="372"/>
      <c r="AI169" s="343"/>
      <c r="AJ169" s="332">
        <f>SUMIFS(BASE_EX!$J:$J,BASE_EX!$B:$B,'Direct Charge'!$A169,BASE_EX!$C:$C,"abril")</f>
        <v>0</v>
      </c>
      <c r="AK169" s="373"/>
      <c r="AL169" s="372"/>
      <c r="AM169" s="343"/>
      <c r="AN169" s="332">
        <f>SUMIFS(BASE_EX!$J:$J,BASE_EX!$B:$B,'Direct Charge'!$A169,BASE_EX!$C:$C,"maio")</f>
        <v>0</v>
      </c>
      <c r="AO169" s="373"/>
      <c r="AP169" s="372"/>
      <c r="AQ169" s="343"/>
      <c r="AR169" s="332">
        <f>SUMIFS(BASE_EX!$J:$J,BASE_EX!$B:$B,'Direct Charge'!$A169,BASE_EX!$C:$C,"junho")</f>
        <v>0</v>
      </c>
      <c r="AS169" s="373"/>
      <c r="AT169" s="372"/>
      <c r="AU169" s="343"/>
      <c r="AV169" s="332">
        <f>SUMIFS(BASE_EX!$J:$J,BASE_EX!$B:$B,'Direct Charge'!$A169,BASE_EX!$C:$C,"julho")</f>
        <v>0</v>
      </c>
      <c r="AW169" s="373"/>
      <c r="AX169" s="372"/>
      <c r="AY169" s="343"/>
      <c r="AZ169" s="332">
        <f>SUMIFS(BASE_EX!$J:$J,BASE_EX!$B:$B,'Direct Charge'!$A169,BASE_EX!$C:$C,"agosto")</f>
        <v>0</v>
      </c>
      <c r="BA169" s="373"/>
      <c r="BB169" s="372"/>
      <c r="BC169" s="343"/>
      <c r="BD169" s="332">
        <f>SUMIFS(BASE_EX!$J:$J,BASE_EX!$B:$B,'Direct Charge'!$A169,BASE_EX!$C:$C,"setembro")</f>
        <v>0</v>
      </c>
      <c r="BE169" s="373"/>
      <c r="BF169" s="372"/>
      <c r="BG169" s="343"/>
      <c r="BH169" s="332">
        <f>SUMIFS(BASE_EX!$J:$J,BASE_EX!$B:$B,'Direct Charge'!$A169,BASE_EX!$C:$C,"outubro")</f>
        <v>0</v>
      </c>
      <c r="BI169" s="373"/>
      <c r="BJ169" s="372"/>
      <c r="BK169" s="343"/>
      <c r="BL169" s="332">
        <f>SUMIFS(BASE_EX!$J:$J,BASE_EX!$B:$B,'Direct Charge'!$A169,BASE_EX!$C:$C,"novembro")</f>
        <v>0</v>
      </c>
      <c r="BM169" s="373"/>
      <c r="BN169" s="372"/>
      <c r="BO169" s="343"/>
      <c r="BP169" s="332">
        <f>SUMIFS(BASE_EX!$J:$J,BASE_EX!$B:$B,'Direct Charge'!$A169,BASE_EX!$C:$C,"dezembro")</f>
        <v>0</v>
      </c>
      <c r="BQ169" s="373"/>
      <c r="BR169" s="452"/>
      <c r="BS169" s="156">
        <f t="shared" si="35"/>
        <v>0</v>
      </c>
      <c r="BT169" s="320">
        <f t="shared" si="36"/>
        <v>0</v>
      </c>
      <c r="BU169" s="157" t="e">
        <f>SUM(L169,M169,N169,O169,U169)-#REF!</f>
        <v>#REF!</v>
      </c>
      <c r="BV169" s="346">
        <f t="shared" si="37"/>
        <v>0</v>
      </c>
      <c r="BW169" s="344" t="str">
        <f>IFERROR(VLOOKUP($A169,'BASE_558 EX'!$D:$R,8,FALSE),"")</f>
        <v xml:space="preserve">                0,00</v>
      </c>
      <c r="BX169" s="344" t="str">
        <f>IFERROR(VLOOKUP($A169,'BASE_558 EX'!$D:$R,9,FALSE),"")</f>
        <v xml:space="preserve">                0,00</v>
      </c>
      <c r="BY169" s="344" t="str">
        <f>IFERROR(VLOOKUP($A169,'BASE_558 EX'!$D:$R,10,FALSE),"")</f>
        <v xml:space="preserve">                0,00</v>
      </c>
      <c r="BZ169" s="344" t="str">
        <f>IFERROR(VLOOKUP($A169,'BASE_558 EX'!$D:$R,11,FALSE),"")</f>
        <v xml:space="preserve">                0,00</v>
      </c>
      <c r="CA169" s="344">
        <f>IFERROR(IF(BASE_558!$P$14="RemOrdPla",(VLOOKUP(A169,BASE_558!D:R,14)/1000),(VLOOKUP(A169,BASE_558!D:R,13)/1000)),"")</f>
        <v>0</v>
      </c>
      <c r="CB169" s="344" t="str">
        <f>IFERROR(VLOOKUP($A169,'BASE_558 EX'!$D:$R,15,FALSE),"")</f>
        <v xml:space="preserve">                0,00</v>
      </c>
      <c r="CC169" s="442"/>
      <c r="CD169" s="442">
        <f t="shared" si="38"/>
        <v>0</v>
      </c>
    </row>
    <row r="170" spans="1:82" s="23" customFormat="1" ht="25.5" customHeight="1">
      <c r="A170" s="309" t="s">
        <v>2058</v>
      </c>
      <c r="B170" s="309"/>
      <c r="C170" s="187">
        <v>45020</v>
      </c>
      <c r="D170" s="381" t="s">
        <v>481</v>
      </c>
      <c r="E170" s="381" t="s">
        <v>2485</v>
      </c>
      <c r="F170" s="309" t="s">
        <v>179</v>
      </c>
      <c r="G170" s="406" t="s">
        <v>2565</v>
      </c>
      <c r="H170" s="339" t="s">
        <v>614</v>
      </c>
      <c r="I170" s="6" t="s">
        <v>463</v>
      </c>
      <c r="J170" s="83" t="s">
        <v>219</v>
      </c>
      <c r="K170" s="152" t="s">
        <v>3274</v>
      </c>
      <c r="L170" s="206"/>
      <c r="M170" s="206"/>
      <c r="N170" s="206"/>
      <c r="O170" s="206">
        <v>0</v>
      </c>
      <c r="P170" s="206"/>
      <c r="Q170" s="206">
        <f t="shared" si="33"/>
        <v>0</v>
      </c>
      <c r="R170" s="206"/>
      <c r="S170" s="206"/>
      <c r="T170" s="223"/>
      <c r="U170" s="169">
        <f t="shared" si="34"/>
        <v>0</v>
      </c>
      <c r="V170" s="372">
        <v>0</v>
      </c>
      <c r="W170" s="343"/>
      <c r="X170" s="332">
        <f>SUMIFS(BASE_EX!$J:$J,BASE_EX!$B:$B,'Direct Charge'!$A170,BASE_EX!$C:$C,"janeiro")</f>
        <v>0</v>
      </c>
      <c r="Y170" s="373"/>
      <c r="Z170" s="372">
        <v>0</v>
      </c>
      <c r="AA170" s="343"/>
      <c r="AB170" s="332">
        <f>SUMIFS(BASE_EX!$J:$J,BASE_EX!$B:$B,'Direct Charge'!$A170,BASE_EX!$C:$C,"fevereiro")</f>
        <v>0</v>
      </c>
      <c r="AC170" s="373"/>
      <c r="AD170" s="372"/>
      <c r="AE170" s="343"/>
      <c r="AF170" s="332">
        <f>SUMIFS(BASE_EX!$J:$J,BASE_EX!$B:$B,'Direct Charge'!$A170,BASE_EX!$C:$C,"março")</f>
        <v>0</v>
      </c>
      <c r="AG170" s="373"/>
      <c r="AH170" s="372"/>
      <c r="AI170" s="343"/>
      <c r="AJ170" s="332">
        <f>SUMIFS(BASE_EX!$J:$J,BASE_EX!$B:$B,'Direct Charge'!$A170,BASE_EX!$C:$C,"abril")</f>
        <v>0</v>
      </c>
      <c r="AK170" s="373"/>
      <c r="AL170" s="372"/>
      <c r="AM170" s="343"/>
      <c r="AN170" s="332">
        <f>SUMIFS(BASE_EX!$J:$J,BASE_EX!$B:$B,'Direct Charge'!$A170,BASE_EX!$C:$C,"maio")</f>
        <v>0</v>
      </c>
      <c r="AO170" s="373"/>
      <c r="AP170" s="372"/>
      <c r="AQ170" s="343"/>
      <c r="AR170" s="332">
        <f>SUMIFS(BASE_EX!$J:$J,BASE_EX!$B:$B,'Direct Charge'!$A170,BASE_EX!$C:$C,"junho")</f>
        <v>0</v>
      </c>
      <c r="AS170" s="373"/>
      <c r="AT170" s="372"/>
      <c r="AU170" s="343"/>
      <c r="AV170" s="332">
        <f>SUMIFS(BASE_EX!$J:$J,BASE_EX!$B:$B,'Direct Charge'!$A170,BASE_EX!$C:$C,"julho")</f>
        <v>0</v>
      </c>
      <c r="AW170" s="373"/>
      <c r="AX170" s="372"/>
      <c r="AY170" s="343"/>
      <c r="AZ170" s="332">
        <f>SUMIFS(BASE_EX!$J:$J,BASE_EX!$B:$B,'Direct Charge'!$A170,BASE_EX!$C:$C,"agosto")</f>
        <v>0</v>
      </c>
      <c r="BA170" s="373"/>
      <c r="BB170" s="372"/>
      <c r="BC170" s="343"/>
      <c r="BD170" s="332">
        <f>SUMIFS(BASE_EX!$J:$J,BASE_EX!$B:$B,'Direct Charge'!$A170,BASE_EX!$C:$C,"setembro")</f>
        <v>0</v>
      </c>
      <c r="BE170" s="373"/>
      <c r="BF170" s="372"/>
      <c r="BG170" s="343"/>
      <c r="BH170" s="332">
        <f>SUMIFS(BASE_EX!$J:$J,BASE_EX!$B:$B,'Direct Charge'!$A170,BASE_EX!$C:$C,"outubro")</f>
        <v>0</v>
      </c>
      <c r="BI170" s="373"/>
      <c r="BJ170" s="372"/>
      <c r="BK170" s="343"/>
      <c r="BL170" s="332">
        <f>SUMIFS(BASE_EX!$J:$J,BASE_EX!$B:$B,'Direct Charge'!$A170,BASE_EX!$C:$C,"novembro")</f>
        <v>0</v>
      </c>
      <c r="BM170" s="373"/>
      <c r="BN170" s="372"/>
      <c r="BO170" s="343"/>
      <c r="BP170" s="332">
        <f>SUMIFS(BASE_EX!$J:$J,BASE_EX!$B:$B,'Direct Charge'!$A170,BASE_EX!$C:$C,"dezembro")</f>
        <v>0</v>
      </c>
      <c r="BQ170" s="373"/>
      <c r="BR170" s="452"/>
      <c r="BS170" s="156">
        <f t="shared" si="35"/>
        <v>0</v>
      </c>
      <c r="BT170" s="320">
        <f t="shared" si="36"/>
        <v>0</v>
      </c>
      <c r="BU170" s="157" t="e">
        <f>SUM(L170,M170,N170,O170,U170)-#REF!</f>
        <v>#REF!</v>
      </c>
      <c r="BV170" s="346">
        <f t="shared" si="37"/>
        <v>0</v>
      </c>
      <c r="BW170" s="344" t="str">
        <f>IFERROR(VLOOKUP($A170,'BASE_558 EX'!$D:$R,8,FALSE),"")</f>
        <v xml:space="preserve">           21.500,00</v>
      </c>
      <c r="BX170" s="344" t="str">
        <f>IFERROR(VLOOKUP($A170,'BASE_558 EX'!$D:$R,9,FALSE),"")</f>
        <v xml:space="preserve">                0,00</v>
      </c>
      <c r="BY170" s="344" t="str">
        <f>IFERROR(VLOOKUP($A170,'BASE_558 EX'!$D:$R,10,FALSE),"")</f>
        <v xml:space="preserve">                0,00</v>
      </c>
      <c r="BZ170" s="344" t="str">
        <f>IFERROR(VLOOKUP($A170,'BASE_558 EX'!$D:$R,11,FALSE),"")</f>
        <v xml:space="preserve">                0,00</v>
      </c>
      <c r="CA170" s="344">
        <f>IFERROR(IF(BASE_558!$P$14="RemOrdPla",(VLOOKUP(A170,BASE_558!D:R,14)/1000),(VLOOKUP(A170,BASE_558!D:R,13)/1000)),"")</f>
        <v>155.52195999999998</v>
      </c>
      <c r="CB170" s="344" t="str">
        <f>IFERROR(VLOOKUP($A170,'BASE_558 EX'!$D:$R,15,FALSE),"")</f>
        <v xml:space="preserve">           21.500,00</v>
      </c>
      <c r="CC170" s="442"/>
      <c r="CD170" s="442">
        <f t="shared" si="38"/>
        <v>0</v>
      </c>
    </row>
    <row r="171" spans="1:82" s="23" customFormat="1" ht="25.5" customHeight="1">
      <c r="A171" s="309" t="s">
        <v>2161</v>
      </c>
      <c r="B171" s="309"/>
      <c r="C171" s="187">
        <v>45058</v>
      </c>
      <c r="D171" s="381" t="s">
        <v>2863</v>
      </c>
      <c r="E171" s="381" t="s">
        <v>1707</v>
      </c>
      <c r="F171" s="309" t="s">
        <v>176</v>
      </c>
      <c r="G171" s="340" t="s">
        <v>2877</v>
      </c>
      <c r="H171" s="339" t="s">
        <v>8878</v>
      </c>
      <c r="I171" s="6" t="s">
        <v>218</v>
      </c>
      <c r="J171" s="83" t="s">
        <v>462</v>
      </c>
      <c r="K171" s="470" t="s">
        <v>2669</v>
      </c>
      <c r="L171" s="206"/>
      <c r="M171" s="206"/>
      <c r="N171" s="206"/>
      <c r="O171" s="206">
        <v>18698.64</v>
      </c>
      <c r="P171" s="206">
        <v>7156.37</v>
      </c>
      <c r="Q171" s="206">
        <f t="shared" si="33"/>
        <v>0</v>
      </c>
      <c r="R171" s="206"/>
      <c r="S171" s="206"/>
      <c r="T171" s="223"/>
      <c r="U171" s="169">
        <f t="shared" si="34"/>
        <v>0</v>
      </c>
      <c r="V171" s="372">
        <v>0</v>
      </c>
      <c r="W171" s="343"/>
      <c r="X171" s="332">
        <f>SUMIFS(BASE_EX!$J:$J,BASE_EX!$B:$B,'Direct Charge'!$A171,BASE_EX!$C:$C,"janeiro")</f>
        <v>0</v>
      </c>
      <c r="Y171" s="373"/>
      <c r="Z171" s="372">
        <v>0</v>
      </c>
      <c r="AA171" s="343"/>
      <c r="AB171" s="332">
        <f>SUMIFS(BASE_EX!$J:$J,BASE_EX!$B:$B,'Direct Charge'!$A171,BASE_EX!$C:$C,"fevereiro")</f>
        <v>0</v>
      </c>
      <c r="AC171" s="373"/>
      <c r="AD171" s="372"/>
      <c r="AE171" s="343"/>
      <c r="AF171" s="332">
        <f>SUMIFS(BASE_EX!$J:$J,BASE_EX!$B:$B,'Direct Charge'!$A171,BASE_EX!$C:$C,"março")</f>
        <v>0</v>
      </c>
      <c r="AG171" s="373"/>
      <c r="AH171" s="372"/>
      <c r="AI171" s="343"/>
      <c r="AJ171" s="332">
        <f>SUMIFS(BASE_EX!$J:$J,BASE_EX!$B:$B,'Direct Charge'!$A171,BASE_EX!$C:$C,"abril")</f>
        <v>0</v>
      </c>
      <c r="AK171" s="373"/>
      <c r="AL171" s="372"/>
      <c r="AM171" s="343"/>
      <c r="AN171" s="332">
        <f>SUMIFS(BASE_EX!$J:$J,BASE_EX!$B:$B,'Direct Charge'!$A171,BASE_EX!$C:$C,"maio")</f>
        <v>0</v>
      </c>
      <c r="AO171" s="373"/>
      <c r="AP171" s="372"/>
      <c r="AQ171" s="343"/>
      <c r="AR171" s="332">
        <f>SUMIFS(BASE_EX!$J:$J,BASE_EX!$B:$B,'Direct Charge'!$A171,BASE_EX!$C:$C,"junho")</f>
        <v>0</v>
      </c>
      <c r="AS171" s="373"/>
      <c r="AT171" s="372"/>
      <c r="AU171" s="343"/>
      <c r="AV171" s="332">
        <f>SUMIFS(BASE_EX!$J:$J,BASE_EX!$B:$B,'Direct Charge'!$A171,BASE_EX!$C:$C,"julho")</f>
        <v>0</v>
      </c>
      <c r="AW171" s="373"/>
      <c r="AX171" s="372"/>
      <c r="AY171" s="343"/>
      <c r="AZ171" s="332">
        <f>SUMIFS(BASE_EX!$J:$J,BASE_EX!$B:$B,'Direct Charge'!$A171,BASE_EX!$C:$C,"agosto")</f>
        <v>0</v>
      </c>
      <c r="BA171" s="373"/>
      <c r="BB171" s="372"/>
      <c r="BC171" s="343"/>
      <c r="BD171" s="332">
        <f>SUMIFS(BASE_EX!$J:$J,BASE_EX!$B:$B,'Direct Charge'!$A171,BASE_EX!$C:$C,"setembro")</f>
        <v>0</v>
      </c>
      <c r="BE171" s="373"/>
      <c r="BF171" s="372"/>
      <c r="BG171" s="343"/>
      <c r="BH171" s="332">
        <f>SUMIFS(BASE_EX!$J:$J,BASE_EX!$B:$B,'Direct Charge'!$A171,BASE_EX!$C:$C,"outubro")</f>
        <v>0</v>
      </c>
      <c r="BI171" s="373"/>
      <c r="BJ171" s="372"/>
      <c r="BK171" s="343"/>
      <c r="BL171" s="332">
        <f>SUMIFS(BASE_EX!$J:$J,BASE_EX!$B:$B,'Direct Charge'!$A171,BASE_EX!$C:$C,"novembro")</f>
        <v>0</v>
      </c>
      <c r="BM171" s="373"/>
      <c r="BN171" s="372"/>
      <c r="BO171" s="343"/>
      <c r="BP171" s="332">
        <f>SUMIFS(BASE_EX!$J:$J,BASE_EX!$B:$B,'Direct Charge'!$A171,BASE_EX!$C:$C,"dezembro")</f>
        <v>0</v>
      </c>
      <c r="BQ171" s="373"/>
      <c r="BR171" s="452"/>
      <c r="BS171" s="156">
        <f t="shared" si="35"/>
        <v>0</v>
      </c>
      <c r="BT171" s="320">
        <f t="shared" si="36"/>
        <v>0</v>
      </c>
      <c r="BU171" s="157" t="e">
        <f>SUM(L171,M171,N171,O171,U171)-#REF!</f>
        <v>#REF!</v>
      </c>
      <c r="BV171" s="346">
        <f t="shared" si="37"/>
        <v>0</v>
      </c>
      <c r="BW171" s="344" t="str">
        <f>IFERROR(VLOOKUP($A171,'BASE_558 EX'!$D:$R,8,FALSE),"")</f>
        <v/>
      </c>
      <c r="BX171" s="344" t="str">
        <f>IFERROR(VLOOKUP($A171,'BASE_558 EX'!$D:$R,9,FALSE),"")</f>
        <v/>
      </c>
      <c r="BY171" s="344" t="str">
        <f>IFERROR(VLOOKUP($A171,'BASE_558 EX'!$D:$R,10,FALSE),"")</f>
        <v/>
      </c>
      <c r="BZ171" s="344" t="str">
        <f>IFERROR(VLOOKUP($A171,'BASE_558 EX'!$D:$R,11,FALSE),"")</f>
        <v/>
      </c>
      <c r="CA171" s="344">
        <f>IFERROR(IF(BASE_558!$P$14="RemOrdPla",(VLOOKUP(A171,BASE_558!D:R,14)/1000),(VLOOKUP(A171,BASE_558!D:R,13)/1000)),"")</f>
        <v>146.21357999999998</v>
      </c>
      <c r="CB171" s="344" t="str">
        <f>IFERROR(VLOOKUP($A171,'BASE_558 EX'!$D:$R,15,FALSE),"")</f>
        <v/>
      </c>
      <c r="CC171" s="442"/>
      <c r="CD171" s="442">
        <f t="shared" si="38"/>
        <v>0</v>
      </c>
    </row>
    <row r="172" spans="1:82" s="23" customFormat="1" ht="25.5" customHeight="1">
      <c r="A172" s="309" t="s">
        <v>2059</v>
      </c>
      <c r="B172" s="309"/>
      <c r="C172" s="187">
        <v>45265</v>
      </c>
      <c r="D172" s="381" t="s">
        <v>1125</v>
      </c>
      <c r="E172" s="309" t="s">
        <v>1125</v>
      </c>
      <c r="F172" s="309" t="s">
        <v>176</v>
      </c>
      <c r="G172" s="340" t="s">
        <v>2061</v>
      </c>
      <c r="H172" s="339" t="s">
        <v>614</v>
      </c>
      <c r="I172" s="6" t="s">
        <v>195</v>
      </c>
      <c r="J172" s="83" t="s">
        <v>219</v>
      </c>
      <c r="K172" s="46"/>
      <c r="L172" s="206"/>
      <c r="M172" s="206"/>
      <c r="N172" s="206"/>
      <c r="O172" s="206">
        <v>0</v>
      </c>
      <c r="P172" s="206"/>
      <c r="Q172" s="206">
        <f t="shared" si="33"/>
        <v>0</v>
      </c>
      <c r="R172" s="206"/>
      <c r="S172" s="206"/>
      <c r="T172" s="223"/>
      <c r="U172" s="169">
        <f t="shared" si="34"/>
        <v>0</v>
      </c>
      <c r="V172" s="372">
        <v>0</v>
      </c>
      <c r="W172" s="343"/>
      <c r="X172" s="332">
        <f>SUMIFS(BASE_EX!$J:$J,BASE_EX!$B:$B,'Direct Charge'!$A172,BASE_EX!$C:$C,"janeiro")</f>
        <v>0</v>
      </c>
      <c r="Y172" s="373"/>
      <c r="Z172" s="372">
        <v>0</v>
      </c>
      <c r="AA172" s="343"/>
      <c r="AB172" s="332">
        <f>SUMIFS(BASE_EX!$J:$J,BASE_EX!$B:$B,'Direct Charge'!$A172,BASE_EX!$C:$C,"fevereiro")</f>
        <v>0</v>
      </c>
      <c r="AC172" s="373"/>
      <c r="AD172" s="372"/>
      <c r="AE172" s="343"/>
      <c r="AF172" s="332">
        <f>SUMIFS(BASE_EX!$J:$J,BASE_EX!$B:$B,'Direct Charge'!$A172,BASE_EX!$C:$C,"março")</f>
        <v>0</v>
      </c>
      <c r="AG172" s="373"/>
      <c r="AH172" s="372"/>
      <c r="AI172" s="343"/>
      <c r="AJ172" s="332">
        <f>SUMIFS(BASE_EX!$J:$J,BASE_EX!$B:$B,'Direct Charge'!$A172,BASE_EX!$C:$C,"abril")</f>
        <v>0</v>
      </c>
      <c r="AK172" s="373"/>
      <c r="AL172" s="372"/>
      <c r="AM172" s="343"/>
      <c r="AN172" s="332">
        <f>SUMIFS(BASE_EX!$J:$J,BASE_EX!$B:$B,'Direct Charge'!$A172,BASE_EX!$C:$C,"maio")</f>
        <v>0</v>
      </c>
      <c r="AO172" s="373"/>
      <c r="AP172" s="372"/>
      <c r="AQ172" s="343"/>
      <c r="AR172" s="332">
        <f>SUMIFS(BASE_EX!$J:$J,BASE_EX!$B:$B,'Direct Charge'!$A172,BASE_EX!$C:$C,"junho")</f>
        <v>0</v>
      </c>
      <c r="AS172" s="373"/>
      <c r="AT172" s="372"/>
      <c r="AU172" s="343"/>
      <c r="AV172" s="332">
        <f>SUMIFS(BASE_EX!$J:$J,BASE_EX!$B:$B,'Direct Charge'!$A172,BASE_EX!$C:$C,"julho")</f>
        <v>0</v>
      </c>
      <c r="AW172" s="373"/>
      <c r="AX172" s="372"/>
      <c r="AY172" s="343"/>
      <c r="AZ172" s="332">
        <f>SUMIFS(BASE_EX!$J:$J,BASE_EX!$B:$B,'Direct Charge'!$A172,BASE_EX!$C:$C,"agosto")</f>
        <v>0</v>
      </c>
      <c r="BA172" s="373"/>
      <c r="BB172" s="372"/>
      <c r="BC172" s="343"/>
      <c r="BD172" s="332">
        <f>SUMIFS(BASE_EX!$J:$J,BASE_EX!$B:$B,'Direct Charge'!$A172,BASE_EX!$C:$C,"setembro")</f>
        <v>0</v>
      </c>
      <c r="BE172" s="373"/>
      <c r="BF172" s="372"/>
      <c r="BG172" s="343"/>
      <c r="BH172" s="332">
        <f>SUMIFS(BASE_EX!$J:$J,BASE_EX!$B:$B,'Direct Charge'!$A172,BASE_EX!$C:$C,"outubro")</f>
        <v>0</v>
      </c>
      <c r="BI172" s="373"/>
      <c r="BJ172" s="372"/>
      <c r="BK172" s="343"/>
      <c r="BL172" s="332">
        <f>SUMIFS(BASE_EX!$J:$J,BASE_EX!$B:$B,'Direct Charge'!$A172,BASE_EX!$C:$C,"novembro")</f>
        <v>0</v>
      </c>
      <c r="BM172" s="373"/>
      <c r="BN172" s="372"/>
      <c r="BO172" s="343"/>
      <c r="BP172" s="332">
        <f>SUMIFS(BASE_EX!$J:$J,BASE_EX!$B:$B,'Direct Charge'!$A172,BASE_EX!$C:$C,"dezembro")</f>
        <v>0</v>
      </c>
      <c r="BQ172" s="373"/>
      <c r="BR172" s="452"/>
      <c r="BS172" s="156">
        <f t="shared" si="35"/>
        <v>0</v>
      </c>
      <c r="BT172" s="320">
        <f t="shared" si="36"/>
        <v>0</v>
      </c>
      <c r="BU172" s="157" t="e">
        <f>SUM(L172,M172,N172,O172,U172)-#REF!</f>
        <v>#REF!</v>
      </c>
      <c r="BV172" s="346">
        <f t="shared" si="37"/>
        <v>0</v>
      </c>
      <c r="BW172" s="344" t="str">
        <f>IFERROR(VLOOKUP($A172,'BASE_558 EX'!$D:$R,8,FALSE),"")</f>
        <v xml:space="preserve">            6.000,00</v>
      </c>
      <c r="BX172" s="344" t="str">
        <f>IFERROR(VLOOKUP($A172,'BASE_558 EX'!$D:$R,9,FALSE),"")</f>
        <v xml:space="preserve">                0,00</v>
      </c>
      <c r="BY172" s="344" t="str">
        <f>IFERROR(VLOOKUP($A172,'BASE_558 EX'!$D:$R,10,FALSE),"")</f>
        <v xml:space="preserve">                0,00</v>
      </c>
      <c r="BZ172" s="344" t="str">
        <f>IFERROR(VLOOKUP($A172,'BASE_558 EX'!$D:$R,11,FALSE),"")</f>
        <v xml:space="preserve">                0,00</v>
      </c>
      <c r="CA172" s="344">
        <f>IFERROR(IF(BASE_558!$P$14="RemOrdPla",(VLOOKUP(A172,BASE_558!D:R,14)/1000),(VLOOKUP(A172,BASE_558!D:R,13)/1000)),"")</f>
        <v>102.31413000000001</v>
      </c>
      <c r="CB172" s="344" t="str">
        <f>IFERROR(VLOOKUP($A172,'BASE_558 EX'!$D:$R,15,FALSE),"")</f>
        <v xml:space="preserve">            6.000,00</v>
      </c>
      <c r="CC172" s="442"/>
      <c r="CD172" s="442">
        <f t="shared" si="38"/>
        <v>0</v>
      </c>
    </row>
    <row r="173" spans="1:82" s="23" customFormat="1" ht="25.5" customHeight="1">
      <c r="A173" s="309" t="s">
        <v>2068</v>
      </c>
      <c r="B173" s="309"/>
      <c r="C173" s="187">
        <v>45063</v>
      </c>
      <c r="D173" s="381" t="s">
        <v>481</v>
      </c>
      <c r="E173" s="381" t="s">
        <v>2485</v>
      </c>
      <c r="F173" s="309" t="s">
        <v>178</v>
      </c>
      <c r="G173" s="340" t="s">
        <v>3275</v>
      </c>
      <c r="H173" s="339" t="s">
        <v>614</v>
      </c>
      <c r="I173" s="6" t="s">
        <v>463</v>
      </c>
      <c r="J173" s="83" t="s">
        <v>219</v>
      </c>
      <c r="K173" s="358" t="s">
        <v>2597</v>
      </c>
      <c r="L173" s="206"/>
      <c r="M173" s="206"/>
      <c r="N173" s="206"/>
      <c r="O173" s="206">
        <v>0</v>
      </c>
      <c r="P173" s="206"/>
      <c r="Q173" s="206">
        <f t="shared" si="33"/>
        <v>0</v>
      </c>
      <c r="R173" s="206"/>
      <c r="S173" s="206"/>
      <c r="T173" s="223"/>
      <c r="U173" s="169">
        <f t="shared" si="34"/>
        <v>0</v>
      </c>
      <c r="V173" s="372">
        <v>0</v>
      </c>
      <c r="W173" s="343"/>
      <c r="X173" s="332">
        <f>SUMIFS(BASE_EX!$J:$J,BASE_EX!$B:$B,'Direct Charge'!$A173,BASE_EX!$C:$C,"janeiro")</f>
        <v>0</v>
      </c>
      <c r="Y173" s="373"/>
      <c r="Z173" s="372">
        <v>0</v>
      </c>
      <c r="AA173" s="343"/>
      <c r="AB173" s="332">
        <f>SUMIFS(BASE_EX!$J:$J,BASE_EX!$B:$B,'Direct Charge'!$A173,BASE_EX!$C:$C,"fevereiro")</f>
        <v>0</v>
      </c>
      <c r="AC173" s="373"/>
      <c r="AD173" s="372"/>
      <c r="AE173" s="343"/>
      <c r="AF173" s="332">
        <f>SUMIFS(BASE_EX!$J:$J,BASE_EX!$B:$B,'Direct Charge'!$A173,BASE_EX!$C:$C,"março")</f>
        <v>0</v>
      </c>
      <c r="AG173" s="373"/>
      <c r="AH173" s="372"/>
      <c r="AI173" s="343"/>
      <c r="AJ173" s="332">
        <f>SUMIFS(BASE_EX!$J:$J,BASE_EX!$B:$B,'Direct Charge'!$A173,BASE_EX!$C:$C,"abril")</f>
        <v>0</v>
      </c>
      <c r="AK173" s="373"/>
      <c r="AL173" s="372"/>
      <c r="AM173" s="343"/>
      <c r="AN173" s="332">
        <f>SUMIFS(BASE_EX!$J:$J,BASE_EX!$B:$B,'Direct Charge'!$A173,BASE_EX!$C:$C,"maio")</f>
        <v>0</v>
      </c>
      <c r="AO173" s="373"/>
      <c r="AP173" s="372"/>
      <c r="AQ173" s="343"/>
      <c r="AR173" s="332">
        <f>SUMIFS(BASE_EX!$J:$J,BASE_EX!$B:$B,'Direct Charge'!$A173,BASE_EX!$C:$C,"junho")</f>
        <v>0</v>
      </c>
      <c r="AS173" s="373"/>
      <c r="AT173" s="372"/>
      <c r="AU173" s="343"/>
      <c r="AV173" s="332">
        <f>SUMIFS(BASE_EX!$J:$J,BASE_EX!$B:$B,'Direct Charge'!$A173,BASE_EX!$C:$C,"julho")</f>
        <v>0</v>
      </c>
      <c r="AW173" s="373"/>
      <c r="AX173" s="372"/>
      <c r="AY173" s="343"/>
      <c r="AZ173" s="332">
        <f>SUMIFS(BASE_EX!$J:$J,BASE_EX!$B:$B,'Direct Charge'!$A173,BASE_EX!$C:$C,"agosto")</f>
        <v>0</v>
      </c>
      <c r="BA173" s="373"/>
      <c r="BB173" s="372"/>
      <c r="BC173" s="343"/>
      <c r="BD173" s="332">
        <f>SUMIFS(BASE_EX!$J:$J,BASE_EX!$B:$B,'Direct Charge'!$A173,BASE_EX!$C:$C,"setembro")</f>
        <v>0</v>
      </c>
      <c r="BE173" s="373"/>
      <c r="BF173" s="372"/>
      <c r="BG173" s="343"/>
      <c r="BH173" s="332">
        <f>SUMIFS(BASE_EX!$J:$J,BASE_EX!$B:$B,'Direct Charge'!$A173,BASE_EX!$C:$C,"outubro")</f>
        <v>0</v>
      </c>
      <c r="BI173" s="373"/>
      <c r="BJ173" s="372"/>
      <c r="BK173" s="343"/>
      <c r="BL173" s="332">
        <f>SUMIFS(BASE_EX!$J:$J,BASE_EX!$B:$B,'Direct Charge'!$A173,BASE_EX!$C:$C,"novembro")</f>
        <v>0</v>
      </c>
      <c r="BM173" s="373"/>
      <c r="BN173" s="372"/>
      <c r="BO173" s="343"/>
      <c r="BP173" s="332">
        <f>SUMIFS(BASE_EX!$J:$J,BASE_EX!$B:$B,'Direct Charge'!$A173,BASE_EX!$C:$C,"dezembro")</f>
        <v>0</v>
      </c>
      <c r="BQ173" s="373"/>
      <c r="BR173" s="452"/>
      <c r="BS173" s="156">
        <f t="shared" si="35"/>
        <v>0</v>
      </c>
      <c r="BT173" s="320">
        <f t="shared" si="36"/>
        <v>0</v>
      </c>
      <c r="BU173" s="157" t="e">
        <f>SUM(L173,M173,N173,O173,U173)-#REF!</f>
        <v>#REF!</v>
      </c>
      <c r="BV173" s="346">
        <f t="shared" si="37"/>
        <v>0</v>
      </c>
      <c r="BW173" s="344" t="str">
        <f>IFERROR(VLOOKUP($A173,'BASE_558 EX'!$D:$R,8,FALSE),"")</f>
        <v xml:space="preserve">           18.700,00</v>
      </c>
      <c r="BX173" s="344" t="str">
        <f>IFERROR(VLOOKUP($A173,'BASE_558 EX'!$D:$R,9,FALSE),"")</f>
        <v xml:space="preserve">                0,00</v>
      </c>
      <c r="BY173" s="344" t="str">
        <f>IFERROR(VLOOKUP($A173,'BASE_558 EX'!$D:$R,10,FALSE),"")</f>
        <v xml:space="preserve">                0,00</v>
      </c>
      <c r="BZ173" s="344" t="str">
        <f>IFERROR(VLOOKUP($A173,'BASE_558 EX'!$D:$R,11,FALSE),"")</f>
        <v xml:space="preserve">                0,00</v>
      </c>
      <c r="CA173" s="344">
        <f>IFERROR(IF(BASE_558!$P$14="RemOrdPla",(VLOOKUP(A173,BASE_558!D:R,14)/1000),(VLOOKUP(A173,BASE_558!D:R,13)/1000)),"")</f>
        <v>0</v>
      </c>
      <c r="CB173" s="344" t="str">
        <f>IFERROR(VLOOKUP($A173,'BASE_558 EX'!$D:$R,15,FALSE),"")</f>
        <v xml:space="preserve">           18.700,00</v>
      </c>
      <c r="CC173" s="442"/>
      <c r="CD173" s="442">
        <f t="shared" si="38"/>
        <v>0</v>
      </c>
    </row>
    <row r="174" spans="1:82" s="23" customFormat="1" ht="25.5" customHeight="1">
      <c r="A174" s="309" t="s">
        <v>2120</v>
      </c>
      <c r="B174" s="309"/>
      <c r="C174" s="187">
        <v>45093</v>
      </c>
      <c r="D174" s="381" t="s">
        <v>1125</v>
      </c>
      <c r="E174" s="381" t="s">
        <v>17007</v>
      </c>
      <c r="F174" s="309" t="s">
        <v>176</v>
      </c>
      <c r="G174" s="340" t="s">
        <v>3276</v>
      </c>
      <c r="H174" s="339" t="s">
        <v>614</v>
      </c>
      <c r="I174" s="6" t="s">
        <v>195</v>
      </c>
      <c r="J174" s="83" t="s">
        <v>219</v>
      </c>
      <c r="K174" s="46" t="s">
        <v>2591</v>
      </c>
      <c r="L174" s="206"/>
      <c r="M174" s="206"/>
      <c r="N174" s="206"/>
      <c r="O174" s="206">
        <v>0</v>
      </c>
      <c r="P174" s="206"/>
      <c r="Q174" s="206">
        <f t="shared" si="33"/>
        <v>0</v>
      </c>
      <c r="R174" s="206"/>
      <c r="S174" s="206"/>
      <c r="T174" s="223"/>
      <c r="U174" s="169">
        <f t="shared" si="34"/>
        <v>0</v>
      </c>
      <c r="V174" s="372">
        <v>0</v>
      </c>
      <c r="W174" s="343"/>
      <c r="X174" s="332">
        <f>SUMIFS(BASE_EX!$J:$J,BASE_EX!$B:$B,'Direct Charge'!$A174,BASE_EX!$C:$C,"janeiro")</f>
        <v>0</v>
      </c>
      <c r="Y174" s="373"/>
      <c r="Z174" s="372">
        <v>0</v>
      </c>
      <c r="AA174" s="343"/>
      <c r="AB174" s="332">
        <f>SUMIFS(BASE_EX!$J:$J,BASE_EX!$B:$B,'Direct Charge'!$A174,BASE_EX!$C:$C,"fevereiro")</f>
        <v>0</v>
      </c>
      <c r="AC174" s="373"/>
      <c r="AD174" s="372"/>
      <c r="AE174" s="343"/>
      <c r="AF174" s="332">
        <f>SUMIFS(BASE_EX!$J:$J,BASE_EX!$B:$B,'Direct Charge'!$A174,BASE_EX!$C:$C,"março")</f>
        <v>0</v>
      </c>
      <c r="AG174" s="373"/>
      <c r="AH174" s="372"/>
      <c r="AI174" s="343"/>
      <c r="AJ174" s="332">
        <f>SUMIFS(BASE_EX!$J:$J,BASE_EX!$B:$B,'Direct Charge'!$A174,BASE_EX!$C:$C,"abril")</f>
        <v>0</v>
      </c>
      <c r="AK174" s="373"/>
      <c r="AL174" s="372"/>
      <c r="AM174" s="343"/>
      <c r="AN174" s="332">
        <f>SUMIFS(BASE_EX!$J:$J,BASE_EX!$B:$B,'Direct Charge'!$A174,BASE_EX!$C:$C,"maio")</f>
        <v>0</v>
      </c>
      <c r="AO174" s="373"/>
      <c r="AP174" s="372"/>
      <c r="AQ174" s="343"/>
      <c r="AR174" s="332">
        <f>SUMIFS(BASE_EX!$J:$J,BASE_EX!$B:$B,'Direct Charge'!$A174,BASE_EX!$C:$C,"junho")</f>
        <v>0</v>
      </c>
      <c r="AS174" s="373"/>
      <c r="AT174" s="372"/>
      <c r="AU174" s="343"/>
      <c r="AV174" s="332">
        <f>SUMIFS(BASE_EX!$J:$J,BASE_EX!$B:$B,'Direct Charge'!$A174,BASE_EX!$C:$C,"julho")</f>
        <v>0</v>
      </c>
      <c r="AW174" s="373"/>
      <c r="AX174" s="372"/>
      <c r="AY174" s="343"/>
      <c r="AZ174" s="332">
        <f>SUMIFS(BASE_EX!$J:$J,BASE_EX!$B:$B,'Direct Charge'!$A174,BASE_EX!$C:$C,"agosto")</f>
        <v>0</v>
      </c>
      <c r="BA174" s="373"/>
      <c r="BB174" s="372"/>
      <c r="BC174" s="343"/>
      <c r="BD174" s="332">
        <f>SUMIFS(BASE_EX!$J:$J,BASE_EX!$B:$B,'Direct Charge'!$A174,BASE_EX!$C:$C,"setembro")</f>
        <v>0</v>
      </c>
      <c r="BE174" s="373"/>
      <c r="BF174" s="372"/>
      <c r="BG174" s="343"/>
      <c r="BH174" s="332">
        <f>SUMIFS(BASE_EX!$J:$J,BASE_EX!$B:$B,'Direct Charge'!$A174,BASE_EX!$C:$C,"outubro")</f>
        <v>0</v>
      </c>
      <c r="BI174" s="373"/>
      <c r="BJ174" s="372"/>
      <c r="BK174" s="343"/>
      <c r="BL174" s="332">
        <f>SUMIFS(BASE_EX!$J:$J,BASE_EX!$B:$B,'Direct Charge'!$A174,BASE_EX!$C:$C,"novembro")</f>
        <v>0</v>
      </c>
      <c r="BM174" s="373"/>
      <c r="BN174" s="372"/>
      <c r="BO174" s="343"/>
      <c r="BP174" s="332">
        <f>SUMIFS(BASE_EX!$J:$J,BASE_EX!$B:$B,'Direct Charge'!$A174,BASE_EX!$C:$C,"dezembro")</f>
        <v>0</v>
      </c>
      <c r="BQ174" s="373"/>
      <c r="BR174" s="452">
        <v>5000</v>
      </c>
      <c r="BS174" s="156">
        <f t="shared" si="35"/>
        <v>0</v>
      </c>
      <c r="BT174" s="320">
        <f t="shared" si="36"/>
        <v>0</v>
      </c>
      <c r="BU174" s="157" t="e">
        <f>SUM(L174,M174,N174,O174,U174)-#REF!</f>
        <v>#REF!</v>
      </c>
      <c r="BV174" s="346">
        <f t="shared" si="37"/>
        <v>0</v>
      </c>
      <c r="BW174" s="344" t="str">
        <f>IFERROR(VLOOKUP($A174,'BASE_558 EX'!$D:$R,8,FALSE),"")</f>
        <v xml:space="preserve">           15.385,00</v>
      </c>
      <c r="BX174" s="344" t="str">
        <f>IFERROR(VLOOKUP($A174,'BASE_558 EX'!$D:$R,9,FALSE),"")</f>
        <v xml:space="preserve">                0,00</v>
      </c>
      <c r="BY174" s="344" t="str">
        <f>IFERROR(VLOOKUP($A174,'BASE_558 EX'!$D:$R,10,FALSE),"")</f>
        <v xml:space="preserve">                0,00</v>
      </c>
      <c r="BZ174" s="344" t="str">
        <f>IFERROR(VLOOKUP($A174,'BASE_558 EX'!$D:$R,11,FALSE),"")</f>
        <v xml:space="preserve">                0,00</v>
      </c>
      <c r="CA174" s="344">
        <f>IFERROR(IF(BASE_558!$P$14="RemOrdPla",(VLOOKUP(A174,BASE_558!D:R,14)/1000),(VLOOKUP(A174,BASE_558!D:R,13)/1000)),"")</f>
        <v>2.6176999999999997</v>
      </c>
      <c r="CB174" s="344" t="str">
        <f>IFERROR(VLOOKUP($A174,'BASE_558 EX'!$D:$R,15,FALSE),"")</f>
        <v xml:space="preserve">           15.385,00</v>
      </c>
      <c r="CC174" s="442"/>
      <c r="CD174" s="442">
        <f t="shared" si="38"/>
        <v>0</v>
      </c>
    </row>
    <row r="175" spans="1:82" s="23" customFormat="1" ht="25.5" customHeight="1">
      <c r="A175" s="309" t="s">
        <v>2121</v>
      </c>
      <c r="B175" s="309"/>
      <c r="C175" s="187">
        <v>45093</v>
      </c>
      <c r="D175" s="381" t="s">
        <v>1125</v>
      </c>
      <c r="E175" s="381" t="s">
        <v>17007</v>
      </c>
      <c r="F175" s="309" t="s">
        <v>176</v>
      </c>
      <c r="G175" s="340" t="s">
        <v>3277</v>
      </c>
      <c r="H175" s="339" t="s">
        <v>614</v>
      </c>
      <c r="I175" s="45" t="s">
        <v>195</v>
      </c>
      <c r="J175" s="125" t="s">
        <v>219</v>
      </c>
      <c r="K175" s="46" t="s">
        <v>2591</v>
      </c>
      <c r="L175" s="206"/>
      <c r="M175" s="206"/>
      <c r="N175" s="206"/>
      <c r="O175" s="206">
        <v>0</v>
      </c>
      <c r="P175" s="206"/>
      <c r="Q175" s="206">
        <f t="shared" si="33"/>
        <v>0</v>
      </c>
      <c r="R175" s="206"/>
      <c r="S175" s="206"/>
      <c r="T175" s="223"/>
      <c r="U175" s="169">
        <f t="shared" si="34"/>
        <v>0</v>
      </c>
      <c r="V175" s="372">
        <v>0</v>
      </c>
      <c r="W175" s="343"/>
      <c r="X175" s="332">
        <f>SUMIFS(BASE_EX!$J:$J,BASE_EX!$B:$B,'Direct Charge'!$A175,BASE_EX!$C:$C,"janeiro")</f>
        <v>0</v>
      </c>
      <c r="Y175" s="373"/>
      <c r="Z175" s="372">
        <v>0</v>
      </c>
      <c r="AA175" s="343"/>
      <c r="AB175" s="332">
        <f>SUMIFS(BASE_EX!$J:$J,BASE_EX!$B:$B,'Direct Charge'!$A175,BASE_EX!$C:$C,"fevereiro")</f>
        <v>0</v>
      </c>
      <c r="AC175" s="373"/>
      <c r="AD175" s="372"/>
      <c r="AE175" s="343"/>
      <c r="AF175" s="332">
        <f>SUMIFS(BASE_EX!$J:$J,BASE_EX!$B:$B,'Direct Charge'!$A175,BASE_EX!$C:$C,"março")</f>
        <v>0</v>
      </c>
      <c r="AG175" s="373"/>
      <c r="AH175" s="372"/>
      <c r="AI175" s="343"/>
      <c r="AJ175" s="332">
        <f>SUMIFS(BASE_EX!$J:$J,BASE_EX!$B:$B,'Direct Charge'!$A175,BASE_EX!$C:$C,"abril")</f>
        <v>0</v>
      </c>
      <c r="AK175" s="373"/>
      <c r="AL175" s="372"/>
      <c r="AM175" s="343"/>
      <c r="AN175" s="332">
        <f>SUMIFS(BASE_EX!$J:$J,BASE_EX!$B:$B,'Direct Charge'!$A175,BASE_EX!$C:$C,"maio")</f>
        <v>0</v>
      </c>
      <c r="AO175" s="373"/>
      <c r="AP175" s="372"/>
      <c r="AQ175" s="343"/>
      <c r="AR175" s="332">
        <f>SUMIFS(BASE_EX!$J:$J,BASE_EX!$B:$B,'Direct Charge'!$A175,BASE_EX!$C:$C,"junho")</f>
        <v>0</v>
      </c>
      <c r="AS175" s="373"/>
      <c r="AT175" s="372"/>
      <c r="AU175" s="343"/>
      <c r="AV175" s="332">
        <f>SUMIFS(BASE_EX!$J:$J,BASE_EX!$B:$B,'Direct Charge'!$A175,BASE_EX!$C:$C,"julho")</f>
        <v>0</v>
      </c>
      <c r="AW175" s="373"/>
      <c r="AX175" s="372"/>
      <c r="AY175" s="343"/>
      <c r="AZ175" s="332">
        <f>SUMIFS(BASE_EX!$J:$J,BASE_EX!$B:$B,'Direct Charge'!$A175,BASE_EX!$C:$C,"agosto")</f>
        <v>0</v>
      </c>
      <c r="BA175" s="373"/>
      <c r="BB175" s="372"/>
      <c r="BC175" s="343"/>
      <c r="BD175" s="332">
        <f>SUMIFS(BASE_EX!$J:$J,BASE_EX!$B:$B,'Direct Charge'!$A175,BASE_EX!$C:$C,"setembro")</f>
        <v>0</v>
      </c>
      <c r="BE175" s="373"/>
      <c r="BF175" s="372"/>
      <c r="BG175" s="343"/>
      <c r="BH175" s="332">
        <f>SUMIFS(BASE_EX!$J:$J,BASE_EX!$B:$B,'Direct Charge'!$A175,BASE_EX!$C:$C,"outubro")</f>
        <v>0</v>
      </c>
      <c r="BI175" s="373"/>
      <c r="BJ175" s="372"/>
      <c r="BK175" s="343"/>
      <c r="BL175" s="332">
        <f>SUMIFS(BASE_EX!$J:$J,BASE_EX!$B:$B,'Direct Charge'!$A175,BASE_EX!$C:$C,"novembro")</f>
        <v>0</v>
      </c>
      <c r="BM175" s="373"/>
      <c r="BN175" s="372"/>
      <c r="BO175" s="343"/>
      <c r="BP175" s="332">
        <f>SUMIFS(BASE_EX!$J:$J,BASE_EX!$B:$B,'Direct Charge'!$A175,BASE_EX!$C:$C,"dezembro")</f>
        <v>0</v>
      </c>
      <c r="BQ175" s="373"/>
      <c r="BR175" s="452">
        <v>5000</v>
      </c>
      <c r="BS175" s="156">
        <f t="shared" si="35"/>
        <v>0</v>
      </c>
      <c r="BT175" s="320">
        <f t="shared" si="36"/>
        <v>0</v>
      </c>
      <c r="BU175" s="157" t="e">
        <f>SUM(L175,M175,N175,O175,U175)-#REF!</f>
        <v>#REF!</v>
      </c>
      <c r="BV175" s="346">
        <f t="shared" si="37"/>
        <v>0</v>
      </c>
      <c r="BW175" s="344" t="str">
        <f>IFERROR(VLOOKUP($A175,'BASE_558 EX'!$D:$R,8,FALSE),"")</f>
        <v xml:space="preserve">           15.385,00</v>
      </c>
      <c r="BX175" s="344" t="str">
        <f>IFERROR(VLOOKUP($A175,'BASE_558 EX'!$D:$R,9,FALSE),"")</f>
        <v xml:space="preserve">                0,00</v>
      </c>
      <c r="BY175" s="344" t="str">
        <f>IFERROR(VLOOKUP($A175,'BASE_558 EX'!$D:$R,10,FALSE),"")</f>
        <v xml:space="preserve">                0,00</v>
      </c>
      <c r="BZ175" s="344" t="str">
        <f>IFERROR(VLOOKUP($A175,'BASE_558 EX'!$D:$R,11,FALSE),"")</f>
        <v xml:space="preserve">                0,00</v>
      </c>
      <c r="CA175" s="344">
        <f>IFERROR(IF(BASE_558!$P$14="RemOrdPla",(VLOOKUP(A175,BASE_558!D:R,14)/1000),(VLOOKUP(A175,BASE_558!D:R,13)/1000)),"")</f>
        <v>0</v>
      </c>
      <c r="CB175" s="344" t="str">
        <f>IFERROR(VLOOKUP($A175,'BASE_558 EX'!$D:$R,15,FALSE),"")</f>
        <v xml:space="preserve">           15.385,00</v>
      </c>
      <c r="CC175" s="442"/>
      <c r="CD175" s="442">
        <f t="shared" si="38"/>
        <v>0</v>
      </c>
    </row>
    <row r="176" spans="1:82" s="23" customFormat="1" ht="25.5" customHeight="1">
      <c r="A176" s="309" t="s">
        <v>2166</v>
      </c>
      <c r="B176" s="309"/>
      <c r="C176" s="187">
        <v>45112</v>
      </c>
      <c r="D176" s="381" t="s">
        <v>481</v>
      </c>
      <c r="E176" s="381" t="s">
        <v>2485</v>
      </c>
      <c r="F176" s="309" t="s">
        <v>178</v>
      </c>
      <c r="G176" s="340" t="s">
        <v>1985</v>
      </c>
      <c r="H176" s="339" t="s">
        <v>614</v>
      </c>
      <c r="I176" s="45" t="s">
        <v>195</v>
      </c>
      <c r="J176" s="125" t="s">
        <v>462</v>
      </c>
      <c r="K176" s="298" t="s">
        <v>2722</v>
      </c>
      <c r="L176" s="206"/>
      <c r="M176" s="206"/>
      <c r="N176" s="206"/>
      <c r="O176" s="206">
        <v>0</v>
      </c>
      <c r="P176" s="206">
        <v>130836.94</v>
      </c>
      <c r="Q176" s="206">
        <f t="shared" si="33"/>
        <v>11049.62</v>
      </c>
      <c r="R176" s="206"/>
      <c r="S176" s="206"/>
      <c r="T176" s="223"/>
      <c r="U176" s="169">
        <f t="shared" si="34"/>
        <v>11049.62</v>
      </c>
      <c r="V176" s="372">
        <v>11049.62</v>
      </c>
      <c r="W176" s="343">
        <v>11049.62</v>
      </c>
      <c r="X176" s="332">
        <f>SUMIFS(BASE_EX!$J:$J,BASE_EX!$B:$B,'Direct Charge'!$A176,BASE_EX!$C:$C,"janeiro")</f>
        <v>11049.62</v>
      </c>
      <c r="Y176" s="373">
        <v>11049.62</v>
      </c>
      <c r="Z176" s="372">
        <v>0</v>
      </c>
      <c r="AA176" s="343"/>
      <c r="AB176" s="332">
        <f>SUMIFS(BASE_EX!$J:$J,BASE_EX!$B:$B,'Direct Charge'!$A176,BASE_EX!$C:$C,"fevereiro")</f>
        <v>0</v>
      </c>
      <c r="AC176" s="373">
        <v>0</v>
      </c>
      <c r="AD176" s="372">
        <v>4467</v>
      </c>
      <c r="AE176" s="343"/>
      <c r="AF176" s="332">
        <f>SUMIFS(BASE_EX!$J:$J,BASE_EX!$B:$B,'Direct Charge'!$A176,BASE_EX!$C:$C,"março")</f>
        <v>0</v>
      </c>
      <c r="AG176" s="373">
        <v>0</v>
      </c>
      <c r="AH176" s="372"/>
      <c r="AI176" s="343"/>
      <c r="AJ176" s="332">
        <f>SUMIFS(BASE_EX!$J:$J,BASE_EX!$B:$B,'Direct Charge'!$A176,BASE_EX!$C:$C,"abril")</f>
        <v>0</v>
      </c>
      <c r="AK176" s="373"/>
      <c r="AL176" s="372"/>
      <c r="AM176" s="343"/>
      <c r="AN176" s="332">
        <f>SUMIFS(BASE_EX!$J:$J,BASE_EX!$B:$B,'Direct Charge'!$A176,BASE_EX!$C:$C,"maio")</f>
        <v>0</v>
      </c>
      <c r="AO176" s="373"/>
      <c r="AP176" s="372"/>
      <c r="AQ176" s="343"/>
      <c r="AR176" s="332">
        <f>SUMIFS(BASE_EX!$J:$J,BASE_EX!$B:$B,'Direct Charge'!$A176,BASE_EX!$C:$C,"junho")</f>
        <v>0</v>
      </c>
      <c r="AS176" s="373"/>
      <c r="AT176" s="372"/>
      <c r="AU176" s="343"/>
      <c r="AV176" s="332">
        <f>SUMIFS(BASE_EX!$J:$J,BASE_EX!$B:$B,'Direct Charge'!$A176,BASE_EX!$C:$C,"julho")</f>
        <v>0</v>
      </c>
      <c r="AW176" s="373"/>
      <c r="AX176" s="372"/>
      <c r="AY176" s="343"/>
      <c r="AZ176" s="332">
        <f>SUMIFS(BASE_EX!$J:$J,BASE_EX!$B:$B,'Direct Charge'!$A176,BASE_EX!$C:$C,"agosto")</f>
        <v>0</v>
      </c>
      <c r="BA176" s="373"/>
      <c r="BB176" s="372"/>
      <c r="BC176" s="343"/>
      <c r="BD176" s="332">
        <f>SUMIFS(BASE_EX!$J:$J,BASE_EX!$B:$B,'Direct Charge'!$A176,BASE_EX!$C:$C,"setembro")</f>
        <v>0</v>
      </c>
      <c r="BE176" s="373"/>
      <c r="BF176" s="372"/>
      <c r="BG176" s="343"/>
      <c r="BH176" s="332">
        <f>SUMIFS(BASE_EX!$J:$J,BASE_EX!$B:$B,'Direct Charge'!$A176,BASE_EX!$C:$C,"outubro")</f>
        <v>0</v>
      </c>
      <c r="BI176" s="373"/>
      <c r="BJ176" s="372"/>
      <c r="BK176" s="343"/>
      <c r="BL176" s="332">
        <f>SUMIFS(BASE_EX!$J:$J,BASE_EX!$B:$B,'Direct Charge'!$A176,BASE_EX!$C:$C,"novembro")</f>
        <v>0</v>
      </c>
      <c r="BM176" s="373"/>
      <c r="BN176" s="372"/>
      <c r="BO176" s="343"/>
      <c r="BP176" s="332">
        <f>SUMIFS(BASE_EX!$J:$J,BASE_EX!$B:$B,'Direct Charge'!$A176,BASE_EX!$C:$C,"dezembro")</f>
        <v>0</v>
      </c>
      <c r="BQ176" s="373"/>
      <c r="BR176" s="452"/>
      <c r="BS176" s="156">
        <f t="shared" si="35"/>
        <v>0</v>
      </c>
      <c r="BT176" s="320">
        <f t="shared" si="36"/>
        <v>0</v>
      </c>
      <c r="BU176" s="157" t="e">
        <f>SUM(L176,M176,N176,O176,U176)-#REF!</f>
        <v>#REF!</v>
      </c>
      <c r="BV176" s="346">
        <f t="shared" si="37"/>
        <v>11049.62</v>
      </c>
      <c r="BW176" s="344" t="str">
        <f>IFERROR(VLOOKUP($A176,'BASE_558 EX'!$D:$R,8,FALSE),"")</f>
        <v xml:space="preserve">          161.260,00</v>
      </c>
      <c r="BX176" s="344" t="str">
        <f>IFERROR(VLOOKUP($A176,'BASE_558 EX'!$D:$R,9,FALSE),"")</f>
        <v xml:space="preserve">          141.886,56</v>
      </c>
      <c r="BY176" s="344" t="str">
        <f>IFERROR(VLOOKUP($A176,'BASE_558 EX'!$D:$R,10,FALSE),"")</f>
        <v xml:space="preserve">                0,00</v>
      </c>
      <c r="BZ176" s="344" t="str">
        <f>IFERROR(VLOOKUP($A176,'BASE_558 EX'!$D:$R,11,FALSE),"")</f>
        <v xml:space="preserve">                0,00</v>
      </c>
      <c r="CA176" s="344">
        <f>IFERROR(IF(BASE_558!$P$14="RemOrdPla",(VLOOKUP(A176,BASE_558!D:R,14)/1000),(VLOOKUP(A176,BASE_558!D:R,13)/1000)),"")</f>
        <v>1167.1839399999999</v>
      </c>
      <c r="CB176" s="344" t="str">
        <f>IFERROR(VLOOKUP($A176,'BASE_558 EX'!$D:$R,15,FALSE),"")</f>
        <v xml:space="preserve">           19.373,44</v>
      </c>
      <c r="CC176" s="442"/>
      <c r="CD176" s="442">
        <f t="shared" si="38"/>
        <v>0</v>
      </c>
    </row>
    <row r="177" spans="1:82" s="23" customFormat="1" ht="25.5" customHeight="1">
      <c r="A177" s="309" t="s">
        <v>2167</v>
      </c>
      <c r="B177" s="309"/>
      <c r="C177" s="187">
        <v>45131</v>
      </c>
      <c r="D177" s="381" t="s">
        <v>474</v>
      </c>
      <c r="E177" s="309" t="s">
        <v>2186</v>
      </c>
      <c r="F177" s="309" t="s">
        <v>176</v>
      </c>
      <c r="G177" s="340" t="s">
        <v>2159</v>
      </c>
      <c r="H177" s="339" t="s">
        <v>614</v>
      </c>
      <c r="I177" s="45" t="s">
        <v>195</v>
      </c>
      <c r="J177" s="125" t="s">
        <v>219</v>
      </c>
      <c r="K177" s="46" t="s">
        <v>3278</v>
      </c>
      <c r="L177" s="206"/>
      <c r="M177" s="206"/>
      <c r="N177" s="206"/>
      <c r="O177" s="206">
        <v>0</v>
      </c>
      <c r="P177" s="206">
        <v>7564.3799999999992</v>
      </c>
      <c r="Q177" s="206">
        <f t="shared" si="33"/>
        <v>0</v>
      </c>
      <c r="R177" s="206"/>
      <c r="S177" s="206"/>
      <c r="T177" s="223"/>
      <c r="U177" s="169">
        <f t="shared" si="34"/>
        <v>0</v>
      </c>
      <c r="V177" s="372">
        <v>0</v>
      </c>
      <c r="W177" s="343"/>
      <c r="X177" s="332">
        <f>SUMIFS(BASE_EX!$J:$J,BASE_EX!$B:$B,'Direct Charge'!$A177,BASE_EX!$C:$C,"janeiro")</f>
        <v>0</v>
      </c>
      <c r="Y177" s="373"/>
      <c r="Z177" s="372">
        <v>0</v>
      </c>
      <c r="AA177" s="343"/>
      <c r="AB177" s="332">
        <f>SUMIFS(BASE_EX!$J:$J,BASE_EX!$B:$B,'Direct Charge'!$A177,BASE_EX!$C:$C,"fevereiro")</f>
        <v>0</v>
      </c>
      <c r="AC177" s="373"/>
      <c r="AD177" s="372"/>
      <c r="AE177" s="343"/>
      <c r="AF177" s="332">
        <f>SUMIFS(BASE_EX!$J:$J,BASE_EX!$B:$B,'Direct Charge'!$A177,BASE_EX!$C:$C,"março")</f>
        <v>0</v>
      </c>
      <c r="AG177" s="373"/>
      <c r="AH177" s="372"/>
      <c r="AI177" s="343"/>
      <c r="AJ177" s="332">
        <f>SUMIFS(BASE_EX!$J:$J,BASE_EX!$B:$B,'Direct Charge'!$A177,BASE_EX!$C:$C,"abril")</f>
        <v>0</v>
      </c>
      <c r="AK177" s="373"/>
      <c r="AL177" s="372"/>
      <c r="AM177" s="343"/>
      <c r="AN177" s="332">
        <f>SUMIFS(BASE_EX!$J:$J,BASE_EX!$B:$B,'Direct Charge'!$A177,BASE_EX!$C:$C,"maio")</f>
        <v>0</v>
      </c>
      <c r="AO177" s="373"/>
      <c r="AP177" s="372"/>
      <c r="AQ177" s="343"/>
      <c r="AR177" s="332">
        <f>SUMIFS(BASE_EX!$J:$J,BASE_EX!$B:$B,'Direct Charge'!$A177,BASE_EX!$C:$C,"junho")</f>
        <v>0</v>
      </c>
      <c r="AS177" s="373"/>
      <c r="AT177" s="372"/>
      <c r="AU177" s="343"/>
      <c r="AV177" s="332">
        <f>SUMIFS(BASE_EX!$J:$J,BASE_EX!$B:$B,'Direct Charge'!$A177,BASE_EX!$C:$C,"julho")</f>
        <v>0</v>
      </c>
      <c r="AW177" s="373"/>
      <c r="AX177" s="372"/>
      <c r="AY177" s="343"/>
      <c r="AZ177" s="332">
        <f>SUMIFS(BASE_EX!$J:$J,BASE_EX!$B:$B,'Direct Charge'!$A177,BASE_EX!$C:$C,"agosto")</f>
        <v>0</v>
      </c>
      <c r="BA177" s="373"/>
      <c r="BB177" s="372"/>
      <c r="BC177" s="343"/>
      <c r="BD177" s="332">
        <f>SUMIFS(BASE_EX!$J:$J,BASE_EX!$B:$B,'Direct Charge'!$A177,BASE_EX!$C:$C,"setembro")</f>
        <v>0</v>
      </c>
      <c r="BE177" s="373"/>
      <c r="BF177" s="372"/>
      <c r="BG177" s="343"/>
      <c r="BH177" s="332">
        <f>SUMIFS(BASE_EX!$J:$J,BASE_EX!$B:$B,'Direct Charge'!$A177,BASE_EX!$C:$C,"outubro")</f>
        <v>0</v>
      </c>
      <c r="BI177" s="373"/>
      <c r="BJ177" s="372"/>
      <c r="BK177" s="343"/>
      <c r="BL177" s="332">
        <f>SUMIFS(BASE_EX!$J:$J,BASE_EX!$B:$B,'Direct Charge'!$A177,BASE_EX!$C:$C,"novembro")</f>
        <v>0</v>
      </c>
      <c r="BM177" s="373"/>
      <c r="BN177" s="372"/>
      <c r="BO177" s="343"/>
      <c r="BP177" s="332">
        <f>SUMIFS(BASE_EX!$J:$J,BASE_EX!$B:$B,'Direct Charge'!$A177,BASE_EX!$C:$C,"dezembro")</f>
        <v>0</v>
      </c>
      <c r="BQ177" s="373"/>
      <c r="BR177" s="452">
        <v>1300</v>
      </c>
      <c r="BS177" s="156">
        <f t="shared" si="35"/>
        <v>0</v>
      </c>
      <c r="BT177" s="320">
        <f t="shared" si="36"/>
        <v>0</v>
      </c>
      <c r="BU177" s="157" t="e">
        <f>SUM(L177,M177,N177,O177,U177)-#REF!</f>
        <v>#REF!</v>
      </c>
      <c r="BV177" s="346">
        <f t="shared" si="37"/>
        <v>0</v>
      </c>
      <c r="BW177" s="344" t="str">
        <f>IFERROR(VLOOKUP($A177,'BASE_558 EX'!$D:$R,8,FALSE),"")</f>
        <v xml:space="preserve">           45.000,00</v>
      </c>
      <c r="BX177" s="344" t="str">
        <f>IFERROR(VLOOKUP($A177,'BASE_558 EX'!$D:$R,9,FALSE),"")</f>
        <v xml:space="preserve">            7.564,38</v>
      </c>
      <c r="BY177" s="344" t="str">
        <f>IFERROR(VLOOKUP($A177,'BASE_558 EX'!$D:$R,10,FALSE),"")</f>
        <v xml:space="preserve">            1.338,95</v>
      </c>
      <c r="BZ177" s="344" t="str">
        <f>IFERROR(VLOOKUP($A177,'BASE_558 EX'!$D:$R,11,FALSE),"")</f>
        <v xml:space="preserve">                0,00</v>
      </c>
      <c r="CA177" s="344">
        <f>IFERROR(IF(BASE_558!$P$14="RemOrdPla",(VLOOKUP(A177,BASE_558!D:R,14)/1000),(VLOOKUP(A177,BASE_558!D:R,13)/1000)),"")</f>
        <v>1.7902899999999999</v>
      </c>
      <c r="CB177" s="344" t="str">
        <f>IFERROR(VLOOKUP($A177,'BASE_558 EX'!$D:$R,15,FALSE),"")</f>
        <v xml:space="preserve">           36.096,67</v>
      </c>
      <c r="CC177" s="442"/>
      <c r="CD177" s="442">
        <f t="shared" si="38"/>
        <v>0</v>
      </c>
    </row>
    <row r="178" spans="1:82" s="23" customFormat="1" ht="25.5" customHeight="1">
      <c r="A178" s="309" t="s">
        <v>2168</v>
      </c>
      <c r="B178" s="309"/>
      <c r="C178" s="187">
        <v>45160</v>
      </c>
      <c r="D178" s="381" t="s">
        <v>2297</v>
      </c>
      <c r="E178" s="381" t="s">
        <v>2124</v>
      </c>
      <c r="F178" s="309" t="s">
        <v>176</v>
      </c>
      <c r="G178" s="340" t="s">
        <v>2838</v>
      </c>
      <c r="H178" s="339" t="s">
        <v>614</v>
      </c>
      <c r="I178" s="45" t="s">
        <v>463</v>
      </c>
      <c r="J178" s="83" t="s">
        <v>219</v>
      </c>
      <c r="K178" s="10" t="s">
        <v>17701</v>
      </c>
      <c r="L178" s="206"/>
      <c r="M178" s="206">
        <v>0</v>
      </c>
      <c r="N178" s="206"/>
      <c r="O178" s="206">
        <v>0</v>
      </c>
      <c r="P178" s="206">
        <v>25744.260000000002</v>
      </c>
      <c r="Q178" s="206">
        <f t="shared" si="33"/>
        <v>40896.53</v>
      </c>
      <c r="R178" s="206"/>
      <c r="S178" s="206"/>
      <c r="T178" s="223"/>
      <c r="U178" s="169">
        <f t="shared" si="34"/>
        <v>40896.53</v>
      </c>
      <c r="V178" s="372">
        <v>-5342.07</v>
      </c>
      <c r="W178" s="343">
        <v>-5342.07</v>
      </c>
      <c r="X178" s="332">
        <f>SUMIFS(BASE_EX!$J:$J,BASE_EX!$B:$B,'Direct Charge'!$A178,BASE_EX!$C:$C,"janeiro")</f>
        <v>-5342.07</v>
      </c>
      <c r="Y178" s="373">
        <v>-5342.07</v>
      </c>
      <c r="Z178" s="372">
        <v>13423.16</v>
      </c>
      <c r="AA178" s="343">
        <v>18259.2</v>
      </c>
      <c r="AB178" s="332">
        <f>SUMIFS(BASE_EX!$J:$J,BASE_EX!$B:$B,'Direct Charge'!$A178,BASE_EX!$C:$C,"fevereiro")</f>
        <v>18259.2</v>
      </c>
      <c r="AC178" s="373">
        <v>18259.2</v>
      </c>
      <c r="AD178" s="372">
        <v>6000</v>
      </c>
      <c r="AE178" s="343">
        <v>4670.03</v>
      </c>
      <c r="AF178" s="332">
        <f>SUMIFS(BASE_EX!$J:$J,BASE_EX!$B:$B,'Direct Charge'!$A178,BASE_EX!$C:$C,"março")</f>
        <v>4670.03</v>
      </c>
      <c r="AG178" s="373">
        <v>4670.03</v>
      </c>
      <c r="AH178" s="372">
        <v>0</v>
      </c>
      <c r="AI178" s="343">
        <v>-296.25</v>
      </c>
      <c r="AJ178" s="332">
        <f>SUMIFS(BASE_EX!$J:$J,BASE_EX!$B:$B,'Direct Charge'!$A178,BASE_EX!$C:$C,"abril")</f>
        <v>-296.25</v>
      </c>
      <c r="AK178" s="373">
        <v>-296.25</v>
      </c>
      <c r="AL178" s="372">
        <v>0</v>
      </c>
      <c r="AM178" s="343">
        <v>20605.62</v>
      </c>
      <c r="AN178" s="332">
        <f>SUMIFS(BASE_EX!$J:$J,BASE_EX!$B:$B,'Direct Charge'!$A178,BASE_EX!$C:$C,"maio")</f>
        <v>20605.62</v>
      </c>
      <c r="AO178" s="373">
        <v>20605.62</v>
      </c>
      <c r="AP178" s="372"/>
      <c r="AQ178" s="343"/>
      <c r="AR178" s="332">
        <f>SUMIFS(BASE_EX!$J:$J,BASE_EX!$B:$B,'Direct Charge'!$A178,BASE_EX!$C:$C,"junho")</f>
        <v>0</v>
      </c>
      <c r="AS178" s="373"/>
      <c r="AT178" s="372"/>
      <c r="AU178" s="343"/>
      <c r="AV178" s="332">
        <f>SUMIFS(BASE_EX!$J:$J,BASE_EX!$B:$B,'Direct Charge'!$A178,BASE_EX!$C:$C,"julho")</f>
        <v>0</v>
      </c>
      <c r="AW178" s="373"/>
      <c r="AX178" s="372"/>
      <c r="AY178" s="343"/>
      <c r="AZ178" s="332">
        <f>SUMIFS(BASE_EX!$J:$J,BASE_EX!$B:$B,'Direct Charge'!$A178,BASE_EX!$C:$C,"agosto")</f>
        <v>0</v>
      </c>
      <c r="BA178" s="373">
        <v>3000</v>
      </c>
      <c r="BB178" s="372"/>
      <c r="BC178" s="343"/>
      <c r="BD178" s="332">
        <f>SUMIFS(BASE_EX!$J:$J,BASE_EX!$B:$B,'Direct Charge'!$A178,BASE_EX!$C:$C,"setembro")</f>
        <v>0</v>
      </c>
      <c r="BE178" s="373"/>
      <c r="BF178" s="372"/>
      <c r="BG178" s="343"/>
      <c r="BH178" s="332">
        <f>SUMIFS(BASE_EX!$J:$J,BASE_EX!$B:$B,'Direct Charge'!$A178,BASE_EX!$C:$C,"outubro")</f>
        <v>0</v>
      </c>
      <c r="BI178" s="373"/>
      <c r="BJ178" s="372"/>
      <c r="BK178" s="343"/>
      <c r="BL178" s="332">
        <f>SUMIFS(BASE_EX!$J:$J,BASE_EX!$B:$B,'Direct Charge'!$A178,BASE_EX!$C:$C,"novembro")</f>
        <v>0</v>
      </c>
      <c r="BM178" s="373"/>
      <c r="BN178" s="372"/>
      <c r="BO178" s="343"/>
      <c r="BP178" s="332">
        <f>SUMIFS(BASE_EX!$J:$J,BASE_EX!$B:$B,'Direct Charge'!$A178,BASE_EX!$C:$C,"dezembro")</f>
        <v>0</v>
      </c>
      <c r="BQ178" s="373"/>
      <c r="BR178" s="452"/>
      <c r="BS178" s="156">
        <f t="shared" si="35"/>
        <v>0</v>
      </c>
      <c r="BT178" s="320">
        <f t="shared" si="36"/>
        <v>0</v>
      </c>
      <c r="BU178" s="157" t="e">
        <f>SUM(L178,M178,N178,O178,U178)-#REF!</f>
        <v>#REF!</v>
      </c>
      <c r="BV178" s="346">
        <f t="shared" si="37"/>
        <v>40896.53</v>
      </c>
      <c r="BW178" s="344" t="str">
        <f>IFERROR(VLOOKUP($A178,'BASE_558 EX'!$D:$R,8,FALSE),"")</f>
        <v xml:space="preserve">          100.000,00</v>
      </c>
      <c r="BX178" s="344" t="str">
        <f>IFERROR(VLOOKUP($A178,'BASE_558 EX'!$D:$R,9,FALSE),"")</f>
        <v xml:space="preserve">           63.640,79</v>
      </c>
      <c r="BY178" s="344" t="str">
        <f>IFERROR(VLOOKUP($A178,'BASE_558 EX'!$D:$R,10,FALSE),"")</f>
        <v xml:space="preserve">                0,00</v>
      </c>
      <c r="BZ178" s="344" t="str">
        <f>IFERROR(VLOOKUP($A178,'BASE_558 EX'!$D:$R,11,FALSE),"")</f>
        <v xml:space="preserve">            2.729,96</v>
      </c>
      <c r="CA178" s="344">
        <f>IFERROR(IF(BASE_558!$P$14="RemOrdPla",(VLOOKUP(A178,BASE_558!D:R,14)/1000),(VLOOKUP(A178,BASE_558!D:R,13)/1000)),"")</f>
        <v>532.87063000000001</v>
      </c>
      <c r="CB178" s="344" t="str">
        <f>IFERROR(VLOOKUP($A178,'BASE_558 EX'!$D:$R,15,FALSE),"")</f>
        <v xml:space="preserve">           33.629,25</v>
      </c>
      <c r="CC178" s="442"/>
      <c r="CD178" s="442">
        <f t="shared" si="38"/>
        <v>0</v>
      </c>
    </row>
    <row r="179" spans="1:82" s="23" customFormat="1" ht="25.5" customHeight="1">
      <c r="A179" s="309" t="s">
        <v>2425</v>
      </c>
      <c r="B179" s="310"/>
      <c r="C179" s="187">
        <v>45177</v>
      </c>
      <c r="D179" s="381" t="s">
        <v>2079</v>
      </c>
      <c r="E179" s="381" t="s">
        <v>2079</v>
      </c>
      <c r="F179" s="309" t="s">
        <v>176</v>
      </c>
      <c r="G179" s="340" t="s">
        <v>2426</v>
      </c>
      <c r="H179" s="339" t="s">
        <v>614</v>
      </c>
      <c r="I179" s="45" t="s">
        <v>463</v>
      </c>
      <c r="J179" s="125" t="s">
        <v>219</v>
      </c>
      <c r="K179" s="298"/>
      <c r="L179" s="206"/>
      <c r="M179" s="206">
        <v>0</v>
      </c>
      <c r="N179" s="206"/>
      <c r="O179" s="206">
        <v>0</v>
      </c>
      <c r="P179" s="206"/>
      <c r="Q179" s="206">
        <f t="shared" si="33"/>
        <v>2200</v>
      </c>
      <c r="R179" s="206"/>
      <c r="S179" s="206"/>
      <c r="T179" s="223"/>
      <c r="U179" s="169">
        <f t="shared" si="34"/>
        <v>2200</v>
      </c>
      <c r="V179" s="372">
        <v>0</v>
      </c>
      <c r="W179" s="343"/>
      <c r="X179" s="332">
        <f>SUMIFS(BASE_EX!$J:$J,BASE_EX!$B:$B,'Direct Charge'!$A179,BASE_EX!$C:$C,"janeiro")</f>
        <v>0</v>
      </c>
      <c r="Y179" s="373"/>
      <c r="Z179" s="372">
        <v>0</v>
      </c>
      <c r="AA179" s="343"/>
      <c r="AB179" s="332">
        <f>SUMIFS(BASE_EX!$J:$J,BASE_EX!$B:$B,'Direct Charge'!$A179,BASE_EX!$C:$C,"fevereiro")</f>
        <v>0</v>
      </c>
      <c r="AC179" s="373"/>
      <c r="AD179" s="372"/>
      <c r="AE179" s="343"/>
      <c r="AF179" s="332">
        <f>SUMIFS(BASE_EX!$J:$J,BASE_EX!$B:$B,'Direct Charge'!$A179,BASE_EX!$C:$C,"março")</f>
        <v>0</v>
      </c>
      <c r="AG179" s="373"/>
      <c r="AH179" s="372">
        <v>0</v>
      </c>
      <c r="AI179" s="343"/>
      <c r="AJ179" s="332">
        <f>SUMIFS(BASE_EX!$J:$J,BASE_EX!$B:$B,'Direct Charge'!$A179,BASE_EX!$C:$C,"abril")</f>
        <v>0</v>
      </c>
      <c r="AK179" s="373">
        <v>0</v>
      </c>
      <c r="AL179" s="372"/>
      <c r="AM179" s="343"/>
      <c r="AN179" s="332">
        <f>SUMIFS(BASE_EX!$J:$J,BASE_EX!$B:$B,'Direct Charge'!$A179,BASE_EX!$C:$C,"maio")</f>
        <v>0</v>
      </c>
      <c r="AO179" s="373"/>
      <c r="AP179" s="372"/>
      <c r="AQ179" s="343"/>
      <c r="AR179" s="332">
        <f>SUMIFS(BASE_EX!$J:$J,BASE_EX!$B:$B,'Direct Charge'!$A179,BASE_EX!$C:$C,"junho")</f>
        <v>0</v>
      </c>
      <c r="AS179" s="373"/>
      <c r="AT179" s="372"/>
      <c r="AU179" s="343"/>
      <c r="AV179" s="332">
        <f>SUMIFS(BASE_EX!$J:$J,BASE_EX!$B:$B,'Direct Charge'!$A179,BASE_EX!$C:$C,"julho")</f>
        <v>0</v>
      </c>
      <c r="AW179" s="373"/>
      <c r="AX179" s="372"/>
      <c r="AY179" s="343"/>
      <c r="AZ179" s="332">
        <f>SUMIFS(BASE_EX!$J:$J,BASE_EX!$B:$B,'Direct Charge'!$A179,BASE_EX!$C:$C,"agosto")</f>
        <v>0</v>
      </c>
      <c r="BA179" s="373"/>
      <c r="BB179" s="372"/>
      <c r="BC179" s="343"/>
      <c r="BD179" s="332">
        <f>SUMIFS(BASE_EX!$J:$J,BASE_EX!$B:$B,'Direct Charge'!$A179,BASE_EX!$C:$C,"setembro")</f>
        <v>0</v>
      </c>
      <c r="BE179" s="373"/>
      <c r="BF179" s="372"/>
      <c r="BG179" s="343"/>
      <c r="BH179" s="332">
        <f>SUMIFS(BASE_EX!$J:$J,BASE_EX!$B:$B,'Direct Charge'!$A179,BASE_EX!$C:$C,"outubro")</f>
        <v>0</v>
      </c>
      <c r="BI179" s="373"/>
      <c r="BJ179" s="372"/>
      <c r="BK179" s="343"/>
      <c r="BL179" s="332">
        <f>SUMIFS(BASE_EX!$J:$J,BASE_EX!$B:$B,'Direct Charge'!$A179,BASE_EX!$C:$C,"novembro")</f>
        <v>0</v>
      </c>
      <c r="BM179" s="373">
        <v>2200</v>
      </c>
      <c r="BN179" s="372"/>
      <c r="BO179" s="343"/>
      <c r="BP179" s="332">
        <f>SUMIFS(BASE_EX!$J:$J,BASE_EX!$B:$B,'Direct Charge'!$A179,BASE_EX!$C:$C,"dezembro")</f>
        <v>0</v>
      </c>
      <c r="BQ179" s="373"/>
      <c r="BR179" s="452"/>
      <c r="BS179" s="156">
        <f t="shared" si="35"/>
        <v>0</v>
      </c>
      <c r="BT179" s="320">
        <f t="shared" si="36"/>
        <v>0</v>
      </c>
      <c r="BU179" s="157" t="e">
        <f>SUM(L179,M179,N179,O179,U179)-#REF!</f>
        <v>#REF!</v>
      </c>
      <c r="BV179" s="346">
        <f t="shared" si="37"/>
        <v>2200</v>
      </c>
      <c r="BW179" s="344" t="str">
        <f>IFERROR(VLOOKUP($A179,'BASE_558 EX'!$D:$R,8,FALSE),"")</f>
        <v xml:space="preserve">            4.354,51</v>
      </c>
      <c r="BX179" s="344" t="str">
        <f>IFERROR(VLOOKUP($A179,'BASE_558 EX'!$D:$R,9,FALSE),"")</f>
        <v xml:space="preserve">                0,00</v>
      </c>
      <c r="BY179" s="344" t="str">
        <f>IFERROR(VLOOKUP($A179,'BASE_558 EX'!$D:$R,10,FALSE),"")</f>
        <v xml:space="preserve">            2.210,64</v>
      </c>
      <c r="BZ179" s="344" t="str">
        <f>IFERROR(VLOOKUP($A179,'BASE_558 EX'!$D:$R,11,FALSE),"")</f>
        <v xml:space="preserve">                0,00</v>
      </c>
      <c r="CA179" s="344">
        <f>IFERROR(IF(BASE_558!$P$14="RemOrdPla",(VLOOKUP(A179,BASE_558!D:R,14)/1000),(VLOOKUP(A179,BASE_558!D:R,13)/1000)),"")</f>
        <v>493.18071000000003</v>
      </c>
      <c r="CB179" s="344" t="str">
        <f>IFERROR(VLOOKUP($A179,'BASE_558 EX'!$D:$R,15,FALSE),"")</f>
        <v xml:space="preserve">            2.143,87</v>
      </c>
      <c r="CC179" s="442"/>
      <c r="CD179" s="442">
        <f t="shared" si="38"/>
        <v>0</v>
      </c>
    </row>
    <row r="180" spans="1:82" s="23" customFormat="1" ht="25.5" customHeight="1">
      <c r="A180" s="309" t="s">
        <v>2601</v>
      </c>
      <c r="B180" s="309"/>
      <c r="C180" s="187"/>
      <c r="D180" s="381" t="s">
        <v>2208</v>
      </c>
      <c r="E180" s="381" t="s">
        <v>1707</v>
      </c>
      <c r="F180" s="309" t="s">
        <v>176</v>
      </c>
      <c r="G180" s="340" t="s">
        <v>2603</v>
      </c>
      <c r="H180" s="339" t="s">
        <v>8878</v>
      </c>
      <c r="I180" s="45" t="s">
        <v>195</v>
      </c>
      <c r="J180" s="125" t="s">
        <v>462</v>
      </c>
      <c r="K180" s="470" t="s">
        <v>2669</v>
      </c>
      <c r="L180" s="206"/>
      <c r="M180" s="206"/>
      <c r="N180" s="206"/>
      <c r="O180" s="206"/>
      <c r="P180" s="206">
        <v>17368.309999999998</v>
      </c>
      <c r="Q180" s="206">
        <f t="shared" si="33"/>
        <v>0</v>
      </c>
      <c r="R180" s="206"/>
      <c r="S180" s="206"/>
      <c r="T180" s="223"/>
      <c r="U180" s="169">
        <f t="shared" si="34"/>
        <v>0</v>
      </c>
      <c r="V180" s="372">
        <v>0</v>
      </c>
      <c r="W180" s="343"/>
      <c r="X180" s="332">
        <f>SUMIFS(BASE_EX!$J:$J,BASE_EX!$B:$B,'Direct Charge'!$A180,BASE_EX!$C:$C,"janeiro")</f>
        <v>0</v>
      </c>
      <c r="Y180" s="373"/>
      <c r="Z180" s="372">
        <v>0</v>
      </c>
      <c r="AA180" s="343"/>
      <c r="AB180" s="332">
        <f>SUMIFS(BASE_EX!$J:$J,BASE_EX!$B:$B,'Direct Charge'!$A180,BASE_EX!$C:$C,"fevereiro")</f>
        <v>0</v>
      </c>
      <c r="AC180" s="373"/>
      <c r="AD180" s="372"/>
      <c r="AE180" s="343"/>
      <c r="AF180" s="332">
        <f>SUMIFS(BASE_EX!$J:$J,BASE_EX!$B:$B,'Direct Charge'!$A180,BASE_EX!$C:$C,"março")</f>
        <v>0</v>
      </c>
      <c r="AG180" s="373"/>
      <c r="AH180" s="372"/>
      <c r="AI180" s="343"/>
      <c r="AJ180" s="332">
        <f>SUMIFS(BASE_EX!$J:$J,BASE_EX!$B:$B,'Direct Charge'!$A180,BASE_EX!$C:$C,"abril")</f>
        <v>0</v>
      </c>
      <c r="AK180" s="373"/>
      <c r="AL180" s="372"/>
      <c r="AM180" s="343"/>
      <c r="AN180" s="332">
        <f>SUMIFS(BASE_EX!$J:$J,BASE_EX!$B:$B,'Direct Charge'!$A180,BASE_EX!$C:$C,"maio")</f>
        <v>0</v>
      </c>
      <c r="AO180" s="373"/>
      <c r="AP180" s="372"/>
      <c r="AQ180" s="343"/>
      <c r="AR180" s="332">
        <f>SUMIFS(BASE_EX!$J:$J,BASE_EX!$B:$B,'Direct Charge'!$A180,BASE_EX!$C:$C,"junho")</f>
        <v>0</v>
      </c>
      <c r="AS180" s="373"/>
      <c r="AT180" s="372"/>
      <c r="AU180" s="343"/>
      <c r="AV180" s="332">
        <f>SUMIFS(BASE_EX!$J:$J,BASE_EX!$B:$B,'Direct Charge'!$A180,BASE_EX!$C:$C,"julho")</f>
        <v>0</v>
      </c>
      <c r="AW180" s="373"/>
      <c r="AX180" s="372"/>
      <c r="AY180" s="343"/>
      <c r="AZ180" s="332">
        <f>SUMIFS(BASE_EX!$J:$J,BASE_EX!$B:$B,'Direct Charge'!$A180,BASE_EX!$C:$C,"agosto")</f>
        <v>0</v>
      </c>
      <c r="BA180" s="373"/>
      <c r="BB180" s="372"/>
      <c r="BC180" s="343"/>
      <c r="BD180" s="332">
        <f>SUMIFS(BASE_EX!$J:$J,BASE_EX!$B:$B,'Direct Charge'!$A180,BASE_EX!$C:$C,"setembro")</f>
        <v>0</v>
      </c>
      <c r="BE180" s="373"/>
      <c r="BF180" s="372"/>
      <c r="BG180" s="343"/>
      <c r="BH180" s="332">
        <f>SUMIFS(BASE_EX!$J:$J,BASE_EX!$B:$B,'Direct Charge'!$A180,BASE_EX!$C:$C,"outubro")</f>
        <v>0</v>
      </c>
      <c r="BI180" s="373"/>
      <c r="BJ180" s="372"/>
      <c r="BK180" s="343"/>
      <c r="BL180" s="332">
        <f>SUMIFS(BASE_EX!$J:$J,BASE_EX!$B:$B,'Direct Charge'!$A180,BASE_EX!$C:$C,"novembro")</f>
        <v>0</v>
      </c>
      <c r="BM180" s="373"/>
      <c r="BN180" s="372"/>
      <c r="BO180" s="343"/>
      <c r="BP180" s="332">
        <f>SUMIFS(BASE_EX!$J:$J,BASE_EX!$B:$B,'Direct Charge'!$A180,BASE_EX!$C:$C,"dezembro")</f>
        <v>0</v>
      </c>
      <c r="BQ180" s="373"/>
      <c r="BR180" s="452"/>
      <c r="BS180" s="156">
        <f t="shared" si="35"/>
        <v>0</v>
      </c>
      <c r="BT180" s="320">
        <f t="shared" si="36"/>
        <v>0</v>
      </c>
      <c r="BU180" s="157" t="e">
        <f>SUM(L180,M180,N180,O180,U180)-#REF!</f>
        <v>#REF!</v>
      </c>
      <c r="BV180" s="346">
        <f t="shared" si="37"/>
        <v>0</v>
      </c>
      <c r="BW180" s="344" t="str">
        <f>IFERROR(VLOOKUP($A180,'BASE_558 EX'!$D:$R,8,FALSE),"")</f>
        <v xml:space="preserve">           25.000,00</v>
      </c>
      <c r="BX180" s="344" t="str">
        <f>IFERROR(VLOOKUP($A180,'BASE_558 EX'!$D:$R,9,FALSE),"")</f>
        <v xml:space="preserve">           17.368,31</v>
      </c>
      <c r="BY180" s="344" t="str">
        <f>IFERROR(VLOOKUP($A180,'BASE_558 EX'!$D:$R,10,FALSE),"")</f>
        <v xml:space="preserve">                0,00</v>
      </c>
      <c r="BZ180" s="344" t="str">
        <f>IFERROR(VLOOKUP($A180,'BASE_558 EX'!$D:$R,11,FALSE),"")</f>
        <v xml:space="preserve">                0,00</v>
      </c>
      <c r="CA180" s="344">
        <f>IFERROR(IF(BASE_558!$P$14="RemOrdPla",(VLOOKUP(A180,BASE_558!D:R,14)/1000),(VLOOKUP(A180,BASE_558!D:R,13)/1000)),"")</f>
        <v>493.18071000000003</v>
      </c>
      <c r="CB180" s="344" t="str">
        <f>IFERROR(VLOOKUP($A180,'BASE_558 EX'!$D:$R,15,FALSE),"")</f>
        <v xml:space="preserve">            7.631,69</v>
      </c>
      <c r="CC180" s="442"/>
      <c r="CD180" s="442">
        <f t="shared" si="38"/>
        <v>0</v>
      </c>
    </row>
    <row r="181" spans="1:82" s="23" customFormat="1" ht="25.5" customHeight="1">
      <c r="A181" s="309" t="s">
        <v>2716</v>
      </c>
      <c r="B181" s="309"/>
      <c r="C181" s="187"/>
      <c r="D181" s="381" t="s">
        <v>2208</v>
      </c>
      <c r="E181" s="381" t="s">
        <v>1707</v>
      </c>
      <c r="F181" s="309" t="s">
        <v>176</v>
      </c>
      <c r="G181" s="340" t="s">
        <v>2878</v>
      </c>
      <c r="H181" s="339" t="s">
        <v>8878</v>
      </c>
      <c r="I181" s="6" t="s">
        <v>463</v>
      </c>
      <c r="J181" s="83" t="s">
        <v>462</v>
      </c>
      <c r="K181" s="46" t="s">
        <v>6792</v>
      </c>
      <c r="L181" s="206"/>
      <c r="M181" s="206"/>
      <c r="N181" s="206"/>
      <c r="O181" s="206"/>
      <c r="P181" s="206">
        <v>18368.18</v>
      </c>
      <c r="Q181" s="206">
        <f t="shared" si="33"/>
        <v>0</v>
      </c>
      <c r="R181" s="206"/>
      <c r="S181" s="206"/>
      <c r="T181" s="223"/>
      <c r="U181" s="169">
        <f t="shared" si="34"/>
        <v>0</v>
      </c>
      <c r="V181" s="372">
        <v>0</v>
      </c>
      <c r="W181" s="343"/>
      <c r="X181" s="332">
        <f>SUMIFS(BASE_EX!$J:$J,BASE_EX!$B:$B,'Direct Charge'!$A181,BASE_EX!$C:$C,"janeiro")</f>
        <v>0</v>
      </c>
      <c r="Y181" s="373"/>
      <c r="Z181" s="372">
        <v>0</v>
      </c>
      <c r="AA181" s="343"/>
      <c r="AB181" s="332">
        <f>SUMIFS(BASE_EX!$J:$J,BASE_EX!$B:$B,'Direct Charge'!$A181,BASE_EX!$C:$C,"fevereiro")</f>
        <v>0</v>
      </c>
      <c r="AC181" s="373"/>
      <c r="AD181" s="372"/>
      <c r="AE181" s="343"/>
      <c r="AF181" s="332">
        <f>SUMIFS(BASE_EX!$J:$J,BASE_EX!$B:$B,'Direct Charge'!$A181,BASE_EX!$C:$C,"março")</f>
        <v>0</v>
      </c>
      <c r="AG181" s="373"/>
      <c r="AH181" s="372"/>
      <c r="AI181" s="343"/>
      <c r="AJ181" s="332">
        <f>SUMIFS(BASE_EX!$J:$J,BASE_EX!$B:$B,'Direct Charge'!$A181,BASE_EX!$C:$C,"abril")</f>
        <v>0</v>
      </c>
      <c r="AK181" s="373"/>
      <c r="AL181" s="372"/>
      <c r="AM181" s="343"/>
      <c r="AN181" s="332">
        <f>SUMIFS(BASE_EX!$J:$J,BASE_EX!$B:$B,'Direct Charge'!$A181,BASE_EX!$C:$C,"maio")</f>
        <v>0</v>
      </c>
      <c r="AO181" s="373"/>
      <c r="AP181" s="372"/>
      <c r="AQ181" s="343"/>
      <c r="AR181" s="332">
        <f>SUMIFS(BASE_EX!$J:$J,BASE_EX!$B:$B,'Direct Charge'!$A181,BASE_EX!$C:$C,"junho")</f>
        <v>0</v>
      </c>
      <c r="AS181" s="373"/>
      <c r="AT181" s="372"/>
      <c r="AU181" s="343"/>
      <c r="AV181" s="332">
        <f>SUMIFS(BASE_EX!$J:$J,BASE_EX!$B:$B,'Direct Charge'!$A181,BASE_EX!$C:$C,"julho")</f>
        <v>0</v>
      </c>
      <c r="AW181" s="373"/>
      <c r="AX181" s="372"/>
      <c r="AY181" s="343"/>
      <c r="AZ181" s="332">
        <f>SUMIFS(BASE_EX!$J:$J,BASE_EX!$B:$B,'Direct Charge'!$A181,BASE_EX!$C:$C,"agosto")</f>
        <v>0</v>
      </c>
      <c r="BA181" s="373"/>
      <c r="BB181" s="372"/>
      <c r="BC181" s="343"/>
      <c r="BD181" s="332">
        <f>SUMIFS(BASE_EX!$J:$J,BASE_EX!$B:$B,'Direct Charge'!$A181,BASE_EX!$C:$C,"setembro")</f>
        <v>0</v>
      </c>
      <c r="BE181" s="373"/>
      <c r="BF181" s="372"/>
      <c r="BG181" s="343"/>
      <c r="BH181" s="332">
        <f>SUMIFS(BASE_EX!$J:$J,BASE_EX!$B:$B,'Direct Charge'!$A181,BASE_EX!$C:$C,"outubro")</f>
        <v>0</v>
      </c>
      <c r="BI181" s="373"/>
      <c r="BJ181" s="372"/>
      <c r="BK181" s="343"/>
      <c r="BL181" s="332">
        <f>SUMIFS(BASE_EX!$J:$J,BASE_EX!$B:$B,'Direct Charge'!$A181,BASE_EX!$C:$C,"novembro")</f>
        <v>0</v>
      </c>
      <c r="BM181" s="373"/>
      <c r="BN181" s="372"/>
      <c r="BO181" s="343"/>
      <c r="BP181" s="332">
        <f>SUMIFS(BASE_EX!$J:$J,BASE_EX!$B:$B,'Direct Charge'!$A181,BASE_EX!$C:$C,"dezembro")</f>
        <v>0</v>
      </c>
      <c r="BQ181" s="373"/>
      <c r="BR181" s="452"/>
      <c r="BS181" s="156">
        <f t="shared" si="35"/>
        <v>0</v>
      </c>
      <c r="BT181" s="320">
        <f t="shared" si="36"/>
        <v>0</v>
      </c>
      <c r="BU181" s="157" t="e">
        <f>SUM(L181,M181,N181,O181,U181)-#REF!</f>
        <v>#REF!</v>
      </c>
      <c r="BV181" s="346">
        <f t="shared" si="37"/>
        <v>0</v>
      </c>
      <c r="BW181" s="344" t="str">
        <f>IFERROR(VLOOKUP($A181,'BASE_558 EX'!$D:$R,8,FALSE),"")</f>
        <v xml:space="preserve">           40.000,00</v>
      </c>
      <c r="BX181" s="344" t="str">
        <f>IFERROR(VLOOKUP($A181,'BASE_558 EX'!$D:$R,9,FALSE),"")</f>
        <v xml:space="preserve">           18.368,18</v>
      </c>
      <c r="BY181" s="344" t="str">
        <f>IFERROR(VLOOKUP($A181,'BASE_558 EX'!$D:$R,10,FALSE),"")</f>
        <v xml:space="preserve">                0,00</v>
      </c>
      <c r="BZ181" s="344" t="str">
        <f>IFERROR(VLOOKUP($A181,'BASE_558 EX'!$D:$R,11,FALSE),"")</f>
        <v xml:space="preserve">                0,00</v>
      </c>
      <c r="CA181" s="344">
        <f>IFERROR(IF(BASE_558!$P$14="RemOrdPla",(VLOOKUP(A181,BASE_558!D:R,14)/1000),(VLOOKUP(A181,BASE_558!D:R,13)/1000)),"")</f>
        <v>493.18071000000003</v>
      </c>
      <c r="CB181" s="344" t="str">
        <f>IFERROR(VLOOKUP($A181,'BASE_558 EX'!$D:$R,15,FALSE),"")</f>
        <v xml:space="preserve">           21.631,82</v>
      </c>
      <c r="CC181" s="442"/>
      <c r="CD181" s="442">
        <f t="shared" si="38"/>
        <v>0</v>
      </c>
    </row>
    <row r="182" spans="1:82" s="23" customFormat="1" ht="25.5" customHeight="1">
      <c r="A182" s="309" t="s">
        <v>2482</v>
      </c>
      <c r="B182" s="309"/>
      <c r="C182" s="187">
        <v>45229</v>
      </c>
      <c r="D182" s="381" t="s">
        <v>481</v>
      </c>
      <c r="E182" s="381" t="s">
        <v>2485</v>
      </c>
      <c r="F182" s="309" t="s">
        <v>176</v>
      </c>
      <c r="G182" s="340" t="s">
        <v>2879</v>
      </c>
      <c r="H182" s="339" t="s">
        <v>614</v>
      </c>
      <c r="I182" s="6" t="s">
        <v>463</v>
      </c>
      <c r="J182" s="83" t="s">
        <v>462</v>
      </c>
      <c r="K182" s="46" t="s">
        <v>3813</v>
      </c>
      <c r="L182" s="206"/>
      <c r="M182" s="206"/>
      <c r="N182" s="206"/>
      <c r="O182" s="206">
        <v>0</v>
      </c>
      <c r="P182" s="206">
        <v>17343.36</v>
      </c>
      <c r="Q182" s="206">
        <f t="shared" si="33"/>
        <v>0</v>
      </c>
      <c r="R182" s="206"/>
      <c r="S182" s="206"/>
      <c r="T182" s="223"/>
      <c r="U182" s="169">
        <f t="shared" si="34"/>
        <v>0</v>
      </c>
      <c r="V182" s="372">
        <v>0</v>
      </c>
      <c r="W182" s="343"/>
      <c r="X182" s="332">
        <f>SUMIFS(BASE_EX!$J:$J,BASE_EX!$B:$B,'Direct Charge'!$A182,BASE_EX!$C:$C,"janeiro")</f>
        <v>0</v>
      </c>
      <c r="Y182" s="373"/>
      <c r="Z182" s="372">
        <v>0</v>
      </c>
      <c r="AA182" s="343"/>
      <c r="AB182" s="332">
        <f>SUMIFS(BASE_EX!$J:$J,BASE_EX!$B:$B,'Direct Charge'!$A182,BASE_EX!$C:$C,"fevereiro")</f>
        <v>0</v>
      </c>
      <c r="AC182" s="373"/>
      <c r="AD182" s="372"/>
      <c r="AE182" s="343"/>
      <c r="AF182" s="332">
        <f>SUMIFS(BASE_EX!$J:$J,BASE_EX!$B:$B,'Direct Charge'!$A182,BASE_EX!$C:$C,"março")</f>
        <v>0</v>
      </c>
      <c r="AG182" s="373"/>
      <c r="AH182" s="372"/>
      <c r="AI182" s="343"/>
      <c r="AJ182" s="332">
        <f>SUMIFS(BASE_EX!$J:$J,BASE_EX!$B:$B,'Direct Charge'!$A182,BASE_EX!$C:$C,"abril")</f>
        <v>0</v>
      </c>
      <c r="AK182" s="373"/>
      <c r="AL182" s="372"/>
      <c r="AM182" s="343"/>
      <c r="AN182" s="332">
        <f>SUMIFS(BASE_EX!$J:$J,BASE_EX!$B:$B,'Direct Charge'!$A182,BASE_EX!$C:$C,"maio")</f>
        <v>0</v>
      </c>
      <c r="AO182" s="373"/>
      <c r="AP182" s="372"/>
      <c r="AQ182" s="343"/>
      <c r="AR182" s="332">
        <f>SUMIFS(BASE_EX!$J:$J,BASE_EX!$B:$B,'Direct Charge'!$A182,BASE_EX!$C:$C,"junho")</f>
        <v>0</v>
      </c>
      <c r="AS182" s="373"/>
      <c r="AT182" s="372"/>
      <c r="AU182" s="343"/>
      <c r="AV182" s="332">
        <f>SUMIFS(BASE_EX!$J:$J,BASE_EX!$B:$B,'Direct Charge'!$A182,BASE_EX!$C:$C,"julho")</f>
        <v>0</v>
      </c>
      <c r="AW182" s="373"/>
      <c r="AX182" s="372"/>
      <c r="AY182" s="343"/>
      <c r="AZ182" s="332">
        <f>SUMIFS(BASE_EX!$J:$J,BASE_EX!$B:$B,'Direct Charge'!$A182,BASE_EX!$C:$C,"agosto")</f>
        <v>0</v>
      </c>
      <c r="BA182" s="373"/>
      <c r="BB182" s="372"/>
      <c r="BC182" s="343"/>
      <c r="BD182" s="332">
        <f>SUMIFS(BASE_EX!$J:$J,BASE_EX!$B:$B,'Direct Charge'!$A182,BASE_EX!$C:$C,"setembro")</f>
        <v>0</v>
      </c>
      <c r="BE182" s="373"/>
      <c r="BF182" s="372"/>
      <c r="BG182" s="343"/>
      <c r="BH182" s="332">
        <f>SUMIFS(BASE_EX!$J:$J,BASE_EX!$B:$B,'Direct Charge'!$A182,BASE_EX!$C:$C,"outubro")</f>
        <v>0</v>
      </c>
      <c r="BI182" s="373"/>
      <c r="BJ182" s="372"/>
      <c r="BK182" s="343"/>
      <c r="BL182" s="332">
        <f>SUMIFS(BASE_EX!$J:$J,BASE_EX!$B:$B,'Direct Charge'!$A182,BASE_EX!$C:$C,"novembro")</f>
        <v>0</v>
      </c>
      <c r="BM182" s="373"/>
      <c r="BN182" s="372"/>
      <c r="BO182" s="343"/>
      <c r="BP182" s="332">
        <f>SUMIFS(BASE_EX!$J:$J,BASE_EX!$B:$B,'Direct Charge'!$A182,BASE_EX!$C:$C,"dezembro")</f>
        <v>0</v>
      </c>
      <c r="BQ182" s="373"/>
      <c r="BR182" s="452"/>
      <c r="BS182" s="156">
        <f t="shared" si="35"/>
        <v>0</v>
      </c>
      <c r="BT182" s="320">
        <f t="shared" si="36"/>
        <v>0</v>
      </c>
      <c r="BU182" s="157" t="e">
        <f>SUM(L182,M182,N182,O182,U182)-#REF!</f>
        <v>#REF!</v>
      </c>
      <c r="BV182" s="346">
        <f t="shared" si="37"/>
        <v>0</v>
      </c>
      <c r="BW182" s="344" t="str">
        <f>IFERROR(VLOOKUP($A182,'BASE_558 EX'!$D:$R,8,FALSE),"")</f>
        <v xml:space="preserve">           36.000,00</v>
      </c>
      <c r="BX182" s="344" t="str">
        <f>IFERROR(VLOOKUP($A182,'BASE_558 EX'!$D:$R,9,FALSE),"")</f>
        <v xml:space="preserve">           17.343,36</v>
      </c>
      <c r="BY182" s="344" t="str">
        <f>IFERROR(VLOOKUP($A182,'BASE_558 EX'!$D:$R,10,FALSE),"")</f>
        <v xml:space="preserve">                0,00</v>
      </c>
      <c r="BZ182" s="344" t="str">
        <f>IFERROR(VLOOKUP($A182,'BASE_558 EX'!$D:$R,11,FALSE),"")</f>
        <v xml:space="preserve">                0,00</v>
      </c>
      <c r="CA182" s="344">
        <f>IFERROR(IF(BASE_558!$P$14="RemOrdPla",(VLOOKUP(A182,BASE_558!D:R,14)/1000),(VLOOKUP(A182,BASE_558!D:R,13)/1000)),"")</f>
        <v>227.90908999999999</v>
      </c>
      <c r="CB182" s="344" t="str">
        <f>IFERROR(VLOOKUP($A182,'BASE_558 EX'!$D:$R,15,FALSE),"")</f>
        <v xml:space="preserve">           18.656,64</v>
      </c>
      <c r="CC182" s="442"/>
      <c r="CD182" s="442">
        <f t="shared" si="38"/>
        <v>0</v>
      </c>
    </row>
    <row r="183" spans="1:82" s="23" customFormat="1" ht="25.5" customHeight="1">
      <c r="A183" s="309" t="s">
        <v>2481</v>
      </c>
      <c r="B183" s="309"/>
      <c r="C183" s="187">
        <v>45237</v>
      </c>
      <c r="D183" s="381" t="s">
        <v>2079</v>
      </c>
      <c r="E183" s="381" t="s">
        <v>2079</v>
      </c>
      <c r="F183" s="309" t="s">
        <v>176</v>
      </c>
      <c r="G183" s="340" t="s">
        <v>2437</v>
      </c>
      <c r="H183" s="339" t="s">
        <v>614</v>
      </c>
      <c r="I183" s="45" t="s">
        <v>463</v>
      </c>
      <c r="J183" s="125" t="s">
        <v>219</v>
      </c>
      <c r="K183" s="46" t="s">
        <v>2590</v>
      </c>
      <c r="L183" s="206"/>
      <c r="M183" s="206"/>
      <c r="N183" s="206"/>
      <c r="O183" s="206">
        <v>0</v>
      </c>
      <c r="P183" s="206">
        <v>4351.2199999999993</v>
      </c>
      <c r="Q183" s="206">
        <f t="shared" si="33"/>
        <v>0</v>
      </c>
      <c r="R183" s="206"/>
      <c r="S183" s="206"/>
      <c r="T183" s="223"/>
      <c r="U183" s="169">
        <f t="shared" si="34"/>
        <v>0</v>
      </c>
      <c r="V183" s="372">
        <v>0</v>
      </c>
      <c r="W183" s="343"/>
      <c r="X183" s="332">
        <f>SUMIFS(BASE_EX!$J:$J,BASE_EX!$B:$B,'Direct Charge'!$A183,BASE_EX!$C:$C,"janeiro")</f>
        <v>0</v>
      </c>
      <c r="Y183" s="373"/>
      <c r="Z183" s="372">
        <v>0</v>
      </c>
      <c r="AA183" s="343"/>
      <c r="AB183" s="332">
        <f>SUMIFS(BASE_EX!$J:$J,BASE_EX!$B:$B,'Direct Charge'!$A183,BASE_EX!$C:$C,"fevereiro")</f>
        <v>0</v>
      </c>
      <c r="AC183" s="373"/>
      <c r="AD183" s="372"/>
      <c r="AE183" s="343"/>
      <c r="AF183" s="332">
        <f>SUMIFS(BASE_EX!$J:$J,BASE_EX!$B:$B,'Direct Charge'!$A183,BASE_EX!$C:$C,"março")</f>
        <v>0</v>
      </c>
      <c r="AG183" s="373"/>
      <c r="AH183" s="372"/>
      <c r="AI183" s="343"/>
      <c r="AJ183" s="332">
        <f>SUMIFS(BASE_EX!$J:$J,BASE_EX!$B:$B,'Direct Charge'!$A183,BASE_EX!$C:$C,"abril")</f>
        <v>0</v>
      </c>
      <c r="AK183" s="373"/>
      <c r="AL183" s="372"/>
      <c r="AM183" s="343"/>
      <c r="AN183" s="332">
        <f>SUMIFS(BASE_EX!$J:$J,BASE_EX!$B:$B,'Direct Charge'!$A183,BASE_EX!$C:$C,"maio")</f>
        <v>0</v>
      </c>
      <c r="AO183" s="373"/>
      <c r="AP183" s="372"/>
      <c r="AQ183" s="343"/>
      <c r="AR183" s="332">
        <f>SUMIFS(BASE_EX!$J:$J,BASE_EX!$B:$B,'Direct Charge'!$A183,BASE_EX!$C:$C,"junho")</f>
        <v>0</v>
      </c>
      <c r="AS183" s="373"/>
      <c r="AT183" s="372"/>
      <c r="AU183" s="343"/>
      <c r="AV183" s="332">
        <f>SUMIFS(BASE_EX!$J:$J,BASE_EX!$B:$B,'Direct Charge'!$A183,BASE_EX!$C:$C,"julho")</f>
        <v>0</v>
      </c>
      <c r="AW183" s="373"/>
      <c r="AX183" s="372"/>
      <c r="AY183" s="343"/>
      <c r="AZ183" s="332">
        <f>SUMIFS(BASE_EX!$J:$J,BASE_EX!$B:$B,'Direct Charge'!$A183,BASE_EX!$C:$C,"agosto")</f>
        <v>0</v>
      </c>
      <c r="BA183" s="373"/>
      <c r="BB183" s="372"/>
      <c r="BC183" s="343"/>
      <c r="BD183" s="332">
        <f>SUMIFS(BASE_EX!$J:$J,BASE_EX!$B:$B,'Direct Charge'!$A183,BASE_EX!$C:$C,"setembro")</f>
        <v>0</v>
      </c>
      <c r="BE183" s="373"/>
      <c r="BF183" s="372"/>
      <c r="BG183" s="343"/>
      <c r="BH183" s="332">
        <f>SUMIFS(BASE_EX!$J:$J,BASE_EX!$B:$B,'Direct Charge'!$A183,BASE_EX!$C:$C,"outubro")</f>
        <v>0</v>
      </c>
      <c r="BI183" s="373"/>
      <c r="BJ183" s="372"/>
      <c r="BK183" s="343"/>
      <c r="BL183" s="332">
        <f>SUMIFS(BASE_EX!$J:$J,BASE_EX!$B:$B,'Direct Charge'!$A183,BASE_EX!$C:$C,"novembro")</f>
        <v>0</v>
      </c>
      <c r="BM183" s="373"/>
      <c r="BN183" s="372"/>
      <c r="BO183" s="343"/>
      <c r="BP183" s="332">
        <f>SUMIFS(BASE_EX!$J:$J,BASE_EX!$B:$B,'Direct Charge'!$A183,BASE_EX!$C:$C,"dezembro")</f>
        <v>0</v>
      </c>
      <c r="BQ183" s="373"/>
      <c r="BR183" s="452"/>
      <c r="BS183" s="156">
        <f t="shared" si="35"/>
        <v>0</v>
      </c>
      <c r="BT183" s="320">
        <f t="shared" si="36"/>
        <v>0</v>
      </c>
      <c r="BU183" s="157" t="e">
        <f>SUM(L183,M183,N183,O183,U183)-#REF!</f>
        <v>#REF!</v>
      </c>
      <c r="BV183" s="346">
        <f t="shared" si="37"/>
        <v>0</v>
      </c>
      <c r="BW183" s="344" t="str">
        <f>IFERROR(VLOOKUP($A183,'BASE_558 EX'!$D:$R,8,FALSE),"")</f>
        <v xml:space="preserve">           23.108,00</v>
      </c>
      <c r="BX183" s="344" t="str">
        <f>IFERROR(VLOOKUP($A183,'BASE_558 EX'!$D:$R,9,FALSE),"")</f>
        <v xml:space="preserve">            4.351,22</v>
      </c>
      <c r="BY183" s="344" t="str">
        <f>IFERROR(VLOOKUP($A183,'BASE_558 EX'!$D:$R,10,FALSE),"")</f>
        <v xml:space="preserve">                0,00</v>
      </c>
      <c r="BZ183" s="344" t="str">
        <f>IFERROR(VLOOKUP($A183,'BASE_558 EX'!$D:$R,11,FALSE),"")</f>
        <v xml:space="preserve">                0,00</v>
      </c>
      <c r="CA183" s="344">
        <f>IFERROR(IF(BASE_558!$P$14="RemOrdPla",(VLOOKUP(A183,BASE_558!D:R,14)/1000),(VLOOKUP(A183,BASE_558!D:R,13)/1000)),"")</f>
        <v>932.66339000000005</v>
      </c>
      <c r="CB183" s="344" t="str">
        <f>IFERROR(VLOOKUP($A183,'BASE_558 EX'!$D:$R,15,FALSE),"")</f>
        <v xml:space="preserve">           18.756,78</v>
      </c>
      <c r="CC183" s="442"/>
      <c r="CD183" s="442">
        <f t="shared" si="38"/>
        <v>0</v>
      </c>
    </row>
    <row r="184" spans="1:82" s="23" customFormat="1" ht="25.5" customHeight="1">
      <c r="A184" s="309" t="s">
        <v>2495</v>
      </c>
      <c r="B184" s="309"/>
      <c r="C184" s="187">
        <v>45041</v>
      </c>
      <c r="D184" s="381" t="s">
        <v>481</v>
      </c>
      <c r="E184" s="381" t="s">
        <v>2485</v>
      </c>
      <c r="F184" s="309" t="s">
        <v>178</v>
      </c>
      <c r="G184" s="340" t="s">
        <v>2060</v>
      </c>
      <c r="H184" s="339" t="s">
        <v>614</v>
      </c>
      <c r="I184" s="45" t="s">
        <v>218</v>
      </c>
      <c r="J184" s="83" t="s">
        <v>557</v>
      </c>
      <c r="K184" s="46" t="s">
        <v>1906</v>
      </c>
      <c r="L184" s="206"/>
      <c r="M184" s="206"/>
      <c r="N184" s="206"/>
      <c r="O184" s="206">
        <v>0</v>
      </c>
      <c r="P184" s="206"/>
      <c r="Q184" s="206">
        <f t="shared" si="33"/>
        <v>0</v>
      </c>
      <c r="R184" s="206"/>
      <c r="S184" s="206"/>
      <c r="T184" s="223"/>
      <c r="U184" s="169">
        <f t="shared" si="34"/>
        <v>0</v>
      </c>
      <c r="V184" s="372">
        <v>0</v>
      </c>
      <c r="W184" s="343"/>
      <c r="X184" s="332">
        <f>SUMIFS(BASE_EX!$J:$J,BASE_EX!$B:$B,'Direct Charge'!$A184,BASE_EX!$C:$C,"janeiro")</f>
        <v>0</v>
      </c>
      <c r="Y184" s="373"/>
      <c r="Z184" s="372">
        <v>0</v>
      </c>
      <c r="AA184" s="343"/>
      <c r="AB184" s="332">
        <f>SUMIFS(BASE_EX!$J:$J,BASE_EX!$B:$B,'Direct Charge'!$A184,BASE_EX!$C:$C,"fevereiro")</f>
        <v>0</v>
      </c>
      <c r="AC184" s="373"/>
      <c r="AD184" s="372"/>
      <c r="AE184" s="343"/>
      <c r="AF184" s="332">
        <f>SUMIFS(BASE_EX!$J:$J,BASE_EX!$B:$B,'Direct Charge'!$A184,BASE_EX!$C:$C,"março")</f>
        <v>0</v>
      </c>
      <c r="AG184" s="373"/>
      <c r="AH184" s="372"/>
      <c r="AI184" s="343"/>
      <c r="AJ184" s="332">
        <f>SUMIFS(BASE_EX!$J:$J,BASE_EX!$B:$B,'Direct Charge'!$A184,BASE_EX!$C:$C,"abril")</f>
        <v>0</v>
      </c>
      <c r="AK184" s="373"/>
      <c r="AL184" s="372"/>
      <c r="AM184" s="343"/>
      <c r="AN184" s="332">
        <f>SUMIFS(BASE_EX!$J:$J,BASE_EX!$B:$B,'Direct Charge'!$A184,BASE_EX!$C:$C,"maio")</f>
        <v>0</v>
      </c>
      <c r="AO184" s="373"/>
      <c r="AP184" s="372"/>
      <c r="AQ184" s="343"/>
      <c r="AR184" s="332">
        <f>SUMIFS(BASE_EX!$J:$J,BASE_EX!$B:$B,'Direct Charge'!$A184,BASE_EX!$C:$C,"junho")</f>
        <v>0</v>
      </c>
      <c r="AS184" s="373"/>
      <c r="AT184" s="372"/>
      <c r="AU184" s="343"/>
      <c r="AV184" s="332">
        <f>SUMIFS(BASE_EX!$J:$J,BASE_EX!$B:$B,'Direct Charge'!$A184,BASE_EX!$C:$C,"julho")</f>
        <v>0</v>
      </c>
      <c r="AW184" s="373"/>
      <c r="AX184" s="372"/>
      <c r="AY184" s="343"/>
      <c r="AZ184" s="332">
        <f>SUMIFS(BASE_EX!$J:$J,BASE_EX!$B:$B,'Direct Charge'!$A184,BASE_EX!$C:$C,"agosto")</f>
        <v>0</v>
      </c>
      <c r="BA184" s="373"/>
      <c r="BB184" s="372"/>
      <c r="BC184" s="343"/>
      <c r="BD184" s="332">
        <f>SUMIFS(BASE_EX!$J:$J,BASE_EX!$B:$B,'Direct Charge'!$A184,BASE_EX!$C:$C,"setembro")</f>
        <v>0</v>
      </c>
      <c r="BE184" s="373"/>
      <c r="BF184" s="372"/>
      <c r="BG184" s="343"/>
      <c r="BH184" s="332">
        <f>SUMIFS(BASE_EX!$J:$J,BASE_EX!$B:$B,'Direct Charge'!$A184,BASE_EX!$C:$C,"outubro")</f>
        <v>0</v>
      </c>
      <c r="BI184" s="373"/>
      <c r="BJ184" s="372"/>
      <c r="BK184" s="343"/>
      <c r="BL184" s="332">
        <f>SUMIFS(BASE_EX!$J:$J,BASE_EX!$B:$B,'Direct Charge'!$A184,BASE_EX!$C:$C,"novembro")</f>
        <v>0</v>
      </c>
      <c r="BM184" s="373"/>
      <c r="BN184" s="372"/>
      <c r="BO184" s="343"/>
      <c r="BP184" s="332">
        <f>SUMIFS(BASE_EX!$J:$J,BASE_EX!$B:$B,'Direct Charge'!$A184,BASE_EX!$C:$C,"dezembro")</f>
        <v>0</v>
      </c>
      <c r="BQ184" s="373"/>
      <c r="BR184" s="452">
        <v>25000</v>
      </c>
      <c r="BS184" s="156">
        <f t="shared" si="35"/>
        <v>0</v>
      </c>
      <c r="BT184" s="320">
        <f t="shared" si="36"/>
        <v>0</v>
      </c>
      <c r="BU184" s="157" t="e">
        <f>SUM(L184,M184,N184,O184,U184)-#REF!</f>
        <v>#REF!</v>
      </c>
      <c r="BV184" s="346">
        <f t="shared" si="37"/>
        <v>0</v>
      </c>
      <c r="BW184" s="344" t="str">
        <f>IFERROR(VLOOKUP($A184,'BASE_558 EX'!$D:$R,8,FALSE),"")</f>
        <v xml:space="preserve">                0,00</v>
      </c>
      <c r="BX184" s="344" t="str">
        <f>IFERROR(VLOOKUP($A184,'BASE_558 EX'!$D:$R,9,FALSE),"")</f>
        <v xml:space="preserve">                0,00</v>
      </c>
      <c r="BY184" s="344" t="str">
        <f>IFERROR(VLOOKUP($A184,'BASE_558 EX'!$D:$R,10,FALSE),"")</f>
        <v xml:space="preserve">                0,00</v>
      </c>
      <c r="BZ184" s="344" t="str">
        <f>IFERROR(VLOOKUP($A184,'BASE_558 EX'!$D:$R,11,FALSE),"")</f>
        <v xml:space="preserve">                0,00</v>
      </c>
      <c r="CA184" s="344">
        <f>IFERROR(IF(BASE_558!$P$14="RemOrdPla",(VLOOKUP(A184,BASE_558!D:R,14)/1000),(VLOOKUP(A184,BASE_558!D:R,13)/1000)),"")</f>
        <v>0</v>
      </c>
      <c r="CB184" s="344" t="str">
        <f>IFERROR(VLOOKUP($A184,'BASE_558 EX'!$D:$R,15,FALSE),"")</f>
        <v xml:space="preserve">                0,00</v>
      </c>
      <c r="CC184" s="442"/>
      <c r="CD184" s="442">
        <f t="shared" si="38"/>
        <v>0</v>
      </c>
    </row>
    <row r="185" spans="1:82" s="23" customFormat="1" ht="25.5" customHeight="1">
      <c r="A185" s="309" t="s">
        <v>2602</v>
      </c>
      <c r="B185" s="309"/>
      <c r="C185" s="187"/>
      <c r="D185" s="381" t="s">
        <v>2208</v>
      </c>
      <c r="E185" s="381" t="s">
        <v>1707</v>
      </c>
      <c r="F185" s="309" t="s">
        <v>176</v>
      </c>
      <c r="G185" s="340" t="s">
        <v>3279</v>
      </c>
      <c r="H185" s="339" t="s">
        <v>8878</v>
      </c>
      <c r="I185" s="45" t="s">
        <v>195</v>
      </c>
      <c r="J185" s="125" t="s">
        <v>462</v>
      </c>
      <c r="K185" s="470" t="s">
        <v>2669</v>
      </c>
      <c r="L185" s="206"/>
      <c r="M185" s="206"/>
      <c r="N185" s="206"/>
      <c r="O185" s="206"/>
      <c r="P185" s="206">
        <v>1220.48</v>
      </c>
      <c r="Q185" s="206">
        <f t="shared" si="33"/>
        <v>0</v>
      </c>
      <c r="R185" s="206"/>
      <c r="S185" s="206"/>
      <c r="T185" s="223"/>
      <c r="U185" s="169">
        <f t="shared" si="34"/>
        <v>0</v>
      </c>
      <c r="V185" s="372">
        <v>0</v>
      </c>
      <c r="W185" s="343"/>
      <c r="X185" s="332">
        <f>SUMIFS(BASE_EX!$J:$J,BASE_EX!$B:$B,'Direct Charge'!$A185,BASE_EX!$C:$C,"janeiro")</f>
        <v>0</v>
      </c>
      <c r="Y185" s="373"/>
      <c r="Z185" s="372">
        <v>0</v>
      </c>
      <c r="AA185" s="343"/>
      <c r="AB185" s="332">
        <f>SUMIFS(BASE_EX!$J:$J,BASE_EX!$B:$B,'Direct Charge'!$A185,BASE_EX!$C:$C,"fevereiro")</f>
        <v>0</v>
      </c>
      <c r="AC185" s="373"/>
      <c r="AD185" s="372"/>
      <c r="AE185" s="343"/>
      <c r="AF185" s="332">
        <f>SUMIFS(BASE_EX!$J:$J,BASE_EX!$B:$B,'Direct Charge'!$A185,BASE_EX!$C:$C,"março")</f>
        <v>0</v>
      </c>
      <c r="AG185" s="373"/>
      <c r="AH185" s="372"/>
      <c r="AI185" s="343"/>
      <c r="AJ185" s="332">
        <f>SUMIFS(BASE_EX!$J:$J,BASE_EX!$B:$B,'Direct Charge'!$A185,BASE_EX!$C:$C,"abril")</f>
        <v>0</v>
      </c>
      <c r="AK185" s="373"/>
      <c r="AL185" s="372"/>
      <c r="AM185" s="343"/>
      <c r="AN185" s="332">
        <f>SUMIFS(BASE_EX!$J:$J,BASE_EX!$B:$B,'Direct Charge'!$A185,BASE_EX!$C:$C,"maio")</f>
        <v>0</v>
      </c>
      <c r="AO185" s="373"/>
      <c r="AP185" s="372"/>
      <c r="AQ185" s="343"/>
      <c r="AR185" s="332">
        <f>SUMIFS(BASE_EX!$J:$J,BASE_EX!$B:$B,'Direct Charge'!$A185,BASE_EX!$C:$C,"junho")</f>
        <v>0</v>
      </c>
      <c r="AS185" s="373"/>
      <c r="AT185" s="372"/>
      <c r="AU185" s="343"/>
      <c r="AV185" s="332">
        <f>SUMIFS(BASE_EX!$J:$J,BASE_EX!$B:$B,'Direct Charge'!$A185,BASE_EX!$C:$C,"julho")</f>
        <v>0</v>
      </c>
      <c r="AW185" s="373"/>
      <c r="AX185" s="372"/>
      <c r="AY185" s="343"/>
      <c r="AZ185" s="332">
        <f>SUMIFS(BASE_EX!$J:$J,BASE_EX!$B:$B,'Direct Charge'!$A185,BASE_EX!$C:$C,"agosto")</f>
        <v>0</v>
      </c>
      <c r="BA185" s="373"/>
      <c r="BB185" s="372"/>
      <c r="BC185" s="343"/>
      <c r="BD185" s="332">
        <f>SUMIFS(BASE_EX!$J:$J,BASE_EX!$B:$B,'Direct Charge'!$A185,BASE_EX!$C:$C,"setembro")</f>
        <v>0</v>
      </c>
      <c r="BE185" s="373"/>
      <c r="BF185" s="372"/>
      <c r="BG185" s="343"/>
      <c r="BH185" s="332">
        <f>SUMIFS(BASE_EX!$J:$J,BASE_EX!$B:$B,'Direct Charge'!$A185,BASE_EX!$C:$C,"outubro")</f>
        <v>0</v>
      </c>
      <c r="BI185" s="373"/>
      <c r="BJ185" s="372"/>
      <c r="BK185" s="343"/>
      <c r="BL185" s="332">
        <f>SUMIFS(BASE_EX!$J:$J,BASE_EX!$B:$B,'Direct Charge'!$A185,BASE_EX!$C:$C,"novembro")</f>
        <v>0</v>
      </c>
      <c r="BM185" s="373"/>
      <c r="BN185" s="372"/>
      <c r="BO185" s="343"/>
      <c r="BP185" s="332">
        <f>SUMIFS(BASE_EX!$J:$J,BASE_EX!$B:$B,'Direct Charge'!$A185,BASE_EX!$C:$C,"dezembro")</f>
        <v>0</v>
      </c>
      <c r="BQ185" s="373"/>
      <c r="BR185" s="452"/>
      <c r="BS185" s="156">
        <f t="shared" si="35"/>
        <v>0</v>
      </c>
      <c r="BT185" s="320">
        <f t="shared" si="36"/>
        <v>0</v>
      </c>
      <c r="BU185" s="157" t="e">
        <f>SUM(L185,M185,N185,O185,U185)-#REF!</f>
        <v>#REF!</v>
      </c>
      <c r="BV185" s="346">
        <f t="shared" si="37"/>
        <v>0</v>
      </c>
      <c r="BW185" s="344" t="str">
        <f>IFERROR(VLOOKUP($A185,'BASE_558 EX'!$D:$R,8,FALSE),"")</f>
        <v/>
      </c>
      <c r="BX185" s="344" t="str">
        <f>IFERROR(VLOOKUP($A185,'BASE_558 EX'!$D:$R,9,FALSE),"")</f>
        <v/>
      </c>
      <c r="BY185" s="344" t="str">
        <f>IFERROR(VLOOKUP($A185,'BASE_558 EX'!$D:$R,10,FALSE),"")</f>
        <v/>
      </c>
      <c r="BZ185" s="344" t="str">
        <f>IFERROR(VLOOKUP($A185,'BASE_558 EX'!$D:$R,11,FALSE),"")</f>
        <v/>
      </c>
      <c r="CA185" s="344">
        <f>IFERROR(IF(BASE_558!$P$14="RemOrdPla",(VLOOKUP(A185,BASE_558!D:R,14)/1000),(VLOOKUP(A185,BASE_558!D:R,13)/1000)),"")</f>
        <v>0</v>
      </c>
      <c r="CB185" s="344" t="str">
        <f>IFERROR(VLOOKUP($A185,'BASE_558 EX'!$D:$R,15,FALSE),"")</f>
        <v/>
      </c>
      <c r="CC185" s="442"/>
      <c r="CD185" s="442">
        <f t="shared" si="38"/>
        <v>0</v>
      </c>
    </row>
    <row r="186" spans="1:82" s="23" customFormat="1" ht="25.5" customHeight="1">
      <c r="A186" s="309" t="s">
        <v>2642</v>
      </c>
      <c r="B186" s="309"/>
      <c r="C186" s="187">
        <v>45251</v>
      </c>
      <c r="D186" s="381" t="s">
        <v>1125</v>
      </c>
      <c r="E186" s="309" t="s">
        <v>2251</v>
      </c>
      <c r="F186" s="309" t="s">
        <v>176</v>
      </c>
      <c r="G186" s="340" t="s">
        <v>2480</v>
      </c>
      <c r="H186" s="339" t="s">
        <v>614</v>
      </c>
      <c r="I186" s="45" t="s">
        <v>463</v>
      </c>
      <c r="J186" s="125" t="s">
        <v>219</v>
      </c>
      <c r="K186" s="46"/>
      <c r="L186" s="206"/>
      <c r="M186" s="206"/>
      <c r="N186" s="206"/>
      <c r="O186" s="206">
        <v>0</v>
      </c>
      <c r="P186" s="206"/>
      <c r="Q186" s="206">
        <f t="shared" si="33"/>
        <v>0</v>
      </c>
      <c r="R186" s="206"/>
      <c r="S186" s="206"/>
      <c r="T186" s="223"/>
      <c r="U186" s="169">
        <f t="shared" si="34"/>
        <v>0</v>
      </c>
      <c r="V186" s="372">
        <v>0</v>
      </c>
      <c r="W186" s="343"/>
      <c r="X186" s="332">
        <f>SUMIFS(BASE_EX!$J:$J,BASE_EX!$B:$B,'Direct Charge'!$A186,BASE_EX!$C:$C,"janeiro")</f>
        <v>0</v>
      </c>
      <c r="Y186" s="373"/>
      <c r="Z186" s="372">
        <v>0</v>
      </c>
      <c r="AA186" s="343"/>
      <c r="AB186" s="332">
        <f>SUMIFS(BASE_EX!$J:$J,BASE_EX!$B:$B,'Direct Charge'!$A186,BASE_EX!$C:$C,"fevereiro")</f>
        <v>0</v>
      </c>
      <c r="AC186" s="373"/>
      <c r="AD186" s="372"/>
      <c r="AE186" s="343"/>
      <c r="AF186" s="332">
        <f>SUMIFS(BASE_EX!$J:$J,BASE_EX!$B:$B,'Direct Charge'!$A186,BASE_EX!$C:$C,"março")</f>
        <v>0</v>
      </c>
      <c r="AG186" s="373"/>
      <c r="AH186" s="372"/>
      <c r="AI186" s="343"/>
      <c r="AJ186" s="332">
        <f>SUMIFS(BASE_EX!$J:$J,BASE_EX!$B:$B,'Direct Charge'!$A186,BASE_EX!$C:$C,"abril")</f>
        <v>0</v>
      </c>
      <c r="AK186" s="373"/>
      <c r="AL186" s="372"/>
      <c r="AM186" s="343"/>
      <c r="AN186" s="332">
        <f>SUMIFS(BASE_EX!$J:$J,BASE_EX!$B:$B,'Direct Charge'!$A186,BASE_EX!$C:$C,"maio")</f>
        <v>0</v>
      </c>
      <c r="AO186" s="373"/>
      <c r="AP186" s="372"/>
      <c r="AQ186" s="343"/>
      <c r="AR186" s="332">
        <f>SUMIFS(BASE_EX!$J:$J,BASE_EX!$B:$B,'Direct Charge'!$A186,BASE_EX!$C:$C,"junho")</f>
        <v>0</v>
      </c>
      <c r="AS186" s="373"/>
      <c r="AT186" s="372"/>
      <c r="AU186" s="343"/>
      <c r="AV186" s="332">
        <f>SUMIFS(BASE_EX!$J:$J,BASE_EX!$B:$B,'Direct Charge'!$A186,BASE_EX!$C:$C,"julho")</f>
        <v>0</v>
      </c>
      <c r="AW186" s="373"/>
      <c r="AX186" s="372"/>
      <c r="AY186" s="343"/>
      <c r="AZ186" s="332">
        <f>SUMIFS(BASE_EX!$J:$J,BASE_EX!$B:$B,'Direct Charge'!$A186,BASE_EX!$C:$C,"agosto")</f>
        <v>0</v>
      </c>
      <c r="BA186" s="373"/>
      <c r="BB186" s="372"/>
      <c r="BC186" s="343"/>
      <c r="BD186" s="332">
        <f>SUMIFS(BASE_EX!$J:$J,BASE_EX!$B:$B,'Direct Charge'!$A186,BASE_EX!$C:$C,"setembro")</f>
        <v>0</v>
      </c>
      <c r="BE186" s="373"/>
      <c r="BF186" s="372"/>
      <c r="BG186" s="343"/>
      <c r="BH186" s="332">
        <f>SUMIFS(BASE_EX!$J:$J,BASE_EX!$B:$B,'Direct Charge'!$A186,BASE_EX!$C:$C,"outubro")</f>
        <v>0</v>
      </c>
      <c r="BI186" s="373"/>
      <c r="BJ186" s="372"/>
      <c r="BK186" s="343"/>
      <c r="BL186" s="332">
        <f>SUMIFS(BASE_EX!$J:$J,BASE_EX!$B:$B,'Direct Charge'!$A186,BASE_EX!$C:$C,"novembro")</f>
        <v>0</v>
      </c>
      <c r="BM186" s="373"/>
      <c r="BN186" s="372"/>
      <c r="BO186" s="343"/>
      <c r="BP186" s="332">
        <f>SUMIFS(BASE_EX!$J:$J,BASE_EX!$B:$B,'Direct Charge'!$A186,BASE_EX!$C:$C,"dezembro")</f>
        <v>0</v>
      </c>
      <c r="BQ186" s="373"/>
      <c r="BR186" s="452"/>
      <c r="BS186" s="156">
        <f t="shared" si="35"/>
        <v>0</v>
      </c>
      <c r="BT186" s="320">
        <f t="shared" si="36"/>
        <v>0</v>
      </c>
      <c r="BU186" s="157" t="e">
        <f>SUM(L186,M186,N186,O186,U186)-#REF!</f>
        <v>#REF!</v>
      </c>
      <c r="BV186" s="346">
        <f t="shared" si="37"/>
        <v>0</v>
      </c>
      <c r="BW186" s="344" t="str">
        <f>IFERROR(VLOOKUP($A186,'BASE_558 EX'!$D:$R,8,FALSE),"")</f>
        <v xml:space="preserve">           10.020,00</v>
      </c>
      <c r="BX186" s="344" t="str">
        <f>IFERROR(VLOOKUP($A186,'BASE_558 EX'!$D:$R,9,FALSE),"")</f>
        <v xml:space="preserve">                0,00</v>
      </c>
      <c r="BY186" s="344" t="str">
        <f>IFERROR(VLOOKUP($A186,'BASE_558 EX'!$D:$R,10,FALSE),"")</f>
        <v xml:space="preserve">                0,00</v>
      </c>
      <c r="BZ186" s="344" t="str">
        <f>IFERROR(VLOOKUP($A186,'BASE_558 EX'!$D:$R,11,FALSE),"")</f>
        <v xml:space="preserve">                0,00</v>
      </c>
      <c r="CA186" s="344">
        <f>IFERROR(IF(BASE_558!$P$14="RemOrdPla",(VLOOKUP(A186,BASE_558!D:R,14)/1000),(VLOOKUP(A186,BASE_558!D:R,13)/1000)),"")</f>
        <v>139.98316</v>
      </c>
      <c r="CB186" s="344" t="str">
        <f>IFERROR(VLOOKUP($A186,'BASE_558 EX'!$D:$R,15,FALSE),"")</f>
        <v xml:space="preserve">           10.020,00</v>
      </c>
      <c r="CC186" s="442"/>
      <c r="CD186" s="442">
        <f t="shared" si="38"/>
        <v>0</v>
      </c>
    </row>
    <row r="187" spans="1:82" s="23" customFormat="1" ht="25.5" customHeight="1">
      <c r="A187" s="309" t="s">
        <v>2723</v>
      </c>
      <c r="B187" s="309"/>
      <c r="C187" s="187">
        <v>45419</v>
      </c>
      <c r="D187" s="381" t="s">
        <v>2208</v>
      </c>
      <c r="E187" s="381" t="s">
        <v>2186</v>
      </c>
      <c r="F187" s="309" t="s">
        <v>176</v>
      </c>
      <c r="G187" s="339" t="s">
        <v>6762</v>
      </c>
      <c r="H187" s="339" t="s">
        <v>614</v>
      </c>
      <c r="I187" s="45" t="s">
        <v>195</v>
      </c>
      <c r="J187" s="125" t="s">
        <v>219</v>
      </c>
      <c r="K187" s="46"/>
      <c r="L187" s="206"/>
      <c r="M187" s="206"/>
      <c r="N187" s="206"/>
      <c r="O187" s="206"/>
      <c r="P187" s="206"/>
      <c r="Q187" s="206">
        <f t="shared" si="33"/>
        <v>0</v>
      </c>
      <c r="R187" s="206"/>
      <c r="S187" s="206"/>
      <c r="T187" s="223"/>
      <c r="U187" s="169">
        <f t="shared" si="34"/>
        <v>0</v>
      </c>
      <c r="V187" s="372">
        <v>0</v>
      </c>
      <c r="W187" s="343"/>
      <c r="X187" s="332">
        <f>SUMIFS(BASE_EX!$J:$J,BASE_EX!$B:$B,'Direct Charge'!$A187,BASE_EX!$C:$C,"janeiro")</f>
        <v>0</v>
      </c>
      <c r="Y187" s="373"/>
      <c r="Z187" s="372">
        <v>0</v>
      </c>
      <c r="AA187" s="343"/>
      <c r="AB187" s="332">
        <f>SUMIFS(BASE_EX!$J:$J,BASE_EX!$B:$B,'Direct Charge'!$A187,BASE_EX!$C:$C,"fevereiro")</f>
        <v>0</v>
      </c>
      <c r="AC187" s="373"/>
      <c r="AD187" s="372"/>
      <c r="AE187" s="343"/>
      <c r="AF187" s="332">
        <f>SUMIFS(BASE_EX!$J:$J,BASE_EX!$B:$B,'Direct Charge'!$A187,BASE_EX!$C:$C,"março")</f>
        <v>0</v>
      </c>
      <c r="AG187" s="373"/>
      <c r="AH187" s="372"/>
      <c r="AI187" s="343"/>
      <c r="AJ187" s="332">
        <f>SUMIFS(BASE_EX!$J:$J,BASE_EX!$B:$B,'Direct Charge'!$A187,BASE_EX!$C:$C,"abril")</f>
        <v>0</v>
      </c>
      <c r="AK187" s="373"/>
      <c r="AL187" s="372"/>
      <c r="AM187" s="343"/>
      <c r="AN187" s="332">
        <f>SUMIFS(BASE_EX!$J:$J,BASE_EX!$B:$B,'Direct Charge'!$A187,BASE_EX!$C:$C,"maio")</f>
        <v>0</v>
      </c>
      <c r="AO187" s="373"/>
      <c r="AP187" s="372"/>
      <c r="AQ187" s="343"/>
      <c r="AR187" s="332">
        <f>SUMIFS(BASE_EX!$J:$J,BASE_EX!$B:$B,'Direct Charge'!$A187,BASE_EX!$C:$C,"junho")</f>
        <v>0</v>
      </c>
      <c r="AS187" s="373"/>
      <c r="AT187" s="372"/>
      <c r="AU187" s="343"/>
      <c r="AV187" s="332">
        <f>SUMIFS(BASE_EX!$J:$J,BASE_EX!$B:$B,'Direct Charge'!$A187,BASE_EX!$C:$C,"julho")</f>
        <v>0</v>
      </c>
      <c r="AW187" s="373"/>
      <c r="AX187" s="372"/>
      <c r="AY187" s="343"/>
      <c r="AZ187" s="332">
        <f>SUMIFS(BASE_EX!$J:$J,BASE_EX!$B:$B,'Direct Charge'!$A187,BASE_EX!$C:$C,"agosto")</f>
        <v>0</v>
      </c>
      <c r="BA187" s="373"/>
      <c r="BB187" s="372"/>
      <c r="BC187" s="343"/>
      <c r="BD187" s="332">
        <f>SUMIFS(BASE_EX!$J:$J,BASE_EX!$B:$B,'Direct Charge'!$A187,BASE_EX!$C:$C,"setembro")</f>
        <v>0</v>
      </c>
      <c r="BE187" s="373"/>
      <c r="BF187" s="372"/>
      <c r="BG187" s="343"/>
      <c r="BH187" s="332">
        <f>SUMIFS(BASE_EX!$J:$J,BASE_EX!$B:$B,'Direct Charge'!$A187,BASE_EX!$C:$C,"outubro")</f>
        <v>0</v>
      </c>
      <c r="BI187" s="373"/>
      <c r="BJ187" s="372"/>
      <c r="BK187" s="343"/>
      <c r="BL187" s="332">
        <f>SUMIFS(BASE_EX!$J:$J,BASE_EX!$B:$B,'Direct Charge'!$A187,BASE_EX!$C:$C,"novembro")</f>
        <v>0</v>
      </c>
      <c r="BM187" s="373"/>
      <c r="BN187" s="372"/>
      <c r="BO187" s="343"/>
      <c r="BP187" s="332">
        <f>SUMIFS(BASE_EX!$J:$J,BASE_EX!$B:$B,'Direct Charge'!$A187,BASE_EX!$C:$C,"dezembro")</f>
        <v>0</v>
      </c>
      <c r="BQ187" s="373"/>
      <c r="BR187" s="452">
        <v>120000</v>
      </c>
      <c r="BS187" s="156">
        <f t="shared" si="35"/>
        <v>0</v>
      </c>
      <c r="BT187" s="320">
        <f t="shared" si="36"/>
        <v>0</v>
      </c>
      <c r="BU187" s="157" t="e">
        <f>SUM(L187,M187,N187,O187,U187)-#REF!</f>
        <v>#REF!</v>
      </c>
      <c r="BV187" s="346">
        <f t="shared" si="37"/>
        <v>0</v>
      </c>
      <c r="BW187" s="344" t="str">
        <f>IFERROR(VLOOKUP($A187,'BASE_558 EX'!$D:$R,8,FALSE),"")</f>
        <v xml:space="preserve">          138.838,00</v>
      </c>
      <c r="BX187" s="344" t="str">
        <f>IFERROR(VLOOKUP($A187,'BASE_558 EX'!$D:$R,9,FALSE),"")</f>
        <v xml:space="preserve">                0,00</v>
      </c>
      <c r="BY187" s="344" t="str">
        <f>IFERROR(VLOOKUP($A187,'BASE_558 EX'!$D:$R,10,FALSE),"")</f>
        <v xml:space="preserve">                0,00</v>
      </c>
      <c r="BZ187" s="344" t="str">
        <f>IFERROR(VLOOKUP($A187,'BASE_558 EX'!$D:$R,11,FALSE),"")</f>
        <v xml:space="preserve">                0,00</v>
      </c>
      <c r="CA187" s="344">
        <f>IFERROR(IF(BASE_558!$P$14="RemOrdPla",(VLOOKUP(A187,BASE_558!D:R,14)/1000),(VLOOKUP(A187,BASE_558!D:R,13)/1000)),"")</f>
        <v>466.10328999999996</v>
      </c>
      <c r="CB187" s="344" t="str">
        <f>IFERROR(VLOOKUP($A187,'BASE_558 EX'!$D:$R,15,FALSE),"")</f>
        <v xml:space="preserve">          138.838,00</v>
      </c>
      <c r="CC187" s="442"/>
      <c r="CD187" s="442">
        <f t="shared" si="38"/>
        <v>0</v>
      </c>
    </row>
    <row r="188" spans="1:82" s="23" customFormat="1" ht="25.5" customHeight="1">
      <c r="A188" s="309" t="s">
        <v>7180</v>
      </c>
      <c r="B188" s="309"/>
      <c r="C188" s="187"/>
      <c r="D188" s="381"/>
      <c r="E188" s="381" t="s">
        <v>7182</v>
      </c>
      <c r="F188" s="309" t="s">
        <v>2508</v>
      </c>
      <c r="G188" s="341" t="s">
        <v>7181</v>
      </c>
      <c r="H188" s="339" t="s">
        <v>8878</v>
      </c>
      <c r="I188" s="45" t="s">
        <v>463</v>
      </c>
      <c r="J188" s="125" t="s">
        <v>219</v>
      </c>
      <c r="K188" s="298"/>
      <c r="L188" s="206"/>
      <c r="M188" s="206"/>
      <c r="N188" s="206"/>
      <c r="O188" s="206"/>
      <c r="P188" s="206">
        <v>0</v>
      </c>
      <c r="Q188" s="206">
        <f t="shared" si="33"/>
        <v>14409.490000000002</v>
      </c>
      <c r="R188" s="206"/>
      <c r="S188" s="206"/>
      <c r="T188" s="223"/>
      <c r="U188" s="169">
        <f t="shared" si="34"/>
        <v>14409.490000000002</v>
      </c>
      <c r="V188" s="372">
        <v>2850.9399999999996</v>
      </c>
      <c r="W188" s="343">
        <v>2850.94</v>
      </c>
      <c r="X188" s="332">
        <f>SUMIFS(BASE_EX!$J:$J,BASE_EX!$B:$B,'Direct Charge'!$A188,BASE_EX!$C:$C,"janeiro")</f>
        <v>2850.9399999999996</v>
      </c>
      <c r="Y188" s="373">
        <v>2850.9399999999996</v>
      </c>
      <c r="Z188" s="372">
        <v>6467.2099999999991</v>
      </c>
      <c r="AA188" s="343">
        <v>6320.3599999999988</v>
      </c>
      <c r="AB188" s="332">
        <f>SUMIFS(BASE_EX!$J:$J,BASE_EX!$B:$B,'Direct Charge'!$A188,BASE_EX!$C:$C,"fevereiro")</f>
        <v>6320.36</v>
      </c>
      <c r="AC188" s="373">
        <v>6320.36</v>
      </c>
      <c r="AD188" s="372">
        <v>10000</v>
      </c>
      <c r="AE188" s="343">
        <v>-9141.43</v>
      </c>
      <c r="AF188" s="332">
        <f>SUMIFS(BASE_EX!$J:$J,BASE_EX!$B:$B,'Direct Charge'!$A188,BASE_EX!$C:$C,"março")</f>
        <v>-9141.4299999999985</v>
      </c>
      <c r="AG188" s="373">
        <v>-9141.4299999999985</v>
      </c>
      <c r="AH188" s="372">
        <v>5000</v>
      </c>
      <c r="AI188" s="343">
        <v>3181.62</v>
      </c>
      <c r="AJ188" s="332">
        <f>SUMIFS(BASE_EX!$J:$J,BASE_EX!$B:$B,'Direct Charge'!$A188,BASE_EX!$C:$C,"abril")</f>
        <v>3181.62</v>
      </c>
      <c r="AK188" s="373">
        <v>3181.62</v>
      </c>
      <c r="AL188" s="372">
        <v>11198</v>
      </c>
      <c r="AM188" s="343"/>
      <c r="AN188" s="332">
        <f>SUMIFS(BASE_EX!$J:$J,BASE_EX!$B:$B,'Direct Charge'!$A188,BASE_EX!$C:$C,"maio")</f>
        <v>0</v>
      </c>
      <c r="AO188" s="373"/>
      <c r="AP188" s="372">
        <v>11198</v>
      </c>
      <c r="AQ188" s="343"/>
      <c r="AR188" s="332">
        <f>SUMIFS(BASE_EX!$J:$J,BASE_EX!$B:$B,'Direct Charge'!$A188,BASE_EX!$C:$C,"junho")</f>
        <v>0</v>
      </c>
      <c r="AS188" s="373">
        <v>0</v>
      </c>
      <c r="AT188" s="372"/>
      <c r="AU188" s="343"/>
      <c r="AV188" s="332">
        <f>SUMIFS(BASE_EX!$J:$J,BASE_EX!$B:$B,'Direct Charge'!$A188,BASE_EX!$C:$C,"julho")</f>
        <v>0</v>
      </c>
      <c r="AW188" s="373">
        <v>11198</v>
      </c>
      <c r="AX188" s="372"/>
      <c r="AY188" s="343"/>
      <c r="AZ188" s="332">
        <f>SUMIFS(BASE_EX!$J:$J,BASE_EX!$B:$B,'Direct Charge'!$A188,BASE_EX!$C:$C,"agosto")</f>
        <v>0</v>
      </c>
      <c r="BA188" s="373"/>
      <c r="BB188" s="372"/>
      <c r="BC188" s="343"/>
      <c r="BD188" s="332">
        <f>SUMIFS(BASE_EX!$J:$J,BASE_EX!$B:$B,'Direct Charge'!$A188,BASE_EX!$C:$C,"setembro")</f>
        <v>0</v>
      </c>
      <c r="BE188" s="373"/>
      <c r="BF188" s="372"/>
      <c r="BG188" s="343"/>
      <c r="BH188" s="332">
        <f>SUMIFS(BASE_EX!$J:$J,BASE_EX!$B:$B,'Direct Charge'!$A188,BASE_EX!$C:$C,"outubro")</f>
        <v>0</v>
      </c>
      <c r="BI188" s="373"/>
      <c r="BJ188" s="372"/>
      <c r="BK188" s="343"/>
      <c r="BL188" s="332">
        <f>SUMIFS(BASE_EX!$J:$J,BASE_EX!$B:$B,'Direct Charge'!$A188,BASE_EX!$C:$C,"novembro")</f>
        <v>0</v>
      </c>
      <c r="BM188" s="373"/>
      <c r="BN188" s="372"/>
      <c r="BO188" s="343"/>
      <c r="BP188" s="332">
        <f>SUMIFS(BASE_EX!$J:$J,BASE_EX!$B:$B,'Direct Charge'!$A188,BASE_EX!$C:$C,"dezembro")</f>
        <v>0</v>
      </c>
      <c r="BQ188" s="373"/>
      <c r="BR188" s="452">
        <v>70000</v>
      </c>
      <c r="BS188" s="156">
        <f t="shared" si="35"/>
        <v>-11198</v>
      </c>
      <c r="BT188" s="320">
        <f t="shared" si="36"/>
        <v>0</v>
      </c>
      <c r="BU188" s="157" t="e">
        <f>SUM(L188,M188,N188,O188,U188)-#REF!</f>
        <v>#REF!</v>
      </c>
      <c r="BV188" s="346">
        <f t="shared" si="37"/>
        <v>14409.490000000002</v>
      </c>
      <c r="BW188" s="344" t="str">
        <f>IFERROR(VLOOKUP($A188,'BASE_558 EX'!$D:$R,8,FALSE),"")</f>
        <v xml:space="preserve">           75.000,00</v>
      </c>
      <c r="BX188" s="344" t="str">
        <f>IFERROR(VLOOKUP($A188,'BASE_558 EX'!$D:$R,9,FALSE),"")</f>
        <v xml:space="preserve">            3.211,49</v>
      </c>
      <c r="BY188" s="344" t="str">
        <f>IFERROR(VLOOKUP($A188,'BASE_558 EX'!$D:$R,10,FALSE),"")</f>
        <v xml:space="preserve">           11.198,91</v>
      </c>
      <c r="BZ188" s="344" t="str">
        <f>IFERROR(VLOOKUP($A188,'BASE_558 EX'!$D:$R,11,FALSE),"")</f>
        <v xml:space="preserve">                0,00</v>
      </c>
      <c r="CA188" s="344">
        <f>IFERROR(IF(BASE_558!$P$14="RemOrdPla",(VLOOKUP(A188,BASE_558!D:R,14)/1000),(VLOOKUP(A188,BASE_558!D:R,13)/1000)),"")</f>
        <v>324.49419</v>
      </c>
      <c r="CB188" s="344" t="str">
        <f>IFERROR(VLOOKUP($A188,'BASE_558 EX'!$D:$R,15,FALSE),"")</f>
        <v xml:space="preserve">           60.589,60</v>
      </c>
      <c r="CC188" s="442"/>
      <c r="CD188" s="442">
        <f t="shared" si="38"/>
        <v>0</v>
      </c>
    </row>
    <row r="189" spans="1:82" s="23" customFormat="1" ht="25.5" customHeight="1">
      <c r="A189" s="309" t="s">
        <v>2791</v>
      </c>
      <c r="B189" s="309"/>
      <c r="C189" s="187"/>
      <c r="D189" s="381" t="s">
        <v>2208</v>
      </c>
      <c r="E189" s="381" t="s">
        <v>2485</v>
      </c>
      <c r="F189" s="309" t="s">
        <v>178</v>
      </c>
      <c r="G189" s="341" t="s">
        <v>2773</v>
      </c>
      <c r="H189" s="339" t="s">
        <v>614</v>
      </c>
      <c r="I189" s="45" t="s">
        <v>195</v>
      </c>
      <c r="J189" s="125" t="s">
        <v>219</v>
      </c>
      <c r="K189" s="46"/>
      <c r="L189" s="206"/>
      <c r="M189" s="206"/>
      <c r="N189" s="206"/>
      <c r="O189" s="206"/>
      <c r="P189" s="206"/>
      <c r="Q189" s="206">
        <f t="shared" si="33"/>
        <v>0</v>
      </c>
      <c r="R189" s="206"/>
      <c r="S189" s="206"/>
      <c r="T189" s="223"/>
      <c r="U189" s="169">
        <f t="shared" si="34"/>
        <v>0</v>
      </c>
      <c r="V189" s="372">
        <v>0</v>
      </c>
      <c r="W189" s="343"/>
      <c r="X189" s="332">
        <f>SUMIFS(BASE_EX!$J:$J,BASE_EX!$B:$B,'Direct Charge'!$A189,BASE_EX!$C:$C,"janeiro")</f>
        <v>0</v>
      </c>
      <c r="Y189" s="373"/>
      <c r="Z189" s="372">
        <v>0</v>
      </c>
      <c r="AA189" s="343"/>
      <c r="AB189" s="332">
        <f>SUMIFS(BASE_EX!$J:$J,BASE_EX!$B:$B,'Direct Charge'!$A189,BASE_EX!$C:$C,"fevereiro")</f>
        <v>0</v>
      </c>
      <c r="AC189" s="373"/>
      <c r="AD189" s="372"/>
      <c r="AE189" s="343"/>
      <c r="AF189" s="332">
        <f>SUMIFS(BASE_EX!$J:$J,BASE_EX!$B:$B,'Direct Charge'!$A189,BASE_EX!$C:$C,"março")</f>
        <v>0</v>
      </c>
      <c r="AG189" s="373"/>
      <c r="AH189" s="372"/>
      <c r="AI189" s="343"/>
      <c r="AJ189" s="332">
        <f>SUMIFS(BASE_EX!$J:$J,BASE_EX!$B:$B,'Direct Charge'!$A189,BASE_EX!$C:$C,"abril")</f>
        <v>0</v>
      </c>
      <c r="AK189" s="373"/>
      <c r="AL189" s="372"/>
      <c r="AM189" s="343"/>
      <c r="AN189" s="332">
        <f>SUMIFS(BASE_EX!$J:$J,BASE_EX!$B:$B,'Direct Charge'!$A189,BASE_EX!$C:$C,"maio")</f>
        <v>0</v>
      </c>
      <c r="AO189" s="373"/>
      <c r="AP189" s="372"/>
      <c r="AQ189" s="343"/>
      <c r="AR189" s="332">
        <f>SUMIFS(BASE_EX!$J:$J,BASE_EX!$B:$B,'Direct Charge'!$A189,BASE_EX!$C:$C,"junho")</f>
        <v>0</v>
      </c>
      <c r="AS189" s="373"/>
      <c r="AT189" s="372"/>
      <c r="AU189" s="343"/>
      <c r="AV189" s="332">
        <f>SUMIFS(BASE_EX!$J:$J,BASE_EX!$B:$B,'Direct Charge'!$A189,BASE_EX!$C:$C,"julho")</f>
        <v>0</v>
      </c>
      <c r="AW189" s="373"/>
      <c r="AX189" s="372"/>
      <c r="AY189" s="343"/>
      <c r="AZ189" s="332">
        <f>SUMIFS(BASE_EX!$J:$J,BASE_EX!$B:$B,'Direct Charge'!$A189,BASE_EX!$C:$C,"agosto")</f>
        <v>0</v>
      </c>
      <c r="BA189" s="373"/>
      <c r="BB189" s="372"/>
      <c r="BC189" s="343"/>
      <c r="BD189" s="332">
        <f>SUMIFS(BASE_EX!$J:$J,BASE_EX!$B:$B,'Direct Charge'!$A189,BASE_EX!$C:$C,"setembro")</f>
        <v>0</v>
      </c>
      <c r="BE189" s="373"/>
      <c r="BF189" s="372"/>
      <c r="BG189" s="343"/>
      <c r="BH189" s="332">
        <f>SUMIFS(BASE_EX!$J:$J,BASE_EX!$B:$B,'Direct Charge'!$A189,BASE_EX!$C:$C,"outubro")</f>
        <v>0</v>
      </c>
      <c r="BI189" s="373"/>
      <c r="BJ189" s="372"/>
      <c r="BK189" s="343"/>
      <c r="BL189" s="332">
        <f>SUMIFS(BASE_EX!$J:$J,BASE_EX!$B:$B,'Direct Charge'!$A189,BASE_EX!$C:$C,"novembro")</f>
        <v>0</v>
      </c>
      <c r="BM189" s="373"/>
      <c r="BN189" s="372"/>
      <c r="BO189" s="343"/>
      <c r="BP189" s="332">
        <f>SUMIFS(BASE_EX!$J:$J,BASE_EX!$B:$B,'Direct Charge'!$A189,BASE_EX!$C:$C,"dezembro")</f>
        <v>0</v>
      </c>
      <c r="BQ189" s="373"/>
      <c r="BR189" s="452"/>
      <c r="BS189" s="156">
        <f t="shared" si="35"/>
        <v>0</v>
      </c>
      <c r="BT189" s="320">
        <f t="shared" si="36"/>
        <v>0</v>
      </c>
      <c r="BU189" s="157" t="e">
        <f>SUM(L189,M189,N189,O189,U189)-#REF!</f>
        <v>#REF!</v>
      </c>
      <c r="BV189" s="346">
        <f t="shared" si="37"/>
        <v>0</v>
      </c>
      <c r="BW189" s="344" t="str">
        <f>IFERROR(VLOOKUP($A189,'BASE_558 EX'!$D:$R,8,FALSE),"")</f>
        <v xml:space="preserve">            3.202,64</v>
      </c>
      <c r="BX189" s="344" t="str">
        <f>IFERROR(VLOOKUP($A189,'BASE_558 EX'!$D:$R,9,FALSE),"")</f>
        <v xml:space="preserve">                0,00</v>
      </c>
      <c r="BY189" s="344" t="str">
        <f>IFERROR(VLOOKUP($A189,'BASE_558 EX'!$D:$R,10,FALSE),"")</f>
        <v xml:space="preserve">                0,00</v>
      </c>
      <c r="BZ189" s="344" t="str">
        <f>IFERROR(VLOOKUP($A189,'BASE_558 EX'!$D:$R,11,FALSE),"")</f>
        <v xml:space="preserve">                0,00</v>
      </c>
      <c r="CA189" s="344">
        <f>IFERROR(IF(BASE_558!$P$14="RemOrdPla",(VLOOKUP(A189,BASE_558!D:R,14)/1000),(VLOOKUP(A189,BASE_558!D:R,13)/1000)),"")</f>
        <v>53.535170000000001</v>
      </c>
      <c r="CB189" s="344" t="str">
        <f>IFERROR(VLOOKUP($A189,'BASE_558 EX'!$D:$R,15,FALSE),"")</f>
        <v xml:space="preserve">            3.202,64</v>
      </c>
      <c r="CC189" s="442"/>
      <c r="CD189" s="442">
        <f t="shared" si="38"/>
        <v>0</v>
      </c>
    </row>
    <row r="190" spans="1:82" s="23" customFormat="1" ht="25.5" customHeight="1">
      <c r="A190" s="309" t="s">
        <v>3235</v>
      </c>
      <c r="B190" s="309"/>
      <c r="C190" s="187"/>
      <c r="D190" s="381"/>
      <c r="E190" s="381" t="s">
        <v>1707</v>
      </c>
      <c r="F190" s="309" t="s">
        <v>178</v>
      </c>
      <c r="G190" s="341" t="s">
        <v>3280</v>
      </c>
      <c r="H190" s="339" t="s">
        <v>8878</v>
      </c>
      <c r="I190" s="45" t="s">
        <v>463</v>
      </c>
      <c r="J190" s="125" t="s">
        <v>219</v>
      </c>
      <c r="K190" s="298" t="s">
        <v>738</v>
      </c>
      <c r="L190" s="206"/>
      <c r="M190" s="206"/>
      <c r="N190" s="206"/>
      <c r="O190" s="206"/>
      <c r="P190" s="206">
        <v>21888.33</v>
      </c>
      <c r="Q190" s="206">
        <f t="shared" si="33"/>
        <v>35127.03</v>
      </c>
      <c r="R190" s="206"/>
      <c r="S190" s="206"/>
      <c r="T190" s="223"/>
      <c r="U190" s="169">
        <f t="shared" si="34"/>
        <v>35127.03</v>
      </c>
      <c r="V190" s="372">
        <v>8821.2999999999993</v>
      </c>
      <c r="W190" s="343">
        <v>8821.2999999999993</v>
      </c>
      <c r="X190" s="332">
        <f>SUMIFS(BASE_EX!$J:$J,BASE_EX!$B:$B,'Direct Charge'!$A190,BASE_EX!$C:$C,"janeiro")</f>
        <v>8821.2999999999993</v>
      </c>
      <c r="Y190" s="373">
        <v>8821.2999999999993</v>
      </c>
      <c r="Z190" s="372">
        <v>6244.7999999999993</v>
      </c>
      <c r="AA190" s="343">
        <v>6244.88</v>
      </c>
      <c r="AB190" s="332">
        <f>SUMIFS(BASE_EX!$J:$J,BASE_EX!$B:$B,'Direct Charge'!$A190,BASE_EX!$C:$C,"fevereiro")</f>
        <v>6244.8799999999992</v>
      </c>
      <c r="AC190" s="373">
        <v>6244.8799999999992</v>
      </c>
      <c r="AD190" s="372"/>
      <c r="AE190" s="343"/>
      <c r="AF190" s="332">
        <f>SUMIFS(BASE_EX!$J:$J,BASE_EX!$B:$B,'Direct Charge'!$A190,BASE_EX!$C:$C,"março")</f>
        <v>0</v>
      </c>
      <c r="AG190" s="373"/>
      <c r="AH190" s="372"/>
      <c r="AI190" s="343">
        <v>6306.62</v>
      </c>
      <c r="AJ190" s="332">
        <f>SUMIFS(BASE_EX!$J:$J,BASE_EX!$B:$B,'Direct Charge'!$A190,BASE_EX!$C:$C,"abril")</f>
        <v>6306.6200000000008</v>
      </c>
      <c r="AK190" s="373">
        <v>6306.6200000000008</v>
      </c>
      <c r="AL190" s="372"/>
      <c r="AM190" s="343"/>
      <c r="AN190" s="332">
        <f>SUMIFS(BASE_EX!$J:$J,BASE_EX!$B:$B,'Direct Charge'!$A190,BASE_EX!$C:$C,"maio")</f>
        <v>0</v>
      </c>
      <c r="AO190" s="373"/>
      <c r="AP190" s="372">
        <v>24000</v>
      </c>
      <c r="AQ190" s="343">
        <v>6399.23</v>
      </c>
      <c r="AR190" s="332">
        <f>SUMIFS(BASE_EX!$J:$J,BASE_EX!$B:$B,'Direct Charge'!$A190,BASE_EX!$C:$C,"junho")</f>
        <v>6399.2299999999977</v>
      </c>
      <c r="AS190" s="373">
        <v>6399.2299999999977</v>
      </c>
      <c r="AT190" s="372"/>
      <c r="AU190" s="343"/>
      <c r="AV190" s="332">
        <f>SUMIFS(BASE_EX!$J:$J,BASE_EX!$B:$B,'Direct Charge'!$A190,BASE_EX!$C:$C,"julho")</f>
        <v>0</v>
      </c>
      <c r="AW190" s="373">
        <v>7355</v>
      </c>
      <c r="AX190" s="372"/>
      <c r="AY190" s="343"/>
      <c r="AZ190" s="332">
        <f>SUMIFS(BASE_EX!$J:$J,BASE_EX!$B:$B,'Direct Charge'!$A190,BASE_EX!$C:$C,"agosto")</f>
        <v>0</v>
      </c>
      <c r="BA190" s="373"/>
      <c r="BB190" s="372"/>
      <c r="BC190" s="343"/>
      <c r="BD190" s="332">
        <f>SUMIFS(BASE_EX!$J:$J,BASE_EX!$B:$B,'Direct Charge'!$A190,BASE_EX!$C:$C,"setembro")</f>
        <v>0</v>
      </c>
      <c r="BE190" s="373"/>
      <c r="BF190" s="372"/>
      <c r="BG190" s="343"/>
      <c r="BH190" s="332">
        <f>SUMIFS(BASE_EX!$J:$J,BASE_EX!$B:$B,'Direct Charge'!$A190,BASE_EX!$C:$C,"outubro")</f>
        <v>0</v>
      </c>
      <c r="BI190" s="373"/>
      <c r="BJ190" s="372"/>
      <c r="BK190" s="343"/>
      <c r="BL190" s="332">
        <f>SUMIFS(BASE_EX!$J:$J,BASE_EX!$B:$B,'Direct Charge'!$A190,BASE_EX!$C:$C,"novembro")</f>
        <v>0</v>
      </c>
      <c r="BM190" s="373"/>
      <c r="BN190" s="372"/>
      <c r="BO190" s="343"/>
      <c r="BP190" s="332">
        <f>SUMIFS(BASE_EX!$J:$J,BASE_EX!$B:$B,'Direct Charge'!$A190,BASE_EX!$C:$C,"dezembro")</f>
        <v>0</v>
      </c>
      <c r="BQ190" s="373"/>
      <c r="BR190" s="452"/>
      <c r="BS190" s="156">
        <f t="shared" si="35"/>
        <v>-17600.770000000004</v>
      </c>
      <c r="BT190" s="320">
        <f t="shared" si="36"/>
        <v>0</v>
      </c>
      <c r="BU190" s="157" t="e">
        <f>SUM(L190,M190,N190,O190,U190)-#REF!</f>
        <v>#REF!</v>
      </c>
      <c r="BV190" s="346">
        <f t="shared" si="37"/>
        <v>35127.03</v>
      </c>
      <c r="BW190" s="344" t="str">
        <f>IFERROR(VLOOKUP($A190,'BASE_558 EX'!$D:$R,8,FALSE),"")</f>
        <v xml:space="preserve">           72.000,00</v>
      </c>
      <c r="BX190" s="344" t="str">
        <f>IFERROR(VLOOKUP($A190,'BASE_558 EX'!$D:$R,9,FALSE),"")</f>
        <v xml:space="preserve">           49.660,36</v>
      </c>
      <c r="BY190" s="344" t="str">
        <f>IFERROR(VLOOKUP($A190,'BASE_558 EX'!$D:$R,10,FALSE),"")</f>
        <v xml:space="preserve">            7.355,17</v>
      </c>
      <c r="BZ190" s="344" t="str">
        <f>IFERROR(VLOOKUP($A190,'BASE_558 EX'!$D:$R,11,FALSE),"")</f>
        <v xml:space="preserve">                0,00</v>
      </c>
      <c r="CA190" s="344">
        <f>IFERROR(IF(BASE_558!$P$14="RemOrdPla",(VLOOKUP(A190,BASE_558!D:R,14)/1000),(VLOOKUP(A190,BASE_558!D:R,13)/1000)),"")</f>
        <v>0</v>
      </c>
      <c r="CB190" s="344" t="str">
        <f>IFERROR(VLOOKUP($A190,'BASE_558 EX'!$D:$R,15,FALSE),"")</f>
        <v xml:space="preserve">           14.984,47</v>
      </c>
      <c r="CC190" s="442"/>
      <c r="CD190" s="442">
        <f t="shared" si="38"/>
        <v>0</v>
      </c>
    </row>
    <row r="191" spans="1:82" s="23" customFormat="1" ht="25.5" customHeight="1">
      <c r="A191" s="309" t="s">
        <v>3791</v>
      </c>
      <c r="B191" s="309"/>
      <c r="C191" s="187">
        <v>45589</v>
      </c>
      <c r="D191" s="381"/>
      <c r="E191" s="381" t="s">
        <v>2238</v>
      </c>
      <c r="F191" s="309" t="s">
        <v>176</v>
      </c>
      <c r="G191" s="341" t="s">
        <v>7020</v>
      </c>
      <c r="H191" s="339" t="s">
        <v>614</v>
      </c>
      <c r="I191" s="45" t="s">
        <v>463</v>
      </c>
      <c r="J191" s="125" t="s">
        <v>219</v>
      </c>
      <c r="K191" s="298" t="s">
        <v>10955</v>
      </c>
      <c r="L191" s="206"/>
      <c r="M191" s="206"/>
      <c r="N191" s="206"/>
      <c r="O191" s="206"/>
      <c r="P191" s="206">
        <v>655.09</v>
      </c>
      <c r="Q191" s="206">
        <f t="shared" si="33"/>
        <v>125010.67</v>
      </c>
      <c r="R191" s="206"/>
      <c r="S191" s="206"/>
      <c r="T191" s="223"/>
      <c r="U191" s="169">
        <f t="shared" si="34"/>
        <v>125010.67</v>
      </c>
      <c r="V191" s="372">
        <v>0</v>
      </c>
      <c r="W191" s="343"/>
      <c r="X191" s="332">
        <f>SUMIFS(BASE_EX!$J:$J,BASE_EX!$B:$B,'Direct Charge'!$A191,BASE_EX!$C:$C,"janeiro")</f>
        <v>0</v>
      </c>
      <c r="Y191" s="373"/>
      <c r="Z191" s="372">
        <v>0</v>
      </c>
      <c r="AA191" s="343"/>
      <c r="AB191" s="332">
        <f>SUMIFS(BASE_EX!$J:$J,BASE_EX!$B:$B,'Direct Charge'!$A191,BASE_EX!$C:$C,"fevereiro")</f>
        <v>0</v>
      </c>
      <c r="AC191" s="373"/>
      <c r="AD191" s="372"/>
      <c r="AE191" s="343">
        <v>945.73</v>
      </c>
      <c r="AF191" s="332">
        <f>SUMIFS(BASE_EX!$J:$J,BASE_EX!$B:$B,'Direct Charge'!$A191,BASE_EX!$C:$C,"março")</f>
        <v>945.73</v>
      </c>
      <c r="AG191" s="373">
        <v>945.73</v>
      </c>
      <c r="AH191" s="372"/>
      <c r="AI191" s="343"/>
      <c r="AJ191" s="332">
        <f>SUMIFS(BASE_EX!$J:$J,BASE_EX!$B:$B,'Direct Charge'!$A191,BASE_EX!$C:$C,"abril")</f>
        <v>0</v>
      </c>
      <c r="AK191" s="373"/>
      <c r="AL191" s="372"/>
      <c r="AM191" s="343">
        <v>3264.94</v>
      </c>
      <c r="AN191" s="332">
        <f>SUMIFS(BASE_EX!$J:$J,BASE_EX!$B:$B,'Direct Charge'!$A191,BASE_EX!$C:$C,"maio")</f>
        <v>3264.94</v>
      </c>
      <c r="AO191" s="373">
        <v>3264.94</v>
      </c>
      <c r="AP191" s="372"/>
      <c r="AQ191" s="343"/>
      <c r="AR191" s="332">
        <f>SUMIFS(BASE_EX!$J:$J,BASE_EX!$B:$B,'Direct Charge'!$A191,BASE_EX!$C:$C,"junho")</f>
        <v>0</v>
      </c>
      <c r="AS191" s="373"/>
      <c r="AT191" s="372"/>
      <c r="AU191" s="343"/>
      <c r="AV191" s="332">
        <f>SUMIFS(BASE_EX!$J:$J,BASE_EX!$B:$B,'Direct Charge'!$A191,BASE_EX!$C:$C,"julho")</f>
        <v>0</v>
      </c>
      <c r="AW191" s="373">
        <f>24000-3200</f>
        <v>20800</v>
      </c>
      <c r="AX191" s="372"/>
      <c r="AY191" s="343"/>
      <c r="AZ191" s="332">
        <f>SUMIFS(BASE_EX!$J:$J,BASE_EX!$B:$B,'Direct Charge'!$A191,BASE_EX!$C:$C,"agosto")</f>
        <v>0</v>
      </c>
      <c r="BA191" s="373">
        <v>25000</v>
      </c>
      <c r="BB191" s="372"/>
      <c r="BC191" s="343"/>
      <c r="BD191" s="332">
        <f>SUMIFS(BASE_EX!$J:$J,BASE_EX!$B:$B,'Direct Charge'!$A191,BASE_EX!$C:$C,"setembro")</f>
        <v>0</v>
      </c>
      <c r="BE191" s="373">
        <v>25000</v>
      </c>
      <c r="BF191" s="372"/>
      <c r="BG191" s="343"/>
      <c r="BH191" s="332">
        <f>SUMIFS(BASE_EX!$J:$J,BASE_EX!$B:$B,'Direct Charge'!$A191,BASE_EX!$C:$C,"outubro")</f>
        <v>0</v>
      </c>
      <c r="BI191" s="373">
        <v>25000</v>
      </c>
      <c r="BJ191" s="372"/>
      <c r="BK191" s="343"/>
      <c r="BL191" s="332">
        <f>SUMIFS(BASE_EX!$J:$J,BASE_EX!$B:$B,'Direct Charge'!$A191,BASE_EX!$C:$C,"novembro")</f>
        <v>0</v>
      </c>
      <c r="BM191" s="373">
        <v>25000</v>
      </c>
      <c r="BN191" s="372"/>
      <c r="BO191" s="343"/>
      <c r="BP191" s="332">
        <f>SUMIFS(BASE_EX!$J:$J,BASE_EX!$B:$B,'Direct Charge'!$A191,BASE_EX!$C:$C,"dezembro")</f>
        <v>0</v>
      </c>
      <c r="BQ191" s="373"/>
      <c r="BR191" s="452">
        <v>800000</v>
      </c>
      <c r="BS191" s="156">
        <f t="shared" si="35"/>
        <v>0</v>
      </c>
      <c r="BT191" s="320">
        <f t="shared" si="36"/>
        <v>0</v>
      </c>
      <c r="BU191" s="157" t="e">
        <f>SUM(L191,M191,N191,O191,U191)-#REF!</f>
        <v>#REF!</v>
      </c>
      <c r="BV191" s="346">
        <f t="shared" si="37"/>
        <v>125010.67</v>
      </c>
      <c r="BW191" s="344" t="str">
        <f>IFERROR(VLOOKUP($A191,'BASE_558 EX'!$D:$R,8,FALSE),"")</f>
        <v xml:space="preserve">        1.000.000,00</v>
      </c>
      <c r="BX191" s="344" t="str">
        <f>IFERROR(VLOOKUP($A191,'BASE_558 EX'!$D:$R,9,FALSE),"")</f>
        <v xml:space="preserve">            4.865,76</v>
      </c>
      <c r="BY191" s="344" t="str">
        <f>IFERROR(VLOOKUP($A191,'BASE_558 EX'!$D:$R,10,FALSE),"")</f>
        <v xml:space="preserve">           53.485,61</v>
      </c>
      <c r="BZ191" s="344" t="str">
        <f>IFERROR(VLOOKUP($A191,'BASE_558 EX'!$D:$R,11,FALSE),"")</f>
        <v xml:space="preserve">            2.637,84</v>
      </c>
      <c r="CA191" s="344">
        <f>IFERROR(IF(BASE_558!$P$14="RemOrdPla",(VLOOKUP(A191,BASE_558!D:R,14)/1000),(VLOOKUP(A191,BASE_558!D:R,13)/1000)),"")</f>
        <v>12571.88207</v>
      </c>
      <c r="CB191" s="344" t="str">
        <f>IFERROR(VLOOKUP($A191,'BASE_558 EX'!$D:$R,15,FALSE),"")</f>
        <v xml:space="preserve">          939.010,79</v>
      </c>
      <c r="CC191" s="442"/>
      <c r="CD191" s="442">
        <f t="shared" si="38"/>
        <v>0</v>
      </c>
    </row>
    <row r="192" spans="1:82" s="23" customFormat="1" ht="25.5" customHeight="1">
      <c r="A192" s="309" t="s">
        <v>3792</v>
      </c>
      <c r="B192" s="309"/>
      <c r="C192" s="187"/>
      <c r="D192" s="381"/>
      <c r="E192" s="381" t="s">
        <v>2079</v>
      </c>
      <c r="F192" s="309" t="s">
        <v>176</v>
      </c>
      <c r="G192" s="341" t="s">
        <v>3214</v>
      </c>
      <c r="H192" s="339" t="s">
        <v>614</v>
      </c>
      <c r="I192" s="45" t="s">
        <v>463</v>
      </c>
      <c r="J192" s="83" t="s">
        <v>219</v>
      </c>
      <c r="K192" s="298"/>
      <c r="L192" s="206"/>
      <c r="M192" s="206"/>
      <c r="N192" s="206"/>
      <c r="O192" s="206"/>
      <c r="P192" s="206"/>
      <c r="Q192" s="206">
        <f t="shared" si="33"/>
        <v>0</v>
      </c>
      <c r="R192" s="206"/>
      <c r="S192" s="206"/>
      <c r="T192" s="223"/>
      <c r="U192" s="169">
        <f t="shared" si="34"/>
        <v>0</v>
      </c>
      <c r="V192" s="372">
        <v>0</v>
      </c>
      <c r="W192" s="343"/>
      <c r="X192" s="332">
        <f>SUMIFS(BASE_EX!$J:$J,BASE_EX!$B:$B,'Direct Charge'!$A192,BASE_EX!$C:$C,"janeiro")</f>
        <v>0</v>
      </c>
      <c r="Y192" s="373"/>
      <c r="Z192" s="372">
        <v>0</v>
      </c>
      <c r="AA192" s="343"/>
      <c r="AB192" s="332">
        <f>SUMIFS(BASE_EX!$J:$J,BASE_EX!$B:$B,'Direct Charge'!$A192,BASE_EX!$C:$C,"fevereiro")</f>
        <v>0</v>
      </c>
      <c r="AC192" s="373"/>
      <c r="AD192" s="372"/>
      <c r="AE192" s="343"/>
      <c r="AF192" s="332">
        <f>SUMIFS(BASE_EX!$J:$J,BASE_EX!$B:$B,'Direct Charge'!$A192,BASE_EX!$C:$C,"março")</f>
        <v>0</v>
      </c>
      <c r="AG192" s="373"/>
      <c r="AH192" s="372"/>
      <c r="AI192" s="343"/>
      <c r="AJ192" s="332">
        <f>SUMIFS(BASE_EX!$J:$J,BASE_EX!$B:$B,'Direct Charge'!$A192,BASE_EX!$C:$C,"abril")</f>
        <v>0</v>
      </c>
      <c r="AK192" s="373"/>
      <c r="AL192" s="372"/>
      <c r="AM192" s="343"/>
      <c r="AN192" s="332">
        <f>SUMIFS(BASE_EX!$J:$J,BASE_EX!$B:$B,'Direct Charge'!$A192,BASE_EX!$C:$C,"maio")</f>
        <v>0</v>
      </c>
      <c r="AO192" s="373"/>
      <c r="AP192" s="372"/>
      <c r="AQ192" s="343"/>
      <c r="AR192" s="332">
        <f>SUMIFS(BASE_EX!$J:$J,BASE_EX!$B:$B,'Direct Charge'!$A192,BASE_EX!$C:$C,"junho")</f>
        <v>0</v>
      </c>
      <c r="AS192" s="373"/>
      <c r="AT192" s="372"/>
      <c r="AU192" s="343"/>
      <c r="AV192" s="332">
        <f>SUMIFS(BASE_EX!$J:$J,BASE_EX!$B:$B,'Direct Charge'!$A192,BASE_EX!$C:$C,"julho")</f>
        <v>0</v>
      </c>
      <c r="AW192" s="373"/>
      <c r="AX192" s="372"/>
      <c r="AY192" s="343"/>
      <c r="AZ192" s="332">
        <f>SUMIFS(BASE_EX!$J:$J,BASE_EX!$B:$B,'Direct Charge'!$A192,BASE_EX!$C:$C,"agosto")</f>
        <v>0</v>
      </c>
      <c r="BA192" s="373"/>
      <c r="BB192" s="372"/>
      <c r="BC192" s="343"/>
      <c r="BD192" s="332">
        <f>SUMIFS(BASE_EX!$J:$J,BASE_EX!$B:$B,'Direct Charge'!$A192,BASE_EX!$C:$C,"setembro")</f>
        <v>0</v>
      </c>
      <c r="BE192" s="373"/>
      <c r="BF192" s="372"/>
      <c r="BG192" s="343"/>
      <c r="BH192" s="332">
        <f>SUMIFS(BASE_EX!$J:$J,BASE_EX!$B:$B,'Direct Charge'!$A192,BASE_EX!$C:$C,"outubro")</f>
        <v>0</v>
      </c>
      <c r="BI192" s="373"/>
      <c r="BJ192" s="372"/>
      <c r="BK192" s="343"/>
      <c r="BL192" s="332">
        <f>SUMIFS(BASE_EX!$J:$J,BASE_EX!$B:$B,'Direct Charge'!$A192,BASE_EX!$C:$C,"novembro")</f>
        <v>0</v>
      </c>
      <c r="BM192" s="373"/>
      <c r="BN192" s="372"/>
      <c r="BO192" s="343"/>
      <c r="BP192" s="332">
        <f>SUMIFS(BASE_EX!$J:$J,BASE_EX!$B:$B,'Direct Charge'!$A192,BASE_EX!$C:$C,"dezembro")</f>
        <v>0</v>
      </c>
      <c r="BQ192" s="373"/>
      <c r="BR192" s="452"/>
      <c r="BS192" s="156">
        <f t="shared" si="35"/>
        <v>0</v>
      </c>
      <c r="BT192" s="320">
        <f t="shared" si="36"/>
        <v>0</v>
      </c>
      <c r="BU192" s="157" t="e">
        <f>SUM(L192,M192,N192,O192,U192)-#REF!</f>
        <v>#REF!</v>
      </c>
      <c r="BV192" s="346">
        <f t="shared" si="37"/>
        <v>0</v>
      </c>
      <c r="BW192" s="344" t="str">
        <f>IFERROR(VLOOKUP($A192,'BASE_558 EX'!$D:$R,8,FALSE),"")</f>
        <v xml:space="preserve">           15.000,00</v>
      </c>
      <c r="BX192" s="344" t="str">
        <f>IFERROR(VLOOKUP($A192,'BASE_558 EX'!$D:$R,9,FALSE),"")</f>
        <v xml:space="preserve">                0,00</v>
      </c>
      <c r="BY192" s="344" t="str">
        <f>IFERROR(VLOOKUP($A192,'BASE_558 EX'!$D:$R,10,FALSE),"")</f>
        <v xml:space="preserve">                0,00</v>
      </c>
      <c r="BZ192" s="344" t="str">
        <f>IFERROR(VLOOKUP($A192,'BASE_558 EX'!$D:$R,11,FALSE),"")</f>
        <v xml:space="preserve">                0,00</v>
      </c>
      <c r="CA192" s="344">
        <f>IFERROR(IF(BASE_558!$P$14="RemOrdPla",(VLOOKUP(A192,BASE_558!D:R,14)/1000),(VLOOKUP(A192,BASE_558!D:R,13)/1000)),"")</f>
        <v>277.08309000000003</v>
      </c>
      <c r="CB192" s="344" t="str">
        <f>IFERROR(VLOOKUP($A192,'BASE_558 EX'!$D:$R,15,FALSE),"")</f>
        <v xml:space="preserve">           15.000,00</v>
      </c>
      <c r="CC192" s="442"/>
      <c r="CD192" s="442">
        <f t="shared" si="38"/>
        <v>0</v>
      </c>
    </row>
    <row r="193" spans="1:82" s="23" customFormat="1" ht="25.5" customHeight="1">
      <c r="A193" s="309" t="s">
        <v>2913</v>
      </c>
      <c r="B193" s="309"/>
      <c r="C193" s="187"/>
      <c r="D193" s="381"/>
      <c r="E193" s="381" t="s">
        <v>1707</v>
      </c>
      <c r="F193" s="309" t="s">
        <v>178</v>
      </c>
      <c r="G193" s="340" t="s">
        <v>2914</v>
      </c>
      <c r="H193" s="339" t="s">
        <v>8878</v>
      </c>
      <c r="I193" s="45" t="s">
        <v>195</v>
      </c>
      <c r="J193" s="83" t="s">
        <v>462</v>
      </c>
      <c r="K193" s="470" t="s">
        <v>2669</v>
      </c>
      <c r="L193" s="206"/>
      <c r="M193" s="206"/>
      <c r="N193" s="206"/>
      <c r="O193" s="206"/>
      <c r="P193" s="206">
        <v>9588.7300000000014</v>
      </c>
      <c r="Q193" s="206">
        <f t="shared" si="33"/>
        <v>0</v>
      </c>
      <c r="R193" s="206"/>
      <c r="S193" s="206"/>
      <c r="T193" s="223"/>
      <c r="U193" s="169">
        <f t="shared" si="34"/>
        <v>0</v>
      </c>
      <c r="V193" s="372">
        <v>0</v>
      </c>
      <c r="W193" s="343"/>
      <c r="X193" s="332">
        <f>SUMIFS(BASE_EX!$J:$J,BASE_EX!$B:$B,'Direct Charge'!$A193,BASE_EX!$C:$C,"janeiro")</f>
        <v>0</v>
      </c>
      <c r="Y193" s="373"/>
      <c r="Z193" s="372">
        <v>0</v>
      </c>
      <c r="AA193" s="343"/>
      <c r="AB193" s="332">
        <f>SUMIFS(BASE_EX!$J:$J,BASE_EX!$B:$B,'Direct Charge'!$A193,BASE_EX!$C:$C,"fevereiro")</f>
        <v>0</v>
      </c>
      <c r="AC193" s="373"/>
      <c r="AD193" s="372"/>
      <c r="AE193" s="343"/>
      <c r="AF193" s="332">
        <f>SUMIFS(BASE_EX!$J:$J,BASE_EX!$B:$B,'Direct Charge'!$A193,BASE_EX!$C:$C,"março")</f>
        <v>0</v>
      </c>
      <c r="AG193" s="373"/>
      <c r="AH193" s="372"/>
      <c r="AI193" s="343"/>
      <c r="AJ193" s="332">
        <f>SUMIFS(BASE_EX!$J:$J,BASE_EX!$B:$B,'Direct Charge'!$A193,BASE_EX!$C:$C,"abril")</f>
        <v>0</v>
      </c>
      <c r="AK193" s="373"/>
      <c r="AL193" s="372"/>
      <c r="AM193" s="343"/>
      <c r="AN193" s="332">
        <f>SUMIFS(BASE_EX!$J:$J,BASE_EX!$B:$B,'Direct Charge'!$A193,BASE_EX!$C:$C,"maio")</f>
        <v>0</v>
      </c>
      <c r="AO193" s="373"/>
      <c r="AP193" s="372"/>
      <c r="AQ193" s="343"/>
      <c r="AR193" s="332">
        <f>SUMIFS(BASE_EX!$J:$J,BASE_EX!$B:$B,'Direct Charge'!$A193,BASE_EX!$C:$C,"junho")</f>
        <v>0</v>
      </c>
      <c r="AS193" s="373"/>
      <c r="AT193" s="372"/>
      <c r="AU193" s="343"/>
      <c r="AV193" s="332">
        <f>SUMIFS(BASE_EX!$J:$J,BASE_EX!$B:$B,'Direct Charge'!$A193,BASE_EX!$C:$C,"julho")</f>
        <v>0</v>
      </c>
      <c r="AW193" s="373"/>
      <c r="AX193" s="372"/>
      <c r="AY193" s="343"/>
      <c r="AZ193" s="332">
        <f>SUMIFS(BASE_EX!$J:$J,BASE_EX!$B:$B,'Direct Charge'!$A193,BASE_EX!$C:$C,"agosto")</f>
        <v>0</v>
      </c>
      <c r="BA193" s="373"/>
      <c r="BB193" s="372"/>
      <c r="BC193" s="343"/>
      <c r="BD193" s="332">
        <f>SUMIFS(BASE_EX!$J:$J,BASE_EX!$B:$B,'Direct Charge'!$A193,BASE_EX!$C:$C,"setembro")</f>
        <v>0</v>
      </c>
      <c r="BE193" s="373"/>
      <c r="BF193" s="372"/>
      <c r="BG193" s="343"/>
      <c r="BH193" s="332">
        <f>SUMIFS(BASE_EX!$J:$J,BASE_EX!$B:$B,'Direct Charge'!$A193,BASE_EX!$C:$C,"outubro")</f>
        <v>0</v>
      </c>
      <c r="BI193" s="373"/>
      <c r="BJ193" s="372"/>
      <c r="BK193" s="343"/>
      <c r="BL193" s="332">
        <f>SUMIFS(BASE_EX!$J:$J,BASE_EX!$B:$B,'Direct Charge'!$A193,BASE_EX!$C:$C,"novembro")</f>
        <v>0</v>
      </c>
      <c r="BM193" s="373"/>
      <c r="BN193" s="372"/>
      <c r="BO193" s="343"/>
      <c r="BP193" s="332">
        <f>SUMIFS(BASE_EX!$J:$J,BASE_EX!$B:$B,'Direct Charge'!$A193,BASE_EX!$C:$C,"dezembro")</f>
        <v>0</v>
      </c>
      <c r="BQ193" s="373"/>
      <c r="BR193" s="452"/>
      <c r="BS193" s="156">
        <f t="shared" si="35"/>
        <v>0</v>
      </c>
      <c r="BT193" s="320">
        <f t="shared" si="36"/>
        <v>0</v>
      </c>
      <c r="BU193" s="157" t="e">
        <f>SUM(L193,M193,N193,O193,U193)-#REF!</f>
        <v>#REF!</v>
      </c>
      <c r="BV193" s="346">
        <f t="shared" si="37"/>
        <v>0</v>
      </c>
      <c r="BW193" s="344" t="str">
        <f>IFERROR(VLOOKUP($A193,'BASE_558 EX'!$D:$R,8,FALSE),"")</f>
        <v xml:space="preserve">           12.000,00</v>
      </c>
      <c r="BX193" s="344" t="str">
        <f>IFERROR(VLOOKUP($A193,'BASE_558 EX'!$D:$R,9,FALSE),"")</f>
        <v xml:space="preserve">            9.588,73</v>
      </c>
      <c r="BY193" s="344" t="str">
        <f>IFERROR(VLOOKUP($A193,'BASE_558 EX'!$D:$R,10,FALSE),"")</f>
        <v xml:space="preserve">                0,00</v>
      </c>
      <c r="BZ193" s="344" t="str">
        <f>IFERROR(VLOOKUP($A193,'BASE_558 EX'!$D:$R,11,FALSE),"")</f>
        <v xml:space="preserve">                0,00</v>
      </c>
      <c r="CA193" s="344">
        <f>IFERROR(IF(BASE_558!$P$14="RemOrdPla",(VLOOKUP(A193,BASE_558!D:R,14)/1000),(VLOOKUP(A193,BASE_558!D:R,13)/1000)),"")</f>
        <v>277.08309000000003</v>
      </c>
      <c r="CB193" s="344" t="str">
        <f>IFERROR(VLOOKUP($A193,'BASE_558 EX'!$D:$R,15,FALSE),"")</f>
        <v xml:space="preserve">            2.411,27</v>
      </c>
      <c r="CC193" s="442"/>
      <c r="CD193" s="442">
        <f t="shared" si="38"/>
        <v>0</v>
      </c>
    </row>
    <row r="194" spans="1:82" s="23" customFormat="1" ht="25.5" customHeight="1">
      <c r="A194" s="309" t="s">
        <v>6812</v>
      </c>
      <c r="B194" s="309"/>
      <c r="C194" s="187"/>
      <c r="D194" s="381"/>
      <c r="E194" s="381" t="s">
        <v>1707</v>
      </c>
      <c r="F194" s="309" t="s">
        <v>178</v>
      </c>
      <c r="G194" s="341" t="s">
        <v>6813</v>
      </c>
      <c r="H194" s="339" t="s">
        <v>8878</v>
      </c>
      <c r="I194" s="45" t="s">
        <v>463</v>
      </c>
      <c r="J194" s="83" t="s">
        <v>219</v>
      </c>
      <c r="K194" s="298" t="s">
        <v>738</v>
      </c>
      <c r="L194" s="206"/>
      <c r="M194" s="206"/>
      <c r="N194" s="206"/>
      <c r="O194" s="206"/>
      <c r="P194" s="206"/>
      <c r="Q194" s="206">
        <f t="shared" si="33"/>
        <v>161006.39000000004</v>
      </c>
      <c r="R194" s="206"/>
      <c r="S194" s="206"/>
      <c r="T194" s="223"/>
      <c r="U194" s="169">
        <f t="shared" si="34"/>
        <v>161006.39000000004</v>
      </c>
      <c r="V194" s="372">
        <v>0</v>
      </c>
      <c r="W194" s="343"/>
      <c r="X194" s="332">
        <f>SUMIFS(BASE_EX!$J:$J,BASE_EX!$B:$B,'Direct Charge'!$A194,BASE_EX!$C:$C,"janeiro")</f>
        <v>0</v>
      </c>
      <c r="Y194" s="373"/>
      <c r="Z194" s="372">
        <v>22493.320000000014</v>
      </c>
      <c r="AA194" s="343">
        <v>22334.240000000002</v>
      </c>
      <c r="AB194" s="332">
        <f>SUMIFS(BASE_EX!$J:$J,BASE_EX!$B:$B,'Direct Charge'!$A194,BASE_EX!$C:$C,"fevereiro")</f>
        <v>22334.240000000013</v>
      </c>
      <c r="AC194" s="373">
        <v>22334.240000000013</v>
      </c>
      <c r="AD194" s="372"/>
      <c r="AE194" s="343">
        <v>37001.39</v>
      </c>
      <c r="AF194" s="332">
        <f>SUMIFS(BASE_EX!$J:$J,BASE_EX!$B:$B,'Direct Charge'!$A194,BASE_EX!$C:$C,"março")</f>
        <v>37001.389999999985</v>
      </c>
      <c r="AG194" s="373">
        <v>37001.389999999985</v>
      </c>
      <c r="AH194" s="372">
        <v>25000</v>
      </c>
      <c r="AI194" s="343">
        <v>47299.13</v>
      </c>
      <c r="AJ194" s="332">
        <f>SUMIFS(BASE_EX!$J:$J,BASE_EX!$B:$B,'Direct Charge'!$A194,BASE_EX!$C:$C,"abril")</f>
        <v>47299.12999999999</v>
      </c>
      <c r="AK194" s="373">
        <v>47299.12999999999</v>
      </c>
      <c r="AL194" s="372">
        <v>25000</v>
      </c>
      <c r="AM194" s="343">
        <v>44772.959999999999</v>
      </c>
      <c r="AN194" s="332">
        <f>SUMIFS(BASE_EX!$J:$J,BASE_EX!$B:$B,'Direct Charge'!$A194,BASE_EX!$C:$C,"maio")</f>
        <v>44772.96000000005</v>
      </c>
      <c r="AO194" s="373">
        <v>44772.96000000005</v>
      </c>
      <c r="AP194" s="372"/>
      <c r="AQ194" s="343">
        <v>9598.67</v>
      </c>
      <c r="AR194" s="332">
        <f>SUMIFS(BASE_EX!$J:$J,BASE_EX!$B:$B,'Direct Charge'!$A194,BASE_EX!$C:$C,"junho")</f>
        <v>9598.6700000000037</v>
      </c>
      <c r="AS194" s="373">
        <v>9598.6700000000037</v>
      </c>
      <c r="AT194" s="372"/>
      <c r="AU194" s="343"/>
      <c r="AV194" s="332">
        <f>SUMIFS(BASE_EX!$J:$J,BASE_EX!$B:$B,'Direct Charge'!$A194,BASE_EX!$C:$C,"julho")</f>
        <v>0</v>
      </c>
      <c r="AW194" s="373"/>
      <c r="AX194" s="372"/>
      <c r="AY194" s="343"/>
      <c r="AZ194" s="332">
        <f>SUMIFS(BASE_EX!$J:$J,BASE_EX!$B:$B,'Direct Charge'!$A194,BASE_EX!$C:$C,"agosto")</f>
        <v>0</v>
      </c>
      <c r="BA194" s="373"/>
      <c r="BB194" s="372"/>
      <c r="BC194" s="343"/>
      <c r="BD194" s="332">
        <f>SUMIFS(BASE_EX!$J:$J,BASE_EX!$B:$B,'Direct Charge'!$A194,BASE_EX!$C:$C,"setembro")</f>
        <v>0</v>
      </c>
      <c r="BE194" s="373"/>
      <c r="BF194" s="372"/>
      <c r="BG194" s="343"/>
      <c r="BH194" s="332">
        <f>SUMIFS(BASE_EX!$J:$J,BASE_EX!$B:$B,'Direct Charge'!$A194,BASE_EX!$C:$C,"outubro")</f>
        <v>0</v>
      </c>
      <c r="BI194" s="373"/>
      <c r="BJ194" s="372"/>
      <c r="BK194" s="343"/>
      <c r="BL194" s="332">
        <f>SUMIFS(BASE_EX!$J:$J,BASE_EX!$B:$B,'Direct Charge'!$A194,BASE_EX!$C:$C,"novembro")</f>
        <v>0</v>
      </c>
      <c r="BM194" s="373"/>
      <c r="BN194" s="372"/>
      <c r="BO194" s="343"/>
      <c r="BP194" s="332">
        <f>SUMIFS(BASE_EX!$J:$J,BASE_EX!$B:$B,'Direct Charge'!$A194,BASE_EX!$C:$C,"dezembro")</f>
        <v>0</v>
      </c>
      <c r="BQ194" s="373"/>
      <c r="BR194" s="452"/>
      <c r="BS194" s="156">
        <f t="shared" si="35"/>
        <v>9598.6700000000037</v>
      </c>
      <c r="BT194" s="320">
        <f t="shared" si="36"/>
        <v>0</v>
      </c>
      <c r="BU194" s="157" t="e">
        <f>SUM(L194,M194,N194,O194,U194)-#REF!</f>
        <v>#REF!</v>
      </c>
      <c r="BV194" s="346">
        <f t="shared" si="37"/>
        <v>161006.39000000004</v>
      </c>
      <c r="BW194" s="344" t="str">
        <f>IFERROR(VLOOKUP($A194,'BASE_558 EX'!$D:$R,8,FALSE),"")</f>
        <v xml:space="preserve">          165.000,00</v>
      </c>
      <c r="BX194" s="344" t="str">
        <f>IFERROR(VLOOKUP($A194,'BASE_558 EX'!$D:$R,9,FALSE),"")</f>
        <v xml:space="preserve">          161.006,39</v>
      </c>
      <c r="BY194" s="344" t="str">
        <f>IFERROR(VLOOKUP($A194,'BASE_558 EX'!$D:$R,10,FALSE),"")</f>
        <v xml:space="preserve">                0,00</v>
      </c>
      <c r="BZ194" s="344" t="str">
        <f>IFERROR(VLOOKUP($A194,'BASE_558 EX'!$D:$R,11,FALSE),"")</f>
        <v xml:space="preserve">                0,00</v>
      </c>
      <c r="CA194" s="344">
        <f>IFERROR(IF(BASE_558!$P$14="RemOrdPla",(VLOOKUP(A194,BASE_558!D:R,14)/1000),(VLOOKUP(A194,BASE_558!D:R,13)/1000)),"")</f>
        <v>176.37909999999999</v>
      </c>
      <c r="CB194" s="344" t="str">
        <f>IFERROR(VLOOKUP($A194,'BASE_558 EX'!$D:$R,15,FALSE),"")</f>
        <v xml:space="preserve">            3.993,61</v>
      </c>
      <c r="CC194" s="442"/>
      <c r="CD194" s="442">
        <f t="shared" si="38"/>
        <v>0</v>
      </c>
    </row>
    <row r="195" spans="1:82" s="23" customFormat="1" ht="25.5" customHeight="1">
      <c r="A195" s="309" t="s">
        <v>6789</v>
      </c>
      <c r="B195" s="309"/>
      <c r="C195" s="187">
        <v>45621</v>
      </c>
      <c r="D195" s="381" t="s">
        <v>2485</v>
      </c>
      <c r="E195" s="381" t="s">
        <v>2485</v>
      </c>
      <c r="F195" s="309" t="s">
        <v>179</v>
      </c>
      <c r="G195" s="340" t="s">
        <v>3929</v>
      </c>
      <c r="H195" s="339" t="s">
        <v>614</v>
      </c>
      <c r="I195" s="45" t="s">
        <v>463</v>
      </c>
      <c r="J195" s="83" t="s">
        <v>219</v>
      </c>
      <c r="K195" s="298" t="s">
        <v>8879</v>
      </c>
      <c r="L195" s="206"/>
      <c r="M195" s="206"/>
      <c r="N195" s="206"/>
      <c r="O195" s="206"/>
      <c r="P195" s="206"/>
      <c r="Q195" s="206">
        <f t="shared" si="33"/>
        <v>26414.679999999997</v>
      </c>
      <c r="R195" s="206"/>
      <c r="S195" s="206"/>
      <c r="T195" s="223"/>
      <c r="U195" s="169">
        <f t="shared" si="34"/>
        <v>26414.679999999997</v>
      </c>
      <c r="V195" s="372">
        <v>0</v>
      </c>
      <c r="W195" s="343"/>
      <c r="X195" s="332">
        <f>SUMIFS(BASE_EX!$J:$J,BASE_EX!$B:$B,'Direct Charge'!$A195,BASE_EX!$C:$C,"janeiro")</f>
        <v>0</v>
      </c>
      <c r="Y195" s="373"/>
      <c r="Z195" s="372">
        <v>0</v>
      </c>
      <c r="AA195" s="343"/>
      <c r="AB195" s="332">
        <f>SUMIFS(BASE_EX!$J:$J,BASE_EX!$B:$B,'Direct Charge'!$A195,BASE_EX!$C:$C,"fevereiro")</f>
        <v>0</v>
      </c>
      <c r="AC195" s="373"/>
      <c r="AD195" s="372"/>
      <c r="AE195" s="343">
        <v>24730.38</v>
      </c>
      <c r="AF195" s="332">
        <f>SUMIFS(BASE_EX!$J:$J,BASE_EX!$B:$B,'Direct Charge'!$A195,BASE_EX!$C:$C,"março")</f>
        <v>24730.379999999997</v>
      </c>
      <c r="AG195" s="373">
        <v>24730.379999999997</v>
      </c>
      <c r="AH195" s="372">
        <v>1600</v>
      </c>
      <c r="AI195" s="343"/>
      <c r="AJ195" s="332">
        <f>SUMIFS(BASE_EX!$J:$J,BASE_EX!$B:$B,'Direct Charge'!$A195,BASE_EX!$C:$C,"abril")</f>
        <v>0</v>
      </c>
      <c r="AK195" s="373">
        <v>0</v>
      </c>
      <c r="AL195" s="372">
        <v>1600</v>
      </c>
      <c r="AM195" s="343"/>
      <c r="AN195" s="332">
        <f>SUMIFS(BASE_EX!$J:$J,BASE_EX!$B:$B,'Direct Charge'!$A195,BASE_EX!$C:$C,"maio")</f>
        <v>0</v>
      </c>
      <c r="AO195" s="373"/>
      <c r="AP195" s="372">
        <v>1600</v>
      </c>
      <c r="AQ195" s="343">
        <v>1684.3</v>
      </c>
      <c r="AR195" s="332">
        <f>SUMIFS(BASE_EX!$J:$J,BASE_EX!$B:$B,'Direct Charge'!$A195,BASE_EX!$C:$C,"junho")</f>
        <v>1684.3</v>
      </c>
      <c r="AS195" s="373">
        <v>1684.3</v>
      </c>
      <c r="AT195" s="372"/>
      <c r="AU195" s="343"/>
      <c r="AV195" s="332">
        <f>SUMIFS(BASE_EX!$J:$J,BASE_EX!$B:$B,'Direct Charge'!$A195,BASE_EX!$C:$C,"julho")</f>
        <v>0</v>
      </c>
      <c r="AW195" s="373"/>
      <c r="AX195" s="372"/>
      <c r="AY195" s="343"/>
      <c r="AZ195" s="332">
        <f>SUMIFS(BASE_EX!$J:$J,BASE_EX!$B:$B,'Direct Charge'!$A195,BASE_EX!$C:$C,"agosto")</f>
        <v>0</v>
      </c>
      <c r="BA195" s="373"/>
      <c r="BB195" s="372"/>
      <c r="BC195" s="343"/>
      <c r="BD195" s="332">
        <f>SUMIFS(BASE_EX!$J:$J,BASE_EX!$B:$B,'Direct Charge'!$A195,BASE_EX!$C:$C,"setembro")</f>
        <v>0</v>
      </c>
      <c r="BE195" s="373"/>
      <c r="BF195" s="372"/>
      <c r="BG195" s="343"/>
      <c r="BH195" s="332">
        <f>SUMIFS(BASE_EX!$J:$J,BASE_EX!$B:$B,'Direct Charge'!$A195,BASE_EX!$C:$C,"outubro")</f>
        <v>0</v>
      </c>
      <c r="BI195" s="373"/>
      <c r="BJ195" s="372"/>
      <c r="BK195" s="343"/>
      <c r="BL195" s="332">
        <f>SUMIFS(BASE_EX!$J:$J,BASE_EX!$B:$B,'Direct Charge'!$A195,BASE_EX!$C:$C,"novembro")</f>
        <v>0</v>
      </c>
      <c r="BM195" s="373"/>
      <c r="BN195" s="372"/>
      <c r="BO195" s="343"/>
      <c r="BP195" s="332">
        <f>SUMIFS(BASE_EX!$J:$J,BASE_EX!$B:$B,'Direct Charge'!$A195,BASE_EX!$C:$C,"dezembro")</f>
        <v>0</v>
      </c>
      <c r="BQ195" s="373"/>
      <c r="BR195" s="452">
        <v>60000</v>
      </c>
      <c r="BS195" s="156">
        <f t="shared" si="35"/>
        <v>84.299999999999955</v>
      </c>
      <c r="BT195" s="320">
        <f t="shared" si="36"/>
        <v>0</v>
      </c>
      <c r="BU195" s="157" t="e">
        <f>SUM(L195,M195,N195,O195,U195)-#REF!</f>
        <v>#REF!</v>
      </c>
      <c r="BV195" s="346">
        <f t="shared" si="37"/>
        <v>26414.679999999997</v>
      </c>
      <c r="BW195" s="344" t="str">
        <f>IFERROR(VLOOKUP($A195,'BASE_558 EX'!$D:$R,8,FALSE),"")</f>
        <v xml:space="preserve">           60.000,00</v>
      </c>
      <c r="BX195" s="344" t="str">
        <f>IFERROR(VLOOKUP($A195,'BASE_558 EX'!$D:$R,9,FALSE),"")</f>
        <v xml:space="preserve">           26.414,68</v>
      </c>
      <c r="BY195" s="344" t="str">
        <f>IFERROR(VLOOKUP($A195,'BASE_558 EX'!$D:$R,10,FALSE),"")</f>
        <v xml:space="preserve">                0,00</v>
      </c>
      <c r="BZ195" s="344" t="str">
        <f>IFERROR(VLOOKUP($A195,'BASE_558 EX'!$D:$R,11,FALSE),"")</f>
        <v xml:space="preserve">                0,00</v>
      </c>
      <c r="CA195" s="344">
        <f>IFERROR(IF(BASE_558!$P$14="RemOrdPla",(VLOOKUP(A195,BASE_558!D:R,14)/1000),(VLOOKUP(A195,BASE_558!D:R,13)/1000)),"")</f>
        <v>1055.46182</v>
      </c>
      <c r="CB195" s="344" t="str">
        <f>IFERROR(VLOOKUP($A195,'BASE_558 EX'!$D:$R,15,FALSE),"")</f>
        <v xml:space="preserve">           33.585,32</v>
      </c>
      <c r="CC195" s="442"/>
      <c r="CD195" s="442">
        <f t="shared" si="38"/>
        <v>0</v>
      </c>
    </row>
    <row r="196" spans="1:82" s="23" customFormat="1" ht="25.5" customHeight="1">
      <c r="A196" s="309" t="s">
        <v>6943</v>
      </c>
      <c r="B196" s="309"/>
      <c r="C196" s="187">
        <v>45325</v>
      </c>
      <c r="D196" s="381"/>
      <c r="E196" s="381" t="s">
        <v>2124</v>
      </c>
      <c r="F196" s="309" t="s">
        <v>176</v>
      </c>
      <c r="G196" s="340" t="s">
        <v>6971</v>
      </c>
      <c r="H196" s="339" t="s">
        <v>614</v>
      </c>
      <c r="I196" s="45" t="s">
        <v>463</v>
      </c>
      <c r="J196" s="83" t="s">
        <v>219</v>
      </c>
      <c r="K196" s="470"/>
      <c r="L196" s="206"/>
      <c r="M196" s="206"/>
      <c r="N196" s="206"/>
      <c r="O196" s="206"/>
      <c r="P196" s="206"/>
      <c r="Q196" s="206">
        <f t="shared" si="33"/>
        <v>0</v>
      </c>
      <c r="R196" s="206"/>
      <c r="S196" s="206"/>
      <c r="T196" s="223"/>
      <c r="U196" s="169">
        <f t="shared" si="34"/>
        <v>0</v>
      </c>
      <c r="V196" s="372">
        <v>0</v>
      </c>
      <c r="W196" s="343"/>
      <c r="X196" s="332">
        <f>SUMIFS(BASE_EX!$J:$J,BASE_EX!$B:$B,'Direct Charge'!$A196,BASE_EX!$C:$C,"janeiro")</f>
        <v>0</v>
      </c>
      <c r="Y196" s="373"/>
      <c r="Z196" s="372">
        <v>0</v>
      </c>
      <c r="AA196" s="343"/>
      <c r="AB196" s="332">
        <f>SUMIFS(BASE_EX!$J:$J,BASE_EX!$B:$B,'Direct Charge'!$A196,BASE_EX!$C:$C,"fevereiro")</f>
        <v>0</v>
      </c>
      <c r="AC196" s="373"/>
      <c r="AD196" s="372"/>
      <c r="AE196" s="343"/>
      <c r="AF196" s="332">
        <f>SUMIFS(BASE_EX!$J:$J,BASE_EX!$B:$B,'Direct Charge'!$A196,BASE_EX!$C:$C,"março")</f>
        <v>0</v>
      </c>
      <c r="AG196" s="373"/>
      <c r="AH196" s="372"/>
      <c r="AI196" s="343"/>
      <c r="AJ196" s="332">
        <f>SUMIFS(BASE_EX!$J:$J,BASE_EX!$B:$B,'Direct Charge'!$A196,BASE_EX!$C:$C,"abril")</f>
        <v>0</v>
      </c>
      <c r="AK196" s="373"/>
      <c r="AL196" s="372"/>
      <c r="AM196" s="343"/>
      <c r="AN196" s="332">
        <f>SUMIFS(BASE_EX!$J:$J,BASE_EX!$B:$B,'Direct Charge'!$A196,BASE_EX!$C:$C,"maio")</f>
        <v>0</v>
      </c>
      <c r="AO196" s="373"/>
      <c r="AP196" s="372"/>
      <c r="AQ196" s="343"/>
      <c r="AR196" s="332">
        <f>SUMIFS(BASE_EX!$J:$J,BASE_EX!$B:$B,'Direct Charge'!$A196,BASE_EX!$C:$C,"junho")</f>
        <v>0</v>
      </c>
      <c r="AS196" s="373"/>
      <c r="AT196" s="372"/>
      <c r="AU196" s="343"/>
      <c r="AV196" s="332">
        <f>SUMIFS(BASE_EX!$J:$J,BASE_EX!$B:$B,'Direct Charge'!$A196,BASE_EX!$C:$C,"julho")</f>
        <v>0</v>
      </c>
      <c r="AW196" s="373"/>
      <c r="AX196" s="372"/>
      <c r="AY196" s="343"/>
      <c r="AZ196" s="332">
        <f>SUMIFS(BASE_EX!$J:$J,BASE_EX!$B:$B,'Direct Charge'!$A196,BASE_EX!$C:$C,"agosto")</f>
        <v>0</v>
      </c>
      <c r="BA196" s="373"/>
      <c r="BB196" s="372"/>
      <c r="BC196" s="343"/>
      <c r="BD196" s="332">
        <f>SUMIFS(BASE_EX!$J:$J,BASE_EX!$B:$B,'Direct Charge'!$A196,BASE_EX!$C:$C,"setembro")</f>
        <v>0</v>
      </c>
      <c r="BE196" s="373"/>
      <c r="BF196" s="372"/>
      <c r="BG196" s="343"/>
      <c r="BH196" s="332">
        <f>SUMIFS(BASE_EX!$J:$J,BASE_EX!$B:$B,'Direct Charge'!$A196,BASE_EX!$C:$C,"outubro")</f>
        <v>0</v>
      </c>
      <c r="BI196" s="373"/>
      <c r="BJ196" s="372"/>
      <c r="BK196" s="343"/>
      <c r="BL196" s="332">
        <f>SUMIFS(BASE_EX!$J:$J,BASE_EX!$B:$B,'Direct Charge'!$A196,BASE_EX!$C:$C,"novembro")</f>
        <v>0</v>
      </c>
      <c r="BM196" s="373"/>
      <c r="BN196" s="372"/>
      <c r="BO196" s="343"/>
      <c r="BP196" s="332">
        <f>SUMIFS(BASE_EX!$J:$J,BASE_EX!$B:$B,'Direct Charge'!$A196,BASE_EX!$C:$C,"dezembro")</f>
        <v>0</v>
      </c>
      <c r="BQ196" s="373"/>
      <c r="BR196" s="452">
        <v>50000</v>
      </c>
      <c r="BS196" s="156">
        <f t="shared" si="35"/>
        <v>0</v>
      </c>
      <c r="BT196" s="320">
        <f t="shared" si="36"/>
        <v>0</v>
      </c>
      <c r="BU196" s="157" t="e">
        <f>SUM(L196,M196,N196,O196,U196)-#REF!</f>
        <v>#REF!</v>
      </c>
      <c r="BV196" s="346">
        <f t="shared" si="37"/>
        <v>0</v>
      </c>
      <c r="BW196" s="344" t="str">
        <f>IFERROR(VLOOKUP($A196,'BASE_558 EX'!$D:$R,8,FALSE),"")</f>
        <v xml:space="preserve">           50.000,00</v>
      </c>
      <c r="BX196" s="344" t="str">
        <f>IFERROR(VLOOKUP($A196,'BASE_558 EX'!$D:$R,9,FALSE),"")</f>
        <v xml:space="preserve">                0,00</v>
      </c>
      <c r="BY196" s="344" t="str">
        <f>IFERROR(VLOOKUP($A196,'BASE_558 EX'!$D:$R,10,FALSE),"")</f>
        <v xml:space="preserve">                0,00</v>
      </c>
      <c r="BZ196" s="344" t="str">
        <f>IFERROR(VLOOKUP($A196,'BASE_558 EX'!$D:$R,11,FALSE),"")</f>
        <v xml:space="preserve">                0,00</v>
      </c>
      <c r="CA196" s="344">
        <f>IFERROR(IF(BASE_558!$P$14="RemOrdPla",(VLOOKUP(A196,BASE_558!D:R,14)/1000),(VLOOKUP(A196,BASE_558!D:R,13)/1000)),"")</f>
        <v>605.70817</v>
      </c>
      <c r="CB196" s="344" t="str">
        <f>IFERROR(VLOOKUP($A196,'BASE_558 EX'!$D:$R,15,FALSE),"")</f>
        <v xml:space="preserve">           50.000,00</v>
      </c>
      <c r="CC196" s="442"/>
      <c r="CD196" s="442">
        <f t="shared" si="38"/>
        <v>0</v>
      </c>
    </row>
    <row r="197" spans="1:82" s="23" customFormat="1" ht="25.5" customHeight="1">
      <c r="A197" s="309" t="s">
        <v>8972</v>
      </c>
      <c r="B197" s="309"/>
      <c r="C197" s="187">
        <v>45716</v>
      </c>
      <c r="D197" s="381"/>
      <c r="E197" s="381" t="s">
        <v>9603</v>
      </c>
      <c r="F197" s="309" t="s">
        <v>176</v>
      </c>
      <c r="G197" s="340" t="s">
        <v>7463</v>
      </c>
      <c r="H197" s="339" t="s">
        <v>614</v>
      </c>
      <c r="I197" s="45" t="s">
        <v>463</v>
      </c>
      <c r="J197" s="83" t="s">
        <v>219</v>
      </c>
      <c r="K197" s="46" t="s">
        <v>9605</v>
      </c>
      <c r="L197" s="206"/>
      <c r="M197" s="206"/>
      <c r="N197" s="206"/>
      <c r="O197" s="206"/>
      <c r="P197" s="206"/>
      <c r="Q197" s="206"/>
      <c r="R197" s="206"/>
      <c r="S197" s="206"/>
      <c r="T197" s="223"/>
      <c r="U197" s="169">
        <f t="shared" si="34"/>
        <v>0</v>
      </c>
      <c r="V197" s="372"/>
      <c r="W197" s="343"/>
      <c r="X197" s="332">
        <f>SUMIFS(BASE_EX!$J:$J,BASE_EX!$B:$B,'Direct Charge'!$A197,BASE_EX!$C:$C,"janeiro")</f>
        <v>0</v>
      </c>
      <c r="Y197" s="373"/>
      <c r="Z197" s="372"/>
      <c r="AA197" s="343"/>
      <c r="AB197" s="332">
        <f>SUMIFS(BASE_EX!$J:$J,BASE_EX!$B:$B,'Direct Charge'!$A197,BASE_EX!$C:$C,"fevereiro")</f>
        <v>0</v>
      </c>
      <c r="AC197" s="373"/>
      <c r="AD197" s="372"/>
      <c r="AE197" s="343"/>
      <c r="AF197" s="332">
        <f>SUMIFS(BASE_EX!$J:$J,BASE_EX!$B:$B,'Direct Charge'!$A197,BASE_EX!$C:$C,"março")</f>
        <v>0</v>
      </c>
      <c r="AG197" s="373"/>
      <c r="AH197" s="372"/>
      <c r="AI197" s="343"/>
      <c r="AJ197" s="332">
        <f>SUMIFS(BASE_EX!$J:$J,BASE_EX!$B:$B,'Direct Charge'!$A197,BASE_EX!$C:$C,"abril")</f>
        <v>0</v>
      </c>
      <c r="AK197" s="373"/>
      <c r="AL197" s="372"/>
      <c r="AM197" s="343"/>
      <c r="AN197" s="332">
        <f>SUMIFS(BASE_EX!$J:$J,BASE_EX!$B:$B,'Direct Charge'!$A197,BASE_EX!$C:$C,"maio")</f>
        <v>0</v>
      </c>
      <c r="AO197" s="373"/>
      <c r="AP197" s="372"/>
      <c r="AQ197" s="343"/>
      <c r="AR197" s="332">
        <f>SUMIFS(BASE_EX!$J:$J,BASE_EX!$B:$B,'Direct Charge'!$A197,BASE_EX!$C:$C,"junho")</f>
        <v>0</v>
      </c>
      <c r="AS197" s="373"/>
      <c r="AT197" s="372"/>
      <c r="AU197" s="343"/>
      <c r="AV197" s="332">
        <f>SUMIFS(BASE_EX!$J:$J,BASE_EX!$B:$B,'Direct Charge'!$A197,BASE_EX!$C:$C,"julho")</f>
        <v>0</v>
      </c>
      <c r="AW197" s="373"/>
      <c r="AX197" s="372"/>
      <c r="AY197" s="343"/>
      <c r="AZ197" s="332">
        <f>SUMIFS(BASE_EX!$J:$J,BASE_EX!$B:$B,'Direct Charge'!$A197,BASE_EX!$C:$C,"agosto")</f>
        <v>0</v>
      </c>
      <c r="BA197" s="373"/>
      <c r="BB197" s="372"/>
      <c r="BC197" s="343"/>
      <c r="BD197" s="332">
        <f>SUMIFS(BASE_EX!$J:$J,BASE_EX!$B:$B,'Direct Charge'!$A197,BASE_EX!$C:$C,"setembro")</f>
        <v>0</v>
      </c>
      <c r="BE197" s="373"/>
      <c r="BF197" s="372"/>
      <c r="BG197" s="343"/>
      <c r="BH197" s="332">
        <f>SUMIFS(BASE_EX!$J:$J,BASE_EX!$B:$B,'Direct Charge'!$A197,BASE_EX!$C:$C,"outubro")</f>
        <v>0</v>
      </c>
      <c r="BI197" s="373"/>
      <c r="BJ197" s="372"/>
      <c r="BK197" s="343"/>
      <c r="BL197" s="332">
        <f>SUMIFS(BASE_EX!$J:$J,BASE_EX!$B:$B,'Direct Charge'!$A197,BASE_EX!$C:$C,"novembro")</f>
        <v>0</v>
      </c>
      <c r="BM197" s="373"/>
      <c r="BN197" s="372"/>
      <c r="BO197" s="343"/>
      <c r="BP197" s="332">
        <f>SUMIFS(BASE_EX!$J:$J,BASE_EX!$B:$B,'Direct Charge'!$A197,BASE_EX!$C:$C,"dezembro")</f>
        <v>0</v>
      </c>
      <c r="BQ197" s="373"/>
      <c r="BR197" s="452"/>
      <c r="BS197" s="156">
        <f t="shared" si="35"/>
        <v>0</v>
      </c>
      <c r="BT197" s="320">
        <f t="shared" si="36"/>
        <v>0</v>
      </c>
      <c r="BU197" s="157" t="e">
        <f>SUM(L197,M197,N197,O197,U197)-#REF!</f>
        <v>#REF!</v>
      </c>
      <c r="BV197" s="346">
        <f t="shared" si="37"/>
        <v>0</v>
      </c>
      <c r="BW197" s="344" t="str">
        <f>IFERROR(VLOOKUP($A197,'BASE_558 EX'!$D:$R,8,FALSE),"")</f>
        <v xml:space="preserve">          100.000,00</v>
      </c>
      <c r="BX197" s="344" t="str">
        <f>IFERROR(VLOOKUP($A197,'BASE_558 EX'!$D:$R,9,FALSE),"")</f>
        <v xml:space="preserve">                0,00</v>
      </c>
      <c r="BY197" s="344" t="str">
        <f>IFERROR(VLOOKUP($A197,'BASE_558 EX'!$D:$R,10,FALSE),"")</f>
        <v xml:space="preserve">                0,00</v>
      </c>
      <c r="BZ197" s="344" t="str">
        <f>IFERROR(VLOOKUP($A197,'BASE_558 EX'!$D:$R,11,FALSE),"")</f>
        <v xml:space="preserve">                0,00</v>
      </c>
      <c r="CA197" s="344">
        <f>IFERROR(IF(BASE_558!$P$14="RemOrdPla",(VLOOKUP(A197,BASE_558!D:R,14)/1000),(VLOOKUP(A197,BASE_558!D:R,13)/1000)),"")</f>
        <v>235.64035999999999</v>
      </c>
      <c r="CB197" s="344" t="str">
        <f>IFERROR(VLOOKUP($A197,'BASE_558 EX'!$D:$R,15,FALSE),"")</f>
        <v xml:space="preserve">          100.000,00</v>
      </c>
      <c r="CC197" s="442"/>
      <c r="CD197" s="442">
        <f t="shared" si="38"/>
        <v>0</v>
      </c>
    </row>
    <row r="198" spans="1:82" s="23" customFormat="1" ht="25.5" customHeight="1">
      <c r="A198" s="309" t="s">
        <v>7466</v>
      </c>
      <c r="B198" s="309"/>
      <c r="C198" s="187">
        <v>45769</v>
      </c>
      <c r="D198" s="381"/>
      <c r="E198" s="381" t="s">
        <v>2186</v>
      </c>
      <c r="F198" s="309" t="s">
        <v>176</v>
      </c>
      <c r="G198" s="341" t="s">
        <v>7445</v>
      </c>
      <c r="H198" s="339" t="s">
        <v>614</v>
      </c>
      <c r="I198" s="45" t="s">
        <v>463</v>
      </c>
      <c r="J198" s="83" t="s">
        <v>219</v>
      </c>
      <c r="K198" s="298"/>
      <c r="L198" s="206"/>
      <c r="M198" s="206"/>
      <c r="N198" s="206"/>
      <c r="O198" s="206"/>
      <c r="P198" s="206"/>
      <c r="Q198" s="206"/>
      <c r="R198" s="206"/>
      <c r="S198" s="206"/>
      <c r="T198" s="223"/>
      <c r="U198" s="169">
        <f t="shared" si="34"/>
        <v>0</v>
      </c>
      <c r="V198" s="372"/>
      <c r="W198" s="343"/>
      <c r="X198" s="332">
        <f>SUMIFS(BASE_EX!$J:$J,BASE_EX!$B:$B,'Direct Charge'!$A199,BASE_EX!$C:$C,"janeiro")</f>
        <v>0</v>
      </c>
      <c r="Y198" s="373"/>
      <c r="Z198" s="372"/>
      <c r="AA198" s="343"/>
      <c r="AB198" s="332">
        <f>SUMIFS(BASE_EX!$J:$J,BASE_EX!$B:$B,'Direct Charge'!$A199,BASE_EX!$C:$C,"fevereiro")</f>
        <v>0</v>
      </c>
      <c r="AC198" s="373"/>
      <c r="AD198" s="372"/>
      <c r="AE198" s="343"/>
      <c r="AF198" s="332">
        <f>SUMIFS(BASE_EX!$J:$J,BASE_EX!$B:$B,'Direct Charge'!$A199,BASE_EX!$C:$C,"março")</f>
        <v>0</v>
      </c>
      <c r="AG198" s="373"/>
      <c r="AH198" s="372"/>
      <c r="AI198" s="343"/>
      <c r="AJ198" s="332">
        <f>SUMIFS(BASE_EX!$J:$J,BASE_EX!$B:$B,'Direct Charge'!$A199,BASE_EX!$C:$C,"abril")</f>
        <v>0</v>
      </c>
      <c r="AK198" s="373"/>
      <c r="AL198" s="372"/>
      <c r="AM198" s="343"/>
      <c r="AN198" s="332">
        <f>SUMIFS(BASE_EX!$J:$J,BASE_EX!$B:$B,'Direct Charge'!$A199,BASE_EX!$C:$C,"maio")</f>
        <v>0</v>
      </c>
      <c r="AO198" s="373"/>
      <c r="AP198" s="372"/>
      <c r="AQ198" s="343"/>
      <c r="AR198" s="332">
        <f>SUMIFS(BASE_EX!$J:$J,BASE_EX!$B:$B,'Direct Charge'!$A198,BASE_EX!$C:$C,"junho")</f>
        <v>0</v>
      </c>
      <c r="AS198" s="373"/>
      <c r="AT198" s="372"/>
      <c r="AU198" s="343"/>
      <c r="AV198" s="332">
        <f>SUMIFS(BASE_EX!$J:$J,BASE_EX!$B:$B,'Direct Charge'!$A199,BASE_EX!$C:$C,"julho")</f>
        <v>0</v>
      </c>
      <c r="AW198" s="373"/>
      <c r="AX198" s="372"/>
      <c r="AY198" s="343"/>
      <c r="AZ198" s="332">
        <f>SUMIFS(BASE_EX!$J:$J,BASE_EX!$B:$B,'Direct Charge'!$A199,BASE_EX!$C:$C,"agosto")</f>
        <v>0</v>
      </c>
      <c r="BA198" s="373"/>
      <c r="BB198" s="372"/>
      <c r="BC198" s="343"/>
      <c r="BD198" s="332">
        <f>SUMIFS(BASE_EX!$J:$J,BASE_EX!$B:$B,'Direct Charge'!$A199,BASE_EX!$C:$C,"setembro")</f>
        <v>0</v>
      </c>
      <c r="BE198" s="373"/>
      <c r="BF198" s="372"/>
      <c r="BG198" s="343"/>
      <c r="BH198" s="332">
        <f>SUMIFS(BASE_EX!$J:$J,BASE_EX!$B:$B,'Direct Charge'!$A199,BASE_EX!$C:$C,"outubro")</f>
        <v>0</v>
      </c>
      <c r="BI198" s="373"/>
      <c r="BJ198" s="372"/>
      <c r="BK198" s="343"/>
      <c r="BL198" s="332">
        <f>SUMIFS(BASE_EX!$J:$J,BASE_EX!$B:$B,'Direct Charge'!$A199,BASE_EX!$C:$C,"novembro")</f>
        <v>0</v>
      </c>
      <c r="BM198" s="373"/>
      <c r="BN198" s="372"/>
      <c r="BO198" s="343"/>
      <c r="BP198" s="332">
        <f>SUMIFS(BASE_EX!$J:$J,BASE_EX!$B:$B,'Direct Charge'!$A199,BASE_EX!$C:$C,"dezembro")</f>
        <v>0</v>
      </c>
      <c r="BQ198" s="373"/>
      <c r="BR198" s="452">
        <v>170000</v>
      </c>
      <c r="BS198" s="156">
        <f t="shared" si="35"/>
        <v>0</v>
      </c>
      <c r="BT198" s="320">
        <f t="shared" si="36"/>
        <v>0</v>
      </c>
      <c r="BU198" s="157" t="e">
        <f>SUM(L198,M198,N198,O198,U198)-#REF!</f>
        <v>#REF!</v>
      </c>
      <c r="BV198" s="346">
        <f t="shared" si="37"/>
        <v>0</v>
      </c>
      <c r="BW198" s="344" t="str">
        <f>IFERROR(VLOOKUP($A198,'BASE_558 EX'!$D:$R,8,FALSE),"")</f>
        <v xml:space="preserve">          170.000,00</v>
      </c>
      <c r="BX198" s="344" t="str">
        <f>IFERROR(VLOOKUP($A198,'BASE_558 EX'!$D:$R,9,FALSE),"")</f>
        <v xml:space="preserve">                0,00</v>
      </c>
      <c r="BY198" s="344" t="str">
        <f>IFERROR(VLOOKUP($A198,'BASE_558 EX'!$D:$R,10,FALSE),"")</f>
        <v xml:space="preserve">                0,00</v>
      </c>
      <c r="BZ198" s="344" t="str">
        <f>IFERROR(VLOOKUP($A198,'BASE_558 EX'!$D:$R,11,FALSE),"")</f>
        <v xml:space="preserve">                0,00</v>
      </c>
      <c r="CA198" s="344">
        <f>IFERROR(IF(BASE_558!$P$14="RemOrdPla",(VLOOKUP(A198,BASE_558!D:R,14)/1000),(VLOOKUP(A198,BASE_558!D:R,13)/1000)),"")</f>
        <v>508.79790000000003</v>
      </c>
      <c r="CB198" s="344" t="str">
        <f>IFERROR(VLOOKUP($A198,'BASE_558 EX'!$D:$R,15,FALSE),"")</f>
        <v xml:space="preserve">          170.000,00</v>
      </c>
      <c r="CC198" s="442"/>
      <c r="CD198" s="442">
        <f t="shared" si="38"/>
        <v>0</v>
      </c>
    </row>
    <row r="199" spans="1:82" s="23" customFormat="1" ht="25.5" customHeight="1">
      <c r="A199" s="309" t="s">
        <v>8974</v>
      </c>
      <c r="B199" s="309"/>
      <c r="C199" s="187">
        <v>45797</v>
      </c>
      <c r="D199" s="381" t="s">
        <v>704</v>
      </c>
      <c r="E199" s="381" t="s">
        <v>704</v>
      </c>
      <c r="F199" s="309" t="s">
        <v>176</v>
      </c>
      <c r="G199" s="340" t="s">
        <v>7427</v>
      </c>
      <c r="H199" s="339" t="s">
        <v>614</v>
      </c>
      <c r="I199" s="45" t="s">
        <v>463</v>
      </c>
      <c r="J199" s="83" t="s">
        <v>219</v>
      </c>
      <c r="K199" s="298" t="s">
        <v>18861</v>
      </c>
      <c r="L199" s="206"/>
      <c r="M199" s="206"/>
      <c r="N199" s="206"/>
      <c r="O199" s="206"/>
      <c r="P199" s="206"/>
      <c r="Q199" s="206"/>
      <c r="R199" s="206"/>
      <c r="S199" s="206"/>
      <c r="T199" s="223"/>
      <c r="U199" s="169">
        <f t="shared" si="34"/>
        <v>0</v>
      </c>
      <c r="V199" s="372"/>
      <c r="W199" s="343"/>
      <c r="X199" s="332">
        <f>SUMIFS(BASE_EX!$J:$J,BASE_EX!$B:$B,'Direct Charge'!$A200,BASE_EX!$C:$C,"janeiro")</f>
        <v>0</v>
      </c>
      <c r="Y199" s="373"/>
      <c r="Z199" s="372"/>
      <c r="AA199" s="343"/>
      <c r="AB199" s="332">
        <f>SUMIFS(BASE_EX!$J:$J,BASE_EX!$B:$B,'Direct Charge'!$A200,BASE_EX!$C:$C,"fevereiro")</f>
        <v>0</v>
      </c>
      <c r="AC199" s="373"/>
      <c r="AD199" s="372"/>
      <c r="AE199" s="343"/>
      <c r="AF199" s="332">
        <f>SUMIFS(BASE_EX!$J:$J,BASE_EX!$B:$B,'Direct Charge'!$A200,BASE_EX!$C:$C,"março")</f>
        <v>0</v>
      </c>
      <c r="AG199" s="373"/>
      <c r="AH199" s="372"/>
      <c r="AI199" s="343"/>
      <c r="AJ199" s="332">
        <f>SUMIFS(BASE_EX!$J:$J,BASE_EX!$B:$B,'Direct Charge'!$A200,BASE_EX!$C:$C,"abril")</f>
        <v>0</v>
      </c>
      <c r="AK199" s="373"/>
      <c r="AL199" s="372"/>
      <c r="AM199" s="343"/>
      <c r="AN199" s="332">
        <f>SUMIFS(BASE_EX!$J:$J,BASE_EX!$B:$B,'Direct Charge'!$A200,BASE_EX!$C:$C,"maio")</f>
        <v>0</v>
      </c>
      <c r="AO199" s="373"/>
      <c r="AP199" s="372"/>
      <c r="AQ199" s="343"/>
      <c r="AR199" s="332">
        <f>SUMIFS(BASE_EX!$J:$J,BASE_EX!$B:$B,'Direct Charge'!$A199,BASE_EX!$C:$C,"junho")</f>
        <v>0</v>
      </c>
      <c r="AS199" s="373"/>
      <c r="AT199" s="372"/>
      <c r="AU199" s="343"/>
      <c r="AV199" s="332">
        <f>SUMIFS(BASE_EX!$J:$J,BASE_EX!$B:$B,'Direct Charge'!$A200,BASE_EX!$C:$C,"julho")</f>
        <v>0</v>
      </c>
      <c r="AW199" s="373"/>
      <c r="AX199" s="372"/>
      <c r="AY199" s="343"/>
      <c r="AZ199" s="332">
        <f>SUMIFS(BASE_EX!$J:$J,BASE_EX!$B:$B,'Direct Charge'!$A200,BASE_EX!$C:$C,"agosto")</f>
        <v>0</v>
      </c>
      <c r="BA199" s="373"/>
      <c r="BB199" s="372"/>
      <c r="BC199" s="343"/>
      <c r="BD199" s="332">
        <f>SUMIFS(BASE_EX!$J:$J,BASE_EX!$B:$B,'Direct Charge'!$A200,BASE_EX!$C:$C,"setembro")</f>
        <v>0</v>
      </c>
      <c r="BE199" s="373"/>
      <c r="BF199" s="372"/>
      <c r="BG199" s="343"/>
      <c r="BH199" s="332">
        <f>SUMIFS(BASE_EX!$J:$J,BASE_EX!$B:$B,'Direct Charge'!$A200,BASE_EX!$C:$C,"outubro")</f>
        <v>0</v>
      </c>
      <c r="BI199" s="373"/>
      <c r="BJ199" s="372"/>
      <c r="BK199" s="343"/>
      <c r="BL199" s="332">
        <f>SUMIFS(BASE_EX!$J:$J,BASE_EX!$B:$B,'Direct Charge'!$A200,BASE_EX!$C:$C,"novembro")</f>
        <v>0</v>
      </c>
      <c r="BM199" s="373"/>
      <c r="BN199" s="372"/>
      <c r="BO199" s="343"/>
      <c r="BP199" s="332">
        <f>SUMIFS(BASE_EX!$J:$J,BASE_EX!$B:$B,'Direct Charge'!$A200,BASE_EX!$C:$C,"dezembro")</f>
        <v>0</v>
      </c>
      <c r="BQ199" s="373"/>
      <c r="BR199" s="452">
        <v>10100</v>
      </c>
      <c r="BS199" s="156">
        <f t="shared" si="35"/>
        <v>0</v>
      </c>
      <c r="BT199" s="320">
        <f t="shared" si="36"/>
        <v>0</v>
      </c>
      <c r="BU199" s="157" t="e">
        <f>SUM(L199,M199,N199,O199,U199)-#REF!</f>
        <v>#REF!</v>
      </c>
      <c r="BV199" s="346">
        <f t="shared" si="37"/>
        <v>0</v>
      </c>
      <c r="BW199" s="344" t="str">
        <f>IFERROR(VLOOKUP($A199,'BASE_558 EX'!$D:$R,8,FALSE),"")</f>
        <v xml:space="preserve">           10.100,00</v>
      </c>
      <c r="BX199" s="344" t="str">
        <f>IFERROR(VLOOKUP($A199,'BASE_558 EX'!$D:$R,9,FALSE),"")</f>
        <v xml:space="preserve">                0,00</v>
      </c>
      <c r="BY199" s="344" t="str">
        <f>IFERROR(VLOOKUP($A199,'BASE_558 EX'!$D:$R,10,FALSE),"")</f>
        <v xml:space="preserve">                0,00</v>
      </c>
      <c r="BZ199" s="344" t="str">
        <f>IFERROR(VLOOKUP($A199,'BASE_558 EX'!$D:$R,11,FALSE),"")</f>
        <v xml:space="preserve">            9.714,65</v>
      </c>
      <c r="CA199" s="344">
        <f>IFERROR(IF(BASE_558!$P$14="RemOrdPla",(VLOOKUP(A199,BASE_558!D:R,14)/1000),(VLOOKUP(A199,BASE_558!D:R,13)/1000)),"")</f>
        <v>808.96540000000005</v>
      </c>
      <c r="CB199" s="344" t="str">
        <f>IFERROR(VLOOKUP($A199,'BASE_558 EX'!$D:$R,15,FALSE),"")</f>
        <v xml:space="preserve">              385,35</v>
      </c>
      <c r="CC199" s="442"/>
      <c r="CD199" s="442">
        <f t="shared" si="38"/>
        <v>0</v>
      </c>
    </row>
    <row r="200" spans="1:82" s="23" customFormat="1" ht="25.5" customHeight="1">
      <c r="A200" s="309" t="s">
        <v>17001</v>
      </c>
      <c r="B200" s="309"/>
      <c r="C200" s="187">
        <v>45791</v>
      </c>
      <c r="D200" s="381"/>
      <c r="E200" s="381" t="s">
        <v>6882</v>
      </c>
      <c r="F200" s="309" t="s">
        <v>2508</v>
      </c>
      <c r="G200" s="340" t="s">
        <v>7441</v>
      </c>
      <c r="H200" s="339" t="s">
        <v>614</v>
      </c>
      <c r="I200" s="6" t="s">
        <v>463</v>
      </c>
      <c r="J200" s="83" t="s">
        <v>219</v>
      </c>
      <c r="K200" s="46"/>
      <c r="L200" s="206"/>
      <c r="M200" s="206"/>
      <c r="N200" s="206"/>
      <c r="O200" s="206"/>
      <c r="P200" s="206"/>
      <c r="Q200" s="206"/>
      <c r="R200" s="206"/>
      <c r="S200" s="206"/>
      <c r="T200" s="223"/>
      <c r="U200" s="169">
        <f t="shared" si="34"/>
        <v>0</v>
      </c>
      <c r="V200" s="372"/>
      <c r="W200" s="343"/>
      <c r="X200" s="332">
        <f>SUMIFS(BASE_EX!$J:$J,BASE_EX!$B:$B,'Direct Charge'!$A198,BASE_EX!$C:$C,"janeiro")</f>
        <v>0</v>
      </c>
      <c r="Y200" s="373"/>
      <c r="Z200" s="372"/>
      <c r="AA200" s="343"/>
      <c r="AB200" s="332">
        <f>SUMIFS(BASE_EX!$J:$J,BASE_EX!$B:$B,'Direct Charge'!$A198,BASE_EX!$C:$C,"fevereiro")</f>
        <v>0</v>
      </c>
      <c r="AC200" s="373"/>
      <c r="AD200" s="372"/>
      <c r="AE200" s="343"/>
      <c r="AF200" s="332">
        <f>SUMIFS(BASE_EX!$J:$J,BASE_EX!$B:$B,'Direct Charge'!$A198,BASE_EX!$C:$C,"março")</f>
        <v>0</v>
      </c>
      <c r="AG200" s="373"/>
      <c r="AH200" s="372"/>
      <c r="AI200" s="343"/>
      <c r="AJ200" s="332">
        <f>SUMIFS(BASE_EX!$J:$J,BASE_EX!$B:$B,'Direct Charge'!$A198,BASE_EX!$C:$C,"abril")</f>
        <v>0</v>
      </c>
      <c r="AK200" s="373"/>
      <c r="AL200" s="372"/>
      <c r="AM200" s="343"/>
      <c r="AN200" s="332">
        <f>SUMIFS(BASE_EX!$J:$J,BASE_EX!$B:$B,'Direct Charge'!$A198,BASE_EX!$C:$C,"maio")</f>
        <v>0</v>
      </c>
      <c r="AO200" s="373"/>
      <c r="AP200" s="372"/>
      <c r="AQ200" s="343"/>
      <c r="AR200" s="332">
        <f>SUMIFS(BASE_EX!$J:$J,BASE_EX!$B:$B,'Direct Charge'!$A200,BASE_EX!$C:$C,"junho")</f>
        <v>0</v>
      </c>
      <c r="AS200" s="373"/>
      <c r="AT200" s="372"/>
      <c r="AU200" s="343"/>
      <c r="AV200" s="332">
        <f>SUMIFS(BASE_EX!$J:$J,BASE_EX!$B:$B,'Direct Charge'!$A198,BASE_EX!$C:$C,"julho")</f>
        <v>0</v>
      </c>
      <c r="AW200" s="373"/>
      <c r="AX200" s="372"/>
      <c r="AY200" s="343"/>
      <c r="AZ200" s="332">
        <f>SUMIFS(BASE_EX!$J:$J,BASE_EX!$B:$B,'Direct Charge'!$A198,BASE_EX!$C:$C,"agosto")</f>
        <v>0</v>
      </c>
      <c r="BA200" s="373"/>
      <c r="BB200" s="372"/>
      <c r="BC200" s="343"/>
      <c r="BD200" s="332">
        <f>SUMIFS(BASE_EX!$J:$J,BASE_EX!$B:$B,'Direct Charge'!$A198,BASE_EX!$C:$C,"setembro")</f>
        <v>0</v>
      </c>
      <c r="BE200" s="373"/>
      <c r="BF200" s="372"/>
      <c r="BG200" s="343"/>
      <c r="BH200" s="332">
        <f>SUMIFS(BASE_EX!$J:$J,BASE_EX!$B:$B,'Direct Charge'!$A198,BASE_EX!$C:$C,"outubro")</f>
        <v>0</v>
      </c>
      <c r="BI200" s="373"/>
      <c r="BJ200" s="372"/>
      <c r="BK200" s="343"/>
      <c r="BL200" s="332">
        <f>SUMIFS(BASE_EX!$J:$J,BASE_EX!$B:$B,'Direct Charge'!$A198,BASE_EX!$C:$C,"novembro")</f>
        <v>0</v>
      </c>
      <c r="BM200" s="373"/>
      <c r="BN200" s="372"/>
      <c r="BO200" s="343"/>
      <c r="BP200" s="332">
        <f>SUMIFS(BASE_EX!$J:$J,BASE_EX!$B:$B,'Direct Charge'!$A198,BASE_EX!$C:$C,"dezembro")</f>
        <v>0</v>
      </c>
      <c r="BQ200" s="373"/>
      <c r="BR200" s="452">
        <v>18000</v>
      </c>
      <c r="BS200" s="156">
        <f t="shared" si="35"/>
        <v>0</v>
      </c>
      <c r="BT200" s="320">
        <f t="shared" si="36"/>
        <v>0</v>
      </c>
      <c r="BU200" s="157" t="e">
        <f>SUM(L200,M200,N200,O200,U200)-#REF!</f>
        <v>#REF!</v>
      </c>
      <c r="BV200" s="346">
        <f t="shared" si="37"/>
        <v>0</v>
      </c>
      <c r="BW200" s="344" t="str">
        <f>IFERROR(VLOOKUP($A200,'BASE_558 EX'!$D:$R,8,FALSE),"")</f>
        <v xml:space="preserve">           18.000,00</v>
      </c>
      <c r="BX200" s="344" t="str">
        <f>IFERROR(VLOOKUP($A200,'BASE_558 EX'!$D:$R,9,FALSE),"")</f>
        <v xml:space="preserve">                0,00</v>
      </c>
      <c r="BY200" s="344" t="str">
        <f>IFERROR(VLOOKUP($A200,'BASE_558 EX'!$D:$R,10,FALSE),"")</f>
        <v xml:space="preserve">                0,00</v>
      </c>
      <c r="BZ200" s="344" t="str">
        <f>IFERROR(VLOOKUP($A200,'BASE_558 EX'!$D:$R,11,FALSE),"")</f>
        <v xml:space="preserve">                0,00</v>
      </c>
      <c r="CA200" s="344">
        <f>IFERROR(IF(BASE_558!$P$14="RemOrdPla",(VLOOKUP(A200,BASE_558!D:R,14)/1000),(VLOOKUP(A200,BASE_558!D:R,13)/1000)),"")</f>
        <v>15.3476</v>
      </c>
      <c r="CB200" s="344" t="str">
        <f>IFERROR(VLOOKUP($A200,'BASE_558 EX'!$D:$R,15,FALSE),"")</f>
        <v xml:space="preserve">           18.000,00</v>
      </c>
      <c r="CC200" s="442"/>
      <c r="CD200" s="442">
        <f t="shared" si="38"/>
        <v>0</v>
      </c>
    </row>
  </sheetData>
  <autoFilter ref="A7:CD200" xr:uid="{F7263A9A-7E7E-4550-A238-B3718FCABEF5}">
    <sortState xmlns:xlrd2="http://schemas.microsoft.com/office/spreadsheetml/2017/richdata2" ref="A8:CD200">
      <sortCondition ref="A7:A200"/>
    </sortState>
  </autoFilter>
  <phoneticPr fontId="26" type="noConversion"/>
  <conditionalFormatting sqref="J22">
    <cfRule type="cellIs" dxfId="2094" priority="2842" operator="equal">
      <formula>"EM EXECUÇÃO"</formula>
    </cfRule>
    <cfRule type="cellIs" dxfId="2093" priority="2843" operator="equal">
      <formula>"CLSD"</formula>
    </cfRule>
    <cfRule type="cellIs" dxfId="2092" priority="2844" operator="equal">
      <formula>"TECO"</formula>
    </cfRule>
  </conditionalFormatting>
  <conditionalFormatting sqref="J22">
    <cfRule type="cellIs" dxfId="2091" priority="2841" operator="equal">
      <formula>"CANCELADO"</formula>
    </cfRule>
  </conditionalFormatting>
  <conditionalFormatting sqref="J9">
    <cfRule type="cellIs" dxfId="2090" priority="2866" operator="equal">
      <formula>"EM EXECUÇÃO"</formula>
    </cfRule>
    <cfRule type="cellIs" dxfId="2089" priority="2867" operator="equal">
      <formula>"CLSD"</formula>
    </cfRule>
    <cfRule type="cellIs" dxfId="2088" priority="2868" operator="equal">
      <formula>"TECO"</formula>
    </cfRule>
  </conditionalFormatting>
  <conditionalFormatting sqref="J9">
    <cfRule type="cellIs" dxfId="2087" priority="2865" operator="equal">
      <formula>"CANCELADO"</formula>
    </cfRule>
  </conditionalFormatting>
  <conditionalFormatting sqref="J10">
    <cfRule type="cellIs" dxfId="2086" priority="2858" operator="equal">
      <formula>"EM EXECUÇÃO"</formula>
    </cfRule>
    <cfRule type="cellIs" dxfId="2085" priority="2859" operator="equal">
      <formula>"CLSD"</formula>
    </cfRule>
    <cfRule type="cellIs" dxfId="2084" priority="2860" operator="equal">
      <formula>"TECO"</formula>
    </cfRule>
  </conditionalFormatting>
  <conditionalFormatting sqref="J10">
    <cfRule type="cellIs" dxfId="2083" priority="2857" operator="equal">
      <formula>"CANCELADO"</formula>
    </cfRule>
  </conditionalFormatting>
  <conditionalFormatting sqref="J11">
    <cfRule type="cellIs" dxfId="2082" priority="2854" operator="equal">
      <formula>"EM EXECUÇÃO"</formula>
    </cfRule>
    <cfRule type="cellIs" dxfId="2081" priority="2855" operator="equal">
      <formula>"CLSD"</formula>
    </cfRule>
    <cfRule type="cellIs" dxfId="2080" priority="2856" operator="equal">
      <formula>"TECO"</formula>
    </cfRule>
  </conditionalFormatting>
  <conditionalFormatting sqref="J11">
    <cfRule type="cellIs" dxfId="2079" priority="2853" operator="equal">
      <formula>"CANCELADO"</formula>
    </cfRule>
  </conditionalFormatting>
  <conditionalFormatting sqref="J12:J13">
    <cfRule type="cellIs" dxfId="2078" priority="2850" operator="equal">
      <formula>"EM EXECUÇÃO"</formula>
    </cfRule>
    <cfRule type="cellIs" dxfId="2077" priority="2851" operator="equal">
      <formula>"CLSD"</formula>
    </cfRule>
    <cfRule type="cellIs" dxfId="2076" priority="2852" operator="equal">
      <formula>"TECO"</formula>
    </cfRule>
  </conditionalFormatting>
  <conditionalFormatting sqref="J12:J13">
    <cfRule type="cellIs" dxfId="2075" priority="2849" operator="equal">
      <formula>"CANCELADO"</formula>
    </cfRule>
  </conditionalFormatting>
  <conditionalFormatting sqref="J18 J21">
    <cfRule type="cellIs" dxfId="2074" priority="2846" operator="equal">
      <formula>"EM EXECUÇÃO"</formula>
    </cfRule>
    <cfRule type="cellIs" dxfId="2073" priority="2847" operator="equal">
      <formula>"CLSD"</formula>
    </cfRule>
    <cfRule type="cellIs" dxfId="2072" priority="2848" operator="equal">
      <formula>"TECO"</formula>
    </cfRule>
  </conditionalFormatting>
  <conditionalFormatting sqref="J18 J21">
    <cfRule type="cellIs" dxfId="2071" priority="2845" operator="equal">
      <formula>"CANCELADO"</formula>
    </cfRule>
  </conditionalFormatting>
  <conditionalFormatting sqref="J23:J24">
    <cfRule type="cellIs" dxfId="2070" priority="2838" operator="equal">
      <formula>"EM EXECUÇÃO"</formula>
    </cfRule>
    <cfRule type="cellIs" dxfId="2069" priority="2839" operator="equal">
      <formula>"CLSD"</formula>
    </cfRule>
    <cfRule type="cellIs" dxfId="2068" priority="2840" operator="equal">
      <formula>"TECO"</formula>
    </cfRule>
  </conditionalFormatting>
  <conditionalFormatting sqref="J23:J24">
    <cfRule type="cellIs" dxfId="2067" priority="2837" operator="equal">
      <formula>"CANCELADO"</formula>
    </cfRule>
  </conditionalFormatting>
  <conditionalFormatting sqref="J25">
    <cfRule type="cellIs" dxfId="2066" priority="2834" operator="equal">
      <formula>"EM EXECUÇÃO"</formula>
    </cfRule>
    <cfRule type="cellIs" dxfId="2065" priority="2835" operator="equal">
      <formula>"CLSD"</formula>
    </cfRule>
    <cfRule type="cellIs" dxfId="2064" priority="2836" operator="equal">
      <formula>"TECO"</formula>
    </cfRule>
  </conditionalFormatting>
  <conditionalFormatting sqref="J25">
    <cfRule type="cellIs" dxfId="2063" priority="2833" operator="equal">
      <formula>"CANCELADO"</formula>
    </cfRule>
  </conditionalFormatting>
  <conditionalFormatting sqref="J26">
    <cfRule type="cellIs" dxfId="2062" priority="2830" operator="equal">
      <formula>"EM EXECUÇÃO"</formula>
    </cfRule>
    <cfRule type="cellIs" dxfId="2061" priority="2831" operator="equal">
      <formula>"CLSD"</formula>
    </cfRule>
    <cfRule type="cellIs" dxfId="2060" priority="2832" operator="equal">
      <formula>"TECO"</formula>
    </cfRule>
  </conditionalFormatting>
  <conditionalFormatting sqref="J26">
    <cfRule type="cellIs" dxfId="2059" priority="2829" operator="equal">
      <formula>"CANCELADO"</formula>
    </cfRule>
  </conditionalFormatting>
  <conditionalFormatting sqref="J27:J28 J31 J45:J47">
    <cfRule type="cellIs" dxfId="2058" priority="2826" operator="equal">
      <formula>"EM EXECUÇÃO"</formula>
    </cfRule>
    <cfRule type="cellIs" dxfId="2057" priority="2827" operator="equal">
      <formula>"CLSD"</formula>
    </cfRule>
    <cfRule type="cellIs" dxfId="2056" priority="2828" operator="equal">
      <formula>"TECO"</formula>
    </cfRule>
  </conditionalFormatting>
  <conditionalFormatting sqref="J27:J28 J31 J45:J47">
    <cfRule type="cellIs" dxfId="2055" priority="2825" operator="equal">
      <formula>"CANCELADO"</formula>
    </cfRule>
  </conditionalFormatting>
  <conditionalFormatting sqref="J29">
    <cfRule type="cellIs" dxfId="2054" priority="2818" operator="equal">
      <formula>"EM EXECUÇÃO"</formula>
    </cfRule>
    <cfRule type="cellIs" dxfId="2053" priority="2819" operator="equal">
      <formula>"CLSD"</formula>
    </cfRule>
    <cfRule type="cellIs" dxfId="2052" priority="2820" operator="equal">
      <formula>"TECO"</formula>
    </cfRule>
  </conditionalFormatting>
  <conditionalFormatting sqref="J29">
    <cfRule type="cellIs" dxfId="2051" priority="2817" operator="equal">
      <formula>"CANCELADO"</formula>
    </cfRule>
  </conditionalFormatting>
  <conditionalFormatting sqref="J30">
    <cfRule type="cellIs" dxfId="2050" priority="2814" operator="equal">
      <formula>"EM EXECUÇÃO"</formula>
    </cfRule>
    <cfRule type="cellIs" dxfId="2049" priority="2815" operator="equal">
      <formula>"CLSD"</formula>
    </cfRule>
    <cfRule type="cellIs" dxfId="2048" priority="2816" operator="equal">
      <formula>"TECO"</formula>
    </cfRule>
  </conditionalFormatting>
  <conditionalFormatting sqref="J30">
    <cfRule type="cellIs" dxfId="2047" priority="2813" operator="equal">
      <formula>"CANCELADO"</formula>
    </cfRule>
  </conditionalFormatting>
  <conditionalFormatting sqref="J31">
    <cfRule type="cellIs" dxfId="2046" priority="2810" operator="equal">
      <formula>"EM EXECUÇÃO"</formula>
    </cfRule>
    <cfRule type="cellIs" dxfId="2045" priority="2811" operator="equal">
      <formula>"CLSD"</formula>
    </cfRule>
    <cfRule type="cellIs" dxfId="2044" priority="2812" operator="equal">
      <formula>"TECO"</formula>
    </cfRule>
  </conditionalFormatting>
  <conditionalFormatting sqref="J31">
    <cfRule type="cellIs" dxfId="2043" priority="2809" operator="equal">
      <formula>"CANCELADO"</formula>
    </cfRule>
  </conditionalFormatting>
  <conditionalFormatting sqref="J32">
    <cfRule type="cellIs" dxfId="2042" priority="2806" operator="equal">
      <formula>"EM EXECUÇÃO"</formula>
    </cfRule>
    <cfRule type="cellIs" dxfId="2041" priority="2807" operator="equal">
      <formula>"CLSD"</formula>
    </cfRule>
    <cfRule type="cellIs" dxfId="2040" priority="2808" operator="equal">
      <formula>"TECO"</formula>
    </cfRule>
  </conditionalFormatting>
  <conditionalFormatting sqref="J32">
    <cfRule type="cellIs" dxfId="2039" priority="2805" operator="equal">
      <formula>"CANCELADO"</formula>
    </cfRule>
  </conditionalFormatting>
  <conditionalFormatting sqref="J33">
    <cfRule type="cellIs" dxfId="2038" priority="2802" operator="equal">
      <formula>"EM EXECUÇÃO"</formula>
    </cfRule>
    <cfRule type="cellIs" dxfId="2037" priority="2803" operator="equal">
      <formula>"CLSD"</formula>
    </cfRule>
    <cfRule type="cellIs" dxfId="2036" priority="2804" operator="equal">
      <formula>"TECO"</formula>
    </cfRule>
  </conditionalFormatting>
  <conditionalFormatting sqref="J33">
    <cfRule type="cellIs" dxfId="2035" priority="2801" operator="equal">
      <formula>"CANCELADO"</formula>
    </cfRule>
  </conditionalFormatting>
  <conditionalFormatting sqref="J34">
    <cfRule type="cellIs" dxfId="2034" priority="2798" operator="equal">
      <formula>"EM EXECUÇÃO"</formula>
    </cfRule>
    <cfRule type="cellIs" dxfId="2033" priority="2799" operator="equal">
      <formula>"CLSD"</formula>
    </cfRule>
    <cfRule type="cellIs" dxfId="2032" priority="2800" operator="equal">
      <formula>"TECO"</formula>
    </cfRule>
  </conditionalFormatting>
  <conditionalFormatting sqref="J34">
    <cfRule type="cellIs" dxfId="2031" priority="2797" operator="equal">
      <formula>"CANCELADO"</formula>
    </cfRule>
  </conditionalFormatting>
  <conditionalFormatting sqref="J35">
    <cfRule type="cellIs" dxfId="2030" priority="2794" operator="equal">
      <formula>"EM EXECUÇÃO"</formula>
    </cfRule>
    <cfRule type="cellIs" dxfId="2029" priority="2795" operator="equal">
      <formula>"CLSD"</formula>
    </cfRule>
    <cfRule type="cellIs" dxfId="2028" priority="2796" operator="equal">
      <formula>"TECO"</formula>
    </cfRule>
  </conditionalFormatting>
  <conditionalFormatting sqref="J35">
    <cfRule type="cellIs" dxfId="2027" priority="2793" operator="equal">
      <formula>"CANCELADO"</formula>
    </cfRule>
  </conditionalFormatting>
  <conditionalFormatting sqref="J36:J41 J48 J141 J148 J158 J178">
    <cfRule type="cellIs" dxfId="2026" priority="2790" operator="equal">
      <formula>"EM EXECUÇÃO"</formula>
    </cfRule>
    <cfRule type="cellIs" dxfId="2025" priority="2791" operator="equal">
      <formula>"CLSD"</formula>
    </cfRule>
    <cfRule type="cellIs" dxfId="2024" priority="2792" operator="equal">
      <formula>"TECO"</formula>
    </cfRule>
  </conditionalFormatting>
  <conditionalFormatting sqref="J36:J41 J48 J141 J148 J158 J178">
    <cfRule type="cellIs" dxfId="2023" priority="2789" operator="equal">
      <formula>"CANCELADO"</formula>
    </cfRule>
  </conditionalFormatting>
  <conditionalFormatting sqref="J41">
    <cfRule type="cellIs" dxfId="2022" priority="2786" operator="equal">
      <formula>"EM EXECUÇÃO"</formula>
    </cfRule>
    <cfRule type="cellIs" dxfId="2021" priority="2787" operator="equal">
      <formula>"CLSD"</formula>
    </cfRule>
    <cfRule type="cellIs" dxfId="2020" priority="2788" operator="equal">
      <formula>"TECO"</formula>
    </cfRule>
  </conditionalFormatting>
  <conditionalFormatting sqref="J41">
    <cfRule type="cellIs" dxfId="2019" priority="2785" operator="equal">
      <formula>"CANCELADO"</formula>
    </cfRule>
  </conditionalFormatting>
  <conditionalFormatting sqref="J55">
    <cfRule type="cellIs" dxfId="2018" priority="2770" operator="equal">
      <formula>"EM EXECUÇÃO"</formula>
    </cfRule>
    <cfRule type="cellIs" dxfId="2017" priority="2771" operator="equal">
      <formula>"CLSD"</formula>
    </cfRule>
    <cfRule type="cellIs" dxfId="2016" priority="2772" operator="equal">
      <formula>"TECO"</formula>
    </cfRule>
  </conditionalFormatting>
  <conditionalFormatting sqref="J55">
    <cfRule type="cellIs" dxfId="2015" priority="2769" operator="equal">
      <formula>"CANCELADO"</formula>
    </cfRule>
  </conditionalFormatting>
  <conditionalFormatting sqref="J68">
    <cfRule type="cellIs" dxfId="2014" priority="2766" operator="equal">
      <formula>"EM EXECUÇÃO"</formula>
    </cfRule>
    <cfRule type="cellIs" dxfId="2013" priority="2767" operator="equal">
      <formula>"CLSD"</formula>
    </cfRule>
    <cfRule type="cellIs" dxfId="2012" priority="2768" operator="equal">
      <formula>"TECO"</formula>
    </cfRule>
  </conditionalFormatting>
  <conditionalFormatting sqref="J68">
    <cfRule type="cellIs" dxfId="2011" priority="2765" operator="equal">
      <formula>"CANCELADO"</formula>
    </cfRule>
  </conditionalFormatting>
  <conditionalFormatting sqref="J105 J100:J103">
    <cfRule type="cellIs" dxfId="2010" priority="2754" operator="equal">
      <formula>"EM EXECUÇÃO"</formula>
    </cfRule>
    <cfRule type="cellIs" dxfId="2009" priority="2755" operator="equal">
      <formula>"CLSD"</formula>
    </cfRule>
    <cfRule type="cellIs" dxfId="2008" priority="2756" operator="equal">
      <formula>"TECO"</formula>
    </cfRule>
  </conditionalFormatting>
  <conditionalFormatting sqref="J105 J100:J103">
    <cfRule type="cellIs" dxfId="2007" priority="2753" operator="equal">
      <formula>"CANCELADO"</formula>
    </cfRule>
  </conditionalFormatting>
  <conditionalFormatting sqref="J113">
    <cfRule type="cellIs" dxfId="2006" priority="2746" operator="equal">
      <formula>"EM EXECUÇÃO"</formula>
    </cfRule>
    <cfRule type="cellIs" dxfId="2005" priority="2747" operator="equal">
      <formula>"CLSD"</formula>
    </cfRule>
    <cfRule type="cellIs" dxfId="2004" priority="2748" operator="equal">
      <formula>"TECO"</formula>
    </cfRule>
  </conditionalFormatting>
  <conditionalFormatting sqref="J113">
    <cfRule type="cellIs" dxfId="2003" priority="2745" operator="equal">
      <formula>"CANCELADO"</formula>
    </cfRule>
  </conditionalFormatting>
  <conditionalFormatting sqref="I150 I111:I117 I18 I99:I105 I8:I13 I141 I148 I21:I41 I43 I50 I59 I68 I70:I71 I74 I79 I85:I92">
    <cfRule type="cellIs" dxfId="2002" priority="2709" operator="equal">
      <formula>"CLSD"</formula>
    </cfRule>
    <cfRule type="cellIs" dxfId="2001" priority="2710" operator="equal">
      <formula>"TECO"</formula>
    </cfRule>
    <cfRule type="cellIs" dxfId="2000" priority="2711" operator="equal">
      <formula>"REL"</formula>
    </cfRule>
    <cfRule type="cellIs" dxfId="1999" priority="2712" operator="equal">
      <formula>"CRTD"</formula>
    </cfRule>
  </conditionalFormatting>
  <conditionalFormatting sqref="J55 J113 J105 J18 J68 J100:J103 J21:J41 J8:J13 J141 J148 J158 J178 J45:J48">
    <cfRule type="cellIs" dxfId="1998" priority="2704" operator="equal">
      <formula>"ENCERRADO"</formula>
    </cfRule>
    <cfRule type="cellIs" dxfId="1997" priority="2705" operator="equal">
      <formula>"EM EXECUÇÃO"</formula>
    </cfRule>
    <cfRule type="cellIs" dxfId="1996" priority="2706" operator="equal">
      <formula>"CANCELADO"</formula>
    </cfRule>
    <cfRule type="cellIs" dxfId="1995" priority="2707" operator="equal">
      <formula>"EM APROVAÇÃO"</formula>
    </cfRule>
    <cfRule type="cellIs" dxfId="1994" priority="2708" operator="equal">
      <formula>"EM ESTUDO"</formula>
    </cfRule>
  </conditionalFormatting>
  <conditionalFormatting sqref="K133 K30 K48 K144 K121:K125 K166:K167 K139:K141 K152:K155 K178 K157:K164 K146:K150 K8:K27 K32:K43 K88:K90 K66:K67 K80:K85 K53 K130:K131 K69:K78 K93:K118">
    <cfRule type="cellIs" dxfId="1993" priority="2700" operator="equal">
      <formula>"Behind Schedule"</formula>
    </cfRule>
    <cfRule type="cellIs" dxfId="1992" priority="2701" operator="equal">
      <formula>"TBD"</formula>
    </cfRule>
    <cfRule type="cellIs" dxfId="1991" priority="2702" operator="equal">
      <formula>"In Progress"</formula>
    </cfRule>
    <cfRule type="cellIs" dxfId="1990" priority="2703" operator="equal">
      <formula>"Completed"</formula>
    </cfRule>
  </conditionalFormatting>
  <conditionalFormatting sqref="J70">
    <cfRule type="cellIs" dxfId="1989" priority="2665" operator="equal">
      <formula>"EM EXECUÇÃO"</formula>
    </cfRule>
    <cfRule type="cellIs" dxfId="1988" priority="2666" operator="equal">
      <formula>"CLSD"</formula>
    </cfRule>
    <cfRule type="cellIs" dxfId="1987" priority="2667" operator="equal">
      <formula>"TECO"</formula>
    </cfRule>
  </conditionalFormatting>
  <conditionalFormatting sqref="J70">
    <cfRule type="cellIs" dxfId="1986" priority="2664" operator="equal">
      <formula>"CANCELADO"</formula>
    </cfRule>
  </conditionalFormatting>
  <conditionalFormatting sqref="J70">
    <cfRule type="cellIs" dxfId="1985" priority="2659" operator="equal">
      <formula>"ENCERRADO"</formula>
    </cfRule>
    <cfRule type="cellIs" dxfId="1984" priority="2660" operator="equal">
      <formula>"EM EXECUÇÃO"</formula>
    </cfRule>
    <cfRule type="cellIs" dxfId="1983" priority="2661" operator="equal">
      <formula>"CANCELADO"</formula>
    </cfRule>
    <cfRule type="cellIs" dxfId="1982" priority="2662" operator="equal">
      <formula>"EM APROVAÇÃO"</formula>
    </cfRule>
    <cfRule type="cellIs" dxfId="1981" priority="2663" operator="equal">
      <formula>"EM ESTUDO"</formula>
    </cfRule>
  </conditionalFormatting>
  <conditionalFormatting sqref="J35">
    <cfRule type="cellIs" dxfId="1980" priority="2540" operator="equal">
      <formula>"EM EXECUÇÃO"</formula>
    </cfRule>
    <cfRule type="cellIs" dxfId="1979" priority="2541" operator="equal">
      <formula>"CLSD"</formula>
    </cfRule>
    <cfRule type="cellIs" dxfId="1978" priority="2542" operator="equal">
      <formula>"TECO"</formula>
    </cfRule>
  </conditionalFormatting>
  <conditionalFormatting sqref="J35">
    <cfRule type="cellIs" dxfId="1977" priority="2539" operator="equal">
      <formula>"CANCELADO"</formula>
    </cfRule>
  </conditionalFormatting>
  <conditionalFormatting sqref="J15 J17">
    <cfRule type="cellIs" dxfId="1976" priority="2384" operator="equal">
      <formula>"EM EXECUÇÃO"</formula>
    </cfRule>
    <cfRule type="cellIs" dxfId="1975" priority="2385" operator="equal">
      <formula>"CLSD"</formula>
    </cfRule>
    <cfRule type="cellIs" dxfId="1974" priority="2386" operator="equal">
      <formula>"TECO"</formula>
    </cfRule>
  </conditionalFormatting>
  <conditionalFormatting sqref="J15 J17">
    <cfRule type="cellIs" dxfId="1973" priority="2383" operator="equal">
      <formula>"CANCELADO"</formula>
    </cfRule>
  </conditionalFormatting>
  <conditionalFormatting sqref="J15 J17">
    <cfRule type="cellIs" dxfId="1972" priority="2378" operator="equal">
      <formula>"ENCERRADO"</formula>
    </cfRule>
    <cfRule type="cellIs" dxfId="1971" priority="2379" operator="equal">
      <formula>"EM EXECUÇÃO"</formula>
    </cfRule>
    <cfRule type="cellIs" dxfId="1970" priority="2380" operator="equal">
      <formula>"CANCELADO"</formula>
    </cfRule>
    <cfRule type="cellIs" dxfId="1969" priority="2381" operator="equal">
      <formula>"EM APROVAÇÃO"</formula>
    </cfRule>
    <cfRule type="cellIs" dxfId="1968" priority="2382" operator="equal">
      <formula>"EM ESTUDO"</formula>
    </cfRule>
  </conditionalFormatting>
  <conditionalFormatting sqref="J36:J41 J48 J141 J148 J158 J178">
    <cfRule type="cellIs" dxfId="1967" priority="2371" operator="equal">
      <formula>"EM EXECUÇÃO"</formula>
    </cfRule>
    <cfRule type="cellIs" dxfId="1966" priority="2372" operator="equal">
      <formula>"CLSD"</formula>
    </cfRule>
    <cfRule type="cellIs" dxfId="1965" priority="2373" operator="equal">
      <formula>"TECO"</formula>
    </cfRule>
  </conditionalFormatting>
  <conditionalFormatting sqref="J36:J41 J48 J141 J148 J158 J178">
    <cfRule type="cellIs" dxfId="1964" priority="2370" operator="equal">
      <formula>"CANCELADO"</formula>
    </cfRule>
  </conditionalFormatting>
  <conditionalFormatting sqref="J71">
    <cfRule type="cellIs" dxfId="1963" priority="2308" operator="equal">
      <formula>"EM EXECUÇÃO"</formula>
    </cfRule>
    <cfRule type="cellIs" dxfId="1962" priority="2309" operator="equal">
      <formula>"CLSD"</formula>
    </cfRule>
    <cfRule type="cellIs" dxfId="1961" priority="2310" operator="equal">
      <formula>"TECO"</formula>
    </cfRule>
  </conditionalFormatting>
  <conditionalFormatting sqref="J71">
    <cfRule type="cellIs" dxfId="1960" priority="2307" operator="equal">
      <formula>"CANCELADO"</formula>
    </cfRule>
  </conditionalFormatting>
  <conditionalFormatting sqref="J71">
    <cfRule type="cellIs" dxfId="1959" priority="2298" operator="equal">
      <formula>"ENCERRADO"</formula>
    </cfRule>
    <cfRule type="cellIs" dxfId="1958" priority="2299" operator="equal">
      <formula>"EM EXECUÇÃO"</formula>
    </cfRule>
    <cfRule type="cellIs" dxfId="1957" priority="2300" operator="equal">
      <formula>"CANCELADO"</formula>
    </cfRule>
    <cfRule type="cellIs" dxfId="1956" priority="2301" operator="equal">
      <formula>"EM APROVAÇÃO"</formula>
    </cfRule>
    <cfRule type="cellIs" dxfId="1955" priority="2302" operator="equal">
      <formula>"EM ESTUDO"</formula>
    </cfRule>
  </conditionalFormatting>
  <conditionalFormatting sqref="I106">
    <cfRule type="cellIs" dxfId="1954" priority="2290" operator="equal">
      <formula>"CLSD"</formula>
    </cfRule>
    <cfRule type="cellIs" dxfId="1953" priority="2291" operator="equal">
      <formula>"TECO"</formula>
    </cfRule>
    <cfRule type="cellIs" dxfId="1952" priority="2292" operator="equal">
      <formula>"REL"</formula>
    </cfRule>
    <cfRule type="cellIs" dxfId="1951" priority="2293" operator="equal">
      <formula>"CRTD"</formula>
    </cfRule>
  </conditionalFormatting>
  <conditionalFormatting sqref="J109">
    <cfRule type="cellIs" dxfId="1950" priority="2282" operator="equal">
      <formula>"EM EXECUÇÃO"</formula>
    </cfRule>
    <cfRule type="cellIs" dxfId="1949" priority="2283" operator="equal">
      <formula>"CLSD"</formula>
    </cfRule>
    <cfRule type="cellIs" dxfId="1948" priority="2284" operator="equal">
      <formula>"TECO"</formula>
    </cfRule>
  </conditionalFormatting>
  <conditionalFormatting sqref="J109">
    <cfRule type="cellIs" dxfId="1947" priority="2281" operator="equal">
      <formula>"CANCELADO"</formula>
    </cfRule>
  </conditionalFormatting>
  <conditionalFormatting sqref="J109">
    <cfRule type="cellIs" dxfId="1946" priority="2276" operator="equal">
      <formula>"ENCERRADO"</formula>
    </cfRule>
    <cfRule type="cellIs" dxfId="1945" priority="2277" operator="equal">
      <formula>"EM EXECUÇÃO"</formula>
    </cfRule>
    <cfRule type="cellIs" dxfId="1944" priority="2278" operator="equal">
      <formula>"CANCELADO"</formula>
    </cfRule>
    <cfRule type="cellIs" dxfId="1943" priority="2279" operator="equal">
      <formula>"EM APROVAÇÃO"</formula>
    </cfRule>
    <cfRule type="cellIs" dxfId="1942" priority="2280" operator="equal">
      <formula>"EM ESTUDO"</formula>
    </cfRule>
  </conditionalFormatting>
  <conditionalFormatting sqref="J33">
    <cfRule type="cellIs" dxfId="1941" priority="2213" operator="equal">
      <formula>"EM EXECUÇÃO"</formula>
    </cfRule>
    <cfRule type="cellIs" dxfId="1940" priority="2214" operator="equal">
      <formula>"CLSD"</formula>
    </cfRule>
    <cfRule type="cellIs" dxfId="1939" priority="2215" operator="equal">
      <formula>"TECO"</formula>
    </cfRule>
  </conditionalFormatting>
  <conditionalFormatting sqref="J33">
    <cfRule type="cellIs" dxfId="1938" priority="2212" operator="equal">
      <formula>"CANCELADO"</formula>
    </cfRule>
  </conditionalFormatting>
  <conditionalFormatting sqref="J72">
    <cfRule type="cellIs" dxfId="1937" priority="2196" operator="equal">
      <formula>"EM EXECUÇÃO"</formula>
    </cfRule>
    <cfRule type="cellIs" dxfId="1936" priority="2197" operator="equal">
      <formula>"CLSD"</formula>
    </cfRule>
    <cfRule type="cellIs" dxfId="1935" priority="2198" operator="equal">
      <formula>"TECO"</formula>
    </cfRule>
  </conditionalFormatting>
  <conditionalFormatting sqref="J72">
    <cfRule type="cellIs" dxfId="1934" priority="2195" operator="equal">
      <formula>"CANCELADO"</formula>
    </cfRule>
  </conditionalFormatting>
  <conditionalFormatting sqref="J72">
    <cfRule type="cellIs" dxfId="1933" priority="2190" operator="equal">
      <formula>"ENCERRADO"</formula>
    </cfRule>
    <cfRule type="cellIs" dxfId="1932" priority="2191" operator="equal">
      <formula>"EM EXECUÇÃO"</formula>
    </cfRule>
    <cfRule type="cellIs" dxfId="1931" priority="2192" operator="equal">
      <formula>"CANCELADO"</formula>
    </cfRule>
    <cfRule type="cellIs" dxfId="1930" priority="2193" operator="equal">
      <formula>"EM APROVAÇÃO"</formula>
    </cfRule>
    <cfRule type="cellIs" dxfId="1929" priority="2194" operator="equal">
      <formula>"EM ESTUDO"</formula>
    </cfRule>
  </conditionalFormatting>
  <conditionalFormatting sqref="J73:J79">
    <cfRule type="cellIs" dxfId="1928" priority="2187" operator="equal">
      <formula>"EM EXECUÇÃO"</formula>
    </cfRule>
    <cfRule type="cellIs" dxfId="1927" priority="2188" operator="equal">
      <formula>"CLSD"</formula>
    </cfRule>
    <cfRule type="cellIs" dxfId="1926" priority="2189" operator="equal">
      <formula>"TECO"</formula>
    </cfRule>
  </conditionalFormatting>
  <conditionalFormatting sqref="J73:J79">
    <cfRule type="cellIs" dxfId="1925" priority="2186" operator="equal">
      <formula>"CANCELADO"</formula>
    </cfRule>
  </conditionalFormatting>
  <conditionalFormatting sqref="J73:J79">
    <cfRule type="cellIs" dxfId="1924" priority="2181" operator="equal">
      <formula>"ENCERRADO"</formula>
    </cfRule>
    <cfRule type="cellIs" dxfId="1923" priority="2182" operator="equal">
      <formula>"EM EXECUÇÃO"</formula>
    </cfRule>
    <cfRule type="cellIs" dxfId="1922" priority="2183" operator="equal">
      <formula>"CANCELADO"</formula>
    </cfRule>
    <cfRule type="cellIs" dxfId="1921" priority="2184" operator="equal">
      <formula>"EM APROVAÇÃO"</formula>
    </cfRule>
    <cfRule type="cellIs" dxfId="1920" priority="2185" operator="equal">
      <formula>"EM ESTUDO"</formula>
    </cfRule>
  </conditionalFormatting>
  <conditionalFormatting sqref="J25">
    <cfRule type="cellIs" dxfId="1919" priority="2143" operator="equal">
      <formula>"EM EXECUÇÃO"</formula>
    </cfRule>
    <cfRule type="cellIs" dxfId="1918" priority="2144" operator="equal">
      <formula>"CLSD"</formula>
    </cfRule>
    <cfRule type="cellIs" dxfId="1917" priority="2145" operator="equal">
      <formula>"TECO"</formula>
    </cfRule>
  </conditionalFormatting>
  <conditionalFormatting sqref="J25">
    <cfRule type="cellIs" dxfId="1916" priority="2142" operator="equal">
      <formula>"CANCELADO"</formula>
    </cfRule>
  </conditionalFormatting>
  <conditionalFormatting sqref="J25">
    <cfRule type="cellIs" dxfId="1915" priority="2139" operator="equal">
      <formula>"EM EXECUÇÃO"</formula>
    </cfRule>
    <cfRule type="cellIs" dxfId="1914" priority="2140" operator="equal">
      <formula>"CLSD"</formula>
    </cfRule>
    <cfRule type="cellIs" dxfId="1913" priority="2141" operator="equal">
      <formula>"TECO"</formula>
    </cfRule>
  </conditionalFormatting>
  <conditionalFormatting sqref="J25">
    <cfRule type="cellIs" dxfId="1912" priority="2138" operator="equal">
      <formula>"CANCELADO"</formula>
    </cfRule>
  </conditionalFormatting>
  <conditionalFormatting sqref="J23:J24">
    <cfRule type="cellIs" dxfId="1911" priority="2135" operator="equal">
      <formula>"EM EXECUÇÃO"</formula>
    </cfRule>
    <cfRule type="cellIs" dxfId="1910" priority="2136" operator="equal">
      <formula>"CLSD"</formula>
    </cfRule>
    <cfRule type="cellIs" dxfId="1909" priority="2137" operator="equal">
      <formula>"TECO"</formula>
    </cfRule>
  </conditionalFormatting>
  <conditionalFormatting sqref="J23:J24">
    <cfRule type="cellIs" dxfId="1908" priority="2134" operator="equal">
      <formula>"CANCELADO"</formula>
    </cfRule>
  </conditionalFormatting>
  <conditionalFormatting sqref="J29">
    <cfRule type="cellIs" dxfId="1907" priority="2131" operator="equal">
      <formula>"EM EXECUÇÃO"</formula>
    </cfRule>
    <cfRule type="cellIs" dxfId="1906" priority="2132" operator="equal">
      <formula>"CLSD"</formula>
    </cfRule>
    <cfRule type="cellIs" dxfId="1905" priority="2133" operator="equal">
      <formula>"TECO"</formula>
    </cfRule>
  </conditionalFormatting>
  <conditionalFormatting sqref="J29">
    <cfRule type="cellIs" dxfId="1904" priority="2130" operator="equal">
      <formula>"CANCELADO"</formula>
    </cfRule>
  </conditionalFormatting>
  <conditionalFormatting sqref="J29">
    <cfRule type="cellIs" dxfId="1903" priority="2127" operator="equal">
      <formula>"EM EXECUÇÃO"</formula>
    </cfRule>
    <cfRule type="cellIs" dxfId="1902" priority="2128" operator="equal">
      <formula>"CLSD"</formula>
    </cfRule>
    <cfRule type="cellIs" dxfId="1901" priority="2129" operator="equal">
      <formula>"TECO"</formula>
    </cfRule>
  </conditionalFormatting>
  <conditionalFormatting sqref="J29">
    <cfRule type="cellIs" dxfId="1900" priority="2126" operator="equal">
      <formula>"CANCELADO"</formula>
    </cfRule>
  </conditionalFormatting>
  <conditionalFormatting sqref="J32">
    <cfRule type="cellIs" dxfId="1899" priority="2123" operator="equal">
      <formula>"EM EXECUÇÃO"</formula>
    </cfRule>
    <cfRule type="cellIs" dxfId="1898" priority="2124" operator="equal">
      <formula>"CLSD"</formula>
    </cfRule>
    <cfRule type="cellIs" dxfId="1897" priority="2125" operator="equal">
      <formula>"TECO"</formula>
    </cfRule>
  </conditionalFormatting>
  <conditionalFormatting sqref="J32">
    <cfRule type="cellIs" dxfId="1896" priority="2122" operator="equal">
      <formula>"CANCELADO"</formula>
    </cfRule>
  </conditionalFormatting>
  <conditionalFormatting sqref="I108">
    <cfRule type="cellIs" dxfId="1895" priority="2076" operator="equal">
      <formula>"CLSD"</formula>
    </cfRule>
    <cfRule type="cellIs" dxfId="1894" priority="2077" operator="equal">
      <formula>"TECO"</formula>
    </cfRule>
    <cfRule type="cellIs" dxfId="1893" priority="2078" operator="equal">
      <formula>"REL"</formula>
    </cfRule>
    <cfRule type="cellIs" dxfId="1892" priority="2079" operator="equal">
      <formula>"CRTD"</formula>
    </cfRule>
  </conditionalFormatting>
  <conditionalFormatting sqref="I123">
    <cfRule type="cellIs" dxfId="1891" priority="2051" operator="equal">
      <formula>"CLSD"</formula>
    </cfRule>
    <cfRule type="cellIs" dxfId="1890" priority="2052" operator="equal">
      <formula>"TECO"</formula>
    </cfRule>
    <cfRule type="cellIs" dxfId="1889" priority="2053" operator="equal">
      <formula>"REL"</formula>
    </cfRule>
    <cfRule type="cellIs" dxfId="1888" priority="2054" operator="equal">
      <formula>"CRTD"</formula>
    </cfRule>
  </conditionalFormatting>
  <conditionalFormatting sqref="I72">
    <cfRule type="cellIs" dxfId="1887" priority="2001" operator="equal">
      <formula>"CLSD"</formula>
    </cfRule>
    <cfRule type="cellIs" dxfId="1886" priority="2002" operator="equal">
      <formula>"TECO"</formula>
    </cfRule>
    <cfRule type="cellIs" dxfId="1885" priority="2003" operator="equal">
      <formula>"REL"</formula>
    </cfRule>
    <cfRule type="cellIs" dxfId="1884" priority="2004" operator="equal">
      <formula>"CRTD"</formula>
    </cfRule>
  </conditionalFormatting>
  <conditionalFormatting sqref="I73 I81 I83:I84 I75:I78 I93:I98">
    <cfRule type="cellIs" dxfId="1883" priority="1997" operator="equal">
      <formula>"CLSD"</formula>
    </cfRule>
    <cfRule type="cellIs" dxfId="1882" priority="1998" operator="equal">
      <formula>"TECO"</formula>
    </cfRule>
    <cfRule type="cellIs" dxfId="1881" priority="1999" operator="equal">
      <formula>"REL"</formula>
    </cfRule>
    <cfRule type="cellIs" dxfId="1880" priority="2000" operator="equal">
      <formula>"CRTD"</formula>
    </cfRule>
  </conditionalFormatting>
  <conditionalFormatting sqref="I109">
    <cfRule type="cellIs" dxfId="1879" priority="1993" operator="equal">
      <formula>"CLSD"</formula>
    </cfRule>
    <cfRule type="cellIs" dxfId="1878" priority="1994" operator="equal">
      <formula>"TECO"</formula>
    </cfRule>
    <cfRule type="cellIs" dxfId="1877" priority="1995" operator="equal">
      <formula>"REL"</formula>
    </cfRule>
    <cfRule type="cellIs" dxfId="1876" priority="1996" operator="equal">
      <formula>"CRTD"</formula>
    </cfRule>
  </conditionalFormatting>
  <conditionalFormatting sqref="I110">
    <cfRule type="cellIs" dxfId="1875" priority="1989" operator="equal">
      <formula>"CLSD"</formula>
    </cfRule>
    <cfRule type="cellIs" dxfId="1874" priority="1990" operator="equal">
      <formula>"TECO"</formula>
    </cfRule>
    <cfRule type="cellIs" dxfId="1873" priority="1991" operator="equal">
      <formula>"REL"</formula>
    </cfRule>
    <cfRule type="cellIs" dxfId="1872" priority="1992" operator="equal">
      <formula>"CRTD"</formula>
    </cfRule>
  </conditionalFormatting>
  <conditionalFormatting sqref="I118">
    <cfRule type="cellIs" dxfId="1871" priority="1947" operator="equal">
      <formula>"CLSD"</formula>
    </cfRule>
    <cfRule type="cellIs" dxfId="1870" priority="1948" operator="equal">
      <formula>"TECO"</formula>
    </cfRule>
    <cfRule type="cellIs" dxfId="1869" priority="1949" operator="equal">
      <formula>"REL"</formula>
    </cfRule>
    <cfRule type="cellIs" dxfId="1868" priority="1950" operator="equal">
      <formula>"CRTD"</formula>
    </cfRule>
  </conditionalFormatting>
  <conditionalFormatting sqref="J50:J51">
    <cfRule type="cellIs" dxfId="1867" priority="1809" operator="equal">
      <formula>"ENCERRADO"</formula>
    </cfRule>
    <cfRule type="cellIs" dxfId="1866" priority="1810" operator="equal">
      <formula>"EM EXECUÇÃO"</formula>
    </cfRule>
    <cfRule type="cellIs" dxfId="1865" priority="1811" operator="equal">
      <formula>"CANCELADO"</formula>
    </cfRule>
    <cfRule type="cellIs" dxfId="1864" priority="1812" operator="equal">
      <formula>"EM APROVAÇÃO"</formula>
    </cfRule>
    <cfRule type="cellIs" dxfId="1863" priority="1813" operator="equal">
      <formula>"EM ESTUDO"</formula>
    </cfRule>
  </conditionalFormatting>
  <conditionalFormatting sqref="I122">
    <cfRule type="cellIs" dxfId="1862" priority="1913" operator="equal">
      <formula>"CLSD"</formula>
    </cfRule>
    <cfRule type="cellIs" dxfId="1861" priority="1914" operator="equal">
      <formula>"TECO"</formula>
    </cfRule>
    <cfRule type="cellIs" dxfId="1860" priority="1915" operator="equal">
      <formula>"REL"</formula>
    </cfRule>
    <cfRule type="cellIs" dxfId="1859" priority="1916" operator="equal">
      <formula>"CRTD"</formula>
    </cfRule>
  </conditionalFormatting>
  <conditionalFormatting sqref="I119:I120">
    <cfRule type="cellIs" dxfId="1858" priority="1900" operator="equal">
      <formula>"CLSD"</formula>
    </cfRule>
    <cfRule type="cellIs" dxfId="1857" priority="1901" operator="equal">
      <formula>"TECO"</formula>
    </cfRule>
    <cfRule type="cellIs" dxfId="1856" priority="1902" operator="equal">
      <formula>"REL"</formula>
    </cfRule>
    <cfRule type="cellIs" dxfId="1855" priority="1903" operator="equal">
      <formula>"CRTD"</formula>
    </cfRule>
  </conditionalFormatting>
  <conditionalFormatting sqref="I121">
    <cfRule type="cellIs" dxfId="1854" priority="1870" operator="equal">
      <formula>"CLSD"</formula>
    </cfRule>
    <cfRule type="cellIs" dxfId="1853" priority="1871" operator="equal">
      <formula>"TECO"</formula>
    </cfRule>
    <cfRule type="cellIs" dxfId="1852" priority="1872" operator="equal">
      <formula>"REL"</formula>
    </cfRule>
    <cfRule type="cellIs" dxfId="1851" priority="1873" operator="equal">
      <formula>"CRTD"</formula>
    </cfRule>
  </conditionalFormatting>
  <conditionalFormatting sqref="J50:J51">
    <cfRule type="cellIs" dxfId="1850" priority="1819" operator="equal">
      <formula>"EM EXECUÇÃO"</formula>
    </cfRule>
    <cfRule type="cellIs" dxfId="1849" priority="1820" operator="equal">
      <formula>"CLSD"</formula>
    </cfRule>
    <cfRule type="cellIs" dxfId="1848" priority="1821" operator="equal">
      <formula>"TECO"</formula>
    </cfRule>
  </conditionalFormatting>
  <conditionalFormatting sqref="J50:J51">
    <cfRule type="cellIs" dxfId="1847" priority="1818" operator="equal">
      <formula>"CANCELADO"</formula>
    </cfRule>
  </conditionalFormatting>
  <conditionalFormatting sqref="I51:I52 I55 I58 I60 I66 I82">
    <cfRule type="cellIs" dxfId="1846" priority="1814" operator="equal">
      <formula>"CLSD"</formula>
    </cfRule>
    <cfRule type="cellIs" dxfId="1845" priority="1815" operator="equal">
      <formula>"TECO"</formula>
    </cfRule>
    <cfRule type="cellIs" dxfId="1844" priority="1816" operator="equal">
      <formula>"REL"</formula>
    </cfRule>
    <cfRule type="cellIs" dxfId="1843" priority="1817" operator="equal">
      <formula>"CRTD"</formula>
    </cfRule>
  </conditionalFormatting>
  <conditionalFormatting sqref="I128">
    <cfRule type="cellIs" dxfId="1842" priority="1788" operator="equal">
      <formula>"CLSD"</formula>
    </cfRule>
    <cfRule type="cellIs" dxfId="1841" priority="1789" operator="equal">
      <formula>"TECO"</formula>
    </cfRule>
    <cfRule type="cellIs" dxfId="1840" priority="1790" operator="equal">
      <formula>"REL"</formula>
    </cfRule>
    <cfRule type="cellIs" dxfId="1839" priority="1791" operator="equal">
      <formula>"CRTD"</formula>
    </cfRule>
  </conditionalFormatting>
  <conditionalFormatting sqref="J128">
    <cfRule type="cellIs" dxfId="1838" priority="1785" operator="equal">
      <formula>"EM EXECUÇÃO"</formula>
    </cfRule>
    <cfRule type="cellIs" dxfId="1837" priority="1786" operator="equal">
      <formula>"CLSD"</formula>
    </cfRule>
    <cfRule type="cellIs" dxfId="1836" priority="1787" operator="equal">
      <formula>"TECO"</formula>
    </cfRule>
  </conditionalFormatting>
  <conditionalFormatting sqref="J128">
    <cfRule type="cellIs" dxfId="1835" priority="1784" operator="equal">
      <formula>"CANCELADO"</formula>
    </cfRule>
  </conditionalFormatting>
  <conditionalFormatting sqref="J128">
    <cfRule type="cellIs" dxfId="1834" priority="1779" operator="equal">
      <formula>"ENCERRADO"</formula>
    </cfRule>
    <cfRule type="cellIs" dxfId="1833" priority="1780" operator="equal">
      <formula>"EM EXECUÇÃO"</formula>
    </cfRule>
    <cfRule type="cellIs" dxfId="1832" priority="1781" operator="equal">
      <formula>"CANCELADO"</formula>
    </cfRule>
    <cfRule type="cellIs" dxfId="1831" priority="1782" operator="equal">
      <formula>"EM APROVAÇÃO"</formula>
    </cfRule>
    <cfRule type="cellIs" dxfId="1830" priority="1783" operator="equal">
      <formula>"EM ESTUDO"</formula>
    </cfRule>
  </conditionalFormatting>
  <conditionalFormatting sqref="I127">
    <cfRule type="cellIs" dxfId="1829" priority="1775" operator="equal">
      <formula>"CLSD"</formula>
    </cfRule>
    <cfRule type="cellIs" dxfId="1828" priority="1776" operator="equal">
      <formula>"TECO"</formula>
    </cfRule>
    <cfRule type="cellIs" dxfId="1827" priority="1777" operator="equal">
      <formula>"REL"</formula>
    </cfRule>
    <cfRule type="cellIs" dxfId="1826" priority="1778" operator="equal">
      <formula>"CRTD"</formula>
    </cfRule>
  </conditionalFormatting>
  <conditionalFormatting sqref="I107">
    <cfRule type="cellIs" dxfId="1825" priority="1762" operator="equal">
      <formula>"CLSD"</formula>
    </cfRule>
    <cfRule type="cellIs" dxfId="1824" priority="1763" operator="equal">
      <formula>"TECO"</formula>
    </cfRule>
    <cfRule type="cellIs" dxfId="1823" priority="1764" operator="equal">
      <formula>"REL"</formula>
    </cfRule>
    <cfRule type="cellIs" dxfId="1822" priority="1765" operator="equal">
      <formula>"CRTD"</formula>
    </cfRule>
  </conditionalFormatting>
  <conditionalFormatting sqref="I130">
    <cfRule type="cellIs" dxfId="1821" priority="1749" operator="equal">
      <formula>"CLSD"</formula>
    </cfRule>
    <cfRule type="cellIs" dxfId="1820" priority="1750" operator="equal">
      <formula>"TECO"</formula>
    </cfRule>
    <cfRule type="cellIs" dxfId="1819" priority="1751" operator="equal">
      <formula>"REL"</formula>
    </cfRule>
    <cfRule type="cellIs" dxfId="1818" priority="1752" operator="equal">
      <formula>"CRTD"</formula>
    </cfRule>
  </conditionalFormatting>
  <conditionalFormatting sqref="J130">
    <cfRule type="cellIs" dxfId="1817" priority="1746" operator="equal">
      <formula>"EM EXECUÇÃO"</formula>
    </cfRule>
    <cfRule type="cellIs" dxfId="1816" priority="1747" operator="equal">
      <formula>"CLSD"</formula>
    </cfRule>
    <cfRule type="cellIs" dxfId="1815" priority="1748" operator="equal">
      <formula>"TECO"</formula>
    </cfRule>
  </conditionalFormatting>
  <conditionalFormatting sqref="J130">
    <cfRule type="cellIs" dxfId="1814" priority="1745" operator="equal">
      <formula>"CANCELADO"</formula>
    </cfRule>
  </conditionalFormatting>
  <conditionalFormatting sqref="J130">
    <cfRule type="cellIs" dxfId="1813" priority="1740" operator="equal">
      <formula>"ENCERRADO"</formula>
    </cfRule>
    <cfRule type="cellIs" dxfId="1812" priority="1741" operator="equal">
      <formula>"EM EXECUÇÃO"</formula>
    </cfRule>
    <cfRule type="cellIs" dxfId="1811" priority="1742" operator="equal">
      <formula>"CANCELADO"</formula>
    </cfRule>
    <cfRule type="cellIs" dxfId="1810" priority="1743" operator="equal">
      <formula>"EM APROVAÇÃO"</formula>
    </cfRule>
    <cfRule type="cellIs" dxfId="1809" priority="1744" operator="equal">
      <formula>"EM ESTUDO"</formula>
    </cfRule>
  </conditionalFormatting>
  <conditionalFormatting sqref="I134:I139">
    <cfRule type="cellIs" dxfId="1808" priority="1736" operator="equal">
      <formula>"CLSD"</formula>
    </cfRule>
    <cfRule type="cellIs" dxfId="1807" priority="1737" operator="equal">
      <formula>"TECO"</formula>
    </cfRule>
    <cfRule type="cellIs" dxfId="1806" priority="1738" operator="equal">
      <formula>"REL"</formula>
    </cfRule>
    <cfRule type="cellIs" dxfId="1805" priority="1739" operator="equal">
      <formula>"CRTD"</formula>
    </cfRule>
  </conditionalFormatting>
  <conditionalFormatting sqref="J139 J134:J137">
    <cfRule type="cellIs" dxfId="1804" priority="1733" operator="equal">
      <formula>"EM EXECUÇÃO"</formula>
    </cfRule>
    <cfRule type="cellIs" dxfId="1803" priority="1734" operator="equal">
      <formula>"CLSD"</formula>
    </cfRule>
    <cfRule type="cellIs" dxfId="1802" priority="1735" operator="equal">
      <formula>"TECO"</formula>
    </cfRule>
  </conditionalFormatting>
  <conditionalFormatting sqref="J139 J134:J137">
    <cfRule type="cellIs" dxfId="1801" priority="1732" operator="equal">
      <formula>"CANCELADO"</formula>
    </cfRule>
  </conditionalFormatting>
  <conditionalFormatting sqref="J139 J134:J137">
    <cfRule type="cellIs" dxfId="1800" priority="1727" operator="equal">
      <formula>"ENCERRADO"</formula>
    </cfRule>
    <cfRule type="cellIs" dxfId="1799" priority="1728" operator="equal">
      <formula>"EM EXECUÇÃO"</formula>
    </cfRule>
    <cfRule type="cellIs" dxfId="1798" priority="1729" operator="equal">
      <formula>"CANCELADO"</formula>
    </cfRule>
    <cfRule type="cellIs" dxfId="1797" priority="1730" operator="equal">
      <formula>"EM APROVAÇÃO"</formula>
    </cfRule>
    <cfRule type="cellIs" dxfId="1796" priority="1731" operator="equal">
      <formula>"EM ESTUDO"</formula>
    </cfRule>
  </conditionalFormatting>
  <conditionalFormatting sqref="I42">
    <cfRule type="cellIs" dxfId="1795" priority="1706" operator="equal">
      <formula>"CLSD"</formula>
    </cfRule>
    <cfRule type="cellIs" dxfId="1794" priority="1707" operator="equal">
      <formula>"TECO"</formula>
    </cfRule>
    <cfRule type="cellIs" dxfId="1793" priority="1708" operator="equal">
      <formula>"REL"</formula>
    </cfRule>
    <cfRule type="cellIs" dxfId="1792" priority="1709" operator="equal">
      <formula>"CRTD"</formula>
    </cfRule>
  </conditionalFormatting>
  <conditionalFormatting sqref="I142">
    <cfRule type="cellIs" dxfId="1791" priority="1684" operator="equal">
      <formula>"CLSD"</formula>
    </cfRule>
    <cfRule type="cellIs" dxfId="1790" priority="1685" operator="equal">
      <formula>"TECO"</formula>
    </cfRule>
    <cfRule type="cellIs" dxfId="1789" priority="1686" operator="equal">
      <formula>"REL"</formula>
    </cfRule>
    <cfRule type="cellIs" dxfId="1788" priority="1687" operator="equal">
      <formula>"CRTD"</formula>
    </cfRule>
  </conditionalFormatting>
  <conditionalFormatting sqref="I143">
    <cfRule type="cellIs" dxfId="1787" priority="1667" operator="equal">
      <formula>"CLSD"</formula>
    </cfRule>
    <cfRule type="cellIs" dxfId="1786" priority="1668" operator="equal">
      <formula>"TECO"</formula>
    </cfRule>
    <cfRule type="cellIs" dxfId="1785" priority="1669" operator="equal">
      <formula>"REL"</formula>
    </cfRule>
    <cfRule type="cellIs" dxfId="1784" priority="1670" operator="equal">
      <formula>"CRTD"</formula>
    </cfRule>
  </conditionalFormatting>
  <conditionalFormatting sqref="I144">
    <cfRule type="cellIs" dxfId="1783" priority="1563" operator="equal">
      <formula>"CLSD"</formula>
    </cfRule>
    <cfRule type="cellIs" dxfId="1782" priority="1564" operator="equal">
      <formula>"TECO"</formula>
    </cfRule>
    <cfRule type="cellIs" dxfId="1781" priority="1565" operator="equal">
      <formula>"REL"</formula>
    </cfRule>
    <cfRule type="cellIs" dxfId="1780" priority="1566" operator="equal">
      <formula>"CRTD"</formula>
    </cfRule>
  </conditionalFormatting>
  <conditionalFormatting sqref="J43">
    <cfRule type="cellIs" dxfId="1779" priority="1551" operator="equal">
      <formula>"EM EXECUÇÃO"</formula>
    </cfRule>
    <cfRule type="cellIs" dxfId="1778" priority="1552" operator="equal">
      <formula>"CLSD"</formula>
    </cfRule>
    <cfRule type="cellIs" dxfId="1777" priority="1553" operator="equal">
      <formula>"TECO"</formula>
    </cfRule>
  </conditionalFormatting>
  <conditionalFormatting sqref="J43">
    <cfRule type="cellIs" dxfId="1776" priority="1550" operator="equal">
      <formula>"CANCELADO"</formula>
    </cfRule>
  </conditionalFormatting>
  <conditionalFormatting sqref="J43">
    <cfRule type="cellIs" dxfId="1775" priority="1541" operator="equal">
      <formula>"ENCERRADO"</formula>
    </cfRule>
    <cfRule type="cellIs" dxfId="1774" priority="1542" operator="equal">
      <formula>"EM EXECUÇÃO"</formula>
    </cfRule>
    <cfRule type="cellIs" dxfId="1773" priority="1543" operator="equal">
      <formula>"CANCELADO"</formula>
    </cfRule>
    <cfRule type="cellIs" dxfId="1772" priority="1544" operator="equal">
      <formula>"EM APROVAÇÃO"</formula>
    </cfRule>
    <cfRule type="cellIs" dxfId="1771" priority="1545" operator="equal">
      <formula>"EM ESTUDO"</formula>
    </cfRule>
  </conditionalFormatting>
  <conditionalFormatting sqref="J142">
    <cfRule type="cellIs" dxfId="1770" priority="1538" operator="equal">
      <formula>"EM EXECUÇÃO"</formula>
    </cfRule>
    <cfRule type="cellIs" dxfId="1769" priority="1539" operator="equal">
      <formula>"CLSD"</formula>
    </cfRule>
    <cfRule type="cellIs" dxfId="1768" priority="1540" operator="equal">
      <formula>"TECO"</formula>
    </cfRule>
  </conditionalFormatting>
  <conditionalFormatting sqref="J142">
    <cfRule type="cellIs" dxfId="1767" priority="1537" operator="equal">
      <formula>"CANCELADO"</formula>
    </cfRule>
  </conditionalFormatting>
  <conditionalFormatting sqref="J142">
    <cfRule type="cellIs" dxfId="1766" priority="1532" operator="equal">
      <formula>"ENCERRADO"</formula>
    </cfRule>
    <cfRule type="cellIs" dxfId="1765" priority="1533" operator="equal">
      <formula>"EM EXECUÇÃO"</formula>
    </cfRule>
    <cfRule type="cellIs" dxfId="1764" priority="1534" operator="equal">
      <formula>"CANCELADO"</formula>
    </cfRule>
    <cfRule type="cellIs" dxfId="1763" priority="1535" operator="equal">
      <formula>"EM APROVAÇÃO"</formula>
    </cfRule>
    <cfRule type="cellIs" dxfId="1762" priority="1536" operator="equal">
      <formula>"EM ESTUDO"</formula>
    </cfRule>
  </conditionalFormatting>
  <conditionalFormatting sqref="J23:J24">
    <cfRule type="cellIs" dxfId="1761" priority="1529" operator="equal">
      <formula>"EM EXECUÇÃO"</formula>
    </cfRule>
    <cfRule type="cellIs" dxfId="1760" priority="1530" operator="equal">
      <formula>"CLSD"</formula>
    </cfRule>
    <cfRule type="cellIs" dxfId="1759" priority="1531" operator="equal">
      <formula>"TECO"</formula>
    </cfRule>
  </conditionalFormatting>
  <conditionalFormatting sqref="J23:J24">
    <cfRule type="cellIs" dxfId="1758" priority="1528" operator="equal">
      <formula>"CANCELADO"</formula>
    </cfRule>
  </conditionalFormatting>
  <conditionalFormatting sqref="J44">
    <cfRule type="cellIs" dxfId="1757" priority="1525" operator="equal">
      <formula>"EM EXECUÇÃO"</formula>
    </cfRule>
    <cfRule type="cellIs" dxfId="1756" priority="1526" operator="equal">
      <formula>"CLSD"</formula>
    </cfRule>
    <cfRule type="cellIs" dxfId="1755" priority="1527" operator="equal">
      <formula>"TECO"</formula>
    </cfRule>
  </conditionalFormatting>
  <conditionalFormatting sqref="J44">
    <cfRule type="cellIs" dxfId="1754" priority="1524" operator="equal">
      <formula>"CANCELADO"</formula>
    </cfRule>
  </conditionalFormatting>
  <conditionalFormatting sqref="J44">
    <cfRule type="cellIs" dxfId="1753" priority="1519" operator="equal">
      <formula>"ENCERRADO"</formula>
    </cfRule>
    <cfRule type="cellIs" dxfId="1752" priority="1520" operator="equal">
      <formula>"EM EXECUÇÃO"</formula>
    </cfRule>
    <cfRule type="cellIs" dxfId="1751" priority="1521" operator="equal">
      <formula>"CANCELADO"</formula>
    </cfRule>
    <cfRule type="cellIs" dxfId="1750" priority="1522" operator="equal">
      <formula>"EM APROVAÇÃO"</formula>
    </cfRule>
    <cfRule type="cellIs" dxfId="1749" priority="1523" operator="equal">
      <formula>"EM ESTUDO"</formula>
    </cfRule>
  </conditionalFormatting>
  <conditionalFormatting sqref="I45 I47:I48">
    <cfRule type="cellIs" dxfId="1748" priority="1515" operator="equal">
      <formula>"CLSD"</formula>
    </cfRule>
    <cfRule type="cellIs" dxfId="1747" priority="1516" operator="equal">
      <formula>"TECO"</formula>
    </cfRule>
    <cfRule type="cellIs" dxfId="1746" priority="1517" operator="equal">
      <formula>"REL"</formula>
    </cfRule>
    <cfRule type="cellIs" dxfId="1745" priority="1518" operator="equal">
      <formula>"CRTD"</formula>
    </cfRule>
  </conditionalFormatting>
  <conditionalFormatting sqref="I126">
    <cfRule type="cellIs" dxfId="1744" priority="1502" operator="equal">
      <formula>"CLSD"</formula>
    </cfRule>
    <cfRule type="cellIs" dxfId="1743" priority="1503" operator="equal">
      <formula>"TECO"</formula>
    </cfRule>
    <cfRule type="cellIs" dxfId="1742" priority="1504" operator="equal">
      <formula>"REL"</formula>
    </cfRule>
    <cfRule type="cellIs" dxfId="1741" priority="1505" operator="equal">
      <formula>"CRTD"</formula>
    </cfRule>
  </conditionalFormatting>
  <conditionalFormatting sqref="I145">
    <cfRule type="cellIs" dxfId="1740" priority="1498" operator="equal">
      <formula>"CLSD"</formula>
    </cfRule>
    <cfRule type="cellIs" dxfId="1739" priority="1499" operator="equal">
      <formula>"TECO"</formula>
    </cfRule>
    <cfRule type="cellIs" dxfId="1738" priority="1500" operator="equal">
      <formula>"REL"</formula>
    </cfRule>
    <cfRule type="cellIs" dxfId="1737" priority="1501" operator="equal">
      <formula>"CRTD"</formula>
    </cfRule>
  </conditionalFormatting>
  <conditionalFormatting sqref="J145">
    <cfRule type="cellIs" dxfId="1736" priority="1495" operator="equal">
      <formula>"EM EXECUÇÃO"</formula>
    </cfRule>
    <cfRule type="cellIs" dxfId="1735" priority="1496" operator="equal">
      <formula>"CLSD"</formula>
    </cfRule>
    <cfRule type="cellIs" dxfId="1734" priority="1497" operator="equal">
      <formula>"TECO"</formula>
    </cfRule>
  </conditionalFormatting>
  <conditionalFormatting sqref="J145">
    <cfRule type="cellIs" dxfId="1733" priority="1494" operator="equal">
      <formula>"CANCELADO"</formula>
    </cfRule>
  </conditionalFormatting>
  <conditionalFormatting sqref="J145">
    <cfRule type="cellIs" dxfId="1732" priority="1489" operator="equal">
      <formula>"ENCERRADO"</formula>
    </cfRule>
    <cfRule type="cellIs" dxfId="1731" priority="1490" operator="equal">
      <formula>"EM EXECUÇÃO"</formula>
    </cfRule>
    <cfRule type="cellIs" dxfId="1730" priority="1491" operator="equal">
      <formula>"CANCELADO"</formula>
    </cfRule>
    <cfRule type="cellIs" dxfId="1729" priority="1492" operator="equal">
      <formula>"EM APROVAÇÃO"</formula>
    </cfRule>
    <cfRule type="cellIs" dxfId="1728" priority="1493" operator="equal">
      <formula>"EM ESTUDO"</formula>
    </cfRule>
  </conditionalFormatting>
  <conditionalFormatting sqref="I146:I147">
    <cfRule type="cellIs" dxfId="1727" priority="1485" operator="equal">
      <formula>"CLSD"</formula>
    </cfRule>
    <cfRule type="cellIs" dxfId="1726" priority="1486" operator="equal">
      <formula>"TECO"</formula>
    </cfRule>
    <cfRule type="cellIs" dxfId="1725" priority="1487" operator="equal">
      <formula>"REL"</formula>
    </cfRule>
    <cfRule type="cellIs" dxfId="1724" priority="1488" operator="equal">
      <formula>"CRTD"</formula>
    </cfRule>
  </conditionalFormatting>
  <conditionalFormatting sqref="J146">
    <cfRule type="cellIs" dxfId="1723" priority="1482" operator="equal">
      <formula>"EM EXECUÇÃO"</formula>
    </cfRule>
    <cfRule type="cellIs" dxfId="1722" priority="1483" operator="equal">
      <formula>"CLSD"</formula>
    </cfRule>
    <cfRule type="cellIs" dxfId="1721" priority="1484" operator="equal">
      <formula>"TECO"</formula>
    </cfRule>
  </conditionalFormatting>
  <conditionalFormatting sqref="J146">
    <cfRule type="cellIs" dxfId="1720" priority="1481" operator="equal">
      <formula>"CANCELADO"</formula>
    </cfRule>
  </conditionalFormatting>
  <conditionalFormatting sqref="J146">
    <cfRule type="cellIs" dxfId="1719" priority="1476" operator="equal">
      <formula>"ENCERRADO"</formula>
    </cfRule>
    <cfRule type="cellIs" dxfId="1718" priority="1477" operator="equal">
      <formula>"EM EXECUÇÃO"</formula>
    </cfRule>
    <cfRule type="cellIs" dxfId="1717" priority="1478" operator="equal">
      <formula>"CANCELADO"</formula>
    </cfRule>
    <cfRule type="cellIs" dxfId="1716" priority="1479" operator="equal">
      <formula>"EM APROVAÇÃO"</formula>
    </cfRule>
    <cfRule type="cellIs" dxfId="1715" priority="1480" operator="equal">
      <formula>"EM ESTUDO"</formula>
    </cfRule>
  </conditionalFormatting>
  <conditionalFormatting sqref="J34">
    <cfRule type="cellIs" dxfId="1714" priority="1473" operator="equal">
      <formula>"EM EXECUÇÃO"</formula>
    </cfRule>
    <cfRule type="cellIs" dxfId="1713" priority="1474" operator="equal">
      <formula>"CLSD"</formula>
    </cfRule>
    <cfRule type="cellIs" dxfId="1712" priority="1475" operator="equal">
      <formula>"TECO"</formula>
    </cfRule>
  </conditionalFormatting>
  <conditionalFormatting sqref="J34">
    <cfRule type="cellIs" dxfId="1711" priority="1472" operator="equal">
      <formula>"CANCELADO"</formula>
    </cfRule>
  </conditionalFormatting>
  <conditionalFormatting sqref="J34">
    <cfRule type="cellIs" dxfId="1710" priority="1469" operator="equal">
      <formula>"EM EXECUÇÃO"</formula>
    </cfRule>
    <cfRule type="cellIs" dxfId="1709" priority="1470" operator="equal">
      <formula>"CLSD"</formula>
    </cfRule>
    <cfRule type="cellIs" dxfId="1708" priority="1471" operator="equal">
      <formula>"TECO"</formula>
    </cfRule>
  </conditionalFormatting>
  <conditionalFormatting sqref="J34">
    <cfRule type="cellIs" dxfId="1707" priority="1468" operator="equal">
      <formula>"CANCELADO"</formula>
    </cfRule>
  </conditionalFormatting>
  <conditionalFormatting sqref="I159:I160">
    <cfRule type="cellIs" dxfId="1706" priority="1464" operator="equal">
      <formula>"CLSD"</formula>
    </cfRule>
    <cfRule type="cellIs" dxfId="1705" priority="1465" operator="equal">
      <formula>"TECO"</formula>
    </cfRule>
    <cfRule type="cellIs" dxfId="1704" priority="1466" operator="equal">
      <formula>"REL"</formula>
    </cfRule>
    <cfRule type="cellIs" dxfId="1703" priority="1467" operator="equal">
      <formula>"CRTD"</formula>
    </cfRule>
  </conditionalFormatting>
  <conditionalFormatting sqref="J159:J160">
    <cfRule type="cellIs" dxfId="1702" priority="1461" operator="equal">
      <formula>"EM EXECUÇÃO"</formula>
    </cfRule>
    <cfRule type="cellIs" dxfId="1701" priority="1462" operator="equal">
      <formula>"CLSD"</formula>
    </cfRule>
    <cfRule type="cellIs" dxfId="1700" priority="1463" operator="equal">
      <formula>"TECO"</formula>
    </cfRule>
  </conditionalFormatting>
  <conditionalFormatting sqref="J159:J160">
    <cfRule type="cellIs" dxfId="1699" priority="1460" operator="equal">
      <formula>"CANCELADO"</formula>
    </cfRule>
  </conditionalFormatting>
  <conditionalFormatting sqref="J159:J160">
    <cfRule type="cellIs" dxfId="1698" priority="1455" operator="equal">
      <formula>"ENCERRADO"</formula>
    </cfRule>
    <cfRule type="cellIs" dxfId="1697" priority="1456" operator="equal">
      <formula>"EM EXECUÇÃO"</formula>
    </cfRule>
    <cfRule type="cellIs" dxfId="1696" priority="1457" operator="equal">
      <formula>"CANCELADO"</formula>
    </cfRule>
    <cfRule type="cellIs" dxfId="1695" priority="1458" operator="equal">
      <formula>"EM APROVAÇÃO"</formula>
    </cfRule>
    <cfRule type="cellIs" dxfId="1694" priority="1459" operator="equal">
      <formula>"EM ESTUDO"</formula>
    </cfRule>
  </conditionalFormatting>
  <conditionalFormatting sqref="J152">
    <cfRule type="cellIs" dxfId="1693" priority="1435" operator="equal">
      <formula>"EM EXECUÇÃO"</formula>
    </cfRule>
    <cfRule type="cellIs" dxfId="1692" priority="1436" operator="equal">
      <formula>"CLSD"</formula>
    </cfRule>
    <cfRule type="cellIs" dxfId="1691" priority="1437" operator="equal">
      <formula>"TECO"</formula>
    </cfRule>
  </conditionalFormatting>
  <conditionalFormatting sqref="J152">
    <cfRule type="cellIs" dxfId="1690" priority="1434" operator="equal">
      <formula>"CANCELADO"</formula>
    </cfRule>
  </conditionalFormatting>
  <conditionalFormatting sqref="I152">
    <cfRule type="cellIs" dxfId="1689" priority="1430" operator="equal">
      <formula>"CLSD"</formula>
    </cfRule>
    <cfRule type="cellIs" dxfId="1688" priority="1431" operator="equal">
      <formula>"TECO"</formula>
    </cfRule>
    <cfRule type="cellIs" dxfId="1687" priority="1432" operator="equal">
      <formula>"REL"</formula>
    </cfRule>
    <cfRule type="cellIs" dxfId="1686" priority="1433" operator="equal">
      <formula>"CRTD"</formula>
    </cfRule>
  </conditionalFormatting>
  <conditionalFormatting sqref="J152">
    <cfRule type="cellIs" dxfId="1685" priority="1425" operator="equal">
      <formula>"ENCERRADO"</formula>
    </cfRule>
    <cfRule type="cellIs" dxfId="1684" priority="1426" operator="equal">
      <formula>"EM EXECUÇÃO"</formula>
    </cfRule>
    <cfRule type="cellIs" dxfId="1683" priority="1427" operator="equal">
      <formula>"CANCELADO"</formula>
    </cfRule>
    <cfRule type="cellIs" dxfId="1682" priority="1428" operator="equal">
      <formula>"EM APROVAÇÃO"</formula>
    </cfRule>
    <cfRule type="cellIs" dxfId="1681" priority="1429" operator="equal">
      <formula>"EM ESTUDO"</formula>
    </cfRule>
  </conditionalFormatting>
  <conditionalFormatting sqref="J52">
    <cfRule type="cellIs" dxfId="1680" priority="1409" operator="equal">
      <formula>"EM EXECUÇÃO"</formula>
    </cfRule>
    <cfRule type="cellIs" dxfId="1679" priority="1410" operator="equal">
      <formula>"CLSD"</formula>
    </cfRule>
    <cfRule type="cellIs" dxfId="1678" priority="1411" operator="equal">
      <formula>"TECO"</formula>
    </cfRule>
  </conditionalFormatting>
  <conditionalFormatting sqref="J52">
    <cfRule type="cellIs" dxfId="1677" priority="1408" operator="equal">
      <formula>"CANCELADO"</formula>
    </cfRule>
  </conditionalFormatting>
  <conditionalFormatting sqref="J52">
    <cfRule type="cellIs" dxfId="1676" priority="1399" operator="equal">
      <formula>"ENCERRADO"</formula>
    </cfRule>
    <cfRule type="cellIs" dxfId="1675" priority="1400" operator="equal">
      <formula>"EM EXECUÇÃO"</formula>
    </cfRule>
    <cfRule type="cellIs" dxfId="1674" priority="1401" operator="equal">
      <formula>"CANCELADO"</formula>
    </cfRule>
    <cfRule type="cellIs" dxfId="1673" priority="1402" operator="equal">
      <formula>"EM APROVAÇÃO"</formula>
    </cfRule>
    <cfRule type="cellIs" dxfId="1672" priority="1403" operator="equal">
      <formula>"EM ESTUDO"</formula>
    </cfRule>
  </conditionalFormatting>
  <conditionalFormatting sqref="I149">
    <cfRule type="cellIs" dxfId="1671" priority="1395" operator="equal">
      <formula>"CLSD"</formula>
    </cfRule>
    <cfRule type="cellIs" dxfId="1670" priority="1396" operator="equal">
      <formula>"TECO"</formula>
    </cfRule>
    <cfRule type="cellIs" dxfId="1669" priority="1397" operator="equal">
      <formula>"REL"</formula>
    </cfRule>
    <cfRule type="cellIs" dxfId="1668" priority="1398" operator="equal">
      <formula>"CRTD"</formula>
    </cfRule>
  </conditionalFormatting>
  <conditionalFormatting sqref="J149">
    <cfRule type="cellIs" dxfId="1667" priority="1392" operator="equal">
      <formula>"EM EXECUÇÃO"</formula>
    </cfRule>
    <cfRule type="cellIs" dxfId="1666" priority="1393" operator="equal">
      <formula>"CLSD"</formula>
    </cfRule>
    <cfRule type="cellIs" dxfId="1665" priority="1394" operator="equal">
      <formula>"TECO"</formula>
    </cfRule>
  </conditionalFormatting>
  <conditionalFormatting sqref="J149">
    <cfRule type="cellIs" dxfId="1664" priority="1391" operator="equal">
      <formula>"CANCELADO"</formula>
    </cfRule>
  </conditionalFormatting>
  <conditionalFormatting sqref="J149">
    <cfRule type="cellIs" dxfId="1663" priority="1386" operator="equal">
      <formula>"ENCERRADO"</formula>
    </cfRule>
    <cfRule type="cellIs" dxfId="1662" priority="1387" operator="equal">
      <formula>"EM EXECUÇÃO"</formula>
    </cfRule>
    <cfRule type="cellIs" dxfId="1661" priority="1388" operator="equal">
      <formula>"CANCELADO"</formula>
    </cfRule>
    <cfRule type="cellIs" dxfId="1660" priority="1389" operator="equal">
      <formula>"EM APROVAÇÃO"</formula>
    </cfRule>
    <cfRule type="cellIs" dxfId="1659" priority="1390" operator="equal">
      <formula>"EM ESTUDO"</formula>
    </cfRule>
  </conditionalFormatting>
  <conditionalFormatting sqref="J53:J54">
    <cfRule type="cellIs" dxfId="1658" priority="1383" operator="equal">
      <formula>"EM EXECUÇÃO"</formula>
    </cfRule>
    <cfRule type="cellIs" dxfId="1657" priority="1384" operator="equal">
      <formula>"CLSD"</formula>
    </cfRule>
    <cfRule type="cellIs" dxfId="1656" priority="1385" operator="equal">
      <formula>"TECO"</formula>
    </cfRule>
  </conditionalFormatting>
  <conditionalFormatting sqref="J53:J54">
    <cfRule type="cellIs" dxfId="1655" priority="1382" operator="equal">
      <formula>"CANCELADO"</formula>
    </cfRule>
  </conditionalFormatting>
  <conditionalFormatting sqref="I53:I54">
    <cfRule type="cellIs" dxfId="1654" priority="1378" operator="equal">
      <formula>"CLSD"</formula>
    </cfRule>
    <cfRule type="cellIs" dxfId="1653" priority="1379" operator="equal">
      <formula>"TECO"</formula>
    </cfRule>
    <cfRule type="cellIs" dxfId="1652" priority="1380" operator="equal">
      <formula>"REL"</formula>
    </cfRule>
    <cfRule type="cellIs" dxfId="1651" priority="1381" operator="equal">
      <formula>"CRTD"</formula>
    </cfRule>
  </conditionalFormatting>
  <conditionalFormatting sqref="J53:J54">
    <cfRule type="cellIs" dxfId="1650" priority="1373" operator="equal">
      <formula>"ENCERRADO"</formula>
    </cfRule>
    <cfRule type="cellIs" dxfId="1649" priority="1374" operator="equal">
      <formula>"EM EXECUÇÃO"</formula>
    </cfRule>
    <cfRule type="cellIs" dxfId="1648" priority="1375" operator="equal">
      <formula>"CANCELADO"</formula>
    </cfRule>
    <cfRule type="cellIs" dxfId="1647" priority="1376" operator="equal">
      <formula>"EM APROVAÇÃO"</formula>
    </cfRule>
    <cfRule type="cellIs" dxfId="1646" priority="1377" operator="equal">
      <formula>"EM ESTUDO"</formula>
    </cfRule>
  </conditionalFormatting>
  <conditionalFormatting sqref="K134:K135 K137:K138">
    <cfRule type="cellIs" dxfId="1645" priority="1369" operator="equal">
      <formula>"Behind Schedule"</formula>
    </cfRule>
    <cfRule type="cellIs" dxfId="1644" priority="1370" operator="equal">
      <formula>"TBD"</formula>
    </cfRule>
    <cfRule type="cellIs" dxfId="1643" priority="1371" operator="equal">
      <formula>"In Progress"</formula>
    </cfRule>
    <cfRule type="cellIs" dxfId="1642" priority="1372" operator="equal">
      <formula>"Completed"</formula>
    </cfRule>
  </conditionalFormatting>
  <conditionalFormatting sqref="K151">
    <cfRule type="cellIs" dxfId="1641" priority="1349" operator="equal">
      <formula>"Behind Schedule"</formula>
    </cfRule>
    <cfRule type="cellIs" dxfId="1640" priority="1350" operator="equal">
      <formula>"TBD"</formula>
    </cfRule>
    <cfRule type="cellIs" dxfId="1639" priority="1351" operator="equal">
      <formula>"In Progress"</formula>
    </cfRule>
    <cfRule type="cellIs" dxfId="1638" priority="1352" operator="equal">
      <formula>"Completed"</formula>
    </cfRule>
  </conditionalFormatting>
  <conditionalFormatting sqref="I140">
    <cfRule type="cellIs" dxfId="1637" priority="1345" operator="equal">
      <formula>"CLSD"</formula>
    </cfRule>
    <cfRule type="cellIs" dxfId="1636" priority="1346" operator="equal">
      <formula>"TECO"</formula>
    </cfRule>
    <cfRule type="cellIs" dxfId="1635" priority="1347" operator="equal">
      <formula>"REL"</formula>
    </cfRule>
    <cfRule type="cellIs" dxfId="1634" priority="1348" operator="equal">
      <formula>"CRTD"</formula>
    </cfRule>
  </conditionalFormatting>
  <conditionalFormatting sqref="J140">
    <cfRule type="cellIs" dxfId="1633" priority="1342" operator="equal">
      <formula>"EM EXECUÇÃO"</formula>
    </cfRule>
    <cfRule type="cellIs" dxfId="1632" priority="1343" operator="equal">
      <formula>"CLSD"</formula>
    </cfRule>
    <cfRule type="cellIs" dxfId="1631" priority="1344" operator="equal">
      <formula>"TECO"</formula>
    </cfRule>
  </conditionalFormatting>
  <conditionalFormatting sqref="J140">
    <cfRule type="cellIs" dxfId="1630" priority="1341" operator="equal">
      <formula>"CANCELADO"</formula>
    </cfRule>
  </conditionalFormatting>
  <conditionalFormatting sqref="J140">
    <cfRule type="cellIs" dxfId="1629" priority="1336" operator="equal">
      <formula>"ENCERRADO"</formula>
    </cfRule>
    <cfRule type="cellIs" dxfId="1628" priority="1337" operator="equal">
      <formula>"EM EXECUÇÃO"</formula>
    </cfRule>
    <cfRule type="cellIs" dxfId="1627" priority="1338" operator="equal">
      <formula>"CANCELADO"</formula>
    </cfRule>
    <cfRule type="cellIs" dxfId="1626" priority="1339" operator="equal">
      <formula>"EM APROVAÇÃO"</formula>
    </cfRule>
    <cfRule type="cellIs" dxfId="1625" priority="1340" operator="equal">
      <formula>"EM ESTUDO"</formula>
    </cfRule>
  </conditionalFormatting>
  <conditionalFormatting sqref="J154">
    <cfRule type="cellIs" dxfId="1624" priority="1333" operator="equal">
      <formula>"EM EXECUÇÃO"</formula>
    </cfRule>
    <cfRule type="cellIs" dxfId="1623" priority="1334" operator="equal">
      <formula>"CLSD"</formula>
    </cfRule>
    <cfRule type="cellIs" dxfId="1622" priority="1335" operator="equal">
      <formula>"TECO"</formula>
    </cfRule>
  </conditionalFormatting>
  <conditionalFormatting sqref="J154">
    <cfRule type="cellIs" dxfId="1621" priority="1332" operator="equal">
      <formula>"CANCELADO"</formula>
    </cfRule>
  </conditionalFormatting>
  <conditionalFormatting sqref="I154:I155">
    <cfRule type="cellIs" dxfId="1620" priority="1328" operator="equal">
      <formula>"CLSD"</formula>
    </cfRule>
    <cfRule type="cellIs" dxfId="1619" priority="1329" operator="equal">
      <formula>"TECO"</formula>
    </cfRule>
    <cfRule type="cellIs" dxfId="1618" priority="1330" operator="equal">
      <formula>"REL"</formula>
    </cfRule>
    <cfRule type="cellIs" dxfId="1617" priority="1331" operator="equal">
      <formula>"CRTD"</formula>
    </cfRule>
  </conditionalFormatting>
  <conditionalFormatting sqref="J154">
    <cfRule type="cellIs" dxfId="1616" priority="1323" operator="equal">
      <formula>"ENCERRADO"</formula>
    </cfRule>
    <cfRule type="cellIs" dxfId="1615" priority="1324" operator="equal">
      <formula>"EM EXECUÇÃO"</formula>
    </cfRule>
    <cfRule type="cellIs" dxfId="1614" priority="1325" operator="equal">
      <formula>"CANCELADO"</formula>
    </cfRule>
    <cfRule type="cellIs" dxfId="1613" priority="1326" operator="equal">
      <formula>"EM APROVAÇÃO"</formula>
    </cfRule>
    <cfRule type="cellIs" dxfId="1612" priority="1327" operator="equal">
      <formula>"EM ESTUDO"</formula>
    </cfRule>
  </conditionalFormatting>
  <conditionalFormatting sqref="J49">
    <cfRule type="cellIs" dxfId="1611" priority="1320" operator="equal">
      <formula>"EM EXECUÇÃO"</formula>
    </cfRule>
    <cfRule type="cellIs" dxfId="1610" priority="1321" operator="equal">
      <formula>"CLSD"</formula>
    </cfRule>
    <cfRule type="cellIs" dxfId="1609" priority="1322" operator="equal">
      <formula>"TECO"</formula>
    </cfRule>
  </conditionalFormatting>
  <conditionalFormatting sqref="J49">
    <cfRule type="cellIs" dxfId="1608" priority="1319" operator="equal">
      <formula>"CANCELADO"</formula>
    </cfRule>
  </conditionalFormatting>
  <conditionalFormatting sqref="J49">
    <cfRule type="cellIs" dxfId="1607" priority="1314" operator="equal">
      <formula>"ENCERRADO"</formula>
    </cfRule>
    <cfRule type="cellIs" dxfId="1606" priority="1315" operator="equal">
      <formula>"EM EXECUÇÃO"</formula>
    </cfRule>
    <cfRule type="cellIs" dxfId="1605" priority="1316" operator="equal">
      <formula>"CANCELADO"</formula>
    </cfRule>
    <cfRule type="cellIs" dxfId="1604" priority="1317" operator="equal">
      <formula>"EM APROVAÇÃO"</formula>
    </cfRule>
    <cfRule type="cellIs" dxfId="1603" priority="1318" operator="equal">
      <formula>"EM ESTUDO"</formula>
    </cfRule>
  </conditionalFormatting>
  <conditionalFormatting sqref="J153">
    <cfRule type="cellIs" dxfId="1602" priority="1290" operator="equal">
      <formula>"EM EXECUÇÃO"</formula>
    </cfRule>
    <cfRule type="cellIs" dxfId="1601" priority="1291" operator="equal">
      <formula>"CLSD"</formula>
    </cfRule>
    <cfRule type="cellIs" dxfId="1600" priority="1292" operator="equal">
      <formula>"TECO"</formula>
    </cfRule>
  </conditionalFormatting>
  <conditionalFormatting sqref="J153">
    <cfRule type="cellIs" dxfId="1599" priority="1289" operator="equal">
      <formula>"CANCELADO"</formula>
    </cfRule>
  </conditionalFormatting>
  <conditionalFormatting sqref="I153">
    <cfRule type="cellIs" dxfId="1598" priority="1285" operator="equal">
      <formula>"CLSD"</formula>
    </cfRule>
    <cfRule type="cellIs" dxfId="1597" priority="1286" operator="equal">
      <formula>"TECO"</formula>
    </cfRule>
    <cfRule type="cellIs" dxfId="1596" priority="1287" operator="equal">
      <formula>"REL"</formula>
    </cfRule>
    <cfRule type="cellIs" dxfId="1595" priority="1288" operator="equal">
      <formula>"CRTD"</formula>
    </cfRule>
  </conditionalFormatting>
  <conditionalFormatting sqref="J153">
    <cfRule type="cellIs" dxfId="1594" priority="1280" operator="equal">
      <formula>"ENCERRADO"</formula>
    </cfRule>
    <cfRule type="cellIs" dxfId="1593" priority="1281" operator="equal">
      <formula>"EM EXECUÇÃO"</formula>
    </cfRule>
    <cfRule type="cellIs" dxfId="1592" priority="1282" operator="equal">
      <formula>"CANCELADO"</formula>
    </cfRule>
    <cfRule type="cellIs" dxfId="1591" priority="1283" operator="equal">
      <formula>"EM APROVAÇÃO"</formula>
    </cfRule>
    <cfRule type="cellIs" dxfId="1590" priority="1284" operator="equal">
      <formula>"EM ESTUDO"</formula>
    </cfRule>
  </conditionalFormatting>
  <conditionalFormatting sqref="I156:I158">
    <cfRule type="cellIs" dxfId="1589" priority="1272" operator="equal">
      <formula>"CLSD"</formula>
    </cfRule>
    <cfRule type="cellIs" dxfId="1588" priority="1273" operator="equal">
      <formula>"TECO"</formula>
    </cfRule>
    <cfRule type="cellIs" dxfId="1587" priority="1274" operator="equal">
      <formula>"REL"</formula>
    </cfRule>
    <cfRule type="cellIs" dxfId="1586" priority="1275" operator="equal">
      <formula>"CRTD"</formula>
    </cfRule>
  </conditionalFormatting>
  <conditionalFormatting sqref="J22">
    <cfRule type="cellIs" dxfId="1585" priority="1260" operator="equal">
      <formula>"EM EXECUÇÃO"</formula>
    </cfRule>
    <cfRule type="cellIs" dxfId="1584" priority="1261" operator="equal">
      <formula>"CLSD"</formula>
    </cfRule>
    <cfRule type="cellIs" dxfId="1583" priority="1262" operator="equal">
      <formula>"TECO"</formula>
    </cfRule>
  </conditionalFormatting>
  <conditionalFormatting sqref="J22">
    <cfRule type="cellIs" dxfId="1582" priority="1259" operator="equal">
      <formula>"CANCELADO"</formula>
    </cfRule>
  </conditionalFormatting>
  <conditionalFormatting sqref="J56">
    <cfRule type="cellIs" dxfId="1581" priority="1256" operator="equal">
      <formula>"EM EXECUÇÃO"</formula>
    </cfRule>
    <cfRule type="cellIs" dxfId="1580" priority="1257" operator="equal">
      <formula>"CLSD"</formula>
    </cfRule>
    <cfRule type="cellIs" dxfId="1579" priority="1258" operator="equal">
      <formula>"TECO"</formula>
    </cfRule>
  </conditionalFormatting>
  <conditionalFormatting sqref="J56">
    <cfRule type="cellIs" dxfId="1578" priority="1255" operator="equal">
      <formula>"CANCELADO"</formula>
    </cfRule>
  </conditionalFormatting>
  <conditionalFormatting sqref="I56">
    <cfRule type="cellIs" dxfId="1577" priority="1251" operator="equal">
      <formula>"CLSD"</formula>
    </cfRule>
    <cfRule type="cellIs" dxfId="1576" priority="1252" operator="equal">
      <formula>"TECO"</formula>
    </cfRule>
    <cfRule type="cellIs" dxfId="1575" priority="1253" operator="equal">
      <formula>"REL"</formula>
    </cfRule>
    <cfRule type="cellIs" dxfId="1574" priority="1254" operator="equal">
      <formula>"CRTD"</formula>
    </cfRule>
  </conditionalFormatting>
  <conditionalFormatting sqref="J56">
    <cfRule type="cellIs" dxfId="1573" priority="1246" operator="equal">
      <formula>"ENCERRADO"</formula>
    </cfRule>
    <cfRule type="cellIs" dxfId="1572" priority="1247" operator="equal">
      <formula>"EM EXECUÇÃO"</formula>
    </cfRule>
    <cfRule type="cellIs" dxfId="1571" priority="1248" operator="equal">
      <formula>"CANCELADO"</formula>
    </cfRule>
    <cfRule type="cellIs" dxfId="1570" priority="1249" operator="equal">
      <formula>"EM APROVAÇÃO"</formula>
    </cfRule>
    <cfRule type="cellIs" dxfId="1569" priority="1250" operator="equal">
      <formula>"EM ESTUDO"</formula>
    </cfRule>
  </conditionalFormatting>
  <conditionalFormatting sqref="J57 J64">
    <cfRule type="cellIs" dxfId="1568" priority="1243" operator="equal">
      <formula>"EM EXECUÇÃO"</formula>
    </cfRule>
    <cfRule type="cellIs" dxfId="1567" priority="1244" operator="equal">
      <formula>"CLSD"</formula>
    </cfRule>
    <cfRule type="cellIs" dxfId="1566" priority="1245" operator="equal">
      <formula>"TECO"</formula>
    </cfRule>
  </conditionalFormatting>
  <conditionalFormatting sqref="J57 J64">
    <cfRule type="cellIs" dxfId="1565" priority="1242" operator="equal">
      <formula>"CANCELADO"</formula>
    </cfRule>
  </conditionalFormatting>
  <conditionalFormatting sqref="I57 I64">
    <cfRule type="cellIs" dxfId="1564" priority="1238" operator="equal">
      <formula>"CLSD"</formula>
    </cfRule>
    <cfRule type="cellIs" dxfId="1563" priority="1239" operator="equal">
      <formula>"TECO"</formula>
    </cfRule>
    <cfRule type="cellIs" dxfId="1562" priority="1240" operator="equal">
      <formula>"REL"</formula>
    </cfRule>
    <cfRule type="cellIs" dxfId="1561" priority="1241" operator="equal">
      <formula>"CRTD"</formula>
    </cfRule>
  </conditionalFormatting>
  <conditionalFormatting sqref="J57 J64">
    <cfRule type="cellIs" dxfId="1560" priority="1233" operator="equal">
      <formula>"ENCERRADO"</formula>
    </cfRule>
    <cfRule type="cellIs" dxfId="1559" priority="1234" operator="equal">
      <formula>"EM EXECUÇÃO"</formula>
    </cfRule>
    <cfRule type="cellIs" dxfId="1558" priority="1235" operator="equal">
      <formula>"CANCELADO"</formula>
    </cfRule>
    <cfRule type="cellIs" dxfId="1557" priority="1236" operator="equal">
      <formula>"EM APROVAÇÃO"</formula>
    </cfRule>
    <cfRule type="cellIs" dxfId="1556" priority="1237" operator="equal">
      <formula>"EM ESTUDO"</formula>
    </cfRule>
  </conditionalFormatting>
  <conditionalFormatting sqref="I15:I17">
    <cfRule type="cellIs" dxfId="1555" priority="1229" operator="equal">
      <formula>"CLSD"</formula>
    </cfRule>
    <cfRule type="cellIs" dxfId="1554" priority="1230" operator="equal">
      <formula>"TECO"</formula>
    </cfRule>
    <cfRule type="cellIs" dxfId="1553" priority="1231" operator="equal">
      <formula>"REL"</formula>
    </cfRule>
    <cfRule type="cellIs" dxfId="1552" priority="1232" operator="equal">
      <formula>"CRTD"</formula>
    </cfRule>
  </conditionalFormatting>
  <conditionalFormatting sqref="K50">
    <cfRule type="cellIs" dxfId="1551" priority="1125" operator="equal">
      <formula>"Behind Schedule"</formula>
    </cfRule>
    <cfRule type="cellIs" dxfId="1550" priority="1126" operator="equal">
      <formula>"TBD"</formula>
    </cfRule>
    <cfRule type="cellIs" dxfId="1549" priority="1127" operator="equal">
      <formula>"In Progress"</formula>
    </cfRule>
    <cfRule type="cellIs" dxfId="1548" priority="1128" operator="equal">
      <formula>"Completed"</formula>
    </cfRule>
  </conditionalFormatting>
  <conditionalFormatting sqref="J58">
    <cfRule type="cellIs" dxfId="1547" priority="1114" operator="equal">
      <formula>"EM EXECUÇÃO"</formula>
    </cfRule>
    <cfRule type="cellIs" dxfId="1546" priority="1115" operator="equal">
      <formula>"CLSD"</formula>
    </cfRule>
    <cfRule type="cellIs" dxfId="1545" priority="1116" operator="equal">
      <formula>"TECO"</formula>
    </cfRule>
  </conditionalFormatting>
  <conditionalFormatting sqref="J58">
    <cfRule type="cellIs" dxfId="1544" priority="1113" operator="equal">
      <formula>"CANCELADO"</formula>
    </cfRule>
  </conditionalFormatting>
  <conditionalFormatting sqref="J58">
    <cfRule type="cellIs" dxfId="1543" priority="1104" operator="equal">
      <formula>"ENCERRADO"</formula>
    </cfRule>
    <cfRule type="cellIs" dxfId="1542" priority="1105" operator="equal">
      <formula>"EM EXECUÇÃO"</formula>
    </cfRule>
    <cfRule type="cellIs" dxfId="1541" priority="1106" operator="equal">
      <formula>"CANCELADO"</formula>
    </cfRule>
    <cfRule type="cellIs" dxfId="1540" priority="1107" operator="equal">
      <formula>"EM APROVAÇÃO"</formula>
    </cfRule>
    <cfRule type="cellIs" dxfId="1539" priority="1108" operator="equal">
      <formula>"EM ESTUDO"</formula>
    </cfRule>
  </conditionalFormatting>
  <conditionalFormatting sqref="J61:J62">
    <cfRule type="cellIs" dxfId="1538" priority="1097" operator="equal">
      <formula>"EM EXECUÇÃO"</formula>
    </cfRule>
    <cfRule type="cellIs" dxfId="1537" priority="1098" operator="equal">
      <formula>"CLSD"</formula>
    </cfRule>
    <cfRule type="cellIs" dxfId="1536" priority="1099" operator="equal">
      <formula>"TECO"</formula>
    </cfRule>
  </conditionalFormatting>
  <conditionalFormatting sqref="J61:J62">
    <cfRule type="cellIs" dxfId="1535" priority="1096" operator="equal">
      <formula>"CANCELADO"</formula>
    </cfRule>
  </conditionalFormatting>
  <conditionalFormatting sqref="I61:I62">
    <cfRule type="cellIs" dxfId="1534" priority="1092" operator="equal">
      <formula>"CLSD"</formula>
    </cfRule>
    <cfRule type="cellIs" dxfId="1533" priority="1093" operator="equal">
      <formula>"TECO"</formula>
    </cfRule>
    <cfRule type="cellIs" dxfId="1532" priority="1094" operator="equal">
      <formula>"REL"</formula>
    </cfRule>
    <cfRule type="cellIs" dxfId="1531" priority="1095" operator="equal">
      <formula>"CRTD"</formula>
    </cfRule>
  </conditionalFormatting>
  <conditionalFormatting sqref="J61:J62">
    <cfRule type="cellIs" dxfId="1530" priority="1087" operator="equal">
      <formula>"ENCERRADO"</formula>
    </cfRule>
    <cfRule type="cellIs" dxfId="1529" priority="1088" operator="equal">
      <formula>"EM EXECUÇÃO"</formula>
    </cfRule>
    <cfRule type="cellIs" dxfId="1528" priority="1089" operator="equal">
      <formula>"CANCELADO"</formula>
    </cfRule>
    <cfRule type="cellIs" dxfId="1527" priority="1090" operator="equal">
      <formula>"EM APROVAÇÃO"</formula>
    </cfRule>
    <cfRule type="cellIs" dxfId="1526" priority="1091" operator="equal">
      <formula>"EM ESTUDO"</formula>
    </cfRule>
  </conditionalFormatting>
  <conditionalFormatting sqref="J63">
    <cfRule type="cellIs" dxfId="1525" priority="1084" operator="equal">
      <formula>"EM EXECUÇÃO"</formula>
    </cfRule>
    <cfRule type="cellIs" dxfId="1524" priority="1085" operator="equal">
      <formula>"CLSD"</formula>
    </cfRule>
    <cfRule type="cellIs" dxfId="1523" priority="1086" operator="equal">
      <formula>"TECO"</formula>
    </cfRule>
  </conditionalFormatting>
  <conditionalFormatting sqref="J63">
    <cfRule type="cellIs" dxfId="1522" priority="1083" operator="equal">
      <formula>"CANCELADO"</formula>
    </cfRule>
  </conditionalFormatting>
  <conditionalFormatting sqref="J63">
    <cfRule type="cellIs" dxfId="1521" priority="1078" operator="equal">
      <formula>"ENCERRADO"</formula>
    </cfRule>
    <cfRule type="cellIs" dxfId="1520" priority="1079" operator="equal">
      <formula>"EM EXECUÇÃO"</formula>
    </cfRule>
    <cfRule type="cellIs" dxfId="1519" priority="1080" operator="equal">
      <formula>"CANCELADO"</formula>
    </cfRule>
    <cfRule type="cellIs" dxfId="1518" priority="1081" operator="equal">
      <formula>"EM APROVAÇÃO"</formula>
    </cfRule>
    <cfRule type="cellIs" dxfId="1517" priority="1082" operator="equal">
      <formula>"EM ESTUDO"</formula>
    </cfRule>
  </conditionalFormatting>
  <conditionalFormatting sqref="I63">
    <cfRule type="cellIs" dxfId="1516" priority="1074" operator="equal">
      <formula>"CLSD"</formula>
    </cfRule>
    <cfRule type="cellIs" dxfId="1515" priority="1075" operator="equal">
      <formula>"TECO"</formula>
    </cfRule>
    <cfRule type="cellIs" dxfId="1514" priority="1076" operator="equal">
      <formula>"REL"</formula>
    </cfRule>
    <cfRule type="cellIs" dxfId="1513" priority="1077" operator="equal">
      <formula>"CRTD"</formula>
    </cfRule>
  </conditionalFormatting>
  <conditionalFormatting sqref="J151">
    <cfRule type="cellIs" dxfId="1512" priority="1071" operator="equal">
      <formula>"EM EXECUÇÃO"</formula>
    </cfRule>
    <cfRule type="cellIs" dxfId="1511" priority="1072" operator="equal">
      <formula>"CLSD"</formula>
    </cfRule>
    <cfRule type="cellIs" dxfId="1510" priority="1073" operator="equal">
      <formula>"TECO"</formula>
    </cfRule>
  </conditionalFormatting>
  <conditionalFormatting sqref="J151">
    <cfRule type="cellIs" dxfId="1509" priority="1070" operator="equal">
      <formula>"CANCELADO"</formula>
    </cfRule>
  </conditionalFormatting>
  <conditionalFormatting sqref="I151">
    <cfRule type="cellIs" dxfId="1508" priority="1066" operator="equal">
      <formula>"CLSD"</formula>
    </cfRule>
    <cfRule type="cellIs" dxfId="1507" priority="1067" operator="equal">
      <formula>"TECO"</formula>
    </cfRule>
    <cfRule type="cellIs" dxfId="1506" priority="1068" operator="equal">
      <formula>"REL"</formula>
    </cfRule>
    <cfRule type="cellIs" dxfId="1505" priority="1069" operator="equal">
      <formula>"CRTD"</formula>
    </cfRule>
  </conditionalFormatting>
  <conditionalFormatting sqref="J151">
    <cfRule type="cellIs" dxfId="1504" priority="1061" operator="equal">
      <formula>"ENCERRADO"</formula>
    </cfRule>
    <cfRule type="cellIs" dxfId="1503" priority="1062" operator="equal">
      <formula>"EM EXECUÇÃO"</formula>
    </cfRule>
    <cfRule type="cellIs" dxfId="1502" priority="1063" operator="equal">
      <formula>"CANCELADO"</formula>
    </cfRule>
    <cfRule type="cellIs" dxfId="1501" priority="1064" operator="equal">
      <formula>"EM APROVAÇÃO"</formula>
    </cfRule>
    <cfRule type="cellIs" dxfId="1500" priority="1065" operator="equal">
      <formula>"EM ESTUDO"</formula>
    </cfRule>
  </conditionalFormatting>
  <conditionalFormatting sqref="J59">
    <cfRule type="cellIs" dxfId="1499" priority="1058" operator="equal">
      <formula>"EM EXECUÇÃO"</formula>
    </cfRule>
    <cfRule type="cellIs" dxfId="1498" priority="1059" operator="equal">
      <formula>"CLSD"</formula>
    </cfRule>
    <cfRule type="cellIs" dxfId="1497" priority="1060" operator="equal">
      <formula>"TECO"</formula>
    </cfRule>
  </conditionalFormatting>
  <conditionalFormatting sqref="J59">
    <cfRule type="cellIs" dxfId="1496" priority="1057" operator="equal">
      <formula>"CANCELADO"</formula>
    </cfRule>
  </conditionalFormatting>
  <conditionalFormatting sqref="J59">
    <cfRule type="cellIs" dxfId="1495" priority="1048" operator="equal">
      <formula>"ENCERRADO"</formula>
    </cfRule>
    <cfRule type="cellIs" dxfId="1494" priority="1049" operator="equal">
      <formula>"EM EXECUÇÃO"</formula>
    </cfRule>
    <cfRule type="cellIs" dxfId="1493" priority="1050" operator="equal">
      <formula>"CANCELADO"</formula>
    </cfRule>
    <cfRule type="cellIs" dxfId="1492" priority="1051" operator="equal">
      <formula>"EM APROVAÇÃO"</formula>
    </cfRule>
    <cfRule type="cellIs" dxfId="1491" priority="1052" operator="equal">
      <formula>"EM ESTUDO"</formula>
    </cfRule>
  </conditionalFormatting>
  <conditionalFormatting sqref="J60">
    <cfRule type="cellIs" dxfId="1490" priority="1045" operator="equal">
      <formula>"EM EXECUÇÃO"</formula>
    </cfRule>
    <cfRule type="cellIs" dxfId="1489" priority="1046" operator="equal">
      <formula>"CLSD"</formula>
    </cfRule>
    <cfRule type="cellIs" dxfId="1488" priority="1047" operator="equal">
      <formula>"TECO"</formula>
    </cfRule>
  </conditionalFormatting>
  <conditionalFormatting sqref="J60">
    <cfRule type="cellIs" dxfId="1487" priority="1044" operator="equal">
      <formula>"CANCELADO"</formula>
    </cfRule>
  </conditionalFormatting>
  <conditionalFormatting sqref="J60">
    <cfRule type="cellIs" dxfId="1486" priority="1035" operator="equal">
      <formula>"ENCERRADO"</formula>
    </cfRule>
    <cfRule type="cellIs" dxfId="1485" priority="1036" operator="equal">
      <formula>"EM EXECUÇÃO"</formula>
    </cfRule>
    <cfRule type="cellIs" dxfId="1484" priority="1037" operator="equal">
      <formula>"CANCELADO"</formula>
    </cfRule>
    <cfRule type="cellIs" dxfId="1483" priority="1038" operator="equal">
      <formula>"EM APROVAÇÃO"</formula>
    </cfRule>
    <cfRule type="cellIs" dxfId="1482" priority="1039" operator="equal">
      <formula>"EM ESTUDO"</formula>
    </cfRule>
  </conditionalFormatting>
  <conditionalFormatting sqref="J65:J67">
    <cfRule type="cellIs" dxfId="1481" priority="1032" operator="equal">
      <formula>"EM EXECUÇÃO"</formula>
    </cfRule>
    <cfRule type="cellIs" dxfId="1480" priority="1033" operator="equal">
      <formula>"CLSD"</formula>
    </cfRule>
    <cfRule type="cellIs" dxfId="1479" priority="1034" operator="equal">
      <formula>"TECO"</formula>
    </cfRule>
  </conditionalFormatting>
  <conditionalFormatting sqref="J65:J67">
    <cfRule type="cellIs" dxfId="1478" priority="1031" operator="equal">
      <formula>"CANCELADO"</formula>
    </cfRule>
  </conditionalFormatting>
  <conditionalFormatting sqref="I65 I67">
    <cfRule type="cellIs" dxfId="1477" priority="1027" operator="equal">
      <formula>"CLSD"</formula>
    </cfRule>
    <cfRule type="cellIs" dxfId="1476" priority="1028" operator="equal">
      <formula>"TECO"</formula>
    </cfRule>
    <cfRule type="cellIs" dxfId="1475" priority="1029" operator="equal">
      <formula>"REL"</formula>
    </cfRule>
    <cfRule type="cellIs" dxfId="1474" priority="1030" operator="equal">
      <formula>"CRTD"</formula>
    </cfRule>
  </conditionalFormatting>
  <conditionalFormatting sqref="J65:J67">
    <cfRule type="cellIs" dxfId="1473" priority="1022" operator="equal">
      <formula>"ENCERRADO"</formula>
    </cfRule>
    <cfRule type="cellIs" dxfId="1472" priority="1023" operator="equal">
      <formula>"EM EXECUÇÃO"</formula>
    </cfRule>
    <cfRule type="cellIs" dxfId="1471" priority="1024" operator="equal">
      <formula>"CANCELADO"</formula>
    </cfRule>
    <cfRule type="cellIs" dxfId="1470" priority="1025" operator="equal">
      <formula>"EM APROVAÇÃO"</formula>
    </cfRule>
    <cfRule type="cellIs" dxfId="1469" priority="1026" operator="equal">
      <formula>"EM ESTUDO"</formula>
    </cfRule>
  </conditionalFormatting>
  <conditionalFormatting sqref="J138">
    <cfRule type="cellIs" dxfId="1468" priority="1019" operator="equal">
      <formula>"EM EXECUÇÃO"</formula>
    </cfRule>
    <cfRule type="cellIs" dxfId="1467" priority="1020" operator="equal">
      <formula>"CLSD"</formula>
    </cfRule>
    <cfRule type="cellIs" dxfId="1466" priority="1021" operator="equal">
      <formula>"TECO"</formula>
    </cfRule>
  </conditionalFormatting>
  <conditionalFormatting sqref="J138">
    <cfRule type="cellIs" dxfId="1465" priority="1018" operator="equal">
      <formula>"CANCELADO"</formula>
    </cfRule>
  </conditionalFormatting>
  <conditionalFormatting sqref="J138">
    <cfRule type="cellIs" dxfId="1464" priority="1013" operator="equal">
      <formula>"ENCERRADO"</formula>
    </cfRule>
    <cfRule type="cellIs" dxfId="1463" priority="1014" operator="equal">
      <formula>"EM EXECUÇÃO"</formula>
    </cfRule>
    <cfRule type="cellIs" dxfId="1462" priority="1015" operator="equal">
      <formula>"CANCELADO"</formula>
    </cfRule>
    <cfRule type="cellIs" dxfId="1461" priority="1016" operator="equal">
      <formula>"EM APROVAÇÃO"</formula>
    </cfRule>
    <cfRule type="cellIs" dxfId="1460" priority="1017" operator="equal">
      <formula>"EM ESTUDO"</formula>
    </cfRule>
  </conditionalFormatting>
  <conditionalFormatting sqref="I124">
    <cfRule type="cellIs" dxfId="1459" priority="1009" operator="equal">
      <formula>"CLSD"</formula>
    </cfRule>
    <cfRule type="cellIs" dxfId="1458" priority="1010" operator="equal">
      <formula>"TECO"</formula>
    </cfRule>
    <cfRule type="cellIs" dxfId="1457" priority="1011" operator="equal">
      <formula>"REL"</formula>
    </cfRule>
    <cfRule type="cellIs" dxfId="1456" priority="1012" operator="equal">
      <formula>"CRTD"</formula>
    </cfRule>
  </conditionalFormatting>
  <conditionalFormatting sqref="J124">
    <cfRule type="cellIs" dxfId="1455" priority="1006" operator="equal">
      <formula>"EM EXECUÇÃO"</formula>
    </cfRule>
    <cfRule type="cellIs" dxfId="1454" priority="1007" operator="equal">
      <formula>"CLSD"</formula>
    </cfRule>
    <cfRule type="cellIs" dxfId="1453" priority="1008" operator="equal">
      <formula>"TECO"</formula>
    </cfRule>
  </conditionalFormatting>
  <conditionalFormatting sqref="J124">
    <cfRule type="cellIs" dxfId="1452" priority="1005" operator="equal">
      <formula>"CANCELADO"</formula>
    </cfRule>
  </conditionalFormatting>
  <conditionalFormatting sqref="J124">
    <cfRule type="cellIs" dxfId="1451" priority="1000" operator="equal">
      <formula>"ENCERRADO"</formula>
    </cfRule>
    <cfRule type="cellIs" dxfId="1450" priority="1001" operator="equal">
      <formula>"EM EXECUÇÃO"</formula>
    </cfRule>
    <cfRule type="cellIs" dxfId="1449" priority="1002" operator="equal">
      <formula>"CANCELADO"</formula>
    </cfRule>
    <cfRule type="cellIs" dxfId="1448" priority="1003" operator="equal">
      <formula>"EM APROVAÇÃO"</formula>
    </cfRule>
    <cfRule type="cellIs" dxfId="1447" priority="1004" operator="equal">
      <formula>"EM ESTUDO"</formula>
    </cfRule>
  </conditionalFormatting>
  <conditionalFormatting sqref="I161:I163 I168">
    <cfRule type="cellIs" dxfId="1446" priority="996" operator="equal">
      <formula>"CLSD"</formula>
    </cfRule>
    <cfRule type="cellIs" dxfId="1445" priority="997" operator="equal">
      <formula>"TECO"</formula>
    </cfRule>
    <cfRule type="cellIs" dxfId="1444" priority="998" operator="equal">
      <formula>"REL"</formula>
    </cfRule>
    <cfRule type="cellIs" dxfId="1443" priority="999" operator="equal">
      <formula>"CRTD"</formula>
    </cfRule>
  </conditionalFormatting>
  <conditionalFormatting sqref="I14">
    <cfRule type="cellIs" dxfId="1442" priority="949" operator="equal">
      <formula>"CLSD"</formula>
    </cfRule>
    <cfRule type="cellIs" dxfId="1441" priority="950" operator="equal">
      <formula>"TECO"</formula>
    </cfRule>
    <cfRule type="cellIs" dxfId="1440" priority="951" operator="equal">
      <formula>"REL"</formula>
    </cfRule>
    <cfRule type="cellIs" dxfId="1439" priority="952" operator="equal">
      <formula>"CRTD"</formula>
    </cfRule>
  </conditionalFormatting>
  <conditionalFormatting sqref="J14">
    <cfRule type="cellIs" dxfId="1438" priority="946" operator="equal">
      <formula>"EM EXECUÇÃO"</formula>
    </cfRule>
    <cfRule type="cellIs" dxfId="1437" priority="947" operator="equal">
      <formula>"CLSD"</formula>
    </cfRule>
    <cfRule type="cellIs" dxfId="1436" priority="948" operator="equal">
      <formula>"TECO"</formula>
    </cfRule>
  </conditionalFormatting>
  <conditionalFormatting sqref="J14">
    <cfRule type="cellIs" dxfId="1435" priority="945" operator="equal">
      <formula>"CANCELADO"</formula>
    </cfRule>
  </conditionalFormatting>
  <conditionalFormatting sqref="J14">
    <cfRule type="cellIs" dxfId="1434" priority="940" operator="equal">
      <formula>"ENCERRADO"</formula>
    </cfRule>
    <cfRule type="cellIs" dxfId="1433" priority="941" operator="equal">
      <formula>"EM EXECUÇÃO"</formula>
    </cfRule>
    <cfRule type="cellIs" dxfId="1432" priority="942" operator="equal">
      <formula>"CANCELADO"</formula>
    </cfRule>
    <cfRule type="cellIs" dxfId="1431" priority="943" operator="equal">
      <formula>"EM APROVAÇÃO"</formula>
    </cfRule>
    <cfRule type="cellIs" dxfId="1430" priority="944" operator="equal">
      <formula>"EM ESTUDO"</formula>
    </cfRule>
  </conditionalFormatting>
  <conditionalFormatting sqref="J162:J163">
    <cfRule type="cellIs" dxfId="1429" priority="933" operator="equal">
      <formula>"EM EXECUÇÃO"</formula>
    </cfRule>
    <cfRule type="cellIs" dxfId="1428" priority="934" operator="equal">
      <formula>"CLSD"</formula>
    </cfRule>
    <cfRule type="cellIs" dxfId="1427" priority="935" operator="equal">
      <formula>"TECO"</formula>
    </cfRule>
  </conditionalFormatting>
  <conditionalFormatting sqref="J162:J163">
    <cfRule type="cellIs" dxfId="1426" priority="932" operator="equal">
      <formula>"CANCELADO"</formula>
    </cfRule>
  </conditionalFormatting>
  <conditionalFormatting sqref="J162:J163">
    <cfRule type="cellIs" dxfId="1425" priority="927" operator="equal">
      <formula>"ENCERRADO"</formula>
    </cfRule>
    <cfRule type="cellIs" dxfId="1424" priority="928" operator="equal">
      <formula>"EM EXECUÇÃO"</formula>
    </cfRule>
    <cfRule type="cellIs" dxfId="1423" priority="929" operator="equal">
      <formula>"CANCELADO"</formula>
    </cfRule>
    <cfRule type="cellIs" dxfId="1422" priority="930" operator="equal">
      <formula>"EM APROVAÇÃO"</formula>
    </cfRule>
    <cfRule type="cellIs" dxfId="1421" priority="931" operator="equal">
      <formula>"EM ESTUDO"</formula>
    </cfRule>
  </conditionalFormatting>
  <conditionalFormatting sqref="I125">
    <cfRule type="cellIs" dxfId="1420" priority="923" operator="equal">
      <formula>"CLSD"</formula>
    </cfRule>
    <cfRule type="cellIs" dxfId="1419" priority="924" operator="equal">
      <formula>"TECO"</formula>
    </cfRule>
    <cfRule type="cellIs" dxfId="1418" priority="925" operator="equal">
      <formula>"REL"</formula>
    </cfRule>
    <cfRule type="cellIs" dxfId="1417" priority="926" operator="equal">
      <formula>"CRTD"</formula>
    </cfRule>
  </conditionalFormatting>
  <conditionalFormatting sqref="K49">
    <cfRule type="cellIs" dxfId="1416" priority="915" operator="equal">
      <formula>"Behind Schedule"</formula>
    </cfRule>
    <cfRule type="cellIs" dxfId="1415" priority="916" operator="equal">
      <formula>"TBD"</formula>
    </cfRule>
    <cfRule type="cellIs" dxfId="1414" priority="917" operator="equal">
      <formula>"In Progress"</formula>
    </cfRule>
    <cfRule type="cellIs" dxfId="1413" priority="918" operator="equal">
      <formula>"Completed"</formula>
    </cfRule>
  </conditionalFormatting>
  <conditionalFormatting sqref="K54">
    <cfRule type="cellIs" dxfId="1412" priority="911" operator="equal">
      <formula>"Behind Schedule"</formula>
    </cfRule>
    <cfRule type="cellIs" dxfId="1411" priority="912" operator="equal">
      <formula>"TBD"</formula>
    </cfRule>
    <cfRule type="cellIs" dxfId="1410" priority="913" operator="equal">
      <formula>"In Progress"</formula>
    </cfRule>
    <cfRule type="cellIs" dxfId="1409" priority="914" operator="equal">
      <formula>"Completed"</formula>
    </cfRule>
  </conditionalFormatting>
  <conditionalFormatting sqref="K56:K57">
    <cfRule type="cellIs" dxfId="1408" priority="907" operator="equal">
      <formula>"Behind Schedule"</formula>
    </cfRule>
    <cfRule type="cellIs" dxfId="1407" priority="908" operator="equal">
      <formula>"TBD"</formula>
    </cfRule>
    <cfRule type="cellIs" dxfId="1406" priority="909" operator="equal">
      <formula>"In Progress"</formula>
    </cfRule>
    <cfRule type="cellIs" dxfId="1405" priority="910" operator="equal">
      <formula>"Completed"</formula>
    </cfRule>
  </conditionalFormatting>
  <conditionalFormatting sqref="K128:K129">
    <cfRule type="cellIs" dxfId="1404" priority="903" operator="equal">
      <formula>"Behind Schedule"</formula>
    </cfRule>
    <cfRule type="cellIs" dxfId="1403" priority="904" operator="equal">
      <formula>"TBD"</formula>
    </cfRule>
    <cfRule type="cellIs" dxfId="1402" priority="905" operator="equal">
      <formula>"In Progress"</formula>
    </cfRule>
    <cfRule type="cellIs" dxfId="1401" priority="906" operator="equal">
      <formula>"Completed"</formula>
    </cfRule>
  </conditionalFormatting>
  <conditionalFormatting sqref="K143">
    <cfRule type="cellIs" dxfId="1400" priority="895" operator="equal">
      <formula>"Behind Schedule"</formula>
    </cfRule>
    <cfRule type="cellIs" dxfId="1399" priority="896" operator="equal">
      <formula>"TBD"</formula>
    </cfRule>
    <cfRule type="cellIs" dxfId="1398" priority="897" operator="equal">
      <formula>"In Progress"</formula>
    </cfRule>
    <cfRule type="cellIs" dxfId="1397" priority="898" operator="equal">
      <formula>"Completed"</formula>
    </cfRule>
  </conditionalFormatting>
  <conditionalFormatting sqref="I164">
    <cfRule type="cellIs" dxfId="1396" priority="891" operator="equal">
      <formula>"CLSD"</formula>
    </cfRule>
    <cfRule type="cellIs" dxfId="1395" priority="892" operator="equal">
      <formula>"TECO"</formula>
    </cfRule>
    <cfRule type="cellIs" dxfId="1394" priority="893" operator="equal">
      <formula>"REL"</formula>
    </cfRule>
    <cfRule type="cellIs" dxfId="1393" priority="894" operator="equal">
      <formula>"CRTD"</formula>
    </cfRule>
  </conditionalFormatting>
  <conditionalFormatting sqref="I167">
    <cfRule type="cellIs" dxfId="1392" priority="887" operator="equal">
      <formula>"CLSD"</formula>
    </cfRule>
    <cfRule type="cellIs" dxfId="1391" priority="888" operator="equal">
      <formula>"TECO"</formula>
    </cfRule>
    <cfRule type="cellIs" dxfId="1390" priority="889" operator="equal">
      <formula>"REL"</formula>
    </cfRule>
    <cfRule type="cellIs" dxfId="1389" priority="890" operator="equal">
      <formula>"CRTD"</formula>
    </cfRule>
  </conditionalFormatting>
  <conditionalFormatting sqref="I166">
    <cfRule type="cellIs" dxfId="1388" priority="883" operator="equal">
      <formula>"CLSD"</formula>
    </cfRule>
    <cfRule type="cellIs" dxfId="1387" priority="884" operator="equal">
      <formula>"TECO"</formula>
    </cfRule>
    <cfRule type="cellIs" dxfId="1386" priority="885" operator="equal">
      <formula>"REL"</formula>
    </cfRule>
    <cfRule type="cellIs" dxfId="1385" priority="886" operator="equal">
      <formula>"CRTD"</formula>
    </cfRule>
  </conditionalFormatting>
  <conditionalFormatting sqref="I165">
    <cfRule type="cellIs" dxfId="1384" priority="879" operator="equal">
      <formula>"CLSD"</formula>
    </cfRule>
    <cfRule type="cellIs" dxfId="1383" priority="880" operator="equal">
      <formula>"TECO"</formula>
    </cfRule>
    <cfRule type="cellIs" dxfId="1382" priority="881" operator="equal">
      <formula>"REL"</formula>
    </cfRule>
    <cfRule type="cellIs" dxfId="1381" priority="882" operator="equal">
      <formula>"CRTD"</formula>
    </cfRule>
  </conditionalFormatting>
  <conditionalFormatting sqref="J164:J167">
    <cfRule type="cellIs" dxfId="1380" priority="876" operator="equal">
      <formula>"EM EXECUÇÃO"</formula>
    </cfRule>
    <cfRule type="cellIs" dxfId="1379" priority="877" operator="equal">
      <formula>"CLSD"</formula>
    </cfRule>
    <cfRule type="cellIs" dxfId="1378" priority="878" operator="equal">
      <formula>"TECO"</formula>
    </cfRule>
  </conditionalFormatting>
  <conditionalFormatting sqref="J164:J167">
    <cfRule type="cellIs" dxfId="1377" priority="875" operator="equal">
      <formula>"CANCELADO"</formula>
    </cfRule>
  </conditionalFormatting>
  <conditionalFormatting sqref="J164:J167">
    <cfRule type="cellIs" dxfId="1376" priority="870" operator="equal">
      <formula>"ENCERRADO"</formula>
    </cfRule>
    <cfRule type="cellIs" dxfId="1375" priority="871" operator="equal">
      <formula>"EM EXECUÇÃO"</formula>
    </cfRule>
    <cfRule type="cellIs" dxfId="1374" priority="872" operator="equal">
      <formula>"CANCELADO"</formula>
    </cfRule>
    <cfRule type="cellIs" dxfId="1373" priority="873" operator="equal">
      <formula>"EM APROVAÇÃO"</formula>
    </cfRule>
    <cfRule type="cellIs" dxfId="1372" priority="874" operator="equal">
      <formula>"EM ESTUDO"</formula>
    </cfRule>
  </conditionalFormatting>
  <conditionalFormatting sqref="J81:J99">
    <cfRule type="cellIs" dxfId="1371" priority="867" operator="equal">
      <formula>"EM EXECUÇÃO"</formula>
    </cfRule>
    <cfRule type="cellIs" dxfId="1370" priority="868" operator="equal">
      <formula>"CLSD"</formula>
    </cfRule>
    <cfRule type="cellIs" dxfId="1369" priority="869" operator="equal">
      <formula>"TECO"</formula>
    </cfRule>
  </conditionalFormatting>
  <conditionalFormatting sqref="J81:J99">
    <cfRule type="cellIs" dxfId="1368" priority="866" operator="equal">
      <formula>"CANCELADO"</formula>
    </cfRule>
  </conditionalFormatting>
  <conditionalFormatting sqref="J81:J99">
    <cfRule type="cellIs" dxfId="1367" priority="861" operator="equal">
      <formula>"ENCERRADO"</formula>
    </cfRule>
    <cfRule type="cellIs" dxfId="1366" priority="862" operator="equal">
      <formula>"EM EXECUÇÃO"</formula>
    </cfRule>
    <cfRule type="cellIs" dxfId="1365" priority="863" operator="equal">
      <formula>"CANCELADO"</formula>
    </cfRule>
    <cfRule type="cellIs" dxfId="1364" priority="864" operator="equal">
      <formula>"EM APROVAÇÃO"</formula>
    </cfRule>
    <cfRule type="cellIs" dxfId="1363" priority="865" operator="equal">
      <formula>"EM ESTUDO"</formula>
    </cfRule>
  </conditionalFormatting>
  <conditionalFormatting sqref="I46">
    <cfRule type="cellIs" dxfId="1362" priority="848" operator="equal">
      <formula>"CLSD"</formula>
    </cfRule>
    <cfRule type="cellIs" dxfId="1361" priority="849" operator="equal">
      <formula>"TECO"</formula>
    </cfRule>
    <cfRule type="cellIs" dxfId="1360" priority="850" operator="equal">
      <formula>"REL"</formula>
    </cfRule>
    <cfRule type="cellIs" dxfId="1359" priority="851" operator="equal">
      <formula>"CRTD"</formula>
    </cfRule>
  </conditionalFormatting>
  <conditionalFormatting sqref="K169:K172 K179:K200 K174:K177">
    <cfRule type="cellIs" dxfId="1358" priority="818" operator="equal">
      <formula>"Behind Schedule"</formula>
    </cfRule>
    <cfRule type="cellIs" dxfId="1357" priority="819" operator="equal">
      <formula>"TBD"</formula>
    </cfRule>
    <cfRule type="cellIs" dxfId="1356" priority="820" operator="equal">
      <formula>"In Progress"</formula>
    </cfRule>
    <cfRule type="cellIs" dxfId="1355" priority="821" operator="equal">
      <formula>"Completed"</formula>
    </cfRule>
  </conditionalFormatting>
  <conditionalFormatting sqref="I169:I174">
    <cfRule type="cellIs" dxfId="1354" priority="814" operator="equal">
      <formula>"CLSD"</formula>
    </cfRule>
    <cfRule type="cellIs" dxfId="1353" priority="815" operator="equal">
      <formula>"TECO"</formula>
    </cfRule>
    <cfRule type="cellIs" dxfId="1352" priority="816" operator="equal">
      <formula>"REL"</formula>
    </cfRule>
    <cfRule type="cellIs" dxfId="1351" priority="817" operator="equal">
      <formula>"CRTD"</formula>
    </cfRule>
  </conditionalFormatting>
  <conditionalFormatting sqref="J169:J174">
    <cfRule type="cellIs" dxfId="1350" priority="809" operator="equal">
      <formula>"ENCERRADO"</formula>
    </cfRule>
    <cfRule type="cellIs" dxfId="1349" priority="810" operator="equal">
      <formula>"EM EXECUÇÃO"</formula>
    </cfRule>
    <cfRule type="cellIs" dxfId="1348" priority="811" operator="equal">
      <formula>"CANCELADO"</formula>
    </cfRule>
    <cfRule type="cellIs" dxfId="1347" priority="812" operator="equal">
      <formula>"EM APROVAÇÃO"</formula>
    </cfRule>
    <cfRule type="cellIs" dxfId="1346" priority="813" operator="equal">
      <formula>"EM ESTUDO"</formula>
    </cfRule>
  </conditionalFormatting>
  <conditionalFormatting sqref="I200">
    <cfRule type="cellIs" dxfId="1345" priority="801" operator="equal">
      <formula>"CLSD"</formula>
    </cfRule>
    <cfRule type="cellIs" dxfId="1344" priority="802" operator="equal">
      <formula>"TECO"</formula>
    </cfRule>
    <cfRule type="cellIs" dxfId="1343" priority="803" operator="equal">
      <formula>"REL"</formula>
    </cfRule>
    <cfRule type="cellIs" dxfId="1342" priority="804" operator="equal">
      <formula>"CRTD"</formula>
    </cfRule>
  </conditionalFormatting>
  <conditionalFormatting sqref="J200">
    <cfRule type="cellIs" dxfId="1341" priority="787" operator="equal">
      <formula>"ENCERRADO"</formula>
    </cfRule>
    <cfRule type="cellIs" dxfId="1340" priority="788" operator="equal">
      <formula>"EM EXECUÇÃO"</formula>
    </cfRule>
    <cfRule type="cellIs" dxfId="1339" priority="789" operator="equal">
      <formula>"CANCELADO"</formula>
    </cfRule>
    <cfRule type="cellIs" dxfId="1338" priority="790" operator="equal">
      <formula>"EM APROVAÇÃO"</formula>
    </cfRule>
    <cfRule type="cellIs" dxfId="1337" priority="791" operator="equal">
      <formula>"EM ESTUDO"</formula>
    </cfRule>
  </conditionalFormatting>
  <conditionalFormatting sqref="J104">
    <cfRule type="cellIs" dxfId="1336" priority="784" operator="equal">
      <formula>"EM EXECUÇÃO"</formula>
    </cfRule>
    <cfRule type="cellIs" dxfId="1335" priority="785" operator="equal">
      <formula>"CLSD"</formula>
    </cfRule>
    <cfRule type="cellIs" dxfId="1334" priority="786" operator="equal">
      <formula>"TECO"</formula>
    </cfRule>
  </conditionalFormatting>
  <conditionalFormatting sqref="J104">
    <cfRule type="cellIs" dxfId="1333" priority="783" operator="equal">
      <formula>"CANCELADO"</formula>
    </cfRule>
  </conditionalFormatting>
  <conditionalFormatting sqref="J104">
    <cfRule type="cellIs" dxfId="1332" priority="778" operator="equal">
      <formula>"ENCERRADO"</formula>
    </cfRule>
    <cfRule type="cellIs" dxfId="1331" priority="779" operator="equal">
      <formula>"EM EXECUÇÃO"</formula>
    </cfRule>
    <cfRule type="cellIs" dxfId="1330" priority="780" operator="equal">
      <formula>"CANCELADO"</formula>
    </cfRule>
    <cfRule type="cellIs" dxfId="1329" priority="781" operator="equal">
      <formula>"EM APROVAÇÃO"</formula>
    </cfRule>
    <cfRule type="cellIs" dxfId="1328" priority="782" operator="equal">
      <formula>"EM ESTUDO"</formula>
    </cfRule>
  </conditionalFormatting>
  <conditionalFormatting sqref="J106">
    <cfRule type="cellIs" dxfId="1327" priority="775" operator="equal">
      <formula>"EM EXECUÇÃO"</formula>
    </cfRule>
    <cfRule type="cellIs" dxfId="1326" priority="776" operator="equal">
      <formula>"CLSD"</formula>
    </cfRule>
    <cfRule type="cellIs" dxfId="1325" priority="777" operator="equal">
      <formula>"TECO"</formula>
    </cfRule>
  </conditionalFormatting>
  <conditionalFormatting sqref="J106">
    <cfRule type="cellIs" dxfId="1324" priority="774" operator="equal">
      <formula>"CANCELADO"</formula>
    </cfRule>
  </conditionalFormatting>
  <conditionalFormatting sqref="J106">
    <cfRule type="cellIs" dxfId="1323" priority="769" operator="equal">
      <formula>"ENCERRADO"</formula>
    </cfRule>
    <cfRule type="cellIs" dxfId="1322" priority="770" operator="equal">
      <formula>"EM EXECUÇÃO"</formula>
    </cfRule>
    <cfRule type="cellIs" dxfId="1321" priority="771" operator="equal">
      <formula>"CANCELADO"</formula>
    </cfRule>
    <cfRule type="cellIs" dxfId="1320" priority="772" operator="equal">
      <formula>"EM APROVAÇÃO"</formula>
    </cfRule>
    <cfRule type="cellIs" dxfId="1319" priority="773" operator="equal">
      <formula>"EM ESTUDO"</formula>
    </cfRule>
  </conditionalFormatting>
  <conditionalFormatting sqref="J107">
    <cfRule type="cellIs" dxfId="1318" priority="766" operator="equal">
      <formula>"EM EXECUÇÃO"</formula>
    </cfRule>
    <cfRule type="cellIs" dxfId="1317" priority="767" operator="equal">
      <formula>"CLSD"</formula>
    </cfRule>
    <cfRule type="cellIs" dxfId="1316" priority="768" operator="equal">
      <formula>"TECO"</formula>
    </cfRule>
  </conditionalFormatting>
  <conditionalFormatting sqref="J107">
    <cfRule type="cellIs" dxfId="1315" priority="765" operator="equal">
      <formula>"CANCELADO"</formula>
    </cfRule>
  </conditionalFormatting>
  <conditionalFormatting sqref="J107">
    <cfRule type="cellIs" dxfId="1314" priority="760" operator="equal">
      <formula>"ENCERRADO"</formula>
    </cfRule>
    <cfRule type="cellIs" dxfId="1313" priority="761" operator="equal">
      <formula>"EM EXECUÇÃO"</formula>
    </cfRule>
    <cfRule type="cellIs" dxfId="1312" priority="762" operator="equal">
      <formula>"CANCELADO"</formula>
    </cfRule>
    <cfRule type="cellIs" dxfId="1311" priority="763" operator="equal">
      <formula>"EM APROVAÇÃO"</formula>
    </cfRule>
    <cfRule type="cellIs" dxfId="1310" priority="764" operator="equal">
      <formula>"EM ESTUDO"</formula>
    </cfRule>
  </conditionalFormatting>
  <conditionalFormatting sqref="J110">
    <cfRule type="cellIs" dxfId="1309" priority="748" operator="equal">
      <formula>"EM EXECUÇÃO"</formula>
    </cfRule>
    <cfRule type="cellIs" dxfId="1308" priority="749" operator="equal">
      <formula>"CLSD"</formula>
    </cfRule>
    <cfRule type="cellIs" dxfId="1307" priority="750" operator="equal">
      <formula>"TECO"</formula>
    </cfRule>
  </conditionalFormatting>
  <conditionalFormatting sqref="J110">
    <cfRule type="cellIs" dxfId="1306" priority="747" operator="equal">
      <formula>"CANCELADO"</formula>
    </cfRule>
  </conditionalFormatting>
  <conditionalFormatting sqref="J110">
    <cfRule type="cellIs" dxfId="1305" priority="742" operator="equal">
      <formula>"ENCERRADO"</formula>
    </cfRule>
    <cfRule type="cellIs" dxfId="1304" priority="743" operator="equal">
      <formula>"EM EXECUÇÃO"</formula>
    </cfRule>
    <cfRule type="cellIs" dxfId="1303" priority="744" operator="equal">
      <formula>"CANCELADO"</formula>
    </cfRule>
    <cfRule type="cellIs" dxfId="1302" priority="745" operator="equal">
      <formula>"EM APROVAÇÃO"</formula>
    </cfRule>
    <cfRule type="cellIs" dxfId="1301" priority="746" operator="equal">
      <formula>"EM ESTUDO"</formula>
    </cfRule>
  </conditionalFormatting>
  <conditionalFormatting sqref="J111">
    <cfRule type="cellIs" dxfId="1300" priority="739" operator="equal">
      <formula>"EM EXECUÇÃO"</formula>
    </cfRule>
    <cfRule type="cellIs" dxfId="1299" priority="740" operator="equal">
      <formula>"CLSD"</formula>
    </cfRule>
    <cfRule type="cellIs" dxfId="1298" priority="741" operator="equal">
      <formula>"TECO"</formula>
    </cfRule>
  </conditionalFormatting>
  <conditionalFormatting sqref="J111">
    <cfRule type="cellIs" dxfId="1297" priority="738" operator="equal">
      <formula>"CANCELADO"</formula>
    </cfRule>
  </conditionalFormatting>
  <conditionalFormatting sqref="J111">
    <cfRule type="cellIs" dxfId="1296" priority="733" operator="equal">
      <formula>"ENCERRADO"</formula>
    </cfRule>
    <cfRule type="cellIs" dxfId="1295" priority="734" operator="equal">
      <formula>"EM EXECUÇÃO"</formula>
    </cfRule>
    <cfRule type="cellIs" dxfId="1294" priority="735" operator="equal">
      <formula>"CANCELADO"</formula>
    </cfRule>
    <cfRule type="cellIs" dxfId="1293" priority="736" operator="equal">
      <formula>"EM APROVAÇÃO"</formula>
    </cfRule>
    <cfRule type="cellIs" dxfId="1292" priority="737" operator="equal">
      <formula>"EM ESTUDO"</formula>
    </cfRule>
  </conditionalFormatting>
  <conditionalFormatting sqref="J112">
    <cfRule type="cellIs" dxfId="1291" priority="730" operator="equal">
      <formula>"EM EXECUÇÃO"</formula>
    </cfRule>
    <cfRule type="cellIs" dxfId="1290" priority="731" operator="equal">
      <formula>"CLSD"</formula>
    </cfRule>
    <cfRule type="cellIs" dxfId="1289" priority="732" operator="equal">
      <formula>"TECO"</formula>
    </cfRule>
  </conditionalFormatting>
  <conditionalFormatting sqref="J112">
    <cfRule type="cellIs" dxfId="1288" priority="729" operator="equal">
      <formula>"CANCELADO"</formula>
    </cfRule>
  </conditionalFormatting>
  <conditionalFormatting sqref="J112">
    <cfRule type="cellIs" dxfId="1287" priority="724" operator="equal">
      <formula>"ENCERRADO"</formula>
    </cfRule>
    <cfRule type="cellIs" dxfId="1286" priority="725" operator="equal">
      <formula>"EM EXECUÇÃO"</formula>
    </cfRule>
    <cfRule type="cellIs" dxfId="1285" priority="726" operator="equal">
      <formula>"CANCELADO"</formula>
    </cfRule>
    <cfRule type="cellIs" dxfId="1284" priority="727" operator="equal">
      <formula>"EM APROVAÇÃO"</formula>
    </cfRule>
    <cfRule type="cellIs" dxfId="1283" priority="728" operator="equal">
      <formula>"EM ESTUDO"</formula>
    </cfRule>
  </conditionalFormatting>
  <conditionalFormatting sqref="J114">
    <cfRule type="cellIs" dxfId="1282" priority="721" operator="equal">
      <formula>"EM EXECUÇÃO"</formula>
    </cfRule>
    <cfRule type="cellIs" dxfId="1281" priority="722" operator="equal">
      <formula>"CLSD"</formula>
    </cfRule>
    <cfRule type="cellIs" dxfId="1280" priority="723" operator="equal">
      <formula>"TECO"</formula>
    </cfRule>
  </conditionalFormatting>
  <conditionalFormatting sqref="J114">
    <cfRule type="cellIs" dxfId="1279" priority="720" operator="equal">
      <formula>"CANCELADO"</formula>
    </cfRule>
  </conditionalFormatting>
  <conditionalFormatting sqref="J114">
    <cfRule type="cellIs" dxfId="1278" priority="715" operator="equal">
      <formula>"ENCERRADO"</formula>
    </cfRule>
    <cfRule type="cellIs" dxfId="1277" priority="716" operator="equal">
      <formula>"EM EXECUÇÃO"</formula>
    </cfRule>
    <cfRule type="cellIs" dxfId="1276" priority="717" operator="equal">
      <formula>"CANCELADO"</formula>
    </cfRule>
    <cfRule type="cellIs" dxfId="1275" priority="718" operator="equal">
      <formula>"EM APROVAÇÃO"</formula>
    </cfRule>
    <cfRule type="cellIs" dxfId="1274" priority="719" operator="equal">
      <formula>"EM ESTUDO"</formula>
    </cfRule>
  </conditionalFormatting>
  <conditionalFormatting sqref="J115">
    <cfRule type="cellIs" dxfId="1273" priority="712" operator="equal">
      <formula>"EM EXECUÇÃO"</formula>
    </cfRule>
    <cfRule type="cellIs" dxfId="1272" priority="713" operator="equal">
      <formula>"CLSD"</formula>
    </cfRule>
    <cfRule type="cellIs" dxfId="1271" priority="714" operator="equal">
      <formula>"TECO"</formula>
    </cfRule>
  </conditionalFormatting>
  <conditionalFormatting sqref="J115">
    <cfRule type="cellIs" dxfId="1270" priority="711" operator="equal">
      <formula>"CANCELADO"</formula>
    </cfRule>
  </conditionalFormatting>
  <conditionalFormatting sqref="J115">
    <cfRule type="cellIs" dxfId="1269" priority="706" operator="equal">
      <formula>"ENCERRADO"</formula>
    </cfRule>
    <cfRule type="cellIs" dxfId="1268" priority="707" operator="equal">
      <formula>"EM EXECUÇÃO"</formula>
    </cfRule>
    <cfRule type="cellIs" dxfId="1267" priority="708" operator="equal">
      <formula>"CANCELADO"</formula>
    </cfRule>
    <cfRule type="cellIs" dxfId="1266" priority="709" operator="equal">
      <formula>"EM APROVAÇÃO"</formula>
    </cfRule>
    <cfRule type="cellIs" dxfId="1265" priority="710" operator="equal">
      <formula>"EM ESTUDO"</formula>
    </cfRule>
  </conditionalFormatting>
  <conditionalFormatting sqref="J116">
    <cfRule type="cellIs" dxfId="1264" priority="703" operator="equal">
      <formula>"EM EXECUÇÃO"</formula>
    </cfRule>
    <cfRule type="cellIs" dxfId="1263" priority="704" operator="equal">
      <formula>"CLSD"</formula>
    </cfRule>
    <cfRule type="cellIs" dxfId="1262" priority="705" operator="equal">
      <formula>"TECO"</formula>
    </cfRule>
  </conditionalFormatting>
  <conditionalFormatting sqref="J116">
    <cfRule type="cellIs" dxfId="1261" priority="702" operator="equal">
      <formula>"CANCELADO"</formula>
    </cfRule>
  </conditionalFormatting>
  <conditionalFormatting sqref="J116">
    <cfRule type="cellIs" dxfId="1260" priority="697" operator="equal">
      <formula>"ENCERRADO"</formula>
    </cfRule>
    <cfRule type="cellIs" dxfId="1259" priority="698" operator="equal">
      <formula>"EM EXECUÇÃO"</formula>
    </cfRule>
    <cfRule type="cellIs" dxfId="1258" priority="699" operator="equal">
      <formula>"CANCELADO"</formula>
    </cfRule>
    <cfRule type="cellIs" dxfId="1257" priority="700" operator="equal">
      <formula>"EM APROVAÇÃO"</formula>
    </cfRule>
    <cfRule type="cellIs" dxfId="1256" priority="701" operator="equal">
      <formula>"EM ESTUDO"</formula>
    </cfRule>
  </conditionalFormatting>
  <conditionalFormatting sqref="J118">
    <cfRule type="cellIs" dxfId="1255" priority="685" operator="equal">
      <formula>"EM EXECUÇÃO"</formula>
    </cfRule>
    <cfRule type="cellIs" dxfId="1254" priority="686" operator="equal">
      <formula>"CLSD"</formula>
    </cfRule>
    <cfRule type="cellIs" dxfId="1253" priority="687" operator="equal">
      <formula>"TECO"</formula>
    </cfRule>
  </conditionalFormatting>
  <conditionalFormatting sqref="J118">
    <cfRule type="cellIs" dxfId="1252" priority="684" operator="equal">
      <formula>"CANCELADO"</formula>
    </cfRule>
  </conditionalFormatting>
  <conditionalFormatting sqref="J118">
    <cfRule type="cellIs" dxfId="1251" priority="679" operator="equal">
      <formula>"ENCERRADO"</formula>
    </cfRule>
    <cfRule type="cellIs" dxfId="1250" priority="680" operator="equal">
      <formula>"EM EXECUÇÃO"</formula>
    </cfRule>
    <cfRule type="cellIs" dxfId="1249" priority="681" operator="equal">
      <formula>"CANCELADO"</formula>
    </cfRule>
    <cfRule type="cellIs" dxfId="1248" priority="682" operator="equal">
      <formula>"EM APROVAÇÃO"</formula>
    </cfRule>
    <cfRule type="cellIs" dxfId="1247" priority="683" operator="equal">
      <formula>"EM ESTUDO"</formula>
    </cfRule>
  </conditionalFormatting>
  <conditionalFormatting sqref="J119">
    <cfRule type="cellIs" dxfId="1246" priority="676" operator="equal">
      <formula>"EM EXECUÇÃO"</formula>
    </cfRule>
    <cfRule type="cellIs" dxfId="1245" priority="677" operator="equal">
      <formula>"CLSD"</formula>
    </cfRule>
    <cfRule type="cellIs" dxfId="1244" priority="678" operator="equal">
      <formula>"TECO"</formula>
    </cfRule>
  </conditionalFormatting>
  <conditionalFormatting sqref="J119">
    <cfRule type="cellIs" dxfId="1243" priority="675" operator="equal">
      <formula>"CANCELADO"</formula>
    </cfRule>
  </conditionalFormatting>
  <conditionalFormatting sqref="J119">
    <cfRule type="cellIs" dxfId="1242" priority="670" operator="equal">
      <formula>"ENCERRADO"</formula>
    </cfRule>
    <cfRule type="cellIs" dxfId="1241" priority="671" operator="equal">
      <formula>"EM EXECUÇÃO"</formula>
    </cfRule>
    <cfRule type="cellIs" dxfId="1240" priority="672" operator="equal">
      <formula>"CANCELADO"</formula>
    </cfRule>
    <cfRule type="cellIs" dxfId="1239" priority="673" operator="equal">
      <formula>"EM APROVAÇÃO"</formula>
    </cfRule>
    <cfRule type="cellIs" dxfId="1238" priority="674" operator="equal">
      <formula>"EM ESTUDO"</formula>
    </cfRule>
  </conditionalFormatting>
  <conditionalFormatting sqref="J122">
    <cfRule type="cellIs" dxfId="1237" priority="667" operator="equal">
      <formula>"EM EXECUÇÃO"</formula>
    </cfRule>
    <cfRule type="cellIs" dxfId="1236" priority="668" operator="equal">
      <formula>"CLSD"</formula>
    </cfRule>
    <cfRule type="cellIs" dxfId="1235" priority="669" operator="equal">
      <formula>"TECO"</formula>
    </cfRule>
  </conditionalFormatting>
  <conditionalFormatting sqref="J122">
    <cfRule type="cellIs" dxfId="1234" priority="666" operator="equal">
      <formula>"CANCELADO"</formula>
    </cfRule>
  </conditionalFormatting>
  <conditionalFormatting sqref="J122">
    <cfRule type="cellIs" dxfId="1233" priority="661" operator="equal">
      <formula>"ENCERRADO"</formula>
    </cfRule>
    <cfRule type="cellIs" dxfId="1232" priority="662" operator="equal">
      <formula>"EM EXECUÇÃO"</formula>
    </cfRule>
    <cfRule type="cellIs" dxfId="1231" priority="663" operator="equal">
      <formula>"CANCELADO"</formula>
    </cfRule>
    <cfRule type="cellIs" dxfId="1230" priority="664" operator="equal">
      <formula>"EM APROVAÇÃO"</formula>
    </cfRule>
    <cfRule type="cellIs" dxfId="1229" priority="665" operator="equal">
      <formula>"EM ESTUDO"</formula>
    </cfRule>
  </conditionalFormatting>
  <conditionalFormatting sqref="J123">
    <cfRule type="cellIs" dxfId="1228" priority="658" operator="equal">
      <formula>"EM EXECUÇÃO"</formula>
    </cfRule>
    <cfRule type="cellIs" dxfId="1227" priority="659" operator="equal">
      <formula>"CLSD"</formula>
    </cfRule>
    <cfRule type="cellIs" dxfId="1226" priority="660" operator="equal">
      <formula>"TECO"</formula>
    </cfRule>
  </conditionalFormatting>
  <conditionalFormatting sqref="J123">
    <cfRule type="cellIs" dxfId="1225" priority="657" operator="equal">
      <formula>"CANCELADO"</formula>
    </cfRule>
  </conditionalFormatting>
  <conditionalFormatting sqref="J123">
    <cfRule type="cellIs" dxfId="1224" priority="652" operator="equal">
      <formula>"ENCERRADO"</formula>
    </cfRule>
    <cfRule type="cellIs" dxfId="1223" priority="653" operator="equal">
      <formula>"EM EXECUÇÃO"</formula>
    </cfRule>
    <cfRule type="cellIs" dxfId="1222" priority="654" operator="equal">
      <formula>"CANCELADO"</formula>
    </cfRule>
    <cfRule type="cellIs" dxfId="1221" priority="655" operator="equal">
      <formula>"EM APROVAÇÃO"</formula>
    </cfRule>
    <cfRule type="cellIs" dxfId="1220" priority="656" operator="equal">
      <formula>"EM ESTUDO"</formula>
    </cfRule>
  </conditionalFormatting>
  <conditionalFormatting sqref="J126">
    <cfRule type="cellIs" dxfId="1219" priority="640" operator="equal">
      <formula>"EM EXECUÇÃO"</formula>
    </cfRule>
    <cfRule type="cellIs" dxfId="1218" priority="641" operator="equal">
      <formula>"CLSD"</formula>
    </cfRule>
    <cfRule type="cellIs" dxfId="1217" priority="642" operator="equal">
      <formula>"TECO"</formula>
    </cfRule>
  </conditionalFormatting>
  <conditionalFormatting sqref="J126">
    <cfRule type="cellIs" dxfId="1216" priority="639" operator="equal">
      <formula>"CANCELADO"</formula>
    </cfRule>
  </conditionalFormatting>
  <conditionalFormatting sqref="J126">
    <cfRule type="cellIs" dxfId="1215" priority="634" operator="equal">
      <formula>"ENCERRADO"</formula>
    </cfRule>
    <cfRule type="cellIs" dxfId="1214" priority="635" operator="equal">
      <formula>"EM EXECUÇÃO"</formula>
    </cfRule>
    <cfRule type="cellIs" dxfId="1213" priority="636" operator="equal">
      <formula>"CANCELADO"</formula>
    </cfRule>
    <cfRule type="cellIs" dxfId="1212" priority="637" operator="equal">
      <formula>"EM APROVAÇÃO"</formula>
    </cfRule>
    <cfRule type="cellIs" dxfId="1211" priority="638" operator="equal">
      <formula>"EM ESTUDO"</formula>
    </cfRule>
  </conditionalFormatting>
  <conditionalFormatting sqref="J143">
    <cfRule type="cellIs" dxfId="1210" priority="631" operator="equal">
      <formula>"EM EXECUÇÃO"</formula>
    </cfRule>
    <cfRule type="cellIs" dxfId="1209" priority="632" operator="equal">
      <formula>"CLSD"</formula>
    </cfRule>
    <cfRule type="cellIs" dxfId="1208" priority="633" operator="equal">
      <formula>"TECO"</formula>
    </cfRule>
  </conditionalFormatting>
  <conditionalFormatting sqref="J143">
    <cfRule type="cellIs" dxfId="1207" priority="630" operator="equal">
      <formula>"CANCELADO"</formula>
    </cfRule>
  </conditionalFormatting>
  <conditionalFormatting sqref="J143">
    <cfRule type="cellIs" dxfId="1206" priority="625" operator="equal">
      <formula>"ENCERRADO"</formula>
    </cfRule>
    <cfRule type="cellIs" dxfId="1205" priority="626" operator="equal">
      <formula>"EM EXECUÇÃO"</formula>
    </cfRule>
    <cfRule type="cellIs" dxfId="1204" priority="627" operator="equal">
      <formula>"CANCELADO"</formula>
    </cfRule>
    <cfRule type="cellIs" dxfId="1203" priority="628" operator="equal">
      <formula>"EM APROVAÇÃO"</formula>
    </cfRule>
    <cfRule type="cellIs" dxfId="1202" priority="629" operator="equal">
      <formula>"EM ESTUDO"</formula>
    </cfRule>
  </conditionalFormatting>
  <conditionalFormatting sqref="J147">
    <cfRule type="cellIs" dxfId="1201" priority="613" operator="equal">
      <formula>"EM EXECUÇÃO"</formula>
    </cfRule>
    <cfRule type="cellIs" dxfId="1200" priority="614" operator="equal">
      <formula>"CLSD"</formula>
    </cfRule>
    <cfRule type="cellIs" dxfId="1199" priority="615" operator="equal">
      <formula>"TECO"</formula>
    </cfRule>
  </conditionalFormatting>
  <conditionalFormatting sqref="J147">
    <cfRule type="cellIs" dxfId="1198" priority="612" operator="equal">
      <formula>"CANCELADO"</formula>
    </cfRule>
  </conditionalFormatting>
  <conditionalFormatting sqref="J147">
    <cfRule type="cellIs" dxfId="1197" priority="607" operator="equal">
      <formula>"ENCERRADO"</formula>
    </cfRule>
    <cfRule type="cellIs" dxfId="1196" priority="608" operator="equal">
      <formula>"EM EXECUÇÃO"</formula>
    </cfRule>
    <cfRule type="cellIs" dxfId="1195" priority="609" operator="equal">
      <formula>"CANCELADO"</formula>
    </cfRule>
    <cfRule type="cellIs" dxfId="1194" priority="610" operator="equal">
      <formula>"EM APROVAÇÃO"</formula>
    </cfRule>
    <cfRule type="cellIs" dxfId="1193" priority="611" operator="equal">
      <formula>"EM ESTUDO"</formula>
    </cfRule>
  </conditionalFormatting>
  <conditionalFormatting sqref="J150">
    <cfRule type="cellIs" dxfId="1192" priority="604" operator="equal">
      <formula>"EM EXECUÇÃO"</formula>
    </cfRule>
    <cfRule type="cellIs" dxfId="1191" priority="605" operator="equal">
      <formula>"CLSD"</formula>
    </cfRule>
    <cfRule type="cellIs" dxfId="1190" priority="606" operator="equal">
      <formula>"TECO"</formula>
    </cfRule>
  </conditionalFormatting>
  <conditionalFormatting sqref="J150">
    <cfRule type="cellIs" dxfId="1189" priority="603" operator="equal">
      <formula>"CANCELADO"</formula>
    </cfRule>
  </conditionalFormatting>
  <conditionalFormatting sqref="J150">
    <cfRule type="cellIs" dxfId="1188" priority="598" operator="equal">
      <formula>"ENCERRADO"</formula>
    </cfRule>
    <cfRule type="cellIs" dxfId="1187" priority="599" operator="equal">
      <formula>"EM EXECUÇÃO"</formula>
    </cfRule>
    <cfRule type="cellIs" dxfId="1186" priority="600" operator="equal">
      <formula>"CANCELADO"</formula>
    </cfRule>
    <cfRule type="cellIs" dxfId="1185" priority="601" operator="equal">
      <formula>"EM APROVAÇÃO"</formula>
    </cfRule>
    <cfRule type="cellIs" dxfId="1184" priority="602" operator="equal">
      <formula>"EM ESTUDO"</formula>
    </cfRule>
  </conditionalFormatting>
  <conditionalFormatting sqref="J161">
    <cfRule type="cellIs" dxfId="1183" priority="577" operator="equal">
      <formula>"EM EXECUÇÃO"</formula>
    </cfRule>
    <cfRule type="cellIs" dxfId="1182" priority="578" operator="equal">
      <formula>"CLSD"</formula>
    </cfRule>
    <cfRule type="cellIs" dxfId="1181" priority="579" operator="equal">
      <formula>"TECO"</formula>
    </cfRule>
  </conditionalFormatting>
  <conditionalFormatting sqref="J161">
    <cfRule type="cellIs" dxfId="1180" priority="576" operator="equal">
      <formula>"CANCELADO"</formula>
    </cfRule>
  </conditionalFormatting>
  <conditionalFormatting sqref="J161">
    <cfRule type="cellIs" dxfId="1179" priority="571" operator="equal">
      <formula>"ENCERRADO"</formula>
    </cfRule>
    <cfRule type="cellIs" dxfId="1178" priority="572" operator="equal">
      <formula>"EM EXECUÇÃO"</formula>
    </cfRule>
    <cfRule type="cellIs" dxfId="1177" priority="573" operator="equal">
      <formula>"CANCELADO"</formula>
    </cfRule>
    <cfRule type="cellIs" dxfId="1176" priority="574" operator="equal">
      <formula>"EM APROVAÇÃO"</formula>
    </cfRule>
    <cfRule type="cellIs" dxfId="1175" priority="575" operator="equal">
      <formula>"EM ESTUDO"</formula>
    </cfRule>
  </conditionalFormatting>
  <conditionalFormatting sqref="J168">
    <cfRule type="cellIs" dxfId="1174" priority="568" operator="equal">
      <formula>"EM EXECUÇÃO"</formula>
    </cfRule>
    <cfRule type="cellIs" dxfId="1173" priority="569" operator="equal">
      <formula>"CLSD"</formula>
    </cfRule>
    <cfRule type="cellIs" dxfId="1172" priority="570" operator="equal">
      <formula>"TECO"</formula>
    </cfRule>
  </conditionalFormatting>
  <conditionalFormatting sqref="J168">
    <cfRule type="cellIs" dxfId="1171" priority="567" operator="equal">
      <formula>"CANCELADO"</formula>
    </cfRule>
  </conditionalFormatting>
  <conditionalFormatting sqref="J168">
    <cfRule type="cellIs" dxfId="1170" priority="562" operator="equal">
      <formula>"ENCERRADO"</formula>
    </cfRule>
    <cfRule type="cellIs" dxfId="1169" priority="563" operator="equal">
      <formula>"EM EXECUÇÃO"</formula>
    </cfRule>
    <cfRule type="cellIs" dxfId="1168" priority="564" operator="equal">
      <formula>"CANCELADO"</formula>
    </cfRule>
    <cfRule type="cellIs" dxfId="1167" priority="565" operator="equal">
      <formula>"EM APROVAÇÃO"</formula>
    </cfRule>
    <cfRule type="cellIs" dxfId="1166" priority="566" operator="equal">
      <formula>"EM ESTUDO"</formula>
    </cfRule>
  </conditionalFormatting>
  <conditionalFormatting sqref="I175:I180">
    <cfRule type="cellIs" dxfId="1165" priority="558" operator="equal">
      <formula>"CLSD"</formula>
    </cfRule>
    <cfRule type="cellIs" dxfId="1164" priority="559" operator="equal">
      <formula>"TECO"</formula>
    </cfRule>
    <cfRule type="cellIs" dxfId="1163" priority="560" operator="equal">
      <formula>"REL"</formula>
    </cfRule>
    <cfRule type="cellIs" dxfId="1162" priority="561" operator="equal">
      <formula>"CRTD"</formula>
    </cfRule>
  </conditionalFormatting>
  <conditionalFormatting sqref="J176:J177 J179:J180">
    <cfRule type="cellIs" dxfId="1161" priority="555" operator="equal">
      <formula>"EM EXECUÇÃO"</formula>
    </cfRule>
    <cfRule type="cellIs" dxfId="1160" priority="556" operator="equal">
      <formula>"CLSD"</formula>
    </cfRule>
    <cfRule type="cellIs" dxfId="1159" priority="557" operator="equal">
      <formula>"TECO"</formula>
    </cfRule>
  </conditionalFormatting>
  <conditionalFormatting sqref="J176:J177 J179:J180">
    <cfRule type="cellIs" dxfId="1158" priority="554" operator="equal">
      <formula>"CANCELADO"</formula>
    </cfRule>
  </conditionalFormatting>
  <conditionalFormatting sqref="J176:J177 J179:J180">
    <cfRule type="cellIs" dxfId="1157" priority="549" operator="equal">
      <formula>"ENCERRADO"</formula>
    </cfRule>
    <cfRule type="cellIs" dxfId="1156" priority="550" operator="equal">
      <formula>"EM EXECUÇÃO"</formula>
    </cfRule>
    <cfRule type="cellIs" dxfId="1155" priority="551" operator="equal">
      <formula>"CANCELADO"</formula>
    </cfRule>
    <cfRule type="cellIs" dxfId="1154" priority="552" operator="equal">
      <formula>"EM APROVAÇÃO"</formula>
    </cfRule>
    <cfRule type="cellIs" dxfId="1153" priority="553" operator="equal">
      <formula>"EM ESTUDO"</formula>
    </cfRule>
  </conditionalFormatting>
  <conditionalFormatting sqref="J41">
    <cfRule type="cellIs" dxfId="1152" priority="546" operator="equal">
      <formula>"EM EXECUÇÃO"</formula>
    </cfRule>
    <cfRule type="cellIs" dxfId="1151" priority="547" operator="equal">
      <formula>"CLSD"</formula>
    </cfRule>
    <cfRule type="cellIs" dxfId="1150" priority="548" operator="equal">
      <formula>"TECO"</formula>
    </cfRule>
  </conditionalFormatting>
  <conditionalFormatting sqref="J41">
    <cfRule type="cellIs" dxfId="1149" priority="545" operator="equal">
      <formula>"CANCELADO"</formula>
    </cfRule>
  </conditionalFormatting>
  <conditionalFormatting sqref="J41">
    <cfRule type="cellIs" dxfId="1148" priority="542" operator="equal">
      <formula>"EM EXECUÇÃO"</formula>
    </cfRule>
    <cfRule type="cellIs" dxfId="1147" priority="543" operator="equal">
      <formula>"CLSD"</formula>
    </cfRule>
    <cfRule type="cellIs" dxfId="1146" priority="544" operator="equal">
      <formula>"TECO"</formula>
    </cfRule>
  </conditionalFormatting>
  <conditionalFormatting sqref="J41">
    <cfRule type="cellIs" dxfId="1145" priority="541" operator="equal">
      <formula>"CANCELADO"</formula>
    </cfRule>
  </conditionalFormatting>
  <conditionalFormatting sqref="J42">
    <cfRule type="cellIs" dxfId="1144" priority="538" operator="equal">
      <formula>"EM EXECUÇÃO"</formula>
    </cfRule>
    <cfRule type="cellIs" dxfId="1143" priority="539" operator="equal">
      <formula>"CLSD"</formula>
    </cfRule>
    <cfRule type="cellIs" dxfId="1142" priority="540" operator="equal">
      <formula>"TECO"</formula>
    </cfRule>
  </conditionalFormatting>
  <conditionalFormatting sqref="J42">
    <cfRule type="cellIs" dxfId="1141" priority="537" operator="equal">
      <formula>"CANCELADO"</formula>
    </cfRule>
  </conditionalFormatting>
  <conditionalFormatting sqref="J42">
    <cfRule type="cellIs" dxfId="1140" priority="532" operator="equal">
      <formula>"ENCERRADO"</formula>
    </cfRule>
    <cfRule type="cellIs" dxfId="1139" priority="533" operator="equal">
      <formula>"EM EXECUÇÃO"</formula>
    </cfRule>
    <cfRule type="cellIs" dxfId="1138" priority="534" operator="equal">
      <formula>"CANCELADO"</formula>
    </cfRule>
    <cfRule type="cellIs" dxfId="1137" priority="535" operator="equal">
      <formula>"EM APROVAÇÃO"</formula>
    </cfRule>
    <cfRule type="cellIs" dxfId="1136" priority="536" operator="equal">
      <formula>"EM ESTUDO"</formula>
    </cfRule>
  </conditionalFormatting>
  <conditionalFormatting sqref="J42">
    <cfRule type="cellIs" dxfId="1135" priority="529" operator="equal">
      <formula>"EM EXECUÇÃO"</formula>
    </cfRule>
    <cfRule type="cellIs" dxfId="1134" priority="530" operator="equal">
      <formula>"CLSD"</formula>
    </cfRule>
    <cfRule type="cellIs" dxfId="1133" priority="531" operator="equal">
      <formula>"TECO"</formula>
    </cfRule>
  </conditionalFormatting>
  <conditionalFormatting sqref="J42">
    <cfRule type="cellIs" dxfId="1132" priority="528" operator="equal">
      <formula>"CANCELADO"</formula>
    </cfRule>
  </conditionalFormatting>
  <conditionalFormatting sqref="J156">
    <cfRule type="cellIs" dxfId="1131" priority="525" operator="equal">
      <formula>"EM EXECUÇÃO"</formula>
    </cfRule>
    <cfRule type="cellIs" dxfId="1130" priority="526" operator="equal">
      <formula>"CLSD"</formula>
    </cfRule>
    <cfRule type="cellIs" dxfId="1129" priority="527" operator="equal">
      <formula>"TECO"</formula>
    </cfRule>
  </conditionalFormatting>
  <conditionalFormatting sqref="J156">
    <cfRule type="cellIs" dxfId="1128" priority="524" operator="equal">
      <formula>"CANCELADO"</formula>
    </cfRule>
  </conditionalFormatting>
  <conditionalFormatting sqref="J156">
    <cfRule type="cellIs" dxfId="1127" priority="519" operator="equal">
      <formula>"ENCERRADO"</formula>
    </cfRule>
    <cfRule type="cellIs" dxfId="1126" priority="520" operator="equal">
      <formula>"EM EXECUÇÃO"</formula>
    </cfRule>
    <cfRule type="cellIs" dxfId="1125" priority="521" operator="equal">
      <formula>"CANCELADO"</formula>
    </cfRule>
    <cfRule type="cellIs" dxfId="1124" priority="522" operator="equal">
      <formula>"EM APROVAÇÃO"</formula>
    </cfRule>
    <cfRule type="cellIs" dxfId="1123" priority="523" operator="equal">
      <formula>"EM ESTUDO"</formula>
    </cfRule>
  </conditionalFormatting>
  <conditionalFormatting sqref="J157">
    <cfRule type="cellIs" dxfId="1122" priority="516" operator="equal">
      <formula>"EM EXECUÇÃO"</formula>
    </cfRule>
    <cfRule type="cellIs" dxfId="1121" priority="517" operator="equal">
      <formula>"CLSD"</formula>
    </cfRule>
    <cfRule type="cellIs" dxfId="1120" priority="518" operator="equal">
      <formula>"TECO"</formula>
    </cfRule>
  </conditionalFormatting>
  <conditionalFormatting sqref="J157">
    <cfRule type="cellIs" dxfId="1119" priority="515" operator="equal">
      <formula>"CANCELADO"</formula>
    </cfRule>
  </conditionalFormatting>
  <conditionalFormatting sqref="J157">
    <cfRule type="cellIs" dxfId="1118" priority="510" operator="equal">
      <formula>"ENCERRADO"</formula>
    </cfRule>
    <cfRule type="cellIs" dxfId="1117" priority="511" operator="equal">
      <formula>"EM EXECUÇÃO"</formula>
    </cfRule>
    <cfRule type="cellIs" dxfId="1116" priority="512" operator="equal">
      <formula>"CANCELADO"</formula>
    </cfRule>
    <cfRule type="cellIs" dxfId="1115" priority="513" operator="equal">
      <formula>"EM APROVAÇÃO"</formula>
    </cfRule>
    <cfRule type="cellIs" dxfId="1114" priority="514" operator="equal">
      <formula>"EM ESTUDO"</formula>
    </cfRule>
  </conditionalFormatting>
  <conditionalFormatting sqref="I80">
    <cfRule type="cellIs" dxfId="1113" priority="506" operator="equal">
      <formula>"CLSD"</formula>
    </cfRule>
    <cfRule type="cellIs" dxfId="1112" priority="507" operator="equal">
      <formula>"TECO"</formula>
    </cfRule>
    <cfRule type="cellIs" dxfId="1111" priority="508" operator="equal">
      <formula>"REL"</formula>
    </cfRule>
    <cfRule type="cellIs" dxfId="1110" priority="509" operator="equal">
      <formula>"CRTD"</formula>
    </cfRule>
  </conditionalFormatting>
  <conditionalFormatting sqref="J80">
    <cfRule type="cellIs" dxfId="1109" priority="499" operator="equal">
      <formula>"EM EXECUÇÃO"</formula>
    </cfRule>
    <cfRule type="cellIs" dxfId="1108" priority="500" operator="equal">
      <formula>"CLSD"</formula>
    </cfRule>
    <cfRule type="cellIs" dxfId="1107" priority="501" operator="equal">
      <formula>"TECO"</formula>
    </cfRule>
  </conditionalFormatting>
  <conditionalFormatting sqref="J80">
    <cfRule type="cellIs" dxfId="1106" priority="498" operator="equal">
      <formula>"CANCELADO"</formula>
    </cfRule>
  </conditionalFormatting>
  <conditionalFormatting sqref="J80">
    <cfRule type="cellIs" dxfId="1105" priority="493" operator="equal">
      <formula>"ENCERRADO"</formula>
    </cfRule>
    <cfRule type="cellIs" dxfId="1104" priority="494" operator="equal">
      <formula>"EM EXECUÇÃO"</formula>
    </cfRule>
    <cfRule type="cellIs" dxfId="1103" priority="495" operator="equal">
      <formula>"CANCELADO"</formula>
    </cfRule>
    <cfRule type="cellIs" dxfId="1102" priority="496" operator="equal">
      <formula>"EM APROVAÇÃO"</formula>
    </cfRule>
    <cfRule type="cellIs" dxfId="1101" priority="497" operator="equal">
      <formula>"EM ESTUDO"</formula>
    </cfRule>
  </conditionalFormatting>
  <conditionalFormatting sqref="I181">
    <cfRule type="cellIs" dxfId="1100" priority="489" operator="equal">
      <formula>"CLSD"</formula>
    </cfRule>
    <cfRule type="cellIs" dxfId="1099" priority="490" operator="equal">
      <formula>"TECO"</formula>
    </cfRule>
    <cfRule type="cellIs" dxfId="1098" priority="491" operator="equal">
      <formula>"REL"</formula>
    </cfRule>
    <cfRule type="cellIs" dxfId="1097" priority="492" operator="equal">
      <formula>"CRTD"</formula>
    </cfRule>
  </conditionalFormatting>
  <conditionalFormatting sqref="J181:J182">
    <cfRule type="cellIs" dxfId="1096" priority="486" operator="equal">
      <formula>"EM EXECUÇÃO"</formula>
    </cfRule>
    <cfRule type="cellIs" dxfId="1095" priority="487" operator="equal">
      <formula>"CLSD"</formula>
    </cfRule>
    <cfRule type="cellIs" dxfId="1094" priority="488" operator="equal">
      <formula>"TECO"</formula>
    </cfRule>
  </conditionalFormatting>
  <conditionalFormatting sqref="J181:J182">
    <cfRule type="cellIs" dxfId="1093" priority="485" operator="equal">
      <formula>"CANCELADO"</formula>
    </cfRule>
  </conditionalFormatting>
  <conditionalFormatting sqref="J181:J182">
    <cfRule type="cellIs" dxfId="1092" priority="480" operator="equal">
      <formula>"ENCERRADO"</formula>
    </cfRule>
    <cfRule type="cellIs" dxfId="1091" priority="481" operator="equal">
      <formula>"EM EXECUÇÃO"</formula>
    </cfRule>
    <cfRule type="cellIs" dxfId="1090" priority="482" operator="equal">
      <formula>"CANCELADO"</formula>
    </cfRule>
    <cfRule type="cellIs" dxfId="1089" priority="483" operator="equal">
      <formula>"EM APROVAÇÃO"</formula>
    </cfRule>
    <cfRule type="cellIs" dxfId="1088" priority="484" operator="equal">
      <formula>"EM ESTUDO"</formula>
    </cfRule>
  </conditionalFormatting>
  <conditionalFormatting sqref="J181:J182">
    <cfRule type="cellIs" dxfId="1087" priority="477" operator="equal">
      <formula>"EM EXECUÇÃO"</formula>
    </cfRule>
    <cfRule type="cellIs" dxfId="1086" priority="478" operator="equal">
      <formula>"CLSD"</formula>
    </cfRule>
    <cfRule type="cellIs" dxfId="1085" priority="479" operator="equal">
      <formula>"TECO"</formula>
    </cfRule>
  </conditionalFormatting>
  <conditionalFormatting sqref="J181:J182">
    <cfRule type="cellIs" dxfId="1084" priority="476" operator="equal">
      <formula>"CANCELADO"</formula>
    </cfRule>
  </conditionalFormatting>
  <conditionalFormatting sqref="I19:I20">
    <cfRule type="cellIs" dxfId="1083" priority="472" operator="equal">
      <formula>"CLSD"</formula>
    </cfRule>
    <cfRule type="cellIs" dxfId="1082" priority="473" operator="equal">
      <formula>"TECO"</formula>
    </cfRule>
    <cfRule type="cellIs" dxfId="1081" priority="474" operator="equal">
      <formula>"REL"</formula>
    </cfRule>
    <cfRule type="cellIs" dxfId="1080" priority="475" operator="equal">
      <formula>"CRTD"</formula>
    </cfRule>
  </conditionalFormatting>
  <conditionalFormatting sqref="J19:J20">
    <cfRule type="cellIs" dxfId="1079" priority="469" operator="equal">
      <formula>"EM EXECUÇÃO"</formula>
    </cfRule>
    <cfRule type="cellIs" dxfId="1078" priority="470" operator="equal">
      <formula>"CLSD"</formula>
    </cfRule>
    <cfRule type="cellIs" dxfId="1077" priority="471" operator="equal">
      <formula>"TECO"</formula>
    </cfRule>
  </conditionalFormatting>
  <conditionalFormatting sqref="J19:J20">
    <cfRule type="cellIs" dxfId="1076" priority="468" operator="equal">
      <formula>"CANCELADO"</formula>
    </cfRule>
  </conditionalFormatting>
  <conditionalFormatting sqref="J19:J20">
    <cfRule type="cellIs" dxfId="1075" priority="463" operator="equal">
      <formula>"ENCERRADO"</formula>
    </cfRule>
    <cfRule type="cellIs" dxfId="1074" priority="464" operator="equal">
      <formula>"EM EXECUÇÃO"</formula>
    </cfRule>
    <cfRule type="cellIs" dxfId="1073" priority="465" operator="equal">
      <formula>"CANCELADO"</formula>
    </cfRule>
    <cfRule type="cellIs" dxfId="1072" priority="466" operator="equal">
      <formula>"EM APROVAÇÃO"</formula>
    </cfRule>
    <cfRule type="cellIs" dxfId="1071" priority="467" operator="equal">
      <formula>"EM ESTUDO"</formula>
    </cfRule>
  </conditionalFormatting>
  <conditionalFormatting sqref="I44">
    <cfRule type="cellIs" dxfId="1070" priority="459" operator="equal">
      <formula>"CLSD"</formula>
    </cfRule>
    <cfRule type="cellIs" dxfId="1069" priority="460" operator="equal">
      <formula>"TECO"</formula>
    </cfRule>
    <cfRule type="cellIs" dxfId="1068" priority="461" operator="equal">
      <formula>"REL"</formula>
    </cfRule>
    <cfRule type="cellIs" dxfId="1067" priority="462" operator="equal">
      <formula>"CRTD"</formula>
    </cfRule>
  </conditionalFormatting>
  <conditionalFormatting sqref="I49">
    <cfRule type="cellIs" dxfId="1066" priority="455" operator="equal">
      <formula>"CLSD"</formula>
    </cfRule>
    <cfRule type="cellIs" dxfId="1065" priority="456" operator="equal">
      <formula>"TECO"</formula>
    </cfRule>
    <cfRule type="cellIs" dxfId="1064" priority="457" operator="equal">
      <formula>"REL"</formula>
    </cfRule>
    <cfRule type="cellIs" dxfId="1063" priority="458" operator="equal">
      <formula>"CRTD"</formula>
    </cfRule>
  </conditionalFormatting>
  <conditionalFormatting sqref="I131">
    <cfRule type="cellIs" dxfId="1062" priority="451" operator="equal">
      <formula>"CLSD"</formula>
    </cfRule>
    <cfRule type="cellIs" dxfId="1061" priority="452" operator="equal">
      <formula>"TECO"</formula>
    </cfRule>
    <cfRule type="cellIs" dxfId="1060" priority="453" operator="equal">
      <formula>"REL"</formula>
    </cfRule>
    <cfRule type="cellIs" dxfId="1059" priority="454" operator="equal">
      <formula>"CRTD"</formula>
    </cfRule>
  </conditionalFormatting>
  <conditionalFormatting sqref="I132">
    <cfRule type="cellIs" dxfId="1058" priority="447" operator="equal">
      <formula>"CLSD"</formula>
    </cfRule>
    <cfRule type="cellIs" dxfId="1057" priority="448" operator="equal">
      <formula>"TECO"</formula>
    </cfRule>
    <cfRule type="cellIs" dxfId="1056" priority="449" operator="equal">
      <formula>"REL"</formula>
    </cfRule>
    <cfRule type="cellIs" dxfId="1055" priority="450" operator="equal">
      <formula>"CRTD"</formula>
    </cfRule>
  </conditionalFormatting>
  <conditionalFormatting sqref="I133">
    <cfRule type="cellIs" dxfId="1054" priority="443" operator="equal">
      <formula>"CLSD"</formula>
    </cfRule>
    <cfRule type="cellIs" dxfId="1053" priority="444" operator="equal">
      <formula>"TECO"</formula>
    </cfRule>
    <cfRule type="cellIs" dxfId="1052" priority="445" operator="equal">
      <formula>"REL"</formula>
    </cfRule>
    <cfRule type="cellIs" dxfId="1051" priority="446" operator="equal">
      <formula>"CRTD"</formula>
    </cfRule>
  </conditionalFormatting>
  <conditionalFormatting sqref="J132">
    <cfRule type="cellIs" dxfId="1050" priority="431" operator="equal">
      <formula>"EM EXECUÇÃO"</formula>
    </cfRule>
    <cfRule type="cellIs" dxfId="1049" priority="432" operator="equal">
      <formula>"CLSD"</formula>
    </cfRule>
    <cfRule type="cellIs" dxfId="1048" priority="433" operator="equal">
      <formula>"TECO"</formula>
    </cfRule>
  </conditionalFormatting>
  <conditionalFormatting sqref="J132">
    <cfRule type="cellIs" dxfId="1047" priority="430" operator="equal">
      <formula>"CANCELADO"</formula>
    </cfRule>
  </conditionalFormatting>
  <conditionalFormatting sqref="J132">
    <cfRule type="cellIs" dxfId="1046" priority="425" operator="equal">
      <formula>"ENCERRADO"</formula>
    </cfRule>
    <cfRule type="cellIs" dxfId="1045" priority="426" operator="equal">
      <formula>"EM EXECUÇÃO"</formula>
    </cfRule>
    <cfRule type="cellIs" dxfId="1044" priority="427" operator="equal">
      <formula>"CANCELADO"</formula>
    </cfRule>
    <cfRule type="cellIs" dxfId="1043" priority="428" operator="equal">
      <formula>"EM APROVAÇÃO"</formula>
    </cfRule>
    <cfRule type="cellIs" dxfId="1042" priority="429" operator="equal">
      <formula>"EM ESTUDO"</formula>
    </cfRule>
  </conditionalFormatting>
  <conditionalFormatting sqref="I129">
    <cfRule type="cellIs" dxfId="1041" priority="412" operator="equal">
      <formula>"CLSD"</formula>
    </cfRule>
    <cfRule type="cellIs" dxfId="1040" priority="413" operator="equal">
      <formula>"TECO"</formula>
    </cfRule>
    <cfRule type="cellIs" dxfId="1039" priority="414" operator="equal">
      <formula>"REL"</formula>
    </cfRule>
    <cfRule type="cellIs" dxfId="1038" priority="415" operator="equal">
      <formula>"CRTD"</formula>
    </cfRule>
  </conditionalFormatting>
  <conditionalFormatting sqref="J129">
    <cfRule type="cellIs" dxfId="1037" priority="409" operator="equal">
      <formula>"EM EXECUÇÃO"</formula>
    </cfRule>
    <cfRule type="cellIs" dxfId="1036" priority="410" operator="equal">
      <formula>"CLSD"</formula>
    </cfRule>
    <cfRule type="cellIs" dxfId="1035" priority="411" operator="equal">
      <formula>"TECO"</formula>
    </cfRule>
  </conditionalFormatting>
  <conditionalFormatting sqref="J129">
    <cfRule type="cellIs" dxfId="1034" priority="408" operator="equal">
      <formula>"CANCELADO"</formula>
    </cfRule>
  </conditionalFormatting>
  <conditionalFormatting sqref="J129">
    <cfRule type="cellIs" dxfId="1033" priority="403" operator="equal">
      <formula>"ENCERRADO"</formula>
    </cfRule>
    <cfRule type="cellIs" dxfId="1032" priority="404" operator="equal">
      <formula>"EM EXECUÇÃO"</formula>
    </cfRule>
    <cfRule type="cellIs" dxfId="1031" priority="405" operator="equal">
      <formula>"CANCELADO"</formula>
    </cfRule>
    <cfRule type="cellIs" dxfId="1030" priority="406" operator="equal">
      <formula>"EM APROVAÇÃO"</formula>
    </cfRule>
    <cfRule type="cellIs" dxfId="1029" priority="407" operator="equal">
      <formula>"EM ESTUDO"</formula>
    </cfRule>
  </conditionalFormatting>
  <conditionalFormatting sqref="U8:U200">
    <cfRule type="cellIs" dxfId="1028" priority="399" operator="equal">
      <formula>"Behind Schedule"</formula>
    </cfRule>
    <cfRule type="cellIs" dxfId="1027" priority="400" operator="equal">
      <formula>"TBD"</formula>
    </cfRule>
    <cfRule type="cellIs" dxfId="1026" priority="401" operator="equal">
      <formula>"In Progress"</formula>
    </cfRule>
    <cfRule type="cellIs" dxfId="1025" priority="402" operator="equal">
      <formula>"Completed"</formula>
    </cfRule>
  </conditionalFormatting>
  <conditionalFormatting sqref="J125">
    <cfRule type="cellIs" dxfId="1024" priority="396" operator="equal">
      <formula>"EM EXECUÇÃO"</formula>
    </cfRule>
    <cfRule type="cellIs" dxfId="1023" priority="397" operator="equal">
      <formula>"CLSD"</formula>
    </cfRule>
    <cfRule type="cellIs" dxfId="1022" priority="398" operator="equal">
      <formula>"TECO"</formula>
    </cfRule>
  </conditionalFormatting>
  <conditionalFormatting sqref="J125">
    <cfRule type="cellIs" dxfId="1021" priority="395" operator="equal">
      <formula>"CANCELADO"</formula>
    </cfRule>
  </conditionalFormatting>
  <conditionalFormatting sqref="J125">
    <cfRule type="cellIs" dxfId="1020" priority="390" operator="equal">
      <formula>"ENCERRADO"</formula>
    </cfRule>
    <cfRule type="cellIs" dxfId="1019" priority="391" operator="equal">
      <formula>"EM EXECUÇÃO"</formula>
    </cfRule>
    <cfRule type="cellIs" dxfId="1018" priority="392" operator="equal">
      <formula>"CANCELADO"</formula>
    </cfRule>
    <cfRule type="cellIs" dxfId="1017" priority="393" operator="equal">
      <formula>"EM APROVAÇÃO"</formula>
    </cfRule>
    <cfRule type="cellIs" dxfId="1016" priority="394" operator="equal">
      <formula>"EM ESTUDO"</formula>
    </cfRule>
  </conditionalFormatting>
  <conditionalFormatting sqref="BT8:BT200">
    <cfRule type="cellIs" dxfId="1015" priority="378" operator="equal">
      <formula>"Behind Schedule"</formula>
    </cfRule>
    <cfRule type="cellIs" dxfId="1014" priority="379" operator="equal">
      <formula>"TBD"</formula>
    </cfRule>
    <cfRule type="cellIs" dxfId="1013" priority="380" operator="equal">
      <formula>"In Progress"</formula>
    </cfRule>
    <cfRule type="cellIs" dxfId="1012" priority="381" operator="equal">
      <formula>"Completed"</formula>
    </cfRule>
  </conditionalFormatting>
  <conditionalFormatting sqref="J100">
    <cfRule type="cellIs" dxfId="1011" priority="375" operator="equal">
      <formula>"EM EXECUÇÃO"</formula>
    </cfRule>
    <cfRule type="cellIs" dxfId="1010" priority="376" operator="equal">
      <formula>"CLSD"</formula>
    </cfRule>
    <cfRule type="cellIs" dxfId="1009" priority="377" operator="equal">
      <formula>"TECO"</formula>
    </cfRule>
  </conditionalFormatting>
  <conditionalFormatting sqref="J100">
    <cfRule type="cellIs" dxfId="1008" priority="374" operator="equal">
      <formula>"CANCELADO"</formula>
    </cfRule>
  </conditionalFormatting>
  <conditionalFormatting sqref="J131">
    <cfRule type="cellIs" dxfId="1007" priority="371" operator="equal">
      <formula>"EM EXECUÇÃO"</formula>
    </cfRule>
    <cfRule type="cellIs" dxfId="1006" priority="372" operator="equal">
      <formula>"CLSD"</formula>
    </cfRule>
    <cfRule type="cellIs" dxfId="1005" priority="373" operator="equal">
      <formula>"TECO"</formula>
    </cfRule>
  </conditionalFormatting>
  <conditionalFormatting sqref="J131">
    <cfRule type="cellIs" dxfId="1004" priority="370" operator="equal">
      <formula>"CANCELADO"</formula>
    </cfRule>
  </conditionalFormatting>
  <conditionalFormatting sqref="J131">
    <cfRule type="cellIs" dxfId="1003" priority="365" operator="equal">
      <formula>"ENCERRADO"</formula>
    </cfRule>
    <cfRule type="cellIs" dxfId="1002" priority="366" operator="equal">
      <formula>"EM EXECUÇÃO"</formula>
    </cfRule>
    <cfRule type="cellIs" dxfId="1001" priority="367" operator="equal">
      <formula>"CANCELADO"</formula>
    </cfRule>
    <cfRule type="cellIs" dxfId="1000" priority="368" operator="equal">
      <formula>"EM APROVAÇÃO"</formula>
    </cfRule>
    <cfRule type="cellIs" dxfId="999" priority="369" operator="equal">
      <formula>"EM ESTUDO"</formula>
    </cfRule>
  </conditionalFormatting>
  <conditionalFormatting sqref="J144">
    <cfRule type="cellIs" dxfId="998" priority="353" operator="equal">
      <formula>"EM EXECUÇÃO"</formula>
    </cfRule>
    <cfRule type="cellIs" dxfId="997" priority="354" operator="equal">
      <formula>"CLSD"</formula>
    </cfRule>
    <cfRule type="cellIs" dxfId="996" priority="355" operator="equal">
      <formula>"TECO"</formula>
    </cfRule>
  </conditionalFormatting>
  <conditionalFormatting sqref="J144">
    <cfRule type="cellIs" dxfId="995" priority="352" operator="equal">
      <formula>"CANCELADO"</formula>
    </cfRule>
  </conditionalFormatting>
  <conditionalFormatting sqref="J144">
    <cfRule type="cellIs" dxfId="994" priority="347" operator="equal">
      <formula>"ENCERRADO"</formula>
    </cfRule>
    <cfRule type="cellIs" dxfId="993" priority="348" operator="equal">
      <formula>"EM EXECUÇÃO"</formula>
    </cfRule>
    <cfRule type="cellIs" dxfId="992" priority="349" operator="equal">
      <formula>"CANCELADO"</formula>
    </cfRule>
    <cfRule type="cellIs" dxfId="991" priority="350" operator="equal">
      <formula>"EM APROVAÇÃO"</formula>
    </cfRule>
    <cfRule type="cellIs" dxfId="990" priority="351" operator="equal">
      <formula>"EM ESTUDO"</formula>
    </cfRule>
  </conditionalFormatting>
  <conditionalFormatting sqref="J155">
    <cfRule type="cellIs" dxfId="989" priority="344" operator="equal">
      <formula>"EM EXECUÇÃO"</formula>
    </cfRule>
    <cfRule type="cellIs" dxfId="988" priority="345" operator="equal">
      <formula>"CLSD"</formula>
    </cfRule>
    <cfRule type="cellIs" dxfId="987" priority="346" operator="equal">
      <formula>"TECO"</formula>
    </cfRule>
  </conditionalFormatting>
  <conditionalFormatting sqref="J155">
    <cfRule type="cellIs" dxfId="986" priority="343" operator="equal">
      <formula>"CANCELADO"</formula>
    </cfRule>
  </conditionalFormatting>
  <conditionalFormatting sqref="J155">
    <cfRule type="cellIs" dxfId="985" priority="338" operator="equal">
      <formula>"ENCERRADO"</formula>
    </cfRule>
    <cfRule type="cellIs" dxfId="984" priority="339" operator="equal">
      <formula>"EM EXECUÇÃO"</formula>
    </cfRule>
    <cfRule type="cellIs" dxfId="983" priority="340" operator="equal">
      <formula>"CANCELADO"</formula>
    </cfRule>
    <cfRule type="cellIs" dxfId="982" priority="341" operator="equal">
      <formula>"EM APROVAÇÃO"</formula>
    </cfRule>
    <cfRule type="cellIs" dxfId="981" priority="342" operator="equal">
      <formula>"EM ESTUDO"</formula>
    </cfRule>
  </conditionalFormatting>
  <conditionalFormatting sqref="K28">
    <cfRule type="cellIs" dxfId="980" priority="334" operator="equal">
      <formula>"Behind Schedule"</formula>
    </cfRule>
    <cfRule type="cellIs" dxfId="979" priority="335" operator="equal">
      <formula>"TBD"</formula>
    </cfRule>
    <cfRule type="cellIs" dxfId="978" priority="336" operator="equal">
      <formula>"In Progress"</formula>
    </cfRule>
    <cfRule type="cellIs" dxfId="977" priority="337" operator="equal">
      <formula>"Completed"</formula>
    </cfRule>
  </conditionalFormatting>
  <conditionalFormatting sqref="K59">
    <cfRule type="cellIs" dxfId="976" priority="330" operator="equal">
      <formula>"Behind Schedule"</formula>
    </cfRule>
    <cfRule type="cellIs" dxfId="975" priority="331" operator="equal">
      <formula>"TBD"</formula>
    </cfRule>
    <cfRule type="cellIs" dxfId="974" priority="332" operator="equal">
      <formula>"In Progress"</formula>
    </cfRule>
    <cfRule type="cellIs" dxfId="973" priority="333" operator="equal">
      <formula>"Completed"</formula>
    </cfRule>
  </conditionalFormatting>
  <conditionalFormatting sqref="K63">
    <cfRule type="cellIs" dxfId="972" priority="314" operator="equal">
      <formula>"Behind Schedule"</formula>
    </cfRule>
    <cfRule type="cellIs" dxfId="971" priority="315" operator="equal">
      <formula>"TBD"</formula>
    </cfRule>
    <cfRule type="cellIs" dxfId="970" priority="316" operator="equal">
      <formula>"In Progress"</formula>
    </cfRule>
    <cfRule type="cellIs" dxfId="969" priority="317" operator="equal">
      <formula>"Completed"</formula>
    </cfRule>
  </conditionalFormatting>
  <conditionalFormatting sqref="K55">
    <cfRule type="cellIs" dxfId="968" priority="290" operator="equal">
      <formula>"Behind Schedule"</formula>
    </cfRule>
    <cfRule type="cellIs" dxfId="967" priority="291" operator="equal">
      <formula>"TBD"</formula>
    </cfRule>
    <cfRule type="cellIs" dxfId="966" priority="292" operator="equal">
      <formula>"In Progress"</formula>
    </cfRule>
    <cfRule type="cellIs" dxfId="965" priority="293" operator="equal">
      <formula>"Completed"</formula>
    </cfRule>
  </conditionalFormatting>
  <conditionalFormatting sqref="J175">
    <cfRule type="cellIs" dxfId="964" priority="278" operator="equal">
      <formula>"EM EXECUÇÃO"</formula>
    </cfRule>
    <cfRule type="cellIs" dxfId="963" priority="279" operator="equal">
      <formula>"CLSD"</formula>
    </cfRule>
    <cfRule type="cellIs" dxfId="962" priority="280" operator="equal">
      <formula>"TECO"</formula>
    </cfRule>
  </conditionalFormatting>
  <conditionalFormatting sqref="J175">
    <cfRule type="cellIs" dxfId="961" priority="277" operator="equal">
      <formula>"CANCELADO"</formula>
    </cfRule>
  </conditionalFormatting>
  <conditionalFormatting sqref="J175">
    <cfRule type="cellIs" dxfId="960" priority="272" operator="equal">
      <formula>"ENCERRADO"</formula>
    </cfRule>
    <cfRule type="cellIs" dxfId="959" priority="273" operator="equal">
      <formula>"EM EXECUÇÃO"</formula>
    </cfRule>
    <cfRule type="cellIs" dxfId="958" priority="274" operator="equal">
      <formula>"CANCELADO"</formula>
    </cfRule>
    <cfRule type="cellIs" dxfId="957" priority="275" operator="equal">
      <formula>"EM APROVAÇÃO"</formula>
    </cfRule>
    <cfRule type="cellIs" dxfId="956" priority="276" operator="equal">
      <formula>"EM ESTUDO"</formula>
    </cfRule>
  </conditionalFormatting>
  <conditionalFormatting sqref="K46:K47">
    <cfRule type="cellIs" dxfId="955" priority="268" operator="equal">
      <formula>"Behind Schedule"</formula>
    </cfRule>
    <cfRule type="cellIs" dxfId="954" priority="269" operator="equal">
      <formula>"TBD"</formula>
    </cfRule>
    <cfRule type="cellIs" dxfId="953" priority="270" operator="equal">
      <formula>"In Progress"</formula>
    </cfRule>
    <cfRule type="cellIs" dxfId="952" priority="271" operator="equal">
      <formula>"Completed"</formula>
    </cfRule>
  </conditionalFormatting>
  <conditionalFormatting sqref="K44">
    <cfRule type="cellIs" dxfId="951" priority="264" operator="equal">
      <formula>"Behind Schedule"</formula>
    </cfRule>
    <cfRule type="cellIs" dxfId="950" priority="265" operator="equal">
      <formula>"TBD"</formula>
    </cfRule>
    <cfRule type="cellIs" dxfId="949" priority="266" operator="equal">
      <formula>"In Progress"</formula>
    </cfRule>
    <cfRule type="cellIs" dxfId="948" priority="267" operator="equal">
      <formula>"Completed"</formula>
    </cfRule>
  </conditionalFormatting>
  <conditionalFormatting sqref="K31">
    <cfRule type="cellIs" dxfId="947" priority="260" operator="equal">
      <formula>"Behind Schedule"</formula>
    </cfRule>
    <cfRule type="cellIs" dxfId="946" priority="261" operator="equal">
      <formula>"TBD"</formula>
    </cfRule>
    <cfRule type="cellIs" dxfId="945" priority="262" operator="equal">
      <formula>"In Progress"</formula>
    </cfRule>
    <cfRule type="cellIs" dxfId="944" priority="263" operator="equal">
      <formula>"Completed"</formula>
    </cfRule>
  </conditionalFormatting>
  <conditionalFormatting sqref="K145">
    <cfRule type="cellIs" dxfId="943" priority="256" operator="equal">
      <formula>"Behind Schedule"</formula>
    </cfRule>
    <cfRule type="cellIs" dxfId="942" priority="257" operator="equal">
      <formula>"TBD"</formula>
    </cfRule>
    <cfRule type="cellIs" dxfId="941" priority="258" operator="equal">
      <formula>"In Progress"</formula>
    </cfRule>
    <cfRule type="cellIs" dxfId="940" priority="259" operator="equal">
      <formula>"Completed"</formula>
    </cfRule>
  </conditionalFormatting>
  <conditionalFormatting sqref="BV8:BV200">
    <cfRule type="cellIs" dxfId="939" priority="252" operator="equal">
      <formula>"Behind Schedule"</formula>
    </cfRule>
    <cfRule type="cellIs" dxfId="938" priority="253" operator="equal">
      <formula>"TBD"</formula>
    </cfRule>
    <cfRule type="cellIs" dxfId="937" priority="254" operator="equal">
      <formula>"In Progress"</formula>
    </cfRule>
    <cfRule type="cellIs" dxfId="936" priority="255" operator="equal">
      <formula>"Completed"</formula>
    </cfRule>
  </conditionalFormatting>
  <conditionalFormatting sqref="I183:I199">
    <cfRule type="cellIs" dxfId="935" priority="248" operator="equal">
      <formula>"CLSD"</formula>
    </cfRule>
    <cfRule type="cellIs" dxfId="934" priority="249" operator="equal">
      <formula>"TECO"</formula>
    </cfRule>
    <cfRule type="cellIs" dxfId="933" priority="250" operator="equal">
      <formula>"REL"</formula>
    </cfRule>
    <cfRule type="cellIs" dxfId="932" priority="251" operator="equal">
      <formula>"CRTD"</formula>
    </cfRule>
  </conditionalFormatting>
  <conditionalFormatting sqref="J183 J185:J191">
    <cfRule type="cellIs" dxfId="931" priority="245" operator="equal">
      <formula>"EM EXECUÇÃO"</formula>
    </cfRule>
    <cfRule type="cellIs" dxfId="930" priority="246" operator="equal">
      <formula>"CLSD"</formula>
    </cfRule>
    <cfRule type="cellIs" dxfId="929" priority="247" operator="equal">
      <formula>"TECO"</formula>
    </cfRule>
  </conditionalFormatting>
  <conditionalFormatting sqref="J183 J185:J191">
    <cfRule type="cellIs" dxfId="928" priority="244" operator="equal">
      <formula>"CANCELADO"</formula>
    </cfRule>
  </conditionalFormatting>
  <conditionalFormatting sqref="J183 J185:J191">
    <cfRule type="cellIs" dxfId="927" priority="239" operator="equal">
      <formula>"ENCERRADO"</formula>
    </cfRule>
    <cfRule type="cellIs" dxfId="926" priority="240" operator="equal">
      <formula>"EM EXECUÇÃO"</formula>
    </cfRule>
    <cfRule type="cellIs" dxfId="925" priority="241" operator="equal">
      <formula>"CANCELADO"</formula>
    </cfRule>
    <cfRule type="cellIs" dxfId="924" priority="242" operator="equal">
      <formula>"EM APROVAÇÃO"</formula>
    </cfRule>
    <cfRule type="cellIs" dxfId="923" priority="243" operator="equal">
      <formula>"EM ESTUDO"</formula>
    </cfRule>
  </conditionalFormatting>
  <conditionalFormatting sqref="I182">
    <cfRule type="cellIs" dxfId="922" priority="235" operator="equal">
      <formula>"CLSD"</formula>
    </cfRule>
    <cfRule type="cellIs" dxfId="921" priority="236" operator="equal">
      <formula>"TECO"</formula>
    </cfRule>
    <cfRule type="cellIs" dxfId="920" priority="237" operator="equal">
      <formula>"REL"</formula>
    </cfRule>
    <cfRule type="cellIs" dxfId="919" priority="238" operator="equal">
      <formula>"CRTD"</formula>
    </cfRule>
  </conditionalFormatting>
  <conditionalFormatting sqref="J121">
    <cfRule type="cellIs" dxfId="918" priority="232" operator="equal">
      <formula>"EM EXECUÇÃO"</formula>
    </cfRule>
    <cfRule type="cellIs" dxfId="917" priority="233" operator="equal">
      <formula>"CLSD"</formula>
    </cfRule>
    <cfRule type="cellIs" dxfId="916" priority="234" operator="equal">
      <formula>"TECO"</formula>
    </cfRule>
  </conditionalFormatting>
  <conditionalFormatting sqref="J121">
    <cfRule type="cellIs" dxfId="915" priority="231" operator="equal">
      <formula>"CANCELADO"</formula>
    </cfRule>
  </conditionalFormatting>
  <conditionalFormatting sqref="J121">
    <cfRule type="cellIs" dxfId="914" priority="226" operator="equal">
      <formula>"ENCERRADO"</formula>
    </cfRule>
    <cfRule type="cellIs" dxfId="913" priority="227" operator="equal">
      <formula>"EM EXECUÇÃO"</formula>
    </cfRule>
    <cfRule type="cellIs" dxfId="912" priority="228" operator="equal">
      <formula>"CANCELADO"</formula>
    </cfRule>
    <cfRule type="cellIs" dxfId="911" priority="229" operator="equal">
      <formula>"EM APROVAÇÃO"</formula>
    </cfRule>
    <cfRule type="cellIs" dxfId="910" priority="230" operator="equal">
      <formula>"EM ESTUDO"</formula>
    </cfRule>
  </conditionalFormatting>
  <conditionalFormatting sqref="K165">
    <cfRule type="cellIs" dxfId="909" priority="222" operator="equal">
      <formula>"Behind Schedule"</formula>
    </cfRule>
    <cfRule type="cellIs" dxfId="908" priority="223" operator="equal">
      <formula>"TBD"</formula>
    </cfRule>
    <cfRule type="cellIs" dxfId="907" priority="224" operator="equal">
      <formula>"In Progress"</formula>
    </cfRule>
    <cfRule type="cellIs" dxfId="906" priority="225" operator="equal">
      <formula>"Completed"</formula>
    </cfRule>
  </conditionalFormatting>
  <conditionalFormatting sqref="K65">
    <cfRule type="cellIs" dxfId="905" priority="218" operator="equal">
      <formula>"Behind Schedule"</formula>
    </cfRule>
    <cfRule type="cellIs" dxfId="904" priority="219" operator="equal">
      <formula>"TBD"</formula>
    </cfRule>
    <cfRule type="cellIs" dxfId="903" priority="220" operator="equal">
      <formula>"In Progress"</formula>
    </cfRule>
    <cfRule type="cellIs" dxfId="902" priority="221" operator="equal">
      <formula>"Completed"</formula>
    </cfRule>
  </conditionalFormatting>
  <conditionalFormatting sqref="J108">
    <cfRule type="cellIs" dxfId="901" priority="215" operator="equal">
      <formula>"EM EXECUÇÃO"</formula>
    </cfRule>
    <cfRule type="cellIs" dxfId="900" priority="216" operator="equal">
      <formula>"CLSD"</formula>
    </cfRule>
    <cfRule type="cellIs" dxfId="899" priority="217" operator="equal">
      <formula>"TECO"</formula>
    </cfRule>
  </conditionalFormatting>
  <conditionalFormatting sqref="J108">
    <cfRule type="cellIs" dxfId="898" priority="214" operator="equal">
      <formula>"CANCELADO"</formula>
    </cfRule>
  </conditionalFormatting>
  <conditionalFormatting sqref="J108">
    <cfRule type="cellIs" dxfId="897" priority="209" operator="equal">
      <formula>"ENCERRADO"</formula>
    </cfRule>
    <cfRule type="cellIs" dxfId="896" priority="210" operator="equal">
      <formula>"EM EXECUÇÃO"</formula>
    </cfRule>
    <cfRule type="cellIs" dxfId="895" priority="211" operator="equal">
      <formula>"CANCELADO"</formula>
    </cfRule>
    <cfRule type="cellIs" dxfId="894" priority="212" operator="equal">
      <formula>"EM APROVAÇÃO"</formula>
    </cfRule>
    <cfRule type="cellIs" dxfId="893" priority="213" operator="equal">
      <formula>"EM ESTUDO"</formula>
    </cfRule>
  </conditionalFormatting>
  <conditionalFormatting sqref="J184">
    <cfRule type="cellIs" dxfId="892" priority="206" operator="equal">
      <formula>"EM EXECUÇÃO"</formula>
    </cfRule>
    <cfRule type="cellIs" dxfId="891" priority="207" operator="equal">
      <formula>"CLSD"</formula>
    </cfRule>
    <cfRule type="cellIs" dxfId="890" priority="208" operator="equal">
      <formula>"TECO"</formula>
    </cfRule>
  </conditionalFormatting>
  <conditionalFormatting sqref="J184">
    <cfRule type="cellIs" dxfId="889" priority="205" operator="equal">
      <formula>"CANCELADO"</formula>
    </cfRule>
  </conditionalFormatting>
  <conditionalFormatting sqref="J184">
    <cfRule type="cellIs" dxfId="888" priority="200" operator="equal">
      <formula>"ENCERRADO"</formula>
    </cfRule>
    <cfRule type="cellIs" dxfId="887" priority="201" operator="equal">
      <formula>"EM EXECUÇÃO"</formula>
    </cfRule>
    <cfRule type="cellIs" dxfId="886" priority="202" operator="equal">
      <formula>"CANCELADO"</formula>
    </cfRule>
    <cfRule type="cellIs" dxfId="885" priority="203" operator="equal">
      <formula>"EM APROVAÇÃO"</formula>
    </cfRule>
    <cfRule type="cellIs" dxfId="884" priority="204" operator="equal">
      <formula>"EM ESTUDO"</formula>
    </cfRule>
  </conditionalFormatting>
  <conditionalFormatting sqref="J184">
    <cfRule type="cellIs" dxfId="883" priority="197" operator="equal">
      <formula>"EM EXECUÇÃO"</formula>
    </cfRule>
    <cfRule type="cellIs" dxfId="882" priority="198" operator="equal">
      <formula>"CLSD"</formula>
    </cfRule>
    <cfRule type="cellIs" dxfId="881" priority="199" operator="equal">
      <formula>"TECO"</formula>
    </cfRule>
  </conditionalFormatting>
  <conditionalFormatting sqref="J184">
    <cfRule type="cellIs" dxfId="880" priority="196" operator="equal">
      <formula>"CANCELADO"</formula>
    </cfRule>
  </conditionalFormatting>
  <conditionalFormatting sqref="J11">
    <cfRule type="cellIs" dxfId="879" priority="193" operator="equal">
      <formula>"EM EXECUÇÃO"</formula>
    </cfRule>
    <cfRule type="cellIs" dxfId="878" priority="194" operator="equal">
      <formula>"CLSD"</formula>
    </cfRule>
    <cfRule type="cellIs" dxfId="877" priority="195" operator="equal">
      <formula>"TECO"</formula>
    </cfRule>
  </conditionalFormatting>
  <conditionalFormatting sqref="J11">
    <cfRule type="cellIs" dxfId="876" priority="192" operator="equal">
      <formula>"CANCELADO"</formula>
    </cfRule>
  </conditionalFormatting>
  <conditionalFormatting sqref="J16">
    <cfRule type="cellIs" dxfId="875" priority="189" operator="equal">
      <formula>"EM EXECUÇÃO"</formula>
    </cfRule>
    <cfRule type="cellIs" dxfId="874" priority="190" operator="equal">
      <formula>"CLSD"</formula>
    </cfRule>
    <cfRule type="cellIs" dxfId="873" priority="191" operator="equal">
      <formula>"TECO"</formula>
    </cfRule>
  </conditionalFormatting>
  <conditionalFormatting sqref="J16">
    <cfRule type="cellIs" dxfId="872" priority="188" operator="equal">
      <formula>"CANCELADO"</formula>
    </cfRule>
  </conditionalFormatting>
  <conditionalFormatting sqref="J16">
    <cfRule type="cellIs" dxfId="871" priority="183" operator="equal">
      <formula>"ENCERRADO"</formula>
    </cfRule>
    <cfRule type="cellIs" dxfId="870" priority="184" operator="equal">
      <formula>"EM EXECUÇÃO"</formula>
    </cfRule>
    <cfRule type="cellIs" dxfId="869" priority="185" operator="equal">
      <formula>"CANCELADO"</formula>
    </cfRule>
    <cfRule type="cellIs" dxfId="868" priority="186" operator="equal">
      <formula>"EM APROVAÇÃO"</formula>
    </cfRule>
    <cfRule type="cellIs" dxfId="867" priority="187" operator="equal">
      <formula>"EM ESTUDO"</formula>
    </cfRule>
  </conditionalFormatting>
  <conditionalFormatting sqref="J69">
    <cfRule type="cellIs" dxfId="866" priority="180" operator="equal">
      <formula>"EM EXECUÇÃO"</formula>
    </cfRule>
    <cfRule type="cellIs" dxfId="865" priority="181" operator="equal">
      <formula>"CLSD"</formula>
    </cfRule>
    <cfRule type="cellIs" dxfId="864" priority="182" operator="equal">
      <formula>"TECO"</formula>
    </cfRule>
  </conditionalFormatting>
  <conditionalFormatting sqref="J69">
    <cfRule type="cellIs" dxfId="863" priority="179" operator="equal">
      <formula>"CANCELADO"</formula>
    </cfRule>
  </conditionalFormatting>
  <conditionalFormatting sqref="I69">
    <cfRule type="cellIs" dxfId="862" priority="175" operator="equal">
      <formula>"CLSD"</formula>
    </cfRule>
    <cfRule type="cellIs" dxfId="861" priority="176" operator="equal">
      <formula>"TECO"</formula>
    </cfRule>
    <cfRule type="cellIs" dxfId="860" priority="177" operator="equal">
      <formula>"REL"</formula>
    </cfRule>
    <cfRule type="cellIs" dxfId="859" priority="178" operator="equal">
      <formula>"CRTD"</formula>
    </cfRule>
  </conditionalFormatting>
  <conditionalFormatting sqref="J69">
    <cfRule type="cellIs" dxfId="858" priority="170" operator="equal">
      <formula>"ENCERRADO"</formula>
    </cfRule>
    <cfRule type="cellIs" dxfId="857" priority="171" operator="equal">
      <formula>"EM EXECUÇÃO"</formula>
    </cfRule>
    <cfRule type="cellIs" dxfId="856" priority="172" operator="equal">
      <formula>"CANCELADO"</formula>
    </cfRule>
    <cfRule type="cellIs" dxfId="855" priority="173" operator="equal">
      <formula>"EM APROVAÇÃO"</formula>
    </cfRule>
    <cfRule type="cellIs" dxfId="854" priority="174" operator="equal">
      <formula>"EM ESTUDO"</formula>
    </cfRule>
  </conditionalFormatting>
  <conditionalFormatting sqref="J120">
    <cfRule type="cellIs" dxfId="853" priority="163" operator="equal">
      <formula>"EM EXECUÇÃO"</formula>
    </cfRule>
    <cfRule type="cellIs" dxfId="852" priority="164" operator="equal">
      <formula>"CLSD"</formula>
    </cfRule>
    <cfRule type="cellIs" dxfId="851" priority="165" operator="equal">
      <formula>"TECO"</formula>
    </cfRule>
  </conditionalFormatting>
  <conditionalFormatting sqref="J120">
    <cfRule type="cellIs" dxfId="850" priority="162" operator="equal">
      <formula>"CANCELADO"</formula>
    </cfRule>
  </conditionalFormatting>
  <conditionalFormatting sqref="J120">
    <cfRule type="cellIs" dxfId="849" priority="157" operator="equal">
      <formula>"ENCERRADO"</formula>
    </cfRule>
    <cfRule type="cellIs" dxfId="848" priority="158" operator="equal">
      <formula>"EM EXECUÇÃO"</formula>
    </cfRule>
    <cfRule type="cellIs" dxfId="847" priority="159" operator="equal">
      <formula>"CANCELADO"</formula>
    </cfRule>
    <cfRule type="cellIs" dxfId="846" priority="160" operator="equal">
      <formula>"EM APROVAÇÃO"</formula>
    </cfRule>
    <cfRule type="cellIs" dxfId="845" priority="161" operator="equal">
      <formula>"EM ESTUDO"</formula>
    </cfRule>
  </conditionalFormatting>
  <conditionalFormatting sqref="J127">
    <cfRule type="cellIs" dxfId="844" priority="154" operator="equal">
      <formula>"EM EXECUÇÃO"</formula>
    </cfRule>
    <cfRule type="cellIs" dxfId="843" priority="155" operator="equal">
      <formula>"CLSD"</formula>
    </cfRule>
    <cfRule type="cellIs" dxfId="842" priority="156" operator="equal">
      <formula>"TECO"</formula>
    </cfRule>
  </conditionalFormatting>
  <conditionalFormatting sqref="J127">
    <cfRule type="cellIs" dxfId="841" priority="153" operator="equal">
      <formula>"CANCELADO"</formula>
    </cfRule>
  </conditionalFormatting>
  <conditionalFormatting sqref="J127">
    <cfRule type="cellIs" dxfId="840" priority="148" operator="equal">
      <formula>"ENCERRADO"</formula>
    </cfRule>
    <cfRule type="cellIs" dxfId="839" priority="149" operator="equal">
      <formula>"EM EXECUÇÃO"</formula>
    </cfRule>
    <cfRule type="cellIs" dxfId="838" priority="150" operator="equal">
      <formula>"CANCELADO"</formula>
    </cfRule>
    <cfRule type="cellIs" dxfId="837" priority="151" operator="equal">
      <formula>"EM APROVAÇÃO"</formula>
    </cfRule>
    <cfRule type="cellIs" dxfId="836" priority="152" operator="equal">
      <formula>"EM ESTUDO"</formula>
    </cfRule>
  </conditionalFormatting>
  <conditionalFormatting sqref="J133">
    <cfRule type="cellIs" dxfId="835" priority="145" operator="equal">
      <formula>"EM EXECUÇÃO"</formula>
    </cfRule>
    <cfRule type="cellIs" dxfId="834" priority="146" operator="equal">
      <formula>"CLSD"</formula>
    </cfRule>
    <cfRule type="cellIs" dxfId="833" priority="147" operator="equal">
      <formula>"TECO"</formula>
    </cfRule>
  </conditionalFormatting>
  <conditionalFormatting sqref="J133">
    <cfRule type="cellIs" dxfId="832" priority="144" operator="equal">
      <formula>"CANCELADO"</formula>
    </cfRule>
  </conditionalFormatting>
  <conditionalFormatting sqref="J133">
    <cfRule type="cellIs" dxfId="831" priority="139" operator="equal">
      <formula>"ENCERRADO"</formula>
    </cfRule>
    <cfRule type="cellIs" dxfId="830" priority="140" operator="equal">
      <formula>"EM EXECUÇÃO"</formula>
    </cfRule>
    <cfRule type="cellIs" dxfId="829" priority="141" operator="equal">
      <formula>"CANCELADO"</formula>
    </cfRule>
    <cfRule type="cellIs" dxfId="828" priority="142" operator="equal">
      <formula>"EM APROVAÇÃO"</formula>
    </cfRule>
    <cfRule type="cellIs" dxfId="827" priority="143" operator="equal">
      <formula>"EM ESTUDO"</formula>
    </cfRule>
  </conditionalFormatting>
  <conditionalFormatting sqref="K58">
    <cfRule type="cellIs" dxfId="826" priority="127" operator="equal">
      <formula>"Behind Schedule"</formula>
    </cfRule>
    <cfRule type="cellIs" dxfId="825" priority="128" operator="equal">
      <formula>"TBD"</formula>
    </cfRule>
    <cfRule type="cellIs" dxfId="824" priority="129" operator="equal">
      <formula>"In Progress"</formula>
    </cfRule>
    <cfRule type="cellIs" dxfId="823" priority="130" operator="equal">
      <formula>"Completed"</formula>
    </cfRule>
  </conditionalFormatting>
  <conditionalFormatting sqref="K136">
    <cfRule type="cellIs" dxfId="822" priority="119" operator="equal">
      <formula>"Behind Schedule"</formula>
    </cfRule>
    <cfRule type="cellIs" dxfId="821" priority="120" operator="equal">
      <formula>"TBD"</formula>
    </cfRule>
    <cfRule type="cellIs" dxfId="820" priority="121" operator="equal">
      <formula>"In Progress"</formula>
    </cfRule>
    <cfRule type="cellIs" dxfId="819" priority="122" operator="equal">
      <formula>"Completed"</formula>
    </cfRule>
  </conditionalFormatting>
  <conditionalFormatting sqref="K156">
    <cfRule type="cellIs" dxfId="818" priority="115" operator="equal">
      <formula>"Behind Schedule"</formula>
    </cfRule>
    <cfRule type="cellIs" dxfId="817" priority="116" operator="equal">
      <formula>"TBD"</formula>
    </cfRule>
    <cfRule type="cellIs" dxfId="816" priority="117" operator="equal">
      <formula>"In Progress"</formula>
    </cfRule>
    <cfRule type="cellIs" dxfId="815" priority="118" operator="equal">
      <formula>"Completed"</formula>
    </cfRule>
  </conditionalFormatting>
  <conditionalFormatting sqref="J192:J199">
    <cfRule type="cellIs" dxfId="814" priority="108" operator="equal">
      <formula>"EM EXECUÇÃO"</formula>
    </cfRule>
    <cfRule type="cellIs" dxfId="813" priority="109" operator="equal">
      <formula>"CLSD"</formula>
    </cfRule>
    <cfRule type="cellIs" dxfId="812" priority="110" operator="equal">
      <formula>"TECO"</formula>
    </cfRule>
  </conditionalFormatting>
  <conditionalFormatting sqref="J192:J199">
    <cfRule type="cellIs" dxfId="811" priority="107" operator="equal">
      <formula>"CANCELADO"</formula>
    </cfRule>
  </conditionalFormatting>
  <conditionalFormatting sqref="J192:J199">
    <cfRule type="cellIs" dxfId="810" priority="102" operator="equal">
      <formula>"ENCERRADO"</formula>
    </cfRule>
    <cfRule type="cellIs" dxfId="809" priority="103" operator="equal">
      <formula>"EM EXECUÇÃO"</formula>
    </cfRule>
    <cfRule type="cellIs" dxfId="808" priority="104" operator="equal">
      <formula>"CANCELADO"</formula>
    </cfRule>
    <cfRule type="cellIs" dxfId="807" priority="105" operator="equal">
      <formula>"EM APROVAÇÃO"</formula>
    </cfRule>
    <cfRule type="cellIs" dxfId="806" priority="106" operator="equal">
      <formula>"EM ESTUDO"</formula>
    </cfRule>
  </conditionalFormatting>
  <conditionalFormatting sqref="J192:J199">
    <cfRule type="cellIs" dxfId="805" priority="99" operator="equal">
      <formula>"EM EXECUÇÃO"</formula>
    </cfRule>
    <cfRule type="cellIs" dxfId="804" priority="100" operator="equal">
      <formula>"CLSD"</formula>
    </cfRule>
    <cfRule type="cellIs" dxfId="803" priority="101" operator="equal">
      <formula>"TECO"</formula>
    </cfRule>
  </conditionalFormatting>
  <conditionalFormatting sqref="J192:J199">
    <cfRule type="cellIs" dxfId="802" priority="98" operator="equal">
      <formula>"CANCELADO"</formula>
    </cfRule>
  </conditionalFormatting>
  <conditionalFormatting sqref="J117">
    <cfRule type="cellIs" dxfId="801" priority="95" operator="equal">
      <formula>"EM EXECUÇÃO"</formula>
    </cfRule>
    <cfRule type="cellIs" dxfId="800" priority="96" operator="equal">
      <formula>"CLSD"</formula>
    </cfRule>
    <cfRule type="cellIs" dxfId="799" priority="97" operator="equal">
      <formula>"TECO"</formula>
    </cfRule>
  </conditionalFormatting>
  <conditionalFormatting sqref="J117">
    <cfRule type="cellIs" dxfId="798" priority="94" operator="equal">
      <formula>"CANCELADO"</formula>
    </cfRule>
  </conditionalFormatting>
  <conditionalFormatting sqref="J117">
    <cfRule type="cellIs" dxfId="797" priority="89" operator="equal">
      <formula>"ENCERRADO"</formula>
    </cfRule>
    <cfRule type="cellIs" dxfId="796" priority="90" operator="equal">
      <formula>"EM EXECUÇÃO"</formula>
    </cfRule>
    <cfRule type="cellIs" dxfId="795" priority="91" operator="equal">
      <formula>"CANCELADO"</formula>
    </cfRule>
    <cfRule type="cellIs" dxfId="794" priority="92" operator="equal">
      <formula>"EM APROVAÇÃO"</formula>
    </cfRule>
    <cfRule type="cellIs" dxfId="793" priority="93" operator="equal">
      <formula>"EM ESTUDO"</formula>
    </cfRule>
  </conditionalFormatting>
  <conditionalFormatting sqref="T8">
    <cfRule type="cellIs" dxfId="792" priority="85" operator="equal">
      <formula>"Behind Schedule"</formula>
    </cfRule>
    <cfRule type="cellIs" dxfId="791" priority="86" operator="equal">
      <formula>"TBD"</formula>
    </cfRule>
    <cfRule type="cellIs" dxfId="790" priority="87" operator="equal">
      <formula>"In Progress"</formula>
    </cfRule>
    <cfRule type="cellIs" dxfId="789" priority="88" operator="equal">
      <formula>"Completed"</formula>
    </cfRule>
  </conditionalFormatting>
  <conditionalFormatting sqref="T9:T200">
    <cfRule type="cellIs" dxfId="788" priority="81" operator="equal">
      <formula>"Behind Schedule"</formula>
    </cfRule>
    <cfRule type="cellIs" dxfId="787" priority="82" operator="equal">
      <formula>"TBD"</formula>
    </cfRule>
    <cfRule type="cellIs" dxfId="786" priority="83" operator="equal">
      <formula>"In Progress"</formula>
    </cfRule>
    <cfRule type="cellIs" dxfId="785" priority="84" operator="equal">
      <formula>"Completed"</formula>
    </cfRule>
  </conditionalFormatting>
  <conditionalFormatting sqref="K60:K62">
    <cfRule type="cellIs" dxfId="784" priority="69" operator="equal">
      <formula>"Behind Schedule"</formula>
    </cfRule>
    <cfRule type="cellIs" dxfId="783" priority="70" operator="equal">
      <formula>"TBD"</formula>
    </cfRule>
    <cfRule type="cellIs" dxfId="782" priority="71" operator="equal">
      <formula>"In Progress"</formula>
    </cfRule>
    <cfRule type="cellIs" dxfId="781" priority="72" operator="equal">
      <formula>"Completed"</formula>
    </cfRule>
  </conditionalFormatting>
  <conditionalFormatting sqref="K64">
    <cfRule type="cellIs" dxfId="780" priority="65" operator="equal">
      <formula>"Behind Schedule"</formula>
    </cfRule>
    <cfRule type="cellIs" dxfId="779" priority="66" operator="equal">
      <formula>"TBD"</formula>
    </cfRule>
    <cfRule type="cellIs" dxfId="778" priority="67" operator="equal">
      <formula>"In Progress"</formula>
    </cfRule>
    <cfRule type="cellIs" dxfId="777" priority="68" operator="equal">
      <formula>"Completed"</formula>
    </cfRule>
  </conditionalFormatting>
  <conditionalFormatting sqref="K45">
    <cfRule type="cellIs" dxfId="776" priority="53" operator="equal">
      <formula>"Behind Schedule"</formula>
    </cfRule>
    <cfRule type="cellIs" dxfId="775" priority="54" operator="equal">
      <formula>"TBD"</formula>
    </cfRule>
    <cfRule type="cellIs" dxfId="774" priority="55" operator="equal">
      <formula>"In Progress"</formula>
    </cfRule>
    <cfRule type="cellIs" dxfId="773" priority="56" operator="equal">
      <formula>"Completed"</formula>
    </cfRule>
  </conditionalFormatting>
  <conditionalFormatting sqref="K29">
    <cfRule type="cellIs" dxfId="772" priority="49" operator="equal">
      <formula>"Behind Schedule"</formula>
    </cfRule>
    <cfRule type="cellIs" dxfId="771" priority="50" operator="equal">
      <formula>"TBD"</formula>
    </cfRule>
    <cfRule type="cellIs" dxfId="770" priority="51" operator="equal">
      <formula>"In Progress"</formula>
    </cfRule>
    <cfRule type="cellIs" dxfId="769" priority="52" operator="equal">
      <formula>"Completed"</formula>
    </cfRule>
  </conditionalFormatting>
  <conditionalFormatting sqref="K68">
    <cfRule type="cellIs" dxfId="768" priority="45" operator="equal">
      <formula>"Behind Schedule"</formula>
    </cfRule>
    <cfRule type="cellIs" dxfId="767" priority="46" operator="equal">
      <formula>"TBD"</formula>
    </cfRule>
    <cfRule type="cellIs" dxfId="766" priority="47" operator="equal">
      <formula>"In Progress"</formula>
    </cfRule>
    <cfRule type="cellIs" dxfId="765" priority="48" operator="equal">
      <formula>"Completed"</formula>
    </cfRule>
  </conditionalFormatting>
  <conditionalFormatting sqref="K79">
    <cfRule type="cellIs" dxfId="764" priority="41" operator="equal">
      <formula>"Behind Schedule"</formula>
    </cfRule>
    <cfRule type="cellIs" dxfId="763" priority="42" operator="equal">
      <formula>"TBD"</formula>
    </cfRule>
    <cfRule type="cellIs" dxfId="762" priority="43" operator="equal">
      <formula>"In Progress"</formula>
    </cfRule>
    <cfRule type="cellIs" dxfId="761" priority="44" operator="equal">
      <formula>"Completed"</formula>
    </cfRule>
  </conditionalFormatting>
  <conditionalFormatting sqref="K86">
    <cfRule type="cellIs" dxfId="760" priority="37" operator="equal">
      <formula>"Behind Schedule"</formula>
    </cfRule>
    <cfRule type="cellIs" dxfId="759" priority="38" operator="equal">
      <formula>"TBD"</formula>
    </cfRule>
    <cfRule type="cellIs" dxfId="758" priority="39" operator="equal">
      <formula>"In Progress"</formula>
    </cfRule>
    <cfRule type="cellIs" dxfId="757" priority="40" operator="equal">
      <formula>"Completed"</formula>
    </cfRule>
  </conditionalFormatting>
  <conditionalFormatting sqref="K87">
    <cfRule type="cellIs" dxfId="756" priority="33" operator="equal">
      <formula>"Behind Schedule"</formula>
    </cfRule>
    <cfRule type="cellIs" dxfId="755" priority="34" operator="equal">
      <formula>"TBD"</formula>
    </cfRule>
    <cfRule type="cellIs" dxfId="754" priority="35" operator="equal">
      <formula>"In Progress"</formula>
    </cfRule>
    <cfRule type="cellIs" dxfId="753" priority="36" operator="equal">
      <formula>"Completed"</formula>
    </cfRule>
  </conditionalFormatting>
  <conditionalFormatting sqref="K91">
    <cfRule type="cellIs" dxfId="752" priority="29" operator="equal">
      <formula>"Behind Schedule"</formula>
    </cfRule>
    <cfRule type="cellIs" dxfId="751" priority="30" operator="equal">
      <formula>"TBD"</formula>
    </cfRule>
    <cfRule type="cellIs" dxfId="750" priority="31" operator="equal">
      <formula>"In Progress"</formula>
    </cfRule>
    <cfRule type="cellIs" dxfId="749" priority="32" operator="equal">
      <formula>"Completed"</formula>
    </cfRule>
  </conditionalFormatting>
  <conditionalFormatting sqref="K92">
    <cfRule type="cellIs" dxfId="748" priority="25" operator="equal">
      <formula>"Behind Schedule"</formula>
    </cfRule>
    <cfRule type="cellIs" dxfId="747" priority="26" operator="equal">
      <formula>"TBD"</formula>
    </cfRule>
    <cfRule type="cellIs" dxfId="746" priority="27" operator="equal">
      <formula>"In Progress"</formula>
    </cfRule>
    <cfRule type="cellIs" dxfId="745" priority="28" operator="equal">
      <formula>"Completed"</formula>
    </cfRule>
  </conditionalFormatting>
  <conditionalFormatting sqref="K173">
    <cfRule type="cellIs" dxfId="744" priority="13" operator="equal">
      <formula>"Behind Schedule"</formula>
    </cfRule>
    <cfRule type="cellIs" dxfId="743" priority="14" operator="equal">
      <formula>"TBD"</formula>
    </cfRule>
    <cfRule type="cellIs" dxfId="742" priority="15" operator="equal">
      <formula>"In Progress"</formula>
    </cfRule>
    <cfRule type="cellIs" dxfId="741" priority="16" operator="equal">
      <formula>"Completed"</formula>
    </cfRule>
  </conditionalFormatting>
  <conditionalFormatting sqref="K142">
    <cfRule type="cellIs" dxfId="740" priority="9" operator="equal">
      <formula>"Behind Schedule"</formula>
    </cfRule>
    <cfRule type="cellIs" dxfId="739" priority="10" operator="equal">
      <formula>"TBD"</formula>
    </cfRule>
    <cfRule type="cellIs" dxfId="738" priority="11" operator="equal">
      <formula>"In Progress"</formula>
    </cfRule>
    <cfRule type="cellIs" dxfId="737" priority="12" operator="equal">
      <formula>"Completed"</formula>
    </cfRule>
  </conditionalFormatting>
  <conditionalFormatting sqref="K51">
    <cfRule type="cellIs" dxfId="736" priority="5" operator="equal">
      <formula>"Behind Schedule"</formula>
    </cfRule>
    <cfRule type="cellIs" dxfId="735" priority="6" operator="equal">
      <formula>"TBD"</formula>
    </cfRule>
    <cfRule type="cellIs" dxfId="734" priority="7" operator="equal">
      <formula>"In Progress"</formula>
    </cfRule>
    <cfRule type="cellIs" dxfId="733" priority="8" operator="equal">
      <formula>"Completed"</formula>
    </cfRule>
  </conditionalFormatting>
  <conditionalFormatting sqref="K52">
    <cfRule type="cellIs" dxfId="732" priority="1" operator="equal">
      <formula>"Behind Schedule"</formula>
    </cfRule>
    <cfRule type="cellIs" dxfId="731" priority="2" operator="equal">
      <formula>"TBD"</formula>
    </cfRule>
    <cfRule type="cellIs" dxfId="730" priority="3" operator="equal">
      <formula>"In Progress"</formula>
    </cfRule>
    <cfRule type="cellIs" dxfId="729" priority="4" operator="equal">
      <formula>"Completed"</formula>
    </cfRule>
  </conditionalFormatting>
  <dataValidations count="2">
    <dataValidation type="list" allowBlank="1" showInputMessage="1" showErrorMessage="1" sqref="I8:I199" xr:uid="{B11867BE-FDB8-4409-A896-7E825B14C13B}">
      <formula1>"CRTD, CLSD, REL, TECO"</formula1>
    </dataValidation>
    <dataValidation type="list" allowBlank="1" showInputMessage="1" showErrorMessage="1" sqref="J8:J200" xr:uid="{1F5B006A-C87A-4B73-97D0-2580C141B3BB}">
      <formula1>"EM ESTUDO, EM APROVAÇÃO, CANCELADO, EM EXECUÇÃO, ENCERRADO"</formula1>
    </dataValidation>
  </dataValidations>
  <printOptions horizontalCentered="1" verticalCentered="1"/>
  <pageMargins left="0.25" right="0.25" top="0.75" bottom="0.75" header="0.3" footer="0.3"/>
  <pageSetup paperSize="256" scale="27" orientation="landscape" r:id="rId1"/>
  <extLst>
    <ext xmlns:x14="http://schemas.microsoft.com/office/spreadsheetml/2009/9/main" uri="{78C0D931-6437-407d-A8EE-F0AAD7539E65}">
      <x14:conditionalFormattings>
        <x14:conditionalFormatting xmlns:xm="http://schemas.microsoft.com/office/excel/2006/main">
          <x14:cfRule type="containsText" priority="2869" stopIfTrue="1" operator="containsText" id="{6E415A99-3BAC-46F2-A75A-00F85DAC40F6}">
            <xm:f>NOT(ISERROR(SEARCH(#REF!,I4)))</xm:f>
            <xm:f>#REF!</xm:f>
            <x14:dxf>
              <font>
                <b/>
                <i val="0"/>
              </font>
              <fill>
                <patternFill>
                  <bgColor theme="0" tint="-0.24994659260841701"/>
                </patternFill>
              </fill>
            </x14:dxf>
          </x14:cfRule>
          <x14:cfRule type="containsText" priority="2870" stopIfTrue="1" operator="containsText" id="{6DD3D396-D619-4C50-97A5-734FBCFB8177}">
            <xm:f>NOT(ISERROR(SEARCH(#REF!,I4)))</xm:f>
            <xm:f>#REF!</xm:f>
            <x14:dxf>
              <font>
                <b/>
                <i val="0"/>
                <color theme="0"/>
              </font>
              <fill>
                <patternFill>
                  <bgColor theme="1" tint="0.24994659260841701"/>
                </patternFill>
              </fill>
            </x14:dxf>
          </x14:cfRule>
          <x14:cfRule type="containsText" priority="2871" stopIfTrue="1" operator="containsText" id="{BB8B18B1-8759-45F8-9CD5-4756417B5EB7}">
            <xm:f>NOT(ISERROR(SEARCH(#REF!,I4)))</xm:f>
            <xm:f>#REF!</xm:f>
            <x14:dxf>
              <font>
                <b/>
                <i val="0"/>
              </font>
              <fill>
                <patternFill>
                  <bgColor theme="2" tint="-0.499984740745262"/>
                </patternFill>
              </fill>
            </x14:dxf>
          </x14:cfRule>
          <x14:cfRule type="containsText" priority="2872" operator="containsText" id="{465DE2AA-CC7F-4EE0-BE5E-BBD763363EF7}">
            <xm:f>NOT(ISERROR(SEARCH(#REF!,I4)))</xm:f>
            <xm:f>#REF!</xm:f>
            <x14:dxf>
              <font>
                <b/>
                <i val="0"/>
              </font>
              <fill>
                <patternFill>
                  <bgColor rgb="FF00B0F0"/>
                </patternFill>
              </fill>
            </x14:dxf>
          </x14:cfRule>
          <x14:cfRule type="containsText" priority="2873" operator="containsText" id="{5621835F-093B-4D27-9B85-BB8F8BB060A7}">
            <xm:f>NOT(ISERROR(SEARCH(#REF!,I4)))</xm:f>
            <xm:f>#REF!</xm:f>
            <x14:dxf>
              <font>
                <b/>
                <i val="0"/>
              </font>
              <fill>
                <patternFill>
                  <bgColor theme="5" tint="0.39994506668294322"/>
                </patternFill>
              </fill>
            </x14:dxf>
          </x14:cfRule>
          <x14:cfRule type="containsText" priority="2874" operator="containsText" id="{73EA5155-9368-4BC7-808B-4714AB5DA848}">
            <xm:f>NOT(ISERROR(SEARCH(#REF!,I4)))</xm:f>
            <xm:f>#REF!</xm:f>
            <x14:dxf>
              <font>
                <b/>
                <i val="0"/>
              </font>
              <fill>
                <patternFill>
                  <bgColor theme="6" tint="0.39994506668294322"/>
                </patternFill>
              </fill>
            </x14:dxf>
          </x14:cfRule>
          <x14:cfRule type="containsText" priority="2875" operator="containsText" id="{482820FD-1213-4980-8FAE-E9F13620B6FD}">
            <xm:f>NOT(ISERROR(SEARCH(#REF!,I4)))</xm:f>
            <xm:f>#REF!</xm:f>
            <x14:dxf>
              <font>
                <b/>
                <i val="0"/>
              </font>
              <fill>
                <patternFill>
                  <bgColor theme="7" tint="0.39994506668294322"/>
                </patternFill>
              </fill>
            </x14:dxf>
          </x14:cfRule>
          <x14:cfRule type="containsText" priority="2876" operator="containsText" id="{666A2CC1-9E4C-4C1A-A054-E2911A51656C}">
            <xm:f>NOT(ISERROR(SEARCH(#REF!,I4)))</xm:f>
            <xm:f>#REF!</xm:f>
            <x14:dxf>
              <font>
                <b/>
                <i val="0"/>
              </font>
              <fill>
                <patternFill>
                  <bgColor theme="8" tint="0.39994506668294322"/>
                </patternFill>
              </fill>
            </x14:dxf>
          </x14:cfRule>
          <x14:cfRule type="containsText" priority="2877" operator="containsText" id="{42C4A277-6802-40EC-A553-004AA72EA7EC}">
            <xm:f>NOT(ISERROR(SEARCH(#REF!,I4)))</xm:f>
            <xm:f>#REF!</xm:f>
            <x14:dxf>
              <font>
                <b/>
                <i val="0"/>
              </font>
              <fill>
                <patternFill>
                  <bgColor theme="9" tint="0.39994506668294322"/>
                </patternFill>
              </fill>
            </x14:dxf>
          </x14:cfRule>
          <xm:sqref>I4:I6</xm:sqref>
        </x14:conditionalFormatting>
        <x14:conditionalFormatting xmlns:xm="http://schemas.microsoft.com/office/excel/2006/main">
          <x14:cfRule type="containsText" priority="1603" stopIfTrue="1" operator="containsText" id="{0DD63F4A-24F5-4693-A19B-29E83A09B733}">
            <xm:f>NOT(ISERROR(SEARCH(#REF!,A2)))</xm:f>
            <xm:f>#REF!</xm:f>
            <x14:dxf>
              <font>
                <b/>
                <i val="0"/>
              </font>
              <fill>
                <patternFill>
                  <bgColor theme="0" tint="-0.24994659260841701"/>
                </patternFill>
              </fill>
            </x14:dxf>
          </x14:cfRule>
          <x14:cfRule type="containsText" priority="1604" stopIfTrue="1" operator="containsText" id="{D7C5D4DC-F8C9-4D06-896B-DE25BEB64778}">
            <xm:f>NOT(ISERROR(SEARCH(#REF!,A2)))</xm:f>
            <xm:f>#REF!</xm:f>
            <x14:dxf>
              <font>
                <b/>
                <i val="0"/>
                <color theme="0"/>
              </font>
              <fill>
                <patternFill>
                  <bgColor theme="1" tint="0.24994659260841701"/>
                </patternFill>
              </fill>
            </x14:dxf>
          </x14:cfRule>
          <x14:cfRule type="containsText" priority="1605" stopIfTrue="1" operator="containsText" id="{9C539025-A660-4997-BE9B-4537DE5FCAD3}">
            <xm:f>NOT(ISERROR(SEARCH(#REF!,A2)))</xm:f>
            <xm:f>#REF!</xm:f>
            <x14:dxf>
              <font>
                <b/>
                <i val="0"/>
              </font>
              <fill>
                <patternFill>
                  <bgColor theme="2" tint="-0.499984740745262"/>
                </patternFill>
              </fill>
            </x14:dxf>
          </x14:cfRule>
          <x14:cfRule type="containsText" priority="1606" operator="containsText" id="{C3C48FC3-0599-4E69-95CD-61E8C2B25CA3}">
            <xm:f>NOT(ISERROR(SEARCH(#REF!,A2)))</xm:f>
            <xm:f>#REF!</xm:f>
            <x14:dxf>
              <font>
                <b/>
                <i val="0"/>
              </font>
              <fill>
                <patternFill>
                  <bgColor rgb="FF00B0F0"/>
                </patternFill>
              </fill>
            </x14:dxf>
          </x14:cfRule>
          <x14:cfRule type="containsText" priority="1607" operator="containsText" id="{66A0B43A-0EBB-4AD3-A41B-558613042898}">
            <xm:f>NOT(ISERROR(SEARCH(#REF!,A2)))</xm:f>
            <xm:f>#REF!</xm:f>
            <x14:dxf>
              <font>
                <b/>
                <i val="0"/>
              </font>
              <fill>
                <patternFill>
                  <bgColor theme="5" tint="0.39994506668294322"/>
                </patternFill>
              </fill>
            </x14:dxf>
          </x14:cfRule>
          <x14:cfRule type="containsText" priority="1608" operator="containsText" id="{725DEBDC-A6A9-4EDA-94DF-0C41307D65E4}">
            <xm:f>NOT(ISERROR(SEARCH(#REF!,A2)))</xm:f>
            <xm:f>#REF!</xm:f>
            <x14:dxf>
              <font>
                <b/>
                <i val="0"/>
              </font>
              <fill>
                <patternFill>
                  <bgColor theme="6" tint="0.39994506668294322"/>
                </patternFill>
              </fill>
            </x14:dxf>
          </x14:cfRule>
          <x14:cfRule type="containsText" priority="1609" operator="containsText" id="{5408A249-D521-4D7B-9F43-5C82C703ADD2}">
            <xm:f>NOT(ISERROR(SEARCH(#REF!,A2)))</xm:f>
            <xm:f>#REF!</xm:f>
            <x14:dxf>
              <font>
                <b/>
                <i val="0"/>
              </font>
              <fill>
                <patternFill>
                  <bgColor theme="7" tint="0.39994506668294322"/>
                </patternFill>
              </fill>
            </x14:dxf>
          </x14:cfRule>
          <x14:cfRule type="containsText" priority="1610" operator="containsText" id="{3A8A4A7E-CF15-4A43-9F4F-970A2CA05EC2}">
            <xm:f>NOT(ISERROR(SEARCH(#REF!,A2)))</xm:f>
            <xm:f>#REF!</xm:f>
            <x14:dxf>
              <font>
                <b/>
                <i val="0"/>
              </font>
              <fill>
                <patternFill>
                  <bgColor theme="8" tint="0.39994506668294322"/>
                </patternFill>
              </fill>
            </x14:dxf>
          </x14:cfRule>
          <x14:cfRule type="containsText" priority="1611" operator="containsText" id="{4800CB13-D6E9-4A18-AC97-84E18DCBE0AD}">
            <xm:f>NOT(ISERROR(SEARCH(#REF!,A2)))</xm:f>
            <xm:f>#REF!</xm:f>
            <x14:dxf>
              <font>
                <b/>
                <i val="0"/>
              </font>
              <fill>
                <patternFill>
                  <bgColor theme="9" tint="0.39994506668294322"/>
                </patternFill>
              </fill>
            </x14:dxf>
          </x14:cfRule>
          <xm:sqref>A2:B2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6CFF7-60D0-4B87-AB2A-9F23EE89A7A6}">
  <sheetPr codeName="Planilha17">
    <tabColor rgb="FF0070C0"/>
    <pageSetUpPr fitToPage="1"/>
  </sheetPr>
  <dimension ref="A1:DD22"/>
  <sheetViews>
    <sheetView showGridLines="0" topLeftCell="A4" zoomScale="85" zoomScaleNormal="85" zoomScaleSheetLayoutView="25" workbookViewId="0">
      <pane xSplit="14" ySplit="3" topLeftCell="O10" activePane="bottomRight" state="frozen"/>
      <selection activeCell="A4" sqref="A4"/>
      <selection pane="topRight" activeCell="L4" sqref="L4"/>
      <selection pane="bottomLeft" activeCell="A7" sqref="A7"/>
      <selection pane="bottomRight" activeCell="N17" sqref="N17:N21"/>
    </sheetView>
  </sheetViews>
  <sheetFormatPr defaultColWidth="9.453125" defaultRowHeight="13"/>
  <cols>
    <col min="1" max="1" width="17.54296875" style="31" customWidth="1"/>
    <col min="2" max="2" width="11.81640625" style="31" customWidth="1"/>
    <col min="3" max="6" width="12.81640625" style="31" hidden="1" customWidth="1"/>
    <col min="7" max="7" width="14.1796875" style="31" hidden="1" customWidth="1"/>
    <col min="8" max="8" width="9.54296875" style="31" hidden="1" customWidth="1"/>
    <col min="9" max="9" width="17.453125" style="31" hidden="1" customWidth="1"/>
    <col min="10" max="11" width="10.453125" style="31" hidden="1" customWidth="1"/>
    <col min="12" max="12" width="13.81640625" style="31" hidden="1" customWidth="1"/>
    <col min="13" max="13" width="15.54296875" style="31" customWidth="1"/>
    <col min="14" max="14" width="37.453125" style="32" bestFit="1" customWidth="1"/>
    <col min="15" max="15" width="18.7265625" style="31" customWidth="1"/>
    <col min="16" max="20" width="12.26953125" style="31" hidden="1" customWidth="1"/>
    <col min="21" max="21" width="23.7265625" style="31" hidden="1" customWidth="1"/>
    <col min="22" max="22" width="14.1796875" style="31" customWidth="1"/>
    <col min="23" max="23" width="11.7265625" style="31" customWidth="1"/>
    <col min="24" max="24" width="12.7265625" style="31" bestFit="1" customWidth="1"/>
    <col min="25" max="25" width="54.54296875" style="31" customWidth="1"/>
    <col min="26" max="30" width="15.453125" style="31" hidden="1" customWidth="1"/>
    <col min="31" max="31" width="15.453125" style="31" customWidth="1"/>
    <col min="32" max="32" width="11.1796875" style="34" customWidth="1"/>
    <col min="33" max="35" width="10.7265625" style="34" hidden="1" customWidth="1"/>
    <col min="36" max="36" width="10.7265625" style="34" customWidth="1"/>
    <col min="37" max="39" width="10.7265625" style="34" hidden="1" customWidth="1"/>
    <col min="40" max="40" width="10.7265625" style="34" customWidth="1"/>
    <col min="41" max="43" width="10.7265625" style="34" hidden="1" customWidth="1"/>
    <col min="44" max="44" width="10.7265625" style="34" customWidth="1"/>
    <col min="45" max="47" width="10.7265625" style="34" hidden="1" customWidth="1"/>
    <col min="48" max="48" width="10.7265625" style="34" customWidth="1"/>
    <col min="49" max="51" width="10.7265625" style="34" hidden="1" customWidth="1"/>
    <col min="52" max="52" width="10.7265625" style="34" customWidth="1"/>
    <col min="53" max="55" width="10.7265625" style="34" hidden="1" customWidth="1"/>
    <col min="56" max="56" width="10.7265625" style="34" customWidth="1"/>
    <col min="57" max="59" width="10.7265625" style="34" hidden="1" customWidth="1"/>
    <col min="60" max="60" width="10.7265625" style="34" customWidth="1"/>
    <col min="61" max="63" width="10.7265625" style="34" hidden="1" customWidth="1"/>
    <col min="64" max="64" width="10.7265625" style="34" customWidth="1"/>
    <col min="65" max="67" width="10.7265625" style="34" hidden="1" customWidth="1"/>
    <col min="68" max="68" width="10.7265625" style="34" customWidth="1"/>
    <col min="69" max="71" width="10.7265625" style="34" hidden="1" customWidth="1"/>
    <col min="72" max="72" width="10.7265625" style="34" customWidth="1"/>
    <col min="73" max="75" width="10.7265625" style="34" hidden="1" customWidth="1"/>
    <col min="76" max="76" width="10.7265625" style="34" customWidth="1"/>
    <col min="77" max="79" width="10.7265625" style="34" hidden="1" customWidth="1"/>
    <col min="80" max="80" width="10.7265625" style="34" customWidth="1"/>
    <col min="81" max="93" width="10.7265625" style="34" hidden="1" customWidth="1"/>
    <col min="94" max="94" width="10.7265625" style="34" customWidth="1"/>
    <col min="95" max="95" width="11.7265625" style="34" customWidth="1"/>
    <col min="96" max="101" width="15.81640625" style="34" hidden="1" customWidth="1"/>
    <col min="102" max="107" width="15.81640625" style="34" customWidth="1"/>
    <col min="108" max="16384" width="9.453125" style="31"/>
  </cols>
  <sheetData>
    <row r="1" spans="1:108" s="17" customFormat="1" ht="31.4" hidden="1" customHeight="1">
      <c r="W1" s="31"/>
      <c r="Y1" s="202"/>
      <c r="Z1" s="202"/>
      <c r="AA1" s="202"/>
      <c r="AB1" s="202"/>
      <c r="AC1" s="202"/>
      <c r="AD1" s="202"/>
      <c r="AE1" s="202"/>
      <c r="AF1" s="49"/>
      <c r="AG1" s="49"/>
      <c r="AH1" s="49"/>
      <c r="AI1" s="49"/>
      <c r="AJ1" s="49"/>
      <c r="AK1" s="49"/>
      <c r="AL1" s="49"/>
      <c r="AM1" s="49"/>
      <c r="AN1" s="49"/>
      <c r="AO1" s="49"/>
      <c r="AP1" s="49"/>
      <c r="AQ1" s="49"/>
      <c r="AR1" s="49"/>
      <c r="AS1" s="49"/>
      <c r="AT1" s="49"/>
      <c r="AU1" s="49"/>
      <c r="AV1" s="49"/>
      <c r="AW1" s="49"/>
      <c r="AX1" s="49"/>
      <c r="AY1" s="49"/>
      <c r="AZ1" s="49"/>
      <c r="BA1" s="49"/>
      <c r="BB1" s="49"/>
      <c r="BC1" s="49"/>
      <c r="BD1" s="49"/>
      <c r="BE1" s="49"/>
      <c r="BF1" s="49"/>
      <c r="BG1" s="49"/>
      <c r="BH1" s="49"/>
      <c r="BI1" s="49"/>
      <c r="BJ1" s="49"/>
      <c r="BK1" s="49"/>
      <c r="BL1" s="49"/>
      <c r="BM1" s="49"/>
      <c r="BN1" s="49"/>
      <c r="BO1" s="49"/>
      <c r="BP1" s="49"/>
      <c r="BQ1" s="49"/>
      <c r="BR1" s="49"/>
      <c r="BS1" s="49"/>
      <c r="BT1" s="49"/>
      <c r="BU1" s="49"/>
      <c r="BV1" s="49"/>
      <c r="BW1" s="49"/>
      <c r="BX1" s="49"/>
      <c r="BY1" s="49"/>
      <c r="BZ1" s="49"/>
      <c r="CA1" s="49"/>
      <c r="CB1" s="49"/>
      <c r="CC1" s="49"/>
      <c r="CD1" s="49"/>
      <c r="CE1" s="49"/>
      <c r="CF1" s="49"/>
      <c r="CG1" s="49"/>
      <c r="CH1" s="49"/>
      <c r="CI1" s="49"/>
      <c r="CJ1" s="49"/>
      <c r="CK1" s="49"/>
      <c r="CL1" s="49"/>
      <c r="CM1" s="49"/>
      <c r="CN1" s="49"/>
      <c r="CO1" s="49"/>
      <c r="CP1" s="49"/>
      <c r="CQ1" s="49"/>
      <c r="CR1" s="49">
        <f t="shared" ref="CR1:CW1" si="0">SUBTOTAL(9,CR7:CR204)</f>
        <v>0</v>
      </c>
      <c r="CS1" s="49">
        <f t="shared" si="0"/>
        <v>0</v>
      </c>
      <c r="CT1" s="49">
        <f t="shared" si="0"/>
        <v>0</v>
      </c>
      <c r="CU1" s="49">
        <f t="shared" si="0"/>
        <v>0</v>
      </c>
      <c r="CV1" s="49">
        <f t="shared" si="0"/>
        <v>0</v>
      </c>
      <c r="CW1" s="49">
        <f t="shared" si="0"/>
        <v>0</v>
      </c>
      <c r="CX1" s="466"/>
      <c r="CY1" s="466"/>
      <c r="CZ1" s="466"/>
      <c r="DA1" s="466"/>
      <c r="DB1" s="466"/>
      <c r="DC1" s="466"/>
    </row>
    <row r="2" spans="1:108" s="23" customFormat="1" ht="39" hidden="1" customHeight="1">
      <c r="A2" s="25"/>
      <c r="B2" s="186"/>
      <c r="C2" s="186"/>
      <c r="D2" s="186"/>
      <c r="E2" s="186"/>
      <c r="F2" s="186"/>
      <c r="G2" s="186"/>
      <c r="H2" s="22"/>
      <c r="I2" s="22"/>
      <c r="M2" s="24"/>
      <c r="N2" s="26"/>
      <c r="O2" s="27"/>
      <c r="P2" s="27"/>
      <c r="Q2" s="27"/>
      <c r="R2" s="27"/>
      <c r="S2" s="27"/>
      <c r="T2" s="27"/>
      <c r="U2" s="27"/>
      <c r="V2" s="28"/>
      <c r="W2" s="27"/>
      <c r="X2" s="28"/>
      <c r="Y2" s="28"/>
      <c r="Z2" s="28"/>
      <c r="AA2" s="28"/>
      <c r="AB2" s="28"/>
      <c r="AC2" s="28"/>
      <c r="AD2" s="28"/>
      <c r="AE2" s="28"/>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row>
    <row r="3" spans="1:108" s="23" customFormat="1" ht="18" hidden="1" customHeight="1">
      <c r="A3" s="35"/>
      <c r="B3" s="35"/>
      <c r="C3" s="35"/>
      <c r="D3" s="35"/>
      <c r="E3" s="35"/>
      <c r="F3" s="35"/>
      <c r="G3" s="35"/>
      <c r="H3" s="35"/>
      <c r="I3" s="35"/>
      <c r="J3" s="35"/>
      <c r="K3" s="35"/>
      <c r="L3" s="35"/>
      <c r="M3" s="35"/>
      <c r="N3" s="35"/>
      <c r="O3" s="27"/>
      <c r="P3" s="27"/>
      <c r="Q3" s="27"/>
      <c r="R3" s="27"/>
      <c r="S3" s="27"/>
      <c r="T3" s="27"/>
      <c r="U3" s="27"/>
      <c r="V3" s="28"/>
      <c r="W3" s="17"/>
      <c r="X3" s="28"/>
      <c r="Y3" s="300"/>
      <c r="Z3" s="300"/>
      <c r="AA3" s="300"/>
      <c r="AB3" s="300"/>
      <c r="AC3" s="300"/>
      <c r="AD3" s="300"/>
      <c r="AE3" s="300"/>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252"/>
      <c r="CS3" s="252"/>
      <c r="CT3" s="16"/>
      <c r="CU3" s="16"/>
      <c r="CV3" s="16"/>
      <c r="CW3" s="16"/>
      <c r="CX3" s="16"/>
      <c r="CY3" s="16"/>
      <c r="CZ3" s="16"/>
      <c r="DA3" s="16"/>
      <c r="DB3" s="16"/>
      <c r="DC3" s="16"/>
    </row>
    <row r="4" spans="1:108" s="23" customFormat="1" ht="25.5" customHeight="1">
      <c r="A4" s="25"/>
      <c r="B4" s="36"/>
      <c r="C4" s="36"/>
      <c r="D4" s="36"/>
      <c r="E4" s="36"/>
      <c r="F4" s="36"/>
      <c r="G4" s="36"/>
      <c r="H4" s="22"/>
      <c r="I4" s="22"/>
      <c r="M4" s="24"/>
      <c r="N4" s="26"/>
      <c r="O4" s="27"/>
      <c r="P4" s="27"/>
      <c r="Q4" s="27"/>
      <c r="R4" s="27"/>
      <c r="S4" s="27"/>
      <c r="T4" s="27"/>
      <c r="U4" s="27"/>
      <c r="V4" s="28" t="s">
        <v>850</v>
      </c>
      <c r="W4" s="36"/>
      <c r="X4" s="29">
        <v>488</v>
      </c>
      <c r="Y4" s="300"/>
      <c r="Z4" s="300"/>
      <c r="AA4" s="300"/>
      <c r="AB4" s="300"/>
      <c r="AC4" s="300"/>
      <c r="AD4" s="300"/>
      <c r="AE4" s="300"/>
      <c r="AF4" s="307"/>
      <c r="AG4" s="307"/>
      <c r="AH4" s="307"/>
      <c r="AI4" s="307"/>
      <c r="AJ4" s="307"/>
      <c r="AK4" s="307"/>
      <c r="AL4" s="307"/>
      <c r="AM4" s="307"/>
      <c r="AN4" s="307"/>
      <c r="AO4" s="307"/>
      <c r="AP4" s="307"/>
      <c r="AQ4" s="307"/>
      <c r="AR4" s="307"/>
      <c r="AS4" s="307"/>
      <c r="AT4" s="307"/>
      <c r="AU4" s="307"/>
      <c r="AV4" s="307"/>
      <c r="AW4" s="307"/>
      <c r="AX4" s="307"/>
      <c r="AY4" s="307"/>
      <c r="AZ4" s="307"/>
      <c r="BA4" s="307"/>
      <c r="BB4" s="307"/>
      <c r="BC4" s="307"/>
      <c r="BD4" s="307"/>
      <c r="BE4" s="307"/>
      <c r="BF4" s="307"/>
      <c r="BG4" s="307"/>
      <c r="BH4" s="307"/>
      <c r="BI4" s="307"/>
      <c r="BJ4" s="307"/>
      <c r="BK4" s="307"/>
      <c r="BL4" s="307"/>
      <c r="BM4" s="307"/>
      <c r="BN4" s="307"/>
      <c r="BO4" s="307"/>
      <c r="BP4" s="307"/>
      <c r="BQ4" s="307"/>
      <c r="BR4" s="307"/>
      <c r="BS4" s="307"/>
      <c r="BT4" s="307"/>
      <c r="BU4" s="307"/>
      <c r="BV4" s="307"/>
      <c r="BW4" s="307"/>
      <c r="BX4" s="307"/>
      <c r="BY4" s="307"/>
      <c r="BZ4" s="307"/>
      <c r="CA4" s="307"/>
      <c r="CB4" s="307"/>
      <c r="CC4" s="307"/>
      <c r="CD4" s="307"/>
      <c r="CE4" s="307"/>
      <c r="CF4" s="307"/>
      <c r="CG4" s="307"/>
      <c r="CH4" s="307"/>
      <c r="CI4" s="307"/>
      <c r="CJ4" s="307"/>
      <c r="CK4" s="307"/>
      <c r="CL4" s="307"/>
      <c r="CM4" s="307"/>
      <c r="CN4" s="307"/>
      <c r="CO4" s="307"/>
      <c r="CP4" s="307"/>
      <c r="CQ4" s="307"/>
      <c r="CR4" s="337">
        <f t="shared" ref="CR4:CW5" si="1">SUBTOTAL(9,CR6:CR203)</f>
        <v>0</v>
      </c>
      <c r="CS4" s="337">
        <f t="shared" si="1"/>
        <v>0</v>
      </c>
      <c r="CT4" s="337">
        <f t="shared" si="1"/>
        <v>0</v>
      </c>
      <c r="CU4" s="337">
        <f t="shared" si="1"/>
        <v>0</v>
      </c>
      <c r="CV4" s="337">
        <f t="shared" si="1"/>
        <v>0</v>
      </c>
      <c r="CW4" s="337">
        <f t="shared" si="1"/>
        <v>0</v>
      </c>
      <c r="CX4" s="467"/>
      <c r="CY4" s="467"/>
      <c r="CZ4" s="467"/>
      <c r="DA4" s="467"/>
      <c r="DB4" s="467"/>
      <c r="DC4" s="467"/>
    </row>
    <row r="5" spans="1:108" s="23" customFormat="1" ht="18.75" customHeight="1" thickBot="1">
      <c r="A5" s="25"/>
      <c r="B5" s="25"/>
      <c r="C5" s="36"/>
      <c r="D5" s="36"/>
      <c r="E5" s="36"/>
      <c r="F5" s="36"/>
      <c r="G5" s="25"/>
      <c r="H5" s="25"/>
      <c r="I5" s="25"/>
      <c r="J5" s="25"/>
      <c r="K5" s="25"/>
      <c r="L5" s="25"/>
      <c r="M5" s="25"/>
      <c r="N5" s="25"/>
      <c r="O5" s="27"/>
      <c r="P5" s="27"/>
      <c r="Q5" s="27"/>
      <c r="R5" s="27"/>
      <c r="S5" s="27"/>
      <c r="T5" s="27"/>
      <c r="U5" s="27"/>
      <c r="V5" s="28"/>
      <c r="W5" s="25"/>
      <c r="X5" s="49">
        <f>SUBTOTAL(9,X7:X22)</f>
        <v>879.07375999999999</v>
      </c>
      <c r="Y5" s="509" t="s">
        <v>10819</v>
      </c>
      <c r="Z5" s="337">
        <f>SUBTOTAL(9,Z7:Z1204)</f>
        <v>400</v>
      </c>
      <c r="AA5" s="337">
        <f>SUBTOTAL(9,AA7:AA1204)</f>
        <v>0</v>
      </c>
      <c r="AB5" s="337">
        <f>SUBTOTAL(9,AB7:AB1204)</f>
        <v>0</v>
      </c>
      <c r="AC5" s="337">
        <f>SUBTOTAL(9,AC7:AC1204)</f>
        <v>0</v>
      </c>
      <c r="AD5" s="337">
        <f>SUBTOTAL(9,AD7:AD1204)</f>
        <v>400</v>
      </c>
      <c r="AE5" s="337">
        <v>488</v>
      </c>
      <c r="AF5" s="337">
        <f t="shared" ref="AF5:BK5" si="2">SUBTOTAL(9,AF7:AF1204)</f>
        <v>0</v>
      </c>
      <c r="AG5" s="337">
        <f t="shared" si="2"/>
        <v>107.92828000000002</v>
      </c>
      <c r="AH5" s="337">
        <f t="shared" si="2"/>
        <v>107.92828</v>
      </c>
      <c r="AI5" s="337" t="e">
        <f t="shared" si="2"/>
        <v>#REF!</v>
      </c>
      <c r="AJ5" s="337">
        <f t="shared" si="2"/>
        <v>0</v>
      </c>
      <c r="AK5" s="337">
        <f t="shared" si="2"/>
        <v>0</v>
      </c>
      <c r="AL5" s="337">
        <f t="shared" si="2"/>
        <v>0</v>
      </c>
      <c r="AM5" s="337" t="e">
        <f t="shared" si="2"/>
        <v>#REF!</v>
      </c>
      <c r="AN5" s="337">
        <f t="shared" si="2"/>
        <v>0</v>
      </c>
      <c r="AO5" s="337">
        <f t="shared" si="2"/>
        <v>0</v>
      </c>
      <c r="AP5" s="337">
        <f t="shared" si="2"/>
        <v>0</v>
      </c>
      <c r="AQ5" s="337" t="e">
        <f t="shared" si="2"/>
        <v>#REF!</v>
      </c>
      <c r="AR5" s="337">
        <f t="shared" si="2"/>
        <v>0</v>
      </c>
      <c r="AS5" s="337">
        <f t="shared" si="2"/>
        <v>0</v>
      </c>
      <c r="AT5" s="337">
        <f t="shared" si="2"/>
        <v>0</v>
      </c>
      <c r="AU5" s="337" t="e">
        <f t="shared" si="2"/>
        <v>#REF!</v>
      </c>
      <c r="AV5" s="337">
        <f t="shared" si="2"/>
        <v>0</v>
      </c>
      <c r="AW5" s="337">
        <f t="shared" si="2"/>
        <v>0</v>
      </c>
      <c r="AX5" s="337">
        <f t="shared" si="2"/>
        <v>5.8725100000000001</v>
      </c>
      <c r="AY5" s="337" t="e">
        <f t="shared" si="2"/>
        <v>#REF!</v>
      </c>
      <c r="AZ5" s="337">
        <f t="shared" si="2"/>
        <v>0</v>
      </c>
      <c r="BA5" s="337">
        <f t="shared" si="2"/>
        <v>0</v>
      </c>
      <c r="BB5" s="337">
        <f t="shared" si="2"/>
        <v>0</v>
      </c>
      <c r="BC5" s="337" t="e">
        <f t="shared" si="2"/>
        <v>#REF!</v>
      </c>
      <c r="BD5" s="337">
        <f t="shared" si="2"/>
        <v>0</v>
      </c>
      <c r="BE5" s="337">
        <f t="shared" si="2"/>
        <v>0</v>
      </c>
      <c r="BF5" s="337">
        <f t="shared" si="2"/>
        <v>0</v>
      </c>
      <c r="BG5" s="337" t="e">
        <f t="shared" si="2"/>
        <v>#REF!</v>
      </c>
      <c r="BH5" s="337">
        <f t="shared" si="2"/>
        <v>0</v>
      </c>
      <c r="BI5" s="337">
        <f t="shared" si="2"/>
        <v>0</v>
      </c>
      <c r="BJ5" s="337">
        <f t="shared" si="2"/>
        <v>0</v>
      </c>
      <c r="BK5" s="337" t="e">
        <f t="shared" si="2"/>
        <v>#REF!</v>
      </c>
      <c r="BL5" s="337">
        <f t="shared" ref="BL5:CO5" si="3">SUBTOTAL(9,BL7:BL1204)</f>
        <v>0</v>
      </c>
      <c r="BM5" s="337">
        <f t="shared" si="3"/>
        <v>0</v>
      </c>
      <c r="BN5" s="337">
        <f t="shared" si="3"/>
        <v>0</v>
      </c>
      <c r="BO5" s="337" t="e">
        <f t="shared" si="3"/>
        <v>#REF!</v>
      </c>
      <c r="BP5" s="337">
        <f t="shared" si="3"/>
        <v>0</v>
      </c>
      <c r="BQ5" s="337">
        <f t="shared" si="3"/>
        <v>0</v>
      </c>
      <c r="BR5" s="337">
        <f t="shared" si="3"/>
        <v>0</v>
      </c>
      <c r="BS5" s="337" t="e">
        <f t="shared" si="3"/>
        <v>#REF!</v>
      </c>
      <c r="BT5" s="337">
        <f t="shared" si="3"/>
        <v>0</v>
      </c>
      <c r="BU5" s="337">
        <f t="shared" si="3"/>
        <v>0</v>
      </c>
      <c r="BV5" s="337">
        <f t="shared" si="3"/>
        <v>0</v>
      </c>
      <c r="BW5" s="337" t="e">
        <f t="shared" si="3"/>
        <v>#REF!</v>
      </c>
      <c r="BX5" s="337">
        <f t="shared" si="3"/>
        <v>0</v>
      </c>
      <c r="BY5" s="337">
        <f t="shared" si="3"/>
        <v>0</v>
      </c>
      <c r="BZ5" s="337">
        <f t="shared" si="3"/>
        <v>0</v>
      </c>
      <c r="CA5" s="337" t="e">
        <f t="shared" si="3"/>
        <v>#REF!</v>
      </c>
      <c r="CB5" s="337">
        <f t="shared" si="3"/>
        <v>0</v>
      </c>
      <c r="CC5" s="337">
        <f t="shared" si="3"/>
        <v>0</v>
      </c>
      <c r="CD5" s="337">
        <f t="shared" si="3"/>
        <v>0</v>
      </c>
      <c r="CE5" s="337">
        <f t="shared" si="3"/>
        <v>0</v>
      </c>
      <c r="CF5" s="337">
        <f t="shared" si="3"/>
        <v>0</v>
      </c>
      <c r="CG5" s="337">
        <f t="shared" si="3"/>
        <v>0</v>
      </c>
      <c r="CH5" s="337">
        <f t="shared" si="3"/>
        <v>0</v>
      </c>
      <c r="CI5" s="337">
        <f t="shared" si="3"/>
        <v>0</v>
      </c>
      <c r="CJ5" s="337">
        <f t="shared" si="3"/>
        <v>0</v>
      </c>
      <c r="CK5" s="337">
        <f t="shared" si="3"/>
        <v>0</v>
      </c>
      <c r="CL5" s="337">
        <f t="shared" si="3"/>
        <v>0</v>
      </c>
      <c r="CM5" s="337">
        <f t="shared" si="3"/>
        <v>0</v>
      </c>
      <c r="CN5" s="337">
        <f t="shared" si="3"/>
        <v>0</v>
      </c>
      <c r="CO5" s="337">
        <f t="shared" si="3"/>
        <v>0</v>
      </c>
      <c r="CP5" s="337">
        <f>SUBTOTAL(9,CP7:CP204)</f>
        <v>-107.92828000000002</v>
      </c>
      <c r="CQ5" s="337" t="e">
        <f>SUBTOTAL(9,CQ7:CQ204)</f>
        <v>#REF!</v>
      </c>
      <c r="CR5" s="337">
        <f t="shared" si="1"/>
        <v>0</v>
      </c>
      <c r="CS5" s="337">
        <f t="shared" si="1"/>
        <v>0</v>
      </c>
      <c r="CT5" s="337">
        <f t="shared" si="1"/>
        <v>0</v>
      </c>
      <c r="CU5" s="337">
        <f t="shared" si="1"/>
        <v>0</v>
      </c>
      <c r="CV5" s="337">
        <f t="shared" si="1"/>
        <v>0</v>
      </c>
      <c r="CW5" s="337">
        <f t="shared" si="1"/>
        <v>0</v>
      </c>
      <c r="CX5" s="337">
        <f t="shared" ref="CX5:DC5" si="4">SUBTOTAL(9,CX7:CX204)</f>
        <v>819.07623000000001</v>
      </c>
      <c r="CY5" s="337">
        <f t="shared" si="4"/>
        <v>307.12432999999999</v>
      </c>
      <c r="CZ5" s="337">
        <f t="shared" si="4"/>
        <v>111.01565000000001</v>
      </c>
      <c r="DA5" s="337">
        <f t="shared" si="4"/>
        <v>17.684000000000001</v>
      </c>
      <c r="DB5" s="337">
        <f t="shared" si="4"/>
        <v>435.82398000000006</v>
      </c>
      <c r="DC5" s="337">
        <f t="shared" si="4"/>
        <v>383.25225</v>
      </c>
    </row>
    <row r="6" spans="1:108" s="30" customFormat="1" ht="71.150000000000006" customHeight="1" thickTop="1" thickBot="1">
      <c r="A6" s="1" t="s">
        <v>3336</v>
      </c>
      <c r="B6" s="1" t="s">
        <v>2898</v>
      </c>
      <c r="C6" s="1" t="s">
        <v>758</v>
      </c>
      <c r="D6" s="437" t="s">
        <v>7075</v>
      </c>
      <c r="E6" s="306" t="s">
        <v>6806</v>
      </c>
      <c r="F6" s="306" t="s">
        <v>6807</v>
      </c>
      <c r="G6" s="1" t="s">
        <v>778</v>
      </c>
      <c r="H6" s="1" t="s">
        <v>0</v>
      </c>
      <c r="I6" s="1" t="s">
        <v>6950</v>
      </c>
      <c r="J6" s="1" t="s">
        <v>193</v>
      </c>
      <c r="K6" s="1" t="s">
        <v>220</v>
      </c>
      <c r="L6" s="1" t="s">
        <v>949</v>
      </c>
      <c r="M6" s="1" t="s">
        <v>2899</v>
      </c>
      <c r="N6" s="1" t="s">
        <v>2205</v>
      </c>
      <c r="O6" s="1" t="s">
        <v>190</v>
      </c>
      <c r="P6" s="1" t="s">
        <v>2512</v>
      </c>
      <c r="Q6" s="1" t="s">
        <v>2897</v>
      </c>
      <c r="R6" s="1" t="s">
        <v>6843</v>
      </c>
      <c r="S6" s="1" t="s">
        <v>6844</v>
      </c>
      <c r="T6" s="1" t="s">
        <v>9111</v>
      </c>
      <c r="U6" s="1" t="s">
        <v>9108</v>
      </c>
      <c r="V6" s="1" t="s">
        <v>1855</v>
      </c>
      <c r="W6" s="1" t="s">
        <v>455</v>
      </c>
      <c r="X6" s="1" t="s">
        <v>648</v>
      </c>
      <c r="Y6" s="1" t="s">
        <v>7</v>
      </c>
      <c r="Z6" s="1" t="s">
        <v>6979</v>
      </c>
      <c r="AA6" s="1" t="s">
        <v>6980</v>
      </c>
      <c r="AB6" s="1" t="s">
        <v>7082</v>
      </c>
      <c r="AC6" s="1" t="s">
        <v>8934</v>
      </c>
      <c r="AD6" s="430" t="s">
        <v>7081</v>
      </c>
      <c r="AE6" s="430" t="s">
        <v>9101</v>
      </c>
      <c r="AF6" s="168" t="s">
        <v>6996</v>
      </c>
      <c r="AG6" s="368" t="s">
        <v>1533</v>
      </c>
      <c r="AH6" s="369" t="s">
        <v>2745</v>
      </c>
      <c r="AI6" s="370" t="s">
        <v>2740</v>
      </c>
      <c r="AJ6" s="371" t="s">
        <v>2741</v>
      </c>
      <c r="AK6" s="368" t="s">
        <v>1583</v>
      </c>
      <c r="AL6" s="369" t="s">
        <v>2746</v>
      </c>
      <c r="AM6" s="370" t="s">
        <v>2563</v>
      </c>
      <c r="AN6" s="371" t="s">
        <v>2742</v>
      </c>
      <c r="AO6" s="368" t="s">
        <v>1592</v>
      </c>
      <c r="AP6" s="369" t="s">
        <v>2747</v>
      </c>
      <c r="AQ6" s="370" t="s">
        <v>2618</v>
      </c>
      <c r="AR6" s="371" t="s">
        <v>2743</v>
      </c>
      <c r="AS6" s="368" t="s">
        <v>1618</v>
      </c>
      <c r="AT6" s="369" t="s">
        <v>2752</v>
      </c>
      <c r="AU6" s="370" t="s">
        <v>2893</v>
      </c>
      <c r="AV6" s="371" t="s">
        <v>2744</v>
      </c>
      <c r="AW6" s="368" t="s">
        <v>1629</v>
      </c>
      <c r="AX6" s="369" t="s">
        <v>2753</v>
      </c>
      <c r="AY6" s="370" t="s">
        <v>2726</v>
      </c>
      <c r="AZ6" s="371" t="s">
        <v>2727</v>
      </c>
      <c r="BA6" s="368" t="s">
        <v>1646</v>
      </c>
      <c r="BB6" s="369" t="s">
        <v>2754</v>
      </c>
      <c r="BC6" s="370" t="s">
        <v>2755</v>
      </c>
      <c r="BD6" s="371" t="s">
        <v>2734</v>
      </c>
      <c r="BE6" s="368" t="s">
        <v>1669</v>
      </c>
      <c r="BF6" s="369" t="s">
        <v>2756</v>
      </c>
      <c r="BG6" s="370" t="s">
        <v>2728</v>
      </c>
      <c r="BH6" s="371" t="s">
        <v>2735</v>
      </c>
      <c r="BI6" s="368" t="s">
        <v>1680</v>
      </c>
      <c r="BJ6" s="369" t="s">
        <v>2757</v>
      </c>
      <c r="BK6" s="370" t="s">
        <v>2729</v>
      </c>
      <c r="BL6" s="371" t="s">
        <v>2736</v>
      </c>
      <c r="BM6" s="368" t="s">
        <v>1709</v>
      </c>
      <c r="BN6" s="369" t="s">
        <v>2758</v>
      </c>
      <c r="BO6" s="370" t="s">
        <v>2730</v>
      </c>
      <c r="BP6" s="371" t="s">
        <v>2737</v>
      </c>
      <c r="BQ6" s="368" t="s">
        <v>1764</v>
      </c>
      <c r="BR6" s="369" t="s">
        <v>2759</v>
      </c>
      <c r="BS6" s="370" t="s">
        <v>2731</v>
      </c>
      <c r="BT6" s="371" t="s">
        <v>2738</v>
      </c>
      <c r="BU6" s="368" t="s">
        <v>1763</v>
      </c>
      <c r="BV6" s="369" t="s">
        <v>2760</v>
      </c>
      <c r="BW6" s="370" t="s">
        <v>2732</v>
      </c>
      <c r="BX6" s="371" t="s">
        <v>2739</v>
      </c>
      <c r="BY6" s="368" t="s">
        <v>1804</v>
      </c>
      <c r="BZ6" s="369" t="s">
        <v>2761</v>
      </c>
      <c r="CA6" s="370" t="s">
        <v>2733</v>
      </c>
      <c r="CB6" s="371" t="s">
        <v>1373</v>
      </c>
      <c r="CC6" s="451" t="s">
        <v>7010</v>
      </c>
      <c r="CD6" s="432" t="s">
        <v>2741</v>
      </c>
      <c r="CE6" s="432" t="s">
        <v>2742</v>
      </c>
      <c r="CF6" s="432" t="s">
        <v>2743</v>
      </c>
      <c r="CG6" s="432" t="s">
        <v>2744</v>
      </c>
      <c r="CH6" s="432" t="s">
        <v>2727</v>
      </c>
      <c r="CI6" s="432" t="s">
        <v>2734</v>
      </c>
      <c r="CJ6" s="432" t="s">
        <v>2735</v>
      </c>
      <c r="CK6" s="432" t="s">
        <v>2736</v>
      </c>
      <c r="CL6" s="432" t="s">
        <v>2737</v>
      </c>
      <c r="CM6" s="432" t="s">
        <v>2738</v>
      </c>
      <c r="CN6" s="432" t="s">
        <v>2739</v>
      </c>
      <c r="CO6" s="432" t="s">
        <v>1373</v>
      </c>
      <c r="CP6" s="14" t="s">
        <v>7115</v>
      </c>
      <c r="CQ6" s="40" t="s">
        <v>6993</v>
      </c>
      <c r="CR6" s="159" t="s">
        <v>596</v>
      </c>
      <c r="CS6" s="159" t="s">
        <v>597</v>
      </c>
      <c r="CT6" s="159" t="s">
        <v>598</v>
      </c>
      <c r="CU6" s="159" t="s">
        <v>599</v>
      </c>
      <c r="CV6" s="159" t="s">
        <v>600</v>
      </c>
      <c r="CW6" s="159" t="s">
        <v>601</v>
      </c>
      <c r="CX6" s="14" t="s">
        <v>596</v>
      </c>
      <c r="CY6" s="14" t="s">
        <v>597</v>
      </c>
      <c r="CZ6" s="14" t="s">
        <v>598</v>
      </c>
      <c r="DA6" s="14" t="s">
        <v>599</v>
      </c>
      <c r="DB6" s="14" t="s">
        <v>600</v>
      </c>
      <c r="DC6" s="14" t="s">
        <v>601</v>
      </c>
    </row>
    <row r="7" spans="1:108" s="23" customFormat="1" ht="28.5" customHeight="1">
      <c r="A7" s="85" t="s">
        <v>7816</v>
      </c>
      <c r="B7" s="309"/>
      <c r="C7" s="85"/>
      <c r="D7" s="309"/>
      <c r="E7" s="85"/>
      <c r="F7" s="85"/>
      <c r="G7" s="84"/>
      <c r="H7" s="3">
        <v>2025</v>
      </c>
      <c r="I7" s="5"/>
      <c r="J7" s="3" t="s">
        <v>176</v>
      </c>
      <c r="K7" s="13"/>
      <c r="L7" s="13"/>
      <c r="M7" s="5"/>
      <c r="N7" s="13" t="s">
        <v>10780</v>
      </c>
      <c r="O7" s="3"/>
      <c r="P7" s="3"/>
      <c r="Q7" s="3">
        <v>1</v>
      </c>
      <c r="R7" s="3"/>
      <c r="S7" s="3"/>
      <c r="T7" s="3"/>
      <c r="U7" s="413"/>
      <c r="V7" s="265" t="s">
        <v>573</v>
      </c>
      <c r="W7" s="6" t="s">
        <v>733</v>
      </c>
      <c r="X7" s="354">
        <v>20</v>
      </c>
      <c r="Y7" s="123" t="s">
        <v>10781</v>
      </c>
      <c r="Z7" s="223">
        <f t="shared" ref="Z7:Z22" si="5">AD7</f>
        <v>400</v>
      </c>
      <c r="AA7" s="318">
        <f>AG7</f>
        <v>0</v>
      </c>
      <c r="AB7" s="223"/>
      <c r="AC7" s="318"/>
      <c r="AD7" s="223">
        <v>400</v>
      </c>
      <c r="AE7" s="223"/>
      <c r="AF7" s="333">
        <f t="shared" ref="AF7:AF22" si="6">SUM(AJ7,AN7,AR7,AV7,AZ7,BD7,BH7,BL7,BP7,BT7,BX7,CB7)</f>
        <v>0</v>
      </c>
      <c r="AG7" s="372">
        <v>0</v>
      </c>
      <c r="AH7" s="343">
        <v>0</v>
      </c>
      <c r="AI7" s="332" t="e">
        <f>SUMIFS(#REF!,#REF!,'AME - Quarterly 2025'!$A7,#REF!,"janeiro")/1000</f>
        <v>#REF!</v>
      </c>
      <c r="AJ7" s="373"/>
      <c r="AK7" s="372"/>
      <c r="AL7" s="343"/>
      <c r="AM7" s="332" t="e">
        <f>SUMIFS(#REF!,#REF!,'AME - Quarterly 2025'!$A7,#REF!,"fevereiro")/1000</f>
        <v>#REF!</v>
      </c>
      <c r="AN7" s="373"/>
      <c r="AO7" s="372">
        <v>0</v>
      </c>
      <c r="AP7" s="343"/>
      <c r="AQ7" s="332" t="e">
        <f>SUMIFS(#REF!,#REF!,'AME - Quarterly 2025'!$A7,#REF!,"março")/1000</f>
        <v>#REF!</v>
      </c>
      <c r="AR7" s="373"/>
      <c r="AS7" s="372">
        <v>0</v>
      </c>
      <c r="AT7" s="343"/>
      <c r="AU7" s="332" t="e">
        <f>SUMIFS(#REF!,#REF!,'AME - Quarterly 2025'!$A7,#REF!,"abril")/1000</f>
        <v>#REF!</v>
      </c>
      <c r="AV7" s="373"/>
      <c r="AW7" s="372">
        <v>0</v>
      </c>
      <c r="AX7" s="343"/>
      <c r="AY7" s="332" t="e">
        <f>SUMIFS(#REF!,#REF!,'AME - Quarterly 2025'!$A7,#REF!,"maio")/1000</f>
        <v>#REF!</v>
      </c>
      <c r="AZ7" s="373"/>
      <c r="BA7" s="372">
        <v>0</v>
      </c>
      <c r="BB7" s="343"/>
      <c r="BC7" s="332" t="e">
        <f>SUMIFS(#REF!,#REF!,'AME - Quarterly 2025'!$A7,#REF!,"junho")/1000</f>
        <v>#REF!</v>
      </c>
      <c r="BD7" s="373"/>
      <c r="BE7" s="372">
        <v>0</v>
      </c>
      <c r="BF7" s="343"/>
      <c r="BG7" s="332" t="e">
        <f>SUMIFS(#REF!,#REF!,'AME - Quarterly 2025'!$A7,#REF!,"julho")/1000</f>
        <v>#REF!</v>
      </c>
      <c r="BH7" s="373"/>
      <c r="BI7" s="372"/>
      <c r="BJ7" s="343"/>
      <c r="BK7" s="332" t="e">
        <f>SUMIFS(#REF!,#REF!,'AME - Quarterly 2025'!$A7,#REF!,"agosto")/1000</f>
        <v>#REF!</v>
      </c>
      <c r="BL7" s="373"/>
      <c r="BM7" s="372"/>
      <c r="BN7" s="343"/>
      <c r="BO7" s="332" t="e">
        <f>SUMIFS(#REF!,#REF!,'AME - Quarterly 2025'!$A7,#REF!,"setembro")/1000</f>
        <v>#REF!</v>
      </c>
      <c r="BP7" s="373"/>
      <c r="BQ7" s="372"/>
      <c r="BR7" s="343"/>
      <c r="BS7" s="332" t="e">
        <f>SUMIFS(#REF!,#REF!,'AME - Quarterly 2025'!$A7,#REF!,"outubro")/1000</f>
        <v>#REF!</v>
      </c>
      <c r="BT7" s="373"/>
      <c r="BU7" s="372"/>
      <c r="BV7" s="343"/>
      <c r="BW7" s="332" t="e">
        <f>SUMIFS(#REF!,#REF!,'AME - Quarterly 2025'!$A7,#REF!,"novembro")/1000</f>
        <v>#REF!</v>
      </c>
      <c r="BX7" s="373"/>
      <c r="BY7" s="372"/>
      <c r="BZ7" s="343"/>
      <c r="CA7" s="332" t="e">
        <f>SUMIFS(#REF!,#REF!,'AME - Quarterly 2025'!$A7,#REF!,"dezembro")/1000</f>
        <v>#REF!</v>
      </c>
      <c r="CB7" s="373"/>
      <c r="CC7" s="452">
        <f t="shared" ref="CC7:CC22" si="7">SUM(CD7:CO7)</f>
        <v>0</v>
      </c>
      <c r="CD7" s="374"/>
      <c r="CE7" s="374"/>
      <c r="CF7" s="374"/>
      <c r="CG7" s="374"/>
      <c r="CH7" s="374"/>
      <c r="CI7" s="374"/>
      <c r="CJ7" s="374"/>
      <c r="CK7" s="374"/>
      <c r="CL7" s="374"/>
      <c r="CM7" s="374"/>
      <c r="CN7" s="374"/>
      <c r="CO7" s="374"/>
      <c r="CP7" s="319">
        <f t="shared" ref="CP7:CP22" si="8">AJ7-AG7</f>
        <v>0</v>
      </c>
      <c r="CQ7" s="320" t="e">
        <f t="shared" ref="CQ7:CQ22" si="9">AJ7-AI7</f>
        <v>#REF!</v>
      </c>
      <c r="CR7" s="344" t="str">
        <f>IFERROR(VLOOKUP($A7,#REF!,6,FALSE)/1000,"")</f>
        <v/>
      </c>
      <c r="CS7" s="344" t="str">
        <f>IFERROR(VLOOKUP($A7,#REF!,7,FALSE)/1000,"")</f>
        <v/>
      </c>
      <c r="CT7" s="344" t="str">
        <f>IFERROR(VLOOKUP($A7,#REF!,8,FALSE)/1000,"")</f>
        <v/>
      </c>
      <c r="CU7" s="344" t="str">
        <f>IFERROR(VLOOKUP($A7,#REF!,9,FALSE)/1000,"")</f>
        <v/>
      </c>
      <c r="CV7" s="344" t="str">
        <f>IFERROR(VLOOKUP($A7,#REF!,11,FALSE)/1000,"")</f>
        <v/>
      </c>
      <c r="CW7" s="344" t="str">
        <f>IFERROR(VLOOKUP($A7,#REF!,12,FALSE)/1000,"")</f>
        <v/>
      </c>
      <c r="CX7" s="468">
        <v>153.47037</v>
      </c>
      <c r="CY7" s="468">
        <v>0</v>
      </c>
      <c r="CZ7" s="468">
        <v>0</v>
      </c>
      <c r="DA7" s="468">
        <v>17.684000000000001</v>
      </c>
      <c r="DB7" s="468">
        <v>17.684000000000001</v>
      </c>
      <c r="DC7" s="468">
        <v>135.78637000000001</v>
      </c>
      <c r="DD7" s="51"/>
    </row>
    <row r="8" spans="1:108" s="23" customFormat="1" ht="28.5" customHeight="1">
      <c r="A8" s="85" t="s">
        <v>8935</v>
      </c>
      <c r="B8" s="309">
        <v>321</v>
      </c>
      <c r="C8" s="85"/>
      <c r="D8" s="309"/>
      <c r="E8" s="85"/>
      <c r="F8" s="85"/>
      <c r="G8" s="412" t="s">
        <v>6</v>
      </c>
      <c r="H8" s="3">
        <v>2025</v>
      </c>
      <c r="I8" s="5"/>
      <c r="J8" s="3" t="s">
        <v>176</v>
      </c>
      <c r="K8" s="13"/>
      <c r="L8" s="13"/>
      <c r="M8" s="5" t="s">
        <v>6954</v>
      </c>
      <c r="N8" s="13" t="s">
        <v>6953</v>
      </c>
      <c r="O8" s="3" t="s">
        <v>2255</v>
      </c>
      <c r="P8" s="3"/>
      <c r="Q8" s="3">
        <v>2</v>
      </c>
      <c r="R8" s="412" t="s">
        <v>6</v>
      </c>
      <c r="S8" s="3"/>
      <c r="T8" s="3"/>
      <c r="U8" s="413"/>
      <c r="V8" s="265" t="s">
        <v>219</v>
      </c>
      <c r="W8" s="6" t="s">
        <v>463</v>
      </c>
      <c r="X8" s="355">
        <v>42</v>
      </c>
      <c r="Y8" s="123" t="s">
        <v>10777</v>
      </c>
      <c r="Z8" s="223">
        <f t="shared" si="5"/>
        <v>0</v>
      </c>
      <c r="AA8" s="318"/>
      <c r="AB8" s="223"/>
      <c r="AC8" s="318"/>
      <c r="AD8" s="223">
        <v>0</v>
      </c>
      <c r="AE8" s="223"/>
      <c r="AF8" s="333">
        <f t="shared" si="6"/>
        <v>0</v>
      </c>
      <c r="AG8" s="372">
        <v>0</v>
      </c>
      <c r="AH8" s="343">
        <v>0</v>
      </c>
      <c r="AI8" s="332" t="e">
        <f>SUMIFS(#REF!,#REF!,'AME - Quarterly 2025'!$A8,#REF!,"janeiro")/1000</f>
        <v>#REF!</v>
      </c>
      <c r="AJ8" s="373"/>
      <c r="AK8" s="372"/>
      <c r="AL8" s="343">
        <v>0</v>
      </c>
      <c r="AM8" s="332" t="e">
        <f>SUMIFS(#REF!,#REF!,'AME - Quarterly 2025'!$A8,#REF!,"fevereiro")/1000</f>
        <v>#REF!</v>
      </c>
      <c r="AN8" s="373"/>
      <c r="AO8" s="372">
        <v>0</v>
      </c>
      <c r="AP8" s="343"/>
      <c r="AQ8" s="332" t="e">
        <f>SUMIFS(#REF!,#REF!,'AME - Quarterly 2025'!$A8,#REF!,"março")/1000</f>
        <v>#REF!</v>
      </c>
      <c r="AR8" s="373"/>
      <c r="AS8" s="372">
        <v>0</v>
      </c>
      <c r="AT8" s="343"/>
      <c r="AU8" s="332" t="e">
        <f>SUMIFS(#REF!,#REF!,'AME - Quarterly 2025'!$A8,#REF!,"abril")/1000</f>
        <v>#REF!</v>
      </c>
      <c r="AV8" s="373"/>
      <c r="AW8" s="372">
        <v>0</v>
      </c>
      <c r="AX8" s="343"/>
      <c r="AY8" s="332" t="e">
        <f>SUMIFS(#REF!,#REF!,'AME - Quarterly 2025'!$A8,#REF!,"maio")/1000</f>
        <v>#REF!</v>
      </c>
      <c r="AZ8" s="373"/>
      <c r="BA8" s="372">
        <v>0</v>
      </c>
      <c r="BB8" s="343"/>
      <c r="BC8" s="332" t="e">
        <f>SUMIFS(#REF!,#REF!,'AME - Quarterly 2025'!$A8,#REF!,"junho")/1000</f>
        <v>#REF!</v>
      </c>
      <c r="BD8" s="373"/>
      <c r="BE8" s="372">
        <v>0</v>
      </c>
      <c r="BF8" s="343"/>
      <c r="BG8" s="332" t="e">
        <f>SUMIFS(#REF!,#REF!,'AME - Quarterly 2025'!$A8,#REF!,"julho")/1000</f>
        <v>#REF!</v>
      </c>
      <c r="BH8" s="373"/>
      <c r="BI8" s="372"/>
      <c r="BJ8" s="343"/>
      <c r="BK8" s="332" t="e">
        <f>SUMIFS(#REF!,#REF!,'AME - Quarterly 2025'!$A8,#REF!,"agosto")/1000</f>
        <v>#REF!</v>
      </c>
      <c r="BL8" s="373">
        <v>0</v>
      </c>
      <c r="BM8" s="372"/>
      <c r="BN8" s="343"/>
      <c r="BO8" s="332" t="e">
        <f>SUMIFS(#REF!,#REF!,'AME - Quarterly 2025'!$A8,#REF!,"setembro")/1000</f>
        <v>#REF!</v>
      </c>
      <c r="BP8" s="373"/>
      <c r="BQ8" s="372"/>
      <c r="BR8" s="343"/>
      <c r="BS8" s="332" t="e">
        <f>SUMIFS(#REF!,#REF!,'AME - Quarterly 2025'!$A8,#REF!,"outubro")/1000</f>
        <v>#REF!</v>
      </c>
      <c r="BT8" s="373">
        <v>0</v>
      </c>
      <c r="BU8" s="372"/>
      <c r="BV8" s="343"/>
      <c r="BW8" s="332" t="e">
        <f>SUMIFS(#REF!,#REF!,'AME - Quarterly 2025'!$A8,#REF!,"novembro")/1000</f>
        <v>#REF!</v>
      </c>
      <c r="BX8" s="373"/>
      <c r="BY8" s="372"/>
      <c r="BZ8" s="343"/>
      <c r="CA8" s="332" t="e">
        <f>SUMIFS(#REF!,#REF!,'AME - Quarterly 2025'!$A8,#REF!,"dezembro")/1000</f>
        <v>#REF!</v>
      </c>
      <c r="CB8" s="373"/>
      <c r="CC8" s="452">
        <f t="shared" si="7"/>
        <v>0</v>
      </c>
      <c r="CD8" s="374"/>
      <c r="CE8" s="374"/>
      <c r="CF8" s="374"/>
      <c r="CG8" s="374"/>
      <c r="CH8" s="374"/>
      <c r="CI8" s="374"/>
      <c r="CJ8" s="374"/>
      <c r="CK8" s="374"/>
      <c r="CL8" s="374"/>
      <c r="CM8" s="374"/>
      <c r="CN8" s="374"/>
      <c r="CO8" s="374"/>
      <c r="CP8" s="319">
        <f t="shared" si="8"/>
        <v>0</v>
      </c>
      <c r="CQ8" s="320" t="e">
        <f t="shared" si="9"/>
        <v>#REF!</v>
      </c>
      <c r="CR8" s="344" t="str">
        <f>IFERROR(VLOOKUP($A8,#REF!,6,FALSE)/1000,"")</f>
        <v/>
      </c>
      <c r="CS8" s="344" t="str">
        <f>IFERROR(VLOOKUP($A8,#REF!,7,FALSE)/1000,"")</f>
        <v/>
      </c>
      <c r="CT8" s="344" t="str">
        <f>IFERROR(VLOOKUP($A8,#REF!,8,FALSE)/1000,"")</f>
        <v/>
      </c>
      <c r="CU8" s="344" t="str">
        <f>IFERROR(VLOOKUP($A8,#REF!,9,FALSE)/1000,"")</f>
        <v/>
      </c>
      <c r="CV8" s="344" t="str">
        <f>IFERROR(VLOOKUP($A8,#REF!,11,FALSE)/1000,"")</f>
        <v/>
      </c>
      <c r="CW8" s="344" t="str">
        <f>IFERROR(VLOOKUP($A8,#REF!,12,FALSE)/1000,"")</f>
        <v/>
      </c>
      <c r="CX8" s="468"/>
      <c r="CY8" s="468"/>
      <c r="CZ8" s="468"/>
      <c r="DA8" s="468"/>
      <c r="DB8" s="468"/>
      <c r="DC8" s="468"/>
      <c r="DD8" s="51"/>
    </row>
    <row r="9" spans="1:108" s="23" customFormat="1" ht="28.5" customHeight="1">
      <c r="A9" s="85" t="s">
        <v>8936</v>
      </c>
      <c r="B9" s="309">
        <v>346</v>
      </c>
      <c r="C9" s="85"/>
      <c r="D9" s="309" t="s">
        <v>8952</v>
      </c>
      <c r="E9" s="85"/>
      <c r="F9" s="85"/>
      <c r="G9" s="412" t="s">
        <v>6</v>
      </c>
      <c r="H9" s="3">
        <v>2025</v>
      </c>
      <c r="I9" s="5"/>
      <c r="J9" s="3" t="s">
        <v>176</v>
      </c>
      <c r="K9" s="13"/>
      <c r="L9" s="13"/>
      <c r="M9" s="310" t="s">
        <v>2769</v>
      </c>
      <c r="N9" s="13" t="s">
        <v>9102</v>
      </c>
      <c r="O9" s="3" t="s">
        <v>2255</v>
      </c>
      <c r="P9" s="3"/>
      <c r="Q9" s="3">
        <v>3</v>
      </c>
      <c r="R9" s="412" t="s">
        <v>6</v>
      </c>
      <c r="S9" s="3"/>
      <c r="T9" s="3"/>
      <c r="U9" s="413"/>
      <c r="V9" s="265" t="s">
        <v>219</v>
      </c>
      <c r="W9" s="6" t="s">
        <v>463</v>
      </c>
      <c r="X9" s="355">
        <v>46</v>
      </c>
      <c r="Y9" s="123" t="s">
        <v>10777</v>
      </c>
      <c r="Z9" s="223">
        <f t="shared" si="5"/>
        <v>0</v>
      </c>
      <c r="AA9" s="318"/>
      <c r="AB9" s="223"/>
      <c r="AC9" s="318"/>
      <c r="AD9" s="223">
        <v>0</v>
      </c>
      <c r="AE9" s="223"/>
      <c r="AF9" s="333">
        <f t="shared" si="6"/>
        <v>0</v>
      </c>
      <c r="AG9" s="372">
        <v>0</v>
      </c>
      <c r="AH9" s="343">
        <v>0</v>
      </c>
      <c r="AI9" s="332" t="e">
        <f>SUMIFS(#REF!,#REF!,'AME - Quarterly 2025'!$A9,#REF!,"janeiro")/1000</f>
        <v>#REF!</v>
      </c>
      <c r="AJ9" s="373"/>
      <c r="AK9" s="372"/>
      <c r="AL9" s="343">
        <v>0</v>
      </c>
      <c r="AM9" s="332" t="e">
        <f>SUMIFS(#REF!,#REF!,'AME - Quarterly 2025'!$A9,#REF!,"fevereiro")/1000</f>
        <v>#REF!</v>
      </c>
      <c r="AN9" s="373"/>
      <c r="AO9" s="372">
        <v>0</v>
      </c>
      <c r="AP9" s="343"/>
      <c r="AQ9" s="332" t="e">
        <f>SUMIFS(#REF!,#REF!,'AME - Quarterly 2025'!$A9,#REF!,"março")/1000</f>
        <v>#REF!</v>
      </c>
      <c r="AR9" s="373"/>
      <c r="AS9" s="372">
        <v>0</v>
      </c>
      <c r="AT9" s="343"/>
      <c r="AU9" s="332" t="e">
        <f>SUMIFS(#REF!,#REF!,'AME - Quarterly 2025'!$A9,#REF!,"abril")/1000</f>
        <v>#REF!</v>
      </c>
      <c r="AV9" s="373"/>
      <c r="AW9" s="372">
        <v>0</v>
      </c>
      <c r="AX9" s="343"/>
      <c r="AY9" s="332" t="e">
        <f>SUMIFS(#REF!,#REF!,'AME - Quarterly 2025'!$A9,#REF!,"maio")/1000</f>
        <v>#REF!</v>
      </c>
      <c r="AZ9" s="373"/>
      <c r="BA9" s="372">
        <v>0</v>
      </c>
      <c r="BB9" s="343"/>
      <c r="BC9" s="332" t="e">
        <f>SUMIFS(#REF!,#REF!,'AME - Quarterly 2025'!$A9,#REF!,"junho")/1000</f>
        <v>#REF!</v>
      </c>
      <c r="BD9" s="373"/>
      <c r="BE9" s="372">
        <v>0</v>
      </c>
      <c r="BF9" s="343"/>
      <c r="BG9" s="332" t="e">
        <f>SUMIFS(#REF!,#REF!,'AME - Quarterly 2025'!$A9,#REF!,"julho")/1000</f>
        <v>#REF!</v>
      </c>
      <c r="BH9" s="373"/>
      <c r="BI9" s="372"/>
      <c r="BJ9" s="343"/>
      <c r="BK9" s="332" t="e">
        <f>SUMIFS(#REF!,#REF!,'AME - Quarterly 2025'!$A9,#REF!,"agosto")/1000</f>
        <v>#REF!</v>
      </c>
      <c r="BL9" s="373"/>
      <c r="BM9" s="372"/>
      <c r="BN9" s="343"/>
      <c r="BO9" s="332" t="e">
        <f>SUMIFS(#REF!,#REF!,'AME - Quarterly 2025'!$A9,#REF!,"setembro")/1000</f>
        <v>#REF!</v>
      </c>
      <c r="BP9" s="373"/>
      <c r="BQ9" s="372"/>
      <c r="BR9" s="343"/>
      <c r="BS9" s="332" t="e">
        <f>SUMIFS(#REF!,#REF!,'AME - Quarterly 2025'!$A9,#REF!,"outubro")/1000</f>
        <v>#REF!</v>
      </c>
      <c r="BT9" s="373"/>
      <c r="BU9" s="372"/>
      <c r="BV9" s="343"/>
      <c r="BW9" s="332" t="e">
        <f>SUMIFS(#REF!,#REF!,'AME - Quarterly 2025'!$A9,#REF!,"novembro")/1000</f>
        <v>#REF!</v>
      </c>
      <c r="BX9" s="373"/>
      <c r="BY9" s="372"/>
      <c r="BZ9" s="343"/>
      <c r="CA9" s="332" t="e">
        <f>SUMIFS(#REF!,#REF!,'AME - Quarterly 2025'!$A9,#REF!,"dezembro")/1000</f>
        <v>#REF!</v>
      </c>
      <c r="CB9" s="373"/>
      <c r="CC9" s="452">
        <f t="shared" si="7"/>
        <v>0</v>
      </c>
      <c r="CD9" s="374"/>
      <c r="CE9" s="374"/>
      <c r="CF9" s="374"/>
      <c r="CG9" s="374"/>
      <c r="CH9" s="374"/>
      <c r="CI9" s="374"/>
      <c r="CJ9" s="374"/>
      <c r="CK9" s="374"/>
      <c r="CL9" s="374"/>
      <c r="CM9" s="374"/>
      <c r="CN9" s="374"/>
      <c r="CO9" s="374"/>
      <c r="CP9" s="319">
        <f t="shared" si="8"/>
        <v>0</v>
      </c>
      <c r="CQ9" s="320" t="e">
        <f t="shared" si="9"/>
        <v>#REF!</v>
      </c>
      <c r="CR9" s="344" t="str">
        <f>IFERROR(VLOOKUP($A9,#REF!,6,FALSE)/1000,"")</f>
        <v/>
      </c>
      <c r="CS9" s="344" t="str">
        <f>IFERROR(VLOOKUP($A9,#REF!,7,FALSE)/1000,"")</f>
        <v/>
      </c>
      <c r="CT9" s="344" t="str">
        <f>IFERROR(VLOOKUP($A9,#REF!,8,FALSE)/1000,"")</f>
        <v/>
      </c>
      <c r="CU9" s="344" t="str">
        <f>IFERROR(VLOOKUP($A9,#REF!,9,FALSE)/1000,"")</f>
        <v/>
      </c>
      <c r="CV9" s="344" t="str">
        <f>IFERROR(VLOOKUP($A9,#REF!,11,FALSE)/1000,"")</f>
        <v/>
      </c>
      <c r="CW9" s="344" t="str">
        <f>IFERROR(VLOOKUP($A9,#REF!,12,FALSE)/1000,"")</f>
        <v/>
      </c>
      <c r="CX9" s="468">
        <v>83</v>
      </c>
      <c r="CY9" s="468">
        <v>40.598939999999999</v>
      </c>
      <c r="CZ9" s="468">
        <v>17.066140000000001</v>
      </c>
      <c r="DA9" s="468">
        <v>0</v>
      </c>
      <c r="DB9" s="468">
        <v>57.665080000000003</v>
      </c>
      <c r="DC9" s="468">
        <v>25.334919999999997</v>
      </c>
      <c r="DD9" s="51"/>
    </row>
    <row r="10" spans="1:108" s="23" customFormat="1" ht="28.5" customHeight="1">
      <c r="A10" s="85" t="s">
        <v>8937</v>
      </c>
      <c r="B10" s="309">
        <v>471</v>
      </c>
      <c r="C10" s="309"/>
      <c r="D10" s="309"/>
      <c r="E10" s="309"/>
      <c r="F10" s="309"/>
      <c r="G10" s="510"/>
      <c r="H10" s="3">
        <v>2025</v>
      </c>
      <c r="I10" s="310"/>
      <c r="J10" s="309" t="s">
        <v>176</v>
      </c>
      <c r="K10" s="311"/>
      <c r="L10" s="311"/>
      <c r="M10" s="310" t="s">
        <v>2251</v>
      </c>
      <c r="N10" s="13" t="s">
        <v>9099</v>
      </c>
      <c r="O10" s="3"/>
      <c r="P10" s="3"/>
      <c r="Q10" s="3">
        <v>12</v>
      </c>
      <c r="R10" s="412" t="s">
        <v>6</v>
      </c>
      <c r="S10" s="3"/>
      <c r="T10" s="3"/>
      <c r="U10" s="413"/>
      <c r="V10" s="265" t="s">
        <v>219</v>
      </c>
      <c r="W10" s="6" t="s">
        <v>463</v>
      </c>
      <c r="X10" s="355">
        <v>54</v>
      </c>
      <c r="Y10" s="123" t="s">
        <v>11919</v>
      </c>
      <c r="Z10" s="223">
        <f t="shared" si="5"/>
        <v>0</v>
      </c>
      <c r="AA10" s="318"/>
      <c r="AB10" s="223"/>
      <c r="AC10" s="318"/>
      <c r="AD10" s="223">
        <v>0</v>
      </c>
      <c r="AE10" s="223"/>
      <c r="AF10" s="333">
        <f t="shared" si="6"/>
        <v>0</v>
      </c>
      <c r="AG10" s="372">
        <v>0</v>
      </c>
      <c r="AH10" s="343"/>
      <c r="AI10" s="332" t="e">
        <f>SUMIFS(#REF!,#REF!,'AME - Quarterly 2025'!$A21,#REF!,"janeiro")/1000</f>
        <v>#REF!</v>
      </c>
      <c r="AJ10" s="373"/>
      <c r="AK10" s="372"/>
      <c r="AL10" s="343"/>
      <c r="AM10" s="332" t="e">
        <f>SUMIFS(#REF!,#REF!,'AME - Quarterly 2025'!$A21,#REF!,"fevereiro")/1000</f>
        <v>#REF!</v>
      </c>
      <c r="AN10" s="373"/>
      <c r="AO10" s="372"/>
      <c r="AP10" s="343"/>
      <c r="AQ10" s="332" t="e">
        <f>SUMIFS(#REF!,#REF!,'AME - Quarterly 2025'!$A21,#REF!,"março")/1000</f>
        <v>#REF!</v>
      </c>
      <c r="AR10" s="373"/>
      <c r="AS10" s="372"/>
      <c r="AT10" s="343"/>
      <c r="AU10" s="332" t="e">
        <f>SUMIFS(#REF!,#REF!,'AME - Quarterly 2025'!$A21,#REF!,"abril")/1000</f>
        <v>#REF!</v>
      </c>
      <c r="AV10" s="373"/>
      <c r="AW10" s="372"/>
      <c r="AX10" s="343"/>
      <c r="AY10" s="332" t="e">
        <f>SUMIFS(#REF!,#REF!,'AME - Quarterly 2025'!$A21,#REF!,"maio")/1000</f>
        <v>#REF!</v>
      </c>
      <c r="AZ10" s="373"/>
      <c r="BA10" s="372"/>
      <c r="BB10" s="343"/>
      <c r="BC10" s="332" t="e">
        <f>SUMIFS(#REF!,#REF!,'AME - Quarterly 2025'!$A21,#REF!,"junho")/1000</f>
        <v>#REF!</v>
      </c>
      <c r="BD10" s="373"/>
      <c r="BE10" s="372"/>
      <c r="BF10" s="343"/>
      <c r="BG10" s="332" t="e">
        <f>SUMIFS(#REF!,#REF!,'AME - Quarterly 2025'!$A21,#REF!,"julho")/1000</f>
        <v>#REF!</v>
      </c>
      <c r="BH10" s="373"/>
      <c r="BI10" s="372"/>
      <c r="BJ10" s="343"/>
      <c r="BK10" s="332" t="e">
        <f>SUMIFS(#REF!,#REF!,'AME - Quarterly 2025'!$A21,#REF!,"agosto")/1000</f>
        <v>#REF!</v>
      </c>
      <c r="BL10" s="373"/>
      <c r="BM10" s="372"/>
      <c r="BN10" s="343"/>
      <c r="BO10" s="332" t="e">
        <f>SUMIFS(#REF!,#REF!,'AME - Quarterly 2025'!$A21,#REF!,"setembro")/1000</f>
        <v>#REF!</v>
      </c>
      <c r="BP10" s="373"/>
      <c r="BQ10" s="372"/>
      <c r="BR10" s="343"/>
      <c r="BS10" s="332" t="e">
        <f>SUMIFS(#REF!,#REF!,'AME - Quarterly 2025'!$A21,#REF!,"outubro")/1000</f>
        <v>#REF!</v>
      </c>
      <c r="BT10" s="373"/>
      <c r="BU10" s="372"/>
      <c r="BV10" s="343"/>
      <c r="BW10" s="332" t="e">
        <f>SUMIFS(#REF!,#REF!,'AME - Quarterly 2025'!$A21,#REF!,"novembro")/1000</f>
        <v>#REF!</v>
      </c>
      <c r="BX10" s="373"/>
      <c r="BY10" s="372"/>
      <c r="BZ10" s="343"/>
      <c r="CA10" s="332" t="e">
        <f>SUMIFS(#REF!,#REF!,'AME - Quarterly 2025'!$A21,#REF!,"dezembro")/1000</f>
        <v>#REF!</v>
      </c>
      <c r="CB10" s="373"/>
      <c r="CC10" s="452">
        <f t="shared" si="7"/>
        <v>0</v>
      </c>
      <c r="CD10" s="374"/>
      <c r="CE10" s="374"/>
      <c r="CF10" s="374"/>
      <c r="CG10" s="374"/>
      <c r="CH10" s="374"/>
      <c r="CI10" s="374"/>
      <c r="CJ10" s="374"/>
      <c r="CK10" s="374"/>
      <c r="CL10" s="374"/>
      <c r="CM10" s="374"/>
      <c r="CN10" s="374"/>
      <c r="CO10" s="374"/>
      <c r="CP10" s="319">
        <f t="shared" si="8"/>
        <v>0</v>
      </c>
      <c r="CQ10" s="320" t="e">
        <f t="shared" si="9"/>
        <v>#REF!</v>
      </c>
      <c r="CR10" s="344" t="str">
        <f>IFERROR(VLOOKUP($A10,#REF!,6,FALSE)/1000,"")</f>
        <v/>
      </c>
      <c r="CS10" s="344" t="str">
        <f>IFERROR(VLOOKUP($A10,#REF!,7,FALSE)/1000,"")</f>
        <v/>
      </c>
      <c r="CT10" s="344" t="str">
        <f>IFERROR(VLOOKUP($A10,#REF!,8,FALSE)/1000,"")</f>
        <v/>
      </c>
      <c r="CU10" s="344" t="str">
        <f>IFERROR(VLOOKUP($A10,#REF!,9,FALSE)/1000,"")</f>
        <v/>
      </c>
      <c r="CV10" s="344" t="str">
        <f>IFERROR(VLOOKUP($A10,#REF!,11,FALSE)/1000,"")</f>
        <v/>
      </c>
      <c r="CW10" s="344" t="str">
        <f>IFERROR(VLOOKUP($A10,#REF!,12,FALSE)/1000,"")</f>
        <v/>
      </c>
      <c r="CX10" s="468">
        <v>100</v>
      </c>
      <c r="CY10" s="468">
        <v>0</v>
      </c>
      <c r="CZ10" s="468">
        <v>83.016259999999988</v>
      </c>
      <c r="DA10" s="468">
        <v>0</v>
      </c>
      <c r="DB10" s="468">
        <v>83.016259999999988</v>
      </c>
      <c r="DC10" s="468">
        <v>16.983740000000001</v>
      </c>
      <c r="DD10" s="51"/>
    </row>
    <row r="11" spans="1:108" s="23" customFormat="1" ht="28.5" customHeight="1">
      <c r="A11" s="85" t="s">
        <v>8938</v>
      </c>
      <c r="B11" s="309">
        <v>271</v>
      </c>
      <c r="C11" s="85"/>
      <c r="D11" s="309"/>
      <c r="E11" s="85"/>
      <c r="F11" s="85"/>
      <c r="G11" s="486"/>
      <c r="H11" s="3">
        <v>2025</v>
      </c>
      <c r="I11" s="5"/>
      <c r="J11" s="309" t="s">
        <v>176</v>
      </c>
      <c r="K11" s="13"/>
      <c r="L11" s="13"/>
      <c r="M11" s="310" t="s">
        <v>2251</v>
      </c>
      <c r="N11" s="48" t="s">
        <v>11916</v>
      </c>
      <c r="O11" s="3" t="s">
        <v>316</v>
      </c>
      <c r="P11" s="3"/>
      <c r="Q11" s="3">
        <v>14</v>
      </c>
      <c r="R11" s="412" t="s">
        <v>6</v>
      </c>
      <c r="S11" s="3"/>
      <c r="T11" s="3"/>
      <c r="U11" s="413"/>
      <c r="V11" s="265" t="s">
        <v>219</v>
      </c>
      <c r="W11" s="6" t="s">
        <v>463</v>
      </c>
      <c r="X11" s="355">
        <v>8.4</v>
      </c>
      <c r="Y11" s="123" t="s">
        <v>11919</v>
      </c>
      <c r="Z11" s="223">
        <f t="shared" si="5"/>
        <v>0</v>
      </c>
      <c r="AA11" s="318"/>
      <c r="AB11" s="223"/>
      <c r="AC11" s="318"/>
      <c r="AD11" s="223">
        <v>0</v>
      </c>
      <c r="AE11" s="223"/>
      <c r="AF11" s="333">
        <f t="shared" si="6"/>
        <v>0</v>
      </c>
      <c r="AG11" s="372">
        <v>0</v>
      </c>
      <c r="AH11" s="343"/>
      <c r="AI11" s="332" t="e">
        <f>SUMIFS(#REF!,#REF!,'AME - Quarterly 2025'!#REF!,#REF!,"janeiro")/1000</f>
        <v>#REF!</v>
      </c>
      <c r="AJ11" s="373"/>
      <c r="AK11" s="372"/>
      <c r="AL11" s="343"/>
      <c r="AM11" s="332" t="e">
        <f>SUMIFS(#REF!,#REF!,'AME - Quarterly 2025'!#REF!,#REF!,"fevereiro")/1000</f>
        <v>#REF!</v>
      </c>
      <c r="AN11" s="373"/>
      <c r="AO11" s="372"/>
      <c r="AP11" s="343"/>
      <c r="AQ11" s="332" t="e">
        <f>SUMIFS(#REF!,#REF!,'AME - Quarterly 2025'!#REF!,#REF!,"março")/1000</f>
        <v>#REF!</v>
      </c>
      <c r="AR11" s="373"/>
      <c r="AS11" s="372"/>
      <c r="AT11" s="343"/>
      <c r="AU11" s="332" t="e">
        <f>SUMIFS(#REF!,#REF!,'AME - Quarterly 2025'!#REF!,#REF!,"abril")/1000</f>
        <v>#REF!</v>
      </c>
      <c r="AV11" s="373"/>
      <c r="AW11" s="372"/>
      <c r="AX11" s="343"/>
      <c r="AY11" s="332" t="e">
        <f>SUMIFS(#REF!,#REF!,'AME - Quarterly 2025'!#REF!,#REF!,"maio")/1000</f>
        <v>#REF!</v>
      </c>
      <c r="AZ11" s="373"/>
      <c r="BA11" s="372"/>
      <c r="BB11" s="343"/>
      <c r="BC11" s="332" t="e">
        <f>SUMIFS(#REF!,#REF!,'AME - Quarterly 2025'!#REF!,#REF!,"junho")/1000</f>
        <v>#REF!</v>
      </c>
      <c r="BD11" s="373"/>
      <c r="BE11" s="372"/>
      <c r="BF11" s="343"/>
      <c r="BG11" s="332" t="e">
        <f>SUMIFS(#REF!,#REF!,'AME - Quarterly 2025'!#REF!,#REF!,"julho")/1000</f>
        <v>#REF!</v>
      </c>
      <c r="BH11" s="373"/>
      <c r="BI11" s="372"/>
      <c r="BJ11" s="343"/>
      <c r="BK11" s="332" t="e">
        <f>SUMIFS(#REF!,#REF!,'AME - Quarterly 2025'!#REF!,#REF!,"agosto")/1000</f>
        <v>#REF!</v>
      </c>
      <c r="BL11" s="373"/>
      <c r="BM11" s="372"/>
      <c r="BN11" s="343"/>
      <c r="BO11" s="332" t="e">
        <f>SUMIFS(#REF!,#REF!,'AME - Quarterly 2025'!#REF!,#REF!,"setembro")/1000</f>
        <v>#REF!</v>
      </c>
      <c r="BP11" s="373"/>
      <c r="BQ11" s="372"/>
      <c r="BR11" s="343"/>
      <c r="BS11" s="332" t="e">
        <f>SUMIFS(#REF!,#REF!,'AME - Quarterly 2025'!#REF!,#REF!,"outubro")/1000</f>
        <v>#REF!</v>
      </c>
      <c r="BT11" s="373"/>
      <c r="BU11" s="372"/>
      <c r="BV11" s="343"/>
      <c r="BW11" s="332" t="e">
        <f>SUMIFS(#REF!,#REF!,'AME - Quarterly 2025'!#REF!,#REF!,"novembro")/1000</f>
        <v>#REF!</v>
      </c>
      <c r="BX11" s="373"/>
      <c r="BY11" s="372"/>
      <c r="BZ11" s="343"/>
      <c r="CA11" s="332" t="e">
        <f>SUMIFS(#REF!,#REF!,'AME - Quarterly 2025'!#REF!,#REF!,"dezembro")/1000</f>
        <v>#REF!</v>
      </c>
      <c r="CB11" s="373"/>
      <c r="CC11" s="452">
        <f t="shared" si="7"/>
        <v>0</v>
      </c>
      <c r="CD11" s="374"/>
      <c r="CE11" s="374"/>
      <c r="CF11" s="374"/>
      <c r="CG11" s="374"/>
      <c r="CH11" s="374"/>
      <c r="CI11" s="374"/>
      <c r="CJ11" s="374"/>
      <c r="CK11" s="374"/>
      <c r="CL11" s="374"/>
      <c r="CM11" s="374"/>
      <c r="CN11" s="374"/>
      <c r="CO11" s="374"/>
      <c r="CP11" s="319">
        <f t="shared" si="8"/>
        <v>0</v>
      </c>
      <c r="CQ11" s="320" t="e">
        <f t="shared" si="9"/>
        <v>#REF!</v>
      </c>
      <c r="CR11" s="344" t="str">
        <f>IFERROR(VLOOKUP($A11,#REF!,6,FALSE)/1000,"")</f>
        <v/>
      </c>
      <c r="CS11" s="344" t="str">
        <f>IFERROR(VLOOKUP($A11,#REF!,7,FALSE)/1000,"")</f>
        <v/>
      </c>
      <c r="CT11" s="344" t="str">
        <f>IFERROR(VLOOKUP($A11,#REF!,8,FALSE)/1000,"")</f>
        <v/>
      </c>
      <c r="CU11" s="344" t="str">
        <f>IFERROR(VLOOKUP($A11,#REF!,9,FALSE)/1000,"")</f>
        <v/>
      </c>
      <c r="CV11" s="344" t="str">
        <f>IFERROR(VLOOKUP($A11,#REF!,11,FALSE)/1000,"")</f>
        <v/>
      </c>
      <c r="CW11" s="344" t="str">
        <f>IFERROR(VLOOKUP($A11,#REF!,12,FALSE)/1000,"")</f>
        <v/>
      </c>
      <c r="CX11" s="468">
        <v>42.076230000000002</v>
      </c>
      <c r="CY11" s="468">
        <v>0</v>
      </c>
      <c r="CZ11" s="468">
        <v>0</v>
      </c>
      <c r="DA11" s="468">
        <v>0</v>
      </c>
      <c r="DB11" s="468">
        <v>0</v>
      </c>
      <c r="DC11" s="468">
        <v>42.076230000000002</v>
      </c>
      <c r="DD11" s="51"/>
    </row>
    <row r="12" spans="1:108" s="23" customFormat="1" ht="28.5" customHeight="1">
      <c r="A12" s="85" t="s">
        <v>8939</v>
      </c>
      <c r="B12" s="86">
        <v>448</v>
      </c>
      <c r="C12" s="85"/>
      <c r="D12" s="309"/>
      <c r="E12" s="85"/>
      <c r="F12" s="85"/>
      <c r="G12" s="531"/>
      <c r="H12" s="3">
        <v>2025</v>
      </c>
      <c r="I12" s="5"/>
      <c r="J12" s="309" t="s">
        <v>176</v>
      </c>
      <c r="K12" s="13"/>
      <c r="L12" s="13"/>
      <c r="M12" s="310" t="s">
        <v>2769</v>
      </c>
      <c r="N12" s="48" t="s">
        <v>12243</v>
      </c>
      <c r="O12" s="3" t="s">
        <v>2255</v>
      </c>
      <c r="P12" s="3"/>
      <c r="Q12" s="3"/>
      <c r="R12" s="412" t="s">
        <v>6</v>
      </c>
      <c r="S12" s="3"/>
      <c r="T12" s="3"/>
      <c r="U12" s="413"/>
      <c r="V12" s="265" t="s">
        <v>219</v>
      </c>
      <c r="W12" s="6" t="s">
        <v>463</v>
      </c>
      <c r="X12" s="355">
        <v>45</v>
      </c>
      <c r="Y12" s="123" t="s">
        <v>11919</v>
      </c>
      <c r="Z12" s="223"/>
      <c r="AA12" s="318"/>
      <c r="AB12" s="223"/>
      <c r="AC12" s="318"/>
      <c r="AD12" s="223"/>
      <c r="AE12" s="223"/>
      <c r="AF12" s="333">
        <f t="shared" si="6"/>
        <v>0</v>
      </c>
      <c r="AG12" s="372"/>
      <c r="AH12" s="343"/>
      <c r="AI12" s="332"/>
      <c r="AJ12" s="373"/>
      <c r="AK12" s="372"/>
      <c r="AL12" s="343"/>
      <c r="AM12" s="332"/>
      <c r="AN12" s="373"/>
      <c r="AO12" s="372"/>
      <c r="AP12" s="343"/>
      <c r="AQ12" s="332"/>
      <c r="AR12" s="373"/>
      <c r="AS12" s="372"/>
      <c r="AT12" s="343"/>
      <c r="AU12" s="332"/>
      <c r="AV12" s="373"/>
      <c r="AW12" s="372"/>
      <c r="AX12" s="343"/>
      <c r="AY12" s="332"/>
      <c r="AZ12" s="373"/>
      <c r="BA12" s="372"/>
      <c r="BB12" s="343"/>
      <c r="BC12" s="332"/>
      <c r="BD12" s="373"/>
      <c r="BE12" s="372"/>
      <c r="BF12" s="343"/>
      <c r="BG12" s="332"/>
      <c r="BH12" s="373"/>
      <c r="BI12" s="372"/>
      <c r="BJ12" s="343"/>
      <c r="BK12" s="332"/>
      <c r="BL12" s="373"/>
      <c r="BM12" s="372"/>
      <c r="BN12" s="343"/>
      <c r="BO12" s="332"/>
      <c r="BP12" s="373"/>
      <c r="BQ12" s="372"/>
      <c r="BR12" s="343"/>
      <c r="BS12" s="332"/>
      <c r="BT12" s="373"/>
      <c r="BU12" s="372"/>
      <c r="BV12" s="343"/>
      <c r="BW12" s="332"/>
      <c r="BX12" s="373"/>
      <c r="BY12" s="372"/>
      <c r="BZ12" s="343"/>
      <c r="CA12" s="332"/>
      <c r="CB12" s="373"/>
      <c r="CC12" s="452"/>
      <c r="CD12" s="374"/>
      <c r="CE12" s="374"/>
      <c r="CF12" s="374"/>
      <c r="CG12" s="374"/>
      <c r="CH12" s="374"/>
      <c r="CI12" s="374"/>
      <c r="CJ12" s="374"/>
      <c r="CK12" s="374"/>
      <c r="CL12" s="374"/>
      <c r="CM12" s="374"/>
      <c r="CN12" s="374"/>
      <c r="CO12" s="374"/>
      <c r="CP12" s="319">
        <f t="shared" ref="CP12" si="10">AJ12-AG12</f>
        <v>0</v>
      </c>
      <c r="CQ12" s="320">
        <f t="shared" ref="CQ12" si="11">AJ12-AI12</f>
        <v>0</v>
      </c>
      <c r="CR12" s="344" t="str">
        <f>IFERROR(VLOOKUP($A12,#REF!,6,FALSE)/1000,"")</f>
        <v/>
      </c>
      <c r="CS12" s="344" t="str">
        <f>IFERROR(VLOOKUP($A12,#REF!,7,FALSE)/1000,"")</f>
        <v/>
      </c>
      <c r="CT12" s="344" t="str">
        <f>IFERROR(VLOOKUP($A12,#REF!,8,FALSE)/1000,"")</f>
        <v/>
      </c>
      <c r="CU12" s="344" t="str">
        <f>IFERROR(VLOOKUP($A12,#REF!,9,FALSE)/1000,"")</f>
        <v/>
      </c>
      <c r="CV12" s="344" t="str">
        <f>IFERROR(VLOOKUP($A12,#REF!,11,FALSE)/1000,"")</f>
        <v/>
      </c>
      <c r="CW12" s="344" t="str">
        <f>IFERROR(VLOOKUP($A12,#REF!,12,FALSE)/1000,"")</f>
        <v/>
      </c>
      <c r="CX12" s="468">
        <v>42.076230000000002</v>
      </c>
      <c r="CY12" s="468">
        <v>0</v>
      </c>
      <c r="CZ12" s="468">
        <v>0</v>
      </c>
      <c r="DA12" s="468">
        <v>0</v>
      </c>
      <c r="DB12" s="468">
        <v>0</v>
      </c>
      <c r="DC12" s="468">
        <v>42.076230000000002</v>
      </c>
      <c r="DD12" s="51"/>
    </row>
    <row r="13" spans="1:108" s="23" customFormat="1" ht="28.5" customHeight="1">
      <c r="A13" s="85" t="s">
        <v>8940</v>
      </c>
      <c r="B13" s="86">
        <v>6</v>
      </c>
      <c r="C13" s="85"/>
      <c r="D13" s="309"/>
      <c r="E13" s="85"/>
      <c r="F13" s="85"/>
      <c r="G13" s="531"/>
      <c r="H13" s="3">
        <v>2025</v>
      </c>
      <c r="I13" s="5"/>
      <c r="J13" s="309" t="s">
        <v>176</v>
      </c>
      <c r="K13" s="13"/>
      <c r="L13" s="13"/>
      <c r="M13" s="310" t="s">
        <v>2259</v>
      </c>
      <c r="N13" s="5" t="s">
        <v>11314</v>
      </c>
      <c r="O13" s="3" t="s">
        <v>316</v>
      </c>
      <c r="P13" s="3"/>
      <c r="Q13" s="3"/>
      <c r="R13" s="536"/>
      <c r="S13" s="3"/>
      <c r="T13" s="3"/>
      <c r="U13" s="413"/>
      <c r="V13" s="265" t="s">
        <v>219</v>
      </c>
      <c r="W13" s="6" t="s">
        <v>463</v>
      </c>
      <c r="X13" s="355">
        <v>32.273760000000003</v>
      </c>
      <c r="Y13" s="123" t="s">
        <v>11919</v>
      </c>
      <c r="Z13" s="223"/>
      <c r="AA13" s="318"/>
      <c r="AB13" s="223"/>
      <c r="AC13" s="318"/>
      <c r="AD13" s="223"/>
      <c r="AE13" s="223"/>
      <c r="AF13" s="333">
        <f t="shared" si="6"/>
        <v>0</v>
      </c>
      <c r="AG13" s="372"/>
      <c r="AH13" s="343"/>
      <c r="AI13" s="332"/>
      <c r="AJ13" s="373"/>
      <c r="AK13" s="372"/>
      <c r="AL13" s="343"/>
      <c r="AM13" s="332"/>
      <c r="AN13" s="373"/>
      <c r="AO13" s="372"/>
      <c r="AP13" s="343"/>
      <c r="AQ13" s="332"/>
      <c r="AR13" s="373"/>
      <c r="AS13" s="372"/>
      <c r="AT13" s="343"/>
      <c r="AU13" s="332"/>
      <c r="AV13" s="373"/>
      <c r="AW13" s="372"/>
      <c r="AX13" s="343"/>
      <c r="AY13" s="332"/>
      <c r="AZ13" s="373"/>
      <c r="BA13" s="372"/>
      <c r="BB13" s="343"/>
      <c r="BC13" s="332"/>
      <c r="BD13" s="373"/>
      <c r="BE13" s="372"/>
      <c r="BF13" s="343"/>
      <c r="BG13" s="332"/>
      <c r="BH13" s="373"/>
      <c r="BI13" s="372"/>
      <c r="BJ13" s="343"/>
      <c r="BK13" s="332"/>
      <c r="BL13" s="373"/>
      <c r="BM13" s="372"/>
      <c r="BN13" s="343"/>
      <c r="BO13" s="332"/>
      <c r="BP13" s="373"/>
      <c r="BQ13" s="372"/>
      <c r="BR13" s="343"/>
      <c r="BS13" s="332"/>
      <c r="BT13" s="373"/>
      <c r="BU13" s="372"/>
      <c r="BV13" s="343"/>
      <c r="BW13" s="332"/>
      <c r="BX13" s="373"/>
      <c r="BY13" s="372"/>
      <c r="BZ13" s="343"/>
      <c r="CA13" s="332"/>
      <c r="CB13" s="373"/>
      <c r="CC13" s="452"/>
      <c r="CD13" s="374"/>
      <c r="CE13" s="374"/>
      <c r="CF13" s="374"/>
      <c r="CG13" s="374"/>
      <c r="CH13" s="374"/>
      <c r="CI13" s="374"/>
      <c r="CJ13" s="374"/>
      <c r="CK13" s="374"/>
      <c r="CL13" s="374"/>
      <c r="CM13" s="374"/>
      <c r="CN13" s="374"/>
      <c r="CO13" s="374"/>
      <c r="CP13" s="319"/>
      <c r="CQ13" s="320"/>
      <c r="CR13" s="344"/>
      <c r="CS13" s="344"/>
      <c r="CT13" s="344"/>
      <c r="CU13" s="344"/>
      <c r="CV13" s="344"/>
      <c r="CW13" s="344"/>
      <c r="CX13" s="468"/>
      <c r="CY13" s="468"/>
      <c r="CZ13" s="468"/>
      <c r="DA13" s="468"/>
      <c r="DB13" s="468"/>
      <c r="DC13" s="468"/>
      <c r="DD13" s="51"/>
    </row>
    <row r="14" spans="1:108" s="23" customFormat="1" ht="28.5" customHeight="1">
      <c r="A14" s="85" t="s">
        <v>8941</v>
      </c>
      <c r="B14" s="86">
        <v>480</v>
      </c>
      <c r="C14" s="85"/>
      <c r="D14" s="309"/>
      <c r="E14" s="85"/>
      <c r="F14" s="85"/>
      <c r="G14" s="531"/>
      <c r="H14" s="3">
        <v>2025</v>
      </c>
      <c r="I14" s="5"/>
      <c r="J14" s="309" t="s">
        <v>176</v>
      </c>
      <c r="K14" s="13"/>
      <c r="L14" s="13"/>
      <c r="M14" s="310" t="s">
        <v>16996</v>
      </c>
      <c r="N14" s="5" t="s">
        <v>16997</v>
      </c>
      <c r="O14" s="3" t="s">
        <v>316</v>
      </c>
      <c r="P14" s="3"/>
      <c r="Q14" s="3"/>
      <c r="R14" s="536"/>
      <c r="S14" s="3"/>
      <c r="T14" s="3"/>
      <c r="U14" s="413"/>
      <c r="V14" s="265" t="s">
        <v>219</v>
      </c>
      <c r="W14" s="6" t="s">
        <v>463</v>
      </c>
      <c r="X14" s="355">
        <v>51.4</v>
      </c>
      <c r="Y14" s="123" t="s">
        <v>11919</v>
      </c>
      <c r="Z14" s="223"/>
      <c r="AA14" s="318"/>
      <c r="AB14" s="223"/>
      <c r="AC14" s="318"/>
      <c r="AD14" s="223"/>
      <c r="AE14" s="223"/>
      <c r="AF14" s="333">
        <f t="shared" si="6"/>
        <v>0</v>
      </c>
      <c r="AG14" s="372"/>
      <c r="AH14" s="343"/>
      <c r="AI14" s="332"/>
      <c r="AJ14" s="373"/>
      <c r="AK14" s="372"/>
      <c r="AL14" s="343"/>
      <c r="AM14" s="332"/>
      <c r="AN14" s="373"/>
      <c r="AO14" s="372"/>
      <c r="AP14" s="343"/>
      <c r="AQ14" s="332"/>
      <c r="AR14" s="373"/>
      <c r="AS14" s="372"/>
      <c r="AT14" s="343"/>
      <c r="AU14" s="332"/>
      <c r="AV14" s="373"/>
      <c r="AW14" s="372"/>
      <c r="AX14" s="343"/>
      <c r="AY14" s="332"/>
      <c r="AZ14" s="373"/>
      <c r="BA14" s="372"/>
      <c r="BB14" s="343"/>
      <c r="BC14" s="332"/>
      <c r="BD14" s="373"/>
      <c r="BE14" s="372"/>
      <c r="BF14" s="343"/>
      <c r="BG14" s="332"/>
      <c r="BH14" s="373"/>
      <c r="BI14" s="372"/>
      <c r="BJ14" s="343"/>
      <c r="BK14" s="332"/>
      <c r="BL14" s="373"/>
      <c r="BM14" s="372"/>
      <c r="BN14" s="343"/>
      <c r="BO14" s="332"/>
      <c r="BP14" s="373"/>
      <c r="BQ14" s="372"/>
      <c r="BR14" s="343"/>
      <c r="BS14" s="332"/>
      <c r="BT14" s="373"/>
      <c r="BU14" s="372"/>
      <c r="BV14" s="343"/>
      <c r="BW14" s="332"/>
      <c r="BX14" s="373"/>
      <c r="BY14" s="372"/>
      <c r="BZ14" s="343"/>
      <c r="CA14" s="332"/>
      <c r="CB14" s="373"/>
      <c r="CC14" s="452"/>
      <c r="CD14" s="374"/>
      <c r="CE14" s="374"/>
      <c r="CF14" s="374"/>
      <c r="CG14" s="374"/>
      <c r="CH14" s="374"/>
      <c r="CI14" s="374"/>
      <c r="CJ14" s="374"/>
      <c r="CK14" s="374"/>
      <c r="CL14" s="374"/>
      <c r="CM14" s="374"/>
      <c r="CN14" s="374"/>
      <c r="CO14" s="374"/>
      <c r="CP14" s="319"/>
      <c r="CQ14" s="320"/>
      <c r="CR14" s="344"/>
      <c r="CS14" s="344"/>
      <c r="CT14" s="344"/>
      <c r="CU14" s="344"/>
      <c r="CV14" s="344"/>
      <c r="CW14" s="344"/>
      <c r="CX14" s="468"/>
      <c r="CY14" s="468"/>
      <c r="CZ14" s="468"/>
      <c r="DA14" s="468"/>
      <c r="DB14" s="468"/>
      <c r="DC14" s="468"/>
      <c r="DD14" s="51"/>
    </row>
    <row r="15" spans="1:108" s="23" customFormat="1" ht="32.25" customHeight="1">
      <c r="A15" s="85" t="s">
        <v>10774</v>
      </c>
      <c r="B15" s="309">
        <v>163</v>
      </c>
      <c r="C15" s="309"/>
      <c r="D15" s="309"/>
      <c r="E15" s="309"/>
      <c r="F15" s="309"/>
      <c r="G15" s="511" t="s">
        <v>6</v>
      </c>
      <c r="H15" s="3">
        <v>2025</v>
      </c>
      <c r="I15" s="310"/>
      <c r="J15" s="3" t="s">
        <v>176</v>
      </c>
      <c r="K15" s="311"/>
      <c r="L15" s="311"/>
      <c r="M15" s="310" t="s">
        <v>1125</v>
      </c>
      <c r="N15" s="13" t="s">
        <v>8950</v>
      </c>
      <c r="O15" s="3" t="s">
        <v>186</v>
      </c>
      <c r="P15" s="3"/>
      <c r="Q15" s="3">
        <v>4</v>
      </c>
      <c r="R15" s="511" t="s">
        <v>6</v>
      </c>
      <c r="S15" s="3"/>
      <c r="T15" s="3"/>
      <c r="U15" s="413"/>
      <c r="V15" s="265" t="s">
        <v>573</v>
      </c>
      <c r="W15" s="6" t="s">
        <v>733</v>
      </c>
      <c r="X15" s="355">
        <v>55</v>
      </c>
      <c r="Y15" s="123" t="s">
        <v>9103</v>
      </c>
      <c r="Z15" s="223">
        <f t="shared" si="5"/>
        <v>0</v>
      </c>
      <c r="AA15" s="318"/>
      <c r="AB15" s="223"/>
      <c r="AC15" s="318"/>
      <c r="AD15" s="223">
        <v>0</v>
      </c>
      <c r="AE15" s="223"/>
      <c r="AF15" s="333">
        <f t="shared" si="6"/>
        <v>0</v>
      </c>
      <c r="AG15" s="372">
        <v>0</v>
      </c>
      <c r="AH15" s="343"/>
      <c r="AI15" s="332" t="e">
        <f>SUMIFS(#REF!,#REF!,'AME - Quarterly 2025'!$A19,#REF!,"janeiro")/1000</f>
        <v>#REF!</v>
      </c>
      <c r="AJ15" s="373"/>
      <c r="AK15" s="372"/>
      <c r="AL15" s="343"/>
      <c r="AM15" s="332" t="e">
        <f>SUMIFS(#REF!,#REF!,'AME - Quarterly 2025'!$A19,#REF!,"fevereiro")/1000</f>
        <v>#REF!</v>
      </c>
      <c r="AN15" s="373"/>
      <c r="AO15" s="372"/>
      <c r="AP15" s="343"/>
      <c r="AQ15" s="332" t="e">
        <f>SUMIFS(#REF!,#REF!,'AME - Quarterly 2025'!$A19,#REF!,"março")/1000</f>
        <v>#REF!</v>
      </c>
      <c r="AR15" s="373"/>
      <c r="AS15" s="372"/>
      <c r="AT15" s="343"/>
      <c r="AU15" s="332" t="e">
        <f>SUMIFS(#REF!,#REF!,'AME - Quarterly 2025'!$A19,#REF!,"abril")/1000</f>
        <v>#REF!</v>
      </c>
      <c r="AV15" s="373"/>
      <c r="AW15" s="372"/>
      <c r="AX15" s="343"/>
      <c r="AY15" s="332" t="e">
        <f>SUMIFS(#REF!,#REF!,'AME - Quarterly 2025'!$A19,#REF!,"maio")/1000</f>
        <v>#REF!</v>
      </c>
      <c r="AZ15" s="373"/>
      <c r="BA15" s="372"/>
      <c r="BB15" s="343"/>
      <c r="BC15" s="332" t="e">
        <f>SUMIFS(#REF!,#REF!,'AME - Quarterly 2025'!$A19,#REF!,"junho")/1000</f>
        <v>#REF!</v>
      </c>
      <c r="BD15" s="373"/>
      <c r="BE15" s="372"/>
      <c r="BF15" s="343"/>
      <c r="BG15" s="332" t="e">
        <f>SUMIFS(#REF!,#REF!,'AME - Quarterly 2025'!$A19,#REF!,"julho")/1000</f>
        <v>#REF!</v>
      </c>
      <c r="BH15" s="373"/>
      <c r="BI15" s="372"/>
      <c r="BJ15" s="343"/>
      <c r="BK15" s="332" t="e">
        <f>SUMIFS(#REF!,#REF!,'AME - Quarterly 2025'!$A19,#REF!,"agosto")/1000</f>
        <v>#REF!</v>
      </c>
      <c r="BL15" s="373"/>
      <c r="BM15" s="372"/>
      <c r="BN15" s="343"/>
      <c r="BO15" s="332" t="e">
        <f>SUMIFS(#REF!,#REF!,'AME - Quarterly 2025'!$A19,#REF!,"setembro")/1000</f>
        <v>#REF!</v>
      </c>
      <c r="BP15" s="373"/>
      <c r="BQ15" s="372"/>
      <c r="BR15" s="343"/>
      <c r="BS15" s="332" t="e">
        <f>SUMIFS(#REF!,#REF!,'AME - Quarterly 2025'!$A19,#REF!,"outubro")/1000</f>
        <v>#REF!</v>
      </c>
      <c r="BT15" s="373"/>
      <c r="BU15" s="372"/>
      <c r="BV15" s="343"/>
      <c r="BW15" s="332" t="e">
        <f>SUMIFS(#REF!,#REF!,'AME - Quarterly 2025'!$A19,#REF!,"novembro")/1000</f>
        <v>#REF!</v>
      </c>
      <c r="BX15" s="373"/>
      <c r="BY15" s="372"/>
      <c r="BZ15" s="343"/>
      <c r="CA15" s="332" t="e">
        <f>SUMIFS(#REF!,#REF!,'AME - Quarterly 2025'!$A19,#REF!,"dezembro")/1000</f>
        <v>#REF!</v>
      </c>
      <c r="CB15" s="373"/>
      <c r="CC15" s="452">
        <f t="shared" si="7"/>
        <v>0</v>
      </c>
      <c r="CD15" s="374"/>
      <c r="CE15" s="374"/>
      <c r="CF15" s="374"/>
      <c r="CG15" s="374"/>
      <c r="CH15" s="374"/>
      <c r="CI15" s="374"/>
      <c r="CJ15" s="374"/>
      <c r="CK15" s="374"/>
      <c r="CL15" s="374"/>
      <c r="CM15" s="374"/>
      <c r="CN15" s="374"/>
      <c r="CO15" s="374"/>
      <c r="CP15" s="319">
        <f t="shared" si="8"/>
        <v>0</v>
      </c>
      <c r="CQ15" s="320" t="e">
        <f t="shared" si="9"/>
        <v>#REF!</v>
      </c>
      <c r="CR15" s="344" t="str">
        <f>IFERROR(VLOOKUP($A15,#REF!,6,FALSE)/1000,"")</f>
        <v/>
      </c>
      <c r="CS15" s="344" t="str">
        <f>IFERROR(VLOOKUP($A15,#REF!,7,FALSE)/1000,"")</f>
        <v/>
      </c>
      <c r="CT15" s="344" t="str">
        <f>IFERROR(VLOOKUP($A15,#REF!,8,FALSE)/1000,"")</f>
        <v/>
      </c>
      <c r="CU15" s="344" t="str">
        <f>IFERROR(VLOOKUP($A15,#REF!,9,FALSE)/1000,"")</f>
        <v/>
      </c>
      <c r="CV15" s="344" t="str">
        <f>IFERROR(VLOOKUP($A15,#REF!,11,FALSE)/1000,"")</f>
        <v/>
      </c>
      <c r="CW15" s="344" t="str">
        <f>IFERROR(VLOOKUP($A15,#REF!,12,FALSE)/1000,"")</f>
        <v/>
      </c>
      <c r="CX15" s="468">
        <v>25.045400000000001</v>
      </c>
      <c r="CY15" s="468">
        <v>17.692769999999999</v>
      </c>
      <c r="CZ15" s="468">
        <v>0.90264</v>
      </c>
      <c r="DA15" s="468">
        <v>0</v>
      </c>
      <c r="DB15" s="468">
        <v>18.595410000000001</v>
      </c>
      <c r="DC15" s="468">
        <v>6.4499899999999997</v>
      </c>
      <c r="DD15" s="51"/>
    </row>
    <row r="16" spans="1:108" s="23" customFormat="1" ht="37" customHeight="1">
      <c r="A16" s="85" t="s">
        <v>8942</v>
      </c>
      <c r="B16" s="309">
        <v>372</v>
      </c>
      <c r="C16" s="309"/>
      <c r="D16" s="309"/>
      <c r="E16" s="310"/>
      <c r="F16" s="309"/>
      <c r="G16" s="511" t="s">
        <v>6</v>
      </c>
      <c r="H16" s="3">
        <v>2025</v>
      </c>
      <c r="I16" s="310"/>
      <c r="J16" s="3" t="s">
        <v>176</v>
      </c>
      <c r="K16" s="311"/>
      <c r="L16" s="311"/>
      <c r="M16" s="310" t="s">
        <v>1125</v>
      </c>
      <c r="N16" s="13" t="s">
        <v>8951</v>
      </c>
      <c r="O16" s="3" t="s">
        <v>186</v>
      </c>
      <c r="P16" s="3"/>
      <c r="Q16" s="3">
        <v>5</v>
      </c>
      <c r="R16" s="511" t="s">
        <v>6</v>
      </c>
      <c r="S16" s="3"/>
      <c r="T16" s="3"/>
      <c r="U16" s="413"/>
      <c r="V16" s="265" t="s">
        <v>573</v>
      </c>
      <c r="W16" s="6" t="s">
        <v>733</v>
      </c>
      <c r="X16" s="355">
        <v>60</v>
      </c>
      <c r="Y16" s="123" t="s">
        <v>9103</v>
      </c>
      <c r="Z16" s="223">
        <f t="shared" si="5"/>
        <v>0</v>
      </c>
      <c r="AA16" s="318"/>
      <c r="AB16" s="223"/>
      <c r="AC16" s="318"/>
      <c r="AD16" s="223">
        <v>0</v>
      </c>
      <c r="AE16" s="223"/>
      <c r="AF16" s="333">
        <f t="shared" si="6"/>
        <v>0</v>
      </c>
      <c r="AG16" s="372">
        <v>0</v>
      </c>
      <c r="AH16" s="343">
        <v>0</v>
      </c>
      <c r="AI16" s="332" t="e">
        <f>SUMIFS(#REF!,#REF!,'AME - Quarterly 2025'!$A20,#REF!,"janeiro")/1000</f>
        <v>#REF!</v>
      </c>
      <c r="AJ16" s="373"/>
      <c r="AK16" s="372"/>
      <c r="AL16" s="343">
        <v>0</v>
      </c>
      <c r="AM16" s="332" t="e">
        <f>SUMIFS(#REF!,#REF!,'AME - Quarterly 2025'!$A20,#REF!,"fevereiro")/1000</f>
        <v>#REF!</v>
      </c>
      <c r="AN16" s="373"/>
      <c r="AO16" s="372">
        <v>0</v>
      </c>
      <c r="AP16" s="343"/>
      <c r="AQ16" s="332" t="e">
        <f>SUMIFS(#REF!,#REF!,'AME - Quarterly 2025'!$A20,#REF!,"março")/1000</f>
        <v>#REF!</v>
      </c>
      <c r="AR16" s="373"/>
      <c r="AS16" s="372"/>
      <c r="AT16" s="343"/>
      <c r="AU16" s="332" t="e">
        <f>SUMIFS(#REF!,#REF!,'AME - Quarterly 2025'!$A20,#REF!,"abril")/1000</f>
        <v>#REF!</v>
      </c>
      <c r="AV16" s="373"/>
      <c r="AW16" s="372"/>
      <c r="AX16" s="343"/>
      <c r="AY16" s="332" t="e">
        <f>SUMIFS(#REF!,#REF!,'AME - Quarterly 2025'!$A20,#REF!,"maio")/1000</f>
        <v>#REF!</v>
      </c>
      <c r="AZ16" s="373"/>
      <c r="BA16" s="372"/>
      <c r="BB16" s="343"/>
      <c r="BC16" s="332" t="e">
        <f>SUMIFS(#REF!,#REF!,'AME - Quarterly 2025'!$A20,#REF!,"junho")/1000</f>
        <v>#REF!</v>
      </c>
      <c r="BD16" s="373"/>
      <c r="BE16" s="372"/>
      <c r="BF16" s="343"/>
      <c r="BG16" s="332" t="e">
        <f>SUMIFS(#REF!,#REF!,'AME - Quarterly 2025'!$A20,#REF!,"julho")/1000</f>
        <v>#REF!</v>
      </c>
      <c r="BH16" s="373"/>
      <c r="BI16" s="372"/>
      <c r="BJ16" s="343"/>
      <c r="BK16" s="332" t="e">
        <f>SUMIFS(#REF!,#REF!,'AME - Quarterly 2025'!$A20,#REF!,"agosto")/1000</f>
        <v>#REF!</v>
      </c>
      <c r="BL16" s="373"/>
      <c r="BM16" s="372"/>
      <c r="BN16" s="343"/>
      <c r="BO16" s="332" t="e">
        <f>SUMIFS(#REF!,#REF!,'AME - Quarterly 2025'!$A20,#REF!,"setembro")/1000</f>
        <v>#REF!</v>
      </c>
      <c r="BP16" s="373"/>
      <c r="BQ16" s="372"/>
      <c r="BR16" s="343"/>
      <c r="BS16" s="332" t="e">
        <f>SUMIFS(#REF!,#REF!,'AME - Quarterly 2025'!$A20,#REF!,"outubro")/1000</f>
        <v>#REF!</v>
      </c>
      <c r="BT16" s="373"/>
      <c r="BU16" s="372"/>
      <c r="BV16" s="343"/>
      <c r="BW16" s="332" t="e">
        <f>SUMIFS(#REF!,#REF!,'AME - Quarterly 2025'!$A20,#REF!,"novembro")/1000</f>
        <v>#REF!</v>
      </c>
      <c r="BX16" s="373"/>
      <c r="BY16" s="372"/>
      <c r="BZ16" s="343"/>
      <c r="CA16" s="332" t="e">
        <f>SUMIFS(#REF!,#REF!,'AME - Quarterly 2025'!$A20,#REF!,"dezembro")/1000</f>
        <v>#REF!</v>
      </c>
      <c r="CB16" s="373"/>
      <c r="CC16" s="452">
        <f t="shared" si="7"/>
        <v>0</v>
      </c>
      <c r="CD16" s="374"/>
      <c r="CE16" s="374"/>
      <c r="CF16" s="374"/>
      <c r="CG16" s="374"/>
      <c r="CH16" s="374"/>
      <c r="CI16" s="374"/>
      <c r="CJ16" s="374"/>
      <c r="CK16" s="374"/>
      <c r="CL16" s="374"/>
      <c r="CM16" s="374"/>
      <c r="CN16" s="374"/>
      <c r="CO16" s="374"/>
      <c r="CP16" s="319">
        <f t="shared" si="8"/>
        <v>0</v>
      </c>
      <c r="CQ16" s="320" t="e">
        <f t="shared" si="9"/>
        <v>#REF!</v>
      </c>
      <c r="CR16" s="344" t="str">
        <f>IFERROR(VLOOKUP($A16,#REF!,6,FALSE)/1000,"")</f>
        <v/>
      </c>
      <c r="CS16" s="344" t="str">
        <f>IFERROR(VLOOKUP($A16,#REF!,7,FALSE)/1000,"")</f>
        <v/>
      </c>
      <c r="CT16" s="344" t="str">
        <f>IFERROR(VLOOKUP($A16,#REF!,8,FALSE)/1000,"")</f>
        <v/>
      </c>
      <c r="CU16" s="344" t="str">
        <f>IFERROR(VLOOKUP($A16,#REF!,9,FALSE)/1000,"")</f>
        <v/>
      </c>
      <c r="CV16" s="344" t="str">
        <f>IFERROR(VLOOKUP($A16,#REF!,11,FALSE)/1000,"")</f>
        <v/>
      </c>
      <c r="CW16" s="344" t="str">
        <f>IFERROR(VLOOKUP($A16,#REF!,12,FALSE)/1000,"")</f>
        <v/>
      </c>
      <c r="CX16" s="468">
        <v>100</v>
      </c>
      <c r="CY16" s="468">
        <v>93.34939</v>
      </c>
      <c r="CZ16" s="468">
        <v>0</v>
      </c>
      <c r="DA16" s="468">
        <v>0</v>
      </c>
      <c r="DB16" s="468">
        <v>93.34939</v>
      </c>
      <c r="DC16" s="468">
        <v>6.6506099999999995</v>
      </c>
      <c r="DD16" s="51"/>
    </row>
    <row r="17" spans="1:108" s="23" customFormat="1" ht="28.5" customHeight="1">
      <c r="A17" s="85" t="s">
        <v>8943</v>
      </c>
      <c r="B17" s="309">
        <v>375</v>
      </c>
      <c r="C17" s="85"/>
      <c r="D17" s="309"/>
      <c r="E17" s="85"/>
      <c r="F17" s="85"/>
      <c r="G17" s="84"/>
      <c r="H17" s="3">
        <v>2025</v>
      </c>
      <c r="I17" s="5"/>
      <c r="J17" s="3" t="s">
        <v>176</v>
      </c>
      <c r="K17" s="13"/>
      <c r="L17" s="13"/>
      <c r="M17" s="5" t="s">
        <v>3215</v>
      </c>
      <c r="N17" s="13" t="s">
        <v>8946</v>
      </c>
      <c r="O17" s="3" t="s">
        <v>2255</v>
      </c>
      <c r="P17" s="3"/>
      <c r="Q17" s="3">
        <v>6</v>
      </c>
      <c r="R17" s="3" t="s">
        <v>9109</v>
      </c>
      <c r="S17" s="3"/>
      <c r="T17" s="3" t="s">
        <v>6846</v>
      </c>
      <c r="U17" s="413"/>
      <c r="V17" s="265" t="s">
        <v>573</v>
      </c>
      <c r="W17" s="6" t="s">
        <v>733</v>
      </c>
      <c r="X17" s="355">
        <v>100</v>
      </c>
      <c r="Y17" s="123" t="s">
        <v>9106</v>
      </c>
      <c r="Z17" s="223">
        <f t="shared" si="5"/>
        <v>0</v>
      </c>
      <c r="AA17" s="318"/>
      <c r="AB17" s="223"/>
      <c r="AC17" s="318"/>
      <c r="AD17" s="223">
        <v>0</v>
      </c>
      <c r="AE17" s="223"/>
      <c r="AF17" s="333">
        <f t="shared" si="6"/>
        <v>0</v>
      </c>
      <c r="AG17" s="372">
        <v>80.12636000000002</v>
      </c>
      <c r="AH17" s="343">
        <v>80.126360000000005</v>
      </c>
      <c r="AI17" s="332" t="e">
        <f>SUMIFS(#REF!,#REF!,'AME - Quarterly 2025'!$A15,#REF!,"janeiro")/1000</f>
        <v>#REF!</v>
      </c>
      <c r="AJ17" s="373"/>
      <c r="AK17" s="372"/>
      <c r="AL17" s="343"/>
      <c r="AM17" s="332" t="e">
        <f>SUMIFS(#REF!,#REF!,'AME - Quarterly 2025'!$A15,#REF!,"fevereiro")/1000</f>
        <v>#REF!</v>
      </c>
      <c r="AN17" s="373"/>
      <c r="AO17" s="372"/>
      <c r="AP17" s="343"/>
      <c r="AQ17" s="332" t="e">
        <f>SUMIFS(#REF!,#REF!,'AME - Quarterly 2025'!$A15,#REF!,"março")/1000</f>
        <v>#REF!</v>
      </c>
      <c r="AR17" s="373"/>
      <c r="AS17" s="372"/>
      <c r="AT17" s="343"/>
      <c r="AU17" s="332" t="e">
        <f>SUMIFS(#REF!,#REF!,'AME - Quarterly 2025'!$A15,#REF!,"abril")/1000</f>
        <v>#REF!</v>
      </c>
      <c r="AV17" s="373"/>
      <c r="AW17" s="372"/>
      <c r="AX17" s="343"/>
      <c r="AY17" s="332" t="e">
        <f>SUMIFS(#REF!,#REF!,'AME - Quarterly 2025'!$A15,#REF!,"maio")/1000</f>
        <v>#REF!</v>
      </c>
      <c r="AZ17" s="373"/>
      <c r="BA17" s="372"/>
      <c r="BB17" s="343"/>
      <c r="BC17" s="332" t="e">
        <f>SUMIFS(#REF!,#REF!,'AME - Quarterly 2025'!$A15,#REF!,"junho")/1000</f>
        <v>#REF!</v>
      </c>
      <c r="BD17" s="373"/>
      <c r="BE17" s="372"/>
      <c r="BF17" s="343"/>
      <c r="BG17" s="332" t="e">
        <f>SUMIFS(#REF!,#REF!,'AME - Quarterly 2025'!$A15,#REF!,"julho")/1000</f>
        <v>#REF!</v>
      </c>
      <c r="BH17" s="373"/>
      <c r="BI17" s="372"/>
      <c r="BJ17" s="343"/>
      <c r="BK17" s="332" t="e">
        <f>SUMIFS(#REF!,#REF!,'AME - Quarterly 2025'!$A15,#REF!,"agosto")/1000</f>
        <v>#REF!</v>
      </c>
      <c r="BL17" s="373"/>
      <c r="BM17" s="372"/>
      <c r="BN17" s="343"/>
      <c r="BO17" s="332" t="e">
        <f>SUMIFS(#REF!,#REF!,'AME - Quarterly 2025'!$A15,#REF!,"setembro")/1000</f>
        <v>#REF!</v>
      </c>
      <c r="BP17" s="373"/>
      <c r="BQ17" s="372"/>
      <c r="BR17" s="343"/>
      <c r="BS17" s="332" t="e">
        <f>SUMIFS(#REF!,#REF!,'AME - Quarterly 2025'!$A15,#REF!,"outubro")/1000</f>
        <v>#REF!</v>
      </c>
      <c r="BT17" s="373"/>
      <c r="BU17" s="372"/>
      <c r="BV17" s="343"/>
      <c r="BW17" s="332" t="e">
        <f>SUMIFS(#REF!,#REF!,'AME - Quarterly 2025'!$A15,#REF!,"novembro")/1000</f>
        <v>#REF!</v>
      </c>
      <c r="BX17" s="373"/>
      <c r="BY17" s="372"/>
      <c r="BZ17" s="343"/>
      <c r="CA17" s="332" t="e">
        <f>SUMIFS(#REF!,#REF!,'AME - Quarterly 2025'!$A15,#REF!,"dezembro")/1000</f>
        <v>#REF!</v>
      </c>
      <c r="CB17" s="373"/>
      <c r="CC17" s="452">
        <f t="shared" si="7"/>
        <v>0</v>
      </c>
      <c r="CD17" s="374"/>
      <c r="CE17" s="374"/>
      <c r="CF17" s="374"/>
      <c r="CG17" s="374"/>
      <c r="CH17" s="374"/>
      <c r="CI17" s="374"/>
      <c r="CJ17" s="374"/>
      <c r="CK17" s="374"/>
      <c r="CL17" s="374"/>
      <c r="CM17" s="374"/>
      <c r="CN17" s="374"/>
      <c r="CO17" s="374"/>
      <c r="CP17" s="319">
        <f t="shared" si="8"/>
        <v>-80.12636000000002</v>
      </c>
      <c r="CQ17" s="320" t="e">
        <f t="shared" si="9"/>
        <v>#REF!</v>
      </c>
      <c r="CR17" s="344" t="str">
        <f>IFERROR(VLOOKUP($A17,#REF!,6,FALSE)/1000,"")</f>
        <v/>
      </c>
      <c r="CS17" s="344" t="str">
        <f>IFERROR(VLOOKUP($A17,#REF!,7,FALSE)/1000,"")</f>
        <v/>
      </c>
      <c r="CT17" s="344" t="str">
        <f>IFERROR(VLOOKUP($A17,#REF!,8,FALSE)/1000,"")</f>
        <v/>
      </c>
      <c r="CU17" s="344" t="str">
        <f>IFERROR(VLOOKUP($A17,#REF!,9,FALSE)/1000,"")</f>
        <v/>
      </c>
      <c r="CV17" s="344" t="str">
        <f>IFERROR(VLOOKUP($A17,#REF!,11,FALSE)/1000,"")</f>
        <v/>
      </c>
      <c r="CW17" s="344" t="str">
        <f>IFERROR(VLOOKUP($A17,#REF!,12,FALSE)/1000,"")</f>
        <v/>
      </c>
      <c r="CX17" s="468">
        <v>99.98</v>
      </c>
      <c r="CY17" s="468">
        <v>80.914460000000005</v>
      </c>
      <c r="CZ17" s="468">
        <v>0</v>
      </c>
      <c r="DA17" s="468">
        <v>0</v>
      </c>
      <c r="DB17" s="468">
        <v>80.914460000000005</v>
      </c>
      <c r="DC17" s="468">
        <v>19.065540000000002</v>
      </c>
      <c r="DD17" s="51"/>
    </row>
    <row r="18" spans="1:108" s="23" customFormat="1" ht="30" customHeight="1">
      <c r="A18" s="85" t="s">
        <v>9100</v>
      </c>
      <c r="B18" s="309">
        <v>274</v>
      </c>
      <c r="C18" s="85"/>
      <c r="D18" s="309"/>
      <c r="E18" s="85"/>
      <c r="F18" s="85"/>
      <c r="G18" s="84"/>
      <c r="H18" s="3">
        <v>2025</v>
      </c>
      <c r="I18" s="5"/>
      <c r="J18" s="3" t="s">
        <v>176</v>
      </c>
      <c r="K18" s="13"/>
      <c r="L18" s="13"/>
      <c r="M18" s="5" t="s">
        <v>2251</v>
      </c>
      <c r="N18" s="13" t="s">
        <v>8947</v>
      </c>
      <c r="O18" s="3" t="s">
        <v>2255</v>
      </c>
      <c r="P18" s="3"/>
      <c r="Q18" s="3">
        <v>7</v>
      </c>
      <c r="R18" s="3" t="s">
        <v>9109</v>
      </c>
      <c r="S18" s="3"/>
      <c r="T18" s="3" t="s">
        <v>2203</v>
      </c>
      <c r="U18" s="413"/>
      <c r="V18" s="265" t="s">
        <v>573</v>
      </c>
      <c r="W18" s="6" t="s">
        <v>733</v>
      </c>
      <c r="X18" s="355">
        <v>30</v>
      </c>
      <c r="Y18" s="123" t="s">
        <v>9107</v>
      </c>
      <c r="Z18" s="223">
        <f t="shared" si="5"/>
        <v>0</v>
      </c>
      <c r="AA18" s="318"/>
      <c r="AB18" s="223"/>
      <c r="AC18" s="318"/>
      <c r="AD18" s="223">
        <v>0</v>
      </c>
      <c r="AE18" s="223"/>
      <c r="AF18" s="333">
        <f t="shared" si="6"/>
        <v>0</v>
      </c>
      <c r="AG18" s="372">
        <v>8.0456500000000002</v>
      </c>
      <c r="AH18" s="343">
        <v>8.0456500000000002</v>
      </c>
      <c r="AI18" s="332" t="e">
        <f>SUMIFS(#REF!,#REF!,'AME - Quarterly 2025'!$A16,#REF!,"janeiro")/1000</f>
        <v>#REF!</v>
      </c>
      <c r="AJ18" s="373"/>
      <c r="AK18" s="372"/>
      <c r="AL18" s="343"/>
      <c r="AM18" s="332" t="e">
        <f>SUMIFS(#REF!,#REF!,'AME - Quarterly 2025'!$A16,#REF!,"fevereiro")/1000</f>
        <v>#REF!</v>
      </c>
      <c r="AN18" s="373"/>
      <c r="AO18" s="372"/>
      <c r="AP18" s="343"/>
      <c r="AQ18" s="332" t="e">
        <f>SUMIFS(#REF!,#REF!,'AME - Quarterly 2025'!$A16,#REF!,"março")/1000</f>
        <v>#REF!</v>
      </c>
      <c r="AR18" s="373"/>
      <c r="AS18" s="372"/>
      <c r="AT18" s="343"/>
      <c r="AU18" s="332" t="e">
        <f>SUMIFS(#REF!,#REF!,'AME - Quarterly 2025'!$A16,#REF!,"abril")/1000</f>
        <v>#REF!</v>
      </c>
      <c r="AV18" s="373"/>
      <c r="AW18" s="372"/>
      <c r="AX18" s="343"/>
      <c r="AY18" s="332" t="e">
        <f>SUMIFS(#REF!,#REF!,'AME - Quarterly 2025'!$A16,#REF!,"maio")/1000</f>
        <v>#REF!</v>
      </c>
      <c r="AZ18" s="373"/>
      <c r="BA18" s="372"/>
      <c r="BB18" s="343"/>
      <c r="BC18" s="332" t="e">
        <f>SUMIFS(#REF!,#REF!,'AME - Quarterly 2025'!$A16,#REF!,"junho")/1000</f>
        <v>#REF!</v>
      </c>
      <c r="BD18" s="373"/>
      <c r="BE18" s="372"/>
      <c r="BF18" s="343"/>
      <c r="BG18" s="332" t="e">
        <f>SUMIFS(#REF!,#REF!,'AME - Quarterly 2025'!$A16,#REF!,"julho")/1000</f>
        <v>#REF!</v>
      </c>
      <c r="BH18" s="373"/>
      <c r="BI18" s="372"/>
      <c r="BJ18" s="343"/>
      <c r="BK18" s="332" t="e">
        <f>SUMIFS(#REF!,#REF!,'AME - Quarterly 2025'!$A16,#REF!,"agosto")/1000</f>
        <v>#REF!</v>
      </c>
      <c r="BL18" s="373"/>
      <c r="BM18" s="372"/>
      <c r="BN18" s="343"/>
      <c r="BO18" s="332" t="e">
        <f>SUMIFS(#REF!,#REF!,'AME - Quarterly 2025'!$A16,#REF!,"setembro")/1000</f>
        <v>#REF!</v>
      </c>
      <c r="BP18" s="373"/>
      <c r="BQ18" s="372"/>
      <c r="BR18" s="343"/>
      <c r="BS18" s="332" t="e">
        <f>SUMIFS(#REF!,#REF!,'AME - Quarterly 2025'!$A16,#REF!,"outubro")/1000</f>
        <v>#REF!</v>
      </c>
      <c r="BT18" s="373"/>
      <c r="BU18" s="372"/>
      <c r="BV18" s="343"/>
      <c r="BW18" s="332" t="e">
        <f>SUMIFS(#REF!,#REF!,'AME - Quarterly 2025'!$A16,#REF!,"novembro")/1000</f>
        <v>#REF!</v>
      </c>
      <c r="BX18" s="373"/>
      <c r="BY18" s="372"/>
      <c r="BZ18" s="343"/>
      <c r="CA18" s="332" t="e">
        <f>SUMIFS(#REF!,#REF!,'AME - Quarterly 2025'!$A16,#REF!,"dezembro")/1000</f>
        <v>#REF!</v>
      </c>
      <c r="CB18" s="373"/>
      <c r="CC18" s="452">
        <f t="shared" si="7"/>
        <v>0</v>
      </c>
      <c r="CD18" s="374"/>
      <c r="CE18" s="374"/>
      <c r="CF18" s="374"/>
      <c r="CG18" s="374"/>
      <c r="CH18" s="374"/>
      <c r="CI18" s="374"/>
      <c r="CJ18" s="374"/>
      <c r="CK18" s="374"/>
      <c r="CL18" s="374"/>
      <c r="CM18" s="374"/>
      <c r="CN18" s="374"/>
      <c r="CO18" s="374"/>
      <c r="CP18" s="319">
        <f t="shared" si="8"/>
        <v>-8.0456500000000002</v>
      </c>
      <c r="CQ18" s="320" t="e">
        <f t="shared" si="9"/>
        <v>#REF!</v>
      </c>
      <c r="CR18" s="344" t="str">
        <f>IFERROR(VLOOKUP($A18,#REF!,6,FALSE)/1000,"")</f>
        <v/>
      </c>
      <c r="CS18" s="344" t="str">
        <f>IFERROR(VLOOKUP($A18,#REF!,7,FALSE)/1000,"")</f>
        <v/>
      </c>
      <c r="CT18" s="344" t="str">
        <f>IFERROR(VLOOKUP($A18,#REF!,8,FALSE)/1000,"")</f>
        <v/>
      </c>
      <c r="CU18" s="344" t="str">
        <f>IFERROR(VLOOKUP($A18,#REF!,9,FALSE)/1000,"")</f>
        <v/>
      </c>
      <c r="CV18" s="344" t="str">
        <f>IFERROR(VLOOKUP($A18,#REF!,11,FALSE)/1000,"")</f>
        <v/>
      </c>
      <c r="CW18" s="344" t="str">
        <f>IFERROR(VLOOKUP($A18,#REF!,12,FALSE)/1000,"")</f>
        <v/>
      </c>
      <c r="CX18" s="468">
        <v>59.948</v>
      </c>
      <c r="CY18" s="468">
        <v>22.15071</v>
      </c>
      <c r="CZ18" s="468">
        <v>1.3886700000000001</v>
      </c>
      <c r="DA18" s="468">
        <v>0</v>
      </c>
      <c r="DB18" s="468">
        <v>23.539380000000001</v>
      </c>
      <c r="DC18" s="468">
        <v>36.408619999999999</v>
      </c>
      <c r="DD18" s="51"/>
    </row>
    <row r="19" spans="1:108" s="23" customFormat="1" ht="28.5" customHeight="1">
      <c r="A19" s="85" t="s">
        <v>11917</v>
      </c>
      <c r="B19" s="309">
        <v>446</v>
      </c>
      <c r="C19" s="85"/>
      <c r="D19" s="309"/>
      <c r="E19" s="85"/>
      <c r="F19" s="85"/>
      <c r="G19" s="84"/>
      <c r="H19" s="3">
        <v>2025</v>
      </c>
      <c r="I19" s="5"/>
      <c r="J19" s="3" t="s">
        <v>176</v>
      </c>
      <c r="K19" s="13"/>
      <c r="L19" s="13"/>
      <c r="M19" s="5" t="s">
        <v>2251</v>
      </c>
      <c r="N19" s="13" t="s">
        <v>8948</v>
      </c>
      <c r="O19" s="3" t="s">
        <v>2255</v>
      </c>
      <c r="P19" s="3"/>
      <c r="Q19" s="3">
        <v>8</v>
      </c>
      <c r="R19" s="3" t="s">
        <v>9109</v>
      </c>
      <c r="S19" s="3"/>
      <c r="T19" s="3" t="s">
        <v>2203</v>
      </c>
      <c r="U19" s="413"/>
      <c r="V19" s="265" t="s">
        <v>573</v>
      </c>
      <c r="W19" s="6" t="s">
        <v>733</v>
      </c>
      <c r="X19" s="355">
        <v>35</v>
      </c>
      <c r="Y19" s="123" t="s">
        <v>9107</v>
      </c>
      <c r="Z19" s="223">
        <f t="shared" si="5"/>
        <v>0</v>
      </c>
      <c r="AA19" s="318"/>
      <c r="AB19" s="223"/>
      <c r="AC19" s="318"/>
      <c r="AD19" s="223">
        <v>0</v>
      </c>
      <c r="AE19" s="223"/>
      <c r="AF19" s="333">
        <f t="shared" si="6"/>
        <v>0</v>
      </c>
      <c r="AG19" s="372">
        <v>0</v>
      </c>
      <c r="AH19" s="343">
        <v>0</v>
      </c>
      <c r="AI19" s="332" t="e">
        <f>SUMIFS(#REF!,#REF!,'AME - Quarterly 2025'!$A17,#REF!,"janeiro")/1000</f>
        <v>#REF!</v>
      </c>
      <c r="AJ19" s="373"/>
      <c r="AK19" s="372"/>
      <c r="AL19" s="343">
        <v>0</v>
      </c>
      <c r="AM19" s="332" t="e">
        <f>SUMIFS(#REF!,#REF!,'AME - Quarterly 2025'!$A17,#REF!,"fevereiro")/1000</f>
        <v>#REF!</v>
      </c>
      <c r="AN19" s="373"/>
      <c r="AO19" s="372">
        <v>0</v>
      </c>
      <c r="AP19" s="343"/>
      <c r="AQ19" s="332" t="e">
        <f>SUMIFS(#REF!,#REF!,'AME - Quarterly 2025'!$A17,#REF!,"março")/1000</f>
        <v>#REF!</v>
      </c>
      <c r="AR19" s="373"/>
      <c r="AS19" s="372"/>
      <c r="AT19" s="343"/>
      <c r="AU19" s="332" t="e">
        <f>SUMIFS(#REF!,#REF!,'AME - Quarterly 2025'!$A17,#REF!,"abril")/1000</f>
        <v>#REF!</v>
      </c>
      <c r="AV19" s="373"/>
      <c r="AW19" s="372"/>
      <c r="AX19" s="343"/>
      <c r="AY19" s="332" t="e">
        <f>SUMIFS(#REF!,#REF!,'AME - Quarterly 2025'!$A17,#REF!,"maio")/1000</f>
        <v>#REF!</v>
      </c>
      <c r="AZ19" s="373"/>
      <c r="BA19" s="372"/>
      <c r="BB19" s="343"/>
      <c r="BC19" s="332" t="e">
        <f>SUMIFS(#REF!,#REF!,'AME - Quarterly 2025'!$A17,#REF!,"junho")/1000</f>
        <v>#REF!</v>
      </c>
      <c r="BD19" s="373"/>
      <c r="BE19" s="372"/>
      <c r="BF19" s="343"/>
      <c r="BG19" s="332" t="e">
        <f>SUMIFS(#REF!,#REF!,'AME - Quarterly 2025'!$A17,#REF!,"julho")/1000</f>
        <v>#REF!</v>
      </c>
      <c r="BH19" s="373"/>
      <c r="BI19" s="372"/>
      <c r="BJ19" s="343"/>
      <c r="BK19" s="332" t="e">
        <f>SUMIFS(#REF!,#REF!,'AME - Quarterly 2025'!$A17,#REF!,"agosto")/1000</f>
        <v>#REF!</v>
      </c>
      <c r="BL19" s="373"/>
      <c r="BM19" s="372"/>
      <c r="BN19" s="343"/>
      <c r="BO19" s="332" t="e">
        <f>SUMIFS(#REF!,#REF!,'AME - Quarterly 2025'!$A17,#REF!,"setembro")/1000</f>
        <v>#REF!</v>
      </c>
      <c r="BP19" s="373"/>
      <c r="BQ19" s="372"/>
      <c r="BR19" s="343"/>
      <c r="BS19" s="332" t="e">
        <f>SUMIFS(#REF!,#REF!,'AME - Quarterly 2025'!$A17,#REF!,"outubro")/1000</f>
        <v>#REF!</v>
      </c>
      <c r="BT19" s="373"/>
      <c r="BU19" s="372"/>
      <c r="BV19" s="343"/>
      <c r="BW19" s="332" t="e">
        <f>SUMIFS(#REF!,#REF!,'AME - Quarterly 2025'!$A17,#REF!,"novembro")/1000</f>
        <v>#REF!</v>
      </c>
      <c r="BX19" s="373"/>
      <c r="BY19" s="372"/>
      <c r="BZ19" s="343"/>
      <c r="CA19" s="332" t="e">
        <f>SUMIFS(#REF!,#REF!,'AME - Quarterly 2025'!$A17,#REF!,"dezembro")/1000</f>
        <v>#REF!</v>
      </c>
      <c r="CB19" s="373"/>
      <c r="CC19" s="452">
        <f t="shared" si="7"/>
        <v>0</v>
      </c>
      <c r="CD19" s="374"/>
      <c r="CE19" s="374"/>
      <c r="CF19" s="374"/>
      <c r="CG19" s="374"/>
      <c r="CH19" s="374"/>
      <c r="CI19" s="374"/>
      <c r="CJ19" s="374"/>
      <c r="CK19" s="374"/>
      <c r="CL19" s="374"/>
      <c r="CM19" s="374"/>
      <c r="CN19" s="374"/>
      <c r="CO19" s="374"/>
      <c r="CP19" s="319">
        <f t="shared" si="8"/>
        <v>0</v>
      </c>
      <c r="CQ19" s="320" t="e">
        <f t="shared" si="9"/>
        <v>#REF!</v>
      </c>
      <c r="CR19" s="344" t="str">
        <f>IFERROR(VLOOKUP($A19,#REF!,6,FALSE)/1000,"")</f>
        <v/>
      </c>
      <c r="CS19" s="344" t="str">
        <f>IFERROR(VLOOKUP($A19,#REF!,7,FALSE)/1000,"")</f>
        <v/>
      </c>
      <c r="CT19" s="344" t="str">
        <f>IFERROR(VLOOKUP($A19,#REF!,8,FALSE)/1000,"")</f>
        <v/>
      </c>
      <c r="CU19" s="344" t="str">
        <f>IFERROR(VLOOKUP($A19,#REF!,9,FALSE)/1000,"")</f>
        <v/>
      </c>
      <c r="CV19" s="344" t="str">
        <f>IFERROR(VLOOKUP($A19,#REF!,11,FALSE)/1000,"")</f>
        <v/>
      </c>
      <c r="CW19" s="344" t="str">
        <f>IFERROR(VLOOKUP($A19,#REF!,12,FALSE)/1000,"")</f>
        <v/>
      </c>
      <c r="CX19" s="468">
        <v>26.95</v>
      </c>
      <c r="CY19" s="468">
        <v>0</v>
      </c>
      <c r="CZ19" s="468">
        <v>0</v>
      </c>
      <c r="DA19" s="468">
        <v>0</v>
      </c>
      <c r="DB19" s="468">
        <v>0</v>
      </c>
      <c r="DC19" s="468">
        <v>26.95</v>
      </c>
      <c r="DD19" s="51"/>
    </row>
    <row r="20" spans="1:108" s="23" customFormat="1" ht="28.5" customHeight="1">
      <c r="A20" s="85" t="s">
        <v>11918</v>
      </c>
      <c r="B20" s="309">
        <v>362</v>
      </c>
      <c r="C20" s="85"/>
      <c r="D20" s="309"/>
      <c r="E20" s="85"/>
      <c r="F20" s="85"/>
      <c r="G20" s="84"/>
      <c r="H20" s="3">
        <v>2025</v>
      </c>
      <c r="I20" s="5"/>
      <c r="J20" s="3" t="s">
        <v>176</v>
      </c>
      <c r="K20" s="13"/>
      <c r="L20" s="13"/>
      <c r="M20" s="5" t="s">
        <v>2259</v>
      </c>
      <c r="N20" s="13" t="s">
        <v>8949</v>
      </c>
      <c r="O20" s="3" t="s">
        <v>2255</v>
      </c>
      <c r="P20" s="3"/>
      <c r="Q20" s="3">
        <v>9</v>
      </c>
      <c r="R20" s="3" t="s">
        <v>9109</v>
      </c>
      <c r="S20" s="3"/>
      <c r="T20" s="3" t="s">
        <v>6845</v>
      </c>
      <c r="U20" s="413"/>
      <c r="V20" s="265" t="s">
        <v>573</v>
      </c>
      <c r="W20" s="6" t="s">
        <v>733</v>
      </c>
      <c r="X20" s="355">
        <v>100</v>
      </c>
      <c r="Y20" s="123" t="s">
        <v>9105</v>
      </c>
      <c r="Z20" s="223">
        <f t="shared" si="5"/>
        <v>0</v>
      </c>
      <c r="AA20" s="318"/>
      <c r="AB20" s="223"/>
      <c r="AC20" s="318"/>
      <c r="AD20" s="223">
        <v>0</v>
      </c>
      <c r="AE20" s="223"/>
      <c r="AF20" s="333">
        <f t="shared" si="6"/>
        <v>0</v>
      </c>
      <c r="AG20" s="372">
        <v>0</v>
      </c>
      <c r="AH20" s="343"/>
      <c r="AI20" s="332" t="e">
        <f>SUMIFS(#REF!,#REF!,'AME - Quarterly 2025'!$A18,#REF!,"janeiro")/1000</f>
        <v>#REF!</v>
      </c>
      <c r="AJ20" s="373"/>
      <c r="AK20" s="372"/>
      <c r="AL20" s="343"/>
      <c r="AM20" s="332" t="e">
        <f>SUMIFS(#REF!,#REF!,'AME - Quarterly 2025'!$A18,#REF!,"fevereiro")/1000</f>
        <v>#REF!</v>
      </c>
      <c r="AN20" s="373"/>
      <c r="AO20" s="372"/>
      <c r="AP20" s="343"/>
      <c r="AQ20" s="332" t="e">
        <f>SUMIFS(#REF!,#REF!,'AME - Quarterly 2025'!$A18,#REF!,"março")/1000</f>
        <v>#REF!</v>
      </c>
      <c r="AR20" s="373"/>
      <c r="AS20" s="372"/>
      <c r="AT20" s="343"/>
      <c r="AU20" s="332" t="e">
        <f>SUMIFS(#REF!,#REF!,'AME - Quarterly 2025'!$A18,#REF!,"abril")/1000</f>
        <v>#REF!</v>
      </c>
      <c r="AV20" s="373"/>
      <c r="AW20" s="372"/>
      <c r="AX20" s="343"/>
      <c r="AY20" s="332" t="e">
        <f>SUMIFS(#REF!,#REF!,'AME - Quarterly 2025'!$A18,#REF!,"maio")/1000</f>
        <v>#REF!</v>
      </c>
      <c r="AZ20" s="373"/>
      <c r="BA20" s="372"/>
      <c r="BB20" s="343"/>
      <c r="BC20" s="332" t="e">
        <f>SUMIFS(#REF!,#REF!,'AME - Quarterly 2025'!$A18,#REF!,"junho")/1000</f>
        <v>#REF!</v>
      </c>
      <c r="BD20" s="373"/>
      <c r="BE20" s="372"/>
      <c r="BF20" s="343"/>
      <c r="BG20" s="332" t="e">
        <f>SUMIFS(#REF!,#REF!,'AME - Quarterly 2025'!$A18,#REF!,"julho")/1000</f>
        <v>#REF!</v>
      </c>
      <c r="BH20" s="373"/>
      <c r="BI20" s="372"/>
      <c r="BJ20" s="343"/>
      <c r="BK20" s="332" t="e">
        <f>SUMIFS(#REF!,#REF!,'AME - Quarterly 2025'!$A18,#REF!,"agosto")/1000</f>
        <v>#REF!</v>
      </c>
      <c r="BL20" s="373"/>
      <c r="BM20" s="372"/>
      <c r="BN20" s="343"/>
      <c r="BO20" s="332" t="e">
        <f>SUMIFS(#REF!,#REF!,'AME - Quarterly 2025'!$A18,#REF!,"setembro")/1000</f>
        <v>#REF!</v>
      </c>
      <c r="BP20" s="373"/>
      <c r="BQ20" s="372"/>
      <c r="BR20" s="343"/>
      <c r="BS20" s="332" t="e">
        <f>SUMIFS(#REF!,#REF!,'AME - Quarterly 2025'!$A18,#REF!,"outubro")/1000</f>
        <v>#REF!</v>
      </c>
      <c r="BT20" s="373"/>
      <c r="BU20" s="372"/>
      <c r="BV20" s="343"/>
      <c r="BW20" s="332" t="e">
        <f>SUMIFS(#REF!,#REF!,'AME - Quarterly 2025'!$A18,#REF!,"novembro")/1000</f>
        <v>#REF!</v>
      </c>
      <c r="BX20" s="373"/>
      <c r="BY20" s="372"/>
      <c r="BZ20" s="343"/>
      <c r="CA20" s="332" t="e">
        <f>SUMIFS(#REF!,#REF!,'AME - Quarterly 2025'!$A18,#REF!,"dezembro")/1000</f>
        <v>#REF!</v>
      </c>
      <c r="CB20" s="373"/>
      <c r="CC20" s="452">
        <f t="shared" si="7"/>
        <v>0</v>
      </c>
      <c r="CD20" s="374"/>
      <c r="CE20" s="374"/>
      <c r="CF20" s="374"/>
      <c r="CG20" s="374"/>
      <c r="CH20" s="374"/>
      <c r="CI20" s="374"/>
      <c r="CJ20" s="374"/>
      <c r="CK20" s="374"/>
      <c r="CL20" s="374"/>
      <c r="CM20" s="374"/>
      <c r="CN20" s="374"/>
      <c r="CO20" s="374"/>
      <c r="CP20" s="319">
        <f t="shared" si="8"/>
        <v>0</v>
      </c>
      <c r="CQ20" s="320" t="e">
        <f t="shared" si="9"/>
        <v>#REF!</v>
      </c>
      <c r="CR20" s="344" t="str">
        <f>IFERROR(VLOOKUP($A20,#REF!,6,FALSE)/1000,"")</f>
        <v/>
      </c>
      <c r="CS20" s="344" t="str">
        <f>IFERROR(VLOOKUP($A20,#REF!,7,FALSE)/1000,"")</f>
        <v/>
      </c>
      <c r="CT20" s="344" t="str">
        <f>IFERROR(VLOOKUP($A20,#REF!,8,FALSE)/1000,"")</f>
        <v/>
      </c>
      <c r="CU20" s="344" t="str">
        <f>IFERROR(VLOOKUP($A20,#REF!,9,FALSE)/1000,"")</f>
        <v/>
      </c>
      <c r="CV20" s="344" t="str">
        <f>IFERROR(VLOOKUP($A20,#REF!,11,FALSE)/1000,"")</f>
        <v/>
      </c>
      <c r="CW20" s="344" t="str">
        <f>IFERROR(VLOOKUP($A20,#REF!,12,FALSE)/1000,"")</f>
        <v/>
      </c>
      <c r="CX20" s="468">
        <v>18.03</v>
      </c>
      <c r="CY20" s="468">
        <v>15.72104</v>
      </c>
      <c r="CZ20" s="468">
        <v>0</v>
      </c>
      <c r="DA20" s="468">
        <v>0</v>
      </c>
      <c r="DB20" s="468">
        <v>15.72104</v>
      </c>
      <c r="DC20" s="468">
        <v>2.3089599999999999</v>
      </c>
      <c r="DD20" s="51"/>
    </row>
    <row r="21" spans="1:108" s="23" customFormat="1" ht="28.5" customHeight="1">
      <c r="A21" s="85" t="s">
        <v>12245</v>
      </c>
      <c r="B21" s="309"/>
      <c r="C21" s="85"/>
      <c r="D21" s="309"/>
      <c r="E21" s="85"/>
      <c r="F21" s="85"/>
      <c r="G21" s="84"/>
      <c r="H21" s="3">
        <v>2025</v>
      </c>
      <c r="I21" s="5"/>
      <c r="J21" s="3" t="s">
        <v>176</v>
      </c>
      <c r="K21" s="13"/>
      <c r="L21" s="13"/>
      <c r="M21" s="5"/>
      <c r="N21" s="13" t="s">
        <v>8945</v>
      </c>
      <c r="O21" s="3" t="s">
        <v>9104</v>
      </c>
      <c r="P21" s="3"/>
      <c r="Q21" s="3">
        <v>10</v>
      </c>
      <c r="R21" s="3" t="s">
        <v>9109</v>
      </c>
      <c r="S21" s="3"/>
      <c r="T21" s="3"/>
      <c r="U21" s="413"/>
      <c r="V21" s="265" t="s">
        <v>573</v>
      </c>
      <c r="W21" s="6" t="s">
        <v>733</v>
      </c>
      <c r="X21" s="355">
        <v>100</v>
      </c>
      <c r="Y21" s="123" t="s">
        <v>9110</v>
      </c>
      <c r="Z21" s="223">
        <f t="shared" si="5"/>
        <v>0</v>
      </c>
      <c r="AA21" s="318"/>
      <c r="AB21" s="223"/>
      <c r="AC21" s="318"/>
      <c r="AD21" s="223">
        <v>0</v>
      </c>
      <c r="AE21" s="223"/>
      <c r="AF21" s="333">
        <f t="shared" si="6"/>
        <v>0</v>
      </c>
      <c r="AG21" s="372">
        <v>19.756270000000001</v>
      </c>
      <c r="AH21" s="343">
        <v>19.756270000000001</v>
      </c>
      <c r="AI21" s="332" t="e">
        <f>SUMIFS(#REF!,#REF!,'AME - Quarterly 2025'!$A11,#REF!,"janeiro")/1000</f>
        <v>#REF!</v>
      </c>
      <c r="AJ21" s="373"/>
      <c r="AK21" s="372"/>
      <c r="AL21" s="343">
        <v>0</v>
      </c>
      <c r="AM21" s="332" t="e">
        <f>SUMIFS(#REF!,#REF!,'AME - Quarterly 2025'!$A11,#REF!,"fevereiro")/1000</f>
        <v>#REF!</v>
      </c>
      <c r="AN21" s="373"/>
      <c r="AO21" s="372">
        <v>0</v>
      </c>
      <c r="AP21" s="343"/>
      <c r="AQ21" s="332" t="e">
        <f>SUMIFS(#REF!,#REF!,'AME - Quarterly 2025'!$A11,#REF!,"março")/1000</f>
        <v>#REF!</v>
      </c>
      <c r="AR21" s="373"/>
      <c r="AS21" s="372">
        <v>0</v>
      </c>
      <c r="AT21" s="343"/>
      <c r="AU21" s="332" t="e">
        <f>SUMIFS(#REF!,#REF!,'AME - Quarterly 2025'!$A11,#REF!,"abril")/1000</f>
        <v>#REF!</v>
      </c>
      <c r="AV21" s="373"/>
      <c r="AW21" s="372">
        <v>0</v>
      </c>
      <c r="AX21" s="343"/>
      <c r="AY21" s="332" t="e">
        <f>SUMIFS(#REF!,#REF!,'AME - Quarterly 2025'!$A11,#REF!,"maio")/1000</f>
        <v>#REF!</v>
      </c>
      <c r="AZ21" s="373"/>
      <c r="BA21" s="372">
        <v>0</v>
      </c>
      <c r="BB21" s="343"/>
      <c r="BC21" s="332" t="e">
        <f>SUMIFS(#REF!,#REF!,'AME - Quarterly 2025'!$A11,#REF!,"junho")/1000</f>
        <v>#REF!</v>
      </c>
      <c r="BD21" s="373"/>
      <c r="BE21" s="372">
        <v>0</v>
      </c>
      <c r="BF21" s="343"/>
      <c r="BG21" s="332" t="e">
        <f>SUMIFS(#REF!,#REF!,'AME - Quarterly 2025'!$A11,#REF!,"julho")/1000</f>
        <v>#REF!</v>
      </c>
      <c r="BH21" s="373"/>
      <c r="BI21" s="372"/>
      <c r="BJ21" s="343"/>
      <c r="BK21" s="332" t="e">
        <f>SUMIFS(#REF!,#REF!,'AME - Quarterly 2025'!$A11,#REF!,"agosto")/1000</f>
        <v>#REF!</v>
      </c>
      <c r="BL21" s="373"/>
      <c r="BM21" s="372"/>
      <c r="BN21" s="343"/>
      <c r="BO21" s="332" t="e">
        <f>SUMIFS(#REF!,#REF!,'AME - Quarterly 2025'!$A11,#REF!,"setembro")/1000</f>
        <v>#REF!</v>
      </c>
      <c r="BP21" s="373"/>
      <c r="BQ21" s="372"/>
      <c r="BR21" s="343"/>
      <c r="BS21" s="332" t="e">
        <f>SUMIFS(#REF!,#REF!,'AME - Quarterly 2025'!$A11,#REF!,"outubro")/1000</f>
        <v>#REF!</v>
      </c>
      <c r="BT21" s="373"/>
      <c r="BU21" s="372"/>
      <c r="BV21" s="343"/>
      <c r="BW21" s="332" t="e">
        <f>SUMIFS(#REF!,#REF!,'AME - Quarterly 2025'!$A11,#REF!,"novembro")/1000</f>
        <v>#REF!</v>
      </c>
      <c r="BX21" s="373"/>
      <c r="BY21" s="372"/>
      <c r="BZ21" s="343"/>
      <c r="CA21" s="332" t="e">
        <f>SUMIFS(#REF!,#REF!,'AME - Quarterly 2025'!$A11,#REF!,"dezembro")/1000</f>
        <v>#REF!</v>
      </c>
      <c r="CB21" s="373"/>
      <c r="CC21" s="452">
        <f t="shared" si="7"/>
        <v>0</v>
      </c>
      <c r="CD21" s="374"/>
      <c r="CE21" s="374"/>
      <c r="CF21" s="374"/>
      <c r="CG21" s="374"/>
      <c r="CH21" s="374"/>
      <c r="CI21" s="374"/>
      <c r="CJ21" s="374"/>
      <c r="CK21" s="374"/>
      <c r="CL21" s="374"/>
      <c r="CM21" s="374"/>
      <c r="CN21" s="374"/>
      <c r="CO21" s="374"/>
      <c r="CP21" s="319">
        <f t="shared" si="8"/>
        <v>-19.756270000000001</v>
      </c>
      <c r="CQ21" s="320" t="e">
        <f t="shared" si="9"/>
        <v>#REF!</v>
      </c>
      <c r="CR21" s="344" t="str">
        <f>IFERROR(VLOOKUP($A21,#REF!,6,FALSE)/1000,"")</f>
        <v/>
      </c>
      <c r="CS21" s="344" t="str">
        <f>IFERROR(VLOOKUP($A21,#REF!,7,FALSE)/1000,"")</f>
        <v/>
      </c>
      <c r="CT21" s="344" t="str">
        <f>IFERROR(VLOOKUP($A21,#REF!,8,FALSE)/1000,"")</f>
        <v/>
      </c>
      <c r="CU21" s="344" t="str">
        <f>IFERROR(VLOOKUP($A21,#REF!,9,FALSE)/1000,"")</f>
        <v/>
      </c>
      <c r="CV21" s="344" t="str">
        <f>IFERROR(VLOOKUP($A21,#REF!,11,FALSE)/1000,"")</f>
        <v/>
      </c>
      <c r="CW21" s="344" t="str">
        <f>IFERROR(VLOOKUP($A21,#REF!,12,FALSE)/1000,"")</f>
        <v/>
      </c>
      <c r="CX21" s="468">
        <v>60</v>
      </c>
      <c r="CY21" s="468">
        <v>30.82451</v>
      </c>
      <c r="CZ21" s="468">
        <v>8.64194</v>
      </c>
      <c r="DA21" s="468">
        <v>0</v>
      </c>
      <c r="DB21" s="468">
        <v>39.466449999999995</v>
      </c>
      <c r="DC21" s="468">
        <v>20.533549999999998</v>
      </c>
      <c r="DD21" s="51"/>
    </row>
    <row r="22" spans="1:108" s="23" customFormat="1" ht="28.5" customHeight="1">
      <c r="A22" s="85" t="s">
        <v>16998</v>
      </c>
      <c r="B22" s="309"/>
      <c r="C22" s="85"/>
      <c r="D22" s="309"/>
      <c r="E22" s="84"/>
      <c r="F22" s="85"/>
      <c r="G22" s="84"/>
      <c r="H22" s="3">
        <v>2025</v>
      </c>
      <c r="I22" s="5"/>
      <c r="J22" s="3" t="s">
        <v>176</v>
      </c>
      <c r="K22" s="13"/>
      <c r="L22" s="13"/>
      <c r="M22" s="5"/>
      <c r="N22" s="13" t="s">
        <v>8944</v>
      </c>
      <c r="O22" s="3" t="s">
        <v>9104</v>
      </c>
      <c r="P22" s="3"/>
      <c r="Q22" s="3">
        <v>11</v>
      </c>
      <c r="R22" s="3" t="s">
        <v>9109</v>
      </c>
      <c r="S22" s="3"/>
      <c r="T22" s="3"/>
      <c r="U22" s="413"/>
      <c r="V22" s="265" t="s">
        <v>573</v>
      </c>
      <c r="W22" s="6" t="s">
        <v>733</v>
      </c>
      <c r="X22" s="355">
        <v>100</v>
      </c>
      <c r="Y22" s="123" t="s">
        <v>9110</v>
      </c>
      <c r="Z22" s="223">
        <f t="shared" si="5"/>
        <v>0</v>
      </c>
      <c r="AA22" s="318"/>
      <c r="AB22" s="223"/>
      <c r="AC22" s="318"/>
      <c r="AD22" s="223">
        <v>0</v>
      </c>
      <c r="AE22" s="223"/>
      <c r="AF22" s="333">
        <f t="shared" si="6"/>
        <v>0</v>
      </c>
      <c r="AG22" s="372">
        <v>0</v>
      </c>
      <c r="AH22" s="343">
        <v>0</v>
      </c>
      <c r="AI22" s="332" t="e">
        <f>SUMIFS(#REF!,#REF!,'AME - Quarterly 2025'!$A10,#REF!,"janeiro")/1000</f>
        <v>#REF!</v>
      </c>
      <c r="AJ22" s="373"/>
      <c r="AK22" s="372"/>
      <c r="AL22" s="343">
        <v>0</v>
      </c>
      <c r="AM22" s="332" t="e">
        <f>SUMIFS(#REF!,#REF!,'AME - Quarterly 2025'!$A10,#REF!,"fevereiro")/1000</f>
        <v>#REF!</v>
      </c>
      <c r="AN22" s="373"/>
      <c r="AO22" s="372">
        <v>0</v>
      </c>
      <c r="AP22" s="343"/>
      <c r="AQ22" s="332" t="e">
        <f>SUMIFS(#REF!,#REF!,'AME - Quarterly 2025'!$A10,#REF!,"março")/1000</f>
        <v>#REF!</v>
      </c>
      <c r="AR22" s="373"/>
      <c r="AS22" s="372">
        <v>0</v>
      </c>
      <c r="AT22" s="343"/>
      <c r="AU22" s="332" t="e">
        <f>SUMIFS(#REF!,#REF!,'AME - Quarterly 2025'!$A10,#REF!,"abril")/1000</f>
        <v>#REF!</v>
      </c>
      <c r="AV22" s="373"/>
      <c r="AW22" s="372">
        <v>0</v>
      </c>
      <c r="AX22" s="343">
        <v>5.8725100000000001</v>
      </c>
      <c r="AY22" s="332" t="e">
        <f>SUMIFS(#REF!,#REF!,'AME - Quarterly 2025'!$A10,#REF!,"maio")/1000</f>
        <v>#REF!</v>
      </c>
      <c r="AZ22" s="373"/>
      <c r="BA22" s="372">
        <v>0</v>
      </c>
      <c r="BB22" s="343"/>
      <c r="BC22" s="332" t="e">
        <f>SUMIFS(#REF!,#REF!,'AME - Quarterly 2025'!$A10,#REF!,"junho")/1000</f>
        <v>#REF!</v>
      </c>
      <c r="BD22" s="373"/>
      <c r="BE22" s="372">
        <v>0</v>
      </c>
      <c r="BF22" s="343"/>
      <c r="BG22" s="332" t="e">
        <f>SUMIFS(#REF!,#REF!,'AME - Quarterly 2025'!$A10,#REF!,"julho")/1000</f>
        <v>#REF!</v>
      </c>
      <c r="BH22" s="373"/>
      <c r="BI22" s="372"/>
      <c r="BJ22" s="343"/>
      <c r="BK22" s="332" t="e">
        <f>SUMIFS(#REF!,#REF!,'AME - Quarterly 2025'!$A10,#REF!,"agosto")/1000</f>
        <v>#REF!</v>
      </c>
      <c r="BL22" s="373"/>
      <c r="BM22" s="372">
        <v>0</v>
      </c>
      <c r="BN22" s="343"/>
      <c r="BO22" s="332" t="e">
        <f>SUMIFS(#REF!,#REF!,'AME - Quarterly 2025'!$A10,#REF!,"setembro")/1000</f>
        <v>#REF!</v>
      </c>
      <c r="BP22" s="373"/>
      <c r="BQ22" s="372"/>
      <c r="BR22" s="343"/>
      <c r="BS22" s="332" t="e">
        <f>SUMIFS(#REF!,#REF!,'AME - Quarterly 2025'!$A10,#REF!,"outubro")/1000</f>
        <v>#REF!</v>
      </c>
      <c r="BT22" s="373"/>
      <c r="BU22" s="372"/>
      <c r="BV22" s="343"/>
      <c r="BW22" s="332" t="e">
        <f>SUMIFS(#REF!,#REF!,'AME - Quarterly 2025'!$A10,#REF!,"novembro")/1000</f>
        <v>#REF!</v>
      </c>
      <c r="BX22" s="373"/>
      <c r="BY22" s="372"/>
      <c r="BZ22" s="343"/>
      <c r="CA22" s="332" t="e">
        <f>SUMIFS(#REF!,#REF!,'AME - Quarterly 2025'!$A10,#REF!,"dezembro")/1000</f>
        <v>#REF!</v>
      </c>
      <c r="CB22" s="373"/>
      <c r="CC22" s="452">
        <f t="shared" si="7"/>
        <v>0</v>
      </c>
      <c r="CD22" s="374"/>
      <c r="CE22" s="374"/>
      <c r="CF22" s="374"/>
      <c r="CG22" s="374"/>
      <c r="CH22" s="374"/>
      <c r="CI22" s="374"/>
      <c r="CJ22" s="374"/>
      <c r="CK22" s="374"/>
      <c r="CL22" s="374"/>
      <c r="CM22" s="374"/>
      <c r="CN22" s="374"/>
      <c r="CO22" s="374"/>
      <c r="CP22" s="319">
        <f t="shared" si="8"/>
        <v>0</v>
      </c>
      <c r="CQ22" s="320" t="e">
        <f t="shared" si="9"/>
        <v>#REF!</v>
      </c>
      <c r="CR22" s="344" t="str">
        <f>IFERROR(VLOOKUP($A22,#REF!,6,FALSE)/1000,"")</f>
        <v/>
      </c>
      <c r="CS22" s="344" t="str">
        <f>IFERROR(VLOOKUP($A22,#REF!,7,FALSE)/1000,"")</f>
        <v/>
      </c>
      <c r="CT22" s="344" t="str">
        <f>IFERROR(VLOOKUP($A22,#REF!,8,FALSE)/1000,"")</f>
        <v/>
      </c>
      <c r="CU22" s="344" t="str">
        <f>IFERROR(VLOOKUP($A22,#REF!,9,FALSE)/1000,"")</f>
        <v/>
      </c>
      <c r="CV22" s="344" t="str">
        <f>IFERROR(VLOOKUP($A22,#REF!,11,FALSE)/1000,"")</f>
        <v/>
      </c>
      <c r="CW22" s="344" t="str">
        <f>IFERROR(VLOOKUP($A22,#REF!,12,FALSE)/1000,"")</f>
        <v/>
      </c>
      <c r="CX22" s="468">
        <v>8.5</v>
      </c>
      <c r="CY22" s="468">
        <v>5.8725100000000001</v>
      </c>
      <c r="CZ22" s="468">
        <v>0</v>
      </c>
      <c r="DA22" s="468">
        <v>0</v>
      </c>
      <c r="DB22" s="468">
        <v>5.8725100000000001</v>
      </c>
      <c r="DC22" s="468">
        <v>2.6274899999999999</v>
      </c>
      <c r="DD22" s="51"/>
    </row>
  </sheetData>
  <autoFilter ref="A6:DD22" xr:uid="{A58E3FFC-B2A3-4EDA-B6C6-BF5EDA2E8FBB}">
    <sortState xmlns:xlrd2="http://schemas.microsoft.com/office/spreadsheetml/2017/richdata2" ref="A7:DD22">
      <sortCondition ref="A6:A22"/>
    </sortState>
  </autoFilter>
  <phoneticPr fontId="26" type="noConversion"/>
  <conditionalFormatting sqref="V7:V22">
    <cfRule type="cellIs" dxfId="710" priority="145" operator="equal">
      <formula>"EM EXECUÇÃO"</formula>
    </cfRule>
    <cfRule type="cellIs" dxfId="709" priority="146" operator="equal">
      <formula>"CLSD"</formula>
    </cfRule>
    <cfRule type="cellIs" dxfId="708" priority="147" operator="equal">
      <formula>"TECO"</formula>
    </cfRule>
  </conditionalFormatting>
  <conditionalFormatting sqref="V7:V22">
    <cfRule type="cellIs" dxfId="707" priority="144" operator="equal">
      <formula>"CANCELADO"</formula>
    </cfRule>
  </conditionalFormatting>
  <conditionalFormatting sqref="V7:V22">
    <cfRule type="cellIs" dxfId="706" priority="139" operator="equal">
      <formula>"ENCERRADO"</formula>
    </cfRule>
    <cfRule type="cellIs" dxfId="705" priority="140" operator="equal">
      <formula>"EM EXECUÇÃO"</formula>
    </cfRule>
    <cfRule type="cellIs" dxfId="704" priority="141" operator="equal">
      <formula>"CANCELADO"</formula>
    </cfRule>
    <cfRule type="cellIs" dxfId="703" priority="142" operator="equal">
      <formula>"EM APROVAÇÃO"</formula>
    </cfRule>
    <cfRule type="cellIs" dxfId="702" priority="143" operator="equal">
      <formula>"EM ESTUDO"</formula>
    </cfRule>
  </conditionalFormatting>
  <conditionalFormatting sqref="W7:W22">
    <cfRule type="cellIs" dxfId="701" priority="117" operator="equal">
      <formula>"CLSD"</formula>
    </cfRule>
    <cfRule type="cellIs" dxfId="700" priority="118" operator="equal">
      <formula>"TECO"</formula>
    </cfRule>
    <cfRule type="cellIs" dxfId="699" priority="119" operator="equal">
      <formula>"REL"</formula>
    </cfRule>
    <cfRule type="cellIs" dxfId="698" priority="120" operator="equal">
      <formula>"CRTD"</formula>
    </cfRule>
  </conditionalFormatting>
  <conditionalFormatting sqref="CQ7:CQ22">
    <cfRule type="cellIs" dxfId="697" priority="32" operator="equal">
      <formula>"Behind Schedule"</formula>
    </cfRule>
    <cfRule type="cellIs" dxfId="696" priority="33" operator="equal">
      <formula>"TBD"</formula>
    </cfRule>
    <cfRule type="cellIs" dxfId="695" priority="34" operator="equal">
      <formula>"In Progress"</formula>
    </cfRule>
    <cfRule type="cellIs" dxfId="694" priority="35" operator="equal">
      <formula>"Completed"</formula>
    </cfRule>
  </conditionalFormatting>
  <conditionalFormatting sqref="Y7:Y22">
    <cfRule type="cellIs" dxfId="693" priority="28" operator="equal">
      <formula>"Behind Schedule"</formula>
    </cfRule>
    <cfRule type="cellIs" dxfId="692" priority="29" operator="equal">
      <formula>"TBD"</formula>
    </cfRule>
    <cfRule type="cellIs" dxfId="691" priority="30" operator="equal">
      <formula>"In Progress"</formula>
    </cfRule>
    <cfRule type="cellIs" dxfId="690" priority="31" operator="equal">
      <formula>"Completed"</formula>
    </cfRule>
  </conditionalFormatting>
  <conditionalFormatting sqref="U7:U22">
    <cfRule type="containsText" dxfId="689" priority="26" operator="containsText" text="OK">
      <formula>NOT(ISERROR(SEARCH("OK",U7)))</formula>
    </cfRule>
  </conditionalFormatting>
  <conditionalFormatting sqref="AA7:AA22 AC7:AC22">
    <cfRule type="cellIs" dxfId="688" priority="16" operator="equal">
      <formula>"Behind Schedule"</formula>
    </cfRule>
    <cfRule type="cellIs" dxfId="687" priority="17" operator="equal">
      <formula>"TBD"</formula>
    </cfRule>
    <cfRule type="cellIs" dxfId="686" priority="18" operator="equal">
      <formula>"In Progress"</formula>
    </cfRule>
    <cfRule type="cellIs" dxfId="685" priority="19" operator="equal">
      <formula>"Completed"</formula>
    </cfRule>
  </conditionalFormatting>
  <conditionalFormatting sqref="Z7:Z22">
    <cfRule type="cellIs" dxfId="684" priority="12" operator="equal">
      <formula>"Behind Schedule"</formula>
    </cfRule>
    <cfRule type="cellIs" dxfId="683" priority="13" operator="equal">
      <formula>"TBD"</formula>
    </cfRule>
    <cfRule type="cellIs" dxfId="682" priority="14" operator="equal">
      <formula>"In Progress"</formula>
    </cfRule>
    <cfRule type="cellIs" dxfId="681" priority="15" operator="equal">
      <formula>"Completed"</formula>
    </cfRule>
  </conditionalFormatting>
  <conditionalFormatting sqref="AB7:AB22">
    <cfRule type="cellIs" dxfId="680" priority="8" operator="equal">
      <formula>"Behind Schedule"</formula>
    </cfRule>
    <cfRule type="cellIs" dxfId="679" priority="9" operator="equal">
      <formula>"TBD"</formula>
    </cfRule>
    <cfRule type="cellIs" dxfId="678" priority="10" operator="equal">
      <formula>"In Progress"</formula>
    </cfRule>
    <cfRule type="cellIs" dxfId="677" priority="11" operator="equal">
      <formula>"Completed"</formula>
    </cfRule>
  </conditionalFormatting>
  <conditionalFormatting sqref="AD7:AE22">
    <cfRule type="cellIs" dxfId="676" priority="4" operator="equal">
      <formula>"Behind Schedule"</formula>
    </cfRule>
    <cfRule type="cellIs" dxfId="675" priority="5" operator="equal">
      <formula>"TBD"</formula>
    </cfRule>
    <cfRule type="cellIs" dxfId="674" priority="6" operator="equal">
      <formula>"In Progress"</formula>
    </cfRule>
    <cfRule type="cellIs" dxfId="673" priority="7" operator="equal">
      <formula>"Completed"</formula>
    </cfRule>
  </conditionalFormatting>
  <conditionalFormatting sqref="G8:G14">
    <cfRule type="containsText" dxfId="672" priority="3" operator="containsText" text="OK">
      <formula>NOT(ISERROR(SEARCH("OK",G8)))</formula>
    </cfRule>
  </conditionalFormatting>
  <conditionalFormatting sqref="R8:R14">
    <cfRule type="containsText" dxfId="671" priority="2" operator="containsText" text="OK">
      <formula>NOT(ISERROR(SEARCH("OK",R8)))</formula>
    </cfRule>
  </conditionalFormatting>
  <dataValidations count="3">
    <dataValidation type="list" allowBlank="1" showInputMessage="1" showErrorMessage="1" sqref="K7:K22" xr:uid="{F36FFED5-3002-45B8-AEF8-54CD626F34AC}">
      <formula1>"A,B1,B2,UTIL,FACIL,STAFF,"</formula1>
    </dataValidation>
    <dataValidation type="list" allowBlank="1" showInputMessage="1" showErrorMessage="1" sqref="V7:V22" xr:uid="{EB341F9C-C564-4E86-9BE3-5191C9D51F5A}">
      <formula1>"EM ESTUDO, EM APROVAÇÃO, CANCELADO, EM EXECUÇÃO, ENCERRADO"</formula1>
    </dataValidation>
    <dataValidation type="list" allowBlank="1" showInputMessage="1" showErrorMessage="1" sqref="W7:W22" xr:uid="{B80B2711-38BD-4119-8DB3-36D51621AA57}">
      <formula1>"CRTD, CLSD, REL, TECO"</formula1>
    </dataValidation>
  </dataValidations>
  <printOptions horizontalCentered="1" verticalCentered="1"/>
  <pageMargins left="0.25" right="0.25" top="0.75" bottom="0.75" header="0.3" footer="0.3"/>
  <pageSetup scale="50" orientation="portrait" r:id="rId1"/>
  <extLst>
    <ext xmlns:x14="http://schemas.microsoft.com/office/spreadsheetml/2009/9/main" uri="{78C0D931-6437-407d-A8EE-F0AAD7539E65}">
      <x14:conditionalFormattings>
        <x14:conditionalFormatting xmlns:xm="http://schemas.microsoft.com/office/excel/2006/main">
          <x14:cfRule type="containsText" priority="130" stopIfTrue="1" operator="containsText" id="{5DAB2D1B-CF0D-460C-AACD-895BA437C107}">
            <xm:f>NOT(ISERROR(SEARCH(#REF!,A2)))</xm:f>
            <xm:f>#REF!</xm:f>
            <x14:dxf>
              <font>
                <b/>
                <i val="0"/>
              </font>
              <fill>
                <patternFill>
                  <bgColor theme="0" tint="-0.24994659260841701"/>
                </patternFill>
              </fill>
            </x14:dxf>
          </x14:cfRule>
          <x14:cfRule type="containsText" priority="131" stopIfTrue="1" operator="containsText" id="{E4CAF3BC-C9AE-4E7F-9C58-07B0F49DB57F}">
            <xm:f>NOT(ISERROR(SEARCH(#REF!,A2)))</xm:f>
            <xm:f>#REF!</xm:f>
            <x14:dxf>
              <font>
                <b/>
                <i val="0"/>
                <color theme="0"/>
              </font>
              <fill>
                <patternFill>
                  <bgColor theme="1" tint="0.24994659260841701"/>
                </patternFill>
              </fill>
            </x14:dxf>
          </x14:cfRule>
          <x14:cfRule type="containsText" priority="132" stopIfTrue="1" operator="containsText" id="{F715FCB7-91EB-4DED-BFD2-DDFA039AACF1}">
            <xm:f>NOT(ISERROR(SEARCH(#REF!,A2)))</xm:f>
            <xm:f>#REF!</xm:f>
            <x14:dxf>
              <font>
                <b/>
                <i val="0"/>
              </font>
              <fill>
                <patternFill>
                  <bgColor theme="2" tint="-0.499984740745262"/>
                </patternFill>
              </fill>
            </x14:dxf>
          </x14:cfRule>
          <x14:cfRule type="containsText" priority="133" operator="containsText" id="{32142D13-D246-4E62-A293-4F175A9CF6E4}">
            <xm:f>NOT(ISERROR(SEARCH(#REF!,A2)))</xm:f>
            <xm:f>#REF!</xm:f>
            <x14:dxf>
              <font>
                <b/>
                <i val="0"/>
              </font>
              <fill>
                <patternFill>
                  <bgColor rgb="FF00B0F0"/>
                </patternFill>
              </fill>
            </x14:dxf>
          </x14:cfRule>
          <x14:cfRule type="containsText" priority="134" operator="containsText" id="{5737B586-DE48-4C6B-8E74-B8DFF64368F7}">
            <xm:f>NOT(ISERROR(SEARCH(#REF!,A2)))</xm:f>
            <xm:f>#REF!</xm:f>
            <x14:dxf>
              <font>
                <b/>
                <i val="0"/>
              </font>
              <fill>
                <patternFill>
                  <bgColor theme="5" tint="0.39994506668294322"/>
                </patternFill>
              </fill>
            </x14:dxf>
          </x14:cfRule>
          <x14:cfRule type="containsText" priority="135" operator="containsText" id="{3D20DA6A-CC14-4E04-A286-7A0D3C464747}">
            <xm:f>NOT(ISERROR(SEARCH(#REF!,A2)))</xm:f>
            <xm:f>#REF!</xm:f>
            <x14:dxf>
              <font>
                <b/>
                <i val="0"/>
              </font>
              <fill>
                <patternFill>
                  <bgColor theme="6" tint="0.39994506668294322"/>
                </patternFill>
              </fill>
            </x14:dxf>
          </x14:cfRule>
          <x14:cfRule type="containsText" priority="136" operator="containsText" id="{7AFCBE94-9685-4605-B7F7-5B8BCEE2AF17}">
            <xm:f>NOT(ISERROR(SEARCH(#REF!,A2)))</xm:f>
            <xm:f>#REF!</xm:f>
            <x14:dxf>
              <font>
                <b/>
                <i val="0"/>
              </font>
              <fill>
                <patternFill>
                  <bgColor theme="7" tint="0.39994506668294322"/>
                </patternFill>
              </fill>
            </x14:dxf>
          </x14:cfRule>
          <x14:cfRule type="containsText" priority="137" operator="containsText" id="{5E96B060-429E-4DC3-80EE-37C229E696B4}">
            <xm:f>NOT(ISERROR(SEARCH(#REF!,A2)))</xm:f>
            <xm:f>#REF!</xm:f>
            <x14:dxf>
              <font>
                <b/>
                <i val="0"/>
              </font>
              <fill>
                <patternFill>
                  <bgColor theme="8" tint="0.39994506668294322"/>
                </patternFill>
              </fill>
            </x14:dxf>
          </x14:cfRule>
          <x14:cfRule type="containsText" priority="138" operator="containsText" id="{7C80FCA3-F873-41FF-B923-BD0B40D6ED45}">
            <xm:f>NOT(ISERROR(SEARCH(#REF!,A2)))</xm:f>
            <xm:f>#REF!</xm:f>
            <x14:dxf>
              <font>
                <b/>
                <i val="0"/>
              </font>
              <fill>
                <patternFill>
                  <bgColor theme="9" tint="0.39994506668294322"/>
                </patternFill>
              </fill>
            </x14:dxf>
          </x14:cfRule>
          <xm:sqref>A2 A4:A5</xm:sqref>
        </x14:conditionalFormatting>
        <x14:conditionalFormatting xmlns:xm="http://schemas.microsoft.com/office/excel/2006/main">
          <x14:cfRule type="containsText" priority="121" stopIfTrue="1" operator="containsText" id="{8911E15F-4AB9-4DB6-89E3-836E27A1E39F}">
            <xm:f>NOT(ISERROR(SEARCH(#REF!,W4)))</xm:f>
            <xm:f>#REF!</xm:f>
            <x14:dxf>
              <font>
                <b/>
                <i val="0"/>
              </font>
              <fill>
                <patternFill>
                  <bgColor theme="0" tint="-0.24994659260841701"/>
                </patternFill>
              </fill>
            </x14:dxf>
          </x14:cfRule>
          <x14:cfRule type="containsText" priority="122" stopIfTrue="1" operator="containsText" id="{5DC27FDB-E29D-4ECA-B599-C16C1C1BD8A1}">
            <xm:f>NOT(ISERROR(SEARCH(#REF!,W4)))</xm:f>
            <xm:f>#REF!</xm:f>
            <x14:dxf>
              <font>
                <b/>
                <i val="0"/>
                <color theme="0"/>
              </font>
              <fill>
                <patternFill>
                  <bgColor theme="1" tint="0.24994659260841701"/>
                </patternFill>
              </fill>
            </x14:dxf>
          </x14:cfRule>
          <x14:cfRule type="containsText" priority="123" stopIfTrue="1" operator="containsText" id="{CBECE817-DEA4-4DD0-A596-FB0E842B4403}">
            <xm:f>NOT(ISERROR(SEARCH(#REF!,W4)))</xm:f>
            <xm:f>#REF!</xm:f>
            <x14:dxf>
              <font>
                <b/>
                <i val="0"/>
              </font>
              <fill>
                <patternFill>
                  <bgColor theme="2" tint="-0.499984740745262"/>
                </patternFill>
              </fill>
            </x14:dxf>
          </x14:cfRule>
          <x14:cfRule type="containsText" priority="124" operator="containsText" id="{2679AC8A-8B4C-4CB1-BBC6-EE325BE16EBF}">
            <xm:f>NOT(ISERROR(SEARCH(#REF!,W4)))</xm:f>
            <xm:f>#REF!</xm:f>
            <x14:dxf>
              <font>
                <b/>
                <i val="0"/>
              </font>
              <fill>
                <patternFill>
                  <bgColor rgb="FF00B0F0"/>
                </patternFill>
              </fill>
            </x14:dxf>
          </x14:cfRule>
          <x14:cfRule type="containsText" priority="125" operator="containsText" id="{21CECA74-1B4A-47F9-B94D-DB8D0C52F992}">
            <xm:f>NOT(ISERROR(SEARCH(#REF!,W4)))</xm:f>
            <xm:f>#REF!</xm:f>
            <x14:dxf>
              <font>
                <b/>
                <i val="0"/>
              </font>
              <fill>
                <patternFill>
                  <bgColor theme="5" tint="0.39994506668294322"/>
                </patternFill>
              </fill>
            </x14:dxf>
          </x14:cfRule>
          <x14:cfRule type="containsText" priority="126" operator="containsText" id="{30B02E9E-B464-4C01-95AD-39BA753883CC}">
            <xm:f>NOT(ISERROR(SEARCH(#REF!,W4)))</xm:f>
            <xm:f>#REF!</xm:f>
            <x14:dxf>
              <font>
                <b/>
                <i val="0"/>
              </font>
              <fill>
                <patternFill>
                  <bgColor theme="6" tint="0.39994506668294322"/>
                </patternFill>
              </fill>
            </x14:dxf>
          </x14:cfRule>
          <x14:cfRule type="containsText" priority="127" operator="containsText" id="{A002D542-9E40-4B7C-8906-1011F4FDFC55}">
            <xm:f>NOT(ISERROR(SEARCH(#REF!,W4)))</xm:f>
            <xm:f>#REF!</xm:f>
            <x14:dxf>
              <font>
                <b/>
                <i val="0"/>
              </font>
              <fill>
                <patternFill>
                  <bgColor theme="7" tint="0.39994506668294322"/>
                </patternFill>
              </fill>
            </x14:dxf>
          </x14:cfRule>
          <x14:cfRule type="containsText" priority="128" operator="containsText" id="{CE106A35-4C3E-461E-9D05-40B4A752E675}">
            <xm:f>NOT(ISERROR(SEARCH(#REF!,W4)))</xm:f>
            <xm:f>#REF!</xm:f>
            <x14:dxf>
              <font>
                <b/>
                <i val="0"/>
              </font>
              <fill>
                <patternFill>
                  <bgColor theme="8" tint="0.39994506668294322"/>
                </patternFill>
              </fill>
            </x14:dxf>
          </x14:cfRule>
          <x14:cfRule type="containsText" priority="129" operator="containsText" id="{F1612B34-6492-492B-A318-A2C8CF796C72}">
            <xm:f>NOT(ISERROR(SEARCH(#REF!,W4)))</xm:f>
            <xm:f>#REF!</xm:f>
            <x14:dxf>
              <font>
                <b/>
                <i val="0"/>
              </font>
              <fill>
                <patternFill>
                  <bgColor theme="9" tint="0.39994506668294322"/>
                </patternFill>
              </fill>
            </x14:dxf>
          </x14:cfRule>
          <xm:sqref>W4:W5</xm:sqref>
        </x14:conditionalFormatting>
        <x14:conditionalFormatting xmlns:xm="http://schemas.microsoft.com/office/excel/2006/main">
          <x14:cfRule type="containsText" priority="108" stopIfTrue="1" operator="containsText" id="{39591831-1FFF-462B-B248-E476B0E9C221}">
            <xm:f>NOT(ISERROR(SEARCH(#REF!,B5)))</xm:f>
            <xm:f>#REF!</xm:f>
            <x14:dxf>
              <font>
                <b/>
                <i val="0"/>
              </font>
              <fill>
                <patternFill>
                  <bgColor theme="0" tint="-0.24994659260841701"/>
                </patternFill>
              </fill>
            </x14:dxf>
          </x14:cfRule>
          <x14:cfRule type="containsText" priority="109" stopIfTrue="1" operator="containsText" id="{6E2C613A-3F7D-45B3-9E16-959F317CF81C}">
            <xm:f>NOT(ISERROR(SEARCH(#REF!,B5)))</xm:f>
            <xm:f>#REF!</xm:f>
            <x14:dxf>
              <font>
                <b/>
                <i val="0"/>
                <color theme="0"/>
              </font>
              <fill>
                <patternFill>
                  <bgColor theme="1" tint="0.24994659260841701"/>
                </patternFill>
              </fill>
            </x14:dxf>
          </x14:cfRule>
          <x14:cfRule type="containsText" priority="110" stopIfTrue="1" operator="containsText" id="{2087E033-E019-4113-9F46-2F6EBDD0E1A8}">
            <xm:f>NOT(ISERROR(SEARCH(#REF!,B5)))</xm:f>
            <xm:f>#REF!</xm:f>
            <x14:dxf>
              <font>
                <b/>
                <i val="0"/>
              </font>
              <fill>
                <patternFill>
                  <bgColor theme="2" tint="-0.499984740745262"/>
                </patternFill>
              </fill>
            </x14:dxf>
          </x14:cfRule>
          <x14:cfRule type="containsText" priority="111" operator="containsText" id="{8D7E0927-6ADB-4372-9DD8-4C731F62E7C2}">
            <xm:f>NOT(ISERROR(SEARCH(#REF!,B5)))</xm:f>
            <xm:f>#REF!</xm:f>
            <x14:dxf>
              <font>
                <b/>
                <i val="0"/>
              </font>
              <fill>
                <patternFill>
                  <bgColor rgb="FF00B0F0"/>
                </patternFill>
              </fill>
            </x14:dxf>
          </x14:cfRule>
          <x14:cfRule type="containsText" priority="112" operator="containsText" id="{A4E75907-5D33-4E9D-85E8-D81F3E91F9A9}">
            <xm:f>NOT(ISERROR(SEARCH(#REF!,B5)))</xm:f>
            <xm:f>#REF!</xm:f>
            <x14:dxf>
              <font>
                <b/>
                <i val="0"/>
              </font>
              <fill>
                <patternFill>
                  <bgColor theme="5" tint="0.39994506668294322"/>
                </patternFill>
              </fill>
            </x14:dxf>
          </x14:cfRule>
          <x14:cfRule type="containsText" priority="113" operator="containsText" id="{FC5B7934-C303-4BC9-9FA6-DC2781BBEEFA}">
            <xm:f>NOT(ISERROR(SEARCH(#REF!,B5)))</xm:f>
            <xm:f>#REF!</xm:f>
            <x14:dxf>
              <font>
                <b/>
                <i val="0"/>
              </font>
              <fill>
                <patternFill>
                  <bgColor theme="6" tint="0.39994506668294322"/>
                </patternFill>
              </fill>
            </x14:dxf>
          </x14:cfRule>
          <x14:cfRule type="containsText" priority="114" operator="containsText" id="{3C9A636A-17E5-488E-BC42-2DF819569B5B}">
            <xm:f>NOT(ISERROR(SEARCH(#REF!,B5)))</xm:f>
            <xm:f>#REF!</xm:f>
            <x14:dxf>
              <font>
                <b/>
                <i val="0"/>
              </font>
              <fill>
                <patternFill>
                  <bgColor theme="7" tint="0.39994506668294322"/>
                </patternFill>
              </fill>
            </x14:dxf>
          </x14:cfRule>
          <x14:cfRule type="containsText" priority="115" operator="containsText" id="{6B9EABB3-794B-4D7C-81E5-6961D3B2F2FD}">
            <xm:f>NOT(ISERROR(SEARCH(#REF!,B5)))</xm:f>
            <xm:f>#REF!</xm:f>
            <x14:dxf>
              <font>
                <b/>
                <i val="0"/>
              </font>
              <fill>
                <patternFill>
                  <bgColor theme="8" tint="0.39994506668294322"/>
                </patternFill>
              </fill>
            </x14:dxf>
          </x14:cfRule>
          <x14:cfRule type="containsText" priority="116" operator="containsText" id="{1DE7211A-B1F3-4E2F-B297-249D9D5314F6}">
            <xm:f>NOT(ISERROR(SEARCH(#REF!,B5)))</xm:f>
            <xm:f>#REF!</xm:f>
            <x14:dxf>
              <font>
                <b/>
                <i val="0"/>
              </font>
              <fill>
                <patternFill>
                  <bgColor theme="9" tint="0.39994506668294322"/>
                </patternFill>
              </fill>
            </x14:dxf>
          </x14:cfRule>
          <xm:sqref>B5</xm:sqref>
        </x14:conditionalFormatting>
        <x14:conditionalFormatting xmlns:xm="http://schemas.microsoft.com/office/excel/2006/main">
          <x14:cfRule type="containsText" priority="99" stopIfTrue="1" operator="containsText" id="{69FFC3F1-AFAD-4180-A1D7-2E7C4D3411C5}">
            <xm:f>NOT(ISERROR(SEARCH(#REF!,G5)))</xm:f>
            <xm:f>#REF!</xm:f>
            <x14:dxf>
              <font>
                <b/>
                <i val="0"/>
              </font>
              <fill>
                <patternFill>
                  <bgColor theme="0" tint="-0.24994659260841701"/>
                </patternFill>
              </fill>
            </x14:dxf>
          </x14:cfRule>
          <x14:cfRule type="containsText" priority="100" stopIfTrue="1" operator="containsText" id="{E92A8986-F797-4CCC-B6D1-B3727B10A88A}">
            <xm:f>NOT(ISERROR(SEARCH(#REF!,G5)))</xm:f>
            <xm:f>#REF!</xm:f>
            <x14:dxf>
              <font>
                <b/>
                <i val="0"/>
                <color theme="0"/>
              </font>
              <fill>
                <patternFill>
                  <bgColor theme="1" tint="0.24994659260841701"/>
                </patternFill>
              </fill>
            </x14:dxf>
          </x14:cfRule>
          <x14:cfRule type="containsText" priority="101" stopIfTrue="1" operator="containsText" id="{5D43173C-FA58-434E-90E0-2698E400BE92}">
            <xm:f>NOT(ISERROR(SEARCH(#REF!,G5)))</xm:f>
            <xm:f>#REF!</xm:f>
            <x14:dxf>
              <font>
                <b/>
                <i val="0"/>
              </font>
              <fill>
                <patternFill>
                  <bgColor theme="2" tint="-0.499984740745262"/>
                </patternFill>
              </fill>
            </x14:dxf>
          </x14:cfRule>
          <x14:cfRule type="containsText" priority="102" operator="containsText" id="{6802DE5D-74C8-4D4A-AB05-6403CABD3417}">
            <xm:f>NOT(ISERROR(SEARCH(#REF!,G5)))</xm:f>
            <xm:f>#REF!</xm:f>
            <x14:dxf>
              <font>
                <b/>
                <i val="0"/>
              </font>
              <fill>
                <patternFill>
                  <bgColor rgb="FF00B0F0"/>
                </patternFill>
              </fill>
            </x14:dxf>
          </x14:cfRule>
          <x14:cfRule type="containsText" priority="103" operator="containsText" id="{83064AE2-2F1A-4053-BC9E-D653C22BBCEC}">
            <xm:f>NOT(ISERROR(SEARCH(#REF!,G5)))</xm:f>
            <xm:f>#REF!</xm:f>
            <x14:dxf>
              <font>
                <b/>
                <i val="0"/>
              </font>
              <fill>
                <patternFill>
                  <bgColor theme="5" tint="0.39994506668294322"/>
                </patternFill>
              </fill>
            </x14:dxf>
          </x14:cfRule>
          <x14:cfRule type="containsText" priority="104" operator="containsText" id="{2D3F0484-8F96-42A2-9752-48C05A8A3BEE}">
            <xm:f>NOT(ISERROR(SEARCH(#REF!,G5)))</xm:f>
            <xm:f>#REF!</xm:f>
            <x14:dxf>
              <font>
                <b/>
                <i val="0"/>
              </font>
              <fill>
                <patternFill>
                  <bgColor theme="6" tint="0.39994506668294322"/>
                </patternFill>
              </fill>
            </x14:dxf>
          </x14:cfRule>
          <x14:cfRule type="containsText" priority="105" operator="containsText" id="{7D5385B5-10D7-4CF7-89AB-D888C7C9123A}">
            <xm:f>NOT(ISERROR(SEARCH(#REF!,G5)))</xm:f>
            <xm:f>#REF!</xm:f>
            <x14:dxf>
              <font>
                <b/>
                <i val="0"/>
              </font>
              <fill>
                <patternFill>
                  <bgColor theme="7" tint="0.39994506668294322"/>
                </patternFill>
              </fill>
            </x14:dxf>
          </x14:cfRule>
          <x14:cfRule type="containsText" priority="106" operator="containsText" id="{464B596B-814F-4AB9-8991-E0030C50FB62}">
            <xm:f>NOT(ISERROR(SEARCH(#REF!,G5)))</xm:f>
            <xm:f>#REF!</xm:f>
            <x14:dxf>
              <font>
                <b/>
                <i val="0"/>
              </font>
              <fill>
                <patternFill>
                  <bgColor theme="8" tint="0.39994506668294322"/>
                </patternFill>
              </fill>
            </x14:dxf>
          </x14:cfRule>
          <x14:cfRule type="containsText" priority="107" operator="containsText" id="{A746A5BB-5868-44A9-B07F-8BA15F12F3A3}">
            <xm:f>NOT(ISERROR(SEARCH(#REF!,G5)))</xm:f>
            <xm:f>#REF!</xm:f>
            <x14:dxf>
              <font>
                <b/>
                <i val="0"/>
              </font>
              <fill>
                <patternFill>
                  <bgColor theme="9" tint="0.39994506668294322"/>
                </patternFill>
              </fill>
            </x14:dxf>
          </x14:cfRule>
          <xm:sqref>G5</xm:sqref>
        </x14:conditionalFormatting>
        <x14:conditionalFormatting xmlns:xm="http://schemas.microsoft.com/office/excel/2006/main">
          <x14:cfRule type="containsText" priority="90" stopIfTrue="1" operator="containsText" id="{BBC888BB-5581-482E-87E1-B561ED59CCCA}">
            <xm:f>NOT(ISERROR(SEARCH(#REF!,H5)))</xm:f>
            <xm:f>#REF!</xm:f>
            <x14:dxf>
              <font>
                <b/>
                <i val="0"/>
              </font>
              <fill>
                <patternFill>
                  <bgColor theme="0" tint="-0.24994659260841701"/>
                </patternFill>
              </fill>
            </x14:dxf>
          </x14:cfRule>
          <x14:cfRule type="containsText" priority="91" stopIfTrue="1" operator="containsText" id="{DAB53BD0-424C-4A2E-9C7C-597FD9ECA2C5}">
            <xm:f>NOT(ISERROR(SEARCH(#REF!,H5)))</xm:f>
            <xm:f>#REF!</xm:f>
            <x14:dxf>
              <font>
                <b/>
                <i val="0"/>
                <color theme="0"/>
              </font>
              <fill>
                <patternFill>
                  <bgColor theme="1" tint="0.24994659260841701"/>
                </patternFill>
              </fill>
            </x14:dxf>
          </x14:cfRule>
          <x14:cfRule type="containsText" priority="92" stopIfTrue="1" operator="containsText" id="{4423C64B-A8B3-4EDB-BEA0-7609B0C8E12C}">
            <xm:f>NOT(ISERROR(SEARCH(#REF!,H5)))</xm:f>
            <xm:f>#REF!</xm:f>
            <x14:dxf>
              <font>
                <b/>
                <i val="0"/>
              </font>
              <fill>
                <patternFill>
                  <bgColor theme="2" tint="-0.499984740745262"/>
                </patternFill>
              </fill>
            </x14:dxf>
          </x14:cfRule>
          <x14:cfRule type="containsText" priority="93" operator="containsText" id="{178D9A3F-01F0-4B72-A0D5-6E92582D2964}">
            <xm:f>NOT(ISERROR(SEARCH(#REF!,H5)))</xm:f>
            <xm:f>#REF!</xm:f>
            <x14:dxf>
              <font>
                <b/>
                <i val="0"/>
              </font>
              <fill>
                <patternFill>
                  <bgColor rgb="FF00B0F0"/>
                </patternFill>
              </fill>
            </x14:dxf>
          </x14:cfRule>
          <x14:cfRule type="containsText" priority="94" operator="containsText" id="{B892D085-82A2-4ED3-B695-73FBED95EF7A}">
            <xm:f>NOT(ISERROR(SEARCH(#REF!,H5)))</xm:f>
            <xm:f>#REF!</xm:f>
            <x14:dxf>
              <font>
                <b/>
                <i val="0"/>
              </font>
              <fill>
                <patternFill>
                  <bgColor theme="5" tint="0.39994506668294322"/>
                </patternFill>
              </fill>
            </x14:dxf>
          </x14:cfRule>
          <x14:cfRule type="containsText" priority="95" operator="containsText" id="{D611F92B-FC7B-4833-88A2-057C1CAD9DD2}">
            <xm:f>NOT(ISERROR(SEARCH(#REF!,H5)))</xm:f>
            <xm:f>#REF!</xm:f>
            <x14:dxf>
              <font>
                <b/>
                <i val="0"/>
              </font>
              <fill>
                <patternFill>
                  <bgColor theme="6" tint="0.39994506668294322"/>
                </patternFill>
              </fill>
            </x14:dxf>
          </x14:cfRule>
          <x14:cfRule type="containsText" priority="96" operator="containsText" id="{12B4004F-8A05-41A2-B0C1-471DEC5AE445}">
            <xm:f>NOT(ISERROR(SEARCH(#REF!,H5)))</xm:f>
            <xm:f>#REF!</xm:f>
            <x14:dxf>
              <font>
                <b/>
                <i val="0"/>
              </font>
              <fill>
                <patternFill>
                  <bgColor theme="7" tint="0.39994506668294322"/>
                </patternFill>
              </fill>
            </x14:dxf>
          </x14:cfRule>
          <x14:cfRule type="containsText" priority="97" operator="containsText" id="{389E92E3-6BC0-4AC5-BD3A-2219913B0FAF}">
            <xm:f>NOT(ISERROR(SEARCH(#REF!,H5)))</xm:f>
            <xm:f>#REF!</xm:f>
            <x14:dxf>
              <font>
                <b/>
                <i val="0"/>
              </font>
              <fill>
                <patternFill>
                  <bgColor theme="8" tint="0.39994506668294322"/>
                </patternFill>
              </fill>
            </x14:dxf>
          </x14:cfRule>
          <x14:cfRule type="containsText" priority="98" operator="containsText" id="{BC73CCFC-581E-4C30-9549-DCA33D28EC92}">
            <xm:f>NOT(ISERROR(SEARCH(#REF!,H5)))</xm:f>
            <xm:f>#REF!</xm:f>
            <x14:dxf>
              <font>
                <b/>
                <i val="0"/>
              </font>
              <fill>
                <patternFill>
                  <bgColor theme="9" tint="0.39994506668294322"/>
                </patternFill>
              </fill>
            </x14:dxf>
          </x14:cfRule>
          <xm:sqref>H5</xm:sqref>
        </x14:conditionalFormatting>
        <x14:conditionalFormatting xmlns:xm="http://schemas.microsoft.com/office/excel/2006/main">
          <x14:cfRule type="containsText" priority="81" stopIfTrue="1" operator="containsText" id="{6DDB2727-2A97-4491-8B2A-21C031A69762}">
            <xm:f>NOT(ISERROR(SEARCH(#REF!,I5)))</xm:f>
            <xm:f>#REF!</xm:f>
            <x14:dxf>
              <font>
                <b/>
                <i val="0"/>
              </font>
              <fill>
                <patternFill>
                  <bgColor theme="0" tint="-0.24994659260841701"/>
                </patternFill>
              </fill>
            </x14:dxf>
          </x14:cfRule>
          <x14:cfRule type="containsText" priority="82" stopIfTrue="1" operator="containsText" id="{96250821-71F9-468E-80A7-B8C7D0799DD1}">
            <xm:f>NOT(ISERROR(SEARCH(#REF!,I5)))</xm:f>
            <xm:f>#REF!</xm:f>
            <x14:dxf>
              <font>
                <b/>
                <i val="0"/>
                <color theme="0"/>
              </font>
              <fill>
                <patternFill>
                  <bgColor theme="1" tint="0.24994659260841701"/>
                </patternFill>
              </fill>
            </x14:dxf>
          </x14:cfRule>
          <x14:cfRule type="containsText" priority="83" stopIfTrue="1" operator="containsText" id="{14F02356-15BF-458E-B48D-88F3BA411459}">
            <xm:f>NOT(ISERROR(SEARCH(#REF!,I5)))</xm:f>
            <xm:f>#REF!</xm:f>
            <x14:dxf>
              <font>
                <b/>
                <i val="0"/>
              </font>
              <fill>
                <patternFill>
                  <bgColor theme="2" tint="-0.499984740745262"/>
                </patternFill>
              </fill>
            </x14:dxf>
          </x14:cfRule>
          <x14:cfRule type="containsText" priority="84" operator="containsText" id="{2A129D2D-4F5D-4D8D-8788-29D8C9E8479C}">
            <xm:f>NOT(ISERROR(SEARCH(#REF!,I5)))</xm:f>
            <xm:f>#REF!</xm:f>
            <x14:dxf>
              <font>
                <b/>
                <i val="0"/>
              </font>
              <fill>
                <patternFill>
                  <bgColor rgb="FF00B0F0"/>
                </patternFill>
              </fill>
            </x14:dxf>
          </x14:cfRule>
          <x14:cfRule type="containsText" priority="85" operator="containsText" id="{3686C2FE-C2BC-4981-BC3B-6F71A387513F}">
            <xm:f>NOT(ISERROR(SEARCH(#REF!,I5)))</xm:f>
            <xm:f>#REF!</xm:f>
            <x14:dxf>
              <font>
                <b/>
                <i val="0"/>
              </font>
              <fill>
                <patternFill>
                  <bgColor theme="5" tint="0.39994506668294322"/>
                </patternFill>
              </fill>
            </x14:dxf>
          </x14:cfRule>
          <x14:cfRule type="containsText" priority="86" operator="containsText" id="{29946317-6B76-4AC7-AC09-982F3444FCFE}">
            <xm:f>NOT(ISERROR(SEARCH(#REF!,I5)))</xm:f>
            <xm:f>#REF!</xm:f>
            <x14:dxf>
              <font>
                <b/>
                <i val="0"/>
              </font>
              <fill>
                <patternFill>
                  <bgColor theme="6" tint="0.39994506668294322"/>
                </patternFill>
              </fill>
            </x14:dxf>
          </x14:cfRule>
          <x14:cfRule type="containsText" priority="87" operator="containsText" id="{C0D8FCAD-0E0D-4BFE-9C5C-B3AE694F470D}">
            <xm:f>NOT(ISERROR(SEARCH(#REF!,I5)))</xm:f>
            <xm:f>#REF!</xm:f>
            <x14:dxf>
              <font>
                <b/>
                <i val="0"/>
              </font>
              <fill>
                <patternFill>
                  <bgColor theme="7" tint="0.39994506668294322"/>
                </patternFill>
              </fill>
            </x14:dxf>
          </x14:cfRule>
          <x14:cfRule type="containsText" priority="88" operator="containsText" id="{60A7E8BD-09FA-4DA8-ABF3-E7C762C34BE4}">
            <xm:f>NOT(ISERROR(SEARCH(#REF!,I5)))</xm:f>
            <xm:f>#REF!</xm:f>
            <x14:dxf>
              <font>
                <b/>
                <i val="0"/>
              </font>
              <fill>
                <patternFill>
                  <bgColor theme="8" tint="0.39994506668294322"/>
                </patternFill>
              </fill>
            </x14:dxf>
          </x14:cfRule>
          <x14:cfRule type="containsText" priority="89" operator="containsText" id="{591C21B9-402A-4119-9005-622F0469FA39}">
            <xm:f>NOT(ISERROR(SEARCH(#REF!,I5)))</xm:f>
            <xm:f>#REF!</xm:f>
            <x14:dxf>
              <font>
                <b/>
                <i val="0"/>
              </font>
              <fill>
                <patternFill>
                  <bgColor theme="9" tint="0.39994506668294322"/>
                </patternFill>
              </fill>
            </x14:dxf>
          </x14:cfRule>
          <xm:sqref>I5</xm:sqref>
        </x14:conditionalFormatting>
        <x14:conditionalFormatting xmlns:xm="http://schemas.microsoft.com/office/excel/2006/main">
          <x14:cfRule type="containsText" priority="72" stopIfTrue="1" operator="containsText" id="{7F9064D4-F51C-46A8-8CFA-8DE270F0123C}">
            <xm:f>NOT(ISERROR(SEARCH(#REF!,J5)))</xm:f>
            <xm:f>#REF!</xm:f>
            <x14:dxf>
              <font>
                <b/>
                <i val="0"/>
              </font>
              <fill>
                <patternFill>
                  <bgColor theme="0" tint="-0.24994659260841701"/>
                </patternFill>
              </fill>
            </x14:dxf>
          </x14:cfRule>
          <x14:cfRule type="containsText" priority="73" stopIfTrue="1" operator="containsText" id="{42C7D669-FF2F-4550-9382-34C46CCA4F49}">
            <xm:f>NOT(ISERROR(SEARCH(#REF!,J5)))</xm:f>
            <xm:f>#REF!</xm:f>
            <x14:dxf>
              <font>
                <b/>
                <i val="0"/>
                <color theme="0"/>
              </font>
              <fill>
                <patternFill>
                  <bgColor theme="1" tint="0.24994659260841701"/>
                </patternFill>
              </fill>
            </x14:dxf>
          </x14:cfRule>
          <x14:cfRule type="containsText" priority="74" stopIfTrue="1" operator="containsText" id="{F0B4A654-FA5F-4104-A0A1-FD1DC714009F}">
            <xm:f>NOT(ISERROR(SEARCH(#REF!,J5)))</xm:f>
            <xm:f>#REF!</xm:f>
            <x14:dxf>
              <font>
                <b/>
                <i val="0"/>
              </font>
              <fill>
                <patternFill>
                  <bgColor theme="2" tint="-0.499984740745262"/>
                </patternFill>
              </fill>
            </x14:dxf>
          </x14:cfRule>
          <x14:cfRule type="containsText" priority="75" operator="containsText" id="{66AA0960-0BFA-4764-9A28-ADFFFB4ADCA6}">
            <xm:f>NOT(ISERROR(SEARCH(#REF!,J5)))</xm:f>
            <xm:f>#REF!</xm:f>
            <x14:dxf>
              <font>
                <b/>
                <i val="0"/>
              </font>
              <fill>
                <patternFill>
                  <bgColor rgb="FF00B0F0"/>
                </patternFill>
              </fill>
            </x14:dxf>
          </x14:cfRule>
          <x14:cfRule type="containsText" priority="76" operator="containsText" id="{F8453976-7E86-4915-B761-6B45A5568A66}">
            <xm:f>NOT(ISERROR(SEARCH(#REF!,J5)))</xm:f>
            <xm:f>#REF!</xm:f>
            <x14:dxf>
              <font>
                <b/>
                <i val="0"/>
              </font>
              <fill>
                <patternFill>
                  <bgColor theme="5" tint="0.39994506668294322"/>
                </patternFill>
              </fill>
            </x14:dxf>
          </x14:cfRule>
          <x14:cfRule type="containsText" priority="77" operator="containsText" id="{8E2535F9-BDBB-4A88-9CC6-18444960AFE6}">
            <xm:f>NOT(ISERROR(SEARCH(#REF!,J5)))</xm:f>
            <xm:f>#REF!</xm:f>
            <x14:dxf>
              <font>
                <b/>
                <i val="0"/>
              </font>
              <fill>
                <patternFill>
                  <bgColor theme="6" tint="0.39994506668294322"/>
                </patternFill>
              </fill>
            </x14:dxf>
          </x14:cfRule>
          <x14:cfRule type="containsText" priority="78" operator="containsText" id="{BE7D5FF3-CE4C-4F31-809F-6C15C0CDD782}">
            <xm:f>NOT(ISERROR(SEARCH(#REF!,J5)))</xm:f>
            <xm:f>#REF!</xm:f>
            <x14:dxf>
              <font>
                <b/>
                <i val="0"/>
              </font>
              <fill>
                <patternFill>
                  <bgColor theme="7" tint="0.39994506668294322"/>
                </patternFill>
              </fill>
            </x14:dxf>
          </x14:cfRule>
          <x14:cfRule type="containsText" priority="79" operator="containsText" id="{61B5D525-9723-4E03-B78F-D921C3CC1977}">
            <xm:f>NOT(ISERROR(SEARCH(#REF!,J5)))</xm:f>
            <xm:f>#REF!</xm:f>
            <x14:dxf>
              <font>
                <b/>
                <i val="0"/>
              </font>
              <fill>
                <patternFill>
                  <bgColor theme="8" tint="0.39994506668294322"/>
                </patternFill>
              </fill>
            </x14:dxf>
          </x14:cfRule>
          <x14:cfRule type="containsText" priority="80" operator="containsText" id="{62658887-16E4-47D7-A1F0-B4B23F951D5E}">
            <xm:f>NOT(ISERROR(SEARCH(#REF!,J5)))</xm:f>
            <xm:f>#REF!</xm:f>
            <x14:dxf>
              <font>
                <b/>
                <i val="0"/>
              </font>
              <fill>
                <patternFill>
                  <bgColor theme="9" tint="0.39994506668294322"/>
                </patternFill>
              </fill>
            </x14:dxf>
          </x14:cfRule>
          <xm:sqref>J5</xm:sqref>
        </x14:conditionalFormatting>
        <x14:conditionalFormatting xmlns:xm="http://schemas.microsoft.com/office/excel/2006/main">
          <x14:cfRule type="containsText" priority="63" stopIfTrue="1" operator="containsText" id="{2781D665-E8AF-473D-9B06-D71CF85A211C}">
            <xm:f>NOT(ISERROR(SEARCH(#REF!,N5)))</xm:f>
            <xm:f>#REF!</xm:f>
            <x14:dxf>
              <font>
                <b/>
                <i val="0"/>
              </font>
              <fill>
                <patternFill>
                  <bgColor theme="0" tint="-0.24994659260841701"/>
                </patternFill>
              </fill>
            </x14:dxf>
          </x14:cfRule>
          <x14:cfRule type="containsText" priority="64" stopIfTrue="1" operator="containsText" id="{32C55959-7A60-4ECB-A1D0-D6CE0B28A05E}">
            <xm:f>NOT(ISERROR(SEARCH(#REF!,N5)))</xm:f>
            <xm:f>#REF!</xm:f>
            <x14:dxf>
              <font>
                <b/>
                <i val="0"/>
                <color theme="0"/>
              </font>
              <fill>
                <patternFill>
                  <bgColor theme="1" tint="0.24994659260841701"/>
                </patternFill>
              </fill>
            </x14:dxf>
          </x14:cfRule>
          <x14:cfRule type="containsText" priority="65" stopIfTrue="1" operator="containsText" id="{64FC5F35-676D-4E20-A6FF-45BCF42B994E}">
            <xm:f>NOT(ISERROR(SEARCH(#REF!,N5)))</xm:f>
            <xm:f>#REF!</xm:f>
            <x14:dxf>
              <font>
                <b/>
                <i val="0"/>
              </font>
              <fill>
                <patternFill>
                  <bgColor theme="2" tint="-0.499984740745262"/>
                </patternFill>
              </fill>
            </x14:dxf>
          </x14:cfRule>
          <x14:cfRule type="containsText" priority="66" operator="containsText" id="{A60E39C0-C573-4640-8E9B-4E6D27DF5869}">
            <xm:f>NOT(ISERROR(SEARCH(#REF!,N5)))</xm:f>
            <xm:f>#REF!</xm:f>
            <x14:dxf>
              <font>
                <b/>
                <i val="0"/>
              </font>
              <fill>
                <patternFill>
                  <bgColor rgb="FF00B0F0"/>
                </patternFill>
              </fill>
            </x14:dxf>
          </x14:cfRule>
          <x14:cfRule type="containsText" priority="67" operator="containsText" id="{F4D268AF-8105-470F-AAFE-77CCD73ED085}">
            <xm:f>NOT(ISERROR(SEARCH(#REF!,N5)))</xm:f>
            <xm:f>#REF!</xm:f>
            <x14:dxf>
              <font>
                <b/>
                <i val="0"/>
              </font>
              <fill>
                <patternFill>
                  <bgColor theme="5" tint="0.39994506668294322"/>
                </patternFill>
              </fill>
            </x14:dxf>
          </x14:cfRule>
          <x14:cfRule type="containsText" priority="68" operator="containsText" id="{47B50ED1-8C2D-455B-9B02-1D2828E73736}">
            <xm:f>NOT(ISERROR(SEARCH(#REF!,N5)))</xm:f>
            <xm:f>#REF!</xm:f>
            <x14:dxf>
              <font>
                <b/>
                <i val="0"/>
              </font>
              <fill>
                <patternFill>
                  <bgColor theme="6" tint="0.39994506668294322"/>
                </patternFill>
              </fill>
            </x14:dxf>
          </x14:cfRule>
          <x14:cfRule type="containsText" priority="69" operator="containsText" id="{2768F0A2-C584-485C-A48B-EC7418797678}">
            <xm:f>NOT(ISERROR(SEARCH(#REF!,N5)))</xm:f>
            <xm:f>#REF!</xm:f>
            <x14:dxf>
              <font>
                <b/>
                <i val="0"/>
              </font>
              <fill>
                <patternFill>
                  <bgColor theme="7" tint="0.39994506668294322"/>
                </patternFill>
              </fill>
            </x14:dxf>
          </x14:cfRule>
          <x14:cfRule type="containsText" priority="70" operator="containsText" id="{88BD87FB-9D4A-46C3-9492-504DA329E1EC}">
            <xm:f>NOT(ISERROR(SEARCH(#REF!,N5)))</xm:f>
            <xm:f>#REF!</xm:f>
            <x14:dxf>
              <font>
                <b/>
                <i val="0"/>
              </font>
              <fill>
                <patternFill>
                  <bgColor theme="8" tint="0.39994506668294322"/>
                </patternFill>
              </fill>
            </x14:dxf>
          </x14:cfRule>
          <x14:cfRule type="containsText" priority="71" operator="containsText" id="{43029D21-18F4-4E45-B77D-2647C16FAE54}">
            <xm:f>NOT(ISERROR(SEARCH(#REF!,N5)))</xm:f>
            <xm:f>#REF!</xm:f>
            <x14:dxf>
              <font>
                <b/>
                <i val="0"/>
              </font>
              <fill>
                <patternFill>
                  <bgColor theme="9" tint="0.39994506668294322"/>
                </patternFill>
              </fill>
            </x14:dxf>
          </x14:cfRule>
          <xm:sqref>N5</xm:sqref>
        </x14:conditionalFormatting>
        <x14:conditionalFormatting xmlns:xm="http://schemas.microsoft.com/office/excel/2006/main">
          <x14:cfRule type="containsText" priority="54" stopIfTrue="1" operator="containsText" id="{916A9E77-E02A-4D02-B839-052796DE5AD0}">
            <xm:f>NOT(ISERROR(SEARCH(#REF!,K5)))</xm:f>
            <xm:f>#REF!</xm:f>
            <x14:dxf>
              <font>
                <b/>
                <i val="0"/>
              </font>
              <fill>
                <patternFill>
                  <bgColor theme="0" tint="-0.24994659260841701"/>
                </patternFill>
              </fill>
            </x14:dxf>
          </x14:cfRule>
          <x14:cfRule type="containsText" priority="55" stopIfTrue="1" operator="containsText" id="{057714AF-4AE4-4389-AB44-9257D123420C}">
            <xm:f>NOT(ISERROR(SEARCH(#REF!,K5)))</xm:f>
            <xm:f>#REF!</xm:f>
            <x14:dxf>
              <font>
                <b/>
                <i val="0"/>
                <color theme="0"/>
              </font>
              <fill>
                <patternFill>
                  <bgColor theme="1" tint="0.24994659260841701"/>
                </patternFill>
              </fill>
            </x14:dxf>
          </x14:cfRule>
          <x14:cfRule type="containsText" priority="56" stopIfTrue="1" operator="containsText" id="{C7C12A04-5F15-4C7B-869C-A9BA5BA13FAF}">
            <xm:f>NOT(ISERROR(SEARCH(#REF!,K5)))</xm:f>
            <xm:f>#REF!</xm:f>
            <x14:dxf>
              <font>
                <b/>
                <i val="0"/>
              </font>
              <fill>
                <patternFill>
                  <bgColor theme="2" tint="-0.499984740745262"/>
                </patternFill>
              </fill>
            </x14:dxf>
          </x14:cfRule>
          <x14:cfRule type="containsText" priority="57" operator="containsText" id="{7DB1E11A-F3B2-47C2-A284-0D0D4B67D011}">
            <xm:f>NOT(ISERROR(SEARCH(#REF!,K5)))</xm:f>
            <xm:f>#REF!</xm:f>
            <x14:dxf>
              <font>
                <b/>
                <i val="0"/>
              </font>
              <fill>
                <patternFill>
                  <bgColor rgb="FF00B0F0"/>
                </patternFill>
              </fill>
            </x14:dxf>
          </x14:cfRule>
          <x14:cfRule type="containsText" priority="58" operator="containsText" id="{D96E17DD-F154-4011-A3E9-ACD8EA580329}">
            <xm:f>NOT(ISERROR(SEARCH(#REF!,K5)))</xm:f>
            <xm:f>#REF!</xm:f>
            <x14:dxf>
              <font>
                <b/>
                <i val="0"/>
              </font>
              <fill>
                <patternFill>
                  <bgColor theme="5" tint="0.39994506668294322"/>
                </patternFill>
              </fill>
            </x14:dxf>
          </x14:cfRule>
          <x14:cfRule type="containsText" priority="59" operator="containsText" id="{954AF3C6-7E26-4119-8676-95394B88F97A}">
            <xm:f>NOT(ISERROR(SEARCH(#REF!,K5)))</xm:f>
            <xm:f>#REF!</xm:f>
            <x14:dxf>
              <font>
                <b/>
                <i val="0"/>
              </font>
              <fill>
                <patternFill>
                  <bgColor theme="6" tint="0.39994506668294322"/>
                </patternFill>
              </fill>
            </x14:dxf>
          </x14:cfRule>
          <x14:cfRule type="containsText" priority="60" operator="containsText" id="{4BAD5C25-1AAB-41A5-AE47-F19C4F32E85B}">
            <xm:f>NOT(ISERROR(SEARCH(#REF!,K5)))</xm:f>
            <xm:f>#REF!</xm:f>
            <x14:dxf>
              <font>
                <b/>
                <i val="0"/>
              </font>
              <fill>
                <patternFill>
                  <bgColor theme="7" tint="0.39994506668294322"/>
                </patternFill>
              </fill>
            </x14:dxf>
          </x14:cfRule>
          <x14:cfRule type="containsText" priority="61" operator="containsText" id="{C075A896-860C-4879-92F0-F6CF37129FC4}">
            <xm:f>NOT(ISERROR(SEARCH(#REF!,K5)))</xm:f>
            <xm:f>#REF!</xm:f>
            <x14:dxf>
              <font>
                <b/>
                <i val="0"/>
              </font>
              <fill>
                <patternFill>
                  <bgColor theme="8" tint="0.39994506668294322"/>
                </patternFill>
              </fill>
            </x14:dxf>
          </x14:cfRule>
          <x14:cfRule type="containsText" priority="62" operator="containsText" id="{E212F68B-5BE0-4D2D-87FF-C0E734A6B7FA}">
            <xm:f>NOT(ISERROR(SEARCH(#REF!,K5)))</xm:f>
            <xm:f>#REF!</xm:f>
            <x14:dxf>
              <font>
                <b/>
                <i val="0"/>
              </font>
              <fill>
                <patternFill>
                  <bgColor theme="9" tint="0.39994506668294322"/>
                </patternFill>
              </fill>
            </x14:dxf>
          </x14:cfRule>
          <xm:sqref>K5</xm:sqref>
        </x14:conditionalFormatting>
        <x14:conditionalFormatting xmlns:xm="http://schemas.microsoft.com/office/excel/2006/main">
          <x14:cfRule type="containsText" priority="45" stopIfTrue="1" operator="containsText" id="{371124C5-712D-4FD4-A09E-8EE90445117E}">
            <xm:f>NOT(ISERROR(SEARCH(#REF!,L5)))</xm:f>
            <xm:f>#REF!</xm:f>
            <x14:dxf>
              <font>
                <b/>
                <i val="0"/>
              </font>
              <fill>
                <patternFill>
                  <bgColor theme="0" tint="-0.24994659260841701"/>
                </patternFill>
              </fill>
            </x14:dxf>
          </x14:cfRule>
          <x14:cfRule type="containsText" priority="46" stopIfTrue="1" operator="containsText" id="{93F06F72-23BC-41DD-A742-77967B17187D}">
            <xm:f>NOT(ISERROR(SEARCH(#REF!,L5)))</xm:f>
            <xm:f>#REF!</xm:f>
            <x14:dxf>
              <font>
                <b/>
                <i val="0"/>
                <color theme="0"/>
              </font>
              <fill>
                <patternFill>
                  <bgColor theme="1" tint="0.24994659260841701"/>
                </patternFill>
              </fill>
            </x14:dxf>
          </x14:cfRule>
          <x14:cfRule type="containsText" priority="47" stopIfTrue="1" operator="containsText" id="{3FAE7EBA-3753-4C6B-AC1B-C8DDCA002636}">
            <xm:f>NOT(ISERROR(SEARCH(#REF!,L5)))</xm:f>
            <xm:f>#REF!</xm:f>
            <x14:dxf>
              <font>
                <b/>
                <i val="0"/>
              </font>
              <fill>
                <patternFill>
                  <bgColor theme="2" tint="-0.499984740745262"/>
                </patternFill>
              </fill>
            </x14:dxf>
          </x14:cfRule>
          <x14:cfRule type="containsText" priority="48" operator="containsText" id="{880F619F-BDCC-4CA9-B012-6F2C14A062E6}">
            <xm:f>NOT(ISERROR(SEARCH(#REF!,L5)))</xm:f>
            <xm:f>#REF!</xm:f>
            <x14:dxf>
              <font>
                <b/>
                <i val="0"/>
              </font>
              <fill>
                <patternFill>
                  <bgColor rgb="FF00B0F0"/>
                </patternFill>
              </fill>
            </x14:dxf>
          </x14:cfRule>
          <x14:cfRule type="containsText" priority="49" operator="containsText" id="{D8DB321B-23CC-4C4D-90CF-540C1BABF575}">
            <xm:f>NOT(ISERROR(SEARCH(#REF!,L5)))</xm:f>
            <xm:f>#REF!</xm:f>
            <x14:dxf>
              <font>
                <b/>
                <i val="0"/>
              </font>
              <fill>
                <patternFill>
                  <bgColor theme="5" tint="0.39994506668294322"/>
                </patternFill>
              </fill>
            </x14:dxf>
          </x14:cfRule>
          <x14:cfRule type="containsText" priority="50" operator="containsText" id="{2570E54D-D537-42FB-B469-0F5F669857C5}">
            <xm:f>NOT(ISERROR(SEARCH(#REF!,L5)))</xm:f>
            <xm:f>#REF!</xm:f>
            <x14:dxf>
              <font>
                <b/>
                <i val="0"/>
              </font>
              <fill>
                <patternFill>
                  <bgColor theme="6" tint="0.39994506668294322"/>
                </patternFill>
              </fill>
            </x14:dxf>
          </x14:cfRule>
          <x14:cfRule type="containsText" priority="51" operator="containsText" id="{28E8B191-40FC-42CA-8063-6A10E5440D97}">
            <xm:f>NOT(ISERROR(SEARCH(#REF!,L5)))</xm:f>
            <xm:f>#REF!</xm:f>
            <x14:dxf>
              <font>
                <b/>
                <i val="0"/>
              </font>
              <fill>
                <patternFill>
                  <bgColor theme="7" tint="0.39994506668294322"/>
                </patternFill>
              </fill>
            </x14:dxf>
          </x14:cfRule>
          <x14:cfRule type="containsText" priority="52" operator="containsText" id="{6C8DCAC4-CB36-4B90-93FD-6EBAFF38140C}">
            <xm:f>NOT(ISERROR(SEARCH(#REF!,L5)))</xm:f>
            <xm:f>#REF!</xm:f>
            <x14:dxf>
              <font>
                <b/>
                <i val="0"/>
              </font>
              <fill>
                <patternFill>
                  <bgColor theme="8" tint="0.39994506668294322"/>
                </patternFill>
              </fill>
            </x14:dxf>
          </x14:cfRule>
          <x14:cfRule type="containsText" priority="53" operator="containsText" id="{31C66A42-3F7B-4A08-8835-6DBC4C946056}">
            <xm:f>NOT(ISERROR(SEARCH(#REF!,L5)))</xm:f>
            <xm:f>#REF!</xm:f>
            <x14:dxf>
              <font>
                <b/>
                <i val="0"/>
              </font>
              <fill>
                <patternFill>
                  <bgColor theme="9" tint="0.39994506668294322"/>
                </patternFill>
              </fill>
            </x14:dxf>
          </x14:cfRule>
          <xm:sqref>L5</xm:sqref>
        </x14:conditionalFormatting>
        <x14:conditionalFormatting xmlns:xm="http://schemas.microsoft.com/office/excel/2006/main">
          <x14:cfRule type="containsText" priority="36" stopIfTrue="1" operator="containsText" id="{F4F60150-D913-4669-9B2F-54F547EBCA34}">
            <xm:f>NOT(ISERROR(SEARCH(#REF!,M5)))</xm:f>
            <xm:f>#REF!</xm:f>
            <x14:dxf>
              <font>
                <b/>
                <i val="0"/>
              </font>
              <fill>
                <patternFill>
                  <bgColor theme="0" tint="-0.24994659260841701"/>
                </patternFill>
              </fill>
            </x14:dxf>
          </x14:cfRule>
          <x14:cfRule type="containsText" priority="37" stopIfTrue="1" operator="containsText" id="{5E9D24CA-680E-45B7-84F8-AC1F887358B5}">
            <xm:f>NOT(ISERROR(SEARCH(#REF!,M5)))</xm:f>
            <xm:f>#REF!</xm:f>
            <x14:dxf>
              <font>
                <b/>
                <i val="0"/>
                <color theme="0"/>
              </font>
              <fill>
                <patternFill>
                  <bgColor theme="1" tint="0.24994659260841701"/>
                </patternFill>
              </fill>
            </x14:dxf>
          </x14:cfRule>
          <x14:cfRule type="containsText" priority="38" stopIfTrue="1" operator="containsText" id="{FF79E26A-8886-44A1-B335-B3ABF7057532}">
            <xm:f>NOT(ISERROR(SEARCH(#REF!,M5)))</xm:f>
            <xm:f>#REF!</xm:f>
            <x14:dxf>
              <font>
                <b/>
                <i val="0"/>
              </font>
              <fill>
                <patternFill>
                  <bgColor theme="2" tint="-0.499984740745262"/>
                </patternFill>
              </fill>
            </x14:dxf>
          </x14:cfRule>
          <x14:cfRule type="containsText" priority="39" operator="containsText" id="{6600F56D-7433-43E2-A767-FBF8DAE895F6}">
            <xm:f>NOT(ISERROR(SEARCH(#REF!,M5)))</xm:f>
            <xm:f>#REF!</xm:f>
            <x14:dxf>
              <font>
                <b/>
                <i val="0"/>
              </font>
              <fill>
                <patternFill>
                  <bgColor rgb="FF00B0F0"/>
                </patternFill>
              </fill>
            </x14:dxf>
          </x14:cfRule>
          <x14:cfRule type="containsText" priority="40" operator="containsText" id="{D125892E-6956-473E-88B5-702676F96D23}">
            <xm:f>NOT(ISERROR(SEARCH(#REF!,M5)))</xm:f>
            <xm:f>#REF!</xm:f>
            <x14:dxf>
              <font>
                <b/>
                <i val="0"/>
              </font>
              <fill>
                <patternFill>
                  <bgColor theme="5" tint="0.39994506668294322"/>
                </patternFill>
              </fill>
            </x14:dxf>
          </x14:cfRule>
          <x14:cfRule type="containsText" priority="41" operator="containsText" id="{CE11A395-77F6-46B0-ADEF-1A3385B5E777}">
            <xm:f>NOT(ISERROR(SEARCH(#REF!,M5)))</xm:f>
            <xm:f>#REF!</xm:f>
            <x14:dxf>
              <font>
                <b/>
                <i val="0"/>
              </font>
              <fill>
                <patternFill>
                  <bgColor theme="6" tint="0.39994506668294322"/>
                </patternFill>
              </fill>
            </x14:dxf>
          </x14:cfRule>
          <x14:cfRule type="containsText" priority="42" operator="containsText" id="{89E2832E-1794-4138-8761-2030E67C451D}">
            <xm:f>NOT(ISERROR(SEARCH(#REF!,M5)))</xm:f>
            <xm:f>#REF!</xm:f>
            <x14:dxf>
              <font>
                <b/>
                <i val="0"/>
              </font>
              <fill>
                <patternFill>
                  <bgColor theme="7" tint="0.39994506668294322"/>
                </patternFill>
              </fill>
            </x14:dxf>
          </x14:cfRule>
          <x14:cfRule type="containsText" priority="43" operator="containsText" id="{53AC6F3D-A73A-4397-937D-3A9173DD00F6}">
            <xm:f>NOT(ISERROR(SEARCH(#REF!,M5)))</xm:f>
            <xm:f>#REF!</xm:f>
            <x14:dxf>
              <font>
                <b/>
                <i val="0"/>
              </font>
              <fill>
                <patternFill>
                  <bgColor theme="8" tint="0.39994506668294322"/>
                </patternFill>
              </fill>
            </x14:dxf>
          </x14:cfRule>
          <x14:cfRule type="containsText" priority="44" operator="containsText" id="{474D18A1-520C-4F9F-AA89-414793B2942E}">
            <xm:f>NOT(ISERROR(SEARCH(#REF!,M5)))</xm:f>
            <xm:f>#REF!</xm:f>
            <x14:dxf>
              <font>
                <b/>
                <i val="0"/>
              </font>
              <fill>
                <patternFill>
                  <bgColor theme="9" tint="0.39994506668294322"/>
                </patternFill>
              </fill>
            </x14:dxf>
          </x14:cfRule>
          <xm:sqref>M5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4B8D782-171A-4B38-A9C8-BDD1586D28F7}">
          <x14:formula1>
            <xm:f>TNCs!$A$2:$A$41</xm:f>
          </x14:formula1>
          <xm:sqref>L7:L22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12F2C-944D-4AE9-ADB6-1388D12CDE08}">
  <sheetPr codeName="Planilha15">
    <tabColor theme="4" tint="0.39997558519241921"/>
    <pageSetUpPr fitToPage="1"/>
  </sheetPr>
  <dimension ref="A1:AO20"/>
  <sheetViews>
    <sheetView showGridLines="0" zoomScale="85" zoomScaleNormal="85" zoomScaleSheetLayoutView="25" workbookViewId="0">
      <pane xSplit="11" ySplit="7" topLeftCell="L12" activePane="bottomRight" state="frozen"/>
      <selection activeCell="X69" sqref="X69"/>
      <selection pane="topRight" activeCell="X69" sqref="X69"/>
      <selection pane="bottomLeft" activeCell="X69" sqref="X69"/>
      <selection pane="bottomRight" activeCell="H10" sqref="H8:H10"/>
    </sheetView>
  </sheetViews>
  <sheetFormatPr defaultColWidth="9.453125" defaultRowHeight="13"/>
  <cols>
    <col min="1" max="1" width="2" style="19" customWidth="1"/>
    <col min="2" max="2" width="9" style="31" customWidth="1"/>
    <col min="3" max="3" width="13.1796875" style="31" bestFit="1" customWidth="1"/>
    <col min="4" max="4" width="12.81640625" style="31" bestFit="1" customWidth="1"/>
    <col min="5" max="5" width="14.26953125" style="31" bestFit="1" customWidth="1"/>
    <col min="6" max="6" width="16" style="31" hidden="1" customWidth="1"/>
    <col min="7" max="7" width="46.453125" style="31" bestFit="1" customWidth="1"/>
    <col min="8" max="8" width="16.453125" style="31" customWidth="1"/>
    <col min="9" max="9" width="15.453125" style="31" customWidth="1"/>
    <col min="10" max="10" width="16.26953125" style="31" customWidth="1"/>
    <col min="11" max="11" width="21.54296875" style="31" bestFit="1" customWidth="1"/>
    <col min="12" max="12" width="31.1796875" style="31" customWidth="1"/>
    <col min="13" max="13" width="17.54296875" style="31" customWidth="1"/>
    <col min="14" max="14" width="11.81640625" style="31" customWidth="1"/>
    <col min="15" max="15" width="15.7265625" style="31" bestFit="1" customWidth="1"/>
    <col min="16" max="16" width="12.81640625" style="31" bestFit="1" customWidth="1"/>
    <col min="17" max="17" width="12" style="31" customWidth="1"/>
    <col min="18" max="32" width="15.1796875" style="31" customWidth="1"/>
    <col min="33" max="33" width="16.26953125" style="31" customWidth="1"/>
    <col min="34" max="34" width="17.54296875" style="31" customWidth="1"/>
    <col min="35" max="35" width="20" style="31" customWidth="1"/>
    <col min="36" max="41" width="13.7265625" style="31" customWidth="1"/>
    <col min="42" max="16384" width="9.453125" style="31"/>
  </cols>
  <sheetData>
    <row r="1" spans="1:41" ht="18.649999999999999" customHeight="1">
      <c r="R1" s="54"/>
      <c r="S1" s="54"/>
      <c r="T1" s="54"/>
      <c r="U1" s="54"/>
      <c r="V1" s="54"/>
      <c r="W1" s="54"/>
      <c r="X1" s="54"/>
      <c r="Y1" s="54"/>
      <c r="Z1" s="54"/>
      <c r="AA1" s="54"/>
      <c r="AB1" s="54"/>
      <c r="AC1" s="54"/>
      <c r="AD1" s="54"/>
      <c r="AE1" s="54"/>
      <c r="AF1" s="54"/>
      <c r="AG1" s="54"/>
      <c r="AH1" s="54"/>
      <c r="AI1" s="54"/>
    </row>
    <row r="2" spans="1:41" s="23" customFormat="1" ht="18.75" customHeight="1">
      <c r="A2" s="18"/>
      <c r="B2" s="58"/>
      <c r="C2" s="25"/>
      <c r="D2" s="25"/>
      <c r="E2" s="22"/>
      <c r="K2" s="24"/>
      <c r="L2" s="24"/>
      <c r="M2" s="24"/>
      <c r="N2" s="24"/>
      <c r="O2" s="24"/>
      <c r="P2" s="24"/>
      <c r="Q2" s="24"/>
      <c r="R2" s="29"/>
      <c r="S2" s="29"/>
      <c r="T2" s="29"/>
      <c r="U2" s="29"/>
      <c r="V2" s="29"/>
      <c r="W2" s="29"/>
      <c r="X2" s="29"/>
      <c r="Y2" s="29"/>
      <c r="Z2" s="29"/>
      <c r="AA2" s="29"/>
      <c r="AB2" s="29"/>
      <c r="AC2" s="29"/>
      <c r="AD2" s="29"/>
      <c r="AE2" s="29"/>
      <c r="AF2" s="29"/>
      <c r="AG2" s="29"/>
      <c r="AH2" s="29"/>
      <c r="AI2" s="29"/>
      <c r="AJ2" s="28"/>
      <c r="AK2" s="28"/>
      <c r="AL2" s="28"/>
      <c r="AM2" s="28"/>
      <c r="AN2" s="28"/>
      <c r="AO2" s="28"/>
    </row>
    <row r="3" spans="1:41" s="17" customFormat="1" ht="18.75" customHeight="1" thickBot="1">
      <c r="B3" s="180" t="s">
        <v>8489</v>
      </c>
      <c r="C3" s="180"/>
      <c r="D3" s="180"/>
      <c r="R3" s="29"/>
      <c r="S3" s="29"/>
      <c r="T3" s="29"/>
      <c r="U3" s="29"/>
      <c r="V3" s="29"/>
      <c r="W3" s="29"/>
      <c r="X3" s="29"/>
      <c r="Y3" s="29"/>
      <c r="Z3" s="29"/>
      <c r="AA3" s="29"/>
      <c r="AB3" s="29"/>
      <c r="AC3" s="29"/>
      <c r="AD3" s="29"/>
      <c r="AE3" s="29"/>
      <c r="AF3" s="29"/>
      <c r="AG3" s="29"/>
      <c r="AH3" s="29"/>
      <c r="AI3" s="29"/>
    </row>
    <row r="4" spans="1:41" s="23" customFormat="1" ht="9.75" customHeight="1" thickTop="1">
      <c r="A4" s="18"/>
      <c r="B4" s="59"/>
      <c r="C4" s="59"/>
      <c r="D4" s="59"/>
      <c r="E4" s="59"/>
      <c r="F4" s="59"/>
      <c r="G4" s="59"/>
      <c r="H4" s="59"/>
      <c r="I4" s="59"/>
      <c r="J4" s="59"/>
      <c r="K4" s="59"/>
      <c r="L4" s="336"/>
      <c r="M4" s="336"/>
      <c r="N4" s="336"/>
      <c r="O4" s="336"/>
      <c r="P4" s="336"/>
      <c r="Q4" s="336"/>
      <c r="AJ4" s="120"/>
      <c r="AK4" s="120"/>
      <c r="AL4" s="120"/>
      <c r="AM4" s="120"/>
      <c r="AN4" s="120"/>
      <c r="AO4" s="120"/>
    </row>
    <row r="5" spans="1:41" s="23" customFormat="1" ht="20.9" customHeight="1">
      <c r="A5" s="18"/>
      <c r="B5" s="36"/>
      <c r="C5" s="24"/>
      <c r="D5" s="24"/>
      <c r="E5" s="22"/>
      <c r="F5" s="22"/>
      <c r="G5" s="22"/>
      <c r="H5" s="60">
        <f>SUBTOTAL(9,H8:H1193)</f>
        <v>200450</v>
      </c>
      <c r="I5" s="22"/>
      <c r="J5" s="60">
        <f>SUBTOTAL(9,J8:J1193)</f>
        <v>149240</v>
      </c>
      <c r="O5" s="60">
        <f>SUBTOTAL(9,O8:O193)</f>
        <v>77452.210000000006</v>
      </c>
      <c r="P5" s="60">
        <f>SUBTOTAL(9,P8:P193)</f>
        <v>1044.21</v>
      </c>
      <c r="R5" s="60">
        <f t="shared" ref="R5:AO5" si="0">SUBTOTAL(9,R8:R193)</f>
        <v>171150</v>
      </c>
      <c r="S5" s="60">
        <f t="shared" si="0"/>
        <v>11000</v>
      </c>
      <c r="T5" s="60">
        <f t="shared" si="0"/>
        <v>3025</v>
      </c>
      <c r="U5" s="60">
        <f t="shared" si="0"/>
        <v>3025</v>
      </c>
      <c r="V5" s="60">
        <f t="shared" si="0"/>
        <v>3025</v>
      </c>
      <c r="W5" s="60">
        <f t="shared" si="0"/>
        <v>3025</v>
      </c>
      <c r="X5" s="60">
        <f t="shared" si="0"/>
        <v>13025</v>
      </c>
      <c r="Y5" s="60">
        <f t="shared" si="0"/>
        <v>93025</v>
      </c>
      <c r="Z5" s="60">
        <f t="shared" si="0"/>
        <v>13025</v>
      </c>
      <c r="AA5" s="60">
        <f t="shared" si="0"/>
        <v>16525</v>
      </c>
      <c r="AB5" s="60">
        <f t="shared" si="0"/>
        <v>8025</v>
      </c>
      <c r="AC5" s="60">
        <f t="shared" si="0"/>
        <v>9375</v>
      </c>
      <c r="AD5" s="60">
        <f t="shared" si="0"/>
        <v>3025</v>
      </c>
      <c r="AE5" s="60">
        <f t="shared" si="0"/>
        <v>3025</v>
      </c>
      <c r="AF5" s="60">
        <f t="shared" si="0"/>
        <v>0</v>
      </c>
      <c r="AG5" s="60" t="e">
        <f t="shared" si="0"/>
        <v>#REF!</v>
      </c>
      <c r="AH5" s="60" t="e">
        <f t="shared" si="0"/>
        <v>#REF!</v>
      </c>
      <c r="AI5" s="60" t="e">
        <f t="shared" si="0"/>
        <v>#REF!</v>
      </c>
      <c r="AJ5" s="60">
        <f t="shared" si="0"/>
        <v>434004.25</v>
      </c>
      <c r="AK5" s="60">
        <f t="shared" si="0"/>
        <v>296692.62999999995</v>
      </c>
      <c r="AL5" s="60">
        <f t="shared" si="0"/>
        <v>36369.68</v>
      </c>
      <c r="AM5" s="60">
        <f t="shared" si="0"/>
        <v>0</v>
      </c>
      <c r="AN5" s="60">
        <f t="shared" si="0"/>
        <v>333062.31</v>
      </c>
      <c r="AO5" s="60">
        <f t="shared" si="0"/>
        <v>100941.94000000002</v>
      </c>
    </row>
    <row r="6" spans="1:41" s="23" customFormat="1" ht="15.75" customHeight="1" thickBot="1">
      <c r="A6" s="18"/>
      <c r="B6" s="36"/>
      <c r="C6" s="24"/>
      <c r="D6" s="24"/>
      <c r="E6" s="22"/>
      <c r="F6" s="22"/>
      <c r="G6" s="22"/>
      <c r="H6" s="22"/>
      <c r="I6" s="22"/>
      <c r="J6" s="22"/>
      <c r="AJ6" s="120"/>
      <c r="AK6" s="120"/>
      <c r="AL6" s="120"/>
      <c r="AM6" s="120"/>
      <c r="AN6" s="120"/>
      <c r="AO6" s="120"/>
    </row>
    <row r="7" spans="1:41" s="30" customFormat="1" ht="57" customHeight="1" thickBot="1">
      <c r="A7" s="18"/>
      <c r="B7" s="1" t="s">
        <v>194</v>
      </c>
      <c r="C7" s="305" t="s">
        <v>627</v>
      </c>
      <c r="D7" s="305" t="s">
        <v>2514</v>
      </c>
      <c r="E7" s="305" t="s">
        <v>2515</v>
      </c>
      <c r="F7" s="305" t="s">
        <v>650</v>
      </c>
      <c r="G7" s="305" t="s">
        <v>2516</v>
      </c>
      <c r="H7" s="305" t="s">
        <v>2529</v>
      </c>
      <c r="I7" s="305" t="s">
        <v>2530</v>
      </c>
      <c r="J7" s="305" t="s">
        <v>2542</v>
      </c>
      <c r="K7" s="1" t="s">
        <v>1123</v>
      </c>
      <c r="L7" s="1" t="s">
        <v>589</v>
      </c>
      <c r="M7" s="1" t="s">
        <v>604</v>
      </c>
      <c r="N7" s="1" t="s">
        <v>603</v>
      </c>
      <c r="O7" s="1" t="s">
        <v>2676</v>
      </c>
      <c r="P7" s="1" t="s">
        <v>2670</v>
      </c>
      <c r="Q7" s="1" t="s">
        <v>4</v>
      </c>
      <c r="R7" s="168" t="s">
        <v>2504</v>
      </c>
      <c r="S7" s="167" t="s">
        <v>1533</v>
      </c>
      <c r="T7" s="331" t="s">
        <v>2502</v>
      </c>
      <c r="U7" s="168" t="s">
        <v>1583</v>
      </c>
      <c r="V7" s="168" t="s">
        <v>1592</v>
      </c>
      <c r="W7" s="168" t="s">
        <v>1618</v>
      </c>
      <c r="X7" s="168" t="s">
        <v>1629</v>
      </c>
      <c r="Y7" s="168" t="s">
        <v>1646</v>
      </c>
      <c r="Z7" s="168" t="s">
        <v>1669</v>
      </c>
      <c r="AA7" s="168" t="s">
        <v>1680</v>
      </c>
      <c r="AB7" s="168" t="s">
        <v>1709</v>
      </c>
      <c r="AC7" s="168" t="s">
        <v>1764</v>
      </c>
      <c r="AD7" s="168" t="s">
        <v>1763</v>
      </c>
      <c r="AE7" s="168" t="s">
        <v>1804</v>
      </c>
      <c r="AF7" s="334">
        <v>2025</v>
      </c>
      <c r="AG7" s="92" t="s">
        <v>1157</v>
      </c>
      <c r="AH7" s="315" t="s">
        <v>1158</v>
      </c>
      <c r="AI7" s="240" t="s">
        <v>2503</v>
      </c>
      <c r="AJ7" s="1" t="s">
        <v>596</v>
      </c>
      <c r="AK7" s="1" t="s">
        <v>597</v>
      </c>
      <c r="AL7" s="1" t="s">
        <v>598</v>
      </c>
      <c r="AM7" s="1" t="s">
        <v>1121</v>
      </c>
      <c r="AN7" s="1" t="s">
        <v>600</v>
      </c>
      <c r="AO7" s="1" t="s">
        <v>601</v>
      </c>
    </row>
    <row r="8" spans="1:41" s="23" customFormat="1" ht="25.4" customHeight="1">
      <c r="A8" s="18"/>
      <c r="B8" s="2">
        <v>1</v>
      </c>
      <c r="C8" s="85"/>
      <c r="D8" s="123" t="s">
        <v>2514</v>
      </c>
      <c r="E8" s="473" t="s">
        <v>613</v>
      </c>
      <c r="F8" s="123" t="s">
        <v>3282</v>
      </c>
      <c r="G8" s="123" t="s">
        <v>2518</v>
      </c>
      <c r="H8" s="335">
        <v>35400</v>
      </c>
      <c r="I8" s="123" t="s">
        <v>2531</v>
      </c>
      <c r="J8" s="335">
        <v>72000</v>
      </c>
      <c r="K8" s="151" t="s">
        <v>2543</v>
      </c>
      <c r="L8" s="151" t="s">
        <v>2552</v>
      </c>
      <c r="M8" s="151">
        <v>127908966</v>
      </c>
      <c r="N8" s="151">
        <v>8241624920</v>
      </c>
      <c r="O8" s="335">
        <v>36300</v>
      </c>
      <c r="P8" s="335"/>
      <c r="Q8" s="151" t="s">
        <v>850</v>
      </c>
      <c r="R8" s="169">
        <f>SUM(T8:AE8)</f>
        <v>36300</v>
      </c>
      <c r="S8" s="319">
        <v>6000</v>
      </c>
      <c r="T8" s="332">
        <v>3025</v>
      </c>
      <c r="U8" s="299">
        <v>3025</v>
      </c>
      <c r="V8" s="299">
        <v>3025</v>
      </c>
      <c r="W8" s="299">
        <v>3025</v>
      </c>
      <c r="X8" s="299">
        <v>3025</v>
      </c>
      <c r="Y8" s="299">
        <v>3025</v>
      </c>
      <c r="Z8" s="299">
        <v>3025</v>
      </c>
      <c r="AA8" s="299">
        <v>3025</v>
      </c>
      <c r="AB8" s="299">
        <v>3025</v>
      </c>
      <c r="AC8" s="299">
        <v>3025</v>
      </c>
      <c r="AD8" s="299">
        <v>3025</v>
      </c>
      <c r="AE8" s="299">
        <v>3025</v>
      </c>
      <c r="AF8" s="299"/>
      <c r="AG8" s="156" t="e">
        <f>#REF!-S8</f>
        <v>#REF!</v>
      </c>
      <c r="AH8" s="320" t="e">
        <f>#REF!-T8</f>
        <v>#REF!</v>
      </c>
      <c r="AI8" s="157" t="e">
        <f>SUM(#REF!,#REF!,#REF!,#REF!,R8)-AJ8</f>
        <v>#REF!</v>
      </c>
      <c r="AJ8" s="188">
        <v>62032.5</v>
      </c>
      <c r="AK8" s="188">
        <v>43607.77</v>
      </c>
      <c r="AL8" s="188">
        <v>723.76</v>
      </c>
      <c r="AM8" s="188">
        <v>0</v>
      </c>
      <c r="AN8" s="188">
        <v>44331.53</v>
      </c>
      <c r="AO8" s="188">
        <v>17700.97</v>
      </c>
    </row>
    <row r="9" spans="1:41" s="23" customFormat="1" ht="25.4" customHeight="1">
      <c r="A9" s="18"/>
      <c r="B9" s="2">
        <v>4</v>
      </c>
      <c r="C9" s="85"/>
      <c r="D9" s="123" t="s">
        <v>2517</v>
      </c>
      <c r="E9" s="473" t="s">
        <v>613</v>
      </c>
      <c r="F9" s="123" t="s">
        <v>3282</v>
      </c>
      <c r="G9" s="123" t="s">
        <v>2525</v>
      </c>
      <c r="H9" s="335">
        <v>26000</v>
      </c>
      <c r="I9" s="123" t="s">
        <v>2532</v>
      </c>
      <c r="J9" s="335">
        <f>8220+520</f>
        <v>8740</v>
      </c>
      <c r="K9" s="151" t="s">
        <v>2547</v>
      </c>
      <c r="L9" s="151" t="s">
        <v>2682</v>
      </c>
      <c r="M9" s="151"/>
      <c r="N9" s="151"/>
      <c r="O9" s="335">
        <v>26000</v>
      </c>
      <c r="P9" s="335"/>
      <c r="Q9" s="151" t="s">
        <v>2711</v>
      </c>
      <c r="R9" s="169">
        <f>SUM(T9:AE9)</f>
        <v>0</v>
      </c>
      <c r="S9" s="319"/>
      <c r="T9" s="332"/>
      <c r="U9" s="299"/>
      <c r="V9" s="299"/>
      <c r="W9" s="299"/>
      <c r="X9" s="299"/>
      <c r="Y9" s="299"/>
      <c r="Z9" s="299"/>
      <c r="AA9" s="299"/>
      <c r="AB9" s="299"/>
      <c r="AC9" s="299"/>
      <c r="AD9" s="299"/>
      <c r="AE9" s="299"/>
      <c r="AF9" s="299"/>
      <c r="AG9" s="156" t="e">
        <f>#REF!-S9</f>
        <v>#REF!</v>
      </c>
      <c r="AH9" s="320" t="e">
        <f>#REF!-T9</f>
        <v>#REF!</v>
      </c>
      <c r="AI9" s="157" t="e">
        <f>SUM(#REF!,#REF!,#REF!,#REF!,R9)-AJ9</f>
        <v>#REF!</v>
      </c>
      <c r="AJ9" s="188">
        <v>91967.7</v>
      </c>
      <c r="AK9" s="188">
        <v>68232.429999999993</v>
      </c>
      <c r="AL9" s="188">
        <v>20895.38</v>
      </c>
      <c r="AM9" s="188">
        <v>0</v>
      </c>
      <c r="AN9" s="188">
        <v>89127.81</v>
      </c>
      <c r="AO9" s="188">
        <v>2839.89</v>
      </c>
    </row>
    <row r="10" spans="1:41" s="23" customFormat="1" ht="25.4" customHeight="1">
      <c r="A10" s="18"/>
      <c r="B10" s="2"/>
      <c r="C10" s="85"/>
      <c r="D10" s="123" t="s">
        <v>2517</v>
      </c>
      <c r="E10" s="473" t="s">
        <v>613</v>
      </c>
      <c r="F10" s="123"/>
      <c r="G10" s="123" t="s">
        <v>8491</v>
      </c>
      <c r="H10" s="335">
        <f>80000-27000+10000</f>
        <v>63000</v>
      </c>
      <c r="I10" s="123" t="s">
        <v>2534</v>
      </c>
      <c r="J10" s="335"/>
      <c r="K10" s="151"/>
      <c r="L10" s="151"/>
      <c r="M10" s="151"/>
      <c r="N10" s="151"/>
      <c r="O10" s="335"/>
      <c r="P10" s="335"/>
      <c r="Q10" s="151"/>
      <c r="R10" s="169"/>
      <c r="S10" s="319"/>
      <c r="T10" s="332"/>
      <c r="U10" s="299"/>
      <c r="V10" s="299"/>
      <c r="W10" s="299"/>
      <c r="X10" s="299"/>
      <c r="Y10" s="299"/>
      <c r="Z10" s="299"/>
      <c r="AA10" s="299"/>
      <c r="AB10" s="299"/>
      <c r="AC10" s="299"/>
      <c r="AD10" s="299"/>
      <c r="AE10" s="299"/>
      <c r="AF10" s="299"/>
      <c r="AG10" s="156"/>
      <c r="AH10" s="320"/>
      <c r="AI10" s="157"/>
      <c r="AJ10" s="188"/>
      <c r="AK10" s="188"/>
      <c r="AL10" s="188"/>
      <c r="AM10" s="188"/>
      <c r="AN10" s="188"/>
      <c r="AO10" s="188"/>
    </row>
    <row r="11" spans="1:41" s="23" customFormat="1" ht="25.4" customHeight="1">
      <c r="A11" s="18"/>
      <c r="B11" s="2">
        <v>9</v>
      </c>
      <c r="C11" s="85"/>
      <c r="D11" s="123" t="s">
        <v>2517</v>
      </c>
      <c r="E11" s="473" t="s">
        <v>613</v>
      </c>
      <c r="F11" s="123" t="s">
        <v>3282</v>
      </c>
      <c r="G11" s="123" t="s">
        <v>2524</v>
      </c>
      <c r="H11" s="335">
        <v>11750</v>
      </c>
      <c r="I11" s="123" t="s">
        <v>2537</v>
      </c>
      <c r="J11" s="335"/>
      <c r="K11" s="151" t="s">
        <v>2543</v>
      </c>
      <c r="L11" s="151" t="s">
        <v>2554</v>
      </c>
      <c r="M11" s="151"/>
      <c r="N11" s="151"/>
      <c r="O11" s="335"/>
      <c r="P11" s="335"/>
      <c r="Q11" s="151" t="s">
        <v>2675</v>
      </c>
      <c r="R11" s="169">
        <f t="shared" ref="R11:R19" si="1">SUM(T11:AE11)</f>
        <v>0</v>
      </c>
      <c r="S11" s="319"/>
      <c r="T11" s="332"/>
      <c r="U11" s="299"/>
      <c r="V11" s="299"/>
      <c r="W11" s="299"/>
      <c r="X11" s="299"/>
      <c r="Y11" s="299"/>
      <c r="Z11" s="299"/>
      <c r="AA11" s="299"/>
      <c r="AB11" s="299"/>
      <c r="AC11" s="299"/>
      <c r="AD11" s="299"/>
      <c r="AE11" s="299"/>
      <c r="AF11" s="299"/>
      <c r="AG11" s="156" t="e">
        <f>#REF!-S11</f>
        <v>#REF!</v>
      </c>
      <c r="AH11" s="320" t="e">
        <f>#REF!-T11</f>
        <v>#REF!</v>
      </c>
      <c r="AI11" s="157" t="e">
        <f>SUM(#REF!,#REF!,#REF!,#REF!,R11)-AJ11</f>
        <v>#REF!</v>
      </c>
      <c r="AJ11" s="188">
        <v>1924.5</v>
      </c>
      <c r="AK11" s="188">
        <v>0</v>
      </c>
      <c r="AL11" s="188">
        <v>0</v>
      </c>
      <c r="AM11" s="188">
        <v>0</v>
      </c>
      <c r="AN11" s="188">
        <v>0</v>
      </c>
      <c r="AO11" s="188">
        <v>1924.5</v>
      </c>
    </row>
    <row r="12" spans="1:41" s="23" customFormat="1" ht="25.4" customHeight="1">
      <c r="A12" s="18"/>
      <c r="B12" s="2">
        <v>6</v>
      </c>
      <c r="C12" s="85"/>
      <c r="D12" s="123" t="s">
        <v>2517</v>
      </c>
      <c r="E12" s="473" t="s">
        <v>613</v>
      </c>
      <c r="F12" s="123" t="s">
        <v>3282</v>
      </c>
      <c r="G12" s="123" t="s">
        <v>2521</v>
      </c>
      <c r="H12" s="335">
        <v>30000</v>
      </c>
      <c r="I12" s="123" t="s">
        <v>2535</v>
      </c>
      <c r="J12" s="335">
        <v>55000</v>
      </c>
      <c r="K12" s="151" t="s">
        <v>2548</v>
      </c>
      <c r="L12" s="151" t="s">
        <v>2554</v>
      </c>
      <c r="M12" s="151"/>
      <c r="N12" s="151"/>
      <c r="O12" s="335"/>
      <c r="P12" s="335"/>
      <c r="Q12" s="151"/>
      <c r="R12" s="169">
        <f t="shared" si="1"/>
        <v>81350</v>
      </c>
      <c r="S12" s="319">
        <v>5000</v>
      </c>
      <c r="T12" s="332">
        <v>0</v>
      </c>
      <c r="U12" s="299">
        <v>0</v>
      </c>
      <c r="V12" s="299">
        <v>0</v>
      </c>
      <c r="W12" s="299">
        <v>0</v>
      </c>
      <c r="X12" s="299">
        <v>10000</v>
      </c>
      <c r="Y12" s="299">
        <v>40000</v>
      </c>
      <c r="Z12" s="299">
        <v>10000</v>
      </c>
      <c r="AA12" s="299">
        <v>10000</v>
      </c>
      <c r="AB12" s="299">
        <v>5000</v>
      </c>
      <c r="AC12" s="299">
        <v>6350</v>
      </c>
      <c r="AD12" s="299">
        <v>0</v>
      </c>
      <c r="AE12" s="299">
        <v>0</v>
      </c>
      <c r="AF12" s="299"/>
      <c r="AG12" s="156" t="e">
        <f>#REF!-S12</f>
        <v>#REF!</v>
      </c>
      <c r="AH12" s="320" t="e">
        <f>#REF!-T12</f>
        <v>#REF!</v>
      </c>
      <c r="AI12" s="157" t="e">
        <f>SUM(#REF!,#REF!,#REF!,#REF!,R12)-AJ12</f>
        <v>#REF!</v>
      </c>
      <c r="AJ12" s="188">
        <v>769.8</v>
      </c>
      <c r="AK12" s="188">
        <v>0</v>
      </c>
      <c r="AL12" s="188">
        <v>0</v>
      </c>
      <c r="AM12" s="188">
        <v>0</v>
      </c>
      <c r="AN12" s="188">
        <v>0</v>
      </c>
      <c r="AO12" s="188">
        <v>769.8</v>
      </c>
    </row>
    <row r="13" spans="1:41" s="23" customFormat="1" ht="24.75" customHeight="1">
      <c r="A13" s="18"/>
      <c r="B13" s="2">
        <v>7</v>
      </c>
      <c r="C13" s="85"/>
      <c r="D13" s="123" t="s">
        <v>2517</v>
      </c>
      <c r="E13" s="473" t="s">
        <v>613</v>
      </c>
      <c r="F13" s="123" t="s">
        <v>3282</v>
      </c>
      <c r="G13" s="123" t="s">
        <v>2520</v>
      </c>
      <c r="H13" s="335">
        <v>10000</v>
      </c>
      <c r="I13" s="123" t="s">
        <v>2551</v>
      </c>
      <c r="J13" s="335">
        <v>13500</v>
      </c>
      <c r="K13" s="151" t="s">
        <v>2549</v>
      </c>
      <c r="L13" s="151" t="s">
        <v>2554</v>
      </c>
      <c r="M13" s="151"/>
      <c r="N13" s="151"/>
      <c r="O13" s="335"/>
      <c r="P13" s="335"/>
      <c r="Q13" s="151"/>
      <c r="R13" s="169">
        <f t="shared" si="1"/>
        <v>0</v>
      </c>
      <c r="S13" s="319">
        <v>0</v>
      </c>
      <c r="T13" s="332">
        <v>0</v>
      </c>
      <c r="U13" s="299"/>
      <c r="V13" s="299"/>
      <c r="W13" s="299"/>
      <c r="X13" s="299"/>
      <c r="Y13" s="299"/>
      <c r="Z13" s="299"/>
      <c r="AA13" s="299"/>
      <c r="AB13" s="299"/>
      <c r="AC13" s="299"/>
      <c r="AD13" s="299"/>
      <c r="AE13" s="299"/>
      <c r="AF13" s="299"/>
      <c r="AG13" s="156" t="e">
        <f>#REF!-S13</f>
        <v>#REF!</v>
      </c>
      <c r="AH13" s="320" t="e">
        <f>#REF!-T13</f>
        <v>#REF!</v>
      </c>
      <c r="AI13" s="157" t="e">
        <f>SUM(#REF!,#REF!,#REF!,#REF!,R13)-AJ13</f>
        <v>#REF!</v>
      </c>
      <c r="AJ13" s="188">
        <v>262491.09999999998</v>
      </c>
      <c r="AK13" s="188">
        <v>172388.99</v>
      </c>
      <c r="AL13" s="188">
        <v>14750.54</v>
      </c>
      <c r="AM13" s="188">
        <v>0</v>
      </c>
      <c r="AN13" s="188">
        <v>187139.53</v>
      </c>
      <c r="AO13" s="188">
        <v>75351.570000000007</v>
      </c>
    </row>
    <row r="14" spans="1:41" s="23" customFormat="1" ht="24.75" customHeight="1">
      <c r="A14" s="18"/>
      <c r="B14" s="2">
        <v>8</v>
      </c>
      <c r="C14" s="85"/>
      <c r="D14" s="123" t="s">
        <v>2517</v>
      </c>
      <c r="E14" s="473" t="s">
        <v>613</v>
      </c>
      <c r="F14" s="123" t="s">
        <v>3282</v>
      </c>
      <c r="G14" s="123" t="s">
        <v>2527</v>
      </c>
      <c r="H14" s="335">
        <v>2000</v>
      </c>
      <c r="I14" s="123" t="s">
        <v>2533</v>
      </c>
      <c r="J14" s="335"/>
      <c r="K14" s="151" t="s">
        <v>2549</v>
      </c>
      <c r="L14" s="151" t="s">
        <v>2554</v>
      </c>
      <c r="M14" s="151"/>
      <c r="N14" s="151"/>
      <c r="O14" s="335"/>
      <c r="P14" s="335"/>
      <c r="Q14" s="151"/>
      <c r="R14" s="169">
        <f t="shared" si="1"/>
        <v>0</v>
      </c>
      <c r="S14" s="319"/>
      <c r="T14" s="332"/>
      <c r="U14" s="299"/>
      <c r="V14" s="299"/>
      <c r="W14" s="299"/>
      <c r="X14" s="299"/>
      <c r="Y14" s="299"/>
      <c r="Z14" s="299"/>
      <c r="AA14" s="299"/>
      <c r="AB14" s="299"/>
      <c r="AC14" s="299"/>
      <c r="AD14" s="299"/>
      <c r="AE14" s="299"/>
      <c r="AF14" s="299"/>
      <c r="AG14" s="156" t="e">
        <f>#REF!-S14</f>
        <v>#REF!</v>
      </c>
      <c r="AH14" s="320" t="e">
        <f>#REF!-T14</f>
        <v>#REF!</v>
      </c>
      <c r="AI14" s="157" t="e">
        <f>SUM(#REF!,#REF!,#REF!,#REF!,R14)-AJ14</f>
        <v>#REF!</v>
      </c>
      <c r="AJ14" s="188"/>
      <c r="AK14" s="188"/>
      <c r="AL14" s="188"/>
      <c r="AM14" s="188"/>
      <c r="AN14" s="188"/>
      <c r="AO14" s="188"/>
    </row>
    <row r="15" spans="1:41" s="23" customFormat="1" ht="24.75" customHeight="1">
      <c r="A15" s="18"/>
      <c r="B15" s="2">
        <v>20</v>
      </c>
      <c r="C15" s="85"/>
      <c r="D15" s="123" t="s">
        <v>2517</v>
      </c>
      <c r="E15" s="473" t="s">
        <v>613</v>
      </c>
      <c r="F15" s="123"/>
      <c r="G15" s="123" t="s">
        <v>8490</v>
      </c>
      <c r="H15" s="335">
        <v>4500</v>
      </c>
      <c r="I15" s="123" t="s">
        <v>2540</v>
      </c>
      <c r="J15" s="335"/>
      <c r="K15" s="151"/>
      <c r="L15" s="151"/>
      <c r="M15" s="151">
        <v>1304165110</v>
      </c>
      <c r="N15" s="151"/>
      <c r="O15" s="335">
        <v>4518</v>
      </c>
      <c r="P15" s="335"/>
      <c r="Q15" s="151" t="s">
        <v>591</v>
      </c>
      <c r="R15" s="169">
        <f t="shared" si="1"/>
        <v>0</v>
      </c>
      <c r="S15" s="319"/>
      <c r="T15" s="332"/>
      <c r="U15" s="299"/>
      <c r="V15" s="299"/>
      <c r="W15" s="299"/>
      <c r="X15" s="299"/>
      <c r="Y15" s="299"/>
      <c r="Z15" s="299"/>
      <c r="AA15" s="299"/>
      <c r="AB15" s="299"/>
      <c r="AC15" s="299"/>
      <c r="AD15" s="299"/>
      <c r="AE15" s="299"/>
      <c r="AF15" s="299"/>
      <c r="AG15" s="156"/>
      <c r="AH15" s="320"/>
      <c r="AI15" s="157"/>
      <c r="AJ15" s="188"/>
      <c r="AK15" s="188"/>
      <c r="AL15" s="188"/>
      <c r="AM15" s="188"/>
      <c r="AN15" s="188"/>
      <c r="AO15" s="188"/>
    </row>
    <row r="16" spans="1:41" s="23" customFormat="1" ht="24.75" customHeight="1">
      <c r="A16" s="18"/>
      <c r="B16" s="2">
        <v>11</v>
      </c>
      <c r="C16" s="85"/>
      <c r="D16" s="123" t="s">
        <v>2517</v>
      </c>
      <c r="E16" s="473" t="s">
        <v>613</v>
      </c>
      <c r="F16" s="123" t="s">
        <v>3282</v>
      </c>
      <c r="G16" s="123" t="s">
        <v>2526</v>
      </c>
      <c r="H16" s="335">
        <v>1500</v>
      </c>
      <c r="I16" s="123" t="s">
        <v>2536</v>
      </c>
      <c r="J16" s="335"/>
      <c r="K16" s="151" t="s">
        <v>2550</v>
      </c>
      <c r="L16" s="151" t="s">
        <v>2555</v>
      </c>
      <c r="M16" s="151">
        <v>129414701</v>
      </c>
      <c r="N16" s="151"/>
      <c r="O16" s="335">
        <v>1044.21</v>
      </c>
      <c r="P16" s="335">
        <v>1044.21</v>
      </c>
      <c r="Q16" s="151" t="s">
        <v>2669</v>
      </c>
      <c r="R16" s="169">
        <f t="shared" si="1"/>
        <v>0</v>
      </c>
      <c r="S16" s="319"/>
      <c r="T16" s="332"/>
      <c r="U16" s="299"/>
      <c r="V16" s="299"/>
      <c r="W16" s="299"/>
      <c r="X16" s="299"/>
      <c r="Y16" s="299"/>
      <c r="Z16" s="299"/>
      <c r="AA16" s="299"/>
      <c r="AB16" s="299"/>
      <c r="AC16" s="299"/>
      <c r="AD16" s="299"/>
      <c r="AE16" s="299"/>
      <c r="AF16" s="299"/>
      <c r="AG16" s="156" t="e">
        <f>#REF!-S16</f>
        <v>#REF!</v>
      </c>
      <c r="AH16" s="320" t="e">
        <f>#REF!-T16</f>
        <v>#REF!</v>
      </c>
      <c r="AI16" s="157" t="e">
        <f>SUM(#REF!,#REF!,#REF!,#REF!,R16)-AJ16</f>
        <v>#REF!</v>
      </c>
      <c r="AJ16" s="188">
        <v>11931.9</v>
      </c>
      <c r="AK16" s="188">
        <v>11107.21</v>
      </c>
      <c r="AL16" s="188">
        <v>0</v>
      </c>
      <c r="AM16" s="188">
        <v>0</v>
      </c>
      <c r="AN16" s="188">
        <v>11107.21</v>
      </c>
      <c r="AO16" s="188">
        <v>824.69</v>
      </c>
    </row>
    <row r="17" spans="1:41" s="23" customFormat="1" ht="24.75" customHeight="1">
      <c r="A17" s="18"/>
      <c r="B17" s="2">
        <v>18</v>
      </c>
      <c r="C17" s="85"/>
      <c r="D17" s="123" t="s">
        <v>2517</v>
      </c>
      <c r="E17" s="473" t="s">
        <v>613</v>
      </c>
      <c r="F17" s="123" t="s">
        <v>3282</v>
      </c>
      <c r="G17" s="123" t="s">
        <v>8492</v>
      </c>
      <c r="H17" s="335">
        <v>11300</v>
      </c>
      <c r="I17" s="123" t="s">
        <v>2538</v>
      </c>
      <c r="J17" s="335"/>
      <c r="K17" s="151"/>
      <c r="L17" s="151"/>
      <c r="M17" s="151">
        <v>130156118</v>
      </c>
      <c r="N17" s="151"/>
      <c r="O17" s="335">
        <v>9590</v>
      </c>
      <c r="P17" s="335"/>
      <c r="Q17" s="151" t="s">
        <v>591</v>
      </c>
      <c r="R17" s="169">
        <f t="shared" si="1"/>
        <v>0</v>
      </c>
      <c r="S17" s="319"/>
      <c r="T17" s="332"/>
      <c r="U17" s="299"/>
      <c r="V17" s="299"/>
      <c r="W17" s="299"/>
      <c r="X17" s="299"/>
      <c r="Y17" s="299"/>
      <c r="Z17" s="299"/>
      <c r="AA17" s="299"/>
      <c r="AB17" s="299"/>
      <c r="AC17" s="299"/>
      <c r="AD17" s="299"/>
      <c r="AE17" s="299"/>
      <c r="AF17" s="299"/>
      <c r="AG17" s="156" t="e">
        <f>#REF!-S17</f>
        <v>#REF!</v>
      </c>
      <c r="AH17" s="320" t="e">
        <f>#REF!-T17</f>
        <v>#REF!</v>
      </c>
      <c r="AI17" s="157" t="e">
        <f>SUM(#REF!,#REF!,#REF!,#REF!,R17)-AJ17</f>
        <v>#REF!</v>
      </c>
      <c r="AJ17" s="188"/>
      <c r="AK17" s="188"/>
      <c r="AL17" s="188"/>
      <c r="AM17" s="188"/>
      <c r="AN17" s="188"/>
      <c r="AO17" s="188"/>
    </row>
    <row r="18" spans="1:41" s="23" customFormat="1" ht="24.75" customHeight="1">
      <c r="A18" s="18"/>
      <c r="B18" s="2">
        <v>12</v>
      </c>
      <c r="C18" s="85"/>
      <c r="D18" s="123" t="s">
        <v>2517</v>
      </c>
      <c r="E18" s="473" t="s">
        <v>613</v>
      </c>
      <c r="F18" s="123" t="s">
        <v>3282</v>
      </c>
      <c r="G18" s="123" t="s">
        <v>2528</v>
      </c>
      <c r="H18" s="335">
        <v>5000</v>
      </c>
      <c r="I18" s="123" t="s">
        <v>2539</v>
      </c>
      <c r="J18" s="335"/>
      <c r="K18" s="151" t="s">
        <v>2550</v>
      </c>
      <c r="L18" s="151" t="s">
        <v>2555</v>
      </c>
      <c r="M18" s="151"/>
      <c r="N18" s="151"/>
      <c r="O18" s="335"/>
      <c r="P18" s="335"/>
      <c r="Q18" s="151"/>
      <c r="R18" s="169">
        <f t="shared" si="1"/>
        <v>0</v>
      </c>
      <c r="S18" s="319"/>
      <c r="T18" s="332"/>
      <c r="U18" s="299"/>
      <c r="V18" s="299"/>
      <c r="W18" s="299"/>
      <c r="X18" s="299"/>
      <c r="Y18" s="299"/>
      <c r="Z18" s="299"/>
      <c r="AA18" s="299"/>
      <c r="AB18" s="299"/>
      <c r="AC18" s="299"/>
      <c r="AD18" s="299"/>
      <c r="AE18" s="299"/>
      <c r="AF18" s="299"/>
      <c r="AG18" s="156" t="e">
        <f>#REF!-S18</f>
        <v>#REF!</v>
      </c>
      <c r="AH18" s="320" t="e">
        <f>#REF!-T18</f>
        <v>#REF!</v>
      </c>
      <c r="AI18" s="157" t="e">
        <f>SUM(#REF!,#REF!,#REF!,#REF!,R18)-AJ18</f>
        <v>#REF!</v>
      </c>
      <c r="AJ18" s="188"/>
      <c r="AK18" s="188"/>
      <c r="AL18" s="188"/>
      <c r="AM18" s="188"/>
      <c r="AN18" s="188"/>
      <c r="AO18" s="188"/>
    </row>
    <row r="19" spans="1:41" s="23" customFormat="1" ht="25.4" customHeight="1">
      <c r="A19" s="18"/>
      <c r="B19" s="2">
        <v>5</v>
      </c>
      <c r="C19" s="85"/>
      <c r="D19" s="123" t="s">
        <v>2517</v>
      </c>
      <c r="E19" s="473" t="s">
        <v>613</v>
      </c>
      <c r="F19" s="123" t="s">
        <v>3282</v>
      </c>
      <c r="G19" s="123" t="s">
        <v>2523</v>
      </c>
      <c r="H19" s="335">
        <v>0</v>
      </c>
      <c r="I19" s="123" t="s">
        <v>2541</v>
      </c>
      <c r="J19" s="335"/>
      <c r="K19" s="151" t="s">
        <v>2543</v>
      </c>
      <c r="L19" s="151" t="s">
        <v>8493</v>
      </c>
      <c r="M19" s="151"/>
      <c r="N19" s="151"/>
      <c r="O19" s="335"/>
      <c r="P19" s="335"/>
      <c r="Q19" s="151"/>
      <c r="R19" s="169">
        <f t="shared" si="1"/>
        <v>53500</v>
      </c>
      <c r="S19" s="319"/>
      <c r="T19" s="332"/>
      <c r="U19" s="299">
        <v>0</v>
      </c>
      <c r="V19" s="299">
        <v>0</v>
      </c>
      <c r="W19" s="299">
        <v>0</v>
      </c>
      <c r="X19" s="299">
        <v>0</v>
      </c>
      <c r="Y19" s="299">
        <v>50000</v>
      </c>
      <c r="Z19" s="299">
        <v>0</v>
      </c>
      <c r="AA19" s="299">
        <v>3500</v>
      </c>
      <c r="AB19" s="299">
        <v>0</v>
      </c>
      <c r="AC19" s="299">
        <v>0</v>
      </c>
      <c r="AD19" s="299">
        <v>0</v>
      </c>
      <c r="AE19" s="299">
        <v>0</v>
      </c>
      <c r="AF19" s="299"/>
      <c r="AG19" s="156" t="e">
        <f>#REF!-S19</f>
        <v>#REF!</v>
      </c>
      <c r="AH19" s="320" t="e">
        <f>#REF!-T19</f>
        <v>#REF!</v>
      </c>
      <c r="AI19" s="157" t="e">
        <f>SUM(#REF!,#REF!,#REF!,#REF!,R19)-AJ19</f>
        <v>#REF!</v>
      </c>
      <c r="AJ19" s="188">
        <v>2886.75</v>
      </c>
      <c r="AK19" s="188">
        <v>1356.23</v>
      </c>
      <c r="AL19" s="188">
        <v>0</v>
      </c>
      <c r="AM19" s="188">
        <v>0</v>
      </c>
      <c r="AN19" s="188">
        <v>1356.23</v>
      </c>
      <c r="AO19" s="188">
        <v>1530.52</v>
      </c>
    </row>
    <row r="20" spans="1:41" s="23" customFormat="1" ht="24.75" customHeight="1">
      <c r="A20" s="18"/>
      <c r="B20" s="2"/>
      <c r="C20" s="85"/>
      <c r="D20" s="123"/>
      <c r="E20" s="473"/>
      <c r="F20" s="123"/>
      <c r="G20" s="123"/>
      <c r="H20" s="335"/>
      <c r="I20" s="123"/>
      <c r="J20" s="335"/>
      <c r="K20" s="151"/>
      <c r="L20" s="151"/>
      <c r="M20" s="151"/>
      <c r="N20" s="151"/>
      <c r="O20" s="335"/>
      <c r="P20" s="335"/>
      <c r="Q20" s="151"/>
      <c r="R20" s="169"/>
      <c r="S20" s="319"/>
      <c r="T20" s="332"/>
      <c r="U20" s="299"/>
      <c r="V20" s="299"/>
      <c r="W20" s="299"/>
      <c r="X20" s="299"/>
      <c r="Y20" s="299"/>
      <c r="Z20" s="299"/>
      <c r="AA20" s="299"/>
      <c r="AB20" s="299"/>
      <c r="AC20" s="299"/>
      <c r="AD20" s="299"/>
      <c r="AE20" s="299"/>
      <c r="AF20" s="299"/>
      <c r="AG20" s="156"/>
      <c r="AH20" s="320"/>
      <c r="AI20" s="157"/>
      <c r="AJ20" s="188"/>
      <c r="AK20" s="188"/>
      <c r="AL20" s="188"/>
      <c r="AM20" s="188"/>
      <c r="AN20" s="188"/>
      <c r="AO20" s="188"/>
    </row>
  </sheetData>
  <autoFilter ref="A7:AO20" xr:uid="{08A89BD5-821A-45A1-B72D-07D1EF62FA78}">
    <sortState xmlns:xlrd2="http://schemas.microsoft.com/office/spreadsheetml/2017/richdata2" ref="A8:AO20">
      <sortCondition ref="I7:I20"/>
    </sortState>
  </autoFilter>
  <conditionalFormatting sqref="AJ8:AO20 AH8:AH20 R8:R20">
    <cfRule type="cellIs" dxfId="571" priority="14" operator="equal">
      <formula>"Behind Schedule"</formula>
    </cfRule>
    <cfRule type="cellIs" dxfId="570" priority="15" operator="equal">
      <formula>"TBD"</formula>
    </cfRule>
    <cfRule type="cellIs" dxfId="569" priority="16" operator="equal">
      <formula>"In Progress"</formula>
    </cfRule>
    <cfRule type="cellIs" dxfId="568" priority="17" operator="equal">
      <formula>"Completed"</formula>
    </cfRule>
  </conditionalFormatting>
  <printOptions horizontalCentered="1" verticalCentered="1"/>
  <pageMargins left="0.25" right="0.25" top="0.75" bottom="0.75" header="0.3" footer="0.3"/>
  <pageSetup paperSize="256" scale="27" orientation="landscape" r:id="rId1"/>
  <drawing r:id="rId2"/>
  <extLst>
    <ext xmlns:x14="http://schemas.microsoft.com/office/spreadsheetml/2009/9/main" uri="{78C0D931-6437-407d-A8EE-F0AAD7539E65}">
      <x14:conditionalFormattings>
        <x14:conditionalFormatting xmlns:xm="http://schemas.microsoft.com/office/excel/2006/main">
          <x14:cfRule type="containsText" priority="5" stopIfTrue="1" operator="containsText" id="{2CDA58C5-B5A0-42A0-B618-105F9D9BD729}">
            <xm:f>NOT(ISERROR(SEARCH(#REF!,C2)))</xm:f>
            <xm:f>#REF!</xm:f>
            <x14:dxf>
              <font>
                <b/>
                <i val="0"/>
              </font>
              <fill>
                <patternFill>
                  <bgColor theme="0" tint="-0.24994659260841701"/>
                </patternFill>
              </fill>
            </x14:dxf>
          </x14:cfRule>
          <x14:cfRule type="containsText" priority="6" stopIfTrue="1" operator="containsText" id="{217D48B9-26E9-47D2-A300-B9340F3AD9AF}">
            <xm:f>NOT(ISERROR(SEARCH(#REF!,C2)))</xm:f>
            <xm:f>#REF!</xm:f>
            <x14:dxf>
              <font>
                <b/>
                <i val="0"/>
                <color theme="0"/>
              </font>
              <fill>
                <patternFill>
                  <bgColor theme="1" tint="0.24994659260841701"/>
                </patternFill>
              </fill>
            </x14:dxf>
          </x14:cfRule>
          <x14:cfRule type="containsText" priority="7" stopIfTrue="1" operator="containsText" id="{E35FDB39-2BD4-4B25-A338-65FF298BECBD}">
            <xm:f>NOT(ISERROR(SEARCH(#REF!,C2)))</xm:f>
            <xm:f>#REF!</xm:f>
            <x14:dxf>
              <font>
                <b/>
                <i val="0"/>
              </font>
              <fill>
                <patternFill>
                  <bgColor theme="2" tint="-0.499984740745262"/>
                </patternFill>
              </fill>
            </x14:dxf>
          </x14:cfRule>
          <x14:cfRule type="containsText" priority="8" operator="containsText" id="{57E4DD01-20D3-4A86-A5D6-0E81F2892A89}">
            <xm:f>NOT(ISERROR(SEARCH(#REF!,C2)))</xm:f>
            <xm:f>#REF!</xm:f>
            <x14:dxf>
              <font>
                <b/>
                <i val="0"/>
              </font>
              <fill>
                <patternFill>
                  <bgColor rgb="FF00B0F0"/>
                </patternFill>
              </fill>
            </x14:dxf>
          </x14:cfRule>
          <x14:cfRule type="containsText" priority="9" operator="containsText" id="{1CC4A9F7-F7EF-45A1-A7ED-85E8F3E59AD8}">
            <xm:f>NOT(ISERROR(SEARCH(#REF!,C2)))</xm:f>
            <xm:f>#REF!</xm:f>
            <x14:dxf>
              <font>
                <b/>
                <i val="0"/>
              </font>
              <fill>
                <patternFill>
                  <bgColor theme="5" tint="0.39994506668294322"/>
                </patternFill>
              </fill>
            </x14:dxf>
          </x14:cfRule>
          <x14:cfRule type="containsText" priority="10" operator="containsText" id="{C1FBBDE3-2E2B-44E5-8572-31FA93548887}">
            <xm:f>NOT(ISERROR(SEARCH(#REF!,C2)))</xm:f>
            <xm:f>#REF!</xm:f>
            <x14:dxf>
              <font>
                <b/>
                <i val="0"/>
              </font>
              <fill>
                <patternFill>
                  <bgColor theme="6" tint="0.39994506668294322"/>
                </patternFill>
              </fill>
            </x14:dxf>
          </x14:cfRule>
          <x14:cfRule type="containsText" priority="11" operator="containsText" id="{94E21B24-3D73-47D4-8203-F2CB4B615997}">
            <xm:f>NOT(ISERROR(SEARCH(#REF!,C2)))</xm:f>
            <xm:f>#REF!</xm:f>
            <x14:dxf>
              <font>
                <b/>
                <i val="0"/>
              </font>
              <fill>
                <patternFill>
                  <bgColor theme="7" tint="0.39994506668294322"/>
                </patternFill>
              </fill>
            </x14:dxf>
          </x14:cfRule>
          <x14:cfRule type="containsText" priority="12" operator="containsText" id="{A5F44785-691F-4FCF-A93C-6022C23AD089}">
            <xm:f>NOT(ISERROR(SEARCH(#REF!,C2)))</xm:f>
            <xm:f>#REF!</xm:f>
            <x14:dxf>
              <font>
                <b/>
                <i val="0"/>
              </font>
              <fill>
                <patternFill>
                  <bgColor theme="8" tint="0.39994506668294322"/>
                </patternFill>
              </fill>
            </x14:dxf>
          </x14:cfRule>
          <x14:cfRule type="containsText" priority="13" operator="containsText" id="{3CC9B190-C625-4C2A-8826-6E3DA73D792C}">
            <xm:f>NOT(ISERROR(SEARCH(#REF!,C2)))</xm:f>
            <xm:f>#REF!</xm:f>
            <x14:dxf>
              <font>
                <b/>
                <i val="0"/>
              </font>
              <fill>
                <patternFill>
                  <bgColor theme="9" tint="0.39994506668294322"/>
                </patternFill>
              </fill>
            </x14:dxf>
          </x14:cfRule>
          <xm:sqref>C2:D2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306CA-9968-42AB-8C8D-6E02FE7E9B58}">
  <sheetPr codeName="Planilha16">
    <tabColor rgb="FF00B0F0"/>
    <pageSetUpPr fitToPage="1"/>
  </sheetPr>
  <dimension ref="A2:M242"/>
  <sheetViews>
    <sheetView showGridLines="0" zoomScale="70" zoomScaleNormal="70" zoomScaleSheetLayoutView="25" workbookViewId="0">
      <pane ySplit="8" topLeftCell="A231" activePane="bottomLeft" state="frozen"/>
      <selection pane="bottomLeft" activeCell="F238" sqref="F238"/>
    </sheetView>
  </sheetViews>
  <sheetFormatPr defaultColWidth="9.453125" defaultRowHeight="13"/>
  <cols>
    <col min="1" max="1" width="2" style="19" customWidth="1"/>
    <col min="2" max="2" width="9.54296875" style="31" customWidth="1"/>
    <col min="3" max="3" width="10.453125" style="31" customWidth="1"/>
    <col min="4" max="4" width="16" style="31" customWidth="1"/>
    <col min="5" max="5" width="17" style="31" customWidth="1"/>
    <col min="6" max="6" width="28" style="31" customWidth="1"/>
    <col min="7" max="7" width="21.54296875" style="31" customWidth="1"/>
    <col min="8" max="8" width="69.54296875" style="32" customWidth="1"/>
    <col min="9" max="9" width="21.54296875" style="31" customWidth="1"/>
    <col min="10" max="10" width="25" style="31" bestFit="1" customWidth="1"/>
    <col min="11" max="11" width="17.453125" style="31" customWidth="1"/>
    <col min="12" max="16384" width="9.453125" style="31"/>
  </cols>
  <sheetData>
    <row r="2" spans="1:11" s="23" customFormat="1" ht="31.4" customHeight="1">
      <c r="A2" s="18"/>
      <c r="B2" s="22"/>
      <c r="G2" s="25"/>
      <c r="H2" s="26"/>
      <c r="I2" s="27"/>
      <c r="J2" s="27"/>
      <c r="K2" s="28"/>
    </row>
    <row r="3" spans="1:11" s="17" customFormat="1" ht="34.5" customHeight="1" thickBot="1">
      <c r="B3" s="58" t="s">
        <v>663</v>
      </c>
    </row>
    <row r="4" spans="1:11" s="23" customFormat="1" ht="26.15" customHeight="1" thickTop="1">
      <c r="A4" s="18"/>
      <c r="B4" s="59"/>
      <c r="C4" s="59"/>
      <c r="D4" s="59"/>
      <c r="E4" s="59"/>
      <c r="F4" s="59"/>
      <c r="G4" s="59"/>
      <c r="H4" s="59"/>
      <c r="I4" s="36"/>
      <c r="J4" s="36"/>
      <c r="K4" s="120"/>
    </row>
    <row r="5" spans="1:11" s="23" customFormat="1" ht="20.9" customHeight="1">
      <c r="A5" s="18"/>
      <c r="B5" s="22"/>
      <c r="C5" s="22"/>
      <c r="D5" s="22"/>
      <c r="E5" s="22"/>
      <c r="F5" s="22"/>
      <c r="G5" s="24"/>
      <c r="H5" s="24"/>
      <c r="I5" s="25"/>
      <c r="J5" s="25"/>
      <c r="K5" s="120"/>
    </row>
    <row r="6" spans="1:11" s="23" customFormat="1" ht="20.9" customHeight="1">
      <c r="A6" s="18"/>
      <c r="B6" s="22"/>
      <c r="C6" s="22"/>
      <c r="D6" s="22"/>
      <c r="E6" s="22"/>
      <c r="F6" s="22"/>
      <c r="G6" s="24"/>
      <c r="H6" s="24"/>
      <c r="I6" s="25"/>
      <c r="J6" s="25"/>
      <c r="K6" s="121">
        <f>SUM(K9:K176)</f>
        <v>471584.70000000013</v>
      </c>
    </row>
    <row r="7" spans="1:11" s="23" customFormat="1" ht="15" customHeight="1" thickBot="1">
      <c r="A7" s="18"/>
      <c r="B7" s="22"/>
      <c r="C7" s="22"/>
      <c r="D7" s="22"/>
      <c r="E7" s="22"/>
      <c r="F7" s="22"/>
      <c r="G7" s="24"/>
      <c r="H7" s="24"/>
      <c r="I7" s="25"/>
      <c r="J7" s="25"/>
      <c r="K7" s="120"/>
    </row>
    <row r="8" spans="1:11" s="30" customFormat="1" ht="71.150000000000006" customHeight="1" thickBot="1">
      <c r="A8" s="18"/>
      <c r="B8" s="1" t="s">
        <v>0</v>
      </c>
      <c r="C8" s="1" t="s">
        <v>193</v>
      </c>
      <c r="D8" s="1" t="s">
        <v>458</v>
      </c>
      <c r="E8" s="1" t="s">
        <v>2577</v>
      </c>
      <c r="F8" s="1" t="s">
        <v>650</v>
      </c>
      <c r="G8" s="1" t="s">
        <v>3331</v>
      </c>
      <c r="H8" s="1" t="s">
        <v>670</v>
      </c>
      <c r="I8" s="1" t="s">
        <v>465</v>
      </c>
      <c r="J8" s="1" t="s">
        <v>7193</v>
      </c>
      <c r="K8" s="50" t="s">
        <v>596</v>
      </c>
    </row>
    <row r="9" spans="1:11" s="23" customFormat="1" ht="25.4" customHeight="1">
      <c r="A9" s="18"/>
      <c r="B9" s="3">
        <v>2022</v>
      </c>
      <c r="C9" s="3" t="s">
        <v>176</v>
      </c>
      <c r="D9" s="4">
        <v>44559</v>
      </c>
      <c r="E9" s="4"/>
      <c r="F9" s="3" t="s">
        <v>1574</v>
      </c>
      <c r="G9" s="3" t="s">
        <v>1572</v>
      </c>
      <c r="H9" s="8" t="s">
        <v>1575</v>
      </c>
      <c r="I9" s="9" t="s">
        <v>6</v>
      </c>
      <c r="J9" s="9"/>
      <c r="K9" s="248">
        <v>4120.83</v>
      </c>
    </row>
    <row r="10" spans="1:11" s="23" customFormat="1" ht="25.4" customHeight="1">
      <c r="A10" s="18"/>
      <c r="B10" s="3">
        <v>2022</v>
      </c>
      <c r="C10" s="3" t="s">
        <v>176</v>
      </c>
      <c r="D10" s="4">
        <v>44573</v>
      </c>
      <c r="E10" s="4"/>
      <c r="F10" s="3" t="s">
        <v>479</v>
      </c>
      <c r="G10" s="3" t="s">
        <v>1573</v>
      </c>
      <c r="H10" s="8" t="s">
        <v>1576</v>
      </c>
      <c r="I10" s="9" t="s">
        <v>6</v>
      </c>
      <c r="J10" s="9"/>
      <c r="K10" s="248">
        <v>4200</v>
      </c>
    </row>
    <row r="11" spans="1:11" s="23" customFormat="1" ht="25.4" customHeight="1">
      <c r="A11" s="18"/>
      <c r="B11" s="3">
        <v>2022</v>
      </c>
      <c r="C11" s="3" t="s">
        <v>176</v>
      </c>
      <c r="D11" s="4">
        <v>44592</v>
      </c>
      <c r="E11" s="4"/>
      <c r="F11" s="3" t="s">
        <v>669</v>
      </c>
      <c r="G11" s="3" t="s">
        <v>1570</v>
      </c>
      <c r="H11" s="8" t="s">
        <v>1571</v>
      </c>
      <c r="I11" s="9" t="s">
        <v>6</v>
      </c>
      <c r="J11" s="9"/>
      <c r="K11" s="248">
        <v>717.96</v>
      </c>
    </row>
    <row r="12" spans="1:11" s="23" customFormat="1" ht="25.4" customHeight="1">
      <c r="A12" s="18"/>
      <c r="B12" s="3">
        <v>2022</v>
      </c>
      <c r="C12" s="3" t="s">
        <v>176</v>
      </c>
      <c r="D12" s="4">
        <v>44599</v>
      </c>
      <c r="E12" s="4"/>
      <c r="F12" s="3" t="s">
        <v>1112</v>
      </c>
      <c r="G12" s="3" t="s">
        <v>1582</v>
      </c>
      <c r="H12" s="8" t="s">
        <v>3283</v>
      </c>
      <c r="I12" s="9" t="s">
        <v>6</v>
      </c>
      <c r="J12" s="9"/>
      <c r="K12" s="248">
        <v>522.22</v>
      </c>
    </row>
    <row r="13" spans="1:11" s="23" customFormat="1" ht="25.4" customHeight="1">
      <c r="A13" s="18"/>
      <c r="B13" s="3">
        <v>2022</v>
      </c>
      <c r="C13" s="3" t="s">
        <v>176</v>
      </c>
      <c r="D13" s="4">
        <v>44603</v>
      </c>
      <c r="E13" s="4"/>
      <c r="F13" s="3" t="s">
        <v>667</v>
      </c>
      <c r="G13" s="3" t="s">
        <v>1598</v>
      </c>
      <c r="H13" s="8" t="s">
        <v>1599</v>
      </c>
      <c r="I13" s="9" t="s">
        <v>6</v>
      </c>
      <c r="J13" s="9"/>
      <c r="K13" s="248">
        <v>2014.25</v>
      </c>
    </row>
    <row r="14" spans="1:11" s="23" customFormat="1" ht="25.4" customHeight="1">
      <c r="A14" s="18"/>
      <c r="B14" s="3">
        <v>2022</v>
      </c>
      <c r="C14" s="3" t="s">
        <v>176</v>
      </c>
      <c r="D14" s="4">
        <v>44636</v>
      </c>
      <c r="E14" s="4"/>
      <c r="F14" s="3" t="s">
        <v>1139</v>
      </c>
      <c r="G14" s="3" t="s">
        <v>1602</v>
      </c>
      <c r="H14" s="8" t="s">
        <v>3284</v>
      </c>
      <c r="I14" s="9" t="s">
        <v>6</v>
      </c>
      <c r="J14" s="9"/>
      <c r="K14" s="248">
        <v>2014.25</v>
      </c>
    </row>
    <row r="15" spans="1:11" s="23" customFormat="1" ht="25.4" customHeight="1">
      <c r="A15" s="18"/>
      <c r="B15" s="3">
        <v>2022</v>
      </c>
      <c r="C15" s="3" t="s">
        <v>176</v>
      </c>
      <c r="D15" s="4">
        <v>44636</v>
      </c>
      <c r="E15" s="4"/>
      <c r="F15" s="3" t="s">
        <v>1139</v>
      </c>
      <c r="G15" s="3" t="s">
        <v>1603</v>
      </c>
      <c r="H15" s="8" t="s">
        <v>3285</v>
      </c>
      <c r="I15" s="9" t="s">
        <v>6</v>
      </c>
      <c r="J15" s="9"/>
      <c r="K15" s="248">
        <v>2014.25</v>
      </c>
    </row>
    <row r="16" spans="1:11" s="23" customFormat="1" ht="25.4" customHeight="1">
      <c r="A16" s="18"/>
      <c r="B16" s="3">
        <v>2022</v>
      </c>
      <c r="C16" s="3" t="s">
        <v>176</v>
      </c>
      <c r="D16" s="4">
        <v>44638</v>
      </c>
      <c r="E16" s="4"/>
      <c r="F16" s="3" t="s">
        <v>1605</v>
      </c>
      <c r="G16" s="3" t="s">
        <v>1606</v>
      </c>
      <c r="H16" s="8" t="s">
        <v>1607</v>
      </c>
      <c r="I16" s="9" t="s">
        <v>6</v>
      </c>
      <c r="J16" s="9"/>
      <c r="K16" s="248">
        <v>1649.69</v>
      </c>
    </row>
    <row r="17" spans="1:11" s="23" customFormat="1" ht="25.4" customHeight="1">
      <c r="A17" s="18"/>
      <c r="B17" s="3">
        <v>2022</v>
      </c>
      <c r="C17" s="3" t="s">
        <v>176</v>
      </c>
      <c r="D17" s="4">
        <v>44642</v>
      </c>
      <c r="E17" s="4"/>
      <c r="F17" s="3" t="s">
        <v>666</v>
      </c>
      <c r="G17" s="3" t="s">
        <v>1612</v>
      </c>
      <c r="H17" s="8" t="s">
        <v>1613</v>
      </c>
      <c r="I17" s="9" t="s">
        <v>6</v>
      </c>
      <c r="J17" s="9"/>
      <c r="K17" s="248" t="s">
        <v>1614</v>
      </c>
    </row>
    <row r="18" spans="1:11" s="23" customFormat="1" ht="25.4" customHeight="1">
      <c r="A18" s="18"/>
      <c r="B18" s="3">
        <v>2022</v>
      </c>
      <c r="C18" s="3" t="s">
        <v>176</v>
      </c>
      <c r="D18" s="4">
        <v>44651</v>
      </c>
      <c r="E18" s="4"/>
      <c r="F18" s="3" t="s">
        <v>718</v>
      </c>
      <c r="G18" s="3" t="s">
        <v>1619</v>
      </c>
      <c r="H18" s="8" t="s">
        <v>1620</v>
      </c>
      <c r="I18" s="9" t="s">
        <v>6</v>
      </c>
      <c r="J18" s="9"/>
      <c r="K18" s="248" t="s">
        <v>1621</v>
      </c>
    </row>
    <row r="19" spans="1:11" s="23" customFormat="1" ht="25.4" customHeight="1">
      <c r="A19" s="18"/>
      <c r="B19" s="3">
        <v>2022</v>
      </c>
      <c r="C19" s="3" t="s">
        <v>176</v>
      </c>
      <c r="D19" s="4">
        <v>44663</v>
      </c>
      <c r="E19" s="4"/>
      <c r="F19" s="3" t="s">
        <v>718</v>
      </c>
      <c r="G19" s="3" t="s">
        <v>1622</v>
      </c>
      <c r="H19" s="8" t="s">
        <v>3286</v>
      </c>
      <c r="I19" s="9" t="s">
        <v>6</v>
      </c>
      <c r="J19" s="9"/>
      <c r="K19" s="248" t="s">
        <v>1623</v>
      </c>
    </row>
    <row r="20" spans="1:11" s="23" customFormat="1" ht="25.4" customHeight="1">
      <c r="A20" s="18"/>
      <c r="B20" s="3">
        <v>2022</v>
      </c>
      <c r="C20" s="3" t="s">
        <v>176</v>
      </c>
      <c r="D20" s="4">
        <v>44701</v>
      </c>
      <c r="E20" s="4"/>
      <c r="F20" s="3" t="s">
        <v>1639</v>
      </c>
      <c r="G20" s="3" t="s">
        <v>1634</v>
      </c>
      <c r="H20" s="8" t="s">
        <v>1636</v>
      </c>
      <c r="I20" s="9" t="s">
        <v>6</v>
      </c>
      <c r="J20" s="9"/>
      <c r="K20" s="248">
        <v>6517.86</v>
      </c>
    </row>
    <row r="21" spans="1:11" s="23" customFormat="1" ht="25.4" customHeight="1">
      <c r="A21" s="18"/>
      <c r="B21" s="3">
        <v>2022</v>
      </c>
      <c r="C21" s="3" t="s">
        <v>176</v>
      </c>
      <c r="D21" s="4">
        <v>44704</v>
      </c>
      <c r="E21" s="4"/>
      <c r="F21" s="3" t="s">
        <v>704</v>
      </c>
      <c r="G21" s="3" t="s">
        <v>1635</v>
      </c>
      <c r="H21" s="8" t="s">
        <v>1637</v>
      </c>
      <c r="I21" s="9" t="s">
        <v>6</v>
      </c>
      <c r="J21" s="9"/>
      <c r="K21" s="248">
        <v>1918.93</v>
      </c>
    </row>
    <row r="22" spans="1:11" s="23" customFormat="1" ht="25.4" customHeight="1">
      <c r="A22" s="18"/>
      <c r="B22" s="3">
        <v>2022</v>
      </c>
      <c r="C22" s="3" t="s">
        <v>176</v>
      </c>
      <c r="D22" s="4">
        <v>44704</v>
      </c>
      <c r="E22" s="4"/>
      <c r="F22" s="3" t="s">
        <v>718</v>
      </c>
      <c r="G22" s="3" t="s">
        <v>1640</v>
      </c>
      <c r="H22" s="8" t="s">
        <v>1638</v>
      </c>
      <c r="I22" s="9" t="s">
        <v>6</v>
      </c>
      <c r="J22" s="9"/>
      <c r="K22" s="248">
        <v>974.81</v>
      </c>
    </row>
    <row r="23" spans="1:11" s="23" customFormat="1" ht="25.4" customHeight="1">
      <c r="A23" s="18"/>
      <c r="B23" s="3">
        <v>2022</v>
      </c>
      <c r="C23" s="3" t="s">
        <v>176</v>
      </c>
      <c r="D23" s="4">
        <v>44740</v>
      </c>
      <c r="E23" s="4"/>
      <c r="F23" s="3" t="s">
        <v>1142</v>
      </c>
      <c r="G23" s="3" t="s">
        <v>1651</v>
      </c>
      <c r="H23" s="8" t="s">
        <v>1656</v>
      </c>
      <c r="I23" s="9" t="s">
        <v>6</v>
      </c>
      <c r="J23" s="9"/>
      <c r="K23" s="248">
        <v>4272.53</v>
      </c>
    </row>
    <row r="24" spans="1:11" s="23" customFormat="1" ht="25.4" customHeight="1">
      <c r="A24" s="18"/>
      <c r="B24" s="3">
        <v>2022</v>
      </c>
      <c r="C24" s="3" t="s">
        <v>176</v>
      </c>
      <c r="D24" s="4">
        <v>44740</v>
      </c>
      <c r="E24" s="4"/>
      <c r="F24" s="3" t="s">
        <v>719</v>
      </c>
      <c r="G24" s="3" t="s">
        <v>1652</v>
      </c>
      <c r="H24" s="8" t="s">
        <v>1657</v>
      </c>
      <c r="I24" s="9" t="s">
        <v>6</v>
      </c>
      <c r="J24" s="9"/>
      <c r="K24" s="248">
        <v>3072.98</v>
      </c>
    </row>
    <row r="25" spans="1:11" s="23" customFormat="1" ht="25.4" customHeight="1">
      <c r="A25" s="18"/>
      <c r="B25" s="3">
        <v>2022</v>
      </c>
      <c r="C25" s="3" t="s">
        <v>176</v>
      </c>
      <c r="D25" s="4">
        <v>44740</v>
      </c>
      <c r="E25" s="4"/>
      <c r="F25" s="3" t="s">
        <v>719</v>
      </c>
      <c r="G25" s="3" t="s">
        <v>1653</v>
      </c>
      <c r="H25" s="8" t="s">
        <v>1658</v>
      </c>
      <c r="I25" s="9" t="s">
        <v>6</v>
      </c>
      <c r="J25" s="9"/>
      <c r="K25" s="248">
        <v>4768.42</v>
      </c>
    </row>
    <row r="26" spans="1:11" s="23" customFormat="1" ht="25.4" customHeight="1">
      <c r="A26" s="18"/>
      <c r="B26" s="3">
        <v>2022</v>
      </c>
      <c r="C26" s="3" t="s">
        <v>176</v>
      </c>
      <c r="D26" s="4">
        <v>44740</v>
      </c>
      <c r="E26" s="4"/>
      <c r="F26" s="3" t="s">
        <v>1655</v>
      </c>
      <c r="G26" s="3" t="s">
        <v>1654</v>
      </c>
      <c r="H26" s="8" t="s">
        <v>1659</v>
      </c>
      <c r="I26" s="9" t="s">
        <v>6</v>
      </c>
      <c r="J26" s="9"/>
      <c r="K26" s="248">
        <v>2848.37</v>
      </c>
    </row>
    <row r="27" spans="1:11" s="23" customFormat="1" ht="25.4" customHeight="1">
      <c r="A27" s="18"/>
      <c r="B27" s="3">
        <v>2022</v>
      </c>
      <c r="C27" s="3" t="s">
        <v>176</v>
      </c>
      <c r="D27" s="4">
        <v>44740</v>
      </c>
      <c r="E27" s="4"/>
      <c r="F27" s="3" t="s">
        <v>1660</v>
      </c>
      <c r="G27" s="3" t="s">
        <v>1661</v>
      </c>
      <c r="H27" s="8" t="s">
        <v>1662</v>
      </c>
      <c r="I27" s="9" t="s">
        <v>6</v>
      </c>
      <c r="J27" s="9"/>
      <c r="K27" s="248">
        <v>1589.49</v>
      </c>
    </row>
    <row r="28" spans="1:11" s="23" customFormat="1" ht="25.4" customHeight="1">
      <c r="A28" s="18"/>
      <c r="B28" s="3">
        <v>2022</v>
      </c>
      <c r="C28" s="3" t="s">
        <v>176</v>
      </c>
      <c r="D28" s="4">
        <v>44740</v>
      </c>
      <c r="E28" s="4"/>
      <c r="F28" s="3" t="s">
        <v>2888</v>
      </c>
      <c r="G28" s="3" t="s">
        <v>1663</v>
      </c>
      <c r="H28" s="8" t="s">
        <v>1664</v>
      </c>
      <c r="I28" s="9" t="s">
        <v>6</v>
      </c>
      <c r="J28" s="8"/>
      <c r="K28" s="248">
        <v>17463.18</v>
      </c>
    </row>
    <row r="29" spans="1:11" s="23" customFormat="1" ht="25.4" customHeight="1">
      <c r="A29" s="18"/>
      <c r="B29" s="3">
        <v>2022</v>
      </c>
      <c r="C29" s="3" t="s">
        <v>176</v>
      </c>
      <c r="D29" s="4">
        <v>44740</v>
      </c>
      <c r="E29" s="4"/>
      <c r="F29" s="3" t="s">
        <v>2888</v>
      </c>
      <c r="G29" s="3" t="s">
        <v>1666</v>
      </c>
      <c r="H29" s="8" t="s">
        <v>1665</v>
      </c>
      <c r="I29" s="9" t="s">
        <v>6</v>
      </c>
      <c r="J29" s="8"/>
      <c r="K29" s="248">
        <v>39597.61</v>
      </c>
    </row>
    <row r="30" spans="1:11" s="23" customFormat="1" ht="25.4" customHeight="1">
      <c r="A30" s="18"/>
      <c r="B30" s="3">
        <v>2022</v>
      </c>
      <c r="C30" s="3" t="s">
        <v>176</v>
      </c>
      <c r="D30" s="4">
        <v>44748</v>
      </c>
      <c r="E30" s="4"/>
      <c r="F30" s="3" t="s">
        <v>664</v>
      </c>
      <c r="G30" s="3" t="s">
        <v>1670</v>
      </c>
      <c r="H30" s="8" t="s">
        <v>1671</v>
      </c>
      <c r="I30" s="9" t="s">
        <v>6</v>
      </c>
      <c r="J30" s="8"/>
      <c r="K30" s="248">
        <v>4382.38</v>
      </c>
    </row>
    <row r="31" spans="1:11" s="23" customFormat="1" ht="25.4" customHeight="1">
      <c r="A31" s="18"/>
      <c r="B31" s="3">
        <v>2022</v>
      </c>
      <c r="C31" s="3" t="s">
        <v>176</v>
      </c>
      <c r="D31" s="4">
        <v>44753</v>
      </c>
      <c r="E31" s="4"/>
      <c r="F31" s="3" t="s">
        <v>1678</v>
      </c>
      <c r="G31" s="3" t="s">
        <v>1675</v>
      </c>
      <c r="H31" s="8" t="s">
        <v>1677</v>
      </c>
      <c r="I31" s="9" t="s">
        <v>6</v>
      </c>
      <c r="J31" s="8"/>
      <c r="K31" s="248">
        <v>1160.6199999999999</v>
      </c>
    </row>
    <row r="32" spans="1:11" s="23" customFormat="1" ht="25.4" customHeight="1">
      <c r="A32" s="18"/>
      <c r="B32" s="3">
        <v>2022</v>
      </c>
      <c r="C32" s="3" t="s">
        <v>176</v>
      </c>
      <c r="D32" s="4">
        <v>44754</v>
      </c>
      <c r="E32" s="4"/>
      <c r="F32" s="3" t="s">
        <v>479</v>
      </c>
      <c r="G32" s="3" t="s">
        <v>1676</v>
      </c>
      <c r="H32" s="8" t="s">
        <v>1679</v>
      </c>
      <c r="I32" s="9" t="s">
        <v>6</v>
      </c>
      <c r="J32" s="8"/>
      <c r="K32" s="248">
        <v>2854.62</v>
      </c>
    </row>
    <row r="33" spans="1:11" s="23" customFormat="1" ht="25.4" customHeight="1">
      <c r="A33" s="18"/>
      <c r="B33" s="3">
        <v>2022</v>
      </c>
      <c r="C33" s="3" t="s">
        <v>176</v>
      </c>
      <c r="D33" s="4">
        <v>44789</v>
      </c>
      <c r="E33" s="4"/>
      <c r="F33" s="3" t="s">
        <v>673</v>
      </c>
      <c r="G33" s="3" t="s">
        <v>1681</v>
      </c>
      <c r="H33" s="8" t="s">
        <v>1682</v>
      </c>
      <c r="I33" s="9" t="s">
        <v>6</v>
      </c>
      <c r="J33" s="8"/>
      <c r="K33" s="248">
        <v>774.26</v>
      </c>
    </row>
    <row r="34" spans="1:11" s="23" customFormat="1" ht="25.4" customHeight="1">
      <c r="A34" s="18"/>
      <c r="B34" s="3">
        <v>2022</v>
      </c>
      <c r="C34" s="3" t="s">
        <v>176</v>
      </c>
      <c r="D34" s="4">
        <v>44789</v>
      </c>
      <c r="E34" s="4"/>
      <c r="F34" s="3" t="s">
        <v>1683</v>
      </c>
      <c r="G34" s="3" t="s">
        <v>1684</v>
      </c>
      <c r="H34" s="8" t="s">
        <v>1685</v>
      </c>
      <c r="I34" s="9" t="s">
        <v>6</v>
      </c>
      <c r="J34" s="8"/>
      <c r="K34" s="248">
        <v>2241.42</v>
      </c>
    </row>
    <row r="35" spans="1:11" s="23" customFormat="1" ht="25.4" customHeight="1">
      <c r="A35" s="18"/>
      <c r="B35" s="3">
        <v>2022</v>
      </c>
      <c r="C35" s="3" t="s">
        <v>176</v>
      </c>
      <c r="D35" s="4">
        <v>44791</v>
      </c>
      <c r="E35" s="4"/>
      <c r="F35" s="3" t="s">
        <v>2888</v>
      </c>
      <c r="G35" s="3" t="s">
        <v>1686</v>
      </c>
      <c r="H35" s="8" t="s">
        <v>1687</v>
      </c>
      <c r="I35" s="9" t="s">
        <v>6</v>
      </c>
      <c r="J35" s="8"/>
      <c r="K35" s="248">
        <v>4627.97</v>
      </c>
    </row>
    <row r="36" spans="1:11" s="23" customFormat="1" ht="25.4" customHeight="1">
      <c r="A36" s="18"/>
      <c r="B36" s="3">
        <v>2022</v>
      </c>
      <c r="C36" s="3" t="s">
        <v>176</v>
      </c>
      <c r="D36" s="4">
        <v>44792</v>
      </c>
      <c r="E36" s="4"/>
      <c r="F36" s="3" t="s">
        <v>3263</v>
      </c>
      <c r="G36" s="3" t="s">
        <v>1688</v>
      </c>
      <c r="H36" s="8" t="s">
        <v>1689</v>
      </c>
      <c r="I36" s="9" t="s">
        <v>6</v>
      </c>
      <c r="J36" s="8"/>
      <c r="K36" s="248">
        <v>2360.73</v>
      </c>
    </row>
    <row r="37" spans="1:11" s="23" customFormat="1" ht="25.4" customHeight="1">
      <c r="A37" s="18"/>
      <c r="B37" s="3">
        <v>2022</v>
      </c>
      <c r="C37" s="3" t="s">
        <v>176</v>
      </c>
      <c r="D37" s="4">
        <v>44802</v>
      </c>
      <c r="E37" s="4"/>
      <c r="F37" s="3" t="s">
        <v>2888</v>
      </c>
      <c r="G37" s="3" t="s">
        <v>1700</v>
      </c>
      <c r="H37" s="8" t="s">
        <v>1702</v>
      </c>
      <c r="I37" s="9" t="s">
        <v>6</v>
      </c>
      <c r="J37" s="8"/>
      <c r="K37" s="248">
        <v>20880.919999999998</v>
      </c>
    </row>
    <row r="38" spans="1:11" s="23" customFormat="1" ht="25.4" customHeight="1">
      <c r="A38" s="18"/>
      <c r="B38" s="3">
        <v>2022</v>
      </c>
      <c r="C38" s="3" t="s">
        <v>176</v>
      </c>
      <c r="D38" s="4">
        <v>44802</v>
      </c>
      <c r="E38" s="4"/>
      <c r="F38" s="3" t="s">
        <v>2888</v>
      </c>
      <c r="G38" s="3" t="s">
        <v>1701</v>
      </c>
      <c r="H38" s="8" t="s">
        <v>1703</v>
      </c>
      <c r="I38" s="9" t="s">
        <v>6</v>
      </c>
      <c r="J38" s="8"/>
      <c r="K38" s="248">
        <v>4831.41</v>
      </c>
    </row>
    <row r="39" spans="1:11" s="23" customFormat="1" ht="25.4" customHeight="1">
      <c r="A39" s="18"/>
      <c r="B39" s="3">
        <v>2022</v>
      </c>
      <c r="C39" s="3" t="s">
        <v>176</v>
      </c>
      <c r="D39" s="4">
        <v>44818</v>
      </c>
      <c r="E39" s="4"/>
      <c r="F39" s="3" t="s">
        <v>1142</v>
      </c>
      <c r="G39" s="3" t="s">
        <v>1710</v>
      </c>
      <c r="H39" s="8" t="s">
        <v>1711</v>
      </c>
      <c r="I39" s="9" t="s">
        <v>6</v>
      </c>
      <c r="J39" s="8"/>
      <c r="K39" s="248">
        <v>2327.75</v>
      </c>
    </row>
    <row r="40" spans="1:11" s="23" customFormat="1" ht="25.4" customHeight="1">
      <c r="A40" s="18"/>
      <c r="B40" s="3">
        <v>2022</v>
      </c>
      <c r="C40" s="3" t="s">
        <v>178</v>
      </c>
      <c r="D40" s="4">
        <v>44830</v>
      </c>
      <c r="E40" s="4"/>
      <c r="F40" s="3" t="s">
        <v>1713</v>
      </c>
      <c r="G40" s="3" t="s">
        <v>1714</v>
      </c>
      <c r="H40" s="8" t="s">
        <v>1715</v>
      </c>
      <c r="I40" s="9" t="s">
        <v>6</v>
      </c>
      <c r="J40" s="8"/>
      <c r="K40" s="248">
        <v>1514.13</v>
      </c>
    </row>
    <row r="41" spans="1:11" s="23" customFormat="1" ht="25.4" customHeight="1">
      <c r="A41" s="18"/>
      <c r="B41" s="3">
        <v>2022</v>
      </c>
      <c r="C41" s="3" t="s">
        <v>178</v>
      </c>
      <c r="D41" s="4">
        <v>44831</v>
      </c>
      <c r="E41" s="4"/>
      <c r="F41" s="3" t="s">
        <v>1723</v>
      </c>
      <c r="G41" s="3" t="s">
        <v>1724</v>
      </c>
      <c r="H41" s="8" t="s">
        <v>1725</v>
      </c>
      <c r="I41" s="9" t="s">
        <v>6</v>
      </c>
      <c r="J41" s="8"/>
      <c r="K41" s="248">
        <v>1236.28</v>
      </c>
    </row>
    <row r="42" spans="1:11" s="23" customFormat="1" ht="25.4" customHeight="1">
      <c r="A42" s="18"/>
      <c r="B42" s="3">
        <v>2022</v>
      </c>
      <c r="C42" s="3" t="s">
        <v>176</v>
      </c>
      <c r="D42" s="4">
        <v>44840</v>
      </c>
      <c r="E42" s="4"/>
      <c r="F42" s="3" t="s">
        <v>1142</v>
      </c>
      <c r="G42" s="3" t="s">
        <v>1721</v>
      </c>
      <c r="H42" s="8" t="s">
        <v>1722</v>
      </c>
      <c r="I42" s="9" t="s">
        <v>6</v>
      </c>
      <c r="J42" s="8"/>
      <c r="K42" s="248">
        <v>2968.71</v>
      </c>
    </row>
    <row r="43" spans="1:11" s="23" customFormat="1" ht="25.4" customHeight="1">
      <c r="A43" s="18"/>
      <c r="B43" s="3">
        <v>2022</v>
      </c>
      <c r="C43" s="3" t="s">
        <v>176</v>
      </c>
      <c r="D43" s="4">
        <v>44852</v>
      </c>
      <c r="E43" s="4"/>
      <c r="F43" s="3" t="s">
        <v>1683</v>
      </c>
      <c r="G43" s="3" t="s">
        <v>1726</v>
      </c>
      <c r="H43" s="8" t="s">
        <v>1727</v>
      </c>
      <c r="I43" s="9" t="s">
        <v>6</v>
      </c>
      <c r="J43" s="8"/>
      <c r="K43" s="248">
        <v>1131.44</v>
      </c>
    </row>
    <row r="44" spans="1:11" s="23" customFormat="1" ht="25.4" customHeight="1">
      <c r="A44" s="18"/>
      <c r="B44" s="3">
        <v>2022</v>
      </c>
      <c r="C44" s="3" t="s">
        <v>176</v>
      </c>
      <c r="D44" s="4">
        <v>44853</v>
      </c>
      <c r="E44" s="4"/>
      <c r="F44" s="3" t="s">
        <v>1728</v>
      </c>
      <c r="G44" s="3" t="s">
        <v>1729</v>
      </c>
      <c r="H44" s="8" t="s">
        <v>1730</v>
      </c>
      <c r="I44" s="9" t="s">
        <v>6</v>
      </c>
      <c r="J44" s="8"/>
      <c r="K44" s="248">
        <v>1462.24</v>
      </c>
    </row>
    <row r="45" spans="1:11" s="23" customFormat="1" ht="25.4" customHeight="1">
      <c r="A45" s="18"/>
      <c r="B45" s="3">
        <v>2022</v>
      </c>
      <c r="C45" s="3" t="s">
        <v>176</v>
      </c>
      <c r="D45" s="4">
        <v>44862</v>
      </c>
      <c r="E45" s="4"/>
      <c r="F45" s="3" t="s">
        <v>1731</v>
      </c>
      <c r="G45" s="3" t="s">
        <v>1732</v>
      </c>
      <c r="H45" s="8" t="s">
        <v>3287</v>
      </c>
      <c r="I45" s="9" t="s">
        <v>6</v>
      </c>
      <c r="J45" s="8"/>
      <c r="K45" s="248">
        <v>1094.82</v>
      </c>
    </row>
    <row r="46" spans="1:11" s="23" customFormat="1" ht="25.4" customHeight="1">
      <c r="A46" s="18"/>
      <c r="B46" s="3">
        <v>2022</v>
      </c>
      <c r="C46" s="3" t="s">
        <v>176</v>
      </c>
      <c r="D46" s="4">
        <v>44862</v>
      </c>
      <c r="E46" s="4"/>
      <c r="F46" s="3" t="s">
        <v>666</v>
      </c>
      <c r="G46" s="3" t="s">
        <v>1734</v>
      </c>
      <c r="H46" s="8" t="s">
        <v>1733</v>
      </c>
      <c r="I46" s="9" t="s">
        <v>6</v>
      </c>
      <c r="J46" s="8"/>
      <c r="K46" s="248">
        <v>2822.1</v>
      </c>
    </row>
    <row r="47" spans="1:11" s="23" customFormat="1" ht="25.4" customHeight="1">
      <c r="A47" s="18"/>
      <c r="B47" s="3">
        <v>2022</v>
      </c>
      <c r="C47" s="3" t="s">
        <v>176</v>
      </c>
      <c r="D47" s="4">
        <v>44862</v>
      </c>
      <c r="E47" s="4"/>
      <c r="F47" s="3" t="s">
        <v>667</v>
      </c>
      <c r="G47" s="3" t="s">
        <v>1737</v>
      </c>
      <c r="H47" s="8" t="s">
        <v>1738</v>
      </c>
      <c r="I47" s="9" t="s">
        <v>6</v>
      </c>
      <c r="J47" s="8"/>
      <c r="K47" s="248">
        <v>24120.98</v>
      </c>
    </row>
    <row r="48" spans="1:11" s="23" customFormat="1" ht="25.4" customHeight="1">
      <c r="A48" s="18"/>
      <c r="B48" s="3">
        <v>2022</v>
      </c>
      <c r="C48" s="3" t="s">
        <v>176</v>
      </c>
      <c r="D48" s="4">
        <v>44862</v>
      </c>
      <c r="E48" s="4"/>
      <c r="F48" s="3" t="s">
        <v>666</v>
      </c>
      <c r="G48" s="3" t="s">
        <v>1739</v>
      </c>
      <c r="H48" s="8" t="s">
        <v>1740</v>
      </c>
      <c r="I48" s="9" t="s">
        <v>6</v>
      </c>
      <c r="J48" s="8"/>
      <c r="K48" s="248">
        <v>499.12</v>
      </c>
    </row>
    <row r="49" spans="1:11" s="23" customFormat="1" ht="25.4" customHeight="1">
      <c r="A49" s="18"/>
      <c r="B49" s="3">
        <v>2022</v>
      </c>
      <c r="C49" s="3" t="s">
        <v>176</v>
      </c>
      <c r="D49" s="4">
        <v>44862</v>
      </c>
      <c r="E49" s="4"/>
      <c r="F49" s="3" t="s">
        <v>1728</v>
      </c>
      <c r="G49" s="3" t="s">
        <v>1745</v>
      </c>
      <c r="H49" s="8" t="s">
        <v>1620</v>
      </c>
      <c r="I49" s="9" t="s">
        <v>6</v>
      </c>
      <c r="J49" s="8"/>
      <c r="K49" s="248">
        <v>934.85</v>
      </c>
    </row>
    <row r="50" spans="1:11" s="23" customFormat="1" ht="25.4" customHeight="1">
      <c r="A50" s="18"/>
      <c r="B50" s="3">
        <v>2022</v>
      </c>
      <c r="C50" s="3" t="s">
        <v>176</v>
      </c>
      <c r="D50" s="4">
        <v>44862</v>
      </c>
      <c r="E50" s="4"/>
      <c r="F50" s="3" t="s">
        <v>1756</v>
      </c>
      <c r="G50" s="3" t="s">
        <v>1757</v>
      </c>
      <c r="H50" s="8" t="s">
        <v>3288</v>
      </c>
      <c r="I50" s="9" t="s">
        <v>6</v>
      </c>
      <c r="J50" s="8"/>
      <c r="K50" s="248">
        <v>5134.5</v>
      </c>
    </row>
    <row r="51" spans="1:11" s="23" customFormat="1" ht="25.4" customHeight="1">
      <c r="A51" s="18"/>
      <c r="B51" s="3">
        <v>2022</v>
      </c>
      <c r="C51" s="3" t="s">
        <v>176</v>
      </c>
      <c r="D51" s="4">
        <v>44862</v>
      </c>
      <c r="E51" s="4"/>
      <c r="F51" s="3" t="s">
        <v>1746</v>
      </c>
      <c r="G51" s="3" t="s">
        <v>1747</v>
      </c>
      <c r="H51" s="8" t="s">
        <v>1752</v>
      </c>
      <c r="I51" s="9" t="s">
        <v>6</v>
      </c>
      <c r="J51" s="8"/>
      <c r="K51" s="248">
        <v>1049.79</v>
      </c>
    </row>
    <row r="52" spans="1:11" s="23" customFormat="1" ht="25.4" customHeight="1">
      <c r="A52" s="18"/>
      <c r="B52" s="3">
        <v>2022</v>
      </c>
      <c r="C52" s="3" t="s">
        <v>176</v>
      </c>
      <c r="D52" s="4">
        <v>44862</v>
      </c>
      <c r="E52" s="4"/>
      <c r="F52" s="3" t="s">
        <v>1746</v>
      </c>
      <c r="G52" s="3" t="s">
        <v>1748</v>
      </c>
      <c r="H52" s="8" t="s">
        <v>1753</v>
      </c>
      <c r="I52" s="9" t="s">
        <v>6</v>
      </c>
      <c r="J52" s="8"/>
      <c r="K52" s="248">
        <v>1583.07</v>
      </c>
    </row>
    <row r="53" spans="1:11" s="23" customFormat="1" ht="25.4" customHeight="1">
      <c r="A53" s="18"/>
      <c r="B53" s="3">
        <v>2022</v>
      </c>
      <c r="C53" s="3" t="s">
        <v>176</v>
      </c>
      <c r="D53" s="4">
        <v>44862</v>
      </c>
      <c r="E53" s="4"/>
      <c r="F53" s="3" t="s">
        <v>1746</v>
      </c>
      <c r="G53" s="3" t="s">
        <v>1749</v>
      </c>
      <c r="H53" s="8" t="s">
        <v>1754</v>
      </c>
      <c r="I53" s="9" t="s">
        <v>6</v>
      </c>
      <c r="J53" s="8"/>
      <c r="K53" s="248">
        <v>388.71</v>
      </c>
    </row>
    <row r="54" spans="1:11" s="23" customFormat="1" ht="25.4" customHeight="1">
      <c r="A54" s="18"/>
      <c r="B54" s="3">
        <v>2022</v>
      </c>
      <c r="C54" s="3" t="s">
        <v>176</v>
      </c>
      <c r="D54" s="4">
        <v>44862</v>
      </c>
      <c r="E54" s="4"/>
      <c r="F54" s="3" t="s">
        <v>1746</v>
      </c>
      <c r="G54" s="3" t="s">
        <v>1750</v>
      </c>
      <c r="H54" s="8" t="s">
        <v>1755</v>
      </c>
      <c r="I54" s="9" t="s">
        <v>6</v>
      </c>
      <c r="J54" s="8"/>
      <c r="K54" s="248">
        <v>4018.33</v>
      </c>
    </row>
    <row r="55" spans="1:11" s="23" customFormat="1" ht="27" customHeight="1">
      <c r="A55" s="18"/>
      <c r="B55" s="3">
        <v>2022</v>
      </c>
      <c r="C55" s="3" t="s">
        <v>176</v>
      </c>
      <c r="D55" s="4">
        <v>44862</v>
      </c>
      <c r="E55" s="4"/>
      <c r="F55" s="3" t="s">
        <v>1746</v>
      </c>
      <c r="G55" s="3" t="s">
        <v>1751</v>
      </c>
      <c r="H55" s="8" t="s">
        <v>1755</v>
      </c>
      <c r="I55" s="9" t="s">
        <v>6</v>
      </c>
      <c r="J55" s="8"/>
      <c r="K55" s="248">
        <v>2570.8200000000002</v>
      </c>
    </row>
    <row r="56" spans="1:11" s="23" customFormat="1" ht="27" customHeight="1">
      <c r="A56" s="18"/>
      <c r="B56" s="3">
        <v>2022</v>
      </c>
      <c r="C56" s="3" t="s">
        <v>176</v>
      </c>
      <c r="D56" s="4">
        <v>44862</v>
      </c>
      <c r="E56" s="4"/>
      <c r="F56" s="3" t="s">
        <v>2888</v>
      </c>
      <c r="G56" s="3" t="s">
        <v>1758</v>
      </c>
      <c r="H56" s="8" t="s">
        <v>1760</v>
      </c>
      <c r="I56" s="9" t="s">
        <v>6</v>
      </c>
      <c r="J56" s="8"/>
      <c r="K56" s="248">
        <v>5422.09</v>
      </c>
    </row>
    <row r="57" spans="1:11" s="23" customFormat="1" ht="27" customHeight="1">
      <c r="A57" s="18"/>
      <c r="B57" s="3">
        <v>2022</v>
      </c>
      <c r="C57" s="3" t="s">
        <v>176</v>
      </c>
      <c r="D57" s="4">
        <v>44862</v>
      </c>
      <c r="E57" s="4"/>
      <c r="F57" s="3" t="s">
        <v>2888</v>
      </c>
      <c r="G57" s="3" t="s">
        <v>1759</v>
      </c>
      <c r="H57" s="8" t="s">
        <v>3289</v>
      </c>
      <c r="I57" s="9" t="s">
        <v>6</v>
      </c>
      <c r="J57" s="8"/>
      <c r="K57" s="248">
        <v>4113.3100000000004</v>
      </c>
    </row>
    <row r="58" spans="1:11" s="23" customFormat="1" ht="27" customHeight="1">
      <c r="A58" s="18"/>
      <c r="B58" s="3">
        <v>2022</v>
      </c>
      <c r="C58" s="3" t="s">
        <v>176</v>
      </c>
      <c r="D58" s="4">
        <v>44862</v>
      </c>
      <c r="E58" s="4"/>
      <c r="F58" s="3" t="s">
        <v>1746</v>
      </c>
      <c r="G58" s="3" t="s">
        <v>1771</v>
      </c>
      <c r="H58" s="8" t="s">
        <v>1772</v>
      </c>
      <c r="I58" s="9" t="s">
        <v>6</v>
      </c>
      <c r="J58" s="8"/>
      <c r="K58" s="248">
        <v>1045.1600000000001</v>
      </c>
    </row>
    <row r="59" spans="1:11" s="23" customFormat="1" ht="27" customHeight="1">
      <c r="A59" s="18"/>
      <c r="B59" s="3">
        <v>2022</v>
      </c>
      <c r="C59" s="3" t="s">
        <v>176</v>
      </c>
      <c r="D59" s="4">
        <v>44862</v>
      </c>
      <c r="E59" s="4"/>
      <c r="F59" s="3" t="s">
        <v>1779</v>
      </c>
      <c r="G59" s="3" t="s">
        <v>1775</v>
      </c>
      <c r="H59" s="8" t="s">
        <v>1781</v>
      </c>
      <c r="I59" s="9" t="s">
        <v>6</v>
      </c>
      <c r="J59" s="8"/>
      <c r="K59" s="248">
        <v>4501.2700000000004</v>
      </c>
    </row>
    <row r="60" spans="1:11" s="23" customFormat="1" ht="27" customHeight="1">
      <c r="A60" s="18"/>
      <c r="B60" s="3">
        <v>2022</v>
      </c>
      <c r="C60" s="3" t="s">
        <v>176</v>
      </c>
      <c r="D60" s="4">
        <v>44862</v>
      </c>
      <c r="E60" s="4"/>
      <c r="F60" s="3" t="s">
        <v>1780</v>
      </c>
      <c r="G60" s="3" t="s">
        <v>1776</v>
      </c>
      <c r="H60" s="8" t="s">
        <v>1782</v>
      </c>
      <c r="I60" s="9" t="s">
        <v>6</v>
      </c>
      <c r="J60" s="8"/>
      <c r="K60" s="248">
        <v>4767.7</v>
      </c>
    </row>
    <row r="61" spans="1:11" s="23" customFormat="1" ht="27" customHeight="1">
      <c r="A61" s="18"/>
      <c r="B61" s="3">
        <v>2022</v>
      </c>
      <c r="C61" s="3" t="s">
        <v>176</v>
      </c>
      <c r="D61" s="4">
        <v>44862</v>
      </c>
      <c r="E61" s="4"/>
      <c r="F61" s="3" t="s">
        <v>1780</v>
      </c>
      <c r="G61" s="3" t="s">
        <v>1777</v>
      </c>
      <c r="H61" s="8" t="s">
        <v>1783</v>
      </c>
      <c r="I61" s="9" t="s">
        <v>6</v>
      </c>
      <c r="J61" s="8"/>
      <c r="K61" s="248">
        <v>989.05</v>
      </c>
    </row>
    <row r="62" spans="1:11" s="23" customFormat="1" ht="27" customHeight="1">
      <c r="A62" s="18"/>
      <c r="B62" s="3">
        <v>2022</v>
      </c>
      <c r="C62" s="3" t="s">
        <v>176</v>
      </c>
      <c r="D62" s="4">
        <v>44862</v>
      </c>
      <c r="E62" s="4"/>
      <c r="F62" s="3" t="s">
        <v>2888</v>
      </c>
      <c r="G62" s="3" t="s">
        <v>1778</v>
      </c>
      <c r="H62" s="8" t="s">
        <v>1784</v>
      </c>
      <c r="I62" s="9" t="s">
        <v>6</v>
      </c>
      <c r="J62" s="8"/>
      <c r="K62" s="248">
        <v>4954.67</v>
      </c>
    </row>
    <row r="63" spans="1:11" s="23" customFormat="1" ht="27" customHeight="1">
      <c r="A63" s="18"/>
      <c r="B63" s="3">
        <v>2022</v>
      </c>
      <c r="C63" s="3" t="s">
        <v>176</v>
      </c>
      <c r="D63" s="4">
        <v>44862</v>
      </c>
      <c r="E63" s="4"/>
      <c r="F63" s="3" t="s">
        <v>1786</v>
      </c>
      <c r="G63" s="3" t="s">
        <v>1785</v>
      </c>
      <c r="H63" s="8" t="s">
        <v>1790</v>
      </c>
      <c r="I63" s="9" t="s">
        <v>6</v>
      </c>
      <c r="J63" s="8"/>
      <c r="K63" s="248">
        <v>13312.15</v>
      </c>
    </row>
    <row r="64" spans="1:11" s="23" customFormat="1" ht="27" customHeight="1">
      <c r="A64" s="18"/>
      <c r="B64" s="3">
        <v>2022</v>
      </c>
      <c r="C64" s="3" t="s">
        <v>176</v>
      </c>
      <c r="D64" s="4">
        <v>44862</v>
      </c>
      <c r="E64" s="4"/>
      <c r="F64" s="3" t="s">
        <v>1788</v>
      </c>
      <c r="G64" s="3" t="s">
        <v>1787</v>
      </c>
      <c r="H64" s="8" t="s">
        <v>1789</v>
      </c>
      <c r="I64" s="9" t="s">
        <v>6</v>
      </c>
      <c r="J64" s="8"/>
      <c r="K64" s="248">
        <v>5435.27</v>
      </c>
    </row>
    <row r="65" spans="1:11" s="23" customFormat="1" ht="27" customHeight="1">
      <c r="A65" s="18"/>
      <c r="B65" s="3">
        <v>2022</v>
      </c>
      <c r="C65" s="3" t="s">
        <v>176</v>
      </c>
      <c r="D65" s="4">
        <v>44862</v>
      </c>
      <c r="E65" s="4"/>
      <c r="F65" s="3" t="s">
        <v>1791</v>
      </c>
      <c r="G65" s="3" t="s">
        <v>1792</v>
      </c>
      <c r="H65" s="8" t="s">
        <v>3290</v>
      </c>
      <c r="I65" s="9" t="s">
        <v>6</v>
      </c>
      <c r="J65" s="8"/>
      <c r="K65" s="248">
        <v>2803.41</v>
      </c>
    </row>
    <row r="66" spans="1:11" s="23" customFormat="1" ht="27" customHeight="1">
      <c r="A66" s="18"/>
      <c r="B66" s="3">
        <v>2022</v>
      </c>
      <c r="C66" s="3" t="s">
        <v>176</v>
      </c>
      <c r="D66" s="4">
        <v>44862</v>
      </c>
      <c r="E66" s="4"/>
      <c r="F66" s="3" t="s">
        <v>665</v>
      </c>
      <c r="G66" s="3" t="s">
        <v>1793</v>
      </c>
      <c r="H66" s="8" t="s">
        <v>3291</v>
      </c>
      <c r="I66" s="9" t="s">
        <v>6</v>
      </c>
      <c r="J66" s="8"/>
      <c r="K66" s="248">
        <v>1869.69</v>
      </c>
    </row>
    <row r="67" spans="1:11" s="23" customFormat="1" ht="27" customHeight="1">
      <c r="A67" s="18"/>
      <c r="B67" s="3">
        <v>2022</v>
      </c>
      <c r="C67" s="3" t="s">
        <v>176</v>
      </c>
      <c r="D67" s="4">
        <v>44862</v>
      </c>
      <c r="E67" s="4"/>
      <c r="F67" s="3" t="s">
        <v>3263</v>
      </c>
      <c r="G67" s="3" t="s">
        <v>1798</v>
      </c>
      <c r="H67" s="8" t="s">
        <v>1620</v>
      </c>
      <c r="I67" s="9" t="s">
        <v>6</v>
      </c>
      <c r="J67" s="8"/>
      <c r="K67" s="248">
        <v>1492.64</v>
      </c>
    </row>
    <row r="68" spans="1:11" s="23" customFormat="1" ht="27" customHeight="1">
      <c r="A68" s="18"/>
      <c r="B68" s="3">
        <v>2022</v>
      </c>
      <c r="C68" s="3" t="s">
        <v>176</v>
      </c>
      <c r="D68" s="4">
        <v>44862</v>
      </c>
      <c r="E68" s="4"/>
      <c r="F68" s="3" t="s">
        <v>1780</v>
      </c>
      <c r="G68" s="3" t="s">
        <v>1799</v>
      </c>
      <c r="H68" s="8" t="s">
        <v>3292</v>
      </c>
      <c r="I68" s="9" t="s">
        <v>6</v>
      </c>
      <c r="J68" s="8"/>
      <c r="K68" s="248">
        <v>4010.48</v>
      </c>
    </row>
    <row r="69" spans="1:11" s="23" customFormat="1" ht="27" customHeight="1">
      <c r="A69" s="18"/>
      <c r="B69" s="3">
        <v>2022</v>
      </c>
      <c r="C69" s="3" t="s">
        <v>176</v>
      </c>
      <c r="D69" s="4">
        <v>44862</v>
      </c>
      <c r="E69" s="4"/>
      <c r="F69" s="3" t="s">
        <v>1809</v>
      </c>
      <c r="G69" s="3" t="s">
        <v>1805</v>
      </c>
      <c r="H69" s="8" t="s">
        <v>1811</v>
      </c>
      <c r="I69" s="9" t="s">
        <v>6</v>
      </c>
      <c r="J69" s="8"/>
      <c r="K69" s="248">
        <v>1976.92</v>
      </c>
    </row>
    <row r="70" spans="1:11" s="23" customFormat="1" ht="27" customHeight="1">
      <c r="A70" s="18"/>
      <c r="B70" s="3">
        <v>2022</v>
      </c>
      <c r="C70" s="3" t="s">
        <v>176</v>
      </c>
      <c r="D70" s="4">
        <v>44862</v>
      </c>
      <c r="E70" s="4"/>
      <c r="F70" s="3" t="s">
        <v>1810</v>
      </c>
      <c r="G70" s="3" t="s">
        <v>1806</v>
      </c>
      <c r="H70" s="8" t="s">
        <v>1812</v>
      </c>
      <c r="I70" s="9" t="s">
        <v>6</v>
      </c>
      <c r="J70" s="8"/>
      <c r="K70" s="248">
        <v>883.84</v>
      </c>
    </row>
    <row r="71" spans="1:11" s="23" customFormat="1" ht="27" customHeight="1">
      <c r="A71" s="18"/>
      <c r="B71" s="3">
        <v>2022</v>
      </c>
      <c r="C71" s="3" t="s">
        <v>176</v>
      </c>
      <c r="D71" s="4">
        <v>44862</v>
      </c>
      <c r="E71" s="4"/>
      <c r="F71" s="3" t="s">
        <v>1810</v>
      </c>
      <c r="G71" s="3" t="s">
        <v>1807</v>
      </c>
      <c r="H71" s="8" t="s">
        <v>1813</v>
      </c>
      <c r="I71" s="9" t="s">
        <v>6</v>
      </c>
      <c r="J71" s="8"/>
      <c r="K71" s="248">
        <v>1269.18</v>
      </c>
    </row>
    <row r="72" spans="1:11" s="23" customFormat="1" ht="27" customHeight="1">
      <c r="A72" s="18"/>
      <c r="B72" s="3">
        <v>2022</v>
      </c>
      <c r="C72" s="3" t="s">
        <v>176</v>
      </c>
      <c r="D72" s="4">
        <v>44862</v>
      </c>
      <c r="E72" s="4"/>
      <c r="F72" s="3" t="s">
        <v>3293</v>
      </c>
      <c r="G72" s="3" t="s">
        <v>1808</v>
      </c>
      <c r="H72" s="8" t="s">
        <v>1814</v>
      </c>
      <c r="I72" s="9" t="s">
        <v>6</v>
      </c>
      <c r="J72" s="8"/>
      <c r="K72" s="248">
        <v>4772.8500000000004</v>
      </c>
    </row>
    <row r="73" spans="1:11" s="23" customFormat="1" ht="27" customHeight="1">
      <c r="A73" s="18"/>
      <c r="B73" s="3">
        <v>2022</v>
      </c>
      <c r="C73" s="3" t="s">
        <v>176</v>
      </c>
      <c r="D73" s="4">
        <v>44862</v>
      </c>
      <c r="E73" s="4"/>
      <c r="F73" s="3" t="s">
        <v>1817</v>
      </c>
      <c r="G73" s="3" t="s">
        <v>1818</v>
      </c>
      <c r="H73" s="8" t="s">
        <v>1819</v>
      </c>
      <c r="I73" s="9" t="s">
        <v>6</v>
      </c>
      <c r="J73" s="8"/>
      <c r="K73" s="248">
        <v>3006.17</v>
      </c>
    </row>
    <row r="74" spans="1:11" s="23" customFormat="1" ht="27" customHeight="1">
      <c r="A74" s="18"/>
      <c r="B74" s="3">
        <v>2022</v>
      </c>
      <c r="C74" s="3" t="s">
        <v>176</v>
      </c>
      <c r="D74" s="4">
        <v>44862</v>
      </c>
      <c r="E74" s="4"/>
      <c r="F74" s="3" t="s">
        <v>1746</v>
      </c>
      <c r="G74" s="3" t="s">
        <v>1820</v>
      </c>
      <c r="H74" s="8" t="s">
        <v>1821</v>
      </c>
      <c r="I74" s="9" t="s">
        <v>6</v>
      </c>
      <c r="J74" s="8"/>
      <c r="K74" s="248">
        <v>10520.82</v>
      </c>
    </row>
    <row r="75" spans="1:11" s="23" customFormat="1" ht="27" customHeight="1">
      <c r="A75" s="18"/>
      <c r="B75" s="3">
        <v>2023</v>
      </c>
      <c r="C75" s="3" t="s">
        <v>176</v>
      </c>
      <c r="D75" s="4">
        <v>44862</v>
      </c>
      <c r="E75" s="4"/>
      <c r="F75" s="3" t="s">
        <v>774</v>
      </c>
      <c r="G75" s="3" t="s">
        <v>1826</v>
      </c>
      <c r="H75" s="8" t="s">
        <v>3294</v>
      </c>
      <c r="I75" s="9" t="s">
        <v>6</v>
      </c>
      <c r="J75" s="8"/>
      <c r="K75" s="248">
        <v>3121.25</v>
      </c>
    </row>
    <row r="76" spans="1:11" s="23" customFormat="1" ht="27" customHeight="1">
      <c r="A76" s="18"/>
      <c r="B76" s="3">
        <v>2023</v>
      </c>
      <c r="C76" s="3" t="s">
        <v>176</v>
      </c>
      <c r="D76" s="4">
        <v>44862</v>
      </c>
      <c r="E76" s="4"/>
      <c r="F76" s="3" t="s">
        <v>1831</v>
      </c>
      <c r="G76" s="3" t="s">
        <v>1832</v>
      </c>
      <c r="H76" s="8" t="s">
        <v>1834</v>
      </c>
      <c r="I76" s="9" t="s">
        <v>6</v>
      </c>
      <c r="J76" s="8"/>
      <c r="K76" s="248">
        <v>1929.5</v>
      </c>
    </row>
    <row r="77" spans="1:11" s="23" customFormat="1" ht="27" customHeight="1">
      <c r="A77" s="18"/>
      <c r="B77" s="3">
        <v>2023</v>
      </c>
      <c r="C77" s="3" t="s">
        <v>176</v>
      </c>
      <c r="D77" s="4">
        <v>44862</v>
      </c>
      <c r="E77" s="4"/>
      <c r="F77" s="3" t="s">
        <v>479</v>
      </c>
      <c r="G77" s="3" t="s">
        <v>1833</v>
      </c>
      <c r="H77" s="8" t="s">
        <v>1835</v>
      </c>
      <c r="I77" s="9" t="s">
        <v>6</v>
      </c>
      <c r="J77" s="8"/>
      <c r="K77" s="248">
        <v>7245.07</v>
      </c>
    </row>
    <row r="78" spans="1:11" s="23" customFormat="1" ht="27" customHeight="1">
      <c r="A78" s="18"/>
      <c r="B78" s="3">
        <v>2023</v>
      </c>
      <c r="C78" s="3" t="s">
        <v>176</v>
      </c>
      <c r="D78" s="4">
        <v>44862</v>
      </c>
      <c r="E78" s="4"/>
      <c r="F78" s="3" t="s">
        <v>1746</v>
      </c>
      <c r="G78" s="3" t="s">
        <v>1836</v>
      </c>
      <c r="H78" s="8" t="s">
        <v>1837</v>
      </c>
      <c r="I78" s="9" t="s">
        <v>6</v>
      </c>
      <c r="J78" s="8"/>
      <c r="K78" s="248">
        <v>5128.6099999999997</v>
      </c>
    </row>
    <row r="79" spans="1:11" s="23" customFormat="1" ht="27" customHeight="1">
      <c r="A79" s="18"/>
      <c r="B79" s="3">
        <v>2023</v>
      </c>
      <c r="C79" s="3" t="s">
        <v>176</v>
      </c>
      <c r="D79" s="4">
        <v>44862</v>
      </c>
      <c r="E79" s="4"/>
      <c r="F79" s="3" t="s">
        <v>1849</v>
      </c>
      <c r="G79" s="3" t="s">
        <v>1850</v>
      </c>
      <c r="H79" s="8" t="s">
        <v>1851</v>
      </c>
      <c r="I79" s="9" t="s">
        <v>6</v>
      </c>
      <c r="J79" s="8"/>
      <c r="K79" s="248">
        <v>6772.16</v>
      </c>
    </row>
    <row r="80" spans="1:11" s="23" customFormat="1" ht="27" customHeight="1">
      <c r="A80" s="18"/>
      <c r="B80" s="3">
        <v>2023</v>
      </c>
      <c r="C80" s="3" t="s">
        <v>176</v>
      </c>
      <c r="D80" s="4">
        <v>44862</v>
      </c>
      <c r="E80" s="4"/>
      <c r="F80" s="3" t="s">
        <v>1852</v>
      </c>
      <c r="G80" s="3" t="s">
        <v>1853</v>
      </c>
      <c r="H80" s="8" t="s">
        <v>1854</v>
      </c>
      <c r="I80" s="9" t="s">
        <v>6</v>
      </c>
      <c r="J80" s="8"/>
      <c r="K80" s="248">
        <v>1097.17</v>
      </c>
    </row>
    <row r="81" spans="1:11" s="23" customFormat="1" ht="27" customHeight="1">
      <c r="A81" s="18"/>
      <c r="B81" s="3">
        <v>2023</v>
      </c>
      <c r="C81" s="3" t="s">
        <v>176</v>
      </c>
      <c r="D81" s="4">
        <v>44862</v>
      </c>
      <c r="E81" s="4"/>
      <c r="F81" s="3" t="s">
        <v>1788</v>
      </c>
      <c r="G81" s="3" t="s">
        <v>1856</v>
      </c>
      <c r="H81" s="8" t="s">
        <v>1864</v>
      </c>
      <c r="I81" s="9" t="s">
        <v>6</v>
      </c>
      <c r="J81" s="8"/>
      <c r="K81" s="248">
        <v>1722.37</v>
      </c>
    </row>
    <row r="82" spans="1:11" s="23" customFormat="1" ht="27" customHeight="1">
      <c r="A82" s="18"/>
      <c r="B82" s="3">
        <v>2023</v>
      </c>
      <c r="C82" s="3" t="s">
        <v>176</v>
      </c>
      <c r="D82" s="4">
        <v>44862</v>
      </c>
      <c r="E82" s="4"/>
      <c r="F82" s="3" t="s">
        <v>1788</v>
      </c>
      <c r="G82" s="3" t="s">
        <v>1857</v>
      </c>
      <c r="H82" s="8" t="s">
        <v>1865</v>
      </c>
      <c r="I82" s="9" t="s">
        <v>6</v>
      </c>
      <c r="J82" s="8"/>
      <c r="K82" s="248">
        <v>13069.51</v>
      </c>
    </row>
    <row r="83" spans="1:11" s="23" customFormat="1" ht="27" customHeight="1">
      <c r="A83" s="18"/>
      <c r="B83" s="3">
        <v>2023</v>
      </c>
      <c r="C83" s="3" t="s">
        <v>176</v>
      </c>
      <c r="D83" s="4">
        <v>44862</v>
      </c>
      <c r="E83" s="4"/>
      <c r="F83" s="3" t="s">
        <v>1788</v>
      </c>
      <c r="G83" s="3" t="s">
        <v>1858</v>
      </c>
      <c r="H83" s="8" t="s">
        <v>1866</v>
      </c>
      <c r="I83" s="9" t="s">
        <v>6</v>
      </c>
      <c r="J83" s="8"/>
      <c r="K83" s="248">
        <v>2186.77</v>
      </c>
    </row>
    <row r="84" spans="1:11" s="23" customFormat="1" ht="27" customHeight="1">
      <c r="A84" s="18"/>
      <c r="B84" s="3">
        <v>2023</v>
      </c>
      <c r="C84" s="3" t="s">
        <v>176</v>
      </c>
      <c r="D84" s="4">
        <v>44862</v>
      </c>
      <c r="E84" s="4"/>
      <c r="F84" s="3" t="s">
        <v>1788</v>
      </c>
      <c r="G84" s="3" t="s">
        <v>1859</v>
      </c>
      <c r="H84" s="8" t="s">
        <v>1867</v>
      </c>
      <c r="I84" s="9" t="s">
        <v>6</v>
      </c>
      <c r="J84" s="8"/>
      <c r="K84" s="248">
        <v>387.23</v>
      </c>
    </row>
    <row r="85" spans="1:11" s="23" customFormat="1" ht="27" customHeight="1">
      <c r="A85" s="18"/>
      <c r="B85" s="3">
        <v>2023</v>
      </c>
      <c r="C85" s="3" t="s">
        <v>176</v>
      </c>
      <c r="D85" s="4">
        <v>44862</v>
      </c>
      <c r="E85" s="4"/>
      <c r="F85" s="3" t="s">
        <v>1788</v>
      </c>
      <c r="G85" s="3" t="s">
        <v>1860</v>
      </c>
      <c r="H85" s="8" t="s">
        <v>1868</v>
      </c>
      <c r="I85" s="9" t="s">
        <v>6</v>
      </c>
      <c r="J85" s="8"/>
      <c r="K85" s="248">
        <v>375.31</v>
      </c>
    </row>
    <row r="86" spans="1:11" s="23" customFormat="1" ht="27" customHeight="1">
      <c r="A86" s="18"/>
      <c r="B86" s="3">
        <v>2023</v>
      </c>
      <c r="C86" s="3" t="s">
        <v>176</v>
      </c>
      <c r="D86" s="4">
        <v>44862</v>
      </c>
      <c r="E86" s="4"/>
      <c r="F86" s="3" t="s">
        <v>1788</v>
      </c>
      <c r="G86" s="3" t="s">
        <v>1861</v>
      </c>
      <c r="H86" s="8" t="s">
        <v>1869</v>
      </c>
      <c r="I86" s="9" t="s">
        <v>6</v>
      </c>
      <c r="J86" s="8"/>
      <c r="K86" s="248">
        <v>3641.08</v>
      </c>
    </row>
    <row r="87" spans="1:11" s="23" customFormat="1" ht="27" customHeight="1">
      <c r="A87" s="18"/>
      <c r="B87" s="3">
        <v>2023</v>
      </c>
      <c r="C87" s="3" t="s">
        <v>176</v>
      </c>
      <c r="D87" s="4">
        <v>44862</v>
      </c>
      <c r="E87" s="4"/>
      <c r="F87" s="3" t="s">
        <v>1788</v>
      </c>
      <c r="G87" s="3" t="s">
        <v>1862</v>
      </c>
      <c r="H87" s="8" t="s">
        <v>1870</v>
      </c>
      <c r="I87" s="9" t="s">
        <v>6</v>
      </c>
      <c r="J87" s="8"/>
      <c r="K87" s="248">
        <v>738.89</v>
      </c>
    </row>
    <row r="88" spans="1:11" s="23" customFormat="1" ht="27" customHeight="1">
      <c r="A88" s="18"/>
      <c r="B88" s="3">
        <v>2023</v>
      </c>
      <c r="C88" s="3" t="s">
        <v>176</v>
      </c>
      <c r="D88" s="4">
        <v>44862</v>
      </c>
      <c r="E88" s="4"/>
      <c r="F88" s="3" t="s">
        <v>1788</v>
      </c>
      <c r="G88" s="3" t="s">
        <v>1863</v>
      </c>
      <c r="H88" s="8" t="s">
        <v>1871</v>
      </c>
      <c r="I88" s="9" t="s">
        <v>6</v>
      </c>
      <c r="J88" s="8"/>
      <c r="K88" s="248">
        <v>1882.21</v>
      </c>
    </row>
    <row r="89" spans="1:11" s="23" customFormat="1" ht="27" customHeight="1">
      <c r="A89" s="18"/>
      <c r="B89" s="3">
        <v>2023</v>
      </c>
      <c r="C89" s="3" t="s">
        <v>176</v>
      </c>
      <c r="D89" s="4">
        <v>44862</v>
      </c>
      <c r="E89" s="4"/>
      <c r="F89" s="3" t="s">
        <v>1788</v>
      </c>
      <c r="G89" s="3" t="s">
        <v>1872</v>
      </c>
      <c r="H89" s="8" t="s">
        <v>3295</v>
      </c>
      <c r="I89" s="9" t="s">
        <v>6</v>
      </c>
      <c r="J89" s="8"/>
      <c r="K89" s="248">
        <v>1740.64</v>
      </c>
    </row>
    <row r="90" spans="1:11" s="23" customFormat="1" ht="27" customHeight="1">
      <c r="A90" s="18"/>
      <c r="B90" s="3">
        <v>2023</v>
      </c>
      <c r="C90" s="3" t="s">
        <v>176</v>
      </c>
      <c r="D90" s="4">
        <v>44862</v>
      </c>
      <c r="E90" s="4"/>
      <c r="F90" s="3" t="s">
        <v>1112</v>
      </c>
      <c r="G90" s="3" t="s">
        <v>1902</v>
      </c>
      <c r="H90" s="8" t="s">
        <v>1903</v>
      </c>
      <c r="I90" s="9" t="s">
        <v>6</v>
      </c>
      <c r="J90" s="8"/>
      <c r="K90" s="248">
        <v>3026.67</v>
      </c>
    </row>
    <row r="91" spans="1:11" s="23" customFormat="1" ht="27" customHeight="1">
      <c r="A91" s="18"/>
      <c r="B91" s="3">
        <v>2023</v>
      </c>
      <c r="C91" s="3" t="s">
        <v>176</v>
      </c>
      <c r="D91" s="4">
        <v>44862</v>
      </c>
      <c r="E91" s="4"/>
      <c r="F91" s="3" t="s">
        <v>1788</v>
      </c>
      <c r="G91" s="3" t="s">
        <v>1925</v>
      </c>
      <c r="H91" s="8" t="s">
        <v>1928</v>
      </c>
      <c r="I91" s="9" t="s">
        <v>6</v>
      </c>
      <c r="J91" s="8"/>
      <c r="K91" s="248">
        <v>1545.06</v>
      </c>
    </row>
    <row r="92" spans="1:11" s="23" customFormat="1" ht="27" customHeight="1">
      <c r="A92" s="18"/>
      <c r="B92" s="3">
        <v>2023</v>
      </c>
      <c r="C92" s="3" t="s">
        <v>176</v>
      </c>
      <c r="D92" s="4">
        <v>44862</v>
      </c>
      <c r="E92" s="4"/>
      <c r="F92" s="3" t="s">
        <v>1788</v>
      </c>
      <c r="G92" s="3" t="s">
        <v>1926</v>
      </c>
      <c r="H92" s="8" t="s">
        <v>1930</v>
      </c>
      <c r="I92" s="9" t="s">
        <v>6</v>
      </c>
      <c r="J92" s="8"/>
      <c r="K92" s="248">
        <v>16862.25</v>
      </c>
    </row>
    <row r="93" spans="1:11" s="23" customFormat="1" ht="27" customHeight="1">
      <c r="A93" s="18"/>
      <c r="B93" s="3">
        <v>2023</v>
      </c>
      <c r="C93" s="3" t="s">
        <v>176</v>
      </c>
      <c r="D93" s="4">
        <v>44862</v>
      </c>
      <c r="E93" s="4"/>
      <c r="F93" s="3" t="s">
        <v>1931</v>
      </c>
      <c r="G93" s="3" t="s">
        <v>1927</v>
      </c>
      <c r="H93" s="8" t="s">
        <v>1929</v>
      </c>
      <c r="I93" s="9" t="s">
        <v>6</v>
      </c>
      <c r="J93" s="8"/>
      <c r="K93" s="248" t="s">
        <v>1932</v>
      </c>
    </row>
    <row r="94" spans="1:11" s="23" customFormat="1" ht="27" customHeight="1">
      <c r="A94" s="18"/>
      <c r="B94" s="3">
        <v>2023</v>
      </c>
      <c r="C94" s="3" t="s">
        <v>176</v>
      </c>
      <c r="D94" s="4">
        <v>44862</v>
      </c>
      <c r="E94" s="4"/>
      <c r="F94" s="3" t="s">
        <v>1933</v>
      </c>
      <c r="G94" s="3" t="s">
        <v>1934</v>
      </c>
      <c r="H94" s="8" t="s">
        <v>1935</v>
      </c>
      <c r="I94" s="9" t="s">
        <v>6</v>
      </c>
      <c r="J94" s="8"/>
      <c r="K94" s="248">
        <v>1458.11</v>
      </c>
    </row>
    <row r="95" spans="1:11" s="23" customFormat="1" ht="27" customHeight="1">
      <c r="A95" s="18"/>
      <c r="B95" s="3">
        <v>2023</v>
      </c>
      <c r="C95" s="3" t="s">
        <v>176</v>
      </c>
      <c r="D95" s="4">
        <v>44862</v>
      </c>
      <c r="E95" s="4"/>
      <c r="F95" s="3" t="s">
        <v>1936</v>
      </c>
      <c r="G95" s="3" t="s">
        <v>1937</v>
      </c>
      <c r="H95" s="8" t="s">
        <v>3296</v>
      </c>
      <c r="I95" s="9" t="s">
        <v>6</v>
      </c>
      <c r="J95" s="8"/>
      <c r="K95" s="248">
        <v>235.29</v>
      </c>
    </row>
    <row r="96" spans="1:11" s="23" customFormat="1" ht="27" customHeight="1">
      <c r="A96" s="18"/>
      <c r="B96" s="3">
        <v>2023</v>
      </c>
      <c r="C96" s="3" t="s">
        <v>176</v>
      </c>
      <c r="D96" s="4">
        <v>44862</v>
      </c>
      <c r="E96" s="4"/>
      <c r="F96" s="3" t="s">
        <v>1849</v>
      </c>
      <c r="G96" s="3" t="s">
        <v>1938</v>
      </c>
      <c r="H96" s="8" t="s">
        <v>1939</v>
      </c>
      <c r="I96" s="9" t="s">
        <v>6</v>
      </c>
      <c r="J96" s="8"/>
      <c r="K96" s="248">
        <v>2352.88</v>
      </c>
    </row>
    <row r="97" spans="1:11" s="23" customFormat="1" ht="27" customHeight="1">
      <c r="A97" s="18"/>
      <c r="B97" s="3">
        <v>2023</v>
      </c>
      <c r="C97" s="3" t="s">
        <v>176</v>
      </c>
      <c r="D97" s="4">
        <v>44862</v>
      </c>
      <c r="E97" s="4"/>
      <c r="F97" s="3" t="s">
        <v>1660</v>
      </c>
      <c r="G97" s="3" t="s">
        <v>1946</v>
      </c>
      <c r="H97" s="8" t="s">
        <v>1948</v>
      </c>
      <c r="I97" s="9" t="s">
        <v>6</v>
      </c>
      <c r="J97" s="8"/>
      <c r="K97" s="248">
        <v>6470.4</v>
      </c>
    </row>
    <row r="98" spans="1:11" s="23" customFormat="1" ht="27" customHeight="1">
      <c r="A98" s="18"/>
      <c r="B98" s="3">
        <v>2023</v>
      </c>
      <c r="C98" s="3" t="s">
        <v>176</v>
      </c>
      <c r="D98" s="4">
        <v>44862</v>
      </c>
      <c r="E98" s="4"/>
      <c r="F98" s="3" t="s">
        <v>1660</v>
      </c>
      <c r="G98" s="3" t="s">
        <v>1947</v>
      </c>
      <c r="H98" s="8" t="s">
        <v>3297</v>
      </c>
      <c r="I98" s="9" t="s">
        <v>6</v>
      </c>
      <c r="J98" s="8"/>
      <c r="K98" s="248">
        <v>293.52</v>
      </c>
    </row>
    <row r="99" spans="1:11" s="23" customFormat="1" ht="27" customHeight="1">
      <c r="A99" s="18"/>
      <c r="B99" s="3">
        <v>2023</v>
      </c>
      <c r="C99" s="3" t="s">
        <v>176</v>
      </c>
      <c r="D99" s="4">
        <v>44862</v>
      </c>
      <c r="E99" s="4"/>
      <c r="F99" s="3" t="s">
        <v>719</v>
      </c>
      <c r="G99" s="3" t="s">
        <v>1970</v>
      </c>
      <c r="H99" s="8" t="s">
        <v>1974</v>
      </c>
      <c r="I99" s="9" t="s">
        <v>6</v>
      </c>
      <c r="J99" s="8"/>
      <c r="K99" s="248">
        <v>1733.26</v>
      </c>
    </row>
    <row r="100" spans="1:11" s="23" customFormat="1" ht="27" customHeight="1">
      <c r="A100" s="18"/>
      <c r="B100" s="3">
        <v>2023</v>
      </c>
      <c r="C100" s="3" t="s">
        <v>176</v>
      </c>
      <c r="D100" s="4">
        <v>44862</v>
      </c>
      <c r="E100" s="4"/>
      <c r="F100" s="3" t="s">
        <v>1746</v>
      </c>
      <c r="G100" s="3" t="s">
        <v>1971</v>
      </c>
      <c r="H100" s="8" t="s">
        <v>1975</v>
      </c>
      <c r="I100" s="9" t="s">
        <v>6</v>
      </c>
      <c r="J100" s="8"/>
      <c r="K100" s="248">
        <v>4564.24</v>
      </c>
    </row>
    <row r="101" spans="1:11" s="23" customFormat="1" ht="27" customHeight="1">
      <c r="A101" s="18"/>
      <c r="B101" s="3">
        <v>2023</v>
      </c>
      <c r="C101" s="3" t="s">
        <v>176</v>
      </c>
      <c r="D101" s="4">
        <v>44862</v>
      </c>
      <c r="E101" s="4"/>
      <c r="F101" s="3" t="s">
        <v>1973</v>
      </c>
      <c r="G101" s="3" t="s">
        <v>1972</v>
      </c>
      <c r="H101" s="8" t="s">
        <v>1976</v>
      </c>
      <c r="I101" s="9" t="s">
        <v>6</v>
      </c>
      <c r="J101" s="8"/>
      <c r="K101" s="248">
        <v>1432.16</v>
      </c>
    </row>
    <row r="102" spans="1:11" s="23" customFormat="1" ht="27" customHeight="1">
      <c r="A102" s="18"/>
      <c r="B102" s="3">
        <v>2023</v>
      </c>
      <c r="C102" s="3" t="s">
        <v>176</v>
      </c>
      <c r="D102" s="4">
        <v>44862</v>
      </c>
      <c r="E102" s="4"/>
      <c r="F102" s="3" t="s">
        <v>1977</v>
      </c>
      <c r="G102" s="3" t="s">
        <v>1978</v>
      </c>
      <c r="H102" s="8" t="s">
        <v>1979</v>
      </c>
      <c r="I102" s="9" t="s">
        <v>6</v>
      </c>
      <c r="J102" s="8"/>
      <c r="K102" s="248">
        <v>288.88</v>
      </c>
    </row>
    <row r="103" spans="1:11" s="23" customFormat="1" ht="27" customHeight="1">
      <c r="A103" s="18"/>
      <c r="B103" s="3">
        <v>2023</v>
      </c>
      <c r="C103" s="3" t="s">
        <v>176</v>
      </c>
      <c r="D103" s="4">
        <v>44862</v>
      </c>
      <c r="E103" s="4"/>
      <c r="F103" s="3" t="s">
        <v>1980</v>
      </c>
      <c r="G103" s="3" t="s">
        <v>1981</v>
      </c>
      <c r="H103" s="8" t="s">
        <v>1982</v>
      </c>
      <c r="I103" s="9" t="s">
        <v>6</v>
      </c>
      <c r="J103" s="8"/>
      <c r="K103" s="248">
        <v>1018.77</v>
      </c>
    </row>
    <row r="104" spans="1:11" s="23" customFormat="1" ht="27" customHeight="1">
      <c r="A104" s="18"/>
      <c r="B104" s="3">
        <v>2023</v>
      </c>
      <c r="C104" s="3" t="s">
        <v>176</v>
      </c>
      <c r="D104" s="4">
        <v>44862</v>
      </c>
      <c r="E104" s="4"/>
      <c r="F104" s="3" t="s">
        <v>1746</v>
      </c>
      <c r="G104" s="3" t="s">
        <v>1983</v>
      </c>
      <c r="H104" s="8" t="s">
        <v>1984</v>
      </c>
      <c r="I104" s="9" t="s">
        <v>6</v>
      </c>
      <c r="J104" s="8"/>
      <c r="K104" s="248">
        <v>6210.83</v>
      </c>
    </row>
    <row r="105" spans="1:11" s="23" customFormat="1" ht="27" customHeight="1">
      <c r="A105" s="18"/>
      <c r="B105" s="3">
        <v>2023</v>
      </c>
      <c r="C105" s="3" t="s">
        <v>176</v>
      </c>
      <c r="D105" s="4">
        <v>44862</v>
      </c>
      <c r="E105" s="4"/>
      <c r="F105" s="3" t="s">
        <v>3298</v>
      </c>
      <c r="G105" s="3" t="s">
        <v>1993</v>
      </c>
      <c r="H105" s="8" t="s">
        <v>1994</v>
      </c>
      <c r="I105" s="9" t="s">
        <v>6</v>
      </c>
      <c r="J105" s="8"/>
      <c r="K105" s="248">
        <v>669.05</v>
      </c>
    </row>
    <row r="106" spans="1:11" s="23" customFormat="1" ht="27" customHeight="1">
      <c r="A106" s="18"/>
      <c r="B106" s="3">
        <v>2023</v>
      </c>
      <c r="C106" s="3" t="s">
        <v>176</v>
      </c>
      <c r="D106" s="4">
        <v>44862</v>
      </c>
      <c r="E106" s="4"/>
      <c r="F106" s="3" t="s">
        <v>3298</v>
      </c>
      <c r="G106" s="3" t="s">
        <v>1995</v>
      </c>
      <c r="H106" s="8" t="s">
        <v>1998</v>
      </c>
      <c r="I106" s="9" t="s">
        <v>6</v>
      </c>
      <c r="J106" s="8"/>
      <c r="K106" s="248">
        <v>7083.97</v>
      </c>
    </row>
    <row r="107" spans="1:11" s="23" customFormat="1" ht="27" customHeight="1">
      <c r="A107" s="18"/>
      <c r="B107" s="3">
        <v>2023</v>
      </c>
      <c r="C107" s="3" t="s">
        <v>176</v>
      </c>
      <c r="D107" s="4">
        <v>44862</v>
      </c>
      <c r="E107" s="4"/>
      <c r="F107" s="3" t="s">
        <v>1810</v>
      </c>
      <c r="G107" s="3" t="s">
        <v>1996</v>
      </c>
      <c r="H107" s="8" t="s">
        <v>1999</v>
      </c>
      <c r="I107" s="9" t="s">
        <v>6</v>
      </c>
      <c r="J107" s="8"/>
      <c r="K107" s="248">
        <v>678.88</v>
      </c>
    </row>
    <row r="108" spans="1:11" s="23" customFormat="1" ht="27" customHeight="1">
      <c r="A108" s="18"/>
      <c r="B108" s="3">
        <v>2023</v>
      </c>
      <c r="C108" s="3" t="s">
        <v>176</v>
      </c>
      <c r="D108" s="4">
        <v>44862</v>
      </c>
      <c r="E108" s="4"/>
      <c r="F108" s="3" t="s">
        <v>1810</v>
      </c>
      <c r="G108" s="3" t="s">
        <v>1997</v>
      </c>
      <c r="H108" s="8" t="s">
        <v>2000</v>
      </c>
      <c r="I108" s="9" t="s">
        <v>6</v>
      </c>
      <c r="J108" s="8"/>
      <c r="K108" s="248">
        <v>14758.26</v>
      </c>
    </row>
    <row r="109" spans="1:11" s="23" customFormat="1" ht="27" customHeight="1">
      <c r="A109" s="18"/>
      <c r="B109" s="3">
        <v>2023</v>
      </c>
      <c r="C109" s="3" t="s">
        <v>176</v>
      </c>
      <c r="D109" s="4">
        <v>44862</v>
      </c>
      <c r="E109" s="4"/>
      <c r="F109" s="3" t="s">
        <v>1746</v>
      </c>
      <c r="G109" s="3" t="s">
        <v>2001</v>
      </c>
      <c r="H109" s="8" t="s">
        <v>2011</v>
      </c>
      <c r="I109" s="9" t="s">
        <v>6</v>
      </c>
      <c r="J109" s="8"/>
      <c r="K109" s="248">
        <v>644.45000000000005</v>
      </c>
    </row>
    <row r="110" spans="1:11" s="23" customFormat="1" ht="27" customHeight="1">
      <c r="A110" s="18"/>
      <c r="B110" s="3">
        <v>2023</v>
      </c>
      <c r="C110" s="3" t="s">
        <v>176</v>
      </c>
      <c r="D110" s="4">
        <v>44862</v>
      </c>
      <c r="E110" s="4"/>
      <c r="F110" s="3" t="s">
        <v>1746</v>
      </c>
      <c r="G110" s="3" t="s">
        <v>2002</v>
      </c>
      <c r="H110" s="8" t="s">
        <v>2012</v>
      </c>
      <c r="I110" s="9" t="s">
        <v>6</v>
      </c>
      <c r="J110" s="8"/>
      <c r="K110" s="248">
        <v>580.29999999999995</v>
      </c>
    </row>
    <row r="111" spans="1:11" s="23" customFormat="1" ht="27" customHeight="1">
      <c r="A111" s="18"/>
      <c r="B111" s="3">
        <v>2023</v>
      </c>
      <c r="C111" s="3" t="s">
        <v>176</v>
      </c>
      <c r="D111" s="4">
        <v>44862</v>
      </c>
      <c r="E111" s="4"/>
      <c r="F111" s="3" t="s">
        <v>1746</v>
      </c>
      <c r="G111" s="3" t="s">
        <v>2003</v>
      </c>
      <c r="H111" s="8" t="s">
        <v>2013</v>
      </c>
      <c r="I111" s="9" t="s">
        <v>6</v>
      </c>
      <c r="J111" s="8"/>
      <c r="K111" s="248">
        <v>3837.15</v>
      </c>
    </row>
    <row r="112" spans="1:11" s="23" customFormat="1" ht="27" customHeight="1">
      <c r="A112" s="18"/>
      <c r="B112" s="3">
        <v>2023</v>
      </c>
      <c r="C112" s="3" t="s">
        <v>176</v>
      </c>
      <c r="D112" s="4">
        <v>44862</v>
      </c>
      <c r="E112" s="4"/>
      <c r="F112" s="3" t="s">
        <v>1746</v>
      </c>
      <c r="G112" s="3" t="s">
        <v>2004</v>
      </c>
      <c r="H112" s="8" t="s">
        <v>2014</v>
      </c>
      <c r="I112" s="9" t="s">
        <v>6</v>
      </c>
      <c r="J112" s="8"/>
      <c r="K112" s="248">
        <v>466.17</v>
      </c>
    </row>
    <row r="113" spans="1:11" s="23" customFormat="1" ht="27" customHeight="1">
      <c r="A113" s="18"/>
      <c r="B113" s="3">
        <v>2023</v>
      </c>
      <c r="C113" s="3" t="s">
        <v>176</v>
      </c>
      <c r="D113" s="4">
        <v>44862</v>
      </c>
      <c r="E113" s="4"/>
      <c r="F113" s="3" t="s">
        <v>1746</v>
      </c>
      <c r="G113" s="3" t="s">
        <v>2005</v>
      </c>
      <c r="H113" s="8" t="s">
        <v>2015</v>
      </c>
      <c r="I113" s="9" t="s">
        <v>6</v>
      </c>
      <c r="J113" s="8"/>
      <c r="K113" s="248">
        <v>445.11</v>
      </c>
    </row>
    <row r="114" spans="1:11" s="23" customFormat="1" ht="27" customHeight="1">
      <c r="A114" s="18"/>
      <c r="B114" s="3">
        <v>2023</v>
      </c>
      <c r="C114" s="3" t="s">
        <v>176</v>
      </c>
      <c r="D114" s="4">
        <v>44862</v>
      </c>
      <c r="E114" s="4"/>
      <c r="F114" s="3" t="s">
        <v>1746</v>
      </c>
      <c r="G114" s="3" t="s">
        <v>2006</v>
      </c>
      <c r="H114" s="8" t="s">
        <v>2016</v>
      </c>
      <c r="I114" s="9" t="s">
        <v>6</v>
      </c>
      <c r="J114" s="8"/>
      <c r="K114" s="248">
        <v>2330.83</v>
      </c>
    </row>
    <row r="115" spans="1:11" s="23" customFormat="1" ht="27" customHeight="1">
      <c r="A115" s="18"/>
      <c r="B115" s="3">
        <v>2023</v>
      </c>
      <c r="C115" s="3" t="s">
        <v>176</v>
      </c>
      <c r="D115" s="4">
        <v>44862</v>
      </c>
      <c r="E115" s="4"/>
      <c r="F115" s="3" t="s">
        <v>1746</v>
      </c>
      <c r="G115" s="3" t="s">
        <v>2007</v>
      </c>
      <c r="H115" s="8" t="s">
        <v>2017</v>
      </c>
      <c r="I115" s="9" t="s">
        <v>6</v>
      </c>
      <c r="J115" s="8"/>
      <c r="K115" s="248">
        <v>2688.76</v>
      </c>
    </row>
    <row r="116" spans="1:11" s="23" customFormat="1" ht="27" customHeight="1">
      <c r="A116" s="18"/>
      <c r="B116" s="3">
        <v>2023</v>
      </c>
      <c r="C116" s="3" t="s">
        <v>176</v>
      </c>
      <c r="D116" s="4">
        <v>44862</v>
      </c>
      <c r="E116" s="4"/>
      <c r="F116" s="3" t="s">
        <v>1746</v>
      </c>
      <c r="G116" s="3" t="s">
        <v>2008</v>
      </c>
      <c r="H116" s="8" t="s">
        <v>2018</v>
      </c>
      <c r="I116" s="9" t="s">
        <v>6</v>
      </c>
      <c r="J116" s="8"/>
      <c r="K116" s="248">
        <v>735.56</v>
      </c>
    </row>
    <row r="117" spans="1:11" s="23" customFormat="1" ht="27" customHeight="1">
      <c r="A117" s="18"/>
      <c r="B117" s="3">
        <v>2023</v>
      </c>
      <c r="C117" s="3" t="s">
        <v>176</v>
      </c>
      <c r="D117" s="4">
        <v>44862</v>
      </c>
      <c r="E117" s="4"/>
      <c r="F117" s="3" t="s">
        <v>1746</v>
      </c>
      <c r="G117" s="3" t="s">
        <v>2009</v>
      </c>
      <c r="H117" s="8" t="s">
        <v>2019</v>
      </c>
      <c r="I117" s="9" t="s">
        <v>6</v>
      </c>
      <c r="J117" s="8"/>
      <c r="K117" s="248">
        <v>1992.37</v>
      </c>
    </row>
    <row r="118" spans="1:11" s="23" customFormat="1" ht="30" customHeight="1">
      <c r="A118" s="18"/>
      <c r="B118" s="3">
        <v>2023</v>
      </c>
      <c r="C118" s="3" t="s">
        <v>176</v>
      </c>
      <c r="D118" s="4">
        <v>44862</v>
      </c>
      <c r="E118" s="4"/>
      <c r="F118" s="3" t="s">
        <v>1746</v>
      </c>
      <c r="G118" s="3" t="s">
        <v>2010</v>
      </c>
      <c r="H118" s="8" t="s">
        <v>2020</v>
      </c>
      <c r="I118" s="9" t="s">
        <v>6</v>
      </c>
      <c r="J118" s="8"/>
      <c r="K118" s="248">
        <v>369.95</v>
      </c>
    </row>
    <row r="119" spans="1:11" s="23" customFormat="1" ht="30" customHeight="1">
      <c r="A119" s="18"/>
      <c r="B119" s="3">
        <v>2023</v>
      </c>
      <c r="C119" s="3" t="s">
        <v>176</v>
      </c>
      <c r="D119" s="4">
        <v>44862</v>
      </c>
      <c r="E119" s="4"/>
      <c r="F119" s="3" t="s">
        <v>1125</v>
      </c>
      <c r="G119" s="3" t="s">
        <v>2026</v>
      </c>
      <c r="H119" s="8" t="s">
        <v>2032</v>
      </c>
      <c r="I119" s="9" t="s">
        <v>6</v>
      </c>
      <c r="J119" s="8"/>
      <c r="K119" s="248">
        <v>3541.99</v>
      </c>
    </row>
    <row r="120" spans="1:11" s="23" customFormat="1" ht="30" customHeight="1">
      <c r="A120" s="18"/>
      <c r="B120" s="3">
        <v>2023</v>
      </c>
      <c r="C120" s="3" t="s">
        <v>176</v>
      </c>
      <c r="D120" s="4">
        <v>44862</v>
      </c>
      <c r="E120" s="4"/>
      <c r="F120" s="3" t="s">
        <v>719</v>
      </c>
      <c r="G120" s="3" t="s">
        <v>2027</v>
      </c>
      <c r="H120" s="8" t="s">
        <v>2033</v>
      </c>
      <c r="I120" s="9" t="s">
        <v>6</v>
      </c>
      <c r="J120" s="8"/>
      <c r="K120" s="248">
        <v>15000</v>
      </c>
    </row>
    <row r="121" spans="1:11" s="23" customFormat="1" ht="30" customHeight="1">
      <c r="A121" s="18"/>
      <c r="B121" s="3">
        <v>2023</v>
      </c>
      <c r="C121" s="3" t="s">
        <v>176</v>
      </c>
      <c r="D121" s="4">
        <v>44862</v>
      </c>
      <c r="E121" s="4"/>
      <c r="F121" s="3" t="s">
        <v>719</v>
      </c>
      <c r="G121" s="3" t="s">
        <v>2028</v>
      </c>
      <c r="H121" s="8" t="s">
        <v>2034</v>
      </c>
      <c r="I121" s="9" t="s">
        <v>6</v>
      </c>
      <c r="J121" s="8"/>
      <c r="K121" s="248">
        <v>12000</v>
      </c>
    </row>
    <row r="122" spans="1:11" s="23" customFormat="1" ht="30" customHeight="1">
      <c r="A122" s="18"/>
      <c r="B122" s="3">
        <v>2023</v>
      </c>
      <c r="C122" s="3" t="s">
        <v>176</v>
      </c>
      <c r="D122" s="4">
        <v>44862</v>
      </c>
      <c r="E122" s="4"/>
      <c r="F122" s="3" t="s">
        <v>1933</v>
      </c>
      <c r="G122" s="3" t="s">
        <v>2025</v>
      </c>
      <c r="H122" s="8" t="s">
        <v>2035</v>
      </c>
      <c r="I122" s="9" t="s">
        <v>6</v>
      </c>
      <c r="J122" s="8"/>
      <c r="K122" s="248">
        <v>1600</v>
      </c>
    </row>
    <row r="123" spans="1:11" s="23" customFormat="1" ht="30" customHeight="1">
      <c r="A123" s="18"/>
      <c r="B123" s="3">
        <v>2023</v>
      </c>
      <c r="C123" s="3" t="s">
        <v>176</v>
      </c>
      <c r="D123" s="4">
        <v>44862</v>
      </c>
      <c r="E123" s="4"/>
      <c r="F123" s="3" t="s">
        <v>1112</v>
      </c>
      <c r="G123" s="3" t="s">
        <v>2029</v>
      </c>
      <c r="H123" s="8" t="s">
        <v>2036</v>
      </c>
      <c r="I123" s="9" t="s">
        <v>6</v>
      </c>
      <c r="J123" s="8"/>
      <c r="K123" s="248">
        <v>2700</v>
      </c>
    </row>
    <row r="124" spans="1:11" s="23" customFormat="1" ht="30" customHeight="1">
      <c r="A124" s="18"/>
      <c r="B124" s="3">
        <v>2023</v>
      </c>
      <c r="C124" s="3" t="s">
        <v>176</v>
      </c>
      <c r="D124" s="4">
        <v>44862</v>
      </c>
      <c r="E124" s="4"/>
      <c r="F124" s="3" t="s">
        <v>1933</v>
      </c>
      <c r="G124" s="3" t="s">
        <v>2030</v>
      </c>
      <c r="H124" s="8" t="s">
        <v>3299</v>
      </c>
      <c r="I124" s="9" t="s">
        <v>6</v>
      </c>
      <c r="J124" s="8"/>
      <c r="K124" s="248">
        <v>650</v>
      </c>
    </row>
    <row r="125" spans="1:11" s="23" customFormat="1" ht="30" customHeight="1">
      <c r="A125" s="18"/>
      <c r="B125" s="3">
        <v>2023</v>
      </c>
      <c r="C125" s="3" t="s">
        <v>176</v>
      </c>
      <c r="D125" s="4">
        <v>44862</v>
      </c>
      <c r="E125" s="4"/>
      <c r="F125" s="3" t="s">
        <v>2038</v>
      </c>
      <c r="G125" s="3" t="s">
        <v>2031</v>
      </c>
      <c r="H125" s="8" t="s">
        <v>2037</v>
      </c>
      <c r="I125" s="9" t="s">
        <v>6</v>
      </c>
      <c r="J125" s="8"/>
      <c r="K125" s="248">
        <v>700</v>
      </c>
    </row>
    <row r="126" spans="1:11" s="23" customFormat="1" ht="30" customHeight="1">
      <c r="A126" s="18"/>
      <c r="B126" s="3">
        <v>2023</v>
      </c>
      <c r="C126" s="3" t="s">
        <v>176</v>
      </c>
      <c r="D126" s="4">
        <v>44862</v>
      </c>
      <c r="E126" s="4"/>
      <c r="F126" s="3" t="s">
        <v>475</v>
      </c>
      <c r="G126" s="3" t="s">
        <v>2040</v>
      </c>
      <c r="H126" s="8" t="s">
        <v>2041</v>
      </c>
      <c r="I126" s="9" t="s">
        <v>6</v>
      </c>
      <c r="J126" s="8"/>
      <c r="K126" s="248">
        <v>3568.64</v>
      </c>
    </row>
    <row r="127" spans="1:11" s="23" customFormat="1" ht="30" customHeight="1">
      <c r="A127" s="18"/>
      <c r="B127" s="3">
        <v>2023</v>
      </c>
      <c r="C127" s="3" t="s">
        <v>176</v>
      </c>
      <c r="D127" s="4">
        <v>44862</v>
      </c>
      <c r="E127" s="4"/>
      <c r="F127" s="3" t="s">
        <v>1980</v>
      </c>
      <c r="G127" s="3" t="s">
        <v>2046</v>
      </c>
      <c r="H127" s="8" t="s">
        <v>2047</v>
      </c>
      <c r="I127" s="9" t="s">
        <v>6</v>
      </c>
      <c r="J127" s="8"/>
      <c r="K127" s="248">
        <v>17965.28</v>
      </c>
    </row>
    <row r="128" spans="1:11" s="23" customFormat="1" ht="30" customHeight="1">
      <c r="A128" s="18"/>
      <c r="B128" s="3">
        <v>2023</v>
      </c>
      <c r="C128" s="3" t="s">
        <v>176</v>
      </c>
      <c r="D128" s="4">
        <v>44862</v>
      </c>
      <c r="E128" s="4"/>
      <c r="F128" s="3" t="s">
        <v>3298</v>
      </c>
      <c r="G128" s="3" t="s">
        <v>2048</v>
      </c>
      <c r="H128" s="8" t="s">
        <v>2050</v>
      </c>
      <c r="I128" s="9" t="s">
        <v>6</v>
      </c>
      <c r="J128" s="8"/>
      <c r="K128" s="248" t="s">
        <v>2052</v>
      </c>
    </row>
    <row r="129" spans="1:11" s="23" customFormat="1" ht="30" customHeight="1">
      <c r="A129" s="18"/>
      <c r="B129" s="3">
        <v>2023</v>
      </c>
      <c r="C129" s="3" t="s">
        <v>176</v>
      </c>
      <c r="D129" s="4">
        <v>44862</v>
      </c>
      <c r="E129" s="4"/>
      <c r="F129" s="3" t="s">
        <v>3298</v>
      </c>
      <c r="G129" s="3" t="s">
        <v>2049</v>
      </c>
      <c r="H129" s="8" t="s">
        <v>2051</v>
      </c>
      <c r="I129" s="9" t="s">
        <v>6</v>
      </c>
      <c r="J129" s="8"/>
      <c r="K129" s="248" t="s">
        <v>2053</v>
      </c>
    </row>
    <row r="130" spans="1:11" s="23" customFormat="1" ht="30" customHeight="1">
      <c r="A130" s="18"/>
      <c r="B130" s="3">
        <v>2023</v>
      </c>
      <c r="C130" s="3" t="s">
        <v>176</v>
      </c>
      <c r="D130" s="4">
        <v>44862</v>
      </c>
      <c r="E130" s="4"/>
      <c r="F130" s="3" t="s">
        <v>2063</v>
      </c>
      <c r="G130" s="3" t="s">
        <v>2064</v>
      </c>
      <c r="H130" s="8" t="s">
        <v>3300</v>
      </c>
      <c r="I130" s="9" t="s">
        <v>6</v>
      </c>
      <c r="J130" s="8"/>
      <c r="K130" s="248" t="s">
        <v>2065</v>
      </c>
    </row>
    <row r="131" spans="1:11" s="23" customFormat="1" ht="30" customHeight="1">
      <c r="A131" s="18"/>
      <c r="B131" s="3">
        <v>2023</v>
      </c>
      <c r="C131" s="3" t="s">
        <v>176</v>
      </c>
      <c r="D131" s="4">
        <v>44862</v>
      </c>
      <c r="E131" s="4"/>
      <c r="F131" s="3" t="s">
        <v>2072</v>
      </c>
      <c r="G131" s="3" t="s">
        <v>2069</v>
      </c>
      <c r="H131" s="8" t="s">
        <v>2073</v>
      </c>
      <c r="I131" s="9" t="s">
        <v>6</v>
      </c>
      <c r="J131" s="8"/>
      <c r="K131" s="248" t="s">
        <v>2076</v>
      </c>
    </row>
    <row r="132" spans="1:11" s="23" customFormat="1" ht="30" customHeight="1">
      <c r="A132" s="18"/>
      <c r="B132" s="3">
        <v>2023</v>
      </c>
      <c r="C132" s="3" t="s">
        <v>176</v>
      </c>
      <c r="D132" s="4">
        <v>44862</v>
      </c>
      <c r="E132" s="4"/>
      <c r="F132" s="3" t="s">
        <v>2072</v>
      </c>
      <c r="G132" s="3" t="s">
        <v>2070</v>
      </c>
      <c r="H132" s="8" t="s">
        <v>2074</v>
      </c>
      <c r="I132" s="9" t="s">
        <v>6</v>
      </c>
      <c r="J132" s="8"/>
      <c r="K132" s="248" t="s">
        <v>2077</v>
      </c>
    </row>
    <row r="133" spans="1:11" s="23" customFormat="1" ht="30" customHeight="1">
      <c r="A133" s="18"/>
      <c r="B133" s="3">
        <v>2023</v>
      </c>
      <c r="C133" s="3" t="s">
        <v>176</v>
      </c>
      <c r="D133" s="4">
        <v>44862</v>
      </c>
      <c r="E133" s="4"/>
      <c r="F133" s="3" t="s">
        <v>2072</v>
      </c>
      <c r="G133" s="3" t="s">
        <v>2071</v>
      </c>
      <c r="H133" s="8" t="s">
        <v>2075</v>
      </c>
      <c r="I133" s="9" t="s">
        <v>6</v>
      </c>
      <c r="J133" s="8"/>
      <c r="K133" s="248" t="s">
        <v>2078</v>
      </c>
    </row>
    <row r="134" spans="1:11" s="23" customFormat="1" ht="30" customHeight="1">
      <c r="A134" s="18"/>
      <c r="B134" s="3">
        <v>2023</v>
      </c>
      <c r="C134" s="3" t="s">
        <v>176</v>
      </c>
      <c r="D134" s="4">
        <v>44862</v>
      </c>
      <c r="E134" s="4"/>
      <c r="F134" s="3" t="s">
        <v>2079</v>
      </c>
      <c r="G134" s="3" t="s">
        <v>2080</v>
      </c>
      <c r="H134" s="8" t="s">
        <v>2081</v>
      </c>
      <c r="I134" s="9" t="s">
        <v>6</v>
      </c>
      <c r="J134" s="8"/>
      <c r="K134" s="248" t="s">
        <v>2082</v>
      </c>
    </row>
    <row r="135" spans="1:11" s="23" customFormat="1" ht="30" customHeight="1">
      <c r="A135" s="18"/>
      <c r="B135" s="3">
        <v>2023</v>
      </c>
      <c r="C135" s="3" t="s">
        <v>176</v>
      </c>
      <c r="D135" s="4">
        <v>44862</v>
      </c>
      <c r="E135" s="4"/>
      <c r="F135" s="3" t="s">
        <v>2089</v>
      </c>
      <c r="G135" s="3" t="s">
        <v>2090</v>
      </c>
      <c r="H135" s="8" t="s">
        <v>2088</v>
      </c>
      <c r="I135" s="9" t="s">
        <v>6</v>
      </c>
      <c r="J135" s="8"/>
      <c r="K135" s="248" t="s">
        <v>2091</v>
      </c>
    </row>
    <row r="136" spans="1:11" s="23" customFormat="1" ht="30" customHeight="1">
      <c r="A136" s="18"/>
      <c r="B136" s="3">
        <v>2023</v>
      </c>
      <c r="C136" s="3" t="s">
        <v>176</v>
      </c>
      <c r="D136" s="4">
        <v>44862</v>
      </c>
      <c r="E136" s="4"/>
      <c r="F136" s="3" t="s">
        <v>2092</v>
      </c>
      <c r="G136" s="3" t="s">
        <v>2093</v>
      </c>
      <c r="H136" s="8" t="s">
        <v>3301</v>
      </c>
      <c r="I136" s="9" t="s">
        <v>6</v>
      </c>
      <c r="J136" s="8"/>
      <c r="K136" s="248" t="s">
        <v>2094</v>
      </c>
    </row>
    <row r="137" spans="1:11" s="23" customFormat="1" ht="30" customHeight="1">
      <c r="A137" s="18"/>
      <c r="B137" s="3">
        <v>2023</v>
      </c>
      <c r="C137" s="3" t="s">
        <v>176</v>
      </c>
      <c r="D137" s="4">
        <v>44862</v>
      </c>
      <c r="E137" s="4"/>
      <c r="F137" s="3" t="s">
        <v>2098</v>
      </c>
      <c r="G137" s="3" t="s">
        <v>2099</v>
      </c>
      <c r="H137" s="8" t="s">
        <v>2101</v>
      </c>
      <c r="I137" s="9" t="s">
        <v>6</v>
      </c>
      <c r="J137" s="8"/>
      <c r="K137" s="248" t="s">
        <v>2103</v>
      </c>
    </row>
    <row r="138" spans="1:11" s="23" customFormat="1" ht="30" customHeight="1">
      <c r="A138" s="18"/>
      <c r="B138" s="3">
        <v>2023</v>
      </c>
      <c r="C138" s="3" t="s">
        <v>176</v>
      </c>
      <c r="D138" s="4">
        <v>44862</v>
      </c>
      <c r="E138" s="4"/>
      <c r="F138" s="3" t="s">
        <v>1641</v>
      </c>
      <c r="G138" s="3" t="s">
        <v>2100</v>
      </c>
      <c r="H138" s="8" t="s">
        <v>2102</v>
      </c>
      <c r="I138" s="9" t="s">
        <v>6</v>
      </c>
      <c r="J138" s="8"/>
      <c r="K138" s="248" t="s">
        <v>2104</v>
      </c>
    </row>
    <row r="139" spans="1:11" s="23" customFormat="1" ht="30" customHeight="1">
      <c r="A139" s="18"/>
      <c r="B139" s="3">
        <v>2023</v>
      </c>
      <c r="C139" s="3" t="s">
        <v>176</v>
      </c>
      <c r="D139" s="4">
        <v>44862</v>
      </c>
      <c r="E139" s="4"/>
      <c r="F139" s="3" t="s">
        <v>2072</v>
      </c>
      <c r="G139" s="3" t="s">
        <v>2105</v>
      </c>
      <c r="H139" s="8" t="s">
        <v>3302</v>
      </c>
      <c r="I139" s="9" t="s">
        <v>6</v>
      </c>
      <c r="J139" s="8"/>
      <c r="K139" s="248">
        <v>926.34</v>
      </c>
    </row>
    <row r="140" spans="1:11" s="23" customFormat="1" ht="30" customHeight="1">
      <c r="A140" s="18"/>
      <c r="B140" s="3">
        <v>2023</v>
      </c>
      <c r="C140" s="3" t="s">
        <v>176</v>
      </c>
      <c r="D140" s="4">
        <v>44862</v>
      </c>
      <c r="E140" s="4"/>
      <c r="F140" s="3" t="s">
        <v>1933</v>
      </c>
      <c r="G140" s="3" t="s">
        <v>2106</v>
      </c>
      <c r="H140" s="8" t="s">
        <v>3303</v>
      </c>
      <c r="I140" s="9" t="s">
        <v>6</v>
      </c>
      <c r="J140" s="8"/>
      <c r="K140" s="248" t="s">
        <v>2109</v>
      </c>
    </row>
    <row r="141" spans="1:11" s="23" customFormat="1" ht="30" customHeight="1">
      <c r="A141" s="18"/>
      <c r="B141" s="3">
        <v>2023</v>
      </c>
      <c r="C141" s="3" t="s">
        <v>176</v>
      </c>
      <c r="D141" s="4">
        <v>44862</v>
      </c>
      <c r="E141" s="4"/>
      <c r="F141" s="3" t="s">
        <v>2072</v>
      </c>
      <c r="G141" s="3" t="s">
        <v>2107</v>
      </c>
      <c r="H141" s="8" t="s">
        <v>2108</v>
      </c>
      <c r="I141" s="9" t="s">
        <v>6</v>
      </c>
      <c r="J141" s="8"/>
      <c r="K141" s="248" t="s">
        <v>2110</v>
      </c>
    </row>
    <row r="142" spans="1:11" s="23" customFormat="1" ht="30" customHeight="1">
      <c r="A142" s="18"/>
      <c r="B142" s="3">
        <v>2023</v>
      </c>
      <c r="C142" s="3" t="s">
        <v>176</v>
      </c>
      <c r="D142" s="4">
        <v>44862</v>
      </c>
      <c r="E142" s="4"/>
      <c r="F142" s="3" t="s">
        <v>2113</v>
      </c>
      <c r="G142" s="3" t="s">
        <v>2112</v>
      </c>
      <c r="H142" s="8" t="s">
        <v>2111</v>
      </c>
      <c r="I142" s="9" t="s">
        <v>6</v>
      </c>
      <c r="J142" s="8"/>
      <c r="K142" s="248" t="s">
        <v>2116</v>
      </c>
    </row>
    <row r="143" spans="1:11" s="23" customFormat="1" ht="30" customHeight="1">
      <c r="A143" s="18"/>
      <c r="B143" s="3">
        <v>2023</v>
      </c>
      <c r="C143" s="3" t="s">
        <v>176</v>
      </c>
      <c r="D143" s="4">
        <v>44862</v>
      </c>
      <c r="E143" s="4"/>
      <c r="F143" s="3" t="s">
        <v>2072</v>
      </c>
      <c r="G143" s="3" t="s">
        <v>2114</v>
      </c>
      <c r="H143" s="8" t="s">
        <v>2115</v>
      </c>
      <c r="I143" s="9" t="s">
        <v>6</v>
      </c>
      <c r="J143" s="8"/>
      <c r="K143" s="248" t="s">
        <v>2117</v>
      </c>
    </row>
    <row r="144" spans="1:11" s="23" customFormat="1" ht="30" customHeight="1">
      <c r="A144" s="18"/>
      <c r="B144" s="3">
        <v>2023</v>
      </c>
      <c r="C144" s="3" t="s">
        <v>176</v>
      </c>
      <c r="D144" s="4">
        <v>44862</v>
      </c>
      <c r="E144" s="4"/>
      <c r="F144" s="3" t="s">
        <v>3298</v>
      </c>
      <c r="G144" s="3" t="s">
        <v>2118</v>
      </c>
      <c r="H144" s="8" t="s">
        <v>3304</v>
      </c>
      <c r="I144" s="9" t="s">
        <v>6</v>
      </c>
      <c r="J144" s="8"/>
      <c r="K144" s="248" t="s">
        <v>2119</v>
      </c>
    </row>
    <row r="145" spans="1:11" s="23" customFormat="1" ht="30" customHeight="1">
      <c r="A145" s="18"/>
      <c r="B145" s="3">
        <v>2023</v>
      </c>
      <c r="C145" s="3" t="s">
        <v>176</v>
      </c>
      <c r="D145" s="4">
        <v>44862</v>
      </c>
      <c r="E145" s="4"/>
      <c r="F145" s="3" t="s">
        <v>2079</v>
      </c>
      <c r="G145" s="3" t="s">
        <v>2125</v>
      </c>
      <c r="H145" s="8" t="s">
        <v>2126</v>
      </c>
      <c r="I145" s="9" t="s">
        <v>6</v>
      </c>
      <c r="J145" s="8"/>
      <c r="K145" s="248" t="s">
        <v>2127</v>
      </c>
    </row>
    <row r="146" spans="1:11" s="23" customFormat="1" ht="30" customHeight="1">
      <c r="A146" s="18"/>
      <c r="B146" s="3">
        <v>2023</v>
      </c>
      <c r="C146" s="3" t="s">
        <v>176</v>
      </c>
      <c r="D146" s="4">
        <v>44862</v>
      </c>
      <c r="E146" s="4"/>
      <c r="F146" s="3" t="s">
        <v>2888</v>
      </c>
      <c r="G146" s="3" t="s">
        <v>2128</v>
      </c>
      <c r="H146" s="8" t="s">
        <v>2129</v>
      </c>
      <c r="I146" s="9" t="s">
        <v>6</v>
      </c>
      <c r="J146" s="8"/>
      <c r="K146" s="248" t="s">
        <v>2130</v>
      </c>
    </row>
    <row r="147" spans="1:11" s="23" customFormat="1" ht="30" customHeight="1">
      <c r="A147" s="18"/>
      <c r="B147" s="3">
        <v>2023</v>
      </c>
      <c r="C147" s="3" t="s">
        <v>176</v>
      </c>
      <c r="D147" s="4">
        <v>44862</v>
      </c>
      <c r="E147" s="4"/>
      <c r="F147" s="3" t="s">
        <v>3298</v>
      </c>
      <c r="G147" s="3" t="s">
        <v>2135</v>
      </c>
      <c r="H147" s="8" t="s">
        <v>2136</v>
      </c>
      <c r="I147" s="9" t="s">
        <v>6</v>
      </c>
      <c r="J147" s="8"/>
      <c r="K147" s="248">
        <v>725.28</v>
      </c>
    </row>
    <row r="148" spans="1:11" s="23" customFormat="1" ht="30" customHeight="1">
      <c r="A148" s="18"/>
      <c r="B148" s="3">
        <v>2023</v>
      </c>
      <c r="C148" s="3" t="s">
        <v>176</v>
      </c>
      <c r="D148" s="4"/>
      <c r="E148" s="4"/>
      <c r="F148" s="3" t="s">
        <v>2072</v>
      </c>
      <c r="G148" s="3" t="s">
        <v>2137</v>
      </c>
      <c r="H148" s="8" t="s">
        <v>2139</v>
      </c>
      <c r="I148" s="9" t="s">
        <v>6</v>
      </c>
      <c r="J148" s="8"/>
      <c r="K148" s="248" t="s">
        <v>2141</v>
      </c>
    </row>
    <row r="149" spans="1:11" s="23" customFormat="1" ht="30" customHeight="1">
      <c r="A149" s="18"/>
      <c r="B149" s="3">
        <v>2023</v>
      </c>
      <c r="C149" s="3" t="s">
        <v>176</v>
      </c>
      <c r="D149" s="4">
        <v>44862</v>
      </c>
      <c r="E149" s="4"/>
      <c r="F149" s="3" t="s">
        <v>2072</v>
      </c>
      <c r="G149" s="3" t="s">
        <v>2138</v>
      </c>
      <c r="H149" s="8" t="s">
        <v>2140</v>
      </c>
      <c r="I149" s="9" t="s">
        <v>6</v>
      </c>
      <c r="J149" s="8"/>
      <c r="K149" s="248" t="s">
        <v>2142</v>
      </c>
    </row>
    <row r="150" spans="1:11" s="23" customFormat="1" ht="30" customHeight="1">
      <c r="A150" s="18"/>
      <c r="B150" s="3">
        <v>2023</v>
      </c>
      <c r="C150" s="3" t="s">
        <v>176</v>
      </c>
      <c r="D150" s="4">
        <v>44862</v>
      </c>
      <c r="E150" s="4"/>
      <c r="F150" s="3" t="s">
        <v>3298</v>
      </c>
      <c r="G150" s="3" t="s">
        <v>2144</v>
      </c>
      <c r="H150" s="8" t="s">
        <v>2143</v>
      </c>
      <c r="I150" s="9" t="s">
        <v>6</v>
      </c>
      <c r="J150" s="8"/>
      <c r="K150" s="248" t="s">
        <v>2145</v>
      </c>
    </row>
    <row r="151" spans="1:11" s="23" customFormat="1" ht="30" customHeight="1">
      <c r="A151" s="18"/>
      <c r="B151" s="3">
        <v>2023</v>
      </c>
      <c r="C151" s="3" t="s">
        <v>176</v>
      </c>
      <c r="D151" s="4">
        <v>44862</v>
      </c>
      <c r="E151" s="4"/>
      <c r="F151" s="3" t="s">
        <v>3298</v>
      </c>
      <c r="G151" s="3" t="s">
        <v>2146</v>
      </c>
      <c r="H151" s="8" t="s">
        <v>2148</v>
      </c>
      <c r="I151" s="9" t="s">
        <v>6</v>
      </c>
      <c r="J151" s="8"/>
      <c r="K151" s="248" t="s">
        <v>2150</v>
      </c>
    </row>
    <row r="152" spans="1:11" s="23" customFormat="1" ht="30" customHeight="1">
      <c r="A152" s="18"/>
      <c r="B152" s="3">
        <v>2023</v>
      </c>
      <c r="C152" s="3" t="s">
        <v>176</v>
      </c>
      <c r="D152" s="4">
        <v>44862</v>
      </c>
      <c r="E152" s="4"/>
      <c r="F152" s="3" t="s">
        <v>3298</v>
      </c>
      <c r="G152" s="3" t="s">
        <v>2147</v>
      </c>
      <c r="H152" s="8" t="s">
        <v>2149</v>
      </c>
      <c r="I152" s="9" t="s">
        <v>6</v>
      </c>
      <c r="J152" s="8"/>
      <c r="K152" s="248" t="s">
        <v>2151</v>
      </c>
    </row>
    <row r="153" spans="1:11" s="23" customFormat="1" ht="30" customHeight="1">
      <c r="A153" s="18"/>
      <c r="B153" s="3">
        <v>2023</v>
      </c>
      <c r="C153" s="3" t="s">
        <v>176</v>
      </c>
      <c r="D153" s="4">
        <v>44862</v>
      </c>
      <c r="E153" s="4"/>
      <c r="F153" s="3" t="s">
        <v>2152</v>
      </c>
      <c r="G153" s="3" t="s">
        <v>2153</v>
      </c>
      <c r="H153" s="8" t="s">
        <v>2154</v>
      </c>
      <c r="I153" s="9" t="s">
        <v>6</v>
      </c>
      <c r="J153" s="8"/>
      <c r="K153" s="248" t="s">
        <v>2155</v>
      </c>
    </row>
    <row r="154" spans="1:11" ht="30" customHeight="1">
      <c r="B154" s="3">
        <v>2023</v>
      </c>
      <c r="C154" s="3" t="s">
        <v>176</v>
      </c>
      <c r="D154" s="4">
        <v>44862</v>
      </c>
      <c r="E154" s="4"/>
      <c r="F154" s="3" t="s">
        <v>2152</v>
      </c>
      <c r="G154" s="3" t="s">
        <v>2180</v>
      </c>
      <c r="H154" s="8" t="s">
        <v>2179</v>
      </c>
      <c r="I154" s="9" t="s">
        <v>6</v>
      </c>
      <c r="J154" s="8"/>
      <c r="K154" s="248" t="s">
        <v>2182</v>
      </c>
    </row>
    <row r="155" spans="1:11" ht="30" customHeight="1">
      <c r="B155" s="3">
        <v>2023</v>
      </c>
      <c r="C155" s="3" t="s">
        <v>176</v>
      </c>
      <c r="D155" s="4">
        <v>44862</v>
      </c>
      <c r="E155" s="4"/>
      <c r="F155" s="3" t="s">
        <v>719</v>
      </c>
      <c r="G155" s="3" t="s">
        <v>2181</v>
      </c>
      <c r="H155" s="8" t="s">
        <v>1620</v>
      </c>
      <c r="I155" s="9" t="s">
        <v>6</v>
      </c>
      <c r="J155" s="8"/>
      <c r="K155" s="248" t="s">
        <v>2183</v>
      </c>
    </row>
    <row r="156" spans="1:11" ht="30" customHeight="1">
      <c r="B156" s="3">
        <v>2023</v>
      </c>
      <c r="C156" s="3" t="s">
        <v>176</v>
      </c>
      <c r="D156" s="4">
        <v>44862</v>
      </c>
      <c r="E156" s="4"/>
      <c r="F156" s="3" t="s">
        <v>2189</v>
      </c>
      <c r="G156" s="3" t="s">
        <v>2187</v>
      </c>
      <c r="H156" s="8" t="s">
        <v>2190</v>
      </c>
      <c r="I156" s="9" t="s">
        <v>6</v>
      </c>
      <c r="J156" s="8"/>
      <c r="K156" s="248" t="s">
        <v>2192</v>
      </c>
    </row>
    <row r="157" spans="1:11" ht="30" customHeight="1">
      <c r="B157" s="3">
        <v>2023</v>
      </c>
      <c r="C157" s="3" t="s">
        <v>176</v>
      </c>
      <c r="D157" s="4">
        <v>44862</v>
      </c>
      <c r="E157" s="4"/>
      <c r="F157" s="3" t="s">
        <v>2113</v>
      </c>
      <c r="G157" s="3" t="s">
        <v>2188</v>
      </c>
      <c r="H157" s="8" t="s">
        <v>2191</v>
      </c>
      <c r="I157" s="9" t="s">
        <v>6</v>
      </c>
      <c r="J157" s="8"/>
      <c r="K157" s="248" t="s">
        <v>2193</v>
      </c>
    </row>
    <row r="158" spans="1:11" ht="30" customHeight="1">
      <c r="B158" s="3">
        <v>2023</v>
      </c>
      <c r="C158" s="3" t="s">
        <v>176</v>
      </c>
      <c r="D158" s="4">
        <v>44862</v>
      </c>
      <c r="E158" s="4"/>
      <c r="F158" s="3" t="s">
        <v>2194</v>
      </c>
      <c r="G158" s="3" t="s">
        <v>2195</v>
      </c>
      <c r="H158" s="8" t="s">
        <v>2196</v>
      </c>
      <c r="I158" s="9" t="s">
        <v>6</v>
      </c>
      <c r="J158" s="8"/>
      <c r="K158" s="248" t="s">
        <v>2197</v>
      </c>
    </row>
    <row r="159" spans="1:11" ht="30" customHeight="1">
      <c r="B159" s="3">
        <v>2023</v>
      </c>
      <c r="C159" s="3" t="s">
        <v>176</v>
      </c>
      <c r="D159" s="4">
        <v>44862</v>
      </c>
      <c r="E159" s="4"/>
      <c r="F159" s="3" t="s">
        <v>2200</v>
      </c>
      <c r="G159" s="3" t="s">
        <v>2198</v>
      </c>
      <c r="H159" s="8" t="s">
        <v>2199</v>
      </c>
      <c r="I159" s="9" t="s">
        <v>6</v>
      </c>
      <c r="J159" s="8"/>
      <c r="K159" s="248" t="s">
        <v>2201</v>
      </c>
    </row>
    <row r="160" spans="1:11" ht="30" customHeight="1">
      <c r="B160" s="3">
        <v>2023</v>
      </c>
      <c r="C160" s="3" t="s">
        <v>176</v>
      </c>
      <c r="D160" s="4">
        <v>44862</v>
      </c>
      <c r="E160" s="4"/>
      <c r="F160" s="3" t="s">
        <v>2888</v>
      </c>
      <c r="G160" s="3" t="s">
        <v>2427</v>
      </c>
      <c r="H160" s="8" t="s">
        <v>2428</v>
      </c>
      <c r="I160" s="9" t="s">
        <v>6</v>
      </c>
      <c r="J160" s="8"/>
      <c r="K160" s="248" t="s">
        <v>2429</v>
      </c>
    </row>
    <row r="161" spans="2:11" ht="30" customHeight="1">
      <c r="B161" s="3">
        <v>2023</v>
      </c>
      <c r="C161" s="3" t="s">
        <v>176</v>
      </c>
      <c r="D161" s="4">
        <v>44862</v>
      </c>
      <c r="E161" s="4"/>
      <c r="F161" s="3" t="s">
        <v>2446</v>
      </c>
      <c r="G161" s="3" t="s">
        <v>2438</v>
      </c>
      <c r="H161" s="8" t="s">
        <v>2447</v>
      </c>
      <c r="I161" s="9" t="s">
        <v>6</v>
      </c>
      <c r="J161" s="8"/>
      <c r="K161" s="248" t="s">
        <v>2455</v>
      </c>
    </row>
    <row r="162" spans="2:11" ht="30" customHeight="1">
      <c r="B162" s="3">
        <v>2023</v>
      </c>
      <c r="C162" s="3" t="s">
        <v>176</v>
      </c>
      <c r="D162" s="4">
        <v>44862</v>
      </c>
      <c r="E162" s="4"/>
      <c r="F162" s="3" t="s">
        <v>1112</v>
      </c>
      <c r="G162" s="3" t="s">
        <v>2439</v>
      </c>
      <c r="H162" s="8" t="s">
        <v>2448</v>
      </c>
      <c r="I162" s="9" t="s">
        <v>6</v>
      </c>
      <c r="J162" s="8"/>
      <c r="K162" s="248" t="s">
        <v>2456</v>
      </c>
    </row>
    <row r="163" spans="2:11" ht="30" customHeight="1">
      <c r="B163" s="3">
        <v>2023</v>
      </c>
      <c r="C163" s="3" t="s">
        <v>176</v>
      </c>
      <c r="D163" s="4">
        <v>44862</v>
      </c>
      <c r="E163" s="4"/>
      <c r="F163" s="3" t="s">
        <v>1746</v>
      </c>
      <c r="G163" s="3" t="s">
        <v>2440</v>
      </c>
      <c r="H163" s="8" t="s">
        <v>2449</v>
      </c>
      <c r="I163" s="9" t="s">
        <v>6</v>
      </c>
      <c r="J163" s="8"/>
      <c r="K163" s="248" t="s">
        <v>2457</v>
      </c>
    </row>
    <row r="164" spans="2:11" ht="30" customHeight="1">
      <c r="B164" s="3">
        <v>2023</v>
      </c>
      <c r="C164" s="3" t="s">
        <v>176</v>
      </c>
      <c r="D164" s="4">
        <v>44862</v>
      </c>
      <c r="E164" s="4"/>
      <c r="F164" s="3" t="s">
        <v>1125</v>
      </c>
      <c r="G164" s="3" t="s">
        <v>2441</v>
      </c>
      <c r="H164" s="8" t="s">
        <v>2450</v>
      </c>
      <c r="I164" s="9" t="s">
        <v>6</v>
      </c>
      <c r="J164" s="8"/>
      <c r="K164" s="248" t="s">
        <v>2458</v>
      </c>
    </row>
    <row r="165" spans="2:11" ht="30" customHeight="1">
      <c r="B165" s="3">
        <v>2023</v>
      </c>
      <c r="C165" s="3" t="s">
        <v>176</v>
      </c>
      <c r="D165" s="4">
        <v>44862</v>
      </c>
      <c r="E165" s="4"/>
      <c r="F165" s="3" t="s">
        <v>2888</v>
      </c>
      <c r="G165" s="3" t="s">
        <v>2442</v>
      </c>
      <c r="H165" s="8" t="s">
        <v>2451</v>
      </c>
      <c r="I165" s="9" t="s">
        <v>6</v>
      </c>
      <c r="J165" s="8"/>
      <c r="K165" s="248" t="s">
        <v>2459</v>
      </c>
    </row>
    <row r="166" spans="2:11" ht="30" customHeight="1">
      <c r="B166" s="3">
        <v>2023</v>
      </c>
      <c r="C166" s="3" t="s">
        <v>176</v>
      </c>
      <c r="D166" s="4">
        <v>44862</v>
      </c>
      <c r="E166" s="4"/>
      <c r="F166" s="3" t="s">
        <v>2888</v>
      </c>
      <c r="G166" s="3" t="s">
        <v>2443</v>
      </c>
      <c r="H166" s="8" t="s">
        <v>2452</v>
      </c>
      <c r="I166" s="9" t="s">
        <v>6</v>
      </c>
      <c r="J166" s="8"/>
      <c r="K166" s="248" t="s">
        <v>2460</v>
      </c>
    </row>
    <row r="167" spans="2:11" ht="30" customHeight="1">
      <c r="B167" s="3">
        <v>2023</v>
      </c>
      <c r="C167" s="3" t="s">
        <v>176</v>
      </c>
      <c r="D167" s="4">
        <v>44862</v>
      </c>
      <c r="E167" s="4"/>
      <c r="F167" s="3" t="s">
        <v>2888</v>
      </c>
      <c r="G167" s="3" t="s">
        <v>2444</v>
      </c>
      <c r="H167" s="8" t="s">
        <v>2453</v>
      </c>
      <c r="I167" s="9" t="s">
        <v>6</v>
      </c>
      <c r="J167" s="8"/>
      <c r="K167" s="248" t="s">
        <v>2461</v>
      </c>
    </row>
    <row r="168" spans="2:11" ht="30" customHeight="1">
      <c r="B168" s="3">
        <v>2023</v>
      </c>
      <c r="C168" s="3" t="s">
        <v>176</v>
      </c>
      <c r="D168" s="4">
        <v>44862</v>
      </c>
      <c r="E168" s="4"/>
      <c r="F168" s="3" t="s">
        <v>2888</v>
      </c>
      <c r="G168" s="3" t="s">
        <v>2445</v>
      </c>
      <c r="H168" s="8" t="s">
        <v>2454</v>
      </c>
      <c r="I168" s="9" t="s">
        <v>6</v>
      </c>
      <c r="J168" s="8"/>
      <c r="K168" s="248" t="s">
        <v>2462</v>
      </c>
    </row>
    <row r="169" spans="2:11" ht="30" customHeight="1">
      <c r="B169" s="3">
        <v>2023</v>
      </c>
      <c r="C169" s="3" t="s">
        <v>176</v>
      </c>
      <c r="D169" s="4">
        <v>44862</v>
      </c>
      <c r="E169" s="4"/>
      <c r="F169" s="3" t="s">
        <v>2888</v>
      </c>
      <c r="G169" s="3" t="s">
        <v>2464</v>
      </c>
      <c r="H169" s="8" t="s">
        <v>2468</v>
      </c>
      <c r="I169" s="9" t="s">
        <v>6</v>
      </c>
      <c r="J169" s="8"/>
      <c r="K169" s="248" t="s">
        <v>2472</v>
      </c>
    </row>
    <row r="170" spans="2:11" ht="30" customHeight="1">
      <c r="B170" s="3">
        <v>2023</v>
      </c>
      <c r="C170" s="3" t="s">
        <v>176</v>
      </c>
      <c r="D170" s="4">
        <v>44862</v>
      </c>
      <c r="E170" s="4"/>
      <c r="F170" s="3" t="s">
        <v>2888</v>
      </c>
      <c r="G170" s="3" t="s">
        <v>2465</v>
      </c>
      <c r="H170" s="8" t="s">
        <v>2469</v>
      </c>
      <c r="I170" s="9" t="s">
        <v>6</v>
      </c>
      <c r="J170" s="8"/>
      <c r="K170" s="248" t="s">
        <v>2473</v>
      </c>
    </row>
    <row r="171" spans="2:11" ht="30" customHeight="1">
      <c r="B171" s="3">
        <v>2023</v>
      </c>
      <c r="C171" s="3" t="s">
        <v>176</v>
      </c>
      <c r="D171" s="4">
        <v>44862</v>
      </c>
      <c r="E171" s="4"/>
      <c r="F171" s="3" t="s">
        <v>2888</v>
      </c>
      <c r="G171" s="3" t="s">
        <v>2466</v>
      </c>
      <c r="H171" s="8" t="s">
        <v>2470</v>
      </c>
      <c r="I171" s="9" t="s">
        <v>6</v>
      </c>
      <c r="J171" s="8"/>
      <c r="K171" s="248" t="s">
        <v>2474</v>
      </c>
    </row>
    <row r="172" spans="2:11" ht="30" customHeight="1">
      <c r="B172" s="3">
        <v>2023</v>
      </c>
      <c r="C172" s="3" t="s">
        <v>176</v>
      </c>
      <c r="D172" s="4">
        <v>44862</v>
      </c>
      <c r="E172" s="4"/>
      <c r="F172" s="3" t="s">
        <v>1112</v>
      </c>
      <c r="G172" s="3" t="s">
        <v>2467</v>
      </c>
      <c r="H172" s="8" t="s">
        <v>2471</v>
      </c>
      <c r="I172" s="9" t="s">
        <v>6</v>
      </c>
      <c r="J172" s="8"/>
      <c r="K172" s="248" t="s">
        <v>2475</v>
      </c>
    </row>
    <row r="173" spans="2:11" ht="30" customHeight="1">
      <c r="B173" s="3">
        <v>2023</v>
      </c>
      <c r="C173" s="3" t="s">
        <v>176</v>
      </c>
      <c r="D173" s="4">
        <v>44862</v>
      </c>
      <c r="E173" s="4"/>
      <c r="F173" s="3" t="s">
        <v>1779</v>
      </c>
      <c r="G173" s="3" t="s">
        <v>2476</v>
      </c>
      <c r="H173" s="8" t="s">
        <v>3305</v>
      </c>
      <c r="I173" s="9" t="s">
        <v>6</v>
      </c>
      <c r="J173" s="8"/>
      <c r="K173" s="248" t="s">
        <v>2477</v>
      </c>
    </row>
    <row r="174" spans="2:11" ht="30" customHeight="1">
      <c r="B174" s="3">
        <v>2023</v>
      </c>
      <c r="C174" s="3" t="s">
        <v>176</v>
      </c>
      <c r="D174" s="4"/>
      <c r="E174" s="3"/>
      <c r="F174" s="3" t="s">
        <v>1125</v>
      </c>
      <c r="G174" s="3" t="s">
        <v>2492</v>
      </c>
      <c r="H174" s="8" t="s">
        <v>2488</v>
      </c>
      <c r="I174" s="9" t="s">
        <v>6</v>
      </c>
      <c r="J174" s="8"/>
      <c r="K174" s="248" t="s">
        <v>2490</v>
      </c>
    </row>
    <row r="175" spans="2:11" ht="30" customHeight="1">
      <c r="B175" s="3">
        <v>2023</v>
      </c>
      <c r="C175" s="3" t="s">
        <v>176</v>
      </c>
      <c r="D175" s="4"/>
      <c r="E175" s="3"/>
      <c r="F175" s="3" t="s">
        <v>479</v>
      </c>
      <c r="G175" s="3" t="s">
        <v>2493</v>
      </c>
      <c r="H175" s="8" t="s">
        <v>2489</v>
      </c>
      <c r="I175" s="9" t="s">
        <v>6</v>
      </c>
      <c r="J175" s="8"/>
      <c r="K175" s="248" t="s">
        <v>2491</v>
      </c>
    </row>
    <row r="176" spans="2:11" ht="30" customHeight="1">
      <c r="B176" s="3">
        <v>2023</v>
      </c>
      <c r="C176" s="3" t="s">
        <v>176</v>
      </c>
      <c r="D176" s="4"/>
      <c r="E176" s="3"/>
      <c r="F176" s="3" t="s">
        <v>479</v>
      </c>
      <c r="G176" s="3" t="s">
        <v>2496</v>
      </c>
      <c r="H176" s="8" t="s">
        <v>2497</v>
      </c>
      <c r="I176" s="9" t="s">
        <v>6</v>
      </c>
      <c r="J176" s="8"/>
      <c r="K176" s="248" t="s">
        <v>2498</v>
      </c>
    </row>
    <row r="177" spans="2:11" ht="30" customHeight="1">
      <c r="B177" s="3">
        <v>2024</v>
      </c>
      <c r="C177" s="3" t="s">
        <v>176</v>
      </c>
      <c r="D177" s="4">
        <v>45345</v>
      </c>
      <c r="E177" s="3">
        <v>8207715</v>
      </c>
      <c r="F177" s="3" t="s">
        <v>2574</v>
      </c>
      <c r="G177" s="3" t="s">
        <v>2575</v>
      </c>
      <c r="H177" s="8" t="s">
        <v>2576</v>
      </c>
      <c r="I177" s="9" t="s">
        <v>6</v>
      </c>
      <c r="J177" s="8"/>
      <c r="K177" s="248">
        <v>2219</v>
      </c>
    </row>
    <row r="178" spans="2:11" ht="30" customHeight="1">
      <c r="B178" s="3">
        <v>2024</v>
      </c>
      <c r="C178" s="3" t="s">
        <v>2578</v>
      </c>
      <c r="D178" s="4">
        <v>45345</v>
      </c>
      <c r="E178" s="3">
        <v>8430117</v>
      </c>
      <c r="F178" s="3" t="s">
        <v>2579</v>
      </c>
      <c r="G178" s="3" t="s">
        <v>2580</v>
      </c>
      <c r="H178" s="8" t="s">
        <v>3306</v>
      </c>
      <c r="I178" s="9" t="s">
        <v>6</v>
      </c>
      <c r="J178" s="8"/>
      <c r="K178" s="248">
        <v>6374</v>
      </c>
    </row>
    <row r="179" spans="2:11" ht="30" customHeight="1">
      <c r="B179" s="3">
        <v>2024</v>
      </c>
      <c r="C179" s="3" t="s">
        <v>176</v>
      </c>
      <c r="D179" s="4">
        <v>45345</v>
      </c>
      <c r="E179" s="3">
        <v>8432301</v>
      </c>
      <c r="F179" s="3" t="s">
        <v>1746</v>
      </c>
      <c r="G179" s="3" t="s">
        <v>2581</v>
      </c>
      <c r="H179" s="8" t="s">
        <v>2582</v>
      </c>
      <c r="I179" s="9" t="s">
        <v>6</v>
      </c>
      <c r="J179" s="8"/>
      <c r="K179" s="248">
        <v>326</v>
      </c>
    </row>
    <row r="180" spans="2:11" ht="30" customHeight="1">
      <c r="B180" s="3">
        <v>2024</v>
      </c>
      <c r="C180" s="3" t="s">
        <v>176</v>
      </c>
      <c r="D180" s="4">
        <v>45349</v>
      </c>
      <c r="E180" s="3">
        <v>8462457</v>
      </c>
      <c r="F180" s="3" t="s">
        <v>2585</v>
      </c>
      <c r="G180" s="3" t="s">
        <v>2587</v>
      </c>
      <c r="H180" s="8" t="s">
        <v>2586</v>
      </c>
      <c r="I180" s="9" t="s">
        <v>6</v>
      </c>
      <c r="J180" s="8"/>
      <c r="K180" s="248">
        <v>1126</v>
      </c>
    </row>
    <row r="181" spans="2:11" ht="30" customHeight="1">
      <c r="B181" s="3">
        <v>2024</v>
      </c>
      <c r="C181" s="3" t="s">
        <v>176</v>
      </c>
      <c r="D181" s="4">
        <v>45356</v>
      </c>
      <c r="E181" s="3">
        <v>8477848</v>
      </c>
      <c r="F181" s="3" t="s">
        <v>2605</v>
      </c>
      <c r="G181" s="3" t="s">
        <v>2606</v>
      </c>
      <c r="H181" s="8" t="s">
        <v>2607</v>
      </c>
      <c r="I181" s="9" t="s">
        <v>6</v>
      </c>
      <c r="J181" s="8"/>
      <c r="K181" s="248">
        <f>28496.2/4.98+200</f>
        <v>5922.128514056225</v>
      </c>
    </row>
    <row r="182" spans="2:11" ht="30" customHeight="1">
      <c r="B182" s="3">
        <v>2024</v>
      </c>
      <c r="C182" s="3" t="s">
        <v>176</v>
      </c>
      <c r="D182" s="4">
        <v>45356</v>
      </c>
      <c r="E182" s="3">
        <v>8491137</v>
      </c>
      <c r="F182" s="3" t="s">
        <v>2605</v>
      </c>
      <c r="G182" s="3" t="s">
        <v>2608</v>
      </c>
      <c r="H182" s="8" t="s">
        <v>2609</v>
      </c>
      <c r="I182" s="9" t="s">
        <v>6</v>
      </c>
      <c r="J182" s="8"/>
      <c r="K182" s="248">
        <f>11500/4.98+200</f>
        <v>2509.2369477911643</v>
      </c>
    </row>
    <row r="183" spans="2:11" ht="30" customHeight="1">
      <c r="B183" s="3">
        <v>2024</v>
      </c>
      <c r="C183" s="3" t="s">
        <v>176</v>
      </c>
      <c r="D183" s="4">
        <v>45356</v>
      </c>
      <c r="E183" s="3">
        <v>8483541</v>
      </c>
      <c r="F183" s="3" t="s">
        <v>2610</v>
      </c>
      <c r="G183" s="3" t="s">
        <v>2611</v>
      </c>
      <c r="H183" s="8" t="s">
        <v>3307</v>
      </c>
      <c r="I183" s="9" t="s">
        <v>6</v>
      </c>
      <c r="J183" s="8"/>
      <c r="K183" s="248">
        <f>10950/4.98</f>
        <v>2198.7951807228915</v>
      </c>
    </row>
    <row r="184" spans="2:11" ht="30" customHeight="1">
      <c r="B184" s="3">
        <v>2024</v>
      </c>
      <c r="C184" s="3" t="s">
        <v>176</v>
      </c>
      <c r="D184" s="4">
        <v>45356</v>
      </c>
      <c r="E184" s="3">
        <v>8483459</v>
      </c>
      <c r="F184" s="3" t="s">
        <v>2610</v>
      </c>
      <c r="G184" s="3" t="s">
        <v>2612</v>
      </c>
      <c r="H184" s="8" t="s">
        <v>2613</v>
      </c>
      <c r="I184" s="9" t="s">
        <v>6</v>
      </c>
      <c r="J184" s="8"/>
      <c r="K184" s="248">
        <f>22221.4/4.98</f>
        <v>4462.128514056225</v>
      </c>
    </row>
    <row r="185" spans="2:11" ht="30" customHeight="1">
      <c r="B185" s="3">
        <v>2024</v>
      </c>
      <c r="C185" s="3" t="s">
        <v>176</v>
      </c>
      <c r="D185" s="4">
        <v>45366</v>
      </c>
      <c r="E185" s="3">
        <v>8520180</v>
      </c>
      <c r="F185" s="3" t="s">
        <v>2624</v>
      </c>
      <c r="G185" s="3" t="s">
        <v>2621</v>
      </c>
      <c r="H185" s="8" t="s">
        <v>2623</v>
      </c>
      <c r="I185" s="9" t="s">
        <v>6</v>
      </c>
      <c r="J185" s="8"/>
      <c r="K185" s="248">
        <f>5390/4.98</f>
        <v>1082.3293172690762</v>
      </c>
    </row>
    <row r="186" spans="2:11" ht="30" customHeight="1">
      <c r="B186" s="3">
        <v>2024</v>
      </c>
      <c r="C186" s="3" t="s">
        <v>176</v>
      </c>
      <c r="D186" s="4">
        <v>45366</v>
      </c>
      <c r="E186" s="3">
        <v>8544244</v>
      </c>
      <c r="F186" s="3" t="s">
        <v>2625</v>
      </c>
      <c r="G186" s="3" t="s">
        <v>2622</v>
      </c>
      <c r="H186" s="8" t="s">
        <v>3308</v>
      </c>
      <c r="I186" s="9" t="s">
        <v>6</v>
      </c>
      <c r="J186" s="8"/>
      <c r="K186" s="248">
        <f>6200/4.98</f>
        <v>1244.9799196787149</v>
      </c>
    </row>
    <row r="187" spans="2:11" ht="30" customHeight="1">
      <c r="B187" s="3">
        <v>2024</v>
      </c>
      <c r="C187" s="3" t="s">
        <v>176</v>
      </c>
      <c r="D187" s="4">
        <v>45371</v>
      </c>
      <c r="E187" s="3">
        <v>8555915</v>
      </c>
      <c r="F187" s="3" t="s">
        <v>3309</v>
      </c>
      <c r="G187" s="3" t="s">
        <v>2632</v>
      </c>
      <c r="H187" s="8" t="s">
        <v>2635</v>
      </c>
      <c r="I187" s="9" t="s">
        <v>6</v>
      </c>
      <c r="J187" s="8"/>
      <c r="K187" s="248">
        <f>28045.6/4.98</f>
        <v>5631.6465863453805</v>
      </c>
    </row>
    <row r="188" spans="2:11" ht="30" customHeight="1">
      <c r="B188" s="3">
        <v>2024</v>
      </c>
      <c r="C188" s="3" t="s">
        <v>176</v>
      </c>
      <c r="D188" s="4">
        <v>45371</v>
      </c>
      <c r="E188" s="3">
        <v>8555989</v>
      </c>
      <c r="F188" s="3" t="s">
        <v>3309</v>
      </c>
      <c r="G188" s="3" t="s">
        <v>2633</v>
      </c>
      <c r="H188" s="8" t="s">
        <v>2634</v>
      </c>
      <c r="I188" s="9" t="s">
        <v>6</v>
      </c>
      <c r="J188" s="8"/>
      <c r="K188" s="248">
        <f>9212.67/4.98</f>
        <v>1849.933734939759</v>
      </c>
    </row>
    <row r="189" spans="2:11" ht="30" customHeight="1">
      <c r="B189" s="3">
        <v>2024</v>
      </c>
      <c r="C189" s="3" t="s">
        <v>176</v>
      </c>
      <c r="D189" s="4">
        <v>45387</v>
      </c>
      <c r="E189" s="3">
        <v>8556653</v>
      </c>
      <c r="F189" s="3" t="s">
        <v>2659</v>
      </c>
      <c r="G189" s="3" t="s">
        <v>2660</v>
      </c>
      <c r="H189" s="8" t="s">
        <v>2661</v>
      </c>
      <c r="I189" s="9" t="s">
        <v>6</v>
      </c>
      <c r="J189" s="8"/>
      <c r="K189" s="248">
        <f>7695/5+200</f>
        <v>1739</v>
      </c>
    </row>
    <row r="190" spans="2:11" ht="30" customHeight="1">
      <c r="B190" s="3">
        <v>2024</v>
      </c>
      <c r="C190" s="3" t="s">
        <v>176</v>
      </c>
      <c r="D190" s="4">
        <v>45387</v>
      </c>
      <c r="E190" s="3">
        <v>8513193</v>
      </c>
      <c r="F190" s="3" t="s">
        <v>2663</v>
      </c>
      <c r="G190" s="3" t="s">
        <v>2662</v>
      </c>
      <c r="H190" s="8" t="s">
        <v>2664</v>
      </c>
      <c r="I190" s="9" t="s">
        <v>6</v>
      </c>
      <c r="J190" s="8"/>
      <c r="K190" s="248">
        <f>12379.5/5+200</f>
        <v>2675.9</v>
      </c>
    </row>
    <row r="191" spans="2:11" ht="30" customHeight="1">
      <c r="B191" s="3">
        <v>2024</v>
      </c>
      <c r="C191" s="3" t="s">
        <v>176</v>
      </c>
      <c r="D191" s="4">
        <v>45401</v>
      </c>
      <c r="E191" s="3">
        <v>8654389</v>
      </c>
      <c r="F191" s="3" t="s">
        <v>2698</v>
      </c>
      <c r="G191" s="3" t="s">
        <v>2699</v>
      </c>
      <c r="H191" s="8" t="s">
        <v>2700</v>
      </c>
      <c r="I191" s="9" t="s">
        <v>6</v>
      </c>
      <c r="J191" s="8"/>
      <c r="K191" s="248">
        <f>12213/5+200</f>
        <v>2642.6</v>
      </c>
    </row>
    <row r="192" spans="2:11" ht="30" customHeight="1">
      <c r="B192" s="3">
        <v>2024</v>
      </c>
      <c r="C192" s="3" t="s">
        <v>176</v>
      </c>
      <c r="D192" s="4">
        <v>45415</v>
      </c>
      <c r="E192" s="3">
        <v>8743643</v>
      </c>
      <c r="F192" s="3" t="s">
        <v>2625</v>
      </c>
      <c r="G192" s="3" t="s">
        <v>2717</v>
      </c>
      <c r="H192" s="8" t="s">
        <v>2718</v>
      </c>
      <c r="I192" s="9" t="s">
        <v>6</v>
      </c>
      <c r="J192" s="8"/>
      <c r="K192" s="248">
        <f>14178/5+200</f>
        <v>3035.6</v>
      </c>
    </row>
    <row r="193" spans="2:11" ht="30" customHeight="1">
      <c r="B193" s="3">
        <v>2024</v>
      </c>
      <c r="C193" s="3" t="s">
        <v>176</v>
      </c>
      <c r="D193" s="4">
        <v>45418</v>
      </c>
      <c r="E193" s="3">
        <v>8722752</v>
      </c>
      <c r="F193" s="3" t="s">
        <v>2178</v>
      </c>
      <c r="G193" s="3" t="s">
        <v>2719</v>
      </c>
      <c r="H193" s="8" t="s">
        <v>2720</v>
      </c>
      <c r="I193" s="9" t="s">
        <v>6</v>
      </c>
      <c r="J193" s="8"/>
      <c r="K193" s="248">
        <f>7500/5+200</f>
        <v>1700</v>
      </c>
    </row>
    <row r="194" spans="2:11" ht="30" customHeight="1">
      <c r="B194" s="3">
        <v>2024</v>
      </c>
      <c r="C194" s="3" t="s">
        <v>176</v>
      </c>
      <c r="D194" s="4">
        <v>45439</v>
      </c>
      <c r="E194" s="3">
        <v>8806345</v>
      </c>
      <c r="F194" s="3" t="s">
        <v>2779</v>
      </c>
      <c r="G194" s="3" t="s">
        <v>2780</v>
      </c>
      <c r="H194" s="8" t="s">
        <v>2785</v>
      </c>
      <c r="I194" s="9" t="s">
        <v>6</v>
      </c>
      <c r="J194" s="8"/>
      <c r="K194" s="248">
        <f>9800/5+200</f>
        <v>2160</v>
      </c>
    </row>
    <row r="195" spans="2:11" ht="30" customHeight="1">
      <c r="B195" s="3">
        <v>2024</v>
      </c>
      <c r="C195" s="3" t="s">
        <v>176</v>
      </c>
      <c r="D195" s="4">
        <v>45439</v>
      </c>
      <c r="E195" s="3">
        <v>8806508</v>
      </c>
      <c r="F195" s="3" t="s">
        <v>2779</v>
      </c>
      <c r="G195" s="3" t="s">
        <v>2781</v>
      </c>
      <c r="H195" s="8" t="s">
        <v>2786</v>
      </c>
      <c r="I195" s="9" t="s">
        <v>6</v>
      </c>
      <c r="J195" s="8"/>
      <c r="K195" s="248">
        <f>8780/5+200</f>
        <v>1956</v>
      </c>
    </row>
    <row r="196" spans="2:11" ht="30" customHeight="1">
      <c r="B196" s="3">
        <v>2024</v>
      </c>
      <c r="C196" s="3" t="s">
        <v>176</v>
      </c>
      <c r="D196" s="4">
        <v>45439</v>
      </c>
      <c r="E196" s="3">
        <v>8795853</v>
      </c>
      <c r="F196" s="3" t="s">
        <v>2787</v>
      </c>
      <c r="G196" s="3" t="s">
        <v>2782</v>
      </c>
      <c r="H196" s="8" t="s">
        <v>2788</v>
      </c>
      <c r="I196" s="9" t="s">
        <v>6</v>
      </c>
      <c r="J196" s="8"/>
      <c r="K196" s="248">
        <f>20413.07/5+200</f>
        <v>4282.6139999999996</v>
      </c>
    </row>
    <row r="197" spans="2:11" ht="30" customHeight="1">
      <c r="B197" s="3">
        <v>2024</v>
      </c>
      <c r="C197" s="3" t="s">
        <v>176</v>
      </c>
      <c r="D197" s="4">
        <v>45439</v>
      </c>
      <c r="E197" s="3">
        <v>8795778</v>
      </c>
      <c r="F197" s="3" t="s">
        <v>2787</v>
      </c>
      <c r="G197" s="3" t="s">
        <v>2783</v>
      </c>
      <c r="H197" s="8" t="s">
        <v>2789</v>
      </c>
      <c r="I197" s="9" t="s">
        <v>6</v>
      </c>
      <c r="J197" s="8"/>
      <c r="K197" s="248">
        <f>5998/5+200</f>
        <v>1399.6</v>
      </c>
    </row>
    <row r="198" spans="2:11" ht="30" customHeight="1">
      <c r="B198" s="3">
        <v>2024</v>
      </c>
      <c r="C198" s="3" t="s">
        <v>176</v>
      </c>
      <c r="D198" s="4">
        <v>45439</v>
      </c>
      <c r="E198" s="3">
        <v>8851138</v>
      </c>
      <c r="F198" s="3" t="s">
        <v>2790</v>
      </c>
      <c r="G198" s="3" t="s">
        <v>2784</v>
      </c>
      <c r="H198" s="8" t="s">
        <v>3310</v>
      </c>
      <c r="I198" s="9" t="s">
        <v>6</v>
      </c>
      <c r="J198" s="8"/>
      <c r="K198" s="248">
        <f>10179.8/2+200</f>
        <v>5289.9</v>
      </c>
    </row>
    <row r="199" spans="2:11" ht="30" customHeight="1">
      <c r="B199" s="3">
        <v>2024</v>
      </c>
      <c r="C199" s="3" t="s">
        <v>176</v>
      </c>
      <c r="D199" s="4">
        <v>45463</v>
      </c>
      <c r="E199" s="3">
        <v>8912242</v>
      </c>
      <c r="F199" s="3" t="s">
        <v>2888</v>
      </c>
      <c r="G199" s="3" t="s">
        <v>2889</v>
      </c>
      <c r="H199" s="8" t="s">
        <v>2890</v>
      </c>
      <c r="I199" s="9" t="s">
        <v>6</v>
      </c>
      <c r="J199" s="8"/>
      <c r="K199" s="248">
        <f>34780/5+400</f>
        <v>7356</v>
      </c>
    </row>
    <row r="200" spans="2:11" ht="30" customHeight="1">
      <c r="B200" s="3">
        <v>2024</v>
      </c>
      <c r="C200" s="3" t="s">
        <v>176</v>
      </c>
      <c r="D200" s="4">
        <v>45499</v>
      </c>
      <c r="E200" s="3">
        <v>9089293</v>
      </c>
      <c r="F200" s="3" t="s">
        <v>2908</v>
      </c>
      <c r="G200" s="3" t="s">
        <v>2906</v>
      </c>
      <c r="H200" s="8" t="s">
        <v>2909</v>
      </c>
      <c r="I200" s="9" t="s">
        <v>6</v>
      </c>
      <c r="J200" s="8"/>
      <c r="K200" s="248">
        <f>10971/5.54+700</f>
        <v>2680.3249097472926</v>
      </c>
    </row>
    <row r="201" spans="2:11" ht="30" customHeight="1">
      <c r="B201" s="3">
        <v>2024</v>
      </c>
      <c r="C201" s="3" t="s">
        <v>176</v>
      </c>
      <c r="D201" s="4">
        <v>45499</v>
      </c>
      <c r="E201" s="3">
        <v>9094567</v>
      </c>
      <c r="F201" s="3" t="s">
        <v>2905</v>
      </c>
      <c r="G201" s="3" t="s">
        <v>2907</v>
      </c>
      <c r="H201" s="8" t="s">
        <v>3311</v>
      </c>
      <c r="I201" s="9" t="s">
        <v>6</v>
      </c>
      <c r="J201" s="8"/>
      <c r="K201" s="248">
        <f>25500/5.54+200</f>
        <v>4802.8880866425989</v>
      </c>
    </row>
    <row r="202" spans="2:11" ht="30" customHeight="1">
      <c r="B202" s="3">
        <v>2024</v>
      </c>
      <c r="C202" s="3" t="s">
        <v>176</v>
      </c>
      <c r="D202" s="4">
        <v>45499</v>
      </c>
      <c r="E202" s="3">
        <v>8983296</v>
      </c>
      <c r="F202" s="3" t="s">
        <v>2910</v>
      </c>
      <c r="G202" s="3" t="s">
        <v>2911</v>
      </c>
      <c r="H202" s="8" t="s">
        <v>2912</v>
      </c>
      <c r="I202" s="9" t="s">
        <v>6</v>
      </c>
      <c r="J202" s="8"/>
      <c r="K202" s="248">
        <f>19960/5.54+200</f>
        <v>3802.8880866425993</v>
      </c>
    </row>
    <row r="203" spans="2:11" ht="30" customHeight="1">
      <c r="B203" s="3">
        <v>2024</v>
      </c>
      <c r="C203" s="3" t="s">
        <v>176</v>
      </c>
      <c r="D203" s="4">
        <v>45537</v>
      </c>
      <c r="E203" s="3">
        <v>9179849</v>
      </c>
      <c r="F203" s="3" t="s">
        <v>6801</v>
      </c>
      <c r="G203" s="3" t="s">
        <v>6800</v>
      </c>
      <c r="H203" s="8" t="s">
        <v>6799</v>
      </c>
      <c r="I203" s="9" t="s">
        <v>6</v>
      </c>
      <c r="J203" s="8"/>
      <c r="K203" s="248">
        <f>22682.12/5.65+200</f>
        <v>4214.5345132743359</v>
      </c>
    </row>
    <row r="204" spans="2:11" ht="30" customHeight="1">
      <c r="B204" s="3">
        <v>2024</v>
      </c>
      <c r="C204" s="3" t="s">
        <v>176</v>
      </c>
      <c r="D204" s="4">
        <v>45537</v>
      </c>
      <c r="E204" s="3">
        <v>9267569</v>
      </c>
      <c r="F204" s="3" t="s">
        <v>6801</v>
      </c>
      <c r="G204" s="3" t="s">
        <v>6803</v>
      </c>
      <c r="H204" s="8" t="s">
        <v>6802</v>
      </c>
      <c r="I204" s="9" t="s">
        <v>6</v>
      </c>
      <c r="J204" s="8"/>
      <c r="K204" s="248">
        <f>10990/5.65+200</f>
        <v>2145.1327433628317</v>
      </c>
    </row>
    <row r="205" spans="2:11" ht="30" customHeight="1">
      <c r="B205" s="3">
        <v>2024</v>
      </c>
      <c r="C205" s="3" t="s">
        <v>6821</v>
      </c>
      <c r="D205" s="4">
        <v>45540</v>
      </c>
      <c r="E205" s="3">
        <v>9325337</v>
      </c>
      <c r="F205" s="3" t="s">
        <v>6822</v>
      </c>
      <c r="G205" s="3" t="s">
        <v>6820</v>
      </c>
      <c r="H205" s="8" t="s">
        <v>6823</v>
      </c>
      <c r="I205" s="9" t="s">
        <v>6</v>
      </c>
      <c r="J205" s="8"/>
      <c r="K205" s="248">
        <f>6160/5.65+200</f>
        <v>1290.2654867256635</v>
      </c>
    </row>
    <row r="206" spans="2:11" ht="30" customHeight="1">
      <c r="B206" s="3">
        <v>2024</v>
      </c>
      <c r="C206" s="3" t="s">
        <v>6821</v>
      </c>
      <c r="D206" s="4">
        <v>45548</v>
      </c>
      <c r="E206" s="3">
        <v>9295937</v>
      </c>
      <c r="F206" s="3" t="s">
        <v>6801</v>
      </c>
      <c r="G206" s="3" t="s">
        <v>6847</v>
      </c>
      <c r="H206" s="8" t="s">
        <v>6848</v>
      </c>
      <c r="I206" s="9" t="s">
        <v>6</v>
      </c>
      <c r="J206" s="8"/>
      <c r="K206" s="248">
        <f>31950/5.43+200</f>
        <v>6083.9779005524861</v>
      </c>
    </row>
    <row r="207" spans="2:11" ht="30" customHeight="1">
      <c r="B207" s="3">
        <v>2024</v>
      </c>
      <c r="C207" s="3" t="s">
        <v>176</v>
      </c>
      <c r="D207" s="4">
        <v>45552</v>
      </c>
      <c r="E207" s="3">
        <v>9380938</v>
      </c>
      <c r="F207" s="3" t="s">
        <v>6869</v>
      </c>
      <c r="G207" s="3" t="s">
        <v>6870</v>
      </c>
      <c r="H207" s="8" t="s">
        <v>6871</v>
      </c>
      <c r="I207" s="9" t="s">
        <v>6</v>
      </c>
      <c r="J207" s="8"/>
      <c r="K207" s="248">
        <f>5390/5.65+200</f>
        <v>1153.9823008849557</v>
      </c>
    </row>
    <row r="208" spans="2:11" ht="30" customHeight="1">
      <c r="B208" s="3">
        <v>2024</v>
      </c>
      <c r="C208" s="3" t="s">
        <v>176</v>
      </c>
      <c r="D208" s="4">
        <v>45582</v>
      </c>
      <c r="E208" s="3">
        <v>9377442</v>
      </c>
      <c r="F208" s="3" t="s">
        <v>6997</v>
      </c>
      <c r="G208" s="3" t="s">
        <v>6998</v>
      </c>
      <c r="H208" s="8" t="s">
        <v>6999</v>
      </c>
      <c r="I208" s="9" t="s">
        <v>6</v>
      </c>
      <c r="J208" s="8"/>
      <c r="K208" s="248">
        <f>9180/5.43+200</f>
        <v>1890.6077348066299</v>
      </c>
    </row>
    <row r="209" spans="2:13" ht="30" customHeight="1">
      <c r="B209" s="3">
        <v>2024</v>
      </c>
      <c r="C209" s="3" t="s">
        <v>6821</v>
      </c>
      <c r="D209" s="4">
        <v>45607</v>
      </c>
      <c r="E209" s="3">
        <v>9464278</v>
      </c>
      <c r="F209" s="3" t="s">
        <v>7062</v>
      </c>
      <c r="G209" s="3" t="s">
        <v>7061</v>
      </c>
      <c r="H209" s="8" t="s">
        <v>7063</v>
      </c>
      <c r="I209" s="9" t="s">
        <v>6</v>
      </c>
      <c r="J209" s="8"/>
      <c r="K209" s="248">
        <f>24000/5.76+200</f>
        <v>4366.666666666667</v>
      </c>
    </row>
    <row r="210" spans="2:13" ht="30" customHeight="1">
      <c r="B210" s="3">
        <v>2024</v>
      </c>
      <c r="C210" s="3" t="s">
        <v>176</v>
      </c>
      <c r="D210" s="4">
        <v>45614</v>
      </c>
      <c r="E210" s="3">
        <v>9651400</v>
      </c>
      <c r="F210" s="3" t="s">
        <v>2888</v>
      </c>
      <c r="G210" s="3" t="s">
        <v>7070</v>
      </c>
      <c r="H210" s="8" t="s">
        <v>7071</v>
      </c>
      <c r="I210" s="9" t="s">
        <v>6</v>
      </c>
      <c r="J210" s="8" t="s">
        <v>7194</v>
      </c>
      <c r="K210" s="248">
        <f>23400/5.76+1000</f>
        <v>5062.5</v>
      </c>
      <c r="L210" s="461">
        <v>33934.43</v>
      </c>
    </row>
    <row r="211" spans="2:13" ht="30" customHeight="1">
      <c r="B211" s="3">
        <v>2024</v>
      </c>
      <c r="C211" s="3" t="s">
        <v>176</v>
      </c>
      <c r="D211" s="4">
        <v>45614</v>
      </c>
      <c r="E211" s="3">
        <v>9651215</v>
      </c>
      <c r="F211" s="3" t="s">
        <v>2888</v>
      </c>
      <c r="G211" s="3" t="s">
        <v>7072</v>
      </c>
      <c r="H211" s="8" t="s">
        <v>7073</v>
      </c>
      <c r="I211" s="9" t="s">
        <v>6</v>
      </c>
      <c r="J211" s="8" t="s">
        <v>7194</v>
      </c>
      <c r="K211" s="248">
        <f>14400/5.76+1000</f>
        <v>3500</v>
      </c>
      <c r="L211" s="461">
        <v>20882.72</v>
      </c>
      <c r="M211" s="31" t="s">
        <v>7186</v>
      </c>
    </row>
    <row r="212" spans="2:13" ht="30" customHeight="1">
      <c r="B212" s="3">
        <v>2024</v>
      </c>
      <c r="C212" s="3" t="s">
        <v>6821</v>
      </c>
      <c r="D212" s="4">
        <v>45622</v>
      </c>
      <c r="E212" s="3">
        <v>9697995</v>
      </c>
      <c r="F212" s="3" t="s">
        <v>6801</v>
      </c>
      <c r="G212" s="3" t="s">
        <v>7148</v>
      </c>
      <c r="H212" s="8" t="s">
        <v>7147</v>
      </c>
      <c r="I212" s="9" t="s">
        <v>6</v>
      </c>
      <c r="J212" s="8"/>
      <c r="K212" s="248">
        <f>9903.6/5.76+200</f>
        <v>1919.3750000000002</v>
      </c>
      <c r="L212" s="461"/>
    </row>
    <row r="213" spans="2:13" ht="30" customHeight="1">
      <c r="B213" s="3">
        <v>2024</v>
      </c>
      <c r="C213" s="3" t="s">
        <v>176</v>
      </c>
      <c r="D213" s="4">
        <v>45625</v>
      </c>
      <c r="E213" s="3">
        <v>9723961</v>
      </c>
      <c r="F213" s="3" t="s">
        <v>2905</v>
      </c>
      <c r="G213" s="3" t="s">
        <v>7175</v>
      </c>
      <c r="H213" s="8" t="s">
        <v>7177</v>
      </c>
      <c r="I213" s="9" t="s">
        <v>6</v>
      </c>
      <c r="J213" s="8"/>
      <c r="K213" s="248">
        <f>12836/5.76+200</f>
        <v>2428.4722222222222</v>
      </c>
    </row>
    <row r="214" spans="2:13" ht="30" customHeight="1">
      <c r="B214" s="3">
        <v>2024</v>
      </c>
      <c r="C214" s="3" t="s">
        <v>178</v>
      </c>
      <c r="D214" s="4">
        <v>45625</v>
      </c>
      <c r="E214" s="3">
        <v>9724202</v>
      </c>
      <c r="F214" s="3" t="s">
        <v>7178</v>
      </c>
      <c r="G214" s="3" t="s">
        <v>7176</v>
      </c>
      <c r="H214" s="8" t="s">
        <v>7179</v>
      </c>
      <c r="I214" s="9" t="s">
        <v>6</v>
      </c>
      <c r="J214" s="8"/>
      <c r="K214" s="248">
        <f>76680/5.76+200</f>
        <v>13512.5</v>
      </c>
    </row>
    <row r="215" spans="2:13" ht="30" customHeight="1">
      <c r="B215" s="3">
        <v>2024</v>
      </c>
      <c r="C215" s="3" t="s">
        <v>6821</v>
      </c>
      <c r="D215" s="4">
        <v>45631</v>
      </c>
      <c r="E215" s="3">
        <v>9757131</v>
      </c>
      <c r="F215" s="3" t="s">
        <v>2888</v>
      </c>
      <c r="G215" s="3" t="s">
        <v>7187</v>
      </c>
      <c r="H215" s="8" t="s">
        <v>7188</v>
      </c>
      <c r="I215" s="9" t="s">
        <v>6</v>
      </c>
      <c r="J215" s="8" t="s">
        <v>7194</v>
      </c>
      <c r="K215" s="248">
        <f>48585.58/6.09+2000</f>
        <v>9977.9277504105085</v>
      </c>
    </row>
    <row r="216" spans="2:13" ht="30" customHeight="1">
      <c r="B216" s="3">
        <v>2024</v>
      </c>
      <c r="C216" s="3" t="s">
        <v>178</v>
      </c>
      <c r="D216" s="4">
        <v>45635</v>
      </c>
      <c r="E216" s="3">
        <v>9752188</v>
      </c>
      <c r="F216" s="3" t="s">
        <v>7178</v>
      </c>
      <c r="G216" s="3" t="s">
        <v>7189</v>
      </c>
      <c r="H216" s="8" t="s">
        <v>7191</v>
      </c>
      <c r="I216" s="9" t="s">
        <v>6</v>
      </c>
      <c r="J216" s="8"/>
      <c r="K216" s="248">
        <f>6590/6.09+200</f>
        <v>1282.1018062397372</v>
      </c>
    </row>
    <row r="217" spans="2:13" ht="30" customHeight="1">
      <c r="B217" s="3">
        <v>2024</v>
      </c>
      <c r="C217" s="3" t="s">
        <v>176</v>
      </c>
      <c r="D217" s="4">
        <v>45635</v>
      </c>
      <c r="E217" s="3">
        <v>9715750</v>
      </c>
      <c r="F217" s="3" t="s">
        <v>2888</v>
      </c>
      <c r="G217" s="3" t="s">
        <v>7190</v>
      </c>
      <c r="H217" s="8" t="s">
        <v>7192</v>
      </c>
      <c r="I217" s="9" t="s">
        <v>6</v>
      </c>
      <c r="J217" s="8"/>
      <c r="K217" s="248">
        <f>40829.65/6.09+200</f>
        <v>6904.3760262725782</v>
      </c>
    </row>
    <row r="218" spans="2:13" ht="30" customHeight="1">
      <c r="B218" s="3">
        <v>2024</v>
      </c>
      <c r="C218" s="3" t="s">
        <v>176</v>
      </c>
      <c r="D218" s="4">
        <v>45636</v>
      </c>
      <c r="E218" s="3">
        <v>9777193</v>
      </c>
      <c r="F218" s="3" t="s">
        <v>2888</v>
      </c>
      <c r="G218" s="3" t="s">
        <v>7196</v>
      </c>
      <c r="H218" s="8" t="s">
        <v>7199</v>
      </c>
      <c r="I218" s="9" t="s">
        <v>6</v>
      </c>
      <c r="J218" s="8"/>
      <c r="K218" s="248">
        <f>44520/6.09+200</f>
        <v>7510.3448275862074</v>
      </c>
    </row>
    <row r="219" spans="2:13" ht="30" customHeight="1">
      <c r="B219" s="3">
        <v>2024</v>
      </c>
      <c r="C219" s="3" t="s">
        <v>176</v>
      </c>
      <c r="D219" s="4">
        <v>45636</v>
      </c>
      <c r="E219" s="3">
        <v>9769084</v>
      </c>
      <c r="F219" s="3" t="s">
        <v>2888</v>
      </c>
      <c r="G219" s="3" t="s">
        <v>7197</v>
      </c>
      <c r="H219" s="8" t="s">
        <v>7200</v>
      </c>
      <c r="I219" s="9" t="s">
        <v>6</v>
      </c>
      <c r="J219" s="8"/>
      <c r="K219" s="248">
        <f>92750/6.09+200</f>
        <v>15429.885057471265</v>
      </c>
    </row>
    <row r="220" spans="2:13" ht="30" customHeight="1">
      <c r="B220" s="3">
        <v>2024</v>
      </c>
      <c r="C220" s="3" t="s">
        <v>176</v>
      </c>
      <c r="D220" s="4">
        <v>45636</v>
      </c>
      <c r="E220" s="3">
        <v>9768922</v>
      </c>
      <c r="F220" s="3" t="s">
        <v>2888</v>
      </c>
      <c r="G220" s="3" t="s">
        <v>7198</v>
      </c>
      <c r="H220" s="8" t="s">
        <v>7201</v>
      </c>
      <c r="I220" s="9" t="s">
        <v>6</v>
      </c>
      <c r="J220" s="8"/>
      <c r="K220" s="248">
        <f>278250/6.09+1000</f>
        <v>46689.655172413797</v>
      </c>
    </row>
    <row r="221" spans="2:13" ht="30" customHeight="1">
      <c r="B221" s="3">
        <v>2025</v>
      </c>
      <c r="C221" s="3" t="s">
        <v>176</v>
      </c>
      <c r="D221" s="4">
        <v>45678</v>
      </c>
      <c r="E221" s="309">
        <v>9876578</v>
      </c>
      <c r="F221" s="3" t="s">
        <v>7261</v>
      </c>
      <c r="G221" s="3" t="s">
        <v>7258</v>
      </c>
      <c r="H221" s="8" t="s">
        <v>7260</v>
      </c>
      <c r="I221" s="9" t="s">
        <v>6</v>
      </c>
      <c r="J221" s="8"/>
      <c r="K221" s="248">
        <f>13160/6.18+200</f>
        <v>2329.4498381877024</v>
      </c>
    </row>
    <row r="222" spans="2:13" ht="30" customHeight="1">
      <c r="B222" s="3">
        <v>2025</v>
      </c>
      <c r="C222" s="3" t="s">
        <v>176</v>
      </c>
      <c r="D222" s="4">
        <v>45678</v>
      </c>
      <c r="E222" s="309">
        <v>9805963</v>
      </c>
      <c r="F222" s="3" t="s">
        <v>7261</v>
      </c>
      <c r="G222" s="3" t="s">
        <v>7259</v>
      </c>
      <c r="H222" s="8" t="s">
        <v>7262</v>
      </c>
      <c r="I222" s="9" t="s">
        <v>6</v>
      </c>
      <c r="J222" s="8"/>
      <c r="K222" s="248">
        <f>6517.27/6.18+200</f>
        <v>1254.574433656958</v>
      </c>
    </row>
    <row r="223" spans="2:13" ht="30" customHeight="1">
      <c r="B223" s="3">
        <v>2025</v>
      </c>
      <c r="C223" s="3" t="s">
        <v>178</v>
      </c>
      <c r="D223" s="4">
        <v>45684</v>
      </c>
      <c r="E223" s="3">
        <v>9997233</v>
      </c>
      <c r="F223" s="3" t="s">
        <v>7178</v>
      </c>
      <c r="G223" s="3" t="s">
        <v>7450</v>
      </c>
      <c r="H223" s="8" t="s">
        <v>7451</v>
      </c>
      <c r="I223" s="9" t="s">
        <v>6</v>
      </c>
      <c r="J223" s="8"/>
      <c r="K223" s="248">
        <f>8645/6.17+200</f>
        <v>1601.1345218800648</v>
      </c>
    </row>
    <row r="224" spans="2:13" ht="30" customHeight="1">
      <c r="B224" s="3">
        <v>2025</v>
      </c>
      <c r="C224" s="3" t="s">
        <v>176</v>
      </c>
      <c r="D224" s="4">
        <v>45691</v>
      </c>
      <c r="E224" s="3">
        <v>10038725</v>
      </c>
      <c r="F224" s="3" t="s">
        <v>7472</v>
      </c>
      <c r="G224" s="3" t="s">
        <v>7473</v>
      </c>
      <c r="H224" s="8" t="s">
        <v>7471</v>
      </c>
      <c r="I224" s="9" t="s">
        <v>6</v>
      </c>
      <c r="J224" s="8"/>
      <c r="K224" s="248">
        <f>9775.89/5.82+200</f>
        <v>1879.7061855670102</v>
      </c>
    </row>
    <row r="225" spans="2:11" ht="30" customHeight="1">
      <c r="B225" s="3">
        <v>2025</v>
      </c>
      <c r="C225" s="3" t="s">
        <v>6821</v>
      </c>
      <c r="D225" s="4">
        <v>45706</v>
      </c>
      <c r="E225" s="3">
        <v>10112044</v>
      </c>
      <c r="F225" s="3" t="s">
        <v>7062</v>
      </c>
      <c r="G225" s="3" t="s">
        <v>8484</v>
      </c>
      <c r="H225" s="8" t="s">
        <v>8485</v>
      </c>
      <c r="I225" s="9" t="s">
        <v>6</v>
      </c>
      <c r="J225" s="8"/>
      <c r="K225" s="248">
        <f>29114.65/5.82+200</f>
        <v>5202.5171821305839</v>
      </c>
    </row>
    <row r="226" spans="2:11" ht="30" customHeight="1">
      <c r="B226" s="3">
        <v>2025</v>
      </c>
      <c r="C226" s="3" t="s">
        <v>176</v>
      </c>
      <c r="D226" s="4">
        <v>45707</v>
      </c>
      <c r="E226" s="3">
        <v>10106688</v>
      </c>
      <c r="F226" s="3" t="s">
        <v>8486</v>
      </c>
      <c r="G226" s="3" t="s">
        <v>8487</v>
      </c>
      <c r="H226" s="8" t="s">
        <v>8488</v>
      </c>
      <c r="I226" s="9" t="s">
        <v>6</v>
      </c>
      <c r="J226" s="8"/>
      <c r="K226" s="248">
        <f>16400/5.82+200</f>
        <v>3017.86941580756</v>
      </c>
    </row>
    <row r="227" spans="2:11" ht="30" customHeight="1">
      <c r="B227" s="3">
        <v>2025</v>
      </c>
      <c r="C227" s="3" t="s">
        <v>176</v>
      </c>
      <c r="D227" s="4">
        <v>45714</v>
      </c>
      <c r="E227" s="3">
        <v>10153327</v>
      </c>
      <c r="F227" s="3" t="s">
        <v>8486</v>
      </c>
      <c r="G227" s="3" t="s">
        <v>8978</v>
      </c>
      <c r="H227" s="8" t="s">
        <v>8979</v>
      </c>
      <c r="I227" s="9" t="s">
        <v>6</v>
      </c>
      <c r="J227" s="8"/>
      <c r="K227" s="248">
        <f>71000/5.82+10000</f>
        <v>22199.312714776632</v>
      </c>
    </row>
    <row r="228" spans="2:11" ht="30" customHeight="1">
      <c r="B228" s="3">
        <v>2025</v>
      </c>
      <c r="C228" s="3" t="s">
        <v>6821</v>
      </c>
      <c r="D228" s="4">
        <v>45716</v>
      </c>
      <c r="E228" s="3">
        <v>10174351</v>
      </c>
      <c r="F228" s="3" t="s">
        <v>6801</v>
      </c>
      <c r="G228" s="3" t="s">
        <v>9079</v>
      </c>
      <c r="H228" s="8" t="s">
        <v>9080</v>
      </c>
      <c r="I228" s="9" t="s">
        <v>6</v>
      </c>
      <c r="J228" s="8"/>
      <c r="K228" s="248">
        <f>5916.1/5.82+200</f>
        <v>1216.5120274914088</v>
      </c>
    </row>
    <row r="229" spans="2:11" ht="30" customHeight="1">
      <c r="B229" s="3">
        <v>2025</v>
      </c>
      <c r="C229" s="3" t="s">
        <v>176</v>
      </c>
      <c r="D229" s="4">
        <v>45716</v>
      </c>
      <c r="E229" s="3">
        <v>10171871</v>
      </c>
      <c r="F229" s="3" t="s">
        <v>8486</v>
      </c>
      <c r="G229" s="3" t="s">
        <v>9081</v>
      </c>
      <c r="H229" s="8" t="s">
        <v>9082</v>
      </c>
      <c r="I229" s="9" t="s">
        <v>6</v>
      </c>
      <c r="J229" s="8"/>
      <c r="K229" s="248">
        <f>1579/5.82+200</f>
        <v>471.30584192439864</v>
      </c>
    </row>
    <row r="230" spans="2:11" ht="30" customHeight="1">
      <c r="B230" s="3">
        <v>2025</v>
      </c>
      <c r="C230" s="3" t="s">
        <v>6821</v>
      </c>
      <c r="D230" s="4">
        <v>45735</v>
      </c>
      <c r="E230" s="3">
        <v>10274026</v>
      </c>
      <c r="F230" s="3" t="s">
        <v>6822</v>
      </c>
      <c r="G230" s="3" t="s">
        <v>10950</v>
      </c>
      <c r="H230" s="8" t="s">
        <v>10951</v>
      </c>
      <c r="I230" s="9" t="s">
        <v>6</v>
      </c>
      <c r="J230" s="8"/>
      <c r="K230" s="248">
        <f>5904.08/5.87+1000</f>
        <v>2005.8057921635434</v>
      </c>
    </row>
    <row r="231" spans="2:11" ht="30" customHeight="1">
      <c r="B231" s="3">
        <v>2025</v>
      </c>
      <c r="C231" s="3" t="s">
        <v>176</v>
      </c>
      <c r="D231" s="4">
        <v>45736</v>
      </c>
      <c r="E231" s="3">
        <v>10266770</v>
      </c>
      <c r="F231" s="3" t="s">
        <v>10957</v>
      </c>
      <c r="G231" s="3" t="s">
        <v>10958</v>
      </c>
      <c r="H231" s="8" t="s">
        <v>10956</v>
      </c>
      <c r="I231" s="9" t="s">
        <v>6</v>
      </c>
      <c r="J231" s="8"/>
      <c r="K231" s="248">
        <f>8500/5.83+200</f>
        <v>1657.9759862778731</v>
      </c>
    </row>
    <row r="232" spans="2:11" ht="30" customHeight="1">
      <c r="B232" s="3">
        <v>2025</v>
      </c>
      <c r="C232" s="3" t="s">
        <v>176</v>
      </c>
      <c r="D232" s="4">
        <v>45743</v>
      </c>
      <c r="E232" s="3">
        <v>10322779</v>
      </c>
      <c r="F232" s="3" t="s">
        <v>2659</v>
      </c>
      <c r="G232" s="3" t="s">
        <v>11311</v>
      </c>
      <c r="H232" s="8" t="s">
        <v>11312</v>
      </c>
      <c r="I232" s="9" t="s">
        <v>6</v>
      </c>
      <c r="J232" s="8"/>
      <c r="K232" s="248">
        <f>2290/5.83+500</f>
        <v>892.79588336192114</v>
      </c>
    </row>
    <row r="233" spans="2:11" ht="30" customHeight="1">
      <c r="B233" s="3">
        <v>2025</v>
      </c>
      <c r="C233" s="3" t="s">
        <v>176</v>
      </c>
      <c r="D233" s="4">
        <v>45756</v>
      </c>
      <c r="E233" s="3">
        <v>10438871</v>
      </c>
      <c r="F233" s="3" t="s">
        <v>12239</v>
      </c>
      <c r="G233" s="3" t="s">
        <v>12240</v>
      </c>
      <c r="H233" s="8" t="s">
        <v>12241</v>
      </c>
      <c r="I233" s="9" t="s">
        <v>6</v>
      </c>
      <c r="J233" s="8"/>
      <c r="K233" s="248">
        <f>68601.73/5.73+3000</f>
        <v>14972.378708551481</v>
      </c>
    </row>
    <row r="234" spans="2:11" ht="30" customHeight="1">
      <c r="B234" s="3">
        <v>2025</v>
      </c>
      <c r="C234" s="3" t="s">
        <v>176</v>
      </c>
      <c r="D234" s="4">
        <v>45761</v>
      </c>
      <c r="E234" s="3">
        <v>10510638</v>
      </c>
      <c r="F234" s="3" t="s">
        <v>12246</v>
      </c>
      <c r="G234" s="3" t="s">
        <v>12247</v>
      </c>
      <c r="H234" s="8" t="s">
        <v>12248</v>
      </c>
      <c r="I234" s="9" t="s">
        <v>6</v>
      </c>
      <c r="J234" s="8"/>
      <c r="K234" s="248">
        <f>1375/5.73+200</f>
        <v>439.96509598603836</v>
      </c>
    </row>
    <row r="235" spans="2:11" ht="30" customHeight="1">
      <c r="B235" s="3">
        <v>2025</v>
      </c>
      <c r="C235" s="3" t="s">
        <v>6821</v>
      </c>
      <c r="D235" s="4">
        <v>45772</v>
      </c>
      <c r="E235" s="3">
        <v>10607129</v>
      </c>
      <c r="F235" s="3" t="s">
        <v>6801</v>
      </c>
      <c r="G235" s="3" t="s">
        <v>16158</v>
      </c>
      <c r="H235" s="8" t="s">
        <v>16159</v>
      </c>
      <c r="I235" s="9" t="s">
        <v>6</v>
      </c>
      <c r="J235" s="8"/>
      <c r="K235" s="248">
        <f>6988.8/5.87+300</f>
        <v>1490.5962521294718</v>
      </c>
    </row>
    <row r="236" spans="2:11" ht="30" customHeight="1">
      <c r="B236" s="3">
        <v>2025</v>
      </c>
      <c r="C236" s="3" t="s">
        <v>176</v>
      </c>
      <c r="D236" s="4">
        <v>45775</v>
      </c>
      <c r="E236" s="3">
        <v>10419984</v>
      </c>
      <c r="F236" s="3" t="s">
        <v>16160</v>
      </c>
      <c r="G236" s="3" t="s">
        <v>16161</v>
      </c>
      <c r="H236" s="8" t="s">
        <v>16162</v>
      </c>
      <c r="I236" s="9" t="s">
        <v>6</v>
      </c>
      <c r="J236" s="8"/>
      <c r="K236" s="248">
        <f>5020/5.87+300</f>
        <v>1155.1959114139693</v>
      </c>
    </row>
    <row r="237" spans="2:11" ht="30" customHeight="1">
      <c r="B237" s="3">
        <v>2025</v>
      </c>
      <c r="C237" s="3" t="s">
        <v>176</v>
      </c>
      <c r="D237" s="4">
        <v>45810</v>
      </c>
      <c r="E237" s="3">
        <v>10659061</v>
      </c>
      <c r="F237" s="3" t="s">
        <v>17956</v>
      </c>
      <c r="G237" s="3" t="s">
        <v>17957</v>
      </c>
      <c r="H237" s="8" t="s">
        <v>17958</v>
      </c>
      <c r="I237" s="9" t="s">
        <v>6</v>
      </c>
      <c r="J237" s="8"/>
      <c r="K237" s="248">
        <f>3799/5.67+300</f>
        <v>970.0176366843034</v>
      </c>
    </row>
    <row r="238" spans="2:11" ht="30" customHeight="1">
      <c r="B238" s="3">
        <v>2025</v>
      </c>
      <c r="C238" s="3" t="s">
        <v>176</v>
      </c>
      <c r="D238" s="4">
        <v>45826</v>
      </c>
      <c r="E238" s="3">
        <v>10953075</v>
      </c>
      <c r="F238" s="3" t="s">
        <v>2905</v>
      </c>
      <c r="G238" s="3" t="s">
        <v>18529</v>
      </c>
      <c r="H238" s="8" t="s">
        <v>18530</v>
      </c>
      <c r="I238" s="9" t="s">
        <v>6</v>
      </c>
      <c r="J238" s="8"/>
      <c r="K238" s="248">
        <f>17077.26/5.67+300</f>
        <v>3311.8624338624336</v>
      </c>
    </row>
    <row r="239" spans="2:11" ht="30" customHeight="1">
      <c r="B239" s="3">
        <v>2025</v>
      </c>
      <c r="C239" s="3" t="s">
        <v>176</v>
      </c>
      <c r="D239" s="4">
        <v>45838</v>
      </c>
      <c r="E239" s="3">
        <v>11074318</v>
      </c>
      <c r="F239" s="3" t="s">
        <v>2888</v>
      </c>
      <c r="G239" s="3" t="s">
        <v>19230</v>
      </c>
      <c r="H239" s="8" t="s">
        <v>19229</v>
      </c>
      <c r="I239" s="9" t="s">
        <v>6</v>
      </c>
      <c r="J239" s="8"/>
      <c r="K239" s="248">
        <f>10950/5.64+400</f>
        <v>2341.489361702128</v>
      </c>
    </row>
    <row r="240" spans="2:11" ht="30" customHeight="1">
      <c r="B240" s="3">
        <v>2025</v>
      </c>
      <c r="C240" s="3" t="s">
        <v>176</v>
      </c>
      <c r="D240" s="4">
        <v>45839</v>
      </c>
      <c r="E240" s="3">
        <v>11043802</v>
      </c>
      <c r="F240" s="3" t="s">
        <v>2888</v>
      </c>
      <c r="G240" s="3" t="s">
        <v>19231</v>
      </c>
      <c r="H240" s="8" t="s">
        <v>19233</v>
      </c>
      <c r="I240" s="9" t="s">
        <v>6</v>
      </c>
      <c r="J240" s="8"/>
      <c r="K240" s="248">
        <f>87600/5.64+1000</f>
        <v>16531.914893617024</v>
      </c>
    </row>
    <row r="241" spans="2:11" ht="30" customHeight="1">
      <c r="B241" s="3">
        <v>2025</v>
      </c>
      <c r="C241" s="3" t="s">
        <v>176</v>
      </c>
      <c r="D241" s="4">
        <v>45840</v>
      </c>
      <c r="E241" s="3">
        <v>11021035</v>
      </c>
      <c r="F241" s="3" t="s">
        <v>2888</v>
      </c>
      <c r="G241" s="3" t="s">
        <v>19232</v>
      </c>
      <c r="H241" s="8" t="s">
        <v>19234</v>
      </c>
      <c r="I241" s="9" t="s">
        <v>6</v>
      </c>
      <c r="J241" s="8"/>
      <c r="K241" s="248">
        <f>200750/5.64+2000</f>
        <v>37593.971631205677</v>
      </c>
    </row>
    <row r="242" spans="2:11" ht="30" customHeight="1">
      <c r="B242" s="3"/>
      <c r="C242" s="3"/>
      <c r="D242" s="4"/>
      <c r="E242" s="3"/>
      <c r="F242" s="3"/>
      <c r="G242" s="3"/>
      <c r="H242" s="8"/>
      <c r="I242" s="9"/>
      <c r="J242" s="8"/>
      <c r="K242" s="248"/>
    </row>
  </sheetData>
  <autoFilter ref="A8:K222" xr:uid="{75B0B089-4228-4172-88C8-697C7EA1E558}">
    <sortState xmlns:xlrd2="http://schemas.microsoft.com/office/spreadsheetml/2017/richdata2" ref="A9:K217">
      <sortCondition ref="G8:G217"/>
    </sortState>
  </autoFilter>
  <phoneticPr fontId="26" type="noConversion"/>
  <conditionalFormatting sqref="K9:K10">
    <cfRule type="cellIs" dxfId="558" priority="2740" operator="equal">
      <formula>"Behind Schedule"</formula>
    </cfRule>
    <cfRule type="cellIs" dxfId="557" priority="2741" operator="equal">
      <formula>"TBD"</formula>
    </cfRule>
    <cfRule type="cellIs" dxfId="556" priority="2742" operator="equal">
      <formula>"In Progress"</formula>
    </cfRule>
    <cfRule type="cellIs" dxfId="555" priority="2743" operator="equal">
      <formula>"Completed"</formula>
    </cfRule>
  </conditionalFormatting>
  <conditionalFormatting sqref="K11">
    <cfRule type="cellIs" dxfId="554" priority="2153" operator="equal">
      <formula>"Behind Schedule"</formula>
    </cfRule>
    <cfRule type="cellIs" dxfId="553" priority="2154" operator="equal">
      <formula>"TBD"</formula>
    </cfRule>
    <cfRule type="cellIs" dxfId="552" priority="2155" operator="equal">
      <formula>"In Progress"</formula>
    </cfRule>
    <cfRule type="cellIs" dxfId="551" priority="2156" operator="equal">
      <formula>"Completed"</formula>
    </cfRule>
  </conditionalFormatting>
  <conditionalFormatting sqref="K12">
    <cfRule type="cellIs" dxfId="550" priority="2132" operator="equal">
      <formula>"Behind Schedule"</formula>
    </cfRule>
    <cfRule type="cellIs" dxfId="549" priority="2133" operator="equal">
      <formula>"TBD"</formula>
    </cfRule>
    <cfRule type="cellIs" dxfId="548" priority="2134" operator="equal">
      <formula>"In Progress"</formula>
    </cfRule>
    <cfRule type="cellIs" dxfId="547" priority="2135" operator="equal">
      <formula>"Completed"</formula>
    </cfRule>
  </conditionalFormatting>
  <conditionalFormatting sqref="K13">
    <cfRule type="cellIs" dxfId="546" priority="2111" operator="equal">
      <formula>"Behind Schedule"</formula>
    </cfRule>
    <cfRule type="cellIs" dxfId="545" priority="2112" operator="equal">
      <formula>"TBD"</formula>
    </cfRule>
    <cfRule type="cellIs" dxfId="544" priority="2113" operator="equal">
      <formula>"In Progress"</formula>
    </cfRule>
    <cfRule type="cellIs" dxfId="543" priority="2114" operator="equal">
      <formula>"Completed"</formula>
    </cfRule>
  </conditionalFormatting>
  <conditionalFormatting sqref="K14">
    <cfRule type="cellIs" dxfId="542" priority="2090" operator="equal">
      <formula>"Behind Schedule"</formula>
    </cfRule>
    <cfRule type="cellIs" dxfId="541" priority="2091" operator="equal">
      <formula>"TBD"</formula>
    </cfRule>
    <cfRule type="cellIs" dxfId="540" priority="2092" operator="equal">
      <formula>"In Progress"</formula>
    </cfRule>
    <cfRule type="cellIs" dxfId="539" priority="2093" operator="equal">
      <formula>"Completed"</formula>
    </cfRule>
  </conditionalFormatting>
  <conditionalFormatting sqref="K15">
    <cfRule type="cellIs" dxfId="538" priority="2069" operator="equal">
      <formula>"Behind Schedule"</formula>
    </cfRule>
    <cfRule type="cellIs" dxfId="537" priority="2070" operator="equal">
      <formula>"TBD"</formula>
    </cfRule>
    <cfRule type="cellIs" dxfId="536" priority="2071" operator="equal">
      <formula>"In Progress"</formula>
    </cfRule>
    <cfRule type="cellIs" dxfId="535" priority="2072" operator="equal">
      <formula>"Completed"</formula>
    </cfRule>
  </conditionalFormatting>
  <conditionalFormatting sqref="K16 K18">
    <cfRule type="cellIs" dxfId="534" priority="2048" operator="equal">
      <formula>"Behind Schedule"</formula>
    </cfRule>
    <cfRule type="cellIs" dxfId="533" priority="2049" operator="equal">
      <formula>"TBD"</formula>
    </cfRule>
    <cfRule type="cellIs" dxfId="532" priority="2050" operator="equal">
      <formula>"In Progress"</formula>
    </cfRule>
    <cfRule type="cellIs" dxfId="531" priority="2051" operator="equal">
      <formula>"Completed"</formula>
    </cfRule>
  </conditionalFormatting>
  <conditionalFormatting sqref="K19">
    <cfRule type="cellIs" dxfId="530" priority="2027" operator="equal">
      <formula>"Behind Schedule"</formula>
    </cfRule>
    <cfRule type="cellIs" dxfId="529" priority="2028" operator="equal">
      <formula>"TBD"</formula>
    </cfRule>
    <cfRule type="cellIs" dxfId="528" priority="2029" operator="equal">
      <formula>"In Progress"</formula>
    </cfRule>
    <cfRule type="cellIs" dxfId="527" priority="2030" operator="equal">
      <formula>"Completed"</formula>
    </cfRule>
  </conditionalFormatting>
  <conditionalFormatting sqref="K17">
    <cfRule type="cellIs" dxfId="526" priority="2006" operator="equal">
      <formula>"Behind Schedule"</formula>
    </cfRule>
    <cfRule type="cellIs" dxfId="525" priority="2007" operator="equal">
      <formula>"TBD"</formula>
    </cfRule>
    <cfRule type="cellIs" dxfId="524" priority="2008" operator="equal">
      <formula>"In Progress"</formula>
    </cfRule>
    <cfRule type="cellIs" dxfId="523" priority="2009" operator="equal">
      <formula>"Completed"</formula>
    </cfRule>
  </conditionalFormatting>
  <conditionalFormatting sqref="K20:K21">
    <cfRule type="cellIs" dxfId="522" priority="1985" operator="equal">
      <formula>"Behind Schedule"</formula>
    </cfRule>
    <cfRule type="cellIs" dxfId="521" priority="1986" operator="equal">
      <formula>"TBD"</formula>
    </cfRule>
    <cfRule type="cellIs" dxfId="520" priority="1987" operator="equal">
      <formula>"In Progress"</formula>
    </cfRule>
    <cfRule type="cellIs" dxfId="519" priority="1988" operator="equal">
      <formula>"Completed"</formula>
    </cfRule>
  </conditionalFormatting>
  <conditionalFormatting sqref="K22">
    <cfRule type="cellIs" dxfId="518" priority="1964" operator="equal">
      <formula>"Behind Schedule"</formula>
    </cfRule>
    <cfRule type="cellIs" dxfId="517" priority="1965" operator="equal">
      <formula>"TBD"</formula>
    </cfRule>
    <cfRule type="cellIs" dxfId="516" priority="1966" operator="equal">
      <formula>"In Progress"</formula>
    </cfRule>
    <cfRule type="cellIs" dxfId="515" priority="1967" operator="equal">
      <formula>"Completed"</formula>
    </cfRule>
  </conditionalFormatting>
  <conditionalFormatting sqref="K23">
    <cfRule type="cellIs" dxfId="514" priority="1943" operator="equal">
      <formula>"Behind Schedule"</formula>
    </cfRule>
    <cfRule type="cellIs" dxfId="513" priority="1944" operator="equal">
      <formula>"TBD"</formula>
    </cfRule>
    <cfRule type="cellIs" dxfId="512" priority="1945" operator="equal">
      <formula>"In Progress"</formula>
    </cfRule>
    <cfRule type="cellIs" dxfId="511" priority="1946" operator="equal">
      <formula>"Completed"</formula>
    </cfRule>
  </conditionalFormatting>
  <conditionalFormatting sqref="K24">
    <cfRule type="cellIs" dxfId="510" priority="1922" operator="equal">
      <formula>"Behind Schedule"</formula>
    </cfRule>
    <cfRule type="cellIs" dxfId="509" priority="1923" operator="equal">
      <formula>"TBD"</formula>
    </cfRule>
    <cfRule type="cellIs" dxfId="508" priority="1924" operator="equal">
      <formula>"In Progress"</formula>
    </cfRule>
    <cfRule type="cellIs" dxfId="507" priority="1925" operator="equal">
      <formula>"Completed"</formula>
    </cfRule>
  </conditionalFormatting>
  <conditionalFormatting sqref="K25">
    <cfRule type="cellIs" dxfId="506" priority="1901" operator="equal">
      <formula>"Behind Schedule"</formula>
    </cfRule>
    <cfRule type="cellIs" dxfId="505" priority="1902" operator="equal">
      <formula>"TBD"</formula>
    </cfRule>
    <cfRule type="cellIs" dxfId="504" priority="1903" operator="equal">
      <formula>"In Progress"</formula>
    </cfRule>
    <cfRule type="cellIs" dxfId="503" priority="1904" operator="equal">
      <formula>"Completed"</formula>
    </cfRule>
  </conditionalFormatting>
  <conditionalFormatting sqref="K26">
    <cfRule type="cellIs" dxfId="502" priority="1880" operator="equal">
      <formula>"Behind Schedule"</formula>
    </cfRule>
    <cfRule type="cellIs" dxfId="501" priority="1881" operator="equal">
      <formula>"TBD"</formula>
    </cfRule>
    <cfRule type="cellIs" dxfId="500" priority="1882" operator="equal">
      <formula>"In Progress"</formula>
    </cfRule>
    <cfRule type="cellIs" dxfId="499" priority="1883" operator="equal">
      <formula>"Completed"</formula>
    </cfRule>
  </conditionalFormatting>
  <conditionalFormatting sqref="K27">
    <cfRule type="cellIs" dxfId="498" priority="1859" operator="equal">
      <formula>"Behind Schedule"</formula>
    </cfRule>
    <cfRule type="cellIs" dxfId="497" priority="1860" operator="equal">
      <formula>"TBD"</formula>
    </cfRule>
    <cfRule type="cellIs" dxfId="496" priority="1861" operator="equal">
      <formula>"In Progress"</formula>
    </cfRule>
    <cfRule type="cellIs" dxfId="495" priority="1862" operator="equal">
      <formula>"Completed"</formula>
    </cfRule>
  </conditionalFormatting>
  <conditionalFormatting sqref="K28">
    <cfRule type="cellIs" dxfId="494" priority="1838" operator="equal">
      <formula>"Behind Schedule"</formula>
    </cfRule>
    <cfRule type="cellIs" dxfId="493" priority="1839" operator="equal">
      <formula>"TBD"</formula>
    </cfRule>
    <cfRule type="cellIs" dxfId="492" priority="1840" operator="equal">
      <formula>"In Progress"</formula>
    </cfRule>
    <cfRule type="cellIs" dxfId="491" priority="1841" operator="equal">
      <formula>"Completed"</formula>
    </cfRule>
  </conditionalFormatting>
  <conditionalFormatting sqref="K29">
    <cfRule type="cellIs" dxfId="490" priority="1817" operator="equal">
      <formula>"Behind Schedule"</formula>
    </cfRule>
    <cfRule type="cellIs" dxfId="489" priority="1818" operator="equal">
      <formula>"TBD"</formula>
    </cfRule>
    <cfRule type="cellIs" dxfId="488" priority="1819" operator="equal">
      <formula>"In Progress"</formula>
    </cfRule>
    <cfRule type="cellIs" dxfId="487" priority="1820" operator="equal">
      <formula>"Completed"</formula>
    </cfRule>
  </conditionalFormatting>
  <conditionalFormatting sqref="K30">
    <cfRule type="cellIs" dxfId="486" priority="1796" operator="equal">
      <formula>"Behind Schedule"</formula>
    </cfRule>
    <cfRule type="cellIs" dxfId="485" priority="1797" operator="equal">
      <formula>"TBD"</formula>
    </cfRule>
    <cfRule type="cellIs" dxfId="484" priority="1798" operator="equal">
      <formula>"In Progress"</formula>
    </cfRule>
    <cfRule type="cellIs" dxfId="483" priority="1799" operator="equal">
      <formula>"Completed"</formula>
    </cfRule>
  </conditionalFormatting>
  <conditionalFormatting sqref="K31">
    <cfRule type="cellIs" dxfId="482" priority="1775" operator="equal">
      <formula>"Behind Schedule"</formula>
    </cfRule>
    <cfRule type="cellIs" dxfId="481" priority="1776" operator="equal">
      <formula>"TBD"</formula>
    </cfRule>
    <cfRule type="cellIs" dxfId="480" priority="1777" operator="equal">
      <formula>"In Progress"</formula>
    </cfRule>
    <cfRule type="cellIs" dxfId="479" priority="1778" operator="equal">
      <formula>"Completed"</formula>
    </cfRule>
  </conditionalFormatting>
  <conditionalFormatting sqref="K32">
    <cfRule type="cellIs" dxfId="478" priority="1754" operator="equal">
      <formula>"Behind Schedule"</formula>
    </cfRule>
    <cfRule type="cellIs" dxfId="477" priority="1755" operator="equal">
      <formula>"TBD"</formula>
    </cfRule>
    <cfRule type="cellIs" dxfId="476" priority="1756" operator="equal">
      <formula>"In Progress"</formula>
    </cfRule>
    <cfRule type="cellIs" dxfId="475" priority="1757" operator="equal">
      <formula>"Completed"</formula>
    </cfRule>
  </conditionalFormatting>
  <conditionalFormatting sqref="K33">
    <cfRule type="cellIs" dxfId="474" priority="1733" operator="equal">
      <formula>"Behind Schedule"</formula>
    </cfRule>
    <cfRule type="cellIs" dxfId="473" priority="1734" operator="equal">
      <formula>"TBD"</formula>
    </cfRule>
    <cfRule type="cellIs" dxfId="472" priority="1735" operator="equal">
      <formula>"In Progress"</formula>
    </cfRule>
    <cfRule type="cellIs" dxfId="471" priority="1736" operator="equal">
      <formula>"Completed"</formula>
    </cfRule>
  </conditionalFormatting>
  <conditionalFormatting sqref="K34">
    <cfRule type="cellIs" dxfId="470" priority="1712" operator="equal">
      <formula>"Behind Schedule"</formula>
    </cfRule>
    <cfRule type="cellIs" dxfId="469" priority="1713" operator="equal">
      <formula>"TBD"</formula>
    </cfRule>
    <cfRule type="cellIs" dxfId="468" priority="1714" operator="equal">
      <formula>"In Progress"</formula>
    </cfRule>
    <cfRule type="cellIs" dxfId="467" priority="1715" operator="equal">
      <formula>"Completed"</formula>
    </cfRule>
  </conditionalFormatting>
  <conditionalFormatting sqref="K35">
    <cfRule type="cellIs" dxfId="466" priority="1691" operator="equal">
      <formula>"Behind Schedule"</formula>
    </cfRule>
    <cfRule type="cellIs" dxfId="465" priority="1692" operator="equal">
      <formula>"TBD"</formula>
    </cfRule>
    <cfRule type="cellIs" dxfId="464" priority="1693" operator="equal">
      <formula>"In Progress"</formula>
    </cfRule>
    <cfRule type="cellIs" dxfId="463" priority="1694" operator="equal">
      <formula>"Completed"</formula>
    </cfRule>
  </conditionalFormatting>
  <conditionalFormatting sqref="K36">
    <cfRule type="cellIs" dxfId="462" priority="1670" operator="equal">
      <formula>"Behind Schedule"</formula>
    </cfRule>
    <cfRule type="cellIs" dxfId="461" priority="1671" operator="equal">
      <formula>"TBD"</formula>
    </cfRule>
    <cfRule type="cellIs" dxfId="460" priority="1672" operator="equal">
      <formula>"In Progress"</formula>
    </cfRule>
    <cfRule type="cellIs" dxfId="459" priority="1673" operator="equal">
      <formula>"Completed"</formula>
    </cfRule>
  </conditionalFormatting>
  <conditionalFormatting sqref="K37">
    <cfRule type="cellIs" dxfId="458" priority="1649" operator="equal">
      <formula>"Behind Schedule"</formula>
    </cfRule>
    <cfRule type="cellIs" dxfId="457" priority="1650" operator="equal">
      <formula>"TBD"</formula>
    </cfRule>
    <cfRule type="cellIs" dxfId="456" priority="1651" operator="equal">
      <formula>"In Progress"</formula>
    </cfRule>
    <cfRule type="cellIs" dxfId="455" priority="1652" operator="equal">
      <formula>"Completed"</formula>
    </cfRule>
  </conditionalFormatting>
  <conditionalFormatting sqref="K38">
    <cfRule type="cellIs" dxfId="454" priority="1628" operator="equal">
      <formula>"Behind Schedule"</formula>
    </cfRule>
    <cfRule type="cellIs" dxfId="453" priority="1629" operator="equal">
      <formula>"TBD"</formula>
    </cfRule>
    <cfRule type="cellIs" dxfId="452" priority="1630" operator="equal">
      <formula>"In Progress"</formula>
    </cfRule>
    <cfRule type="cellIs" dxfId="451" priority="1631" operator="equal">
      <formula>"Completed"</formula>
    </cfRule>
  </conditionalFormatting>
  <conditionalFormatting sqref="K39">
    <cfRule type="cellIs" dxfId="450" priority="1607" operator="equal">
      <formula>"Behind Schedule"</formula>
    </cfRule>
    <cfRule type="cellIs" dxfId="449" priority="1608" operator="equal">
      <formula>"TBD"</formula>
    </cfRule>
    <cfRule type="cellIs" dxfId="448" priority="1609" operator="equal">
      <formula>"In Progress"</formula>
    </cfRule>
    <cfRule type="cellIs" dxfId="447" priority="1610" operator="equal">
      <formula>"Completed"</formula>
    </cfRule>
  </conditionalFormatting>
  <conditionalFormatting sqref="K40:K41">
    <cfRule type="cellIs" dxfId="446" priority="1586" operator="equal">
      <formula>"Behind Schedule"</formula>
    </cfRule>
    <cfRule type="cellIs" dxfId="445" priority="1587" operator="equal">
      <formula>"TBD"</formula>
    </cfRule>
    <cfRule type="cellIs" dxfId="444" priority="1588" operator="equal">
      <formula>"In Progress"</formula>
    </cfRule>
    <cfRule type="cellIs" dxfId="443" priority="1589" operator="equal">
      <formula>"Completed"</formula>
    </cfRule>
  </conditionalFormatting>
  <conditionalFormatting sqref="K42">
    <cfRule type="cellIs" dxfId="442" priority="1565" operator="equal">
      <formula>"Behind Schedule"</formula>
    </cfRule>
    <cfRule type="cellIs" dxfId="441" priority="1566" operator="equal">
      <formula>"TBD"</formula>
    </cfRule>
    <cfRule type="cellIs" dxfId="440" priority="1567" operator="equal">
      <formula>"In Progress"</formula>
    </cfRule>
    <cfRule type="cellIs" dxfId="439" priority="1568" operator="equal">
      <formula>"Completed"</formula>
    </cfRule>
  </conditionalFormatting>
  <conditionalFormatting sqref="K43">
    <cfRule type="cellIs" dxfId="438" priority="1544" operator="equal">
      <formula>"Behind Schedule"</formula>
    </cfRule>
    <cfRule type="cellIs" dxfId="437" priority="1545" operator="equal">
      <formula>"TBD"</formula>
    </cfRule>
    <cfRule type="cellIs" dxfId="436" priority="1546" operator="equal">
      <formula>"In Progress"</formula>
    </cfRule>
    <cfRule type="cellIs" dxfId="435" priority="1547" operator="equal">
      <formula>"Completed"</formula>
    </cfRule>
  </conditionalFormatting>
  <conditionalFormatting sqref="K44">
    <cfRule type="cellIs" dxfId="434" priority="1523" operator="equal">
      <formula>"Behind Schedule"</formula>
    </cfRule>
    <cfRule type="cellIs" dxfId="433" priority="1524" operator="equal">
      <formula>"TBD"</formula>
    </cfRule>
    <cfRule type="cellIs" dxfId="432" priority="1525" operator="equal">
      <formula>"In Progress"</formula>
    </cfRule>
    <cfRule type="cellIs" dxfId="431" priority="1526" operator="equal">
      <formula>"Completed"</formula>
    </cfRule>
  </conditionalFormatting>
  <conditionalFormatting sqref="K45">
    <cfRule type="cellIs" dxfId="430" priority="1502" operator="equal">
      <formula>"Behind Schedule"</formula>
    </cfRule>
    <cfRule type="cellIs" dxfId="429" priority="1503" operator="equal">
      <formula>"TBD"</formula>
    </cfRule>
    <cfRule type="cellIs" dxfId="428" priority="1504" operator="equal">
      <formula>"In Progress"</formula>
    </cfRule>
    <cfRule type="cellIs" dxfId="427" priority="1505" operator="equal">
      <formula>"Completed"</formula>
    </cfRule>
  </conditionalFormatting>
  <conditionalFormatting sqref="K46">
    <cfRule type="cellIs" dxfId="426" priority="1481" operator="equal">
      <formula>"Behind Schedule"</formula>
    </cfRule>
    <cfRule type="cellIs" dxfId="425" priority="1482" operator="equal">
      <formula>"TBD"</formula>
    </cfRule>
    <cfRule type="cellIs" dxfId="424" priority="1483" operator="equal">
      <formula>"In Progress"</formula>
    </cfRule>
    <cfRule type="cellIs" dxfId="423" priority="1484" operator="equal">
      <formula>"Completed"</formula>
    </cfRule>
  </conditionalFormatting>
  <conditionalFormatting sqref="K47">
    <cfRule type="cellIs" dxfId="422" priority="1460" operator="equal">
      <formula>"Behind Schedule"</formula>
    </cfRule>
    <cfRule type="cellIs" dxfId="421" priority="1461" operator="equal">
      <formula>"TBD"</formula>
    </cfRule>
    <cfRule type="cellIs" dxfId="420" priority="1462" operator="equal">
      <formula>"In Progress"</formula>
    </cfRule>
    <cfRule type="cellIs" dxfId="419" priority="1463" operator="equal">
      <formula>"Completed"</formula>
    </cfRule>
  </conditionalFormatting>
  <conditionalFormatting sqref="K48">
    <cfRule type="cellIs" dxfId="418" priority="1439" operator="equal">
      <formula>"Behind Schedule"</formula>
    </cfRule>
    <cfRule type="cellIs" dxfId="417" priority="1440" operator="equal">
      <formula>"TBD"</formula>
    </cfRule>
    <cfRule type="cellIs" dxfId="416" priority="1441" operator="equal">
      <formula>"In Progress"</formula>
    </cfRule>
    <cfRule type="cellIs" dxfId="415" priority="1442" operator="equal">
      <formula>"Completed"</formula>
    </cfRule>
  </conditionalFormatting>
  <conditionalFormatting sqref="K49">
    <cfRule type="cellIs" dxfId="414" priority="1418" operator="equal">
      <formula>"Behind Schedule"</formula>
    </cfRule>
    <cfRule type="cellIs" dxfId="413" priority="1419" operator="equal">
      <formula>"TBD"</formula>
    </cfRule>
    <cfRule type="cellIs" dxfId="412" priority="1420" operator="equal">
      <formula>"In Progress"</formula>
    </cfRule>
    <cfRule type="cellIs" dxfId="411" priority="1421" operator="equal">
      <formula>"Completed"</formula>
    </cfRule>
  </conditionalFormatting>
  <conditionalFormatting sqref="K51">
    <cfRule type="cellIs" dxfId="410" priority="1397" operator="equal">
      <formula>"Behind Schedule"</formula>
    </cfRule>
    <cfRule type="cellIs" dxfId="409" priority="1398" operator="equal">
      <formula>"TBD"</formula>
    </cfRule>
    <cfRule type="cellIs" dxfId="408" priority="1399" operator="equal">
      <formula>"In Progress"</formula>
    </cfRule>
    <cfRule type="cellIs" dxfId="407" priority="1400" operator="equal">
      <formula>"Completed"</formula>
    </cfRule>
  </conditionalFormatting>
  <conditionalFormatting sqref="K52">
    <cfRule type="cellIs" dxfId="406" priority="1376" operator="equal">
      <formula>"Behind Schedule"</formula>
    </cfRule>
    <cfRule type="cellIs" dxfId="405" priority="1377" operator="equal">
      <formula>"TBD"</formula>
    </cfRule>
    <cfRule type="cellIs" dxfId="404" priority="1378" operator="equal">
      <formula>"In Progress"</formula>
    </cfRule>
    <cfRule type="cellIs" dxfId="403" priority="1379" operator="equal">
      <formula>"Completed"</formula>
    </cfRule>
  </conditionalFormatting>
  <conditionalFormatting sqref="K53">
    <cfRule type="cellIs" dxfId="402" priority="1334" operator="equal">
      <formula>"Behind Schedule"</formula>
    </cfRule>
    <cfRule type="cellIs" dxfId="401" priority="1335" operator="equal">
      <formula>"TBD"</formula>
    </cfRule>
    <cfRule type="cellIs" dxfId="400" priority="1336" operator="equal">
      <formula>"In Progress"</formula>
    </cfRule>
    <cfRule type="cellIs" dxfId="399" priority="1337" operator="equal">
      <formula>"Completed"</formula>
    </cfRule>
  </conditionalFormatting>
  <conditionalFormatting sqref="K54">
    <cfRule type="cellIs" dxfId="398" priority="1313" operator="equal">
      <formula>"Behind Schedule"</formula>
    </cfRule>
    <cfRule type="cellIs" dxfId="397" priority="1314" operator="equal">
      <formula>"TBD"</formula>
    </cfRule>
    <cfRule type="cellIs" dxfId="396" priority="1315" operator="equal">
      <formula>"In Progress"</formula>
    </cfRule>
    <cfRule type="cellIs" dxfId="395" priority="1316" operator="equal">
      <formula>"Completed"</formula>
    </cfRule>
  </conditionalFormatting>
  <conditionalFormatting sqref="K55">
    <cfRule type="cellIs" dxfId="394" priority="1292" operator="equal">
      <formula>"Behind Schedule"</formula>
    </cfRule>
    <cfRule type="cellIs" dxfId="393" priority="1293" operator="equal">
      <formula>"TBD"</formula>
    </cfRule>
    <cfRule type="cellIs" dxfId="392" priority="1294" operator="equal">
      <formula>"In Progress"</formula>
    </cfRule>
    <cfRule type="cellIs" dxfId="391" priority="1295" operator="equal">
      <formula>"Completed"</formula>
    </cfRule>
  </conditionalFormatting>
  <conditionalFormatting sqref="K50">
    <cfRule type="cellIs" dxfId="390" priority="1271" operator="equal">
      <formula>"Behind Schedule"</formula>
    </cfRule>
    <cfRule type="cellIs" dxfId="389" priority="1272" operator="equal">
      <formula>"TBD"</formula>
    </cfRule>
    <cfRule type="cellIs" dxfId="388" priority="1273" operator="equal">
      <formula>"In Progress"</formula>
    </cfRule>
    <cfRule type="cellIs" dxfId="387" priority="1274" operator="equal">
      <formula>"Completed"</formula>
    </cfRule>
  </conditionalFormatting>
  <conditionalFormatting sqref="K56">
    <cfRule type="cellIs" dxfId="386" priority="1250" operator="equal">
      <formula>"Behind Schedule"</formula>
    </cfRule>
    <cfRule type="cellIs" dxfId="385" priority="1251" operator="equal">
      <formula>"TBD"</formula>
    </cfRule>
    <cfRule type="cellIs" dxfId="384" priority="1252" operator="equal">
      <formula>"In Progress"</formula>
    </cfRule>
    <cfRule type="cellIs" dxfId="383" priority="1253" operator="equal">
      <formula>"Completed"</formula>
    </cfRule>
  </conditionalFormatting>
  <conditionalFormatting sqref="K57">
    <cfRule type="cellIs" dxfId="382" priority="1229" operator="equal">
      <formula>"Behind Schedule"</formula>
    </cfRule>
    <cfRule type="cellIs" dxfId="381" priority="1230" operator="equal">
      <formula>"TBD"</formula>
    </cfRule>
    <cfRule type="cellIs" dxfId="380" priority="1231" operator="equal">
      <formula>"In Progress"</formula>
    </cfRule>
    <cfRule type="cellIs" dxfId="379" priority="1232" operator="equal">
      <formula>"Completed"</formula>
    </cfRule>
  </conditionalFormatting>
  <conditionalFormatting sqref="K58">
    <cfRule type="cellIs" dxfId="378" priority="1208" operator="equal">
      <formula>"Behind Schedule"</formula>
    </cfRule>
    <cfRule type="cellIs" dxfId="377" priority="1209" operator="equal">
      <formula>"TBD"</formula>
    </cfRule>
    <cfRule type="cellIs" dxfId="376" priority="1210" operator="equal">
      <formula>"In Progress"</formula>
    </cfRule>
    <cfRule type="cellIs" dxfId="375" priority="1211" operator="equal">
      <formula>"Completed"</formula>
    </cfRule>
  </conditionalFormatting>
  <conditionalFormatting sqref="K59">
    <cfRule type="cellIs" dxfId="374" priority="1187" operator="equal">
      <formula>"Behind Schedule"</formula>
    </cfRule>
    <cfRule type="cellIs" dxfId="373" priority="1188" operator="equal">
      <formula>"TBD"</formula>
    </cfRule>
    <cfRule type="cellIs" dxfId="372" priority="1189" operator="equal">
      <formula>"In Progress"</formula>
    </cfRule>
    <cfRule type="cellIs" dxfId="371" priority="1190" operator="equal">
      <formula>"Completed"</formula>
    </cfRule>
  </conditionalFormatting>
  <conditionalFormatting sqref="K60">
    <cfRule type="cellIs" dxfId="370" priority="1166" operator="equal">
      <formula>"Behind Schedule"</formula>
    </cfRule>
    <cfRule type="cellIs" dxfId="369" priority="1167" operator="equal">
      <formula>"TBD"</formula>
    </cfRule>
    <cfRule type="cellIs" dxfId="368" priority="1168" operator="equal">
      <formula>"In Progress"</formula>
    </cfRule>
    <cfRule type="cellIs" dxfId="367" priority="1169" operator="equal">
      <formula>"Completed"</formula>
    </cfRule>
  </conditionalFormatting>
  <conditionalFormatting sqref="K61">
    <cfRule type="cellIs" dxfId="366" priority="1145" operator="equal">
      <formula>"Behind Schedule"</formula>
    </cfRule>
    <cfRule type="cellIs" dxfId="365" priority="1146" operator="equal">
      <formula>"TBD"</formula>
    </cfRule>
    <cfRule type="cellIs" dxfId="364" priority="1147" operator="equal">
      <formula>"In Progress"</formula>
    </cfRule>
    <cfRule type="cellIs" dxfId="363" priority="1148" operator="equal">
      <formula>"Completed"</formula>
    </cfRule>
  </conditionalFormatting>
  <conditionalFormatting sqref="K62">
    <cfRule type="cellIs" dxfId="362" priority="1124" operator="equal">
      <formula>"Behind Schedule"</formula>
    </cfRule>
    <cfRule type="cellIs" dxfId="361" priority="1125" operator="equal">
      <formula>"TBD"</formula>
    </cfRule>
    <cfRule type="cellIs" dxfId="360" priority="1126" operator="equal">
      <formula>"In Progress"</formula>
    </cfRule>
    <cfRule type="cellIs" dxfId="359" priority="1127" operator="equal">
      <formula>"Completed"</formula>
    </cfRule>
  </conditionalFormatting>
  <conditionalFormatting sqref="K63">
    <cfRule type="cellIs" dxfId="358" priority="1103" operator="equal">
      <formula>"Behind Schedule"</formula>
    </cfRule>
    <cfRule type="cellIs" dxfId="357" priority="1104" operator="equal">
      <formula>"TBD"</formula>
    </cfRule>
    <cfRule type="cellIs" dxfId="356" priority="1105" operator="equal">
      <formula>"In Progress"</formula>
    </cfRule>
    <cfRule type="cellIs" dxfId="355" priority="1106" operator="equal">
      <formula>"Completed"</formula>
    </cfRule>
  </conditionalFormatting>
  <conditionalFormatting sqref="K64">
    <cfRule type="cellIs" dxfId="354" priority="1082" operator="equal">
      <formula>"Behind Schedule"</formula>
    </cfRule>
    <cfRule type="cellIs" dxfId="353" priority="1083" operator="equal">
      <formula>"TBD"</formula>
    </cfRule>
    <cfRule type="cellIs" dxfId="352" priority="1084" operator="equal">
      <formula>"In Progress"</formula>
    </cfRule>
    <cfRule type="cellIs" dxfId="351" priority="1085" operator="equal">
      <formula>"Completed"</formula>
    </cfRule>
  </conditionalFormatting>
  <conditionalFormatting sqref="K65">
    <cfRule type="cellIs" dxfId="350" priority="1061" operator="equal">
      <formula>"Behind Schedule"</formula>
    </cfRule>
    <cfRule type="cellIs" dxfId="349" priority="1062" operator="equal">
      <formula>"TBD"</formula>
    </cfRule>
    <cfRule type="cellIs" dxfId="348" priority="1063" operator="equal">
      <formula>"In Progress"</formula>
    </cfRule>
    <cfRule type="cellIs" dxfId="347" priority="1064" operator="equal">
      <formula>"Completed"</formula>
    </cfRule>
  </conditionalFormatting>
  <conditionalFormatting sqref="K66">
    <cfRule type="cellIs" dxfId="346" priority="1040" operator="equal">
      <formula>"Behind Schedule"</formula>
    </cfRule>
    <cfRule type="cellIs" dxfId="345" priority="1041" operator="equal">
      <formula>"TBD"</formula>
    </cfRule>
    <cfRule type="cellIs" dxfId="344" priority="1042" operator="equal">
      <formula>"In Progress"</formula>
    </cfRule>
    <cfRule type="cellIs" dxfId="343" priority="1043" operator="equal">
      <formula>"Completed"</formula>
    </cfRule>
  </conditionalFormatting>
  <conditionalFormatting sqref="K67">
    <cfRule type="cellIs" dxfId="342" priority="1019" operator="equal">
      <formula>"Behind Schedule"</formula>
    </cfRule>
    <cfRule type="cellIs" dxfId="341" priority="1020" operator="equal">
      <formula>"TBD"</formula>
    </cfRule>
    <cfRule type="cellIs" dxfId="340" priority="1021" operator="equal">
      <formula>"In Progress"</formula>
    </cfRule>
    <cfRule type="cellIs" dxfId="339" priority="1022" operator="equal">
      <formula>"Completed"</formula>
    </cfRule>
  </conditionalFormatting>
  <conditionalFormatting sqref="K68">
    <cfRule type="cellIs" dxfId="338" priority="998" operator="equal">
      <formula>"Behind Schedule"</formula>
    </cfRule>
    <cfRule type="cellIs" dxfId="337" priority="999" operator="equal">
      <formula>"TBD"</formula>
    </cfRule>
    <cfRule type="cellIs" dxfId="336" priority="1000" operator="equal">
      <formula>"In Progress"</formula>
    </cfRule>
    <cfRule type="cellIs" dxfId="335" priority="1001" operator="equal">
      <formula>"Completed"</formula>
    </cfRule>
  </conditionalFormatting>
  <conditionalFormatting sqref="K69">
    <cfRule type="cellIs" dxfId="334" priority="977" operator="equal">
      <formula>"Behind Schedule"</formula>
    </cfRule>
    <cfRule type="cellIs" dxfId="333" priority="978" operator="equal">
      <formula>"TBD"</formula>
    </cfRule>
    <cfRule type="cellIs" dxfId="332" priority="979" operator="equal">
      <formula>"In Progress"</formula>
    </cfRule>
    <cfRule type="cellIs" dxfId="331" priority="980" operator="equal">
      <formula>"Completed"</formula>
    </cfRule>
  </conditionalFormatting>
  <conditionalFormatting sqref="K70">
    <cfRule type="cellIs" dxfId="330" priority="956" operator="equal">
      <formula>"Behind Schedule"</formula>
    </cfRule>
    <cfRule type="cellIs" dxfId="329" priority="957" operator="equal">
      <formula>"TBD"</formula>
    </cfRule>
    <cfRule type="cellIs" dxfId="328" priority="958" operator="equal">
      <formula>"In Progress"</formula>
    </cfRule>
    <cfRule type="cellIs" dxfId="327" priority="959" operator="equal">
      <formula>"Completed"</formula>
    </cfRule>
  </conditionalFormatting>
  <conditionalFormatting sqref="K71">
    <cfRule type="cellIs" dxfId="326" priority="935" operator="equal">
      <formula>"Behind Schedule"</formula>
    </cfRule>
    <cfRule type="cellIs" dxfId="325" priority="936" operator="equal">
      <formula>"TBD"</formula>
    </cfRule>
    <cfRule type="cellIs" dxfId="324" priority="937" operator="equal">
      <formula>"In Progress"</formula>
    </cfRule>
    <cfRule type="cellIs" dxfId="323" priority="938" operator="equal">
      <formula>"Completed"</formula>
    </cfRule>
  </conditionalFormatting>
  <conditionalFormatting sqref="K72">
    <cfRule type="cellIs" dxfId="322" priority="914" operator="equal">
      <formula>"Behind Schedule"</formula>
    </cfRule>
    <cfRule type="cellIs" dxfId="321" priority="915" operator="equal">
      <formula>"TBD"</formula>
    </cfRule>
    <cfRule type="cellIs" dxfId="320" priority="916" operator="equal">
      <formula>"In Progress"</formula>
    </cfRule>
    <cfRule type="cellIs" dxfId="319" priority="917" operator="equal">
      <formula>"Completed"</formula>
    </cfRule>
  </conditionalFormatting>
  <conditionalFormatting sqref="K73">
    <cfRule type="cellIs" dxfId="318" priority="893" operator="equal">
      <formula>"Behind Schedule"</formula>
    </cfRule>
    <cfRule type="cellIs" dxfId="317" priority="894" operator="equal">
      <formula>"TBD"</formula>
    </cfRule>
    <cfRule type="cellIs" dxfId="316" priority="895" operator="equal">
      <formula>"In Progress"</formula>
    </cfRule>
    <cfRule type="cellIs" dxfId="315" priority="896" operator="equal">
      <formula>"Completed"</formula>
    </cfRule>
  </conditionalFormatting>
  <conditionalFormatting sqref="K74">
    <cfRule type="cellIs" dxfId="314" priority="872" operator="equal">
      <formula>"Behind Schedule"</formula>
    </cfRule>
    <cfRule type="cellIs" dxfId="313" priority="873" operator="equal">
      <formula>"TBD"</formula>
    </cfRule>
    <cfRule type="cellIs" dxfId="312" priority="874" operator="equal">
      <formula>"In Progress"</formula>
    </cfRule>
    <cfRule type="cellIs" dxfId="311" priority="875" operator="equal">
      <formula>"Completed"</formula>
    </cfRule>
  </conditionalFormatting>
  <conditionalFormatting sqref="K75">
    <cfRule type="cellIs" dxfId="310" priority="851" operator="equal">
      <formula>"Behind Schedule"</formula>
    </cfRule>
    <cfRule type="cellIs" dxfId="309" priority="852" operator="equal">
      <formula>"TBD"</formula>
    </cfRule>
    <cfRule type="cellIs" dxfId="308" priority="853" operator="equal">
      <formula>"In Progress"</formula>
    </cfRule>
    <cfRule type="cellIs" dxfId="307" priority="854" operator="equal">
      <formula>"Completed"</formula>
    </cfRule>
  </conditionalFormatting>
  <conditionalFormatting sqref="K76">
    <cfRule type="cellIs" dxfId="306" priority="830" operator="equal">
      <formula>"Behind Schedule"</formula>
    </cfRule>
    <cfRule type="cellIs" dxfId="305" priority="831" operator="equal">
      <formula>"TBD"</formula>
    </cfRule>
    <cfRule type="cellIs" dxfId="304" priority="832" operator="equal">
      <formula>"In Progress"</formula>
    </cfRule>
    <cfRule type="cellIs" dxfId="303" priority="833" operator="equal">
      <formula>"Completed"</formula>
    </cfRule>
  </conditionalFormatting>
  <conditionalFormatting sqref="K77">
    <cfRule type="cellIs" dxfId="302" priority="809" operator="equal">
      <formula>"Behind Schedule"</formula>
    </cfRule>
    <cfRule type="cellIs" dxfId="301" priority="810" operator="equal">
      <formula>"TBD"</formula>
    </cfRule>
    <cfRule type="cellIs" dxfId="300" priority="811" operator="equal">
      <formula>"In Progress"</formula>
    </cfRule>
    <cfRule type="cellIs" dxfId="299" priority="812" operator="equal">
      <formula>"Completed"</formula>
    </cfRule>
  </conditionalFormatting>
  <conditionalFormatting sqref="K78">
    <cfRule type="cellIs" dxfId="298" priority="788" operator="equal">
      <formula>"Behind Schedule"</formula>
    </cfRule>
    <cfRule type="cellIs" dxfId="297" priority="789" operator="equal">
      <formula>"TBD"</formula>
    </cfRule>
    <cfRule type="cellIs" dxfId="296" priority="790" operator="equal">
      <formula>"In Progress"</formula>
    </cfRule>
    <cfRule type="cellIs" dxfId="295" priority="791" operator="equal">
      <formula>"Completed"</formula>
    </cfRule>
  </conditionalFormatting>
  <conditionalFormatting sqref="K79">
    <cfRule type="cellIs" dxfId="294" priority="767" operator="equal">
      <formula>"Behind Schedule"</formula>
    </cfRule>
    <cfRule type="cellIs" dxfId="293" priority="768" operator="equal">
      <formula>"TBD"</formula>
    </cfRule>
    <cfRule type="cellIs" dxfId="292" priority="769" operator="equal">
      <formula>"In Progress"</formula>
    </cfRule>
    <cfRule type="cellIs" dxfId="291" priority="770" operator="equal">
      <formula>"Completed"</formula>
    </cfRule>
  </conditionalFormatting>
  <conditionalFormatting sqref="K80">
    <cfRule type="cellIs" dxfId="290" priority="746" operator="equal">
      <formula>"Behind Schedule"</formula>
    </cfRule>
    <cfRule type="cellIs" dxfId="289" priority="747" operator="equal">
      <formula>"TBD"</formula>
    </cfRule>
    <cfRule type="cellIs" dxfId="288" priority="748" operator="equal">
      <formula>"In Progress"</formula>
    </cfRule>
    <cfRule type="cellIs" dxfId="287" priority="749" operator="equal">
      <formula>"Completed"</formula>
    </cfRule>
  </conditionalFormatting>
  <conditionalFormatting sqref="K81">
    <cfRule type="cellIs" dxfId="286" priority="725" operator="equal">
      <formula>"Behind Schedule"</formula>
    </cfRule>
    <cfRule type="cellIs" dxfId="285" priority="726" operator="equal">
      <formula>"TBD"</formula>
    </cfRule>
    <cfRule type="cellIs" dxfId="284" priority="727" operator="equal">
      <formula>"In Progress"</formula>
    </cfRule>
    <cfRule type="cellIs" dxfId="283" priority="728" operator="equal">
      <formula>"Completed"</formula>
    </cfRule>
  </conditionalFormatting>
  <conditionalFormatting sqref="K82">
    <cfRule type="cellIs" dxfId="282" priority="704" operator="equal">
      <formula>"Behind Schedule"</formula>
    </cfRule>
    <cfRule type="cellIs" dxfId="281" priority="705" operator="equal">
      <formula>"TBD"</formula>
    </cfRule>
    <cfRule type="cellIs" dxfId="280" priority="706" operator="equal">
      <formula>"In Progress"</formula>
    </cfRule>
    <cfRule type="cellIs" dxfId="279" priority="707" operator="equal">
      <formula>"Completed"</formula>
    </cfRule>
  </conditionalFormatting>
  <conditionalFormatting sqref="K83">
    <cfRule type="cellIs" dxfId="278" priority="683" operator="equal">
      <formula>"Behind Schedule"</formula>
    </cfRule>
    <cfRule type="cellIs" dxfId="277" priority="684" operator="equal">
      <formula>"TBD"</formula>
    </cfRule>
    <cfRule type="cellIs" dxfId="276" priority="685" operator="equal">
      <formula>"In Progress"</formula>
    </cfRule>
    <cfRule type="cellIs" dxfId="275" priority="686" operator="equal">
      <formula>"Completed"</formula>
    </cfRule>
  </conditionalFormatting>
  <conditionalFormatting sqref="K84">
    <cfRule type="cellIs" dxfId="274" priority="662" operator="equal">
      <formula>"Behind Schedule"</formula>
    </cfRule>
    <cfRule type="cellIs" dxfId="273" priority="663" operator="equal">
      <formula>"TBD"</formula>
    </cfRule>
    <cfRule type="cellIs" dxfId="272" priority="664" operator="equal">
      <formula>"In Progress"</formula>
    </cfRule>
    <cfRule type="cellIs" dxfId="271" priority="665" operator="equal">
      <formula>"Completed"</formula>
    </cfRule>
  </conditionalFormatting>
  <conditionalFormatting sqref="K85">
    <cfRule type="cellIs" dxfId="270" priority="641" operator="equal">
      <formula>"Behind Schedule"</formula>
    </cfRule>
    <cfRule type="cellIs" dxfId="269" priority="642" operator="equal">
      <formula>"TBD"</formula>
    </cfRule>
    <cfRule type="cellIs" dxfId="268" priority="643" operator="equal">
      <formula>"In Progress"</formula>
    </cfRule>
    <cfRule type="cellIs" dxfId="267" priority="644" operator="equal">
      <formula>"Completed"</formula>
    </cfRule>
  </conditionalFormatting>
  <conditionalFormatting sqref="K86">
    <cfRule type="cellIs" dxfId="266" priority="620" operator="equal">
      <formula>"Behind Schedule"</formula>
    </cfRule>
    <cfRule type="cellIs" dxfId="265" priority="621" operator="equal">
      <formula>"TBD"</formula>
    </cfRule>
    <cfRule type="cellIs" dxfId="264" priority="622" operator="equal">
      <formula>"In Progress"</formula>
    </cfRule>
    <cfRule type="cellIs" dxfId="263" priority="623" operator="equal">
      <formula>"Completed"</formula>
    </cfRule>
  </conditionalFormatting>
  <conditionalFormatting sqref="K87">
    <cfRule type="cellIs" dxfId="262" priority="599" operator="equal">
      <formula>"Behind Schedule"</formula>
    </cfRule>
    <cfRule type="cellIs" dxfId="261" priority="600" operator="equal">
      <formula>"TBD"</formula>
    </cfRule>
    <cfRule type="cellIs" dxfId="260" priority="601" operator="equal">
      <formula>"In Progress"</formula>
    </cfRule>
    <cfRule type="cellIs" dxfId="259" priority="602" operator="equal">
      <formula>"Completed"</formula>
    </cfRule>
  </conditionalFormatting>
  <conditionalFormatting sqref="K88">
    <cfRule type="cellIs" dxfId="258" priority="578" operator="equal">
      <formula>"Behind Schedule"</formula>
    </cfRule>
    <cfRule type="cellIs" dxfId="257" priority="579" operator="equal">
      <formula>"TBD"</formula>
    </cfRule>
    <cfRule type="cellIs" dxfId="256" priority="580" operator="equal">
      <formula>"In Progress"</formula>
    </cfRule>
    <cfRule type="cellIs" dxfId="255" priority="581" operator="equal">
      <formula>"Completed"</formula>
    </cfRule>
  </conditionalFormatting>
  <conditionalFormatting sqref="K89">
    <cfRule type="cellIs" dxfId="254" priority="557" operator="equal">
      <formula>"Behind Schedule"</formula>
    </cfRule>
    <cfRule type="cellIs" dxfId="253" priority="558" operator="equal">
      <formula>"TBD"</formula>
    </cfRule>
    <cfRule type="cellIs" dxfId="252" priority="559" operator="equal">
      <formula>"In Progress"</formula>
    </cfRule>
    <cfRule type="cellIs" dxfId="251" priority="560" operator="equal">
      <formula>"Completed"</formula>
    </cfRule>
  </conditionalFormatting>
  <conditionalFormatting sqref="K90">
    <cfRule type="cellIs" dxfId="250" priority="536" operator="equal">
      <formula>"Behind Schedule"</formula>
    </cfRule>
    <cfRule type="cellIs" dxfId="249" priority="537" operator="equal">
      <formula>"TBD"</formula>
    </cfRule>
    <cfRule type="cellIs" dxfId="248" priority="538" operator="equal">
      <formula>"In Progress"</formula>
    </cfRule>
    <cfRule type="cellIs" dxfId="247" priority="539" operator="equal">
      <formula>"Completed"</formula>
    </cfRule>
  </conditionalFormatting>
  <conditionalFormatting sqref="K91">
    <cfRule type="cellIs" dxfId="246" priority="515" operator="equal">
      <formula>"Behind Schedule"</formula>
    </cfRule>
    <cfRule type="cellIs" dxfId="245" priority="516" operator="equal">
      <formula>"TBD"</formula>
    </cfRule>
    <cfRule type="cellIs" dxfId="244" priority="517" operator="equal">
      <formula>"In Progress"</formula>
    </cfRule>
    <cfRule type="cellIs" dxfId="243" priority="518" operator="equal">
      <formula>"Completed"</formula>
    </cfRule>
  </conditionalFormatting>
  <conditionalFormatting sqref="K92">
    <cfRule type="cellIs" dxfId="242" priority="494" operator="equal">
      <formula>"Behind Schedule"</formula>
    </cfRule>
    <cfRule type="cellIs" dxfId="241" priority="495" operator="equal">
      <formula>"TBD"</formula>
    </cfRule>
    <cfRule type="cellIs" dxfId="240" priority="496" operator="equal">
      <formula>"In Progress"</formula>
    </cfRule>
    <cfRule type="cellIs" dxfId="239" priority="497" operator="equal">
      <formula>"Completed"</formula>
    </cfRule>
  </conditionalFormatting>
  <conditionalFormatting sqref="K93">
    <cfRule type="cellIs" dxfId="238" priority="473" operator="equal">
      <formula>"Behind Schedule"</formula>
    </cfRule>
    <cfRule type="cellIs" dxfId="237" priority="474" operator="equal">
      <formula>"TBD"</formula>
    </cfRule>
    <cfRule type="cellIs" dxfId="236" priority="475" operator="equal">
      <formula>"In Progress"</formula>
    </cfRule>
    <cfRule type="cellIs" dxfId="235" priority="476" operator="equal">
      <formula>"Completed"</formula>
    </cfRule>
  </conditionalFormatting>
  <conditionalFormatting sqref="K94">
    <cfRule type="cellIs" dxfId="234" priority="452" operator="equal">
      <formula>"Behind Schedule"</formula>
    </cfRule>
    <cfRule type="cellIs" dxfId="233" priority="453" operator="equal">
      <formula>"TBD"</formula>
    </cfRule>
    <cfRule type="cellIs" dxfId="232" priority="454" operator="equal">
      <formula>"In Progress"</formula>
    </cfRule>
    <cfRule type="cellIs" dxfId="231" priority="455" operator="equal">
      <formula>"Completed"</formula>
    </cfRule>
  </conditionalFormatting>
  <conditionalFormatting sqref="K95">
    <cfRule type="cellIs" dxfId="230" priority="431" operator="equal">
      <formula>"Behind Schedule"</formula>
    </cfRule>
    <cfRule type="cellIs" dxfId="229" priority="432" operator="equal">
      <formula>"TBD"</formula>
    </cfRule>
    <cfRule type="cellIs" dxfId="228" priority="433" operator="equal">
      <formula>"In Progress"</formula>
    </cfRule>
    <cfRule type="cellIs" dxfId="227" priority="434" operator="equal">
      <formula>"Completed"</formula>
    </cfRule>
  </conditionalFormatting>
  <conditionalFormatting sqref="K96">
    <cfRule type="cellIs" dxfId="226" priority="410" operator="equal">
      <formula>"Behind Schedule"</formula>
    </cfRule>
    <cfRule type="cellIs" dxfId="225" priority="411" operator="equal">
      <formula>"TBD"</formula>
    </cfRule>
    <cfRule type="cellIs" dxfId="224" priority="412" operator="equal">
      <formula>"In Progress"</formula>
    </cfRule>
    <cfRule type="cellIs" dxfId="223" priority="413" operator="equal">
      <formula>"Completed"</formula>
    </cfRule>
  </conditionalFormatting>
  <conditionalFormatting sqref="K97">
    <cfRule type="cellIs" dxfId="222" priority="389" operator="equal">
      <formula>"Behind Schedule"</formula>
    </cfRule>
    <cfRule type="cellIs" dxfId="221" priority="390" operator="equal">
      <formula>"TBD"</formula>
    </cfRule>
    <cfRule type="cellIs" dxfId="220" priority="391" operator="equal">
      <formula>"In Progress"</formula>
    </cfRule>
    <cfRule type="cellIs" dxfId="219" priority="392" operator="equal">
      <formula>"Completed"</formula>
    </cfRule>
  </conditionalFormatting>
  <conditionalFormatting sqref="K98">
    <cfRule type="cellIs" dxfId="218" priority="368" operator="equal">
      <formula>"Behind Schedule"</formula>
    </cfRule>
    <cfRule type="cellIs" dxfId="217" priority="369" operator="equal">
      <formula>"TBD"</formula>
    </cfRule>
    <cfRule type="cellIs" dxfId="216" priority="370" operator="equal">
      <formula>"In Progress"</formula>
    </cfRule>
    <cfRule type="cellIs" dxfId="215" priority="371" operator="equal">
      <formula>"Completed"</formula>
    </cfRule>
  </conditionalFormatting>
  <conditionalFormatting sqref="K99">
    <cfRule type="cellIs" dxfId="214" priority="347" operator="equal">
      <formula>"Behind Schedule"</formula>
    </cfRule>
    <cfRule type="cellIs" dxfId="213" priority="348" operator="equal">
      <formula>"TBD"</formula>
    </cfRule>
    <cfRule type="cellIs" dxfId="212" priority="349" operator="equal">
      <formula>"In Progress"</formula>
    </cfRule>
    <cfRule type="cellIs" dxfId="211" priority="350" operator="equal">
      <formula>"Completed"</formula>
    </cfRule>
  </conditionalFormatting>
  <conditionalFormatting sqref="K100">
    <cfRule type="cellIs" dxfId="210" priority="326" operator="equal">
      <formula>"Behind Schedule"</formula>
    </cfRule>
    <cfRule type="cellIs" dxfId="209" priority="327" operator="equal">
      <formula>"TBD"</formula>
    </cfRule>
    <cfRule type="cellIs" dxfId="208" priority="328" operator="equal">
      <formula>"In Progress"</formula>
    </cfRule>
    <cfRule type="cellIs" dxfId="207" priority="329" operator="equal">
      <formula>"Completed"</formula>
    </cfRule>
  </conditionalFormatting>
  <conditionalFormatting sqref="K101">
    <cfRule type="cellIs" dxfId="206" priority="305" operator="equal">
      <formula>"Behind Schedule"</formula>
    </cfRule>
    <cfRule type="cellIs" dxfId="205" priority="306" operator="equal">
      <formula>"TBD"</formula>
    </cfRule>
    <cfRule type="cellIs" dxfId="204" priority="307" operator="equal">
      <formula>"In Progress"</formula>
    </cfRule>
    <cfRule type="cellIs" dxfId="203" priority="308" operator="equal">
      <formula>"Completed"</formula>
    </cfRule>
  </conditionalFormatting>
  <conditionalFormatting sqref="K102">
    <cfRule type="cellIs" dxfId="202" priority="284" operator="equal">
      <formula>"Behind Schedule"</formula>
    </cfRule>
    <cfRule type="cellIs" dxfId="201" priority="285" operator="equal">
      <formula>"TBD"</formula>
    </cfRule>
    <cfRule type="cellIs" dxfId="200" priority="286" operator="equal">
      <formula>"In Progress"</formula>
    </cfRule>
    <cfRule type="cellIs" dxfId="199" priority="287" operator="equal">
      <formula>"Completed"</formula>
    </cfRule>
  </conditionalFormatting>
  <conditionalFormatting sqref="K103">
    <cfRule type="cellIs" dxfId="198" priority="263" operator="equal">
      <formula>"Behind Schedule"</formula>
    </cfRule>
    <cfRule type="cellIs" dxfId="197" priority="264" operator="equal">
      <formula>"TBD"</formula>
    </cfRule>
    <cfRule type="cellIs" dxfId="196" priority="265" operator="equal">
      <formula>"In Progress"</formula>
    </cfRule>
    <cfRule type="cellIs" dxfId="195" priority="266" operator="equal">
      <formula>"Completed"</formula>
    </cfRule>
  </conditionalFormatting>
  <conditionalFormatting sqref="K104">
    <cfRule type="cellIs" dxfId="194" priority="242" operator="equal">
      <formula>"Behind Schedule"</formula>
    </cfRule>
    <cfRule type="cellIs" dxfId="193" priority="243" operator="equal">
      <formula>"TBD"</formula>
    </cfRule>
    <cfRule type="cellIs" dxfId="192" priority="244" operator="equal">
      <formula>"In Progress"</formula>
    </cfRule>
    <cfRule type="cellIs" dxfId="191" priority="245" operator="equal">
      <formula>"Completed"</formula>
    </cfRule>
  </conditionalFormatting>
  <conditionalFormatting sqref="K105">
    <cfRule type="cellIs" dxfId="190" priority="221" operator="equal">
      <formula>"Behind Schedule"</formula>
    </cfRule>
    <cfRule type="cellIs" dxfId="189" priority="222" operator="equal">
      <formula>"TBD"</formula>
    </cfRule>
    <cfRule type="cellIs" dxfId="188" priority="223" operator="equal">
      <formula>"In Progress"</formula>
    </cfRule>
    <cfRule type="cellIs" dxfId="187" priority="224" operator="equal">
      <formula>"Completed"</formula>
    </cfRule>
  </conditionalFormatting>
  <conditionalFormatting sqref="K106">
    <cfRule type="cellIs" dxfId="186" priority="200" operator="equal">
      <formula>"Behind Schedule"</formula>
    </cfRule>
    <cfRule type="cellIs" dxfId="185" priority="201" operator="equal">
      <formula>"TBD"</formula>
    </cfRule>
    <cfRule type="cellIs" dxfId="184" priority="202" operator="equal">
      <formula>"In Progress"</formula>
    </cfRule>
    <cfRule type="cellIs" dxfId="183" priority="203" operator="equal">
      <formula>"Completed"</formula>
    </cfRule>
  </conditionalFormatting>
  <conditionalFormatting sqref="K107">
    <cfRule type="cellIs" dxfId="182" priority="179" operator="equal">
      <formula>"Behind Schedule"</formula>
    </cfRule>
    <cfRule type="cellIs" dxfId="181" priority="180" operator="equal">
      <formula>"TBD"</formula>
    </cfRule>
    <cfRule type="cellIs" dxfId="180" priority="181" operator="equal">
      <formula>"In Progress"</formula>
    </cfRule>
    <cfRule type="cellIs" dxfId="179" priority="182" operator="equal">
      <formula>"Completed"</formula>
    </cfRule>
  </conditionalFormatting>
  <conditionalFormatting sqref="K108">
    <cfRule type="cellIs" dxfId="178" priority="158" operator="equal">
      <formula>"Behind Schedule"</formula>
    </cfRule>
    <cfRule type="cellIs" dxfId="177" priority="159" operator="equal">
      <formula>"TBD"</formula>
    </cfRule>
    <cfRule type="cellIs" dxfId="176" priority="160" operator="equal">
      <formula>"In Progress"</formula>
    </cfRule>
    <cfRule type="cellIs" dxfId="175" priority="161" operator="equal">
      <formula>"Completed"</formula>
    </cfRule>
  </conditionalFormatting>
  <conditionalFormatting sqref="K109:K118">
    <cfRule type="cellIs" dxfId="174" priority="137" operator="equal">
      <formula>"Behind Schedule"</formula>
    </cfRule>
    <cfRule type="cellIs" dxfId="173" priority="138" operator="equal">
      <formula>"TBD"</formula>
    </cfRule>
    <cfRule type="cellIs" dxfId="172" priority="139" operator="equal">
      <formula>"In Progress"</formula>
    </cfRule>
    <cfRule type="cellIs" dxfId="171" priority="140" operator="equal">
      <formula>"Completed"</formula>
    </cfRule>
  </conditionalFormatting>
  <conditionalFormatting sqref="K119">
    <cfRule type="cellIs" dxfId="170" priority="133" operator="equal">
      <formula>"Behind Schedule"</formula>
    </cfRule>
    <cfRule type="cellIs" dxfId="169" priority="134" operator="equal">
      <formula>"TBD"</formula>
    </cfRule>
    <cfRule type="cellIs" dxfId="168" priority="135" operator="equal">
      <formula>"In Progress"</formula>
    </cfRule>
    <cfRule type="cellIs" dxfId="167" priority="136" operator="equal">
      <formula>"Completed"</formula>
    </cfRule>
  </conditionalFormatting>
  <conditionalFormatting sqref="K120">
    <cfRule type="cellIs" dxfId="166" priority="129" operator="equal">
      <formula>"Behind Schedule"</formula>
    </cfRule>
    <cfRule type="cellIs" dxfId="165" priority="130" operator="equal">
      <formula>"TBD"</formula>
    </cfRule>
    <cfRule type="cellIs" dxfId="164" priority="131" operator="equal">
      <formula>"In Progress"</formula>
    </cfRule>
    <cfRule type="cellIs" dxfId="163" priority="132" operator="equal">
      <formula>"Completed"</formula>
    </cfRule>
  </conditionalFormatting>
  <conditionalFormatting sqref="K121">
    <cfRule type="cellIs" dxfId="162" priority="125" operator="equal">
      <formula>"Behind Schedule"</formula>
    </cfRule>
    <cfRule type="cellIs" dxfId="161" priority="126" operator="equal">
      <formula>"TBD"</formula>
    </cfRule>
    <cfRule type="cellIs" dxfId="160" priority="127" operator="equal">
      <formula>"In Progress"</formula>
    </cfRule>
    <cfRule type="cellIs" dxfId="159" priority="128" operator="equal">
      <formula>"Completed"</formula>
    </cfRule>
  </conditionalFormatting>
  <conditionalFormatting sqref="K122">
    <cfRule type="cellIs" dxfId="158" priority="121" operator="equal">
      <formula>"Behind Schedule"</formula>
    </cfRule>
    <cfRule type="cellIs" dxfId="157" priority="122" operator="equal">
      <formula>"TBD"</formula>
    </cfRule>
    <cfRule type="cellIs" dxfId="156" priority="123" operator="equal">
      <formula>"In Progress"</formula>
    </cfRule>
    <cfRule type="cellIs" dxfId="155" priority="124" operator="equal">
      <formula>"Completed"</formula>
    </cfRule>
  </conditionalFormatting>
  <conditionalFormatting sqref="K123">
    <cfRule type="cellIs" dxfId="154" priority="117" operator="equal">
      <formula>"Behind Schedule"</formula>
    </cfRule>
    <cfRule type="cellIs" dxfId="153" priority="118" operator="equal">
      <formula>"TBD"</formula>
    </cfRule>
    <cfRule type="cellIs" dxfId="152" priority="119" operator="equal">
      <formula>"In Progress"</formula>
    </cfRule>
    <cfRule type="cellIs" dxfId="151" priority="120" operator="equal">
      <formula>"Completed"</formula>
    </cfRule>
  </conditionalFormatting>
  <conditionalFormatting sqref="K124">
    <cfRule type="cellIs" dxfId="150" priority="113" operator="equal">
      <formula>"Behind Schedule"</formula>
    </cfRule>
    <cfRule type="cellIs" dxfId="149" priority="114" operator="equal">
      <formula>"TBD"</formula>
    </cfRule>
    <cfRule type="cellIs" dxfId="148" priority="115" operator="equal">
      <formula>"In Progress"</formula>
    </cfRule>
    <cfRule type="cellIs" dxfId="147" priority="116" operator="equal">
      <formula>"Completed"</formula>
    </cfRule>
  </conditionalFormatting>
  <conditionalFormatting sqref="K125">
    <cfRule type="cellIs" dxfId="146" priority="109" operator="equal">
      <formula>"Behind Schedule"</formula>
    </cfRule>
    <cfRule type="cellIs" dxfId="145" priority="110" operator="equal">
      <formula>"TBD"</formula>
    </cfRule>
    <cfRule type="cellIs" dxfId="144" priority="111" operator="equal">
      <formula>"In Progress"</formula>
    </cfRule>
    <cfRule type="cellIs" dxfId="143" priority="112" operator="equal">
      <formula>"Completed"</formula>
    </cfRule>
  </conditionalFormatting>
  <conditionalFormatting sqref="K126">
    <cfRule type="cellIs" dxfId="142" priority="105" operator="equal">
      <formula>"Behind Schedule"</formula>
    </cfRule>
    <cfRule type="cellIs" dxfId="141" priority="106" operator="equal">
      <formula>"TBD"</formula>
    </cfRule>
    <cfRule type="cellIs" dxfId="140" priority="107" operator="equal">
      <formula>"In Progress"</formula>
    </cfRule>
    <cfRule type="cellIs" dxfId="139" priority="108" operator="equal">
      <formula>"Completed"</formula>
    </cfRule>
  </conditionalFormatting>
  <conditionalFormatting sqref="K127">
    <cfRule type="cellIs" dxfId="138" priority="101" operator="equal">
      <formula>"Behind Schedule"</formula>
    </cfRule>
    <cfRule type="cellIs" dxfId="137" priority="102" operator="equal">
      <formula>"TBD"</formula>
    </cfRule>
    <cfRule type="cellIs" dxfId="136" priority="103" operator="equal">
      <formula>"In Progress"</formula>
    </cfRule>
    <cfRule type="cellIs" dxfId="135" priority="104" operator="equal">
      <formula>"Completed"</formula>
    </cfRule>
  </conditionalFormatting>
  <conditionalFormatting sqref="K128">
    <cfRule type="cellIs" dxfId="134" priority="97" operator="equal">
      <formula>"Behind Schedule"</formula>
    </cfRule>
    <cfRule type="cellIs" dxfId="133" priority="98" operator="equal">
      <formula>"TBD"</formula>
    </cfRule>
    <cfRule type="cellIs" dxfId="132" priority="99" operator="equal">
      <formula>"In Progress"</formula>
    </cfRule>
    <cfRule type="cellIs" dxfId="131" priority="100" operator="equal">
      <formula>"Completed"</formula>
    </cfRule>
  </conditionalFormatting>
  <conditionalFormatting sqref="K129">
    <cfRule type="cellIs" dxfId="130" priority="93" operator="equal">
      <formula>"Behind Schedule"</formula>
    </cfRule>
    <cfRule type="cellIs" dxfId="129" priority="94" operator="equal">
      <formula>"TBD"</formula>
    </cfRule>
    <cfRule type="cellIs" dxfId="128" priority="95" operator="equal">
      <formula>"In Progress"</formula>
    </cfRule>
    <cfRule type="cellIs" dxfId="127" priority="96" operator="equal">
      <formula>"Completed"</formula>
    </cfRule>
  </conditionalFormatting>
  <conditionalFormatting sqref="K130">
    <cfRule type="cellIs" dxfId="126" priority="89" operator="equal">
      <formula>"Behind Schedule"</formula>
    </cfRule>
    <cfRule type="cellIs" dxfId="125" priority="90" operator="equal">
      <formula>"TBD"</formula>
    </cfRule>
    <cfRule type="cellIs" dxfId="124" priority="91" operator="equal">
      <formula>"In Progress"</formula>
    </cfRule>
    <cfRule type="cellIs" dxfId="123" priority="92" operator="equal">
      <formula>"Completed"</formula>
    </cfRule>
  </conditionalFormatting>
  <conditionalFormatting sqref="K131">
    <cfRule type="cellIs" dxfId="122" priority="85" operator="equal">
      <formula>"Behind Schedule"</formula>
    </cfRule>
    <cfRule type="cellIs" dxfId="121" priority="86" operator="equal">
      <formula>"TBD"</formula>
    </cfRule>
    <cfRule type="cellIs" dxfId="120" priority="87" operator="equal">
      <formula>"In Progress"</formula>
    </cfRule>
    <cfRule type="cellIs" dxfId="119" priority="88" operator="equal">
      <formula>"Completed"</formula>
    </cfRule>
  </conditionalFormatting>
  <conditionalFormatting sqref="K132">
    <cfRule type="cellIs" dxfId="118" priority="81" operator="equal">
      <formula>"Behind Schedule"</formula>
    </cfRule>
    <cfRule type="cellIs" dxfId="117" priority="82" operator="equal">
      <formula>"TBD"</formula>
    </cfRule>
    <cfRule type="cellIs" dxfId="116" priority="83" operator="equal">
      <formula>"In Progress"</formula>
    </cfRule>
    <cfRule type="cellIs" dxfId="115" priority="84" operator="equal">
      <formula>"Completed"</formula>
    </cfRule>
  </conditionalFormatting>
  <conditionalFormatting sqref="K133">
    <cfRule type="cellIs" dxfId="114" priority="77" operator="equal">
      <formula>"Behind Schedule"</formula>
    </cfRule>
    <cfRule type="cellIs" dxfId="113" priority="78" operator="equal">
      <formula>"TBD"</formula>
    </cfRule>
    <cfRule type="cellIs" dxfId="112" priority="79" operator="equal">
      <formula>"In Progress"</formula>
    </cfRule>
    <cfRule type="cellIs" dxfId="111" priority="80" operator="equal">
      <formula>"Completed"</formula>
    </cfRule>
  </conditionalFormatting>
  <conditionalFormatting sqref="K134">
    <cfRule type="cellIs" dxfId="110" priority="73" operator="equal">
      <formula>"Behind Schedule"</formula>
    </cfRule>
    <cfRule type="cellIs" dxfId="109" priority="74" operator="equal">
      <formula>"TBD"</formula>
    </cfRule>
    <cfRule type="cellIs" dxfId="108" priority="75" operator="equal">
      <formula>"In Progress"</formula>
    </cfRule>
    <cfRule type="cellIs" dxfId="107" priority="76" operator="equal">
      <formula>"Completed"</formula>
    </cfRule>
  </conditionalFormatting>
  <conditionalFormatting sqref="K135">
    <cfRule type="cellIs" dxfId="106" priority="69" operator="equal">
      <formula>"Behind Schedule"</formula>
    </cfRule>
    <cfRule type="cellIs" dxfId="105" priority="70" operator="equal">
      <formula>"TBD"</formula>
    </cfRule>
    <cfRule type="cellIs" dxfId="104" priority="71" operator="equal">
      <formula>"In Progress"</formula>
    </cfRule>
    <cfRule type="cellIs" dxfId="103" priority="72" operator="equal">
      <formula>"Completed"</formula>
    </cfRule>
  </conditionalFormatting>
  <conditionalFormatting sqref="K136">
    <cfRule type="cellIs" dxfId="102" priority="65" operator="equal">
      <formula>"Behind Schedule"</formula>
    </cfRule>
    <cfRule type="cellIs" dxfId="101" priority="66" operator="equal">
      <formula>"TBD"</formula>
    </cfRule>
    <cfRule type="cellIs" dxfId="100" priority="67" operator="equal">
      <formula>"In Progress"</formula>
    </cfRule>
    <cfRule type="cellIs" dxfId="99" priority="68" operator="equal">
      <formula>"Completed"</formula>
    </cfRule>
  </conditionalFormatting>
  <conditionalFormatting sqref="K137">
    <cfRule type="cellIs" dxfId="98" priority="61" operator="equal">
      <formula>"Behind Schedule"</formula>
    </cfRule>
    <cfRule type="cellIs" dxfId="97" priority="62" operator="equal">
      <formula>"TBD"</formula>
    </cfRule>
    <cfRule type="cellIs" dxfId="96" priority="63" operator="equal">
      <formula>"In Progress"</formula>
    </cfRule>
    <cfRule type="cellIs" dxfId="95" priority="64" operator="equal">
      <formula>"Completed"</formula>
    </cfRule>
  </conditionalFormatting>
  <conditionalFormatting sqref="K138">
    <cfRule type="cellIs" dxfId="94" priority="57" operator="equal">
      <formula>"Behind Schedule"</formula>
    </cfRule>
    <cfRule type="cellIs" dxfId="93" priority="58" operator="equal">
      <formula>"TBD"</formula>
    </cfRule>
    <cfRule type="cellIs" dxfId="92" priority="59" operator="equal">
      <formula>"In Progress"</formula>
    </cfRule>
    <cfRule type="cellIs" dxfId="91" priority="60" operator="equal">
      <formula>"Completed"</formula>
    </cfRule>
  </conditionalFormatting>
  <conditionalFormatting sqref="K139">
    <cfRule type="cellIs" dxfId="90" priority="53" operator="equal">
      <formula>"Behind Schedule"</formula>
    </cfRule>
    <cfRule type="cellIs" dxfId="89" priority="54" operator="equal">
      <formula>"TBD"</formula>
    </cfRule>
    <cfRule type="cellIs" dxfId="88" priority="55" operator="equal">
      <formula>"In Progress"</formula>
    </cfRule>
    <cfRule type="cellIs" dxfId="87" priority="56" operator="equal">
      <formula>"Completed"</formula>
    </cfRule>
  </conditionalFormatting>
  <conditionalFormatting sqref="K140">
    <cfRule type="cellIs" dxfId="86" priority="49" operator="equal">
      <formula>"Behind Schedule"</formula>
    </cfRule>
    <cfRule type="cellIs" dxfId="85" priority="50" operator="equal">
      <formula>"TBD"</formula>
    </cfRule>
    <cfRule type="cellIs" dxfId="84" priority="51" operator="equal">
      <formula>"In Progress"</formula>
    </cfRule>
    <cfRule type="cellIs" dxfId="83" priority="52" operator="equal">
      <formula>"Completed"</formula>
    </cfRule>
  </conditionalFormatting>
  <conditionalFormatting sqref="K141">
    <cfRule type="cellIs" dxfId="82" priority="45" operator="equal">
      <formula>"Behind Schedule"</formula>
    </cfRule>
    <cfRule type="cellIs" dxfId="81" priority="46" operator="equal">
      <formula>"TBD"</formula>
    </cfRule>
    <cfRule type="cellIs" dxfId="80" priority="47" operator="equal">
      <formula>"In Progress"</formula>
    </cfRule>
    <cfRule type="cellIs" dxfId="79" priority="48" operator="equal">
      <formula>"Completed"</formula>
    </cfRule>
  </conditionalFormatting>
  <conditionalFormatting sqref="K142">
    <cfRule type="cellIs" dxfId="78" priority="41" operator="equal">
      <formula>"Behind Schedule"</formula>
    </cfRule>
    <cfRule type="cellIs" dxfId="77" priority="42" operator="equal">
      <formula>"TBD"</formula>
    </cfRule>
    <cfRule type="cellIs" dxfId="76" priority="43" operator="equal">
      <formula>"In Progress"</formula>
    </cfRule>
    <cfRule type="cellIs" dxfId="75" priority="44" operator="equal">
      <formula>"Completed"</formula>
    </cfRule>
  </conditionalFormatting>
  <conditionalFormatting sqref="K143">
    <cfRule type="cellIs" dxfId="74" priority="37" operator="equal">
      <formula>"Behind Schedule"</formula>
    </cfRule>
    <cfRule type="cellIs" dxfId="73" priority="38" operator="equal">
      <formula>"TBD"</formula>
    </cfRule>
    <cfRule type="cellIs" dxfId="72" priority="39" operator="equal">
      <formula>"In Progress"</formula>
    </cfRule>
    <cfRule type="cellIs" dxfId="71" priority="40" operator="equal">
      <formula>"Completed"</formula>
    </cfRule>
  </conditionalFormatting>
  <conditionalFormatting sqref="K144">
    <cfRule type="cellIs" dxfId="70" priority="33" operator="equal">
      <formula>"Behind Schedule"</formula>
    </cfRule>
    <cfRule type="cellIs" dxfId="69" priority="34" operator="equal">
      <formula>"TBD"</formula>
    </cfRule>
    <cfRule type="cellIs" dxfId="68" priority="35" operator="equal">
      <formula>"In Progress"</formula>
    </cfRule>
    <cfRule type="cellIs" dxfId="67" priority="36" operator="equal">
      <formula>"Completed"</formula>
    </cfRule>
  </conditionalFormatting>
  <conditionalFormatting sqref="K145">
    <cfRule type="cellIs" dxfId="66" priority="29" operator="equal">
      <formula>"Behind Schedule"</formula>
    </cfRule>
    <cfRule type="cellIs" dxfId="65" priority="30" operator="equal">
      <formula>"TBD"</formula>
    </cfRule>
    <cfRule type="cellIs" dxfId="64" priority="31" operator="equal">
      <formula>"In Progress"</formula>
    </cfRule>
    <cfRule type="cellIs" dxfId="63" priority="32" operator="equal">
      <formula>"Completed"</formula>
    </cfRule>
  </conditionalFormatting>
  <conditionalFormatting sqref="K146">
    <cfRule type="cellIs" dxfId="62" priority="25" operator="equal">
      <formula>"Behind Schedule"</formula>
    </cfRule>
    <cfRule type="cellIs" dxfId="61" priority="26" operator="equal">
      <formula>"TBD"</formula>
    </cfRule>
    <cfRule type="cellIs" dxfId="60" priority="27" operator="equal">
      <formula>"In Progress"</formula>
    </cfRule>
    <cfRule type="cellIs" dxfId="59" priority="28" operator="equal">
      <formula>"Completed"</formula>
    </cfRule>
  </conditionalFormatting>
  <conditionalFormatting sqref="K147:K148">
    <cfRule type="cellIs" dxfId="58" priority="21" operator="equal">
      <formula>"Behind Schedule"</formula>
    </cfRule>
    <cfRule type="cellIs" dxfId="57" priority="22" operator="equal">
      <formula>"TBD"</formula>
    </cfRule>
    <cfRule type="cellIs" dxfId="56" priority="23" operator="equal">
      <formula>"In Progress"</formula>
    </cfRule>
    <cfRule type="cellIs" dxfId="55" priority="24" operator="equal">
      <formula>"Completed"</formula>
    </cfRule>
  </conditionalFormatting>
  <conditionalFormatting sqref="K149">
    <cfRule type="cellIs" dxfId="54" priority="17" operator="equal">
      <formula>"Behind Schedule"</formula>
    </cfRule>
    <cfRule type="cellIs" dxfId="53" priority="18" operator="equal">
      <formula>"TBD"</formula>
    </cfRule>
    <cfRule type="cellIs" dxfId="52" priority="19" operator="equal">
      <formula>"In Progress"</formula>
    </cfRule>
    <cfRule type="cellIs" dxfId="51" priority="20" operator="equal">
      <formula>"Completed"</formula>
    </cfRule>
  </conditionalFormatting>
  <conditionalFormatting sqref="K150">
    <cfRule type="cellIs" dxfId="50" priority="13" operator="equal">
      <formula>"Behind Schedule"</formula>
    </cfRule>
    <cfRule type="cellIs" dxfId="49" priority="14" operator="equal">
      <formula>"TBD"</formula>
    </cfRule>
    <cfRule type="cellIs" dxfId="48" priority="15" operator="equal">
      <formula>"In Progress"</formula>
    </cfRule>
    <cfRule type="cellIs" dxfId="47" priority="16" operator="equal">
      <formula>"Completed"</formula>
    </cfRule>
  </conditionalFormatting>
  <conditionalFormatting sqref="K151">
    <cfRule type="cellIs" dxfId="46" priority="9" operator="equal">
      <formula>"Behind Schedule"</formula>
    </cfRule>
    <cfRule type="cellIs" dxfId="45" priority="10" operator="equal">
      <formula>"TBD"</formula>
    </cfRule>
    <cfRule type="cellIs" dxfId="44" priority="11" operator="equal">
      <formula>"In Progress"</formula>
    </cfRule>
    <cfRule type="cellIs" dxfId="43" priority="12" operator="equal">
      <formula>"Completed"</formula>
    </cfRule>
  </conditionalFormatting>
  <conditionalFormatting sqref="K152">
    <cfRule type="cellIs" dxfId="42" priority="5" operator="equal">
      <formula>"Behind Schedule"</formula>
    </cfRule>
    <cfRule type="cellIs" dxfId="41" priority="6" operator="equal">
      <formula>"TBD"</formula>
    </cfRule>
    <cfRule type="cellIs" dxfId="40" priority="7" operator="equal">
      <formula>"In Progress"</formula>
    </cfRule>
    <cfRule type="cellIs" dxfId="39" priority="8" operator="equal">
      <formula>"Completed"</formula>
    </cfRule>
  </conditionalFormatting>
  <conditionalFormatting sqref="K153:K242">
    <cfRule type="cellIs" dxfId="38" priority="1" operator="equal">
      <formula>"Behind Schedule"</formula>
    </cfRule>
    <cfRule type="cellIs" dxfId="37" priority="2" operator="equal">
      <formula>"TBD"</formula>
    </cfRule>
    <cfRule type="cellIs" dxfId="36" priority="3" operator="equal">
      <formula>"In Progress"</formula>
    </cfRule>
    <cfRule type="cellIs" dxfId="35" priority="4" operator="equal">
      <formula>"Completed"</formula>
    </cfRule>
  </conditionalFormatting>
  <printOptions horizontalCentered="1" verticalCentered="1"/>
  <pageMargins left="0.25" right="0.25" top="0.75" bottom="0.75" header="0.3" footer="0.3"/>
  <pageSetup paperSize="256" scale="27" orientation="landscape" r:id="rId1"/>
  <extLst>
    <ext xmlns:x14="http://schemas.microsoft.com/office/spreadsheetml/2009/9/main" uri="{78C0D931-6437-407d-A8EE-F0AAD7539E65}">
      <x14:conditionalFormattings>
        <x14:conditionalFormatting xmlns:xm="http://schemas.microsoft.com/office/excel/2006/main">
          <x14:cfRule type="containsText" priority="2974" stopIfTrue="1" operator="containsText" id="{FAEC1F66-B886-45EF-BA2D-F48B0F4293B7}">
            <xm:f>NOT(ISERROR(SEARCH(#REF!,G2)))</xm:f>
            <xm:f>#REF!</xm:f>
            <x14:dxf>
              <font>
                <b/>
                <i val="0"/>
              </font>
              <fill>
                <patternFill>
                  <bgColor theme="0" tint="-0.24994659260841701"/>
                </patternFill>
              </fill>
            </x14:dxf>
          </x14:cfRule>
          <x14:cfRule type="containsText" priority="2975" stopIfTrue="1" operator="containsText" id="{F899A0E8-A76B-4869-8A09-A07A2D63C2B0}">
            <xm:f>NOT(ISERROR(SEARCH(#REF!,G2)))</xm:f>
            <xm:f>#REF!</xm:f>
            <x14:dxf>
              <font>
                <b/>
                <i val="0"/>
                <color theme="0"/>
              </font>
              <fill>
                <patternFill>
                  <bgColor theme="1" tint="0.24994659260841701"/>
                </patternFill>
              </fill>
            </x14:dxf>
          </x14:cfRule>
          <x14:cfRule type="containsText" priority="2976" stopIfTrue="1" operator="containsText" id="{E460221A-B9FC-4DB4-9DD6-BF4D1892AA00}">
            <xm:f>NOT(ISERROR(SEARCH(#REF!,G2)))</xm:f>
            <xm:f>#REF!</xm:f>
            <x14:dxf>
              <font>
                <b/>
                <i val="0"/>
              </font>
              <fill>
                <patternFill>
                  <bgColor theme="2" tint="-0.499984740745262"/>
                </patternFill>
              </fill>
            </x14:dxf>
          </x14:cfRule>
          <x14:cfRule type="containsText" priority="2977" operator="containsText" id="{F07F8F67-3DDD-4983-966B-A727299323DD}">
            <xm:f>NOT(ISERROR(SEARCH(#REF!,G2)))</xm:f>
            <xm:f>#REF!</xm:f>
            <x14:dxf>
              <font>
                <b/>
                <i val="0"/>
              </font>
              <fill>
                <patternFill>
                  <bgColor rgb="FF00B0F0"/>
                </patternFill>
              </fill>
            </x14:dxf>
          </x14:cfRule>
          <x14:cfRule type="containsText" priority="2978" operator="containsText" id="{14E3FB4B-F507-414D-99B9-980DCE08F0B6}">
            <xm:f>NOT(ISERROR(SEARCH(#REF!,G2)))</xm:f>
            <xm:f>#REF!</xm:f>
            <x14:dxf>
              <font>
                <b/>
                <i val="0"/>
              </font>
              <fill>
                <patternFill>
                  <bgColor theme="5" tint="0.39994506668294322"/>
                </patternFill>
              </fill>
            </x14:dxf>
          </x14:cfRule>
          <x14:cfRule type="containsText" priority="2979" operator="containsText" id="{77F0D2BA-A742-45F5-BCAB-5AA63672D227}">
            <xm:f>NOT(ISERROR(SEARCH(#REF!,G2)))</xm:f>
            <xm:f>#REF!</xm:f>
            <x14:dxf>
              <font>
                <b/>
                <i val="0"/>
              </font>
              <fill>
                <patternFill>
                  <bgColor theme="6" tint="0.39994506668294322"/>
                </patternFill>
              </fill>
            </x14:dxf>
          </x14:cfRule>
          <x14:cfRule type="containsText" priority="2980" operator="containsText" id="{17A3D903-2348-442B-8546-546A7A9085D1}">
            <xm:f>NOT(ISERROR(SEARCH(#REF!,G2)))</xm:f>
            <xm:f>#REF!</xm:f>
            <x14:dxf>
              <font>
                <b/>
                <i val="0"/>
              </font>
              <fill>
                <patternFill>
                  <bgColor theme="7" tint="0.39994506668294322"/>
                </patternFill>
              </fill>
            </x14:dxf>
          </x14:cfRule>
          <x14:cfRule type="containsText" priority="2981" operator="containsText" id="{70DFEAC5-7C53-4E5F-960F-3B582F8900CC}">
            <xm:f>NOT(ISERROR(SEARCH(#REF!,G2)))</xm:f>
            <xm:f>#REF!</xm:f>
            <x14:dxf>
              <font>
                <b/>
                <i val="0"/>
              </font>
              <fill>
                <patternFill>
                  <bgColor theme="8" tint="0.39994506668294322"/>
                </patternFill>
              </fill>
            </x14:dxf>
          </x14:cfRule>
          <x14:cfRule type="containsText" priority="2982" operator="containsText" id="{ED4C86DC-D671-4D77-A721-781572856FDB}">
            <xm:f>NOT(ISERROR(SEARCH(#REF!,G2)))</xm:f>
            <xm:f>#REF!</xm:f>
            <x14:dxf>
              <font>
                <b/>
                <i val="0"/>
              </font>
              <fill>
                <patternFill>
                  <bgColor theme="9" tint="0.39994506668294322"/>
                </patternFill>
              </fill>
            </x14:dxf>
          </x14:cfRule>
          <xm:sqref>G2</xm:sqref>
        </x14:conditionalFormatting>
        <x14:conditionalFormatting xmlns:xm="http://schemas.microsoft.com/office/excel/2006/main">
          <x14:cfRule type="containsText" priority="2965" stopIfTrue="1" operator="containsText" id="{02D0B9DC-35F9-45BE-A866-33D6BF86D309}">
            <xm:f>NOT(ISERROR(SEARCH(#REF!,I4)))</xm:f>
            <xm:f>#REF!</xm:f>
            <x14:dxf>
              <font>
                <b/>
                <i val="0"/>
              </font>
              <fill>
                <patternFill>
                  <bgColor theme="0" tint="-0.24994659260841701"/>
                </patternFill>
              </fill>
            </x14:dxf>
          </x14:cfRule>
          <x14:cfRule type="containsText" priority="2966" stopIfTrue="1" operator="containsText" id="{7EA9D2A4-0C7D-493D-AC96-8963F3034AA2}">
            <xm:f>NOT(ISERROR(SEARCH(#REF!,I4)))</xm:f>
            <xm:f>#REF!</xm:f>
            <x14:dxf>
              <font>
                <b/>
                <i val="0"/>
                <color theme="0"/>
              </font>
              <fill>
                <patternFill>
                  <bgColor theme="1" tint="0.24994659260841701"/>
                </patternFill>
              </fill>
            </x14:dxf>
          </x14:cfRule>
          <x14:cfRule type="containsText" priority="2967" stopIfTrue="1" operator="containsText" id="{D397B008-B6A1-4408-84A6-806CA8D05628}">
            <xm:f>NOT(ISERROR(SEARCH(#REF!,I4)))</xm:f>
            <xm:f>#REF!</xm:f>
            <x14:dxf>
              <font>
                <b/>
                <i val="0"/>
              </font>
              <fill>
                <patternFill>
                  <bgColor theme="2" tint="-0.499984740745262"/>
                </patternFill>
              </fill>
            </x14:dxf>
          </x14:cfRule>
          <x14:cfRule type="containsText" priority="2968" operator="containsText" id="{DAF6B13C-0B71-4908-B816-2C1DFFE1DCF0}">
            <xm:f>NOT(ISERROR(SEARCH(#REF!,I4)))</xm:f>
            <xm:f>#REF!</xm:f>
            <x14:dxf>
              <font>
                <b/>
                <i val="0"/>
              </font>
              <fill>
                <patternFill>
                  <bgColor rgb="FF00B0F0"/>
                </patternFill>
              </fill>
            </x14:dxf>
          </x14:cfRule>
          <x14:cfRule type="containsText" priority="2969" operator="containsText" id="{CAEB6560-6CB0-4B45-B82E-A519A96D6D73}">
            <xm:f>NOT(ISERROR(SEARCH(#REF!,I4)))</xm:f>
            <xm:f>#REF!</xm:f>
            <x14:dxf>
              <font>
                <b/>
                <i val="0"/>
              </font>
              <fill>
                <patternFill>
                  <bgColor theme="5" tint="0.39994506668294322"/>
                </patternFill>
              </fill>
            </x14:dxf>
          </x14:cfRule>
          <x14:cfRule type="containsText" priority="2970" operator="containsText" id="{B8389A15-EE9B-45EB-9477-56ABD329B022}">
            <xm:f>NOT(ISERROR(SEARCH(#REF!,I4)))</xm:f>
            <xm:f>#REF!</xm:f>
            <x14:dxf>
              <font>
                <b/>
                <i val="0"/>
              </font>
              <fill>
                <patternFill>
                  <bgColor theme="6" tint="0.39994506668294322"/>
                </patternFill>
              </fill>
            </x14:dxf>
          </x14:cfRule>
          <x14:cfRule type="containsText" priority="2971" operator="containsText" id="{A0954625-1BA7-4F3B-8B0D-D12264D3765D}">
            <xm:f>NOT(ISERROR(SEARCH(#REF!,I4)))</xm:f>
            <xm:f>#REF!</xm:f>
            <x14:dxf>
              <font>
                <b/>
                <i val="0"/>
              </font>
              <fill>
                <patternFill>
                  <bgColor theme="7" tint="0.39994506668294322"/>
                </patternFill>
              </fill>
            </x14:dxf>
          </x14:cfRule>
          <x14:cfRule type="containsText" priority="2972" operator="containsText" id="{5E106B98-F8F8-4EC3-89CC-1E71A1669F4D}">
            <xm:f>NOT(ISERROR(SEARCH(#REF!,I4)))</xm:f>
            <xm:f>#REF!</xm:f>
            <x14:dxf>
              <font>
                <b/>
                <i val="0"/>
              </font>
              <fill>
                <patternFill>
                  <bgColor theme="8" tint="0.39994506668294322"/>
                </patternFill>
              </fill>
            </x14:dxf>
          </x14:cfRule>
          <x14:cfRule type="containsText" priority="2973" operator="containsText" id="{3B4BDE4F-D095-43D9-8BFB-A9606016795E}">
            <xm:f>NOT(ISERROR(SEARCH(#REF!,I4)))</xm:f>
            <xm:f>#REF!</xm:f>
            <x14:dxf>
              <font>
                <b/>
                <i val="0"/>
              </font>
              <fill>
                <patternFill>
                  <bgColor theme="9" tint="0.39994506668294322"/>
                </patternFill>
              </fill>
            </x14:dxf>
          </x14:cfRule>
          <xm:sqref>I4:J7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7A91C-59C0-4F52-9CAE-301369C58AF6}">
  <sheetPr codeName="Planilha33"/>
  <dimension ref="A1:E13"/>
  <sheetViews>
    <sheetView zoomScale="130" zoomScaleNormal="130" workbookViewId="0">
      <selection activeCell="G6" sqref="G6"/>
    </sheetView>
  </sheetViews>
  <sheetFormatPr defaultRowHeight="14.5"/>
  <cols>
    <col min="1" max="1" width="10.453125" bestFit="1" customWidth="1"/>
    <col min="3" max="3" width="15.7265625" bestFit="1" customWidth="1"/>
    <col min="4" max="4" width="17" bestFit="1" customWidth="1"/>
    <col min="5" max="5" width="27.54296875" bestFit="1" customWidth="1"/>
  </cols>
  <sheetData>
    <row r="1" spans="1:5">
      <c r="A1" t="s">
        <v>9064</v>
      </c>
      <c r="B1" t="s">
        <v>627</v>
      </c>
      <c r="C1" t="s">
        <v>9076</v>
      </c>
      <c r="D1" t="s">
        <v>9065</v>
      </c>
      <c r="E1" t="s">
        <v>9077</v>
      </c>
    </row>
    <row r="2" spans="1:5">
      <c r="A2" t="s">
        <v>9063</v>
      </c>
      <c r="B2" s="492">
        <v>8411.7662027742954</v>
      </c>
      <c r="C2" s="492">
        <f>B2</f>
        <v>8411.7662027742954</v>
      </c>
      <c r="D2" s="492">
        <f>SUM(Capex!BS5:BS2097)</f>
        <v>-4542.0286499999993</v>
      </c>
      <c r="E2" s="492">
        <f>D2</f>
        <v>-4542.0286499999993</v>
      </c>
    </row>
    <row r="3" spans="1:5">
      <c r="A3" t="s">
        <v>9066</v>
      </c>
      <c r="B3" s="492">
        <v>2991.4064361637315</v>
      </c>
      <c r="C3" s="492">
        <f>C2+B3</f>
        <v>11403.172638938027</v>
      </c>
      <c r="D3" s="492">
        <f>SUM(Capex!BW5:BW2097)</f>
        <v>5408.3934200000003</v>
      </c>
      <c r="E3" s="492">
        <f>E2+D3</f>
        <v>866.36477000000104</v>
      </c>
    </row>
    <row r="4" spans="1:5">
      <c r="A4" t="s">
        <v>9067</v>
      </c>
      <c r="B4" s="492">
        <v>5898.0974364778685</v>
      </c>
      <c r="C4" s="492">
        <f t="shared" ref="C4:C13" si="0">C3+B4</f>
        <v>17301.270075415894</v>
      </c>
      <c r="D4" s="492">
        <f>SUM(Capex!CA5:CA2097)</f>
        <v>3577.4485299999997</v>
      </c>
      <c r="E4" s="492">
        <f t="shared" ref="E4:E13" si="1">E3+D4</f>
        <v>4443.8133000000007</v>
      </c>
    </row>
    <row r="5" spans="1:5">
      <c r="A5" t="s">
        <v>9068</v>
      </c>
      <c r="B5" s="492">
        <v>5945.0728935060743</v>
      </c>
      <c r="C5" s="492">
        <f t="shared" si="0"/>
        <v>23246.34296892197</v>
      </c>
      <c r="D5" s="492">
        <f>SUM(Capex!CE5:CE2097)</f>
        <v>7513.0206100000005</v>
      </c>
      <c r="E5" s="492">
        <f t="shared" si="1"/>
        <v>11956.833910000001</v>
      </c>
    </row>
    <row r="6" spans="1:5">
      <c r="A6" t="s">
        <v>9069</v>
      </c>
      <c r="B6" s="492">
        <v>3910.2851833889868</v>
      </c>
      <c r="C6" s="492">
        <f t="shared" si="0"/>
        <v>27156.628152310957</v>
      </c>
      <c r="D6" s="492">
        <f>SUM(Capex!CI5:CI2097)</f>
        <v>1920.0173000000002</v>
      </c>
      <c r="E6" s="492">
        <f t="shared" si="1"/>
        <v>13876.851210000001</v>
      </c>
    </row>
    <row r="7" spans="1:5">
      <c r="A7" t="s">
        <v>9070</v>
      </c>
      <c r="B7" s="492">
        <v>1751.7726686507935</v>
      </c>
      <c r="C7" s="492">
        <f t="shared" si="0"/>
        <v>28908.40082096175</v>
      </c>
      <c r="D7" s="492">
        <f>SUM(Capex!CM5:CM2097)</f>
        <v>1341.2260499999993</v>
      </c>
      <c r="E7" s="492">
        <f t="shared" si="1"/>
        <v>15218.07726</v>
      </c>
    </row>
    <row r="8" spans="1:5">
      <c r="A8" t="s">
        <v>9071</v>
      </c>
      <c r="B8" s="492">
        <v>1754.7270019841269</v>
      </c>
      <c r="C8" s="492">
        <f t="shared" si="0"/>
        <v>30663.127822945877</v>
      </c>
      <c r="D8" s="492">
        <f>SUM(Capex!CQ5:CQ2097)</f>
        <v>918.34709074600346</v>
      </c>
      <c r="E8" s="492">
        <f t="shared" si="1"/>
        <v>16136.424350746003</v>
      </c>
    </row>
    <row r="9" spans="1:5">
      <c r="A9" t="s">
        <v>9072</v>
      </c>
      <c r="B9" s="492">
        <v>8485.7173373412661</v>
      </c>
      <c r="C9" s="492">
        <f t="shared" si="0"/>
        <v>39148.845160287143</v>
      </c>
      <c r="D9" s="492">
        <f>SUM(Capex!CU5:CU2096)</f>
        <v>2192.9239407933687</v>
      </c>
      <c r="E9" s="492">
        <f t="shared" si="1"/>
        <v>18329.348291539372</v>
      </c>
    </row>
    <row r="10" spans="1:5">
      <c r="A10" t="s">
        <v>9073</v>
      </c>
      <c r="B10" s="492">
        <v>1885.8382977380954</v>
      </c>
      <c r="C10" s="492">
        <f t="shared" si="0"/>
        <v>41034.68345802524</v>
      </c>
      <c r="D10" s="492">
        <f>SUM(Capex!CY5:CY2096)</f>
        <v>6377.3884878626404</v>
      </c>
      <c r="E10" s="492">
        <f t="shared" si="1"/>
        <v>24706.736779402014</v>
      </c>
    </row>
    <row r="11" spans="1:5">
      <c r="A11" t="s">
        <v>9074</v>
      </c>
      <c r="B11" s="492">
        <v>517.94306384920651</v>
      </c>
      <c r="C11" s="492">
        <f t="shared" si="0"/>
        <v>41552.626521874445</v>
      </c>
      <c r="D11" s="492">
        <f>SUM(Capex!DC5:DC2096)</f>
        <v>6867.5399487196191</v>
      </c>
      <c r="E11" s="492">
        <f t="shared" si="1"/>
        <v>31574.276728121633</v>
      </c>
    </row>
    <row r="12" spans="1:5">
      <c r="A12" t="s">
        <v>9075</v>
      </c>
      <c r="B12" s="492">
        <v>2153.9564088492061</v>
      </c>
      <c r="C12" s="492">
        <f t="shared" si="0"/>
        <v>43706.582930723649</v>
      </c>
      <c r="D12" s="492">
        <f>SUM(Capex!DG5:DG2096)</f>
        <v>7071.0270256882386</v>
      </c>
      <c r="E12" s="492">
        <f t="shared" si="1"/>
        <v>38645.303753809872</v>
      </c>
    </row>
    <row r="13" spans="1:5">
      <c r="A13" t="s">
        <v>1124</v>
      </c>
      <c r="B13" s="492">
        <v>-53.535591150793607</v>
      </c>
      <c r="C13" s="492">
        <f t="shared" si="0"/>
        <v>43653.047339572855</v>
      </c>
      <c r="D13" s="492">
        <f>SUM(Capex!DK5:DK2096)</f>
        <v>4609.9636224910801</v>
      </c>
      <c r="E13" s="492">
        <f t="shared" si="1"/>
        <v>43255.267376300952</v>
      </c>
    </row>
  </sheetData>
  <phoneticPr fontId="26" type="noConversion"/>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CF25D-5864-4C93-8604-A412A74A21E4}">
  <sheetPr codeName="Planilha34"/>
  <dimension ref="A1:C38"/>
  <sheetViews>
    <sheetView workbookViewId="0">
      <selection activeCell="G14" sqref="G14"/>
    </sheetView>
  </sheetViews>
  <sheetFormatPr defaultRowHeight="14.5"/>
  <cols>
    <col min="1" max="1" width="13.54296875" customWidth="1"/>
    <col min="2" max="2" width="21.26953125" customWidth="1"/>
    <col min="3" max="3" width="50.1796875" customWidth="1"/>
  </cols>
  <sheetData>
    <row r="1" spans="1:3">
      <c r="A1" s="614" t="s">
        <v>2369</v>
      </c>
      <c r="B1" s="615"/>
      <c r="C1" s="616"/>
    </row>
    <row r="2" spans="1:3">
      <c r="A2" s="474" t="s">
        <v>3331</v>
      </c>
      <c r="B2" s="475" t="s">
        <v>2750</v>
      </c>
      <c r="C2" s="476" t="s">
        <v>2205</v>
      </c>
    </row>
    <row r="3" spans="1:3">
      <c r="A3" s="477" t="s">
        <v>6319</v>
      </c>
      <c r="B3" s="478" t="s">
        <v>2485</v>
      </c>
      <c r="C3" s="479" t="s">
        <v>8518</v>
      </c>
    </row>
    <row r="4" spans="1:3">
      <c r="A4" s="477" t="s">
        <v>6321</v>
      </c>
      <c r="B4" s="478" t="s">
        <v>2485</v>
      </c>
      <c r="C4" s="479" t="s">
        <v>8519</v>
      </c>
    </row>
    <row r="5" spans="1:3">
      <c r="A5" s="480" t="s">
        <v>6322</v>
      </c>
      <c r="B5" s="481" t="s">
        <v>2485</v>
      </c>
      <c r="C5" s="482" t="s">
        <v>8520</v>
      </c>
    </row>
    <row r="8" spans="1:3" ht="15.75" customHeight="1">
      <c r="A8" s="614" t="s">
        <v>2354</v>
      </c>
      <c r="B8" s="615"/>
      <c r="C8" s="616"/>
    </row>
    <row r="9" spans="1:3">
      <c r="A9" s="474" t="s">
        <v>3331</v>
      </c>
      <c r="B9" s="475" t="s">
        <v>2750</v>
      </c>
      <c r="C9" s="476" t="s">
        <v>2205</v>
      </c>
    </row>
    <row r="10" spans="1:3">
      <c r="A10" s="477" t="s">
        <v>6244</v>
      </c>
      <c r="B10" s="478" t="s">
        <v>2485</v>
      </c>
      <c r="C10" s="479" t="s">
        <v>8521</v>
      </c>
    </row>
    <row r="11" spans="1:3">
      <c r="A11" s="480" t="s">
        <v>6246</v>
      </c>
      <c r="B11" s="481" t="s">
        <v>2485</v>
      </c>
      <c r="C11" s="482" t="s">
        <v>8522</v>
      </c>
    </row>
    <row r="12" spans="1:3">
      <c r="A12" s="483"/>
      <c r="B12" s="483"/>
    </row>
    <row r="13" spans="1:3">
      <c r="A13" s="483"/>
      <c r="B13" s="483"/>
    </row>
    <row r="14" spans="1:3">
      <c r="A14" s="617" t="s">
        <v>2556</v>
      </c>
      <c r="B14" s="617"/>
      <c r="C14" s="617"/>
    </row>
    <row r="15" spans="1:3">
      <c r="A15" s="484" t="s">
        <v>3331</v>
      </c>
      <c r="B15" s="484" t="s">
        <v>2750</v>
      </c>
      <c r="C15" s="484" t="s">
        <v>2205</v>
      </c>
    </row>
    <row r="16" spans="1:3">
      <c r="A16" s="485" t="s">
        <v>6654</v>
      </c>
      <c r="B16" s="486" t="s">
        <v>2485</v>
      </c>
      <c r="C16" s="485" t="s">
        <v>8523</v>
      </c>
    </row>
    <row r="17" spans="1:3">
      <c r="A17" s="485" t="s">
        <v>6656</v>
      </c>
      <c r="B17" s="486" t="s">
        <v>2485</v>
      </c>
      <c r="C17" s="485" t="s">
        <v>8524</v>
      </c>
    </row>
    <row r="18" spans="1:3">
      <c r="A18" s="485" t="s">
        <v>6658</v>
      </c>
      <c r="B18" s="486" t="s">
        <v>2485</v>
      </c>
      <c r="C18" s="485" t="s">
        <v>8525</v>
      </c>
    </row>
    <row r="19" spans="1:3">
      <c r="A19" s="485" t="s">
        <v>6660</v>
      </c>
      <c r="B19" s="486" t="s">
        <v>2485</v>
      </c>
      <c r="C19" s="485" t="s">
        <v>8526</v>
      </c>
    </row>
    <row r="20" spans="1:3">
      <c r="A20" s="487" t="s">
        <v>6662</v>
      </c>
      <c r="B20" s="488" t="s">
        <v>2485</v>
      </c>
      <c r="C20" s="487" t="s">
        <v>8527</v>
      </c>
    </row>
    <row r="23" spans="1:3">
      <c r="A23" s="614" t="s">
        <v>2360</v>
      </c>
      <c r="B23" s="615"/>
      <c r="C23" s="616"/>
    </row>
    <row r="24" spans="1:3">
      <c r="A24" s="474" t="s">
        <v>3331</v>
      </c>
      <c r="B24" s="475" t="s">
        <v>2750</v>
      </c>
      <c r="C24" s="476" t="s">
        <v>2205</v>
      </c>
    </row>
    <row r="25" spans="1:3">
      <c r="A25" s="477" t="s">
        <v>6266</v>
      </c>
      <c r="B25" s="478" t="s">
        <v>6882</v>
      </c>
      <c r="C25" s="479" t="s">
        <v>8528</v>
      </c>
    </row>
    <row r="26" spans="1:3">
      <c r="A26" s="480" t="s">
        <v>6273</v>
      </c>
      <c r="B26" s="481" t="s">
        <v>6882</v>
      </c>
      <c r="C26" s="482" t="s">
        <v>8529</v>
      </c>
    </row>
    <row r="27" spans="1:3">
      <c r="A27" s="483"/>
      <c r="B27" s="483"/>
    </row>
    <row r="29" spans="1:3">
      <c r="A29" s="617" t="s">
        <v>3780</v>
      </c>
      <c r="B29" s="617"/>
      <c r="C29" s="617"/>
    </row>
    <row r="30" spans="1:3">
      <c r="A30" s="484" t="s">
        <v>3331</v>
      </c>
      <c r="B30" s="484" t="s">
        <v>2750</v>
      </c>
      <c r="C30" s="484" t="s">
        <v>2205</v>
      </c>
    </row>
    <row r="31" spans="1:3">
      <c r="A31" s="486" t="s">
        <v>6615</v>
      </c>
      <c r="B31" s="486" t="s">
        <v>6882</v>
      </c>
      <c r="C31" s="485" t="s">
        <v>8530</v>
      </c>
    </row>
    <row r="32" spans="1:3">
      <c r="A32" s="486" t="s">
        <v>6617</v>
      </c>
      <c r="B32" s="486" t="s">
        <v>6882</v>
      </c>
      <c r="C32" s="485" t="s">
        <v>8531</v>
      </c>
    </row>
    <row r="33" spans="1:3">
      <c r="A33" s="486" t="s">
        <v>6620</v>
      </c>
      <c r="B33" s="486" t="s">
        <v>6882</v>
      </c>
      <c r="C33" s="485" t="s">
        <v>8532</v>
      </c>
    </row>
    <row r="34" spans="1:3">
      <c r="A34" s="486" t="s">
        <v>6624</v>
      </c>
      <c r="B34" s="486" t="s">
        <v>6882</v>
      </c>
      <c r="C34" s="485" t="s">
        <v>8533</v>
      </c>
    </row>
    <row r="35" spans="1:3">
      <c r="A35" s="486" t="s">
        <v>6625</v>
      </c>
      <c r="B35" s="486" t="s">
        <v>6882</v>
      </c>
      <c r="C35" s="485" t="s">
        <v>8534</v>
      </c>
    </row>
    <row r="36" spans="1:3">
      <c r="A36" s="486" t="s">
        <v>6627</v>
      </c>
      <c r="B36" s="486" t="s">
        <v>6882</v>
      </c>
      <c r="C36" s="485" t="s">
        <v>8535</v>
      </c>
    </row>
    <row r="37" spans="1:3">
      <c r="A37" s="486" t="s">
        <v>6629</v>
      </c>
      <c r="B37" s="486" t="s">
        <v>6882</v>
      </c>
      <c r="C37" s="485" t="s">
        <v>8536</v>
      </c>
    </row>
    <row r="38" spans="1:3">
      <c r="A38" s="488" t="s">
        <v>6874</v>
      </c>
      <c r="B38" s="488" t="s">
        <v>6882</v>
      </c>
      <c r="C38" s="487" t="s">
        <v>8537</v>
      </c>
    </row>
  </sheetData>
  <mergeCells count="5">
    <mergeCell ref="A1:C1"/>
    <mergeCell ref="A8:C8"/>
    <mergeCell ref="A14:C14"/>
    <mergeCell ref="A23:C23"/>
    <mergeCell ref="A29:C29"/>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F55E-8962-43A6-9A3E-BF99337E1307}">
  <sheetPr codeName="Planilha8">
    <tabColor theme="4" tint="0.39997558519241921"/>
    <pageSetUpPr fitToPage="1"/>
  </sheetPr>
  <dimension ref="A1:AO29"/>
  <sheetViews>
    <sheetView showGridLines="0" zoomScale="70" zoomScaleNormal="70" zoomScaleSheetLayoutView="25" workbookViewId="0">
      <pane xSplit="11" ySplit="7" topLeftCell="L8" activePane="bottomRight" state="frozen"/>
      <selection activeCell="X69" sqref="X69"/>
      <selection pane="topRight" activeCell="X69" sqref="X69"/>
      <selection pane="bottomLeft" activeCell="X69" sqref="X69"/>
      <selection pane="bottomRight" activeCell="J1" sqref="J1:J1048576"/>
    </sheetView>
  </sheetViews>
  <sheetFormatPr defaultColWidth="9.453125" defaultRowHeight="13"/>
  <cols>
    <col min="1" max="1" width="2" style="19" customWidth="1"/>
    <col min="2" max="2" width="9" style="31" customWidth="1"/>
    <col min="3" max="3" width="13.1796875" style="31" bestFit="1" customWidth="1"/>
    <col min="4" max="4" width="12.81640625" style="31" bestFit="1" customWidth="1"/>
    <col min="5" max="5" width="14.26953125" style="31" bestFit="1" customWidth="1"/>
    <col min="6" max="6" width="16" style="31" hidden="1" customWidth="1"/>
    <col min="7" max="7" width="46.453125" style="31" bestFit="1" customWidth="1"/>
    <col min="8" max="8" width="16.453125" style="31" customWidth="1"/>
    <col min="9" max="9" width="15.453125" style="31" customWidth="1"/>
    <col min="10" max="10" width="16.26953125" style="31" customWidth="1"/>
    <col min="11" max="11" width="21.54296875" style="31" bestFit="1" customWidth="1"/>
    <col min="12" max="12" width="31.1796875" style="31" customWidth="1"/>
    <col min="13" max="13" width="17.54296875" style="31" customWidth="1"/>
    <col min="14" max="14" width="11.81640625" style="31" customWidth="1"/>
    <col min="15" max="15" width="15.7265625" style="31" bestFit="1" customWidth="1"/>
    <col min="16" max="16" width="12.81640625" style="31" bestFit="1" customWidth="1"/>
    <col min="17" max="17" width="12" style="31" customWidth="1"/>
    <col min="18" max="32" width="15.1796875" style="31" customWidth="1"/>
    <col min="33" max="33" width="16.26953125" style="31" customWidth="1"/>
    <col min="34" max="34" width="17.54296875" style="31" customWidth="1"/>
    <col min="35" max="35" width="20" style="31" customWidth="1"/>
    <col min="36" max="41" width="13.7265625" style="31" customWidth="1"/>
    <col min="42" max="16384" width="9.453125" style="31"/>
  </cols>
  <sheetData>
    <row r="1" spans="1:41" ht="18.649999999999999" customHeight="1">
      <c r="R1" s="54"/>
      <c r="S1" s="54"/>
      <c r="T1" s="54"/>
      <c r="U1" s="54"/>
      <c r="V1" s="54"/>
      <c r="W1" s="54"/>
      <c r="X1" s="54"/>
      <c r="Y1" s="54"/>
      <c r="Z1" s="54"/>
      <c r="AA1" s="54"/>
      <c r="AB1" s="54"/>
      <c r="AC1" s="54"/>
      <c r="AD1" s="54"/>
      <c r="AE1" s="54"/>
      <c r="AF1" s="54"/>
      <c r="AG1" s="54"/>
      <c r="AH1" s="54"/>
      <c r="AI1" s="54"/>
    </row>
    <row r="2" spans="1:41" s="23" customFormat="1" ht="18.75" customHeight="1">
      <c r="A2" s="18"/>
      <c r="B2" s="58"/>
      <c r="C2" s="25"/>
      <c r="D2" s="25"/>
      <c r="E2" s="22"/>
      <c r="K2" s="24"/>
      <c r="L2" s="24"/>
      <c r="M2" s="24"/>
      <c r="N2" s="24"/>
      <c r="O2" s="24"/>
      <c r="P2" s="24"/>
      <c r="Q2" s="24"/>
      <c r="R2" s="29"/>
      <c r="S2" s="29"/>
      <c r="T2" s="29"/>
      <c r="U2" s="29"/>
      <c r="V2" s="29"/>
      <c r="W2" s="29"/>
      <c r="X2" s="29"/>
      <c r="Y2" s="29"/>
      <c r="Z2" s="29"/>
      <c r="AA2" s="29"/>
      <c r="AB2" s="29"/>
      <c r="AC2" s="29"/>
      <c r="AD2" s="29"/>
      <c r="AE2" s="29"/>
      <c r="AF2" s="29"/>
      <c r="AG2" s="29"/>
      <c r="AH2" s="29"/>
      <c r="AI2" s="29"/>
      <c r="AJ2" s="28"/>
      <c r="AK2" s="28"/>
      <c r="AL2" s="28"/>
      <c r="AM2" s="28"/>
      <c r="AN2" s="28"/>
      <c r="AO2" s="28"/>
    </row>
    <row r="3" spans="1:41" s="17" customFormat="1" ht="18.75" customHeight="1" thickBot="1">
      <c r="B3" s="180" t="s">
        <v>2544</v>
      </c>
      <c r="C3" s="180"/>
      <c r="D3" s="180"/>
      <c r="R3" s="29"/>
      <c r="S3" s="29"/>
      <c r="T3" s="29"/>
      <c r="U3" s="29"/>
      <c r="V3" s="29"/>
      <c r="W3" s="29"/>
      <c r="X3" s="29"/>
      <c r="Y3" s="29"/>
      <c r="Z3" s="29"/>
      <c r="AA3" s="29"/>
      <c r="AB3" s="29"/>
      <c r="AC3" s="29"/>
      <c r="AD3" s="29"/>
      <c r="AE3" s="29"/>
      <c r="AF3" s="29"/>
      <c r="AG3" s="29"/>
      <c r="AH3" s="29"/>
      <c r="AI3" s="29"/>
    </row>
    <row r="4" spans="1:41" s="23" customFormat="1" ht="9.75" customHeight="1" thickTop="1">
      <c r="A4" s="18"/>
      <c r="B4" s="59"/>
      <c r="C4" s="59"/>
      <c r="D4" s="59"/>
      <c r="E4" s="59"/>
      <c r="F4" s="59"/>
      <c r="G4" s="59"/>
      <c r="H4" s="59"/>
      <c r="I4" s="59"/>
      <c r="J4" s="59"/>
      <c r="K4" s="59"/>
      <c r="L4" s="336"/>
      <c r="M4" s="336"/>
      <c r="N4" s="336"/>
      <c r="O4" s="336"/>
      <c r="P4" s="336"/>
      <c r="Q4" s="336"/>
      <c r="AJ4" s="120"/>
      <c r="AK4" s="120"/>
      <c r="AL4" s="120"/>
      <c r="AM4" s="120"/>
      <c r="AN4" s="120"/>
      <c r="AO4" s="120"/>
    </row>
    <row r="5" spans="1:41" s="23" customFormat="1" ht="20.9" customHeight="1">
      <c r="A5" s="18"/>
      <c r="B5" s="36"/>
      <c r="C5" s="24"/>
      <c r="D5" s="24"/>
      <c r="E5" s="22"/>
      <c r="F5" s="22"/>
      <c r="G5" s="22"/>
      <c r="H5" s="60">
        <f>SUBTOTAL(9,H8:H202)</f>
        <v>657450</v>
      </c>
      <c r="I5" s="22"/>
      <c r="J5" s="60">
        <f>SUBTOTAL(9,J8:J202)</f>
        <v>214240</v>
      </c>
      <c r="O5" s="60">
        <f>SUBTOTAL(9,O8:O202)</f>
        <v>95085.810000000012</v>
      </c>
      <c r="P5" s="60">
        <f>SUBTOTAL(9,P8:P202)</f>
        <v>1427.81</v>
      </c>
      <c r="R5" s="60">
        <f t="shared" ref="R5:AO5" si="0">SUBTOTAL(9,R8:R202)</f>
        <v>205500</v>
      </c>
      <c r="S5" s="60">
        <f t="shared" si="0"/>
        <v>16000</v>
      </c>
      <c r="T5" s="60">
        <f t="shared" si="0"/>
        <v>2375</v>
      </c>
      <c r="U5" s="60">
        <f t="shared" si="0"/>
        <v>3025</v>
      </c>
      <c r="V5" s="60">
        <f t="shared" si="0"/>
        <v>3025</v>
      </c>
      <c r="W5" s="60">
        <f t="shared" si="0"/>
        <v>8025</v>
      </c>
      <c r="X5" s="60">
        <f t="shared" si="0"/>
        <v>13025</v>
      </c>
      <c r="Y5" s="60">
        <f t="shared" si="0"/>
        <v>98025</v>
      </c>
      <c r="Z5" s="60">
        <f t="shared" si="0"/>
        <v>18025</v>
      </c>
      <c r="AA5" s="60">
        <f t="shared" si="0"/>
        <v>21525</v>
      </c>
      <c r="AB5" s="60">
        <f t="shared" si="0"/>
        <v>13025</v>
      </c>
      <c r="AC5" s="60">
        <f t="shared" si="0"/>
        <v>14375</v>
      </c>
      <c r="AD5" s="60">
        <f t="shared" si="0"/>
        <v>8025</v>
      </c>
      <c r="AE5" s="60">
        <f t="shared" si="0"/>
        <v>3025</v>
      </c>
      <c r="AF5" s="60">
        <f t="shared" si="0"/>
        <v>0</v>
      </c>
      <c r="AG5" s="60" t="e">
        <f t="shared" si="0"/>
        <v>#REF!</v>
      </c>
      <c r="AH5" s="60" t="e">
        <f t="shared" si="0"/>
        <v>#REF!</v>
      </c>
      <c r="AI5" s="60" t="e">
        <f t="shared" si="0"/>
        <v>#REF!</v>
      </c>
      <c r="AJ5" s="60">
        <f t="shared" si="0"/>
        <v>723485.62</v>
      </c>
      <c r="AK5" s="60">
        <f t="shared" si="0"/>
        <v>324563.37999999995</v>
      </c>
      <c r="AL5" s="60">
        <f t="shared" si="0"/>
        <v>37951.480000000003</v>
      </c>
      <c r="AM5" s="60">
        <f t="shared" si="0"/>
        <v>0</v>
      </c>
      <c r="AN5" s="60">
        <f t="shared" si="0"/>
        <v>362514.86000000004</v>
      </c>
      <c r="AO5" s="60">
        <f t="shared" si="0"/>
        <v>360970.76</v>
      </c>
    </row>
    <row r="6" spans="1:41" s="23" customFormat="1" ht="15.75" customHeight="1" thickBot="1">
      <c r="A6" s="18"/>
      <c r="B6" s="36"/>
      <c r="C6" s="24"/>
      <c r="D6" s="24"/>
      <c r="E6" s="22"/>
      <c r="F6" s="22"/>
      <c r="G6" s="22"/>
      <c r="H6" s="22"/>
      <c r="I6" s="22"/>
      <c r="J6" s="22"/>
      <c r="AJ6" s="120"/>
      <c r="AK6" s="120"/>
      <c r="AL6" s="120"/>
      <c r="AM6" s="120"/>
      <c r="AN6" s="120"/>
      <c r="AO6" s="120"/>
    </row>
    <row r="7" spans="1:41" s="30" customFormat="1" ht="57" customHeight="1" thickBot="1">
      <c r="A7" s="18"/>
      <c r="B7" s="1" t="s">
        <v>194</v>
      </c>
      <c r="C7" s="305" t="s">
        <v>627</v>
      </c>
      <c r="D7" s="305" t="s">
        <v>2514</v>
      </c>
      <c r="E7" s="305" t="s">
        <v>2515</v>
      </c>
      <c r="F7" s="305" t="s">
        <v>650</v>
      </c>
      <c r="G7" s="305" t="s">
        <v>2516</v>
      </c>
      <c r="H7" s="305" t="s">
        <v>2529</v>
      </c>
      <c r="I7" s="305" t="s">
        <v>2530</v>
      </c>
      <c r="J7" s="305" t="s">
        <v>2542</v>
      </c>
      <c r="K7" s="1" t="s">
        <v>1123</v>
      </c>
      <c r="L7" s="1" t="s">
        <v>589</v>
      </c>
      <c r="M7" s="1" t="s">
        <v>604</v>
      </c>
      <c r="N7" s="1" t="s">
        <v>603</v>
      </c>
      <c r="O7" s="1" t="s">
        <v>2676</v>
      </c>
      <c r="P7" s="1" t="s">
        <v>2670</v>
      </c>
      <c r="Q7" s="1" t="s">
        <v>4</v>
      </c>
      <c r="R7" s="168" t="s">
        <v>2504</v>
      </c>
      <c r="S7" s="167" t="s">
        <v>1533</v>
      </c>
      <c r="T7" s="331" t="s">
        <v>2502</v>
      </c>
      <c r="U7" s="168" t="s">
        <v>1583</v>
      </c>
      <c r="V7" s="168" t="s">
        <v>1592</v>
      </c>
      <c r="W7" s="168" t="s">
        <v>1618</v>
      </c>
      <c r="X7" s="168" t="s">
        <v>1629</v>
      </c>
      <c r="Y7" s="168" t="s">
        <v>1646</v>
      </c>
      <c r="Z7" s="168" t="s">
        <v>1669</v>
      </c>
      <c r="AA7" s="168" t="s">
        <v>1680</v>
      </c>
      <c r="AB7" s="168" t="s">
        <v>1709</v>
      </c>
      <c r="AC7" s="168" t="s">
        <v>1764</v>
      </c>
      <c r="AD7" s="168" t="s">
        <v>1763</v>
      </c>
      <c r="AE7" s="168" t="s">
        <v>1804</v>
      </c>
      <c r="AF7" s="334">
        <v>2025</v>
      </c>
      <c r="AG7" s="92" t="s">
        <v>1157</v>
      </c>
      <c r="AH7" s="315" t="s">
        <v>1158</v>
      </c>
      <c r="AI7" s="240" t="s">
        <v>2503</v>
      </c>
      <c r="AJ7" s="1" t="s">
        <v>596</v>
      </c>
      <c r="AK7" s="1" t="s">
        <v>597</v>
      </c>
      <c r="AL7" s="1" t="s">
        <v>598</v>
      </c>
      <c r="AM7" s="1" t="s">
        <v>1121</v>
      </c>
      <c r="AN7" s="1" t="s">
        <v>600</v>
      </c>
      <c r="AO7" s="1" t="s">
        <v>601</v>
      </c>
    </row>
    <row r="8" spans="1:41" s="23" customFormat="1" ht="25.4" customHeight="1">
      <c r="A8" s="18"/>
      <c r="B8" s="2">
        <v>1</v>
      </c>
      <c r="C8" s="85">
        <v>26195</v>
      </c>
      <c r="D8" s="123" t="s">
        <v>2517</v>
      </c>
      <c r="E8" s="473" t="s">
        <v>613</v>
      </c>
      <c r="F8" s="123" t="s">
        <v>3282</v>
      </c>
      <c r="G8" s="123" t="s">
        <v>2518</v>
      </c>
      <c r="H8" s="335">
        <v>72000</v>
      </c>
      <c r="I8" s="123" t="s">
        <v>2531</v>
      </c>
      <c r="J8" s="335">
        <v>72000</v>
      </c>
      <c r="K8" s="151" t="s">
        <v>2543</v>
      </c>
      <c r="L8" s="151" t="s">
        <v>2552</v>
      </c>
      <c r="M8" s="151">
        <v>127908966</v>
      </c>
      <c r="N8" s="151">
        <v>8241624920</v>
      </c>
      <c r="O8" s="335">
        <v>36300</v>
      </c>
      <c r="P8" s="335"/>
      <c r="Q8" s="151" t="s">
        <v>850</v>
      </c>
      <c r="R8" s="169">
        <f t="shared" ref="R8:R29" si="1">SUM(T8:AE8)</f>
        <v>36300</v>
      </c>
      <c r="S8" s="319">
        <v>6000</v>
      </c>
      <c r="T8" s="332">
        <v>3025</v>
      </c>
      <c r="U8" s="299">
        <v>3025</v>
      </c>
      <c r="V8" s="299">
        <v>3025</v>
      </c>
      <c r="W8" s="299">
        <v>3025</v>
      </c>
      <c r="X8" s="299">
        <v>3025</v>
      </c>
      <c r="Y8" s="299">
        <v>3025</v>
      </c>
      <c r="Z8" s="299">
        <v>3025</v>
      </c>
      <c r="AA8" s="299">
        <v>3025</v>
      </c>
      <c r="AB8" s="299">
        <v>3025</v>
      </c>
      <c r="AC8" s="299">
        <v>3025</v>
      </c>
      <c r="AD8" s="299">
        <v>3025</v>
      </c>
      <c r="AE8" s="299">
        <v>3025</v>
      </c>
      <c r="AF8" s="299"/>
      <c r="AG8" s="156" t="e">
        <f>#REF!-S8</f>
        <v>#REF!</v>
      </c>
      <c r="AH8" s="320" t="e">
        <f>#REF!-T8</f>
        <v>#REF!</v>
      </c>
      <c r="AI8" s="157" t="e">
        <f>SUM(#REF!,#REF!,#REF!,#REF!,R8)-AJ8</f>
        <v>#REF!</v>
      </c>
      <c r="AJ8" s="188">
        <v>62032.5</v>
      </c>
      <c r="AK8" s="188">
        <v>43607.77</v>
      </c>
      <c r="AL8" s="188">
        <v>723.76</v>
      </c>
      <c r="AM8" s="188">
        <v>0</v>
      </c>
      <c r="AN8" s="188">
        <v>44331.53</v>
      </c>
      <c r="AO8" s="188">
        <v>17700.97</v>
      </c>
    </row>
    <row r="9" spans="1:41" s="23" customFormat="1" ht="25.4" customHeight="1">
      <c r="A9" s="18"/>
      <c r="B9" s="2">
        <v>2</v>
      </c>
      <c r="C9" s="85">
        <v>26196</v>
      </c>
      <c r="D9" s="123" t="s">
        <v>2517</v>
      </c>
      <c r="E9" s="123" t="s">
        <v>613</v>
      </c>
      <c r="F9" s="123" t="s">
        <v>3282</v>
      </c>
      <c r="G9" s="123" t="s">
        <v>2519</v>
      </c>
      <c r="H9" s="335">
        <v>200000</v>
      </c>
      <c r="I9" s="123" t="s">
        <v>2532</v>
      </c>
      <c r="J9" s="335">
        <v>65000</v>
      </c>
      <c r="K9" s="151" t="s">
        <v>2545</v>
      </c>
      <c r="L9" s="151" t="s">
        <v>2553</v>
      </c>
      <c r="M9" s="151"/>
      <c r="N9" s="151"/>
      <c r="O9" s="335"/>
      <c r="P9" s="335"/>
      <c r="Q9" s="151"/>
      <c r="R9" s="169">
        <f t="shared" si="1"/>
        <v>34350</v>
      </c>
      <c r="S9" s="319">
        <v>5000</v>
      </c>
      <c r="T9" s="332">
        <v>-650</v>
      </c>
      <c r="U9" s="299"/>
      <c r="V9" s="299">
        <v>0</v>
      </c>
      <c r="W9" s="299">
        <v>5000</v>
      </c>
      <c r="X9" s="299">
        <v>0</v>
      </c>
      <c r="Y9" s="299">
        <v>5000</v>
      </c>
      <c r="Z9" s="299">
        <v>5000</v>
      </c>
      <c r="AA9" s="299">
        <v>5000</v>
      </c>
      <c r="AB9" s="299">
        <v>5000</v>
      </c>
      <c r="AC9" s="299">
        <v>5000</v>
      </c>
      <c r="AD9" s="299">
        <v>5000</v>
      </c>
      <c r="AE9" s="299">
        <v>0</v>
      </c>
      <c r="AF9" s="299">
        <v>0</v>
      </c>
      <c r="AG9" s="156" t="e">
        <f>#REF!-S9</f>
        <v>#REF!</v>
      </c>
      <c r="AH9" s="320" t="e">
        <f>#REF!-T9</f>
        <v>#REF!</v>
      </c>
      <c r="AI9" s="157" t="e">
        <f>SUM(#REF!,#REF!,#REF!,#REF!,R9)-AJ9</f>
        <v>#REF!</v>
      </c>
      <c r="AJ9" s="188">
        <v>5388.6</v>
      </c>
      <c r="AK9" s="188">
        <v>4300.5200000000004</v>
      </c>
      <c r="AL9" s="188">
        <v>0</v>
      </c>
      <c r="AM9" s="188">
        <v>0</v>
      </c>
      <c r="AN9" s="188">
        <v>4300.5200000000004</v>
      </c>
      <c r="AO9" s="188">
        <v>1088.08</v>
      </c>
    </row>
    <row r="10" spans="1:41" s="23" customFormat="1" ht="25.4" customHeight="1">
      <c r="A10" s="18"/>
      <c r="B10" s="2">
        <v>3</v>
      </c>
      <c r="C10" s="85"/>
      <c r="D10" s="123" t="s">
        <v>2517</v>
      </c>
      <c r="E10" s="123" t="s">
        <v>613</v>
      </c>
      <c r="F10" s="123" t="s">
        <v>3282</v>
      </c>
      <c r="G10" s="123" t="s">
        <v>2522</v>
      </c>
      <c r="H10" s="335">
        <v>135300</v>
      </c>
      <c r="I10" s="123" t="s">
        <v>2534</v>
      </c>
      <c r="J10" s="335"/>
      <c r="K10" s="151" t="s">
        <v>2546</v>
      </c>
      <c r="L10" s="151" t="s">
        <v>2554</v>
      </c>
      <c r="M10" s="151"/>
      <c r="N10" s="151"/>
      <c r="O10" s="335"/>
      <c r="P10" s="335"/>
      <c r="Q10" s="151"/>
      <c r="R10" s="169">
        <f t="shared" si="1"/>
        <v>0</v>
      </c>
      <c r="S10" s="319"/>
      <c r="T10" s="332"/>
      <c r="U10" s="299"/>
      <c r="V10" s="299"/>
      <c r="W10" s="299"/>
      <c r="X10" s="299"/>
      <c r="Y10" s="299"/>
      <c r="Z10" s="299"/>
      <c r="AA10" s="299"/>
      <c r="AB10" s="299"/>
      <c r="AC10" s="299"/>
      <c r="AD10" s="299"/>
      <c r="AE10" s="299"/>
      <c r="AF10" s="299"/>
      <c r="AG10" s="156" t="e">
        <f>#REF!-S10</f>
        <v>#REF!</v>
      </c>
      <c r="AH10" s="320" t="e">
        <f>#REF!-T10</f>
        <v>#REF!</v>
      </c>
      <c r="AI10" s="157" t="e">
        <f>SUM(#REF!,#REF!,#REF!,#REF!,R10)-AJ10</f>
        <v>#REF!</v>
      </c>
      <c r="AJ10" s="188">
        <v>866.03</v>
      </c>
      <c r="AK10" s="188">
        <v>775.01</v>
      </c>
      <c r="AL10" s="188">
        <v>0</v>
      </c>
      <c r="AM10" s="188">
        <v>0</v>
      </c>
      <c r="AN10" s="188">
        <v>775.01</v>
      </c>
      <c r="AO10" s="188">
        <v>91.02</v>
      </c>
    </row>
    <row r="11" spans="1:41" s="23" customFormat="1" ht="25.4" customHeight="1">
      <c r="A11" s="18"/>
      <c r="B11" s="2">
        <v>4</v>
      </c>
      <c r="C11" s="85"/>
      <c r="D11" s="123" t="s">
        <v>2517</v>
      </c>
      <c r="E11" s="473" t="s">
        <v>613</v>
      </c>
      <c r="F11" s="123" t="s">
        <v>3282</v>
      </c>
      <c r="G11" s="360" t="s">
        <v>2525</v>
      </c>
      <c r="H11" s="335">
        <v>50000</v>
      </c>
      <c r="I11" s="123" t="s">
        <v>2537</v>
      </c>
      <c r="J11" s="335">
        <f>8220+520</f>
        <v>8740</v>
      </c>
      <c r="K11" s="151" t="s">
        <v>2547</v>
      </c>
      <c r="L11" s="151" t="s">
        <v>2682</v>
      </c>
      <c r="M11" s="151"/>
      <c r="N11" s="151"/>
      <c r="O11" s="335">
        <v>26000</v>
      </c>
      <c r="P11" s="335"/>
      <c r="Q11" s="151" t="s">
        <v>2711</v>
      </c>
      <c r="R11" s="169">
        <f t="shared" si="1"/>
        <v>0</v>
      </c>
      <c r="S11" s="319"/>
      <c r="T11" s="332"/>
      <c r="U11" s="299"/>
      <c r="V11" s="299"/>
      <c r="W11" s="299"/>
      <c r="X11" s="299"/>
      <c r="Y11" s="299"/>
      <c r="Z11" s="299"/>
      <c r="AA11" s="299"/>
      <c r="AB11" s="299"/>
      <c r="AC11" s="299"/>
      <c r="AD11" s="299"/>
      <c r="AE11" s="299"/>
      <c r="AF11" s="299"/>
      <c r="AG11" s="156" t="e">
        <f>#REF!-S11</f>
        <v>#REF!</v>
      </c>
      <c r="AH11" s="320" t="e">
        <f>#REF!-T11</f>
        <v>#REF!</v>
      </c>
      <c r="AI11" s="157" t="e">
        <f>SUM(#REF!,#REF!,#REF!,#REF!,R11)-AJ11</f>
        <v>#REF!</v>
      </c>
      <c r="AJ11" s="188">
        <v>91967.7</v>
      </c>
      <c r="AK11" s="188">
        <v>68232.429999999993</v>
      </c>
      <c r="AL11" s="188">
        <v>20895.38</v>
      </c>
      <c r="AM11" s="188">
        <v>0</v>
      </c>
      <c r="AN11" s="188">
        <v>89127.81</v>
      </c>
      <c r="AO11" s="188">
        <v>2839.89</v>
      </c>
    </row>
    <row r="12" spans="1:41" s="23" customFormat="1" ht="25.4" customHeight="1">
      <c r="A12" s="18"/>
      <c r="B12" s="2">
        <v>5</v>
      </c>
      <c r="C12" s="85"/>
      <c r="D12" s="123" t="s">
        <v>2517</v>
      </c>
      <c r="E12" s="473" t="s">
        <v>613</v>
      </c>
      <c r="F12" s="123" t="s">
        <v>3282</v>
      </c>
      <c r="G12" s="123" t="s">
        <v>2523</v>
      </c>
      <c r="H12" s="335">
        <v>128899.99999999999</v>
      </c>
      <c r="I12" s="123" t="s">
        <v>2535</v>
      </c>
      <c r="J12" s="335"/>
      <c r="K12" s="151" t="s">
        <v>2543</v>
      </c>
      <c r="L12" s="151" t="s">
        <v>2554</v>
      </c>
      <c r="M12" s="151"/>
      <c r="N12" s="151"/>
      <c r="O12" s="335"/>
      <c r="P12" s="335"/>
      <c r="Q12" s="151"/>
      <c r="R12" s="169">
        <f t="shared" si="1"/>
        <v>53500</v>
      </c>
      <c r="S12" s="319"/>
      <c r="T12" s="332"/>
      <c r="U12" s="299">
        <v>0</v>
      </c>
      <c r="V12" s="299">
        <v>0</v>
      </c>
      <c r="W12" s="299">
        <v>0</v>
      </c>
      <c r="X12" s="299">
        <v>0</v>
      </c>
      <c r="Y12" s="299">
        <v>50000</v>
      </c>
      <c r="Z12" s="299">
        <v>0</v>
      </c>
      <c r="AA12" s="299">
        <v>3500</v>
      </c>
      <c r="AB12" s="299">
        <v>0</v>
      </c>
      <c r="AC12" s="299">
        <v>0</v>
      </c>
      <c r="AD12" s="299">
        <v>0</v>
      </c>
      <c r="AE12" s="299">
        <v>0</v>
      </c>
      <c r="AF12" s="299"/>
      <c r="AG12" s="156" t="e">
        <f>#REF!-S12</f>
        <v>#REF!</v>
      </c>
      <c r="AH12" s="320" t="e">
        <f>#REF!-T12</f>
        <v>#REF!</v>
      </c>
      <c r="AI12" s="157" t="e">
        <f>SUM(#REF!,#REF!,#REF!,#REF!,R12)-AJ12</f>
        <v>#REF!</v>
      </c>
      <c r="AJ12" s="188">
        <v>2886.75</v>
      </c>
      <c r="AK12" s="188">
        <v>1356.23</v>
      </c>
      <c r="AL12" s="188">
        <v>0</v>
      </c>
      <c r="AM12" s="188">
        <v>0</v>
      </c>
      <c r="AN12" s="188">
        <v>1356.23</v>
      </c>
      <c r="AO12" s="188">
        <v>1530.52</v>
      </c>
    </row>
    <row r="13" spans="1:41" s="23" customFormat="1" ht="25.4" customHeight="1">
      <c r="A13" s="18"/>
      <c r="B13" s="2">
        <v>6</v>
      </c>
      <c r="C13" s="85">
        <v>26200</v>
      </c>
      <c r="D13" s="123" t="s">
        <v>2517</v>
      </c>
      <c r="E13" s="473" t="s">
        <v>613</v>
      </c>
      <c r="F13" s="123" t="s">
        <v>3282</v>
      </c>
      <c r="G13" s="123" t="s">
        <v>2521</v>
      </c>
      <c r="H13" s="335">
        <v>30000</v>
      </c>
      <c r="I13" s="123" t="s">
        <v>2551</v>
      </c>
      <c r="J13" s="335">
        <v>55000</v>
      </c>
      <c r="K13" s="151" t="s">
        <v>2548</v>
      </c>
      <c r="L13" s="151" t="s">
        <v>2554</v>
      </c>
      <c r="M13" s="151"/>
      <c r="N13" s="151"/>
      <c r="O13" s="335"/>
      <c r="P13" s="335"/>
      <c r="Q13" s="151"/>
      <c r="R13" s="169">
        <f t="shared" si="1"/>
        <v>81350</v>
      </c>
      <c r="S13" s="319">
        <v>5000</v>
      </c>
      <c r="T13" s="332">
        <v>0</v>
      </c>
      <c r="U13" s="299">
        <v>0</v>
      </c>
      <c r="V13" s="299">
        <v>0</v>
      </c>
      <c r="W13" s="299">
        <v>0</v>
      </c>
      <c r="X13" s="299">
        <v>10000</v>
      </c>
      <c r="Y13" s="299">
        <v>40000</v>
      </c>
      <c r="Z13" s="299">
        <v>10000</v>
      </c>
      <c r="AA13" s="299">
        <v>10000</v>
      </c>
      <c r="AB13" s="299">
        <v>5000</v>
      </c>
      <c r="AC13" s="299">
        <v>6350</v>
      </c>
      <c r="AD13" s="299">
        <v>0</v>
      </c>
      <c r="AE13" s="299">
        <v>0</v>
      </c>
      <c r="AF13" s="299"/>
      <c r="AG13" s="156" t="e">
        <f>#REF!-S13</f>
        <v>#REF!</v>
      </c>
      <c r="AH13" s="320" t="e">
        <f>#REF!-T13</f>
        <v>#REF!</v>
      </c>
      <c r="AI13" s="157" t="e">
        <f>SUM(#REF!,#REF!,#REF!,#REF!,R13)-AJ13</f>
        <v>#REF!</v>
      </c>
      <c r="AJ13" s="188">
        <v>769.8</v>
      </c>
      <c r="AK13" s="188">
        <v>0</v>
      </c>
      <c r="AL13" s="188">
        <v>0</v>
      </c>
      <c r="AM13" s="188">
        <v>0</v>
      </c>
      <c r="AN13" s="188">
        <v>0</v>
      </c>
      <c r="AO13" s="188">
        <v>769.8</v>
      </c>
    </row>
    <row r="14" spans="1:41" s="23" customFormat="1" ht="25.4" customHeight="1">
      <c r="A14" s="18"/>
      <c r="B14" s="2">
        <v>7</v>
      </c>
      <c r="C14" s="85">
        <v>26199</v>
      </c>
      <c r="D14" s="123" t="s">
        <v>2517</v>
      </c>
      <c r="E14" s="473" t="s">
        <v>613</v>
      </c>
      <c r="F14" s="123" t="s">
        <v>3282</v>
      </c>
      <c r="G14" s="123" t="s">
        <v>2520</v>
      </c>
      <c r="H14" s="335">
        <v>10000</v>
      </c>
      <c r="I14" s="123" t="s">
        <v>2533</v>
      </c>
      <c r="J14" s="335">
        <v>13500</v>
      </c>
      <c r="K14" s="151" t="s">
        <v>2549</v>
      </c>
      <c r="L14" s="151" t="s">
        <v>2554</v>
      </c>
      <c r="M14" s="151"/>
      <c r="N14" s="151"/>
      <c r="O14" s="335"/>
      <c r="P14" s="335"/>
      <c r="Q14" s="151"/>
      <c r="R14" s="169">
        <f t="shared" si="1"/>
        <v>0</v>
      </c>
      <c r="S14" s="319">
        <v>0</v>
      </c>
      <c r="T14" s="332">
        <v>0</v>
      </c>
      <c r="U14" s="299"/>
      <c r="V14" s="299"/>
      <c r="W14" s="299"/>
      <c r="X14" s="299"/>
      <c r="Y14" s="299"/>
      <c r="Z14" s="299"/>
      <c r="AA14" s="299"/>
      <c r="AB14" s="299"/>
      <c r="AC14" s="299"/>
      <c r="AD14" s="299"/>
      <c r="AE14" s="299"/>
      <c r="AF14" s="299"/>
      <c r="AG14" s="156" t="e">
        <f>#REF!-S14</f>
        <v>#REF!</v>
      </c>
      <c r="AH14" s="320" t="e">
        <f>#REF!-T14</f>
        <v>#REF!</v>
      </c>
      <c r="AI14" s="157" t="e">
        <f>SUM(#REF!,#REF!,#REF!,#REF!,R14)-AJ14</f>
        <v>#REF!</v>
      </c>
      <c r="AJ14" s="188">
        <v>262491.09999999998</v>
      </c>
      <c r="AK14" s="188">
        <v>172388.99</v>
      </c>
      <c r="AL14" s="188">
        <v>14750.54</v>
      </c>
      <c r="AM14" s="188">
        <v>0</v>
      </c>
      <c r="AN14" s="188">
        <v>187139.53</v>
      </c>
      <c r="AO14" s="188">
        <v>75351.570000000007</v>
      </c>
    </row>
    <row r="15" spans="1:41" s="23" customFormat="1" ht="25.4" customHeight="1">
      <c r="A15" s="18"/>
      <c r="B15" s="2">
        <v>8</v>
      </c>
      <c r="C15" s="85"/>
      <c r="D15" s="123" t="s">
        <v>2517</v>
      </c>
      <c r="E15" s="473" t="s">
        <v>613</v>
      </c>
      <c r="F15" s="123" t="s">
        <v>3282</v>
      </c>
      <c r="G15" s="123" t="s">
        <v>2527</v>
      </c>
      <c r="H15" s="335">
        <v>2000</v>
      </c>
      <c r="I15" s="123" t="s">
        <v>2540</v>
      </c>
      <c r="J15" s="335"/>
      <c r="K15" s="151" t="s">
        <v>2549</v>
      </c>
      <c r="L15" s="151" t="s">
        <v>2554</v>
      </c>
      <c r="M15" s="151"/>
      <c r="N15" s="151"/>
      <c r="O15" s="335"/>
      <c r="P15" s="335"/>
      <c r="Q15" s="151"/>
      <c r="R15" s="169">
        <f t="shared" si="1"/>
        <v>0</v>
      </c>
      <c r="S15" s="319"/>
      <c r="T15" s="332"/>
      <c r="U15" s="299"/>
      <c r="V15" s="299"/>
      <c r="W15" s="299"/>
      <c r="X15" s="299"/>
      <c r="Y15" s="299"/>
      <c r="Z15" s="299"/>
      <c r="AA15" s="299"/>
      <c r="AB15" s="299"/>
      <c r="AC15" s="299"/>
      <c r="AD15" s="299"/>
      <c r="AE15" s="299"/>
      <c r="AF15" s="299"/>
      <c r="AG15" s="156" t="e">
        <f>#REF!-S15</f>
        <v>#REF!</v>
      </c>
      <c r="AH15" s="320" t="e">
        <f>#REF!-T15</f>
        <v>#REF!</v>
      </c>
      <c r="AI15" s="157" t="e">
        <f>SUM(#REF!,#REF!,#REF!,#REF!,R15)-AJ15</f>
        <v>#REF!</v>
      </c>
      <c r="AJ15" s="188"/>
      <c r="AK15" s="188"/>
      <c r="AL15" s="188"/>
      <c r="AM15" s="188"/>
      <c r="AN15" s="188"/>
      <c r="AO15" s="188"/>
    </row>
    <row r="16" spans="1:41" s="23" customFormat="1" ht="25.4" customHeight="1">
      <c r="A16" s="18"/>
      <c r="B16" s="2">
        <v>9</v>
      </c>
      <c r="C16" s="85"/>
      <c r="D16" s="123" t="s">
        <v>2517</v>
      </c>
      <c r="E16" s="473" t="s">
        <v>613</v>
      </c>
      <c r="F16" s="123" t="s">
        <v>3282</v>
      </c>
      <c r="G16" s="123" t="s">
        <v>2524</v>
      </c>
      <c r="H16" s="335">
        <v>11750</v>
      </c>
      <c r="I16" s="123" t="s">
        <v>2536</v>
      </c>
      <c r="J16" s="335"/>
      <c r="K16" s="151" t="s">
        <v>2543</v>
      </c>
      <c r="L16" s="151" t="s">
        <v>2554</v>
      </c>
      <c r="M16" s="151"/>
      <c r="N16" s="151"/>
      <c r="O16" s="335"/>
      <c r="P16" s="335"/>
      <c r="Q16" s="151" t="s">
        <v>2675</v>
      </c>
      <c r="R16" s="169">
        <f t="shared" si="1"/>
        <v>0</v>
      </c>
      <c r="S16" s="319"/>
      <c r="T16" s="332"/>
      <c r="U16" s="299"/>
      <c r="V16" s="299"/>
      <c r="W16" s="299"/>
      <c r="X16" s="299"/>
      <c r="Y16" s="299"/>
      <c r="Z16" s="299"/>
      <c r="AA16" s="299"/>
      <c r="AB16" s="299"/>
      <c r="AC16" s="299"/>
      <c r="AD16" s="299"/>
      <c r="AE16" s="299"/>
      <c r="AF16" s="299"/>
      <c r="AG16" s="156" t="e">
        <f>#REF!-S16</f>
        <v>#REF!</v>
      </c>
      <c r="AH16" s="320" t="e">
        <f>#REF!-T16</f>
        <v>#REF!</v>
      </c>
      <c r="AI16" s="157" t="e">
        <f>SUM(#REF!,#REF!,#REF!,#REF!,R16)-AJ16</f>
        <v>#REF!</v>
      </c>
      <c r="AJ16" s="188">
        <v>1924.5</v>
      </c>
      <c r="AK16" s="188">
        <v>0</v>
      </c>
      <c r="AL16" s="188">
        <v>0</v>
      </c>
      <c r="AM16" s="188">
        <v>0</v>
      </c>
      <c r="AN16" s="188">
        <v>0</v>
      </c>
      <c r="AO16" s="188">
        <v>1924.5</v>
      </c>
    </row>
    <row r="17" spans="1:41" s="23" customFormat="1" ht="25.4" customHeight="1">
      <c r="A17" s="18"/>
      <c r="B17" s="2">
        <v>10</v>
      </c>
      <c r="C17" s="85"/>
      <c r="D17" s="123" t="s">
        <v>2517</v>
      </c>
      <c r="E17" s="123" t="s">
        <v>613</v>
      </c>
      <c r="F17" s="123" t="s">
        <v>3282</v>
      </c>
      <c r="G17" s="123" t="s">
        <v>2713</v>
      </c>
      <c r="H17" s="335">
        <v>11000</v>
      </c>
      <c r="I17" s="123" t="s">
        <v>2538</v>
      </c>
      <c r="J17" s="335"/>
      <c r="K17" s="151" t="s">
        <v>2550</v>
      </c>
      <c r="L17" s="151" t="s">
        <v>2555</v>
      </c>
      <c r="M17" s="151">
        <v>130758300</v>
      </c>
      <c r="N17" s="151"/>
      <c r="O17" s="335">
        <v>8000</v>
      </c>
      <c r="P17" s="335"/>
      <c r="Q17" s="151" t="s">
        <v>2675</v>
      </c>
      <c r="R17" s="169">
        <f t="shared" si="1"/>
        <v>0</v>
      </c>
      <c r="S17" s="319"/>
      <c r="T17" s="332"/>
      <c r="U17" s="299"/>
      <c r="V17" s="299"/>
      <c r="W17" s="299"/>
      <c r="X17" s="299"/>
      <c r="Y17" s="299"/>
      <c r="Z17" s="299"/>
      <c r="AA17" s="299"/>
      <c r="AB17" s="299"/>
      <c r="AC17" s="299"/>
      <c r="AD17" s="299"/>
      <c r="AE17" s="299"/>
      <c r="AF17" s="299"/>
      <c r="AG17" s="156" t="e">
        <f>#REF!-S17</f>
        <v>#REF!</v>
      </c>
      <c r="AH17" s="320" t="e">
        <f>#REF!-T17</f>
        <v>#REF!</v>
      </c>
      <c r="AI17" s="157" t="e">
        <f>SUM(#REF!,#REF!,#REF!,#REF!,R17)-AJ17</f>
        <v>#REF!</v>
      </c>
      <c r="AJ17" s="188">
        <v>283226.74</v>
      </c>
      <c r="AK17" s="188">
        <v>22795.22</v>
      </c>
      <c r="AL17" s="188">
        <v>1581.8</v>
      </c>
      <c r="AM17" s="188">
        <v>0</v>
      </c>
      <c r="AN17" s="188">
        <v>24377.02</v>
      </c>
      <c r="AO17" s="188">
        <v>258849.72</v>
      </c>
    </row>
    <row r="18" spans="1:41" s="23" customFormat="1" ht="24.75" customHeight="1">
      <c r="A18" s="18"/>
      <c r="B18" s="2">
        <v>11</v>
      </c>
      <c r="C18" s="85"/>
      <c r="D18" s="123" t="s">
        <v>2517</v>
      </c>
      <c r="E18" s="123" t="s">
        <v>613</v>
      </c>
      <c r="F18" s="123" t="s">
        <v>3282</v>
      </c>
      <c r="G18" s="123" t="s">
        <v>2526</v>
      </c>
      <c r="H18" s="335">
        <v>1500</v>
      </c>
      <c r="I18" s="123" t="s">
        <v>2539</v>
      </c>
      <c r="J18" s="335"/>
      <c r="K18" s="151" t="s">
        <v>2550</v>
      </c>
      <c r="L18" s="151" t="s">
        <v>2555</v>
      </c>
      <c r="M18" s="151">
        <v>129414701</v>
      </c>
      <c r="N18" s="151"/>
      <c r="O18" s="335">
        <v>1044.21</v>
      </c>
      <c r="P18" s="335">
        <v>1044.21</v>
      </c>
      <c r="Q18" s="151" t="s">
        <v>2669</v>
      </c>
      <c r="R18" s="169">
        <f t="shared" si="1"/>
        <v>0</v>
      </c>
      <c r="S18" s="319"/>
      <c r="T18" s="332"/>
      <c r="U18" s="299"/>
      <c r="V18" s="299"/>
      <c r="W18" s="299"/>
      <c r="X18" s="299"/>
      <c r="Y18" s="299"/>
      <c r="Z18" s="299"/>
      <c r="AA18" s="299"/>
      <c r="AB18" s="299"/>
      <c r="AC18" s="299"/>
      <c r="AD18" s="299"/>
      <c r="AE18" s="299"/>
      <c r="AF18" s="299"/>
      <c r="AG18" s="156" t="e">
        <f>#REF!-S18</f>
        <v>#REF!</v>
      </c>
      <c r="AH18" s="320" t="e">
        <f>#REF!-T18</f>
        <v>#REF!</v>
      </c>
      <c r="AI18" s="157" t="e">
        <f>SUM(#REF!,#REF!,#REF!,#REF!,R18)-AJ18</f>
        <v>#REF!</v>
      </c>
      <c r="AJ18" s="188">
        <v>11931.9</v>
      </c>
      <c r="AK18" s="188">
        <v>11107.21</v>
      </c>
      <c r="AL18" s="188">
        <v>0</v>
      </c>
      <c r="AM18" s="188">
        <v>0</v>
      </c>
      <c r="AN18" s="188">
        <v>11107.21</v>
      </c>
      <c r="AO18" s="188">
        <v>824.69</v>
      </c>
    </row>
    <row r="19" spans="1:41" s="23" customFormat="1" ht="24.75" customHeight="1">
      <c r="A19" s="18"/>
      <c r="B19" s="2">
        <v>12</v>
      </c>
      <c r="C19" s="85"/>
      <c r="D19" s="123" t="s">
        <v>2517</v>
      </c>
      <c r="E19" s="123" t="s">
        <v>613</v>
      </c>
      <c r="F19" s="123" t="s">
        <v>3282</v>
      </c>
      <c r="G19" s="123" t="s">
        <v>2528</v>
      </c>
      <c r="H19" s="335">
        <v>5000</v>
      </c>
      <c r="I19" s="123" t="s">
        <v>2541</v>
      </c>
      <c r="J19" s="335"/>
      <c r="K19" s="151" t="s">
        <v>2550</v>
      </c>
      <c r="L19" s="151" t="s">
        <v>2555</v>
      </c>
      <c r="M19" s="151"/>
      <c r="N19" s="151"/>
      <c r="O19" s="335"/>
      <c r="P19" s="335"/>
      <c r="Q19" s="151"/>
      <c r="R19" s="169">
        <f t="shared" si="1"/>
        <v>0</v>
      </c>
      <c r="S19" s="319"/>
      <c r="T19" s="332"/>
      <c r="U19" s="299"/>
      <c r="V19" s="299"/>
      <c r="W19" s="299"/>
      <c r="X19" s="299"/>
      <c r="Y19" s="299"/>
      <c r="Z19" s="299"/>
      <c r="AA19" s="299"/>
      <c r="AB19" s="299"/>
      <c r="AC19" s="299"/>
      <c r="AD19" s="299"/>
      <c r="AE19" s="299"/>
      <c r="AF19" s="299"/>
      <c r="AG19" s="156" t="e">
        <f>#REF!-S19</f>
        <v>#REF!</v>
      </c>
      <c r="AH19" s="320" t="e">
        <f>#REF!-T19</f>
        <v>#REF!</v>
      </c>
      <c r="AI19" s="157" t="e">
        <f>SUM(#REF!,#REF!,#REF!,#REF!,R19)-AJ19</f>
        <v>#REF!</v>
      </c>
      <c r="AJ19" s="188"/>
      <c r="AK19" s="188"/>
      <c r="AL19" s="188"/>
      <c r="AM19" s="188"/>
      <c r="AN19" s="188"/>
      <c r="AO19" s="188"/>
    </row>
    <row r="20" spans="1:41" s="23" customFormat="1" ht="24.75" customHeight="1">
      <c r="A20" s="18"/>
      <c r="B20" s="2">
        <v>13</v>
      </c>
      <c r="C20" s="85"/>
      <c r="D20" s="123" t="s">
        <v>2517</v>
      </c>
      <c r="E20" s="123" t="s">
        <v>613</v>
      </c>
      <c r="F20" s="123"/>
      <c r="G20" s="360" t="s">
        <v>2683</v>
      </c>
      <c r="H20" s="335"/>
      <c r="I20" s="123"/>
      <c r="J20" s="335"/>
      <c r="K20" s="151"/>
      <c r="L20" s="246" t="s">
        <v>2684</v>
      </c>
      <c r="M20" s="151">
        <v>129832749</v>
      </c>
      <c r="N20" s="151"/>
      <c r="O20" s="335">
        <v>5000</v>
      </c>
      <c r="P20" s="335"/>
      <c r="Q20" s="151" t="s">
        <v>591</v>
      </c>
      <c r="R20" s="169">
        <f t="shared" si="1"/>
        <v>0</v>
      </c>
      <c r="S20" s="319"/>
      <c r="T20" s="332"/>
      <c r="U20" s="299"/>
      <c r="V20" s="299"/>
      <c r="W20" s="299"/>
      <c r="X20" s="299"/>
      <c r="Y20" s="299"/>
      <c r="Z20" s="299"/>
      <c r="AA20" s="299"/>
      <c r="AB20" s="299"/>
      <c r="AC20" s="299"/>
      <c r="AD20" s="299"/>
      <c r="AE20" s="299"/>
      <c r="AF20" s="299"/>
      <c r="AG20" s="156"/>
      <c r="AH20" s="320"/>
      <c r="AI20" s="157"/>
      <c r="AJ20" s="188"/>
      <c r="AK20" s="188"/>
      <c r="AL20" s="188"/>
      <c r="AM20" s="188"/>
      <c r="AN20" s="188"/>
      <c r="AO20" s="188"/>
    </row>
    <row r="21" spans="1:41" s="23" customFormat="1" ht="24.75" customHeight="1">
      <c r="A21" s="18"/>
      <c r="B21" s="2">
        <v>14</v>
      </c>
      <c r="C21" s="85"/>
      <c r="D21" s="123" t="s">
        <v>2517</v>
      </c>
      <c r="E21" s="123" t="s">
        <v>613</v>
      </c>
      <c r="F21" s="123"/>
      <c r="G21" s="123" t="s">
        <v>2666</v>
      </c>
      <c r="H21" s="335"/>
      <c r="I21" s="123"/>
      <c r="J21" s="335"/>
      <c r="K21" s="151"/>
      <c r="L21" s="151" t="s">
        <v>2709</v>
      </c>
      <c r="M21" s="151">
        <v>130230185</v>
      </c>
      <c r="N21" s="151"/>
      <c r="O21" s="335"/>
      <c r="P21" s="335"/>
      <c r="Q21" s="151" t="s">
        <v>671</v>
      </c>
      <c r="R21" s="169">
        <f t="shared" si="1"/>
        <v>0</v>
      </c>
      <c r="S21" s="319"/>
      <c r="T21" s="332"/>
      <c r="U21" s="299"/>
      <c r="V21" s="299"/>
      <c r="W21" s="299"/>
      <c r="X21" s="299"/>
      <c r="Y21" s="299"/>
      <c r="Z21" s="299"/>
      <c r="AA21" s="299"/>
      <c r="AB21" s="299"/>
      <c r="AC21" s="299"/>
      <c r="AD21" s="299"/>
      <c r="AE21" s="299"/>
      <c r="AF21" s="299"/>
      <c r="AG21" s="156"/>
      <c r="AH21" s="320"/>
      <c r="AI21" s="157"/>
      <c r="AJ21" s="188"/>
      <c r="AK21" s="188"/>
      <c r="AL21" s="188"/>
      <c r="AM21" s="188"/>
      <c r="AN21" s="188"/>
      <c r="AO21" s="188"/>
    </row>
    <row r="22" spans="1:41" s="23" customFormat="1" ht="24.75" customHeight="1">
      <c r="A22" s="18"/>
      <c r="B22" s="2">
        <v>15</v>
      </c>
      <c r="C22" s="85"/>
      <c r="D22" s="123" t="s">
        <v>2517</v>
      </c>
      <c r="E22" s="123" t="s">
        <v>613</v>
      </c>
      <c r="F22" s="123"/>
      <c r="G22" s="360" t="s">
        <v>2667</v>
      </c>
      <c r="H22" s="335"/>
      <c r="I22" s="123"/>
      <c r="J22" s="335"/>
      <c r="K22" s="151"/>
      <c r="L22" s="246" t="s">
        <v>2684</v>
      </c>
      <c r="M22" s="151">
        <v>130393665</v>
      </c>
      <c r="N22" s="151"/>
      <c r="O22" s="335">
        <v>300</v>
      </c>
      <c r="P22" s="335"/>
      <c r="Q22" s="151" t="s">
        <v>2712</v>
      </c>
      <c r="R22" s="169">
        <f t="shared" si="1"/>
        <v>0</v>
      </c>
      <c r="S22" s="319"/>
      <c r="T22" s="332"/>
      <c r="U22" s="299"/>
      <c r="V22" s="299"/>
      <c r="W22" s="299"/>
      <c r="X22" s="299"/>
      <c r="Y22" s="299"/>
      <c r="Z22" s="299"/>
      <c r="AA22" s="299"/>
      <c r="AB22" s="299"/>
      <c r="AC22" s="299"/>
      <c r="AD22" s="299"/>
      <c r="AE22" s="299"/>
      <c r="AF22" s="299"/>
      <c r="AG22" s="156"/>
      <c r="AH22" s="320"/>
      <c r="AI22" s="157"/>
      <c r="AJ22" s="188"/>
      <c r="AK22" s="188"/>
      <c r="AL22" s="188"/>
      <c r="AM22" s="188"/>
      <c r="AN22" s="188"/>
      <c r="AO22" s="188"/>
    </row>
    <row r="23" spans="1:41" s="23" customFormat="1" ht="24.75" customHeight="1">
      <c r="A23" s="18"/>
      <c r="B23" s="2">
        <v>16</v>
      </c>
      <c r="C23" s="85"/>
      <c r="D23" s="123" t="s">
        <v>2517</v>
      </c>
      <c r="E23" s="123" t="s">
        <v>613</v>
      </c>
      <c r="F23" s="123"/>
      <c r="G23" s="123" t="s">
        <v>2668</v>
      </c>
      <c r="H23" s="335"/>
      <c r="I23" s="123"/>
      <c r="J23" s="335"/>
      <c r="K23" s="151"/>
      <c r="L23" s="151" t="s">
        <v>2710</v>
      </c>
      <c r="M23" s="151">
        <v>130589509</v>
      </c>
      <c r="N23" s="151"/>
      <c r="O23" s="335"/>
      <c r="P23" s="335"/>
      <c r="Q23" s="151" t="s">
        <v>671</v>
      </c>
      <c r="R23" s="169">
        <f t="shared" si="1"/>
        <v>0</v>
      </c>
      <c r="S23" s="319"/>
      <c r="T23" s="332"/>
      <c r="U23" s="299"/>
      <c r="V23" s="299"/>
      <c r="W23" s="299"/>
      <c r="X23" s="299"/>
      <c r="Y23" s="299"/>
      <c r="Z23" s="299"/>
      <c r="AA23" s="299"/>
      <c r="AB23" s="299"/>
      <c r="AC23" s="299"/>
      <c r="AD23" s="299"/>
      <c r="AE23" s="299"/>
      <c r="AF23" s="299"/>
      <c r="AG23" s="156"/>
      <c r="AH23" s="320"/>
      <c r="AI23" s="157"/>
      <c r="AJ23" s="188"/>
      <c r="AK23" s="188"/>
      <c r="AL23" s="188"/>
      <c r="AM23" s="188"/>
      <c r="AN23" s="188"/>
      <c r="AO23" s="188"/>
    </row>
    <row r="24" spans="1:41" s="23" customFormat="1" ht="24.75" customHeight="1">
      <c r="A24" s="18"/>
      <c r="B24" s="2">
        <v>17</v>
      </c>
      <c r="C24" s="85"/>
      <c r="D24" s="123" t="s">
        <v>2517</v>
      </c>
      <c r="E24" s="123" t="s">
        <v>613</v>
      </c>
      <c r="F24" s="123" t="s">
        <v>3282</v>
      </c>
      <c r="G24" s="123" t="s">
        <v>2671</v>
      </c>
      <c r="H24" s="335"/>
      <c r="I24" s="123"/>
      <c r="J24" s="335"/>
      <c r="K24" s="151"/>
      <c r="L24" s="151"/>
      <c r="M24" s="151">
        <v>129970655</v>
      </c>
      <c r="N24" s="151">
        <v>8241741634</v>
      </c>
      <c r="O24" s="335">
        <v>383.6</v>
      </c>
      <c r="P24" s="335">
        <v>383.6</v>
      </c>
      <c r="Q24" s="151" t="s">
        <v>2669</v>
      </c>
      <c r="R24" s="169">
        <f t="shared" si="1"/>
        <v>0</v>
      </c>
      <c r="S24" s="319"/>
      <c r="T24" s="332"/>
      <c r="U24" s="299"/>
      <c r="V24" s="299"/>
      <c r="W24" s="299"/>
      <c r="X24" s="299"/>
      <c r="Y24" s="299"/>
      <c r="Z24" s="299"/>
      <c r="AA24" s="299"/>
      <c r="AB24" s="299"/>
      <c r="AC24" s="299"/>
      <c r="AD24" s="299"/>
      <c r="AE24" s="299"/>
      <c r="AF24" s="299"/>
      <c r="AG24" s="156" t="e">
        <f>#REF!-S24</f>
        <v>#REF!</v>
      </c>
      <c r="AH24" s="320" t="e">
        <f>#REF!-T24</f>
        <v>#REF!</v>
      </c>
      <c r="AI24" s="157" t="e">
        <f>SUM(#REF!,#REF!,#REF!,#REF!,R24)-AJ24</f>
        <v>#REF!</v>
      </c>
      <c r="AJ24" s="188"/>
      <c r="AK24" s="188"/>
      <c r="AL24" s="188"/>
      <c r="AM24" s="188"/>
      <c r="AN24" s="188"/>
      <c r="AO24" s="188"/>
    </row>
    <row r="25" spans="1:41" s="23" customFormat="1" ht="24.75" customHeight="1">
      <c r="A25" s="18"/>
      <c r="B25" s="2">
        <v>18</v>
      </c>
      <c r="C25" s="85"/>
      <c r="D25" s="123" t="s">
        <v>2517</v>
      </c>
      <c r="E25" s="123" t="s">
        <v>613</v>
      </c>
      <c r="F25" s="123" t="s">
        <v>3282</v>
      </c>
      <c r="G25" s="123" t="s">
        <v>2672</v>
      </c>
      <c r="H25" s="335"/>
      <c r="I25" s="123"/>
      <c r="J25" s="335"/>
      <c r="K25" s="151"/>
      <c r="L25" s="151"/>
      <c r="M25" s="151">
        <v>130156118</v>
      </c>
      <c r="N25" s="151"/>
      <c r="O25" s="335">
        <v>9590</v>
      </c>
      <c r="P25" s="335"/>
      <c r="Q25" s="151" t="s">
        <v>591</v>
      </c>
      <c r="R25" s="169">
        <f t="shared" si="1"/>
        <v>0</v>
      </c>
      <c r="S25" s="319"/>
      <c r="T25" s="332"/>
      <c r="U25" s="299"/>
      <c r="V25" s="299"/>
      <c r="W25" s="299"/>
      <c r="X25" s="299"/>
      <c r="Y25" s="299"/>
      <c r="Z25" s="299"/>
      <c r="AA25" s="299"/>
      <c r="AB25" s="299"/>
      <c r="AC25" s="299"/>
      <c r="AD25" s="299"/>
      <c r="AE25" s="299"/>
      <c r="AF25" s="299"/>
      <c r="AG25" s="156" t="e">
        <f>#REF!-S25</f>
        <v>#REF!</v>
      </c>
      <c r="AH25" s="320" t="e">
        <f>#REF!-T25</f>
        <v>#REF!</v>
      </c>
      <c r="AI25" s="157" t="e">
        <f>SUM(#REF!,#REF!,#REF!,#REF!,R25)-AJ25</f>
        <v>#REF!</v>
      </c>
      <c r="AJ25" s="188"/>
      <c r="AK25" s="188"/>
      <c r="AL25" s="188"/>
      <c r="AM25" s="188"/>
      <c r="AN25" s="188"/>
      <c r="AO25" s="188"/>
    </row>
    <row r="26" spans="1:41" s="23" customFormat="1" ht="24.75" customHeight="1">
      <c r="A26" s="18"/>
      <c r="B26" s="2"/>
      <c r="C26" s="85"/>
      <c r="D26" s="123" t="s">
        <v>2517</v>
      </c>
      <c r="E26" s="123" t="s">
        <v>613</v>
      </c>
      <c r="F26" s="123"/>
      <c r="G26" s="123" t="s">
        <v>3926</v>
      </c>
      <c r="H26" s="335"/>
      <c r="I26" s="123"/>
      <c r="J26" s="335"/>
      <c r="K26" s="151"/>
      <c r="L26" s="151"/>
      <c r="M26" s="151">
        <v>131871495</v>
      </c>
      <c r="N26" s="151"/>
      <c r="O26" s="335"/>
      <c r="P26" s="335"/>
      <c r="Q26" s="151"/>
      <c r="R26" s="169"/>
      <c r="S26" s="319"/>
      <c r="T26" s="332"/>
      <c r="U26" s="299"/>
      <c r="V26" s="299"/>
      <c r="W26" s="299"/>
      <c r="X26" s="299"/>
      <c r="Y26" s="299"/>
      <c r="Z26" s="299"/>
      <c r="AA26" s="299"/>
      <c r="AB26" s="299"/>
      <c r="AC26" s="299"/>
      <c r="AD26" s="299"/>
      <c r="AE26" s="299"/>
      <c r="AF26" s="299"/>
      <c r="AG26" s="156"/>
      <c r="AH26" s="320"/>
      <c r="AI26" s="157"/>
      <c r="AJ26" s="188"/>
      <c r="AK26" s="188"/>
      <c r="AL26" s="188"/>
      <c r="AM26" s="188"/>
      <c r="AN26" s="188"/>
      <c r="AO26" s="188"/>
    </row>
    <row r="27" spans="1:41" s="23" customFormat="1" ht="24.75" customHeight="1">
      <c r="A27" s="18"/>
      <c r="B27" s="2"/>
      <c r="C27" s="85"/>
      <c r="D27" s="123" t="s">
        <v>2517</v>
      </c>
      <c r="E27" s="123" t="s">
        <v>613</v>
      </c>
      <c r="F27" s="123"/>
      <c r="G27" s="123" t="s">
        <v>2714</v>
      </c>
      <c r="H27" s="335"/>
      <c r="I27" s="123"/>
      <c r="J27" s="335"/>
      <c r="K27" s="151"/>
      <c r="L27" s="151"/>
      <c r="M27" s="151">
        <v>130758834</v>
      </c>
      <c r="N27" s="151"/>
      <c r="O27" s="335">
        <v>283</v>
      </c>
      <c r="P27" s="335"/>
      <c r="Q27" s="151" t="s">
        <v>591</v>
      </c>
      <c r="R27" s="169">
        <f t="shared" si="1"/>
        <v>0</v>
      </c>
      <c r="S27" s="319"/>
      <c r="T27" s="332"/>
      <c r="U27" s="299"/>
      <c r="V27" s="299"/>
      <c r="W27" s="299"/>
      <c r="X27" s="299"/>
      <c r="Y27" s="299"/>
      <c r="Z27" s="299"/>
      <c r="AA27" s="299"/>
      <c r="AB27" s="299"/>
      <c r="AC27" s="299"/>
      <c r="AD27" s="299"/>
      <c r="AE27" s="299"/>
      <c r="AF27" s="299"/>
      <c r="AG27" s="156"/>
      <c r="AH27" s="320"/>
      <c r="AI27" s="157"/>
      <c r="AJ27" s="188"/>
      <c r="AK27" s="188"/>
      <c r="AL27" s="188"/>
      <c r="AM27" s="188"/>
      <c r="AN27" s="188"/>
      <c r="AO27" s="188"/>
    </row>
    <row r="28" spans="1:41" s="23" customFormat="1" ht="24.75" customHeight="1">
      <c r="A28" s="18"/>
      <c r="B28" s="2">
        <v>19</v>
      </c>
      <c r="C28" s="85"/>
      <c r="D28" s="123" t="s">
        <v>2517</v>
      </c>
      <c r="E28" s="123" t="s">
        <v>613</v>
      </c>
      <c r="F28" s="123"/>
      <c r="G28" s="123" t="s">
        <v>2673</v>
      </c>
      <c r="H28" s="335"/>
      <c r="I28" s="123"/>
      <c r="J28" s="335"/>
      <c r="K28" s="151"/>
      <c r="L28" s="151"/>
      <c r="M28" s="151">
        <v>130226601</v>
      </c>
      <c r="N28" s="151"/>
      <c r="O28" s="335">
        <v>3667</v>
      </c>
      <c r="P28" s="335"/>
      <c r="Q28" s="151" t="s">
        <v>591</v>
      </c>
      <c r="R28" s="169">
        <f t="shared" si="1"/>
        <v>0</v>
      </c>
      <c r="S28" s="319"/>
      <c r="T28" s="332"/>
      <c r="U28" s="299"/>
      <c r="V28" s="299"/>
      <c r="W28" s="299"/>
      <c r="X28" s="299"/>
      <c r="Y28" s="299"/>
      <c r="Z28" s="299"/>
      <c r="AA28" s="299"/>
      <c r="AB28" s="299"/>
      <c r="AC28" s="299"/>
      <c r="AD28" s="299"/>
      <c r="AE28" s="299"/>
      <c r="AF28" s="299"/>
      <c r="AG28" s="156"/>
      <c r="AH28" s="320"/>
      <c r="AI28" s="157"/>
      <c r="AJ28" s="188"/>
      <c r="AK28" s="188"/>
      <c r="AL28" s="188"/>
      <c r="AM28" s="188"/>
      <c r="AN28" s="188"/>
      <c r="AO28" s="188"/>
    </row>
    <row r="29" spans="1:41" s="23" customFormat="1" ht="24.75" customHeight="1">
      <c r="A29" s="18"/>
      <c r="B29" s="2">
        <v>20</v>
      </c>
      <c r="C29" s="85"/>
      <c r="D29" s="123" t="s">
        <v>2517</v>
      </c>
      <c r="E29" s="123" t="s">
        <v>613</v>
      </c>
      <c r="F29" s="123"/>
      <c r="G29" s="123" t="s">
        <v>2674</v>
      </c>
      <c r="H29" s="335"/>
      <c r="I29" s="123"/>
      <c r="J29" s="335"/>
      <c r="K29" s="151"/>
      <c r="L29" s="151"/>
      <c r="M29" s="151">
        <v>1304165110</v>
      </c>
      <c r="N29" s="151"/>
      <c r="O29" s="335">
        <v>4518</v>
      </c>
      <c r="P29" s="335"/>
      <c r="Q29" s="151" t="s">
        <v>591</v>
      </c>
      <c r="R29" s="169">
        <f t="shared" si="1"/>
        <v>0</v>
      </c>
      <c r="S29" s="319"/>
      <c r="T29" s="332"/>
      <c r="U29" s="299"/>
      <c r="V29" s="299"/>
      <c r="W29" s="299"/>
      <c r="X29" s="299"/>
      <c r="Y29" s="299"/>
      <c r="Z29" s="299"/>
      <c r="AA29" s="299"/>
      <c r="AB29" s="299"/>
      <c r="AC29" s="299"/>
      <c r="AD29" s="299"/>
      <c r="AE29" s="299"/>
      <c r="AF29" s="299"/>
      <c r="AG29" s="156"/>
      <c r="AH29" s="320"/>
      <c r="AI29" s="157"/>
      <c r="AJ29" s="188"/>
      <c r="AK29" s="188"/>
      <c r="AL29" s="188"/>
      <c r="AM29" s="188"/>
      <c r="AN29" s="188"/>
      <c r="AO29" s="188"/>
    </row>
  </sheetData>
  <autoFilter ref="A7:AO29" xr:uid="{08A89BD5-821A-45A1-B72D-07D1EF62FA78}"/>
  <conditionalFormatting sqref="AJ8:AO23 AH8:AH29 AJ25:AO29 R8:R29">
    <cfRule type="cellIs" dxfId="16" priority="1226" operator="equal">
      <formula>"Behind Schedule"</formula>
    </cfRule>
    <cfRule type="cellIs" dxfId="15" priority="1227" operator="equal">
      <formula>"TBD"</formula>
    </cfRule>
    <cfRule type="cellIs" dxfId="14" priority="1228" operator="equal">
      <formula>"In Progress"</formula>
    </cfRule>
    <cfRule type="cellIs" dxfId="13" priority="1229" operator="equal">
      <formula>"Completed"</formula>
    </cfRule>
  </conditionalFormatting>
  <conditionalFormatting sqref="AJ24:AO24">
    <cfRule type="cellIs" dxfId="12" priority="9" operator="equal">
      <formula>"Behind Schedule"</formula>
    </cfRule>
    <cfRule type="cellIs" dxfId="11" priority="10" operator="equal">
      <formula>"TBD"</formula>
    </cfRule>
    <cfRule type="cellIs" dxfId="10" priority="11" operator="equal">
      <formula>"In Progress"</formula>
    </cfRule>
    <cfRule type="cellIs" dxfId="9" priority="12" operator="equal">
      <formula>"Completed"</formula>
    </cfRule>
  </conditionalFormatting>
  <printOptions horizontalCentered="1" verticalCentered="1"/>
  <pageMargins left="0.25" right="0.25" top="0.75" bottom="0.75" header="0.3" footer="0.3"/>
  <pageSetup paperSize="256" scale="27" orientation="landscape" r:id="rId1"/>
  <drawing r:id="rId2"/>
  <extLst>
    <ext xmlns:x14="http://schemas.microsoft.com/office/spreadsheetml/2009/9/main" uri="{78C0D931-6437-407d-A8EE-F0AAD7539E65}">
      <x14:conditionalFormattings>
        <x14:conditionalFormatting xmlns:xm="http://schemas.microsoft.com/office/excel/2006/main">
          <x14:cfRule type="containsText" priority="964" stopIfTrue="1" operator="containsText" id="{0120845D-5167-4271-820A-D4E3426160A8}">
            <xm:f>NOT(ISERROR(SEARCH(#REF!,C2)))</xm:f>
            <xm:f>#REF!</xm:f>
            <x14:dxf>
              <font>
                <b/>
                <i val="0"/>
              </font>
              <fill>
                <patternFill>
                  <bgColor theme="0" tint="-0.24994659260841701"/>
                </patternFill>
              </fill>
            </x14:dxf>
          </x14:cfRule>
          <x14:cfRule type="containsText" priority="965" stopIfTrue="1" operator="containsText" id="{D6021E84-DE06-4031-9E24-75B0DE5954D9}">
            <xm:f>NOT(ISERROR(SEARCH(#REF!,C2)))</xm:f>
            <xm:f>#REF!</xm:f>
            <x14:dxf>
              <font>
                <b/>
                <i val="0"/>
                <color theme="0"/>
              </font>
              <fill>
                <patternFill>
                  <bgColor theme="1" tint="0.24994659260841701"/>
                </patternFill>
              </fill>
            </x14:dxf>
          </x14:cfRule>
          <x14:cfRule type="containsText" priority="966" stopIfTrue="1" operator="containsText" id="{591B4BCC-8D0E-4D1A-AAE4-D7E563F776A1}">
            <xm:f>NOT(ISERROR(SEARCH(#REF!,C2)))</xm:f>
            <xm:f>#REF!</xm:f>
            <x14:dxf>
              <font>
                <b/>
                <i val="0"/>
              </font>
              <fill>
                <patternFill>
                  <bgColor theme="2" tint="-0.499984740745262"/>
                </patternFill>
              </fill>
            </x14:dxf>
          </x14:cfRule>
          <x14:cfRule type="containsText" priority="967" operator="containsText" id="{DFC041EB-CCD4-487B-B545-97C37B97B2D9}">
            <xm:f>NOT(ISERROR(SEARCH(#REF!,C2)))</xm:f>
            <xm:f>#REF!</xm:f>
            <x14:dxf>
              <font>
                <b/>
                <i val="0"/>
              </font>
              <fill>
                <patternFill>
                  <bgColor rgb="FF00B0F0"/>
                </patternFill>
              </fill>
            </x14:dxf>
          </x14:cfRule>
          <x14:cfRule type="containsText" priority="968" operator="containsText" id="{6186D736-A86B-4095-9EA0-9D9F4240A5C1}">
            <xm:f>NOT(ISERROR(SEARCH(#REF!,C2)))</xm:f>
            <xm:f>#REF!</xm:f>
            <x14:dxf>
              <font>
                <b/>
                <i val="0"/>
              </font>
              <fill>
                <patternFill>
                  <bgColor theme="5" tint="0.39994506668294322"/>
                </patternFill>
              </fill>
            </x14:dxf>
          </x14:cfRule>
          <x14:cfRule type="containsText" priority="969" operator="containsText" id="{AA5EB221-7811-4058-BBB7-313057B17C36}">
            <xm:f>NOT(ISERROR(SEARCH(#REF!,C2)))</xm:f>
            <xm:f>#REF!</xm:f>
            <x14:dxf>
              <font>
                <b/>
                <i val="0"/>
              </font>
              <fill>
                <patternFill>
                  <bgColor theme="6" tint="0.39994506668294322"/>
                </patternFill>
              </fill>
            </x14:dxf>
          </x14:cfRule>
          <x14:cfRule type="containsText" priority="970" operator="containsText" id="{1DCA86E7-B832-4B49-BE93-35E9AA2BF084}">
            <xm:f>NOT(ISERROR(SEARCH(#REF!,C2)))</xm:f>
            <xm:f>#REF!</xm:f>
            <x14:dxf>
              <font>
                <b/>
                <i val="0"/>
              </font>
              <fill>
                <patternFill>
                  <bgColor theme="7" tint="0.39994506668294322"/>
                </patternFill>
              </fill>
            </x14:dxf>
          </x14:cfRule>
          <x14:cfRule type="containsText" priority="971" operator="containsText" id="{85689C25-8882-4F31-8D74-6BAB83BF5836}">
            <xm:f>NOT(ISERROR(SEARCH(#REF!,C2)))</xm:f>
            <xm:f>#REF!</xm:f>
            <x14:dxf>
              <font>
                <b/>
                <i val="0"/>
              </font>
              <fill>
                <patternFill>
                  <bgColor theme="8" tint="0.39994506668294322"/>
                </patternFill>
              </fill>
            </x14:dxf>
          </x14:cfRule>
          <x14:cfRule type="containsText" priority="972" operator="containsText" id="{3FB4E366-FA5B-4520-9CB8-CD0DF2955494}">
            <xm:f>NOT(ISERROR(SEARCH(#REF!,C2)))</xm:f>
            <xm:f>#REF!</xm:f>
            <x14:dxf>
              <font>
                <b/>
                <i val="0"/>
              </font>
              <fill>
                <patternFill>
                  <bgColor theme="9" tint="0.39994506668294322"/>
                </patternFill>
              </fill>
            </x14:dxf>
          </x14:cfRule>
          <xm:sqref>C2:D2</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66087-B97F-4899-816E-BEBCC0ECBEDE}">
  <sheetPr codeName="Planilha23"/>
  <dimension ref="A1:H41"/>
  <sheetViews>
    <sheetView workbookViewId="0">
      <selection activeCell="E2" sqref="E2"/>
    </sheetView>
  </sheetViews>
  <sheetFormatPr defaultRowHeight="14.5"/>
  <cols>
    <col min="1" max="1" width="23" customWidth="1"/>
    <col min="3" max="3" width="14.1796875" bestFit="1" customWidth="1"/>
    <col min="4" max="9" width="17.54296875" customWidth="1"/>
  </cols>
  <sheetData>
    <row r="1" spans="1:8">
      <c r="A1" t="s">
        <v>950</v>
      </c>
      <c r="C1" s="204" t="s">
        <v>1053</v>
      </c>
      <c r="D1" t="s">
        <v>1054</v>
      </c>
      <c r="E1" t="s">
        <v>1055</v>
      </c>
      <c r="F1" t="s">
        <v>985</v>
      </c>
      <c r="G1" t="s">
        <v>223</v>
      </c>
      <c r="H1" t="s">
        <v>982</v>
      </c>
    </row>
    <row r="2" spans="1:8">
      <c r="A2" t="s">
        <v>951</v>
      </c>
      <c r="C2" t="s">
        <v>951</v>
      </c>
      <c r="D2" t="s">
        <v>956</v>
      </c>
      <c r="E2" t="s">
        <v>958</v>
      </c>
      <c r="F2" t="s">
        <v>186</v>
      </c>
      <c r="G2" t="s">
        <v>613</v>
      </c>
      <c r="H2" t="s">
        <v>953</v>
      </c>
    </row>
    <row r="3" spans="1:8">
      <c r="A3" t="s">
        <v>952</v>
      </c>
      <c r="C3" t="s">
        <v>952</v>
      </c>
      <c r="D3" t="s">
        <v>957</v>
      </c>
      <c r="E3" t="s">
        <v>965</v>
      </c>
      <c r="G3" t="s">
        <v>186</v>
      </c>
      <c r="H3" t="s">
        <v>954</v>
      </c>
    </row>
    <row r="4" spans="1:8">
      <c r="A4" t="s">
        <v>953</v>
      </c>
      <c r="C4" t="s">
        <v>961</v>
      </c>
      <c r="D4" t="s">
        <v>962</v>
      </c>
      <c r="E4" t="s">
        <v>968</v>
      </c>
      <c r="H4" t="s">
        <v>977</v>
      </c>
    </row>
    <row r="5" spans="1:8">
      <c r="A5" t="s">
        <v>954</v>
      </c>
      <c r="C5" t="s">
        <v>967</v>
      </c>
      <c r="D5" t="s">
        <v>965</v>
      </c>
      <c r="E5" t="s">
        <v>972</v>
      </c>
      <c r="H5" t="s">
        <v>983</v>
      </c>
    </row>
    <row r="6" spans="1:8">
      <c r="A6" t="s">
        <v>605</v>
      </c>
      <c r="C6" t="s">
        <v>968</v>
      </c>
      <c r="D6" t="s">
        <v>968</v>
      </c>
      <c r="E6" t="s">
        <v>981</v>
      </c>
    </row>
    <row r="7" spans="1:8">
      <c r="A7" t="s">
        <v>955</v>
      </c>
      <c r="C7" t="s">
        <v>969</v>
      </c>
      <c r="D7" t="s">
        <v>979</v>
      </c>
      <c r="E7" t="s">
        <v>979</v>
      </c>
    </row>
    <row r="8" spans="1:8">
      <c r="A8" t="s">
        <v>956</v>
      </c>
      <c r="C8" t="s">
        <v>973</v>
      </c>
    </row>
    <row r="9" spans="1:8">
      <c r="A9" t="s">
        <v>957</v>
      </c>
      <c r="C9" t="s">
        <v>974</v>
      </c>
    </row>
    <row r="10" spans="1:8">
      <c r="A10" t="s">
        <v>958</v>
      </c>
    </row>
    <row r="11" spans="1:8">
      <c r="A11" t="s">
        <v>959</v>
      </c>
    </row>
    <row r="12" spans="1:8">
      <c r="A12" t="s">
        <v>960</v>
      </c>
    </row>
    <row r="13" spans="1:8">
      <c r="A13" t="s">
        <v>186</v>
      </c>
    </row>
    <row r="14" spans="1:8">
      <c r="A14" t="s">
        <v>613</v>
      </c>
    </row>
    <row r="15" spans="1:8">
      <c r="A15" t="s">
        <v>961</v>
      </c>
    </row>
    <row r="16" spans="1:8">
      <c r="A16" t="s">
        <v>962</v>
      </c>
    </row>
    <row r="17" spans="1:1">
      <c r="A17" t="s">
        <v>984</v>
      </c>
    </row>
    <row r="18" spans="1:1">
      <c r="A18" t="s">
        <v>983</v>
      </c>
    </row>
    <row r="19" spans="1:1">
      <c r="A19" t="s">
        <v>962</v>
      </c>
    </row>
    <row r="20" spans="1:1">
      <c r="A20" t="s">
        <v>963</v>
      </c>
    </row>
    <row r="21" spans="1:1">
      <c r="A21" t="s">
        <v>964</v>
      </c>
    </row>
    <row r="22" spans="1:1">
      <c r="A22" t="s">
        <v>965</v>
      </c>
    </row>
    <row r="23" spans="1:1">
      <c r="A23" t="s">
        <v>700</v>
      </c>
    </row>
    <row r="24" spans="1:1">
      <c r="A24" t="s">
        <v>980</v>
      </c>
    </row>
    <row r="25" spans="1:1">
      <c r="A25" t="s">
        <v>966</v>
      </c>
    </row>
    <row r="26" spans="1:1">
      <c r="A26" t="s">
        <v>967</v>
      </c>
    </row>
    <row r="27" spans="1:1">
      <c r="A27" t="s">
        <v>968</v>
      </c>
    </row>
    <row r="28" spans="1:1">
      <c r="A28" t="s">
        <v>969</v>
      </c>
    </row>
    <row r="29" spans="1:1">
      <c r="A29" t="s">
        <v>970</v>
      </c>
    </row>
    <row r="30" spans="1:1">
      <c r="A30" t="s">
        <v>606</v>
      </c>
    </row>
    <row r="31" spans="1:1">
      <c r="A31" t="s">
        <v>971</v>
      </c>
    </row>
    <row r="32" spans="1:1">
      <c r="A32" t="s">
        <v>972</v>
      </c>
    </row>
    <row r="33" spans="1:1">
      <c r="A33" t="s">
        <v>981</v>
      </c>
    </row>
    <row r="34" spans="1:1">
      <c r="A34" t="s">
        <v>973</v>
      </c>
    </row>
    <row r="35" spans="1:1">
      <c r="A35" t="s">
        <v>974</v>
      </c>
    </row>
    <row r="36" spans="1:1">
      <c r="A36" t="s">
        <v>975</v>
      </c>
    </row>
    <row r="37" spans="1:1">
      <c r="A37" t="s">
        <v>976</v>
      </c>
    </row>
    <row r="38" spans="1:1">
      <c r="A38" t="s">
        <v>977</v>
      </c>
    </row>
    <row r="39" spans="1:1">
      <c r="A39" t="s">
        <v>978</v>
      </c>
    </row>
    <row r="40" spans="1:1">
      <c r="A40" t="s">
        <v>482</v>
      </c>
    </row>
    <row r="41" spans="1:1">
      <c r="A41" t="s">
        <v>979</v>
      </c>
    </row>
  </sheetData>
  <autoFilter ref="A2:A41" xr:uid="{DF271745-F886-4FDC-920B-47CA01DE936D}">
    <sortState xmlns:xlrd2="http://schemas.microsoft.com/office/spreadsheetml/2017/richdata2" ref="A3:A41">
      <sortCondition ref="A2:A41"/>
    </sortState>
  </autoFilter>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90DB3-DC17-40EE-B6EF-ED2F6307E550}">
  <sheetPr codeName="Planilha26">
    <tabColor theme="9" tint="0.39997558519241921"/>
  </sheetPr>
  <dimension ref="B2:O21"/>
  <sheetViews>
    <sheetView showGridLines="0" zoomScale="85" zoomScaleNormal="85" workbookViewId="0">
      <selection activeCell="P23" sqref="P23"/>
    </sheetView>
  </sheetViews>
  <sheetFormatPr defaultRowHeight="14.5"/>
  <cols>
    <col min="2" max="2" width="19.26953125" style="110" customWidth="1"/>
    <col min="3" max="3" width="12.453125" style="110" customWidth="1"/>
    <col min="4" max="4" width="14.26953125" style="110" customWidth="1"/>
    <col min="5" max="6" width="11.26953125" style="110" customWidth="1"/>
    <col min="7" max="7" width="4" style="110" customWidth="1"/>
    <col min="11" max="15" width="0" hidden="1" customWidth="1"/>
  </cols>
  <sheetData>
    <row r="2" spans="2:15" ht="23.5">
      <c r="B2" s="618" t="s">
        <v>628</v>
      </c>
      <c r="C2" s="618"/>
      <c r="D2" s="618"/>
      <c r="E2" s="618"/>
      <c r="F2" s="618"/>
      <c r="G2" s="618"/>
      <c r="H2" s="127"/>
    </row>
    <row r="4" spans="2:15" s="110" customFormat="1" ht="15" thickBot="1">
      <c r="B4" s="144" t="s">
        <v>610</v>
      </c>
      <c r="C4" s="128"/>
      <c r="D4" s="129"/>
      <c r="E4" s="128"/>
      <c r="F4" s="128"/>
      <c r="H4"/>
      <c r="I4"/>
      <c r="J4"/>
      <c r="K4"/>
      <c r="L4"/>
      <c r="M4"/>
      <c r="N4"/>
      <c r="O4"/>
    </row>
    <row r="5" spans="2:15" ht="15.5" thickTop="1" thickBot="1">
      <c r="B5" s="143" t="e">
        <f>SUM(D8,D11,D14,D17,D20,D23)</f>
        <v>#REF!</v>
      </c>
    </row>
    <row r="6" spans="2:15" ht="15" thickTop="1"/>
    <row r="7" spans="2:15">
      <c r="D7" s="110" t="s">
        <v>611</v>
      </c>
    </row>
    <row r="8" spans="2:15">
      <c r="D8" s="136" t="e">
        <f>#REF!</f>
        <v>#REF!</v>
      </c>
      <c r="F8" s="137" t="e">
        <f>D8/$B$5</f>
        <v>#REF!</v>
      </c>
    </row>
    <row r="10" spans="2:15">
      <c r="D10" s="110" t="s">
        <v>605</v>
      </c>
    </row>
    <row r="11" spans="2:15">
      <c r="D11" s="136" t="e">
        <f>#REF!</f>
        <v>#REF!</v>
      </c>
      <c r="F11" s="137" t="e">
        <f>D11/$B$5</f>
        <v>#REF!</v>
      </c>
      <c r="J11" s="110"/>
      <c r="K11" s="137" t="e">
        <f>#REF!/$B$5</f>
        <v>#REF!</v>
      </c>
    </row>
    <row r="13" spans="2:15">
      <c r="D13" s="110" t="s">
        <v>612</v>
      </c>
    </row>
    <row r="14" spans="2:15">
      <c r="D14" s="136" t="e">
        <f>#REF!</f>
        <v>#REF!</v>
      </c>
      <c r="F14" s="137" t="e">
        <f>D14/$B$5</f>
        <v>#REF!</v>
      </c>
    </row>
    <row r="16" spans="2:15">
      <c r="D16" s="110" t="s">
        <v>613</v>
      </c>
    </row>
    <row r="17" spans="2:6">
      <c r="D17" s="136" t="e">
        <f>#REF!</f>
        <v>#REF!</v>
      </c>
      <c r="F17" s="137" t="e">
        <f>D17/$B$5</f>
        <v>#REF!</v>
      </c>
    </row>
    <row r="19" spans="2:6">
      <c r="D19" s="110" t="s">
        <v>606</v>
      </c>
    </row>
    <row r="20" spans="2:6">
      <c r="D20" s="136" t="e">
        <f>#REF!</f>
        <v>#REF!</v>
      </c>
      <c r="F20" s="137" t="e">
        <f>D20/$B$5</f>
        <v>#REF!</v>
      </c>
    </row>
    <row r="21" spans="2:6">
      <c r="B21" s="130"/>
    </row>
  </sheetData>
  <mergeCells count="1">
    <mergeCell ref="B2:G2"/>
  </mergeCells>
  <pageMargins left="0.511811024" right="0.511811024" top="0.78740157499999996" bottom="0.78740157499999996" header="0.31496062000000002" footer="0.31496062000000002"/>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AFD31-91A7-4ABC-8506-D9B9E12FD1D4}">
  <sheetPr codeName="Planilha36">
    <tabColor rgb="FF92D050"/>
  </sheetPr>
  <dimension ref="B2:L19"/>
  <sheetViews>
    <sheetView showGridLines="0" zoomScale="115" zoomScaleNormal="115" workbookViewId="0">
      <selection activeCell="M15" sqref="M15"/>
    </sheetView>
  </sheetViews>
  <sheetFormatPr defaultRowHeight="14.5"/>
  <cols>
    <col min="1" max="1" width="4" customWidth="1"/>
    <col min="2" max="2" width="9.26953125" style="110" bestFit="1" customWidth="1"/>
    <col min="3" max="3" width="1.7265625" style="110" bestFit="1" customWidth="1"/>
    <col min="4" max="4" width="8.26953125" style="110" bestFit="1" customWidth="1"/>
    <col min="5" max="5" width="2" style="110" bestFit="1" customWidth="1"/>
    <col min="6" max="6" width="14.7265625" style="110" bestFit="1" customWidth="1"/>
    <col min="7" max="7" width="2" style="110" bestFit="1" customWidth="1"/>
    <col min="8" max="8" width="19.26953125" bestFit="1" customWidth="1"/>
    <col min="9" max="9" width="2" bestFit="1" customWidth="1"/>
    <col min="10" max="10" width="11.26953125" bestFit="1" customWidth="1"/>
    <col min="11" max="11" width="9.26953125" customWidth="1"/>
    <col min="12" max="12" width="7.54296875" customWidth="1"/>
    <col min="13" max="13" width="9.26953125" customWidth="1"/>
  </cols>
  <sheetData>
    <row r="2" spans="2:12">
      <c r="B2" s="619" t="s">
        <v>629</v>
      </c>
      <c r="C2" s="619"/>
      <c r="D2" s="619"/>
      <c r="E2" s="619"/>
      <c r="F2" s="619"/>
      <c r="G2" s="619"/>
      <c r="H2" s="619"/>
      <c r="I2" s="619"/>
      <c r="J2" s="619"/>
    </row>
    <row r="3" spans="2:12" ht="14.65" customHeight="1"/>
    <row r="4" spans="2:12">
      <c r="B4" s="620" t="s">
        <v>631</v>
      </c>
      <c r="C4" s="620"/>
      <c r="D4" s="620"/>
      <c r="E4" s="620"/>
      <c r="F4" s="620"/>
      <c r="G4" s="620"/>
      <c r="H4" s="620"/>
      <c r="I4" s="620"/>
      <c r="J4" s="620"/>
    </row>
    <row r="6" spans="2:12">
      <c r="B6" s="135" t="s">
        <v>178</v>
      </c>
      <c r="C6" s="138"/>
      <c r="D6" s="135" t="s">
        <v>621</v>
      </c>
      <c r="E6" s="138"/>
      <c r="F6" s="135" t="s">
        <v>623</v>
      </c>
      <c r="G6" s="138"/>
      <c r="H6" s="135" t="s">
        <v>625</v>
      </c>
      <c r="I6" s="138"/>
      <c r="J6" s="135" t="s">
        <v>626</v>
      </c>
    </row>
    <row r="7" spans="2:12">
      <c r="B7" s="139">
        <v>12738.391138440944</v>
      </c>
      <c r="C7" s="138" t="s">
        <v>266</v>
      </c>
      <c r="D7" s="139" t="e">
        <f>'CAPEX RISK'!B5</f>
        <v>#REF!</v>
      </c>
      <c r="E7" s="138" t="s">
        <v>622</v>
      </c>
      <c r="F7" s="139" t="e">
        <f>B7-D7</f>
        <v>#REF!</v>
      </c>
      <c r="G7" s="138" t="s">
        <v>624</v>
      </c>
      <c r="H7" s="139">
        <v>969</v>
      </c>
      <c r="I7" s="138" t="s">
        <v>622</v>
      </c>
      <c r="J7" s="140" t="e">
        <f>F7+H7</f>
        <v>#REF!</v>
      </c>
    </row>
    <row r="9" spans="2:12">
      <c r="B9" s="135" t="s">
        <v>176</v>
      </c>
      <c r="C9" s="138"/>
      <c r="D9" s="135" t="s">
        <v>621</v>
      </c>
      <c r="E9" s="138"/>
      <c r="F9" s="135" t="s">
        <v>623</v>
      </c>
      <c r="G9" s="138"/>
      <c r="H9" s="135" t="s">
        <v>625</v>
      </c>
      <c r="I9" s="138"/>
      <c r="J9" s="135" t="s">
        <v>626</v>
      </c>
    </row>
    <row r="10" spans="2:12">
      <c r="B10" s="139">
        <v>8945.8878375675667</v>
      </c>
      <c r="C10" s="138" t="s">
        <v>266</v>
      </c>
      <c r="D10" s="139">
        <v>999.74499999999989</v>
      </c>
      <c r="E10" s="138" t="s">
        <v>622</v>
      </c>
      <c r="F10" s="139">
        <f>B10-D10</f>
        <v>7946.1428375675669</v>
      </c>
      <c r="G10" s="138" t="s">
        <v>624</v>
      </c>
      <c r="H10" s="139">
        <v>591</v>
      </c>
      <c r="I10" s="138" t="s">
        <v>622</v>
      </c>
      <c r="J10" s="140">
        <f>F10+H10</f>
        <v>8537.1428375675678</v>
      </c>
      <c r="L10" s="146"/>
    </row>
    <row r="13" spans="2:12">
      <c r="B13" s="620" t="s">
        <v>630</v>
      </c>
      <c r="C13" s="620"/>
      <c r="D13" s="620"/>
      <c r="E13" s="620"/>
      <c r="F13" s="620"/>
      <c r="G13" s="620"/>
      <c r="H13" s="620"/>
      <c r="I13" s="620"/>
      <c r="J13" s="620"/>
    </row>
    <row r="15" spans="2:12">
      <c r="B15" s="135" t="s">
        <v>178</v>
      </c>
      <c r="C15" s="138"/>
      <c r="D15" s="135" t="s">
        <v>621</v>
      </c>
      <c r="E15" s="138"/>
      <c r="F15" s="135" t="s">
        <v>623</v>
      </c>
      <c r="G15" s="138"/>
      <c r="H15" s="135" t="s">
        <v>625</v>
      </c>
      <c r="I15" s="138"/>
      <c r="J15" s="135" t="s">
        <v>626</v>
      </c>
    </row>
    <row r="16" spans="2:12">
      <c r="B16" s="139">
        <v>12738.391138440944</v>
      </c>
      <c r="C16" s="138" t="s">
        <v>266</v>
      </c>
      <c r="D16" s="139">
        <v>0</v>
      </c>
      <c r="E16" s="138" t="s">
        <v>622</v>
      </c>
      <c r="F16" s="139">
        <f>B16-D16</f>
        <v>12738.391138440944</v>
      </c>
      <c r="G16" s="138" t="s">
        <v>624</v>
      </c>
      <c r="H16" s="139">
        <v>969</v>
      </c>
      <c r="I16" s="138" t="s">
        <v>622</v>
      </c>
      <c r="J16" s="140">
        <f>F16+H16</f>
        <v>13707.391138440944</v>
      </c>
    </row>
    <row r="18" spans="2:12">
      <c r="B18" s="135" t="s">
        <v>176</v>
      </c>
      <c r="C18" s="138"/>
      <c r="D18" s="135" t="s">
        <v>621</v>
      </c>
      <c r="E18" s="138"/>
      <c r="F18" s="135" t="s">
        <v>623</v>
      </c>
      <c r="G18" s="138"/>
      <c r="H18" s="135" t="s">
        <v>625</v>
      </c>
      <c r="I18" s="138"/>
      <c r="J18" s="135" t="s">
        <v>626</v>
      </c>
    </row>
    <row r="19" spans="2:12">
      <c r="B19" s="139">
        <v>8945.8878375675667</v>
      </c>
      <c r="C19" s="138" t="s">
        <v>266</v>
      </c>
      <c r="D19" s="139">
        <v>0</v>
      </c>
      <c r="E19" s="138" t="s">
        <v>622</v>
      </c>
      <c r="F19" s="139">
        <f>B19-D19</f>
        <v>8945.8878375675667</v>
      </c>
      <c r="G19" s="138" t="s">
        <v>624</v>
      </c>
      <c r="H19" s="139">
        <v>591</v>
      </c>
      <c r="I19" s="138" t="s">
        <v>622</v>
      </c>
      <c r="J19" s="140">
        <f>F19+H19</f>
        <v>9536.8878375675667</v>
      </c>
      <c r="L19" s="145"/>
    </row>
  </sheetData>
  <mergeCells count="3">
    <mergeCell ref="B2:J2"/>
    <mergeCell ref="B4:J4"/>
    <mergeCell ref="B13:J13"/>
  </mergeCells>
  <pageMargins left="0.511811024" right="0.511811024" top="0.78740157499999996" bottom="0.78740157499999996" header="0.31496062000000002" footer="0.31496062000000002"/>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79662-A42B-4DE0-A8BF-5FD8F5A3711B}">
  <sheetPr codeName="Planilha37">
    <tabColor rgb="FFFFC000"/>
  </sheetPr>
  <dimension ref="A1:AF92"/>
  <sheetViews>
    <sheetView showGridLines="0" zoomScale="85" zoomScaleNormal="85" workbookViewId="0">
      <pane ySplit="9" topLeftCell="A10" activePane="bottomLeft" state="frozen"/>
      <selection activeCell="R1" sqref="R1"/>
      <selection pane="bottomLeft" activeCell="F13" sqref="F13"/>
    </sheetView>
  </sheetViews>
  <sheetFormatPr defaultRowHeight="14.5"/>
  <cols>
    <col min="1" max="1" width="9.453125" style="71" customWidth="1"/>
    <col min="2" max="2" width="1.54296875" style="71" customWidth="1"/>
    <col min="3" max="3" width="12.54296875" bestFit="1" customWidth="1"/>
    <col min="4" max="4" width="53.54296875" customWidth="1"/>
    <col min="5" max="5" width="18.54296875" style="61" bestFit="1" customWidth="1"/>
    <col min="6" max="8" width="10.54296875" customWidth="1"/>
    <col min="9" max="9" width="10" bestFit="1" customWidth="1"/>
    <col min="10" max="10" width="9.54296875" bestFit="1" customWidth="1"/>
    <col min="11" max="11" width="10.54296875" customWidth="1"/>
    <col min="12" max="12" width="5.54296875" customWidth="1"/>
    <col min="13" max="13" width="55" customWidth="1"/>
    <col min="14" max="14" width="35.54296875" customWidth="1"/>
    <col min="15" max="15" width="1.54296875" style="71" customWidth="1"/>
    <col min="17" max="17" width="61" customWidth="1"/>
  </cols>
  <sheetData>
    <row r="1" spans="3:14" ht="48" thickBot="1">
      <c r="C1" s="37" t="s">
        <v>446</v>
      </c>
      <c r="D1" s="37"/>
      <c r="E1" s="37"/>
      <c r="F1" s="71"/>
      <c r="G1" s="71"/>
      <c r="H1" s="71"/>
      <c r="I1" s="71"/>
      <c r="J1" s="71"/>
      <c r="K1" s="71"/>
      <c r="L1" s="71"/>
      <c r="M1" s="71"/>
      <c r="N1" s="71"/>
    </row>
    <row r="2" spans="3:14" ht="6" customHeight="1" thickTop="1" thickBot="1">
      <c r="C2" s="35"/>
      <c r="D2" s="35"/>
      <c r="E2" s="35"/>
      <c r="F2" s="71"/>
      <c r="G2" s="71"/>
      <c r="H2" s="71"/>
      <c r="I2" s="71"/>
      <c r="J2" s="71"/>
      <c r="K2" s="71"/>
      <c r="L2" s="71"/>
      <c r="M2" s="71"/>
      <c r="N2" s="71"/>
    </row>
    <row r="3" spans="3:14" ht="10.4" customHeight="1" thickTop="1">
      <c r="C3" s="36"/>
      <c r="D3" s="36"/>
      <c r="E3" s="36"/>
      <c r="F3" s="71"/>
      <c r="G3" s="71"/>
      <c r="H3" s="71"/>
      <c r="I3" s="71"/>
      <c r="J3" s="71"/>
      <c r="K3" s="71"/>
      <c r="L3" s="71"/>
      <c r="M3" s="71"/>
      <c r="N3" s="71"/>
    </row>
    <row r="4" spans="3:14">
      <c r="C4" s="71"/>
      <c r="D4" s="71"/>
      <c r="E4" s="72"/>
      <c r="F4" s="71"/>
      <c r="G4" s="71"/>
      <c r="H4" s="71"/>
      <c r="I4" s="71"/>
      <c r="J4" s="71"/>
      <c r="K4" s="71"/>
      <c r="L4" s="71"/>
      <c r="M4" s="71"/>
      <c r="N4" s="71"/>
    </row>
    <row r="5" spans="3:14">
      <c r="C5" s="71"/>
      <c r="D5" s="71"/>
      <c r="E5" s="72"/>
      <c r="F5" s="71"/>
      <c r="G5" s="71"/>
      <c r="H5" s="71"/>
      <c r="I5" s="71"/>
      <c r="J5" s="71"/>
      <c r="K5" s="71"/>
      <c r="L5" s="71"/>
      <c r="M5" s="71"/>
      <c r="N5" s="71"/>
    </row>
    <row r="6" spans="3:14">
      <c r="C6" s="71"/>
      <c r="D6" s="71"/>
      <c r="E6" s="72"/>
      <c r="F6" s="71"/>
      <c r="G6" s="71"/>
      <c r="H6" s="71"/>
      <c r="I6" s="71"/>
      <c r="J6" s="71"/>
      <c r="K6" s="71"/>
      <c r="L6" s="71"/>
      <c r="M6" s="71"/>
      <c r="N6" s="71"/>
    </row>
    <row r="7" spans="3:14">
      <c r="C7" s="71"/>
      <c r="D7" s="71"/>
      <c r="E7" s="72"/>
      <c r="F7" s="71"/>
      <c r="G7" s="71"/>
      <c r="H7" s="71"/>
      <c r="I7" s="71"/>
      <c r="J7" s="71"/>
      <c r="K7" s="71"/>
      <c r="L7" s="71"/>
      <c r="M7" s="71"/>
      <c r="N7" s="71"/>
    </row>
    <row r="8" spans="3:14" ht="19" thickBot="1">
      <c r="C8" s="71"/>
      <c r="D8" s="71"/>
      <c r="E8" s="72"/>
      <c r="F8" s="73"/>
      <c r="G8" s="82">
        <f>SUBTOTAL(9,G10:G81)</f>
        <v>3453.2830399999998</v>
      </c>
      <c r="H8" s="82">
        <f>SUBTOTAL(9,H10:H81)</f>
        <v>7907.111569419505</v>
      </c>
      <c r="I8" s="82">
        <f>SUBTOTAL(9,I10:I81)</f>
        <v>11360.394609419505</v>
      </c>
      <c r="J8" s="82">
        <f>SUBTOTAL(9,J10:J81)</f>
        <v>5469.2119823357025</v>
      </c>
      <c r="K8" s="82">
        <f>SUBTOTAL(9,K10:K81)</f>
        <v>2720.8854870838045</v>
      </c>
      <c r="L8" s="73"/>
      <c r="M8" s="73"/>
      <c r="N8" s="73"/>
    </row>
    <row r="9" spans="3:14" ht="39.5" thickBot="1">
      <c r="C9" s="1" t="s">
        <v>192</v>
      </c>
      <c r="D9" s="1" t="s">
        <v>3</v>
      </c>
      <c r="E9" s="1" t="s">
        <v>409</v>
      </c>
      <c r="F9" s="14" t="s">
        <v>445</v>
      </c>
      <c r="G9" s="76" t="s">
        <v>380</v>
      </c>
      <c r="H9" s="40" t="s">
        <v>381</v>
      </c>
      <c r="I9" s="40" t="s">
        <v>216</v>
      </c>
      <c r="J9" s="65" t="s">
        <v>383</v>
      </c>
      <c r="K9" s="40" t="s">
        <v>382</v>
      </c>
      <c r="L9" s="40" t="s">
        <v>451</v>
      </c>
      <c r="M9" s="79" t="s">
        <v>452</v>
      </c>
      <c r="N9" s="79" t="s">
        <v>450</v>
      </c>
    </row>
    <row r="10" spans="3:14" ht="26">
      <c r="C10" s="3" t="s">
        <v>63</v>
      </c>
      <c r="D10" s="8" t="s">
        <v>64</v>
      </c>
      <c r="E10" s="3" t="s">
        <v>183</v>
      </c>
      <c r="F10" s="74">
        <v>10188.98</v>
      </c>
      <c r="G10" s="77">
        <v>475.82691</v>
      </c>
      <c r="H10" s="63">
        <v>319</v>
      </c>
      <c r="I10" s="63">
        <v>794.82691</v>
      </c>
      <c r="J10" s="66">
        <v>319</v>
      </c>
      <c r="K10" s="63"/>
      <c r="L10" s="63"/>
      <c r="M10" s="80" t="s">
        <v>415</v>
      </c>
      <c r="N10" s="80" t="s">
        <v>416</v>
      </c>
    </row>
    <row r="11" spans="3:14">
      <c r="C11" s="3" t="s">
        <v>53</v>
      </c>
      <c r="D11" s="8" t="s">
        <v>54</v>
      </c>
      <c r="E11" s="3" t="s">
        <v>183</v>
      </c>
      <c r="F11" s="74">
        <v>2961.5</v>
      </c>
      <c r="G11" s="77">
        <v>150.75571000000002</v>
      </c>
      <c r="H11" s="63">
        <v>10</v>
      </c>
      <c r="I11" s="63">
        <v>160.75571000000002</v>
      </c>
      <c r="J11" s="66">
        <v>10</v>
      </c>
      <c r="K11" s="63"/>
      <c r="L11" s="63"/>
      <c r="M11" s="80" t="s">
        <v>386</v>
      </c>
      <c r="N11" s="80" t="s">
        <v>417</v>
      </c>
    </row>
    <row r="12" spans="3:14">
      <c r="C12" s="3" t="s">
        <v>45</v>
      </c>
      <c r="D12" s="10" t="s">
        <v>46</v>
      </c>
      <c r="E12" s="3" t="s">
        <v>186</v>
      </c>
      <c r="F12" s="74">
        <v>3492</v>
      </c>
      <c r="G12" s="77">
        <v>0.90293999999999386</v>
      </c>
      <c r="H12" s="63">
        <v>179</v>
      </c>
      <c r="I12" s="63">
        <v>179.90294</v>
      </c>
      <c r="J12" s="66"/>
      <c r="K12" s="63">
        <v>179</v>
      </c>
      <c r="L12" s="63"/>
      <c r="M12" s="80" t="s">
        <v>397</v>
      </c>
      <c r="N12" s="80" t="s">
        <v>418</v>
      </c>
    </row>
    <row r="13" spans="3:14">
      <c r="C13" s="3" t="s">
        <v>133</v>
      </c>
      <c r="D13" s="8" t="s">
        <v>134</v>
      </c>
      <c r="E13" s="3" t="s">
        <v>186</v>
      </c>
      <c r="F13" s="74">
        <v>242.75</v>
      </c>
      <c r="G13" s="77">
        <v>3.99586</v>
      </c>
      <c r="H13" s="63">
        <v>125.21388174289513</v>
      </c>
      <c r="I13" s="63">
        <v>129.20974174289512</v>
      </c>
      <c r="J13" s="66"/>
      <c r="K13" s="63">
        <v>125.21388174289513</v>
      </c>
      <c r="L13" s="63"/>
      <c r="M13" s="80" t="s">
        <v>400</v>
      </c>
      <c r="N13" s="80" t="s">
        <v>419</v>
      </c>
    </row>
    <row r="14" spans="3:14">
      <c r="C14" s="3" t="s">
        <v>127</v>
      </c>
      <c r="D14" s="8" t="s">
        <v>128</v>
      </c>
      <c r="E14" s="3" t="s">
        <v>186</v>
      </c>
      <c r="F14" s="74">
        <v>438.68</v>
      </c>
      <c r="G14" s="77">
        <v>66.691059999999993</v>
      </c>
      <c r="H14" s="63">
        <v>45.5</v>
      </c>
      <c r="I14" s="63">
        <v>112.19105999999999</v>
      </c>
      <c r="J14" s="66"/>
      <c r="K14" s="63">
        <v>45.5</v>
      </c>
      <c r="L14" s="63"/>
      <c r="M14" s="80" t="s">
        <v>401</v>
      </c>
      <c r="N14" s="80" t="s">
        <v>401</v>
      </c>
    </row>
    <row r="15" spans="3:14">
      <c r="C15" s="3" t="s">
        <v>137</v>
      </c>
      <c r="D15" s="8" t="s">
        <v>138</v>
      </c>
      <c r="E15" s="3" t="s">
        <v>186</v>
      </c>
      <c r="F15" s="74">
        <v>560.6</v>
      </c>
      <c r="G15" s="77">
        <v>9.7170400000000008</v>
      </c>
      <c r="H15" s="63">
        <v>73.900000000000006</v>
      </c>
      <c r="I15" s="63">
        <v>83.617040000000003</v>
      </c>
      <c r="J15" s="66">
        <v>73.900000000000006</v>
      </c>
      <c r="K15" s="63"/>
      <c r="L15" s="63"/>
      <c r="M15" s="80" t="s">
        <v>403</v>
      </c>
      <c r="N15" s="80" t="s">
        <v>419</v>
      </c>
    </row>
    <row r="16" spans="3:14">
      <c r="C16" s="3" t="s">
        <v>175</v>
      </c>
      <c r="D16" s="8" t="s">
        <v>124</v>
      </c>
      <c r="E16" s="3" t="s">
        <v>186</v>
      </c>
      <c r="F16" s="74">
        <v>96.3</v>
      </c>
      <c r="G16" s="77">
        <v>0.59535999999999945</v>
      </c>
      <c r="H16" s="63">
        <v>10</v>
      </c>
      <c r="I16" s="63">
        <v>10.595359999999999</v>
      </c>
      <c r="J16" s="66">
        <v>10</v>
      </c>
      <c r="K16" s="63"/>
      <c r="L16" s="63"/>
      <c r="M16" s="80" t="s">
        <v>420</v>
      </c>
      <c r="N16" s="80" t="s">
        <v>420</v>
      </c>
    </row>
    <row r="17" spans="3:14">
      <c r="C17" s="3" t="s">
        <v>169</v>
      </c>
      <c r="D17" s="8" t="s">
        <v>170</v>
      </c>
      <c r="E17" s="3" t="s">
        <v>186</v>
      </c>
      <c r="F17" s="74">
        <v>11.5</v>
      </c>
      <c r="G17" s="77">
        <v>9.2873099999999997</v>
      </c>
      <c r="H17" s="63">
        <v>1.3</v>
      </c>
      <c r="I17" s="63">
        <v>10.58731</v>
      </c>
      <c r="J17" s="66">
        <v>1</v>
      </c>
      <c r="K17" s="63"/>
      <c r="L17" s="63"/>
      <c r="M17" s="80" t="s">
        <v>417</v>
      </c>
      <c r="N17" s="80" t="s">
        <v>417</v>
      </c>
    </row>
    <row r="18" spans="3:14">
      <c r="C18" s="3" t="s">
        <v>123</v>
      </c>
      <c r="D18" s="8" t="s">
        <v>221</v>
      </c>
      <c r="E18" s="3" t="s">
        <v>186</v>
      </c>
      <c r="F18" s="74">
        <v>109</v>
      </c>
      <c r="G18" s="77">
        <v>1.0650200000000001</v>
      </c>
      <c r="H18" s="63">
        <v>0</v>
      </c>
      <c r="I18" s="63">
        <v>1.0650200000000001</v>
      </c>
      <c r="J18" s="66"/>
      <c r="K18" s="63"/>
      <c r="L18" s="63"/>
      <c r="M18" s="80" t="s">
        <v>420</v>
      </c>
      <c r="N18" s="80" t="s">
        <v>420</v>
      </c>
    </row>
    <row r="19" spans="3:14">
      <c r="C19" s="3" t="s">
        <v>121</v>
      </c>
      <c r="D19" s="8" t="s">
        <v>122</v>
      </c>
      <c r="E19" s="3" t="s">
        <v>185</v>
      </c>
      <c r="F19" s="74">
        <v>1326.87</v>
      </c>
      <c r="G19" s="77">
        <v>12.033239999999999</v>
      </c>
      <c r="H19" s="63">
        <v>69.660939999999997</v>
      </c>
      <c r="I19" s="63">
        <v>81.694179999999989</v>
      </c>
      <c r="J19" s="66">
        <v>69.660939999999997</v>
      </c>
      <c r="K19" s="63"/>
      <c r="L19" s="63" t="s">
        <v>410</v>
      </c>
      <c r="M19" s="80" t="s">
        <v>404</v>
      </c>
      <c r="N19" s="80" t="s">
        <v>421</v>
      </c>
    </row>
    <row r="20" spans="3:14">
      <c r="C20" s="3" t="s">
        <v>71</v>
      </c>
      <c r="D20" s="8" t="s">
        <v>72</v>
      </c>
      <c r="E20" s="3" t="s">
        <v>185</v>
      </c>
      <c r="F20" s="74">
        <v>320.64999999999998</v>
      </c>
      <c r="G20" s="77">
        <v>2.8366399999999996</v>
      </c>
      <c r="H20" s="63">
        <v>3.0647900000000003</v>
      </c>
      <c r="I20" s="63">
        <v>5.9014299999999995</v>
      </c>
      <c r="J20" s="66"/>
      <c r="K20" s="63">
        <v>3.0647900000000003</v>
      </c>
      <c r="L20" s="63"/>
      <c r="M20" s="80" t="s">
        <v>421</v>
      </c>
      <c r="N20" s="80" t="s">
        <v>421</v>
      </c>
    </row>
    <row r="21" spans="3:14">
      <c r="C21" s="3" t="s">
        <v>117</v>
      </c>
      <c r="D21" s="8" t="s">
        <v>118</v>
      </c>
      <c r="E21" s="3" t="s">
        <v>185</v>
      </c>
      <c r="F21" s="74">
        <v>332.2</v>
      </c>
      <c r="G21" s="77">
        <v>2.0255199999999998</v>
      </c>
      <c r="H21" s="63">
        <v>0</v>
      </c>
      <c r="I21" s="63">
        <v>2.0255199999999998</v>
      </c>
      <c r="J21" s="66"/>
      <c r="K21" s="63"/>
      <c r="L21" s="63"/>
      <c r="M21" s="80" t="s">
        <v>421</v>
      </c>
      <c r="N21" s="80" t="s">
        <v>421</v>
      </c>
    </row>
    <row r="22" spans="3:14">
      <c r="C22" s="3" t="s">
        <v>119</v>
      </c>
      <c r="D22" s="8" t="s">
        <v>120</v>
      </c>
      <c r="E22" s="3" t="s">
        <v>185</v>
      </c>
      <c r="F22" s="74">
        <v>213</v>
      </c>
      <c r="G22" s="77">
        <v>1.8244499999999999</v>
      </c>
      <c r="H22" s="63">
        <v>0</v>
      </c>
      <c r="I22" s="63">
        <v>1.8244499999999999</v>
      </c>
      <c r="J22" s="66"/>
      <c r="K22" s="63"/>
      <c r="L22" s="63"/>
      <c r="M22" s="80" t="s">
        <v>421</v>
      </c>
      <c r="N22" s="80" t="s">
        <v>421</v>
      </c>
    </row>
    <row r="23" spans="3:14">
      <c r="C23" s="3" t="s">
        <v>311</v>
      </c>
      <c r="D23" s="8" t="s">
        <v>312</v>
      </c>
      <c r="E23" s="3" t="s">
        <v>181</v>
      </c>
      <c r="F23" s="74">
        <v>1000</v>
      </c>
      <c r="G23" s="77">
        <v>34.703710000000001</v>
      </c>
      <c r="H23" s="63">
        <v>828.20681534090932</v>
      </c>
      <c r="I23" s="63">
        <v>862.91052534090932</v>
      </c>
      <c r="J23" s="66"/>
      <c r="K23" s="63">
        <v>828.20681534090932</v>
      </c>
      <c r="L23" s="63"/>
      <c r="M23" s="80" t="s">
        <v>422</v>
      </c>
      <c r="N23" s="80" t="s">
        <v>422</v>
      </c>
    </row>
    <row r="24" spans="3:14">
      <c r="C24" s="3" t="s">
        <v>206</v>
      </c>
      <c r="D24" s="8" t="s">
        <v>207</v>
      </c>
      <c r="E24" s="3" t="s">
        <v>181</v>
      </c>
      <c r="F24" s="74">
        <v>427.82</v>
      </c>
      <c r="G24" s="77">
        <v>29.731909999999999</v>
      </c>
      <c r="H24" s="63">
        <v>399.86924000000039</v>
      </c>
      <c r="I24" s="63">
        <v>429.60115000000042</v>
      </c>
      <c r="J24" s="66">
        <v>399.86924000000039</v>
      </c>
      <c r="K24" s="63"/>
      <c r="L24" s="63" t="s">
        <v>411</v>
      </c>
      <c r="M24" s="80" t="s">
        <v>391</v>
      </c>
      <c r="N24" s="80" t="s">
        <v>423</v>
      </c>
    </row>
    <row r="25" spans="3:14">
      <c r="C25" s="3" t="s">
        <v>167</v>
      </c>
      <c r="D25" s="8" t="s">
        <v>168</v>
      </c>
      <c r="E25" s="3" t="s">
        <v>181</v>
      </c>
      <c r="F25" s="74">
        <v>1675.63</v>
      </c>
      <c r="G25" s="77">
        <v>23.237459999999999</v>
      </c>
      <c r="H25" s="63">
        <v>360.14400000000001</v>
      </c>
      <c r="I25" s="63">
        <v>383.38146</v>
      </c>
      <c r="J25" s="69">
        <v>642.20000000000005</v>
      </c>
      <c r="K25" s="63"/>
      <c r="L25" s="63" t="s">
        <v>410</v>
      </c>
      <c r="M25" s="80" t="s">
        <v>384</v>
      </c>
      <c r="N25" s="80" t="s">
        <v>424</v>
      </c>
    </row>
    <row r="26" spans="3:14">
      <c r="C26" s="3" t="s">
        <v>89</v>
      </c>
      <c r="D26" s="8" t="s">
        <v>90</v>
      </c>
      <c r="E26" s="3" t="s">
        <v>181</v>
      </c>
      <c r="F26" s="74">
        <v>387.67</v>
      </c>
      <c r="G26" s="77">
        <v>2.214E-2</v>
      </c>
      <c r="H26" s="63">
        <v>378.7</v>
      </c>
      <c r="I26" s="63">
        <v>378.72213999999997</v>
      </c>
      <c r="J26" s="66">
        <v>378.7</v>
      </c>
      <c r="K26" s="63"/>
      <c r="L26" s="63" t="s">
        <v>410</v>
      </c>
      <c r="M26" s="80" t="s">
        <v>390</v>
      </c>
      <c r="N26" s="80" t="s">
        <v>424</v>
      </c>
    </row>
    <row r="27" spans="3:14">
      <c r="C27" s="3" t="s">
        <v>319</v>
      </c>
      <c r="D27" s="8" t="s">
        <v>320</v>
      </c>
      <c r="E27" s="3" t="s">
        <v>181</v>
      </c>
      <c r="F27" s="74">
        <v>312.81900000000002</v>
      </c>
      <c r="G27" s="77">
        <v>267.53424000000001</v>
      </c>
      <c r="H27" s="63">
        <v>81.900000000000006</v>
      </c>
      <c r="I27" s="63">
        <v>349.43424000000005</v>
      </c>
      <c r="J27" s="66">
        <v>81.900000000000006</v>
      </c>
      <c r="K27" s="63"/>
      <c r="L27" s="63"/>
      <c r="M27" s="80" t="s">
        <v>386</v>
      </c>
      <c r="N27" s="80" t="s">
        <v>425</v>
      </c>
    </row>
    <row r="28" spans="3:14">
      <c r="C28" s="3" t="s">
        <v>165</v>
      </c>
      <c r="D28" s="8" t="s">
        <v>166</v>
      </c>
      <c r="E28" s="3" t="s">
        <v>181</v>
      </c>
      <c r="F28" s="74">
        <v>385.7</v>
      </c>
      <c r="G28" s="77">
        <v>219.41082999999998</v>
      </c>
      <c r="H28" s="63">
        <v>115.7</v>
      </c>
      <c r="I28" s="63">
        <v>335.11082999999996</v>
      </c>
      <c r="J28" s="66">
        <v>115.7</v>
      </c>
      <c r="K28" s="63"/>
      <c r="L28" s="63"/>
      <c r="M28" s="80" t="s">
        <v>385</v>
      </c>
      <c r="N28" s="80" t="s">
        <v>426</v>
      </c>
    </row>
    <row r="29" spans="3:14">
      <c r="C29" s="3" t="s">
        <v>309</v>
      </c>
      <c r="D29" s="8" t="s">
        <v>310</v>
      </c>
      <c r="E29" s="3" t="s">
        <v>181</v>
      </c>
      <c r="F29" s="74">
        <v>505.31</v>
      </c>
      <c r="G29" s="77">
        <v>0</v>
      </c>
      <c r="H29" s="63">
        <v>313.0025</v>
      </c>
      <c r="I29" s="63">
        <v>313.0025</v>
      </c>
      <c r="J29" s="66">
        <v>200</v>
      </c>
      <c r="K29" s="63">
        <v>113</v>
      </c>
      <c r="L29" s="63" t="s">
        <v>410</v>
      </c>
      <c r="M29" s="80" t="s">
        <v>393</v>
      </c>
      <c r="N29" s="80" t="s">
        <v>426</v>
      </c>
    </row>
    <row r="30" spans="3:14" ht="39">
      <c r="C30" s="3" t="s">
        <v>252</v>
      </c>
      <c r="D30" s="8" t="s">
        <v>253</v>
      </c>
      <c r="E30" s="3" t="s">
        <v>181</v>
      </c>
      <c r="F30" s="74">
        <v>1431.34</v>
      </c>
      <c r="G30" s="77">
        <v>0</v>
      </c>
      <c r="H30" s="63">
        <v>300</v>
      </c>
      <c r="I30" s="63">
        <v>300</v>
      </c>
      <c r="J30" s="66">
        <v>300</v>
      </c>
      <c r="K30" s="63"/>
      <c r="L30" s="63" t="s">
        <v>410</v>
      </c>
      <c r="M30" s="80" t="s">
        <v>395</v>
      </c>
      <c r="N30" s="80" t="s">
        <v>427</v>
      </c>
    </row>
    <row r="31" spans="3:14">
      <c r="C31" s="3" t="s">
        <v>315</v>
      </c>
      <c r="D31" s="8" t="s">
        <v>314</v>
      </c>
      <c r="E31" s="3" t="s">
        <v>181</v>
      </c>
      <c r="F31" s="74">
        <v>299.66699999999997</v>
      </c>
      <c r="G31" s="77">
        <v>0</v>
      </c>
      <c r="H31" s="63">
        <v>299.66759999999999</v>
      </c>
      <c r="I31" s="63">
        <v>299.66759999999999</v>
      </c>
      <c r="J31" s="66">
        <v>240</v>
      </c>
      <c r="K31" s="63">
        <v>60</v>
      </c>
      <c r="L31" s="63" t="s">
        <v>410</v>
      </c>
      <c r="M31" s="80" t="s">
        <v>387</v>
      </c>
      <c r="N31" s="80" t="s">
        <v>426</v>
      </c>
    </row>
    <row r="32" spans="3:14">
      <c r="C32" s="3" t="s">
        <v>115</v>
      </c>
      <c r="D32" s="8" t="s">
        <v>116</v>
      </c>
      <c r="E32" s="3" t="s">
        <v>181</v>
      </c>
      <c r="F32" s="74">
        <v>267.8</v>
      </c>
      <c r="G32" s="77">
        <v>29.9817</v>
      </c>
      <c r="H32" s="63">
        <v>129</v>
      </c>
      <c r="I32" s="63">
        <v>158.98169999999999</v>
      </c>
      <c r="J32" s="66"/>
      <c r="K32" s="63">
        <v>129</v>
      </c>
      <c r="L32" s="63"/>
      <c r="M32" s="80" t="s">
        <v>428</v>
      </c>
      <c r="N32" s="80" t="s">
        <v>428</v>
      </c>
    </row>
    <row r="33" spans="3:14" ht="26">
      <c r="C33" s="3" t="s">
        <v>47</v>
      </c>
      <c r="D33" s="8" t="s">
        <v>48</v>
      </c>
      <c r="E33" s="3" t="s">
        <v>181</v>
      </c>
      <c r="F33" s="74">
        <v>3767.5</v>
      </c>
      <c r="G33" s="77">
        <v>66.641239999999996</v>
      </c>
      <c r="H33" s="63">
        <v>38.281802335701379</v>
      </c>
      <c r="I33" s="63">
        <v>104.92304233570138</v>
      </c>
      <c r="J33" s="66">
        <v>38.281802335701379</v>
      </c>
      <c r="K33" s="63"/>
      <c r="L33" s="63" t="s">
        <v>410</v>
      </c>
      <c r="M33" s="80" t="s">
        <v>429</v>
      </c>
      <c r="N33" s="80" t="s">
        <v>430</v>
      </c>
    </row>
    <row r="34" spans="3:14">
      <c r="C34" s="3" t="s">
        <v>317</v>
      </c>
      <c r="D34" s="8" t="s">
        <v>313</v>
      </c>
      <c r="E34" s="3" t="s">
        <v>181</v>
      </c>
      <c r="F34" s="74">
        <v>341.86599999999999</v>
      </c>
      <c r="G34" s="77">
        <v>36.067169999999997</v>
      </c>
      <c r="H34" s="63">
        <v>55</v>
      </c>
      <c r="I34" s="63">
        <v>91.067170000000004</v>
      </c>
      <c r="J34" s="66">
        <v>55</v>
      </c>
      <c r="K34" s="63"/>
      <c r="L34" s="63" t="s">
        <v>410</v>
      </c>
      <c r="M34" s="80" t="s">
        <v>402</v>
      </c>
      <c r="N34" s="80" t="s">
        <v>424</v>
      </c>
    </row>
    <row r="35" spans="3:14">
      <c r="C35" s="3" t="s">
        <v>256</v>
      </c>
      <c r="D35" s="8" t="s">
        <v>257</v>
      </c>
      <c r="E35" s="3" t="s">
        <v>181</v>
      </c>
      <c r="F35" s="74">
        <v>131.6</v>
      </c>
      <c r="G35" s="77">
        <v>0</v>
      </c>
      <c r="H35" s="63">
        <v>85.5</v>
      </c>
      <c r="I35" s="63">
        <v>85.5</v>
      </c>
      <c r="J35" s="66">
        <v>85.5</v>
      </c>
      <c r="K35" s="63"/>
      <c r="L35" s="63" t="s">
        <v>410</v>
      </c>
      <c r="M35" s="80" t="s">
        <v>389</v>
      </c>
      <c r="N35" s="80" t="s">
        <v>424</v>
      </c>
    </row>
    <row r="36" spans="3:14">
      <c r="C36" s="3" t="s">
        <v>135</v>
      </c>
      <c r="D36" s="8" t="s">
        <v>136</v>
      </c>
      <c r="E36" s="3" t="s">
        <v>181</v>
      </c>
      <c r="F36" s="74">
        <v>783.3</v>
      </c>
      <c r="G36" s="77">
        <v>75.586169999999996</v>
      </c>
      <c r="H36" s="63">
        <v>0</v>
      </c>
      <c r="I36" s="63">
        <v>75.586169999999996</v>
      </c>
      <c r="J36" s="66"/>
      <c r="K36" s="63"/>
      <c r="L36" s="63"/>
      <c r="M36" s="80" t="s">
        <v>444</v>
      </c>
      <c r="N36" s="80"/>
    </row>
    <row r="37" spans="3:14">
      <c r="C37" s="3" t="s">
        <v>274</v>
      </c>
      <c r="D37" s="8" t="s">
        <v>275</v>
      </c>
      <c r="E37" s="3" t="s">
        <v>181</v>
      </c>
      <c r="F37" s="74">
        <v>225</v>
      </c>
      <c r="G37" s="77">
        <v>3.2646299999999999</v>
      </c>
      <c r="H37" s="63">
        <v>71.5</v>
      </c>
      <c r="I37" s="63">
        <v>74.764629999999997</v>
      </c>
      <c r="J37" s="66">
        <v>71.5</v>
      </c>
      <c r="K37" s="63"/>
      <c r="L37" s="63"/>
      <c r="M37" s="80" t="s">
        <v>405</v>
      </c>
      <c r="N37" s="80" t="s">
        <v>316</v>
      </c>
    </row>
    <row r="38" spans="3:14">
      <c r="C38" s="3" t="s">
        <v>269</v>
      </c>
      <c r="D38" s="8" t="s">
        <v>271</v>
      </c>
      <c r="E38" s="3" t="s">
        <v>181</v>
      </c>
      <c r="F38" s="74">
        <v>120</v>
      </c>
      <c r="G38" s="77">
        <v>0</v>
      </c>
      <c r="H38" s="63">
        <v>60</v>
      </c>
      <c r="I38" s="63">
        <v>60</v>
      </c>
      <c r="J38" s="66">
        <v>60</v>
      </c>
      <c r="K38" s="63"/>
      <c r="L38" s="63" t="s">
        <v>410</v>
      </c>
      <c r="M38" s="80" t="s">
        <v>388</v>
      </c>
      <c r="N38" s="80" t="s">
        <v>424</v>
      </c>
    </row>
    <row r="39" spans="3:14">
      <c r="C39" s="3" t="s">
        <v>155</v>
      </c>
      <c r="D39" s="8" t="s">
        <v>156</v>
      </c>
      <c r="E39" s="3" t="s">
        <v>181</v>
      </c>
      <c r="F39" s="74">
        <v>375.72</v>
      </c>
      <c r="G39" s="77">
        <v>14.518269999999999</v>
      </c>
      <c r="H39" s="63">
        <v>40</v>
      </c>
      <c r="I39" s="63">
        <v>54.518270000000001</v>
      </c>
      <c r="J39" s="66">
        <v>20</v>
      </c>
      <c r="K39" s="63">
        <v>20</v>
      </c>
      <c r="L39" s="63" t="s">
        <v>410</v>
      </c>
      <c r="M39" s="80" t="s">
        <v>396</v>
      </c>
      <c r="N39" s="80" t="s">
        <v>424</v>
      </c>
    </row>
    <row r="40" spans="3:14">
      <c r="C40" s="3" t="s">
        <v>255</v>
      </c>
      <c r="D40" s="8" t="s">
        <v>254</v>
      </c>
      <c r="E40" s="3" t="s">
        <v>181</v>
      </c>
      <c r="F40" s="74">
        <v>72.099999999999994</v>
      </c>
      <c r="G40" s="77">
        <v>19.104610000000005</v>
      </c>
      <c r="H40" s="63">
        <v>23.3</v>
      </c>
      <c r="I40" s="63">
        <v>42.404610000000005</v>
      </c>
      <c r="J40" s="66"/>
      <c r="K40" s="63">
        <v>23.3</v>
      </c>
      <c r="L40" s="63"/>
      <c r="M40" s="80" t="s">
        <v>408</v>
      </c>
      <c r="N40" s="80" t="s">
        <v>408</v>
      </c>
    </row>
    <row r="41" spans="3:14">
      <c r="C41" s="3" t="s">
        <v>91</v>
      </c>
      <c r="D41" s="8" t="s">
        <v>92</v>
      </c>
      <c r="E41" s="3" t="s">
        <v>181</v>
      </c>
      <c r="F41" s="74">
        <v>77.8</v>
      </c>
      <c r="G41" s="77">
        <v>26.214960000000005</v>
      </c>
      <c r="H41" s="63">
        <v>10.7</v>
      </c>
      <c r="I41" s="63">
        <v>36.914960000000008</v>
      </c>
      <c r="J41" s="66">
        <v>10.7</v>
      </c>
      <c r="K41" s="63"/>
      <c r="L41" s="63"/>
      <c r="M41" s="80" t="s">
        <v>385</v>
      </c>
      <c r="N41" s="80" t="s">
        <v>434</v>
      </c>
    </row>
    <row r="42" spans="3:14">
      <c r="C42" s="3" t="s">
        <v>146</v>
      </c>
      <c r="D42" s="8" t="s">
        <v>74</v>
      </c>
      <c r="E42" s="3" t="s">
        <v>181</v>
      </c>
      <c r="F42" s="74">
        <v>1236</v>
      </c>
      <c r="G42" s="77">
        <v>36.197289999999995</v>
      </c>
      <c r="H42" s="63">
        <v>0</v>
      </c>
      <c r="I42" s="63">
        <v>36.197289999999995</v>
      </c>
      <c r="J42" s="66"/>
      <c r="K42" s="63"/>
      <c r="L42" s="63"/>
      <c r="M42" s="80" t="s">
        <v>444</v>
      </c>
      <c r="N42" s="80"/>
    </row>
    <row r="43" spans="3:14">
      <c r="C43" s="41" t="s">
        <v>153</v>
      </c>
      <c r="D43" s="44" t="s">
        <v>154</v>
      </c>
      <c r="E43" s="3" t="s">
        <v>181</v>
      </c>
      <c r="F43" s="74">
        <v>75</v>
      </c>
      <c r="G43" s="77">
        <v>28.5871</v>
      </c>
      <c r="H43" s="63">
        <v>0</v>
      </c>
      <c r="I43" s="63">
        <v>28.5871</v>
      </c>
      <c r="J43" s="66"/>
      <c r="K43" s="63"/>
      <c r="L43" s="63"/>
      <c r="M43" s="80" t="s">
        <v>444</v>
      </c>
      <c r="N43" s="80"/>
    </row>
    <row r="44" spans="3:14">
      <c r="C44" s="3" t="s">
        <v>112</v>
      </c>
      <c r="D44" s="8" t="s">
        <v>113</v>
      </c>
      <c r="E44" s="3" t="s">
        <v>181</v>
      </c>
      <c r="F44" s="74">
        <v>275.95999999999998</v>
      </c>
      <c r="G44" s="77">
        <v>19.769860000000001</v>
      </c>
      <c r="H44" s="63">
        <v>0</v>
      </c>
      <c r="I44" s="63">
        <v>19.769860000000001</v>
      </c>
      <c r="J44" s="66"/>
      <c r="K44" s="63"/>
      <c r="L44" s="63"/>
      <c r="M44" s="80" t="s">
        <v>444</v>
      </c>
      <c r="N44" s="80"/>
    </row>
    <row r="45" spans="3:14">
      <c r="C45" s="3" t="s">
        <v>249</v>
      </c>
      <c r="D45" s="8" t="s">
        <v>248</v>
      </c>
      <c r="E45" s="3" t="s">
        <v>181</v>
      </c>
      <c r="F45" s="74">
        <v>46</v>
      </c>
      <c r="G45" s="77">
        <v>5.5894500000000003</v>
      </c>
      <c r="H45" s="63">
        <v>14.1</v>
      </c>
      <c r="I45" s="63">
        <v>19.689450000000001</v>
      </c>
      <c r="J45" s="66"/>
      <c r="K45" s="63">
        <v>14.1</v>
      </c>
      <c r="L45" s="63"/>
      <c r="M45" s="80" t="s">
        <v>436</v>
      </c>
      <c r="N45" s="80" t="s">
        <v>436</v>
      </c>
    </row>
    <row r="46" spans="3:14">
      <c r="C46" s="3" t="s">
        <v>61</v>
      </c>
      <c r="D46" s="8" t="s">
        <v>62</v>
      </c>
      <c r="E46" s="3" t="s">
        <v>181</v>
      </c>
      <c r="F46" s="74">
        <v>454</v>
      </c>
      <c r="G46" s="77">
        <v>5.7301799999999998</v>
      </c>
      <c r="H46" s="63">
        <v>5.2</v>
      </c>
      <c r="I46" s="63">
        <v>10.93018</v>
      </c>
      <c r="J46" s="66">
        <v>5</v>
      </c>
      <c r="K46" s="63"/>
      <c r="L46" s="63"/>
      <c r="M46" s="80" t="s">
        <v>437</v>
      </c>
      <c r="N46" s="80" t="s">
        <v>418</v>
      </c>
    </row>
    <row r="47" spans="3:14">
      <c r="C47" s="3" t="s">
        <v>171</v>
      </c>
      <c r="D47" s="8" t="s">
        <v>172</v>
      </c>
      <c r="E47" s="3" t="s">
        <v>181</v>
      </c>
      <c r="F47" s="74">
        <v>85</v>
      </c>
      <c r="G47" s="77">
        <v>10.644819999999999</v>
      </c>
      <c r="H47" s="63">
        <v>0</v>
      </c>
      <c r="I47" s="63">
        <v>10.644819999999999</v>
      </c>
      <c r="J47" s="66"/>
      <c r="K47" s="63"/>
      <c r="L47" s="63"/>
      <c r="M47" s="80" t="s">
        <v>444</v>
      </c>
      <c r="N47" s="80"/>
    </row>
    <row r="48" spans="3:14">
      <c r="C48" s="3" t="s">
        <v>240</v>
      </c>
      <c r="D48" s="10" t="s">
        <v>148</v>
      </c>
      <c r="E48" s="3" t="s">
        <v>181</v>
      </c>
      <c r="F48" s="74">
        <v>10.5</v>
      </c>
      <c r="G48" s="77">
        <v>9.4718499999999999</v>
      </c>
      <c r="H48" s="63">
        <v>0</v>
      </c>
      <c r="I48" s="63">
        <v>9.4718499999999999</v>
      </c>
      <c r="J48" s="66"/>
      <c r="K48" s="63"/>
      <c r="L48" s="63"/>
      <c r="M48" s="80" t="s">
        <v>444</v>
      </c>
      <c r="N48" s="80"/>
    </row>
    <row r="49" spans="3:32">
      <c r="C49" s="3" t="s">
        <v>57</v>
      </c>
      <c r="D49" s="8" t="s">
        <v>58</v>
      </c>
      <c r="E49" s="3" t="s">
        <v>181</v>
      </c>
      <c r="F49" s="74">
        <v>1426.22</v>
      </c>
      <c r="G49" s="77">
        <v>7.0989399999999998</v>
      </c>
      <c r="H49" s="63">
        <v>0</v>
      </c>
      <c r="I49" s="63">
        <v>7.0989399999999998</v>
      </c>
      <c r="J49" s="66"/>
      <c r="K49" s="63"/>
      <c r="L49" s="63"/>
      <c r="M49" s="80" t="s">
        <v>444</v>
      </c>
      <c r="N49" s="80"/>
    </row>
    <row r="50" spans="3:32">
      <c r="C50" s="3" t="s">
        <v>31</v>
      </c>
      <c r="D50" s="8" t="s">
        <v>32</v>
      </c>
      <c r="E50" s="3" t="s">
        <v>181</v>
      </c>
      <c r="F50" s="74">
        <v>248</v>
      </c>
      <c r="G50" s="77">
        <v>1.10694</v>
      </c>
      <c r="H50" s="63">
        <v>0</v>
      </c>
      <c r="I50" s="63">
        <v>1.10694</v>
      </c>
      <c r="J50" s="66"/>
      <c r="K50" s="63"/>
      <c r="L50" s="63"/>
      <c r="M50" s="80" t="s">
        <v>444</v>
      </c>
      <c r="N50" s="80"/>
    </row>
    <row r="51" spans="3:32" s="71" customFormat="1">
      <c r="C51" s="3" t="s">
        <v>95</v>
      </c>
      <c r="D51" s="8" t="s">
        <v>96</v>
      </c>
      <c r="E51" s="3" t="s">
        <v>181</v>
      </c>
      <c r="F51" s="74">
        <v>211.9</v>
      </c>
      <c r="G51" s="77">
        <v>1.49E-3</v>
      </c>
      <c r="H51" s="63">
        <v>0</v>
      </c>
      <c r="I51" s="63">
        <v>1.49E-3</v>
      </c>
      <c r="J51" s="66"/>
      <c r="K51" s="63"/>
      <c r="L51" s="63"/>
      <c r="M51" s="80" t="s">
        <v>444</v>
      </c>
      <c r="N51" s="80"/>
      <c r="P51"/>
      <c r="Q51"/>
      <c r="R51"/>
      <c r="S51"/>
      <c r="T51"/>
      <c r="U51"/>
      <c r="V51"/>
      <c r="W51"/>
      <c r="X51"/>
      <c r="Y51"/>
      <c r="Z51"/>
      <c r="AA51"/>
      <c r="AB51"/>
      <c r="AC51"/>
      <c r="AD51"/>
      <c r="AE51"/>
      <c r="AF51"/>
    </row>
    <row r="52" spans="3:32" s="71" customFormat="1">
      <c r="C52" s="3" t="s">
        <v>235</v>
      </c>
      <c r="D52" s="8" t="s">
        <v>234</v>
      </c>
      <c r="E52" s="3" t="s">
        <v>181</v>
      </c>
      <c r="F52" s="74">
        <v>445.88</v>
      </c>
      <c r="G52" s="77">
        <v>-25.047710000000009</v>
      </c>
      <c r="H52" s="63"/>
      <c r="I52" s="63">
        <v>-25.047710000000009</v>
      </c>
      <c r="J52" s="66"/>
      <c r="K52" s="63"/>
      <c r="L52" s="63"/>
      <c r="M52" s="80"/>
      <c r="N52" s="80"/>
      <c r="P52"/>
      <c r="Q52"/>
      <c r="R52"/>
      <c r="S52"/>
      <c r="T52"/>
      <c r="U52"/>
      <c r="V52"/>
      <c r="W52"/>
      <c r="X52"/>
      <c r="Y52"/>
      <c r="Z52"/>
      <c r="AA52"/>
      <c r="AB52"/>
      <c r="AC52"/>
      <c r="AD52"/>
      <c r="AE52"/>
      <c r="AF52"/>
    </row>
    <row r="53" spans="3:32" s="71" customFormat="1">
      <c r="C53" s="3" t="s">
        <v>215</v>
      </c>
      <c r="D53" s="8" t="s">
        <v>214</v>
      </c>
      <c r="E53" s="3" t="s">
        <v>189</v>
      </c>
      <c r="F53" s="74">
        <v>304</v>
      </c>
      <c r="G53" s="77">
        <v>3.1180099999999995</v>
      </c>
      <c r="H53" s="63">
        <v>62</v>
      </c>
      <c r="I53" s="63">
        <v>65.118009999999998</v>
      </c>
      <c r="J53" s="66">
        <v>32</v>
      </c>
      <c r="K53" s="63">
        <v>30</v>
      </c>
      <c r="L53" s="63"/>
      <c r="M53" s="80" t="s">
        <v>406</v>
      </c>
      <c r="N53" s="80" t="s">
        <v>435</v>
      </c>
      <c r="P53"/>
      <c r="Q53"/>
      <c r="R53"/>
      <c r="S53"/>
      <c r="T53"/>
      <c r="U53"/>
      <c r="V53"/>
      <c r="W53"/>
      <c r="X53"/>
      <c r="Y53"/>
      <c r="Z53"/>
      <c r="AA53"/>
      <c r="AB53"/>
      <c r="AC53"/>
      <c r="AD53"/>
      <c r="AE53"/>
      <c r="AF53"/>
    </row>
    <row r="54" spans="3:32" s="71" customFormat="1">
      <c r="C54" s="3" t="s">
        <v>210</v>
      </c>
      <c r="D54" s="8" t="s">
        <v>211</v>
      </c>
      <c r="E54" s="3" t="s">
        <v>189</v>
      </c>
      <c r="F54" s="74">
        <v>157.19999999999999</v>
      </c>
      <c r="G54" s="77">
        <v>11.232329999999999</v>
      </c>
      <c r="H54" s="63">
        <v>37.6</v>
      </c>
      <c r="I54" s="63">
        <v>48.832329999999999</v>
      </c>
      <c r="J54" s="66">
        <v>28</v>
      </c>
      <c r="K54" s="63">
        <v>10</v>
      </c>
      <c r="L54" s="63" t="s">
        <v>410</v>
      </c>
      <c r="M54" s="80" t="s">
        <v>407</v>
      </c>
      <c r="N54" s="80" t="s">
        <v>424</v>
      </c>
      <c r="P54"/>
      <c r="Q54"/>
      <c r="R54"/>
      <c r="S54"/>
      <c r="T54"/>
      <c r="U54"/>
      <c r="V54"/>
      <c r="W54"/>
      <c r="X54"/>
      <c r="Y54"/>
      <c r="Z54"/>
      <c r="AA54"/>
      <c r="AB54"/>
      <c r="AC54"/>
      <c r="AD54"/>
      <c r="AE54"/>
      <c r="AF54"/>
    </row>
    <row r="55" spans="3:32" s="71" customFormat="1">
      <c r="C55" s="3" t="s">
        <v>77</v>
      </c>
      <c r="D55" s="8" t="s">
        <v>78</v>
      </c>
      <c r="E55" s="3" t="s">
        <v>187</v>
      </c>
      <c r="F55" s="74">
        <v>250</v>
      </c>
      <c r="G55" s="77">
        <v>5.5182900000000004</v>
      </c>
      <c r="H55" s="63">
        <v>195.4</v>
      </c>
      <c r="I55" s="63">
        <v>200.91829000000001</v>
      </c>
      <c r="J55" s="66"/>
      <c r="K55" s="63">
        <v>195.4</v>
      </c>
      <c r="L55" s="63"/>
      <c r="M55" s="80" t="s">
        <v>438</v>
      </c>
      <c r="N55" s="80" t="s">
        <v>438</v>
      </c>
      <c r="P55"/>
      <c r="Q55"/>
      <c r="R55"/>
      <c r="S55"/>
      <c r="T55"/>
      <c r="U55"/>
      <c r="V55"/>
      <c r="W55"/>
      <c r="X55"/>
      <c r="Y55"/>
      <c r="Z55"/>
      <c r="AA55"/>
      <c r="AB55"/>
      <c r="AC55"/>
      <c r="AD55"/>
      <c r="AE55"/>
      <c r="AF55"/>
    </row>
    <row r="56" spans="3:32" s="71" customFormat="1">
      <c r="C56" s="3" t="s">
        <v>261</v>
      </c>
      <c r="D56" s="8" t="s">
        <v>260</v>
      </c>
      <c r="E56" s="3" t="s">
        <v>187</v>
      </c>
      <c r="F56" s="74">
        <v>126.48</v>
      </c>
      <c r="G56" s="77">
        <v>9.3487600000000004</v>
      </c>
      <c r="H56" s="63">
        <v>17.2</v>
      </c>
      <c r="I56" s="63">
        <v>26.548760000000001</v>
      </c>
      <c r="J56" s="66"/>
      <c r="K56" s="63">
        <v>17.2</v>
      </c>
      <c r="L56" s="63"/>
      <c r="M56" s="80" t="s">
        <v>438</v>
      </c>
      <c r="N56" s="80" t="s">
        <v>438</v>
      </c>
      <c r="P56"/>
      <c r="Q56"/>
      <c r="R56"/>
      <c r="S56"/>
      <c r="T56"/>
      <c r="U56"/>
      <c r="V56"/>
      <c r="W56"/>
      <c r="X56"/>
      <c r="Y56"/>
      <c r="Z56"/>
      <c r="AA56"/>
      <c r="AB56"/>
      <c r="AC56"/>
      <c r="AD56"/>
      <c r="AE56"/>
      <c r="AF56"/>
    </row>
    <row r="57" spans="3:32" s="71" customFormat="1">
      <c r="C57" s="3" t="s">
        <v>59</v>
      </c>
      <c r="D57" s="8" t="s">
        <v>60</v>
      </c>
      <c r="E57" s="3" t="s">
        <v>187</v>
      </c>
      <c r="F57" s="74">
        <v>271</v>
      </c>
      <c r="G57" s="77">
        <v>0</v>
      </c>
      <c r="H57" s="63">
        <v>10</v>
      </c>
      <c r="I57" s="63">
        <v>10</v>
      </c>
      <c r="J57" s="66"/>
      <c r="K57" s="63">
        <v>10</v>
      </c>
      <c r="L57" s="63"/>
      <c r="M57" s="80" t="s">
        <v>438</v>
      </c>
      <c r="N57" s="80" t="s">
        <v>438</v>
      </c>
      <c r="P57"/>
      <c r="Q57"/>
      <c r="R57"/>
      <c r="S57"/>
      <c r="T57"/>
      <c r="U57"/>
      <c r="V57"/>
      <c r="W57"/>
      <c r="X57"/>
      <c r="Y57"/>
      <c r="Z57"/>
      <c r="AA57"/>
      <c r="AB57"/>
      <c r="AC57"/>
      <c r="AD57"/>
      <c r="AE57"/>
      <c r="AF57"/>
    </row>
    <row r="58" spans="3:32" s="71" customFormat="1">
      <c r="C58" s="3" t="s">
        <v>378</v>
      </c>
      <c r="D58" s="8" t="s">
        <v>377</v>
      </c>
      <c r="E58" s="3" t="s">
        <v>316</v>
      </c>
      <c r="F58" s="74">
        <v>150</v>
      </c>
      <c r="G58" s="77">
        <v>0</v>
      </c>
      <c r="H58" s="63">
        <v>150</v>
      </c>
      <c r="I58" s="63">
        <v>150</v>
      </c>
      <c r="J58" s="66"/>
      <c r="K58" s="63">
        <v>150</v>
      </c>
      <c r="L58" s="63"/>
      <c r="M58" s="80" t="s">
        <v>439</v>
      </c>
      <c r="N58" s="80" t="s">
        <v>399</v>
      </c>
      <c r="P58"/>
      <c r="Q58"/>
      <c r="R58"/>
      <c r="S58"/>
      <c r="T58"/>
      <c r="U58"/>
      <c r="V58"/>
      <c r="W58"/>
      <c r="X58"/>
      <c r="Y58"/>
      <c r="Z58"/>
      <c r="AA58"/>
      <c r="AB58"/>
      <c r="AC58"/>
      <c r="AD58"/>
      <c r="AE58"/>
      <c r="AF58"/>
    </row>
    <row r="59" spans="3:32" s="71" customFormat="1">
      <c r="C59" s="3" t="s">
        <v>139</v>
      </c>
      <c r="D59" s="8" t="s">
        <v>140</v>
      </c>
      <c r="E59" s="3" t="s">
        <v>184</v>
      </c>
      <c r="F59" s="74">
        <v>57</v>
      </c>
      <c r="G59" s="77">
        <v>13.725950000000001</v>
      </c>
      <c r="H59" s="63">
        <v>4.9000000000000004</v>
      </c>
      <c r="I59" s="63">
        <v>18.62595</v>
      </c>
      <c r="J59" s="66">
        <v>5</v>
      </c>
      <c r="K59" s="63"/>
      <c r="L59" s="63"/>
      <c r="M59" s="80" t="s">
        <v>438</v>
      </c>
      <c r="N59" s="80" t="s">
        <v>438</v>
      </c>
      <c r="P59"/>
      <c r="Q59"/>
      <c r="R59"/>
      <c r="S59"/>
      <c r="T59"/>
      <c r="U59"/>
      <c r="V59"/>
      <c r="W59"/>
      <c r="X59"/>
      <c r="Y59"/>
      <c r="Z59"/>
      <c r="AA59"/>
      <c r="AB59"/>
      <c r="AC59"/>
      <c r="AD59"/>
      <c r="AE59"/>
      <c r="AF59"/>
    </row>
    <row r="60" spans="3:32" s="71" customFormat="1">
      <c r="C60" s="3" t="s">
        <v>258</v>
      </c>
      <c r="D60" s="8" t="s">
        <v>143</v>
      </c>
      <c r="E60" s="3" t="s">
        <v>182</v>
      </c>
      <c r="F60" s="74">
        <v>560.5</v>
      </c>
      <c r="G60" s="77">
        <v>0</v>
      </c>
      <c r="H60" s="63">
        <v>500.5</v>
      </c>
      <c r="I60" s="63">
        <v>500.5</v>
      </c>
      <c r="J60" s="66">
        <v>330</v>
      </c>
      <c r="K60" s="63">
        <v>170.5</v>
      </c>
      <c r="L60" s="63" t="s">
        <v>410</v>
      </c>
      <c r="M60" s="80" t="s">
        <v>388</v>
      </c>
      <c r="N60" s="80" t="s">
        <v>424</v>
      </c>
      <c r="P60"/>
      <c r="Q60"/>
      <c r="R60"/>
      <c r="S60"/>
      <c r="T60"/>
      <c r="U60"/>
      <c r="V60"/>
      <c r="W60"/>
      <c r="X60"/>
      <c r="Y60"/>
      <c r="Z60"/>
      <c r="AA60"/>
      <c r="AB60"/>
      <c r="AC60"/>
      <c r="AD60"/>
      <c r="AE60"/>
      <c r="AF60"/>
    </row>
    <row r="61" spans="3:32" s="71" customFormat="1">
      <c r="C61" s="3" t="s">
        <v>129</v>
      </c>
      <c r="D61" s="8" t="s">
        <v>130</v>
      </c>
      <c r="E61" s="3" t="s">
        <v>182</v>
      </c>
      <c r="F61" s="74">
        <v>390.22</v>
      </c>
      <c r="G61" s="77">
        <v>4.5163400000000005</v>
      </c>
      <c r="H61" s="63">
        <v>317.39999999999998</v>
      </c>
      <c r="I61" s="63">
        <v>321.91633999999999</v>
      </c>
      <c r="J61" s="66">
        <v>141</v>
      </c>
      <c r="K61" s="63">
        <v>176.39999999999998</v>
      </c>
      <c r="L61" s="63" t="s">
        <v>410</v>
      </c>
      <c r="M61" s="80" t="s">
        <v>389</v>
      </c>
      <c r="N61" s="80" t="s">
        <v>424</v>
      </c>
      <c r="P61"/>
      <c r="Q61"/>
      <c r="R61"/>
      <c r="S61"/>
      <c r="T61"/>
      <c r="U61"/>
      <c r="V61"/>
      <c r="W61"/>
      <c r="X61"/>
      <c r="Y61"/>
      <c r="Z61"/>
      <c r="AA61"/>
      <c r="AB61"/>
      <c r="AC61"/>
      <c r="AD61"/>
      <c r="AE61"/>
      <c r="AF61"/>
    </row>
    <row r="62" spans="3:32" s="71" customFormat="1">
      <c r="C62" s="3" t="s">
        <v>227</v>
      </c>
      <c r="D62" s="8" t="s">
        <v>250</v>
      </c>
      <c r="E62" s="3" t="s">
        <v>182</v>
      </c>
      <c r="F62" s="74">
        <v>298.95999999999998</v>
      </c>
      <c r="G62" s="77">
        <v>148.28643</v>
      </c>
      <c r="H62" s="63">
        <v>158</v>
      </c>
      <c r="I62" s="63">
        <v>306.28643</v>
      </c>
      <c r="J62" s="66"/>
      <c r="K62" s="63">
        <v>158</v>
      </c>
      <c r="L62" s="63"/>
      <c r="M62" s="80" t="s">
        <v>394</v>
      </c>
      <c r="N62" s="80" t="s">
        <v>440</v>
      </c>
      <c r="P62"/>
      <c r="Q62"/>
      <c r="R62"/>
      <c r="S62"/>
      <c r="T62"/>
      <c r="U62"/>
      <c r="V62"/>
      <c r="W62"/>
      <c r="X62"/>
      <c r="Y62"/>
      <c r="Z62"/>
      <c r="AA62"/>
      <c r="AB62"/>
      <c r="AC62"/>
      <c r="AD62"/>
      <c r="AE62"/>
      <c r="AF62"/>
    </row>
    <row r="63" spans="3:32" s="71" customFormat="1" ht="26">
      <c r="C63" s="3" t="s">
        <v>201</v>
      </c>
      <c r="D63" s="8" t="s">
        <v>200</v>
      </c>
      <c r="E63" s="3" t="s">
        <v>182</v>
      </c>
      <c r="F63" s="74">
        <v>616.41</v>
      </c>
      <c r="G63" s="77">
        <v>50.468729999999994</v>
      </c>
      <c r="H63" s="63">
        <v>176.2</v>
      </c>
      <c r="I63" s="63">
        <v>226.66872999999998</v>
      </c>
      <c r="J63" s="66">
        <v>100</v>
      </c>
      <c r="K63" s="63">
        <v>76</v>
      </c>
      <c r="L63" s="63" t="s">
        <v>410</v>
      </c>
      <c r="M63" s="80" t="s">
        <v>414</v>
      </c>
      <c r="N63" s="80" t="s">
        <v>424</v>
      </c>
      <c r="P63"/>
      <c r="Q63"/>
      <c r="R63"/>
      <c r="S63"/>
      <c r="T63"/>
      <c r="U63"/>
      <c r="V63"/>
      <c r="W63"/>
      <c r="X63"/>
      <c r="Y63"/>
      <c r="Z63"/>
      <c r="AA63"/>
      <c r="AB63"/>
      <c r="AC63"/>
      <c r="AD63"/>
      <c r="AE63"/>
      <c r="AF63"/>
    </row>
    <row r="64" spans="3:32" s="71" customFormat="1">
      <c r="C64" s="3" t="s">
        <v>341</v>
      </c>
      <c r="D64" s="8" t="s">
        <v>335</v>
      </c>
      <c r="E64" s="3" t="s">
        <v>182</v>
      </c>
      <c r="F64" s="74">
        <v>213.85</v>
      </c>
      <c r="G64" s="77">
        <v>0</v>
      </c>
      <c r="H64" s="63">
        <v>170</v>
      </c>
      <c r="I64" s="63">
        <v>170</v>
      </c>
      <c r="J64" s="66"/>
      <c r="K64" s="63">
        <v>170</v>
      </c>
      <c r="L64" s="63"/>
      <c r="M64" s="80" t="s">
        <v>441</v>
      </c>
      <c r="N64" s="80" t="s">
        <v>442</v>
      </c>
      <c r="P64"/>
      <c r="Q64"/>
      <c r="R64"/>
      <c r="S64"/>
      <c r="T64"/>
      <c r="U64"/>
      <c r="V64"/>
      <c r="W64"/>
      <c r="X64"/>
      <c r="Y64"/>
      <c r="Z64"/>
      <c r="AA64"/>
      <c r="AB64"/>
      <c r="AC64"/>
      <c r="AD64"/>
      <c r="AE64"/>
      <c r="AF64"/>
    </row>
    <row r="65" spans="3:32" s="71" customFormat="1">
      <c r="C65" s="3" t="s">
        <v>291</v>
      </c>
      <c r="D65" s="8" t="s">
        <v>244</v>
      </c>
      <c r="E65" s="3" t="s">
        <v>182</v>
      </c>
      <c r="F65" s="74">
        <v>955.78200000000004</v>
      </c>
      <c r="G65" s="77">
        <v>33.212849999999996</v>
      </c>
      <c r="H65" s="63">
        <v>1.7</v>
      </c>
      <c r="I65" s="63">
        <v>34.912849999999999</v>
      </c>
      <c r="J65" s="66"/>
      <c r="K65" s="63">
        <v>2</v>
      </c>
      <c r="L65" s="63"/>
      <c r="M65" s="80" t="s">
        <v>443</v>
      </c>
      <c r="N65" s="80" t="s">
        <v>443</v>
      </c>
      <c r="P65"/>
      <c r="Q65"/>
      <c r="R65"/>
      <c r="S65"/>
      <c r="T65"/>
      <c r="U65"/>
      <c r="V65"/>
      <c r="W65"/>
      <c r="X65"/>
      <c r="Y65"/>
      <c r="Z65"/>
      <c r="AA65"/>
      <c r="AB65"/>
      <c r="AC65"/>
      <c r="AD65"/>
      <c r="AE65"/>
      <c r="AF65"/>
    </row>
    <row r="66" spans="3:32" s="71" customFormat="1">
      <c r="C66" s="3" t="s">
        <v>79</v>
      </c>
      <c r="D66" s="8" t="s">
        <v>80</v>
      </c>
      <c r="E66" s="3" t="s">
        <v>182</v>
      </c>
      <c r="F66" s="74">
        <v>247</v>
      </c>
      <c r="G66" s="77">
        <v>2.1102400000000001</v>
      </c>
      <c r="H66" s="63">
        <v>15</v>
      </c>
      <c r="I66" s="63">
        <v>17.110240000000001</v>
      </c>
      <c r="J66" s="66"/>
      <c r="K66" s="63">
        <v>15</v>
      </c>
      <c r="L66" s="63"/>
      <c r="M66" s="80" t="s">
        <v>439</v>
      </c>
      <c r="N66" s="80" t="s">
        <v>399</v>
      </c>
      <c r="P66"/>
      <c r="Q66"/>
      <c r="R66"/>
      <c r="S66"/>
      <c r="T66"/>
      <c r="U66"/>
      <c r="V66"/>
      <c r="W66"/>
      <c r="X66"/>
      <c r="Y66"/>
      <c r="Z66"/>
      <c r="AA66"/>
      <c r="AB66"/>
      <c r="AC66"/>
      <c r="AD66"/>
      <c r="AE66"/>
      <c r="AF66"/>
    </row>
    <row r="67" spans="3:32" s="71" customFormat="1">
      <c r="C67" s="3" t="s">
        <v>212</v>
      </c>
      <c r="D67" s="8" t="s">
        <v>213</v>
      </c>
      <c r="E67" s="3" t="s">
        <v>182</v>
      </c>
      <c r="F67" s="74">
        <v>79</v>
      </c>
      <c r="G67" s="77">
        <v>11.837</v>
      </c>
      <c r="H67" s="63">
        <v>0</v>
      </c>
      <c r="I67" s="63">
        <v>11.837</v>
      </c>
      <c r="J67" s="66"/>
      <c r="K67" s="63"/>
      <c r="L67" s="63"/>
      <c r="M67" s="80" t="s">
        <v>444</v>
      </c>
      <c r="N67" s="80"/>
      <c r="P67"/>
      <c r="Q67"/>
      <c r="R67"/>
      <c r="S67"/>
      <c r="T67"/>
      <c r="U67"/>
      <c r="V67"/>
      <c r="W67"/>
      <c r="X67"/>
      <c r="Y67"/>
      <c r="Z67"/>
      <c r="AA67"/>
      <c r="AB67"/>
      <c r="AC67"/>
      <c r="AD67"/>
      <c r="AE67"/>
      <c r="AF67"/>
    </row>
    <row r="68" spans="3:32" s="71" customFormat="1">
      <c r="C68" s="3" t="s">
        <v>292</v>
      </c>
      <c r="D68" s="8" t="s">
        <v>245</v>
      </c>
      <c r="E68" s="3" t="s">
        <v>182</v>
      </c>
      <c r="F68" s="74">
        <v>864.93799999999999</v>
      </c>
      <c r="G68" s="77">
        <v>9.1974799999999988</v>
      </c>
      <c r="H68" s="63">
        <v>0</v>
      </c>
      <c r="I68" s="63">
        <v>9.1974799999999988</v>
      </c>
      <c r="J68" s="66"/>
      <c r="K68" s="63"/>
      <c r="L68" s="63"/>
      <c r="M68" s="80" t="s">
        <v>444</v>
      </c>
      <c r="N68" s="80"/>
      <c r="P68"/>
      <c r="Q68"/>
      <c r="R68"/>
      <c r="S68"/>
      <c r="T68"/>
      <c r="U68"/>
      <c r="V68"/>
      <c r="W68"/>
      <c r="X68"/>
      <c r="Y68"/>
      <c r="Z68"/>
      <c r="AA68"/>
      <c r="AB68"/>
      <c r="AC68"/>
      <c r="AD68"/>
      <c r="AE68"/>
      <c r="AF68"/>
    </row>
    <row r="69" spans="3:32" s="71" customFormat="1">
      <c r="C69" s="3" t="s">
        <v>262</v>
      </c>
      <c r="D69" s="8" t="s">
        <v>243</v>
      </c>
      <c r="E69" s="3" t="s">
        <v>182</v>
      </c>
      <c r="F69" s="74">
        <v>1208.9570000000001</v>
      </c>
      <c r="G69" s="77">
        <v>5.9227000000000007</v>
      </c>
      <c r="H69" s="63">
        <v>0</v>
      </c>
      <c r="I69" s="63">
        <v>5.9227000000000007</v>
      </c>
      <c r="J69" s="66"/>
      <c r="K69" s="63"/>
      <c r="L69" s="63"/>
      <c r="M69" s="80" t="s">
        <v>444</v>
      </c>
      <c r="N69" s="80"/>
      <c r="P69"/>
      <c r="Q69"/>
      <c r="R69"/>
      <c r="S69"/>
      <c r="T69"/>
      <c r="U69"/>
      <c r="V69"/>
      <c r="W69"/>
      <c r="X69"/>
      <c r="Y69"/>
      <c r="Z69"/>
      <c r="AA69"/>
      <c r="AB69"/>
      <c r="AC69"/>
      <c r="AD69"/>
      <c r="AE69"/>
      <c r="AF69"/>
    </row>
    <row r="70" spans="3:32" s="71" customFormat="1">
      <c r="C70" s="3" t="s">
        <v>173</v>
      </c>
      <c r="D70" s="8" t="s">
        <v>174</v>
      </c>
      <c r="E70" s="3" t="s">
        <v>182</v>
      </c>
      <c r="F70" s="74">
        <v>67.5</v>
      </c>
      <c r="G70" s="77">
        <v>5.6005000000000003</v>
      </c>
      <c r="H70" s="63">
        <v>0</v>
      </c>
      <c r="I70" s="63">
        <v>5.6005000000000003</v>
      </c>
      <c r="J70" s="66"/>
      <c r="K70" s="63"/>
      <c r="L70" s="63"/>
      <c r="M70" s="80" t="s">
        <v>444</v>
      </c>
      <c r="N70" s="80"/>
      <c r="P70"/>
      <c r="Q70"/>
      <c r="R70"/>
      <c r="S70"/>
      <c r="T70"/>
      <c r="U70"/>
      <c r="V70"/>
      <c r="W70"/>
      <c r="X70"/>
      <c r="Y70"/>
      <c r="Z70"/>
      <c r="AA70"/>
      <c r="AB70"/>
      <c r="AC70"/>
      <c r="AD70"/>
      <c r="AE70"/>
      <c r="AF70"/>
    </row>
    <row r="71" spans="3:32" s="71" customFormat="1">
      <c r="C71" s="3" t="s">
        <v>237</v>
      </c>
      <c r="D71" s="8" t="s">
        <v>238</v>
      </c>
      <c r="E71" s="3" t="s">
        <v>188</v>
      </c>
      <c r="F71" s="74">
        <v>1490</v>
      </c>
      <c r="G71" s="77">
        <v>76.08247999999999</v>
      </c>
      <c r="H71" s="63">
        <v>1316.5518999999999</v>
      </c>
      <c r="I71" s="63">
        <v>1392.63438</v>
      </c>
      <c r="J71" s="66">
        <v>1316.5518999999999</v>
      </c>
      <c r="K71" s="63"/>
      <c r="L71" s="63" t="s">
        <v>411</v>
      </c>
      <c r="M71" s="80" t="s">
        <v>431</v>
      </c>
      <c r="N71" s="80" t="s">
        <v>431</v>
      </c>
      <c r="P71"/>
      <c r="Q71"/>
      <c r="R71"/>
      <c r="S71"/>
      <c r="T71"/>
      <c r="U71"/>
      <c r="V71"/>
      <c r="W71"/>
      <c r="X71"/>
      <c r="Y71"/>
      <c r="Z71"/>
      <c r="AA71"/>
      <c r="AB71"/>
      <c r="AC71"/>
      <c r="AD71"/>
      <c r="AE71"/>
      <c r="AF71"/>
    </row>
    <row r="72" spans="3:32" s="71" customFormat="1">
      <c r="C72" s="3" t="s">
        <v>208</v>
      </c>
      <c r="D72" s="8" t="s">
        <v>209</v>
      </c>
      <c r="E72" s="3" t="s">
        <v>188</v>
      </c>
      <c r="F72" s="74">
        <v>844.22299999999996</v>
      </c>
      <c r="G72" s="77">
        <v>569.53750000000002</v>
      </c>
      <c r="H72" s="63">
        <v>151.6</v>
      </c>
      <c r="I72" s="63">
        <v>721.13750000000005</v>
      </c>
      <c r="J72" s="66">
        <v>151.6</v>
      </c>
      <c r="K72" s="63"/>
      <c r="L72" s="63" t="s">
        <v>411</v>
      </c>
      <c r="M72" s="80" t="s">
        <v>431</v>
      </c>
      <c r="N72" s="80" t="s">
        <v>431</v>
      </c>
      <c r="P72"/>
      <c r="Q72"/>
      <c r="R72"/>
      <c r="S72"/>
      <c r="T72"/>
      <c r="U72"/>
      <c r="V72"/>
      <c r="W72"/>
      <c r="X72"/>
      <c r="Y72"/>
      <c r="Z72"/>
      <c r="AA72"/>
      <c r="AB72"/>
      <c r="AC72"/>
      <c r="AD72"/>
      <c r="AE72"/>
      <c r="AF72"/>
    </row>
    <row r="73" spans="3:32" s="71" customFormat="1">
      <c r="C73" s="3" t="s">
        <v>33</v>
      </c>
      <c r="D73" s="8" t="s">
        <v>34</v>
      </c>
      <c r="E73" s="3" t="s">
        <v>188</v>
      </c>
      <c r="F73" s="74">
        <v>2866.6</v>
      </c>
      <c r="G73" s="77">
        <v>123.41039000000001</v>
      </c>
      <c r="H73" s="63">
        <v>37.148099999999999</v>
      </c>
      <c r="I73" s="63">
        <v>160.55849000000001</v>
      </c>
      <c r="J73" s="66">
        <v>37.148099999999999</v>
      </c>
      <c r="K73" s="63"/>
      <c r="L73" s="63"/>
      <c r="M73" s="80" t="s">
        <v>398</v>
      </c>
      <c r="N73" s="80" t="s">
        <v>432</v>
      </c>
      <c r="P73"/>
      <c r="Q73"/>
      <c r="R73"/>
      <c r="S73"/>
      <c r="T73"/>
      <c r="U73"/>
      <c r="V73"/>
      <c r="W73"/>
      <c r="X73"/>
      <c r="Y73"/>
      <c r="Z73"/>
      <c r="AA73"/>
      <c r="AB73"/>
      <c r="AC73"/>
      <c r="AD73"/>
      <c r="AE73"/>
      <c r="AF73"/>
    </row>
    <row r="74" spans="3:32" s="71" customFormat="1">
      <c r="C74" s="3" t="s">
        <v>106</v>
      </c>
      <c r="D74" s="8" t="s">
        <v>107</v>
      </c>
      <c r="E74" s="3" t="s">
        <v>188</v>
      </c>
      <c r="F74" s="74">
        <v>5863</v>
      </c>
      <c r="G74" s="77">
        <v>-23.469560000000005</v>
      </c>
      <c r="H74" s="63">
        <v>100</v>
      </c>
      <c r="I74" s="63">
        <v>76.530439999999999</v>
      </c>
      <c r="J74" s="66">
        <v>100</v>
      </c>
      <c r="K74" s="63"/>
      <c r="L74" s="63" t="s">
        <v>410</v>
      </c>
      <c r="M74" s="80" t="s">
        <v>392</v>
      </c>
      <c r="N74" s="80" t="s">
        <v>433</v>
      </c>
      <c r="P74"/>
      <c r="Q74"/>
      <c r="R74"/>
      <c r="S74"/>
      <c r="T74"/>
      <c r="U74"/>
      <c r="V74"/>
      <c r="W74"/>
      <c r="X74"/>
      <c r="Y74"/>
      <c r="Z74"/>
      <c r="AA74"/>
      <c r="AB74"/>
      <c r="AC74"/>
      <c r="AD74"/>
      <c r="AE74"/>
      <c r="AF74"/>
    </row>
    <row r="75" spans="3:32" s="71" customFormat="1">
      <c r="C75" s="3" t="s">
        <v>233</v>
      </c>
      <c r="D75" s="8" t="s">
        <v>232</v>
      </c>
      <c r="E75" s="3" t="s">
        <v>188</v>
      </c>
      <c r="F75" s="74">
        <v>180.02</v>
      </c>
      <c r="G75" s="77">
        <v>13.678000000000003</v>
      </c>
      <c r="H75" s="63">
        <v>0</v>
      </c>
      <c r="I75" s="63">
        <v>13.678000000000003</v>
      </c>
      <c r="J75" s="66"/>
      <c r="K75" s="63"/>
      <c r="L75" s="63"/>
      <c r="M75" s="80" t="s">
        <v>444</v>
      </c>
      <c r="N75" s="80"/>
      <c r="P75"/>
      <c r="Q75"/>
      <c r="R75"/>
      <c r="S75"/>
      <c r="T75"/>
      <c r="U75"/>
      <c r="V75"/>
      <c r="W75"/>
      <c r="X75"/>
      <c r="Y75"/>
      <c r="Z75"/>
      <c r="AA75"/>
      <c r="AB75"/>
      <c r="AC75"/>
      <c r="AD75"/>
      <c r="AE75"/>
      <c r="AF75"/>
    </row>
    <row r="76" spans="3:32" s="71" customFormat="1">
      <c r="C76" s="3" t="s">
        <v>151</v>
      </c>
      <c r="D76" s="8" t="s">
        <v>152</v>
      </c>
      <c r="E76" s="3" t="s">
        <v>188</v>
      </c>
      <c r="F76" s="74">
        <v>140</v>
      </c>
      <c r="G76" s="77">
        <v>6.1553599999999999</v>
      </c>
      <c r="H76" s="63">
        <v>0</v>
      </c>
      <c r="I76" s="63">
        <v>6.1553599999999999</v>
      </c>
      <c r="J76" s="66"/>
      <c r="K76" s="63"/>
      <c r="L76" s="63"/>
      <c r="M76" s="80" t="s">
        <v>444</v>
      </c>
      <c r="N76" s="80"/>
      <c r="P76"/>
      <c r="Q76"/>
      <c r="R76"/>
      <c r="S76"/>
      <c r="T76"/>
      <c r="U76"/>
      <c r="V76"/>
      <c r="W76"/>
      <c r="X76"/>
      <c r="Y76"/>
      <c r="Z76"/>
      <c r="AA76"/>
      <c r="AB76"/>
      <c r="AC76"/>
      <c r="AD76"/>
      <c r="AE76"/>
      <c r="AF76"/>
    </row>
    <row r="77" spans="3:32" s="71" customFormat="1">
      <c r="C77" s="3" t="s">
        <v>141</v>
      </c>
      <c r="D77" s="8" t="s">
        <v>142</v>
      </c>
      <c r="E77" s="3" t="s">
        <v>188</v>
      </c>
      <c r="F77" s="74">
        <v>190.97</v>
      </c>
      <c r="G77" s="77">
        <v>3.1921100000000004</v>
      </c>
      <c r="H77" s="63">
        <v>0</v>
      </c>
      <c r="I77" s="63">
        <v>3.1921100000000004</v>
      </c>
      <c r="J77" s="66"/>
      <c r="K77" s="63"/>
      <c r="L77" s="63"/>
      <c r="M77" s="80" t="s">
        <v>444</v>
      </c>
      <c r="N77" s="80"/>
      <c r="P77"/>
      <c r="Q77"/>
      <c r="R77"/>
      <c r="S77"/>
      <c r="T77"/>
      <c r="U77"/>
      <c r="V77"/>
      <c r="W77"/>
      <c r="X77"/>
      <c r="Y77"/>
      <c r="Z77"/>
      <c r="AA77"/>
      <c r="AB77"/>
      <c r="AC77"/>
      <c r="AD77"/>
      <c r="AE77"/>
      <c r="AF77"/>
    </row>
    <row r="78" spans="3:32" s="71" customFormat="1">
      <c r="C78" s="3" t="s">
        <v>149</v>
      </c>
      <c r="D78" s="8" t="s">
        <v>150</v>
      </c>
      <c r="E78" s="3" t="s">
        <v>188</v>
      </c>
      <c r="F78" s="74">
        <v>26.2</v>
      </c>
      <c r="G78" s="77">
        <v>5.8299999999994467E-3</v>
      </c>
      <c r="H78" s="63">
        <v>0</v>
      </c>
      <c r="I78" s="63">
        <v>5.8299999999994467E-3</v>
      </c>
      <c r="J78" s="66"/>
      <c r="K78" s="63"/>
      <c r="L78" s="63"/>
      <c r="M78" s="80" t="s">
        <v>444</v>
      </c>
      <c r="N78" s="80"/>
      <c r="P78"/>
      <c r="Q78"/>
      <c r="R78"/>
      <c r="S78"/>
      <c r="T78"/>
      <c r="U78"/>
      <c r="V78"/>
      <c r="W78"/>
      <c r="X78"/>
      <c r="Y78"/>
      <c r="Z78"/>
      <c r="AA78"/>
      <c r="AB78"/>
      <c r="AC78"/>
      <c r="AD78"/>
      <c r="AE78"/>
      <c r="AF78"/>
    </row>
    <row r="79" spans="3:32" s="71" customFormat="1">
      <c r="C79" s="3"/>
      <c r="D79" s="8" t="s">
        <v>10</v>
      </c>
      <c r="E79" s="3" t="s">
        <v>447</v>
      </c>
      <c r="F79" s="74"/>
      <c r="G79" s="77">
        <v>652.86901</v>
      </c>
      <c r="H79" s="63"/>
      <c r="I79" s="63">
        <v>652.86901</v>
      </c>
      <c r="J79" s="66"/>
      <c r="K79" s="63"/>
      <c r="L79" s="63"/>
      <c r="M79" s="80" t="s">
        <v>448</v>
      </c>
      <c r="N79" s="80" t="s">
        <v>448</v>
      </c>
      <c r="P79"/>
      <c r="Q79"/>
      <c r="R79"/>
      <c r="S79"/>
      <c r="T79"/>
      <c r="U79"/>
      <c r="V79"/>
      <c r="W79"/>
      <c r="X79"/>
      <c r="Y79"/>
      <c r="Z79"/>
      <c r="AA79"/>
      <c r="AB79"/>
      <c r="AC79"/>
      <c r="AD79"/>
      <c r="AE79"/>
      <c r="AF79"/>
    </row>
    <row r="80" spans="3:32" s="71" customFormat="1">
      <c r="C80" s="3"/>
      <c r="D80" s="8" t="s">
        <v>99</v>
      </c>
      <c r="E80" s="3" t="s">
        <v>447</v>
      </c>
      <c r="F80" s="74"/>
      <c r="G80" s="77">
        <v>35</v>
      </c>
      <c r="H80" s="63">
        <v>39.5</v>
      </c>
      <c r="I80" s="63">
        <v>74.5</v>
      </c>
      <c r="J80" s="66">
        <v>40</v>
      </c>
      <c r="K80" s="63"/>
      <c r="L80" s="63"/>
      <c r="M80" s="80" t="s">
        <v>449</v>
      </c>
      <c r="N80" s="80" t="s">
        <v>449</v>
      </c>
      <c r="P80"/>
      <c r="Q80"/>
      <c r="R80"/>
      <c r="S80"/>
      <c r="T80"/>
      <c r="U80"/>
      <c r="V80"/>
      <c r="W80"/>
      <c r="X80"/>
      <c r="Y80"/>
      <c r="Z80"/>
      <c r="AA80"/>
      <c r="AB80"/>
      <c r="AC80"/>
      <c r="AD80"/>
      <c r="AE80"/>
      <c r="AF80"/>
    </row>
    <row r="81" spans="3:32" s="71" customFormat="1" ht="15" thickBot="1">
      <c r="C81" s="11"/>
      <c r="D81" s="12"/>
      <c r="E81" s="11"/>
      <c r="F81" s="75"/>
      <c r="G81" s="78"/>
      <c r="H81" s="64"/>
      <c r="I81" s="64"/>
      <c r="J81" s="67"/>
      <c r="K81" s="64"/>
      <c r="L81" s="64"/>
      <c r="M81" s="81"/>
      <c r="N81" s="81"/>
      <c r="P81"/>
      <c r="Q81"/>
      <c r="R81"/>
      <c r="S81"/>
      <c r="T81"/>
      <c r="U81"/>
      <c r="V81"/>
      <c r="W81"/>
      <c r="X81"/>
      <c r="Y81"/>
      <c r="Z81"/>
      <c r="AA81"/>
      <c r="AB81"/>
      <c r="AC81"/>
      <c r="AD81"/>
      <c r="AE81"/>
      <c r="AF81"/>
    </row>
    <row r="87" spans="3:32">
      <c r="J87" s="70">
        <f>J8/H8</f>
        <v>0.69168266241337739</v>
      </c>
    </row>
    <row r="89" spans="3:32">
      <c r="J89">
        <v>2788</v>
      </c>
      <c r="K89" t="s">
        <v>379</v>
      </c>
    </row>
    <row r="90" spans="3:32">
      <c r="J90">
        <v>1868</v>
      </c>
      <c r="K90" t="s">
        <v>412</v>
      </c>
    </row>
    <row r="91" spans="3:32">
      <c r="J91">
        <v>752</v>
      </c>
      <c r="K91" t="s">
        <v>413</v>
      </c>
    </row>
    <row r="92" spans="3:32">
      <c r="J92" s="68">
        <f>SUM(J89:J91)</f>
        <v>5408</v>
      </c>
    </row>
  </sheetData>
  <autoFilter ref="C9:M78" xr:uid="{99AF54EF-6B50-4AAB-B9F3-C98390350F22}"/>
  <pageMargins left="0.511811024" right="0.511811024" top="0.78740157499999996" bottom="0.78740157499999996" header="0.31496062000000002" footer="0.31496062000000002"/>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de2196a-f95a-4ce9-a5d1-0ad1e2957685" xsi:nil="true"/>
    <lcf76f155ced4ddcb4097134ff3c332f xmlns="e37f2a6d-6852-45cb-9edd-51686047de58">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9CA98A47DB13A4F921951A4380D8F44" ma:contentTypeVersion="15" ma:contentTypeDescription="Create a new document." ma:contentTypeScope="" ma:versionID="387b3fd5b957240eab82b9b1409eba7b">
  <xsd:schema xmlns:xsd="http://www.w3.org/2001/XMLSchema" xmlns:xs="http://www.w3.org/2001/XMLSchema" xmlns:p="http://schemas.microsoft.com/office/2006/metadata/properties" xmlns:ns2="e37f2a6d-6852-45cb-9edd-51686047de58" xmlns:ns3="4c513b68-d4dc-4374-9e23-57b38fcda683" xmlns:ns4="ede2196a-f95a-4ce9-a5d1-0ad1e2957685" targetNamespace="http://schemas.microsoft.com/office/2006/metadata/properties" ma:root="true" ma:fieldsID="7d0da10df6337e37c1472019baafb1fd" ns2:_="" ns3:_="" ns4:_="">
    <xsd:import namespace="e37f2a6d-6852-45cb-9edd-51686047de58"/>
    <xsd:import namespace="4c513b68-d4dc-4374-9e23-57b38fcda683"/>
    <xsd:import namespace="ede2196a-f95a-4ce9-a5d1-0ad1e295768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lcf76f155ced4ddcb4097134ff3c332f" minOccurs="0"/>
                <xsd:element ref="ns4: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7f2a6d-6852-45cb-9edd-51686047de5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15a26052-1bf0-409f-8a84-82be1c828a87"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c513b68-d4dc-4374-9e23-57b38fcda683"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de2196a-f95a-4ce9-a5d1-0ad1e2957685"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dc9402b2-9bd3-42d8-af8e-fdb9c2bef1c8}" ma:internalName="TaxCatchAll" ma:showField="CatchAllData" ma:web="58c92835-6d6c-4d60-abd8-3b3884e07b0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8D0E9FB-F5F4-4FF2-AEF8-EE13198C2468}">
  <ds:schemaRefs>
    <ds:schemaRef ds:uri="http://schemas.microsoft.com/office/2006/documentManagement/types"/>
    <ds:schemaRef ds:uri="e37f2a6d-6852-45cb-9edd-51686047de58"/>
    <ds:schemaRef ds:uri="ede2196a-f95a-4ce9-a5d1-0ad1e2957685"/>
    <ds:schemaRef ds:uri="http://purl.org/dc/elements/1.1/"/>
    <ds:schemaRef ds:uri="http://www.w3.org/XML/1998/namespace"/>
    <ds:schemaRef ds:uri="http://schemas.microsoft.com/office/infopath/2007/PartnerControls"/>
    <ds:schemaRef ds:uri="http://purl.org/dc/terms/"/>
    <ds:schemaRef ds:uri="4c513b68-d4dc-4374-9e23-57b38fcda683"/>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A6A7B564-1F00-472B-9FBE-2BE14C16B4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7f2a6d-6852-45cb-9edd-51686047de58"/>
    <ds:schemaRef ds:uri="4c513b68-d4dc-4374-9e23-57b38fcda683"/>
    <ds:schemaRef ds:uri="ede2196a-f95a-4ce9-a5d1-0ad1e29576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1BA098D-93BB-434C-85AA-87AC3C66747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Planilhas</vt:lpstr>
      </vt:variant>
      <vt:variant>
        <vt:i4>29</vt:i4>
      </vt:variant>
      <vt:variant>
        <vt:lpstr>Intervalos Nomeados</vt:lpstr>
      </vt:variant>
      <vt:variant>
        <vt:i4>9</vt:i4>
      </vt:variant>
    </vt:vector>
  </HeadingPairs>
  <TitlesOfParts>
    <vt:vector size="38" baseType="lpstr">
      <vt:lpstr>Proj. por Eng.</vt:lpstr>
      <vt:lpstr>Comparativo 7+5 e 8+4 </vt:lpstr>
      <vt:lpstr>CONTINGENCIA 8+4</vt:lpstr>
      <vt:lpstr>WORST</vt:lpstr>
      <vt:lpstr>AME - Quarterly 2021</vt:lpstr>
      <vt:lpstr>BASE-LCP</vt:lpstr>
      <vt:lpstr>BASE-ICP</vt:lpstr>
      <vt:lpstr>BASE_558</vt:lpstr>
      <vt:lpstr>BASE ICP_PO_SC</vt:lpstr>
      <vt:lpstr>BASE_EX</vt:lpstr>
      <vt:lpstr>BASE_QUARTELY</vt:lpstr>
      <vt:lpstr>BASE_558 EX</vt:lpstr>
      <vt:lpstr>BASE_558 QUARTELY</vt:lpstr>
      <vt:lpstr>STATUS_SAP_LCP</vt:lpstr>
      <vt:lpstr>STATUS_SAP_ICP</vt:lpstr>
      <vt:lpstr>STATUS_SAP_QUARTELY</vt:lpstr>
      <vt:lpstr>Capex</vt:lpstr>
      <vt:lpstr>AME - Quarterly</vt:lpstr>
      <vt:lpstr>Direct Charge</vt:lpstr>
      <vt:lpstr>AME - Quarterly 2025</vt:lpstr>
      <vt:lpstr>Miscellaneous 2025</vt:lpstr>
      <vt:lpstr>Capital &lt;5.000,00</vt:lpstr>
      <vt:lpstr>Analise AOP</vt:lpstr>
      <vt:lpstr>Quartelys Sem Pasta na Rede</vt:lpstr>
      <vt:lpstr>Miscellaneous 2024</vt:lpstr>
      <vt:lpstr>TNCs</vt:lpstr>
      <vt:lpstr>CAPEX RISK</vt:lpstr>
      <vt:lpstr>COMPARATIVO CENARIOS 8+4</vt:lpstr>
      <vt:lpstr>Capex 4+8</vt:lpstr>
      <vt:lpstr>'AME - Quarterly'!Area_de_impressao</vt:lpstr>
      <vt:lpstr>'AME - Quarterly 2021'!Area_de_impressao</vt:lpstr>
      <vt:lpstr>'AME - Quarterly 2025'!Area_de_impressao</vt:lpstr>
      <vt:lpstr>Capex!Area_de_impressao</vt:lpstr>
      <vt:lpstr>'Capital &lt;5.000,00'!Area_de_impressao</vt:lpstr>
      <vt:lpstr>'Direct Charge'!Area_de_impressao</vt:lpstr>
      <vt:lpstr>'Miscellaneous 2024'!Area_de_impressao</vt:lpstr>
      <vt:lpstr>'Miscellaneous 2025'!Area_de_impressao</vt:lpstr>
      <vt:lpstr>WORST!Area_de_impressao</vt:lpstr>
    </vt:vector>
  </TitlesOfParts>
  <Company>GOODYEAR DO BRASIL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Ebenezer Dainez</dc:creator>
  <cp:lastModifiedBy>Gabriel Paulino</cp:lastModifiedBy>
  <cp:lastPrinted>2025-03-11T14:40:16Z</cp:lastPrinted>
  <dcterms:created xsi:type="dcterms:W3CDTF">2013-07-30T17:32:38Z</dcterms:created>
  <dcterms:modified xsi:type="dcterms:W3CDTF">2025-07-08T12:47:04Z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0x01010069CA98A47DB13A4F921951A4380D8F44</vt:lpwstr>
  </property>
  <property fmtid="{D5CDD505-2E9C-101B-9397-08002B2CF9AE}" pid="5" name="MediaServiceImageTags">
    <vt:lpwstr/>
  </property>
</Properties>
</file>